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os" sheetId="1" r:id="rId4"/>
    <sheet state="visible" name="Servicios" sheetId="2" r:id="rId5"/>
    <sheet state="visible" name="Paquetes" sheetId="3" r:id="rId6"/>
    <sheet state="visible" name="Ref Serv Esp" sheetId="4" r:id="rId7"/>
    <sheet state="visible" name="Cortadores" sheetId="5" r:id="rId8"/>
    <sheet state="visible" name="Equipo Esp" sheetId="6" r:id="rId9"/>
    <sheet state="visible" name="Walmart" sheetId="7" r:id="rId10"/>
    <sheet state="visible" name="Claves" sheetId="8" r:id="rId11"/>
    <sheet state="hidden" name="ARRANCADORES" sheetId="9" r:id="rId12"/>
  </sheets>
  <definedNames>
    <definedName localSheetId="0" name="LISTA">Productos!$G$2:$G$3564</definedName>
    <definedName hidden="1" localSheetId="0" name="_xlnm._FilterDatabase">Productos!$A$2:$BV$2774</definedName>
    <definedName hidden="1" localSheetId="3" name="_xlnm._FilterDatabase">'Ref Serv Esp'!$A$6:$AC$59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1: Se vende</t>
      </text>
    </comment>
    <comment authorId="0" ref="B2">
      <text>
        <t xml:space="preserve">TIPO
0: Producto Inactivo
1 ó " ": Descuento General
2: 15% de descuento máximo.
3: 10% de descuento máximo.
4: No aplica descuento.</t>
      </text>
    </comment>
    <comment authorId="0" ref="C2">
      <text>
        <t xml:space="preserve">CLASIFICACIÓN
P=PRODUCCIÓN
C=COMPRAS
CP=COMPRA-PRODUCCIÓN
E=EQUIPO
</t>
      </text>
    </comment>
    <comment authorId="0" ref="AL2">
      <text>
        <t xml:space="preserve">1: Se vende</t>
      </text>
    </comment>
    <comment authorId="0" ref="AM2">
      <text>
        <t xml:space="preserve">TIPO
0: Producto Inactivo
1 ó " ": Descuento General
2: 15% de descuento máximo.
3: 10% de descuento máximo.
4: No aplica descuento.</t>
      </text>
    </comment>
    <comment authorId="0" ref="AN2">
      <text>
        <t xml:space="preserve">CLASIFICACIÓN
P=PRODUCCIÓN
C=COMPRAS
CP=COMPRA-PRODUCCIÓN
E=EQUIPO
</t>
      </text>
    </comment>
    <comment authorId="0" ref="S47">
      <text>
        <t xml:space="preserve">$19,800 oferta</t>
      </text>
    </comment>
    <comment authorId="0" ref="G300">
      <text>
        <t xml:space="preserve">Precio que debía ser correcto es de $2,048 al 03/06/2021. Sin embargo, para no bajar el precio, simplemente se mantiene en el último precio manejado al cliente Industriasl del Maíz (único cliente al que se le vende) que es de $2,633. Cuando los incrementos que se vayan haciendo lleguen a $2,633 entonces se aumentará el precio a este comal BM86.
CONTROL AUMENTOS EN BM86:
03/06/2021 $2,048
28/06/2021 $2,253
13/07/2021 (5%) 2,365
</t>
      </text>
    </comment>
    <comment authorId="0" ref="S388">
      <text>
        <t xml:space="preserve">$150 oferta</t>
      </text>
    </comment>
    <comment authorId="0" ref="S1262">
      <text>
        <t xml:space="preserve">Precio Oferta $7,780
</t>
      </text>
    </comment>
    <comment authorId="0" ref="D1275">
      <text>
        <t xml:space="preserve">Anterior JG17C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OJO, si creas la clave y la marca roja es porque ya existe, esta columna se puede ordenar alfabeticamente sin problema
</t>
      </text>
    </comment>
  </commentList>
</comments>
</file>

<file path=xl/sharedStrings.xml><?xml version="1.0" encoding="utf-8"?>
<sst xmlns="http://schemas.openxmlformats.org/spreadsheetml/2006/main" count="29262" uniqueCount="16066">
  <si>
    <t>IMAGEN</t>
  </si>
  <si>
    <t>Jul21-Mar22</t>
  </si>
  <si>
    <t>Abr22-Feb23</t>
  </si>
  <si>
    <t>Feb23-Mar24</t>
  </si>
  <si>
    <t>Mar24-Sep24</t>
  </si>
  <si>
    <t>Sep24-Feb25</t>
  </si>
  <si>
    <t>Lista Feb 2025</t>
  </si>
  <si>
    <t>FORMULA QUE DEBE IR EN LA CELDA AN3 (DE AQUI SALEN LOS ESPEJOS =FILTER(A:AM,A:A=1)</t>
  </si>
  <si>
    <t>Ene21-Jun21</t>
  </si>
  <si>
    <t>Lista 2024 oct</t>
  </si>
  <si>
    <t>V</t>
  </si>
  <si>
    <t>T</t>
  </si>
  <si>
    <t>C</t>
  </si>
  <si>
    <t>CLAVE</t>
  </si>
  <si>
    <t>UD</t>
  </si>
  <si>
    <t>LINEA</t>
  </si>
  <si>
    <t>DESCRIPCIÓN LARGA</t>
  </si>
  <si>
    <t>DESCRIPCIÓN CORTA</t>
  </si>
  <si>
    <t>MIN</t>
  </si>
  <si>
    <t>MAX</t>
  </si>
  <si>
    <t>SISTEMAS</t>
  </si>
  <si>
    <t>VACIO</t>
  </si>
  <si>
    <t>PRECIO DE LISTA (1)</t>
  </si>
  <si>
    <t>IVA</t>
  </si>
  <si>
    <t>TOTAL</t>
  </si>
  <si>
    <t>Dif respecto al precio anterior</t>
  </si>
  <si>
    <t>PRECIO MAYOREO (2)</t>
  </si>
  <si>
    <t>PRECIO MECÁNICOS (3)</t>
  </si>
  <si>
    <t>PRECIO DISTRIBUIDOR A (4)</t>
  </si>
  <si>
    <t>PRECIO DISTRIBUIDOR B (5)</t>
  </si>
  <si>
    <t>PRECIO SUCURSAL (6)</t>
  </si>
  <si>
    <t>PRECIO MAYOREO (4)</t>
  </si>
  <si>
    <t>PRECIO MECÁNICOS (5)</t>
  </si>
  <si>
    <t>PRECIO DISTRIBUIDOR A (6)</t>
  </si>
  <si>
    <t>PRECIO DISTRIBUIDOR B (7)</t>
  </si>
  <si>
    <t>PRECIO SUCURSAL (8)</t>
  </si>
  <si>
    <t>E</t>
  </si>
  <si>
    <t>AB01</t>
  </si>
  <si>
    <t>PZA</t>
  </si>
  <si>
    <t>WAL</t>
  </si>
  <si>
    <t>ABRAZADERA ACERO INOXIDABLE 6" CLAMP</t>
  </si>
  <si>
    <t>AC01</t>
  </si>
  <si>
    <t>REF</t>
  </si>
  <si>
    <t>ACEITE ROSHFRANS ESTÁNDAR 250</t>
  </si>
  <si>
    <t>ACEITE ROSHFRANS ESTANDAR 250</t>
  </si>
  <si>
    <t>AC02</t>
  </si>
  <si>
    <t>ACEITE SAE BARDAHL 40</t>
  </si>
  <si>
    <t>AE01</t>
  </si>
  <si>
    <t>ACEITERA DE PIPETA FLEXIBLE 300 ML. TRUPER</t>
  </si>
  <si>
    <t>ACEITERA PIPETA FLEXIBLE 300 ML TRUPER</t>
  </si>
  <si>
    <t>AE02</t>
  </si>
  <si>
    <t>ACEITERA DE PIPETA FLEXIBLE 500 ML. TRUPER</t>
  </si>
  <si>
    <t>ACEITERA PIPETA FLEXIBLE 500 ML TRUPER</t>
  </si>
  <si>
    <t>P</t>
  </si>
  <si>
    <t>AM16</t>
  </si>
  <si>
    <t>ACOMODADOR  MÁQUINA TVRD 15CM</t>
  </si>
  <si>
    <t>ACOMODADOR  MAQUINA TVRD 15CM</t>
  </si>
  <si>
    <t>AM17</t>
  </si>
  <si>
    <t>ACOMODADOR  MÁQUINA TVRD 16CM</t>
  </si>
  <si>
    <t>ACOMODADOR  MAQUINA TVRD 16CM</t>
  </si>
  <si>
    <t>AM07</t>
  </si>
  <si>
    <t>TNO</t>
  </si>
  <si>
    <t>ACOMODADOR DE TORTILLAS AUTOMÁTICO DÚPLEX</t>
  </si>
  <si>
    <t>AM05</t>
  </si>
  <si>
    <t>ACOMODADOR DE TORTILLAS AUTOMÁTICO SENCILLO (15 y 16 CM)</t>
  </si>
  <si>
    <t>AM06</t>
  </si>
  <si>
    <t>ACOMODADOR DE TORTILLAS AUTOMÁTICO SENCILLO TIPO PUEBLA  (18, 19 y 20 cm)</t>
  </si>
  <si>
    <t>AM03</t>
  </si>
  <si>
    <t>ACOMODADOR DE TORTILLAS CON SOLERAS WALMART</t>
  </si>
  <si>
    <t>AM10</t>
  </si>
  <si>
    <t>ACOMODADOR DE TORTILLAS CUADRUPLEX</t>
  </si>
  <si>
    <t>AM01</t>
  </si>
  <si>
    <t>ACOMODADOR DE TORTILLAS ESTÁNDAR (10-17 CM.)</t>
  </si>
  <si>
    <t>ACOMODADOR DE TORTILLAS STD 10-17 CM</t>
  </si>
  <si>
    <t>AM02</t>
  </si>
  <si>
    <t xml:space="preserve">ACOMODADOR DE TORTILLAS TIPO PUEBLA </t>
  </si>
  <si>
    <t>AM18</t>
  </si>
  <si>
    <t>JGO</t>
  </si>
  <si>
    <t>ACOMODADOR DE TORTILLAS TIPO PUEBLA CON TIRANTES (18-22 CM.)</t>
  </si>
  <si>
    <t>ACOMODADOR TORT. T/PUE C/TIRANT 18-22 CM</t>
  </si>
  <si>
    <t>AM08</t>
  </si>
  <si>
    <t>ACOMODADOR TORTILLAS AUTOM SENCILLO 10CM</t>
  </si>
  <si>
    <t>AM09</t>
  </si>
  <si>
    <t>ACOMODADOR TORTILLAS AUTOM SENCILLO 17CM</t>
  </si>
  <si>
    <t>RL03</t>
  </si>
  <si>
    <t>RLL</t>
  </si>
  <si>
    <t>ALAMBRE DESPEGADOR 120 GR</t>
  </si>
  <si>
    <t>RL15</t>
  </si>
  <si>
    <t>ALAMBRE DESPEGADOR 15 GR</t>
  </si>
  <si>
    <t>RL90</t>
  </si>
  <si>
    <t>ALAMBRE DESPEGADOR 90 GR</t>
  </si>
  <si>
    <t>RL04</t>
  </si>
  <si>
    <t>KG</t>
  </si>
  <si>
    <t>ALAMBRE PARA CABEZAL RESTAURANTERO DE RODILLOS DE 4"</t>
  </si>
  <si>
    <t>ALAMBRE P/CABEZAL REST RODILLOS 4</t>
  </si>
  <si>
    <t>MG72</t>
  </si>
  <si>
    <t>TGA</t>
  </si>
  <si>
    <t>ALIMENTADOR PARA MÁQUINA CUADRUPLE DE RODILLOS CON MOTOR DE 2 HP Y VARIADOR DE VELOCIDAD, 2 PALETAS Y 1 SINFIN EN INOX 304-L</t>
  </si>
  <si>
    <t>MG29</t>
  </si>
  <si>
    <t xml:space="preserve">ALIMENTADOR PARA MÁQUINA TVR TVRM TVRD VW DE RODILLOS CON MOTOR DE 1 HP Y VARIADOR DE VELOCIDAD, 2 PALETAS Y 1 SINFIN EN INOX 304-L                                </t>
  </si>
  <si>
    <t>ALIMENTADOR P/MAQ ROD SEN/DUP 1HP VARIAD</t>
  </si>
  <si>
    <t>MG31</t>
  </si>
  <si>
    <t xml:space="preserve">ALIMENTADOR PARA MÁQUINA TVRT Y VW-150 DE RODILLOS CON MOTOR DE 2 HP Y VARIADOR DE VELOCIDAD, 2 PALETAS Y 1 SINFIN EN INOX 304-L                                </t>
  </si>
  <si>
    <t>ALIMENTADOR P/MAQ ROD TRIPLES 1HP VARIAD</t>
  </si>
  <si>
    <t>MG94</t>
  </si>
  <si>
    <t>ALIMENTADOR PARA MAQUINA VW</t>
  </si>
  <si>
    <t>MM65</t>
  </si>
  <si>
    <t>AMASADOR Y CUELLO DE GANZO</t>
  </si>
  <si>
    <t>MG23</t>
  </si>
  <si>
    <t>AMASADORA 100KG 304GA CAL16 ESPECIAL</t>
  </si>
  <si>
    <t>MG83</t>
  </si>
  <si>
    <t>AMASADORA 100KG AI 304 GA S/ESQUINAS ESP</t>
  </si>
  <si>
    <t>MG81</t>
  </si>
  <si>
    <t>AMASADORA 25KG C/PAL Y FLECH ACINOX TAPA</t>
  </si>
  <si>
    <t>MM11</t>
  </si>
  <si>
    <t>AMASADORA 50 KG ACERO INOX. T-430 TRIFAS</t>
  </si>
  <si>
    <t>MG123</t>
  </si>
  <si>
    <t>AMASADORA DE  10 KG. CON PALETAS FUNDIDAS Y FLECHA EN ACERO INOX. T-304 G.A.</t>
  </si>
  <si>
    <t>MM60</t>
  </si>
  <si>
    <t xml:space="preserve">AMASADORA DE  10 KG. EN ACERO INOX. T-430 </t>
  </si>
  <si>
    <t>MG03</t>
  </si>
  <si>
    <t>AMASADORA DE  100 KG. CON PALETAS FUNDIDAS Y FLECHA EN ACERO INOX. T-304 G.A.</t>
  </si>
  <si>
    <t>AMASADORA 100KG PAL FUND FLE INOX</t>
  </si>
  <si>
    <t>MG129</t>
  </si>
  <si>
    <t>AMASADORA DE  100 KG. CON PALETAS FUNDIDAS Y FLECHA EN ACERO INOX. T-304 G.A. SIN ESQUINAS</t>
  </si>
  <si>
    <t>AMASADORA 100K PAL FUND FLE INOX SIN ESQ</t>
  </si>
  <si>
    <t>MG82</t>
  </si>
  <si>
    <t>AMASADORA DE  100 KG. CON PALETAS FUNDIDAS Y FLECHA EN ACERO INOX. T-304 G.A. SIN ESQUINAS MOT MONO</t>
  </si>
  <si>
    <t>AMASADORA 100K PAL FUND FLE INX S/ES MON</t>
  </si>
  <si>
    <t>MG302</t>
  </si>
  <si>
    <t>AMASADORA DE  25 KG. CON ASPA FLECHA EN ACERO INOX. T-304 PARA TAMAL G.A.</t>
  </si>
  <si>
    <t>AMASADORA 25KG C/ASPA FLE INOX P/TAMAL</t>
  </si>
  <si>
    <t>MG01</t>
  </si>
  <si>
    <t>AMASADORA DE  25 KG. CON PALETAS FUNDIDAS Y FLECHA EN ACERO INOX. T-304 G.A.</t>
  </si>
  <si>
    <t>MG131</t>
  </si>
  <si>
    <t>AMASADORA DE  25 KG. CON PALETAS FUNDIDAS Y FLECHA EN ACERO INOX. T-304 G.A. SIN ESQUINAS</t>
  </si>
  <si>
    <t>AMASADORA 25KG PAL FUND FLE INOX SIN ESQ</t>
  </si>
  <si>
    <t>MM01</t>
  </si>
  <si>
    <t>AMASADORA DE  25 KG. EN ACERO INOX. T-430</t>
  </si>
  <si>
    <t>MG130</t>
  </si>
  <si>
    <t>AMASADORA DE  50 KG. CON ASPA FLECHA EN ACERO INOX. T-304 PARA TAMAL  G.A.</t>
  </si>
  <si>
    <t>AMASADORA 50KG C/ASPA FLE INOX P/TAMAL</t>
  </si>
  <si>
    <t>MG124</t>
  </si>
  <si>
    <t>AMASADORA DE  50 KG. CON ASPA, EN ACERO INOX. T-304 PARA TAMAL G.A., ACABADO HIGIÉNICO</t>
  </si>
  <si>
    <t>AMASADORA 50KG C/ASPA INOX TAMAL S/ESQ</t>
  </si>
  <si>
    <t>MG101</t>
  </si>
  <si>
    <t>AMASADORA DE  50 KG. CON PALETAS FUNDIDAS Y FLECHA EN ACERO INOX. T-304 ACABADO HIGIÉNICO G.A., MOTOR TRIFASICO</t>
  </si>
  <si>
    <t>AMASADORA 50KG PAL FUND FLE INX S/ES TRI</t>
  </si>
  <si>
    <t>MG02</t>
  </si>
  <si>
    <t>AMASADORA DE  50 KG. CON PALETAS FUNDIDAS Y FLECHA EN ACERO INOX. T-304 G.A.</t>
  </si>
  <si>
    <t>AMASADORA 50KG PAL FUND FLE INOX</t>
  </si>
  <si>
    <t>MG04</t>
  </si>
  <si>
    <t>AMASADORA DE  50 KG. CON PALETAS FUNDIDAS Y FLECHA EN ACERO INOX. T-304 G.A. SIN ESQUINAS MOT MONO</t>
  </si>
  <si>
    <t>AMASADORA 50KG PAL FUND FLE INX S/ES MON</t>
  </si>
  <si>
    <t>MM02</t>
  </si>
  <si>
    <t>AMASADORA DE  50 KG. EN ACERO INOX. T-430, MOTOR MONOFÁSICO</t>
  </si>
  <si>
    <t>MG50</t>
  </si>
  <si>
    <t>AMASADORA DE 100 KG. CON ASPA, FLECHA EN ACERO INOX. T-304 PARA TAMAL G.A.</t>
  </si>
  <si>
    <t>AMASADORA 100KG C/ASPA FLE INOX P/TAMAL</t>
  </si>
  <si>
    <t>MG58</t>
  </si>
  <si>
    <t>AMASADORA DE 100 KG. CON PALETAS FUNDIDAS Y FLECHA EN ACERO INOX. T-304 ACABADO HIGIÉNICO, CON BANCO EN ACERO INOX. 304 G.A.</t>
  </si>
  <si>
    <t>AMASADORA 100K PAL FND FLE CHAS INX S/ES</t>
  </si>
  <si>
    <t>MG62</t>
  </si>
  <si>
    <t>AMASADORA DE 100 KG. EN ACERO INOX. 304, BANCO EN ACERO INOX. 304, CON ASPA 304, MOTOR 3 HP., REDUCTOR Y TAPA</t>
  </si>
  <si>
    <t>MM03</t>
  </si>
  <si>
    <t>AMASADORA DE 100 KG. EN ACERO INOX. T-430</t>
  </si>
  <si>
    <t>MM99</t>
  </si>
  <si>
    <t>AMASADORA DE 100 KG. EN ACERO INOX. T-430, MOTOR MONOFÁSICO</t>
  </si>
  <si>
    <t>MG66</t>
  </si>
  <si>
    <t>AMASADORA DE 100KG. EN ACERO INOX. 304, SIN ESQUINAS, CON BANCO EN ACERO INOX. 304</t>
  </si>
  <si>
    <t>MG70</t>
  </si>
  <si>
    <t>AMASADORA DE 200 KG. EN ACERO INOX. 304, CON MOTOR DE 3 HP Y REDUCTOR PARA MASA</t>
  </si>
  <si>
    <t>MG61</t>
  </si>
  <si>
    <t>AMASADORA DE 250 KG. EN ACERO INOX. 304, BANCO DE FIERRO, MOTOR 3 HP., REDUCTOR</t>
  </si>
  <si>
    <t>MG100</t>
  </si>
  <si>
    <t>AMASADORA DE 250 KG. PARA CARNE ACERO INOX. 304 MOTOR 5 HP. TRIFÁSICO Y UN REDUCTOR G.A.</t>
  </si>
  <si>
    <t>MG63</t>
  </si>
  <si>
    <t xml:space="preserve">AMASADORA DE 300 KG. EN ACERO INOX. 304, CON MOTOR DE 3 HP Y REDUCTOR, CAL. 14 BATIDOR CON REFUERZOS, UN ASPA PARA CARNE </t>
  </si>
  <si>
    <t>MM28</t>
  </si>
  <si>
    <t>AMASADORA DE 300 KG. EN ACERO INOX. 430, CON MOTOR DE 3 HP Y REDUCTOR PARA MASA CON CHAROLA CON SOPORTE</t>
  </si>
  <si>
    <t>MH44</t>
  </si>
  <si>
    <t>AMASADORA P/50KG 304GA ESTR ACERO CARBON</t>
  </si>
  <si>
    <t>AMSH20</t>
  </si>
  <si>
    <t>AMASADORA PARA 20 KG DE HARINA CON PALETAS FUNDIDAS Y FLECHA EN ACERO INOXIDABLE, T-304, GRADO ALIMENTICIO, ACABADO HIGIÉNICO, MOTOR TRIFÁSICO</t>
  </si>
  <si>
    <t>AMSH40</t>
  </si>
  <si>
    <t>AMASADORA PARA 40 KG DE HARINA CON PALETAS FUNDIDAS Y FLECHA EN ACERO INOXIDABLE, T-304, GRADO ALIMENTICIO, ACABADO HIGIÉNICO, MOTOR TRIFÁSICO</t>
  </si>
  <si>
    <t>MH04</t>
  </si>
  <si>
    <t>HAR</t>
  </si>
  <si>
    <t>AMASADORA PARA HARINA DE TRIGO DE  25 KG. EN ACERO INOX. T-304 GRADO ALIMENTICIO (3 PALETAS)</t>
  </si>
  <si>
    <t>MH01</t>
  </si>
  <si>
    <t xml:space="preserve">AMASADORA PARA HARINA DE TRIGO DE  25 KG. EN ACERO INOX. T-430 (3 PALETAS) </t>
  </si>
  <si>
    <t>MH05</t>
  </si>
  <si>
    <t xml:space="preserve">AMASADORA PARA HARINA DE TRIGO DE  50 KG. EN ACERO INOX. T-304 GRADO ALIMENTICIO (6 PALETAS) </t>
  </si>
  <si>
    <t>MH02</t>
  </si>
  <si>
    <t>AMASADORA PARA HARINA DE TRIGO DE  50 KG. EN ACERO INOX. T-430 (6 PALETAS) CAP. 25 KG.</t>
  </si>
  <si>
    <t>MH06</t>
  </si>
  <si>
    <t>AMASADORA PARA HARINA DE TRIGO DE 100 KG. EN ACERO INOX. T-304 GRADO ALIMENTICIO (6 PALETAS)</t>
  </si>
  <si>
    <t>MH03</t>
  </si>
  <si>
    <t>AMASADORA PARA HARINA DE TRIGO DE 100 KG. EN ACERO INOX. T-430 (6 PALETAS) CAP. 50 KG.</t>
  </si>
  <si>
    <t>MM101</t>
  </si>
  <si>
    <t>AMASADORA PARA TAMAL 10 KG. EN ACERO INOX. T-430</t>
  </si>
  <si>
    <t>MM100</t>
  </si>
  <si>
    <t>AMASADORA PARA TAMAL 100 KG. EN ACERO INOX. T-430</t>
  </si>
  <si>
    <t>MM04</t>
  </si>
  <si>
    <t>AMASADORA PARA TAMAL 25 KG. EN ACERO INOX. T-430</t>
  </si>
  <si>
    <t>MM05</t>
  </si>
  <si>
    <t>AMASADORA PARA TAMAL 50 KG. EN ACERO INOX. T-430</t>
  </si>
  <si>
    <t>AG01</t>
  </si>
  <si>
    <t>ANGULO CON CORREDERA PARA LATERALES (GALVANIZADO)</t>
  </si>
  <si>
    <t>AG03</t>
  </si>
  <si>
    <t>ANGULO DE ACERO INOXIDABLE CON GOMAS DE RESPALDO Y CON DOBLEZ</t>
  </si>
  <si>
    <t>AG02</t>
  </si>
  <si>
    <t>ANGULO DE ACERO INXIDABLE CON GOMAS DE RESPALDO</t>
  </si>
  <si>
    <t>AR101</t>
  </si>
  <si>
    <t>ANGULO RANURADO P/SOLERA DE PALANCA</t>
  </si>
  <si>
    <t>AN01</t>
  </si>
  <si>
    <t>CUB</t>
  </si>
  <si>
    <t>ANTIADHERENTE "A" 19 LITROS</t>
  </si>
  <si>
    <t>ANTIADHERENTE A 19 LITROS</t>
  </si>
  <si>
    <t>AN02</t>
  </si>
  <si>
    <t>GAL</t>
  </si>
  <si>
    <t>ANTIADHERENTE "A" GALÓN</t>
  </si>
  <si>
    <t>ANTIADHERENTE A GALON</t>
  </si>
  <si>
    <t>AN03</t>
  </si>
  <si>
    <t>LTR</t>
  </si>
  <si>
    <t>ANTIADHERENTE "A" LITRO</t>
  </si>
  <si>
    <t>ANTIADHERENTE A LITRO</t>
  </si>
  <si>
    <t>AN04</t>
  </si>
  <si>
    <t>ANTIADHERENTE "B" 19 LITROS</t>
  </si>
  <si>
    <t>ANTIADHERENTE B 19 LITROS</t>
  </si>
  <si>
    <t>AN05</t>
  </si>
  <si>
    <t>ANTIADHERENTE "B" GALÓN</t>
  </si>
  <si>
    <t>ANTIADHERENTE B GALON</t>
  </si>
  <si>
    <t>AN06</t>
  </si>
  <si>
    <t>ANTIADHERENTE "B" LITRO</t>
  </si>
  <si>
    <t>ANTIADHERENTE B LITRO</t>
  </si>
  <si>
    <t>AN07</t>
  </si>
  <si>
    <t>ANTIADHERENTE "TRANSPARENTE" 19 LITROS</t>
  </si>
  <si>
    <t>ANTIADHERENTE TRANSPARENTE 19 LITROS</t>
  </si>
  <si>
    <t>AN08</t>
  </si>
  <si>
    <t>ANTIADHERENTE "TRANSPARENTE" GALÓN</t>
  </si>
  <si>
    <t>ANTIADHERENTE TRANSPARENTE GALON</t>
  </si>
  <si>
    <t>AN09</t>
  </si>
  <si>
    <t>ANTIADHERENTE "TRANSPARENTE" LITRO</t>
  </si>
  <si>
    <t>ANTIADHERENTE TRANSPARENTE LITRO</t>
  </si>
  <si>
    <t>AN99</t>
  </si>
  <si>
    <t>ANTIADHERENTE "TRANSPARENTE" PLUS LITRO</t>
  </si>
  <si>
    <t>ANTIADHERENTE TRANSPARENTE PLUS LITRO</t>
  </si>
  <si>
    <t>AR17</t>
  </si>
  <si>
    <t xml:space="preserve">ARRANCADOR PARA MOTOR DE 1 HP </t>
  </si>
  <si>
    <t>AR13</t>
  </si>
  <si>
    <t>ARRANCADOR PARA MOTOR DE 10 HP MONOFÁSICO 220V CODIGO 10046372 32~50 AMP</t>
  </si>
  <si>
    <t>ARRANCADOR 10HP MON 220V 10046372 32-50A</t>
  </si>
  <si>
    <t>AR05</t>
  </si>
  <si>
    <t>ARRANCADOR PARA MOTOR DE 10 HP TRIFÁSICO 220V CODIGO 10072610 22~32 AMP</t>
  </si>
  <si>
    <t>ARRANCADOR 10HP TRI 220V 10072610 22-32A</t>
  </si>
  <si>
    <t>AR06</t>
  </si>
  <si>
    <t>ARRANCADOR PARA MOTOR DE 15 HP TRIFÁSICO 220V CODIGO 10046372 32~50 AMP</t>
  </si>
  <si>
    <t>ARRANCADOR 15HP TRI 220V 10046372 32-50A</t>
  </si>
  <si>
    <t>AR14</t>
  </si>
  <si>
    <t>ARRANCADOR PARA MOTOR DE 2 HP MONOFÁSICO 127V CODIGO 10410257 8~12.5 AMP</t>
  </si>
  <si>
    <t>ARRANCADOR 2HP MON 127V 10410257 8-12.5A</t>
  </si>
  <si>
    <t>AR09</t>
  </si>
  <si>
    <t>ARRANCADOR PARA MOTOR DE 2 HP MONOFÁSICO 220V CODIGO 10410257 8~12.5 AMP</t>
  </si>
  <si>
    <t>ARRANCADOR 2HP MON 220V 10410257 8-12.5A</t>
  </si>
  <si>
    <t>AR01</t>
  </si>
  <si>
    <t>ARRANCADOR PARA MOTOR DE 2 HP TRIFÁSICO 220V CODIGO 10046368 5~8 AMP</t>
  </si>
  <si>
    <t>ARRANCADOR 2HP TRI 220V 10046368 5-8A</t>
  </si>
  <si>
    <t>AR07</t>
  </si>
  <si>
    <t>ARRANCADOR PARA MOTOR DE 20 HP TRIFÁSICO 220V CODIGO 11001941 50~63 AMP</t>
  </si>
  <si>
    <t>ARRANCADOR 20HP TRI 220V 11001941 50-63A</t>
  </si>
  <si>
    <t>AR08</t>
  </si>
  <si>
    <t>ARRANCADOR PARA MOTOR DE 25 HP TRIFÁSICO 220V CODIGO 11001942 57~76 AMP</t>
  </si>
  <si>
    <t>ARRANCADOR 25HP TRI 220V 11001942 57-76A</t>
  </si>
  <si>
    <t>AR15</t>
  </si>
  <si>
    <t>ARRANCADOR PARA MOTOR DE 3 HP MONOFÁSICO 127V CODIGO 10046370 11~17 AMP</t>
  </si>
  <si>
    <t>ARRANCADOR 3HP MON 127V 10046370 11-17A</t>
  </si>
  <si>
    <t>AR10</t>
  </si>
  <si>
    <t>ARRANCADOR PARA MOTOR DE 3 HP MONOFÁSICO 220V CODIGO 10046370 11~17 AMP</t>
  </si>
  <si>
    <t>ARRANCADOR 3HP MON 220V 10046370 11-17A</t>
  </si>
  <si>
    <t>AR02</t>
  </si>
  <si>
    <t>ARRANCADOR PARA MOTOR DE 3 HP TRIFÁSICO 220V CODIGO 10046369 7~10 AMP</t>
  </si>
  <si>
    <t>ARRANCADOR 3HP TRI 220V 10046369 7-10A</t>
  </si>
  <si>
    <t>AR11</t>
  </si>
  <si>
    <t>ARRANCADOR PARA MOTOR DE 5 HP MONOFÁSICO 220V CODIGO 10072610 22~32 AMP</t>
  </si>
  <si>
    <t>ARRANCADOR 5HP MON 220V 10072610 22-32A</t>
  </si>
  <si>
    <t>AR03</t>
  </si>
  <si>
    <t>ARRANCADOR PARA MOTOR DE 5 HP TRIFÁSICO 220V CODIGO 10046370 11~17 AMP</t>
  </si>
  <si>
    <t>ARRANCADOR 5HP TRI 220V 10046370 11-17A</t>
  </si>
  <si>
    <t>AR16</t>
  </si>
  <si>
    <t>ARRANCADOR PARA MOTOR DE 50 HP TRIFASICO 220 V</t>
  </si>
  <si>
    <t>ARRANCADOR P/MOTOR 50HP TRIF 220V</t>
  </si>
  <si>
    <t>AR12</t>
  </si>
  <si>
    <t>ARRANCADOR PARA MOTOR DE 7.5 HP MONOFÁSICO 220V CODIGO 10046372 32~50 AMP</t>
  </si>
  <si>
    <t>ARRANCADOR7.5HP MON 220V 10046372 32-50A</t>
  </si>
  <si>
    <t>AR04</t>
  </si>
  <si>
    <t>ARRANCADOR PARA MOTOR DE 7.5 HP TRIFÁSICO 220V CODIGO 10045781 15~23 AMP</t>
  </si>
  <si>
    <t>ARRANCADOR7.5HP TRI 220V 10045781 15-23A</t>
  </si>
  <si>
    <t>AS01</t>
  </si>
  <si>
    <t>ASPA DE 4 ALETAS PARA VENTILADOR</t>
  </si>
  <si>
    <t>AS02</t>
  </si>
  <si>
    <t>ASPA DE 8 ALETAS PARA VENTILADOR</t>
  </si>
  <si>
    <t>AS10</t>
  </si>
  <si>
    <t>ASPA DE ACERO INOX. T-304 PARA AMASADORA DE TAMAL DE 50 KG</t>
  </si>
  <si>
    <t>ASPA P/AMASADORA TAMAL 50KG INOX</t>
  </si>
  <si>
    <t>AS03</t>
  </si>
  <si>
    <t>ASPA DE ALUMINIO DÚPLEX</t>
  </si>
  <si>
    <t>ASPA DE ALUMINIO DUPLEX</t>
  </si>
  <si>
    <t>AS03C</t>
  </si>
  <si>
    <t>CEL</t>
  </si>
  <si>
    <t xml:space="preserve">ASPA DE ALUMINIO DUPLEX CELORIO </t>
  </si>
  <si>
    <t>AS04</t>
  </si>
  <si>
    <t>ASPA DE ALUMINIO PARA ARMAR SINFÍN CHICO</t>
  </si>
  <si>
    <t>ASPA DE ALUMINIO PARA ARMAR SINFIN CHICO</t>
  </si>
  <si>
    <t>AS05</t>
  </si>
  <si>
    <t>ASPA DE ALUMINIO SENCILLA</t>
  </si>
  <si>
    <t>AS07</t>
  </si>
  <si>
    <t>ASPA DE INOX P/ARMAR SINFÍN CHICO</t>
  </si>
  <si>
    <t>ASPA DE INOX P/ARMAR SINFIN CHICO</t>
  </si>
  <si>
    <t>AS08</t>
  </si>
  <si>
    <t>ASPA PARA AMASADORA  DE TAMAL EN INOX T-304 DE 25 KG</t>
  </si>
  <si>
    <t>ASPA P/AMASADORA TAMAL 25KG INOX</t>
  </si>
  <si>
    <t>AS09</t>
  </si>
  <si>
    <t>ASPA PARA AMASADORA DE TAMAL EN INOX T-304 DE 100 KG</t>
  </si>
  <si>
    <t>ASPA P/AMASADORA TAMAL 100KG INOX</t>
  </si>
  <si>
    <t>BA62</t>
  </si>
  <si>
    <t>BALERO 15520 MULTIMARCA</t>
  </si>
  <si>
    <t>BA20</t>
  </si>
  <si>
    <t>BALERO 15580 MULTIMARCA</t>
  </si>
  <si>
    <t>BA61</t>
  </si>
  <si>
    <t>BALERO 15580/20 MULTIMARCA</t>
  </si>
  <si>
    <t>BA03</t>
  </si>
  <si>
    <t>BALERO 30204A ZKL/ZVL</t>
  </si>
  <si>
    <t>BA21</t>
  </si>
  <si>
    <t>BALERO 30205 ZKL/ZVL</t>
  </si>
  <si>
    <t>BA22</t>
  </si>
  <si>
    <t>BALERO 30206 ZKL/ZVL</t>
  </si>
  <si>
    <t>BA01</t>
  </si>
  <si>
    <t>BALERO 3204 ZKL/ZVL</t>
  </si>
  <si>
    <t>BA23</t>
  </si>
  <si>
    <t>BALERO 32207 MULTIMARCA</t>
  </si>
  <si>
    <t>BA24</t>
  </si>
  <si>
    <t>BALERO 32207 ZKL/ZVL</t>
  </si>
  <si>
    <t>BA75</t>
  </si>
  <si>
    <t>BALERO 32209 MULTIMARCA</t>
  </si>
  <si>
    <t>BA38</t>
  </si>
  <si>
    <t>BALERO 32209 ZKL/ZVL</t>
  </si>
  <si>
    <t>BA71</t>
  </si>
  <si>
    <t>BALERO 32210 ZKL/ZVL</t>
  </si>
  <si>
    <t>BA25</t>
  </si>
  <si>
    <t>BALERO 32305 MULTIMARCA</t>
  </si>
  <si>
    <t>BA26</t>
  </si>
  <si>
    <t>BALERO 32305 ZKL/ZVL</t>
  </si>
  <si>
    <t>BA52</t>
  </si>
  <si>
    <t>BALERO 3305 MULTIMARCA 16 BALAS</t>
  </si>
  <si>
    <t>BA02</t>
  </si>
  <si>
    <t>BALERO 3305 MULTIMARCA 24 BALAS</t>
  </si>
  <si>
    <t>BA51</t>
  </si>
  <si>
    <t>BALERO 3305 URB 24 BALAS</t>
  </si>
  <si>
    <t>BA05</t>
  </si>
  <si>
    <t>BALERO 3305 ZKL/ZVL 24 BALAS</t>
  </si>
  <si>
    <t>BA60</t>
  </si>
  <si>
    <t>BALERO 33209 MULTIMARCA</t>
  </si>
  <si>
    <t>BA70</t>
  </si>
  <si>
    <t>BALERO 51108 MULTIMARCA</t>
  </si>
  <si>
    <t>BA57</t>
  </si>
  <si>
    <t>BALERO 51204 ZKL/ZVL</t>
  </si>
  <si>
    <t>BA32</t>
  </si>
  <si>
    <t>BALERO 51206 ZKL/ZVL</t>
  </si>
  <si>
    <t>BA28</t>
  </si>
  <si>
    <t>BALERO 51208 MULTIMARCA</t>
  </si>
  <si>
    <t>BA43</t>
  </si>
  <si>
    <t>BALERO 6002 MULTIMARCA</t>
  </si>
  <si>
    <t>BA58</t>
  </si>
  <si>
    <t>BALERO 6002 ZKL/ZVL</t>
  </si>
  <si>
    <t>BA06</t>
  </si>
  <si>
    <t>BALERO 6003 ZKL/ZVL</t>
  </si>
  <si>
    <t>BA37</t>
  </si>
  <si>
    <t>BALERO 6004 ZKL/ZVL</t>
  </si>
  <si>
    <t>BA59</t>
  </si>
  <si>
    <t>BALERO 6201 ZKL/ZVL</t>
  </si>
  <si>
    <t>BA07</t>
  </si>
  <si>
    <t>BALERO 6202 ZKL/ZVL</t>
  </si>
  <si>
    <t>BA08</t>
  </si>
  <si>
    <t>BALERO 6203 ZKL/ZVL</t>
  </si>
  <si>
    <t>BA72</t>
  </si>
  <si>
    <t>BALERO 6203 ZZ MULTIMARCA</t>
  </si>
  <si>
    <t>BA53</t>
  </si>
  <si>
    <t>BALERO 6204 MULTIMARCA</t>
  </si>
  <si>
    <t>BA09</t>
  </si>
  <si>
    <t>BALERO 6204 ZKL/ZVL</t>
  </si>
  <si>
    <t>BA10</t>
  </si>
  <si>
    <t>BALERO 6205 ZKL/ZVL</t>
  </si>
  <si>
    <t>BA54</t>
  </si>
  <si>
    <t>BALERO 6205 ZZ MULTIMARCA</t>
  </si>
  <si>
    <t>R</t>
  </si>
  <si>
    <t>BA31</t>
  </si>
  <si>
    <t>BA55</t>
  </si>
  <si>
    <t>BALERO 6206 Z MULTIMARCA</t>
  </si>
  <si>
    <t>BA11</t>
  </si>
  <si>
    <t>BALERO 6206 Z ZKL/ZVL</t>
  </si>
  <si>
    <t>BA35</t>
  </si>
  <si>
    <t>BALERO 6207 ZKL/ZVL</t>
  </si>
  <si>
    <t>BA45</t>
  </si>
  <si>
    <t>BALERO 6207 ZZ ZKL/ZVL</t>
  </si>
  <si>
    <t>BA56</t>
  </si>
  <si>
    <t>BALERO 6210 MULTIMARCA</t>
  </si>
  <si>
    <t>BA12</t>
  </si>
  <si>
    <t>BALERO 6210 ZKL/ZVL</t>
  </si>
  <si>
    <t>BA13</t>
  </si>
  <si>
    <t>BALERO 6303 ZKL/ZVL</t>
  </si>
  <si>
    <t>BA76</t>
  </si>
  <si>
    <t>BALERO 6304 ZZ ZKL</t>
  </si>
  <si>
    <t>BA14</t>
  </si>
  <si>
    <t>BALERO 6305 ZKL/ZVL</t>
  </si>
  <si>
    <t>BA67</t>
  </si>
  <si>
    <t>BALERO 7205 MULTIMARCA</t>
  </si>
  <si>
    <t>BA15</t>
  </si>
  <si>
    <t>BALERO 7205 ZKL/ZVL</t>
  </si>
  <si>
    <t>BA17</t>
  </si>
  <si>
    <t>BALERO 7206 MULTIMARCA</t>
  </si>
  <si>
    <t>BA16</t>
  </si>
  <si>
    <t>BALERO 7206 ZKL/ZVL</t>
  </si>
  <si>
    <t>BA18</t>
  </si>
  <si>
    <t>BALERO 7210 MULTIMARCA</t>
  </si>
  <si>
    <t>BA64</t>
  </si>
  <si>
    <t>BALERO 7210 URB</t>
  </si>
  <si>
    <t>BA19</t>
  </si>
  <si>
    <t>BALERO 7210 ZKL/ZVL</t>
  </si>
  <si>
    <t>BA46</t>
  </si>
  <si>
    <t>BALERO R10ZZ MULTIMARCA</t>
  </si>
  <si>
    <t>MM30</t>
  </si>
  <si>
    <t>BANCO ARMADO DUPLEX CON TAPAS EN ACERO INOXIDABLE</t>
  </si>
  <si>
    <t>MM08</t>
  </si>
  <si>
    <t>BANCO ARMADO SENCILLO  B.C. CON TAPAS EN ACERO INOXIDABLE</t>
  </si>
  <si>
    <t>MM06</t>
  </si>
  <si>
    <t>BANCO ARMADO SENCILLO MODELO ANTERIOR CON TAPAS EN ACERO INOXIDABLE</t>
  </si>
  <si>
    <t>MM07</t>
  </si>
  <si>
    <t>BANCO ARMADO SENCILLO TV-30 TV-40 CON TAPAS EN ACERO INOXIDABLE</t>
  </si>
  <si>
    <t>BN0001</t>
  </si>
  <si>
    <t xml:space="preserve">BANCO CON CHAROLA Y RUEDAS PARA ALIMENTADOR WALMART
</t>
  </si>
  <si>
    <t>MG71</t>
  </si>
  <si>
    <t>BANCO DE AMASADORA DE 100 KG. EN  ACERO INOX.304</t>
  </si>
  <si>
    <t>MG57</t>
  </si>
  <si>
    <t>BANCO PARA CABEZAL RESTAURANTERO ITALIA O MERIDA</t>
  </si>
  <si>
    <t>BANCO P/CABEZAL REST ITALIA O MERIDA</t>
  </si>
  <si>
    <t>MM47</t>
  </si>
  <si>
    <t>BANCO PARA MOLINO CONO NO. 2</t>
  </si>
  <si>
    <t>BN01</t>
  </si>
  <si>
    <t>BANCO PTR ARMADO PARA AMASADORA DE 20 KG WALMART</t>
  </si>
  <si>
    <t>BN02</t>
  </si>
  <si>
    <t>BANCO PTR ARMADO PARA AMASADORA DE 40 KG WALMART</t>
  </si>
  <si>
    <t>MM10</t>
  </si>
  <si>
    <t>BANCO SOLO SENCILLO TV-30 TV-40</t>
  </si>
  <si>
    <t>BF05</t>
  </si>
  <si>
    <t>BANDA BLANCA DE TEFLÓN DE 23 CM X 126.5 CM LARGO</t>
  </si>
  <si>
    <t>BANDA BLANCA TEFLON 23CM X 126.5CM</t>
  </si>
  <si>
    <t>BH01</t>
  </si>
  <si>
    <t>BANDA DE HULE A-18 (BLACKGOLD)</t>
  </si>
  <si>
    <t>BH26</t>
  </si>
  <si>
    <t>BANDA DE HULE A-18 (GATES)</t>
  </si>
  <si>
    <t>BH02</t>
  </si>
  <si>
    <t>BANDA DE HULE A-19 (BLACKGOLD)</t>
  </si>
  <si>
    <t>BH27</t>
  </si>
  <si>
    <t>BANDA DE HULE A-19 (GATES)</t>
  </si>
  <si>
    <t>BH03</t>
  </si>
  <si>
    <t>BANDA DE HULE A-20 (BLACKGOLD)</t>
  </si>
  <si>
    <t>BH28</t>
  </si>
  <si>
    <t>BANDA DE HULE A-20 (GATES)</t>
  </si>
  <si>
    <t>BH04</t>
  </si>
  <si>
    <t>BANDA DE HULE A-21 (BLACKGOLD)</t>
  </si>
  <si>
    <t>BH29</t>
  </si>
  <si>
    <t>BANDA DE HULE A-21 (GATES)</t>
  </si>
  <si>
    <t>BH05</t>
  </si>
  <si>
    <t>BANDA DE HULE A-22 (BLACKGOLD)</t>
  </si>
  <si>
    <t>BH30</t>
  </si>
  <si>
    <t>BANDA DE HULE A-22 (GATES)</t>
  </si>
  <si>
    <t>BH06</t>
  </si>
  <si>
    <t>BANDA DE HULE A-23 (BLACKGOLD)</t>
  </si>
  <si>
    <t>BH31</t>
  </si>
  <si>
    <t>BANDA DE HULE A-23 (GATES)</t>
  </si>
  <si>
    <t>BH07</t>
  </si>
  <si>
    <t>BANDA DE HULE A-24 (BLACKGOLD)</t>
  </si>
  <si>
    <t>BH32</t>
  </si>
  <si>
    <t>BANDA DE HULE A-24 (GATES)</t>
  </si>
  <si>
    <t>BH08</t>
  </si>
  <si>
    <t>BANDA DE HULE A-25 (BLACKGOLD)</t>
  </si>
  <si>
    <t>BH33</t>
  </si>
  <si>
    <t>BANDA DE HULE A-25 (GATES)</t>
  </si>
  <si>
    <t>BH09</t>
  </si>
  <si>
    <t>BANDA DE HULE A-26 (BLACKGOLD)</t>
  </si>
  <si>
    <t>BH34</t>
  </si>
  <si>
    <t>BANDA DE HULE A-26 (GATES)</t>
  </si>
  <si>
    <t>BH10</t>
  </si>
  <si>
    <t>BANDA DE HULE A-27 (BLACKGOLD)</t>
  </si>
  <si>
    <t>BH35</t>
  </si>
  <si>
    <t>BANDA DE HULE A-27 (GATES)</t>
  </si>
  <si>
    <t>BH11</t>
  </si>
  <si>
    <t>BANDA DE HULE A-28 (BLACKGOLD)</t>
  </si>
  <si>
    <t>BH36</t>
  </si>
  <si>
    <t>BANDA DE HULE A-28 (GATES)</t>
  </si>
  <si>
    <t>BH12</t>
  </si>
  <si>
    <t>BANDA DE HULE A-29 (BLACKGOLD)</t>
  </si>
  <si>
    <t>BH37</t>
  </si>
  <si>
    <t>BANDA DE HULE A-29 (GATES)</t>
  </si>
  <si>
    <t>BH56</t>
  </si>
  <si>
    <t>BANDA DE HULE A-30 (GATES)</t>
  </si>
  <si>
    <t>BH101</t>
  </si>
  <si>
    <t>BANDA DE HULE A-31 (GATES)</t>
  </si>
  <si>
    <t>BH97</t>
  </si>
  <si>
    <t>BANDA DE HULE A-33 (GATES)</t>
  </si>
  <si>
    <t>BH62</t>
  </si>
  <si>
    <t>BANDA DE HULE A-43 (GATES)</t>
  </si>
  <si>
    <t>BH58</t>
  </si>
  <si>
    <t>BANDA DE HULE A-48 (GATES)</t>
  </si>
  <si>
    <t>BH100</t>
  </si>
  <si>
    <t>BANDA DE HULE A-54 (GATES)</t>
  </si>
  <si>
    <t>BH13</t>
  </si>
  <si>
    <t>BANDA DE HULE B-27 (BLACKGOLD)</t>
  </si>
  <si>
    <t>BH38</t>
  </si>
  <si>
    <t>BANDA DE HULE B-27 (GATES)</t>
  </si>
  <si>
    <t>BH14</t>
  </si>
  <si>
    <t>BANDA DE HULE B-28 (BLACKGOLD)</t>
  </si>
  <si>
    <t>BH39</t>
  </si>
  <si>
    <t>BANDA DE HULE B-28 (GATES)</t>
  </si>
  <si>
    <t>BH15</t>
  </si>
  <si>
    <t>BANDA DE HULE B-29 (BLACKGOLD)</t>
  </si>
  <si>
    <t>BH40</t>
  </si>
  <si>
    <t>BANDA DE HULE B-29 (GATES)</t>
  </si>
  <si>
    <t>BH16</t>
  </si>
  <si>
    <t>BANDA DE HULE B-30 (BLACKGOLD)</t>
  </si>
  <si>
    <t>BH41</t>
  </si>
  <si>
    <t>BANDA DE HULE B-30 (GATES)</t>
  </si>
  <si>
    <t>BH17</t>
  </si>
  <si>
    <t>BANDA DE HULE B-31 (BLACKGOLD)</t>
  </si>
  <si>
    <t>BH42</t>
  </si>
  <si>
    <t>BANDA DE HULE B-31 (GATES)</t>
  </si>
  <si>
    <t>BH18</t>
  </si>
  <si>
    <t>BANDA DE HULE B-32 (BLACKGOLD)</t>
  </si>
  <si>
    <t>BH43</t>
  </si>
  <si>
    <t>BANDA DE HULE B-32 (GATES)</t>
  </si>
  <si>
    <t>BH19</t>
  </si>
  <si>
    <t>BANDA DE HULE B-34 (BLACKGOLD)</t>
  </si>
  <si>
    <t>BH44</t>
  </si>
  <si>
    <t>BANDA DE HULE B-34 (GATES)</t>
  </si>
  <si>
    <t>BH54</t>
  </si>
  <si>
    <t>BH96</t>
  </si>
  <si>
    <t>BANDA DE HULE B-41 (GATES)</t>
  </si>
  <si>
    <t>BH95</t>
  </si>
  <si>
    <t>BANDA DE HULE B-44 (GATES)</t>
  </si>
  <si>
    <t>BH80</t>
  </si>
  <si>
    <t>BANDA DE HULE B-46 (GATES)</t>
  </si>
  <si>
    <t>BH20</t>
  </si>
  <si>
    <t>BANDA DE HULE B-48 (BLACKGOLD)</t>
  </si>
  <si>
    <t>BH45</t>
  </si>
  <si>
    <t>BANDA DE HULE B-48 (GATES)</t>
  </si>
  <si>
    <t>BH53</t>
  </si>
  <si>
    <t>BANDA DE HULE B-50 (BLACKGOLD)</t>
  </si>
  <si>
    <t>activar para venta</t>
  </si>
  <si>
    <t>BH81</t>
  </si>
  <si>
    <t>BANDA DE HULE B-51 (GATES)</t>
  </si>
  <si>
    <t>BH51</t>
  </si>
  <si>
    <t>BANDA DE HULE B-52 (GATES)</t>
  </si>
  <si>
    <t>BH21</t>
  </si>
  <si>
    <t>BANDA DE HULE B-53 (BLACKGOLD)</t>
  </si>
  <si>
    <t>BH46</t>
  </si>
  <si>
    <t>BANDA DE HULE B-53 (GATES)</t>
  </si>
  <si>
    <t>BH98</t>
  </si>
  <si>
    <t>BANDA DE HULE B-54 (GATES)</t>
  </si>
  <si>
    <t>BH57</t>
  </si>
  <si>
    <t>BANDA DE HULE B-55 (GATES)</t>
  </si>
  <si>
    <t>BH22</t>
  </si>
  <si>
    <t>BANDA DE HULE B-57 (BLACKGOLD)</t>
  </si>
  <si>
    <t>BH47</t>
  </si>
  <si>
    <t>BANDA DE HULE B-57 (GATES)</t>
  </si>
  <si>
    <t>BH23</t>
  </si>
  <si>
    <t>BANDA DE HULE B-58 (BLACKGOLD)</t>
  </si>
  <si>
    <t>BH48</t>
  </si>
  <si>
    <t>BANDA DE HULE B-58 (GATES)</t>
  </si>
  <si>
    <t>BH99</t>
  </si>
  <si>
    <t>BANDA DE HULE B-59 (GATES)</t>
  </si>
  <si>
    <t>BH114</t>
  </si>
  <si>
    <t>BANDA DE HULE B-60 (GATES)</t>
  </si>
  <si>
    <t>BH24</t>
  </si>
  <si>
    <t>BANDA DE HULE B-62 (BLACKGOLD)</t>
  </si>
  <si>
    <t>BH49</t>
  </si>
  <si>
    <t>BANDA DE HULE B-62 (GATES)</t>
  </si>
  <si>
    <t>BH86</t>
  </si>
  <si>
    <t>BANDA DE HULE B-63 (BLACK GOLD)</t>
  </si>
  <si>
    <t>BH25</t>
  </si>
  <si>
    <t>BANDA DE HULE B-64 (BLACKGOLD)</t>
  </si>
  <si>
    <t>BH50</t>
  </si>
  <si>
    <t>BANDA DE HULE B-64 (GATES)</t>
  </si>
  <si>
    <t>BH102</t>
  </si>
  <si>
    <t>BANDA DE HULE B-65 (GATES)</t>
  </si>
  <si>
    <t>BH94</t>
  </si>
  <si>
    <t>BANDA DE HULE B-73 (BLACK GOLD)</t>
  </si>
  <si>
    <t>BH55</t>
  </si>
  <si>
    <t>BANDA DE HULE B-79 (GATES)</t>
  </si>
  <si>
    <t>BH82</t>
  </si>
  <si>
    <t>BANDA DE HULE B-90 (GATES)</t>
  </si>
  <si>
    <t>MH46</t>
  </si>
  <si>
    <t>BANDA DE TEFLON</t>
  </si>
  <si>
    <t>CP</t>
  </si>
  <si>
    <t>BM121</t>
  </si>
  <si>
    <t>BANDA METALICA 100 TABLETAS DE 26" (comal de 24" por lado 1" para  colocar  cadena  media  ya complementado el comal de 26" )</t>
  </si>
  <si>
    <t>BANDA METALICA 100TABL X 26PULG C/CADENA</t>
  </si>
  <si>
    <t>BM76</t>
  </si>
  <si>
    <t>BANDA METALICA 116 TABLETAS DE 26" (comal de 24" por lado 1" para  colocar  cadena  media  ya complementado el comal de 26" )</t>
  </si>
  <si>
    <t>BANDA METALICA 116TABL X 26PULG C/CADENA</t>
  </si>
  <si>
    <t>BM113</t>
  </si>
  <si>
    <t>BANDA METÁLICA 56 CM ANCHO X 78 TABLETAS LARGO C/3 BISAGRAS</t>
  </si>
  <si>
    <t>BANDA METALICA 78TABL X 56CM 3 BISAGRAS</t>
  </si>
  <si>
    <t>BM122</t>
  </si>
  <si>
    <t>BANDA METALICA DE 13'' X 110 TABLETAS 3 BISAGRAS</t>
  </si>
  <si>
    <t>BANDA METALICA 13 110 TABL 3 BISAGRAS</t>
  </si>
  <si>
    <t>BM79</t>
  </si>
  <si>
    <t>BANDA METÁLICA DE 14"1/2 DE ANCHO X 90 TABLETAS CON 3 BISAGRAS TIPO BC</t>
  </si>
  <si>
    <t>BANDA METALICA 14.5 90 TABL 3 BISAGRASBC</t>
  </si>
  <si>
    <t>BM134</t>
  </si>
  <si>
    <t>BANDA METÁLICA DE 22" X 48 TABLETAS CON 3 BISAGRAS TIPO BC</t>
  </si>
  <si>
    <t>BANDA METÁLICA 22"X48 TABL 3 BISAGRAS BC</t>
  </si>
  <si>
    <t>BM42</t>
  </si>
  <si>
    <t xml:space="preserve">BANDA METÁLICA DE 22" X 95 TABLETAS CON 3 BISAGRAS, CALIBRE 16 </t>
  </si>
  <si>
    <t xml:space="preserve">BANDA METALICA 22PLG 95TABL 3BRG CAL16 </t>
  </si>
  <si>
    <t>BM110</t>
  </si>
  <si>
    <t>BANDA METÁLICA DE 24" X 110 TABLETAS CON 4 BISAGRAS</t>
  </si>
  <si>
    <t>BANDA METÁLICA 24PLG 110TAB 4BGR</t>
  </si>
  <si>
    <t>BM36</t>
  </si>
  <si>
    <t>BANDA METÁLICA DE 32 CM CON 53 TABLETAS 2 BISAGRAS PETTIT</t>
  </si>
  <si>
    <t>BANDA METALICA 32CM 53TABL 2BGR PETTIT</t>
  </si>
  <si>
    <t>BM22</t>
  </si>
  <si>
    <t>BANDA METALICA DE 34 CM ANCHO X 103 TABLETAS PARA MAQUINA MERIDA</t>
  </si>
  <si>
    <t>BANDA METALICA 103TABL X 34CM P/MERIDA</t>
  </si>
  <si>
    <t>BM27</t>
  </si>
  <si>
    <t>BANDA METALICA DE 34 CM ANCHO X 104 TABLETAS DE LARGO CON 3 BISAGRAS</t>
  </si>
  <si>
    <t>BANDA METALICA 104TABL X 34CM 3 BIS</t>
  </si>
  <si>
    <t>BM23</t>
  </si>
  <si>
    <t>BANDA METALICA DE 34 CM ANCHO X 120 TABLETAS PARA MAQUINA MERIDA</t>
  </si>
  <si>
    <t>BANDA METALICA 120TABL X 34CM P/MERIDA</t>
  </si>
  <si>
    <t>BM126</t>
  </si>
  <si>
    <t>BANDA METALICA DE 34 CM ANCHO X 53 TABLETAS DE LARGO CON 2 BISAGRAS</t>
  </si>
  <si>
    <t>BANDA METALICA 53TABL X 34CM 2 BIS</t>
  </si>
  <si>
    <t>BM43</t>
  </si>
  <si>
    <t>BANDA METÁLICA DE 37.5 CM B.C. CON 3 BISAGRAS</t>
  </si>
  <si>
    <t>BANDA METALICA 103TABL X 37.5CM BC 3 BIS</t>
  </si>
  <si>
    <t>BM26</t>
  </si>
  <si>
    <t>BANDA METÁLICA DE 38 CM DE ANCHO B.C. DE 102 TABLETAS CON 3 BISAGRAS</t>
  </si>
  <si>
    <t>BANDA METÁLICA 38CM BC 102TABL 3BISAGRAS</t>
  </si>
  <si>
    <t>BM124</t>
  </si>
  <si>
    <t>BANDA METÁLICA DE 56 CM DE ANCHO X 100 TABLETAS DE LARGO CON 3 BISAGRAS</t>
  </si>
  <si>
    <t>BANDA METALICA 56CM 100TABL 3BISAGRAS</t>
  </si>
  <si>
    <t>BM78</t>
  </si>
  <si>
    <t>BANDA METÁLICA DE 56 CM DE ANCHO X 50 TABLETAS DE LARGO CON 3 BISAGRAS</t>
  </si>
  <si>
    <t>BANDA METALICA 56CM 50TABL 3BISAGRAS</t>
  </si>
  <si>
    <t>BM107</t>
  </si>
  <si>
    <t>BANDA METÁLICA DE 56 CM DE ANCHO X 89 TABLETAS DE LARGO CON 3 BISAGRAS</t>
  </si>
  <si>
    <t>BANDA METALICA 56CM 89 TABL 3 BISAGRAS</t>
  </si>
  <si>
    <t>BM123</t>
  </si>
  <si>
    <t>BANDA METALICA DE 56 CM X 116 TABLETAS CON 3 BISAGRAS, CALIBRE 16</t>
  </si>
  <si>
    <t>BANDA METALICA 56CM 116TABL 3 BGR CAL16</t>
  </si>
  <si>
    <t>dar de baja</t>
  </si>
  <si>
    <t>BM25</t>
  </si>
  <si>
    <t>BANDA METÁLICA DE 58 CM DE ANCHO X 103 TABLETAS B.C. DE LARGO CON 3 BISAGRAS</t>
  </si>
  <si>
    <t>BANDA METÁLICA 58CM 103TABL BC 3 BGR</t>
  </si>
  <si>
    <t>BM160</t>
  </si>
  <si>
    <t>BANDA METALICA DE 61 CM DE ANCHO X 160 TABLETAS DE LARGO CON 3 BISAGRAS</t>
  </si>
  <si>
    <t>BANDA METÁLICA 61CM 160TABL 3 BISAGRAS</t>
  </si>
  <si>
    <t>BM41</t>
  </si>
  <si>
    <t>BANDA METALICA DE 61 CM DE ANCHO X 50 TABLETAS DE LARGO CON 3 BISAGRAS</t>
  </si>
  <si>
    <t>BANDA METÁLICA 61CM 50TABL 3 BISAGRAS</t>
  </si>
  <si>
    <t>BM55</t>
  </si>
  <si>
    <t>BANDA METÁLICA DE 85 TABLETAS 2 BISAGRAS PARA TVRM 40</t>
  </si>
  <si>
    <t>BANDA METALICA 85 TABL 2 BISAGRAS TVRM40</t>
  </si>
  <si>
    <t>BM75</t>
  </si>
  <si>
    <t>BANDA METÁLICA DE 94 CM X 87 TABLETAS CON 4 BISAGRAS</t>
  </si>
  <si>
    <t>BANDA METÁLICA 94CM 87 TABL 4 BISAGRAS</t>
  </si>
  <si>
    <t>BM01</t>
  </si>
  <si>
    <t>BANDA METÁLICA DÚPLEX (B.C.) 102 TABLETA (SUPERIOR)</t>
  </si>
  <si>
    <t>BANDA METALICA DUPLEX BC 102 TABL SUP</t>
  </si>
  <si>
    <t>BM02</t>
  </si>
  <si>
    <t>BANDA METÁLICA DÚPLEX (B.C.) 103 TABLETA (CENTRAL)</t>
  </si>
  <si>
    <t>BANDA METALICA DUPLEX BC 103 TABL CENTR</t>
  </si>
  <si>
    <t>BM02C</t>
  </si>
  <si>
    <t>BANDA METÁLICA DÚPLEX (B.C.) 103 TABLETA (CENTRAL) CON SAQUE</t>
  </si>
  <si>
    <t>BANDA METALICA DPLX BC 103TAB CEN SAQUE</t>
  </si>
  <si>
    <t>BM04</t>
  </si>
  <si>
    <t>BANDA METÁLICA DÚPLEX (B.C.) 110 TABLETA</t>
  </si>
  <si>
    <t>BANDA METALICA DUPLEX BC 110 TABLETA</t>
  </si>
  <si>
    <t>BM03</t>
  </si>
  <si>
    <t>BANDA METÁLICA DÚPLEX (B.C.) 92 TABLETA (INFERIOR)</t>
  </si>
  <si>
    <t>BANDA METALICA DUPLEX BC 92 TABL INF</t>
  </si>
  <si>
    <t>BM06</t>
  </si>
  <si>
    <t>BANDA METÁLICA DÚPLEX MODELO ANTERIOR 102 TABLETA GRANDE (CENTRAL)</t>
  </si>
  <si>
    <t>BANDA METALICA DPLX MA 102 TABL GDE CEN</t>
  </si>
  <si>
    <t>BM05</t>
  </si>
  <si>
    <t>BANDA METÁLICA DÚPLEX MODELO ANTERIOR 92 TABLETA CHICA (SUPERIOR)</t>
  </si>
  <si>
    <t>BANDA METALICA DPLX MA 92 TABL CHIC SUP</t>
  </si>
  <si>
    <t>BM07</t>
  </si>
  <si>
    <t>BANDA METÁLICA DÚPLEX MODELO ANTERIOR 92 TABLETA GRANDE (INFERIOR)</t>
  </si>
  <si>
    <t>BANDA METALICA DPLX MA 92 TABL GDE INF</t>
  </si>
  <si>
    <t>BM00</t>
  </si>
  <si>
    <t>BANDA METÁLICA ESPECIAL</t>
  </si>
  <si>
    <t>EP01</t>
  </si>
  <si>
    <t>BANDA METALICA ESPECIAL MODELO ANTERIOR DE 78 TABLETAS X 37 CM DE LARGO</t>
  </si>
  <si>
    <t>BM39</t>
  </si>
  <si>
    <t>BANDA METÁLICA PARA  MÁQUINA TV-50 (B.C)  DE 64 TABLETAS</t>
  </si>
  <si>
    <t>BANDA METALICA 64 TABL TV50 BC</t>
  </si>
  <si>
    <t>BM135</t>
  </si>
  <si>
    <t xml:space="preserve">BANDA METÁLICA PARA DESHIDRATADOR ARMADO DUPLEX DE 36CM X 110 TABLETAS </t>
  </si>
  <si>
    <t>BANDA METALIC DESHIDARMDPLX 36CMX110 TAB</t>
  </si>
  <si>
    <t>BM38</t>
  </si>
  <si>
    <t xml:space="preserve">BANDA METÁLICA PARA MÁQUINA TV-50 (B.C) DE 54 TABLETAS </t>
  </si>
  <si>
    <t>BANDA METALICA 54 TABL TV50 BC</t>
  </si>
  <si>
    <t>BM40</t>
  </si>
  <si>
    <t>BANDA METÁLICA PARA MÁQUINA TV-50 (B.C) DE 65 TABLETAS CON SAQUE</t>
  </si>
  <si>
    <t>BANDA METALICA 65 TABL CON SAQUE</t>
  </si>
  <si>
    <t>BM77</t>
  </si>
  <si>
    <t>BANDA METALICA PARA MAQUINA TVR-60 DE 113 TABLETAS</t>
  </si>
  <si>
    <t xml:space="preserve">BANDA METALICA 113 TABL TVR-60 </t>
  </si>
  <si>
    <t>BM28</t>
  </si>
  <si>
    <t>BANDA METALICA PARA W-100 NUEVO DISEÑO DE 114 TABLETAS</t>
  </si>
  <si>
    <t>BANDA METALICA P/W100 NVO DIS 114 TABL</t>
  </si>
  <si>
    <t>BM08</t>
  </si>
  <si>
    <t>BANDA METÁLICA SENCILLA 102 TABLETA</t>
  </si>
  <si>
    <t>BANDA METALICA SENC 102 TABLETA</t>
  </si>
  <si>
    <t>BM09</t>
  </si>
  <si>
    <t>BANDA METÁLICA SENCILLA 103 TABLETA</t>
  </si>
  <si>
    <t>BANDA METALICA SENC 103 TABLETA</t>
  </si>
  <si>
    <t>BM37</t>
  </si>
  <si>
    <t>BANDA METÁLICA SENCILLA 109 TABLETA</t>
  </si>
  <si>
    <t>BANDA METALICA SENC 109 TABLETA</t>
  </si>
  <si>
    <t>BM30</t>
  </si>
  <si>
    <t>BANDA METÁLICA SENCILLA 60 TABLETA 22" 1/2 3 BISAGRAS</t>
  </si>
  <si>
    <t>BANDA MET SEN 60 TAB 22 1/2 PULG C/3 BIS</t>
  </si>
  <si>
    <t>BM18</t>
  </si>
  <si>
    <t>BANDA METÁLICA SENCILLA 72 TABLETA</t>
  </si>
  <si>
    <t>BANDA METALICA SENC 72 TABLETA</t>
  </si>
  <si>
    <t>BM16</t>
  </si>
  <si>
    <t>BANDA METÁLICA SENCILLA 82 TABLETA</t>
  </si>
  <si>
    <t>BANDA METALICA SENC 82 TABLETA</t>
  </si>
  <si>
    <t>BM17</t>
  </si>
  <si>
    <t>BANDA METÁLICA SENCILLA 83 TABLETA</t>
  </si>
  <si>
    <t>BANDA METALICA SENC 83 TABLETA</t>
  </si>
  <si>
    <t>BM10</t>
  </si>
  <si>
    <t>BANDA METÁLICA SENCILLA 92 TABLETA</t>
  </si>
  <si>
    <t>BANDA METALICA SENC 92 TABLETA</t>
  </si>
  <si>
    <t>BM20</t>
  </si>
  <si>
    <t>BANDA METÁLICA SENCILLA 93 TABLETA</t>
  </si>
  <si>
    <t>BANDA METALICA SENC 93 TABLETA</t>
  </si>
  <si>
    <t>BM86</t>
  </si>
  <si>
    <t>BANDA METALICA SENCILLA DE 84 TABLETAS (B.C.) 2 BISAGRAS</t>
  </si>
  <si>
    <t>BANDA METALICA SEN 84 TABL BC 2 BISAGRA</t>
  </si>
  <si>
    <t>BM11</t>
  </si>
  <si>
    <t>BANDA METÁLICA SENCILLA ESPECIAL 100 TABLETA CHICA (SUPERIOR, INFERIOR Y CENTRAL)</t>
  </si>
  <si>
    <t>BANDA METALIC SEN ESP 100 TAB CHIC S-C-I</t>
  </si>
  <si>
    <t>BM12</t>
  </si>
  <si>
    <t>BANDA METÁLICA SENCILLA ESPECIAL 92 TABLETA CHICA (SUPERIOR, INFERIOR Y CENTRAL)</t>
  </si>
  <si>
    <t>BANDA METALICA SEN ESP 92 TAB CHIC S-C-I</t>
  </si>
  <si>
    <t>BM14</t>
  </si>
  <si>
    <t>BANDA METÁLICA SENCILLA MODELO ANTERIOR 102 TABLETA GRANDE (CENTRAL)</t>
  </si>
  <si>
    <t>BANDA METALICA SENC MA 102 TABL GDE CEN</t>
  </si>
  <si>
    <t>BM13</t>
  </si>
  <si>
    <t>BANDA METÁLICA SENCILLA MODELO ANTERIOR 92 TABLETA CHICA (SUPERIOR)</t>
  </si>
  <si>
    <t>BANDA METALICA SENC MA 92 TABL CHICA SUP</t>
  </si>
  <si>
    <t>BM15</t>
  </si>
  <si>
    <t>BANDA METÁLICA SENCILLA MODELO ANTERIOR 92 TABLETA GRANDE (INFERIOR)</t>
  </si>
  <si>
    <t>BANDA METALICA SENC MA 92 TABL GDE INF</t>
  </si>
  <si>
    <t>BM08C</t>
  </si>
  <si>
    <t>BANDA METALICA SENCILLA TV-50 (B.C.) 102 TABLETA (SUPERIOR) SIN SAQUE</t>
  </si>
  <si>
    <t>BM09C</t>
  </si>
  <si>
    <t>BANDA METALICA SENCILLA TV-50 (B.C.) 103 TABLETA (CENTRAL) CON SAQUE</t>
  </si>
  <si>
    <t>BM10C</t>
  </si>
  <si>
    <t>BANDA METALICA SENCILLA TV-50 (B.C.) 92 TABLETA (INFERIOR) SIN SAQUE</t>
  </si>
  <si>
    <t>BL01</t>
  </si>
  <si>
    <t>BÁSCULA DIGITAL 40KG.X5GR CON CUBIERTA DE ACERO INOXIDABLE GRADO ALIMENTICIO (REMO)</t>
  </si>
  <si>
    <t>BASCULA DIGITAL 40KGX5GR CUB ACERO INOX</t>
  </si>
  <si>
    <t>BS101</t>
  </si>
  <si>
    <t>BASE AUMENTO PARA CAMBIO DE CABEZA DE TOLVA A RODILLOS SENCILLA</t>
  </si>
  <si>
    <t>BASE AUMENT P/CAMBIO CABEZA TOLV-RODSENC</t>
  </si>
  <si>
    <t>BS0001</t>
  </si>
  <si>
    <t>BASE CUADRADA PARA MECHERO WALMART</t>
  </si>
  <si>
    <t>MX57</t>
  </si>
  <si>
    <t>BASE EN ACERO INOXIDABLE MOD BIP-750</t>
  </si>
  <si>
    <t>BS02</t>
  </si>
  <si>
    <t>BASE INFERIOR DÚPLEX ARMADA (B.C.)</t>
  </si>
  <si>
    <t>BASE INFERIOR DUPLEX ARMADA BC</t>
  </si>
  <si>
    <t>BS03</t>
  </si>
  <si>
    <t>BASE INFERIOR DÚPLEX ARMADA MODELO ANTERIOR</t>
  </si>
  <si>
    <t>BASE INFERIOR DUPLEX ARMADA MA</t>
  </si>
  <si>
    <t>BS04</t>
  </si>
  <si>
    <t>BASE INFERIOR DÚPLEX CON BRONCES, BUJES Y BIRLOS</t>
  </si>
  <si>
    <t>BASE INFERIOR DPLX BRONCES BUJES BIRLOS</t>
  </si>
  <si>
    <t>BS01</t>
  </si>
  <si>
    <t>BASE INFERIOR DÚPLEX SOLA</t>
  </si>
  <si>
    <t>BASE INFERIOR DUPLEX SOLA</t>
  </si>
  <si>
    <t>BS07</t>
  </si>
  <si>
    <t>BASE INFERIOR SENCILLA ARMADA MODELO ANTERIOR,TV-30 Y TV-40</t>
  </si>
  <si>
    <t>BASE INFERIOR SENCILLA ARMADA MA TV30/40</t>
  </si>
  <si>
    <t>BS06</t>
  </si>
  <si>
    <t>BASE INFERIOR SENCILLA ARMADA TV-50 (B.C.)</t>
  </si>
  <si>
    <t>BASE INFERIOR SENCILLA ARMADA TV50 BC</t>
  </si>
  <si>
    <t>BS08</t>
  </si>
  <si>
    <t>BASE INFERIOR SENCILLA CON BRONCES, BUJES Y BIRLOS</t>
  </si>
  <si>
    <t>BASE INFERIOR SENC BRONCES BUJES BIRLOS</t>
  </si>
  <si>
    <t>BS97</t>
  </si>
  <si>
    <t>BASE INFERIOR SENCILLA EN ACERO INOX. T-304-L GRADO ALIMENTICIO CON BRONCES, BUJES Y BIRLOS</t>
  </si>
  <si>
    <t>BASE INF SENC INOX BRONCES BUJES BIRLOS</t>
  </si>
  <si>
    <t>BS24</t>
  </si>
  <si>
    <t>BASE INFERIOR SENCILLA INOXIDABLE ARMADA PARA MAQUINA BC</t>
  </si>
  <si>
    <t>BASE INFERIOR SENC INOX ARMADA P/MAQ BC</t>
  </si>
  <si>
    <t>BS05</t>
  </si>
  <si>
    <t>BASE INFERIOR SENCILLA SOLA</t>
  </si>
  <si>
    <t>BS96</t>
  </si>
  <si>
    <r>
      <rPr>
        <rFont val="Didact Gothic"/>
        <sz val="9.0"/>
      </rPr>
      <t xml:space="preserve">BASE INFERIOR SENCILLA SOLA EN ACERO INOX. T-304-L </t>
    </r>
    <r>
      <rPr>
        <rFont val="Didact Gothic"/>
        <sz val="9.0"/>
      </rPr>
      <t>GRADO ALIMENTICIO</t>
    </r>
  </si>
  <si>
    <t>BASE INFERIOR SENCILLA SOLA INOX</t>
  </si>
  <si>
    <t>BS21</t>
  </si>
  <si>
    <t>BASE P/ TERMOMETRO WALMART</t>
  </si>
  <si>
    <t>DE13</t>
  </si>
  <si>
    <t>BASE PARA DESLIZADOR ESPECIAL DUPLEX</t>
  </si>
  <si>
    <t>BASE PARA DESLIZADOR ESPECIAL DPLX</t>
  </si>
  <si>
    <t>BS23</t>
  </si>
  <si>
    <t>BASE PARA DESLIZADOR PARA ENFRIADOR CON MALLA DE 10"</t>
  </si>
  <si>
    <t>BASE P/DESLIZADOR P/ENFRIADOR MALLA 10"</t>
  </si>
  <si>
    <t>WM-BS11</t>
  </si>
  <si>
    <t>BASE PARA DESLIZADOR TRASERO -TORTIMEX -BS11</t>
  </si>
  <si>
    <t>BASE PARA DESLIZADOR TRASERO</t>
  </si>
  <si>
    <t>BS09</t>
  </si>
  <si>
    <t>BASE PARA DESLIZADOR TRASERO DÚPLEX (B.C.)</t>
  </si>
  <si>
    <t>BASE P/ DESLIZADOR TRASERO DPLX BC</t>
  </si>
  <si>
    <t>BS10</t>
  </si>
  <si>
    <t>BASE PARA DESLIZADOR TRASERO SENCILLO TV-50 (B.C.)</t>
  </si>
  <si>
    <t>BASE P/ DESLIZADOR TRASERO SENC TV50 BC</t>
  </si>
  <si>
    <t>BS11</t>
  </si>
  <si>
    <t>BASE PARA DESLIZADOR TRASERO TV-30 Y TV-40</t>
  </si>
  <si>
    <t>BASE P/ DESLIZADOR TRASERO TV30/40</t>
  </si>
  <si>
    <t>BS16</t>
  </si>
  <si>
    <t>BASE PARA DESLIZADOR TRASERO WALMART</t>
  </si>
  <si>
    <t>BD0001</t>
  </si>
  <si>
    <t>BASE PARA DESLIZADOR WALMART</t>
  </si>
  <si>
    <t>BS19</t>
  </si>
  <si>
    <t>BASE PARA TEMPLADOR CON TENSOR</t>
  </si>
  <si>
    <t>BS12</t>
  </si>
  <si>
    <t>BASE SUPERIOR DÚPLEX DE ALUMINIO CON OREJAS</t>
  </si>
  <si>
    <t>BASE SUPERIOR DPLX  ALUMINIO C/OREJAS</t>
  </si>
  <si>
    <t>BS14</t>
  </si>
  <si>
    <t>BASE SUPERIOR PARA JUEGO DE ALUMINIO ESPECIAL CHICO</t>
  </si>
  <si>
    <t>BASE SUPERIOR P/JGO ALUMINIO ESP CHIC</t>
  </si>
  <si>
    <t>BS22</t>
  </si>
  <si>
    <t>BASE SUPERIOR SENC., INOX. T-304 GRADO ALIMENTICIO EN BRUTO</t>
  </si>
  <si>
    <t>BASE SUPERIOR SENC INOX G.A. BRUTO</t>
  </si>
  <si>
    <t>BS93</t>
  </si>
  <si>
    <t>BASE SUPERIOR SENC., INOX. T-304-L</t>
  </si>
  <si>
    <t>BASE SUPERIOR SENC INOX</t>
  </si>
  <si>
    <t>BS13</t>
  </si>
  <si>
    <t>BASE SUPERIOR SENCILLA DE ALUMINIO CON OREJAS</t>
  </si>
  <si>
    <t>BASE SUPERIOR SENC ALUMINIO C/OREJAS</t>
  </si>
  <si>
    <t>BS100</t>
  </si>
  <si>
    <r>
      <rPr>
        <rFont val="Didact Gothic"/>
        <sz val="9.0"/>
      </rPr>
      <t xml:space="preserve">BASE SUPERIOR, TOLVA ROLADA, TUBO DE RECIRCULACIÓN, CÁMARA DE PRESIÓN INOX. T-304-L </t>
    </r>
    <r>
      <rPr>
        <rFont val="Didact Gothic"/>
        <sz val="9.0"/>
      </rPr>
      <t>GRADO ALIMENTICIO</t>
    </r>
  </si>
  <si>
    <t>BASE SUP TOLV ROL TUB RECIR CAMPRES INOX</t>
  </si>
  <si>
    <t>BS20</t>
  </si>
  <si>
    <t>BASE SUPERIOR, TOLVA ROLADA, TUBO DE RECIRCULACIÓN, CÁMARA DE PRESIÓN Y SINFÍN EN ACERO INOX. T-304-L GRADO ALIMENTICIO</t>
  </si>
  <si>
    <t>BS98</t>
  </si>
  <si>
    <r>
      <rPr>
        <rFont val="Didact Gothic"/>
        <sz val="9.0"/>
      </rPr>
      <t xml:space="preserve">BASE SUPERIOR, TOLVA ROLADA, TUBO DE RECIRCULACIÓN, CÁMARA DE PRESIÓN Y SINFÍN EN ACERO INOX. T-304-L </t>
    </r>
    <r>
      <rPr>
        <rFont val="Didact Gothic"/>
        <sz val="9.0"/>
      </rPr>
      <t>GRADO ALIMENTICIO</t>
    </r>
  </si>
  <si>
    <t>BASE SUP TOLVRL TUBRECI CAMPRE SNFN INOX</t>
  </si>
  <si>
    <t>MX49</t>
  </si>
  <si>
    <t>PAI</t>
  </si>
  <si>
    <t>BASES, PLATAFORMA Y ESCALERA PARA MAQUINAS 30 Y 40</t>
  </si>
  <si>
    <t>MX50</t>
  </si>
  <si>
    <t>BASES, PLATAFORMA Y ESCALERA PARA MAQUINAS 50 Y 60</t>
  </si>
  <si>
    <t>MX47</t>
  </si>
  <si>
    <t>BASES, PLATAFORMA Y ESCALERAS PARA PAILAS DE 100 A 300 KILOS</t>
  </si>
  <si>
    <t>MX48</t>
  </si>
  <si>
    <t>BASES, PLATAFORMA Y ESCALERAS PARA PAILAS DE 500 A 1000 KILOS</t>
  </si>
  <si>
    <t>BY01</t>
  </si>
  <si>
    <t>BAYONETA CHICA DÚPLEX (B.C.) "TIPO J"</t>
  </si>
  <si>
    <t>BAYONETA CHICA DPLX BC TIPO J</t>
  </si>
  <si>
    <t>BY91</t>
  </si>
  <si>
    <t>BAYONETA CHICA DÚPLEX (B.C.) "TIPO J" EN ACERO INOX. T-304 GRADO ALIMENTICIO</t>
  </si>
  <si>
    <t>BAYONETA CHICA DPLX BC TIPO J INOX T304</t>
  </si>
  <si>
    <t>BY02</t>
  </si>
  <si>
    <t>BAYONETA CHICA DÚPLEX (B.C.) "TIPO L"</t>
  </si>
  <si>
    <t>BAYONETA CHICA DPLX BC TIPO L</t>
  </si>
  <si>
    <t>BY92</t>
  </si>
  <si>
    <t>BAYONETA CHICA DÚPLEX (B.C.) "TIPO L" EN ACERO INOX. T-304 GRADO ALIMENTICIO</t>
  </si>
  <si>
    <t>BAYONETA CHICA DPLX BC TIPO L INOX</t>
  </si>
  <si>
    <t>BY05</t>
  </si>
  <si>
    <t>BAYONETA CHICA MODELO ANTERIOR SENCILLA "TIPO J"</t>
  </si>
  <si>
    <t>BAYONETA CHICA MA SENCILLA TIPO J</t>
  </si>
  <si>
    <t>BY06</t>
  </si>
  <si>
    <t>BAYONETA CHICA MODELO ANTERIOR SENCILLA "TIPO L"</t>
  </si>
  <si>
    <t>BAYONETA CHICA MA SENCILLA TIPO L</t>
  </si>
  <si>
    <t>BY95</t>
  </si>
  <si>
    <t>BAYONETA CHICA SENCILLA MODELO ANTERIOR "TIPO J" EN ACERO INOX. T-304 GRADO ALIMENTICIO</t>
  </si>
  <si>
    <t>BAYONETA CHICA SENCILLA MA TIPO J INOX</t>
  </si>
  <si>
    <t>BY96</t>
  </si>
  <si>
    <t>BAYONETA CHICA SENCILLA MODELO ANTERIOR "TIPO L" EN ACERO INOX. T-304 GRADO ALIMENTICIO</t>
  </si>
  <si>
    <t>BAYONETA CHICA SENCILLA MA TIPO L INOX</t>
  </si>
  <si>
    <t>BY03</t>
  </si>
  <si>
    <t>BAYONETA CHICA SENCILLA TV-50 (B.C.) "TIPO J"</t>
  </si>
  <si>
    <t>BAYONETA CHICA SENCILLA TV50 BC TIPO J</t>
  </si>
  <si>
    <t>BY93</t>
  </si>
  <si>
    <t>BAYONETA CHICA SENCILLA TV-50 (B.C.) "TIPO J" EN ACERO INOX. T-304 GRADO ALIMENTICIO</t>
  </si>
  <si>
    <t>BAYONETA CHICA SENC TV50 BC TIPO J INOX</t>
  </si>
  <si>
    <t>BY04</t>
  </si>
  <si>
    <t>BAYONETA CHICA SENCILLA TV-50 (B.C.) "TIPO L"</t>
  </si>
  <si>
    <t>BAYONETA CHICA SENCILLA TV50 BC TIPO L</t>
  </si>
  <si>
    <t>BY04C</t>
  </si>
  <si>
    <t>BAYONETA CHICA SENC TV50 BC TIPO L CEL</t>
  </si>
  <si>
    <t>BY94</t>
  </si>
  <si>
    <t>BAYONETA CHICA SENCILLA TV-50 (B.C.) "TIPO L" EN ACERO INOX. T-304 GRADO ALIMENTICIO</t>
  </si>
  <si>
    <t>BAYONETA CHICA SENC TV50 BC TIPO L INOX</t>
  </si>
  <si>
    <t>BY13</t>
  </si>
  <si>
    <t>BAYONETA CON EXTENSIÓN INOX BUJE DE BRONCE</t>
  </si>
  <si>
    <t>BAYONETA C/EXTENSION INOX BUJE BRONCE</t>
  </si>
  <si>
    <t>BY14</t>
  </si>
  <si>
    <t>BAYONETA DE POSTE DÚPLEX CON BUJE DE ACERO</t>
  </si>
  <si>
    <t>BAYONETA DE POSTE DPLX BUJE DE ACERO</t>
  </si>
  <si>
    <t>BY07</t>
  </si>
  <si>
    <t>BAYONETA DE POSTE DÚPLEX CON BUJE DE BRONCE</t>
  </si>
  <si>
    <t>BAYONETA DE POSTE DPLX BUJE BRONCE</t>
  </si>
  <si>
    <t>BY97</t>
  </si>
  <si>
    <t>BAYONETA DE POSTE DÚPLEX CON BUJE DE BRONCE, EN ACERO INOX. T-304 GRADO ALIMENTICIO</t>
  </si>
  <si>
    <t>BAYONETA DE POSTE DPLX BUJE BRONCE INOX</t>
  </si>
  <si>
    <t>BY09</t>
  </si>
  <si>
    <t>BAYONETA DE POSTE REFORZADA CON BUJE DE ACERO (2 CUÑEROS)</t>
  </si>
  <si>
    <t>BAYONETA POSTE REF BUJE ACERO 2 CUNEROS</t>
  </si>
  <si>
    <t>BY09C</t>
  </si>
  <si>
    <t>BAYONETA POSTE REF BUJE ACERO 2 CUN CEL</t>
  </si>
  <si>
    <t>BY08</t>
  </si>
  <si>
    <t>BAYONETA DE POSTE REFORZADA CON BUJE DE BRONCE (2 CUÑEROS)</t>
  </si>
  <si>
    <t>BAYONETA POSTE REF BUJE BRONCE 2 CUNEROS</t>
  </si>
  <si>
    <t>BY98</t>
  </si>
  <si>
    <t>BAYONETA DE POSTE REFORZADA CON BUJE DE BRONCE, EN ACERO INOX. T-304 GRADO ALIMENTICIO</t>
  </si>
  <si>
    <t>BAYONETA POSTE REF INOX BUJE BRONCE</t>
  </si>
  <si>
    <t>BY11</t>
  </si>
  <si>
    <t>BAYONETA DE POSTE SENCILLA CON BUJE DE ACERO (2 CUÑEROS)</t>
  </si>
  <si>
    <t>BAYONETA POSTE SENC BUJE ACERO 2 CUNEROS</t>
  </si>
  <si>
    <t>BY12</t>
  </si>
  <si>
    <t>BAYONETA DE POSTE SENCILLA CON BUJE DE BRONCE (1 CUÑERO)</t>
  </si>
  <si>
    <t>BAYONETA POSTE SEN BUJE BRONCE 1 CUNERO</t>
  </si>
  <si>
    <t>BY10</t>
  </si>
  <si>
    <t>BAYONETA DE POSTE SENCILLA CON BUJE DE BRONCE (2CUÑEROS)</t>
  </si>
  <si>
    <t>BAYONETA POSTE SEN BUJE BRONCE 2 CUNEROS</t>
  </si>
  <si>
    <t>BY99</t>
  </si>
  <si>
    <t>BAYONETA DE POSTE SENCILLA CON BUJE DE BRONCE, EN ACERO INOX. T-304 GRADO ALIMENTICIO</t>
  </si>
  <si>
    <t>BAYONETA POSTE SENC CON BUJE BRONCE INOX</t>
  </si>
  <si>
    <t>BY0001</t>
  </si>
  <si>
    <t xml:space="preserve">BAYONETA DUPLEX (ESPECIAL) INOX P/ ALIMENTADOR </t>
  </si>
  <si>
    <t xml:space="preserve">BAYONETA DUPLEX ESP INOX P/ ALIMENTADOR </t>
  </si>
  <si>
    <t>BY17</t>
  </si>
  <si>
    <t>BAYONETA PARA CENTRIFUGA</t>
  </si>
  <si>
    <t>BY16</t>
  </si>
  <si>
    <t>BAYONETA TIPO APOLO CON BUJE DE ACERO</t>
  </si>
  <si>
    <t>BY15</t>
  </si>
  <si>
    <t>BAYONETA TIPO APOLO CON BUJE DE BRONCE</t>
  </si>
  <si>
    <t>MX40</t>
  </si>
  <si>
    <t>BAZUCA SOLDADA A LA BASE DE LA PAILA PARA EXTRACCIÓN Y ELEVACIÓN DE NIXTAMAL EN ACERO INOX 304 A PAILA DE 150, 200, 300, 500, 750 Y 1000 KG INCLUYE MOTOR-POLEA</t>
  </si>
  <si>
    <t>BR01</t>
  </si>
  <si>
    <t>BIRLO DE 1/4 PARA CARRO</t>
  </si>
  <si>
    <t>BR02</t>
  </si>
  <si>
    <t>BIRLO DE 3/8 X 3 PARA BASE INFERIOR</t>
  </si>
  <si>
    <t>BR03</t>
  </si>
  <si>
    <t>BIRLO DE 5/16 X 5 GALVANIZADO PARA LENGÜETA</t>
  </si>
  <si>
    <t>BIRLO DE 5/16 X 5 GALV P/ LENGUETA</t>
  </si>
  <si>
    <t>BG01</t>
  </si>
  <si>
    <t>BISAGRA 1/2 INOX</t>
  </si>
  <si>
    <t>BC01</t>
  </si>
  <si>
    <t>BLANQUEADOR 1 KG.</t>
  </si>
  <si>
    <t>BLANQUEADOR 1 KG</t>
  </si>
  <si>
    <t>BC03</t>
  </si>
  <si>
    <t>BLANQUEADOR 25 KG. (BULTO)</t>
  </si>
  <si>
    <t>BLANQUEADOR 25 KG (BULTO)</t>
  </si>
  <si>
    <t>BC02</t>
  </si>
  <si>
    <t>BLANQUEADOR 5 KG.</t>
  </si>
  <si>
    <t>BLANQUEADOR 5 KG</t>
  </si>
  <si>
    <t>NX06</t>
  </si>
  <si>
    <t>BOILER 1000 LTS</t>
  </si>
  <si>
    <t>NX04</t>
  </si>
  <si>
    <t>BOILER 500 LTS</t>
  </si>
  <si>
    <t>NX05</t>
  </si>
  <si>
    <t>BOILER 750 LTS</t>
  </si>
  <si>
    <t>MH07</t>
  </si>
  <si>
    <t xml:space="preserve">BOLEADORA </t>
  </si>
  <si>
    <t>BQ07</t>
  </si>
  <si>
    <t>BOQUILLA CUADRADA TIPO U 4000 (BOQUILLA RECTANGULAR)</t>
  </si>
  <si>
    <t>BOQUILLA CUADRADA U4000 BOQ RECTANGULAR</t>
  </si>
  <si>
    <t>BQ01</t>
  </si>
  <si>
    <t xml:space="preserve">BOQUILLA DE LATÓN </t>
  </si>
  <si>
    <t>BOQUILLA LATON</t>
  </si>
  <si>
    <t>BQ09</t>
  </si>
  <si>
    <t>BOQUILLA DE LATÓN CON CUERDA</t>
  </si>
  <si>
    <t>BQ11</t>
  </si>
  <si>
    <t>BOQUILLA DE POLIGAR ESPECIAL PARA CORTADORA AUTOMÁTICA</t>
  </si>
  <si>
    <t>BOQUILLA POLIGAR ESP P/CORTADORA AUT</t>
  </si>
  <si>
    <t>BQ13</t>
  </si>
  <si>
    <t xml:space="preserve">BOQUILLA PARA ALIMENTADOR DE 6" </t>
  </si>
  <si>
    <t>BOQUILLA PARA ALIMENTADOR DE 6</t>
  </si>
  <si>
    <t>BQ12</t>
  </si>
  <si>
    <t>BOQUILLA PARA ALIMENTADOR ESPECIAL, SALIDA 1 1/2</t>
  </si>
  <si>
    <t>BOQUILLA P/ALIMENTADOR ESP SALIDA 1 1/2</t>
  </si>
  <si>
    <t>BQ0001</t>
  </si>
  <si>
    <t>BOQUILLA PARA ALIMENTADOR WALMART</t>
  </si>
  <si>
    <t>BQ10</t>
  </si>
  <si>
    <t>BOQUILLA PARA ENCENDIDO ELECTRONICO</t>
  </si>
  <si>
    <t>BQ03</t>
  </si>
  <si>
    <t>BOQUILLA TIPO D NEGRA</t>
  </si>
  <si>
    <t>BQ04</t>
  </si>
  <si>
    <t>BOQUILLA TIPO D TROPICALIZADA</t>
  </si>
  <si>
    <t>BT01</t>
  </si>
  <si>
    <t>BOTA PERNOS (CORTADOR DE CADENA)</t>
  </si>
  <si>
    <t>BOTA PERNOS CORTADOR DE CADENA</t>
  </si>
  <si>
    <t>BT04</t>
  </si>
  <si>
    <t>BOTÓN DOMINO START / STOP</t>
  </si>
  <si>
    <t>BOTON DOMINO I/O</t>
  </si>
  <si>
    <t>BT06</t>
  </si>
  <si>
    <t>BOTÓN PARO DE EMERGENCIA</t>
  </si>
  <si>
    <t>BOTON PARO DE EMERGENCIA</t>
  </si>
  <si>
    <t>BT03</t>
  </si>
  <si>
    <t xml:space="preserve">BOTÓN SELECTOR COLOR NEGRO </t>
  </si>
  <si>
    <t>BOTON SELECTOR NEGRO</t>
  </si>
  <si>
    <t>BT07</t>
  </si>
  <si>
    <t>BOTONERA ENCENDIDO Y APAGADO PARA ACOMODADOR AUTOMÁTICO</t>
  </si>
  <si>
    <t>BOTONERA ENC/APAG P/ACOMODADOR AUT</t>
  </si>
  <si>
    <t>BZ01</t>
  </si>
  <si>
    <t>BRAZO SOPORTE DE CORTADOR</t>
  </si>
  <si>
    <t>BJ01</t>
  </si>
  <si>
    <t>BUJE BALERO BRONCE D8.9X4.9 A2.3 (7210)</t>
  </si>
  <si>
    <t>BJE0001</t>
  </si>
  <si>
    <t>BUJE CENTRADOR PARA BOQUILLA ALIMENTADOR WALMART</t>
  </si>
  <si>
    <t>BUJE CENTRADOR P/ BOQUILLA ALIMENTADOR</t>
  </si>
  <si>
    <t>BJ17</t>
  </si>
  <si>
    <t>BUJE DE ACERO PARA MÁQUINA B.C. DUPLEX</t>
  </si>
  <si>
    <t>BUJE DE ACERO P/MÁQUINA BC DUPLEX</t>
  </si>
  <si>
    <t>BJ02</t>
  </si>
  <si>
    <t>BUJE DE BRONCE 5/8 PARA BASE INFERIOR DÚPLEX</t>
  </si>
  <si>
    <t>BUJE DE BRONCE 5/8 PARA BASE INF DUPLX</t>
  </si>
  <si>
    <t>BJ03</t>
  </si>
  <si>
    <t>BUJE DE BRONCE 5/8 PARA BASE INFERIOR SENCILLA</t>
  </si>
  <si>
    <t>BUJE DE BRONCE 5/8 PARA BASE INF SEN.</t>
  </si>
  <si>
    <t>BJ07</t>
  </si>
  <si>
    <t>BUJE DE BRONCE DE CENTRO DÚPLEX PARA BASE INFERIOR</t>
  </si>
  <si>
    <t>BUJE BRONCE DE CENTRO DPLX PARA BASE INF</t>
  </si>
  <si>
    <t>BJ08</t>
  </si>
  <si>
    <t>BUJE DE BRONCE DE CENTRO SENCILLO PARA BASE INFERIOR</t>
  </si>
  <si>
    <t>BUJE BRONCE DE CENTRO SENC P/BASE INF</t>
  </si>
  <si>
    <t>BJ09</t>
  </si>
  <si>
    <t>BUJE DE BRONCE MÉNSULA</t>
  </si>
  <si>
    <t>BUJE DE BRONCE MENSULA</t>
  </si>
  <si>
    <t>BJ05</t>
  </si>
  <si>
    <t>BUJE DE BRONCE PARA BASE DE ALUMINIO ESPECIAL (CASQUILLO)</t>
  </si>
  <si>
    <t>BUJE BRONCE P/BASE ALUM ESP CASQUILLO</t>
  </si>
  <si>
    <t>BJ04</t>
  </si>
  <si>
    <t>BUJE DE BRONCE PARA BASE DE ALUMINIO NORMAL (CASQUILLO)</t>
  </si>
  <si>
    <t>BUJE BRONCE P/BASE ALUM NORM CASQUILLO</t>
  </si>
  <si>
    <t>BJ10</t>
  </si>
  <si>
    <t>BUJE DE BRONCE PARA COLUMPIO</t>
  </si>
  <si>
    <t>BJ11</t>
  </si>
  <si>
    <t>BUJE DE BRONCE PARA DESLIZADOR MECÁNICO</t>
  </si>
  <si>
    <t>BUJE DE BRONCE PARA DESLIZADOR MECANICO</t>
  </si>
  <si>
    <t>BJ06</t>
  </si>
  <si>
    <t>BUJE DE BRONCE PARA PUENTE ADICIONAL</t>
  </si>
  <si>
    <t>BJ14</t>
  </si>
  <si>
    <t>BUJE DE BRONCE Y ACERO PARA COLUMPIO WALMART</t>
  </si>
  <si>
    <t>BJ21</t>
  </si>
  <si>
    <t>BUJE DE NAYLAMID PARA BRAZO A 1'' PARA MAQUINA CUADRUPLE</t>
  </si>
  <si>
    <t>BUJE NYLAMID P/BRAZO 1'' P/CUADRUPLE</t>
  </si>
  <si>
    <t>BJ15</t>
  </si>
  <si>
    <t>BUJE DE NAYLAMID PARA SOPORTE O BRAZO DE RODILLO CORTADOR</t>
  </si>
  <si>
    <t>BUJE NAYLAMID P/SOPORTE RODILLO CORTADOR</t>
  </si>
  <si>
    <t>BJ98</t>
  </si>
  <si>
    <t>BUJE DE NYLAMID 5/8 PARA BASE INFERIOR SENCILLA GRADO ALIMENTICIO</t>
  </si>
  <si>
    <t>BUJE NYLAMID 5/8 PARA BASE INFERIOR SENC</t>
  </si>
  <si>
    <t>BJ99</t>
  </si>
  <si>
    <r>
      <rPr>
        <rFont val="Didact Gothic"/>
        <sz val="9.0"/>
      </rPr>
      <t xml:space="preserve">BUJE DE NYLAMID PARA PUENTE ADICIONAL </t>
    </r>
    <r>
      <rPr>
        <rFont val="Didact Gothic"/>
        <sz val="9.0"/>
      </rPr>
      <t>GRADO ALIMENTICIO</t>
    </r>
  </si>
  <si>
    <t>BUJE NYLAMID PARA PUENTE ADICIONAL</t>
  </si>
  <si>
    <t>BJ13</t>
  </si>
  <si>
    <t>BUJE ESPECIAL (PARA SERVICIOS)</t>
  </si>
  <si>
    <t>BJ19</t>
  </si>
  <si>
    <t>BUJE NYLAMID PARA BRAZO</t>
  </si>
  <si>
    <t>BJ20</t>
  </si>
  <si>
    <t>BUJE PARA EL RODILLO DE COLUMPIO CON ESPARRAGO DE 1/2 PARA MAQUINA W-100 NUEVA</t>
  </si>
  <si>
    <t>BUJE P/RODILL COLUMPI C/ESPARR W-100 NUE</t>
  </si>
  <si>
    <t>BU01</t>
  </si>
  <si>
    <t>BUJIA NY14 REBAJADA</t>
  </si>
  <si>
    <t>BJ97</t>
  </si>
  <si>
    <t>BUJIA VARILLA DETECTORA DE FLAMA</t>
  </si>
  <si>
    <t>MG60</t>
  </si>
  <si>
    <t>CABEZA DE RODILLOS DE POLIGAR 6" (PONY)</t>
  </si>
  <si>
    <t>MG59</t>
  </si>
  <si>
    <t>CABEZA DE RODILLOS EN POLIGAR, CUADRUPLE</t>
  </si>
  <si>
    <t>MM12</t>
  </si>
  <si>
    <t>CABEZA DÚPLEX ARMADA (B.C.)</t>
  </si>
  <si>
    <t>MG51</t>
  </si>
  <si>
    <t>CABEZA DUPLEX DE RODILLOS EN POLIGAR 8" Y LATERALES GRADO ALIMENTICIO EN ACERO INOX. T-304</t>
  </si>
  <si>
    <t>MG126</t>
  </si>
  <si>
    <t>CABEZA MÉRIDA DE RODILLOS EN POLIGAR 8" Y LATERALES GRADO ALIMENTICIO EN ACERO INOX. T-304</t>
  </si>
  <si>
    <t>MM13</t>
  </si>
  <si>
    <t>CABEZA SENCILLA ARMADA MODELO ANTERIOR,TV-30 TV-40</t>
  </si>
  <si>
    <t>MM14</t>
  </si>
  <si>
    <t>CABEZA SENCILLA ARMADA TV-50 (B.C.)</t>
  </si>
  <si>
    <t>MG99</t>
  </si>
  <si>
    <t>CABEZA SENCILLA DE RODILLOS EN POLIGAR 8" Y LATERALES GRADO ALIMENTICIO EN ACERO INOX. T-304</t>
  </si>
  <si>
    <t>MG114</t>
  </si>
  <si>
    <t>CABEZA Y BANCO TVRT 150 MOTOR 5 HP. TRIFÁSICO</t>
  </si>
  <si>
    <t>MH09</t>
  </si>
  <si>
    <t>CABEZAL DE LIBRO DÚPLEX</t>
  </si>
  <si>
    <t>MH08</t>
  </si>
  <si>
    <t>CABEZAL DE LIBRO SENCILLO</t>
  </si>
  <si>
    <t>CB20</t>
  </si>
  <si>
    <t>CABEZAL ESPECIAL PARA HUARACHES 30X60CM</t>
  </si>
  <si>
    <t>CB02</t>
  </si>
  <si>
    <t>CABEZAL PARA RODILLO C/B 15/16 TV-50 (B.C.)</t>
  </si>
  <si>
    <t>CABEZAL P/RODILLO C/B 15/16 TV50 BC</t>
  </si>
  <si>
    <t>CB03</t>
  </si>
  <si>
    <t>CABEZAL PARA RODILLO C/B A 1 1/4 TV-50 (B.C.)</t>
  </si>
  <si>
    <t>CABEZAL P/RODILLO C/B A 1 1/4 TV50 BC</t>
  </si>
  <si>
    <t>CB01</t>
  </si>
  <si>
    <t>CABEZAL PARA RODILLO C/B A 1" TV-50 (B.C.)</t>
  </si>
  <si>
    <t>CABEZAL P/RODILLO C/B A 1 TV50 BC</t>
  </si>
  <si>
    <t>CB06</t>
  </si>
  <si>
    <t>CABEZAL PARA RODILLO TIPO TV-50 (B.C.) CON CEJA (IZQUIERDO)</t>
  </si>
  <si>
    <t>CABEZAL P/RODILLO TV50 BC C/CEJA IZQ</t>
  </si>
  <si>
    <t>CB05</t>
  </si>
  <si>
    <t>CABEZAL PARA RODILLO TIPO TV-50 (B.C) CON CEJA (DERECHO)</t>
  </si>
  <si>
    <t>CABEZAL P/RODILLO TV50 BC CON CEJA DER</t>
  </si>
  <si>
    <t>MG11</t>
  </si>
  <si>
    <t>CABEZAL REST CHICO, ESPECIAL, MANUAL</t>
  </si>
  <si>
    <t>MG80</t>
  </si>
  <si>
    <t>CABEZAL REST RODILLOS POLIGAR 4'' ESPECI</t>
  </si>
  <si>
    <t>MG21</t>
  </si>
  <si>
    <t>CABEZAL REST W100 AREPAS RODILLO INOX 15</t>
  </si>
  <si>
    <t>MM15</t>
  </si>
  <si>
    <t>CABEZAL RESTAURANTERA CON JUEGO DE ALUMINIO CHICO</t>
  </si>
  <si>
    <t>MM16</t>
  </si>
  <si>
    <t>CABEZAL RESTAURANTERO CHICO, CON RODILLOS DE PIEDRA</t>
  </si>
  <si>
    <t>MG78</t>
  </si>
  <si>
    <t>CABEZAL RESTAURANTERO DE RODILLOS EN POLIGAR 6",  AUTOMATICO Y MANUAL</t>
  </si>
  <si>
    <t>MG127</t>
  </si>
  <si>
    <t xml:space="preserve">CABEZAL RESTAURANTERO DE TOLVA G.A. </t>
  </si>
  <si>
    <t>MG69</t>
  </si>
  <si>
    <t xml:space="preserve">CABEZAL RESTAURANTERO DUPLEX DE RODILLOS DE POLIGAR DE 8" </t>
  </si>
  <si>
    <t>MG45</t>
  </si>
  <si>
    <t>CABEZAL RESTAURANTERO ITALIA ROD 4"  INOX S/B 8-22 CM</t>
  </si>
  <si>
    <t>CABEZAL REST ITALIA ROD4" INX S/B 8-22CM</t>
  </si>
  <si>
    <t>MG49</t>
  </si>
  <si>
    <t>CABEZAL RESTAURANTERO ITALIA ROD 4" DELANTERO INOX Y TRASERO POLIGAR S/B 8-22 CM</t>
  </si>
  <si>
    <t>CABZL RST ITA R4" D/INX T/POL S/B 8-22CM</t>
  </si>
  <si>
    <t>MG65</t>
  </si>
  <si>
    <t>CABEZAL RESTAURANTERO ITALIA ROD 4" DELANTERO INOX Y TRASERO POLIGAR S/B 8-30CM</t>
  </si>
  <si>
    <t>CABZL RST MER R4" D/INX T/POL S/B 8-30CM</t>
  </si>
  <si>
    <t>MG37</t>
  </si>
  <si>
    <t>CABEZAL RESTAURANTERO ITALIA ROD 4" S/B 8-22 CM</t>
  </si>
  <si>
    <t>CABEZAL REST ITALIA ROD 4" S/B 8-22 CM</t>
  </si>
  <si>
    <t>MG125</t>
  </si>
  <si>
    <t>CABEZAL RESTAURANTERO MÉRIDA DE RODILLOS EN POLIGAR  8" Y  LATERALES GRADO ALIMENTICIO EN ACERO INOX. T-304 HASTA 26 CMS</t>
  </si>
  <si>
    <t>MG53</t>
  </si>
  <si>
    <t>CABEZAL RESTAURANTERO MERIDA ROD 4" INOX S/B 8-30 CM</t>
  </si>
  <si>
    <t>CABEZAL REST MERIDA ROD4" INX S/B 8-30CM</t>
  </si>
  <si>
    <t>MG47</t>
  </si>
  <si>
    <t>CABEZAL RESTAURANTERO MERIDA ROD 4" S/B 8-22 CM</t>
  </si>
  <si>
    <t>CABEZAL REST MERIDA ROD 4" S/B 8-22 CM</t>
  </si>
  <si>
    <t>MG32</t>
  </si>
  <si>
    <t>CABEZAL RESTAURANTERO SENCILLO  DE RODILLOS EN POLIGAR 8" Y LATERALES GRADO ALIMENTICIO EN ACERO INOX. T-304 HASTA 22 CMS (PARA SOPES Y AREPAS) NOTA: NO SACA TORTILLA NORMAL</t>
  </si>
  <si>
    <t>MG05</t>
  </si>
  <si>
    <t>CABEZAL RESTAURANTERO SENCILLO GRANDE DE RODILLOS EN POLIGAR 8" Y LATERALES GRADO ALIMENTICIO EN ACERO INOX. T-304 HASTA 22 CMS</t>
  </si>
  <si>
    <t>MM63</t>
  </si>
  <si>
    <t>CABEZAL RESTAURANTERO, AUTIMATICO, DE RODILLOS EN POLIGAR 4"</t>
  </si>
  <si>
    <t>MG74</t>
  </si>
  <si>
    <t>CABEZAL RESTAURANTERO, AUTOMÁTICO, DE RODILLOS EN POLIGAR 4" ( malla en acero inox. 304)</t>
  </si>
  <si>
    <t>MG86</t>
  </si>
  <si>
    <t>CABEZAL RESTAURANTERO, AUTOMÁTICO, DE RODILLOS EN POLIGAR 4" (MERIDA)</t>
  </si>
  <si>
    <t>MM64</t>
  </si>
  <si>
    <t>CABEZAL RESTAURANTERO, MANUAL, DE RODILLOS EN POLIGAR 4"</t>
  </si>
  <si>
    <t>MG87</t>
  </si>
  <si>
    <t>CABEZAL RESTAURANTERO, MANUAL, DE RODILLOS EN POLIGAR 4" (MERIDA)</t>
  </si>
  <si>
    <t>CB19</t>
  </si>
  <si>
    <t>MTR</t>
  </si>
  <si>
    <t>CABLE DE USO RUDO (METRO)</t>
  </si>
  <si>
    <t>CB12</t>
  </si>
  <si>
    <t>CABLE USO RUDO 3 X 12 PARA MOTOR (METRO)</t>
  </si>
  <si>
    <t>CD11</t>
  </si>
  <si>
    <t>CADENA (CS311A2-00(HT) X 100 FT-PC</t>
  </si>
  <si>
    <t>CD02</t>
  </si>
  <si>
    <t xml:space="preserve">CADENA P40 CAJA </t>
  </si>
  <si>
    <t>CD04</t>
  </si>
  <si>
    <t xml:space="preserve">CADENA P42 CAJA </t>
  </si>
  <si>
    <t>CD06</t>
  </si>
  <si>
    <t xml:space="preserve">CADENA P50 CAJA </t>
  </si>
  <si>
    <t>CR03</t>
  </si>
  <si>
    <t>CAJA CON ENGRANES PARA MOLINO CAMARADA</t>
  </si>
  <si>
    <t>CR04</t>
  </si>
  <si>
    <t>CAJA CON ENGRANES PARA MOLINO TORTIMEX No. 1</t>
  </si>
  <si>
    <t>CAJA CON ENGRANES PARA MOLINO TORTIMEX1</t>
  </si>
  <si>
    <t>CR10</t>
  </si>
  <si>
    <t>CAJA DE BOTON DE PARO DE EMERGENCIA</t>
  </si>
  <si>
    <t>CR12</t>
  </si>
  <si>
    <t>CAJA DE REDUCTOR SOLA CON TAPAS</t>
  </si>
  <si>
    <t>CR02</t>
  </si>
  <si>
    <t>CAJA DE REDUCTOR SOLA SIN TAPAS</t>
  </si>
  <si>
    <t>CP01</t>
  </si>
  <si>
    <t>CÁMARA DE PRESIÓN DÚPLEX</t>
  </si>
  <si>
    <t>CAMARA DE PRESION DPLX</t>
  </si>
  <si>
    <t>CP07</t>
  </si>
  <si>
    <t>CAMARA DE PRESION ESPECIAL ARMADA</t>
  </si>
  <si>
    <t>CP02</t>
  </si>
  <si>
    <t>CÁMARA DE PRESIÓN ESPECIAL CHICA</t>
  </si>
  <si>
    <t>CAMARA DE PRESION ESPECIAL CHICA</t>
  </si>
  <si>
    <t>CP03C</t>
  </si>
  <si>
    <t>CAMARA DE PRESION SENCILLA</t>
  </si>
  <si>
    <t>CP03</t>
  </si>
  <si>
    <t>CÁMARA DE PRESIÓN SENCILLA</t>
  </si>
  <si>
    <t>CP10</t>
  </si>
  <si>
    <t>CÁMARA DE PRESIÓN SENCILLA EN ACERO INOX. T-304 GRADO ALIMENTICIO EN BRUTO</t>
  </si>
  <si>
    <t>CÁMARA DE PRESION SENCILLA INOX GA BRUTO</t>
  </si>
  <si>
    <t>CP99</t>
  </si>
  <si>
    <t>CÁMARA DE PRESIÓN SENCILLA EN ACERO INOX. T-304-L GRADO ALIMENTICIO</t>
  </si>
  <si>
    <t>CAMARA DE PRESION SENCILLA INOX</t>
  </si>
  <si>
    <t>CP100</t>
  </si>
  <si>
    <r>
      <rPr>
        <rFont val="Didact Gothic"/>
        <sz val="9.0"/>
      </rPr>
      <t xml:space="preserve">CÁMARA DE PRESIÓN SENCILLA EN ACERO INOX. T-304-L </t>
    </r>
    <r>
      <rPr>
        <rFont val="Didact Gothic"/>
        <sz val="9.0"/>
      </rPr>
      <t>GRADO ALIMENTICIO</t>
    </r>
    <r>
      <rPr>
        <rFont val="Didact Gothic"/>
        <sz val="9.0"/>
      </rPr>
      <t xml:space="preserve"> CON EL MEDIO TUBO DE RECIRCULACIÓN</t>
    </r>
  </si>
  <si>
    <t>CAMARA PRES SENC INOX C/MED TUBO RECIRC</t>
  </si>
  <si>
    <t>BS94</t>
  </si>
  <si>
    <r>
      <rPr>
        <rFont val="Didact Gothic"/>
        <sz val="9.0"/>
      </rPr>
      <t xml:space="preserve">CAMISA DE ACERO INOXIDABLE T-304 </t>
    </r>
    <r>
      <rPr>
        <rFont val="Didact Gothic"/>
        <sz val="9.0"/>
      </rPr>
      <t>GRADO ALIMENTICIO</t>
    </r>
    <r>
      <rPr>
        <rFont val="Didact Gothic"/>
        <sz val="9.0"/>
      </rPr>
      <t xml:space="preserve"> PARA BASE INFERIOR DE FIERRO</t>
    </r>
  </si>
  <si>
    <t>CAMISA INOX P/BASE INFERIOR DE FIERRO</t>
  </si>
  <si>
    <t>BS95</t>
  </si>
  <si>
    <t>CAMISA DE ACERO INOXIDABLE T-304 GRADO ALIMENTICIO PARA BASE SUPERIOR DE ALUMINIO</t>
  </si>
  <si>
    <t>CAMISA INOX P/ BASE SUPERIOR DE ALUMINIO</t>
  </si>
  <si>
    <t>CP05</t>
  </si>
  <si>
    <t>CAMPANA INOX P/FREIDORA MECAN MERIDA/DUP</t>
  </si>
  <si>
    <t>CP08</t>
  </si>
  <si>
    <t>CAMPANA PARA MÁQUINA TV-30</t>
  </si>
  <si>
    <t>CAMPANA PARA MAQUINA TV-30</t>
  </si>
  <si>
    <t>CP09</t>
  </si>
  <si>
    <t>CAMPANA PARA MÁQUINA TV-40</t>
  </si>
  <si>
    <t>CAMPANA PARA MAQUINA TV-40</t>
  </si>
  <si>
    <t>CP04</t>
  </si>
  <si>
    <t>CAMPANA PARA MAQUINA TV-50 B.C SENCILLA</t>
  </si>
  <si>
    <t>CAMPANA PARA MAQUINA TV50 BC SENCILLA</t>
  </si>
  <si>
    <t>CD08</t>
  </si>
  <si>
    <t>CANDADO P40</t>
  </si>
  <si>
    <t>CD09</t>
  </si>
  <si>
    <t>CANDADO P42</t>
  </si>
  <si>
    <t>CD10</t>
  </si>
  <si>
    <t>CANDADO P50</t>
  </si>
  <si>
    <t>CD07</t>
  </si>
  <si>
    <t>CANDADO PARA BANDA METÁLICA MODELO ANTERIOR</t>
  </si>
  <si>
    <t>CANDADO PARA BANDA METALICA MA</t>
  </si>
  <si>
    <t>CD12</t>
  </si>
  <si>
    <t>CANDADO PARA CADENA CS311</t>
  </si>
  <si>
    <t>COD 4542 REV, si existe la clave 4542 darla de baja atte alex y precio</t>
  </si>
  <si>
    <t>CG17</t>
  </si>
  <si>
    <t>CANJILON STD 17 CM</t>
  </si>
  <si>
    <t>CG18</t>
  </si>
  <si>
    <t>CANJILON STD 18 CM</t>
  </si>
  <si>
    <t>CG26</t>
  </si>
  <si>
    <t>CANJILON STD 26 CM</t>
  </si>
  <si>
    <t>CG28</t>
  </si>
  <si>
    <t>CANJILON STD 28 CM</t>
  </si>
  <si>
    <t>CG40</t>
  </si>
  <si>
    <t>CANJILON STD 40 CM</t>
  </si>
  <si>
    <t>CG63</t>
  </si>
  <si>
    <t>CANJILON STD 63 CM</t>
  </si>
  <si>
    <t>CJ0001</t>
  </si>
  <si>
    <t>CANJILONES 13 1/2"</t>
  </si>
  <si>
    <t>CP0001</t>
  </si>
  <si>
    <t xml:space="preserve">CAPUCHON DE BUJIA VARILLA DETECTORA DE FLAMA </t>
  </si>
  <si>
    <t>CM01C</t>
  </si>
  <si>
    <t>CARRO ARMADO DUPLEX</t>
  </si>
  <si>
    <t>CARRO ARMADO DPLX</t>
  </si>
  <si>
    <t>CM01</t>
  </si>
  <si>
    <t>CARRO ARMADO DÚPLEX</t>
  </si>
  <si>
    <t>CM02</t>
  </si>
  <si>
    <t>CARRO ARMADO SENCILLO</t>
  </si>
  <si>
    <t>CM02C</t>
  </si>
  <si>
    <t>CM03</t>
  </si>
  <si>
    <t>CARRO ARMADO SENCILLO TIPO PUEBLA</t>
  </si>
  <si>
    <t>CM03C</t>
  </si>
  <si>
    <t>CM04</t>
  </si>
  <si>
    <t>CARRO SOLO DÚPLEX</t>
  </si>
  <si>
    <t>CARRO SOLO DPLX</t>
  </si>
  <si>
    <t>CM04C</t>
  </si>
  <si>
    <t xml:space="preserve">CARRO SOLO DÚPLEX </t>
  </si>
  <si>
    <t>CM05</t>
  </si>
  <si>
    <t>CARRO SOLO SENCILLO</t>
  </si>
  <si>
    <t>CM05C</t>
  </si>
  <si>
    <t xml:space="preserve">CARRO SOLO SENCILLO </t>
  </si>
  <si>
    <t>CM06</t>
  </si>
  <si>
    <t>CARRO SOLO SENCILLO TIPO PUEBLA</t>
  </si>
  <si>
    <t>CM06C</t>
  </si>
  <si>
    <t>CARRO SOLO SENCILLO TIPO PUEBLA  CELORIO</t>
  </si>
  <si>
    <t>CE02</t>
  </si>
  <si>
    <t>CARTER SENCILLO DE ACERO INOXIDABLE</t>
  </si>
  <si>
    <t>CE01</t>
  </si>
  <si>
    <t>CARTER SENCILLO DE FIERRO</t>
  </si>
  <si>
    <t>CE03</t>
  </si>
  <si>
    <t>CARTER WALMART</t>
  </si>
  <si>
    <t>BJ16</t>
  </si>
  <si>
    <t>CASQUILLO PARA BALERO 7210</t>
  </si>
  <si>
    <t>CA204</t>
  </si>
  <si>
    <t>CATARINA 10 DTS E.1-1/4" TIPO RODOTEC</t>
  </si>
  <si>
    <t>CA37</t>
  </si>
  <si>
    <t>CATARINA 17D P50 E.1-1/8" ARMAD CL DPX</t>
  </si>
  <si>
    <t>CA112</t>
  </si>
  <si>
    <t>CATARINA 17D P50 E.1-1/8" ARMAD CL SEN</t>
  </si>
  <si>
    <t>CA38</t>
  </si>
  <si>
    <t>CATARINA 17D P50 E.1-1/8" P/CL DPX</t>
  </si>
  <si>
    <t>CA38C</t>
  </si>
  <si>
    <t>CATARINA 17D P50 E.1-1/8" P/CL DPX CEL</t>
  </si>
  <si>
    <t>CA120</t>
  </si>
  <si>
    <t>CATARINA 17D P50 E.1-1/8" SIN MAQUINAR</t>
  </si>
  <si>
    <t>CA135</t>
  </si>
  <si>
    <t>CATARINA 17D P50 E.1" P/CLUTCH SENC</t>
  </si>
  <si>
    <t>CA34</t>
  </si>
  <si>
    <t>CATARINA 17D P50 E.25MM ARMAD CL SEN</t>
  </si>
  <si>
    <t>CA35</t>
  </si>
  <si>
    <t>CATARINA 17D P50 E.25MM P/CLUTCH SENC</t>
  </si>
  <si>
    <t>CA215</t>
  </si>
  <si>
    <t>CATARINA 17DTS 5/8x3/8 P/CLUTH CEL</t>
  </si>
  <si>
    <t>CA57</t>
  </si>
  <si>
    <t>CATARINA 21D P40 E.1" ARMAD CL</t>
  </si>
  <si>
    <t>CA58</t>
  </si>
  <si>
    <t>CATARINA 21D P40 E.1" P/CLUTCH</t>
  </si>
  <si>
    <t>CA119</t>
  </si>
  <si>
    <t>CATARINA 21D P50 E.1" SIN MAQUINAR</t>
  </si>
  <si>
    <t>CA113</t>
  </si>
  <si>
    <t>CATARINA 40B10 E.3/4"</t>
  </si>
  <si>
    <t>CA02</t>
  </si>
  <si>
    <t>CATARINA 40B11 P/DESLIZADOR</t>
  </si>
  <si>
    <t>CA164</t>
  </si>
  <si>
    <t>CATARINA 40B12 E.3/4"</t>
  </si>
  <si>
    <t>CA186</t>
  </si>
  <si>
    <t>CATARINA 40B13 E.1-1/4" C.1/4</t>
  </si>
  <si>
    <t>CA104</t>
  </si>
  <si>
    <t>CATARINA 40B13 E.1" C.1/4</t>
  </si>
  <si>
    <t>CA99</t>
  </si>
  <si>
    <t>CATARINA 40B14 E.1" C.1/4</t>
  </si>
  <si>
    <t>CA08</t>
  </si>
  <si>
    <t>CATARINA 40B15 E.1-1/4" C.1/4</t>
  </si>
  <si>
    <t>CA07</t>
  </si>
  <si>
    <t>CATARINA 40B15 E.1" C.1/4</t>
  </si>
  <si>
    <t>CA09</t>
  </si>
  <si>
    <t>CATARINA 40B15 E.15/16"</t>
  </si>
  <si>
    <t>CA114</t>
  </si>
  <si>
    <t>CATARINA 40B15 E.25MM C.1/4</t>
  </si>
  <si>
    <t>CA10</t>
  </si>
  <si>
    <t>CATARINA 40B15 E.3/4"</t>
  </si>
  <si>
    <t>CA16</t>
  </si>
  <si>
    <t>CATARINA 40B16 E.1-1/4" C.1/4</t>
  </si>
  <si>
    <t>CA17</t>
  </si>
  <si>
    <t>CATARINA 40B16 E.15/16"</t>
  </si>
  <si>
    <t>CA18</t>
  </si>
  <si>
    <t>CATARINA 40B16 E.25MM C.1/4</t>
  </si>
  <si>
    <t>CA19</t>
  </si>
  <si>
    <t>CATARINA 40B16 E.3/4"</t>
  </si>
  <si>
    <t>CA25</t>
  </si>
  <si>
    <t>CATARINA 40B17 E.1-1/4" C.1/4</t>
  </si>
  <si>
    <t>CA24</t>
  </si>
  <si>
    <t xml:space="preserve">CATARINA 40B17 E.1" C.1/4 </t>
  </si>
  <si>
    <t>CA26</t>
  </si>
  <si>
    <t>CATARINA 40B17 E.15/16"</t>
  </si>
  <si>
    <t>CA27</t>
  </si>
  <si>
    <t>CATARINA 40B17 E.3/4"</t>
  </si>
  <si>
    <t>CA28</t>
  </si>
  <si>
    <t>CATARINA 40B17 E.5/8"</t>
  </si>
  <si>
    <t>CA101</t>
  </si>
  <si>
    <t>CATARINA 40B18 E.1-1/8" C.1/4</t>
  </si>
  <si>
    <t>CA103</t>
  </si>
  <si>
    <t>CATARINA 40B18 E.1" C.1/4</t>
  </si>
  <si>
    <t>CA210</t>
  </si>
  <si>
    <t>DAR DE BAJA</t>
  </si>
  <si>
    <t>CA39</t>
  </si>
  <si>
    <t>CATARINA 40B18 E.15/16"</t>
  </si>
  <si>
    <t>CA40</t>
  </si>
  <si>
    <t>CATARINA 40B18 E.25MM C.1/4</t>
  </si>
  <si>
    <t>CA41</t>
  </si>
  <si>
    <t>CATARINA 40B18 E.3/4"</t>
  </si>
  <si>
    <t>CA42</t>
  </si>
  <si>
    <t>CATARINA 40B18 E.5/8"</t>
  </si>
  <si>
    <t>CA48</t>
  </si>
  <si>
    <t>CATARINA 40B19 E.1-1/4" C.1/4</t>
  </si>
  <si>
    <t>CA208</t>
  </si>
  <si>
    <t>CATARINA 40B19 E.1-1/8" C.1/4</t>
  </si>
  <si>
    <t>CA47</t>
  </si>
  <si>
    <t>CATARINA 40B19 E.1" C.1/4</t>
  </si>
  <si>
    <t>CA49</t>
  </si>
  <si>
    <t>CATARINA 40B19 E.5/8" C.1/4</t>
  </si>
  <si>
    <t>CA141</t>
  </si>
  <si>
    <t>CATARINA 40B20 E.1-1/8" C.1/4</t>
  </si>
  <si>
    <t>CA93</t>
  </si>
  <si>
    <t>CATARINA 40B20 E.1" C.1/4</t>
  </si>
  <si>
    <t>CA124</t>
  </si>
  <si>
    <t>CATARINA 40B21 25MM C.1/4</t>
  </si>
  <si>
    <t>CA59</t>
  </si>
  <si>
    <t>CATARINA 40B21 E.1-1/4" C.1/4</t>
  </si>
  <si>
    <t>CA60</t>
  </si>
  <si>
    <t>CATARINA 40B21 E.1-1/8" C.1/4</t>
  </si>
  <si>
    <t>CA56</t>
  </si>
  <si>
    <t>CATARINA 40B21 E.1" C.1/4</t>
  </si>
  <si>
    <t>CA106</t>
  </si>
  <si>
    <t>CATARINA 40B21 E.15/16"</t>
  </si>
  <si>
    <t>CA107</t>
  </si>
  <si>
    <t>CATARINA 40B21 E.25MM C.1/4</t>
  </si>
  <si>
    <t>CA94</t>
  </si>
  <si>
    <t>CATARINA 40B21 E.3/4"</t>
  </si>
  <si>
    <t>CA95</t>
  </si>
  <si>
    <t>CATARINA 40B21 E.5/8"</t>
  </si>
  <si>
    <t>CA109</t>
  </si>
  <si>
    <t>CATARINA 40B21 E.7/8"</t>
  </si>
  <si>
    <t>CA184</t>
  </si>
  <si>
    <t>CATARINA 40B23 E.1-1/8" C.1/4</t>
  </si>
  <si>
    <t>CA63</t>
  </si>
  <si>
    <t>CATARINA 40B23 E.1" C.1/4</t>
  </si>
  <si>
    <t>CA125</t>
  </si>
  <si>
    <t>CATARINA 40B23 E.25MM C.1/4</t>
  </si>
  <si>
    <t>CA64</t>
  </si>
  <si>
    <t>CATARINA 40B24 E.1-1/4" C.1/4</t>
  </si>
  <si>
    <t>CA65</t>
  </si>
  <si>
    <t>CATARINA 40B24 E.1-1/8" C.1/4</t>
  </si>
  <si>
    <t>CA66</t>
  </si>
  <si>
    <t>CATARINA 40B24 E.15/16"</t>
  </si>
  <si>
    <t>CA74</t>
  </si>
  <si>
    <t>CATARINA 40B26 DOBLE E.1-1/4" C.1/4</t>
  </si>
  <si>
    <t>CA73</t>
  </si>
  <si>
    <t>CATARINA 40B26 DOBLE E.1" C.1/4</t>
  </si>
  <si>
    <t>CA72</t>
  </si>
  <si>
    <t>CATARINA 40B26 E.1-1/4" C.1/4</t>
  </si>
  <si>
    <t>CA71</t>
  </si>
  <si>
    <t>CATARINA 40B26 E.1" C.1/4</t>
  </si>
  <si>
    <t>CA212</t>
  </si>
  <si>
    <t>CATARINA 40B26 E.15/16"</t>
  </si>
  <si>
    <t>CA105</t>
  </si>
  <si>
    <t>CATARINA 40B27 E.1-1/8" C.1/4</t>
  </si>
  <si>
    <t>CA223</t>
  </si>
  <si>
    <t>CATARINA 40B27 E.25MM C1/4</t>
  </si>
  <si>
    <t>CA100</t>
  </si>
  <si>
    <t>CATARINA 40B28 E.1" C.1/4</t>
  </si>
  <si>
    <t>CA81</t>
  </si>
  <si>
    <t>CATARINA 40B30 DOBLE E.15/16"</t>
  </si>
  <si>
    <t>CA96</t>
  </si>
  <si>
    <t>CATARINA 40B30 E.1-1/4" C.1/4</t>
  </si>
  <si>
    <t>CA91</t>
  </si>
  <si>
    <t>CATARINA 40B30 E.1" C.1/4</t>
  </si>
  <si>
    <t>CA79</t>
  </si>
  <si>
    <t>CATARINA 40B30 E.15/16"</t>
  </si>
  <si>
    <t>CA80</t>
  </si>
  <si>
    <t>CATARINA 40B30 E.3/4" P/ENFRI</t>
  </si>
  <si>
    <t>CA213</t>
  </si>
  <si>
    <t>CATARINA 40B35 E.1" C.1/4</t>
  </si>
  <si>
    <t>CA110</t>
  </si>
  <si>
    <t>CATARINA 40B36 E.15/16"</t>
  </si>
  <si>
    <t>CA189</t>
  </si>
  <si>
    <t>CATARINA 40B36 E.15/16" C.1/4</t>
  </si>
  <si>
    <t>CA97</t>
  </si>
  <si>
    <t>CATARINA 40B37 E.1-1/4" C.1/4</t>
  </si>
  <si>
    <t>CA102</t>
  </si>
  <si>
    <t>CATARINA 40B42 E.15/16"</t>
  </si>
  <si>
    <t>CA111</t>
  </si>
  <si>
    <t>CATARINA 40B43 E.15/16"</t>
  </si>
  <si>
    <t>CA214</t>
  </si>
  <si>
    <t>CATARINA 40B47 E.1" C.1/4</t>
  </si>
  <si>
    <t>CA126</t>
  </si>
  <si>
    <t>CATARINA 40B59 E.1-1/4" C.1/4</t>
  </si>
  <si>
    <t>CA211</t>
  </si>
  <si>
    <t>CATARINA 40B59 E.3/4"</t>
  </si>
  <si>
    <t>CA11</t>
  </si>
  <si>
    <t>CATARINA 42B15 E.1-1/4" C.1/4</t>
  </si>
  <si>
    <t>CA12</t>
  </si>
  <si>
    <t>CATARINA 42B15 E.15/16"</t>
  </si>
  <si>
    <t>CA13</t>
  </si>
  <si>
    <t>CATARINA 42B15 E.3/4"</t>
  </si>
  <si>
    <t>CA20</t>
  </si>
  <si>
    <t>CATARINA 42B16 E.1-1/4" C.1/4</t>
  </si>
  <si>
    <t>CA21</t>
  </si>
  <si>
    <t>CATARINA 42B16 E.15/16"</t>
  </si>
  <si>
    <t>CA22</t>
  </si>
  <si>
    <t>CATARINA 42B16 E.25MM C.1/4</t>
  </si>
  <si>
    <t>CA23</t>
  </si>
  <si>
    <t>CATARINA 42B16 E.3/4"</t>
  </si>
  <si>
    <t>CA30</t>
  </si>
  <si>
    <t>CATARINA 42B17 E.1-1/4" C.1/4</t>
  </si>
  <si>
    <t>CA29</t>
  </si>
  <si>
    <t>CATARINA 42B17 E.1" C.1/4</t>
  </si>
  <si>
    <t>CA31</t>
  </si>
  <si>
    <t>CATARINA 42B17 E.15/16"</t>
  </si>
  <si>
    <t>CA32</t>
  </si>
  <si>
    <t>CATARINA 42B17 E.3/4"</t>
  </si>
  <si>
    <t>CA43</t>
  </si>
  <si>
    <t>CATARINA 42B18 E.15/16"</t>
  </si>
  <si>
    <t>CA44</t>
  </si>
  <si>
    <t>CATARINA 42B18 E.25MM C.1/4</t>
  </si>
  <si>
    <t>CA45</t>
  </si>
  <si>
    <t>CATARINA 42B18 E.3/4"</t>
  </si>
  <si>
    <t>CA46</t>
  </si>
  <si>
    <t>CATARINA 42B18 E.5/8"</t>
  </si>
  <si>
    <t>CA201</t>
  </si>
  <si>
    <t>CATARINA 42B18 E.7/8"</t>
  </si>
  <si>
    <t>CA51</t>
  </si>
  <si>
    <t>CATARINA 42B19 E.1-1/4" C.1/4</t>
  </si>
  <si>
    <t>CA50</t>
  </si>
  <si>
    <t>CATARINA 42B19 E.1" C.1/4</t>
  </si>
  <si>
    <t>CA52</t>
  </si>
  <si>
    <t>CATARINA 42B19 E.5/8" C.1/4</t>
  </si>
  <si>
    <t>CA55</t>
  </si>
  <si>
    <t>CATARINA 42B20 E.1" C.1/4</t>
  </si>
  <si>
    <t>CA62</t>
  </si>
  <si>
    <t>CATARINA 42B21 E.1-1/4" C.1/4</t>
  </si>
  <si>
    <t>CA193</t>
  </si>
  <si>
    <t>CATARINA 42B21 E.1-1/8" C.1/4</t>
  </si>
  <si>
    <t>CA202</t>
  </si>
  <si>
    <t>CATARINA 42B21 E.1" 15/16 C.1/4</t>
  </si>
  <si>
    <t>CA61</t>
  </si>
  <si>
    <t>CATARINA 42B21 E.1" C.1/4</t>
  </si>
  <si>
    <t>CA67</t>
  </si>
  <si>
    <t>CATARINA 42B24 E.1-1/8" C.1/4</t>
  </si>
  <si>
    <t>CA68</t>
  </si>
  <si>
    <t>CATARINA 42B24 E.15/16"</t>
  </si>
  <si>
    <t>CA78</t>
  </si>
  <si>
    <t>CATARINA 42B26 DOBLE E.1-1/4" C.1/4</t>
  </si>
  <si>
    <t>CA77</t>
  </si>
  <si>
    <t>CATARINA 42B26 DOBLE E.1" C.1/4</t>
  </si>
  <si>
    <t>CA76</t>
  </si>
  <si>
    <t>CATARINA 42B26 E.1-1/4" C.1/4</t>
  </si>
  <si>
    <t>CA75</t>
  </si>
  <si>
    <t>CATARINA 42B26 E.1" C.1/4</t>
  </si>
  <si>
    <t>CA83</t>
  </si>
  <si>
    <t>CATARINA 42B30 DOBLE E.15/16"</t>
  </si>
  <si>
    <t>CA82</t>
  </si>
  <si>
    <t>CATARINA 42B30 E.15/16"</t>
  </si>
  <si>
    <t>CA84</t>
  </si>
  <si>
    <t>CATARINA 42B30 E.3/4" P/ENFRI</t>
  </si>
  <si>
    <t>CA216</t>
  </si>
  <si>
    <t>CATARINA 50B11 E.1-1/4" C1/4</t>
  </si>
  <si>
    <t>CA04</t>
  </si>
  <si>
    <t>CATARINA 50B12 E.1-1/4" C.1/4</t>
  </si>
  <si>
    <t>CA03</t>
  </si>
  <si>
    <t>CATARINA 50B12 E.1" C.1/4</t>
  </si>
  <si>
    <t>CA06</t>
  </si>
  <si>
    <t>CATARINA 50B13 E.1-1/4" C.1/4</t>
  </si>
  <si>
    <t>CA05</t>
  </si>
  <si>
    <t>CATARINA 50B13 E.1" C.1/4</t>
  </si>
  <si>
    <t>CA217</t>
  </si>
  <si>
    <t>CATARINA 50B14 E.1-1/4" C1/4</t>
  </si>
  <si>
    <t>CA15</t>
  </si>
  <si>
    <t>CATARINA 50B15 E.1-1/4" C.1/4</t>
  </si>
  <si>
    <t>CA14</t>
  </si>
  <si>
    <t>CATARINA 50B15 E.1" C.1/4</t>
  </si>
  <si>
    <t>CA123</t>
  </si>
  <si>
    <t>CATARINA 50B16 E.1-1/4" C.1/4</t>
  </si>
  <si>
    <t>CA209</t>
  </si>
  <si>
    <t>CATARINA 50B16 E.1" C.1/4</t>
  </si>
  <si>
    <t>CA98</t>
  </si>
  <si>
    <t>CATARINA 50B16 E.25MM C.1/4</t>
  </si>
  <si>
    <t>CA36</t>
  </si>
  <si>
    <t>CATARINA 50B17 E.1-1/4" C.1/4</t>
  </si>
  <si>
    <t>CA33</t>
  </si>
  <si>
    <t>CATARINA 50B17 E.1" C.1/4</t>
  </si>
  <si>
    <t>CA54</t>
  </si>
  <si>
    <t>CATARINA 50B19 E.1-1/4" C.1/4</t>
  </si>
  <si>
    <t>CA53</t>
  </si>
  <si>
    <t>CATARINA 50B19 E.1" C.1/4</t>
  </si>
  <si>
    <t>CA218</t>
  </si>
  <si>
    <t>CATARINA 50B20 E.1-1/4" C1/4</t>
  </si>
  <si>
    <t>CA219</t>
  </si>
  <si>
    <t>CATARINA 50B21 E.1-1/4" C1/4</t>
  </si>
  <si>
    <t>CA220</t>
  </si>
  <si>
    <t>CATARINA 50B22 E.1-1/4" C1/4</t>
  </si>
  <si>
    <t>CA221</t>
  </si>
  <si>
    <t>CATARINA 50B23 E.1-1/4" C1/4</t>
  </si>
  <si>
    <t>CA127</t>
  </si>
  <si>
    <t>CATARINA 50B24 E.1-1/4" C.1/4</t>
  </si>
  <si>
    <t>CA69</t>
  </si>
  <si>
    <t>CATARINA 50B24 E.1" C.1/4</t>
  </si>
  <si>
    <t>CA70</t>
  </si>
  <si>
    <t>CATARINA 50B24 E.15/16"</t>
  </si>
  <si>
    <t>CA116</t>
  </si>
  <si>
    <t>CATARINA 50B33 E.1-1/4" C.1/4</t>
  </si>
  <si>
    <t>CA117</t>
  </si>
  <si>
    <t>CATARINA 50B33 E.1" C.1/4</t>
  </si>
  <si>
    <t>CA118</t>
  </si>
  <si>
    <t>CATARINA 50B36 E.1-1/4" C.1/4</t>
  </si>
  <si>
    <t>CA121</t>
  </si>
  <si>
    <t>CATARINA 50B36 E.1" C.1/4</t>
  </si>
  <si>
    <t>CA90</t>
  </si>
  <si>
    <t>CATARINA 50B70 E.1" C.1/4</t>
  </si>
  <si>
    <t>CA86</t>
  </si>
  <si>
    <t>CATARINA 50B72 E.1-1/4" C.1/4</t>
  </si>
  <si>
    <t>CA85</t>
  </si>
  <si>
    <t>CATARINA 50B72 E.1" C.1/4</t>
  </si>
  <si>
    <t>CA87</t>
  </si>
  <si>
    <t>CATARINA 50B72 E.3/4"</t>
  </si>
  <si>
    <t>CA194</t>
  </si>
  <si>
    <t>CATARINA 50B74 E.1-1/4" C.1/4</t>
  </si>
  <si>
    <t>CA88</t>
  </si>
  <si>
    <t>CATARINA 50B80 E.1" C.1/4</t>
  </si>
  <si>
    <t>CA89</t>
  </si>
  <si>
    <t>CA199</t>
  </si>
  <si>
    <t>CATARINA 50B88 E.1-1/4" C.1/4</t>
  </si>
  <si>
    <t>CA01</t>
  </si>
  <si>
    <t>CATARINA 9 DTES P50 P/DIFERENCIAL</t>
  </si>
  <si>
    <t>CA203</t>
  </si>
  <si>
    <t>CATARINA CS311B9 E.1 T/RODOTC</t>
  </si>
  <si>
    <t>WM-CA01</t>
  </si>
  <si>
    <t>CATARINA CS311B9 E.15/16"</t>
  </si>
  <si>
    <t>CA108</t>
  </si>
  <si>
    <t>CATARINA CS311B9 FIERCOL E.1-1/4"</t>
  </si>
  <si>
    <t>CA00</t>
  </si>
  <si>
    <t>CATARINA ESPECIAL</t>
  </si>
  <si>
    <t>CA187</t>
  </si>
  <si>
    <t>CATARINA MOTORED 40B16 E.1" C.1/4 W100</t>
  </si>
  <si>
    <t>MT22</t>
  </si>
  <si>
    <t>TOS</t>
  </si>
  <si>
    <t>CENTRIFUGA CHICA BARRIL PERFORADO INOX DE 40 CM DIAMETROS X 40 CM PROFUNDIDAD</t>
  </si>
  <si>
    <t>CENTRIFUGA CHC BARRIL INOX 40 D 40 CM H</t>
  </si>
  <si>
    <t>MT19</t>
  </si>
  <si>
    <t>CENTRIFUGA GRANDE BARRIL PERFORADO INOX DE 60 CM DIAMETROS X 40 CM PROFUNDIDAD</t>
  </si>
  <si>
    <t>CENTRIFUGA GDE BARRIL INOX 60 D 40 CM H</t>
  </si>
  <si>
    <t>CV05</t>
  </si>
  <si>
    <t xml:space="preserve">CENTRO DE RAYADORA ( 2 1/2", 3", 3 1/2") </t>
  </si>
  <si>
    <t xml:space="preserve">CENTRO DE RAYADORA (2 1/2", 3", 3 1/2") </t>
  </si>
  <si>
    <t>CV01</t>
  </si>
  <si>
    <t>CENTRO DE VENTILADOR NORMAL ARMADO</t>
  </si>
  <si>
    <t>CV02</t>
  </si>
  <si>
    <t>CENTRO DE VENTILADOR NORMAL SOLO</t>
  </si>
  <si>
    <t>CV03</t>
  </si>
  <si>
    <t>CENTRO DE VENTILADOR REFORZADO ARMADO</t>
  </si>
  <si>
    <t>CV04</t>
  </si>
  <si>
    <t>CENTRO DE VENTILADOR REFORZADO SOLO</t>
  </si>
  <si>
    <t>MG30</t>
  </si>
  <si>
    <t>CERNIDOR PARA TAMAL Y CHILES</t>
  </si>
  <si>
    <t>MG35</t>
  </si>
  <si>
    <t>CERNIDOR TAMAL CHILES C/EST AC INOX ESPE</t>
  </si>
  <si>
    <t>CS10</t>
  </si>
  <si>
    <t>CHAROLA ACERO INOX T-430 PARA MOLINO CONO</t>
  </si>
  <si>
    <t>CHAROLA ACERO INOX T-430 P/MOLINO CONO</t>
  </si>
  <si>
    <t>CS11</t>
  </si>
  <si>
    <t>CHAROLA DE LAMINA ACERO INOX T-304 AMASADORA 20  KG WALMART</t>
  </si>
  <si>
    <t>CS12</t>
  </si>
  <si>
    <t>CHAROLA DE LAMINA ACERO INOX T-304 AMASADORA 40  KG WALMART</t>
  </si>
  <si>
    <t>CS07</t>
  </si>
  <si>
    <t>CHAROLA EN ACERO INOXIDABLE PARA MOLINO TOLUCA #1</t>
  </si>
  <si>
    <t>CHAROLA ACERO INOX P/MOLINO TOLUCA #1</t>
  </si>
  <si>
    <t>CS08</t>
  </si>
  <si>
    <t>CHAROLA EN ACERO INOXIDABLE PARA MOLINO TOLUCA #2</t>
  </si>
  <si>
    <t>CHAROLA ACERO INOX P/MOLINO TOLUCA #2</t>
  </si>
  <si>
    <t>CS09</t>
  </si>
  <si>
    <t>CHAROLA EN ACERO INOXIDABLE PARA MOLINO TOLUCA #3</t>
  </si>
  <si>
    <t>CHAROLA ACERO INOX P/MOLINO TOLUCA #3</t>
  </si>
  <si>
    <t>CS03</t>
  </si>
  <si>
    <t>CHAROLA PARA AMASADORA DE 100 KG.</t>
  </si>
  <si>
    <t>CHAROLA PARA AMASADORA DE 100 KG</t>
  </si>
  <si>
    <t>CS01</t>
  </si>
  <si>
    <t>CHAROLA PARA AMASADORA DE 25 KG.</t>
  </si>
  <si>
    <t>CHAROLA PARA AMASADORA DE 25 KG</t>
  </si>
  <si>
    <t>CS02</t>
  </si>
  <si>
    <t>CHAROLA PARA AMASADORA DE 50 KG.</t>
  </si>
  <si>
    <t>CHAROLA PARA AMASADORA DE 50 KG</t>
  </si>
  <si>
    <t>CS04</t>
  </si>
  <si>
    <t>CHAROLA PARA BANCO DÚPLEX EN ACERO INOX.</t>
  </si>
  <si>
    <t>CHAROLA PARA BANCO DPLX INOX</t>
  </si>
  <si>
    <t>CS05</t>
  </si>
  <si>
    <t>CHAROLA PARA BANCO SENCILLA MODELO ANTERIOR, TV-40 Y TV-30 EN ACERO INOX.</t>
  </si>
  <si>
    <t>CHAROLA PARA BANCO SENC MA TV30/40 INOX</t>
  </si>
  <si>
    <t>CS06</t>
  </si>
  <si>
    <t>CHAROLA PARA BANCO SENCILLO TV-50 (B.C.)</t>
  </si>
  <si>
    <t>CHAROLA PARA BANCO SENCILLO TV50 BC</t>
  </si>
  <si>
    <t>CR0001</t>
  </si>
  <si>
    <t>CHAROLA Y TOLVA PARA ALIMENTADOR WALMART</t>
  </si>
  <si>
    <t>CS18</t>
  </si>
  <si>
    <t>CHAROLAS EN ACERO INOXIDABLE Y RECUBIERTOS POR DENTRO DE TEFLON</t>
  </si>
  <si>
    <t>CHAROLAS INOX RECUB INTERIOR TEFLON</t>
  </si>
  <si>
    <t>MH12</t>
  </si>
  <si>
    <t>CHAROLAS PARA ESPIGUERO</t>
  </si>
  <si>
    <t>CS19</t>
  </si>
  <si>
    <t>CHAROLAS PARA FERMENTADOR</t>
  </si>
  <si>
    <t>MM17</t>
  </si>
  <si>
    <t>CHASIS ARMADO DÚPLEX TV-50 (B.C.) CON TAPAS EN ACERO INOXIDABLE</t>
  </si>
  <si>
    <t>MM21</t>
  </si>
  <si>
    <t>CHASIS ARMADO SENCILLO TIPO B.C. CON TAPAS EN ACERO INOXIDABLE</t>
  </si>
  <si>
    <t>MM19</t>
  </si>
  <si>
    <t>CHASIS ARMADO SENCILLO TV-30 CON TAPAS EN ACERO INOXIDABLE</t>
  </si>
  <si>
    <t>MM20</t>
  </si>
  <si>
    <t>CHASIS ARMADO SENCILLO TV-40 CON TAPAS EN ACERO INOXIDABLE</t>
  </si>
  <si>
    <t>MH20</t>
  </si>
  <si>
    <t>CHASIS COCEDOR DÚPLEX</t>
  </si>
  <si>
    <t>MH19</t>
  </si>
  <si>
    <t>CHASIS COCEDOR SENCILLO</t>
  </si>
  <si>
    <t>MM29</t>
  </si>
  <si>
    <t>CHASIS SOLO SENCILLO TV-40</t>
  </si>
  <si>
    <t>MM24</t>
  </si>
  <si>
    <t xml:space="preserve">CHASIS SOLO SENCILLO TV-40 CON RIELES </t>
  </si>
  <si>
    <t>MM25</t>
  </si>
  <si>
    <t>CHASIS SOLO SENCILLO TV-50 (B.C.)</t>
  </si>
  <si>
    <t>CH0001</t>
  </si>
  <si>
    <t>CHUMACERA (UCPA 204) 3/4"</t>
  </si>
  <si>
    <t>CH73</t>
  </si>
  <si>
    <t>CHUMACERA AUTOALINEABLE ALTA ARMADA CON RÓTULA DE BRONCE</t>
  </si>
  <si>
    <t>CHUMACERA AUTALIN ALTA ARM ROTULA BRONCE</t>
  </si>
  <si>
    <t>CH72</t>
  </si>
  <si>
    <t>CHUMACERA AUTOALINEABLE ALTA ARMADA CON RÓTULA DE ESTÉREO CARBÓN</t>
  </si>
  <si>
    <t>CHUMACERA AUTALIN ALTA ARM RUTUL ESTCARB</t>
  </si>
  <si>
    <t>CH74</t>
  </si>
  <si>
    <t>CHUMACERA AUTOALINEABLE ALTA ARMADA CON RÓTULA DE FIERRO</t>
  </si>
  <si>
    <t>CHUMACERA AUTALIN ALTA ARM ROTULA FIERRO</t>
  </si>
  <si>
    <t>CH04</t>
  </si>
  <si>
    <t>CHUMACERA AUTOALINEABLE ALTA SOLA</t>
  </si>
  <si>
    <t>CHUMACERA AUTALIN ALTA SOLA</t>
  </si>
  <si>
    <t>CH75</t>
  </si>
  <si>
    <t>CHUMACERA AUTOALINEABLE BAJA ARMADA CON RÓTULA DE BRONCE</t>
  </si>
  <si>
    <t>CHUMACERA AUTALIN BAJA ARM ROTULA BRONCE</t>
  </si>
  <si>
    <t>CH76</t>
  </si>
  <si>
    <t>CHUMACERA AUTOALINEABLE BAJA ARMADA CON RÓTULA DE ESTÉREO CARBÓN</t>
  </si>
  <si>
    <t>CHUMACERA AUTALIN BAJA ARM ROTUL ESTCARB</t>
  </si>
  <si>
    <t>CH77</t>
  </si>
  <si>
    <t>CHUMACERA AUTOALINEABLE BAJA ARMADA CON RÓTULA DE FIERRO</t>
  </si>
  <si>
    <t>CHUMACERA AUTALIN BAJA ARM ROTULA FIERRO</t>
  </si>
  <si>
    <t>CH05</t>
  </si>
  <si>
    <t>CHUMACERA AUTOALINEABLE BAJA SOLA</t>
  </si>
  <si>
    <t>CHUMACERA AUTALIN BAJA SOLA</t>
  </si>
  <si>
    <t>CH55</t>
  </si>
  <si>
    <t>CHUMACERA AXIAL DE 1" 1/2, 2 BARRENOS, CON BALERO, PARA MOLINO DE CONO</t>
  </si>
  <si>
    <t>CHUMAC AXIAL 1" 1/2, 2BARR C/BAL MOLCONO</t>
  </si>
  <si>
    <t>CH41</t>
  </si>
  <si>
    <t>CHUMACERA AXIAL PARA MOLINO TOLUCA # 2 SIN BALERO</t>
  </si>
  <si>
    <t>CHUMACERA AXIAL P/MOLINO TOLUCA2 S/BALER</t>
  </si>
  <si>
    <t>CH39</t>
  </si>
  <si>
    <t>CHUMACERA AXIAL TIPO TOLUCA NO.1</t>
  </si>
  <si>
    <t>CH42</t>
  </si>
  <si>
    <t>CHUMACERA AXIAL TIPO TOLUCA NO.3</t>
  </si>
  <si>
    <t>CH33</t>
  </si>
  <si>
    <t>CHUMACERA CENTRAL PARA MOLINO TOLUCA #1</t>
  </si>
  <si>
    <t>CH58</t>
  </si>
  <si>
    <t>CHUMACERA CENTRAL PARA MOLINO TOLUCA #3</t>
  </si>
  <si>
    <t>CH36</t>
  </si>
  <si>
    <t>CHUMACERA COLGANTE DE 1" (UCHA 205-16)</t>
  </si>
  <si>
    <t>CH09</t>
  </si>
  <si>
    <t>CHUMACERA CUADRADA DÚPLEX ENTRADA 3/4</t>
  </si>
  <si>
    <t>CHUMACERA CUADRADA DPLX ENTRADA 3/4</t>
  </si>
  <si>
    <t>CH10</t>
  </si>
  <si>
    <t>CHUMACERA CUADRADA SENCILLA ENTRADA 5/8</t>
  </si>
  <si>
    <t>CH56</t>
  </si>
  <si>
    <t>CHUMACERA CUADRADA SENCILLA ENTRADA 5/8 CON BALERO</t>
  </si>
  <si>
    <t>CHUMACERA CUADRADA SENC ENT 5/8 C/BALERO</t>
  </si>
  <si>
    <t>CH11</t>
  </si>
  <si>
    <t>CHUMACERA DE 45 GRADOS PARA RODILLO TRANSPORTADOR</t>
  </si>
  <si>
    <t>CHUMACERA 45 GRADOS P/RODILLO TRANSPORT</t>
  </si>
  <si>
    <t>CH12</t>
  </si>
  <si>
    <t>CHUMACERA DE ACEITE PARA RODILLO TV-50 (B.C.)</t>
  </si>
  <si>
    <t>CHUMACERA DE ACEITE PARA RODILLO TV50 BC</t>
  </si>
  <si>
    <t>CH13</t>
  </si>
  <si>
    <t>CHUMACERA DE BASE PLANA PARA RODILLO MODELO ANTERIOR</t>
  </si>
  <si>
    <t>CHUMACERA DE BASE PLANA PARA RODILLO MA</t>
  </si>
  <si>
    <t>CH43</t>
  </si>
  <si>
    <t>CHUMACERA DE BATIDOR PARA MOLINO CAMARADA</t>
  </si>
  <si>
    <t>CHUMACERA DE BATIDOR P/MOLINO CAMARADA</t>
  </si>
  <si>
    <t>CH14</t>
  </si>
  <si>
    <t>CHUMACERA DE BRONCE ARMADA PARA TRANSPORTADOR</t>
  </si>
  <si>
    <t>CHUMACERA BRONCE ARM PARA TRANSPORTADOR</t>
  </si>
  <si>
    <t>CH48</t>
  </si>
  <si>
    <t>CHUMACERA DE BRONCE PARA COLUMPIO DE CABEZAL RESTAURANTERO</t>
  </si>
  <si>
    <t>CHUMACERA BRONCE P/COLUMPIO CABEZAL REST</t>
  </si>
  <si>
    <t>CH15</t>
  </si>
  <si>
    <t>CHUMACERA DE BRONCE SOLA PARA TRANSPORTADOR</t>
  </si>
  <si>
    <t>CHUMACERA BRONCE SOLA PARA TRANSPORTADOR</t>
  </si>
  <si>
    <t>CH16</t>
  </si>
  <si>
    <t>CHUMACERA DE CAJA PARA FLECHA DE LEVA MODELO ANTERIOR</t>
  </si>
  <si>
    <t>CHUMACERA CAJA P/FLECHA D/LEVA MA</t>
  </si>
  <si>
    <t>CH17</t>
  </si>
  <si>
    <t>CHUMACERA DE CAJA PARA FLECHA DE LEVA TV-50 (B.C.)</t>
  </si>
  <si>
    <t>CHUMACERA D/CAJA P/FLECHA D/LEVA TV50 BC</t>
  </si>
  <si>
    <t>CH18</t>
  </si>
  <si>
    <t>CHUMACERA DE CAJA PARA FLECHA PRINCIPAL DÚPLEX</t>
  </si>
  <si>
    <t>CHUMACERA D/CAJA P/FLECHA PRINCIPAL DPLX</t>
  </si>
  <si>
    <t>CH34</t>
  </si>
  <si>
    <t>CHUMACERA DE COCOL 1" UCFL 205-16</t>
  </si>
  <si>
    <t>CH51</t>
  </si>
  <si>
    <t>CHUMACERA DE COCOL 205</t>
  </si>
  <si>
    <t>CH50</t>
  </si>
  <si>
    <t>CHUMACERA DE COCOL DE 1 1/2 (UCFL208-24) PARA MOLINO CAMARADA</t>
  </si>
  <si>
    <t>CHUMACERA COCOL 1 1/2 UCFL208-24 MOL CAM</t>
  </si>
  <si>
    <t>CH35</t>
  </si>
  <si>
    <t>CHUMACERA DE COCOL DE 3/4</t>
  </si>
  <si>
    <t>CH49</t>
  </si>
  <si>
    <t>CHUMACERA DE FIERRO COLADO CON AJUSTE DE BALERO 32209 CON BALERO PARA MOLINO CAMARADA</t>
  </si>
  <si>
    <t>CHUMACERA F.COLAD BALR 32209  MOL CAMARD</t>
  </si>
  <si>
    <t>CH54</t>
  </si>
  <si>
    <t>CHUMACERA DE FIERRO COLADO CON BALERO 32209 PARA MOLINO DE CONO</t>
  </si>
  <si>
    <t>CHUMACERA FIERRO C/BALERO32209 MOL CONO</t>
  </si>
  <si>
    <t>CH59</t>
  </si>
  <si>
    <t>CHUMACERA DE FIERRO COLADO SIN BALERO 32209 PARA MOLINO DE CONO</t>
  </si>
  <si>
    <t>CHUMACERA FIERRO S/BALERO32209 MOL CONO</t>
  </si>
  <si>
    <t>CH20</t>
  </si>
  <si>
    <t>CHUMACERA DE PARED 1" UCF205-16</t>
  </si>
  <si>
    <t>CHUMACERA PARED 1 UCF205-16</t>
  </si>
  <si>
    <t>CH21</t>
  </si>
  <si>
    <t>CHUMACERA DE PARED 1"1/4 UCF207-20</t>
  </si>
  <si>
    <t>CHUMACERA PARED 1 1/4 UCF207-20</t>
  </si>
  <si>
    <t>CH19</t>
  </si>
  <si>
    <t>CHUMACERA DE PARED 3/4 UCF204-12</t>
  </si>
  <si>
    <t>CHUMACERA PARED 3/4 UCF204-12</t>
  </si>
  <si>
    <t>CH23</t>
  </si>
  <si>
    <t>CHUMACERA DE PISO 1" UCP205-16</t>
  </si>
  <si>
    <t>CHUMACERA PISO 1 UCP205-16</t>
  </si>
  <si>
    <t>CH24</t>
  </si>
  <si>
    <t>CHUMACERA DE PISO 1"1/4 UCP207-20</t>
  </si>
  <si>
    <t>CHUMACERA PISO 1 1/4 UCP207-20</t>
  </si>
  <si>
    <t>CH22</t>
  </si>
  <si>
    <t>CHUMACERA DE PISO 3/4 UCP204-12</t>
  </si>
  <si>
    <t>CHUMACERA PISO 3/4 UCP204-12</t>
  </si>
  <si>
    <t>CH71</t>
  </si>
  <si>
    <t>CHUMACERA DE PISO SIN OREJAS 3/4 UCPA204-12</t>
  </si>
  <si>
    <t>CHUMACERA PISO S/OREJAS 3/4 UCPA204-12</t>
  </si>
  <si>
    <t>CH25</t>
  </si>
  <si>
    <t>CHUMACERA ESCUADRA DÚPLEX DERECHA "TIPO J" PARA FLECHA EXCÉNTRICA</t>
  </si>
  <si>
    <t>CHUMACERA ESCUDR DPLX DER J FLE EXCNTRIC</t>
  </si>
  <si>
    <t>CH26</t>
  </si>
  <si>
    <t>CHUMACERA ESCUADRA DÚPLEX IZQUIERDA "TIPO L" PARA FLECHA EXCÉNTRICA</t>
  </si>
  <si>
    <t>CHUMACERA ESCUDR DPLX IZQ L FLE EXCNTRIC</t>
  </si>
  <si>
    <t>CH27</t>
  </si>
  <si>
    <t>CHUMACERA ESCUADRA SENCILLA DERECHA "TIPO J" PARA FLECHA EXCÉNTRICA</t>
  </si>
  <si>
    <t>CHUMACERA ESCUDR SENC DER J FLE EXCNTRIC</t>
  </si>
  <si>
    <t>CH28</t>
  </si>
  <si>
    <t>CHUMACERA ESCUADRA SENCILLA IZQUIERDA "TIPO L" PARA FLECHA EXCÉNTRICA</t>
  </si>
  <si>
    <t>CHUMACERA ESCUDR SENC IZQ L FLE EXCNTRIC</t>
  </si>
  <si>
    <t>CH29</t>
  </si>
  <si>
    <t>CHUMACERA ESPECIAL PARA FLECHA SENCILLA REFORZADA</t>
  </si>
  <si>
    <t>CHUMACERA ESP P/FLECHA SENC REFORZADA</t>
  </si>
  <si>
    <t>CH47</t>
  </si>
  <si>
    <t>CHUMACERA IZQUIERDA O DERECHA PARA FLECHA DE CONTRAPESO PARA MOLINO DE CONO</t>
  </si>
  <si>
    <t>CHUMACERA IZQ/DER P/FLEC CONT P/MOL CONO</t>
  </si>
  <si>
    <t>CH30</t>
  </si>
  <si>
    <t>CHUMACERA P/ENFRIADOR DE FIERRO COLADO</t>
  </si>
  <si>
    <t>CH60</t>
  </si>
  <si>
    <t>CHUMACERA PARA COMPUERTA PARA MOLINO DE CONO</t>
  </si>
  <si>
    <t>CHUMACERA P/COMPUERTA P/MOLINO DE CONO</t>
  </si>
  <si>
    <t>CH61</t>
  </si>
  <si>
    <t>CHUMACERA PARA TROMPO PARA MOLINO DE CONO</t>
  </si>
  <si>
    <t>CHUMACERA P/TROMPO P/MOLINO DE CONO</t>
  </si>
  <si>
    <t>CH31</t>
  </si>
  <si>
    <t>CHUMACERA REDONDA CHICA PARA RODILLO MODELO ANTERIOR</t>
  </si>
  <si>
    <t>CHUMACERA REDONDA CHICA P/RODILLO MA</t>
  </si>
  <si>
    <t>CH32</t>
  </si>
  <si>
    <t>CHUMACERA REDONDA GRANDE PARA RODILLO MODELO ANTERIOR</t>
  </si>
  <si>
    <t>CHUMACERA REDONDA GDE P/RODILLO MA</t>
  </si>
  <si>
    <t>CH64</t>
  </si>
  <si>
    <t>CHUMACERA TENSORA DE 1 1/4"</t>
  </si>
  <si>
    <t>CH62</t>
  </si>
  <si>
    <t>CHUMACERA TENSORA DE 1''</t>
  </si>
  <si>
    <t>CHU009</t>
  </si>
  <si>
    <t>CHUMACERA TIPO COCOL 1 1/4 (UCFL 207-20)</t>
  </si>
  <si>
    <t>CH66</t>
  </si>
  <si>
    <t>CHUMACERA TIPO TOLUCA NO.2</t>
  </si>
  <si>
    <t>CH67</t>
  </si>
  <si>
    <t>CHUMACERA TIPO TOLUCA NO.3</t>
  </si>
  <si>
    <t>MH81</t>
  </si>
  <si>
    <t xml:space="preserve">CILINDRO DE PVC PARA BOLEADORA </t>
  </si>
  <si>
    <t>CI96</t>
  </si>
  <si>
    <t>CILINDRO PARA ACOMODADOR AUTOMÁTICO NUMERO 12</t>
  </si>
  <si>
    <t>CILINDRO P/ACOMODADOR AUTOMATICO NO.12</t>
  </si>
  <si>
    <t>CI97</t>
  </si>
  <si>
    <t>CILINDRO PARA ACOMODADOR AUTOMÁTICO NUMERO 16</t>
  </si>
  <si>
    <t>CILINDRO /ACOMODADOR AUTOMATICO NO.16</t>
  </si>
  <si>
    <t>CI94</t>
  </si>
  <si>
    <t>CINCHO DE 67CM</t>
  </si>
  <si>
    <t>CI92</t>
  </si>
  <si>
    <t>CINCHO DE 68 CM PARA MÁQUINA CUÁDRUPLE</t>
  </si>
  <si>
    <t>CINCHO 71 CM P/MAQ CUÁDRUPLE</t>
  </si>
  <si>
    <t>CI102</t>
  </si>
  <si>
    <t>CINCHO PARA MÁQUINA DE (RODILLOS 4") RESTAURANTERA CHICO</t>
  </si>
  <si>
    <t>CINCHO P/MAQ DE RODILLO 4PULG REST CHICO</t>
  </si>
  <si>
    <t>cambiar precio</t>
  </si>
  <si>
    <t>CI98</t>
  </si>
  <si>
    <t>CINCHO PARA MÁQUINA DE (RODILLOS 6") PONY</t>
  </si>
  <si>
    <t>CINCHO P/MAQUINA DE RODILLOS 6PULG PONY</t>
  </si>
  <si>
    <t>CI99</t>
  </si>
  <si>
    <t>CINCHO PARA MÁQUINA DE (RODILLOS 8") SENCILLA</t>
  </si>
  <si>
    <t>CINCHO P/MAQUINA DE RODILLOS 8PULG SENC</t>
  </si>
  <si>
    <t>CI95</t>
  </si>
  <si>
    <t>CINCHO PARA MAQUINA DE RODILLOS DE 74 CM</t>
  </si>
  <si>
    <t>CI93</t>
  </si>
  <si>
    <t>CINCHO PARA MAQUINA DE RODILLOS ESPECIAL DE 39 CM DE LARGO Y DOS PERFORACIONES</t>
  </si>
  <si>
    <t>CINCHO P/MAQ  RODILLOS ESP 39CM 2 PERF</t>
  </si>
  <si>
    <t>CI100</t>
  </si>
  <si>
    <t>CINCHO PARA RODILLO 8" X 71 CM LARGO</t>
  </si>
  <si>
    <t>CI101</t>
  </si>
  <si>
    <t>CINCHO PARA RODILLOS DE 8.5" X 72 CM DE LARGO</t>
  </si>
  <si>
    <t>CINCHO P/RODILLOS 8.5" X 72 CM</t>
  </si>
  <si>
    <t>CI103</t>
  </si>
  <si>
    <t>CINCHOS PARA MAQUINA TW-100</t>
  </si>
  <si>
    <t>CI104</t>
  </si>
  <si>
    <t>CINCHOS PARA RODILLO METALICO</t>
  </si>
  <si>
    <t>CT01</t>
  </si>
  <si>
    <t>CINTURÓN PARA TRINQUETE</t>
  </si>
  <si>
    <t>CINTURON PARA TRINQUETE</t>
  </si>
  <si>
    <t>CL0001</t>
  </si>
  <si>
    <t>CLEMAS DE 4 BORNES</t>
  </si>
  <si>
    <t>CD20</t>
  </si>
  <si>
    <t>CODO DE 1/4"</t>
  </si>
  <si>
    <t>CD21</t>
  </si>
  <si>
    <t>CODO GALVANIZADO DE 1/2"</t>
  </si>
  <si>
    <t>CD0003</t>
  </si>
  <si>
    <t>CODO GALVANIZADO DE 1/2" -TORTIMEX -CD0003</t>
  </si>
  <si>
    <t>CD0001</t>
  </si>
  <si>
    <t>CODO GALVANIZADO DE 1/2" 90°</t>
  </si>
  <si>
    <t>CC01</t>
  </si>
  <si>
    <t>COLA DE MILANO DÚPLEX</t>
  </si>
  <si>
    <t>COLA DE MILANO DPLX</t>
  </si>
  <si>
    <t>CC02</t>
  </si>
  <si>
    <t>COLA DE MILANO SENCILLA</t>
  </si>
  <si>
    <t>CL01</t>
  </si>
  <si>
    <t>COLLARÍN DE BRONCE</t>
  </si>
  <si>
    <t>COLLARIN DE BRONCE</t>
  </si>
  <si>
    <t>CL02</t>
  </si>
  <si>
    <t>COLLARÍN DE FIERRO DÚPLEX CON RANURA</t>
  </si>
  <si>
    <t>COLLARIN DE FIERRO DPLX CON RANURA</t>
  </si>
  <si>
    <t>CL02C</t>
  </si>
  <si>
    <t>COLLARÍN DE FIERRO DUPLEX CON RANURA TIPO C</t>
  </si>
  <si>
    <t>CL03C</t>
  </si>
  <si>
    <t>COLLARIN DE FIERRO DUPLEX SIN RANURA</t>
  </si>
  <si>
    <t>CL03</t>
  </si>
  <si>
    <t>COLLARÍN DE FIERRO DÚPLEX SIN RANURA</t>
  </si>
  <si>
    <t>COLLARIN DE FIERRO DPLX SIN RANURA</t>
  </si>
  <si>
    <t>CL04C</t>
  </si>
  <si>
    <t>COLLARIN DE FIERRO SENCILLO CON RANURA</t>
  </si>
  <si>
    <t>CL04</t>
  </si>
  <si>
    <t>COLLARÍN DE FIERRO SENCILLO CON RANURA</t>
  </si>
  <si>
    <t>CL06C</t>
  </si>
  <si>
    <t>COLLARIN DE FIERRO SENCILLO CON RANURA Y ALETA</t>
  </si>
  <si>
    <t>COLLARIN FIERRO SENCILL C/RANURA Y ALETA</t>
  </si>
  <si>
    <t>CL05</t>
  </si>
  <si>
    <t>COLLARÍN DE FIERRO SENCILLO SIN RANURA</t>
  </si>
  <si>
    <t>COLLARIN DE FIERRO SENCILLO SIN RANURA</t>
  </si>
  <si>
    <t>CL05C</t>
  </si>
  <si>
    <t>CL06</t>
  </si>
  <si>
    <t>COLLARÍN ESPECIAL DÚPLEX EN ACERO 9840</t>
  </si>
  <si>
    <t>COLLARIN ESPECIAL DPLX EN ACERO 9840</t>
  </si>
  <si>
    <t>CL07</t>
  </si>
  <si>
    <t>COLLARÍN ESPECIAL SENCILLO EN ACERO 9840</t>
  </si>
  <si>
    <t>COLLARIN ESPECIAL SENCILLO EN ACERO 9840</t>
  </si>
  <si>
    <t>CL11</t>
  </si>
  <si>
    <t>COLLARIN GALVANIZADO  INT 3/4 PARA CORTADOR</t>
  </si>
  <si>
    <t>COLLARIN GALVANIZADO  INT 3/4 P/CORTADOR</t>
  </si>
  <si>
    <t>CL12</t>
  </si>
  <si>
    <t>COLLARIN GALVANIZADO INT 3/4"P/TENSOR</t>
  </si>
  <si>
    <t>CL08</t>
  </si>
  <si>
    <t>COLLARÍN PARA ENGRANE DE 16 DTS PARA VÁLVULA CARBURADORA</t>
  </si>
  <si>
    <t>COLLARIN P/ENGRANE 16 DTS PARA VALV CARB</t>
  </si>
  <si>
    <t>CL10</t>
  </si>
  <si>
    <t>COLLARÍN PARA RODILLO (B.C.) 1"</t>
  </si>
  <si>
    <t>CL09</t>
  </si>
  <si>
    <t>COLLARÍN PARA RODILLO (B.C.) 15/16</t>
  </si>
  <si>
    <t>COLLARIN PARA RODILLO BC 15/16</t>
  </si>
  <si>
    <t>CL09C</t>
  </si>
  <si>
    <t>COLLARIN PARA RODILLO (B.C) 15/16</t>
  </si>
  <si>
    <t>CU04</t>
  </si>
  <si>
    <t>COLUMPIO ARMADO NUEVO DISEÑO WALMART</t>
  </si>
  <si>
    <t>CU01</t>
  </si>
  <si>
    <t>COLUMPIO DÚPLEX</t>
  </si>
  <si>
    <t>COLUMPIO DPLX</t>
  </si>
  <si>
    <t>CU09</t>
  </si>
  <si>
    <t>COLUMPIO ESPECIAL DE 23.5 CM DE ANCHO PARA MÁQUINA BC</t>
  </si>
  <si>
    <t>COLUMPIO ESP 23.5CM ANCHO P/MAQ BC</t>
  </si>
  <si>
    <t>CU03</t>
  </si>
  <si>
    <t>COLUMPIO MERIDA</t>
  </si>
  <si>
    <t>CU05</t>
  </si>
  <si>
    <t>COLUMPIO PARA LENGÜETA PARA MOLINO CAMARADA</t>
  </si>
  <si>
    <t>COLUMPIO P/LENG P/MOL CAMARADA</t>
  </si>
  <si>
    <t>CU02</t>
  </si>
  <si>
    <t>COLUMPIO SENCILLO</t>
  </si>
  <si>
    <t>CU06</t>
  </si>
  <si>
    <t xml:space="preserve">COLUMPIO TVRS </t>
  </si>
  <si>
    <t>BM74</t>
  </si>
  <si>
    <t>COMAL 94 TABLETAS W-100</t>
  </si>
  <si>
    <t>BM112</t>
  </si>
  <si>
    <t>COMAL 96 TABLETAS W-100</t>
  </si>
  <si>
    <t>MG43</t>
  </si>
  <si>
    <t>COMAL GIRATORIO PARA RESTAURANTE</t>
  </si>
  <si>
    <t>MH37</t>
  </si>
  <si>
    <t>COMAL HORIZONTAL DE 1.80 DE LARGO X 90 DE ANCHO</t>
  </si>
  <si>
    <t>MH10</t>
  </si>
  <si>
    <t>COMAL TRADICIONAL RECTANGULAR PLANO CHICO 1 M</t>
  </si>
  <si>
    <t>MH11</t>
  </si>
  <si>
    <t>COMAL TRADICIONAL RECTANGULAR PLANO GRANDE 1.4 M</t>
  </si>
  <si>
    <t>CMW001</t>
  </si>
  <si>
    <t>COMAL W-50 68 TABLETAS</t>
  </si>
  <si>
    <t>CMW003</t>
  </si>
  <si>
    <t>COMAL W-50 70 TABLETAS</t>
  </si>
  <si>
    <t>MX39</t>
  </si>
  <si>
    <t>COMPUERTA DE 4'' Y UN CODO DE ACERO INOX 304 A PAILA DE 150, 200, 300, 500, 750 Y 1000 KG</t>
  </si>
  <si>
    <t>MX51</t>
  </si>
  <si>
    <t>COMPUERTA DE 8'' Y UN CODO DE ACERO INOX 304 A PAILA DE 150, 200, 300, 500, 750 Y 1000 KG</t>
  </si>
  <si>
    <t>MX52</t>
  </si>
  <si>
    <t>COMPUERTA DE 8", CODO EN ACERO INOX. 304, 2 BRIDAS, TRAMO DE TUBO (SIN COLOCAR EN PAILA)</t>
  </si>
  <si>
    <t>CU07</t>
  </si>
  <si>
    <t>COMPUERTA DE MARIPOSA DE 8''</t>
  </si>
  <si>
    <t>COMPUERTA DE MARIPOSA 8''</t>
  </si>
  <si>
    <t>CY01</t>
  </si>
  <si>
    <t>COMPUERTA PARA VÁLVULA</t>
  </si>
  <si>
    <t>COMPUERTA PARA VALVULA</t>
  </si>
  <si>
    <t>CQ01</t>
  </si>
  <si>
    <t>CONDUCTO ARMADO MODELO ANTERIOR</t>
  </si>
  <si>
    <t>CQ02</t>
  </si>
  <si>
    <t>CONDUCTO ARMADO TV-50 (B.C.),TV-30 TV-40</t>
  </si>
  <si>
    <t>CONDUCTO ARMADO TV-50 BC,TV-30 TV-40</t>
  </si>
  <si>
    <t>CQ03</t>
  </si>
  <si>
    <t>CONDUCTO SOLO MODELO ANTERIOR</t>
  </si>
  <si>
    <t>CQ04</t>
  </si>
  <si>
    <t>CONDUCTO SOLO TV-50 (B.C.),TV-30 TV-40</t>
  </si>
  <si>
    <t>CONDUCTO SOLO TV30/40/50/BC</t>
  </si>
  <si>
    <t>CNT001</t>
  </si>
  <si>
    <t>CONECTOR DE USO RUDO 3/8</t>
  </si>
  <si>
    <t>CNT002</t>
  </si>
  <si>
    <t>CONECTOR DE USO RUDO 3/8 DE 90°</t>
  </si>
  <si>
    <t>TV06</t>
  </si>
  <si>
    <t>CONO ACERO INOXIDABLE T-430 PARA MOLINO CONO</t>
  </si>
  <si>
    <t>CONO ACERO INOX T-430 PARA MOLINO CONO</t>
  </si>
  <si>
    <t>MH80</t>
  </si>
  <si>
    <t>CONO PARA BOLEADORA</t>
  </si>
  <si>
    <t>CN01</t>
  </si>
  <si>
    <t>CONSERVADOR I ULTRA 1 KG.</t>
  </si>
  <si>
    <t>CONSERVADOR I ULTRA 1 KG</t>
  </si>
  <si>
    <t>CN03</t>
  </si>
  <si>
    <t>CONSERVADOR I ULTRA 25 KG. (BULTO)</t>
  </si>
  <si>
    <t>CONSERVADOR I ULTRA 25 KG BULTO</t>
  </si>
  <si>
    <t>CN02</t>
  </si>
  <si>
    <t>CONSERVADOR I ULTRA 5 KG.</t>
  </si>
  <si>
    <t>CONSERVADOR I ULTRA 5 KG</t>
  </si>
  <si>
    <t>CN04</t>
  </si>
  <si>
    <t>CONSERVADOR II ULTRA 1 KG.</t>
  </si>
  <si>
    <t>CONSERVADOR II ULTRA 1 KG</t>
  </si>
  <si>
    <t>CN06</t>
  </si>
  <si>
    <t>CONSERVADOR II ULTRA 25 KG. (BULTO)</t>
  </si>
  <si>
    <t>CONSERVADOR II ULTRA 25 KG BULTO</t>
  </si>
  <si>
    <t>CN05</t>
  </si>
  <si>
    <t>CONSERVADOR II ULTRA 5 KG.</t>
  </si>
  <si>
    <t>CONSERVADOR II ULTRA 5 KG</t>
  </si>
  <si>
    <t>CTT0001</t>
  </si>
  <si>
    <t>CONTACTO TRIFASICO 127V APIKE -TORTIMEX -CTT0001</t>
  </si>
  <si>
    <t>CONTACTO TRIFASICO 127V APIKE</t>
  </si>
  <si>
    <t>CT02</t>
  </si>
  <si>
    <t>CONTACTOR  LC1 D25 10 (127V 50/60Hz G7)</t>
  </si>
  <si>
    <t>CONTACTOR LCC-D25 G7 127 VOLTS</t>
  </si>
  <si>
    <t>CN0001</t>
  </si>
  <si>
    <t>CONTACTOR TRIFASICO 127V APIKE</t>
  </si>
  <si>
    <t>CT09</t>
  </si>
  <si>
    <t>CONTRAPESO PARA MOLINO DE CONO</t>
  </si>
  <si>
    <t>CF99</t>
  </si>
  <si>
    <t>COPLE CINTURÓN EN ACERO INOX. T-304 GRADO ALIMENTICIO PARA TUBO DE RECIRCULACIÓN</t>
  </si>
  <si>
    <t>COPLE CINTURON INOX P/TUBO RECIRCULACION</t>
  </si>
  <si>
    <t>CF03</t>
  </si>
  <si>
    <t>COPLE DE 3/8"</t>
  </si>
  <si>
    <t>CF01</t>
  </si>
  <si>
    <t>COPLE DÚPLEX PARA TUBO DE RECIRCULACIÓN</t>
  </si>
  <si>
    <t>COPLE DPLX PARA TUBO DE RECIRCULACION</t>
  </si>
  <si>
    <t>CF98</t>
  </si>
  <si>
    <r>
      <rPr>
        <rFont val="Didact Gothic"/>
        <sz val="9.0"/>
      </rPr>
      <t xml:space="preserve">COPLE SENCILLO EN ACERO INOX. T-304 </t>
    </r>
    <r>
      <rPr>
        <rFont val="Didact Gothic"/>
        <sz val="9.0"/>
      </rPr>
      <t>GRADO ALIMENTICIO</t>
    </r>
    <r>
      <rPr>
        <rFont val="Didact Gothic"/>
        <sz val="9.0"/>
      </rPr>
      <t xml:space="preserve"> PARA TUBO DE RECIRCULACIÓN</t>
    </r>
  </si>
  <si>
    <t>COPLE SENCILLO INOX P/TUBO RECIRCULACION</t>
  </si>
  <si>
    <t>CF02C</t>
  </si>
  <si>
    <t>COPLE SENCILLO PARA TUBO DE RECIRCULACION</t>
  </si>
  <si>
    <t>CF02</t>
  </si>
  <si>
    <t>COPLE SENCILLO PARA TUBO DE RECIRCULACIÓN</t>
  </si>
  <si>
    <t>COPLE SENCILLO P/TUBO DE RECIRCULACION</t>
  </si>
  <si>
    <t>CZ03</t>
  </si>
  <si>
    <t>CORAZA ARMADA PARA VENTILADOR</t>
  </si>
  <si>
    <t>CZ02</t>
  </si>
  <si>
    <t>CORAZA DERECHA SOLA PARA VENTILADOR</t>
  </si>
  <si>
    <t>CZ01</t>
  </si>
  <si>
    <t>CORAZA IZQUIERDA SOLA PARA VENTILADOR</t>
  </si>
  <si>
    <t>CO110</t>
  </si>
  <si>
    <t xml:space="preserve">CORONA BARRENO CHICO SIN RANURA </t>
  </si>
  <si>
    <t>CO111</t>
  </si>
  <si>
    <t xml:space="preserve">CORONA BARRENO GRANDE SIN RANURA </t>
  </si>
  <si>
    <t>CO12</t>
  </si>
  <si>
    <t>CORONA BRONCE CORAZON ACERO VERDUZCO</t>
  </si>
  <si>
    <t>CO01C</t>
  </si>
  <si>
    <t>CORONA DE ACERO DUPLEX (FUNDICION)</t>
  </si>
  <si>
    <t>CO01</t>
  </si>
  <si>
    <t>CORONA DE ACERO DÚPLEX (FUNDICIÓN)</t>
  </si>
  <si>
    <t>CORONA DE ACERO DPLX (FUNDICION)</t>
  </si>
  <si>
    <t>CO02C</t>
  </si>
  <si>
    <t>CORONA DE ACERO DUPLEX REFORZADA (MAQUINADA)</t>
  </si>
  <si>
    <t>CO02</t>
  </si>
  <si>
    <t>CORONA DE ACERO DÚPLEX REFORZADA (MAQUINADA)</t>
  </si>
  <si>
    <t>CORONA DE ACERO DPLX REFORZADA MAQUINADA</t>
  </si>
  <si>
    <t>CO03</t>
  </si>
  <si>
    <t>CORONA DE ACERO SENCILLA (FUNDICIÓN)</t>
  </si>
  <si>
    <t>CORONA DE ACERO SENCILLA FUNDICION</t>
  </si>
  <si>
    <t>CO13</t>
  </si>
  <si>
    <t>CORONA DE ACERO SENCILLA DE 20 DTS K-100</t>
  </si>
  <si>
    <t>CORONA DE ACERO SENCILLA 20 DTES K-100</t>
  </si>
  <si>
    <t>CO03C</t>
  </si>
  <si>
    <t>CORONA DE ACERO SENCILLA FUNDICIÓN TIPO CELORIO</t>
  </si>
  <si>
    <t>CO04C</t>
  </si>
  <si>
    <t>CORONA DE ACERO SENCILLA REFORZADA TIPO CELORIO</t>
  </si>
  <si>
    <t>CO04</t>
  </si>
  <si>
    <t>CORONA DE ACERO SENCILLO REFORZADA (MAQUINADA)</t>
  </si>
  <si>
    <t>CORONA DE ACERO SENC REFORZADA MAQUINADA</t>
  </si>
  <si>
    <t>CO05C</t>
  </si>
  <si>
    <t>CORONA DE BRONCE</t>
  </si>
  <si>
    <t>CO14</t>
  </si>
  <si>
    <t>CORONA DE BRONCE P/ REDUCTOR 80</t>
  </si>
  <si>
    <t>CO06C</t>
  </si>
  <si>
    <t>CORONA DE BRONCE REFORZADA</t>
  </si>
  <si>
    <t>CO06</t>
  </si>
  <si>
    <t>CORONA DE BRONCE REFORZADA VERDUZCO</t>
  </si>
  <si>
    <t>CORONA DE BRONCE REFORZADA VER</t>
  </si>
  <si>
    <t>CO09</t>
  </si>
  <si>
    <t>CORONA DE BRONCE TIPO A VERDUZCO</t>
  </si>
  <si>
    <t>CORONA DE BRONCE TIPO A VER</t>
  </si>
  <si>
    <t>CO10</t>
  </si>
  <si>
    <t>CORONA DE BRONCE TIPO AA VERDUZCO</t>
  </si>
  <si>
    <t>CORONA DE BRONCE TIPO AA VER</t>
  </si>
  <si>
    <t>CO15</t>
  </si>
  <si>
    <t>CORONA DE BRONCE TIPO C VERDUZCO</t>
  </si>
  <si>
    <t>CORONA DE BRONCE TIPO C VER</t>
  </si>
  <si>
    <t>CO05</t>
  </si>
  <si>
    <t>CORONA DE BRONCE VERDUZCO</t>
  </si>
  <si>
    <t>CORONA DE BRONCE VER</t>
  </si>
  <si>
    <t>CO07</t>
  </si>
  <si>
    <t>CORONA DE FIERRO COLADO DE 18 DTS</t>
  </si>
  <si>
    <t>CORONA DE FIERRO COLADO DE 18 DTES</t>
  </si>
  <si>
    <t>CO08</t>
  </si>
  <si>
    <t>CORTADOR # 9 AL # 20 DE CABEZAL RES/ DE RODILLOS DE PIEDRA</t>
  </si>
  <si>
    <t>CORTADOR 9 -20CM MAQ REST ROD DE PIEDRA</t>
  </si>
  <si>
    <t>MT16</t>
  </si>
  <si>
    <t>CORTADOR DE JULIANAS</t>
  </si>
  <si>
    <t>MT15</t>
  </si>
  <si>
    <t>CORTADOR DE TOTOPOS (OPCIONAL DE 4 Ó 6 DIVISIONES)</t>
  </si>
  <si>
    <t>RC142</t>
  </si>
  <si>
    <t>CORTADOR PARA CABEZAL RESTAURANTERO DE AREPA 14CM</t>
  </si>
  <si>
    <t>CORTADOR AREPA MAQ ROD RESTAURANTERO</t>
  </si>
  <si>
    <t>MH13</t>
  </si>
  <si>
    <t>CORTADORA AUTOMÁTICA</t>
  </si>
  <si>
    <t>MH41</t>
  </si>
  <si>
    <t>CORTADORA BOLEADORA</t>
  </si>
  <si>
    <t>MT14</t>
  </si>
  <si>
    <t>CORTADORA DE TOTOPOS Y JULIANAS (PARA CHILAQUILES Y SOPA AZTECA) CON 1 CORTADORES  (DESCONTINUADO ULTIMA ACTUALIZACION 14-02-2019)</t>
  </si>
  <si>
    <t>MT20</t>
  </si>
  <si>
    <t>CORTADORA DE TOTOPOS Y JULIANAS GRANDE (PARA CHILAQUILES Y SOPA AZTECA) CON 1 CORTADORES</t>
  </si>
  <si>
    <t>MH38</t>
  </si>
  <si>
    <t>CORTADORA MANUAL DE 18 TANTOS CROMADA CON BANCO</t>
  </si>
  <si>
    <t>MH39</t>
  </si>
  <si>
    <t>CORTADORA MANUAL DE 18 TANTOS ESTANDAR CON BANCO</t>
  </si>
  <si>
    <t>MH15</t>
  </si>
  <si>
    <t>CORTADORA MANUAL DE 36 TANTOS CROMADA CON BANCO</t>
  </si>
  <si>
    <t>MH14</t>
  </si>
  <si>
    <t>CORTADORA MANUAL DE 36 TANTOS ESTÁNDAR CON BANCO</t>
  </si>
  <si>
    <t>MH40</t>
  </si>
  <si>
    <t>CORTADORA-BOLEADORA C/ENCENDIDO ELECTRON</t>
  </si>
  <si>
    <t>CG01</t>
  </si>
  <si>
    <t>CREMALLERA DE BRONCE PARA VÁLVULA CARBURADORA</t>
  </si>
  <si>
    <t>CREMALLERA BRONCE P/VALVULA CARBURADORA</t>
  </si>
  <si>
    <t>CG02</t>
  </si>
  <si>
    <t>CREMALLERA PARA TRINQUETE</t>
  </si>
  <si>
    <t>CJ01</t>
  </si>
  <si>
    <t>CUADRANTE PARA VÁLVULA CARBURADORA</t>
  </si>
  <si>
    <t>CUADRANTE PARA VALVULA CARBURADORA</t>
  </si>
  <si>
    <t>CJ03</t>
  </si>
  <si>
    <t>CUADRO DE ALUMINIO PARA AMASADORA DE 100 KG.</t>
  </si>
  <si>
    <t>CUADRO DE ALUMINIO P/AMASADORA DE 100 KG</t>
  </si>
  <si>
    <t>CJ02</t>
  </si>
  <si>
    <t>CUADRO DE ALUMINIO PARA AMASADORA DE 50 KG.</t>
  </si>
  <si>
    <t>CUADRO DE ALUMINIO P/AMASADORA DE 50 KG</t>
  </si>
  <si>
    <t>CJ04</t>
  </si>
  <si>
    <t>CUADRO DE HULE PARA CÁMARA DE PRESIÓN DÚPLEX</t>
  </si>
  <si>
    <t>CUADRO HULE P/CAMARA DE PRESION DPLX</t>
  </si>
  <si>
    <t>CJ05</t>
  </si>
  <si>
    <t>CUADRO DE HULE PARA CÁMARA DE PRESIÓN SENCILLA</t>
  </si>
  <si>
    <t>CUADRO HULE P/CAMARA DE PRESION SENCILLA</t>
  </si>
  <si>
    <t>CJ99</t>
  </si>
  <si>
    <t>CUADRO DE HULE SENCILLO EN GRADO ALIMENTICIO PARA CÁMARA DE PRESIÓN</t>
  </si>
  <si>
    <t>CUADRO HULE SENC GA CAMARA DE PRESION</t>
  </si>
  <si>
    <t>CJ06</t>
  </si>
  <si>
    <t>CUADRO PARA CONDUCTO MODELO ANTERIOR</t>
  </si>
  <si>
    <t>CJ07</t>
  </si>
  <si>
    <t>CUADRO PARA CONDUCTO TV-50 (B.C.),TV-30 TV-40</t>
  </si>
  <si>
    <t>CUADRO PARA CONDUCTO TV30-50 BC</t>
  </si>
  <si>
    <t>CW99</t>
  </si>
  <si>
    <r>
      <rPr>
        <rFont val="Didact Gothic"/>
        <sz val="9.0"/>
      </rPr>
      <t xml:space="preserve">CUBIERTA DE HULE CHICO </t>
    </r>
    <r>
      <rPr>
        <rFont val="Didact Gothic"/>
        <sz val="9.0"/>
      </rPr>
      <t>GRADO ALIMENTICIO</t>
    </r>
    <r>
      <rPr>
        <rFont val="Didact Gothic"/>
        <sz val="9.0"/>
      </rPr>
      <t xml:space="preserve"> PARA RODILLO</t>
    </r>
  </si>
  <si>
    <t>CUBIERTA HULE CHICO GA P/RODILLO</t>
  </si>
  <si>
    <t>CW01</t>
  </si>
  <si>
    <t>CUBIERTA DE HULE PARA RODILLO CHICA</t>
  </si>
  <si>
    <t>CW02</t>
  </si>
  <si>
    <t>CUBIERTA DE HULE PARA RODILLO GRANDE</t>
  </si>
  <si>
    <t>CW03</t>
  </si>
  <si>
    <t>CUBIERTA DE HULE PARA RODILLO RANURADA</t>
  </si>
  <si>
    <t>CX01</t>
  </si>
  <si>
    <t>CUBRE CADENA DÚPLEX SIN LOGO</t>
  </si>
  <si>
    <t>CUBRE CADENA DPLX SIN LOGO</t>
  </si>
  <si>
    <t>CX02</t>
  </si>
  <si>
    <t>CUBRE CADENA SENCILLO CON LOGO</t>
  </si>
  <si>
    <t>CX09</t>
  </si>
  <si>
    <t>CUBRE CADENA SENCILLO SIN LOGO</t>
  </si>
  <si>
    <t>CX03</t>
  </si>
  <si>
    <t>CUBRE CLUTCH INOXIDABLE</t>
  </si>
  <si>
    <t>CX15</t>
  </si>
  <si>
    <t>CUBRE CLUTCH PARA MAQUINA TVR</t>
  </si>
  <si>
    <t>CX07</t>
  </si>
  <si>
    <t>CUBRE ENGRANE SENCILLO FIERRO</t>
  </si>
  <si>
    <t>CX16</t>
  </si>
  <si>
    <t>CUBRE LEVA DE ALUMINIO</t>
  </si>
  <si>
    <t>CX08</t>
  </si>
  <si>
    <t>CUBRE LEVA INOXIDABLE</t>
  </si>
  <si>
    <t>CX11</t>
  </si>
  <si>
    <t>CUBRE LEVA TIPO PUEBLA INOXIDABLE</t>
  </si>
  <si>
    <t>CX13</t>
  </si>
  <si>
    <t>CUBRE MOTOR 430</t>
  </si>
  <si>
    <t>CX14</t>
  </si>
  <si>
    <t>CUBRE PIEDRA PARA MOLINO DE CONO</t>
  </si>
  <si>
    <t>CX10</t>
  </si>
  <si>
    <t>CUBREENGRANE COMPLETO B.C. EN ACERO INOX.</t>
  </si>
  <si>
    <t>CUBREENGRANE COMPLETO BC INOX</t>
  </si>
  <si>
    <t>CX05</t>
  </si>
  <si>
    <t>CUBREENGRANE DÚPLEX ACERO INOXIDABLE</t>
  </si>
  <si>
    <t>CUBREENGRANE DPLX ACERO INOXIDABLE</t>
  </si>
  <si>
    <t>CX04</t>
  </si>
  <si>
    <t>CUBREENGRANE DÚPLEX FIERRO</t>
  </si>
  <si>
    <t>CUBREENGRANE DPLX FIERRO</t>
  </si>
  <si>
    <t>CX06</t>
  </si>
  <si>
    <t>CUBREENGRANE SENCILLO ACERO INOXIDABLE</t>
  </si>
  <si>
    <t>CU08</t>
  </si>
  <si>
    <t>CUCHARA PARA MOLINO CAMARADA</t>
  </si>
  <si>
    <t>CK07</t>
  </si>
  <si>
    <t>CUCHILLA ACERO INOXIDABLE T-304 PARA MOLINO CAMARADA</t>
  </si>
  <si>
    <t>CUCHILLA ACERO INOX T-304 P/MOL CAMARADA</t>
  </si>
  <si>
    <t>CK06</t>
  </si>
  <si>
    <t>CUCHILLA ACERO INOXIDABLE T-430 PARA MOLINO CAMARADA</t>
  </si>
  <si>
    <t>CUCHILLA ACERO INOX T-430 P/MOL CAMARADA</t>
  </si>
  <si>
    <t>CK01</t>
  </si>
  <si>
    <t>CUCHILLA FIJA DE BRONCE MAQUINADA DÚPLEX</t>
  </si>
  <si>
    <t>CUCHILLA FIJA DE BRONCE MAQUINADA DPLX</t>
  </si>
  <si>
    <t>CK02</t>
  </si>
  <si>
    <t>CUCHILLA FIJA DE BRONCE MAQUINADA SENCILLA</t>
  </si>
  <si>
    <t>CUCHILLA FIJA DE BRONCE MAQUIN SENCILLA</t>
  </si>
  <si>
    <t>CK02C</t>
  </si>
  <si>
    <t>CUCHILLA FIJA DE BRONCE MAQUINADA SENCILLA TIPO CELORIO</t>
  </si>
  <si>
    <t>CK03</t>
  </si>
  <si>
    <t>CUCHILLA MÓVIL DE BRONCE MAQUINADA DÚPLEX</t>
  </si>
  <si>
    <t>CUCHILLA MOVIL DE BRONCE MAQUINADA DPLX</t>
  </si>
  <si>
    <t>CK04</t>
  </si>
  <si>
    <t>CUCHILLA MÓVIL DE BRONCE MAQUINADA SENCILLA</t>
  </si>
  <si>
    <t>CUCHILLA MOVIL DE BRONCE MAQUIN SENCILLA</t>
  </si>
  <si>
    <t>CK04C</t>
  </si>
  <si>
    <t>CUCHILLA MÓVIL DE BRONCE MAQUINADA SENCILLA TIPO CELORIO</t>
  </si>
  <si>
    <t>CK05</t>
  </si>
  <si>
    <t>CUCHILLA PARA CORTADORA AUTOMATICA</t>
  </si>
  <si>
    <t>CI07</t>
  </si>
  <si>
    <t>CUÑA 1/4X2 CON DESVASTE</t>
  </si>
  <si>
    <t>CI08</t>
  </si>
  <si>
    <t>CUÑA DE 1/4 X 1 1/2"</t>
  </si>
  <si>
    <t>CI01</t>
  </si>
  <si>
    <t>CUÑA DE 1/4 X 1"</t>
  </si>
  <si>
    <t>CUNA DE 1/4 X 1</t>
  </si>
  <si>
    <t>CI02</t>
  </si>
  <si>
    <t>CUÑA DE 1/4 X 2"</t>
  </si>
  <si>
    <t>CUNA DE 1/4 X 2</t>
  </si>
  <si>
    <t>CI03</t>
  </si>
  <si>
    <t>CUÑA DE 3/16 X 2"</t>
  </si>
  <si>
    <t>CUNA DE 3/16 X 2</t>
  </si>
  <si>
    <t>CI04</t>
  </si>
  <si>
    <t>CUÑA DE 3/8 X 1"</t>
  </si>
  <si>
    <t>CUNA DE 3/8 X 1</t>
  </si>
  <si>
    <t>CI05</t>
  </si>
  <si>
    <t>CUÑA DE 3/8 X 2"</t>
  </si>
  <si>
    <t>CUNA DE 3/8 X 2</t>
  </si>
  <si>
    <t>CI06</t>
  </si>
  <si>
    <t>CUÑA DE 5/16 X 1"</t>
  </si>
  <si>
    <t>CUNA DE 5/16 X 1</t>
  </si>
  <si>
    <t>MT27</t>
  </si>
  <si>
    <t>DESHIDRATADOR CUÁDRUPLE, CON VARIADOR DE VELOCIDAD, CONTROL DE TEMPERATURA, ENCENDIDO ELECTRONICO Y MALLA GALVANIZADA DE 32" X 11 NIVELES X 4 MTS DE LARGO</t>
  </si>
  <si>
    <t>MT35</t>
  </si>
  <si>
    <t>DESHIDRATADOR DIV-42C</t>
  </si>
  <si>
    <t>MT31</t>
  </si>
  <si>
    <t>DESHIDRATADOR DÚPLEX, CON VARIADOR DE VELOCIDAD, CONTROL DE TEMPERATURA, ENCENDIDO ELECTRONICO Y MALLA GALVANIZADA DE 18" X 11 NIVELES X 4 MTS DE LARGO</t>
  </si>
  <si>
    <t>MT23</t>
  </si>
  <si>
    <t>DESHIDRATADOR MERIDA 11 NIV VAR VEL ENEL</t>
  </si>
  <si>
    <t>MT18</t>
  </si>
  <si>
    <t xml:space="preserve">DESHIDRATADOR MÉRIDA, CON VARIADOR DE VELOCIDAD, CONTROL DE TEMPERATURA, ENCENDIDO ELECTRONICO Y MALLA GALVANIZADA DE 15" X 11 NIVELES X 4 MTS DE LARGO </t>
  </si>
  <si>
    <t>DESHIDRAT MÉR VAR CTEM ENC MLGV15 11N 4M</t>
  </si>
  <si>
    <t>MT29</t>
  </si>
  <si>
    <t>DESHIDRATADOR TRIPLE,  CON VARIADOR DE VELOCIDAD, CONTROL DE TEMPERATURA, ENCENDIDO ELECTRONICO Y MALLA GALVANIZADA DE 24" X 11 NIVELES X 4 MTS DE LARGO</t>
  </si>
  <si>
    <t>DE21</t>
  </si>
  <si>
    <t>DESLIZADOR DE LAMINA 100-K / K-130</t>
  </si>
  <si>
    <t>DE02</t>
  </si>
  <si>
    <t>DESLIZADOR DELANTERO DÚPLEX ACERO INOXIDABLE</t>
  </si>
  <si>
    <t>DESLIZADOR DELANTERO DPLX INOX</t>
  </si>
  <si>
    <t>DE01</t>
  </si>
  <si>
    <t>DESLIZADOR DELANTERO DÚPLEX FIERRO</t>
  </si>
  <si>
    <t>DESLIZADOR DELANTERO DPLX FIERRO</t>
  </si>
  <si>
    <t>DE04</t>
  </si>
  <si>
    <t>DESLIZADOR DELANTERO SENCILLO ACERO INOXIDABLE</t>
  </si>
  <si>
    <t>DESLIZADOR DELANTERO SENCILLO INOX</t>
  </si>
  <si>
    <t>DE03</t>
  </si>
  <si>
    <t>DESLIZADOR DELANTERO SENCILLO FIERRO</t>
  </si>
  <si>
    <t>DE05</t>
  </si>
  <si>
    <t>DESLIZADOR ESPECIAL ACERO INOXIDABLE</t>
  </si>
  <si>
    <t>DZ0001</t>
  </si>
  <si>
    <t>DESLIZADOR INTERMEDIO DELANTERO WALMART</t>
  </si>
  <si>
    <t>DZ0002</t>
  </si>
  <si>
    <t>DESLIZADOR INTERMEDIO INFERIOR WALMART</t>
  </si>
  <si>
    <t>DE06</t>
  </si>
  <si>
    <t>DESLIZADOR MECÁNICO DÚPLEX</t>
  </si>
  <si>
    <t>DESLIZADOR MECANICO DPLX</t>
  </si>
  <si>
    <t>DE17</t>
  </si>
  <si>
    <t>DESLIZADOR MECÁNICO MÉRIDA</t>
  </si>
  <si>
    <t>DESLIZADOR MECANICO MERIDA</t>
  </si>
  <si>
    <t>DE07</t>
  </si>
  <si>
    <t>DESLIZADOR MECÁNICO SENCILLO</t>
  </si>
  <si>
    <t>DESLIZADOR MECANICO SENCILLO</t>
  </si>
  <si>
    <t>DE20</t>
  </si>
  <si>
    <t>DESLIZADOR PARA ENFRIADOR CON MALLA DE 10"</t>
  </si>
  <si>
    <t>DESLIZADOR P/ENFRIADOR C/MALLA DE 10"</t>
  </si>
  <si>
    <t>DE18</t>
  </si>
  <si>
    <t>DESLIZADOR TRASERO DE CAJA CON BASE</t>
  </si>
  <si>
    <t>DE09</t>
  </si>
  <si>
    <t>DESLIZADOR TRASERO DÚPLEX ACERO INOXIDABLE</t>
  </si>
  <si>
    <t>DESLIZADOR TRASERO DPLX ACERO INOXIDABLE</t>
  </si>
  <si>
    <t>DE08</t>
  </si>
  <si>
    <t>DESLIZADOR TRASERO DÚPLEX FIERRO</t>
  </si>
  <si>
    <t>DESLIZADOR TRASERO DPLX FIERRO</t>
  </si>
  <si>
    <t>DE19</t>
  </si>
  <si>
    <t>DESLIZADOR TRASERO RODOTEC 100 ACERO INOXIDABLE</t>
  </si>
  <si>
    <t>DESLIZADOR TRASERO RODOTEC 100 INOX</t>
  </si>
  <si>
    <t>DE11</t>
  </si>
  <si>
    <t>DESLIZADOR TRASERO SENCILLO ACERO INOXIDABLE</t>
  </si>
  <si>
    <t>DESLIZADOR TRASERO SENCILLO INOX</t>
  </si>
  <si>
    <t>DE10</t>
  </si>
  <si>
    <t>DESLIZADOR TRASERO SENCILLO FIERRO</t>
  </si>
  <si>
    <t>DE14</t>
  </si>
  <si>
    <t>DESLIZADOR TRASERO SENCILLO INOX WALMART</t>
  </si>
  <si>
    <t>DE15</t>
  </si>
  <si>
    <t>DESLIZADOR TRASERO WALMART</t>
  </si>
  <si>
    <t>WM-DE04</t>
  </si>
  <si>
    <t>DESLIZADOR TVR-50 -TORTIMEX -DE04</t>
  </si>
  <si>
    <t>DESLIZADOR TVR-50</t>
  </si>
  <si>
    <t>DP03</t>
  </si>
  <si>
    <t>DESPEGADOR DE TORTILLA PARA CABEZAL RESTAURANTERO DE RODILLOS DE PIEDRA</t>
  </si>
  <si>
    <t>DESPEGADOR TORTILLA P/CAB REST ROD PIEDR</t>
  </si>
  <si>
    <t>DP02</t>
  </si>
  <si>
    <t>DESPEGADOR DE TORTILLA PARA MAQUINA DE RODILLOS G.A.</t>
  </si>
  <si>
    <t>DESPEGADOR TORTILLA P/MAQUIN RODILLOS GA</t>
  </si>
  <si>
    <t>DF01</t>
  </si>
  <si>
    <t>DIFERENCIAL MODELO ANTERIOR</t>
  </si>
  <si>
    <t>DF02</t>
  </si>
  <si>
    <t>DIFERENCIAL TV-50 (B.C.)</t>
  </si>
  <si>
    <t>DIFERENCIAL TV-50 BC</t>
  </si>
  <si>
    <t>DI11</t>
  </si>
  <si>
    <t>DIFUSOR DE CALOR PARA MÁQUINA W-100 NUEVA</t>
  </si>
  <si>
    <t>DIFUSOR DE CALOR PARA W-100 NUEVA</t>
  </si>
  <si>
    <t>DI02</t>
  </si>
  <si>
    <t>DISCO CARBON JUEGO (15") (MOLINO TORTIMEX NO. 4 MOTOR DE 50 HP)</t>
  </si>
  <si>
    <t>DISCO FIERR JGO 15PLG MOL TORTIMEX4 50HP</t>
  </si>
  <si>
    <t>DI99</t>
  </si>
  <si>
    <t>DISCO DE DIAMANTE DE 4" PARA RAYADORA SEMIAUTOMATICA</t>
  </si>
  <si>
    <t>DISCO DIAMANTE 4PULG P/RAYADORA SEMIAUT</t>
  </si>
  <si>
    <t>DI03</t>
  </si>
  <si>
    <t>DISCO DENTADO DE 7" P/MOLINO DE CHILES</t>
  </si>
  <si>
    <t>DI01</t>
  </si>
  <si>
    <t>DISCO INOX JUEGO (15") (MOLINO TORTIMEX NO. 4 MOTOR DE 50 HP)</t>
  </si>
  <si>
    <t>DISCO INOX 15PULG MOL TORTIMEX4 50HP</t>
  </si>
  <si>
    <t>DI04</t>
  </si>
  <si>
    <t>DISCO MOVIL DE 1/2" X 10" DIAMETRO PARA AMASADORA DE 20 KG WALMART</t>
  </si>
  <si>
    <t>HR08</t>
  </si>
  <si>
    <t>DISCO MOVIL DE 1/2" X 10" DIAMETRO PARA AMASADORA DE 40 KG WALMART</t>
  </si>
  <si>
    <t>MT39</t>
  </si>
  <si>
    <t>DOSIFICADOR DE CONDIMENTO TIPO CHAROLA D</t>
  </si>
  <si>
    <t>MX45</t>
  </si>
  <si>
    <t xml:space="preserve">ELEVADOR CON DEPOSITO PARA MAIZ MEDIANTE BAZUCA,  EN ACERO AL CARBON  </t>
  </si>
  <si>
    <t>MX46</t>
  </si>
  <si>
    <t>ELEVADOR CON DEPOSITO PARA MAIZ MEDIANTE BAZUCA,  EN ACERO INOX. 304</t>
  </si>
  <si>
    <t>MX56</t>
  </si>
  <si>
    <t>ELEVADOR DE MAIZ</t>
  </si>
  <si>
    <t>EM02</t>
  </si>
  <si>
    <t>EMPAQUE DE HULE CUADRADO PARA AMASADORA DE 100 KG.</t>
  </si>
  <si>
    <t>EMPAQUE HULE CUADRADO P/AMASADORA 100 KG</t>
  </si>
  <si>
    <t>EM01</t>
  </si>
  <si>
    <t>EMPAQUE DE HULE CUADRADO PARA AMASADORA DE 25 KG.</t>
  </si>
  <si>
    <t>EMPAQUE HULE CUADRADO P/AMASADORA 25 KG</t>
  </si>
  <si>
    <t>EM03</t>
  </si>
  <si>
    <t>EMPAQUE DE HULE CUADRADO PARA AMASADORA DE 50 KG.</t>
  </si>
  <si>
    <t>EMPAQUE HULE CUADRADO P/AMASADORA 50 KG</t>
  </si>
  <si>
    <t>EM04</t>
  </si>
  <si>
    <t>EMPAQUE DE HULE REDONDO (METRO)</t>
  </si>
  <si>
    <t>EM94</t>
  </si>
  <si>
    <r>
      <rPr>
        <rFont val="Didact Gothic"/>
        <sz val="9.0"/>
      </rPr>
      <t xml:space="preserve">EMPAQUE DE HULE REDONDO </t>
    </r>
    <r>
      <rPr>
        <rFont val="Didact Gothic"/>
        <sz val="9.0"/>
      </rPr>
      <t>GRADO ALIMENTICIO</t>
    </r>
    <r>
      <rPr>
        <rFont val="Didact Gothic"/>
        <sz val="9.0"/>
      </rPr>
      <t xml:space="preserve"> (METRO)</t>
    </r>
  </si>
  <si>
    <t>EMPAQUE DE HULE REDONDO GA (METRO)</t>
  </si>
  <si>
    <t>EM95</t>
  </si>
  <si>
    <t>EMPAQUE DE NYLAMID (BOLSA 100 PIEZAS) GRADO ALIMENTICIO</t>
  </si>
  <si>
    <t>EMPAQUE NYLAMID 100 PZAS GA</t>
  </si>
  <si>
    <t>EM96</t>
  </si>
  <si>
    <t>EMPAQUE DE NYLAMID P/BAYONETA CHICA GRADO ALIMENTICIO</t>
  </si>
  <si>
    <t>EMPAQUE DE NYLAMID P/BAYONETA CHICA GA</t>
  </si>
  <si>
    <t>EM99</t>
  </si>
  <si>
    <r>
      <rPr>
        <rFont val="Didact Gothic"/>
        <sz val="9.0"/>
      </rPr>
      <t xml:space="preserve">EMPAQUE DE NYLAMID PARA AMASADORA DE 100 KG. </t>
    </r>
    <r>
      <rPr>
        <rFont val="Didact Gothic"/>
        <sz val="9.0"/>
      </rPr>
      <t>GRADO ALIMENTICIO</t>
    </r>
  </si>
  <si>
    <t>EMPAQUE NYLAMID P/AMASADORA DE 100 KG GA</t>
  </si>
  <si>
    <t>EM97</t>
  </si>
  <si>
    <t>EMPAQUE DE NYLAMID PARA AMASADORA DE 25 KG. GRADO ALIMENTICIO</t>
  </si>
  <si>
    <t>EMPAQUE NYLAMID P/AMASADORA DE 25 KG GA</t>
  </si>
  <si>
    <t>EM98</t>
  </si>
  <si>
    <t>EMPAQUE DE NYLAMID PARA AMASADORA DE 50 KG. GRADO ALIMENTICIO</t>
  </si>
  <si>
    <t>EMPAQUE NYLAMID P/AMASADORA DE 50 KG GA</t>
  </si>
  <si>
    <t>EM05</t>
  </si>
  <si>
    <t>EMPAQUE DE SUELA (BOLSA 100 PIEZAS)</t>
  </si>
  <si>
    <t>EMPAQUE SUELA (BOLSA 100 PIEZAS)</t>
  </si>
  <si>
    <t>EM06</t>
  </si>
  <si>
    <t>EMPAQUE DE SUELA (PIEZA)</t>
  </si>
  <si>
    <t>EMPAQUE SUELA (PIEZA)</t>
  </si>
  <si>
    <t>EM11</t>
  </si>
  <si>
    <t>EMPAQUE DE SUELA DE 5/8  K-100</t>
  </si>
  <si>
    <t>EM09</t>
  </si>
  <si>
    <t>EMPAQUE DE TEFLON PARA FERULA 4</t>
  </si>
  <si>
    <t>EM10</t>
  </si>
  <si>
    <t>EMPAQUE DE TEFLON PARA FERULA 6</t>
  </si>
  <si>
    <t>EMTOR122</t>
  </si>
  <si>
    <t>EMPAQUE NAYLAMID COCOL 3/4 INT</t>
  </si>
  <si>
    <t>EMTOR123</t>
  </si>
  <si>
    <t>EMPAQUE NEOPRENO COCOL 3/4 INT</t>
  </si>
  <si>
    <t>EM101</t>
  </si>
  <si>
    <t>EMPAQUE NEOPRENO COCOL 3/4 INT -TORTIMEX -EM101</t>
  </si>
  <si>
    <t>EM100</t>
  </si>
  <si>
    <t>EMPAQUE NEOPRENO INT 1"</t>
  </si>
  <si>
    <t>EMP001</t>
  </si>
  <si>
    <t>EMPAQUE NYLMID PARA ALIMENTADOR 6"</t>
  </si>
  <si>
    <t>EM07</t>
  </si>
  <si>
    <t>EMPAQUE PARA CONDUCTO SENCILLO MODELO ANTERIOR</t>
  </si>
  <si>
    <t>EMPAQUE PARA CONDUCTO SENCILLO MA</t>
  </si>
  <si>
    <t>EM08</t>
  </si>
  <si>
    <t>EMPAQUE PARA CONDUCTO SENCILLO Y DÚPLEX TV-50 (B.C.)</t>
  </si>
  <si>
    <t>EMPAQUE PARA CONDUCTO SENC TV BC DPLX</t>
  </si>
  <si>
    <t>EP0001</t>
  </si>
  <si>
    <t>EMPAQUE PARA FERULA  6" TEFLON WALMART</t>
  </si>
  <si>
    <t>MT33</t>
  </si>
  <si>
    <t>ENCENDIDO ELECTRONICO</t>
  </si>
  <si>
    <t>EF07</t>
  </si>
  <si>
    <t>ENFRIADOR 3 NIVELES POR 3 METROS DE 30''</t>
  </si>
  <si>
    <t>EF11</t>
  </si>
  <si>
    <t>ENFRIADOR 7PASOSX3.6M MALLA 14''GALV,VEN</t>
  </si>
  <si>
    <t>EF09</t>
  </si>
  <si>
    <t>ENFRIADOR CON EXTRACTOR P/ HABAS Y CACAH</t>
  </si>
  <si>
    <t>EF10</t>
  </si>
  <si>
    <t>ENFRIADOR CON VENTILADORES P/ HABAS Y CA</t>
  </si>
  <si>
    <t>MH17</t>
  </si>
  <si>
    <t>ENFRIADOR DE 3 NIVELES 3 MT. DE LARGO CON MALLA DE 15"</t>
  </si>
  <si>
    <t>MH18</t>
  </si>
  <si>
    <t>ENFRIADOR DE 3 NIVELES 6 MT. DE LARGO CON MALLA DE 15"</t>
  </si>
  <si>
    <t>MH28</t>
  </si>
  <si>
    <t>ENFRIADOR DE 3 NIVELES 7 MT. DE LARGO CON MALLA DE 15"</t>
  </si>
  <si>
    <t>MH24</t>
  </si>
  <si>
    <t>ENFRIADOR DE 5 NIVELES 5 MT. DE LARGO CON MALLA DE 15"</t>
  </si>
  <si>
    <t>MH47</t>
  </si>
  <si>
    <t>ENFRIADOR DE 5 NIVELES 5 MT. DE LARGO CON MALLA DE 30"</t>
  </si>
  <si>
    <t>ENFRIADOR 5 NIVELES 5M LARGO C/MALLA 30"</t>
  </si>
  <si>
    <t>MH29</t>
  </si>
  <si>
    <t>ENFRIADOR DE 7 NIVELES X 2 MTS</t>
  </si>
  <si>
    <t>EF05</t>
  </si>
  <si>
    <t>ENFRIADOR DE 7 PASOS X 3.60 MT DE LARGO CON MALLA DE 10" GALVANIZADA, VENTILADORES Y MOTOR</t>
  </si>
  <si>
    <t>EF06</t>
  </si>
  <si>
    <t>ENFRIADOR DE 7 PASOS X 3.60 MT DE LARGO CON MALLA DE 15" GALVANIZADA</t>
  </si>
  <si>
    <t>MH42</t>
  </si>
  <si>
    <t>ENFRIADOR DE 7 PASOS X 3.60 MT DE LARGO CON MALLA DE 30'' CON MALLA GALVANIZADA</t>
  </si>
  <si>
    <t>EF04</t>
  </si>
  <si>
    <t>ENFRIADOR DÚPLEX</t>
  </si>
  <si>
    <t>MH45</t>
  </si>
  <si>
    <t>ENFRIADOR ESP 7P X3.60M MALLA 18''GALVAN</t>
  </si>
  <si>
    <t>EF08</t>
  </si>
  <si>
    <t>ENFRIADOR P/ MAQUINA VW-50</t>
  </si>
  <si>
    <t>EF03</t>
  </si>
  <si>
    <t>ENFRIADOR SENCILLO</t>
  </si>
  <si>
    <t>EF01</t>
  </si>
  <si>
    <t>ENFRIADOR SENCILLO TV-30</t>
  </si>
  <si>
    <t>EF02</t>
  </si>
  <si>
    <t>ENFRIADOR SENCILLO TV-40</t>
  </si>
  <si>
    <t>EN26</t>
  </si>
  <si>
    <t>ENGRANE CON PIÑON SENCILLO K-100</t>
  </si>
  <si>
    <t>EN94</t>
  </si>
  <si>
    <t>ENGRANE DE 10 DTS P5.7</t>
  </si>
  <si>
    <t>EN47</t>
  </si>
  <si>
    <t>ENGRANE DE 100 DTS P12 INT 1 1/4 CON CUÑERO DE 1/4</t>
  </si>
  <si>
    <t>ENGRANE 100 DTES P12 INT 1 1/4 CUN 1/4</t>
  </si>
  <si>
    <t>EN16</t>
  </si>
  <si>
    <t>ENGRANE DE 102 DTS P12 INT 1 1/4 CON CUÑERO DE 1/4</t>
  </si>
  <si>
    <t>ENGRANE 102 DTES P12 INT 1 1/4 CUN 1/4</t>
  </si>
  <si>
    <t>EN28</t>
  </si>
  <si>
    <t>ENGRANE DE 11 DTS P5.7 ENT 3/4</t>
  </si>
  <si>
    <t>ENGRANE 11 DTES P5.7 ENT 3/4</t>
  </si>
  <si>
    <t>EN36</t>
  </si>
  <si>
    <t>ENGRANE DE 12 DTS P5.7</t>
  </si>
  <si>
    <t>ENGRANE 12 DTES P5.7</t>
  </si>
  <si>
    <t>EN93</t>
  </si>
  <si>
    <t>ENGRANE DE 120 DTS P12 PARA RAYADORA DE PIEDRA</t>
  </si>
  <si>
    <t>ENGRANE 120 DTES P12 P/RAYADORA PIEDRA</t>
  </si>
  <si>
    <t>EN39</t>
  </si>
  <si>
    <t>ENGRANE DE 13 DTS P5.7</t>
  </si>
  <si>
    <t>EN01</t>
  </si>
  <si>
    <t>ENGRANE DE 16 DTS PARA VÁLVULA CARBURADORA</t>
  </si>
  <si>
    <t>ENGRANE 16 DTES P/VALVULA CARBURADORA</t>
  </si>
  <si>
    <t>EN02C</t>
  </si>
  <si>
    <t>ENGRANE DE 16 DTS PARA VALVULA CARBURADORA CON COLLARIN</t>
  </si>
  <si>
    <t>ENGRANE 16 DTS P/VALV CARB C/COLL CEL</t>
  </si>
  <si>
    <t>EN02</t>
  </si>
  <si>
    <t>ENGRANE DE 16 DTS PARA VÁLVULA CARBURADORA CON COLLARÍN</t>
  </si>
  <si>
    <t>ENGRANE 16 DTES P/VALV CARB C/COLLARN</t>
  </si>
  <si>
    <t>EN03</t>
  </si>
  <si>
    <t>ENGRANE DE 25 DTS DÚPLEX (B.C.)</t>
  </si>
  <si>
    <t>ENGRANE 25 DTES DPLX BC</t>
  </si>
  <si>
    <t>EN03C</t>
  </si>
  <si>
    <t>ENGRANE DE 25 DTS DUPLEX B.C TIPO CELORIO</t>
  </si>
  <si>
    <t>ENGRANE 25 DTES DPLX BC CEL</t>
  </si>
  <si>
    <t>EN04</t>
  </si>
  <si>
    <t>ENGRANE DE 25 DTS SENCILLO MODELO ANTERIOR</t>
  </si>
  <si>
    <t>ENGRANE 25 DTES SENCILLO MA</t>
  </si>
  <si>
    <t>EN05</t>
  </si>
  <si>
    <t>ENGRANE DE 25 DTS SENCILLO TV-50 (B.C.)</t>
  </si>
  <si>
    <t>ENGRANE 25 DTES SENCILLO TV-50 BC</t>
  </si>
  <si>
    <t>EN05C</t>
  </si>
  <si>
    <t>ENGRANE DE 25 DTS SENCILLO TV-50 B.C TIPO CELORIO</t>
  </si>
  <si>
    <t>ENGRANE 25 DTES SENCILLO TV-50 BC cel</t>
  </si>
  <si>
    <t>EN48</t>
  </si>
  <si>
    <t>ENGRANE DE 25 DTS. 100-K  TIPO CELORIO</t>
  </si>
  <si>
    <t>EN06</t>
  </si>
  <si>
    <t>ENGRANE DE 32 DTS DÚPLEX (B.C.)</t>
  </si>
  <si>
    <t>ENGRANE 32 DTES DPLX BC</t>
  </si>
  <si>
    <t>EN06C</t>
  </si>
  <si>
    <t>ENGRANE DE 32 DTS DUPLEX B.C TIPO CELORIO</t>
  </si>
  <si>
    <t>ENGRANE 32 DTES DPLX BC CEL</t>
  </si>
  <si>
    <t>EN07</t>
  </si>
  <si>
    <t>ENGRANE DE 32 DTS SENCILLO MODELO ANTERIOR</t>
  </si>
  <si>
    <t>ENGRANE 32 DTES SENCILLO MA</t>
  </si>
  <si>
    <t>EN08</t>
  </si>
  <si>
    <t>ENGRANE DE 32 DTS SENCILLO TV-50 (B.C.)</t>
  </si>
  <si>
    <t>ENGRANE 32 DTES SENCILLO TV-50 BC</t>
  </si>
  <si>
    <t>EN08C</t>
  </si>
  <si>
    <t>ENGRANE DE 32 DTS SENCILLO TV-50 B.C TIPO CELORIO</t>
  </si>
  <si>
    <t>ENGRANE 32 DTES SENCILLO TV-50 BC CEL</t>
  </si>
  <si>
    <t>EN49</t>
  </si>
  <si>
    <t>ENGRANE DE 32 DTS. 100-K TIPO CELORIO</t>
  </si>
  <si>
    <t>EN20</t>
  </si>
  <si>
    <t>ENGRANE DE 36 DTS. PARA RODILLO CORTADOR P12</t>
  </si>
  <si>
    <t>ENGRANE 36DTS P/RODILLO CORTADOR P12</t>
  </si>
  <si>
    <t>EN32</t>
  </si>
  <si>
    <t>Engrane de 39 DTS interior 1" 1/4</t>
  </si>
  <si>
    <t>ENGRANE 39 DTES INT 1 1/4</t>
  </si>
  <si>
    <t>EN37</t>
  </si>
  <si>
    <t>ENGRANE DE 40 DTS P5.7</t>
  </si>
  <si>
    <t>ENGRANE 40 DTES P5.7</t>
  </si>
  <si>
    <t>EN91</t>
  </si>
  <si>
    <t>ENGRANE DE 42 DTS P5.7 INT 1 1/4 CON CUÑERO DE 1/4</t>
  </si>
  <si>
    <t>ENGRANE 42 DTES P5.7 INT 1 1/4 CUN 1/4</t>
  </si>
  <si>
    <t>EN14</t>
  </si>
  <si>
    <t>ENGRANE DE 46 DTS P12 INTERIOR 3/4 PARA CORTADOR</t>
  </si>
  <si>
    <t>ENGRANE 46 DTES PASO12 INT3/4 P/CORTADOR</t>
  </si>
  <si>
    <t>EN69</t>
  </si>
  <si>
    <t>ENGRANE DE 53 DTS P12 PARA CORTADORES DE POLIGAR</t>
  </si>
  <si>
    <t>ENGRANE 53 DTES P12 P/CORTADOR POLIGAR</t>
  </si>
  <si>
    <t>EN31</t>
  </si>
  <si>
    <t>Engrane de 54 DTS centro 1" 1/4 P5.7</t>
  </si>
  <si>
    <t>ENGRANE 54 DTES INT 1 1/4 P5.7</t>
  </si>
  <si>
    <t>EN15</t>
  </si>
  <si>
    <t>ENGRANE DE 54 DTS P12 INTERIOR 3/4 PARA CORTADOR</t>
  </si>
  <si>
    <t>ENGRANE 54 DTES PASO12 INT3/4 P/CORTADOR</t>
  </si>
  <si>
    <t>EN86</t>
  </si>
  <si>
    <t>ENGRANE DE 54 DTS P5.7</t>
  </si>
  <si>
    <t>ENGRANE 54 DTES P5.7</t>
  </si>
  <si>
    <t>EN96</t>
  </si>
  <si>
    <t>ENGRANE DE 56 DTS P12 PARA CORTADOR</t>
  </si>
  <si>
    <t>ENGRANE 56 DTES P12 P/CORTADOR</t>
  </si>
  <si>
    <t>EN90</t>
  </si>
  <si>
    <t>ENGRANE DE 60 DTS P5.7 INT 1 1/4 CON CUÑERO DE 1/4</t>
  </si>
  <si>
    <t>ENGRANE 60 DTES P5.7 INT 1 1/4 CUN 1/4</t>
  </si>
  <si>
    <t>EN17</t>
  </si>
  <si>
    <t>ENGRANE DE 62 DTS CON PIÑÓN DE 11 DTS INTERIOR 1 1/8''</t>
  </si>
  <si>
    <t>ENGRANE 62DTES PIÑÓN 11DTES INT 1 1/8''</t>
  </si>
  <si>
    <t>EN10</t>
  </si>
  <si>
    <t>ENGRANE DE 62 DTS CON PIÑON SENCILLO / DUPLEX TV</t>
  </si>
  <si>
    <t>ENGRANE 62 DTES C/PINON SEN/DPX TV 15/16</t>
  </si>
  <si>
    <t>EN10C</t>
  </si>
  <si>
    <t>ENGRANE 62 DTES C/PINON SEN/DPX TV 1-1/8</t>
  </si>
  <si>
    <t>EN09</t>
  </si>
  <si>
    <t>ENGRANE DE 62 DTS CON PIÑÓN SENCILLO O DÚPLEX MODELO ANTERIOR</t>
  </si>
  <si>
    <t>ENGRANE 62 DTES C/PINON SENC/DPLX MA</t>
  </si>
  <si>
    <t>EN89</t>
  </si>
  <si>
    <t>ENGRANE DE 62 DTS INT 1 1/8"</t>
  </si>
  <si>
    <t>ENGRANE 62 DTS INT 1 1/8</t>
  </si>
  <si>
    <t>EN11</t>
  </si>
  <si>
    <t>ENGRANE DE 62 DTS MODELO ANTERIOR SOLO</t>
  </si>
  <si>
    <t>ENGRANE DE 62 DTES MODELO ANTERIOR SOLO</t>
  </si>
  <si>
    <t>EN12</t>
  </si>
  <si>
    <t>ENGRANE DE 62 DTS SENCILLO O DÚPLEX TV-50 (B.C.) SOLO</t>
  </si>
  <si>
    <t>ENGRANE 62 DTES SENC/DPLX TV/BC SOLO</t>
  </si>
  <si>
    <t>EN12C</t>
  </si>
  <si>
    <t>ENGRANE DE 62 DTS SENCILLO O DUPLEX TV-50 B.C. SOLO TIPO CELORIO</t>
  </si>
  <si>
    <t>ENGRANE 62 DTES SENC/DPLX TV/BC SOLO CEL</t>
  </si>
  <si>
    <t>EN95</t>
  </si>
  <si>
    <t>ENGRANE DE 9 DTS P5.7</t>
  </si>
  <si>
    <t>EN38</t>
  </si>
  <si>
    <t xml:space="preserve">ENGRANE DE 98 DTS INT. 1 1/4 P12  </t>
  </si>
  <si>
    <t xml:space="preserve">ENGRANE DE 98 DTES INT. 1 1/4 P12  </t>
  </si>
  <si>
    <t>EN87</t>
  </si>
  <si>
    <t>ENGRANE DE TRANS 37 DTS P/ALIMENTADOR</t>
  </si>
  <si>
    <t>ENGRANE TRANS 37 DTS P/ALIMENTADOR</t>
  </si>
  <si>
    <t>EN88</t>
  </si>
  <si>
    <t>ENGRANE DOBLE DE 51 DTS 1 1/8"</t>
  </si>
  <si>
    <t>ENGRANE DOBLE DE 51 DTS 1 1/8</t>
  </si>
  <si>
    <t>EN00</t>
  </si>
  <si>
    <t>ENGRANE ESPECIAL</t>
  </si>
  <si>
    <t>EN84</t>
  </si>
  <si>
    <t>ENGRANE MIXTO PARA CABEZAL RESTAURANTERO</t>
  </si>
  <si>
    <t>EN27</t>
  </si>
  <si>
    <t>ENGRANE P12 59 DIENTES INT 1-1/4</t>
  </si>
  <si>
    <t>EN25</t>
  </si>
  <si>
    <t>ENGRANE P12 X 98 DTS X 1 1/4 CUÑERO DE 1/4</t>
  </si>
  <si>
    <t>EN29</t>
  </si>
  <si>
    <t>ENGRANE P5.7 15 DIENTES INT 1</t>
  </si>
  <si>
    <t>EN82</t>
  </si>
  <si>
    <t>ENGRANE P6 DE 57 DTS X 1 1/4 CUÑERO DE 1/4 (PRODUCCION ESTANDAR)</t>
  </si>
  <si>
    <t>EN83</t>
  </si>
  <si>
    <t>ENGRANE P6 X 42 DTS X 1 1/4 CUÑERO DE 1/4 C/C (PRODUCCION ESTANDAR)</t>
  </si>
  <si>
    <t>EN92</t>
  </si>
  <si>
    <t>ENGRANE PARA RODILLO CORTADOR DE 52 DTS INTERIOR 3/4''</t>
  </si>
  <si>
    <t>ENGRANE P/RODILLO CORT 52 DTES INT 3/4</t>
  </si>
  <si>
    <t>EC02</t>
  </si>
  <si>
    <t>ESCUADRA CON CORREDERA INOXIDABLE PARA CAMBIO DE MÁQUINA DE TOLVA A MÁQUINA DE RODILLOS</t>
  </si>
  <si>
    <t>ESCUADRA C/CORREDE INOX CAMBIO TOL A ROD</t>
  </si>
  <si>
    <t>EC01</t>
  </si>
  <si>
    <t>ESCUADRA DE ALUMINIO</t>
  </si>
  <si>
    <t>MT26</t>
  </si>
  <si>
    <t>ESCURRIDOR DE 3 MTS. CON MALLA INOX 18''</t>
  </si>
  <si>
    <t>MT37</t>
  </si>
  <si>
    <t>ESCURRIDOR P/ FRITURA SIN VENTILADORES</t>
  </si>
  <si>
    <t>NX01</t>
  </si>
  <si>
    <t>ESCURRIDOR Y LAVADOR MANUAL ESTÁNDAR CON DESAGÜE CENTRAL ACERO INOX. T-304</t>
  </si>
  <si>
    <t>NX02</t>
  </si>
  <si>
    <t>ESCURRIDOR Y LAVADOR MANUAL ESTÁNDAR CON DESAGÜE CENTRAL ACERO INOX. T-430</t>
  </si>
  <si>
    <t>ES11</t>
  </si>
  <si>
    <t>ESPARRAGO 3/8 X 11CM</t>
  </si>
  <si>
    <t>ES09</t>
  </si>
  <si>
    <t>ESPARRAGO 3/8" X 3/1/2 INOX</t>
  </si>
  <si>
    <t>ES07</t>
  </si>
  <si>
    <t>ESPARRAGO DE 3/4" X 5 1/2" CON PLANO</t>
  </si>
  <si>
    <t>ES08</t>
  </si>
  <si>
    <t>ESPARRAGO DE 3/8" X 4" CON SOLERA SOLDADA</t>
  </si>
  <si>
    <t>ES05</t>
  </si>
  <si>
    <t>ESPARRAGO TENSOR CORTO PARA MOLINO CONO</t>
  </si>
  <si>
    <t>ES04</t>
  </si>
  <si>
    <t>ESPARRAGO TENSOR LARGO PARA MOLINO CONO</t>
  </si>
  <si>
    <t>MH16</t>
  </si>
  <si>
    <t>ESPIGUERO PARA 18 CHAROLAS (ACERO AL CARBONO)</t>
  </si>
  <si>
    <t>MH35</t>
  </si>
  <si>
    <t>ESPIGUERO PARA 18 CHAROLAS (ACERO INOX. 304)</t>
  </si>
  <si>
    <t>ES02</t>
  </si>
  <si>
    <t>ESPIRAL DE CARACOL</t>
  </si>
  <si>
    <t>EC03</t>
  </si>
  <si>
    <t>ESPREAS 1/8"</t>
  </si>
  <si>
    <t>EX01</t>
  </si>
  <si>
    <t>EXCÉNTRICO PARA CLUTCH DÚPLEX</t>
  </si>
  <si>
    <t>EXCENTRICO PARA CLUTCH DPLX</t>
  </si>
  <si>
    <t>EX02</t>
  </si>
  <si>
    <t>EXCÉNTRICO PARA CLUTCH SENCILLO</t>
  </si>
  <si>
    <t>EXCENTRICO PARA CLUTCH SENCILLO</t>
  </si>
  <si>
    <t>MH25</t>
  </si>
  <si>
    <t>FERMENTADOR CON 18 CHAROLAS</t>
  </si>
  <si>
    <t>MH33</t>
  </si>
  <si>
    <t>FERMENTADOR CON ESPACIO PARA 18 CHAROLAS</t>
  </si>
  <si>
    <t>MT34</t>
  </si>
  <si>
    <t>FLAME RELAY MODULO DETECTOR DE FLAMA</t>
  </si>
  <si>
    <t>FL50</t>
  </si>
  <si>
    <t>FLECHA  TIPO TOLUCA N0.1</t>
  </si>
  <si>
    <t>FL42</t>
  </si>
  <si>
    <t>FLECHA 1" X 22 1/4" C/C 1/4" ESPIGAS 3/4" WALMART</t>
  </si>
  <si>
    <t>FLTOR163</t>
  </si>
  <si>
    <t>FLECHA CENTRAL DE 1 1 /4 X 28 CON DOBLEC</t>
  </si>
  <si>
    <t>FL53</t>
  </si>
  <si>
    <t>FLECHA COMPELTA PARA MOLINO TOLUCA #3</t>
  </si>
  <si>
    <t>FL55</t>
  </si>
  <si>
    <t>FLECHA COMPLETA PARA MOLINO TOLUCA #1</t>
  </si>
  <si>
    <t>FL54</t>
  </si>
  <si>
    <t>FLECHA COMPLETA PARA MOLINO TOLUCA #2</t>
  </si>
  <si>
    <t>FL29</t>
  </si>
  <si>
    <t>FLECHA CON ESPIRAL DE MOLINO CAMARADA</t>
  </si>
  <si>
    <t>FL56</t>
  </si>
  <si>
    <t>FLECHA CON PORTAPIEDRA MOLINO TOLUCA#2</t>
  </si>
  <si>
    <t>FL57</t>
  </si>
  <si>
    <t>FLECHA CON PORTAPIEDRA MOLINO TOLUCA#3</t>
  </si>
  <si>
    <t>FL117</t>
  </si>
  <si>
    <t xml:space="preserve">FLECHA COPLE PARA GRANEADOR CORTA , PARA MOLINO TORTIMEX # 1 DE 1" EN ACERO INOX
</t>
  </si>
  <si>
    <t xml:space="preserve">FLECHA CPL GRANDR CRTO  TTIMX1 INOX 1PG
</t>
  </si>
  <si>
    <t>FL90</t>
  </si>
  <si>
    <t>FLECHA CORTA PARA SPROCK</t>
  </si>
  <si>
    <t>FL32</t>
  </si>
  <si>
    <t>FLECHA DE 1'' X 1.20 M CON 2 CUÑEROS DE 1/4</t>
  </si>
  <si>
    <t>FLECHA 1''X1.20M 2 CUÑEROS 1/4</t>
  </si>
  <si>
    <t>FL111</t>
  </si>
  <si>
    <t>FLECHA DE 1" X 25 3/4" CON ESPIGAS 3/4" DE 1 1/4 C/C DE  1/4"</t>
  </si>
  <si>
    <t>FLECHA 1X25 3/4 C/ESPIG 3/4-1 1/4 CUN1/4</t>
  </si>
  <si>
    <t>FL40</t>
  </si>
  <si>
    <t>FLECHA DE TRANSPORTADOR PARA SPROCKS TVS</t>
  </si>
  <si>
    <t>FL03</t>
  </si>
  <si>
    <t>FLECHA DE VENTILADOR PARA 2 BALEROS 6202</t>
  </si>
  <si>
    <t>FL01</t>
  </si>
  <si>
    <t>FLECHA DE VENTILADOR PARA 4 BALEROS 6202</t>
  </si>
  <si>
    <t>FL02</t>
  </si>
  <si>
    <t>FLECHA DE VENTILADOR PARA BALERO 6303</t>
  </si>
  <si>
    <t>FL38</t>
  </si>
  <si>
    <t>FLECHA DELANTERA PARA SPROCKET, PARA ENFRIADOR</t>
  </si>
  <si>
    <t>FLECHA DELANTERA P/SPROCKET, P/ENFRIADOR</t>
  </si>
  <si>
    <t>FL04</t>
  </si>
  <si>
    <t>FLECHA EXCÉNTRICA DÚPLEX</t>
  </si>
  <si>
    <t>FLECHA EXCENTRICA DPLX</t>
  </si>
  <si>
    <t>FL66</t>
  </si>
  <si>
    <t>FLECHA EXCENTRICA P/ACOMODADOR AUTOMATICO</t>
  </si>
  <si>
    <t>FLECHA EXCENTRICA P/ACOMODADOR AUT</t>
  </si>
  <si>
    <t>FL05</t>
  </si>
  <si>
    <t>FLECHA EXCÉNTRICA SENCILLA</t>
  </si>
  <si>
    <t>FLECHA EXCENTRICA SENCILLA</t>
  </si>
  <si>
    <t>FL65</t>
  </si>
  <si>
    <t>FLECHA FE 1" X 86CM 2CUN (PARA MANDRIL W50)</t>
  </si>
  <si>
    <t>FLECHA FE 1" X 86CM 2CUN (P/MANDRIL W50)</t>
  </si>
  <si>
    <t>FLI0001</t>
  </si>
  <si>
    <t>FLECHA INOX 3/4X53.5 CM WALMART</t>
  </si>
  <si>
    <t>FL91</t>
  </si>
  <si>
    <t>FLECHA LARGA PARA SPROCK DE PLASTICO PARA EL TRANSPORTADOR SENCILLO</t>
  </si>
  <si>
    <t>FLECHA LARGA P/SPROCK PLASTI TRANSP SENC</t>
  </si>
  <si>
    <t>FL49</t>
  </si>
  <si>
    <t>FLECHA P/ REDUCTOR 80</t>
  </si>
  <si>
    <t>FL43</t>
  </si>
  <si>
    <t>FLECHA P/REDUCTOR C/SALIDA DE 1" W100</t>
  </si>
  <si>
    <t>WM-FL16</t>
  </si>
  <si>
    <t>FLECHA P/REDUCTOR C/SALIDA DE 1" W100 -TORTIMEX -FL16</t>
  </si>
  <si>
    <t>FL44</t>
  </si>
  <si>
    <t>FLECHA P/REDUCTOR C/SALIDA DE 1" W50</t>
  </si>
  <si>
    <t>WM-FL15</t>
  </si>
  <si>
    <t>FLECHA P/REDUCTOR C/SALIDA DE 1" W50 -TORTIMEX -FL15</t>
  </si>
  <si>
    <t>FL116</t>
  </si>
  <si>
    <t>FLECHA PARA AMASADORA DE 10 KG, DE 66 CM DE LARGO, DE 1" DE DIÁMETRO, CON CUÑERO DE 1/4" X 3" DE AMBOS LADOS</t>
  </si>
  <si>
    <t xml:space="preserve">FLECHA AMASADORA DE 10KG 1X66CM CUN 1/4 </t>
  </si>
  <si>
    <t>FL36</t>
  </si>
  <si>
    <t>FLECHA PARA AMASADORA DE 100 KG 1 1/4" X 1.03 CM</t>
  </si>
  <si>
    <t>FLECHA P/AMASADORA 100 KG 1 1/4 X 1.03MT</t>
  </si>
  <si>
    <t>FL61</t>
  </si>
  <si>
    <t>FLECHA PARA BAYONETA GRANDE, ARMADA CON BUJE DE ACERO K-100</t>
  </si>
  <si>
    <t>FLECHA P/BAY GDE ARMA C/BUJE ACERO K-100</t>
  </si>
  <si>
    <t>FL45</t>
  </si>
  <si>
    <t>FLECHA PARA CATARINAS DE 9 DTS DE FIERRO COLOADO PARA W100 NUEVO DISEÑO (1 1/4 X 33'' CON CUÑERO DE 1/4 X 10'')</t>
  </si>
  <si>
    <t>FLECHA CAT9 W100NVODIS 1 1/4X33 CU1/4X10</t>
  </si>
  <si>
    <t>FL34</t>
  </si>
  <si>
    <t>FLECHA PARA CLUTCH DE MOLINITO</t>
  </si>
  <si>
    <t>FL35</t>
  </si>
  <si>
    <t>FLECHA PARA COLUMPIO WALMART</t>
  </si>
  <si>
    <t>FL58</t>
  </si>
  <si>
    <t>FLECHA PARA CONTRAPESO PARA MOLINO CONO</t>
  </si>
  <si>
    <t>FL121</t>
  </si>
  <si>
    <t>FLECHA PARA CORONA</t>
  </si>
  <si>
    <t>FL06</t>
  </si>
  <si>
    <t>FLECHA PARA DIFERENCIAL ASTREADA</t>
  </si>
  <si>
    <t>FL07</t>
  </si>
  <si>
    <t>FLECHA PARA DIFERENCIAL LARGA</t>
  </si>
  <si>
    <t>FL08</t>
  </si>
  <si>
    <t>FLECHA PARA ENFRIADOR</t>
  </si>
  <si>
    <t>FL09</t>
  </si>
  <si>
    <t>FLECHA PARA LEVA DÚPLEX</t>
  </si>
  <si>
    <t>FLECHA PARA LEVA DPLX</t>
  </si>
  <si>
    <t>FL10</t>
  </si>
  <si>
    <t>FLECHA PARA LEVA SENCILLA MODELO ANTERIOR</t>
  </si>
  <si>
    <t>FLECHA P/LEVA SENC MODELO ANTERIOR</t>
  </si>
  <si>
    <t>FL11</t>
  </si>
  <si>
    <t>FLECHA PARA LEVA SENCILLA TV-50 (B.C.)</t>
  </si>
  <si>
    <t>FLECHA PARA LEVA SENCILLA TV-50 BC</t>
  </si>
  <si>
    <t>FL124</t>
  </si>
  <si>
    <t>FLECHA PARA MAQUINA TVRM (1'' X 58 CM)</t>
  </si>
  <si>
    <t>FL125</t>
  </si>
  <si>
    <t>FLECHA PARA MAQUINA TVRM (1'' X 68 CM)</t>
  </si>
  <si>
    <t>FL123</t>
  </si>
  <si>
    <t xml:space="preserve">FLECHA PARA PALETAS DE AMASADORA DE 100 KG (1''1/4 x 1.30 M) </t>
  </si>
  <si>
    <t>FLECHA PAL AMAS100 1''1/4x1.30 M</t>
  </si>
  <si>
    <t>FL87</t>
  </si>
  <si>
    <t>FLECHA PARA PALETAS DE AMASADORA DE 100 KG (1''3/16 x 1.07 M) CON CUÑERO DE 1/4''X3''</t>
  </si>
  <si>
    <t>FLEC PAL AMAS100 1''3/16x1.07M CUÑ 1/4X3</t>
  </si>
  <si>
    <t>FL99</t>
  </si>
  <si>
    <t>FLECHA PARA PALETAS DE AMASADORA DE 100 KG (1"1/4X97CM) EN ACERO INOX. T-304 GRADO ALIMENTICIO</t>
  </si>
  <si>
    <t>FLECHA PALET AMASA 100KG 1 1/4X97CM INOX</t>
  </si>
  <si>
    <t>FL14</t>
  </si>
  <si>
    <t>FLECHA PARA PALETAS DE AMASADORA DE 100 KG. (1"1/4X97CM.)</t>
  </si>
  <si>
    <t>FLECHA PALET AMASADORA 100KG 1 1/4X97CM</t>
  </si>
  <si>
    <t>FL97</t>
  </si>
  <si>
    <t>FLECHA PARA PALETAS DE AMASADORA DE 25 KG (3/4"X68CM) EN ACERO INOX. T-304 GRADO ALIMENTICIO</t>
  </si>
  <si>
    <t>FLECHA PALETAS AMASAD 25KG 3/4X68CM INOX</t>
  </si>
  <si>
    <t>FL12</t>
  </si>
  <si>
    <t>FLECHA PARA PALETAS DE AMASADORA DE 25 KG. (3/4X68CM.)</t>
  </si>
  <si>
    <t>FLECHA PALETAS AMASADORA 25 KG 3/4X68CM</t>
  </si>
  <si>
    <t>FL98</t>
  </si>
  <si>
    <t>FLECHA PARA PALETAS DE AMASADORA DE 50 KG (1"X91CM) EN ACERO INOX. T-304 GRADO ALIMENTICIO</t>
  </si>
  <si>
    <t>FLECHA PALETAS AMASADOR 50KG 1X91CM INOX</t>
  </si>
  <si>
    <t>FL47</t>
  </si>
  <si>
    <t>FLECHA PARA PALETAS DE AMASADORA DE 50 KG. (1"X120CM.), 1 CUÑERO</t>
  </si>
  <si>
    <t>FLECHA PALETAS AMASADO 50KG 1X120CM 1CUÑ</t>
  </si>
  <si>
    <t>FL62</t>
  </si>
  <si>
    <t>FLECHA PARA PALETAS DE AMASADORA DE 50 KG. (1"X25CM.) 1 CUÑERO</t>
  </si>
  <si>
    <t>FLECHA PALETAS AMASADORA DE 50KG 1X25CM</t>
  </si>
  <si>
    <t>FL63</t>
  </si>
  <si>
    <t>FLECHA PARA PALETAS DE AMASADORA DE 50 KG. (1"X35CM.) 1 CUÑERO</t>
  </si>
  <si>
    <t>FLECHA PALETAS AMASADORA DE 50KG 1X35CM</t>
  </si>
  <si>
    <t>FL64</t>
  </si>
  <si>
    <t>FLECHA PARA PALETAS DE AMASADORA DE 50 KG. (1"X45CM.) 1 CUÑERO</t>
  </si>
  <si>
    <t>FLECHA PALETAS AMASADORA DE 50KG 1X45CM</t>
  </si>
  <si>
    <t>FL13</t>
  </si>
  <si>
    <t>FLECHA PARA PALETAS DE AMASADORA DE 50 KG. (1"X91CM.)</t>
  </si>
  <si>
    <t>FLECHA PALETAS AMASADORA DE 50KG 1X91CM</t>
  </si>
  <si>
    <t>FL41</t>
  </si>
  <si>
    <t>FLECHA PARA PALETAS DE AMASADORA ESPECIAL DE 1''1/4X110CM 1 CUÑERO</t>
  </si>
  <si>
    <t>FLECHA PALET AMAS ESP 1''1/4X110CM 1 CUÑ</t>
  </si>
  <si>
    <t>FL15</t>
  </si>
  <si>
    <t>FLECHA PARA REDUCTOR DÚPLEX</t>
  </si>
  <si>
    <t>FLECHA PARA REDUCTOR DPLX</t>
  </si>
  <si>
    <t>FL16</t>
  </si>
  <si>
    <t>FLECHA PARA REDUCTOR SENCILLO</t>
  </si>
  <si>
    <t>FL0001</t>
  </si>
  <si>
    <t>FLECHA PARA RODILLO DE 15/16" X 25 3/4" C/CUÑERO 1/4" WALMART</t>
  </si>
  <si>
    <t>FL18</t>
  </si>
  <si>
    <t>FLECHA PARA SINFÍN ASPA DÚPLEX</t>
  </si>
  <si>
    <t>FLECHA PARA SINFIN ASPA DPLX</t>
  </si>
  <si>
    <t>FL94</t>
  </si>
  <si>
    <t>FLECHA PARA SINFÍN ASPA DÚPLEX EN ACERO INOX. T-304 GRADO ALIMENTICIO</t>
  </si>
  <si>
    <t>FLECHA SINFIN ASPA DPLX INOX GA</t>
  </si>
  <si>
    <t>FL17</t>
  </si>
  <si>
    <t>FLECHA PARA SINFÍN ASPA ESPECIAL CHICO</t>
  </si>
  <si>
    <t>FLECHA SINFIN ASPA ESPECIAL CHICO</t>
  </si>
  <si>
    <t>FL95</t>
  </si>
  <si>
    <t>FLECHA PARA SINFÍN ASPA ESPECIAL CHICO EN ACERO INOX. T-304 GRADO ALIMENTICIO</t>
  </si>
  <si>
    <t>FLECHA SINFIN ASPA ESPECIAL CHIC INOX GA</t>
  </si>
  <si>
    <t>FL19</t>
  </si>
  <si>
    <t>FLECHA PARA SINFÍN ASPA SENCILLA</t>
  </si>
  <si>
    <t>FLECHA PARA SINFIN ASPA SENCILLA</t>
  </si>
  <si>
    <t>FL96</t>
  </si>
  <si>
    <t>FLECHA PARA SINFÍN ASPA SENCILLA EN ACERO INOXIDABLE T-304 GRADO ALIMENTICIO</t>
  </si>
  <si>
    <t>FLECHA PARA SINFIN ASPA SENCILLA INOX GA</t>
  </si>
  <si>
    <t>FL48</t>
  </si>
  <si>
    <t>FLECHA PARA TRANSMISIÓN AMASADORA DE 25 KG DE 1'' X 74 CM</t>
  </si>
  <si>
    <t>FLECHA P/TRANSMISION AMAS 25KG 1 X 74CM</t>
  </si>
  <si>
    <t>FL22</t>
  </si>
  <si>
    <t>FLECHA PARA TRANSPORTADOR AMASADORA DE 100 KG. (1"X1.03CM.)</t>
  </si>
  <si>
    <t>FLECHA P/TRANSP AMASADORA 100KG 1X103CM</t>
  </si>
  <si>
    <t>FL92</t>
  </si>
  <si>
    <t>FLECHA PARA TRANSPORTADOR AMASADORA DE 100 KG. (1"X1.03CM.) 2 CUÑEROS GRADO ALIMENTICIO</t>
  </si>
  <si>
    <t>FLECHA P/TRANSP AMASAD100KG 1X103CM 2CUN</t>
  </si>
  <si>
    <t>FL88</t>
  </si>
  <si>
    <t>FLECHA PARA TRANSPORTADOR AMASADORA DE 100 KG. (1"X110CM.)</t>
  </si>
  <si>
    <t>FLECHA P/TRANSP AMASADORA 100KG1"X110CM</t>
  </si>
  <si>
    <t>FL46</t>
  </si>
  <si>
    <t>FLECHA PARA TRANSPORTADOR AMASADORA DE 100 KG. (1"X120CM.)</t>
  </si>
  <si>
    <t>FLECHA P/TRANSP AMASADORA 100KG1"X120CM</t>
  </si>
  <si>
    <t>FL20</t>
  </si>
  <si>
    <t>FLECHA PARA TRANSPORTADOR AMASADORA DE 25 KG. (1"X73CM.)</t>
  </si>
  <si>
    <t>FLECHA P/TRANSPORT AMASADORA 25KG 1X73CM</t>
  </si>
  <si>
    <t>FL21</t>
  </si>
  <si>
    <t>FLECHA PARA TRANSPORTADOR AMASADORA DE 50 KG. (1"X95CM.) 2 CUÑEROS</t>
  </si>
  <si>
    <t>FLECHA P/TRANSP AMASAD 50KG 1X95CM 2CUN</t>
  </si>
  <si>
    <t>FL93</t>
  </si>
  <si>
    <t>FLECHA PARA TRANSPORTADOR AMASADORA DE 50 KG. (1"X95CM.) 2 CUÑEROS GRADO ALIMENTICIO</t>
  </si>
  <si>
    <t>FLECHA P/TRANSPO AMASAD 50KG 1X95CM 2CUN</t>
  </si>
  <si>
    <t>FL37</t>
  </si>
  <si>
    <t>FLECHA PARA TRANSPORTADOR DE 1" X 65 CM C/ CUÑ 1/4 X 3"</t>
  </si>
  <si>
    <t>FLECHA P/TRANSPORTADOR 1X65CM 1CUN</t>
  </si>
  <si>
    <t>FL110</t>
  </si>
  <si>
    <t>FLECHA PRINCIPAL 30" WALMART</t>
  </si>
  <si>
    <t>FL23</t>
  </si>
  <si>
    <t>FLECHA PRINCIPAL DÚPLEX (B.C.) Y MODELO ANTERIOR EN ACERO TRATADO</t>
  </si>
  <si>
    <t>FLECHA PRINCIPAL DPLX TV/BC/MA ACERO T</t>
  </si>
  <si>
    <t>FL59</t>
  </si>
  <si>
    <t>FLECHA PRINCIPAL P/RODILLO T/WALMART 1" X 73.5CM</t>
  </si>
  <si>
    <t>FLECHA PRIN P/RODILL T/WALMART 1"X73.5CM</t>
  </si>
  <si>
    <t>FL113</t>
  </si>
  <si>
    <t>FLECHA PRINCIPAL PARA MAQUINA TVR</t>
  </si>
  <si>
    <t>FLECHA PRINCIPAL MAQUINA TVR</t>
  </si>
  <si>
    <t>FL33</t>
  </si>
  <si>
    <t>FLECHA PRINCIPAL PARA MOLINO CAMARADA O CONO</t>
  </si>
  <si>
    <t>FLECHA PRINCIPAL P/MOL CAMARADA</t>
  </si>
  <si>
    <t>FL30</t>
  </si>
  <si>
    <t>FLECHA PRINCIPAL PARA MOLINO TORTIMEX #1 EN ACERO INOX. 304</t>
  </si>
  <si>
    <t>FLECHA PRINCIPAL P/MOL TORTIMEX1 INOX</t>
  </si>
  <si>
    <t>FL60</t>
  </si>
  <si>
    <t>FLECHA PRINCIPAL PARA MOLINO TORTIMEX #2 EN ACERO INOX. 304</t>
  </si>
  <si>
    <t>FLECHA PRINCIPAL P/MOL TORTIMEX2 INOX</t>
  </si>
  <si>
    <t>FL24</t>
  </si>
  <si>
    <t>FLECHA PRINCIPAL REFORZADA ESPECIAL CON AUMENTO DE TOPE</t>
  </si>
  <si>
    <t>FLECHA PRINCIPAL REF ESP AUMENTO TOPE</t>
  </si>
  <si>
    <t>FL31</t>
  </si>
  <si>
    <t>FLECHA PRINCIPAL REFORZADA SENCILLA PARA BALERO 6206 Y 7206</t>
  </si>
  <si>
    <t>FLECHA PRINCIPAL REF SENC BAL 6206 7206</t>
  </si>
  <si>
    <t>FL25</t>
  </si>
  <si>
    <t>FLECHA PRINCIPAL SENCILLA EN ACERO TRATADO</t>
  </si>
  <si>
    <t>FLECHA PRINCIPAL SENCILLA ACERO TRATADO</t>
  </si>
  <si>
    <t>FL26</t>
  </si>
  <si>
    <t>FLECHA PRINCIPAL SENCILLA REFORZADA</t>
  </si>
  <si>
    <t>FL27</t>
  </si>
  <si>
    <t>FLECHA PRINCIPAL SENCILLA TIPO U 3000</t>
  </si>
  <si>
    <t>FL27C</t>
  </si>
  <si>
    <t>FL28</t>
  </si>
  <si>
    <t>FLECHA RANURADA PARA VÁLVULA</t>
  </si>
  <si>
    <t>FLECHA RANURADA PARA VALVULA</t>
  </si>
  <si>
    <t>FL0002</t>
  </si>
  <si>
    <t>FLECHA SEPARADOR 18 3/4 X 3/4 WALMART</t>
  </si>
  <si>
    <t>FL122</t>
  </si>
  <si>
    <t>FLECHA SINFIN PARA REDUCTOR MEDIANO</t>
  </si>
  <si>
    <t>FL51</t>
  </si>
  <si>
    <t>FLECHA TIPO TOLUCA NO.2</t>
  </si>
  <si>
    <t>FL52</t>
  </si>
  <si>
    <t>FLECHA TIPO TOLUCA NO.3</t>
  </si>
  <si>
    <t>FL39</t>
  </si>
  <si>
    <t>FLECHA TRASERA PARA SPROCKET, PARA ENFRIADOR</t>
  </si>
  <si>
    <t>FLECHA TRASERA P/SPROCKET, P/ENFRIADOR</t>
  </si>
  <si>
    <t>MT36</t>
  </si>
  <si>
    <t>FREIDOR MECANIZADO MOD FMV-30</t>
  </si>
  <si>
    <t>MT40</t>
  </si>
  <si>
    <t>FREIDOR P/ HABAS Y CACAHUATE</t>
  </si>
  <si>
    <t>MT13</t>
  </si>
  <si>
    <t>FREIDORA  MANUAL  EN ACERO INOX. T-430  20 LITROS</t>
  </si>
  <si>
    <t>MT02</t>
  </si>
  <si>
    <t>FREIDORA  MANUAL EN ACERO INOX. T-430  40 LITROS</t>
  </si>
  <si>
    <t>MT03</t>
  </si>
  <si>
    <t>FREIDORA  MANUAL EN ACERO INOX. T-430  60 LITROS</t>
  </si>
  <si>
    <t>MT32</t>
  </si>
  <si>
    <t>FREIDORA DE MAROMA EN ACERO INOXIDABLE CON 2 CANASTILLAS Y 2 MESAS, CAPACIDAD DE 30 LITROS</t>
  </si>
  <si>
    <t>MT28</t>
  </si>
  <si>
    <t>FREIDORA MECANIZADA CUÁDRUPLE CON VARIADOR DE VELOCIDAD, CONTROL DE TEMPERATURA Y MALLA INOX. 304</t>
  </si>
  <si>
    <t>MT30</t>
  </si>
  <si>
    <t>FREIDORA MECANIZADA TRIPLE CON VARIADOR DE VELOCIDAD, CONTROL DE TEMPERATURA Y MALLA INOX. 304</t>
  </si>
  <si>
    <t>MT06</t>
  </si>
  <si>
    <t>FREIDORA MECANZADA DUPLEX CON VARIADOR DE VELOCIDAD, CONTROL DE TEMPERATURA Y MALLA DE INOX. 304</t>
  </si>
  <si>
    <t>FREIDORA MEC DPX VEL VAR C/TEMP MLL INOX</t>
  </si>
  <si>
    <t>FN01</t>
  </si>
  <si>
    <t>FRENTE PARA MOLINO CAMARADA O CONO NO.1</t>
  </si>
  <si>
    <t>FN02</t>
  </si>
  <si>
    <t>FRENTE PARA MOLINO CAMARADA O CONO NO.2</t>
  </si>
  <si>
    <t>MG95</t>
  </si>
  <si>
    <t>GABINETE ARMADO PARA MAQUINA TORTILLADORA WALMART</t>
  </si>
  <si>
    <t>MG89</t>
  </si>
  <si>
    <t xml:space="preserve">GABINETE ARMADO PARA MAQUINA TORTILLADORA WALMART MODELO ANTERIOR
</t>
  </si>
  <si>
    <t>GB0002</t>
  </si>
  <si>
    <t>GABINETE CHICO</t>
  </si>
  <si>
    <t>GB0001</t>
  </si>
  <si>
    <t>GABINETE CHICO 25X30CM</t>
  </si>
  <si>
    <t>GAB01</t>
  </si>
  <si>
    <t>GABINETE PARA AMASADORA DE 50 KG</t>
  </si>
  <si>
    <t>GB02</t>
  </si>
  <si>
    <t>GABINETE PARA AMASADORA WALMART</t>
  </si>
  <si>
    <t>GA01</t>
  </si>
  <si>
    <t>GANCHO GALVANIZADO 3/8 X 6"</t>
  </si>
  <si>
    <t>GANCHO GALVANIZADO 3/8 X 6</t>
  </si>
  <si>
    <t>GO01</t>
  </si>
  <si>
    <t>GOMAS P/PATAS DE AMASADORA 100KG</t>
  </si>
  <si>
    <t>GF01</t>
  </si>
  <si>
    <t>GRAFITO DE ESCAMA ALTA PUREZA (BOLSA)</t>
  </si>
  <si>
    <t>GRAFITO ESCAMA ALTA PUREZA (BOLSA)</t>
  </si>
  <si>
    <t>GF02</t>
  </si>
  <si>
    <t>GRAFITO DE ESCAMA ALTA PUREZA (BULTO DE 25KG.)</t>
  </si>
  <si>
    <t>GRAFITO ESCAMA ALTA PUREZA BULTO 25KG</t>
  </si>
  <si>
    <t>GF05</t>
  </si>
  <si>
    <t>GRAFITO LÍQUIDO (CUBETA DE 20LT.)</t>
  </si>
  <si>
    <t>GRAFITO LIQUIDO CUBETA</t>
  </si>
  <si>
    <t>GF04</t>
  </si>
  <si>
    <t>GRAFITO LÍQUIDO (GALÓN)</t>
  </si>
  <si>
    <t>GRAFITO LIQUIDO GALON</t>
  </si>
  <si>
    <t>GF03</t>
  </si>
  <si>
    <t>GRAFITO LÍQUIDO (LITRO)</t>
  </si>
  <si>
    <t>GRAFITO LIQUIDO LITRO</t>
  </si>
  <si>
    <t>GR11</t>
  </si>
  <si>
    <t>GRASA BARDAHL NLGI 3 425 G.</t>
  </si>
  <si>
    <t>GR01</t>
  </si>
  <si>
    <t>GRASA ROSHFRANS B.A.T.-3 425 G.</t>
  </si>
  <si>
    <t>GRASA ROSHFRANS BAT3 425 G</t>
  </si>
  <si>
    <t>GR02</t>
  </si>
  <si>
    <t>GRASA ROSHFRANS B.A.T.-3 850 G.</t>
  </si>
  <si>
    <t>GRASA ROSHFRANS BAT3 850 G</t>
  </si>
  <si>
    <t>GR08</t>
  </si>
  <si>
    <t>GRASERA "Z" PARA BASE SENCILLA</t>
  </si>
  <si>
    <t>GRASERA Z PARA BASE SENCILLA</t>
  </si>
  <si>
    <t>GR03</t>
  </si>
  <si>
    <t>GRASERA 1/4 RECTA</t>
  </si>
  <si>
    <t>GR04</t>
  </si>
  <si>
    <t>GRASERA 1/4 X 90</t>
  </si>
  <si>
    <t>GR05</t>
  </si>
  <si>
    <t>GRASERA 1/8 RECTA</t>
  </si>
  <si>
    <t>GR06</t>
  </si>
  <si>
    <t>GRASERA 1/8 X 90 CORTA</t>
  </si>
  <si>
    <t>GR07</t>
  </si>
  <si>
    <t>GRASERA 1/8 X 90 LARGA</t>
  </si>
  <si>
    <t>GR09</t>
  </si>
  <si>
    <t>GRASERA PARA BASE DÚPLEX</t>
  </si>
  <si>
    <t>GRASERA PARA BASE DPLX</t>
  </si>
  <si>
    <t>GU01</t>
  </si>
  <si>
    <t>GUÍA DE BRONCE DÚPLEX DERECHA</t>
  </si>
  <si>
    <t>GUIA DE BRONCE DPLX DERECHA</t>
  </si>
  <si>
    <t>GU02</t>
  </si>
  <si>
    <t>GUÍA DE BRONCE DÚPLEX IZQUIERDA</t>
  </si>
  <si>
    <t>GUIA DE BRONCE DPLX IZQUIERDA</t>
  </si>
  <si>
    <t>GU03</t>
  </si>
  <si>
    <t>GUÍA DE BRONCE SENCILLA DERECHA</t>
  </si>
  <si>
    <t>GUIA DE BRONCE SENCILLA DERECHA</t>
  </si>
  <si>
    <t>GU03C</t>
  </si>
  <si>
    <t>GUÍA DE BRONCE SENCILLA DERECHA TIPO CELORIO</t>
  </si>
  <si>
    <t>GU04</t>
  </si>
  <si>
    <t>GUÍA DE BRONCE SENCILLA IZQUIERDA</t>
  </si>
  <si>
    <t>GUIA DE BRONCE SENCILLA IZQUIERDA</t>
  </si>
  <si>
    <t>GU04C</t>
  </si>
  <si>
    <t>GUÍA DE BRONCE SENCILLA IZQUIERDA TIPO CELORIO</t>
  </si>
  <si>
    <t>GU05</t>
  </si>
  <si>
    <t>GUIA PARA CHUMACERA TENSORA GALVANIZADA</t>
  </si>
  <si>
    <t>HE01</t>
  </si>
  <si>
    <t>HÉLICE DÚPLEX</t>
  </si>
  <si>
    <t>HELICE DPLX</t>
  </si>
  <si>
    <t>HE96</t>
  </si>
  <si>
    <t>HÉLICE DÚPLEX EN ACERO INOX. T-304 GRADO ALIMENTICIO (solera)</t>
  </si>
  <si>
    <t>HELICE DPLX INOX GA SOLERA</t>
  </si>
  <si>
    <t>HE01C</t>
  </si>
  <si>
    <t>HÉLICE DUPLEX TIPO CELORIO</t>
  </si>
  <si>
    <t>HE02C</t>
  </si>
  <si>
    <t>HELICE SENCILLA</t>
  </si>
  <si>
    <t>HE02</t>
  </si>
  <si>
    <t>HÉLICE SENCILLA</t>
  </si>
  <si>
    <t>HE97</t>
  </si>
  <si>
    <t>HÉLICE SENCILLA EN ACERO INOX. T-304 GRADO ALIMENTICIO</t>
  </si>
  <si>
    <t>HELICE SENC INOX GA</t>
  </si>
  <si>
    <t>IY01</t>
  </si>
  <si>
    <t>INYECTOR DE GRASA LIGERA DE 140 Z</t>
  </si>
  <si>
    <t>JG185</t>
  </si>
  <si>
    <t>JGO SINFIN CH DPX 6PZA NYLAMID MAQUINADO</t>
  </si>
  <si>
    <t>JG184</t>
  </si>
  <si>
    <t>JGO SINFIN CH SEN 4PZA NYLAMID MAQUINADO</t>
  </si>
  <si>
    <t>JGT0001</t>
  </si>
  <si>
    <t>JGO TAPAS PARA ALIMENTADOR WALMART</t>
  </si>
  <si>
    <t>JG102</t>
  </si>
  <si>
    <t>JUEGO DE 4 BAYONETAS CHICAS SENCILLA TV-50 (B.C.)</t>
  </si>
  <si>
    <t>JUEGO 4 BAYONETAS CHICAS SENCILLA TV/BC</t>
  </si>
  <si>
    <t>JG103</t>
  </si>
  <si>
    <t>JUEGO DE 4 BAYONETAS CHICAS SENCILLA TV-50 (B.C.) EN ACERO INOX. T-304 GRADO ALIMENTICIO</t>
  </si>
  <si>
    <t>JUEGO 4 BAYONETAS CHICAS SENC BC INOX GA</t>
  </si>
  <si>
    <t>JG02C</t>
  </si>
  <si>
    <t>JUEGO DE 4 BAYONETAS CHICAS SENCILLAS TV-50 (B.C) TIPO CELORIO</t>
  </si>
  <si>
    <t>JG167</t>
  </si>
  <si>
    <t>JUEGO DE 4 BIRLOS PARA CARRO SUPERIOR DÚPLEX</t>
  </si>
  <si>
    <t>JUEGO 4 BIRLOS PARA CARRO SUPERIOR DPLX</t>
  </si>
  <si>
    <t>JG168</t>
  </si>
  <si>
    <t>JUEGO DE 4 BIRLOS PARA CARRO SUPERIOR SENCILLO</t>
  </si>
  <si>
    <t>JUEGO 4 BIRLOS PARA CARRO SUPERIOR SENC</t>
  </si>
  <si>
    <t>JG166</t>
  </si>
  <si>
    <t>JUEGO DE 6 BAYONETAS CHICAS DÚPLEX (B.C.)</t>
  </si>
  <si>
    <t>JUEGO 6 BAYONETAS CHICAS DPLX BC</t>
  </si>
  <si>
    <t>JG93</t>
  </si>
  <si>
    <t>JUEGO DE 6 BAYONETAS CHICAS DÚPLEX (B.C.) EN ACERO INOX. T-304 GRADO ALIMENTICIO</t>
  </si>
  <si>
    <t>JUEGO 6 BAYONETAS CHICAS DPLX BC INOX GA</t>
  </si>
  <si>
    <t>JG166C</t>
  </si>
  <si>
    <t xml:space="preserve">JUEGO DE 6 BAYONETAS CHICAS DÚPLEX (B.C.) TIPO CELORIO </t>
  </si>
  <si>
    <t>JG06</t>
  </si>
  <si>
    <t>JUEGO DE ABRAZADERAS PARA RIELES MODELO ANTERIOR</t>
  </si>
  <si>
    <t>JUEGO ABRAZADERAS PARA RIELES MA</t>
  </si>
  <si>
    <t>JG07</t>
  </si>
  <si>
    <t>JUEGO DE ALUMINIO DÚPLEX</t>
  </si>
  <si>
    <t>JUEGO ALUMINIO DPLX</t>
  </si>
  <si>
    <t>JG08</t>
  </si>
  <si>
    <t>JUEGO DE ALUMINIO ESPECIAL CHICO</t>
  </si>
  <si>
    <t>JG09</t>
  </si>
  <si>
    <t>JUEGO DE ALUMINIO SENCILLO GRANDE</t>
  </si>
  <si>
    <t>GJ98</t>
  </si>
  <si>
    <t>JUEGO DE AUTOCLE DE 1/2</t>
  </si>
  <si>
    <t>JG195</t>
  </si>
  <si>
    <t>JUEGO DE BANDAS METÁLICAS DÚPLEX (B.C.)</t>
  </si>
  <si>
    <t>JUEGO DE BANDAS METALICAS DPLX BC</t>
  </si>
  <si>
    <t>JG197</t>
  </si>
  <si>
    <t>JUEGO DE BANDAS METÁLICAS DÚPLEX MODELO ANTERIOR</t>
  </si>
  <si>
    <t>JUEGO BANDAS METALICAS DPLX MA</t>
  </si>
  <si>
    <t>JG189</t>
  </si>
  <si>
    <t>JUEGO DE BANDAS METALICAS PARA MAQUINA MERIDA</t>
  </si>
  <si>
    <t>JUEGO BANDAS METALICAS P/MAQUINA MERIDA</t>
  </si>
  <si>
    <t>JG205</t>
  </si>
  <si>
    <t>JUEGO DE BANDAS METALICAS PARA MÁQUINA W-100 NUEVA</t>
  </si>
  <si>
    <t>JUEGO BANDAS METALICAS P/W-100 NUEVA</t>
  </si>
  <si>
    <t>JG198</t>
  </si>
  <si>
    <t>JUEGO DE BANDAS METÁLICAS SENCILLA MODELO ANTERIOR</t>
  </si>
  <si>
    <t>JUEGO BANDAS METALICAS SENCILLA MA</t>
  </si>
  <si>
    <t>JG199</t>
  </si>
  <si>
    <t>JUEGO DE BANDAS METÁLICAS SENCILLA TV-30</t>
  </si>
  <si>
    <t>JUEGO BANDAS METALICAS SENCILLA TV-30</t>
  </si>
  <si>
    <t>JG200</t>
  </si>
  <si>
    <t>JUEGO DE BANDAS METÁLICAS SENCILLA TV-40</t>
  </si>
  <si>
    <t>JUEGO BANDAS METALICAS SENCILLA TV-40</t>
  </si>
  <si>
    <t>JG196</t>
  </si>
  <si>
    <t>JUEGO DE BANDAS METÁLICAS SENCILLA TV-50 (B.C.)</t>
  </si>
  <si>
    <t>JUEGO BANDAS METALICAS SENCILLA TV/BC</t>
  </si>
  <si>
    <t>JGB2</t>
  </si>
  <si>
    <t>JUEGO DE BIKINIS PARA MAQ. DE RODILLOS DE PIEDRA</t>
  </si>
  <si>
    <t>JUEGO BIKINIS P/MAQ RODILLOS PIEDRA</t>
  </si>
  <si>
    <t>JGB3</t>
  </si>
  <si>
    <t>JUEGO DE BIKINIS PARA MAQ. DE RODILLOS NO. 4</t>
  </si>
  <si>
    <t>JUEGO BIKINIS PARA MAQ DE RODILLOS NO4</t>
  </si>
  <si>
    <t>JGB4</t>
  </si>
  <si>
    <t>JUEGO DE BIKINIS PARA MAQ. DE RODILLOS NO. 6</t>
  </si>
  <si>
    <t>JUEGO BIKINIS PARA MAQ DE RODILLOS NO6</t>
  </si>
  <si>
    <t>JGB1</t>
  </si>
  <si>
    <t>JUEGO DE BIKINIS PARA MAQ. DE RODILLOS NO. 8</t>
  </si>
  <si>
    <t>JUEGO BIKINIS PARA MAQ DE RODILLOS NO8</t>
  </si>
  <si>
    <t>JUTOR291</t>
  </si>
  <si>
    <t>JUEGO DE BIKINIS PARA PONY</t>
  </si>
  <si>
    <t>JGB5</t>
  </si>
  <si>
    <t>JUEGO DE BIKINIS PARA TORTILLA DE 5 MM</t>
  </si>
  <si>
    <t>JUEGO BIKINIS PARA TORTILLA DE 5 MM</t>
  </si>
  <si>
    <t>JGB6</t>
  </si>
  <si>
    <t>JUEGO DE BIKINIS WALMART</t>
  </si>
  <si>
    <t>JG222</t>
  </si>
  <si>
    <t>JUEGO DE BIRLOS CON MUELLE TIPO CELORIO</t>
  </si>
  <si>
    <t>JG114</t>
  </si>
  <si>
    <t>JUEGO DE BRAZOS CON BUJE DE NYLAMID</t>
  </si>
  <si>
    <t>JUEGO BRAZOS CON BUJE DE NYLAMID</t>
  </si>
  <si>
    <t>JG80</t>
  </si>
  <si>
    <t>JUEGO DE BRAZOS TENSORES PARA MOLINO CONO</t>
  </si>
  <si>
    <t>JUEGO DE BRAZOS TENSORES P/MOLINO CONO</t>
  </si>
  <si>
    <t>JG172</t>
  </si>
  <si>
    <t>JUEGO DE BRONCES DÚPLEX MAQUINADOS</t>
  </si>
  <si>
    <t>JUEGO BRONCES DPLX MAQUINADOS</t>
  </si>
  <si>
    <t>JG173</t>
  </si>
  <si>
    <t>JUEGO DE BRONCES SENCILLOS MAQUINADOS</t>
  </si>
  <si>
    <t>JUEGO BRONCES SENCILLOS MAQUINADOS</t>
  </si>
  <si>
    <t>JG173C</t>
  </si>
  <si>
    <t>JG17C</t>
  </si>
  <si>
    <t>JG207</t>
  </si>
  <si>
    <t>JUEGO DE BUJES ARMADOS C/ESPARR PARA COLUMPIO WALMART</t>
  </si>
  <si>
    <t>JG77</t>
  </si>
  <si>
    <t>JUEGO DE CABLES CON 3 BUJIAS</t>
  </si>
  <si>
    <t>JUEGO CABLES CON 3 BUJIAS</t>
  </si>
  <si>
    <t>CATOR187</t>
  </si>
  <si>
    <t>JUEGO DE CATARINA 9 DTS P/COMAL INT 15/16</t>
  </si>
  <si>
    <t>JG117</t>
  </si>
  <si>
    <t xml:space="preserve">JUEGO DE CATARINAS DE 9 Y 10 DTS ENTRADA 1 1/4 </t>
  </si>
  <si>
    <t xml:space="preserve">JUEGO CATARINAS 9 Y 10 DTS INT 1 1/4 </t>
  </si>
  <si>
    <t>WM-DE11</t>
  </si>
  <si>
    <t>JUEGO DE DESLIZADORES INOX ** -TORTIMEX -DE11</t>
  </si>
  <si>
    <t>JUEGO DE DESLIZADORES INOX</t>
  </si>
  <si>
    <t>JG72</t>
  </si>
  <si>
    <t>JUEGO DE DISCOS DENTADOS 4.5" FIERRO PARA MOLINO DE CHILES</t>
  </si>
  <si>
    <t>JUEGO DISCOS DENT 4.5 FIERR P/MOL CHILES</t>
  </si>
  <si>
    <t>JG74</t>
  </si>
  <si>
    <t>JUEGO DE DISCOS DENTADOS 7" FIERRO PARA MOLINO DE CHILES</t>
  </si>
  <si>
    <t>JUEGO DISCOS DENT 7 FIERRO P/MOL CHILES</t>
  </si>
  <si>
    <t>JUE001</t>
  </si>
  <si>
    <t>JUEGO DE FILTRO</t>
  </si>
  <si>
    <t>JG208</t>
  </si>
  <si>
    <t>JUEGO DE FLAUTAS WALMART W100</t>
  </si>
  <si>
    <t>JG204</t>
  </si>
  <si>
    <t>JUEGO DE FLAUTAS WALMART W50</t>
  </si>
  <si>
    <t>JG18</t>
  </si>
  <si>
    <t>JUEGO DE GUÍAS DE BRONCE DÚPLEX</t>
  </si>
  <si>
    <t>JUEGO DE GUIAS DE BRONCE DPLX</t>
  </si>
  <si>
    <t>JG19</t>
  </si>
  <si>
    <t>JUEGO DE GUÍAS DE BRONCE SENCILLA</t>
  </si>
  <si>
    <t>JUEGO DE GUIAS DE BRONCE SENCILLA</t>
  </si>
  <si>
    <t>JG186</t>
  </si>
  <si>
    <t>JUEGO DE JUNTAS PARA REDUCTOR</t>
  </si>
  <si>
    <t>JUEGO DE LAMINAS PARA VIKINIS</t>
  </si>
  <si>
    <t>LA09</t>
  </si>
  <si>
    <t>JUEGO DE LATERAL COLA DUPLEX</t>
  </si>
  <si>
    <t>JUEGO DE LATERALES CON ACCESORIOS SOLADA</t>
  </si>
  <si>
    <t>JG89</t>
  </si>
  <si>
    <t>JUEGO DE LATERALES CON ACCESORIOS SOLDADOS WALMART</t>
  </si>
  <si>
    <t>JG174</t>
  </si>
  <si>
    <t>JUEGO DE LATERALES SENCILLO MODELO ANTERIOR</t>
  </si>
  <si>
    <t>JUEGO DE LATERALES SENCILLO MA</t>
  </si>
  <si>
    <t>JG175</t>
  </si>
  <si>
    <t>JUEGO DE LATERALES SENCILLO TV-50 (B.C.)</t>
  </si>
  <si>
    <t>JUEGO DE LATERALES SENCILLO TV/BC</t>
  </si>
  <si>
    <t>LL14</t>
  </si>
  <si>
    <t>JUEGO DE LLAVE TORN 9PZA</t>
  </si>
  <si>
    <t>JG23</t>
  </si>
  <si>
    <t>JUEGO DE LLAVES ALLEN (TRUPER)</t>
  </si>
  <si>
    <t>JUE002</t>
  </si>
  <si>
    <t>JUEGO DE LLAVES ALLEN LARGAS</t>
  </si>
  <si>
    <t>JG115</t>
  </si>
  <si>
    <t>JUEGO DE PALANCA PARA AMASADORA DE 40 KG WALMART, (PALANCA,BASE,SOLERA,RESORTE,SOLERA DE 1/8 X 1" 1 3/4"</t>
  </si>
  <si>
    <t>JUE003</t>
  </si>
  <si>
    <t>JUEGO DE PALETA DE 25 PULIDA</t>
  </si>
  <si>
    <t>JG202</t>
  </si>
  <si>
    <t>JUEGO DE PERILLAS DE APRIETE PARA CABEZAL RESTAURANTERO</t>
  </si>
  <si>
    <t>JUEGO PERILLAS APRIETE P/CAB REST</t>
  </si>
  <si>
    <t>JG201</t>
  </si>
  <si>
    <t>JUEGO DE PERILLAS DE APRIETE PARA MAQUINA DE RODILLOS SENCILLA TVRS 8"</t>
  </si>
  <si>
    <t>JUEGO PERILLAS APRIETE P/TVRS 8"</t>
  </si>
  <si>
    <t>JG203</t>
  </si>
  <si>
    <t>JUEGO DE PERILLAS DE APRIETE PARA MAQUINA TVR20 6''</t>
  </si>
  <si>
    <t>JUEGO PERILLAS APRIETE P/TVR20 6''</t>
  </si>
  <si>
    <t>JG76</t>
  </si>
  <si>
    <t>JUEGO DE PIEDRAS 10" 1 BARRENO INT. 3 1/2</t>
  </si>
  <si>
    <t>JUEGO PIEDRAS DE 10 1BARRENO INT. 3 1/2</t>
  </si>
  <si>
    <t>JG119</t>
  </si>
  <si>
    <t>JUEGO DE PIEDRAS 10" MOLINO NEVADO INT 2 1/4''</t>
  </si>
  <si>
    <t>JUEGO PIEDRAS 10" NEVADO INT 2 1/4''</t>
  </si>
  <si>
    <t>JG68</t>
  </si>
  <si>
    <t>JUEGO DE PIEDRAS 11" LISAS INT. 3 1/2</t>
  </si>
  <si>
    <t>JUEGO PIEDRAS DE 11 LISAS INT. 3 1/2</t>
  </si>
  <si>
    <t>JG217</t>
  </si>
  <si>
    <t>JUEGO DE PIEDRAS 12" LISAS CAMARADA INT. 2 1/2</t>
  </si>
  <si>
    <t>JUEGO PIEDRAS 12 LISAS CAMARADA INT2 1/2</t>
  </si>
  <si>
    <t>JG216</t>
  </si>
  <si>
    <t>JUEGO DE PIEDRAS 13" LISAS INT. 2 1/4</t>
  </si>
  <si>
    <t>JUEGO PIEDRAS DE 13 LISAS INT. 2 1/4</t>
  </si>
  <si>
    <t>JG212</t>
  </si>
  <si>
    <t>JUEGO DE PIEDRAS 16" CAMARADA INT. 2 1/4</t>
  </si>
  <si>
    <t>JUEGO PIEDRAS DE 16 CAMARADA INT. 2 1/4</t>
  </si>
  <si>
    <t>JG213</t>
  </si>
  <si>
    <t>JUEGO DE PIEDRAS 16" TOLUCA INT. 2"</t>
  </si>
  <si>
    <t>JUEGO PIEDRAS DE 16 TOLUCA INT. 2"</t>
  </si>
  <si>
    <t>JG215</t>
  </si>
  <si>
    <t>JUEGO DE PIEDRAS 7" LISA  INT. 2 1/2</t>
  </si>
  <si>
    <t>JUEGO PIEDRAS LISA DE 7 INT. 2 1/2</t>
  </si>
  <si>
    <t>JG214</t>
  </si>
  <si>
    <t>JUEGO DE PIEDRAS 8" LISA INT. 2"</t>
  </si>
  <si>
    <t>JUEGO PIEDRAS DE 8 LISA INT. 2"</t>
  </si>
  <si>
    <t>JG211</t>
  </si>
  <si>
    <t>JUEGO DE PIEDRAS 9" LISAS INT. 2 1/4</t>
  </si>
  <si>
    <t>JUEGO PIEDRAS DE 9 LISAS INT. 2 1/4</t>
  </si>
  <si>
    <t>JG120</t>
  </si>
  <si>
    <t>JUEGO DE PIEDRAS 9" MOLINO NEVADO INT 2 1/4''</t>
  </si>
  <si>
    <t>JUEGO PIEDRAS 9" NEVADO INT 2 1/4''</t>
  </si>
  <si>
    <t>JG51</t>
  </si>
  <si>
    <t>JUEGO DE PIEDRAS 9" MOLINO TOLUCA #3</t>
  </si>
  <si>
    <t>JG191</t>
  </si>
  <si>
    <t>JUEGO DE PIEDRAS BLANCAS DE 14'' LISAS 2 1/4</t>
  </si>
  <si>
    <t>PIEDRAS 14 INT 2 1/4 PILOTO</t>
  </si>
  <si>
    <t>JG163</t>
  </si>
  <si>
    <t>JUEGO DE PIEDRAS DE 10 " NEVADO  INT 2 1/4"</t>
  </si>
  <si>
    <t>JUEGO PIEDRAS 10 NEVADO INT 2 1/4</t>
  </si>
  <si>
    <t>JG187</t>
  </si>
  <si>
    <t>JUEGO DE PIEDRAS DE 10'' TOLUCA INT 3"</t>
  </si>
  <si>
    <t>JUEGO PIEDRAS 10 TOLUCA INT 3</t>
  </si>
  <si>
    <t>JG149</t>
  </si>
  <si>
    <t>JUEGO DE PIEDRAS DE 10" LISAS INT 3 1/2"</t>
  </si>
  <si>
    <t>PIEDRAS 10 INT 3 1/2 PILOTO</t>
  </si>
  <si>
    <t>JG122</t>
  </si>
  <si>
    <t>JUEGO DE PIEDRAS DE 10" LISAS INTERIOR 2 1/2"</t>
  </si>
  <si>
    <t>PIEDRAS 10 INT 2 1/2 PILOTO</t>
  </si>
  <si>
    <t>JG123</t>
  </si>
  <si>
    <t>JUEGO DE PIEDRAS DE 10" LISAS INTERIOR 2 1/4"</t>
  </si>
  <si>
    <t>PIEDRAS 10 INT 2 1/4 PILOTO</t>
  </si>
  <si>
    <t>JG150</t>
  </si>
  <si>
    <t>JUEGO DE PIEDRAS DE 10" NEVADO INT 2 1/2"</t>
  </si>
  <si>
    <t>JUEGO PIEDRAS 10 NEVADO INT 2 1/2</t>
  </si>
  <si>
    <t>JG29</t>
  </si>
  <si>
    <t>JUEGO DE PIEDRAS DE 10" PARA MOLINO TIPO CAMARADA INTERIOR 2 1/4''</t>
  </si>
  <si>
    <t>JUEGO PIEDRAS 10 P/MOL CAMARAD INT 2 1/4</t>
  </si>
  <si>
    <t>JG56</t>
  </si>
  <si>
    <t>JUEGO DE PIEDRAS DE 10" PARA MOLINO TORTIMEX INTERIOR 2 1/8"</t>
  </si>
  <si>
    <t>JUEGO PIEDRAS 10 MOL TORTIMEX INT 2 1/8</t>
  </si>
  <si>
    <t>JG121</t>
  </si>
  <si>
    <t>JUEGO DE PIEDRAS DE 10" TIPO CAMARADA INT 2 1/2"</t>
  </si>
  <si>
    <t>JUEGO PIEDRAS 10 CAMARADA INT 2 1/2</t>
  </si>
  <si>
    <t>JG125</t>
  </si>
  <si>
    <t>JUEGO DE PIEDRAS DE 10" TOLUCA INT 2 1/2"</t>
  </si>
  <si>
    <t>JUEGO PIEDRAS 10 TOLUCA INT 2 1/2</t>
  </si>
  <si>
    <t>JG126</t>
  </si>
  <si>
    <t>JUEGO DE PIEDRAS DE 10" TOLUCA INT 2 1/4"</t>
  </si>
  <si>
    <t>JUEGO PIEDRAS 10 TOLUCA INT 2 1/4</t>
  </si>
  <si>
    <t>JG124</t>
  </si>
  <si>
    <t>JUEGO DE PIEDRAS DE 10" TOLUCA INT 3 1/2"</t>
  </si>
  <si>
    <t>JUEGO PIEDRAS 10 TOLUCA INT 3 1/2</t>
  </si>
  <si>
    <t>JG188</t>
  </si>
  <si>
    <t>JUEGO DE PIEDRAS DE 11'' CON DIAMETRO CENTRAL DE 3 1/2'', CON UN BARRENO A DISTANCIA DEL CENTRAL A 4 CM</t>
  </si>
  <si>
    <t>JUEGO PIEDRAS 11 ENT 3 1/2 BARR A 4CM</t>
  </si>
  <si>
    <t>JG128</t>
  </si>
  <si>
    <t>JUEGO DE PIEDRAS DE 11" LISA INT 2"</t>
  </si>
  <si>
    <t>PIEDRAS 11 INT 2 PILOTO</t>
  </si>
  <si>
    <t>JG151</t>
  </si>
  <si>
    <t>JUEGO DE PIEDRAS DE 11" NEVADO INT 2"</t>
  </si>
  <si>
    <t>JUEGO PIEDRAS 11 NEVADO INT 2</t>
  </si>
  <si>
    <t>JG65</t>
  </si>
  <si>
    <t>JUEGO DE PIEDRAS DE 11" PARA MOLINO TIPO CAMARADA</t>
  </si>
  <si>
    <t>JUEGO PIEDRAS 11 MOLINO CAMARADA</t>
  </si>
  <si>
    <t>JG127</t>
  </si>
  <si>
    <t>JUEGO DE PIEDRAS DE 11" TIPO CAMARADA INT 2 1/2"</t>
  </si>
  <si>
    <t>JUEGO PIEDRAS 11 CAMARADA INT 2 1/2</t>
  </si>
  <si>
    <t>JG152</t>
  </si>
  <si>
    <t>JUEGO DE PIEDRAS DE 11" TOLUCA INT 2"</t>
  </si>
  <si>
    <t>JUEGO PIEDRAS 11 TOLUCA INT 2</t>
  </si>
  <si>
    <t>JG132</t>
  </si>
  <si>
    <t>JUEGO DE PIEDRAS DE 12" LISA INT 2 1/4"</t>
  </si>
  <si>
    <t>PIEDRAS 12 INT 2 1/4 PILOTO</t>
  </si>
  <si>
    <t>JG134</t>
  </si>
  <si>
    <t>JUEGO DE PIEDRAS DE 12" LISA INT 3 1/2"</t>
  </si>
  <si>
    <t>PIEDRAS 12 INT 3 1/2 PILOTO</t>
  </si>
  <si>
    <t>JG153</t>
  </si>
  <si>
    <t>JUEGO DE PIEDRAS DE 12" LISAS INT 3"</t>
  </si>
  <si>
    <t>PIEDRAS 12 INT 3 PILOTO</t>
  </si>
  <si>
    <t>JG131</t>
  </si>
  <si>
    <t>JUEGO DE PIEDRAS DE 12" TIPO CAMARADA 2 1/2"</t>
  </si>
  <si>
    <t>JUEGO PIEDRAS 12 TIPO CAMARADA 2 1/2</t>
  </si>
  <si>
    <t>JG133</t>
  </si>
  <si>
    <t>JUEGO DE PIEDRAS DE 12" TOLUCA INT 2 1/2"</t>
  </si>
  <si>
    <t>JUEGO PIEDRAS 12 TOLUCA INT 2 1/2</t>
  </si>
  <si>
    <t>JG130</t>
  </si>
  <si>
    <t>JUEGO DE PIEDRAS DE 12" TOLUCA INT 2 1/4"</t>
  </si>
  <si>
    <t>JUEGO PIEDRAS 12 TOLUCA INT 2 1/4</t>
  </si>
  <si>
    <t>JG001</t>
  </si>
  <si>
    <t>JUEGO DE PIEDRAS DE 13" LISAS INT. 2-1/4</t>
  </si>
  <si>
    <t>PIEDRAS 13 INT 2 1/4 PILOTO</t>
  </si>
  <si>
    <t>JG154</t>
  </si>
  <si>
    <t>JUEGO DE PIEDRAS DE 13" TOLUCA INT 2 1/4"</t>
  </si>
  <si>
    <t>JUEGO PIEDRAS 13 TOLUCA INT 2 1/4</t>
  </si>
  <si>
    <t>JG190</t>
  </si>
  <si>
    <t>JUEGO DE PIEDRAS DE 13" TOLUCA INT 3 1/2"</t>
  </si>
  <si>
    <t>JUEGO PIEDRAS 13 TOLUCA INT 3 1/2</t>
  </si>
  <si>
    <t>JG135</t>
  </si>
  <si>
    <t>JUEGO DE PIEDRAS DE 13" TORTIMEX INT 3 1/4"</t>
  </si>
  <si>
    <t>JUEGO PIEDRAS 13 TORTIMEX INT 3 1/4</t>
  </si>
  <si>
    <t>JG155</t>
  </si>
  <si>
    <t>JUEGO DE PIEDRAS DE 14" CAMARADA INT 2 1/2"</t>
  </si>
  <si>
    <t>JUEGO PIEDRAS 14 CAMARADA INT 2 1/2</t>
  </si>
  <si>
    <t>JG136</t>
  </si>
  <si>
    <t>JUEGO DE PIEDRAS DE 14" LISA INT 3"</t>
  </si>
  <si>
    <t>PIEDRAS 14 INT 3 PILOTO</t>
  </si>
  <si>
    <t>JG61</t>
  </si>
  <si>
    <t>JUEGO DE PIEDRAS DE 15" PARA MOLINO TORTIMEX INTERIOR 2 1/8"</t>
  </si>
  <si>
    <t>JUEGO PIEDRAS 15 MOL TORTIMEX INT 2 1/8</t>
  </si>
  <si>
    <t>JG157</t>
  </si>
  <si>
    <t>JUEGO DE PIEDRAS DE 16" CAMARADA INT 2 1/2"</t>
  </si>
  <si>
    <t>JUEGO PIEDRAS 16 CAMARADA INT 2 1/2</t>
  </si>
  <si>
    <t>JG158</t>
  </si>
  <si>
    <t>JUEGO DE PIEDRAS DE 16" NEVADO INT 2 1/2"</t>
  </si>
  <si>
    <t>JUEGO PIEDRAS 16 NEVADO INT 2 1/2</t>
  </si>
  <si>
    <t>JG62</t>
  </si>
  <si>
    <t>JUEGO DE PIEDRAS DE 16" PARA MOLINO TORTIMEX INTERIOR 2 1/8"</t>
  </si>
  <si>
    <t>JUEGO PIEDRAS 16 MOL TORTIMEX INT 2 1/8</t>
  </si>
  <si>
    <t>JG63</t>
  </si>
  <si>
    <t>JUEGO DE PIEDRAS DE 17" PARA MOLINO TORTIMEX INTERIOR 2 1/8"</t>
  </si>
  <si>
    <t>JUEGO PIEDRAS 17 MOL TORTIMEX INT 2 1/8</t>
  </si>
  <si>
    <t>JG116</t>
  </si>
  <si>
    <t>JUEGO DE PIEDRAS DE 19" PARA MOLINO TORTIMEX</t>
  </si>
  <si>
    <t>JUEGO PIEDRAS 19 MOLINO TORTIMEX</t>
  </si>
  <si>
    <t>JG64</t>
  </si>
  <si>
    <t>JUEGO DE PIEDRAS DE 20" PARA MOLINO TORTIMEX INTERIOR 2 1/8"</t>
  </si>
  <si>
    <t>JUEGO PIEDRAS 20 MOL TORTIMEX INT 2 1/8</t>
  </si>
  <si>
    <t>JG70</t>
  </si>
  <si>
    <t>JUEGO DE PIEDRAS DE 4" PARA MOLINO PONY INTERIOR 1 1/2"</t>
  </si>
  <si>
    <t>JUEGO PIEDRAS 4 MOLINO PONY INT 1 1/2</t>
  </si>
  <si>
    <t>JG220</t>
  </si>
  <si>
    <t>JUEGO DE PIEDRAS DE 5" 4 BARRENOS PARA MOLINO TOLUCA</t>
  </si>
  <si>
    <t>JUEGO PIEDRAS 5" 4BARR P/MOLINO TOLUCA</t>
  </si>
  <si>
    <t>JG137</t>
  </si>
  <si>
    <t>JUEGO DE PIEDRAS DE 5" TOLUCA INT 1 1/2"</t>
  </si>
  <si>
    <t>JUEGO PIEDRAS 5 TOLUCA INT 1 1/2</t>
  </si>
  <si>
    <t>JG159</t>
  </si>
  <si>
    <t>JUEGO DE PIEDRAS DE 5" TORTIMEX INT 1 1/2"</t>
  </si>
  <si>
    <t>JUEGO PIEDRAS 5 TORTIMEX INT 1 1/2</t>
  </si>
  <si>
    <t>JG219</t>
  </si>
  <si>
    <t>JUEGO DE PIEDRAS DE 6" 4 BARRENOS PARA MOLINO TOLUCA</t>
  </si>
  <si>
    <t>JUEGO PIEDRAS 6" 4BARR P/MOLINO TOLUCA</t>
  </si>
  <si>
    <t>JG138</t>
  </si>
  <si>
    <t>JUEGO DE PIEDRAS DE 6" TOLUCA INT 1 1/2"</t>
  </si>
  <si>
    <t>JUEGO PIEDRAS 6 TOLUCA INT 1 1/2</t>
  </si>
  <si>
    <t>JG165</t>
  </si>
  <si>
    <t>JUEGO DE PIEDRAS DE 7'' TOLUCA INT 2 1/2"</t>
  </si>
  <si>
    <t>JUEGO PIEDRAS 7 TOLUCA INT 2 1/2</t>
  </si>
  <si>
    <t>JG140</t>
  </si>
  <si>
    <t>JUEGO DE PIEDRAS DE 7" LISA INT 1 1/2"</t>
  </si>
  <si>
    <t>PIEDRAS 7 INT 1 1/2 PILOTO</t>
  </si>
  <si>
    <t>JG194</t>
  </si>
  <si>
    <t>JUEGO DE PIEDRAS DE 7" PARA MOLINO CAMARADA INTERIOR 1 1/2</t>
  </si>
  <si>
    <t>JUEGO PIEDRAS 7 MOLIN CAMARADA INT 1 1/2</t>
  </si>
  <si>
    <t>JG26</t>
  </si>
  <si>
    <t>JUEGO DE PIEDRAS DE 7" PARA MOLINO TIPO TOLUCA INTERIOR 1 1/4</t>
  </si>
  <si>
    <t>JUEGO PIEDRAS 7 MOLINO TOLUCA INT 1 1/4</t>
  </si>
  <si>
    <t>JG218</t>
  </si>
  <si>
    <t>JUEGO DE PIEDRAS DE 7" SAN LUIS/TOLUCA 4 BARRENOS INT 1 1/2''</t>
  </si>
  <si>
    <t>JGO PIED 7 SAN LUIS/TOL 4BARR INT1 1/2''</t>
  </si>
  <si>
    <t>JG193</t>
  </si>
  <si>
    <t>JUEGO DE PIEDRAS DE 7" TOLUCA INT 1</t>
  </si>
  <si>
    <t xml:space="preserve">JUEGO PIEDRAS 7 TOLUCA INT 1 </t>
  </si>
  <si>
    <t>JG139</t>
  </si>
  <si>
    <t>JUEGO DE PIEDRAS DE 7" TOLUCA INT 1 1/2"</t>
  </si>
  <si>
    <t>JUEGO PIEDRAS 7 TOLUCA INT 1 1/2</t>
  </si>
  <si>
    <t>JG160</t>
  </si>
  <si>
    <t>JUEGO DE PIEDRAS DE 7" TORTIMEX INT 1 1/4"</t>
  </si>
  <si>
    <t>JUEGO PIEDRAS 7 TORTIMEX INT 1 1/4</t>
  </si>
  <si>
    <t>JG206</t>
  </si>
  <si>
    <t>JUEGO DE PIEDRAS DE 8'' MOLINO TORTIMEX 1 7/8''</t>
  </si>
  <si>
    <t>JUEGO PIEDRAS 8 MOLINO TORTIMEX 1 7/8</t>
  </si>
  <si>
    <t>JG75</t>
  </si>
  <si>
    <t>JUEGO DE PIEDRAS DE 8'' TOLUCA INT 1 1/2"</t>
  </si>
  <si>
    <t>JUEGO PIEDRAS 8 TOLUCA INT 1 1/2</t>
  </si>
  <si>
    <t>JG164</t>
  </si>
  <si>
    <t xml:space="preserve">JUEGO DE PIEDRAS DE 8" LISA INT 1" 1/2 </t>
  </si>
  <si>
    <t>PIEDRAS 8 INT 1 1/2 PILOTO</t>
  </si>
  <si>
    <t>JG143</t>
  </si>
  <si>
    <t>JUEGO DE PIEDRAS DE 8" LISA INT 2 1/4"</t>
  </si>
  <si>
    <t>PIEDRAS 8 INT 2 1/4 PILOTO</t>
  </si>
  <si>
    <t>JG141</t>
  </si>
  <si>
    <t>JUEGO DE PIEDRAS DE 8" MOLINO CAMARADA 2 1/2"</t>
  </si>
  <si>
    <t>JUEGO PIEDRAS 8 MOLINO CAMARADA 2 1/2</t>
  </si>
  <si>
    <t>JG142</t>
  </si>
  <si>
    <t>JUEGO DE PIEDRAS DE 8" MOLINO TOLUCA 2 1/4"</t>
  </si>
  <si>
    <t>JUEGO PIEDRAS 8 MOLINO TOLUCA 2 1/4</t>
  </si>
  <si>
    <t>JG118</t>
  </si>
  <si>
    <t>JUEGO DE PIEDRAS DE 8" TIPO NEVADO NO.2</t>
  </si>
  <si>
    <t>JUEGO PIEDRAS 8 NEVADO No. 2</t>
  </si>
  <si>
    <t>JG147</t>
  </si>
  <si>
    <t>JUEGO DE PIEDRAS DE 9" LISA INT 2 1/2"</t>
  </si>
  <si>
    <t>PIEDRAS 9 INT 2 1/2 PILOTO</t>
  </si>
  <si>
    <t>JG145</t>
  </si>
  <si>
    <t>JUEGO DE PIEDRAS DE 9" LISAS INT 3 1/2"</t>
  </si>
  <si>
    <t>PIEDRAS 9 INT 3 1/2 PILOTO</t>
  </si>
  <si>
    <t>JG161</t>
  </si>
  <si>
    <t>JUEGO DE PIEDRAS DE 9" LISAS INT 3"</t>
  </si>
  <si>
    <t>PIEDRAS 9 INT 3 PILOTO</t>
  </si>
  <si>
    <t>JG129</t>
  </si>
  <si>
    <t>JUEGO DE PIEDRAS DE 9" MOLINO TOLUCA INT 2 1/4"</t>
  </si>
  <si>
    <t>JUEGO PIEDRAS 9 MOLINO TOLUCA INT 2 1/4</t>
  </si>
  <si>
    <t>JG162</t>
  </si>
  <si>
    <t>JUEGO DE PIEDRAS DE 9" NEVADO INT 2 1/2"</t>
  </si>
  <si>
    <t>JUEGO PIEDRAS 9 NEVADO INT 2 1/2</t>
  </si>
  <si>
    <t>JG55</t>
  </si>
  <si>
    <t>JUEGO DE PIEDRAS DE 9" PARA MOLINO TORTIMEX 1 7/8"</t>
  </si>
  <si>
    <t>JUEGO PIEDRAS DE 9 MOLINO TORTIMEX 1 7/8</t>
  </si>
  <si>
    <t>JG148</t>
  </si>
  <si>
    <t>JUEGO DE PIEDRAS DE 9" TIPO CAMARADA INT 2 1/2"</t>
  </si>
  <si>
    <t>JUEGO PIEDRAS 9 CAMARADA INT 2 1/2</t>
  </si>
  <si>
    <t>JG146</t>
  </si>
  <si>
    <t>JUEGO DE PIEDRAS DE 9" TOLUCA INT 2 1/2"</t>
  </si>
  <si>
    <t>JUEGO PIEDRAS 9 TOLUCA INT 2 1/2</t>
  </si>
  <si>
    <t>JG144</t>
  </si>
  <si>
    <t>JUEGO DE PIEDRAS DE 9" TOLUCA INT 3"</t>
  </si>
  <si>
    <t>JUEGO PIEDRAS 9 TOLUCA INT 3</t>
  </si>
  <si>
    <t>JG110</t>
  </si>
  <si>
    <t>JUEGO DE PIEDRAS DEL #8 LISAS</t>
  </si>
  <si>
    <t>PIEDRAS 8 PILOTO</t>
  </si>
  <si>
    <t>JG99</t>
  </si>
  <si>
    <t>JUEGO DE PIEDRAS LISAS 14" INT 2 1/4</t>
  </si>
  <si>
    <t>JG100</t>
  </si>
  <si>
    <t>JUEGO DE PIEDRAS LISAS 19" INT 2 1/4</t>
  </si>
  <si>
    <t>PIEDRAS 19 INT 2 1/4 PILOTO</t>
  </si>
  <si>
    <t>JUE042</t>
  </si>
  <si>
    <t>JUEGO DE PIEDRAS LISAS 8" INTERIOR 2</t>
  </si>
  <si>
    <t>PIEDRAS 8 INT 2 PILOTO</t>
  </si>
  <si>
    <t>JG101</t>
  </si>
  <si>
    <t>JUEGO DE PIEDRAS LISAS DE 12" INT 2 1/4</t>
  </si>
  <si>
    <t>JUE023</t>
  </si>
  <si>
    <t>JUEGO DE PIEDRAS LISAS NO. 11 INT 2 1/8"</t>
  </si>
  <si>
    <t>PIEDRAS 11 INT 2 1/8 PILOTO</t>
  </si>
  <si>
    <t>JG73</t>
  </si>
  <si>
    <t>JUEGO DE PIEDRAS NO. 9" PARA MOLINO TIPO TOLUCA</t>
  </si>
  <si>
    <t>JUEGO PIEDRAS 9 PARA MOLINO TOLUCA</t>
  </si>
  <si>
    <t>JG30</t>
  </si>
  <si>
    <t>JUEGO DE RIELES PARA CHASIS TV-30</t>
  </si>
  <si>
    <t>JUEGO RIELES P/CHASIS TV30</t>
  </si>
  <si>
    <t>JG31</t>
  </si>
  <si>
    <t>JUEGO DE RIELES PARA CHASIS TV-40</t>
  </si>
  <si>
    <t>JUEGO RIELES P/CHASIS TV40</t>
  </si>
  <si>
    <t>JG32</t>
  </si>
  <si>
    <t>JUEGO DE RIELES SENCILLO CON ABRAZADERAS PARA CHASIS MODELO ANTERIOR</t>
  </si>
  <si>
    <t>JUEGO RIELES SENC C/ABRAZAD P/CHASIS MA</t>
  </si>
  <si>
    <t>JG34</t>
  </si>
  <si>
    <t>JUEGO DE RIELES SENCILLO PARA CHASIS (B.C.)</t>
  </si>
  <si>
    <t>JUEGO RIELES SENCILLO PARA CHASIS BC</t>
  </si>
  <si>
    <t>JG33</t>
  </si>
  <si>
    <t>JUEGO DE RIELES SENCILLO PARA CHASIS TV-50 y B.C.</t>
  </si>
  <si>
    <t>JUEGO RIELES SENC P/CHASIS TV-50/BC</t>
  </si>
  <si>
    <t>JG44</t>
  </si>
  <si>
    <t>JUEGO DE RIELES SENCILLO SIN ABRAZADERAS PARA CHASIS MODELO ANTERIOR</t>
  </si>
  <si>
    <t>JUEGO RIELES SENC SIN ABRAZAD P/CHASI MA</t>
  </si>
  <si>
    <t>JG90</t>
  </si>
  <si>
    <t>JUEGO DE RODILLOS LAMINADORES DE 8" CON RANURA Y SIN RANURA</t>
  </si>
  <si>
    <t>JG109</t>
  </si>
  <si>
    <t>JUEGO DE SEPARADORES P/CABEZAL WALMART</t>
  </si>
  <si>
    <t>JG176</t>
  </si>
  <si>
    <t>JUEGO DE SINFINES CORTOS DÚPLEX (6 PIEZAS)</t>
  </si>
  <si>
    <t>JUEGO SINFINES CORTOS DPLX (6 PIEZAS)</t>
  </si>
  <si>
    <t>JG180</t>
  </si>
  <si>
    <t>JUEGO DE SINFINES CORTOS DÚPLEX (6 PIEZAS) EN ACERO INOX. T-304 GRADO ALIMENTICIO</t>
  </si>
  <si>
    <t>JUEGO SINFINES CORTOS DPLX 6PZA INOX GA</t>
  </si>
  <si>
    <t>JG176C</t>
  </si>
  <si>
    <t>JUEGO DE SINFINES CORTOS DÚPLEX (6 PIEZAS) TIPO CELORIO</t>
  </si>
  <si>
    <t>JG177</t>
  </si>
  <si>
    <t>JUEGO DE SINFINES CORTOS SENCILLOS (4 PIEZAS)</t>
  </si>
  <si>
    <t>JUEGO SINFINES CORTOS SENCILLOS 4PZA</t>
  </si>
  <si>
    <t>JG177C</t>
  </si>
  <si>
    <t>JG169</t>
  </si>
  <si>
    <t>JUEGO DE SINFINES CORTOS SENCILLOS (4 PIEZAS) DE POLIGAR GRADO ALIMENTICIO</t>
  </si>
  <si>
    <t>JGO SINFINES CORTOS SENC 4PZA POLIGAR GA</t>
  </si>
  <si>
    <t>JG181</t>
  </si>
  <si>
    <t>JUEGO DE SINFINES CORTOS SENCILLOS (4 PIEZAS) EN ACERO INOX. T-304 GRADO ALIMENTICIO</t>
  </si>
  <si>
    <t>JGO SINFINES CORTOS SENC 4PZA INOX GA</t>
  </si>
  <si>
    <t>JG178</t>
  </si>
  <si>
    <t>JUEGO DE SINFINES LARGOS DÚPLEX (6 PIEZAS)</t>
  </si>
  <si>
    <t>JUEGO SINFINES LARGOS DPLX (6 PIEZAS)</t>
  </si>
  <si>
    <t>JG182</t>
  </si>
  <si>
    <t>JUEGO DE SINFINES LARGOS DÚPLEX (6 PIEZAS) EN ACERO INOX. T-304 GRADO ALIMENTICIO</t>
  </si>
  <si>
    <t>JUEGO SINFINES LARGOS DPLX 6PZA INOX</t>
  </si>
  <si>
    <t>JG179</t>
  </si>
  <si>
    <t>JUEGO DE SINFINES LARGOS SENCILLOS (4 PIEZAS)</t>
  </si>
  <si>
    <t>JUEGO SINFINES LARGOS SENCILLOS 4PZA</t>
  </si>
  <si>
    <t>JG179C</t>
  </si>
  <si>
    <t>JG170</t>
  </si>
  <si>
    <t>JUEGO DE SINFINES LARGOS SENCILLOS (4 PIEZAS) DE POLIGAR GRADO ALIMENTICIO</t>
  </si>
  <si>
    <t>JUEGO SINFINES LARGOS SENC 4PZA POLIGAR</t>
  </si>
  <si>
    <t>JG183</t>
  </si>
  <si>
    <t>JUEGO DE SINFINES LARGOS SENCILLOS (4 PIEZAS) EN ACERO INOX. T-304 GRADO ALIMENTICIO</t>
  </si>
  <si>
    <t>JUEGO SINFINES LARGOS SENCILLO 4PZA INOX</t>
  </si>
  <si>
    <t>JG171</t>
  </si>
  <si>
    <t>JUEGO DE SINFINES MIXTOS SENCILLOS (4 PIEZAS) DE POLIGAR GRADO ALIMENTICIO 2 CORTOS IZQUIERDOS Y 2 LARGOS DERECHOS</t>
  </si>
  <si>
    <t>JUEGO SINFINES 2CIZQ 2LDER SENC POLIGAR</t>
  </si>
  <si>
    <t>JG71</t>
  </si>
  <si>
    <t>JUEGO DE SOLERAS PARA COLUMPIO WALMART</t>
  </si>
  <si>
    <t>JG210</t>
  </si>
  <si>
    <t>JUEGO DE SOPORTE DE RODILLO CORTADOR PARA CABEZAL RESTAURANTERO 8"</t>
  </si>
  <si>
    <t>JGO SOPORTE RODILLO CORTAD P/CAB REST 8"</t>
  </si>
  <si>
    <t>JG40</t>
  </si>
  <si>
    <t>JUEGO DE TAPAS EN ACERO INOXIDABLE SENCILLO MODELO ANTERIOR</t>
  </si>
  <si>
    <t>JUEGO TAPAS INOX SENCILLO MA</t>
  </si>
  <si>
    <t>JG41</t>
  </si>
  <si>
    <t>JUEGO DE TAPAS EN ACERO INOXIDABLE SENCILLO TV-30 CON CAMPANA</t>
  </si>
  <si>
    <t>JUEGO TAPAS INOX SENC TV30 C/CAMPANA</t>
  </si>
  <si>
    <t>JG42</t>
  </si>
  <si>
    <t>JUEGO DE TAPAS EN ACERO INOXIDABLE SENCILLO TV-40 CON CAMPANA</t>
  </si>
  <si>
    <t>JUEGO TAPAS INOX SENC TV40 C/CAMPANA</t>
  </si>
  <si>
    <t>JG39</t>
  </si>
  <si>
    <t>JUEGO DE TAPAS EN ACERO INOXIDABLE SENCILLO TV-50 (B.C.) CON CAMPANA</t>
  </si>
  <si>
    <t>JUEGO TAPAS INOX SENC TV50 BC C/CAMPANA</t>
  </si>
  <si>
    <t>JG81</t>
  </si>
  <si>
    <t>JUEGO DE TAPAS INOX 430 PARA MOLINO DE CONO</t>
  </si>
  <si>
    <t>JUEGO TAPAS INOX 430 P/MOLINO DE CONO</t>
  </si>
  <si>
    <t>JG104</t>
  </si>
  <si>
    <t>JUEGO DE TIRANTES DE APRIETE</t>
  </si>
  <si>
    <t>JG43</t>
  </si>
  <si>
    <t>JUEGO DE TIRANTES PARA ACOMODADOR DE TORTILLA</t>
  </si>
  <si>
    <t>JUEGO TIRANTES P/ACOMODADOR TORTILLA</t>
  </si>
  <si>
    <t>JG98</t>
  </si>
  <si>
    <t>JUEGO SENCILLO ROLADO EN ACERO INOX. T-304-L GRADO ALIMENTICIO (TOLVA ROLADA, BASE SUPERIOR, BASE INFERIOR C/BRONCES, BUJES Y BIRLOS, CÁMARA DE PRESIÓN, TUBO DE RECIRCULACIÓN, LENGÜETA, SINFÍN ARMADO Y COPLE)</t>
  </si>
  <si>
    <t>JGO TOLV BSUP-INF CAM TUBRC LENG SNF CPL</t>
  </si>
  <si>
    <t>JN04</t>
  </si>
  <si>
    <t>JUNTA PARA REDUCTO CHICA  CARTON</t>
  </si>
  <si>
    <t>JUNTA P/REDUCTOR CHICA  CARTON</t>
  </si>
  <si>
    <t>JN02</t>
  </si>
  <si>
    <t>JUNTA PARA REDUCTO CHICA DE LECHE</t>
  </si>
  <si>
    <t>JUNTA P/REDUCTOR CHICA DE LECHE</t>
  </si>
  <si>
    <t>JN03</t>
  </si>
  <si>
    <t>JUNTA PARA REDUCTO GRANDE  CARTON</t>
  </si>
  <si>
    <t>JUNTA P/REDUCTOR GRANDE  CARTON</t>
  </si>
  <si>
    <t>JN01</t>
  </si>
  <si>
    <t>JUNTA PARA REDUCTOR GRANDE  DE LECHE</t>
  </si>
  <si>
    <t>JUNTA P/REDUCTOR GRANDE  DE LECHE</t>
  </si>
  <si>
    <t>KT02</t>
  </si>
  <si>
    <t>KIT</t>
  </si>
  <si>
    <t>KIT CADENA CANDADOS MED CAND MALLAS CINCHOS ALAMBRE Y RODILLO</t>
  </si>
  <si>
    <t>CD020608 MD0102 ML10139CI100RL03RO75RT02</t>
  </si>
  <si>
    <t>WRS01</t>
  </si>
  <si>
    <t>KIT DE SEGURIDAD</t>
  </si>
  <si>
    <t>KU01</t>
  </si>
  <si>
    <t>KULKA 6 LINEAS</t>
  </si>
  <si>
    <t>LM01</t>
  </si>
  <si>
    <t>LAMINA EN ACERO INOXIDABLE TIPO 430 CALIBRE 18 DE 0.60 CM DE ANCHO POR 1.6 M DE LARGO</t>
  </si>
  <si>
    <t>LAMINA ACERO INOX430 CAL18 0.60CM x 1.6M</t>
  </si>
  <si>
    <t>POR4</t>
  </si>
  <si>
    <t>LAMINA PARA TRASPORTADOR CHICO</t>
  </si>
  <si>
    <t>LP0001</t>
  </si>
  <si>
    <t>LAMPARA INDICADORA ROJO 127V</t>
  </si>
  <si>
    <t>LMP0001</t>
  </si>
  <si>
    <t>LAMPARA VERDE DE 127V</t>
  </si>
  <si>
    <t>LA01</t>
  </si>
  <si>
    <t>LATERAL DE BRONCE CHICO DERECHO</t>
  </si>
  <si>
    <t>LA02</t>
  </si>
  <si>
    <t>LATERAL DE BRONCE CHICO IZQUIERDO</t>
  </si>
  <si>
    <t>LA03</t>
  </si>
  <si>
    <t>LATERAL DE BRONCE GRANDE DERECHO</t>
  </si>
  <si>
    <t>LA04</t>
  </si>
  <si>
    <t>LATERAL DE BRONCE GRANDE IZQUIERDO</t>
  </si>
  <si>
    <t>LA05</t>
  </si>
  <si>
    <t>LATERAL DE COLA SENCILLO MODELO ANTERIOR</t>
  </si>
  <si>
    <t>LA06</t>
  </si>
  <si>
    <t>LATERAL DE COLA SENCILLO TV-50 (B.C.)</t>
  </si>
  <si>
    <t>LATERAL DE COLA SENCILLO TV-50 BC</t>
  </si>
  <si>
    <t>LA07</t>
  </si>
  <si>
    <t>LATERAL DE MESA SENCILLO MODELO ANTERIOR</t>
  </si>
  <si>
    <t>LA08</t>
  </si>
  <si>
    <t>LATERAL DE MESA SENCILLO TV-50 (B.C.)</t>
  </si>
  <si>
    <t>LATERAL DE MESA SENCILLO TV-50 BC</t>
  </si>
  <si>
    <t>LA10</t>
  </si>
  <si>
    <t>LATERALES PARA BIKINIS  C/U WALMART</t>
  </si>
  <si>
    <t>NX03</t>
  </si>
  <si>
    <t>LAVADORA DE NIXTAMAL AUTOMÁTICA ESTÁNDAR CON COMPUERTA INOX T-304 MONOFASICO</t>
  </si>
  <si>
    <t>MX42</t>
  </si>
  <si>
    <t>LAVADORA SOLDADA A LA BASE DE LA PAILA PARA LIMPIEZA Y EXTRACCIÓN DEL NIXTAMAL EN ACERO INOX 304 A PAILA DE 150, 200, 300, 500, 750 Y 1000 KG INCLUYE MOTOR-POLEA DE 1.80 MTS DE LARGO</t>
  </si>
  <si>
    <t>MX43</t>
  </si>
  <si>
    <t>LAVADORA A SAL D/PAILA INOX 304 C/MOTOR</t>
  </si>
  <si>
    <t>LE07</t>
  </si>
  <si>
    <t>LENGÜETA ARMADA CON PERILLA DE ACERO</t>
  </si>
  <si>
    <t>LE05</t>
  </si>
  <si>
    <t>LENGÜETA ARMADA CON PERILLA DE BRONCE</t>
  </si>
  <si>
    <t>LE06</t>
  </si>
  <si>
    <t>LENGÜETA ARMADA EN ACERO INOX. T-304 GRADO ALIMENTICIO</t>
  </si>
  <si>
    <t>LENGÜETA ARMADA INOX GA</t>
  </si>
  <si>
    <t>LE04</t>
  </si>
  <si>
    <t>LENGÜETA PARA MOLINO CAMARADA EN ACERO INOX.</t>
  </si>
  <si>
    <t>LENG P/MOLINO CAMARADA INOX</t>
  </si>
  <si>
    <t>LE03</t>
  </si>
  <si>
    <t>LENGÜETA SOLA</t>
  </si>
  <si>
    <t>LE99</t>
  </si>
  <si>
    <r>
      <rPr>
        <rFont val="Didact Gothic"/>
        <sz val="9.0"/>
      </rPr>
      <t xml:space="preserve">LENGÜETA SOLA EN ACERO INOX. T-304 </t>
    </r>
    <r>
      <rPr>
        <rFont val="Didact Gothic"/>
        <sz val="9.0"/>
      </rPr>
      <t>GRADO ALIMENTICIO</t>
    </r>
  </si>
  <si>
    <t>LENGÜETA SOLA INOX GA</t>
  </si>
  <si>
    <t>LV10</t>
  </si>
  <si>
    <t>LEVA CON PERNO PARA PRENSA DE LIBRO</t>
  </si>
  <si>
    <t>LV01</t>
  </si>
  <si>
    <t>LEVA DÚPLEX</t>
  </si>
  <si>
    <t>LEVA DPLX</t>
  </si>
  <si>
    <t>LV02</t>
  </si>
  <si>
    <t>LEVA SENCILLA MODELO ANTERIOR,TV-30 TV-40</t>
  </si>
  <si>
    <t>LEVA SENCILLA MA</t>
  </si>
  <si>
    <t>LV04</t>
  </si>
  <si>
    <t>LEVA SENCILLA MODELO ANTERIOR,TV-30 TV-40 PREPARADA</t>
  </si>
  <si>
    <t>LEVA SENCILLA MA PREPARADA</t>
  </si>
  <si>
    <t>LV05</t>
  </si>
  <si>
    <t>LEVA SENCILLA TV-50 (B.C.) PREPARADA</t>
  </si>
  <si>
    <t>LEVA SENCILLA TV-50 BC PREPARADA</t>
  </si>
  <si>
    <t>LV08</t>
  </si>
  <si>
    <t>LEVA TIPO PUEBLA MODELO ANTERIOR,TV-30 TV-40 PREPARADA</t>
  </si>
  <si>
    <t>LEVA T/PUEBLA MA PREPARADA</t>
  </si>
  <si>
    <t>LV09</t>
  </si>
  <si>
    <t>LEVA TIPO PUEBLA TV-50 (B.C.) PREPARADA</t>
  </si>
  <si>
    <t>LEVA TIPO PUEBLA TV-50 BC PREPARADA</t>
  </si>
  <si>
    <t>QE01</t>
  </si>
  <si>
    <t xml:space="preserve">LINEA DE 5 QUEMADORES DE 2 METROS DE LARGO PARA PAILA </t>
  </si>
  <si>
    <t xml:space="preserve">LINEA 5 QUEMADORES 2M LARGO PARA PAILA </t>
  </si>
  <si>
    <t>BQ08</t>
  </si>
  <si>
    <t>LISTON PARA QUEMADOR 16 CM DE 11 LAINAS</t>
  </si>
  <si>
    <t>LL02</t>
  </si>
  <si>
    <t>LLAVE ALLEN 1/8 CORTA</t>
  </si>
  <si>
    <t>LL03</t>
  </si>
  <si>
    <t>LLAVE ALLEN 1/8 LARGA</t>
  </si>
  <si>
    <t>LL04</t>
  </si>
  <si>
    <t>LLAVE ALLEN 3/16 CORTA</t>
  </si>
  <si>
    <t>LL05</t>
  </si>
  <si>
    <t>LLAVE ALLEN 3/16 LARGA</t>
  </si>
  <si>
    <t>LL06</t>
  </si>
  <si>
    <t>LLAVE ALLEN 5/32 CORTA</t>
  </si>
  <si>
    <t>LL08</t>
  </si>
  <si>
    <t>LLAVE DE CUADRO</t>
  </si>
  <si>
    <t>LL12</t>
  </si>
  <si>
    <t>LLAVE DE GLOBO PARA VÁLVULA CARBURADORA ENTRADA 1" PARA MAQUINA DUPLEX</t>
  </si>
  <si>
    <t>LLAVE GLOBO P/VALV CARB ENT 1 P/MAQ DPLX</t>
  </si>
  <si>
    <t>LL09</t>
  </si>
  <si>
    <t>LLAVE GLOBO PARA VÁLVULA CARBURADORA ENTRADA 3/8 MODELO ANTERIOR SENCILLO</t>
  </si>
  <si>
    <t>LLAVE GLOBO P/VALV CARB ENT 3/8 MA SENC</t>
  </si>
  <si>
    <t>LL10</t>
  </si>
  <si>
    <t>LLAVE GLOBO PARA VÁLVULA CARBURADORA ENTRADA DE 1/2 TV-50 (B.C.) SENCILLO</t>
  </si>
  <si>
    <t>LLAVE GLOB P/VALV CAR ENT1/2 TV50BC SENC</t>
  </si>
  <si>
    <t>ML118</t>
  </si>
  <si>
    <t>MALLA 18'' FINA PARA FREIDORA REFORZADA EN ACERO INOXIDABLE 304 X 12 M</t>
  </si>
  <si>
    <t>MALLA 18PLGX12MT FINA P/FREIDOR REF INOX</t>
  </si>
  <si>
    <t>ML04</t>
  </si>
  <si>
    <t>MALLA DE 14" CON PASADOR (10 MT.)</t>
  </si>
  <si>
    <t>MALLA DE 14 CON PASADOR (10 MT.)</t>
  </si>
  <si>
    <t>ML05</t>
  </si>
  <si>
    <t>MALLA DE 15" CON PASADOR (10 MT.)</t>
  </si>
  <si>
    <t>MALLA DE 15 CON PASADOR (10 MT.)</t>
  </si>
  <si>
    <t>ML39</t>
  </si>
  <si>
    <t>MALLA DE 18'' X 7.5 MTS PARA ENFRIADOR WALMART 50 CON CANGILONES</t>
  </si>
  <si>
    <t>MALLA DE 18"x7.5 MTS P/ENF W50 C/CANJI</t>
  </si>
  <si>
    <t>ML139</t>
  </si>
  <si>
    <t>MALLA DE 18'' X 9.5 MTS PARA ENFRIADOR WALMART 100 CON CANGILONES</t>
  </si>
  <si>
    <t>MALLA DE 18"x9.5 MTS P/ENF W100 C/CANJI</t>
  </si>
  <si>
    <t>ML06</t>
  </si>
  <si>
    <t>MALLA DE 18" PARA ENFRIADOR CON PASADOR GALVANIZADA (10 MT.)</t>
  </si>
  <si>
    <t>MALLA 18'' P/ENFR C/PASADOR GALV 10 M</t>
  </si>
  <si>
    <t>ML109</t>
  </si>
  <si>
    <t>MALLA DE 18" PARA ENFRIADOR EN ACERO INOX POR METRO</t>
  </si>
  <si>
    <t>MALLA DE 18 P/ENFR INOX POR METRO</t>
  </si>
  <si>
    <t>ML54</t>
  </si>
  <si>
    <t>MALLA DE 23 CMS X 1.40M GALVANIZADA K-100</t>
  </si>
  <si>
    <t>MALLA DE 23CMX1.40  GALVANIZADA K-100</t>
  </si>
  <si>
    <t>ML113</t>
  </si>
  <si>
    <t>MALLA DE 30'' X 30 M INOXIDABLE REFORZADA</t>
  </si>
  <si>
    <t>MALLA 30'' X 30M INOXIDABLE REFORZADA</t>
  </si>
  <si>
    <t>MLEG14P</t>
  </si>
  <si>
    <t>MALLA ENFRIADOR GALV 14 PULGADAS X METRO</t>
  </si>
  <si>
    <t>MLEG70C</t>
  </si>
  <si>
    <t>MALLA ENFRIADOR GALV 70 CM X METRO</t>
  </si>
  <si>
    <t>MLEG18P</t>
  </si>
  <si>
    <t>MALLA ENFRIADOR GALVANIZADA 18 PULGADAS X METRO</t>
  </si>
  <si>
    <t>MALLA ENFR GALV 18 PULGADAS X METRO</t>
  </si>
  <si>
    <t>MLEG30P</t>
  </si>
  <si>
    <t>MALLA ENFRIADOR GALVANIZADA 30" X METRO</t>
  </si>
  <si>
    <t>MALLA ENFRIADOR GALV 30" X METRO</t>
  </si>
  <si>
    <t>MLEG69C</t>
  </si>
  <si>
    <t>MALLA ENFRIADOR GALVANIZADA 69 CM X METRO</t>
  </si>
  <si>
    <t>MALLA ENFRIADOR GALV 69 CM X METRO</t>
  </si>
  <si>
    <t>MLEG24P</t>
  </si>
  <si>
    <t>MALLA ENFRIADOR HARINA GALV 24 PULGADAS X METRO</t>
  </si>
  <si>
    <t>MALLA ENFRIADOR GALV 24" ANCHO X METRO</t>
  </si>
  <si>
    <t>MLEI42P</t>
  </si>
  <si>
    <t>MALLA ENFRIADOR HARINA INOX 42 PULGADAS X METRO</t>
  </si>
  <si>
    <t>MALLA ENFRIADOR INOX 42" ANCHO X METRO</t>
  </si>
  <si>
    <t>ML00</t>
  </si>
  <si>
    <t>MALLA ESPECIAL</t>
  </si>
  <si>
    <t>MLFF24P</t>
  </si>
  <si>
    <t>MALLA FINA FIERRO 24 PULGADAS X METRO</t>
  </si>
  <si>
    <t>MLFF30P</t>
  </si>
  <si>
    <t>MALLA FINA FIERRO 30 PULGADAS X METRO</t>
  </si>
  <si>
    <t>MLFG40C</t>
  </si>
  <si>
    <t>MALLA FINA GALV 40 CM POR MTR</t>
  </si>
  <si>
    <t>MLFG50C</t>
  </si>
  <si>
    <t>MALLA FINA GALV 50 CM POR MTR</t>
  </si>
  <si>
    <t>MLFG22P</t>
  </si>
  <si>
    <t>MALLA FINA GALVANIZADA 22 PULGADAS X METRO</t>
  </si>
  <si>
    <t>MALLA FINA GALV 22 PULGADAS X METRO</t>
  </si>
  <si>
    <t>MLFG30P</t>
  </si>
  <si>
    <t>MALLA FINA GALVANIZADA 30 PULGADAS X METRO</t>
  </si>
  <si>
    <t>MALLA FINA GALV 30 PULGADAS X METRO</t>
  </si>
  <si>
    <t>MLFG60C</t>
  </si>
  <si>
    <t>MALLA FINA GALVANIZADA 60 CENTIMETROS X METRO</t>
  </si>
  <si>
    <t>MALLA FINA GALV 60 CENTIMETROS X METRO</t>
  </si>
  <si>
    <t>MLFG78C</t>
  </si>
  <si>
    <t>MALLA FINA GALVANIZADA 78 CM X METRO</t>
  </si>
  <si>
    <t>MLFG85C</t>
  </si>
  <si>
    <t>MALLA FINA GALVANIZADA 85 CM X METRO</t>
  </si>
  <si>
    <t>MLFI30P</t>
  </si>
  <si>
    <t>MALLA FINA INOX 30" X METRO</t>
  </si>
  <si>
    <t>MLFI40C</t>
  </si>
  <si>
    <t>MALLA FINA INOX 40CM X METRO</t>
  </si>
  <si>
    <t>MLFI76C</t>
  </si>
  <si>
    <t>MALLA FINA INOX 76 CM POR MTR</t>
  </si>
  <si>
    <t>ML140</t>
  </si>
  <si>
    <t>MALLA FINA P/COLUM 15''X1M P/MAQ WALMART</t>
  </si>
  <si>
    <t>ML22</t>
  </si>
  <si>
    <t>MALLA FINA PARA COLUMPIO SENCILLA GALVANIZADA DE 23 CM X 1.40 M DE LARGO</t>
  </si>
  <si>
    <t xml:space="preserve">MALLA FINA COLUMPIO SENC GALV .23X1.40M </t>
  </si>
  <si>
    <t>ML38</t>
  </si>
  <si>
    <t>MALLA P/COLUMPIO INOX 35 CM X 1.50M</t>
  </si>
  <si>
    <t>MLEG49C</t>
  </si>
  <si>
    <t>MALLA P/ENFRIADOR GALV DE 49 CM ANCHO X METRO</t>
  </si>
  <si>
    <t>MALLA ENFRIADOR GALV 49 CM ANCHO X METRO</t>
  </si>
  <si>
    <t>MLEG51C</t>
  </si>
  <si>
    <t>MALLA P/ENFRIADOR GALV DE 51 CM X METRO</t>
  </si>
  <si>
    <t>MALLA ENFRIADOR GALV 51 CM ANCHO X METRO</t>
  </si>
  <si>
    <t>MLEI18P</t>
  </si>
  <si>
    <t>REFQ</t>
  </si>
  <si>
    <t>MALLA P/ENFRIADOR INOX 18PULG X METRO</t>
  </si>
  <si>
    <t>MLEI74C</t>
  </si>
  <si>
    <t>MALLA P/ENFRIADOR INOX. DE 74 CMS. X METRO</t>
  </si>
  <si>
    <t>MALLA ENFRIADOR INOX 74 CM ANCHO X METRO</t>
  </si>
  <si>
    <t>ML147</t>
  </si>
  <si>
    <t>MALLA PARA COLUMPIO (TEJIDO FINO) GALVANIZADA DE 15'' X 2 M</t>
  </si>
  <si>
    <t>MALLA P/COLUMPIO FINO GALV 15''X2M</t>
  </si>
  <si>
    <t>ML154</t>
  </si>
  <si>
    <t>MALLA PARA COLUMPIO DE 32 CM X 1.40 M ACERO INOXIDABLE</t>
  </si>
  <si>
    <t>MALLA COLUMPIO 32CMX1.40 INOX</t>
  </si>
  <si>
    <t>ML10</t>
  </si>
  <si>
    <t>MALLA PARA COLUMPIO DÚPLEX DE FIERRO DE 35 CM. (1.40MT.)</t>
  </si>
  <si>
    <t>MALLA P/COLUMPIO DPLX FIERRO 35CM 1.40MT</t>
  </si>
  <si>
    <t>ML11</t>
  </si>
  <si>
    <t>MALLA PARA COLUMPIO DÚPLEX GALVANIZADA DE 35 CM. (1.40 MT.)</t>
  </si>
  <si>
    <t>MALLA COLUMPIO DPLX GALV 35CM X 1.40MT</t>
  </si>
  <si>
    <t>ML128</t>
  </si>
  <si>
    <t>MALLA PARA COLUMPIO EN ACERO INOXIDABLE DE 23 CM X 92 CM DE LARGO</t>
  </si>
  <si>
    <t>MALLA P/COLUMPIO INOX 23CM X 92CM</t>
  </si>
  <si>
    <t>ML26</t>
  </si>
  <si>
    <t>MALLA PARA COLUMPIO EN ACERO INOXIDABLE DE 32 CM X 1.54 M DE LARGO</t>
  </si>
  <si>
    <t>MALLA P/COLUMPIO INOX 32CM X 1.54M</t>
  </si>
  <si>
    <t>ML16</t>
  </si>
  <si>
    <t>MALLA PARA COLUMPIO EN ACERO INOXIDABLE DE 35 CM X 1.50 M DE LARGO</t>
  </si>
  <si>
    <t>MALLA P/COLUMPIO INOX 35CM X 1.50M</t>
  </si>
  <si>
    <t>ML112</t>
  </si>
  <si>
    <t>MALLA PARA COLUMPIO GALVANIZADA 35 CM X 123 CM -TORTIMEX -ML112</t>
  </si>
  <si>
    <t>MALLA P/COLUMPIO GALV 35 CM X 123 CM</t>
  </si>
  <si>
    <t>ML33</t>
  </si>
  <si>
    <t>MALLA PARA COLUMPIO GALVANIZADA DE 38 CM X 1.40 M</t>
  </si>
  <si>
    <t>MALLA P/COLUMPIO GALV 38CM X 1.4M</t>
  </si>
  <si>
    <t>ML27</t>
  </si>
  <si>
    <t>MALLA PARA COLUMPIO GALVANIZADA DE 40 CM X 5 M</t>
  </si>
  <si>
    <t>MALLA P/COLUMPIO GALV 40CM X 5M</t>
  </si>
  <si>
    <t>ML28</t>
  </si>
  <si>
    <t>MALLA PARA COLUMPIO GALVANIZADA DE 48 CM X 1.40 M</t>
  </si>
  <si>
    <t>MALLA P/COLUMPIO GALV 48CM X 1.4M</t>
  </si>
  <si>
    <t>ML119</t>
  </si>
  <si>
    <t>MALLA PARA COLUMPIO GALVANIZADA DE 50 CM X 70 CM</t>
  </si>
  <si>
    <t>MALLA P/COLUMPIO GALV 50CM X 70CM</t>
  </si>
  <si>
    <t>ML121</t>
  </si>
  <si>
    <t>MALLA PARA COLUMPIO GALVANIZADA DE 56 CM X 1.20 CM</t>
  </si>
  <si>
    <t>MALLA P/COLUMPIO GALV 56CM X 1.20MT</t>
  </si>
  <si>
    <t>ML99</t>
  </si>
  <si>
    <t>MALLA PARA COLUMPIO SENCILLO DE ACERO INOX. DE 23 CM. (1.40 MT.) EN ACERO INOX. T-304 GRADO ALIMENTICIO</t>
  </si>
  <si>
    <t>MALLA COLUMPIO SENC INOX 23CM X 1.40MT</t>
  </si>
  <si>
    <t>ML07</t>
  </si>
  <si>
    <t>MALLA PARA COLUMPIO SENCILLO DE FIERRO DE 23 CM. (1.40 MT.)</t>
  </si>
  <si>
    <t>MALLA COLUMPIO SENC FIERRO 23CM X 1.40MT</t>
  </si>
  <si>
    <t>ML55</t>
  </si>
  <si>
    <t>MALLA PARA COLUMPIO SENCILLO GALVANIZADA</t>
  </si>
  <si>
    <t>ML08</t>
  </si>
  <si>
    <t>MALLA PARA COLUMPIO SENCILLO GALVANIZADA DE 23 CM. (1.40 MT.)</t>
  </si>
  <si>
    <t>MALLA COLUMPIO SENC GALV 23CM X 1.40MT</t>
  </si>
  <si>
    <t>ML34</t>
  </si>
  <si>
    <t>MALLA PARA COLUMPIO SENCILLO GALVANIZADA DE 32 CM. (1.40 MT.)</t>
  </si>
  <si>
    <t>MALLA COLUMPIO SENC GALV 32CM X 1.40MT</t>
  </si>
  <si>
    <t>ML129</t>
  </si>
  <si>
    <t>MALLA PARA DESHIDRATADOR 30" X 10 MTS GALVANIZADA REFORZADA</t>
  </si>
  <si>
    <t>MALLA P/DESHIDRAT 30PLGX10MTS GALV REF</t>
  </si>
  <si>
    <t>ML131</t>
  </si>
  <si>
    <t>MALLA PARA DESHIDRATADOR 30" X 6 MTS GALVANIZADA REFORZADA</t>
  </si>
  <si>
    <t>MALLA PDESHIDRAT 30PLGX6MTS GALV REF</t>
  </si>
  <si>
    <t>ML130</t>
  </si>
  <si>
    <t>MALLA PARA DESHIDRATADOR 30" X 8 MTS GALVANIZADA REFORZADA</t>
  </si>
  <si>
    <t>MALLA P/DESHIDRAT 30PLGX8MTS GALV REF</t>
  </si>
  <si>
    <t>ML125</t>
  </si>
  <si>
    <t>MALLA PARA DESHIDRATADOR DE 30" X 12 MTS GALVANIZADA REFORZADA</t>
  </si>
  <si>
    <t>MALLA P/DESHIDRAT 30PLGX12MTS GALV REF</t>
  </si>
  <si>
    <t>ML31</t>
  </si>
  <si>
    <t>MALLA PARA DESHIDRATADOR DE 38 CM X 20 M DE LARGO EN ACERO INOXIDABLE</t>
  </si>
  <si>
    <t>MALLA P/DESHIDRAT 38CMX20M ACERO INOX</t>
  </si>
  <si>
    <t>ML149</t>
  </si>
  <si>
    <t>MALLA PARA DESHIDRATADOR MERIDA DE 15" X 9  MTS REFORZADA GALVANIZADA</t>
  </si>
  <si>
    <t>MALLA P/DESHIDRATMERIDA 15"X9M REFZ GALV</t>
  </si>
  <si>
    <t>ML12</t>
  </si>
  <si>
    <t>MALLA PARA DESLIZADOR MECÁNICO DUPLEX FIERRO 40X40 CM</t>
  </si>
  <si>
    <t>MALLA P/DESLIZADOR MEC DPLX FERR 40X40CM</t>
  </si>
  <si>
    <t>ML56</t>
  </si>
  <si>
    <t>MALLA PARA DESLIZADOR MECÁNICO DÚPLEX GALV 40X40 CM</t>
  </si>
  <si>
    <t>MALLA P/DESLIZADR MEC DPX GALV 40X40CM</t>
  </si>
  <si>
    <t>ML15</t>
  </si>
  <si>
    <t>MALLA PARA DESLIZADOR MECÁNICO SENCILLO (28.5X40CM) ACERO INOXIDABLE T-304 GRADO ALIMENTICIO</t>
  </si>
  <si>
    <t>MALLA P/DESLZADR MEC SENC 28.5X40CM INOX</t>
  </si>
  <si>
    <t>ML13</t>
  </si>
  <si>
    <t>MALLA PARA DESLIZADOR MECANICO SENCILLO FIERRO 28.5X40 CM</t>
  </si>
  <si>
    <t>MALLA P/DESLIZDR MEC SENC FERR 28.5X40CM</t>
  </si>
  <si>
    <t>ML57</t>
  </si>
  <si>
    <t>MALLA PARA DESLIZADOR MECÁNICO SENCILLO GALV 28.5X40 CM</t>
  </si>
  <si>
    <t>MALLA P/DESLIZADR MEC SEN GALV 28.5X40CM</t>
  </si>
  <si>
    <t>ML111</t>
  </si>
  <si>
    <t>MALLA PARA ENFRIADOR 14'' DE ANCHO Y 1 M DE LARGO INOXIDABLE SENCILLA</t>
  </si>
  <si>
    <t>MALLA P/ENFRIADOR 14PLGX1MT INOX SENC</t>
  </si>
  <si>
    <t>ML110</t>
  </si>
  <si>
    <t>MALLA PARA ENFRIADOR 14'' DE ANCHO Y 20 M DE LARGO, REFORZADA  TVRM30</t>
  </si>
  <si>
    <t>MALLA P/ENFRIADOR 14PLGX20MT REF TVRM30</t>
  </si>
  <si>
    <t>ML148</t>
  </si>
  <si>
    <t xml:space="preserve">MALLA PARA ENFRIADOR 18'' DE ANCHO Y 8.5 M DE LARGO CON CANGILONES PARA MAQUINA W100 MODELO NUEVO </t>
  </si>
  <si>
    <t>MALLA P/ENFRIADOR C/CANG P/W100 MODNUEVO</t>
  </si>
  <si>
    <t>ML35</t>
  </si>
  <si>
    <t>MALLA PARA ENFRIADOR DE 14" DE ANCHO Y 26 M DE LARGO, INOXIDABLE</t>
  </si>
  <si>
    <t>MALLA ENFRIADOR 14" X 26M INOXIDABLE</t>
  </si>
  <si>
    <t>ML136</t>
  </si>
  <si>
    <t>MALLA PARA ENFRIADOR DE 18" DE ANCHO Y 8 MTS DE LARGO INOXIDABLE</t>
  </si>
  <si>
    <t>MALLA P/ENFRIADOR 18PLGX8MTS INOX</t>
  </si>
  <si>
    <t>ML124</t>
  </si>
  <si>
    <t>MALLA PARA ENFRIADOR DE 32" DE ANCHO Y 10 MTS DE LARGO GALVANIZADA</t>
  </si>
  <si>
    <t>MALLA P/ENFRIADOR 32PLGX10MTS GALV</t>
  </si>
  <si>
    <t>ML122</t>
  </si>
  <si>
    <t>MALLA PARA ENFRIADOR DE 32" DE ANCHO Y 15 METROS DE LARGO GALVANIZADA</t>
  </si>
  <si>
    <t>MALLA P/ENFRIADOR 32PLGX15MT GALV</t>
  </si>
  <si>
    <t>ML123</t>
  </si>
  <si>
    <t>MALLA PARA ENFRIADOR DE 33" DE ANCHO Y 10 MTS DE LARGO GALVANIZADA</t>
  </si>
  <si>
    <t>MALLA P/ENFRIADOR 33PLGX10MT GALV</t>
  </si>
  <si>
    <t>ML117</t>
  </si>
  <si>
    <t>MALLA PARA ENFRIADOR DE 34" POR 10 METROS GALVANIZADA</t>
  </si>
  <si>
    <t>MALLA ENFRIADOR 34PULG X 10MT GALV</t>
  </si>
  <si>
    <t>ML18</t>
  </si>
  <si>
    <t>MALLA PARA ENFRIADOR DE 40 CM DE ANCHO X 40 M DE LARGO, INOXIDABLE</t>
  </si>
  <si>
    <t>MALLA P/ ENFRIADOR 40CMX40M INOX</t>
  </si>
  <si>
    <t>ML127</t>
  </si>
  <si>
    <t>MALLA PARA ENFRIADOR DE 43 CM ANCHO X 20 M DE LARGO</t>
  </si>
  <si>
    <t>MALLA P/ENFRIADOR 43CMX20MT</t>
  </si>
  <si>
    <t>ML132</t>
  </si>
  <si>
    <t>MALLA PARA ENFRIADOR DE 45 CM ANCHO X 20 M DE LARGO, GALVANIZADA</t>
  </si>
  <si>
    <t>MALLA P/ENFRIADOR 45CMX20MT GALV</t>
  </si>
  <si>
    <t>ML29</t>
  </si>
  <si>
    <t>MALLA PARA ENFRIADOR DE 45 CM ANCHO X 6 M DE LARGO, GALVANIZADA</t>
  </si>
  <si>
    <t>MALLA P/ENFRIADOR 45CMX6MT GALV</t>
  </si>
  <si>
    <t>ML133</t>
  </si>
  <si>
    <t>MALLA PARA ENFRIADOR DE 56 CM ANCHO X 30 M DE LARGO</t>
  </si>
  <si>
    <t>MALLA P/ENFRIADOR 56CMX30MT</t>
  </si>
  <si>
    <t>ML09</t>
  </si>
  <si>
    <t>MALLA PARA ENFRIADOR DÚPLEX CON PASADOR DE 23" (8 MT.)</t>
  </si>
  <si>
    <t>MALLA ENFRIADR DPLX C/PASADR 23PLG X 8MT</t>
  </si>
  <si>
    <t>ML01</t>
  </si>
  <si>
    <t>MALLA PARA ENFRIADOR SENCILLO CON PASADOR DE 10" (9 MT.)</t>
  </si>
  <si>
    <t>MALLA ENFRIADR SENC C/PASADR 10PLG X 9MT</t>
  </si>
  <si>
    <t>ML98</t>
  </si>
  <si>
    <r>
      <rPr>
        <rFont val="Didact Gothic"/>
        <sz val="9.0"/>
      </rPr>
      <t xml:space="preserve">MALLA PARA ENFRIADOR SENCILLO CON PASADOR DE 10" (9 MT.) EN ACERO INOX. T-304 </t>
    </r>
    <r>
      <rPr>
        <rFont val="Didact Gothic"/>
        <sz val="9.0"/>
      </rPr>
      <t>GRADO ALIMENTICIO</t>
    </r>
  </si>
  <si>
    <t>MALLA ENFRIDOR SENC C/PAS 10PLGX9MT INOX</t>
  </si>
  <si>
    <t>ML151</t>
  </si>
  <si>
    <t>MALLA PARA EQUIPO DEL CLIENTE DE 47 CM DE ANCHO X 4.23 M DE LARGO, TEJIDO FINO GALVANIZADA</t>
  </si>
  <si>
    <t>MALLA ESP 47CMX4.23M TEJIDO FINO GALV</t>
  </si>
  <si>
    <t>ML152</t>
  </si>
  <si>
    <t>MALLA PARA EQUIPO DEL CLIENTE DE 85 CM DE ANCHO X 1.40 M DE LARGO, TEJIDO FINO GALVANIZADA</t>
  </si>
  <si>
    <t>MALLA ESP 85CMX1.40M TEJIDO FINO GALV</t>
  </si>
  <si>
    <t>ML105</t>
  </si>
  <si>
    <t>MALLA PARA ESCURRIDOR DE 50 CM DE LARGO X 46 CM DE ANCHO (TRAMO DE 4.80 M)</t>
  </si>
  <si>
    <t>MALLA ESCURRIDOR 46X50CMX4.80MT</t>
  </si>
  <si>
    <t>ML126</t>
  </si>
  <si>
    <t>MALLA PARA FREIDORA (TEJIDO FINO) DE 35 CM DE ANCHO Y 13 M DE LARGO EN ACERO AL CARBONO (FIERRO)</t>
  </si>
  <si>
    <t>MALLA P/FREIDORA FINA 35CMX13MT FIERRO</t>
  </si>
  <si>
    <t>ML30</t>
  </si>
  <si>
    <t xml:space="preserve">MALLA PARA MAQUINA TORTILLADORA TV-40 DE 35 CM DE ANCHO x 1.40 M DE LARGO EN ACERO INOXIDABLE </t>
  </si>
  <si>
    <t>MALLA TV40 35CMx1.40M ACERO INOX</t>
  </si>
  <si>
    <t>ML37</t>
  </si>
  <si>
    <t>MALLA PARA MAQUINA TVRD80 DE 40 CM DE ANCHO X 1.43 M GALVANIZADA DE LARGO TEJIDO FINO</t>
  </si>
  <si>
    <t>MALLA TVRD80 40CMX1.43M GALV TEJIDO FINO</t>
  </si>
  <si>
    <t>ML03</t>
  </si>
  <si>
    <t>MALLA PARA PARTE SUPERIOR DE ENFRIADOR DE 10" (2 MT.)</t>
  </si>
  <si>
    <t>MALLA PARTE SUP ENFRIADOR DE 10PLG X 2MT</t>
  </si>
  <si>
    <t>ML150</t>
  </si>
  <si>
    <t>MALLA PARA SALIDA DE DESHIDRATADOR DE 15" x 4 MTS CON 29 CANJILONES, GALVANIZADA</t>
  </si>
  <si>
    <t>MALLA P/SALIDA DESHID 15"x4M 29CANJ GAL</t>
  </si>
  <si>
    <t>ML02</t>
  </si>
  <si>
    <t>MALLA PARA TRANSPORTADOR SENCILLO DE 10" (1.15 MT.)</t>
  </si>
  <si>
    <t>MALLA TRANSPORTADOR SENC 10PLG X 1.15MT</t>
  </si>
  <si>
    <t>ML36</t>
  </si>
  <si>
    <t>MALLA TESTALERA  DE 24 CM X  1 METRO DE LARGO GALVANIZADA PARA ENVOLVER RODILLOS</t>
  </si>
  <si>
    <t>MALLA TESTALERA  24CMX 1MT GALV ENV RODI</t>
  </si>
  <si>
    <t>ML120</t>
  </si>
  <si>
    <t>MALLA TESTALERA DE 40 CM X 1.40 METROS DE LARGO GALVANIZADA</t>
  </si>
  <si>
    <t>MALLA TESTALERA 40CM X 1.40MT GALV</t>
  </si>
  <si>
    <t>ML25</t>
  </si>
  <si>
    <t>MALLA TESTALERA PARA COLUMPIO DUPLEX DE 35 CMS X 1.40 INOXIDABLE</t>
  </si>
  <si>
    <t>MALLA TESTALERA COLUM DUP 35CMX1.4M INOX</t>
  </si>
  <si>
    <t>MN01</t>
  </si>
  <si>
    <t>MANGO PARA PALANCA DE CLUTCH</t>
  </si>
  <si>
    <t>MN06</t>
  </si>
  <si>
    <t>MANIJA DE 3/8" X 6"</t>
  </si>
  <si>
    <t>MN02</t>
  </si>
  <si>
    <t>MANIJA PARA TAPA DE ALUMINIO REFORZADO DE MÁQUINA (TV-50)</t>
  </si>
  <si>
    <t>MANIJA P/TAPA ALUMINIO REFORZADO TV-50</t>
  </si>
  <si>
    <t>MT0001</t>
  </si>
  <si>
    <t>MANOMETRO</t>
  </si>
  <si>
    <t>MG15</t>
  </si>
  <si>
    <t>MAQ TORTILLADORA W100 NUEVO MOD GA ENCEL</t>
  </si>
  <si>
    <t>MG143</t>
  </si>
  <si>
    <t>MAQUINA CUADRUPLE ESPECIAL C/COMAL ENC E</t>
  </si>
  <si>
    <t>MH31</t>
  </si>
  <si>
    <t>MAQUINA DÚPLEX CON BANDA DE TEFLON PARA TORTILLAS DE HARINA DE TRIGO</t>
  </si>
  <si>
    <t>MH43</t>
  </si>
  <si>
    <t>MAQUINA DÚPLEX CON BANDA DE TEFLON PARA TORTILLAS DE HARINA DE TRIGO PARA BURRITOS</t>
  </si>
  <si>
    <t>MH34</t>
  </si>
  <si>
    <t>MAQUINA DUPLEX ESP P/TORTILLA HARINA</t>
  </si>
  <si>
    <t>MM66</t>
  </si>
  <si>
    <t>MAQUINA P/ NACHOS Y TOTOPOS, MOD TVR-275</t>
  </si>
  <si>
    <t>MH36</t>
  </si>
  <si>
    <t xml:space="preserve">MAQUINA SENCILLA CON BANDA DE  TEFLON PARA TORTILLAS DE HARINA DE TRIGO </t>
  </si>
  <si>
    <t>MH30</t>
  </si>
  <si>
    <t>MAQUINA SENCILLA PARA TORTILLAS DE HARINA DE TRIGO (PRENSA + CHASIS + ENFRIADOR)</t>
  </si>
  <si>
    <t>MG142</t>
  </si>
  <si>
    <t>MAQUINA TORT CUADR RODILL ESPECIAL 11COR</t>
  </si>
  <si>
    <t>MG09</t>
  </si>
  <si>
    <t>MAQUINA TORT TOLVA G.A. E.E. MOT BIF 2HP</t>
  </si>
  <si>
    <t>MG19</t>
  </si>
  <si>
    <t>MAQUINA TORT TVRC C/BANDA C/CADENA ROD</t>
  </si>
  <si>
    <t>MM82</t>
  </si>
  <si>
    <r>
      <rPr>
        <rFont val="Didact Gothic"/>
        <color rgb="FF000000"/>
        <sz val="9.0"/>
      </rPr>
      <t xml:space="preserve">MÁQUINA TORTILLADORA </t>
    </r>
    <r>
      <rPr>
        <rFont val="Didact Gothic"/>
        <color rgb="FF000000"/>
        <sz val="9.0"/>
      </rPr>
      <t>B.C.</t>
    </r>
    <r>
      <rPr>
        <rFont val="Didact Gothic"/>
        <color rgb="FF000000"/>
        <sz val="9.0"/>
      </rPr>
      <t xml:space="preserve"> DE TOLVA DE ALUMINIO CON DOS MOTORES 2HP </t>
    </r>
    <r>
      <rPr>
        <rFont val="Didact Gothic"/>
        <color rgb="FF000000"/>
        <sz val="9.0"/>
      </rPr>
      <t xml:space="preserve">CON </t>
    </r>
    <r>
      <rPr>
        <rFont val="Didact Gothic"/>
        <color rgb="FF000000"/>
        <sz val="9.0"/>
      </rPr>
      <t xml:space="preserve">ENCENDIDO ELECTRÓNICO, </t>
    </r>
    <r>
      <rPr>
        <rFont val="Didact Gothic"/>
        <color rgb="FF000000"/>
        <sz val="9.0"/>
      </rPr>
      <t>MONOFÁSICA</t>
    </r>
  </si>
  <si>
    <t>MM58</t>
  </si>
  <si>
    <r>
      <rPr>
        <rFont val="Didact Gothic"/>
        <color rgb="FF000000"/>
        <sz val="9.0"/>
      </rPr>
      <t xml:space="preserve">MÁQUINA TORTILLADORA </t>
    </r>
    <r>
      <rPr>
        <rFont val="Didact Gothic"/>
        <color rgb="FF000000"/>
        <sz val="9.0"/>
      </rPr>
      <t>B.C.</t>
    </r>
    <r>
      <rPr>
        <rFont val="Didact Gothic"/>
        <color rgb="FF000000"/>
        <sz val="9.0"/>
      </rPr>
      <t xml:space="preserve"> DE TOLVA DE ALUMINIO CON DOS MOTORES 2HP </t>
    </r>
    <r>
      <rPr>
        <rFont val="Didact Gothic"/>
        <color rgb="FF000000"/>
        <sz val="9.0"/>
      </rPr>
      <t xml:space="preserve">CON </t>
    </r>
    <r>
      <rPr>
        <rFont val="Didact Gothic"/>
        <color rgb="FF000000"/>
        <sz val="9.0"/>
      </rPr>
      <t xml:space="preserve">ENCENDIDO ELECTRÓNICO, </t>
    </r>
    <r>
      <rPr>
        <rFont val="Didact Gothic"/>
        <color rgb="FF000000"/>
        <sz val="9.0"/>
      </rPr>
      <t>TRIFÁSICA</t>
    </r>
  </si>
  <si>
    <t>MM44</t>
  </si>
  <si>
    <r>
      <rPr>
        <rFont val="Didact Gothic"/>
        <color rgb="FF000000"/>
        <sz val="9.0"/>
      </rPr>
      <t xml:space="preserve">MÁQUINA TORTILLADORA </t>
    </r>
    <r>
      <rPr>
        <rFont val="Didact Gothic"/>
        <color rgb="FF000000"/>
        <sz val="9.0"/>
      </rPr>
      <t>B.C.</t>
    </r>
    <r>
      <rPr>
        <rFont val="Didact Gothic"/>
        <color rgb="FF000000"/>
        <sz val="9.0"/>
      </rPr>
      <t xml:space="preserve"> DE TOLVA DE ALUMINIO CON DOS MOTORES 2HP </t>
    </r>
    <r>
      <rPr>
        <rFont val="Didact Gothic"/>
        <color rgb="FF000000"/>
        <sz val="9.0"/>
      </rPr>
      <t xml:space="preserve">SIN </t>
    </r>
    <r>
      <rPr>
        <rFont val="Didact Gothic"/>
        <color rgb="FF000000"/>
        <sz val="9.0"/>
      </rPr>
      <t xml:space="preserve">ENCENDIDO ELECTRÓNICO, </t>
    </r>
    <r>
      <rPr>
        <rFont val="Didact Gothic"/>
        <color rgb="FF000000"/>
        <sz val="9.0"/>
      </rPr>
      <t>TRIFÁSICA</t>
    </r>
  </si>
  <si>
    <t>MM45</t>
  </si>
  <si>
    <r>
      <rPr>
        <rFont val="Didact Gothic"/>
        <color rgb="FF000000"/>
        <sz val="9.0"/>
      </rPr>
      <t xml:space="preserve">MÁQUINA TORTILLADORA </t>
    </r>
    <r>
      <rPr>
        <rFont val="Didact Gothic"/>
        <color rgb="FF000000"/>
        <sz val="9.0"/>
      </rPr>
      <t>B.C.</t>
    </r>
    <r>
      <rPr>
        <rFont val="Didact Gothic"/>
        <color rgb="FF000000"/>
        <sz val="9.0"/>
      </rPr>
      <t xml:space="preserve"> DE TOLVA DE ALUMINIO CON DOS MOTORES 2HP Y 2 REDUCTORES </t>
    </r>
    <r>
      <rPr>
        <rFont val="Didact Gothic"/>
        <color rgb="FF000000"/>
        <sz val="9.0"/>
      </rPr>
      <t xml:space="preserve">SIN </t>
    </r>
    <r>
      <rPr>
        <rFont val="Didact Gothic"/>
        <color rgb="FF000000"/>
        <sz val="9.0"/>
      </rPr>
      <t xml:space="preserve">ENCENDIDO ELECTRÓNICO, </t>
    </r>
    <r>
      <rPr>
        <rFont val="Didact Gothic"/>
        <color rgb="FF000000"/>
        <sz val="9.0"/>
      </rPr>
      <t>MONOFÁSICA</t>
    </r>
  </si>
  <si>
    <t>WR100</t>
  </si>
  <si>
    <t xml:space="preserve">MÁQUINA TORTILLADORA DE RODILLOS DUPLEX WR-100, GRADO ALIMENTICIO, MOTOR TRIFÁSICO, 2 HP, CON ENCENDIDO ELECTRÓNICO, CON ALIMENTADOR, Y CON DETECTOR DE FLAMA; ; CON BANDAS METALICAS DE ALTA DURABILIDAD CON CADENA Y CON LÁMINA CALIBRE 12  </t>
  </si>
  <si>
    <t>WR50</t>
  </si>
  <si>
    <t xml:space="preserve">MÁQUINA TORTILLADORA DE RODILLOS DUPLEX WR50, GRADO ALIMENTICIO, MOTOR TRIFÁSICO, 2 HP, CON ENCENDIDO ELECTRÓNICO, CON ALIMENTADOR, Y CON DETECTOR DE FLAMA; CON BANDAS METALICAS DE ALTA DURABILIDAD CON CADENA Y CON LÁMINA CALIBRE 12  </t>
  </si>
  <si>
    <t>MM61</t>
  </si>
  <si>
    <r>
      <rPr>
        <rFont val="Didact Gothic"/>
        <sz val="9.0"/>
      </rPr>
      <t xml:space="preserve">MÁQUINA TORTILLADORA </t>
    </r>
    <r>
      <rPr>
        <rFont val="Didact Gothic"/>
        <sz val="9.0"/>
      </rPr>
      <t>DÚPLEX  (B.C.)</t>
    </r>
    <r>
      <rPr>
        <rFont val="Didact Gothic"/>
        <sz val="9.0"/>
      </rPr>
      <t xml:space="preserve"> DE TOLVA DE ALUMINIO CON UN MOTOR 2HP Y UN MOTOR DE 3 HP </t>
    </r>
    <r>
      <rPr>
        <rFont val="Didact Gothic"/>
        <sz val="9.0"/>
      </rPr>
      <t xml:space="preserve">CON </t>
    </r>
    <r>
      <rPr>
        <rFont val="Didact Gothic"/>
        <sz val="9.0"/>
      </rPr>
      <t xml:space="preserve">ENCENDIDO ELECTRÓNICO, </t>
    </r>
    <r>
      <rPr>
        <rFont val="Didact Gothic"/>
        <sz val="9.0"/>
      </rPr>
      <t>MONOFÁSICA</t>
    </r>
  </si>
  <si>
    <t>MM27</t>
  </si>
  <si>
    <r>
      <rPr>
        <rFont val="Didact Gothic"/>
        <sz val="9.0"/>
      </rPr>
      <t xml:space="preserve">MÁQUINA TORTILLADORA </t>
    </r>
    <r>
      <rPr>
        <rFont val="Didact Gothic"/>
        <sz val="9.0"/>
      </rPr>
      <t>DÚPLEX  (B.C.)</t>
    </r>
    <r>
      <rPr>
        <rFont val="Didact Gothic"/>
        <sz val="9.0"/>
      </rPr>
      <t xml:space="preserve"> DE TOLVA DE ALUMINIO CON UN MOTOR 2HP Y UN MOTOR DE 3 HP </t>
    </r>
    <r>
      <rPr>
        <rFont val="Didact Gothic"/>
        <sz val="9.0"/>
      </rPr>
      <t xml:space="preserve">CON </t>
    </r>
    <r>
      <rPr>
        <rFont val="Didact Gothic"/>
        <sz val="9.0"/>
      </rPr>
      <t xml:space="preserve">ENCENDIDO ELECTRÓNICO, </t>
    </r>
    <r>
      <rPr>
        <rFont val="Didact Gothic"/>
        <sz val="9.0"/>
      </rPr>
      <t>TRIFÁSICA</t>
    </r>
  </si>
  <si>
    <t>MM83</t>
  </si>
  <si>
    <r>
      <rPr>
        <rFont val="Didact Gothic"/>
        <sz val="9.0"/>
      </rPr>
      <t xml:space="preserve">MÁQUINA TORTILLADORA </t>
    </r>
    <r>
      <rPr>
        <rFont val="Didact Gothic"/>
        <sz val="9.0"/>
      </rPr>
      <t>DÚPLEX  (B.C.)</t>
    </r>
    <r>
      <rPr>
        <rFont val="Didact Gothic"/>
        <sz val="9.0"/>
      </rPr>
      <t xml:space="preserve"> DE TOLVA DE ALUMINIO CON UN MOTOR 2HP Y UN MOTOR DE 3 HP </t>
    </r>
    <r>
      <rPr>
        <rFont val="Didact Gothic"/>
        <sz val="9.0"/>
      </rPr>
      <t xml:space="preserve">SIN </t>
    </r>
    <r>
      <rPr>
        <rFont val="Didact Gothic"/>
        <sz val="9.0"/>
      </rPr>
      <t xml:space="preserve">ENCENDIDO ELECTRÓNICO, </t>
    </r>
    <r>
      <rPr>
        <rFont val="Didact Gothic"/>
        <sz val="9.0"/>
      </rPr>
      <t>MONOFÁSICA</t>
    </r>
  </si>
  <si>
    <t>MM26</t>
  </si>
  <si>
    <r>
      <rPr>
        <rFont val="Didact Gothic"/>
        <sz val="9.0"/>
      </rPr>
      <t xml:space="preserve">MÁQUINA TORTILLADORA </t>
    </r>
    <r>
      <rPr>
        <rFont val="Didact Gothic"/>
        <sz val="9.0"/>
      </rPr>
      <t>DÚPLEX  (B.C.)</t>
    </r>
    <r>
      <rPr>
        <rFont val="Didact Gothic"/>
        <sz val="9.0"/>
      </rPr>
      <t xml:space="preserve"> DE TOLVA DE ALUMINIO CON UN MOTOR 2HP Y UN MOTOR DE 3 HP </t>
    </r>
    <r>
      <rPr>
        <rFont val="Didact Gothic"/>
        <sz val="9.0"/>
      </rPr>
      <t xml:space="preserve">SIN </t>
    </r>
    <r>
      <rPr>
        <rFont val="Didact Gothic"/>
        <sz val="9.0"/>
      </rPr>
      <t xml:space="preserve">ENCENDIDO ELECTRÓNICO, </t>
    </r>
    <r>
      <rPr>
        <rFont val="Didact Gothic"/>
        <sz val="9.0"/>
      </rPr>
      <t>TRIFÁSICA</t>
    </r>
  </si>
  <si>
    <t>MM62</t>
  </si>
  <si>
    <r>
      <rPr>
        <rFont val="Didact Gothic"/>
        <sz val="9.0"/>
      </rPr>
      <t xml:space="preserve">MÁQUINA TORTILLADORA </t>
    </r>
    <r>
      <rPr>
        <rFont val="Didact Gothic"/>
        <sz val="9.0"/>
      </rPr>
      <t>DÚPLEX  (B.C.) TLAYUDA</t>
    </r>
    <r>
      <rPr>
        <rFont val="Didact Gothic"/>
        <sz val="9.0"/>
      </rPr>
      <t xml:space="preserve"> DE TOLVA DE ALUMINIO CON UN MOTOR 2HP Y UN MOTOR DE 3 HP </t>
    </r>
    <r>
      <rPr>
        <rFont val="Didact Gothic"/>
        <sz val="9.0"/>
      </rPr>
      <t xml:space="preserve">CON </t>
    </r>
    <r>
      <rPr>
        <rFont val="Didact Gothic"/>
        <sz val="9.0"/>
      </rPr>
      <t xml:space="preserve">ENCENDIDO ELECTRÓNICO, </t>
    </r>
    <r>
      <rPr>
        <rFont val="Didact Gothic"/>
        <sz val="9.0"/>
      </rPr>
      <t>MONOFÁSICA</t>
    </r>
  </si>
  <si>
    <t>MM74</t>
  </si>
  <si>
    <r>
      <rPr>
        <rFont val="Didact Gothic"/>
        <color rgb="FF000000"/>
        <sz val="9.0"/>
      </rPr>
      <t>MÁQUINA TORTILLADORA</t>
    </r>
    <r>
      <rPr>
        <rFont val="Didact Gothic"/>
        <color rgb="FF000000"/>
        <sz val="9.0"/>
      </rPr>
      <t xml:space="preserve"> TV-30</t>
    </r>
    <r>
      <rPr>
        <rFont val="Didact Gothic"/>
        <color rgb="FF000000"/>
        <sz val="9.0"/>
      </rPr>
      <t xml:space="preserve"> DE TOLVA DE ALUMINIO MOTOR 2HP </t>
    </r>
    <r>
      <rPr>
        <rFont val="Didact Gothic"/>
        <color rgb="FF000000"/>
        <sz val="9.0"/>
      </rPr>
      <t xml:space="preserve">CON </t>
    </r>
    <r>
      <rPr>
        <rFont val="Didact Gothic"/>
        <color rgb="FF000000"/>
        <sz val="9.0"/>
      </rPr>
      <t xml:space="preserve">ENCENDIDO ELECTRÓNICO, </t>
    </r>
    <r>
      <rPr>
        <rFont val="Didact Gothic"/>
        <color rgb="FF000000"/>
        <sz val="9.0"/>
      </rPr>
      <t>MONOFÁSICA</t>
    </r>
  </si>
  <si>
    <t>MM46</t>
  </si>
  <si>
    <r>
      <rPr>
        <rFont val="Didact Gothic"/>
        <color rgb="FF000000"/>
        <sz val="9.0"/>
      </rPr>
      <t>MÁQUINA TORTILLADORA</t>
    </r>
    <r>
      <rPr>
        <rFont val="Didact Gothic"/>
        <color rgb="FF000000"/>
        <sz val="9.0"/>
      </rPr>
      <t xml:space="preserve"> TV-30</t>
    </r>
    <r>
      <rPr>
        <rFont val="Didact Gothic"/>
        <color rgb="FF000000"/>
        <sz val="9.0"/>
      </rPr>
      <t xml:space="preserve"> DE TOLVA DE ALUMINIO MOTOR 2HP </t>
    </r>
    <r>
      <rPr>
        <rFont val="Didact Gothic"/>
        <color rgb="FF000000"/>
        <sz val="9.0"/>
      </rPr>
      <t xml:space="preserve">CON </t>
    </r>
    <r>
      <rPr>
        <rFont val="Didact Gothic"/>
        <color rgb="FF000000"/>
        <sz val="9.0"/>
      </rPr>
      <t xml:space="preserve">ENCENDIDO ELECTRÓNICO, </t>
    </r>
    <r>
      <rPr>
        <rFont val="Didact Gothic"/>
        <color rgb="FF000000"/>
        <sz val="9.0"/>
      </rPr>
      <t>TRIFÁSICA</t>
    </r>
  </si>
  <si>
    <t>MM73</t>
  </si>
  <si>
    <r>
      <rPr>
        <rFont val="Didact Gothic"/>
        <color rgb="FF000000"/>
        <sz val="9.0"/>
      </rPr>
      <t>MÁQUINA TORTILLADORA</t>
    </r>
    <r>
      <rPr>
        <rFont val="Didact Gothic"/>
        <color rgb="FF000000"/>
        <sz val="9.0"/>
      </rPr>
      <t xml:space="preserve"> TV-30</t>
    </r>
    <r>
      <rPr>
        <rFont val="Didact Gothic"/>
        <color rgb="FF000000"/>
        <sz val="9.0"/>
      </rPr>
      <t xml:space="preserve"> DE TOLVA DE ALUMINIO MOTOR 2HP </t>
    </r>
    <r>
      <rPr>
        <rFont val="Didact Gothic"/>
        <color rgb="FF000000"/>
        <sz val="9.0"/>
      </rPr>
      <t>SIN</t>
    </r>
    <r>
      <rPr>
        <rFont val="Didact Gothic"/>
        <color rgb="FF000000"/>
        <sz val="9.0"/>
      </rPr>
      <t xml:space="preserve"> ENCENDIDO ELECTRÓNICO, </t>
    </r>
    <r>
      <rPr>
        <rFont val="Didact Gothic"/>
        <color rgb="FF000000"/>
        <sz val="9.0"/>
      </rPr>
      <t>MONOFÁSICA</t>
    </r>
  </si>
  <si>
    <t>MM32</t>
  </si>
  <si>
    <r>
      <rPr>
        <rFont val="Didact Gothic"/>
        <color rgb="FF000000"/>
        <sz val="9.0"/>
      </rPr>
      <t>MÁQUINA TORTILLADORA</t>
    </r>
    <r>
      <rPr>
        <rFont val="Didact Gothic"/>
        <color rgb="FF000000"/>
        <sz val="9.0"/>
      </rPr>
      <t xml:space="preserve"> TV-30</t>
    </r>
    <r>
      <rPr>
        <rFont val="Didact Gothic"/>
        <color rgb="FF000000"/>
        <sz val="9.0"/>
      </rPr>
      <t xml:space="preserve"> DE TOLVA DE ALUMINIO MOTOR 2HP </t>
    </r>
    <r>
      <rPr>
        <rFont val="Didact Gothic"/>
        <color rgb="FF000000"/>
        <sz val="9.0"/>
      </rPr>
      <t>SIN</t>
    </r>
    <r>
      <rPr>
        <rFont val="Didact Gothic"/>
        <color rgb="FF000000"/>
        <sz val="9.0"/>
      </rPr>
      <t xml:space="preserve"> ENCENDIDO ELECTRÓNICO, </t>
    </r>
    <r>
      <rPr>
        <rFont val="Didact Gothic"/>
        <color rgb="FF000000"/>
        <sz val="9.0"/>
      </rPr>
      <t>TRIFÁSICA</t>
    </r>
  </si>
  <si>
    <t>MM75</t>
  </si>
  <si>
    <r>
      <rPr>
        <rFont val="Didact Gothic"/>
        <color rgb="FF000000"/>
        <sz val="9.0"/>
      </rPr>
      <t xml:space="preserve">MÁQUINA TORTILLADORA </t>
    </r>
    <r>
      <rPr>
        <rFont val="Didact Gothic"/>
        <color rgb="FF000000"/>
        <sz val="9.0"/>
      </rPr>
      <t>TV-40</t>
    </r>
    <r>
      <rPr>
        <rFont val="Didact Gothic"/>
        <color rgb="FF000000"/>
        <sz val="9.0"/>
      </rPr>
      <t xml:space="preserve"> DE TOLVA DE ALUMINIO MOTOR 2HP </t>
    </r>
    <r>
      <rPr>
        <rFont val="Didact Gothic"/>
        <color rgb="FF000000"/>
        <sz val="9.0"/>
      </rPr>
      <t xml:space="preserve">CON </t>
    </r>
    <r>
      <rPr>
        <rFont val="Didact Gothic"/>
        <color rgb="FF000000"/>
        <sz val="9.0"/>
      </rPr>
      <t xml:space="preserve">ENCENDIDO ELECTRÓNICO, </t>
    </r>
    <r>
      <rPr>
        <rFont val="Didact Gothic"/>
        <color rgb="FF000000"/>
        <sz val="9.0"/>
      </rPr>
      <t>MONOFÁSICA</t>
    </r>
  </si>
  <si>
    <t>MM50</t>
  </si>
  <si>
    <r>
      <rPr>
        <rFont val="Didact Gothic"/>
        <color rgb="FF000000"/>
        <sz val="9.0"/>
      </rPr>
      <t xml:space="preserve">MÁQUINA TORTILLADORA </t>
    </r>
    <r>
      <rPr>
        <rFont val="Didact Gothic"/>
        <color rgb="FF000000"/>
        <sz val="9.0"/>
      </rPr>
      <t>TV-40</t>
    </r>
    <r>
      <rPr>
        <rFont val="Didact Gothic"/>
        <color rgb="FF000000"/>
        <sz val="9.0"/>
      </rPr>
      <t xml:space="preserve"> DE TOLVA DE ALUMINIO MOTOR 2HP </t>
    </r>
    <r>
      <rPr>
        <rFont val="Didact Gothic"/>
        <color rgb="FF000000"/>
        <sz val="9.0"/>
      </rPr>
      <t xml:space="preserve">CON </t>
    </r>
    <r>
      <rPr>
        <rFont val="Didact Gothic"/>
        <color rgb="FF000000"/>
        <sz val="9.0"/>
      </rPr>
      <t xml:space="preserve">ENCENDIDO ELECTRÓNICO, </t>
    </r>
    <r>
      <rPr>
        <rFont val="Didact Gothic"/>
        <color rgb="FF000000"/>
        <sz val="9.0"/>
      </rPr>
      <t>TRIFÁSICA</t>
    </r>
  </si>
  <si>
    <t>MM37</t>
  </si>
  <si>
    <r>
      <rPr>
        <rFont val="Didact Gothic"/>
        <color rgb="FF000000"/>
        <sz val="9.0"/>
      </rPr>
      <t xml:space="preserve">MÁQUINA TORTILLADORA </t>
    </r>
    <r>
      <rPr>
        <rFont val="Didact Gothic"/>
        <color rgb="FF000000"/>
        <sz val="9.0"/>
      </rPr>
      <t>TV-40</t>
    </r>
    <r>
      <rPr>
        <rFont val="Didact Gothic"/>
        <color rgb="FF000000"/>
        <sz val="9.0"/>
      </rPr>
      <t xml:space="preserve"> DE TOLVA DE ALUMINIO MOTOR 2HP </t>
    </r>
    <r>
      <rPr>
        <rFont val="Didact Gothic"/>
        <color rgb="FF000000"/>
        <sz val="9.0"/>
      </rPr>
      <t xml:space="preserve">SIN </t>
    </r>
    <r>
      <rPr>
        <rFont val="Didact Gothic"/>
        <color rgb="FF000000"/>
        <sz val="9.0"/>
      </rPr>
      <t xml:space="preserve">ENCENDIDO ELECTRÓNICO, </t>
    </r>
    <r>
      <rPr>
        <rFont val="Didact Gothic"/>
        <color rgb="FF000000"/>
        <sz val="9.0"/>
      </rPr>
      <t>MONOFÁSICA</t>
    </r>
  </si>
  <si>
    <t>MM36</t>
  </si>
  <si>
    <r>
      <rPr>
        <rFont val="Didact Gothic"/>
        <color rgb="FF000000"/>
        <sz val="9.0"/>
      </rPr>
      <t xml:space="preserve">MÁQUINA TORTILLADORA </t>
    </r>
    <r>
      <rPr>
        <rFont val="Didact Gothic"/>
        <color rgb="FF000000"/>
        <sz val="9.0"/>
      </rPr>
      <t>TV-40</t>
    </r>
    <r>
      <rPr>
        <rFont val="Didact Gothic"/>
        <color rgb="FF000000"/>
        <sz val="9.0"/>
      </rPr>
      <t xml:space="preserve"> DE TOLVA DE ALUMINIO MOTOR 2HP </t>
    </r>
    <r>
      <rPr>
        <rFont val="Didact Gothic"/>
        <color rgb="FF000000"/>
        <sz val="9.0"/>
      </rPr>
      <t xml:space="preserve">SIN </t>
    </r>
    <r>
      <rPr>
        <rFont val="Didact Gothic"/>
        <color rgb="FF000000"/>
        <sz val="9.0"/>
      </rPr>
      <t xml:space="preserve">ENCENDIDO ELECTRÓNICO, </t>
    </r>
    <r>
      <rPr>
        <rFont val="Didact Gothic"/>
        <color rgb="FF000000"/>
        <sz val="9.0"/>
      </rPr>
      <t>TRIFÁSICA</t>
    </r>
  </si>
  <si>
    <t>MM77</t>
  </si>
  <si>
    <r>
      <rPr>
        <rFont val="Didact Gothic"/>
        <color rgb="FF000000"/>
        <sz val="9.0"/>
      </rPr>
      <t xml:space="preserve">MÁQUINA TORTILLADORA </t>
    </r>
    <r>
      <rPr>
        <rFont val="Didact Gothic"/>
        <color rgb="FF000000"/>
        <sz val="9.0"/>
      </rPr>
      <t>TV-50</t>
    </r>
    <r>
      <rPr>
        <rFont val="Didact Gothic"/>
        <color rgb="FF000000"/>
        <sz val="9.0"/>
      </rPr>
      <t xml:space="preserve"> DE TOLVA DE ALUMINIO MOTOR 2HP </t>
    </r>
    <r>
      <rPr>
        <rFont val="Didact Gothic"/>
        <color rgb="FF000000"/>
        <sz val="9.0"/>
      </rPr>
      <t xml:space="preserve">CON </t>
    </r>
    <r>
      <rPr>
        <rFont val="Didact Gothic"/>
        <color rgb="FF000000"/>
        <sz val="9.0"/>
      </rPr>
      <t xml:space="preserve">ENCENDIDO ELECTRÓNICO, </t>
    </r>
    <r>
      <rPr>
        <rFont val="Didact Gothic"/>
        <color rgb="FF000000"/>
        <sz val="9.0"/>
      </rPr>
      <t>MONOFÁSICA</t>
    </r>
  </si>
  <si>
    <t>MM52</t>
  </si>
  <si>
    <r>
      <rPr>
        <rFont val="Didact Gothic"/>
        <color rgb="FF000000"/>
        <sz val="9.0"/>
      </rPr>
      <t xml:space="preserve">MÁQUINA TORTILLADORA </t>
    </r>
    <r>
      <rPr>
        <rFont val="Didact Gothic"/>
        <color rgb="FF000000"/>
        <sz val="9.0"/>
      </rPr>
      <t>TV-50</t>
    </r>
    <r>
      <rPr>
        <rFont val="Didact Gothic"/>
        <color rgb="FF000000"/>
        <sz val="9.0"/>
      </rPr>
      <t xml:space="preserve"> DE TOLVA DE ALUMINIO MOTOR 2HP </t>
    </r>
    <r>
      <rPr>
        <rFont val="Didact Gothic"/>
        <color rgb="FF000000"/>
        <sz val="9.0"/>
      </rPr>
      <t xml:space="preserve">CON </t>
    </r>
    <r>
      <rPr>
        <rFont val="Didact Gothic"/>
        <color rgb="FF000000"/>
        <sz val="9.0"/>
      </rPr>
      <t xml:space="preserve">ENCENDIDO ELECTRÓNICO, </t>
    </r>
    <r>
      <rPr>
        <rFont val="Didact Gothic"/>
        <color rgb="FF000000"/>
        <sz val="9.0"/>
      </rPr>
      <t>TRIFÁSICA</t>
    </r>
  </si>
  <si>
    <t>MM76</t>
  </si>
  <si>
    <t>MÁQUINA TORTILLADORA TV-50 DE TOLVA DE ALUMINIO MOTOR 2HP SIN ENCENDIDO ELECTRÓNICO, MONOFÁSICA</t>
  </si>
  <si>
    <t>MM38</t>
  </si>
  <si>
    <r>
      <rPr>
        <rFont val="Didact Gothic"/>
        <color rgb="FF000000"/>
        <sz val="9.0"/>
      </rPr>
      <t xml:space="preserve">MÁQUINA TORTILLADORA </t>
    </r>
    <r>
      <rPr>
        <rFont val="Didact Gothic"/>
        <color rgb="FF000000"/>
        <sz val="9.0"/>
      </rPr>
      <t>TV-50</t>
    </r>
    <r>
      <rPr>
        <rFont val="Didact Gothic"/>
        <color rgb="FF000000"/>
        <sz val="9.0"/>
      </rPr>
      <t xml:space="preserve"> DE TOLVA DE ALUMINIO MOTOR 2HP </t>
    </r>
    <r>
      <rPr>
        <rFont val="Didact Gothic"/>
        <color rgb="FF000000"/>
        <sz val="9.0"/>
      </rPr>
      <t xml:space="preserve">SIN </t>
    </r>
    <r>
      <rPr>
        <rFont val="Didact Gothic"/>
        <color rgb="FF000000"/>
        <sz val="9.0"/>
      </rPr>
      <t xml:space="preserve">ENCENDIDO ELECTRÓNICO, </t>
    </r>
    <r>
      <rPr>
        <rFont val="Didact Gothic"/>
        <color rgb="FF000000"/>
        <sz val="9.0"/>
      </rPr>
      <t>TRIFÁSICA</t>
    </r>
  </si>
  <si>
    <t>MM39</t>
  </si>
  <si>
    <r>
      <rPr>
        <rFont val="Didact Gothic"/>
        <color rgb="FF000000"/>
        <sz val="9.0"/>
      </rPr>
      <t xml:space="preserve">MAQUINA TORTILLADORA </t>
    </r>
    <r>
      <rPr>
        <rFont val="Didact Gothic"/>
        <color rgb="FF000000"/>
        <sz val="9.0"/>
      </rPr>
      <t xml:space="preserve">TV-50 </t>
    </r>
    <r>
      <rPr>
        <rFont val="Didact Gothic"/>
        <color rgb="FF000000"/>
        <sz val="9.0"/>
      </rPr>
      <t xml:space="preserve">SENCILLA </t>
    </r>
    <r>
      <rPr>
        <rFont val="Didact Gothic"/>
        <color rgb="FF000000"/>
        <sz val="9.0"/>
      </rPr>
      <t>SIN</t>
    </r>
    <r>
      <rPr>
        <rFont val="Didact Gothic"/>
        <color rgb="FF000000"/>
        <sz val="9.0"/>
      </rPr>
      <t xml:space="preserve"> ENCENDIDO ELECTRICO, TOLVA  AHORRADORA MOTOR 2 HP </t>
    </r>
    <r>
      <rPr>
        <rFont val="Didact Gothic"/>
        <color rgb="FF000000"/>
        <sz val="9.0"/>
      </rPr>
      <t>BIFÁSICO</t>
    </r>
  </si>
  <si>
    <t>MM79</t>
  </si>
  <si>
    <r>
      <rPr>
        <rFont val="Didact Gothic"/>
        <color rgb="FF000000"/>
        <sz val="9.0"/>
      </rPr>
      <t xml:space="preserve">MÁQUINA TORTILLADORA </t>
    </r>
    <r>
      <rPr>
        <rFont val="Didact Gothic"/>
        <color rgb="FF000000"/>
        <sz val="9.0"/>
      </rPr>
      <t>TV-60</t>
    </r>
    <r>
      <rPr>
        <rFont val="Didact Gothic"/>
        <color rgb="FF000000"/>
        <sz val="9.0"/>
      </rPr>
      <t xml:space="preserve"> DE TOLVA DE ALUMINIO MOTOR 3HP </t>
    </r>
    <r>
      <rPr>
        <rFont val="Didact Gothic"/>
        <color rgb="FF000000"/>
        <sz val="9.0"/>
      </rPr>
      <t xml:space="preserve">CON </t>
    </r>
    <r>
      <rPr>
        <rFont val="Didact Gothic"/>
        <color rgb="FF000000"/>
        <sz val="9.0"/>
      </rPr>
      <t xml:space="preserve">ENCENDIDO ELECTRÓNICO, </t>
    </r>
    <r>
      <rPr>
        <rFont val="Didact Gothic"/>
        <color rgb="FF000000"/>
        <sz val="9.0"/>
      </rPr>
      <t>MONOFÁSICA</t>
    </r>
  </si>
  <si>
    <t>MM54</t>
  </si>
  <si>
    <r>
      <rPr>
        <rFont val="Didact Gothic"/>
        <color rgb="FF000000"/>
        <sz val="9.0"/>
      </rPr>
      <t xml:space="preserve">MÁQUINA TORTILLADORA </t>
    </r>
    <r>
      <rPr>
        <rFont val="Didact Gothic"/>
        <color rgb="FF000000"/>
        <sz val="9.0"/>
      </rPr>
      <t>TV-60</t>
    </r>
    <r>
      <rPr>
        <rFont val="Didact Gothic"/>
        <color rgb="FF000000"/>
        <sz val="9.0"/>
      </rPr>
      <t xml:space="preserve"> DE TOLVA DE ALUMINIO MOTOR 3HP </t>
    </r>
    <r>
      <rPr>
        <rFont val="Didact Gothic"/>
        <color rgb="FF000000"/>
        <sz val="9.0"/>
      </rPr>
      <t xml:space="preserve">CON </t>
    </r>
    <r>
      <rPr>
        <rFont val="Didact Gothic"/>
        <color rgb="FF000000"/>
        <sz val="9.0"/>
      </rPr>
      <t xml:space="preserve">ENCENDIDO ELECTRÓNICO, </t>
    </r>
    <r>
      <rPr>
        <rFont val="Didact Gothic"/>
        <color rgb="FF000000"/>
        <sz val="9.0"/>
      </rPr>
      <t>TRIFÁSICA</t>
    </r>
  </si>
  <si>
    <t>MM78</t>
  </si>
  <si>
    <r>
      <rPr>
        <rFont val="Didact Gothic"/>
        <color rgb="FF000000"/>
        <sz val="9.0"/>
      </rPr>
      <t xml:space="preserve">MÁQUINA TORTILLADORA </t>
    </r>
    <r>
      <rPr>
        <rFont val="Didact Gothic"/>
        <color rgb="FF000000"/>
        <sz val="9.0"/>
      </rPr>
      <t>TV-60</t>
    </r>
    <r>
      <rPr>
        <rFont val="Didact Gothic"/>
        <color rgb="FF000000"/>
        <sz val="9.0"/>
      </rPr>
      <t xml:space="preserve"> DE TOLVA DE ALUMINIO MOTOR 3HP </t>
    </r>
    <r>
      <rPr>
        <rFont val="Didact Gothic"/>
        <color rgb="FF000000"/>
        <sz val="9.0"/>
      </rPr>
      <t xml:space="preserve">SIN </t>
    </r>
    <r>
      <rPr>
        <rFont val="Didact Gothic"/>
        <color rgb="FF000000"/>
        <sz val="9.0"/>
      </rPr>
      <t xml:space="preserve">ENCENDIDO ELECTRÓNICO, </t>
    </r>
    <r>
      <rPr>
        <rFont val="Didact Gothic"/>
        <color rgb="FF000000"/>
        <sz val="9.0"/>
      </rPr>
      <t>MONOFÁSICA</t>
    </r>
  </si>
  <si>
    <t>MM40</t>
  </si>
  <si>
    <r>
      <rPr>
        <rFont val="Didact Gothic"/>
        <color rgb="FF000000"/>
        <sz val="9.0"/>
      </rPr>
      <t xml:space="preserve">MÁQUINA TORTILLADORA </t>
    </r>
    <r>
      <rPr>
        <rFont val="Didact Gothic"/>
        <color rgb="FF000000"/>
        <sz val="9.0"/>
      </rPr>
      <t>TV-60</t>
    </r>
    <r>
      <rPr>
        <rFont val="Didact Gothic"/>
        <color rgb="FF000000"/>
        <sz val="9.0"/>
      </rPr>
      <t xml:space="preserve"> DE TOLVA DE ALUMINIO MOTOR 3HP </t>
    </r>
    <r>
      <rPr>
        <rFont val="Didact Gothic"/>
        <color rgb="FF000000"/>
        <sz val="9.0"/>
      </rPr>
      <t xml:space="preserve">SIN </t>
    </r>
    <r>
      <rPr>
        <rFont val="Didact Gothic"/>
        <color rgb="FF000000"/>
        <sz val="9.0"/>
      </rPr>
      <t xml:space="preserve">ENCENDIDO ELECTRÓNICO, </t>
    </r>
    <r>
      <rPr>
        <rFont val="Didact Gothic"/>
        <color rgb="FF000000"/>
        <sz val="9.0"/>
      </rPr>
      <t>TRIFÁSICA</t>
    </r>
  </si>
  <si>
    <t>MM81</t>
  </si>
  <si>
    <r>
      <rPr>
        <rFont val="Didact Gothic"/>
        <color rgb="FF000000"/>
        <sz val="9.0"/>
      </rPr>
      <t xml:space="preserve">MÁQUINA TORTILLADORA </t>
    </r>
    <r>
      <rPr>
        <rFont val="Didact Gothic"/>
        <color rgb="FF000000"/>
        <sz val="9.0"/>
      </rPr>
      <t>TV-70</t>
    </r>
    <r>
      <rPr>
        <rFont val="Didact Gothic"/>
        <color rgb="FF000000"/>
        <sz val="9.0"/>
      </rPr>
      <t xml:space="preserve"> DE TOLVA DE ALUMINIO MOTOR 3HP </t>
    </r>
    <r>
      <rPr>
        <rFont val="Didact Gothic"/>
        <color rgb="FF000000"/>
        <sz val="9.0"/>
      </rPr>
      <t xml:space="preserve">CON </t>
    </r>
    <r>
      <rPr>
        <rFont val="Didact Gothic"/>
        <color rgb="FF000000"/>
        <sz val="9.0"/>
      </rPr>
      <t xml:space="preserve">ENCENDIDO ELECTRÓNICO, </t>
    </r>
    <r>
      <rPr>
        <rFont val="Didact Gothic"/>
        <color rgb="FF000000"/>
        <sz val="9.0"/>
      </rPr>
      <t>MONOFÁSICA</t>
    </r>
  </si>
  <si>
    <t>MM56</t>
  </si>
  <si>
    <r>
      <rPr>
        <rFont val="Didact Gothic"/>
        <color rgb="FF000000"/>
        <sz val="9.0"/>
      </rPr>
      <t xml:space="preserve">MÁQUINA TORTILLADORA </t>
    </r>
    <r>
      <rPr>
        <rFont val="Didact Gothic"/>
        <color rgb="FF000000"/>
        <sz val="9.0"/>
      </rPr>
      <t>TV-70</t>
    </r>
    <r>
      <rPr>
        <rFont val="Didact Gothic"/>
        <color rgb="FF000000"/>
        <sz val="9.0"/>
      </rPr>
      <t xml:space="preserve"> DE TOLVA DE ALUMINIO MOTOR 3HP </t>
    </r>
    <r>
      <rPr>
        <rFont val="Didact Gothic"/>
        <color rgb="FF000000"/>
        <sz val="9.0"/>
      </rPr>
      <t xml:space="preserve">CON </t>
    </r>
    <r>
      <rPr>
        <rFont val="Didact Gothic"/>
        <color rgb="FF000000"/>
        <sz val="9.0"/>
      </rPr>
      <t xml:space="preserve">ENCENDIDO ELECTRÓNICO, </t>
    </r>
    <r>
      <rPr>
        <rFont val="Didact Gothic"/>
        <color rgb="FF000000"/>
        <sz val="9.0"/>
      </rPr>
      <t>TRIFÁSICA</t>
    </r>
  </si>
  <si>
    <t>MM80</t>
  </si>
  <si>
    <r>
      <rPr>
        <rFont val="Didact Gothic"/>
        <color rgb="FF000000"/>
        <sz val="9.0"/>
      </rPr>
      <t xml:space="preserve">MÁQUINA TORTILLADORA </t>
    </r>
    <r>
      <rPr>
        <rFont val="Didact Gothic"/>
        <color rgb="FF000000"/>
        <sz val="9.0"/>
      </rPr>
      <t>TV-70</t>
    </r>
    <r>
      <rPr>
        <rFont val="Didact Gothic"/>
        <color rgb="FF000000"/>
        <sz val="9.0"/>
      </rPr>
      <t xml:space="preserve"> DE TOLVA DE ALUMINIO MOTOR 3HP </t>
    </r>
    <r>
      <rPr>
        <rFont val="Didact Gothic"/>
        <color rgb="FF000000"/>
        <sz val="9.0"/>
      </rPr>
      <t xml:space="preserve">SIN </t>
    </r>
    <r>
      <rPr>
        <rFont val="Didact Gothic"/>
        <color rgb="FF000000"/>
        <sz val="9.0"/>
      </rPr>
      <t xml:space="preserve">ENCENDIDO ELECTRÓNICO, </t>
    </r>
    <r>
      <rPr>
        <rFont val="Didact Gothic"/>
        <color rgb="FF000000"/>
        <sz val="9.0"/>
      </rPr>
      <t>MONOFÁSICA</t>
    </r>
  </si>
  <si>
    <t>MM42</t>
  </si>
  <si>
    <r>
      <rPr>
        <rFont val="Didact Gothic"/>
        <color rgb="FF000000"/>
        <sz val="9.0"/>
      </rPr>
      <t xml:space="preserve">MÁQUINA TORTILLADORA </t>
    </r>
    <r>
      <rPr>
        <rFont val="Didact Gothic"/>
        <color rgb="FF000000"/>
        <sz val="9.0"/>
      </rPr>
      <t>TV-70</t>
    </r>
    <r>
      <rPr>
        <rFont val="Didact Gothic"/>
        <color rgb="FF000000"/>
        <sz val="9.0"/>
      </rPr>
      <t xml:space="preserve"> DE TOLVA DE ALUMINIO MOTOR 3HP </t>
    </r>
    <r>
      <rPr>
        <rFont val="Didact Gothic"/>
        <color rgb="FF000000"/>
        <sz val="9.0"/>
      </rPr>
      <t xml:space="preserve">SIN </t>
    </r>
    <r>
      <rPr>
        <rFont val="Didact Gothic"/>
        <color rgb="FF000000"/>
        <sz val="9.0"/>
      </rPr>
      <t xml:space="preserve">ENCENDIDO ELECTRÓNICO, </t>
    </r>
    <r>
      <rPr>
        <rFont val="Didact Gothic"/>
        <color rgb="FF000000"/>
        <sz val="9.0"/>
      </rPr>
      <t>TRIFÁSICA</t>
    </r>
  </si>
  <si>
    <t>MG55</t>
  </si>
  <si>
    <t>MÁQUINA TVR-50 S/ENCENDIDO MOTOR 2HP MON</t>
  </si>
  <si>
    <t>MG07</t>
  </si>
  <si>
    <t>MAQUINA VW-100 ESPECIAL SIN ALIMENTADOR</t>
  </si>
  <si>
    <t>MA01</t>
  </si>
  <si>
    <t>MARIPOSA  PARA MOLINO DE CONO</t>
  </si>
  <si>
    <t>MG28</t>
  </si>
  <si>
    <t>MASERO ACERO INOXIDABLE T-304 GRADO ALIMENTICIO</t>
  </si>
  <si>
    <t>MG122</t>
  </si>
  <si>
    <t>MASERO CARRITO ACERO INOX. 430 CON AGARRADERAS</t>
  </si>
  <si>
    <t>MH0001</t>
  </si>
  <si>
    <t>MECHERO PILOTO PARA ENCENDER FLAUTAS</t>
  </si>
  <si>
    <t>MD01</t>
  </si>
  <si>
    <t>MEDIO CANDADO P40</t>
  </si>
  <si>
    <t>MD02</t>
  </si>
  <si>
    <t>MEDIO CANDADO P50</t>
  </si>
  <si>
    <t>MD03</t>
  </si>
  <si>
    <t>MEDIO TUBO DE RECIRCULACIÓN CHICO ESPECIAL</t>
  </si>
  <si>
    <t>MEDIO TUBO DE RECIRCULACION CHICO ESP</t>
  </si>
  <si>
    <t>MD04</t>
  </si>
  <si>
    <t>MEDIO TUBO DE RECIRCULACIÓN DÚPLEX</t>
  </si>
  <si>
    <t>MEDIO TUBO DE RECIRCULACION DPLX</t>
  </si>
  <si>
    <t>MD05</t>
  </si>
  <si>
    <t>MEDIO TUBO DE RECIRCULACIÓN SENCILLO</t>
  </si>
  <si>
    <t>MEDIO TUBO DE RECIRCULACION SENCILLO</t>
  </si>
  <si>
    <t>MJ01</t>
  </si>
  <si>
    <t>MEJORADOR PARA MASA 1 KG.</t>
  </si>
  <si>
    <t>MJ03</t>
  </si>
  <si>
    <t>MEJORADOR PARA MASA 25 KG. (BULTO)</t>
  </si>
  <si>
    <t>MJ02</t>
  </si>
  <si>
    <t>MEJORADOR PARA MASA 5 KG.</t>
  </si>
  <si>
    <t>MH27</t>
  </si>
  <si>
    <t xml:space="preserve">MESA DE TRABAJO </t>
  </si>
  <si>
    <t>MH26</t>
  </si>
  <si>
    <t xml:space="preserve">MESA DE TRABAJO CON COMPARTIMENTO PARA CHAROLAS EN ACERO INOX. T-430 </t>
  </si>
  <si>
    <t>MH21</t>
  </si>
  <si>
    <t xml:space="preserve">MESA DE TRABAJO CON ESPIGUERO INTEGRADO EN ACERO INOX. T-430 PARA 8 CHAROLAS </t>
  </si>
  <si>
    <t>MG27</t>
  </si>
  <si>
    <t xml:space="preserve">MESA DE TRABAJO TRES REPISAS </t>
  </si>
  <si>
    <t>MX44</t>
  </si>
  <si>
    <t>METRO ADICIONAL DE BAZUCA</t>
  </si>
  <si>
    <t>ML144</t>
  </si>
  <si>
    <t>METRO DE MALLA DE 12 X 12 X 1" EN ACERO INOX T-304 PARA CERNIDOR</t>
  </si>
  <si>
    <t>METRO MALLA 12X12X1" ACINOX 304 CERNIDOR</t>
  </si>
  <si>
    <t>ML145</t>
  </si>
  <si>
    <t>METRO DE MALLA DE 16 X 16 X 1" EN ACERO INOX T-304 PARA CERNIDOR</t>
  </si>
  <si>
    <t>METRO MALLA 16X16X1" ACINOX 304 CERNIDOR</t>
  </si>
  <si>
    <t>ML116</t>
  </si>
  <si>
    <t>METRO DE MALLA DE 23'' GALVANIZADA PARA ENFRIADOR</t>
  </si>
  <si>
    <t>METRO DE MALLA DE 23 GALV P/ENFR</t>
  </si>
  <si>
    <t>ML141</t>
  </si>
  <si>
    <t>METRO DE MALLA DE 5 X 5 X 1" EN ACERO INOX T-304 PARA CERNIDOR</t>
  </si>
  <si>
    <t>METRO MALLA 5X5X1" AC INOX 304 CERNIDOR</t>
  </si>
  <si>
    <t>ML142</t>
  </si>
  <si>
    <t>METRO DE MALLA DE 6 X 6 X 1" EN ACERO INOX T-304 PARA CERNIDOR</t>
  </si>
  <si>
    <t>METRO MALLA 6X6X1" AC INOX 304 CERNIDOR</t>
  </si>
  <si>
    <t>ML143</t>
  </si>
  <si>
    <t>METRO DE MALLA DE 8 X 8 X 1" EN ACERO INOX T-304 PARA CERNIDOR</t>
  </si>
  <si>
    <t>METRO MALLA 8X8X1" AC INOX 304 CERNIDOR</t>
  </si>
  <si>
    <t>ML115</t>
  </si>
  <si>
    <t>METRO DE MALLA DE 84 CM DE ANCHO GALVANIZADA CON CALIBRE 16 PARA ENFRIADOR</t>
  </si>
  <si>
    <t>METRO DE MALLA DE 84 GALV CAL16 P/ENFR</t>
  </si>
  <si>
    <t>ML41</t>
  </si>
  <si>
    <t xml:space="preserve">METRO DE MALLA EN ALAMBRE GALVANIZADO DE 30 CM DE ANCHO CALIBRE 16 CON PASADOR CALIBRE 14 (REFORZADA), TIPO ENFRIADORA, PARA MAQUINA DE HARINA </t>
  </si>
  <si>
    <t>METRO MALLA GALV30CM CAL16 REF P/MAQHAR</t>
  </si>
  <si>
    <t>ML24</t>
  </si>
  <si>
    <t xml:space="preserve">METRO DE MALLA FINA DE 15" PARA ENVOLVENTE </t>
  </si>
  <si>
    <t xml:space="preserve">MALLA FINA DE 15" PARA ENVOLVENTE </t>
  </si>
  <si>
    <t>ML40</t>
  </si>
  <si>
    <t>METRO DE MALLA FINA NEGRA DE 16'' X 1 M LINEA WALMART</t>
  </si>
  <si>
    <t>METRO MALLA FINA NEGRA 16'' WALMART</t>
  </si>
  <si>
    <t>ML135</t>
  </si>
  <si>
    <t>METRO MALLA  (B42 CAL 18) DE 70 CM DE ANCHO X 1 M DE LARGO GALVANIZADA</t>
  </si>
  <si>
    <t>MALLA  (B42 CAL 18) 70CMX1M GALVANIZADA</t>
  </si>
  <si>
    <t>ML23</t>
  </si>
  <si>
    <t>METRO MALLA FINA DE 14" CON PASADOR DE 10 MTS</t>
  </si>
  <si>
    <t>MALLA FINA 14" CON PASADOR DE 10 MTS</t>
  </si>
  <si>
    <t>ML137</t>
  </si>
  <si>
    <t>METRO MALLA FINA DE 14" X 1 METRO DE FIERRO (ESPECIAL)</t>
  </si>
  <si>
    <t>MALLA FINA 14" X 1 M FIERRO (ESPECIAL)</t>
  </si>
  <si>
    <t>ML134</t>
  </si>
  <si>
    <t>METRO MALLA PARA ENFRIADOR DE 84 CM DE ANCHO</t>
  </si>
  <si>
    <t>METRO MALLA P/ ENFRIADOR 84CM ANCHO</t>
  </si>
  <si>
    <t>BT10</t>
  </si>
  <si>
    <t>MICROSWITCH GRIS NO SMP-304 CODIFICADO 230VCA</t>
  </si>
  <si>
    <t>MICROSWITCH GRIS NO SMP-304 CODIF 230V</t>
  </si>
  <si>
    <t>BT08</t>
  </si>
  <si>
    <t>MICROSWITCH MECANICO DE PERNO</t>
  </si>
  <si>
    <t>BT09</t>
  </si>
  <si>
    <t>MICROSWITCH TELEMECANIQUE CODIFICADO 24V</t>
  </si>
  <si>
    <t>CN0002</t>
  </si>
  <si>
    <t>MINI CONTACTOR TRIFASICO 127V WEG</t>
  </si>
  <si>
    <t>MI0001</t>
  </si>
  <si>
    <t>MODULO DE IGNICION</t>
  </si>
  <si>
    <t>MI01</t>
  </si>
  <si>
    <t>MP85</t>
  </si>
  <si>
    <t>MOL</t>
  </si>
  <si>
    <t>MOLINO # 1 TOLUCA ESTRUCTURA Y LAMINA EN ACERO INOX. 304 CON SISTEMA DE APRIETE MANUAL CON MONOFÁSICO 2 HP CON PIEDRAS DE 6" Y PRODUCE 90 KGS/HR</t>
  </si>
  <si>
    <t>MP03</t>
  </si>
  <si>
    <t>MOLINO # 2 TOLUCA  (MASA PARA TORTILLA A MANO) CON SISTEMA DE APRIETE  CON MONOFÁSICO 5 HP. CON PIEDRAS DE 7" Y PRODUCE 150KGS/HR</t>
  </si>
  <si>
    <t>MP05</t>
  </si>
  <si>
    <t>MOLINO # 2 TOLUCA  (MASA PARA TORTILLA A MANO) CON SISTEMA DE APRIETE  CON TRIFÁSICO 5 HP. CON PIEDRAS DE 7" Y PRODUCE 150KGS/HR</t>
  </si>
  <si>
    <t>MP40</t>
  </si>
  <si>
    <t>MOLINO # 2 TOLUCA  (MASA PARA TORTILLA A MANO) CON SISTEMA DE APRIETE MANUAL  SIN MOTOR SIN PIEDRAS</t>
  </si>
  <si>
    <t>MP53</t>
  </si>
  <si>
    <t>MOLINO # 3 TOLUCA  CON SISTEMA DE APRIETE  CON 10 HP. MONOFÁSICO CON PIEDRAS DE 9" Y PRODUCE 230KGS/HR</t>
  </si>
  <si>
    <t>MP54</t>
  </si>
  <si>
    <t>MOLINO # 3 TOLUCA  CON SISTEMA DE APRIETE  CON 10 HP. TRIFÁSICO CON PIEDRAS DE 9" Y PRODUCE 230KGS/HR</t>
  </si>
  <si>
    <t>MP06</t>
  </si>
  <si>
    <t>MOLINO # 3 TOLUCA  CON SISTEMA DE APRIETE  CON MONOFÁSICO 7.5 HP. CON PIEDRAS DE 8" Y PRODUCE 150KGS/HR</t>
  </si>
  <si>
    <t>MP07</t>
  </si>
  <si>
    <t>MOLINO # 3 TOLUCA  CON SISTEMA DE APRIETE  CON TRIFÁSICO 7.5 HP. CON PIEDRAS DE 8" Y PRODUCE 150KGS/HR</t>
  </si>
  <si>
    <t>MP41</t>
  </si>
  <si>
    <t>MOLINO # 3 TOLUCA  CON SISTEMA DE APRIETE MANUAL SIN MOTOR SIN PIEDRAS</t>
  </si>
  <si>
    <t>MP51</t>
  </si>
  <si>
    <t>MOLINO #1 TOLUCA (MASA PARA TORTILLA A MANO) CON SISTEMA DE APRIETE  CON MONOFÁSICO 2 HP CON PIEDRAS DE 6" Y PRODUCE 90KGS/HR</t>
  </si>
  <si>
    <t>MP52</t>
  </si>
  <si>
    <t>MOLINO #1 TOLUCA (MASA PARA TORTILLA A MANO) CON SISTEMA DE APRIETE  CON TRIFÁSICO 2 HP CON PIEDRAS DE 6" Y PRODUCE 90KGS/HR</t>
  </si>
  <si>
    <t>MP02</t>
  </si>
  <si>
    <t>MOLINO #1 TOLUCA (MASA PARA TORTILLA A MANO) CON SISTEMA DE APRIETE MANUAL SIN MOTOR SIN PIEDRAS</t>
  </si>
  <si>
    <t>MOLINO 1 TOLUCA APRIET MAN S/M S/P</t>
  </si>
  <si>
    <t>MP105</t>
  </si>
  <si>
    <t>MOLINO AUTOMÁTICO TORTIMEX #2 EN ACERO INOXIDABLE 304, CON MOTOR DE 10 HP TRIFASICO Y PIEDRAS DE 10"  (LA ESTRUCTURA TAMBIÉN VA EN ACERO INOX)</t>
  </si>
  <si>
    <t>MOLINO TORTIMEX 2 10HP-TRI ESTR INOX P10</t>
  </si>
  <si>
    <t>MP106</t>
  </si>
  <si>
    <t>MOLINO AUTOMÁTICO TORTIMEX #3 EN ACERO INOXIDABLE 304, CON MOTOR DE 15 HP TRIFASICO Y PIEDRAS DE 11"  (LA ESTRUCTURA TAMBIÉN VA EN ACERO INOX)</t>
  </si>
  <si>
    <t>MOLINO TORTIMEX 2 15HP-TRI ESTR INOX P11</t>
  </si>
  <si>
    <t>MP19</t>
  </si>
  <si>
    <t>MOLINO AUTOMÁTICO TORTIMEX NO. 1   CON SISTEMA DE APRIETE  CON 5 HP. MONOFÁSICO CON PIEDRAS DE 7" Y PRODUCE 150KGS/HR</t>
  </si>
  <si>
    <t>MP18</t>
  </si>
  <si>
    <t>MOLINO AUTOMÁTICO TORTIMEX NO. 1   CON SISTEMA DE APRIETE  CON 5 HP. TRIFÁSICO CON PIEDRAS DE 7" Y PRODUCE 150KGS/HR</t>
  </si>
  <si>
    <t>MP95</t>
  </si>
  <si>
    <t>MOLINO AUTOMÁTICO TORTIMEX NO. 1   CON SISTEMA DE APRIETE  CON 7.5 HP. BIFASICO CON PIEDRAS DE 8'' Y PRODUCE 200KGS/HR</t>
  </si>
  <si>
    <t>MP21</t>
  </si>
  <si>
    <t>MOLINO AUTOMÁTICO TORTIMEX NO. 1   CON SISTEMA DE APRIETE  CON 7.5 HP. MONOFÁSICO CON PIEDRAS DE 8" Y PRODUCE 150KGS/HR</t>
  </si>
  <si>
    <t>MP58</t>
  </si>
  <si>
    <t>MOLINO AUTOMÁTICO TORTIMEX NO. 1   CON SISTEMA DE APRIETE  CON 7.5 HP. MONOFÁSICO SIN PIEDRAS  Y PRODUCE 200KGS/HR</t>
  </si>
  <si>
    <t>MP20</t>
  </si>
  <si>
    <t>MOLINO AUTOMÁTICO TORTIMEX NO. 1   CON SISTEMA DE APRIETE  CON 7.5 HP. TRIFÁSICO CON PIEDRAS DE 8" Y PRODUCE 150KGS/HR</t>
  </si>
  <si>
    <t>MP59</t>
  </si>
  <si>
    <t>MOLINO AUTOMÁTICO TORTIMEX NO. 1   CON SISTEMA DE APRIETE  CON 7.5 HP. TRIFÁSICO SIN PIEDRAS  Y PRODUCE 200KGS/HR</t>
  </si>
  <si>
    <t>MP43</t>
  </si>
  <si>
    <t>MOLINO AUTOMÁTICO TORTIMEX NO. 1   CON SISTEMA DE APRIETE VOLANTE AMPLIFICADOR DE PRESIÓN (R)  SIN MOTOR SIN PIEDRAS</t>
  </si>
  <si>
    <t>MP25</t>
  </si>
  <si>
    <t>MOLINO AUTOMÁTICO TORTIMEX NO. 2   CON SISTEMA DE APRIETE  CON 10 HP. MONOFÁSICO CON PIEDRAS DE 9" Y PRODUCE 230KGS/HR</t>
  </si>
  <si>
    <t>MP60</t>
  </si>
  <si>
    <t>MOLINO AUTOMÁTICO TORTIMEX NO. 2   CON SISTEMA DE APRIETE  CON 10 HP. MONOFÁSICO CON PIEDRAS DE 9" Y PRODUCE 260KGS/HR</t>
  </si>
  <si>
    <t>MP24</t>
  </si>
  <si>
    <t>MOLINO AUTOMÁTICO TORTIMEX NO. 2   CON SISTEMA DE APRIETE  CON 10 HP. TRIFÁSICO CON PIEDRAS DE 9" Y PRODUCE 230KGS/HR</t>
  </si>
  <si>
    <t>MP61</t>
  </si>
  <si>
    <t>MOLINO AUTOMÁTICO TORTIMEX NO. 2   CON SISTEMA DE APRIETE  CON 10 HP. TRIFÁSICO CON PIEDRAS DE 9" Y PRODUCE 260KGS/HR</t>
  </si>
  <si>
    <t>MP44</t>
  </si>
  <si>
    <t>MOLINO AUTOMÁTICO TORTIMEX NO. 2   CON SISTEMA DE APRIETE VOLANTE AMPLIFICADOR DE PRESIÓN (R) SIN MOTOR SIN PIEDRAS</t>
  </si>
  <si>
    <t>MP26</t>
  </si>
  <si>
    <t>MOLINO AUTOMÁTICO TORTIMEX NO. 3   CON SISTEMA DE APRIETE  CON 15 HP. TRIFÁSICO CON PIEDRAS DE 11" Y PRODUCE 300KGS/HR</t>
  </si>
  <si>
    <t>MP28</t>
  </si>
  <si>
    <t>MOLINO AUTOMÁTICO TORTIMEX NO. 3   CON SISTEMA DE APRIETE  CON 20 HP. TRIFÁSICO CON PIEDRAS DE 13" Y PRODUCE 400KGS/HR</t>
  </si>
  <si>
    <t>MP29</t>
  </si>
  <si>
    <t>MOLINO AUTOMÁTICO TORTIMEX NO. 3   CON SISTEMA DE APRIETE  CON 20 HP. TRIFÁSICO CON PIEDRAS DE 14"</t>
  </si>
  <si>
    <t>MP17</t>
  </si>
  <si>
    <t>MOLINO AUTOMÁTICO TORTIMEX NO. 3   CON SISTEMA DE APRIETE  CON 25 HP. TRIFÁSICO</t>
  </si>
  <si>
    <t>MP45</t>
  </si>
  <si>
    <t>MOLINO AUTOMÁTICO TORTIMEX NO. 3   CON SISTEMA DE APRIETE VOLANTE AMPLIFICADOR DE PRESIÓN (R) SIN MOTOR SIN PIEDRAS</t>
  </si>
  <si>
    <t>MP46</t>
  </si>
  <si>
    <t>MP31</t>
  </si>
  <si>
    <t>MOLINO AUTOMATICO TORTIMEX NO. 5 CON SISTEMA DE APRIETE  CON 30 HP. TRIFÁSICO CON PIEDRAS DE 16"  Y PRODUCE 600KGS/HR</t>
  </si>
  <si>
    <t>MP32</t>
  </si>
  <si>
    <t>MOLINO AUTOMATICO TORTIMEX NO. 5 CON SISTEMA DE APRIETE  CON 30 HP. TRIFÁSICO CON PIEDRAS DE 17" Y PRODUCE 700KGS/HR</t>
  </si>
  <si>
    <t>MP102</t>
  </si>
  <si>
    <t>MOLINO AUTOMATICO TORTIMEX NO. 5 CON SISTEMA DE APRIETE  CON 5 HP. TRIFÁSICO CON PIEDRAS DE 8''</t>
  </si>
  <si>
    <t>MP34</t>
  </si>
  <si>
    <t>MOLINO AUTOMATICO TORTIMEX NO. 5 CON SISTEMA DE APRIETE  CON 50 HP. TRIFÁSICO CON PIEDRAS DE  19" Y PRODUCE 1000KGS/HR</t>
  </si>
  <si>
    <t>MP33</t>
  </si>
  <si>
    <t>MOLINO AUTOMATICO TORTIMEX NO. 5 CON SISTEMA DE APRIETE  CON 50 HP. TRIFÁSICO CON PIEDRAS DE 18"  Y PRODUCE 800KGS/HR</t>
  </si>
  <si>
    <t>MP04</t>
  </si>
  <si>
    <t>MOLINO AUTOMATICO TORTIMEX NO. 5 CON SISTEMA DE APRIETE VOLANTE AMPLIFICADOR DE PRESIÓN (R) SIN MOTOR SIN PIEDRAS</t>
  </si>
  <si>
    <t>MOLINO TORTIMEX 5 APRIET REDUCT S/M S/P</t>
  </si>
  <si>
    <t>MP55</t>
  </si>
  <si>
    <t>MOLINO CONO INOX NO. 2 CON SISTEMA DE APRIETE  CON 10 HP MONOFÁSICO CON PIEDRAS DE 10" Y PRODUCE 230KGS/HR</t>
  </si>
  <si>
    <t>MP23</t>
  </si>
  <si>
    <t>MOLINO CONO INOX NO. 2 CON SISTEMA DE APRIETE  CON 10 HP TRIFÁSICO CON PIEDRAS DE 10" Y PRODUCE 230KGS/HR</t>
  </si>
  <si>
    <t>MP27</t>
  </si>
  <si>
    <t>MOLINO CONO INOX NO. 2 CON SISTEMA DE APRIETE VOLANTE AMPLIFICADOR DE PRESIÓN (R) SIN MOTOR SIN PIEDRAS</t>
  </si>
  <si>
    <t>MP94</t>
  </si>
  <si>
    <t>MOLINO CONO MOTOR 15HP TRIF. PIEDRAS 11</t>
  </si>
  <si>
    <t>MP08</t>
  </si>
  <si>
    <t>MOLINO CONO NO. 2 CON SISTEMA DE APRIETE  CON 10 HP MONOFÁSICO  CON PIEDRAS DE 10" Y PRODUCE 230KGS/HR</t>
  </si>
  <si>
    <t>MP15</t>
  </si>
  <si>
    <t>MOLINO CONO NO. 2 CON SISTEMA DE APRIETE  CON 10 HP MONOFÁSICO  CON PIEDRAS DE 9"</t>
  </si>
  <si>
    <t>MOLINO CONO 2 APRIET RED 10HP M P9</t>
  </si>
  <si>
    <t>MP11</t>
  </si>
  <si>
    <t>MOLINO CONO NO. 2 CON SISTEMA DE APRIETE  CON 10 HP TRIFÁSICO  CON PIEDRAS DE 10" Y PRODUCE 230KGS/HR</t>
  </si>
  <si>
    <t>MP16</t>
  </si>
  <si>
    <t>MOLINO CONO NO. 2 CON SISTEMA DE APRIETE  CON 10 HP TRIFÁSICO  CON PIEDRAS DE 9"</t>
  </si>
  <si>
    <t>MP09</t>
  </si>
  <si>
    <t>MOLINO CONO NO. 2 CON SISTEMA DE APRIETE  CON 7.5 HP MONOFÁSICO CON PIEDRAS DE 8" Y PRODUCE 150KGS/HR</t>
  </si>
  <si>
    <t>MP10</t>
  </si>
  <si>
    <t>MOLINO CONO NO. 2 CON SISTEMA DE APRIETE  CON 7.5 HP TRIFÁSICO  CON PIEDRAS DE 8" Y PRODUCE 150KGS/HR</t>
  </si>
  <si>
    <t>MP42</t>
  </si>
  <si>
    <t>MOLINO CONO NO. 2 CON SISTEMA DE APRIETE VOLANTE AMPLIFICADOR DE PRESIÓN (R) SIN MOTOR SIN PIEDRAS</t>
  </si>
  <si>
    <t>MP63</t>
  </si>
  <si>
    <t>MOLINO CONO NO. 3 CON SISTEMA DE APRIETE  CON 10 HP MONOFÁSICO  CON PIEDRAS DE 10" Y PRODUCE 230KGS/HR</t>
  </si>
  <si>
    <t>MOLINO CONO 3 APRIET RED 10HP M P10</t>
  </si>
  <si>
    <t>MP57</t>
  </si>
  <si>
    <t>MOLINO CONO NO. 3 CON SISTEMA DE APRIETE  CON 10 HP MONOFÁSICO  CON PIEDRAS DE 9"</t>
  </si>
  <si>
    <t>MOLINO CONO 3 APRIET RED 10HP M P9</t>
  </si>
  <si>
    <t>MP64</t>
  </si>
  <si>
    <t>MOLINO CONO NO. 3 CON SISTEMA DE APRIETE  CON 10 HP TRIFÁSICO  CON PIEDRAS DE 10" Y PRODUCE 230KGS/HR</t>
  </si>
  <si>
    <t>MOLINO CONO 3 APRIET RED 10HP T P10</t>
  </si>
  <si>
    <t>MP62</t>
  </si>
  <si>
    <t>MOLINO CONO NO. 3 CON SISTEMA DE APRIETE  CON 10 HP TRIFÁSICO  CON PIEDRAS DE 9"</t>
  </si>
  <si>
    <t>MOLINO CONO 3 APRIET RED 10HP T P9</t>
  </si>
  <si>
    <t>MP65</t>
  </si>
  <si>
    <t>MOLINO CONO NO. 3 CON SISTEMA DE APRIETE  CON 15 HP TRIFASICO CON PIEDRAS DE 11"</t>
  </si>
  <si>
    <t>MOLINO CONO 3 APRIET RED 15HP T P11</t>
  </si>
  <si>
    <t>MP86</t>
  </si>
  <si>
    <t>MOLINO CONO NO. 3 CON SISTEMA DE APRIETE  CON 15 HP TRIFÁSICO CON PIEDRAS DE 12"</t>
  </si>
  <si>
    <t>MOLINO CONO 3 APRIET RED 15HP T P12</t>
  </si>
  <si>
    <t>MP56</t>
  </si>
  <si>
    <t>MOLINO CONO NO. 3 CON SISTEMA DE APRIETE VOLANTE AMPLIFICADOR DE PRESIÓN (R) SIN MOTOR SIN PIEDRAS</t>
  </si>
  <si>
    <t>MOLINO CONO 3 APRIET RED S/M S/P</t>
  </si>
  <si>
    <t>MP101</t>
  </si>
  <si>
    <t xml:space="preserve">MOLINO ESPECIAL CON REJILLAS ESPECIALES EN ACERO INOXIDABLE CON SISTEMA DE APRIETE </t>
  </si>
  <si>
    <t>MP47</t>
  </si>
  <si>
    <t>MOLINO MINI CONO NO. 1 CON SISTEMA DE APRIETE  CON 5 HP. MONOFÁSICO CON PIEDRAS DE 7"</t>
  </si>
  <si>
    <t>MP88</t>
  </si>
  <si>
    <t>MOLINO MINI CONO NO. 1 CON SISTEMA DE APRIETE  CON 5 HP. TRIFASICO CON PIEDRAS DE 7" Y PRODUCE 150KGS/HR</t>
  </si>
  <si>
    <t>MP13</t>
  </si>
  <si>
    <t>MOLINO MINI CONO NO. 1 CON SISTEMA DE APRIETE  CON 7.5 HP MONOFÁSICO CON PIEDRAS DE 8" Y PRODUCE 150KGS/HR</t>
  </si>
  <si>
    <t>MOLINO MINI CONO APRIET RED 7.5HP M P8</t>
  </si>
  <si>
    <t>MP14</t>
  </si>
  <si>
    <t>MOLINO MINI CONO NO. 1 CON SISTEMA DE APRIETE  CON 7.5 HP TRIFÁSICO  CON PIEDRAS DE 8" Y PRODUCE 150KGS/HR</t>
  </si>
  <si>
    <t>MOLINO MINI CONO APRIET RED 7.5HP T P8</t>
  </si>
  <si>
    <t>MP12</t>
  </si>
  <si>
    <t>MOLINO MINI CONO NO. 1 CON SISTEMA DE APRIETE VOLANTE AMPLIFICADOR DE PRESIÓN (R) SIN MOTOR SIN PIEDRAS</t>
  </si>
  <si>
    <t>MOLINO MINI CONO APRIET REDUCT S/M S/P</t>
  </si>
  <si>
    <t>MP91</t>
  </si>
  <si>
    <t>MOLINO MOLVER CON SISTEMA DE APRIETE  CON 10 HP. MONOFÁSICO CON PIEDRAS DE 10" Y PRODUCE 230KGS/HR</t>
  </si>
  <si>
    <t>MP92</t>
  </si>
  <si>
    <t>MOLINO MOLVER CON SISTEMA DE APRIETE  CON 10 HP. TRIFÁSICO CON PIEDRAS DE 10" Y PRODUCE 230KGS/HR</t>
  </si>
  <si>
    <t>MP93</t>
  </si>
  <si>
    <t>MOLINO MOLVER CON SISTEMA DE APRIETE  CON 15 HP. TRIFÁSICO CON PIEDRAS DE 12" Y PRODUCE 300KGS/HR</t>
  </si>
  <si>
    <t>MP35</t>
  </si>
  <si>
    <t>MOLINO MOLVER CON SISTEMA DE APRIETE  CON 7.5 HP. MONOFÁSICO</t>
  </si>
  <si>
    <t>MP36</t>
  </si>
  <si>
    <t>MOLINO MOLVER CON SISTEMA DE APRIETE  CON 7.5 HP. TRIFÁSICO</t>
  </si>
  <si>
    <t>MP87</t>
  </si>
  <si>
    <t>MOLINO MOLVER CON SISTEMA DE APRIETE MANUAL SIN MOTOR</t>
  </si>
  <si>
    <t>MOLINO MOLVER APRIET MAN S/M S/P</t>
  </si>
  <si>
    <t>MP79</t>
  </si>
  <si>
    <t>MOLINO NEVADO NO. 1</t>
  </si>
  <si>
    <t>MP66</t>
  </si>
  <si>
    <t>MOLINO NEVADO NO. 1 CON SISTEMA DE APRIETE  CON 5 HP MONOFÁSICO CON PIEDRAS DE 7" Y PRODUCE 150KGS/HR</t>
  </si>
  <si>
    <t>MP67</t>
  </si>
  <si>
    <t>MOLINO NEVADO NO. 1 CON SISTEMA DE APRIETE  CON 5 HP TRIFÁSICO CON PIEDRAS DE 7" Y PRODUCE 150KGS/HR</t>
  </si>
  <si>
    <t>MP77</t>
  </si>
  <si>
    <t>MOLINO NEVADO NO. 1 CON SISTEMA DE APRIETE MANUAL SIN MOTOR SIN PIEDRAS</t>
  </si>
  <si>
    <t>MP83</t>
  </si>
  <si>
    <t>MOLINO NEVADO NO. 1 INOX CON SISTEMA DE APRIETE  CON 5 HP TRIFÁSICO CON PIEDRAS DE 8" Y PRODUCE 150KGS/HR</t>
  </si>
  <si>
    <t>MP84</t>
  </si>
  <si>
    <t>MOLINO NEVADO NO. 1 INOX CON SISTEMA DE APRIETE  CON 5 HP. MONOFASICO CON PIEDRAS DE 8" Y PRODUCE 150KGS/HR</t>
  </si>
  <si>
    <t>MP30</t>
  </si>
  <si>
    <t>MOLINO NEVADO NO. 1 INOX CON SISTEMA DE APRIETE MANUAL SIN MOTOR SIN PIEDRAS</t>
  </si>
  <si>
    <t>MP70</t>
  </si>
  <si>
    <t>MOLINO NEVADO NO. 2</t>
  </si>
  <si>
    <t>MP72</t>
  </si>
  <si>
    <t>MP81</t>
  </si>
  <si>
    <t>MOLINO NEVADO NO. 2 CON SISTEMA DE APRIETE  CON 10 HP. MONOFÁSICO CON PIEDRAS DE 9" Y PRODUCE 230KGS/HR</t>
  </si>
  <si>
    <t>MP82</t>
  </si>
  <si>
    <t>MOLINO NEVADO NO. 2 CON SISTEMA DE APRIETE  CON 10 HP. TRIFÁSICO CON PIEDRAS DE 9" Y PRODUCE 230KGS/HR</t>
  </si>
  <si>
    <t>MP68</t>
  </si>
  <si>
    <t>MOLINO NEVADO NO. 2 CON SISTEMA DE APRIETE  CON 7.5 HP MONOFÁSICO CON PIEDRAS DE 8" Y PRODUCE 150KGS/HR</t>
  </si>
  <si>
    <t>MP69</t>
  </si>
  <si>
    <t>MOLINO NEVADO NO. 2 CON SISTEMA DE APRIETE  CON 7.5 HP TRIFÁSICO CON PIEDRAS DE 8" Y PRODUCE 150KGS/HR</t>
  </si>
  <si>
    <t>MP80</t>
  </si>
  <si>
    <t>MOLINO NEVADO NO. 2 CON SISTEMA DE APRIETE MANUAL SIN MOTOR SIN PIEDRAS</t>
  </si>
  <si>
    <t>MP73</t>
  </si>
  <si>
    <t>MOLINO PARA GRANOS, HARINA DE TAMAL Y CHILES  CON SISTEMA DE APRIETE  CON 10 HP MONOFÁSICO CON PIEDRAS DE 7" Y PRODUCE 100 KGS/HR</t>
  </si>
  <si>
    <t>MP74</t>
  </si>
  <si>
    <t>MOLINO PARA GRANOS, HARINA DE TAMAL Y CHILES  CON SISTEMA DE APRIETE  CON 10 HP TRIFÁSICO  CON PIEDRAS DE 7" Y PRODUCE 100 KGS/HR</t>
  </si>
  <si>
    <t>MP37</t>
  </si>
  <si>
    <t>MOLINO PARA GRANOS, HARINA DE TAMAL Y CHILES  CON SISTEMA DE APRIETE  CON 3 HP. TRIFÁSICO CON PIEDRAS DE 4.5" Y PRODUCE 30 KGS/HR</t>
  </si>
  <si>
    <t>MP48</t>
  </si>
  <si>
    <t>MOLINO PARA GRANOS, HARINA DE TAMAL Y CHILES  CON SISTEMA DE APRIETE  CON 7.5 HP MONOFÁSICO CON PIEDRAS DE 7" Y PRODUCE 90 KGS/HR</t>
  </si>
  <si>
    <t>MP49</t>
  </si>
  <si>
    <t>MOLINO PARA GRANOS, HARINA DE TAMAL Y CHILES  CON SISTEMA DE APRIETE  CON 7.5 HP TRIFÁSICO  CON PIEDRAS DE 7" Y PRODUCE 90 KGS/HR</t>
  </si>
  <si>
    <t>MP38</t>
  </si>
  <si>
    <t>MOLINO PARA GRANOS, HARINA DE TAMAL Y CHILES  CON SISTEMA DE APRIETE MANUAL CON 3 HP. MONOFÁSICO CON PIEDRAS DE 4.5" Y PRODUCE 30 KGS/HR</t>
  </si>
  <si>
    <t>MP75</t>
  </si>
  <si>
    <t>MOLINO PONY CON SISTEMA DE APRIETE MANUAL CON MOTOR .5 HP CON PIEDRAS DE 4" Y PRODUCE 30KGS/HR</t>
  </si>
  <si>
    <t>MP01</t>
  </si>
  <si>
    <t>MOLINO TOLUCA MINI CON SISTEMA DE APRIETE  CON MONOFÁSICO 1 HP. CON PIEDRAS DE 5"  Y PRODUCE 50KGS/HR</t>
  </si>
  <si>
    <t>MP39</t>
  </si>
  <si>
    <t xml:space="preserve">MOLINO TOLUCA MINI CON SISTEMA DE APRIETE MANUAL CON SIN MOTOR CON PIEDRAS DE 5" </t>
  </si>
  <si>
    <t>MP104</t>
  </si>
  <si>
    <t>MOLINO TORTMEX MINI MOT5HP TRIF PIEDR7''</t>
  </si>
  <si>
    <t>MP103</t>
  </si>
  <si>
    <t>MOLINO TTMX #2 MOTOR10HP TRIF PIEDR11''</t>
  </si>
  <si>
    <t>MG25</t>
  </si>
  <si>
    <t>MOSTRADOR CHICO CON VITRINA ACERO INOX. T-304 GRADO ALIMENTICIO</t>
  </si>
  <si>
    <t>MG26</t>
  </si>
  <si>
    <t>MOSTRADOR CHICO SIN VITRINA ACERO INOX. T-304 GRADO ALIMENTICIO</t>
  </si>
  <si>
    <t>MG97</t>
  </si>
  <si>
    <t>MOSTRADOR DE CRISTAL</t>
  </si>
  <si>
    <t>MG24</t>
  </si>
  <si>
    <t>MOSTRADOR GRANDE CON VITRINA ACERO INOX. T-304  GRADO ALIMENTICIO</t>
  </si>
  <si>
    <t>MG132</t>
  </si>
  <si>
    <t>MOSTRADOR GRANDE SIN VITRINA ACERO INOX. T-304 GRADO ALIMENTICIO</t>
  </si>
  <si>
    <t>MG98</t>
  </si>
  <si>
    <t>MOSTRADOR GRANDE SIN VITRINA ACERO INOX. T-304 GRADO ALIMENTICIO (3 METROS)</t>
  </si>
  <si>
    <t>MR0001</t>
  </si>
  <si>
    <t>MOTO REDUCTOR 1 HP P/ALIMENTADO</t>
  </si>
  <si>
    <t>MO01</t>
  </si>
  <si>
    <t>MOTOR - CORREDERA</t>
  </si>
  <si>
    <t>WM-MO09</t>
  </si>
  <si>
    <t>MOTOR 1/2 HP TRIFASICO 1750 RPM</t>
  </si>
  <si>
    <t>WM-MO10</t>
  </si>
  <si>
    <t>MOTOR 2 HP TRIFASICO C/BRIDA "C" 1750 RPM -TORTIMEX -MO10</t>
  </si>
  <si>
    <t>MOTOR 2HP TRI BRIDA C</t>
  </si>
  <si>
    <t>MO48</t>
  </si>
  <si>
    <t>MOTOR BRIDA C 1 HP PARA REDUCTOR M05</t>
  </si>
  <si>
    <t>MO44</t>
  </si>
  <si>
    <t>MOTOR BRIDA C 2 HP PARA REDUCTOR M06</t>
  </si>
  <si>
    <t>MO03</t>
  </si>
  <si>
    <t>MOTOR MONOFÁSICO 1 HP </t>
  </si>
  <si>
    <t>MOTOR MONOFASICO 1 HP </t>
  </si>
  <si>
    <t>MO21</t>
  </si>
  <si>
    <t xml:space="preserve">MOTOR MONOFÁSICO 1 HP A 3550 R.P.M </t>
  </si>
  <si>
    <t>MOTOR MONOFASICO 1 HP A 3550 RPM</t>
  </si>
  <si>
    <t>MO02</t>
  </si>
  <si>
    <t xml:space="preserve">MOTOR MONOFÁSICO 1/2 HP </t>
  </si>
  <si>
    <t xml:space="preserve">MOTOR MONOFASICO 1/2 HP </t>
  </si>
  <si>
    <t>MO20</t>
  </si>
  <si>
    <t xml:space="preserve">MOTOR MONOFÁSICO 1/4 HP </t>
  </si>
  <si>
    <t xml:space="preserve">MOTOR MONOFASICO 1/4 HP </t>
  </si>
  <si>
    <t>MO08</t>
  </si>
  <si>
    <t xml:space="preserve">MOTOR MONOFÁSICO 10 HP </t>
  </si>
  <si>
    <t xml:space="preserve">MOTOR MONOFASICO 10 HP </t>
  </si>
  <si>
    <t>MO04</t>
  </si>
  <si>
    <t xml:space="preserve">MOTOR MONOFÁSICO 2 HP </t>
  </si>
  <si>
    <t xml:space="preserve">MOTOR MONOFASICO 2 HP </t>
  </si>
  <si>
    <t>MO23</t>
  </si>
  <si>
    <t xml:space="preserve">MOTOR MONOFASICO 2 HP FLECHA DE 5/8 </t>
  </si>
  <si>
    <t>MO05</t>
  </si>
  <si>
    <t xml:space="preserve">MOTOR MONOFÁSICO 3 HP </t>
  </si>
  <si>
    <t xml:space="preserve">MOTOR MONOFASICO 3 HP </t>
  </si>
  <si>
    <t>MO06</t>
  </si>
  <si>
    <t xml:space="preserve">MOTOR MONOFÁSICO 5 HP </t>
  </si>
  <si>
    <t xml:space="preserve">MOTOR MONOFASICO 5 HP </t>
  </si>
  <si>
    <t>MO07</t>
  </si>
  <si>
    <t xml:space="preserve">MOTOR MONOFÁSICO 7.5 HP </t>
  </si>
  <si>
    <t xml:space="preserve">MOTOR MONOFASICO 7.5 HP </t>
  </si>
  <si>
    <t>MO22</t>
  </si>
  <si>
    <t xml:space="preserve">MOTOR TRIFÁSICO 1 HP </t>
  </si>
  <si>
    <t xml:space="preserve">MOTOR TRIFASICO 1 HP </t>
  </si>
  <si>
    <t>MO14</t>
  </si>
  <si>
    <t xml:space="preserve">MOTOR TRIFÁSICO 10 HP </t>
  </si>
  <si>
    <t xml:space="preserve">MOTOR TRIFASICO 10 HP </t>
  </si>
  <si>
    <t>MO15</t>
  </si>
  <si>
    <t xml:space="preserve">MOTOR TRIFÁSICO 15 HP </t>
  </si>
  <si>
    <t xml:space="preserve">MOTOR TRIFASICO 15 HP </t>
  </si>
  <si>
    <t>MO10</t>
  </si>
  <si>
    <t xml:space="preserve">MOTOR TRIFÁSICO 2 HP </t>
  </si>
  <si>
    <t xml:space="preserve">MOTOR TRIFASICO 2 HP </t>
  </si>
  <si>
    <t>MO16</t>
  </si>
  <si>
    <t xml:space="preserve">MOTOR TRIFÁSICO 20 HP </t>
  </si>
  <si>
    <t xml:space="preserve">MOTOR TRIFASICO 20 HP </t>
  </si>
  <si>
    <t>MO17</t>
  </si>
  <si>
    <t xml:space="preserve">MOTOR TRIFÁSICO 25 HP </t>
  </si>
  <si>
    <t xml:space="preserve">MOTOR TRIFASICO 25 HP </t>
  </si>
  <si>
    <t>MO11</t>
  </si>
  <si>
    <t xml:space="preserve">MOTOR TRIFÁSICO 3 HP </t>
  </si>
  <si>
    <t xml:space="preserve">MOTOR TRIFASICO 3 HP </t>
  </si>
  <si>
    <t>MO09</t>
  </si>
  <si>
    <t xml:space="preserve">MOTOR TRIFÁSICO 3/4 HP </t>
  </si>
  <si>
    <t xml:space="preserve">MOTOR TRIFASICO 3/4 HP </t>
  </si>
  <si>
    <t>MO18</t>
  </si>
  <si>
    <t xml:space="preserve">MOTOR TRIFÁSICO 30 HP </t>
  </si>
  <si>
    <t xml:space="preserve">MOTOR TRIFASICO 30 HP </t>
  </si>
  <si>
    <t>MO12</t>
  </si>
  <si>
    <t xml:space="preserve">MOTOR TRIFÁSICO 5 HP </t>
  </si>
  <si>
    <t xml:space="preserve">MOTOR TRIFASICO 5 HP </t>
  </si>
  <si>
    <t>MO19</t>
  </si>
  <si>
    <t xml:space="preserve">MOTOR TRIFÁSICO 50 HP </t>
  </si>
  <si>
    <t xml:space="preserve">MOTOR TRIFASICO 50 HP </t>
  </si>
  <si>
    <t>MO13</t>
  </si>
  <si>
    <t xml:space="preserve">MOTOR TRIFÁSICO 7.5 HP </t>
  </si>
  <si>
    <t xml:space="preserve">MOTOR TRIFASICO 7.5 HP </t>
  </si>
  <si>
    <t>MO24</t>
  </si>
  <si>
    <t>MOTOREDUCTOR  M06 50:1 C/MOTOR BRIDA C 2HP TRIF</t>
  </si>
  <si>
    <t>MOTOREDUCTOR M06 50:1 C/MOT BC 2HP TRIF</t>
  </si>
  <si>
    <t>MO28</t>
  </si>
  <si>
    <t>MOTOREDUCTOR MO5 50-1 C/MOTOR BRIDA C 1HP TRIF</t>
  </si>
  <si>
    <t>MOTOREDUCTOR MO5 50-1 C/MOT BC 1HP TRIF</t>
  </si>
  <si>
    <t>MO27</t>
  </si>
  <si>
    <t>MOTOREDUCTOR PARA CABEZAL RESTAURANTERO</t>
  </si>
  <si>
    <t>MO32</t>
  </si>
  <si>
    <t>MOTORREDUCTOR /VARIADOR 200W,110V FLEC 19MM</t>
  </si>
  <si>
    <t>MOTORREDUCTOR /VAR 200W,110V FLEC 19MM</t>
  </si>
  <si>
    <t>MU01</t>
  </si>
  <si>
    <t>MUELLE PARA CARRO</t>
  </si>
  <si>
    <t>NP0001</t>
  </si>
  <si>
    <t>NIPLE CUERDA CORRIDA 1/2"</t>
  </si>
  <si>
    <t>NP0004</t>
  </si>
  <si>
    <t>NIPLE CUERDA CORRIDA 1/2" -TORTIMEX -NP0004</t>
  </si>
  <si>
    <t>NP0010</t>
  </si>
  <si>
    <t>NIPLE CUERDA CORRIDA 3/8"</t>
  </si>
  <si>
    <t>NP0009</t>
  </si>
  <si>
    <t>NIPLE DE 1/4" X 2"</t>
  </si>
  <si>
    <t>NP0008</t>
  </si>
  <si>
    <t>NIPLE DE CUERDA CORRIDA 1/4"</t>
  </si>
  <si>
    <t>HR19</t>
  </si>
  <si>
    <t>NIPLE INOXIDABLE DE 3/4" X 1 1/2 CON CUERDA</t>
  </si>
  <si>
    <t>NP0006</t>
  </si>
  <si>
    <t>NIPLE NTP 1/2" A 3/8"</t>
  </si>
  <si>
    <t>NP0007</t>
  </si>
  <si>
    <t>NIPLE NTP 1/4" A 3/8"</t>
  </si>
  <si>
    <t>NP0011</t>
  </si>
  <si>
    <t>NIPLE NTP 3/8" A 3/8"</t>
  </si>
  <si>
    <t>NP0005</t>
  </si>
  <si>
    <t>NIPLE NTP A MEDIA FLARE</t>
  </si>
  <si>
    <t>OP09</t>
  </si>
  <si>
    <t>OPRESOR ALLEN 1/4" X 1/4"</t>
  </si>
  <si>
    <t>OP13</t>
  </si>
  <si>
    <t>OPRESOR ALLEN 1/4" X 38"</t>
  </si>
  <si>
    <t>OP01</t>
  </si>
  <si>
    <t>OPRESOR ALLEN 1/4X5/16</t>
  </si>
  <si>
    <t>OP94</t>
  </si>
  <si>
    <r>
      <rPr>
        <rFont val="Didact Gothic"/>
        <sz val="9.0"/>
      </rPr>
      <t xml:space="preserve">OPRESOR ALLEN 1/4X5/16 EN ACERO INOX. T-304 </t>
    </r>
    <r>
      <rPr>
        <rFont val="Didact Gothic"/>
        <sz val="9.0"/>
      </rPr>
      <t>GRADO ALIMENTICIO</t>
    </r>
  </si>
  <si>
    <t>OPRESOR ALLEN 1/4X5/16 INOX GA</t>
  </si>
  <si>
    <t>OP02</t>
  </si>
  <si>
    <t>OPRESOR ALLEN 3/8X1/2</t>
  </si>
  <si>
    <t>OPRESOR ALLEN 3/8 X 1/2</t>
  </si>
  <si>
    <t>OP95</t>
  </si>
  <si>
    <r>
      <rPr>
        <rFont val="Didact Gothic"/>
        <sz val="9.0"/>
      </rPr>
      <t xml:space="preserve">OPRESOR ALLEN 3/8X1/2 EN ACERO INOX. T-304 </t>
    </r>
    <r>
      <rPr>
        <rFont val="Didact Gothic"/>
        <sz val="9.0"/>
      </rPr>
      <t>GRADO ALIMENTICIO</t>
    </r>
  </si>
  <si>
    <t>OPRESOR ALLEN 3/8 X 1/2 INOX</t>
  </si>
  <si>
    <t>OP14</t>
  </si>
  <si>
    <t>OPRESOR ALLEN 3/8X1/2 ESTANDAR (SIN MOLETEAR)</t>
  </si>
  <si>
    <t>OPRESOR ALLEN 3/8 X 1/2 ESTANDAR</t>
  </si>
  <si>
    <t>OP03</t>
  </si>
  <si>
    <t>OPRESOR ALLEN 3/8X3/8</t>
  </si>
  <si>
    <t>OP04</t>
  </si>
  <si>
    <t>OPRESOR ALLEN 5/16 X 1/2</t>
  </si>
  <si>
    <t>OP96</t>
  </si>
  <si>
    <r>
      <rPr>
        <rFont val="Didact Gothic"/>
        <sz val="9.0"/>
      </rPr>
      <t xml:space="preserve">OPRESOR ALLEN 5/16X1/2 EN ACERO INOX. T-304 </t>
    </r>
    <r>
      <rPr>
        <rFont val="Didact Gothic"/>
        <sz val="9.0"/>
      </rPr>
      <t>GRADO ALIMENTICIO</t>
    </r>
  </si>
  <si>
    <t>OPRESOR ALLEN 5/16 X 1/2 INOX</t>
  </si>
  <si>
    <t>OP05</t>
  </si>
  <si>
    <t>OPRESOR ALLEN 5/8 X 1/2</t>
  </si>
  <si>
    <t>OP11</t>
  </si>
  <si>
    <t>OPRESOR ALLEN DE 3/8 X 1/4"</t>
  </si>
  <si>
    <t>OP08</t>
  </si>
  <si>
    <t>OPRESOR DE 1/4" X 5/16" ASTRIADO</t>
  </si>
  <si>
    <t>OP07</t>
  </si>
  <si>
    <t>OPRESOR DE 3/8 ASTRIADO</t>
  </si>
  <si>
    <t>OP0003</t>
  </si>
  <si>
    <t>OPRESOR DE 3/8" X 3/8" INOX</t>
  </si>
  <si>
    <t>OP12</t>
  </si>
  <si>
    <t>OPRESOR SET 1/4 X 1/2</t>
  </si>
  <si>
    <t>OP93</t>
  </si>
  <si>
    <t>OPRESOR SET 3/8X1" (CABEZA CUADRADA) EN ACERO INOX. T-304 GRADO ALIMENTICIO</t>
  </si>
  <si>
    <t>OPRESOR ALLEN 3/8 X 1 CBEZA CUADRAD INOX</t>
  </si>
  <si>
    <t>OP97</t>
  </si>
  <si>
    <t>OPRESOR SET 3/8X11/2 (CABEZA CUADRADA) EN ACERO INOX. T-304 GRADO ALIMENTICIO</t>
  </si>
  <si>
    <t>OPRESOR SET 3/8 X 1 1/2 CABEZA CUAD INOX</t>
  </si>
  <si>
    <t>OP98</t>
  </si>
  <si>
    <r>
      <rPr>
        <rFont val="Didact Gothic"/>
        <sz val="9.0"/>
      </rPr>
      <t xml:space="preserve">OPRESOR SET 3/8X11/4 (CABEZA CUADRADA) EN ACERO INOX. T-304 </t>
    </r>
    <r>
      <rPr>
        <rFont val="Didact Gothic"/>
        <sz val="9.0"/>
      </rPr>
      <t>GRADO ALIMENTICIO</t>
    </r>
  </si>
  <si>
    <t>OPRESOR SET 3/8 X 1 1/4 CABEZA CUAD INOX</t>
  </si>
  <si>
    <t>OP99</t>
  </si>
  <si>
    <t>OPRESOR SET 3/8X3/4 (CABEZA CUADRADA) EN ACERO INOX. T-304 GRADO ALIMENTICIO</t>
  </si>
  <si>
    <t>OPRESOR SET 3/8 X 3/4 CABEZA CUAD INOX</t>
  </si>
  <si>
    <t>OP92</t>
  </si>
  <si>
    <t>OPRESOR ZET INOX CABEZA CUADRADA DE 3/8 X 1"</t>
  </si>
  <si>
    <t>OR01</t>
  </si>
  <si>
    <t>OREJA DE ALUMINIO PARA BASE DE ALUMINIO Y PARA TOLVA DE ALUMINIO</t>
  </si>
  <si>
    <t>OREJA DE ALUMINIO P/BASE ALU Y TOLVA ALU</t>
  </si>
  <si>
    <t>OR05</t>
  </si>
  <si>
    <t>OREJA DE CONTRAPESO PARA MOLINO CONO</t>
  </si>
  <si>
    <t>OR04</t>
  </si>
  <si>
    <t>OREJA DE TIRANTES PARA MOLINO CONO</t>
  </si>
  <si>
    <t>OR03</t>
  </si>
  <si>
    <t>OREJA IZQUIERDA PARA MOILINO CAMARADA</t>
  </si>
  <si>
    <t>OR06</t>
  </si>
  <si>
    <t>OREJA PARA AMASADORA</t>
  </si>
  <si>
    <t>MX54</t>
  </si>
  <si>
    <t>PAILA COCEDORA 750KG A.I. T304 G.A.ESPEC</t>
  </si>
  <si>
    <t>MX31</t>
  </si>
  <si>
    <t>PAILA COCEDORA PARA NIXTAMAL 1000 KG. DE MAÍZ ACERO INOX T304 DE 8 FT DE LARGO</t>
  </si>
  <si>
    <t>MX29</t>
  </si>
  <si>
    <t>PAILA COCEDORA PARA NIXTAMAL 1000 KG. DE MAÍZ ACERO INOX T430 DE 8 FT DE LARGO</t>
  </si>
  <si>
    <t>MX04</t>
  </si>
  <si>
    <t>PAILA COCEDORA PARA NIXTAMAL 150 KG. DE MAÍZ ACERO INOX T304 DE 3 FT DE LARGO</t>
  </si>
  <si>
    <t>MX02</t>
  </si>
  <si>
    <t>PAILA COCEDORA PARA NIXTAMAL 150 KG. DE MAÍZ ACERO INOX T430 DE 3FT DE LARGO</t>
  </si>
  <si>
    <t>MX09</t>
  </si>
  <si>
    <t>PAILA COCEDORA PARA NIXTAMAL 200 KG. DE MAÍZ ACERO INOX T304 DE 4 FT DE LARGO</t>
  </si>
  <si>
    <t>MX07</t>
  </si>
  <si>
    <t>PAILA COCEDORA PARA NIXTAMAL 200 KG. DE MAÍZ ACERO INOX T430 DE 4 FT DE LARGO</t>
  </si>
  <si>
    <t>MX14</t>
  </si>
  <si>
    <t>PAILA COCEDORA PARA NIXTAMAL 300 KG. DE MAÍZ ACERO INOX T304 DE 4 FT DE LARGO</t>
  </si>
  <si>
    <t>MX12</t>
  </si>
  <si>
    <t>PAILA COCEDORA PARA NIXTAMAL 300 KG. DE MAÍZ ACERO INOX T430 DE 4 FT DE LARGO</t>
  </si>
  <si>
    <t>MX19</t>
  </si>
  <si>
    <t>PAILA COCEDORA PARA NIXTAMAL 500 KG. DE MAÍZ ACERO INOX T304 DE 6 FT DE LARGO</t>
  </si>
  <si>
    <t>MX17</t>
  </si>
  <si>
    <t>PAILA COCEDORA PARA NIXTAMAL 500 KG. DE MAÍZ ACERO INOX T430 DE 6 FT DE LARGO</t>
  </si>
  <si>
    <t>MX25</t>
  </si>
  <si>
    <t>PAILA COCEDORA PARA NIXTAMAL 750 KG. DE MAÍZ ACERO INOX T304 DE 7 FT DE LARGO</t>
  </si>
  <si>
    <t>MX23</t>
  </si>
  <si>
    <t>PAILA COCEDORA PARA NIXTAMAL 750 KG. DE MAÍZ ACERO INOX T430 DE 7 FT DE LARGO</t>
  </si>
  <si>
    <t>MX32</t>
  </si>
  <si>
    <t>PAILA MECÁNICA CON PALETAS INOX 304 PARA NIXTAMAL 1000 KG. DE MAÍZ ACERO INOX T304 DE 8 FT DE LARGO</t>
  </si>
  <si>
    <t>MX05</t>
  </si>
  <si>
    <t>PAILA MECÁNICA CON PALETAS INOX 304 PARA NIXTAMAL 150 KG. DE MAÍZ ACERO INOX T304 DE 3 FT DE LARGO</t>
  </si>
  <si>
    <t>MX10</t>
  </si>
  <si>
    <t>PAILA MECÁNICA CON PALETAS INOX 304 PARA NIXTAMAL 200 KG. DE MAÍZ ACERO INOX T304 DE 4 FT DE LARGO</t>
  </si>
  <si>
    <t>MX15</t>
  </si>
  <si>
    <t>PAILA MECÁNICA CON PALETAS INOX 304 PARA NIXTAMAL 300 KG. DE MAÍZ ACERO INOX T304 DE 4 FT DE LARGO</t>
  </si>
  <si>
    <t>MX20</t>
  </si>
  <si>
    <t>PAILA MECÁNICA CON PALETAS INOX 304 PARA NIXTAMAL 500 KG. DE MAÍZ ACERO INOX T304 DE 6 FT DE LARGO</t>
  </si>
  <si>
    <t>MX26</t>
  </si>
  <si>
    <t>PAILA MECÁNICA CON PALETAS INOX 304 PARA NIXTAMAL 750 KG. DE MAÍZ ACERO INOX T304 DE 7 FT DE LARGO</t>
  </si>
  <si>
    <t>MX33</t>
  </si>
  <si>
    <t>PAILA MECÁNICA CON SINFÍN INOX 304 PARA NIXTAMAL 1000 KG. DE MAÍZ ACERO INOX T304 DE 8 FT DE LARGO</t>
  </si>
  <si>
    <t>MX21</t>
  </si>
  <si>
    <t>PAILA MECÁNICA CON SINFÍN INOX 304 PARA NIXTAMAL 500 KG. DE MAÍZ ACERO INOX T304 DE 6 FT DE LARGO</t>
  </si>
  <si>
    <t>MX27</t>
  </si>
  <si>
    <t>PAILA MECÁNICA CON SINFÍN INOX 304 PARA NIXTAMAL 750 KG. DE MAÍZ ACERO INOX T304 DE 7 FT DE LARGO</t>
  </si>
  <si>
    <t>MX55</t>
  </si>
  <si>
    <t>PAILA REPOSADORA 300KG A.I. 304 2M Y LLA</t>
  </si>
  <si>
    <t>MX58</t>
  </si>
  <si>
    <t>PAILA REPOSADORA MOD PRM-750K</t>
  </si>
  <si>
    <t>MX30</t>
  </si>
  <si>
    <t>PAILA REPOSADORA PARA NIXTAMAL 1000 KG. DE MAÍZ ACERO INOX T304 DE 8 FT DE LARGO</t>
  </si>
  <si>
    <t>MX28</t>
  </si>
  <si>
    <t>PAILA REPOSADORA PARA NIXTAMAL 1000 KG. DE MAÍZ ACERO INOX T430 DE 8 FT DE LARGO</t>
  </si>
  <si>
    <t>MX03</t>
  </si>
  <si>
    <t>PAILA REPOSADORA PARA NIXTAMAL 150 KG. DE MAÍZ ACERO INOX T304 DE 3FT DE LARGO</t>
  </si>
  <si>
    <t>MX01</t>
  </si>
  <si>
    <t>PAILA REPOSADORA PARA NIXTAMAL 150 KG. DE MAÍZ ACERO INOX T430 DE 3FT DE LARGO</t>
  </si>
  <si>
    <t>MX08</t>
  </si>
  <si>
    <t>PAILA REPOSADORA PARA NIXTAMAL 200 KG. DE MAÍZ ACERO INOX T304 DE 4 FT DE LARGO</t>
  </si>
  <si>
    <t>MX06</t>
  </si>
  <si>
    <t>PAILA REPOSADORA PARA NIXTAMAL 200 KG. DE MAÍZ ACERO INOX T430 DE 4 FT DE LARGO</t>
  </si>
  <si>
    <t>MX13</t>
  </si>
  <si>
    <t>PAILA REPOSADORA PARA NIXTAMAL 300 KG. DE MAÍZ ACERO INOX T304 DE 4 FT DE LARGO</t>
  </si>
  <si>
    <t>MX11</t>
  </si>
  <si>
    <t>PAILA REPOSADORA PARA NIXTAMAL 300 KG. DE MAÍZ ACERO INOX T430 DE 4 FT DE LARGO</t>
  </si>
  <si>
    <t>MX18</t>
  </si>
  <si>
    <t>PAILA REPOSADORA PARA NIXTAMAL 500 KG. DE MAÍZ ACERO INOX T304 DE 6 FT DE LARGO</t>
  </si>
  <si>
    <t>MX16</t>
  </si>
  <si>
    <t>PAILA REPOSADORA PARA NIXTAMAL 500 KG. DE MAÍZ ACERO INOX T430 DE 6 FT DE LARGO</t>
  </si>
  <si>
    <t>MX24</t>
  </si>
  <si>
    <t>PAILA REPOSADORA PARA NIXTAMAL 750 KG. DE MAÍZ ACERO INOX T304 DE 7 FT DE LARGO</t>
  </si>
  <si>
    <t>MX22</t>
  </si>
  <si>
    <t>PAILA REPOSADORA PARA NIXTAMAL 750 KG. DE MAÍZ ACERO INOX T430 DE 7 FT DE LARGO</t>
  </si>
  <si>
    <t>JG209</t>
  </si>
  <si>
    <t>PALANCA PARA AMASADORA A20 (JGO)</t>
  </si>
  <si>
    <t>PL03</t>
  </si>
  <si>
    <t>PALANCA PARA AMASADORA DE 100 KG.</t>
  </si>
  <si>
    <t>PALANCA PARA AMASADORA DE 100 KG</t>
  </si>
  <si>
    <t>PL02</t>
  </si>
  <si>
    <t>PALANCA PARA AMASADORA DE 50 Y 25 KG.</t>
  </si>
  <si>
    <t>PALANCA PARA AMASADORA DE 50 Y 25 KG</t>
  </si>
  <si>
    <t>PL04</t>
  </si>
  <si>
    <t>PALANCA PARA CLUTCH</t>
  </si>
  <si>
    <t>PL05</t>
  </si>
  <si>
    <t>PALANCA PARA COMPUERTA PARA MOLINO DE CONO</t>
  </si>
  <si>
    <t>PALANCA P/COMPUERTA P/MOLINO DE CONO</t>
  </si>
  <si>
    <t>SP08</t>
  </si>
  <si>
    <t>PALANCA PARA CORTADOR</t>
  </si>
  <si>
    <t>PL04C</t>
  </si>
  <si>
    <t>PALANCA Y MANGO PARA CLUTCH</t>
  </si>
  <si>
    <t>PT88</t>
  </si>
  <si>
    <t>PALETA P ALIMENTADOR CENTRAL INOX</t>
  </si>
  <si>
    <t>PT89</t>
  </si>
  <si>
    <t>PALETA P ALIMENTADOR FRONTAL INOX</t>
  </si>
  <si>
    <t>PT90</t>
  </si>
  <si>
    <t>PALETA P ALIMENTADOR TRASERA INOX</t>
  </si>
  <si>
    <t>PT07</t>
  </si>
  <si>
    <t>PALETA P AMASADORA 100 KG CEN ALUMINIO</t>
  </si>
  <si>
    <t>PT97</t>
  </si>
  <si>
    <t>PALETA P AMASADORA 100 KG CEN INOX FUND</t>
  </si>
  <si>
    <t>PT08</t>
  </si>
  <si>
    <t>PALETA P AMASADORA 100 KG DER ALUMINIO</t>
  </si>
  <si>
    <t>PT98</t>
  </si>
  <si>
    <t>PALETA P AMASADORA 100 KG DER INOX FUND</t>
  </si>
  <si>
    <t>PT09</t>
  </si>
  <si>
    <t>PALETA P AMASADORA 100 KG IZQ ALUMINIO</t>
  </si>
  <si>
    <t>PT99</t>
  </si>
  <si>
    <t>PALETA P AMASADORA 100 KG IZQ INOX FUND</t>
  </si>
  <si>
    <t>PT01</t>
  </si>
  <si>
    <t>PALETA P AMASADORA 25 KG CEN ALUMINIO</t>
  </si>
  <si>
    <t>PT91</t>
  </si>
  <si>
    <t>PALETA P AMASADORA 25 KG CEN INOX FUND</t>
  </si>
  <si>
    <t>PT02</t>
  </si>
  <si>
    <t>PALETA P AMASADORA 25 KG DER ALUMINIO</t>
  </si>
  <si>
    <t>PT92</t>
  </si>
  <si>
    <t>PALETA P AMASADORA 25 KG DER INOX FUND</t>
  </si>
  <si>
    <t>PT03</t>
  </si>
  <si>
    <t>PALETA P AMASADORA 25 KG IZQ ALUMINIO</t>
  </si>
  <si>
    <t>PT93</t>
  </si>
  <si>
    <t>PALETA P AMASADORA 25 KG IZQ INOX FUND</t>
  </si>
  <si>
    <t>PT04</t>
  </si>
  <si>
    <t>PALETA P AMASADORA 50 KG CEN ALUMINIO</t>
  </si>
  <si>
    <t>PT94</t>
  </si>
  <si>
    <t>PALETA P AMASADORA 50 KG CEN INOX FUND</t>
  </si>
  <si>
    <t>PT05</t>
  </si>
  <si>
    <t>PALETA P AMASADORA 50 KG DER ALUMINIO</t>
  </si>
  <si>
    <t>PT95</t>
  </si>
  <si>
    <t>PALETA P AMASADORA 50 KG DER INOX FUND</t>
  </si>
  <si>
    <t>PT06</t>
  </si>
  <si>
    <t>PALETA P AMASADORA 50 KG IZQ ALUMINIO</t>
  </si>
  <si>
    <t>PT96</t>
  </si>
  <si>
    <t>PALETA P AMASADORA 50 KG IZQ INOX FUND</t>
  </si>
  <si>
    <t>PP07</t>
  </si>
  <si>
    <t>PAPEL GRADO ALIMENTICIO PARA 1 KG 21GR/M2 2100 HOJAS</t>
  </si>
  <si>
    <t>PAPEL GA P/1KG 21 GR/M2 2100 HOJAS</t>
  </si>
  <si>
    <t>PP09</t>
  </si>
  <si>
    <t>PAPEL GRADO ALIMENTICIO PARA 1 KG 21GR/M2 2850 HOJAS</t>
  </si>
  <si>
    <t>PAPEL GA P/1KG 21 GR/M2 2850 HOJAS</t>
  </si>
  <si>
    <t>PP08</t>
  </si>
  <si>
    <t>PAPEL GRADO ALIMENTICIO PARA 2 KG 21GR/M2 1050 HOJAS</t>
  </si>
  <si>
    <t>PAPEL GA P/2KG 21 GR/M2 1050 HOJAS</t>
  </si>
  <si>
    <t>PP10</t>
  </si>
  <si>
    <t>PAPEL GRADO ALIMENTICIO PARA 2 KG 21GR/M2 1425 HOJAS</t>
  </si>
  <si>
    <t>PAPEL GA P/2KG 21 GR/M2 1425 HOJAS</t>
  </si>
  <si>
    <t>PP02</t>
  </si>
  <si>
    <t>PAPEL GRADO ALIMENTICIO PARA 2 KG 28GR/M2 1500 HOJAS</t>
  </si>
  <si>
    <t>PAPEL GA P/2KG 28 GR/M2 1500 HOJAS</t>
  </si>
  <si>
    <t>PP05</t>
  </si>
  <si>
    <t>PAPEL GRADO ALIMENTICO PARA 1 KG 26GR/M2 (PAQUETE 12 KG)</t>
  </si>
  <si>
    <t>PAPEL GA P/1KG 26GR/M2 PAQ 12KG</t>
  </si>
  <si>
    <t>PP03</t>
  </si>
  <si>
    <t>PAPEL GRADO ALIMENTICO PARA 1 KG 26GR/M2 (PAQUETE 9 KG)</t>
  </si>
  <si>
    <t>PAPEL GA P/1KG 26GR/M2 PAQ 9KG</t>
  </si>
  <si>
    <t>PP04</t>
  </si>
  <si>
    <t>PAPEL GRADO ALIMENTICO PARA 2 KG 26GR (PAQUETE 9 KG)</t>
  </si>
  <si>
    <t>PAPEL GA P/2KG 26GR/M2 PAQ 9KG</t>
  </si>
  <si>
    <t>PP06</t>
  </si>
  <si>
    <t>PAPEL GRADO ALIMENTICO PARA 2 KG 26GR/M2 (PAQUETE 12 KG)</t>
  </si>
  <si>
    <t>PAPEL GA P2KG 26GR/M2 PAQ 12KG</t>
  </si>
  <si>
    <t>PQ23</t>
  </si>
  <si>
    <t>PAQ MAQUINA RTORTILLADORA TV40</t>
  </si>
  <si>
    <t>PQ11</t>
  </si>
  <si>
    <t>PQT</t>
  </si>
  <si>
    <t>PAQUETE 11 (TVR30, Amas25, bascula)</t>
  </si>
  <si>
    <t>PQ02</t>
  </si>
  <si>
    <t>PAQUETE 2 (TV40, Amas50, bascula)</t>
  </si>
  <si>
    <t>PQ01</t>
  </si>
  <si>
    <t>PAQUETE MAQUINA TORTILLADORA TV30</t>
  </si>
  <si>
    <t>PQ03</t>
  </si>
  <si>
    <t>PAQUETE MAQUINA TORTILLADORA TV40</t>
  </si>
  <si>
    <t>PQ04</t>
  </si>
  <si>
    <t>PQ05</t>
  </si>
  <si>
    <t>PQ06</t>
  </si>
  <si>
    <t>PAQUETE MAQUINA TORTILLADORA TV50</t>
  </si>
  <si>
    <t>PS25</t>
  </si>
  <si>
    <t>PASTILLA PARA AMASADORA DE 25KG</t>
  </si>
  <si>
    <t>PS50</t>
  </si>
  <si>
    <t>PASTILLA PARA AMASADORA DE 50KG</t>
  </si>
  <si>
    <t>PE03</t>
  </si>
  <si>
    <t>PERFILADOR DUPLEX 10 CM</t>
  </si>
  <si>
    <t>PE94</t>
  </si>
  <si>
    <t>PERFILADOR DUPLEX 10 CM X 3</t>
  </si>
  <si>
    <t>PE04</t>
  </si>
  <si>
    <t>PERFILADOR DUPLEX 11 CM</t>
  </si>
  <si>
    <t>PE11</t>
  </si>
  <si>
    <t>PERFILADOR DUPLEX 11-25CM ESP</t>
  </si>
  <si>
    <t>PE05</t>
  </si>
  <si>
    <t>PERFILADOR DUPLEX 12 CM</t>
  </si>
  <si>
    <t>PE06</t>
  </si>
  <si>
    <t>PERFILADOR DUPLEX 13 CM</t>
  </si>
  <si>
    <t>PE07</t>
  </si>
  <si>
    <t>PERFILADOR DUPLEX 14 CM</t>
  </si>
  <si>
    <t>PE08</t>
  </si>
  <si>
    <t>PERFILADOR DUPLEX 15 CM</t>
  </si>
  <si>
    <t>PE09</t>
  </si>
  <si>
    <t>PERFILADOR DUPLEX 16 CM</t>
  </si>
  <si>
    <t>PE105</t>
  </si>
  <si>
    <t>PERFILADOR DUPLEX 16 CM 200-K</t>
  </si>
  <si>
    <t>PE12</t>
  </si>
  <si>
    <t>PERFILADOR FE-INOX DUPLEX 10 CM</t>
  </si>
  <si>
    <t>PE13</t>
  </si>
  <si>
    <t>PERFILADOR FE-INOX DUPLEX 11 CM</t>
  </si>
  <si>
    <t>PE15</t>
  </si>
  <si>
    <t>PERFILADOR FE-INOX DUPLEX 12 CM</t>
  </si>
  <si>
    <t>PE14</t>
  </si>
  <si>
    <t>PERFILADOR FE-INOX DUPLEX 13 CM</t>
  </si>
  <si>
    <t>PE16</t>
  </si>
  <si>
    <t>PERFILADOR FE-INOX DUPLEX 14 CM</t>
  </si>
  <si>
    <t>PE17</t>
  </si>
  <si>
    <t>PERFILADOR FE-INOX DUPLEX 15 CM</t>
  </si>
  <si>
    <t>PE18</t>
  </si>
  <si>
    <t>PERFILADOR FE-INOX DUPLEX 16 CM</t>
  </si>
  <si>
    <t>PE38</t>
  </si>
  <si>
    <t>PERFILADOR FE-INOX SENCILLO 10 CM</t>
  </si>
  <si>
    <t>PE39</t>
  </si>
  <si>
    <t>PERFILADOR FE-INOX SENCILLO 11 CM</t>
  </si>
  <si>
    <t>PE40</t>
  </si>
  <si>
    <t>PERFILADOR FE-INOX SENCILLO 12 CM</t>
  </si>
  <si>
    <t>PE41</t>
  </si>
  <si>
    <t>PERFILADOR FE-INOX SENCILLO 13 CM</t>
  </si>
  <si>
    <t>PE42</t>
  </si>
  <si>
    <t>PERFILADOR FE-INOX SENCILLO 14 CM</t>
  </si>
  <si>
    <t>PE43</t>
  </si>
  <si>
    <t>PERFILADOR FE-INOX SENCILLO 15 CM</t>
  </si>
  <si>
    <t>PE44</t>
  </si>
  <si>
    <t>PERFILADOR FE-INOX SENCILLO 16 CM</t>
  </si>
  <si>
    <t>PE45</t>
  </si>
  <si>
    <t>PERFILADOR FE-INOX SENCILLO 17 CM</t>
  </si>
  <si>
    <t>PE46</t>
  </si>
  <si>
    <t>PERFILADOR FE-INOX SENCILLO 18 CM</t>
  </si>
  <si>
    <t>PE47</t>
  </si>
  <si>
    <t>PERFILADOR FE-INOX SENCILLO 18 CM T.PUE</t>
  </si>
  <si>
    <t>PE48</t>
  </si>
  <si>
    <t>PERFILADOR FE-INOX SENCILLO 19 CM ESP</t>
  </si>
  <si>
    <t>PE49</t>
  </si>
  <si>
    <t>PERFILADOR FE-INOX SENCILLO 19 CM T.PUE</t>
  </si>
  <si>
    <t>PE50</t>
  </si>
  <si>
    <t>PERFILADOR FE-INOX SENCILLO 20 CM ESP</t>
  </si>
  <si>
    <t>PE51</t>
  </si>
  <si>
    <t>PERFILADOR FE-INOX SENCILLO 20 CM T.PUE</t>
  </si>
  <si>
    <t>PE53</t>
  </si>
  <si>
    <t>PERFILADOR FE-INOX SENCILLO 21 CM</t>
  </si>
  <si>
    <t>PE52</t>
  </si>
  <si>
    <t>PERFILADOR FE-INOX SENCILLO 21 CM T.PUE</t>
  </si>
  <si>
    <t>PE54</t>
  </si>
  <si>
    <t>PERFILADOR FE-INOX SENCILLO 22 CM ESP</t>
  </si>
  <si>
    <t>PE55</t>
  </si>
  <si>
    <t>PERFILADOR FE-INOX SENCILLO 22 CM T.PUE</t>
  </si>
  <si>
    <t>PE88</t>
  </si>
  <si>
    <t>PERFILADOR INOX COMP 21 CM SENCILLO T.PUE</t>
  </si>
  <si>
    <t>PERFILADOR INOX COMP 21 CM SEN T.PUE</t>
  </si>
  <si>
    <t>PE74</t>
  </si>
  <si>
    <t>PERFILADOR INOX COMP SENCILLO 10 CM</t>
  </si>
  <si>
    <t>PE75</t>
  </si>
  <si>
    <t>PERFILADOR INOX COMP SENCILLO 11 CM</t>
  </si>
  <si>
    <t>PE76</t>
  </si>
  <si>
    <t>PERFILADOR INOX COMP SENCILLO 12 CM</t>
  </si>
  <si>
    <t>PE77</t>
  </si>
  <si>
    <t>PERFILADOR INOX COMP SENCILLO 13 CM</t>
  </si>
  <si>
    <t>PE78</t>
  </si>
  <si>
    <t>PERFILADOR INOX COMP SENCILLO 14 CM</t>
  </si>
  <si>
    <t>PE79</t>
  </si>
  <si>
    <t>PERFILADOR INOX COMP SENCILLO 15 CM</t>
  </si>
  <si>
    <t>PE80</t>
  </si>
  <si>
    <t>PERFILADOR INOX COMP SENCILLO 16 CM</t>
  </si>
  <si>
    <t>PE81</t>
  </si>
  <si>
    <t>PERFILADOR INOX COMP SENCILLO 17 CM</t>
  </si>
  <si>
    <t>PE82</t>
  </si>
  <si>
    <t>PERFILADOR INOX COMP SENCILLO 18 CM ESPECIAL</t>
  </si>
  <si>
    <t>PERFILADOR INOX COMP SENCILLO 18 CM ESP</t>
  </si>
  <si>
    <t>PE83</t>
  </si>
  <si>
    <t>PERFILADOR INOX COMP SENCILLO 18 CM T.PUE</t>
  </si>
  <si>
    <t>PERFILADOR INOX COMP SENCILLO 18CM T.PUE</t>
  </si>
  <si>
    <t>PE84</t>
  </si>
  <si>
    <t>PERFILADOR INOX COMP SENCILLO 19 CM ESPECIAL</t>
  </si>
  <si>
    <t>PERFILADOR INOX COMP SENCILLO 19 CM ESP</t>
  </si>
  <si>
    <t>PE85</t>
  </si>
  <si>
    <t>PERFILADOR INOX COMP SENCILLO 19 CM T.PUE</t>
  </si>
  <si>
    <t>PERFILADOR INOX COMP SENCILLO 19CM T.PUE</t>
  </si>
  <si>
    <t>PE86</t>
  </si>
  <si>
    <t>PERFILADOR INOX COMP SENCILLO 20 CM</t>
  </si>
  <si>
    <t>PE87</t>
  </si>
  <si>
    <t>PERFILADOR INOX COMP SENCILLO 20 CM T.PUE</t>
  </si>
  <si>
    <t>PERFILADOR INOX COMP SENCILLO 20CM T.PUE</t>
  </si>
  <si>
    <t>PE89</t>
  </si>
  <si>
    <t>PERFILADOR INOX COMP SENCILLO 21 CM</t>
  </si>
  <si>
    <t>PE90</t>
  </si>
  <si>
    <t>PERFILADOR INOX COMP SENCILLO 22 CM</t>
  </si>
  <si>
    <t>PE91</t>
  </si>
  <si>
    <t>PERFILADOR INOX COMP SENCILLO 22 CM T.PUE</t>
  </si>
  <si>
    <t>PERFILADOR INOX COMP SENCILLO 22CM T.PUE</t>
  </si>
  <si>
    <t>PE73</t>
  </si>
  <si>
    <t>PERFILADOR SENC 21.5X14CM FLAUTA</t>
  </si>
  <si>
    <t>PE20</t>
  </si>
  <si>
    <t>PERFILADOR SENCILLO 10 CM</t>
  </si>
  <si>
    <t>PE21</t>
  </si>
  <si>
    <t>PERFILADOR SENCILLO 11 CM</t>
  </si>
  <si>
    <t>PE21C</t>
  </si>
  <si>
    <t>PE101</t>
  </si>
  <si>
    <t>PERFILADOR SENCILLO 11.7 CM</t>
  </si>
  <si>
    <t>PE22</t>
  </si>
  <si>
    <t>PERFILADOR SENCILLO 12 CM</t>
  </si>
  <si>
    <t>PE102</t>
  </si>
  <si>
    <t>PERFILADOR SENCILLO 12.5 CM</t>
  </si>
  <si>
    <t>PE23</t>
  </si>
  <si>
    <t>PERFILADOR SENCILLO 13 CM</t>
  </si>
  <si>
    <t>PE96</t>
  </si>
  <si>
    <t>PERFILADOR SENCILLO 13.5 CM</t>
  </si>
  <si>
    <t>PE24</t>
  </si>
  <si>
    <t>PERFILADOR SENCILLO 14 CM</t>
  </si>
  <si>
    <t>PE58</t>
  </si>
  <si>
    <t>PERFILADOR SENCILLO 14 CM CUADRO</t>
  </si>
  <si>
    <t>PE63</t>
  </si>
  <si>
    <t>PERFILADOR SENCILLO 14 CM K-100</t>
  </si>
  <si>
    <t>PE98</t>
  </si>
  <si>
    <t>PERFILADOR SENCILLO 14.5</t>
  </si>
  <si>
    <t>PE25</t>
  </si>
  <si>
    <t>PERFILADOR SENCILLO 15 CM</t>
  </si>
  <si>
    <t>PE56</t>
  </si>
  <si>
    <t>PERFILADOR SENCILLO 15.5 CM</t>
  </si>
  <si>
    <t>PE26</t>
  </si>
  <si>
    <t>PERFILADOR SENCILLO 16 CM</t>
  </si>
  <si>
    <t>PE64</t>
  </si>
  <si>
    <t>PERFILADOR SENCILLO 16 CM K-100</t>
  </si>
  <si>
    <t>PE19</t>
  </si>
  <si>
    <t>PERFILADOR SENCILLO 16.5 CM</t>
  </si>
  <si>
    <t>PE27</t>
  </si>
  <si>
    <t>PERFILADOR SENCILLO 17 CM</t>
  </si>
  <si>
    <t>PE68</t>
  </si>
  <si>
    <t>PERFILADOR SENCILLO 17.5 CM</t>
  </si>
  <si>
    <t>PE104</t>
  </si>
  <si>
    <t>PERFILADOR SENCILLO 17.5 CM ESP.</t>
  </si>
  <si>
    <t>PE28</t>
  </si>
  <si>
    <t>PERFILADOR SENCILLO 18 CM ESP.</t>
  </si>
  <si>
    <t>PE28C</t>
  </si>
  <si>
    <t>PE29</t>
  </si>
  <si>
    <t>PERFILADOR SENCILLO 18 CM T.PUE</t>
  </si>
  <si>
    <t>PE30</t>
  </si>
  <si>
    <t>PERFILADOR SENCILLO 19 CM ESP.</t>
  </si>
  <si>
    <t>PE31</t>
  </si>
  <si>
    <t>PERFILADOR SENCILLO 19 CM T.PUE</t>
  </si>
  <si>
    <t>PE32</t>
  </si>
  <si>
    <t>PERFILADOR SENCILLO 20 CM ESP.</t>
  </si>
  <si>
    <t>PE33</t>
  </si>
  <si>
    <t>PERFILADOR SENCILLO 20 CM T.PUE</t>
  </si>
  <si>
    <t>PE34</t>
  </si>
  <si>
    <t>PERFILADOR SENCILLO 21 CM</t>
  </si>
  <si>
    <t>PE35</t>
  </si>
  <si>
    <t>PERFILADOR SENCILLO 21 CM T.PUE</t>
  </si>
  <si>
    <t>PE36</t>
  </si>
  <si>
    <t>PERFILADOR SENCILLO 22 CM ESP.</t>
  </si>
  <si>
    <t>PE37</t>
  </si>
  <si>
    <t>PERFILADOR SENCILLO 22 CM T.PUE</t>
  </si>
  <si>
    <t>PE01</t>
  </si>
  <si>
    <t>PERFILADOR SENCILLO 6 CM REDONDO</t>
  </si>
  <si>
    <t>PE02</t>
  </si>
  <si>
    <t>PERFILADOR SENCILLO 7 CM TRIANGU</t>
  </si>
  <si>
    <t>PE100</t>
  </si>
  <si>
    <t>PERFILADOR SENCILLO 9 CM X 2</t>
  </si>
  <si>
    <t>PE95</t>
  </si>
  <si>
    <t>PERFILADOR SENCILLO CORAZON</t>
  </si>
  <si>
    <t>PE103</t>
  </si>
  <si>
    <t>PERFILADOR SENCILLO DE 9 CM ESP.</t>
  </si>
  <si>
    <t>PE97</t>
  </si>
  <si>
    <t>PERFILADOR SENCILLO T.PUE 17 CM</t>
  </si>
  <si>
    <t>PR01</t>
  </si>
  <si>
    <t>PERILLA DE ALUMINIO PARA TAPA</t>
  </si>
  <si>
    <t>PR09</t>
  </si>
  <si>
    <t>PERILLA DE APRIETE MOLINO TOLUCA #1</t>
  </si>
  <si>
    <t>PR08</t>
  </si>
  <si>
    <t>PERILLA DE APRIETE MOLINO TOLUCA #2</t>
  </si>
  <si>
    <t>PR02</t>
  </si>
  <si>
    <t>PERILLA DE BRONCE CON BARRENO 5/16 PARA LENGÜETA</t>
  </si>
  <si>
    <t>PERILLA BRONCE C/BARRENO 5/16 P/LENG</t>
  </si>
  <si>
    <t>PR04</t>
  </si>
  <si>
    <t>PERILLA DE CUADRO CON PERNO DÚPLEX</t>
  </si>
  <si>
    <t>PERILLA DE CUADRO CON PERNO DPLX</t>
  </si>
  <si>
    <t>PR13C</t>
  </si>
  <si>
    <t>PERILLA DE CUADRO CON PUNTA DE CUADRO FORJADA</t>
  </si>
  <si>
    <t>PR13</t>
  </si>
  <si>
    <t>PERILLA DE CUADRO FORJADA</t>
  </si>
  <si>
    <t>PR11</t>
  </si>
  <si>
    <t>PERILLA DE CUADRO K-100 PREPARADA</t>
  </si>
  <si>
    <t>PR03</t>
  </si>
  <si>
    <t>PERILLA DE CUADRO TROQUELADA</t>
  </si>
  <si>
    <t>PR05</t>
  </si>
  <si>
    <t>PERILLA DE FIERRO CON BARRENO 5/16 PARA LENGÜETA</t>
  </si>
  <si>
    <t>PERILLA FIERRO C/BARRENO 5/16 P/LENG</t>
  </si>
  <si>
    <t>PR06</t>
  </si>
  <si>
    <t>PERILLA DE FLOR</t>
  </si>
  <si>
    <t>PR07</t>
  </si>
  <si>
    <t>PERILLA PARA CLUTCH DE MOLINITO</t>
  </si>
  <si>
    <t>PN19</t>
  </si>
  <si>
    <t>PERNO DE BRONCE PARA BUJE DE CORTADOR</t>
  </si>
  <si>
    <t>PN21</t>
  </si>
  <si>
    <t>PERNO DE SUJECION PARA TAPA CUBRECADENA 3/8 X 8"</t>
  </si>
  <si>
    <t>PN22</t>
  </si>
  <si>
    <t>PERNO DUPLEX INOX P/SIN FIN ESPECIAL</t>
  </si>
  <si>
    <t>PN20</t>
  </si>
  <si>
    <t>PERNO EXCENTRICO DUPLEX PARA CLUTCH</t>
  </si>
  <si>
    <t>PN01</t>
  </si>
  <si>
    <t>PERNO PARA BANDA METÁLICA</t>
  </si>
  <si>
    <t>PERNO P/BANDA METALICA</t>
  </si>
  <si>
    <t>PN02</t>
  </si>
  <si>
    <t>PERNO PARA BANDA METÁLICA (BOLSA DE 100 PIEZAS)</t>
  </si>
  <si>
    <t>PERNO P/BANDA METALICA 100 PZA</t>
  </si>
  <si>
    <t>PN03</t>
  </si>
  <si>
    <t>PERNO PARA CHUMACERA DE BRONCE</t>
  </si>
  <si>
    <t>PERNO P/CHUMACERA DE BRONCE</t>
  </si>
  <si>
    <t>PN11</t>
  </si>
  <si>
    <t>PERNO PARA PUENTE 06 K-100</t>
  </si>
  <si>
    <t>PN04</t>
  </si>
  <si>
    <t>PERNO PARA PUENTE DÚPLEX MODELO ANTERIOR</t>
  </si>
  <si>
    <t>PERNO P/PUENTE DPLX MA</t>
  </si>
  <si>
    <t>PN05</t>
  </si>
  <si>
    <t>PERNO PARA PUENTE SENCILLO MODELO ANTERIOR</t>
  </si>
  <si>
    <t>PERNO P/PUENTE SENCILLO MA</t>
  </si>
  <si>
    <t>PN06</t>
  </si>
  <si>
    <t>PERNO PARA PUENTE SENCILLO Y DÚPLEX TV-50 (B.C.)</t>
  </si>
  <si>
    <t>PERNO P/PUENTE SENCILLO/DPLX TV50 BC</t>
  </si>
  <si>
    <t>PN23</t>
  </si>
  <si>
    <t>PERNO PARA PUENTE TIPO CELORIO</t>
  </si>
  <si>
    <t>PN07</t>
  </si>
  <si>
    <t>PERNO PARA SEGUIDOR DÚPLEX</t>
  </si>
  <si>
    <t>PERNO P/SEGUIDOR DPLX</t>
  </si>
  <si>
    <t>PN08</t>
  </si>
  <si>
    <t>PERNO PARA SEGUIDOR SENCILLO</t>
  </si>
  <si>
    <t>PERNO P/SEGUIDOR SENCILLO</t>
  </si>
  <si>
    <t>PN09</t>
  </si>
  <si>
    <t>PERNO PARA SINFÍN ASPA DÚPLEX</t>
  </si>
  <si>
    <t>PERNO P/SINFIN ASPA DPLX</t>
  </si>
  <si>
    <t>PN98</t>
  </si>
  <si>
    <t>PERNO PARA SINFÍN ASPA DÚPLEX EN ACERO INOX. T-304 GRADO ALIMENTICIO</t>
  </si>
  <si>
    <t>PERNO P/SINFIN ASPA DPLX INOX</t>
  </si>
  <si>
    <t>PN10</t>
  </si>
  <si>
    <t>PERNO PARA SINFÍN ASPA SENCILLO</t>
  </si>
  <si>
    <t>PERNO P/SINFIN ASPA SENCILLO</t>
  </si>
  <si>
    <t>PN99</t>
  </si>
  <si>
    <t>PERNO PARA SINFÍN ASPA SENCILLO EN ACERO INOX. T-304 GRADO ALIMENTICIO</t>
  </si>
  <si>
    <t>PERNO P/SINFIN ASPA SENCILLO INOX</t>
  </si>
  <si>
    <t>PN12</t>
  </si>
  <si>
    <t>PERNO PARA TOLVA FRONTAL DE MOLINITO</t>
  </si>
  <si>
    <t>PERNO P/TOLVA FRONTAL DE MOLINITO</t>
  </si>
  <si>
    <t>PIE40</t>
  </si>
  <si>
    <t>PIEDRAS DE 14" CENTRO DE 2 1/8" LISAS</t>
  </si>
  <si>
    <t>PIEDRAS 14 INT 2 1/8 PILOTO</t>
  </si>
  <si>
    <t>PA01</t>
  </si>
  <si>
    <t>PINTURA DE ALUMINIO ALTA TEMPERATURA DE 1 LITRO</t>
  </si>
  <si>
    <t>PINTURA ALUMINIO ALTA TEMPERATURA 1 LTR</t>
  </si>
  <si>
    <t>PA02</t>
  </si>
  <si>
    <t>PINTURA GRIS DE 1 LITRO</t>
  </si>
  <si>
    <t>PINTURA GRIS DE 1 LTR</t>
  </si>
  <si>
    <t>PA03</t>
  </si>
  <si>
    <t>PINTURA VERDE DE 1 LITRO</t>
  </si>
  <si>
    <t>PINTURA VERDE DE 1 LTR</t>
  </si>
  <si>
    <t>PI01</t>
  </si>
  <si>
    <t>PIÑÓN DE 11 DTS CON FLANGE PARA ENGRANE MODELO ANTERIOR (A15/16)</t>
  </si>
  <si>
    <t>PINON 11 DTES C/FLANGE P/ENG MA AB15/16</t>
  </si>
  <si>
    <t>PI02</t>
  </si>
  <si>
    <t>PIÑÓN DE 11 DTS CON FLANGE PARA ENGRANE TV-50 (B.C.) (A 1")</t>
  </si>
  <si>
    <t>PINON 11 DTES C/FLANGE P/ENG TV50BC AB1</t>
  </si>
  <si>
    <t>PI101</t>
  </si>
  <si>
    <t>PIÑON DE 11 DTS CON MAMELÓN</t>
  </si>
  <si>
    <t>PINON 11 DTES C/MAMELON</t>
  </si>
  <si>
    <t>PI03</t>
  </si>
  <si>
    <t>PIÑÓN DE 11 DTS CON MAMELÓN REFORZADO TIPO U 3000 (MAQUINADO)</t>
  </si>
  <si>
    <t>PINON 11 DTES C/MAMELON REF U3000 MAQUIN</t>
  </si>
  <si>
    <t>PI05</t>
  </si>
  <si>
    <t>PIÑÓN DE 11 DTS CON MAMELÓN SENCILLO (FUNDICIÓN)</t>
  </si>
  <si>
    <t>PINON 11 DTES C/MAMELON SENCILLO FUND</t>
  </si>
  <si>
    <t>PI05C</t>
  </si>
  <si>
    <t>PI06</t>
  </si>
  <si>
    <t>PIÑÓN DE 11 DTS CON MAMELÓN SENCILLO REFORZADO (MAQUINADO)</t>
  </si>
  <si>
    <t>PINON 11 DTS C/MAMELON SENC REF MAQUINAD</t>
  </si>
  <si>
    <t>PI04</t>
  </si>
  <si>
    <t>PIÑÓN DE 11 DTS CON MAMELÓN TIPO U 3000 (FUNDICIÓN)</t>
  </si>
  <si>
    <t>PINON 11 DTES C/MAMELON U3000 FUND</t>
  </si>
  <si>
    <t>PI102</t>
  </si>
  <si>
    <t>PIÑON DE 12 DTS CON MAMELÓN</t>
  </si>
  <si>
    <t>PINON 12 DTES C/MAMELON</t>
  </si>
  <si>
    <t>PI12</t>
  </si>
  <si>
    <t>PIÑON DE 12 DTS CON MAMELON 200-K TIPO CELORIO</t>
  </si>
  <si>
    <t>PIÑON 12 DTS C/MAMELON 200-K T. CELORIO</t>
  </si>
  <si>
    <t>PI07</t>
  </si>
  <si>
    <t>PIÑÓN DE 12 DTS CON MAMELÓN DÚPLEX (FUNDICIÓN)</t>
  </si>
  <si>
    <t>PINON 12 DTES C/MAMELON DPLX FUND</t>
  </si>
  <si>
    <t>PI07C</t>
  </si>
  <si>
    <t>PIÑÓN DE 12 DTS CON MAMELÓN DÚPLEX (FUNDICIÓN) TIPO CELORIO</t>
  </si>
  <si>
    <t>PI08</t>
  </si>
  <si>
    <t>PIÑÓN DE 12 DTS CON MAMELÓN DÚPLEX REFORZADO (MAQUINADO)</t>
  </si>
  <si>
    <t>PINON 12 DTES C/MAMELON DPLX REF MAQ</t>
  </si>
  <si>
    <t>PI08C</t>
  </si>
  <si>
    <t>PIÑÓN DE 12 DTS CON MAMELÓN DUPLEX REFORZADO TIPO CELORIO</t>
  </si>
  <si>
    <t>PI09</t>
  </si>
  <si>
    <t>PIÑÓN DE 9 DTS</t>
  </si>
  <si>
    <t>PINON 9 DTES</t>
  </si>
  <si>
    <t>PI100</t>
  </si>
  <si>
    <t>PIÑON FLANGE</t>
  </si>
  <si>
    <t>PINON FLANGE</t>
  </si>
  <si>
    <t>MX53</t>
  </si>
  <si>
    <t xml:space="preserve">PIROMETRO </t>
  </si>
  <si>
    <t>PC03</t>
  </si>
  <si>
    <t>PLACA PARA ENFRIADOR BARRENADA (1PZA) WALMART</t>
  </si>
  <si>
    <t>PS06</t>
  </si>
  <si>
    <t>PLATO PARA CORTADORA DE HARINA DE TRIGO DE 36 EN GALVANIZADO</t>
  </si>
  <si>
    <t>PS07</t>
  </si>
  <si>
    <t>PLATO PARA CORTADORA DE HARINA DE TRIGO DE 36 EN INOX.</t>
  </si>
  <si>
    <t>PS05</t>
  </si>
  <si>
    <t>PLATO PARA MOLINO CONO</t>
  </si>
  <si>
    <t>PL06</t>
  </si>
  <si>
    <t>PLATO PARA MOLINO TORTIMEX 1</t>
  </si>
  <si>
    <t>PS04</t>
  </si>
  <si>
    <t>PLATO TIPO TOLUCA  N0.1</t>
  </si>
  <si>
    <t>PS02</t>
  </si>
  <si>
    <t>PLATO TIPO TOLUCA  N0.2</t>
  </si>
  <si>
    <t>PS03</t>
  </si>
  <si>
    <t>PLATO TIPO TOLUCA NO.3</t>
  </si>
  <si>
    <t>PO71</t>
  </si>
  <si>
    <t>POLEA 10" 2RB E7/8 C1/4</t>
  </si>
  <si>
    <t>PO33</t>
  </si>
  <si>
    <t>POLEA 10PULG 2RAN V INT 1-3/16 CUN 1/4</t>
  </si>
  <si>
    <t>PO26</t>
  </si>
  <si>
    <t>POLEA 12'' 3RB E1-1/2 C1/4 F/COL P/MOL C</t>
  </si>
  <si>
    <t>PO95</t>
  </si>
  <si>
    <t>POLEA 14" 1RB E1 C1/4</t>
  </si>
  <si>
    <t>PO20</t>
  </si>
  <si>
    <t>POLEA 15" 1RB E1 C1/4</t>
  </si>
  <si>
    <t>PO55</t>
  </si>
  <si>
    <t>POLEA 15" 2RB E1 C1/4</t>
  </si>
  <si>
    <t>PO50</t>
  </si>
  <si>
    <t>POLEA 16" 1RB E1 C1/4</t>
  </si>
  <si>
    <t>PO21</t>
  </si>
  <si>
    <t>POLEA 16" 2RB E1 C1/4</t>
  </si>
  <si>
    <t>PO27</t>
  </si>
  <si>
    <t>POLEA 16" X 3RB X 1 3/8"</t>
  </si>
  <si>
    <t>PO22</t>
  </si>
  <si>
    <t>POLEA 17" 1RB E1 C1/4</t>
  </si>
  <si>
    <t>PO56</t>
  </si>
  <si>
    <t>POLEA 17" 2RB E1 C1/4</t>
  </si>
  <si>
    <t>PO24</t>
  </si>
  <si>
    <t>POLEA 18" 1RB E1 C1/4</t>
  </si>
  <si>
    <t>PO23</t>
  </si>
  <si>
    <t>POLEA 18" 2RB E1 C1/4</t>
  </si>
  <si>
    <t>PO03</t>
  </si>
  <si>
    <t>POLEA 2 1/2" 1RB C/MAMELON E5/8 C3/16</t>
  </si>
  <si>
    <t>PO04</t>
  </si>
  <si>
    <t>POLEA 2-1/2" 1RB C/MAMELON E7/8 C3/16</t>
  </si>
  <si>
    <t>PO65</t>
  </si>
  <si>
    <t>POLEA 2-1/2" 1RB C/MAMELON NE1 C1/4</t>
  </si>
  <si>
    <t>PO30</t>
  </si>
  <si>
    <t>POLEA 2-1/2" 1RB E1</t>
  </si>
  <si>
    <t>PO64</t>
  </si>
  <si>
    <t>POLEA 2-1/2" 1RB E1 C1/4</t>
  </si>
  <si>
    <t>PO02</t>
  </si>
  <si>
    <t>POLEA 2-1/2" 1RB E7/8 C3/16</t>
  </si>
  <si>
    <t>PO05</t>
  </si>
  <si>
    <t>POLEA 2-1/2" 2RB C/MAMELON E5/8 C3/16</t>
  </si>
  <si>
    <t>PO06</t>
  </si>
  <si>
    <t>POLEA 2-1/2" 2RB C/MAMELON, E7/8 C3/16</t>
  </si>
  <si>
    <t>PO01</t>
  </si>
  <si>
    <t>POLEA 2" 1RA P/VENTILADOR</t>
  </si>
  <si>
    <t>PO63</t>
  </si>
  <si>
    <t xml:space="preserve">POLEA 3 7/8" 3RB E5/8 C3/16 </t>
  </si>
  <si>
    <t>PO62</t>
  </si>
  <si>
    <t>POLEA 3 7/8" 3RB E7/8 C1/4</t>
  </si>
  <si>
    <t>PO101</t>
  </si>
  <si>
    <t>POLEA 3-1/2" 3RB E1-3/8 C5/16</t>
  </si>
  <si>
    <t>PO09</t>
  </si>
  <si>
    <t>POLEA 3-1/2" 3RB E7/8 C3/16</t>
  </si>
  <si>
    <t>PO74</t>
  </si>
  <si>
    <t>POLEA 3-7/8" 2RB E7/8 C3/16</t>
  </si>
  <si>
    <t>PO34</t>
  </si>
  <si>
    <t>POLEA 3" 2RB E1-1/8 C1/4</t>
  </si>
  <si>
    <t>PO07</t>
  </si>
  <si>
    <t>POLEA 3" 2RB E7/8 C3/16</t>
  </si>
  <si>
    <t>PO28</t>
  </si>
  <si>
    <t>POLEA 3" 3RB E5/8 C3/16</t>
  </si>
  <si>
    <t>PO08</t>
  </si>
  <si>
    <t>POLEA 3" 3RB E7/8 C3/16</t>
  </si>
  <si>
    <t>PO13</t>
  </si>
  <si>
    <t>POLEA 4-1/2" 2RB E7/8 C1/4</t>
  </si>
  <si>
    <t>PO25</t>
  </si>
  <si>
    <t>POLEA 4'' 3RB E1-3/8 C5/16</t>
  </si>
  <si>
    <t>PO32</t>
  </si>
  <si>
    <t>POLEA 4" 1RA E5/8 C3/16</t>
  </si>
  <si>
    <t>POLEA 4" 1RA E5/8 C 3/16</t>
  </si>
  <si>
    <t>PO31</t>
  </si>
  <si>
    <t>POLEA 4" 1RB E5/8 C3/16</t>
  </si>
  <si>
    <t>PO49</t>
  </si>
  <si>
    <t>POLEA 4" 2RB E5/8 C3/16</t>
  </si>
  <si>
    <t>PO10</t>
  </si>
  <si>
    <t>POLEA 4" 2RB E7/8 C1/4</t>
  </si>
  <si>
    <t>PO97</t>
  </si>
  <si>
    <t>POLEA 4" 2RB E7/8 C3/16</t>
  </si>
  <si>
    <t>PO11</t>
  </si>
  <si>
    <t>POLEA 4" 3RB E1-1/8 C1/4</t>
  </si>
  <si>
    <t>PO96</t>
  </si>
  <si>
    <t>POLEA 4" 3RB E5/8 C3/16</t>
  </si>
  <si>
    <t>PO12</t>
  </si>
  <si>
    <t>POLEA 4" 3RB E7/8 C3/16</t>
  </si>
  <si>
    <t>PO15</t>
  </si>
  <si>
    <t>POLEA 5-1/2" 2RB E7/8 C1/4</t>
  </si>
  <si>
    <t>PO14</t>
  </si>
  <si>
    <t>POLEA 5" 2RB E7/8 C1/4</t>
  </si>
  <si>
    <t>PO17</t>
  </si>
  <si>
    <t>POLEA 6-1/2" 2RB E7/8 C1/4</t>
  </si>
  <si>
    <t>PO16</t>
  </si>
  <si>
    <t>POLEA 6" 2RB E7/8 C1/4</t>
  </si>
  <si>
    <t>PO19</t>
  </si>
  <si>
    <t>POLEA 7-1/2" 2RB E7/8 C1/4</t>
  </si>
  <si>
    <t>PO18</t>
  </si>
  <si>
    <t>POLEA 7" 2RB E7/8 C1/4</t>
  </si>
  <si>
    <t>PO29</t>
  </si>
  <si>
    <t>POLEA 8" 1RB E1</t>
  </si>
  <si>
    <t>PO66</t>
  </si>
  <si>
    <t>POLEA 8" 1RB E1 C1/4</t>
  </si>
  <si>
    <t>PO104</t>
  </si>
  <si>
    <t>POLEA DE 3" ESPECIAL (DOS RB-DESCANSO-1 RA INT 7/8 CUÑERO 3/16)</t>
  </si>
  <si>
    <t>PO103</t>
  </si>
  <si>
    <t xml:space="preserve">POLEA DE 3"1/2 ESPECIAL (DOS RB-DESCANSO-1RA INT 7/8 CUÑERO 3/16) </t>
  </si>
  <si>
    <t>PO102</t>
  </si>
  <si>
    <t>POLEA DE 6" 2RB E14.5 MM SIN CUÑERO Y ENTRADA PARA DOS OPRESORES</t>
  </si>
  <si>
    <t>PO44</t>
  </si>
  <si>
    <t>POLEA MIXTA ENTRADA 7/8'' 2 RANURAS "B" EXTERIOR 3'' Y 1 RANURA "A" EXTERIOR 4'' PARA MOTOR</t>
  </si>
  <si>
    <t>PV03</t>
  </si>
  <si>
    <t>POLVERA</t>
  </si>
  <si>
    <t>PV02</t>
  </si>
  <si>
    <t>POLVERA EN ACERO INOX</t>
  </si>
  <si>
    <t>PV01</t>
  </si>
  <si>
    <t>POLVERA PARA MOLINO CAMARADA</t>
  </si>
  <si>
    <t>POR5</t>
  </si>
  <si>
    <t>PORTA BALERO PARA CLUTCH DE MOLINITO</t>
  </si>
  <si>
    <t>PCE01</t>
  </si>
  <si>
    <t>PORTA CARTER</t>
  </si>
  <si>
    <t>BJ0002</t>
  </si>
  <si>
    <t>PORTA ESPREAS WALMART</t>
  </si>
  <si>
    <t>POR2</t>
  </si>
  <si>
    <t>PORTA RIEL CENTRAL SENC. TIPO B.C.</t>
  </si>
  <si>
    <t>PORTA RIEL CENTRAL SENC BC</t>
  </si>
  <si>
    <t>POR1</t>
  </si>
  <si>
    <t>PORTA RIEL INFERIOR SENC. TIPO B.C.</t>
  </si>
  <si>
    <t>PORTA RIEL INFERIOR SENC BC</t>
  </si>
  <si>
    <t>POR3</t>
  </si>
  <si>
    <t>PORTA RIEL SUPERIOR SENC. TIPO B.C.</t>
  </si>
  <si>
    <t>PORTA RIEL SUPERIOR SENC BC</t>
  </si>
  <si>
    <t>PX01</t>
  </si>
  <si>
    <t>PORTA RODAJA CORTA</t>
  </si>
  <si>
    <t>PX02</t>
  </si>
  <si>
    <t>PORTA RODAJA LARGA</t>
  </si>
  <si>
    <t>PM01</t>
  </si>
  <si>
    <t>POTENCIOMETRO 5K 5 VUELTAS</t>
  </si>
  <si>
    <t>MH22</t>
  </si>
  <si>
    <t>PRENSA CABEZAL HORIZONTAL DOBLE (2 ESTACIONES DE PRENSADO DE 12" X 24")  28 TORTILLAS 2 ESTACIONES</t>
  </si>
  <si>
    <t>PS01</t>
  </si>
  <si>
    <t xml:space="preserve">PRENSA ELECTRICA PARA TORTILLAS DE HARINA
</t>
  </si>
  <si>
    <t>PRENSA ELECTRICA P/TORTILLAS DE HARINA</t>
  </si>
  <si>
    <t>MG144</t>
  </si>
  <si>
    <t>PRENSA ELÉCTRICA PARA TORTILLAS DE HARINA (ESPECIAL)</t>
  </si>
  <si>
    <t>MH23</t>
  </si>
  <si>
    <t xml:space="preserve">PRENSA HARINA T. 16 " x 16" (BURRITOS) 220 V. </t>
  </si>
  <si>
    <t>MH32</t>
  </si>
  <si>
    <t>PRENSA HORIZONTAL PARA HACER BURROS CON BANDA DE TEFLON</t>
  </si>
  <si>
    <t>PG01</t>
  </si>
  <si>
    <t>SER</t>
  </si>
  <si>
    <t>PROGRAMA DE RODILLO CORTADOR</t>
  </si>
  <si>
    <t>PR12</t>
  </si>
  <si>
    <t>PROTECCION P/TERMOMETRO WALMART</t>
  </si>
  <si>
    <t>PU07</t>
  </si>
  <si>
    <t>PUENTE ADICIONAL BC GALVANIZADO</t>
  </si>
  <si>
    <t>PU01</t>
  </si>
  <si>
    <t>PUENTE ADICIONAL DÚPLEX</t>
  </si>
  <si>
    <t>PUENTE ADICIONAL DPLX</t>
  </si>
  <si>
    <t>PU02</t>
  </si>
  <si>
    <t>PUENTE ADICIONAL SENCILLO</t>
  </si>
  <si>
    <t>PU04</t>
  </si>
  <si>
    <t>PUENTE PRINCIPAL SENCILLO MODELO ANTERIOR</t>
  </si>
  <si>
    <t>PUENTE PRINCIPAL SENCILLO MA</t>
  </si>
  <si>
    <t>PU05</t>
  </si>
  <si>
    <t xml:space="preserve">PUENTE PRINCIPAL SENCILLO MODELO ANTERIOR ABIERTO PARA BALERO 6204
</t>
  </si>
  <si>
    <t xml:space="preserve">PUENTE PRINCIPAL SENC MA AB/BALERO 6204
</t>
  </si>
  <si>
    <t>PU03</t>
  </si>
  <si>
    <t>PUENTE PRINCIPAL SENCILLO TV-50 (B.C.)</t>
  </si>
  <si>
    <t>PUENTE PRINCIPAL SENCILLO TV50 BC</t>
  </si>
  <si>
    <t>QE05</t>
  </si>
  <si>
    <t>QUEMADOR ANTORCHA CON TRES FLAUTAS PARA PAILA DE 300 KG</t>
  </si>
  <si>
    <t>QUEMADOR ANTORCH C/3 FLAUt P/PAIL 300KG</t>
  </si>
  <si>
    <t>QE03</t>
  </si>
  <si>
    <t>QUEMADOR H CON CAMPANA</t>
  </si>
  <si>
    <t>QUEMADOR H C/CAMPANA</t>
  </si>
  <si>
    <t>QE06</t>
  </si>
  <si>
    <t>QUEMADOR PARA PAILA DE 500 KG MECANIZADA</t>
  </si>
  <si>
    <t>QE07</t>
  </si>
  <si>
    <t>QUEMADOR PARA PAILA DE 500 KG SENCILLA</t>
  </si>
  <si>
    <t>QU100</t>
  </si>
  <si>
    <t>QUIJADA CON BARRENO CHICO</t>
  </si>
  <si>
    <t>QU99</t>
  </si>
  <si>
    <t>QUIJADA CON BARRENO GRANDE</t>
  </si>
  <si>
    <t>QU01</t>
  </si>
  <si>
    <t>QUIJADA PARA CLUTCH DÚPLEX (ACERO 9840)</t>
  </si>
  <si>
    <t>QUIJADA P/CLUTCH DPLX ACERO 9840</t>
  </si>
  <si>
    <t>QU02</t>
  </si>
  <si>
    <t>QUIJADA PARA CLUTCH SENCILLO (ACERO 9840)</t>
  </si>
  <si>
    <t>QUIJADA P/CLUTCH SENCILLO ACERO 9840</t>
  </si>
  <si>
    <t>QU04</t>
  </si>
  <si>
    <t>QUIJADA PARA CLUTH DE 1"</t>
  </si>
  <si>
    <t>QUIJADA P/CLUTH DE 1 PULG</t>
  </si>
  <si>
    <t>MP50</t>
  </si>
  <si>
    <t>RAYADO DE PIEDRAS PREPARADAS SEGÚN EL TAMAÑO CADA UNA</t>
  </si>
  <si>
    <t>MP22</t>
  </si>
  <si>
    <t>RAYADORA DE PIEDRA</t>
  </si>
  <si>
    <t>MP78</t>
  </si>
  <si>
    <t>RAYADORA DE PIEDRA SEMI AUTOMÁTICA CON ESMERIL, PARA PIEDRAS DE 19</t>
  </si>
  <si>
    <t>MP71</t>
  </si>
  <si>
    <t>RAYADORA DE PIEDRA SEMI-AUTOMÁTICA</t>
  </si>
  <si>
    <t>MP76</t>
  </si>
  <si>
    <t>RAYADORA DE PIEDRA SEMI-AUTOMÁTICA / SIN ESMERIL</t>
  </si>
  <si>
    <t>MP89</t>
  </si>
  <si>
    <t>RAYADORA DE PIEDRAS R4</t>
  </si>
  <si>
    <t>RD0001</t>
  </si>
  <si>
    <t>REDUCCION BUSHING 1" A 1/2"</t>
  </si>
  <si>
    <t>RD0002</t>
  </si>
  <si>
    <t>REDUCCION BUSHING 1" A 3/8"</t>
  </si>
  <si>
    <t>RD0003</t>
  </si>
  <si>
    <t>REDUCCION BUSHING 1/2" A 1/4"</t>
  </si>
  <si>
    <t>RD0005</t>
  </si>
  <si>
    <t>REDUCCION BUSHING 3/8 A 1/8 NTP</t>
  </si>
  <si>
    <t>RD0004</t>
  </si>
  <si>
    <t>REDUCCION BUSHING 3/8" A 1/4"</t>
  </si>
  <si>
    <t>RD05</t>
  </si>
  <si>
    <t>REDUCTOR 80</t>
  </si>
  <si>
    <t>RD07</t>
  </si>
  <si>
    <t>REDUCTOR ARMADO CHICO VERDUZCO</t>
  </si>
  <si>
    <t>REDUCTOR ARMADO CHICO VER</t>
  </si>
  <si>
    <t>RD01</t>
  </si>
  <si>
    <t>REDUCTOR ARMADO DUPLEX VERDUZCO</t>
  </si>
  <si>
    <t>REDUCTOR ARMADO DPLX VER</t>
  </si>
  <si>
    <t>RD02</t>
  </si>
  <si>
    <t>REDUCTOR ARMADO SENCILLO VERDUZCO</t>
  </si>
  <si>
    <t>REDUCTOR ARMADO SENCILLO VER</t>
  </si>
  <si>
    <t>RD08</t>
  </si>
  <si>
    <t>REDUCTOR ARMANDO MEDIANO</t>
  </si>
  <si>
    <t>MO38</t>
  </si>
  <si>
    <t>REDUCTOR M05 PARA MOTOR BRIDA C 1HP</t>
  </si>
  <si>
    <t>MO34</t>
  </si>
  <si>
    <t>REDUCTOR M06 PARA MOTOR BRIDA C 2HP</t>
  </si>
  <si>
    <t>RD03</t>
  </si>
  <si>
    <t>REDUCTOR PARA APRIETE DE PIEDRAS TORTIMEX</t>
  </si>
  <si>
    <t>REDUCTOR P/APRIETE DE PIEDRAS TORTIMEX</t>
  </si>
  <si>
    <t>EP00</t>
  </si>
  <si>
    <t>REFACCION ESPECIAL</t>
  </si>
  <si>
    <t>RG89</t>
  </si>
  <si>
    <t>REGATON  1/4"  RESPALDO PARA AMASADORA</t>
  </si>
  <si>
    <t>REGATON  1/4  RESPALDO PARA AMASADORA</t>
  </si>
  <si>
    <t>RG90</t>
  </si>
  <si>
    <t>REGATONES DE 2"</t>
  </si>
  <si>
    <t>RE04</t>
  </si>
  <si>
    <t>REGILLA PARA NIXTAMAL GRANEADOR CHICA</t>
  </si>
  <si>
    <t>RE05</t>
  </si>
  <si>
    <t>REGILLA PARA NIXTAMAL GRANEADOR GRANDE</t>
  </si>
  <si>
    <t>RE09</t>
  </si>
  <si>
    <t>REGILLA PARA TINA 27" X 18 1/2" CON REJA WALMART</t>
  </si>
  <si>
    <t>RG03</t>
  </si>
  <si>
    <t>REGULADOR "LOBITO"</t>
  </si>
  <si>
    <t>RG01</t>
  </si>
  <si>
    <t>REGULADOR FASE 1</t>
  </si>
  <si>
    <t>RG02</t>
  </si>
  <si>
    <t xml:space="preserve">REGULADOR FASE 2 </t>
  </si>
  <si>
    <t>RG04</t>
  </si>
  <si>
    <t>REGULADOR FASE 3 PARA GAS NATURAL</t>
  </si>
  <si>
    <t>RE06</t>
  </si>
  <si>
    <t>REJILLA PARA ALIMENTADOR WALMART</t>
  </si>
  <si>
    <t>RE01</t>
  </si>
  <si>
    <t>REJILLA PARA RODILLOS POSTERIOR WALMART</t>
  </si>
  <si>
    <t>RE02</t>
  </si>
  <si>
    <t>REJILLA PERFORADA PARA RODILLOS WALMART</t>
  </si>
  <si>
    <t>REL006</t>
  </si>
  <si>
    <t>RELEVADOR 8PIN 24VDC C/BASE</t>
  </si>
  <si>
    <t>RM01</t>
  </si>
  <si>
    <t>REMACHE DE 1/2" X 1/8"</t>
  </si>
  <si>
    <t>RS13</t>
  </si>
  <si>
    <t>RESISTENCIA PARA PRENSA DE LIBRO SENCILLO 7"</t>
  </si>
  <si>
    <t>RESISTENCIA P/ PRENSA LIBRO SENCILLO 7"</t>
  </si>
  <si>
    <t>RS08</t>
  </si>
  <si>
    <t>RESORTE CON GANCHOS DE TENSION GALVANIZADO PARA MAQUINA DE RODILLOS</t>
  </si>
  <si>
    <t>RESORTE C/GANCHO DE TENSION GALV MAQ ROD</t>
  </si>
  <si>
    <t>RS09</t>
  </si>
  <si>
    <t>RESORTE PARA ACOMODADOR DE TORTILLA</t>
  </si>
  <si>
    <t>RS07</t>
  </si>
  <si>
    <t>RESORTE PARA CABEZAL RESTAURANTERO ECONOMICO AUT</t>
  </si>
  <si>
    <t>RESORTE P/CABEZAL REST ECO AUT</t>
  </si>
  <si>
    <t>RS01</t>
  </si>
  <si>
    <t>RESORTE PARA CARRO DÚPLEX (NORMAL)</t>
  </si>
  <si>
    <t>RESORTE PARA CARRO DPLX (NORMAL)</t>
  </si>
  <si>
    <t>RS02</t>
  </si>
  <si>
    <t>RESORTE PARA CARRO SENCILLO (TROPICALIZADO)</t>
  </si>
  <si>
    <t>RESORTE PARA CARRO SENC TROPICALIZADO</t>
  </si>
  <si>
    <t>RS24</t>
  </si>
  <si>
    <t>RESORTE PARA CORTADORA DE TOTOPOS</t>
  </si>
  <si>
    <t>RS03</t>
  </si>
  <si>
    <t>RESORTE PARA REGULADOR DE ALTA</t>
  </si>
  <si>
    <t>RS04</t>
  </si>
  <si>
    <t>RESORTE PARA REGULADOR DE BAJA</t>
  </si>
  <si>
    <t>RS05</t>
  </si>
  <si>
    <t>RESORTE PARA TRINQUETE</t>
  </si>
  <si>
    <t>RS0001</t>
  </si>
  <si>
    <t>RESORTE SENCILLO PARA CABEZAL</t>
  </si>
  <si>
    <t>RS17</t>
  </si>
  <si>
    <t>RESORTE SUAVE PARA AMASADORA WALMART</t>
  </si>
  <si>
    <t>RS16</t>
  </si>
  <si>
    <t>RESORTE TEMPLE MEDIO PARA CORTADOR</t>
  </si>
  <si>
    <t>RS06</t>
  </si>
  <si>
    <t>RESORTE TENSOR PARA COMAL MODELO ANTERIOR</t>
  </si>
  <si>
    <t>RESORTE TENSOR PARA COMAL MA</t>
  </si>
  <si>
    <t>RS23</t>
  </si>
  <si>
    <t>RESORTE TENSOR PARA COMALES MÁQUINA W-100 NUEVA</t>
  </si>
  <si>
    <t>RESORTE TENSOR P/COMALES W-100 NUEVA</t>
  </si>
  <si>
    <t>RN03</t>
  </si>
  <si>
    <t>RETEN 13071 GRANDE</t>
  </si>
  <si>
    <t>RN13</t>
  </si>
  <si>
    <t>RETEN 13071 GRANDE CR</t>
  </si>
  <si>
    <t>RN01</t>
  </si>
  <si>
    <t>RETEN 8654 CHICO</t>
  </si>
  <si>
    <t>RN14</t>
  </si>
  <si>
    <t>RETEN 8654 CHICO CR</t>
  </si>
  <si>
    <t>RN02</t>
  </si>
  <si>
    <t>RETEN 9966 CENTRAL</t>
  </si>
  <si>
    <t>RN16</t>
  </si>
  <si>
    <t>RETEN 9966 CENTRAL CR</t>
  </si>
  <si>
    <t>RJ02</t>
  </si>
  <si>
    <t>RODAJA DE COLD ROLLED LARGAS TV-50 (B.C.)</t>
  </si>
  <si>
    <t>RODAJA DE COLD ROLLED LARGAS TV-50 BC</t>
  </si>
  <si>
    <t>RJ03</t>
  </si>
  <si>
    <t>RODAJA DE COLD ROLLED MODELO ANTERIOR</t>
  </si>
  <si>
    <t>RJ01</t>
  </si>
  <si>
    <t>RODAJA DE COLD ROLLED TV-50 (B.C.)</t>
  </si>
  <si>
    <t>RODAJA DE COLD ROLLED TV-50 BC</t>
  </si>
  <si>
    <t>RJ06</t>
  </si>
  <si>
    <t>RODAJA DE COLD TIPO RJ01 CON DIAMETRO EXTERIOR 1 1/2</t>
  </si>
  <si>
    <t>RODAJA COLD RJ01 DIAM EXT 1 1/2</t>
  </si>
  <si>
    <t>RJ04</t>
  </si>
  <si>
    <t>RODAJA DE FIERRO COLADO CHICA PLATO ESPECIAL</t>
  </si>
  <si>
    <t>RODAJA FIERRO COLADO CHICA PLATO ESP</t>
  </si>
  <si>
    <t>RJ05</t>
  </si>
  <si>
    <t>RODAJA DE FIERRO COLADO GRANDE PLATO MODELO ANTERIOR</t>
  </si>
  <si>
    <t>RODAJA FIERRO COLADO GRANDE PLATO MA</t>
  </si>
  <si>
    <t>RO31</t>
  </si>
  <si>
    <t>RODILLO CABEZAL CON CEJA SENCILLO</t>
  </si>
  <si>
    <t>RO114</t>
  </si>
  <si>
    <t>RODILLO CABEZAL CUÁDRUPLE</t>
  </si>
  <si>
    <t>RODILLO CABEZAL CUADRUPLE</t>
  </si>
  <si>
    <t>RO02</t>
  </si>
  <si>
    <t>RODILLO CABEZAL DÚPLEX B.C.</t>
  </si>
  <si>
    <t>RODILLO CABEZAL DPLX BC</t>
  </si>
  <si>
    <t>RO69</t>
  </si>
  <si>
    <t>RODILLO CABEZAL MÉRIDA</t>
  </si>
  <si>
    <t>RODILLO CABEZAL MERIDA</t>
  </si>
  <si>
    <t>RO03</t>
  </si>
  <si>
    <t>RODILLO CABEZAL SENCILLO B.C</t>
  </si>
  <si>
    <t>RODILLO CABEZAL SENCILLO BC</t>
  </si>
  <si>
    <t>RO04</t>
  </si>
  <si>
    <t>RODILLO CABEZAL SENCILLO TIPO B.C. PARA TV-30</t>
  </si>
  <si>
    <t>RODILLO CABEZAL SENCILLO TV30 BC</t>
  </si>
  <si>
    <t>RO01</t>
  </si>
  <si>
    <t>RODILLO CABEZAL TIPO TORTEC</t>
  </si>
  <si>
    <t>RO108</t>
  </si>
  <si>
    <t>RODILLO CENTRAL PARA CABEZAL RESTAURANTERO 4" CON BALERO</t>
  </si>
  <si>
    <t>RODILLO CENTRAL P/CABEZAL REST4 C/BALERO</t>
  </si>
  <si>
    <t>RO117</t>
  </si>
  <si>
    <t>RODILLO CON CEJA B.C</t>
  </si>
  <si>
    <t>RO118</t>
  </si>
  <si>
    <t>RODILLO CON CEJA DUPLEX</t>
  </si>
  <si>
    <t>RODILLO CON CEJA DPLX</t>
  </si>
  <si>
    <t>RO05</t>
  </si>
  <si>
    <t>RODILLO CON CUBIERTA DE HULE CHICA PARA MALLA COLUMPIO SENCILLO</t>
  </si>
  <si>
    <t>RODILLO C/CUBIERTA HULE CHICA P/MALLA</t>
  </si>
  <si>
    <t>RO06</t>
  </si>
  <si>
    <t>RODILLO CON CUBIERTA DE HULE CHICA RANURADA PARA MALLA COLUMPIO SENCILLO</t>
  </si>
  <si>
    <t>RODILLO C/CUBIERTA HULE CHICA RANURADA</t>
  </si>
  <si>
    <t>RO109</t>
  </si>
  <si>
    <t>RODILLO CON MALLA GALVANIZADA SOLD. S/FLECHA</t>
  </si>
  <si>
    <t>RODILLO C/MALL GALV SOLD S/FLECHA</t>
  </si>
  <si>
    <t>RO75</t>
  </si>
  <si>
    <t>RODILLO CON MALLA PARA MALLA DE COLUMPIO DE 35 CM</t>
  </si>
  <si>
    <t>RO110</t>
  </si>
  <si>
    <t>RODILLO CON MALLA TV-50 B.C.</t>
  </si>
  <si>
    <t>RODILLO C/MALLA TV50 BC</t>
  </si>
  <si>
    <t>RO07</t>
  </si>
  <si>
    <t>RODILLO CON RANURA PARA BANDA METÁLICA 100 TABLETAS MODELO ANTERIOR ESPECIAL</t>
  </si>
  <si>
    <t>RODILLO C/RANUR P/BANDMET 100TABL MA ESP</t>
  </si>
  <si>
    <t>RO08</t>
  </si>
  <si>
    <t>RODILLO CON RANURA PARA BANDA METÁLICA 92 TABLETAS MODELO ANTERIOR ESPECIAL</t>
  </si>
  <si>
    <t>RODILLO C/RANUR P/BANDMET 92TABL MA ESP</t>
  </si>
  <si>
    <t>RC86</t>
  </si>
  <si>
    <t>RODILLO CORTADOR  DE CIRCULO DE 1.5" X 4.5 CM PARA MAQUINA TVR</t>
  </si>
  <si>
    <t>RODILLO CORTADOR  CIRCU 1.5"X4.5CM P/TVR</t>
  </si>
  <si>
    <t>RC87</t>
  </si>
  <si>
    <t xml:space="preserve">RODILLO CORTADOR  HUARACHE 29 X 15  PARA CABEZAL RESTAURANTERO MANUAL </t>
  </si>
  <si>
    <t>RODILLO CORTADOR  HUAR 29X15  CABRESTMAN</t>
  </si>
  <si>
    <t>RC26</t>
  </si>
  <si>
    <t>RODILLO CORTADOR 10 CM PARA MAQUINA TVRM</t>
  </si>
  <si>
    <t>RODILLO CORTADOR 10CM MAQ TVRM</t>
  </si>
  <si>
    <t>RC40</t>
  </si>
  <si>
    <t>RODILLO CORTADOR 10 CM X 3MM P/SOPE CABEZAL DE 4PULG</t>
  </si>
  <si>
    <t>RODILLO CORTADOR 10CM-3MM P/SOPE P/CAB 4</t>
  </si>
  <si>
    <t>RC07</t>
  </si>
  <si>
    <t>RODILLO CORTADOR 12 CM PARA MAQUINA TVRS</t>
  </si>
  <si>
    <t>RODILLO CORTADOR 12CM MAQ TVR</t>
  </si>
  <si>
    <t>RC13</t>
  </si>
  <si>
    <t>RODILLO CORTADOR 13 CM PARA MAQUINA TVRS</t>
  </si>
  <si>
    <t>RODILLO CORTADOR 13CM MAQ TVRS</t>
  </si>
  <si>
    <t>RC08</t>
  </si>
  <si>
    <t>RODILLO CORTADOR 14 CM PARA MAQUINA TVRS</t>
  </si>
  <si>
    <t>RODILLO CORTADOR 14CM MAQ TVRS</t>
  </si>
  <si>
    <t>RC09</t>
  </si>
  <si>
    <t>RODILLO CORTADOR 15 CM PARA MAQUINA TVRS</t>
  </si>
  <si>
    <t>RODILLO CORTADOR 15CM MAQ TVRS</t>
  </si>
  <si>
    <t>WM-RC142</t>
  </si>
  <si>
    <t>RODILLO CORTADOR 15.5 CM</t>
  </si>
  <si>
    <t>RC15</t>
  </si>
  <si>
    <t>RODILLO CORTADOR 15.5 CM PARA MAQUINA WALMART/W100</t>
  </si>
  <si>
    <t>RODILLO CORTADOR 15.5CM MAQ WALMART/W100</t>
  </si>
  <si>
    <t>RC14</t>
  </si>
  <si>
    <t xml:space="preserve">RODILLO CORTADOR 17 CM PARA MAQUINA TVRS </t>
  </si>
  <si>
    <t xml:space="preserve">RODILLO CORTADOR 17CM MAQ TVRS </t>
  </si>
  <si>
    <t>RC111</t>
  </si>
  <si>
    <t>RODILLO CORTADOR 18 CM PARA MAQUINA PONY</t>
  </si>
  <si>
    <t>RODILLO CORTADOR 18CM MAQ PONY</t>
  </si>
  <si>
    <t>RC18</t>
  </si>
  <si>
    <t>RODILLO CORTADOR DE 10 CM DOBLE PARA HUARACHE Y TOTOPOS (CABEZAL RESTAURANTERO)</t>
  </si>
  <si>
    <t>RODILLO CORTADOR 10CM DOBL HUARACH/TOTPO</t>
  </si>
  <si>
    <t>RC77</t>
  </si>
  <si>
    <t>RODILLO CORTADOR DE 10 CM PARA CABEZAL RESTAURANTERO DE PIEDRA</t>
  </si>
  <si>
    <t>RODILLO CORTADOR 10CM CABEZAL REST PIEDR</t>
  </si>
  <si>
    <t>RC21</t>
  </si>
  <si>
    <t>RODILLO CORTADOR DE 10 CM PARA MAQUINA TVRS</t>
  </si>
  <si>
    <t>RODILLO CORTADOR 10 CM PARA MAQUINA TVRS</t>
  </si>
  <si>
    <t>RC22</t>
  </si>
  <si>
    <t>RODILLO CORTADOR DE 10 CM PARA MAQUINA TVRS 2 PROYECCIONES</t>
  </si>
  <si>
    <t>RODILLO CORTADOR 10CM TVRS 2 PROYECCION</t>
  </si>
  <si>
    <t>RC39</t>
  </si>
  <si>
    <t>RODILLO CORTADOR DE 10 CM PARA SOPE P/ MAQUINA TVRM</t>
  </si>
  <si>
    <t>RODILLO CORTADOR 10CM P/SOPE P/ MAQ TVRM</t>
  </si>
  <si>
    <t>RC68</t>
  </si>
  <si>
    <t>RC31</t>
  </si>
  <si>
    <t>RODILLO CORTADOR DE 10 CMS PARA MAQUINA TVRD100 WALTMART</t>
  </si>
  <si>
    <t>RODILLO CORTADOR 10 CM TVRD100 WALTMART</t>
  </si>
  <si>
    <t>RC20</t>
  </si>
  <si>
    <t>RODILLO CORTADOR DE 11 CM P/ MAQUINA MÉRIDA TVRM30</t>
  </si>
  <si>
    <t>RODILLO CORTADOR DE 11 CM P/ MAQ TVRM30</t>
  </si>
  <si>
    <t>RC17</t>
  </si>
  <si>
    <t>RODILLO CORTADOR DE 11 CM PARA MAQUINA TVRS</t>
  </si>
  <si>
    <t>RODILLO CORTADOR 11CM MAQ TVRS</t>
  </si>
  <si>
    <t>RC03</t>
  </si>
  <si>
    <t>RODILLO CORTADOR DE 12 CM PARA CABEZAL RESTAURANTERO DE 4"</t>
  </si>
  <si>
    <t>RODILLO CORTADOR 12CM CAB REST 4''</t>
  </si>
  <si>
    <t>RC16</t>
  </si>
  <si>
    <t>RODILLO CORTADOR DE 12 CM PARA CABEZAL RESTAURANTERO DE PIEDRA</t>
  </si>
  <si>
    <t>RODILLO CORTADOR 12CM CAB REST PIEDRA</t>
  </si>
  <si>
    <t>RC166</t>
  </si>
  <si>
    <t>RODILLO CORTADOR DE 12 CM PARA MAQUINA CUADRUPLE</t>
  </si>
  <si>
    <t>RODILLO CORTADOR 12 CM P/MAQ CUADRUPLE</t>
  </si>
  <si>
    <t>RC48</t>
  </si>
  <si>
    <t xml:space="preserve">RODILLO CORTADOR DE 12 CM PARA MAQUINA TVRD </t>
  </si>
  <si>
    <t xml:space="preserve">RODILLO CORTADOR 12 CM P/MAQ TVRD </t>
  </si>
  <si>
    <t>RC27</t>
  </si>
  <si>
    <t>RODILLO CORTADOR DE 12 CM PARA MAQUINA TVRM</t>
  </si>
  <si>
    <t>RODILLO CORTADOR 12 CM P/MAQ TVRM</t>
  </si>
  <si>
    <t>RC23</t>
  </si>
  <si>
    <t>RODILLO CORTADOR DE 12 CM PARA MAQUINA TVRS 2 PROYECCIONES</t>
  </si>
  <si>
    <t>RODILLO CORTADOR 12CM TVRS 2 PROYECCION</t>
  </si>
  <si>
    <t>RC157</t>
  </si>
  <si>
    <t>RODILLO CORTADOR DE 12 CM PARA MAQUINA W100</t>
  </si>
  <si>
    <t>RODILLO CORTADOR DE 12CM P/ MAQUINA W100</t>
  </si>
  <si>
    <t>RC162</t>
  </si>
  <si>
    <t>RODILLO CORTADOR DE 12.5 CM PARA MAQUINA W100</t>
  </si>
  <si>
    <t>RODILLO CORTADOR DE 12.5CM P/ W100</t>
  </si>
  <si>
    <t>RC112</t>
  </si>
  <si>
    <t>RODILLO CORTADOR DE 13 CM 2 PROYECCIONES PARA MAQUINA TVRS</t>
  </si>
  <si>
    <t>RODILLO CORTADOR 13 CM 2PROY TVRS</t>
  </si>
  <si>
    <t>RC78</t>
  </si>
  <si>
    <t>RODILLO CORTADOR DE 13 CM PARA CABEZAL RESTAURANTERO DE PIEDRA</t>
  </si>
  <si>
    <t>RODILLO CORTADOR 13CM CABEZAL REST PIEDR</t>
  </si>
  <si>
    <t>RC49</t>
  </si>
  <si>
    <t>RODILLO CORTADOR DE 13 CM PARA MAQUINA TVRD</t>
  </si>
  <si>
    <t>RODILLO CORTADOR 13CM MAQ TVRD</t>
  </si>
  <si>
    <t>RC36</t>
  </si>
  <si>
    <t>RODILLO CORTADOR DE 13 CM PARA MAQUINA TVRM</t>
  </si>
  <si>
    <t>RODILLO CORTADOR 13 CM P/MAQ TVRM</t>
  </si>
  <si>
    <t>RC38</t>
  </si>
  <si>
    <t xml:space="preserve">RODILLO CORTADOR DE 14 CM 2 FILA 2 PROYECCIONES PARA MAQUINA TVRM </t>
  </si>
  <si>
    <t xml:space="preserve">RODILLO CORTADOR 14 CM 2FILA 2PROY TVRM </t>
  </si>
  <si>
    <t>RC79</t>
  </si>
  <si>
    <t>RODILLO CORTADOR DE 14 CM PARA CABEZAL RESTAURANTERO DE PIEDRA</t>
  </si>
  <si>
    <t>RODILLO CORTADOR 14CM CABEZAL REST PIEDR</t>
  </si>
  <si>
    <t>RC108</t>
  </si>
  <si>
    <t>RODILLO CORTADOR DE 14 CM PARA MAQUINA PONNY 6"</t>
  </si>
  <si>
    <t>RODILLO CORTADOR 14 CM P/MAQ PONY</t>
  </si>
  <si>
    <t>RC50</t>
  </si>
  <si>
    <t xml:space="preserve">RODILLO CORTADOR DE 14 CM PARA MAQUINA TVRD </t>
  </si>
  <si>
    <t xml:space="preserve">RODILLO CORTADOR 14 CM P/MAQ TVRD </t>
  </si>
  <si>
    <t>RC37</t>
  </si>
  <si>
    <t>RODILLO CORTADOR DE 14 CM PARA MAQUINA TVRM</t>
  </si>
  <si>
    <t>RODILLO CORTADOR 14CM P/MAQ TVRM</t>
  </si>
  <si>
    <t>RC28</t>
  </si>
  <si>
    <t>RODILLO CORTADOR DE 14 CM PARA MAQUINA TVRM 4''</t>
  </si>
  <si>
    <t>RODILLO CORTADOR 14 CM P/MAQ TVRM 4PLG</t>
  </si>
  <si>
    <t>RC143</t>
  </si>
  <si>
    <t>RODILLO CORTADOR DE 14 CM PARA MAQUINA WALMART</t>
  </si>
  <si>
    <t>RODILLO CORTADOR 14 CM P/MAQ WALMART</t>
  </si>
  <si>
    <t>RC04</t>
  </si>
  <si>
    <t>RODILLO CORTADOR DE 14X24 PARA MAQUINA TVR PARA HUARACHE/FLAUTA</t>
  </si>
  <si>
    <t>RODILLO CORTADOR 14X24 TVR P/HUARACHE</t>
  </si>
  <si>
    <t>RC24</t>
  </si>
  <si>
    <t>RODILLO CORTADOR DE 14X24 PARA MAQUINA TVRM PARA HUARACHE/FLAUTA</t>
  </si>
  <si>
    <t>RODILLO CORTADOR 14X24 TVRM P/HUARACHE</t>
  </si>
  <si>
    <t>RC80</t>
  </si>
  <si>
    <t>RODILLO CORTADOR DE 15 CM PARA CABEZAL RESTAURANTERO DE PIEDRA</t>
  </si>
  <si>
    <t>RODILLO CORTADOR 15CM CABEZAL REST PIEDR</t>
  </si>
  <si>
    <t>RC51</t>
  </si>
  <si>
    <t>RODILLO CORTADOR DE 15 CM PARA MAQUINA TVRD</t>
  </si>
  <si>
    <t>RODILLO CORTADOR 15CM MAQ TVRD</t>
  </si>
  <si>
    <t>RC29</t>
  </si>
  <si>
    <t>RODILLO CORTADOR DE 15 CM PARA MAQUINA TVRM</t>
  </si>
  <si>
    <t>RODILLO CORTADOR 15CM MAQ TVRM</t>
  </si>
  <si>
    <t>RC05</t>
  </si>
  <si>
    <t>RODILLO CORTADOR DE 15 CM PARA MAQUINA WALMART</t>
  </si>
  <si>
    <t>RODILLO CORTADOR 15CM MAQ WALMART</t>
  </si>
  <si>
    <t>RC83</t>
  </si>
  <si>
    <t>RODILLO CORTADOR DE 16 CM PARA CABEZAL RESTAURANTERO 4''</t>
  </si>
  <si>
    <t>RODILLO CORTADOR 16CM CABEZAL REST 4''</t>
  </si>
  <si>
    <t>RC81</t>
  </si>
  <si>
    <t>RODILLO CORTADOR DE 16 CM PARA CABEZAL RESTAURANTERO DE PIEDRA</t>
  </si>
  <si>
    <t>RODILLO CORTADOR 16CM CABEZAL REST PIEDR</t>
  </si>
  <si>
    <t>RC52</t>
  </si>
  <si>
    <t xml:space="preserve">RODILLO CORTADOR DE 16 CM PARA MAQUINA TVRD100 </t>
  </si>
  <si>
    <t xml:space="preserve">RODILLO CORTADOR 16 CM MAQUINA TVRD100 </t>
  </si>
  <si>
    <t>RC30</t>
  </si>
  <si>
    <t>RODILLO CORTADOR DE 16 CM PARA MAQUINA TVRM</t>
  </si>
  <si>
    <t>RODILLO CORTADOR 16CM MAQ TVRM</t>
  </si>
  <si>
    <t>RC10</t>
  </si>
  <si>
    <t>RODILLO CORTADOR DE 16 CM PARA MAQUINA TVRS</t>
  </si>
  <si>
    <t>RODILLO CORTADOR 16CM MAQ TVRS</t>
  </si>
  <si>
    <t>RC53</t>
  </si>
  <si>
    <t>RODILLO CORTADOR DE 16 CM PARA MAQUINA VW</t>
  </si>
  <si>
    <t>RC82</t>
  </si>
  <si>
    <t>RODILLO CORTADOR DE 17 CM PARA CABEZAL RESTAURANTERO DE PIEDRA</t>
  </si>
  <si>
    <t>RODILLO CORTADOR 17CM CABEZAL REST PIEDR</t>
  </si>
  <si>
    <t>RC54</t>
  </si>
  <si>
    <t>RODILLO CORTADOR DE 17 CM PARA MAQUINA VW</t>
  </si>
  <si>
    <t>RC32</t>
  </si>
  <si>
    <t>RODILLO CORTADOR DE 17 CMS PARA MAQUINA TVRD100</t>
  </si>
  <si>
    <t>RODILLO CORTADOR 17 CM TVRD100</t>
  </si>
  <si>
    <t>RC11</t>
  </si>
  <si>
    <t>RODILLO CORTADOR DE 18 CM PARA MAQUINA TVR</t>
  </si>
  <si>
    <t>RODILLO CORTADOR 18 CM P/MAQ TVR</t>
  </si>
  <si>
    <t>RC02</t>
  </si>
  <si>
    <t>RODILLO CORTADOR DE 18 CM PARA MAQUINA TVRD-80</t>
  </si>
  <si>
    <t>RODILLO CORTADOR 18CM MAQUINA TVRD80</t>
  </si>
  <si>
    <t>RC19</t>
  </si>
  <si>
    <t xml:space="preserve">RODILLO CORTADOR DE 19 CM PARA CABEZAL RESTAURANTERO CHICO ECONOMICO CON RODILLO DE 4" </t>
  </si>
  <si>
    <t xml:space="preserve">RODILLO CORTADOR 19CM P/CABEZAL ECO 4 </t>
  </si>
  <si>
    <t>RC56</t>
  </si>
  <si>
    <t xml:space="preserve">RODILLO CORTADOR DE 20 CM PARA CABEZAL RESTAURANTERO </t>
  </si>
  <si>
    <t xml:space="preserve">RODILLO CORTADOR DE 20 CM P/CAB REST </t>
  </si>
  <si>
    <t>RC163</t>
  </si>
  <si>
    <t>RODILLO CORTADOR DE 20 CM PARA MAQUINA TVRM</t>
  </si>
  <si>
    <t>RODILLO CORTADOR DE 20 CM P/ TVRM</t>
  </si>
  <si>
    <t>RC12</t>
  </si>
  <si>
    <t>RODILLO CORTADOR DE 20CM PARA MAQUINA TVRS DE 3" DE DIÁMETRO</t>
  </si>
  <si>
    <t>RODILLO CORTADOR 20CM MAQ TVRS 3PULG DIA</t>
  </si>
  <si>
    <t>RC67</t>
  </si>
  <si>
    <t>RODILLO CORTADOR DE 21 CM PARA MAQUINA TVRM</t>
  </si>
  <si>
    <t>RODILLO CORTADOR 21CM P/MAQUINA TVRM</t>
  </si>
  <si>
    <t>RC35</t>
  </si>
  <si>
    <t>RODILLO CORTADOR DE 29X17 PARA MAQUINA TVRM PARA HUARACHE</t>
  </si>
  <si>
    <t>RODILLO CORTADOR 29X17 P/TVRM HUARACHE</t>
  </si>
  <si>
    <t>RC152</t>
  </si>
  <si>
    <t>RODILLO CORTADOR DE 30X20 OVALADO PARA MAQUINA TVR40</t>
  </si>
  <si>
    <t>RODILLO CORTADOR 30X20 OVAL P/MAQ TVR40</t>
  </si>
  <si>
    <t>RC41</t>
  </si>
  <si>
    <t>RODILLO CORTADOR DE 7X7 CM PARA MAQUINA TVRD PARA TOTOPOS</t>
  </si>
  <si>
    <t>RODILLO CORTADOR 7X7CM P/TVRD TOTOPOS</t>
  </si>
  <si>
    <t>RC58</t>
  </si>
  <si>
    <t>RODILLO CORTADOR DE 7X7 CM PARA MAQUINA TVRD50 PARA TOTOPOS</t>
  </si>
  <si>
    <t>RC62</t>
  </si>
  <si>
    <t>RODILLO CORTADOR DE CORAZON DE 17X17 CM PARA MAQUINA TVRS</t>
  </si>
  <si>
    <t>RODILLO CORTADOR CORAZON 17X17CM TVRS</t>
  </si>
  <si>
    <t>RC165</t>
  </si>
  <si>
    <t>RODILLO CORTADOR DE CORAZÓN PARA MAQUINA TVRM</t>
  </si>
  <si>
    <t>RODILLO CORTADOR CORAZÓN P/TVRM</t>
  </si>
  <si>
    <t>RC74</t>
  </si>
  <si>
    <t>RODILLO CORTADOR DE CUCHARA PARA MAQUINA TVRM</t>
  </si>
  <si>
    <t>RODILLO CORTADOR CUCHARA TVRM</t>
  </si>
  <si>
    <t>RC104</t>
  </si>
  <si>
    <t>RODILLO CORTADOR DE FLAUTA O HUARACHE DE 14 X 24 PARA MAQUINA TVR-20</t>
  </si>
  <si>
    <t>RODILLO CORTADOR FLAU/HUARAC14X24 TVR-20</t>
  </si>
  <si>
    <t>RC149</t>
  </si>
  <si>
    <t>RODILLO CORTADOR DE GALLETAS CUADRADA PARA COCKTAIL TVRM60 DE LINEA</t>
  </si>
  <si>
    <t>RODILLO CORTADOR GALLETA CUADRADA</t>
  </si>
  <si>
    <t>RC160</t>
  </si>
  <si>
    <t>RODILLO CORTADOR DE HUARACHE DE 15 X 22 PARA CABEZAL RESTAURANTERO</t>
  </si>
  <si>
    <t>RODILLO CORTADOR HUARACHE 15X22 CAB REST</t>
  </si>
  <si>
    <t>RC150</t>
  </si>
  <si>
    <t>RODILLO CORTADOR DE HUARACHE PARA CABEZAL RESTAURANTERO 4''</t>
  </si>
  <si>
    <t>RODILLO CORTADOR DE HUARACHE CAB REST4</t>
  </si>
  <si>
    <t>RO123</t>
  </si>
  <si>
    <t>RODILLO CORTADOR DE HUARACHE PARA CABEZAL RESTAURANTERO DE PIEDRA</t>
  </si>
  <si>
    <t>RODILLO CORTADOR HUARACHE P/CAB RES PIED</t>
  </si>
  <si>
    <t>RC60</t>
  </si>
  <si>
    <t>RODILLO CORTADOR DE JULIANAS DE 1.5 CM DE ANCHO PARA MAQUINA WR-100</t>
  </si>
  <si>
    <t>RODILLO CORTADOR JULIANA 1.5CM P/W100</t>
  </si>
  <si>
    <t>RC84</t>
  </si>
  <si>
    <t>RODILLO CORTADOR DE NACHOS DE 6 CM, 3 FILAS 5 PROYECCIONES, PARA MÁQUINA ESPECIAL (No vendida por nosotros)</t>
  </si>
  <si>
    <t>RODILLO CORTADOR NACHOS 6CM 3FI 5PR ESPE</t>
  </si>
  <si>
    <t>RC164</t>
  </si>
  <si>
    <t>RODILLO CORTADOR DE NACHOS DE 7 CM PARA MAQUINA TVRM</t>
  </si>
  <si>
    <t>RODILLO CORTADOR NACHOS 7CM P/TVRM</t>
  </si>
  <si>
    <t>RC159</t>
  </si>
  <si>
    <t>RODILLO CORTADOR DE NACHOS DE 8 CM, 2 FILAS 6 PROYECCIONES, PARA MÁQUINA TVRS</t>
  </si>
  <si>
    <t>RODILLO CORTADOR NACHOS 8CM 2FI 6PR TVRS</t>
  </si>
  <si>
    <t>RC102</t>
  </si>
  <si>
    <t>RODILLO CORTADOR DE NACHOS PARA MAQUINA TVR-20</t>
  </si>
  <si>
    <t>RODILLO CORTADOR NACHOS P/TVR-20</t>
  </si>
  <si>
    <t>RC42</t>
  </si>
  <si>
    <t xml:space="preserve">RODILLO CORTADOR DE NACHOS PARA MAQUINA TVRD </t>
  </si>
  <si>
    <t xml:space="preserve">RODILLO CORTADOR NACHOS P/TVRD </t>
  </si>
  <si>
    <t>RC144</t>
  </si>
  <si>
    <t>RODILLO CORTADOR DE NACHOS REDONDO DE 6 CM PARA MAQUINA WALMART</t>
  </si>
  <si>
    <t>RODILLO CORTADOR NACHOS REDONDO 6CM</t>
  </si>
  <si>
    <t>RC06</t>
  </si>
  <si>
    <t>RODILLO CORTADOR DE NACHOS REDONDO DE 9 CM PARA MAQUINA DE RODILLOS TVRS</t>
  </si>
  <si>
    <t>RODILLO CORTADOR NACHOS REDONDO 9CM TVRS</t>
  </si>
  <si>
    <t>RC66</t>
  </si>
  <si>
    <t>RODILLO CORTADOR DE TOTOPO DE 3CM PARA MAQUINA TVRS</t>
  </si>
  <si>
    <t>RODILLO CORT TOTOPO 3CM P/MAQUINA TVRS</t>
  </si>
  <si>
    <t>RC155</t>
  </si>
  <si>
    <t>RODILLO CORTADOR DE TOTOPOS DE 6X6 CM PARA MAQUINA TVRM (DIAMETRO 4")</t>
  </si>
  <si>
    <t>RODILLO CORTADOR TOTOPOS 6X6CMX4PLG TVRM</t>
  </si>
  <si>
    <t>RC154</t>
  </si>
  <si>
    <t>RODILLO CORTADOR DE TOTOPOS DE 7X7 CM PARA MAQUINA TVRM (DIAMETRO 4")</t>
  </si>
  <si>
    <t>RODILLO CORTADOR TOTOPOS 7X7CMX4PLG TVRM</t>
  </si>
  <si>
    <t>RC101</t>
  </si>
  <si>
    <t>RODILLO CORTADOR DE TOTOPOS PARA MAQUINA TVR-20</t>
  </si>
  <si>
    <t>RODILLO CORTADOR TOTOPOS P/TVR-20</t>
  </si>
  <si>
    <t>RC85</t>
  </si>
  <si>
    <t>RODILLO CORTADOR DE TRIÁNGULO DE 1.5" X 4.5 CM  PARA MAQUINA TVR</t>
  </si>
  <si>
    <t>RODILLO CORTADOR TRIÁN 1.5"X4.5CM  P/TVR</t>
  </si>
  <si>
    <t>RC44</t>
  </si>
  <si>
    <t>RODILLO CORTADOR DE TRIÁNGULO DE 8 CM POR LADO  PARA MAQUINA WALMART</t>
  </si>
  <si>
    <t>RODILLO CORTADOR TRIÁN 8CM P/WALMART</t>
  </si>
  <si>
    <t>RC00</t>
  </si>
  <si>
    <t>RODILLO CORTADOR ESPECIAL</t>
  </si>
  <si>
    <t>RC153</t>
  </si>
  <si>
    <t>RODILLO CORTADOR No. 22 PARA CABEZAL RESTAURANTERO DE RODILLOS DE POLIGAR 4''</t>
  </si>
  <si>
    <t>RODILLO CORTADOR 22 P/CAB REST POLIGAR 4</t>
  </si>
  <si>
    <t>RC75</t>
  </si>
  <si>
    <t>RODILLO CORTADOR OVALADO DE 8 CM DE LARGO X 4.5 CM DE ANCHO</t>
  </si>
  <si>
    <t>RODILLO CORTADOR OVALADO 8CM X 4.5CM</t>
  </si>
  <si>
    <t>RC43</t>
  </si>
  <si>
    <t>RODILLO CORTADOR P/MQUINA VW-100 14 CM</t>
  </si>
  <si>
    <t>RC161</t>
  </si>
  <si>
    <t xml:space="preserve">RODILLO CORTADOR PARA HUARACHE O FLAUTA DE 25 X 17 CM PARA CABEZAL RESTAURANTERO </t>
  </si>
  <si>
    <t>RODILLO CORTADOR HUAR/FLAU 25X17 CAB RES</t>
  </si>
  <si>
    <t>RC01</t>
  </si>
  <si>
    <t>RODILLO CORTADOR PARA MAQUINA TVR PARA TOTOPOS</t>
  </si>
  <si>
    <t>RODILLO CORTADOR P/MAQ TVR P/TOTOPOS</t>
  </si>
  <si>
    <t>RC148</t>
  </si>
  <si>
    <t>RODILLO CORTADOR PARA MAQUINA TVR-40 EN FORMA DE FIGURAS DE ANIMALES Y FLORES</t>
  </si>
  <si>
    <t>RODILLO CORTADOR MAQ TVR40 FIG ANIMALES</t>
  </si>
  <si>
    <t>RC25</t>
  </si>
  <si>
    <t>RODILLO CORTADOR PARA MAQUINA VW100 11 CM</t>
  </si>
  <si>
    <t>RODILLO CORTADOR P/MAQUINA VW100 11 CM</t>
  </si>
  <si>
    <t>RC34</t>
  </si>
  <si>
    <t>RODILLO CORTADOR PARA NACHOS DE 7 CM PARA TVRS</t>
  </si>
  <si>
    <t>RODILLO CORTADOR NACHOS 7 CM P/TVRS</t>
  </si>
  <si>
    <t>RC76</t>
  </si>
  <si>
    <t>RODILLO CORTADOR RECTANGULAR DE 8 CM DE LARGO X 4.5 CM DE ANCHO</t>
  </si>
  <si>
    <t>RODILLO CORTADOR RECTANGULAR 8CM X 4.5CM</t>
  </si>
  <si>
    <t>RC63</t>
  </si>
  <si>
    <t>RODILLO CORTADOR RECTANGULO DE 11X21 CM PARA MAQUINA TVRS</t>
  </si>
  <si>
    <t>RODILLO CORTADOR RECTANGULO 11X21CM TVRS</t>
  </si>
  <si>
    <t>RO09</t>
  </si>
  <si>
    <t>RODILLO DE 1/2" DÚPLEX</t>
  </si>
  <si>
    <t>RODILLO DE 1/2 DPLX</t>
  </si>
  <si>
    <t>RO112</t>
  </si>
  <si>
    <t>RODILLO DE 1/2" PARA DESLIZADOR MECÁNICO</t>
  </si>
  <si>
    <t>RODILLO 1/2 P/DESLIZADOR MECANICO</t>
  </si>
  <si>
    <t>RO74</t>
  </si>
  <si>
    <t xml:space="preserve">RODILLO DE 1/2" PARA MÁQUINA MÉRIDA </t>
  </si>
  <si>
    <t xml:space="preserve">RODILLO DE 1/2 PARA MAQUINA MERIDA </t>
  </si>
  <si>
    <t>RO10</t>
  </si>
  <si>
    <t>RODILLO DE 1/2" SENCILLO</t>
  </si>
  <si>
    <t>RODILLO DE 1/2 SENCILLO</t>
  </si>
  <si>
    <t>RO10C</t>
  </si>
  <si>
    <t>RO125</t>
  </si>
  <si>
    <t>RODILLO DE 3'' PARA COLUMPIO CON BANDA DE TEFLON (TRASERO)</t>
  </si>
  <si>
    <t>RODILLO 3'' COLUMPIO BANDA TEFLON TRASER</t>
  </si>
  <si>
    <t>RO133</t>
  </si>
  <si>
    <t>RODILLO DE 3/8 PARA COLUMPIO 70</t>
  </si>
  <si>
    <t>RO11</t>
  </si>
  <si>
    <t>RODILLO DE ALUMINIO PARA MALLA COLUMPIO DÚPLEX</t>
  </si>
  <si>
    <t>RODILLO ALUMINIO P/MALLA COLUMPIO DPLX</t>
  </si>
  <si>
    <t>RO126</t>
  </si>
  <si>
    <t>RODILLO DE METAL PARA CABEZAL RESTAURANTERO DE PIEDRA</t>
  </si>
  <si>
    <t>RODILLO METAL P/CABEZAL REST PIEDRA</t>
  </si>
  <si>
    <t>RO77</t>
  </si>
  <si>
    <t>RODILLO DE PIEDRA PARA CABEZAL RESTAURANTERO DE PIEDRA</t>
  </si>
  <si>
    <t>RODILLO PIEDRA P/CABEZAL REST PIEDRA</t>
  </si>
  <si>
    <t>RO132</t>
  </si>
  <si>
    <t>RODILLO DE PRESION PARA CABEZAL SENCILLO (TERCER RODILLO) PARA MAQUINA PETITE</t>
  </si>
  <si>
    <t>RODILLO PRESION CAB SENC 3ER ROD PETITE</t>
  </si>
  <si>
    <t>RO111</t>
  </si>
  <si>
    <t>RODILLO DE PRESION PARA CABEZAL SENCILLO (TERCER RODILLO) PARA MAQUINA SENCILLA</t>
  </si>
  <si>
    <t>RODILLO PRESION CAB SEN 3ER ROD SENCILLA</t>
  </si>
  <si>
    <t>RO116</t>
  </si>
  <si>
    <t>RODILLO DELANTERO PARA ENFRIADOR</t>
  </si>
  <si>
    <t>RO30</t>
  </si>
  <si>
    <t xml:space="preserve">RODILLO DUPLEX CON MALLA DE 18'' PARA ENFRIADOR DE 5 PASOS </t>
  </si>
  <si>
    <t>RODILLO DPLX C/MALLA 18 P/ENFRIAD 5PASOS</t>
  </si>
  <si>
    <t>RO29</t>
  </si>
  <si>
    <t xml:space="preserve">RODILLO DUPLEX DE 18'' PARA ENFRIADOR DE 5 PASOS </t>
  </si>
  <si>
    <t xml:space="preserve">RODILLO DPLX 18 P/ENFRIADOR 5 PASOS </t>
  </si>
  <si>
    <t>RO124</t>
  </si>
  <si>
    <t>RODILLO LARGO CON BALERO PARA COLUMPIO CON BANDA DE TEFLON (DELANTERO)</t>
  </si>
  <si>
    <t>RODILLO LGO BLERO COLUMP BANDA TEF DLANT</t>
  </si>
  <si>
    <t>RO130</t>
  </si>
  <si>
    <t>RODILLO LISO MACHO 10"X8.5" PARA MAQUINA MOD. NUEVO DISEÑO W100</t>
  </si>
  <si>
    <t>RODILLO LSO MACHO 10"X8.5" W100 NVOMOD</t>
  </si>
  <si>
    <t>RO128</t>
  </si>
  <si>
    <t>RODILLO LISO MACHO 15.5"X8.5" PARA MAQUINA MOD. NUEVO DISEÑO W100</t>
  </si>
  <si>
    <t>RODILLO LSO MACHO 15.5"X8.5" W100 NVOMOD</t>
  </si>
  <si>
    <t>RO93</t>
  </si>
  <si>
    <t>RODILLO NEGRO DE POLIGAR HEMBRA PARA CABEZAL RESTAURANTERO CHICO</t>
  </si>
  <si>
    <t>RODILLO NEGRO POLIGAR HEMBR CABREST CHIC</t>
  </si>
  <si>
    <t>RO91</t>
  </si>
  <si>
    <t>RODILLO NEGRO DE POLIGAR HEMBRA PARA PONY</t>
  </si>
  <si>
    <t>RODILLO NEGRO POLIGAR HEMBRA P/PONY</t>
  </si>
  <si>
    <t>RO60</t>
  </si>
  <si>
    <t>RODILLO NEGRO DE POLIGAR HEMBRA PARA TVRM</t>
  </si>
  <si>
    <t>RODILLO NEGRO POLIGAR HEMBRA TVRM</t>
  </si>
  <si>
    <t>RO98</t>
  </si>
  <si>
    <t>RODILLO NEGRO DE POLIGAR HEMBRA PARA TVRSENC.</t>
  </si>
  <si>
    <t>RODILLO NEGRO POLIGAR HEMBRA TVR</t>
  </si>
  <si>
    <t>RO62</t>
  </si>
  <si>
    <t>RODILLO NEGRO DE POLIGAR HEMBRA TVRD100</t>
  </si>
  <si>
    <t>RODILLO NEGRO POLIGAR HEMBRA TVRD</t>
  </si>
  <si>
    <t>RO94</t>
  </si>
  <si>
    <t>RODILLO NEGRO DE POLIGAR MACHO PARA CABEZAL RESTAURANTERO CHICO</t>
  </si>
  <si>
    <t>RODILLO NEGRO POLIGAR MACHO CABREST CHIC</t>
  </si>
  <si>
    <t>RO92</t>
  </si>
  <si>
    <t>RODILLO NEGRO DE POLIGAR MACHO PARA PONY</t>
  </si>
  <si>
    <t>RO61</t>
  </si>
  <si>
    <t>RODILLO NEGRO DE POLIGAR MACHO PARA TVRM</t>
  </si>
  <si>
    <t>RO99</t>
  </si>
  <si>
    <t>RODILLO NEGRO DE POLIGAR MACHO PARA TVRSENC.</t>
  </si>
  <si>
    <t>RODILLO NEGRO POLIGAR MACHO TVR</t>
  </si>
  <si>
    <t>RO63</t>
  </si>
  <si>
    <t>RODILLO NEGRO DE POLIGAR MACHO TVRD100</t>
  </si>
  <si>
    <t>RO12</t>
  </si>
  <si>
    <t>RODILLO NO.1 SENCILLO MODELO ANTERIOR</t>
  </si>
  <si>
    <t>RODILLO NO.1 SENCILLO MA</t>
  </si>
  <si>
    <t>RO13</t>
  </si>
  <si>
    <t>RODILLO NO.2 TABLETA CHICA DÚPLEX MODELO ANTERIOR</t>
  </si>
  <si>
    <t>RODILLO NO.2 TABLETA CHICA DPLX MA</t>
  </si>
  <si>
    <t>RO14</t>
  </si>
  <si>
    <t>RODILLO NO.2 TABLETA CHICA SENCILLO MODELO ANTERIOR</t>
  </si>
  <si>
    <t>RODILLO NO.2 TABLETA CHICA SENCILLO MA</t>
  </si>
  <si>
    <t>RO15</t>
  </si>
  <si>
    <t>RODILLO NO.2 TABLETA GRANDE DÚPLEX MODELO ANTERIOR</t>
  </si>
  <si>
    <t>RODILLO NO.2 TABLETA GRANDE DPLX MA</t>
  </si>
  <si>
    <t>RO16</t>
  </si>
  <si>
    <t>RODILLO NO.2 TABLETA GRANDE SENCILLO MODELO ANTERIOR</t>
  </si>
  <si>
    <t>RODILLO NO.2 TABLETA GRANDE SENCILLO MA</t>
  </si>
  <si>
    <t>RO17</t>
  </si>
  <si>
    <t>RODILLO NO.3 ESCALONADO DÚPLEX MODELO ANTERIOR</t>
  </si>
  <si>
    <t>RODILLO NO.3 ESCALONADO DPLX MA</t>
  </si>
  <si>
    <t>RO18</t>
  </si>
  <si>
    <t>RODILLO NO.3 ESCALONADO SENCILLO MODELO ANTERIOR</t>
  </si>
  <si>
    <t>RODILLO NO.3 ESCALONADO SENCILLO MA</t>
  </si>
  <si>
    <t>RO45</t>
  </si>
  <si>
    <t>RODILLO P/COLUM DE 1/2 X 34 CM P/CABEZAL REST 4" INOX</t>
  </si>
  <si>
    <t>RODILLO P/COLUM 1/2" P/CAB REST 4" INOX</t>
  </si>
  <si>
    <t>RO127</t>
  </si>
  <si>
    <t>RODILLO PARA BANDA METÁLICA DE MÁQUINA W-100 NUEVA</t>
  </si>
  <si>
    <t>RODILLO P/BANDA METÁLICA DE W-100 NUEVA</t>
  </si>
  <si>
    <t>RO37</t>
  </si>
  <si>
    <t>RODILLO PARA COLUMPIO CON MALLA GALVANIZADA SOLDADA CON FLECHA PARA MAQUINA TVR</t>
  </si>
  <si>
    <t>RODILLO P/COLUMPIO C/MALLA GALV SOLD TVR</t>
  </si>
  <si>
    <t>RO102</t>
  </si>
  <si>
    <t>RODILLO PARA COLUMPIO CON MALLA GALVANIZADA SOLDADA CON FLECHA PARA MAQUINA TVRM</t>
  </si>
  <si>
    <t>RODILLO P/COLUM C/MALLA GALV CONFLE TVRM</t>
  </si>
  <si>
    <t>RO121</t>
  </si>
  <si>
    <t>RODILLO PARA COLUMPIO CON MALLA GALVANIZADA SOLDADA SIN FLECHA PARA MAQUINA TVRM</t>
  </si>
  <si>
    <t>RODILLO P/COLUM C/MALLA GALV SINFLE TVRM</t>
  </si>
  <si>
    <t>RO33</t>
  </si>
  <si>
    <t>RODILLO PARA COLUMPIO CON MALLA PARA MAQUINA W-100 NUEVA</t>
  </si>
  <si>
    <t>RODILLO P/COLUMPIO C/MALLA P/W-100 NUEVA</t>
  </si>
  <si>
    <t>RO19</t>
  </si>
  <si>
    <t>RODILLO PARA DESLIZADOR MECÁNICO CON PERNO DÚPLEX</t>
  </si>
  <si>
    <t>RODILLO P/DESLIZADOR MECAN C/PERNO DPLX</t>
  </si>
  <si>
    <t>RO20</t>
  </si>
  <si>
    <t>RODILLO PARA DESLIZADOR MECÁNICO CON PERNO SENCILLO</t>
  </si>
  <si>
    <t>RODILLO P/DESLIZADOR MECAN C/PERNO SENC</t>
  </si>
  <si>
    <t>RO21</t>
  </si>
  <si>
    <t>RODILLO PARA ENFRIADOR CON PERNO DÚPLEX</t>
  </si>
  <si>
    <t>RODILLO P/ENFRIADOR C/PERNO DPLX</t>
  </si>
  <si>
    <t>RO22</t>
  </si>
  <si>
    <t>RODILLO PARA ENFRIADOR CON PERNO SENCILLO</t>
  </si>
  <si>
    <t>RODILLO P/ENFRIADOR C/PERNO SENC</t>
  </si>
  <si>
    <t>RO119</t>
  </si>
  <si>
    <t>RODILLO PARA ENFRIADOR INTERMEDIO CON MALLA PARA MAQUINA MERIDA</t>
  </si>
  <si>
    <t>RODILLO P/ENFRIAD INTERMED C/MALLA TVRM</t>
  </si>
  <si>
    <t>RO23</t>
  </si>
  <si>
    <t>RODILLO PARA ENFRIADOR SIN PERNO DÚPLEX</t>
  </si>
  <si>
    <t>RODILLO P/ENFRIADOR S/PERNO DPLX</t>
  </si>
  <si>
    <t>RO24</t>
  </si>
  <si>
    <t>RODILLO PARA ENFRIADOR SIN PERNO SENCILLO</t>
  </si>
  <si>
    <t>RODILLO P/ENFRIADOR S/PERNO SENC</t>
  </si>
  <si>
    <t>RO120</t>
  </si>
  <si>
    <t>RODILLO PARA ENFRIADOR TRASERO CON MALLA PARA MAQUINA MÉRIDA</t>
  </si>
  <si>
    <t>RODILLO P/ENFRIADOR TRASERO C/MALLA TVRM</t>
  </si>
  <si>
    <t>RO41</t>
  </si>
  <si>
    <t>RODILLO PARA TRANSPORTADOR 1" CON PERNO TV DUPLEX</t>
  </si>
  <si>
    <t>RODILLO P/ TRANSPORTADOR 1" C/P TV DPLX</t>
  </si>
  <si>
    <t>RO42</t>
  </si>
  <si>
    <t>RODILLO PARA TRANSPORTADOR 1" SIN PERNO TV DUPLEX</t>
  </si>
  <si>
    <t>RODILLO P/ TRANSPORTADOR 1" S/P TV DPLX</t>
  </si>
  <si>
    <t>RO43</t>
  </si>
  <si>
    <t>RODILLO PARA TRANSPORTADOR 2-1/2 " CON PERNO TV DUPLEX</t>
  </si>
  <si>
    <t>RODILLO P/TRANSPORTADOR 2-1/2 C/P TVDPLX</t>
  </si>
  <si>
    <t>RO44</t>
  </si>
  <si>
    <t>RODILLO PARA TRANSPORTADOR 2-1/2" SIN PERNO TV DUPLEX</t>
  </si>
  <si>
    <t>RODILLO P/TRANSPORTADOR 2-1/2 S/P TVDPLX</t>
  </si>
  <si>
    <t>RO25</t>
  </si>
  <si>
    <t>RODILLO PARA TRANSPORTADOR CON PERNO SENCILLO</t>
  </si>
  <si>
    <t>RODILLO P/TRANSPORTADOR C/PERNO SENC</t>
  </si>
  <si>
    <t>RO26</t>
  </si>
  <si>
    <t>RODILLO PARA TRANSPORTADOR SIN PERNO SENCILLO</t>
  </si>
  <si>
    <t>RODILLO P/TRANSPORTADOR S/PERNO SENC</t>
  </si>
  <si>
    <t>RO131</t>
  </si>
  <si>
    <t>RODILLO RANURADO HEMBRA 10" X 8.5" MOD. NUEVO DISEÑO W100</t>
  </si>
  <si>
    <t>RODILLO RANU HEMBRA 10X8.5 W100 NVOMOD</t>
  </si>
  <si>
    <t>RO129</t>
  </si>
  <si>
    <t>RODILLO RANURADO HEMBRA 15.5" X 8.5" MOD. NUEVO DISEÑO W100</t>
  </si>
  <si>
    <t>RODILLO RANU HEMBRA 15.5X8.5 W100 NVOMOD</t>
  </si>
  <si>
    <t>RO27</t>
  </si>
  <si>
    <t>RODILLO SIN CUBIERTA DE HULE PARA MALLA COLUMPIO SENCILLO</t>
  </si>
  <si>
    <t>RODILLO S/CUBIERTA HULE P/MALLA COL SENC</t>
  </si>
  <si>
    <t>RO122</t>
  </si>
  <si>
    <t>RODILLO TIPO BC FLECHA 23" 3/4 DE LARGO, DIAMETRO 1" 3 CABEZALES (CUÑERO 1/4)</t>
  </si>
  <si>
    <t>RODILLO BC FLE 23X3/4, DIAM1 3CAB CUÑ1/4</t>
  </si>
  <si>
    <t>RO115</t>
  </si>
  <si>
    <t xml:space="preserve">RODILLO TRASERO PARA ENFRIADOR </t>
  </si>
  <si>
    <t>ML84</t>
  </si>
  <si>
    <t>ROLLO DE 12 METROS DE MALLA PARA ENFRIADOR
DE 30'' GALVANIZADA</t>
  </si>
  <si>
    <t>MALLA 12MT P/ENFRIADOR 30PULG GALV</t>
  </si>
  <si>
    <t>RL01</t>
  </si>
  <si>
    <t>ROLLO DE ALAMBRE PARA MÁQUINAS DE RODILLOS</t>
  </si>
  <si>
    <t>ROLLO ALAMBRE P/MAQ RODILLOS</t>
  </si>
  <si>
    <t>RL05</t>
  </si>
  <si>
    <t>ROLLO DE MANTELES PARA MESA</t>
  </si>
  <si>
    <t>RA08</t>
  </si>
  <si>
    <t>RONDANA CUBRE POLVO PARA CLUTCH DE MOLINITO</t>
  </si>
  <si>
    <t>RONDANA CUBRE POLVO P/ CLUTCH MOLINITO</t>
  </si>
  <si>
    <t>RA10</t>
  </si>
  <si>
    <t>RONDANA DE 5/16 DE PRESIÓN</t>
  </si>
  <si>
    <t>RA04</t>
  </si>
  <si>
    <t>RONDANA DE 5/16 PLANA</t>
  </si>
  <si>
    <t>RA15</t>
  </si>
  <si>
    <t>RONDANA DE PRESION 3/8" GALVANIZADA</t>
  </si>
  <si>
    <t>RA07</t>
  </si>
  <si>
    <t>RONDANA DE PRESION 3/8" INOX</t>
  </si>
  <si>
    <t>RA12</t>
  </si>
  <si>
    <t>RONDANA DE PRESIÓN INOXIDABLE DE 1/4"</t>
  </si>
  <si>
    <t>R002</t>
  </si>
  <si>
    <t>RONDANA DE PRESION INOXIDABLE DE 1/4" -TORTIMEX -R002</t>
  </si>
  <si>
    <t>RONDANA DE PRESION INOXIDABLE DE 1/4"</t>
  </si>
  <si>
    <t>R004</t>
  </si>
  <si>
    <t>RONDANA DE PRESION INOXIDABLE DE 3/4</t>
  </si>
  <si>
    <t>R001</t>
  </si>
  <si>
    <t>RONDANA DE PRESION INOXIDABLE DE 3/8"</t>
  </si>
  <si>
    <t>R003</t>
  </si>
  <si>
    <t>RONDANA DE PRESION NEGRA 3/8"</t>
  </si>
  <si>
    <t>RA17</t>
  </si>
  <si>
    <t>RONDANA DE PRESIÓN NEGRA DE 5/16"</t>
  </si>
  <si>
    <t>RA01</t>
  </si>
  <si>
    <t>RONDANA PARA CORONA DÚPLEX</t>
  </si>
  <si>
    <t>RONDANA PARA CORONA DPLX</t>
  </si>
  <si>
    <t>RA02</t>
  </si>
  <si>
    <t>RONDANA PARA CORONA SENCILLA</t>
  </si>
  <si>
    <t>RA20</t>
  </si>
  <si>
    <t>RONDANA PARA CORONA SENCILLA  K-100</t>
  </si>
  <si>
    <t>RA99</t>
  </si>
  <si>
    <r>
      <rPr>
        <rFont val="Didact Gothic"/>
        <sz val="9.0"/>
      </rPr>
      <t xml:space="preserve">RONDANA PLANA 1/4" EN ACERO INOX. T-304 </t>
    </r>
    <r>
      <rPr>
        <rFont val="Didact Gothic"/>
        <sz val="9.0"/>
      </rPr>
      <t>GRADO ALIMENTICIO</t>
    </r>
    <r>
      <rPr>
        <rFont val="Didact Gothic"/>
        <sz val="9.0"/>
      </rPr>
      <t xml:space="preserve"> PARA VARILLA DE TRAVESAÑO</t>
    </r>
  </si>
  <si>
    <t>RONDANA PLANA 1/4 INOX P/VARILLA TRAVESA</t>
  </si>
  <si>
    <t>RA03</t>
  </si>
  <si>
    <t>RONDANA PLANA 1/4" NORMAL PARA VARILLA DE TRAVESAÑO</t>
  </si>
  <si>
    <t>RONDANA PLANA 1/4 NORM P/VARILLA TRAVESA</t>
  </si>
  <si>
    <t>RA05</t>
  </si>
  <si>
    <t>RONDANA PLANA 3/8" INOX</t>
  </si>
  <si>
    <t>RA14</t>
  </si>
  <si>
    <t>RONDANA PLANA DE 3/8". GALVANIZADA</t>
  </si>
  <si>
    <t>RA13</t>
  </si>
  <si>
    <t>RONDANA PLANA GALVANIZADA DE 1/4"</t>
  </si>
  <si>
    <t>R008</t>
  </si>
  <si>
    <t>RONDANA PLANA GALVANIZADA DE 1/4" -TORTIMEX -R008</t>
  </si>
  <si>
    <t>RA11</t>
  </si>
  <si>
    <t>RONDANA PLANA INOXIDABLE DE 1/4"</t>
  </si>
  <si>
    <t>R006</t>
  </si>
  <si>
    <t>RONDANA PLANA INOXIDABLE DE 1/4" -TORTIMEX -R006</t>
  </si>
  <si>
    <t>R005</t>
  </si>
  <si>
    <t>RONDANA PLANA INOXIDABLE DE 3/8" -TORTIMEX -R005</t>
  </si>
  <si>
    <t>RONDANA PLANA INOXIDABLE DE 3/8"</t>
  </si>
  <si>
    <t>RA18</t>
  </si>
  <si>
    <t>RONDANA PLANA NEGRA DE 3/8"</t>
  </si>
  <si>
    <t>RA16</t>
  </si>
  <si>
    <t>RONDANA PLANA NEGRA DE 5/16</t>
  </si>
  <si>
    <t>RA06</t>
  </si>
  <si>
    <t>RONDANA PLANA NEGRA DE 5/16''</t>
  </si>
  <si>
    <t>RT02</t>
  </si>
  <si>
    <t>RÓTULA DE ESTÉREO CARBÓN</t>
  </si>
  <si>
    <t>ROTULA DE ESTEREO CARBON</t>
  </si>
  <si>
    <t>RT04</t>
  </si>
  <si>
    <t>RÓTULA DE ESTEREO CARBON  K-100</t>
  </si>
  <si>
    <t>RT05</t>
  </si>
  <si>
    <t>ROTULA DE ESTEREO CARBÓN A 1"</t>
  </si>
  <si>
    <t>ROTULA DE ESTEREO CARBON A 1</t>
  </si>
  <si>
    <t>RT03</t>
  </si>
  <si>
    <t>RÓTULA DE FIERRO</t>
  </si>
  <si>
    <t>ROTULA DE FIERRO</t>
  </si>
  <si>
    <t>RT01</t>
  </si>
  <si>
    <t>RÓTULAS DE FIERRO CON UN BUJE DE BRONCE</t>
  </si>
  <si>
    <t>ROTULAS DE FIERRO CON UN BUJE DE BRONCE</t>
  </si>
  <si>
    <t>RD12</t>
  </si>
  <si>
    <t>RUEDA CON FRENOS 2 1/2"</t>
  </si>
  <si>
    <t>RUEDA CON FRENOS 2 1/2</t>
  </si>
  <si>
    <t>RD13</t>
  </si>
  <si>
    <t>RUEDA DE 4'' CON FRENOS</t>
  </si>
  <si>
    <t>RD11</t>
  </si>
  <si>
    <t>RUEDA LOCA DE 2 1/2''</t>
  </si>
  <si>
    <t>RUEDA LOCA DE 2 1/2</t>
  </si>
  <si>
    <t>RUE004</t>
  </si>
  <si>
    <t xml:space="preserve">RUEDA LOCA DE 4" ECONÓMICA CON FRENO </t>
  </si>
  <si>
    <t xml:space="preserve">RUEDA LOCA DE 4" ECONÓMICA C/FRENO </t>
  </si>
  <si>
    <t>RUE003</t>
  </si>
  <si>
    <t xml:space="preserve">RUEDA LOCA DE 4" ECONÓMICA SIN FRENO </t>
  </si>
  <si>
    <t xml:space="preserve">RUEDA LOCA DE 4" ECONÓMICA S/FRENO </t>
  </si>
  <si>
    <t>RD04</t>
  </si>
  <si>
    <t>RUEDA LOCA DE NYLAMID 3" CON FRENO</t>
  </si>
  <si>
    <t>MT38</t>
  </si>
  <si>
    <t>SAZONADOR DE CILINDRO</t>
  </si>
  <si>
    <t>SE01</t>
  </si>
  <si>
    <t>SEGUIDOR REFORZADO</t>
  </si>
  <si>
    <t>SE02</t>
  </si>
  <si>
    <t>SEGUIDOR TIPO PUEBLA</t>
  </si>
  <si>
    <t>SE02C</t>
  </si>
  <si>
    <t>SG05</t>
  </si>
  <si>
    <t>SEGURO O BRAZO DE ALUMINIO PARA VÁLVULA</t>
  </si>
  <si>
    <t>SEGURO O BRAZO DE ALUMINIO PARA VALVULA</t>
  </si>
  <si>
    <t>SG01</t>
  </si>
  <si>
    <t>SEGURO O BRAZO DE BRONCE PARA VÁLVULA</t>
  </si>
  <si>
    <t>SEGURO O BRAZO DE BRONCE PARA VALVULA</t>
  </si>
  <si>
    <t>SG02</t>
  </si>
  <si>
    <t>SEGURO PARA CORONA DÚPLEX</t>
  </si>
  <si>
    <t>SEGURO PARA CORONA DPLX</t>
  </si>
  <si>
    <t>SG03</t>
  </si>
  <si>
    <t>SEGURO PARA CORONA SENCILLA</t>
  </si>
  <si>
    <t>SG07</t>
  </si>
  <si>
    <t>SEGURO PARA CORONA SENCILLA K-100</t>
  </si>
  <si>
    <t>SG04</t>
  </si>
  <si>
    <t>SEGURO PARA PALANCA DE COMPUERTA PARA MOLINO DE CONO</t>
  </si>
  <si>
    <t>SEGURO P/PALANCA COMPUERTA P/MOLINO CONO</t>
  </si>
  <si>
    <t>SL99</t>
  </si>
  <si>
    <r>
      <rPr>
        <rFont val="Didact Gothic"/>
        <sz val="9.0"/>
      </rPr>
      <t xml:space="preserve">SELLO DE HULE </t>
    </r>
    <r>
      <rPr>
        <rFont val="Didact Gothic"/>
        <sz val="9.0"/>
      </rPr>
      <t>GRADO ALIMENTICIO</t>
    </r>
  </si>
  <si>
    <t>SELLO DE HULE GRADO ALIMENTICIO</t>
  </si>
  <si>
    <t>SL01</t>
  </si>
  <si>
    <t>SELLO ESPONJA</t>
  </si>
  <si>
    <t>SP0001</t>
  </si>
  <si>
    <t>SEPARADOR 3/8 X 7/8 TUBO GALVANIZADO WALMART</t>
  </si>
  <si>
    <t>SD16</t>
  </si>
  <si>
    <t>SEPARADOR 5/8" X 40.3 CM PARA BRAZO DE CORTADOR WALMART</t>
  </si>
  <si>
    <t>SD15</t>
  </si>
  <si>
    <t>SEPARADOR CON AJUSTE PARA COLIMPIO C/U WALMART</t>
  </si>
  <si>
    <t>SETOR128</t>
  </si>
  <si>
    <t>SEPARADOR DE ALUMINIO PARA
CHUMACERA DE PISO</t>
  </si>
  <si>
    <t>WM-SD02</t>
  </si>
  <si>
    <t>SEPARADOR DE ALUMINIO PARA CHUMACERA DE PISO -TORTIMEX -SD02</t>
  </si>
  <si>
    <t>SEPARADOR D/ALUM P/CHUMACERA DE PISO</t>
  </si>
  <si>
    <t>SD01</t>
  </si>
  <si>
    <t>SEPARADOR DE BALERO PARA PUENTE PRINCIPAL MODELO ANTERIOR</t>
  </si>
  <si>
    <t>SEPARADOR BALERO P/PUENTE PPAL MA</t>
  </si>
  <si>
    <t>SD02</t>
  </si>
  <si>
    <t>SEPARADOR PARA CHUMACERA EXCÉNTRICA</t>
  </si>
  <si>
    <t>SEPARADOR CHUMACERA EXCENTRICA</t>
  </si>
  <si>
    <t>SD03</t>
  </si>
  <si>
    <t>SEPARADOR PARA COLUMPIO</t>
  </si>
  <si>
    <t>SEPARADOR COLUMPIO</t>
  </si>
  <si>
    <t>WM-SD03</t>
  </si>
  <si>
    <t>SEPARADOR PARA COLUMPIO -TORTIMEX -SD03</t>
  </si>
  <si>
    <t>SD11</t>
  </si>
  <si>
    <t>SEPARADOR PARA COLUMPIO WALMART</t>
  </si>
  <si>
    <t>SD04</t>
  </si>
  <si>
    <t>SEPARADOR PARA CREMALLERA (TRINQUETE)</t>
  </si>
  <si>
    <t>SEPARADOR CREMALLERA (TRINQUETE)</t>
  </si>
  <si>
    <t>SD05</t>
  </si>
  <si>
    <t>SEPARADOR PARA LATERAL SENCILLO</t>
  </si>
  <si>
    <t>SEPARADOR LATERAL SENCILLO</t>
  </si>
  <si>
    <t>SD17</t>
  </si>
  <si>
    <t>SEPARADOR PARA LATERALES C/U WALMART</t>
  </si>
  <si>
    <t>SD06</t>
  </si>
  <si>
    <t>SEPARADOR PARA PUENTE ADICIONAL MODELO ANTERIOR</t>
  </si>
  <si>
    <t>SEPARADOR PUENTE ADICIONAL MA</t>
  </si>
  <si>
    <t>SD07</t>
  </si>
  <si>
    <t>SEPARADOR PARA PUENTE ADICIONAL TV-50 (B.C.)</t>
  </si>
  <si>
    <t>SEPARADOR PUENTE ADICIONAL TV50 BC</t>
  </si>
  <si>
    <t>SD08</t>
  </si>
  <si>
    <t>SEPARADOR PARA REDUCTOR DÚPLEX (1"5/32)</t>
  </si>
  <si>
    <t>SEPARADOR REDUCTOR DPLX 1 5/32</t>
  </si>
  <si>
    <t>SD09</t>
  </si>
  <si>
    <t>SEPARADOR PARA REDUCTOR ESTÁNDAR</t>
  </si>
  <si>
    <t>SEPARADOR REDUCTOR ESTANDAR</t>
  </si>
  <si>
    <t>SD10</t>
  </si>
  <si>
    <t>SEPARADOR PARA REDUCTOR SENCILLO (1"15/16)</t>
  </si>
  <si>
    <t>SEPARADOR REDUCTOR SENCILLO 1 15/16</t>
  </si>
  <si>
    <t>SF36</t>
  </si>
  <si>
    <t>SIN FIN PARA ALIMENTADOR WALMART</t>
  </si>
  <si>
    <t>SF02C</t>
  </si>
  <si>
    <t xml:space="preserve">SINFÍN ALUM ESP CHICO 2XHELICE </t>
  </si>
  <si>
    <t>SINFÍN ALUM ESP CHICO 2XHELICE</t>
  </si>
  <si>
    <t>SF13</t>
  </si>
  <si>
    <t>SINFÍN CORTO DERECHO</t>
  </si>
  <si>
    <t>SINFIN CORTO DERECHO</t>
  </si>
  <si>
    <t>SF13C</t>
  </si>
  <si>
    <t>SINFIN CORTO DERECHO (PIEZA)</t>
  </si>
  <si>
    <t>SF96</t>
  </si>
  <si>
    <t>SINFÍN CORTO DERECHO EN ACERO INOX. T-304 GRADO ALIMENTICIO</t>
  </si>
  <si>
    <t>SINFIN CORTO DERECHO INOX</t>
  </si>
  <si>
    <t>SF100</t>
  </si>
  <si>
    <t>SINFÍN CORTO DERECHO EN POLIGAR GRADO ALIMENTICIO</t>
  </si>
  <si>
    <t>SINFIN CORTO DERECHO POLIGAR</t>
  </si>
  <si>
    <t>SF12</t>
  </si>
  <si>
    <t>SINFÍN CORTO IZQUIERDO</t>
  </si>
  <si>
    <t>SINFIN CORTO IZQUIERDO</t>
  </si>
  <si>
    <t>SF12C</t>
  </si>
  <si>
    <t>SINFIN CORTO IZQUIERDO (PIEZA)</t>
  </si>
  <si>
    <t>SF97</t>
  </si>
  <si>
    <t>SINFÍN CORTO IZQUIERDO EN ACERO INOX. T-304 GRADO ALIMENTICIO</t>
  </si>
  <si>
    <t>SINFIN CORTO IZQUIERDO INOX</t>
  </si>
  <si>
    <t>SF101</t>
  </si>
  <si>
    <t>SINFÍN CORTO IZQUIERDO EN POLIGAR GRADO ALIMENTICIO</t>
  </si>
  <si>
    <t>SINFIN CORTO IZQUIERDO POLIGAR</t>
  </si>
  <si>
    <t>SF39</t>
  </si>
  <si>
    <t>SINFIN DE 48 CM DE LARGO X 2 1/2'' DE ANCHO</t>
  </si>
  <si>
    <t>SINFIN DE 48CM X 2 1/2</t>
  </si>
  <si>
    <t>SF01</t>
  </si>
  <si>
    <t>SINFÍN DE ALUMINIO ARMADO DÚPLEX</t>
  </si>
  <si>
    <t>SINFIN DE ALUMINIO ARMADO DPLX</t>
  </si>
  <si>
    <t>SF01C</t>
  </si>
  <si>
    <t>SF02</t>
  </si>
  <si>
    <t>SINFÍN DE ALUMINIO ARMADO ESPECIAL CHICO</t>
  </si>
  <si>
    <t>SINFIN DE ALUMINIO ARMADO ESPECIAL CHICO</t>
  </si>
  <si>
    <t>SF03C</t>
  </si>
  <si>
    <t>SINFIN DE ALUMINIO ARMADO SENCILLO</t>
  </si>
  <si>
    <t>SF03</t>
  </si>
  <si>
    <t>SINFÍN DE ALUMINIO ARMADO SENCILLO</t>
  </si>
  <si>
    <t>SF42</t>
  </si>
  <si>
    <t>SINFIN DER NYLAMID MAQUINADOS</t>
  </si>
  <si>
    <t>SF41C</t>
  </si>
  <si>
    <t>SINFIN ECONOMIZADOR DOBLE HÉLICE TIPO CELORIO</t>
  </si>
  <si>
    <t>SF95</t>
  </si>
  <si>
    <t>SINFÍN EN ACERO INOXIDABLE T-304-L GRADO ALIMENTICIO ARMADO SENCILLO</t>
  </si>
  <si>
    <t>SINFIN INOX ARMADO SENCILLO</t>
  </si>
  <si>
    <t>SF06</t>
  </si>
  <si>
    <t>SINFÍN GRANDE DE ALUMINIO DÚPLEX</t>
  </si>
  <si>
    <t>SINFIN GRANDE DE ALUMINIO DPLX</t>
  </si>
  <si>
    <t>SF07C</t>
  </si>
  <si>
    <t>SINFIN GRANDE DE ALUMINIO SENCILLO</t>
  </si>
  <si>
    <t>SF07</t>
  </si>
  <si>
    <t>SINFÍN GRANDE DE ALUMINIO SENCILLO</t>
  </si>
  <si>
    <t>SF16</t>
  </si>
  <si>
    <t>SINFÍN GRANEADOR EN ACERO INOXIDABLE MOLINO TORTIMEX # 1</t>
  </si>
  <si>
    <t>SINFIN GRANEADOR INOX MOL TORTIMEX1</t>
  </si>
  <si>
    <t>SF43</t>
  </si>
  <si>
    <t>SINFIN IZQ NYLAMID MAQUINADOS</t>
  </si>
  <si>
    <t>SF15</t>
  </si>
  <si>
    <t>SINFÍN LARGO DERECHO</t>
  </si>
  <si>
    <t>SINFI LARGO DERECHO</t>
  </si>
  <si>
    <t>SF15C</t>
  </si>
  <si>
    <t>SINFIN LARGO DERECHO (PIEZA)</t>
  </si>
  <si>
    <t>SF98</t>
  </si>
  <si>
    <t>SINFÍN LARGO DERECHO EN ACERO INOX. T-304 GRADO ALIMENTICIO</t>
  </si>
  <si>
    <t>SINFIN LARGO DER INOX</t>
  </si>
  <si>
    <t>SF102</t>
  </si>
  <si>
    <t>SINFÍN LARGO DERECHO EN POLIGAR GRADO ALIMENTICIO</t>
  </si>
  <si>
    <t>SINFIN LARGO DERECHO POLIGAR</t>
  </si>
  <si>
    <t>SF88</t>
  </si>
  <si>
    <t>SINFIN LARGO DERECHO MAQUINADO NAYLAMID</t>
  </si>
  <si>
    <t>SF89</t>
  </si>
  <si>
    <t>SINFIN LARGO IZQUIERD MAQUINADO NAYLAMID</t>
  </si>
  <si>
    <t>SF14</t>
  </si>
  <si>
    <t>SINFÍN LARGO IZQUIERDO</t>
  </si>
  <si>
    <t>SINFIN LARGO IZQUIERDO</t>
  </si>
  <si>
    <t>SF14C</t>
  </si>
  <si>
    <t>SINFIN LARGO IZQUIERDO (PIEZA)</t>
  </si>
  <si>
    <t>SF99</t>
  </si>
  <si>
    <t>SINFÍN LARGO IZQUIERDO EN ACERO INOX. T-304 GRADO ALIMENTICIO</t>
  </si>
  <si>
    <t>SINFIN LARGO IZQUIERDO INOX</t>
  </si>
  <si>
    <t>SF103</t>
  </si>
  <si>
    <t>SINFÍN LARGO IZQUIERDO EN POLIGAR GRADO ALIMENTICIO</t>
  </si>
  <si>
    <t>SINFIN LARGO IZQUIERDO POLIGAR</t>
  </si>
  <si>
    <t>SF17</t>
  </si>
  <si>
    <t>SINFIN P/ REDUCTOR 80</t>
  </si>
  <si>
    <t>SINFIN P/REDUCTOR 80</t>
  </si>
  <si>
    <t>SF31</t>
  </si>
  <si>
    <t xml:space="preserve">SINFÍN PARA BOLEADORA </t>
  </si>
  <si>
    <t>SF33</t>
  </si>
  <si>
    <t>SINFIN PARA BOLEADORA CON PLATO CON POLEA Y BALERO</t>
  </si>
  <si>
    <t>SF30</t>
  </si>
  <si>
    <t>SINFÍN PARA BOLEADORA Y CONO donde salen las masa</t>
  </si>
  <si>
    <t>SF37</t>
  </si>
  <si>
    <t>SINFIN PARA MOLINO CAMARADA O CONO</t>
  </si>
  <si>
    <t>SF32</t>
  </si>
  <si>
    <t>SINFIN PARA MOLINO CAMARADA O DE CONO EN ACERO AL CARBÓN</t>
  </si>
  <si>
    <t>SINFIN P/MOLINO CAMARADA FIERRO</t>
  </si>
  <si>
    <t>SF20</t>
  </si>
  <si>
    <t>SINFIN PARA MOLINO TOLUCA No. 1</t>
  </si>
  <si>
    <t>SF21</t>
  </si>
  <si>
    <t>SINFIN PARA MOLINO TOLUCA No. 2</t>
  </si>
  <si>
    <t>SF22</t>
  </si>
  <si>
    <t>SINFIN PARA MOLINO TOLUCA No. 3</t>
  </si>
  <si>
    <t>SF24</t>
  </si>
  <si>
    <t>SINFIN PARA MOLINO TORTIMEX NO. 2</t>
  </si>
  <si>
    <t>SINFIN P/MOLINO TORTIMEX2</t>
  </si>
  <si>
    <t>SF40</t>
  </si>
  <si>
    <t>SINFIN PARA REDUCTOR CHICO</t>
  </si>
  <si>
    <t>SF08</t>
  </si>
  <si>
    <t>SINFÍN PARA REDUCTOR GRANDE (CUERDA CORTA)</t>
  </si>
  <si>
    <t>SINFIN P/REDUCTOR GRANDE CUERDA CORTA</t>
  </si>
  <si>
    <t>SF09</t>
  </si>
  <si>
    <t>SINFÍN PARA REDUCTOR GRANDE (CUERDA LARGA)</t>
  </si>
  <si>
    <t>SINFIN P/REDUCTOR GRANDE CUERDA LARGA</t>
  </si>
  <si>
    <t>SF10</t>
  </si>
  <si>
    <t>SINFÍN PARA REDUCTOR GRANDE TEMPLADO (CUERDA CORTA)</t>
  </si>
  <si>
    <t>SINFIN P/REDUCTOR GDE TEMP CUERDA CORTA</t>
  </si>
  <si>
    <t>SF11</t>
  </si>
  <si>
    <t>SINFÍN PARA REDUCTOR GRANDE TEMPLADO (CUERDA LARGA)</t>
  </si>
  <si>
    <t>INFIN P/REDUCTOR GDE TEMP CUERDA LARGA</t>
  </si>
  <si>
    <t>SF25</t>
  </si>
  <si>
    <t>SINFIN PARA REDUCTOR MEDIANO</t>
  </si>
  <si>
    <t>SF05</t>
  </si>
  <si>
    <t>SINFÍN PARA TOLVA ARMADO MODELO ANTERIOR ESPECIAL CHICO (HÉLICE-FLECHA EN ACERO INOXIDABLE)</t>
  </si>
  <si>
    <t>SINFN P/TOLV ARM MA ESP CHI HEL-FLE INOX</t>
  </si>
  <si>
    <t>SF04</t>
  </si>
  <si>
    <t>SINFÍN PARA TOLVA ARMADO SENCILLO (HÉLICE-FLECHA EN ACERO INOXIDABLE)</t>
  </si>
  <si>
    <t>SINFIN P/TOLV ARM SENC HEL-FLE INOX</t>
  </si>
  <si>
    <t>SF105</t>
  </si>
  <si>
    <t>SINFÍN TIPO TOLUCA NO.2</t>
  </si>
  <si>
    <t>SINFIN TIPO TOLUCA NO.2</t>
  </si>
  <si>
    <t>SR05</t>
  </si>
  <si>
    <t>SOLERA BARRENADA PARA TIRANTES PARA MOLINO DE CONO</t>
  </si>
  <si>
    <t>SOLERA BARRENADA P/TIRANTES P/MOL CONO</t>
  </si>
  <si>
    <t>SR08</t>
  </si>
  <si>
    <t>SOLERA C/TENSOR CUERDA DE GUITARRA WALMART</t>
  </si>
  <si>
    <t>SL0002</t>
  </si>
  <si>
    <t>SOLERA DE 1/8 X 1 1/2 (BASE SWICH) WALMART</t>
  </si>
  <si>
    <t>SR01</t>
  </si>
  <si>
    <t>SOLERA DE ELEVACIÓN DÚPLEX</t>
  </si>
  <si>
    <t>SOLERA DE ELEVACION DPLX</t>
  </si>
  <si>
    <t>SR02</t>
  </si>
  <si>
    <t>SOLERA DE ELEVACIÓN SENCILLA</t>
  </si>
  <si>
    <t>SOLERA DE ELEVACION SENCILLA</t>
  </si>
  <si>
    <t>SR06</t>
  </si>
  <si>
    <t>SOLERA DEL CONTRAPESO PARA MOLINO CONO</t>
  </si>
  <si>
    <t>SR10</t>
  </si>
  <si>
    <t>SOLERA PARA COLUMPIO C/ FLECHA SOLDADA WALMART</t>
  </si>
  <si>
    <t>SR09</t>
  </si>
  <si>
    <t>SOLERA PARA PALANCA DE CORTADOR INOX WALMART</t>
  </si>
  <si>
    <t>SL0001</t>
  </si>
  <si>
    <t>SOLERA RANURADA (PARA MICRO) WALMART</t>
  </si>
  <si>
    <t>SP01</t>
  </si>
  <si>
    <t>SOPORTE CENTRAL DÚPLEX</t>
  </si>
  <si>
    <t>SOPORTE CENTRAL DPLX</t>
  </si>
  <si>
    <t>SP99</t>
  </si>
  <si>
    <t>SOPORTE CENTRAL DÚPLEX EN ACERO INOX. T-304 GRADO ALIMENTICIO</t>
  </si>
  <si>
    <t>SOPORTE CENTRAL DPLX INOX</t>
  </si>
  <si>
    <t>SP02</t>
  </si>
  <si>
    <t>SOPORTE CENTRAL SENCILLO</t>
  </si>
  <si>
    <t>SP98</t>
  </si>
  <si>
    <r>
      <rPr>
        <rFont val="Didact Gothic"/>
        <sz val="9.0"/>
      </rPr>
      <t xml:space="preserve">SOPORTE CENTRAL SENCILLO EN ACERO INOX. T-304 </t>
    </r>
    <r>
      <rPr>
        <rFont val="Didact Gothic"/>
        <sz val="9.0"/>
      </rPr>
      <t>GRADO ALIMENTICIO</t>
    </r>
  </si>
  <si>
    <t>SOPORTE CENTRAL SENCILLO INOX</t>
  </si>
  <si>
    <t>SP03</t>
  </si>
  <si>
    <t>SOPORTE DE BRONCE PARA FLECHA DÚPLEX</t>
  </si>
  <si>
    <t>SOPORTE BRONCE P/FLECHA DPLX</t>
  </si>
  <si>
    <t>SP04</t>
  </si>
  <si>
    <t>SOPORTE DE BRONCE PARA FLECHA SENCILLA</t>
  </si>
  <si>
    <t>SOPORTE BRONCE P/FLECHA SENCILLA</t>
  </si>
  <si>
    <t>SP09</t>
  </si>
  <si>
    <t>SOPORTE DE FIERRO COLADO PARA CLUTCH SENCILLO</t>
  </si>
  <si>
    <t>SP05</t>
  </si>
  <si>
    <t>SOPORTE PARA CLUTCH DÚPLEX</t>
  </si>
  <si>
    <t>SOPORTE P/CLUTCH DPLX</t>
  </si>
  <si>
    <t>SP06</t>
  </si>
  <si>
    <t>SOPORTE PARA CLUTCH SENCILLO</t>
  </si>
  <si>
    <t>SOPORTE P/CLUTCH SENCILLO</t>
  </si>
  <si>
    <t>SP07</t>
  </si>
  <si>
    <t>SOPORTE PARA FECHA PRINCIPAL SENCILLO</t>
  </si>
  <si>
    <t>SOPORTE P/FECHA PRINCIPAL SENCILLO</t>
  </si>
  <si>
    <t>SP11</t>
  </si>
  <si>
    <t>SOPORTE PARA PULIDOR DE RAYADORA SEMIAUTOMATICA</t>
  </si>
  <si>
    <t>SOPORTE P/PULIDOR D/RAYADORA SEMIAUTOMAT</t>
  </si>
  <si>
    <t>SP10</t>
  </si>
  <si>
    <t>SOPORTES PARA ACOMODADOR CON SOLERAS ( PZS.) WALMART</t>
  </si>
  <si>
    <t>SPROCKET PLASTICO PARA MALLA ENFRIDOR</t>
  </si>
  <si>
    <t>TC0001</t>
  </si>
  <si>
    <t>T" CONDUIT 1/2"</t>
  </si>
  <si>
    <t>TC0002</t>
  </si>
  <si>
    <t>T" COUIT 3/4"</t>
  </si>
  <si>
    <t>TB53</t>
  </si>
  <si>
    <t>TABLETA DE 29" DE LARGO CON 3 BISAGRAS</t>
  </si>
  <si>
    <t>TABLETA 29PULG 3 BISAGRAS</t>
  </si>
  <si>
    <t>TB13</t>
  </si>
  <si>
    <t>TABLETA DE 32 CM 2 BISAGRAS PARA MAQUINA PETITE</t>
  </si>
  <si>
    <t>TABLETA 32CM 2BISAGRAS P/ MAQUINA PETITE</t>
  </si>
  <si>
    <t>TB14</t>
  </si>
  <si>
    <t xml:space="preserve">TABLETA DE 34 CM 2 BISAGRAS PARA MAQUINA TVRM </t>
  </si>
  <si>
    <t xml:space="preserve">TABLETA 34CM 2BISAGRAS P/ MAQUINA TVRM </t>
  </si>
  <si>
    <t>TB01</t>
  </si>
  <si>
    <t>TABLETA DÚPLEX (B.C.)</t>
  </si>
  <si>
    <t>TABLETA DPLX BC</t>
  </si>
  <si>
    <t>TB03</t>
  </si>
  <si>
    <t>TABLETA DÚPLEX MODELO ANTERIOR CHICA</t>
  </si>
  <si>
    <t>TABLETA DPLX MA CHICA</t>
  </si>
  <si>
    <t>TB04</t>
  </si>
  <si>
    <t>TABLETA DÚPLEX MODELO ANTERIOR GRANDE</t>
  </si>
  <si>
    <t>TABLETA DPLX MA GRANDE</t>
  </si>
  <si>
    <t>TB54</t>
  </si>
  <si>
    <t>TABLETA ESPECIAL DE 56CM LARGO X 5CM ANCHO CON 4 BISAGRAS</t>
  </si>
  <si>
    <t>TABLETA ESP 56CMX5CM 4 BISAGRAS</t>
  </si>
  <si>
    <t>TB15</t>
  </si>
  <si>
    <t>TABLETA PARA BANDA METALICA K-100 CON O SIN SAQUE</t>
  </si>
  <si>
    <t>TABLETA P/BANDA META K-100 C/ O S/ SAQUE</t>
  </si>
  <si>
    <t>TB16</t>
  </si>
  <si>
    <t>TABLETA PARA BANDA METALICA K-200 CON O SIN SAQUE</t>
  </si>
  <si>
    <t>TABLETA P/BANDA META K-200 C/ O S/ SAQUE</t>
  </si>
  <si>
    <t>TB58</t>
  </si>
  <si>
    <t>TABLETA PARA BANDA METÁLICA RODOTEC</t>
  </si>
  <si>
    <t>TB18</t>
  </si>
  <si>
    <t>TABLETA PARA COMAL CUADRUPLE CON ESLABÓN</t>
  </si>
  <si>
    <t>TB17</t>
  </si>
  <si>
    <t>TABLETA PARA COMAL CUADRUPLE SIN ESLABON</t>
  </si>
  <si>
    <t>TB10</t>
  </si>
  <si>
    <t>TABLETA PARA COMAL PARA MAQUINA WALMART</t>
  </si>
  <si>
    <t>TB57</t>
  </si>
  <si>
    <t>TABLETA PARA MAQUINA MÉRIDA</t>
  </si>
  <si>
    <t>TABLETA PARA MAQUINA MERIDA</t>
  </si>
  <si>
    <t>TB05</t>
  </si>
  <si>
    <t>TABLETA SENCILLA MODELO ANTERIOR CHICA</t>
  </si>
  <si>
    <t>TB07</t>
  </si>
  <si>
    <t>TABLETA SENCILLA MODELO ANTERIOR ESPECIAL PARA COMAL DE 100 TABLETAS</t>
  </si>
  <si>
    <t>TABLETA SENCILLA MA ESP</t>
  </si>
  <si>
    <t>TB08</t>
  </si>
  <si>
    <t>TABLETA SENCILLA MODELO ANTERIOR ESPECIAL PARA COMAL DE 92 TABLETAS</t>
  </si>
  <si>
    <t>TB06</t>
  </si>
  <si>
    <t>TABLETA SENCILLA MODELO ANTERIOR GRANDE</t>
  </si>
  <si>
    <t>TB02</t>
  </si>
  <si>
    <t>TABLETA SENCILLA TV-50 (B.C.)</t>
  </si>
  <si>
    <t>TABLETA SENCILLA TV50 BC</t>
  </si>
  <si>
    <t>TB02C</t>
  </si>
  <si>
    <t>TA01</t>
  </si>
  <si>
    <t>TANQUE ACERO INOXIDABLE MOLINO TOLICA #1</t>
  </si>
  <si>
    <t>TA02</t>
  </si>
  <si>
    <t>TANQUE ACERO INOXIDABLE MOLINO TOLICA #2</t>
  </si>
  <si>
    <t>TA03</t>
  </si>
  <si>
    <t>TANQUE DE AGUA MOLINO TOLUCA #3</t>
  </si>
  <si>
    <t>TANQUE AGUA MOLINO TOLUCA3</t>
  </si>
  <si>
    <t>TP17</t>
  </si>
  <si>
    <t>TAPA  EN ACERO INOX T-430 CON BISAGRAS PARA  AMASADORA DE TAMAL 1OO KG</t>
  </si>
  <si>
    <t>TAPA  INOX430 C/BISAG P/AMASAD TAMAL 1OO</t>
  </si>
  <si>
    <t>TP01</t>
  </si>
  <si>
    <t>TAPA ÁGUILA CUBRE CADENA DE FIERRO</t>
  </si>
  <si>
    <t>TAPA AGUILA CUBRE CADENA DE FIERRO</t>
  </si>
  <si>
    <t>TP02</t>
  </si>
  <si>
    <t>TAPA ÁGUILA CUBRE CADENA EN ACERO INOXIDABLE</t>
  </si>
  <si>
    <t>TAPA AGUILA CUBRE CADENA INOX</t>
  </si>
  <si>
    <t>MX38</t>
  </si>
  <si>
    <t>TAPA CON BISAGRAS EN ACERO INOX TIPO 430 PARA EVITAR QUE EL CALOR SE FUGUE (PARA PAILA DE 1000 KG)</t>
  </si>
  <si>
    <t>MX34</t>
  </si>
  <si>
    <t>TAPA CON BISAGRAS EN ACERO INOX TIPO 430 PARA EVITAR QUE EL CALOR SE FUGUE (PARA PAILA DE 150 KG)</t>
  </si>
  <si>
    <t>MX35</t>
  </si>
  <si>
    <t>TAPA CON BISAGRAS EN ACERO INOX TIPO 430 PARA EVITAR QUE EL CALOR SE FUGUE (PARA PAILA DE 200  Y 300 KG)</t>
  </si>
  <si>
    <t>MX36</t>
  </si>
  <si>
    <t>TAPA CON BISAGRAS EN ACERO INOX TIPO 430 PARA EVITAR QUE EL CALOR SE FUGUE (PARA PAILA DE 500 KG)</t>
  </si>
  <si>
    <t>MX37</t>
  </si>
  <si>
    <t>TAPA CON BISAGRAS EN ACERO INOX TIPO 430 PARA EVITAR QUE EL CALOR SE FUGUE (PARA PAILA DE 750 KG)</t>
  </si>
  <si>
    <t>TP39</t>
  </si>
  <si>
    <t>TAPA CUBRE ENGRANE PARA CABEZAL RESTAURANTERO DE PIEDRA</t>
  </si>
  <si>
    <t>TAPA CUBRE ENGRANE P/CABEZAL REST PIEDRA</t>
  </si>
  <si>
    <t>WM-TP18</t>
  </si>
  <si>
    <t>TAPA DE CUBRE POLEA Y TAPA DE CUBRE CADENA -TORTIMEX -TP18</t>
  </si>
  <si>
    <t>TAPA DE CUBRE POLEA Y CUBRE CADENA</t>
  </si>
  <si>
    <t>TP06</t>
  </si>
  <si>
    <t>TAPA DE CUBRE POLEA Y TAPA DE CUBRE CADENA AMASADORA 20 KG WALMART</t>
  </si>
  <si>
    <t>TP14</t>
  </si>
  <si>
    <t>TAPA DE CUBRE POLEA Y TAPA DE CUBRE CADENA AMASADORA 40 KG WALMART</t>
  </si>
  <si>
    <t>TP40</t>
  </si>
  <si>
    <t>TAPA DE FUEGO MÁQUINA WALMART</t>
  </si>
  <si>
    <t>TP15</t>
  </si>
  <si>
    <t>TAPA DELANTERA DERECHA WALMART W50/W100</t>
  </si>
  <si>
    <t>TP16</t>
  </si>
  <si>
    <t>TAPA DELANTERA IZQUIERDA WALMART W50/W100</t>
  </si>
  <si>
    <t>TP18</t>
  </si>
  <si>
    <t>TAPA LATERAL PARA AMASADORA DE 100 KG. ACERO INOXIDABLE 430</t>
  </si>
  <si>
    <t>TAPA LATERAL AMASADORA 100KG INOX430</t>
  </si>
  <si>
    <t>TP26</t>
  </si>
  <si>
    <t>TAPA LATERAL PARA AMASADORA DE 25 KG. ACERO INOXIDABLE 430</t>
  </si>
  <si>
    <t>TAPA LATERAL AMASADORA 25KG INOX430</t>
  </si>
  <si>
    <t>TP27</t>
  </si>
  <si>
    <t>TAPA LATERAL PARA AMASADORA DE 50 KG. ACERO INOXIDABLE 430</t>
  </si>
  <si>
    <t>TAPA LATERAL AMASADORA 50KG INOX430</t>
  </si>
  <si>
    <t>TP05</t>
  </si>
  <si>
    <t>TAPA P/MESA ENFRIAD LAT INOX 56.5X25 CM</t>
  </si>
  <si>
    <t>TP03</t>
  </si>
  <si>
    <t>TAPA PARA CENTRO DE VENTILADOR 6202</t>
  </si>
  <si>
    <t>TP04</t>
  </si>
  <si>
    <t>TAPA PARA CENTRO DE VENTILADOR 6303</t>
  </si>
  <si>
    <t>TP07</t>
  </si>
  <si>
    <t>TAPA PARA REDUCTOR CHICA CON BARRENO SUPERIOR</t>
  </si>
  <si>
    <t>TAPA P/REDUCTOR CHICA C/BARRENO SUPERIOR</t>
  </si>
  <si>
    <t>TP08</t>
  </si>
  <si>
    <t>TAPA PARA REDUCTOR CHICA SIN BARRENO SUPERIOR</t>
  </si>
  <si>
    <t>TAPA P/REDUCTOR CHICA S/BARRENO SUPERIOR</t>
  </si>
  <si>
    <t>TP09</t>
  </si>
  <si>
    <t>TAPA PARA REDUCTOR GRANDE DÚPLEX</t>
  </si>
  <si>
    <t>TAPA P/REDUCTOR GRANDE DPLX</t>
  </si>
  <si>
    <t>TP10</t>
  </si>
  <si>
    <t>TAPA PARA REDUCTOR GRANDE SENCILLO</t>
  </si>
  <si>
    <t>TAPA P/REDUCTOR GRANDE SENCILLO</t>
  </si>
  <si>
    <t>TP37</t>
  </si>
  <si>
    <t>TAPON AHOGADO</t>
  </si>
  <si>
    <t>TP36</t>
  </si>
  <si>
    <t>TAPON CACHUCHA DE 3/4" GALVANIZADO</t>
  </si>
  <si>
    <t>TP38</t>
  </si>
  <si>
    <t>TAPON CON BARRENO</t>
  </si>
  <si>
    <t>TP11</t>
  </si>
  <si>
    <t>TAPÓN PARA CAJA DE REDUCTOR 3/8</t>
  </si>
  <si>
    <t>TAPON P/CAJA DE REDUCTOR 3/8</t>
  </si>
  <si>
    <t>TP12</t>
  </si>
  <si>
    <t>TAPÓN PARA CAJA DE REDUCTOR 3/8 BARRENADO</t>
  </si>
  <si>
    <t>TAPON P/CAJA DE REDUCTOR 3/8 BARRENADO</t>
  </si>
  <si>
    <t>TP13</t>
  </si>
  <si>
    <t>TAPÓN PERNO CÓNICO 9/16 PARA BOQUILLA DE LATÓN (B.C.)</t>
  </si>
  <si>
    <t>TAPON PERNO CONICO 9/16 P/BOQUILLA LATON</t>
  </si>
  <si>
    <t>TZ01</t>
  </si>
  <si>
    <t>TAZA 15520 ( ETK )</t>
  </si>
  <si>
    <t>TAZA 15520 ETK</t>
  </si>
  <si>
    <t>TF01</t>
  </si>
  <si>
    <t>TEFLÓN (1 METRO)</t>
  </si>
  <si>
    <t>TEFLON 1 METRO</t>
  </si>
  <si>
    <t>TF03</t>
  </si>
  <si>
    <t>TEFLÓN DÚPLEX</t>
  </si>
  <si>
    <t>TEFLON DPLX</t>
  </si>
  <si>
    <t>TF04</t>
  </si>
  <si>
    <t>TEFLÓN SENCILLO</t>
  </si>
  <si>
    <t>TEFLON SENCILLO</t>
  </si>
  <si>
    <t>TE01</t>
  </si>
  <si>
    <t>TEMPLADOR CON BALERO</t>
  </si>
  <si>
    <t>TE02</t>
  </si>
  <si>
    <t>TEMPLADOR CON CATARINA</t>
  </si>
  <si>
    <t>TE07</t>
  </si>
  <si>
    <t>TENSOR DE ALAMBRE DESPEGADOR DE CABEZAL RESTAURANTERO DE RODILLOS DE POLIGAR</t>
  </si>
  <si>
    <t>TENSOR ALAMBRE DESPEGADOR CAB REST PLIGR</t>
  </si>
  <si>
    <t>TE08</t>
  </si>
  <si>
    <t>TENSOR IZQUIERDO PARA CONTRAPESO DE MOLINO DE CONO</t>
  </si>
  <si>
    <t>TENSOR IZQ P/ CONTRAPESO DE MOLINO CONO</t>
  </si>
  <si>
    <t>TE09</t>
  </si>
  <si>
    <t>TENSORES DE PIEDRAS P/MOL CAMARADA</t>
  </si>
  <si>
    <t>TE05</t>
  </si>
  <si>
    <t>TERMOMETRO 0° A 300°</t>
  </si>
  <si>
    <t>TE06</t>
  </si>
  <si>
    <t>TERMOMETRO BIMETALICO DE 3" DE 0 A 300°C, PARA PAILA</t>
  </si>
  <si>
    <t>TERMOMETRO BIMETALIC 3" 0-300°C P/PAILA</t>
  </si>
  <si>
    <t>TIM01</t>
  </si>
  <si>
    <t>TIMER 127v CA</t>
  </si>
  <si>
    <t>TI03</t>
  </si>
  <si>
    <t>TINA LAMINA ACERO INOX T-304 GRADO SANITARIO</t>
  </si>
  <si>
    <t>TV12</t>
  </si>
  <si>
    <t>TOLVA ALIMENTADORA MOLINO TOLUCA #1</t>
  </si>
  <si>
    <t>TV20</t>
  </si>
  <si>
    <t>TOLVA ARMADA DE AMASADORA EN ACERO INOXIDABLE 430 DE 100 KG.</t>
  </si>
  <si>
    <t>TOLVA ARMADA DE AMASADORA INOX 430 100KG</t>
  </si>
  <si>
    <t>TV10</t>
  </si>
  <si>
    <t>TOLVA CUBREBANDA PARA MOLINO DE CONO</t>
  </si>
  <si>
    <t>TV15</t>
  </si>
  <si>
    <t>TOLVA DE ALIMENTACION COMPLETA MOLINO TOLUCA #2</t>
  </si>
  <si>
    <t>TOLVA ALIMENTACION COMPLETA MOL TOLUCA#2</t>
  </si>
  <si>
    <t>TV18</t>
  </si>
  <si>
    <t>TOLVA DE ALIMENTACION COMPLETA MOLINO TOLUCA #3</t>
  </si>
  <si>
    <t>TOLVA ALIMENTACION COMPLETA MOL TOLUCA#3</t>
  </si>
  <si>
    <t>TV01</t>
  </si>
  <si>
    <t>TOLVA DE ALUMINIO DÚPLEX</t>
  </si>
  <si>
    <t>TOLVA ALUMINIO DPLX</t>
  </si>
  <si>
    <t>TV02</t>
  </si>
  <si>
    <t>TOLVA DE ALUMINIO SENCILLA</t>
  </si>
  <si>
    <t>TOLVA ALUMINIO SENCILLA</t>
  </si>
  <si>
    <t>TV05</t>
  </si>
  <si>
    <t>TOLVA DE AMASADORA EN ACERO INOXIDABLE DE 100 KG.</t>
  </si>
  <si>
    <t>TOLVA AMASADORA INOX 100KG</t>
  </si>
  <si>
    <t>TV03</t>
  </si>
  <si>
    <t>TOLVA DE AMASADORA EN ACERO INOXIDABLE DE 25 KG.</t>
  </si>
  <si>
    <t>TOLVA AMASADORA INOX 25KG</t>
  </si>
  <si>
    <t>TV04</t>
  </si>
  <si>
    <t>TOLVA DE AMASADORA EN ACERO INOXIDABLE DE 50 KG.</t>
  </si>
  <si>
    <t>TOLVA AMASADORA INOX 50KG</t>
  </si>
  <si>
    <t>TV11</t>
  </si>
  <si>
    <t>TOLVA INFERIOR ACERO INOXIDABLE MOLINO TOLUCA #1</t>
  </si>
  <si>
    <t>TOLVA INF ACERO INOX MOLINO TOLUCA #1</t>
  </si>
  <si>
    <t>TV13</t>
  </si>
  <si>
    <t>TOLVA INFERIOR ACERO INOXIDABLE MOLINO TOLUCA #2</t>
  </si>
  <si>
    <t>TOLVA INF ACERO INOX MOLINO TOLUCA #2</t>
  </si>
  <si>
    <t>TV16</t>
  </si>
  <si>
    <t>TOLVA INFERIOR ACERO INOXIDABLE MOLINO TOLUCA #3</t>
  </si>
  <si>
    <t>TOLVA INF ACERO INOX MOLINO TOLUCA #3</t>
  </si>
  <si>
    <t>TV19</t>
  </si>
  <si>
    <t>TOLVA O CAÑON PARA MOLINO DE CONO</t>
  </si>
  <si>
    <t>TV09</t>
  </si>
  <si>
    <t>TOLVA ROLADA SENC., TUBO DE RECIRCULACIÓN, INOX. T-304-L</t>
  </si>
  <si>
    <t>TOLVA ROLADA SENC TUBO RECIRC INOX304</t>
  </si>
  <si>
    <t>TV21</t>
  </si>
  <si>
    <t>TOLVA SUPERIOR ACERO INOXIDABLE MOLINO TOLUCA #1</t>
  </si>
  <si>
    <t>TOLVA SUP ACERO INOX MOLINO TOLUCA #1</t>
  </si>
  <si>
    <t>TV14</t>
  </si>
  <si>
    <t>TOLVA SUPERIOR ACERO INOXIDABLE MOLINO TOLUCA #2</t>
  </si>
  <si>
    <t>TOLVA SUP ACERO INOX MOLINO TOLUCA #2</t>
  </si>
  <si>
    <t>TV17</t>
  </si>
  <si>
    <t>TOLVA SUPERIOR ACERO INOXIDABLE MOLINO TOLUCA #3</t>
  </si>
  <si>
    <t>TOLVA SUP ACERO INOX MOLINO TOLUCA #3</t>
  </si>
  <si>
    <t>TV08</t>
  </si>
  <si>
    <t>TOLVA SUPERIOR PARA MOLINO TORTIMEX #1 LAMINA 304 CALIBRE 18</t>
  </si>
  <si>
    <t>TOLVA SUP P/MOL TORTIMEX1 INOX304 CAL18</t>
  </si>
  <si>
    <t>TO110</t>
  </si>
  <si>
    <t>TORNILLO 5/16 X 1 1/2 INOX</t>
  </si>
  <si>
    <t>TO25</t>
  </si>
  <si>
    <t>TORNILLO ALLEN DE 1/4" X 1"</t>
  </si>
  <si>
    <t>TO24</t>
  </si>
  <si>
    <t>TORNILLO ALLEN DE 1/4" X 1/2"</t>
  </si>
  <si>
    <t>TO34</t>
  </si>
  <si>
    <t>TORNILLO CABEZA DE COCHE DE 3/8 X 1 1/2" INOX</t>
  </si>
  <si>
    <t>TO23</t>
  </si>
  <si>
    <t>TORNILLO CABEZA DE COCHE INOXIDABLE DE 1/4 X 1"</t>
  </si>
  <si>
    <t xml:space="preserve">TORNILLO CABEZA COCHE 1/4 X 1" INOX </t>
  </si>
  <si>
    <t>TO97</t>
  </si>
  <si>
    <t>TORNILLO CABEZA DE ESTUFA 5/16 X 1 EN ACERO INOX. T-304 GRADO ALIMENTICIO</t>
  </si>
  <si>
    <t>TORNILLO CABEZA ESTUFA 5/16 X 1 INOX</t>
  </si>
  <si>
    <t>TO01</t>
  </si>
  <si>
    <t>TORNILLO CABEZA DE GOTA 1/4 X 1</t>
  </si>
  <si>
    <t>TO30</t>
  </si>
  <si>
    <t>TORNILLO CABEZA DE GOTA 1/4" X 1/2"</t>
  </si>
  <si>
    <t>TO02</t>
  </si>
  <si>
    <t>TORNILLO CABEZA DE GOTA 3/16 X 1/2</t>
  </si>
  <si>
    <t>TO98</t>
  </si>
  <si>
    <t>TORNILLO CABEZA DE GOTA 3/16 X 1/2 EN ACERO INOX. T-304 GRADO ALIMENTICIO</t>
  </si>
  <si>
    <t>TORNILLO CABEZA DE GOTA 3/16 X 1/2 INOX</t>
  </si>
  <si>
    <t>TO26</t>
  </si>
  <si>
    <t>TORNILLO CABEZA DE GOTA GALVANIZADO DE 3/16" X 3/4"</t>
  </si>
  <si>
    <t>TO15</t>
  </si>
  <si>
    <t>TORNILLO CABEZA HEXAGONAL 1/2 X 3" 1/2</t>
  </si>
  <si>
    <t>TO03</t>
  </si>
  <si>
    <t>TORNILLO CABEZA HEXAGONAL 3/8 X 1</t>
  </si>
  <si>
    <t>TO99</t>
  </si>
  <si>
    <t>TORNILLO CABEZA HEXAGONAL 3/8 X 1 EN ACERO INOX. T-304 GRADO ALIMENTICIO</t>
  </si>
  <si>
    <t>TORNILLO CABEZA HEXAGONAL 3/8 X 1 INOX</t>
  </si>
  <si>
    <t>TO04</t>
  </si>
  <si>
    <t>TORNILLO CABEZA HEXAGONAL 3/8 X 1"1/4</t>
  </si>
  <si>
    <t>TORNILLO CABEZA HEXAGONAL 3/8 X 1 1/4</t>
  </si>
  <si>
    <t>TO05</t>
  </si>
  <si>
    <t>TORNILLO CABEZA HEXAGONAL 3/8 X 3/4</t>
  </si>
  <si>
    <t>TO06</t>
  </si>
  <si>
    <t>TORNILLO CABEZA HEXAGONAL 5/16 X 1</t>
  </si>
  <si>
    <t>TO07</t>
  </si>
  <si>
    <t>TORNILLO CABEZA HEXAGONAL 5/16 X 3/4</t>
  </si>
  <si>
    <t>TO08</t>
  </si>
  <si>
    <t>TORNILLO CABEZA HEXAGONAL 7/16 X 1</t>
  </si>
  <si>
    <t>TO09</t>
  </si>
  <si>
    <t>TORNILLO CABEZA HEXAGONAL DE (3/4 A 1"1/2)</t>
  </si>
  <si>
    <t>TORNILLO CABEZA HEXAGONAL 3/4-1 1/2</t>
  </si>
  <si>
    <t>TO106</t>
  </si>
  <si>
    <t>TORNILLO CABEZA HEXAGONAL DE 3/16" X 3/4" INOXIDABLE</t>
  </si>
  <si>
    <t>TO104</t>
  </si>
  <si>
    <t>TORNILLO CABEZA HEXAGONAL INOXIDABLE DE 1/4" X 3/4</t>
  </si>
  <si>
    <t>TO105</t>
  </si>
  <si>
    <t>TORNILLO CABEZA HEXAGONAL NEGRO DE 3/8" X 1"</t>
  </si>
  <si>
    <t>TO109</t>
  </si>
  <si>
    <t>TORNILLO DE 1/4 X 1" CABEZA ALLEN ALTO GRADO</t>
  </si>
  <si>
    <t>TO27</t>
  </si>
  <si>
    <t>TORNILLO GALVANIZADO CABEZA DE GOTA DE 1/4 X 1/2" STD</t>
  </si>
  <si>
    <t>TO102</t>
  </si>
  <si>
    <t>TORNILLO GUIA DE 3/8" X 1/2"</t>
  </si>
  <si>
    <t>TO103</t>
  </si>
  <si>
    <t>TORNILLO GUIA DE 3/8" X 3/4" C/CUERDA DE 1/2"</t>
  </si>
  <si>
    <t>TO108</t>
  </si>
  <si>
    <t>TORNILLO HEXAGONAL DE 3/8 X 4"
GALVANIZADO</t>
  </si>
  <si>
    <t>TO31</t>
  </si>
  <si>
    <t>TORNILLO INOX CABEZA DE COCHE 3/8" X 1 1/2"</t>
  </si>
  <si>
    <t>TO32</t>
  </si>
  <si>
    <t>TORNILLO INOX CABEZA DE COCHE 3/8" X 2"</t>
  </si>
  <si>
    <t>TO22</t>
  </si>
  <si>
    <t>TORNILLO MAQUINA CABEZA HEXAGONAL DE 3/8" X 1 1/2" SDT</t>
  </si>
  <si>
    <t>TO28</t>
  </si>
  <si>
    <t>TORNILLO NEGRO CABEZA HEXAGONAL 3/8 X 1/2"</t>
  </si>
  <si>
    <t>TO29</t>
  </si>
  <si>
    <t>TORNILLO NEGRO CABEZA HEXAGONAL 3/8 X 3 1/2"</t>
  </si>
  <si>
    <t>TO33</t>
  </si>
  <si>
    <t>TORNILLO NEGRO HEXAGONAL 1/4 X 1"</t>
  </si>
  <si>
    <t>TO10</t>
  </si>
  <si>
    <t>TORNILLO SET CABEZA CUADRADA SET 1/4 X 1/2 PARA TRINQUETE (OPRESOR CABEZA CUADRADA)</t>
  </si>
  <si>
    <t>TORNILLO SET CAB CUAD 1/4X1/2 P/TRINQUET</t>
  </si>
  <si>
    <t>TO11</t>
  </si>
  <si>
    <t>TORNILLO SET CABEZA CUADRADA SET 3/8 X 1"1/2</t>
  </si>
  <si>
    <t>TORNILLO SET CAB CUAD SET 3/8 X 1 1/2</t>
  </si>
  <si>
    <t>TO12</t>
  </si>
  <si>
    <t>TORNILLO SET CABEZA CUADRADA SET 3/8 X 1"1/4</t>
  </si>
  <si>
    <t>TORNILLO SET CAB CUAD SET 3/8 X 1 1/4</t>
  </si>
  <si>
    <t>TO13</t>
  </si>
  <si>
    <t>TORNILLO SET CABEZA CUADRADA SET 3/8 X 3/4</t>
  </si>
  <si>
    <t>TORNILLO SET CAB CUAD SET 3/8 X 3/4</t>
  </si>
  <si>
    <t>TO16</t>
  </si>
  <si>
    <t>TORNILLOS DE 3/16 X 3/4</t>
  </si>
  <si>
    <t>TO35</t>
  </si>
  <si>
    <t>TORNILLOS DE 5/16 X 3/4</t>
  </si>
  <si>
    <t>TO17</t>
  </si>
  <si>
    <t>TORRETA C/LAMPARA ROJA Y SIRENA AUDIBLE</t>
  </si>
  <si>
    <t>MG14</t>
  </si>
  <si>
    <t>TORTILLADORA B.C. G.A. MOTOR  CON ENCENDIDO ELECTRÓNICO PRODUCE 90 KILOS DE TORTILLA/HR)</t>
  </si>
  <si>
    <t>MG46</t>
  </si>
  <si>
    <t>TORTILLADORA B.C. G.A. MOTOR 2X2 HP PRODUCE 90 KILOS DE TORTILLA/HR)</t>
  </si>
  <si>
    <t>MG34</t>
  </si>
  <si>
    <t>TORTILLADORA TV-30 G.A. MOTOR 2 HP CON ENCENDIDO ELECTRÓNICO PRODUCE 55 KILOS DE TORTILLA /HR)</t>
  </si>
  <si>
    <t>MG36</t>
  </si>
  <si>
    <t>TORTILLADORA TV-30 G.A. MOTOR 2 HP PRODUCE 55 KILOS DE TORTILLA/HR)</t>
  </si>
  <si>
    <t>MG06</t>
  </si>
  <si>
    <t>TORTILLADORA TV-40 G.A. MOTOR 2 HP CON ENCENDIDO ELECTRÓNICO PRODUCE 72 KILOS DE TORTILLA /HR)</t>
  </si>
  <si>
    <t>MG38</t>
  </si>
  <si>
    <t>TORTILLADORA TV-40 G.A. MOTOR 2 HP PRODUCE 72 KILOS DE TORTILLA/HR)</t>
  </si>
  <si>
    <t>MG08</t>
  </si>
  <si>
    <t>TORTILLADORA TV-50 G.A. MOTOR 2 HP CON ENCENDIDO ELECTRÓNICO PRODUCE 90 KILOS DE TORTILLA /HR)</t>
  </si>
  <si>
    <t>MG40</t>
  </si>
  <si>
    <t>TORTILLADORA TV-50 G.A. MOTOR 2 HP PRODUCE 90 KILOS DE TORTILLA/HR)</t>
  </si>
  <si>
    <t>MG10</t>
  </si>
  <si>
    <t>TORTILLADORA TV-60 G.A. MOTOR 3 HP CON ENCENDIDO ELECTRÓNICO PRODUCE 110 KILOS DE TORTILLA/HR)</t>
  </si>
  <si>
    <t>MG42</t>
  </si>
  <si>
    <t>TORTILLADORA TV-60 G.A. MOTOR 3 HP PRODUCE 110 KILOS DE TORTILLA/HR)</t>
  </si>
  <si>
    <t>MG12</t>
  </si>
  <si>
    <t>TORTILLADORA TV-70 G.A. MOTOR 3 HP CON ENCENDIDO ELECTRÓNICO PRODUCE 127 KILOS DE TORTILLA/HR)</t>
  </si>
  <si>
    <t>MG44</t>
  </si>
  <si>
    <t>TORTILLADORA TV-70 G.A. MOTOR 3 HP PRODUCE 127 KILOS DE TORTILLA/HR)</t>
  </si>
  <si>
    <t>MG136</t>
  </si>
  <si>
    <t>TORTILLADORA TVR-20 MOTOR 1 HP CON ENCEDIDO ELECTRÓNICO 20 TORTILLAS/MIN PRODUCE 36 KILOS DE TORTILLA/HR)</t>
  </si>
  <si>
    <t>MG135</t>
  </si>
  <si>
    <t>TORTILLADORA TVR-20 MOTOR 1 HP20 TORTILLAS/MIN PRODUCE 36 KILOS DE TORTILLA/HR)</t>
  </si>
  <si>
    <t>MG76</t>
  </si>
  <si>
    <t>TORTILLADORA TVR-30 MOTOR 2 HP CON ENCEDIDO ELECTRÓNICO 30 TORTILLAS/MIN PRODUCE 55 KILOS DE TORTILLA/HR)</t>
  </si>
  <si>
    <t>MG48</t>
  </si>
  <si>
    <t>TORTILLADORA TVR-30 MOTOR 2 HP30 TORTILLAS/MIN PRODUCE 55 KILOS DE TORTILLA/HR)</t>
  </si>
  <si>
    <t>MG18</t>
  </si>
  <si>
    <t>TORTILLADORA TVR-40 MOTOR 2 HP CON ENCEDIDO ELECTRÓNICO 40 TORTILLAS/MIN PRODUCE 72 KILOS DE TORTILLA/HR)</t>
  </si>
  <si>
    <t>MG52</t>
  </si>
  <si>
    <t>TORTILLADORA TVR-40 MOTOR 2 HP40 TORTILLAS/MIN PRODUCE 72 KILOS DE TORTILLA/HR)</t>
  </si>
  <si>
    <t>MG20</t>
  </si>
  <si>
    <t>TORTILLADORA TVR-50 MOTOR 2 HP CON ENCEDIDO ELECTRÓNICO 50 TORTILLAS/MIN PRODUCE 90 KILOS DE TORTILLA/HR)</t>
  </si>
  <si>
    <t>MG54</t>
  </si>
  <si>
    <t>TORTILLADORA TVR-50 MOTOR 2 HP50 TORTILLAS/MIN PRODUCE 90 KILOS DE TORTILLA/HR)</t>
  </si>
  <si>
    <t>MG22</t>
  </si>
  <si>
    <t>TORTILLADORA TVR-60  MOTOR 2 HP CON ENCEDIDO ELECTRÓNICO 60 TORTILLAS/MIN PRODUCE 110 KILOS DE TORTILLA/HR)</t>
  </si>
  <si>
    <t>MG56</t>
  </si>
  <si>
    <t>TORTILLADORA TVR-60  MOTOR 2 HP60 TORTILLAS/MIN PRODUCE 110 KILOS DE TORTILLA/HR)</t>
  </si>
  <si>
    <t>MG138</t>
  </si>
  <si>
    <t>TORTILLADORA TVRC200 (CUADRUPLE) MOTOR 3 HP  CON ENCENDIDO ELECTRÓNICO 200 TORTILLAS PRODUCE 363 KILOS DE TORTILLA/HR</t>
  </si>
  <si>
    <t>TORTILLADORA /RODILLOS  VW-200 CUADRUPLE</t>
  </si>
  <si>
    <t>MG68</t>
  </si>
  <si>
    <t>TORTILLADORA TVRD-100 MOTOR 2 HP 100 TORTILLAS PRODUCE 181 KILOS DE TORTILLA/HR</t>
  </si>
  <si>
    <t>MG88</t>
  </si>
  <si>
    <t>TORTILLADORA TVRD-100 MOTOR 2 HP CON ENCENDIDO ELECTRÓNICO 100 TORTILLAS PRODUCE 181 KILOS DE TORTILLA/HR</t>
  </si>
  <si>
    <t>MG64</t>
  </si>
  <si>
    <t>TORTILLADORA TVRD-80 MOTOR 2 HP 80 TORTILLAS PRODUCE 145 KILOS DE TORTILLA/HR</t>
  </si>
  <si>
    <t>MG84</t>
  </si>
  <si>
    <t>TORTILLADORA TVRD-80 MOTOR 2 HP CON ENCENDIDO ELECTRÓNICO 80 TORTILLAS PRODUCE 145 KILOS DE TORTILLA/HR</t>
  </si>
  <si>
    <t>MG79</t>
  </si>
  <si>
    <t>TORTILLADORA TVRM-20 PETITE MOTOR 2 HP 20 TORTILLAS PRODUCE 36 KILOS DE TORTILLA/HR</t>
  </si>
  <si>
    <t>MG301</t>
  </si>
  <si>
    <t>TORTILLADORA TVRM-20 PETITE MOTOR 2HP CON ENCENDIDO ELECTRÓNICO 20 TORTILLAS PRODUCE /HR</t>
  </si>
  <si>
    <t>MG105</t>
  </si>
  <si>
    <t>TORTILLADORA TVRM-30 MOTOR 2HP 30 TORTILLAS PRODUCE 55 KILOS DE TORTILLA/HR</t>
  </si>
  <si>
    <t>MG110</t>
  </si>
  <si>
    <t>TORTILLADORA TVRM-30 MOTOR 2HP CON ENCENDIDO ELECTRÓNICO 30 TORTILLAS PRODUCE /HR</t>
  </si>
  <si>
    <t>MG106</t>
  </si>
  <si>
    <t>TORTILLADORA TVRM-40 MOTOR 2HP 40 TORTILLAS PRODUCE 72 KILOS DE TORTILLA/HR</t>
  </si>
  <si>
    <t>MG111</t>
  </si>
  <si>
    <t>TORTILLADORA TVRM-40 MOTOR 2HP CON ENCENDIDO ELECTRÓNICO 40 TORTILLAS PRODUCE /HR</t>
  </si>
  <si>
    <t>MG107</t>
  </si>
  <si>
    <t>TORTILLADORA TVRM-50 MOTOR 2HP 50 TORTILLAS PRODUCE 90 KILOS DE TORTILLA/HR</t>
  </si>
  <si>
    <t>MG112</t>
  </si>
  <si>
    <t>TORTILLADORA TVRM-50 MOTOR 2HP CON ENCENDIDO ELECTRÓNICO 50 TORTILLAS PRODUCE /HR</t>
  </si>
  <si>
    <t>MG108</t>
  </si>
  <si>
    <t>TORTILLADORA TVRM-60 MOTOR 2HP 60 TORTILLAS PRODUCE 110 KILOS DE TORTILLA/HR</t>
  </si>
  <si>
    <t>MG113</t>
  </si>
  <si>
    <t>TORTILLADORA TVRM-60 MOTOR 2HP CON ENCENDIDO ELECTRÓNICO 60 TORTILLAS PRODUCE /HR</t>
  </si>
  <si>
    <t>MG16</t>
  </si>
  <si>
    <t>TORTILLADORA TVRT150 (TRIPLE) MOTOR 3 HP 150 TORTILLAS PRODUCE  272 KILOS DE TORTILLA/HR</t>
  </si>
  <si>
    <t>MG17</t>
  </si>
  <si>
    <t>TORTILLADORA TVRT150 (TRIPLE) MOTOR 3 HP CON ENCENDIDO ELECTRÓNICO 150 TORTILLAS PRODUCE  272 KILOS DE TORTILLA/HR</t>
  </si>
  <si>
    <t>MG92</t>
  </si>
  <si>
    <t>TORTILLADORA VW-100 MOTOR M.R. 2HP CON ENCENDIDO ELECTRÓNICO 50 TORTILLAS PRODUCE 181 KILOS DE TORTILLA/HR</t>
  </si>
  <si>
    <t>MAQ TORT VW-100 MR2HP C/ENC100T/MIN180KG</t>
  </si>
  <si>
    <t>MG93</t>
  </si>
  <si>
    <t>TORTILLADORA VW-100 SIN ALIMENTADOR MOTOR M.R. 2HP CON ENCENDIDO ELECTRÓNICO 50 TORTILLAS PRODUCE 181 KILOS DE TORTILLA/HR</t>
  </si>
  <si>
    <t>MG39</t>
  </si>
  <si>
    <t>TORTILLADORA VW-150 MOTOR M.R. 2HP CON ENCENDIDO ELECTRÓNICO 150 TORTILLAS PRODUCE 270 KILOS DE TORTILLA/HR</t>
  </si>
  <si>
    <t>MAQ TORT VW-150 MR2HP C/ENC150T/MIN270KG</t>
  </si>
  <si>
    <t>MG91</t>
  </si>
  <si>
    <t>TORTILLADORA VW-50 CON ALIMENTADOR MOTOR M.R. 2HP CON ENCENDIDO ELECTRÓNICO 50 TORTILLAS PRODUCE 90 KILOS DE TORTILLA/HR</t>
  </si>
  <si>
    <t>MG90</t>
  </si>
  <si>
    <t>TORTILLADORA VW-50 MOTOR M.R. 2HP CON ENCENDIDO ELECTRÓNICO 50 TORTILLAS PRODUCE 90 KILOS DE TORTILLA/HR</t>
  </si>
  <si>
    <t>MAQ TORT VW-50 MR2HP C/ENC 50T/MIN 90 KG</t>
  </si>
  <si>
    <t>MG67</t>
  </si>
  <si>
    <t>TOSTADOR DE CHILES CONTINUO INOX T-430 CON VARIADOR DE VELOCIDAD</t>
  </si>
  <si>
    <t>FUE001</t>
  </si>
  <si>
    <t>TRANSFORMADOR 120V-24V CA/CC 60HZ 1A</t>
  </si>
  <si>
    <t>TS03</t>
  </si>
  <si>
    <t>TRANSPORTADOR ARTICULADO T1 092 SS</t>
  </si>
  <si>
    <t>TS02</t>
  </si>
  <si>
    <t>TRANSPORTADOR ARTICULADO T1 103 CS</t>
  </si>
  <si>
    <t>TS01</t>
  </si>
  <si>
    <t>TRANSPORTADOR DE 18" X 1.70 M</t>
  </si>
  <si>
    <t>TRANSPORTADOR DE 18PLGX1.70MT</t>
  </si>
  <si>
    <t>TS08</t>
  </si>
  <si>
    <t>TRANSPORTADOR DEL HORNO COCEDOR AL DESHI</t>
  </si>
  <si>
    <t>TS06</t>
  </si>
  <si>
    <t>TRANSPORTADOR DESHIDRATAD-FREIDORA 1.85M</t>
  </si>
  <si>
    <t>TS10</t>
  </si>
  <si>
    <t>TRANSPORTADOR LINEAL: Del enfriador al f</t>
  </si>
  <si>
    <t>TS05</t>
  </si>
  <si>
    <t>TRANSPORTADOR MAQUINA-DESHIDRATADOR 3.4M</t>
  </si>
  <si>
    <t>TS07</t>
  </si>
  <si>
    <t>TRANSPORTADOR MAQUINA-ENFRIADOR</t>
  </si>
  <si>
    <t>TS11</t>
  </si>
  <si>
    <t>TRANSPORTADOR SALIDA P/ PRODUCTO HORNEAD</t>
  </si>
  <si>
    <t>TS04</t>
  </si>
  <si>
    <t>TRANSPORTADOR TVRM A DESHIDR C/MALLA 304</t>
  </si>
  <si>
    <t>TS09</t>
  </si>
  <si>
    <t>TRANSPORTADOR: Del deshidratador al enfr</t>
  </si>
  <si>
    <t>TR01</t>
  </si>
  <si>
    <t>TRINQUETE SOLO DÚPLEX</t>
  </si>
  <si>
    <t>TRINQUETE SOLO DPLX</t>
  </si>
  <si>
    <t>TR02</t>
  </si>
  <si>
    <t>TRINQUETE SOLO SENCILLO</t>
  </si>
  <si>
    <t>TC05</t>
  </si>
  <si>
    <t>TROMPO PARA MOLINO CAMARADA</t>
  </si>
  <si>
    <t>TC04</t>
  </si>
  <si>
    <t>TROMPO PARA TACOS AL PASTOR</t>
  </si>
  <si>
    <t>TU01</t>
  </si>
  <si>
    <t>TUBO CAÑÓN PARA VÁLVULA SOLO 3/8</t>
  </si>
  <si>
    <t>TUBO CANON PARA VALVULA SOLO 3/8</t>
  </si>
  <si>
    <t>TU09</t>
  </si>
  <si>
    <t>TUBO CAÑÓN PARA VALVULA SOLO DE 1" O 3/4"</t>
  </si>
  <si>
    <t>TUBO CAÑON P/VALV SOLO DE 1 O 3/4</t>
  </si>
  <si>
    <t>TU10</t>
  </si>
  <si>
    <t>TUBO CAÑÓN PARA VALVULA SOLO DE 1/2''</t>
  </si>
  <si>
    <t>TUBO CAÑON PARA VALVULA SOLO DE 1/2</t>
  </si>
  <si>
    <t>TB0001</t>
  </si>
  <si>
    <t>TUBO CONDUIT DE 1/2</t>
  </si>
  <si>
    <t>TB0006</t>
  </si>
  <si>
    <t>TUBO DE COBRE 1/2"</t>
  </si>
  <si>
    <t>TB0005</t>
  </si>
  <si>
    <t>TUBO DE COBRE 3/8"</t>
  </si>
  <si>
    <t>TU04</t>
  </si>
  <si>
    <t>TUBO DE RECIRCULACIÓN DÚPLEX</t>
  </si>
  <si>
    <t>TUBO DE RECIRCULACION DPLX</t>
  </si>
  <si>
    <t>TU02</t>
  </si>
  <si>
    <t>TUBO DE RECIRCULACIÓN ESPECIAL CHICO</t>
  </si>
  <si>
    <t>TUBO DE RECIRCULACION ESPECIAL CHICO</t>
  </si>
  <si>
    <t>TU03</t>
  </si>
  <si>
    <t>TUBO DE RECIRCULACIÓN SENCILLO</t>
  </si>
  <si>
    <t>TUBO DE RECIRCULACION SENCILLO</t>
  </si>
  <si>
    <t>TF0001</t>
  </si>
  <si>
    <t>TUBO FLEXIBLE DE 1/2"</t>
  </si>
  <si>
    <t>TF0002</t>
  </si>
  <si>
    <t>TUBO FLEXIBLE DE 3/8"</t>
  </si>
  <si>
    <t>TB51</t>
  </si>
  <si>
    <t>TUBO PARA COLUMPIO</t>
  </si>
  <si>
    <t>TB52</t>
  </si>
  <si>
    <t>TUBO PARA CONDUCTO DE 3" X 13"</t>
  </si>
  <si>
    <t>TC06</t>
  </si>
  <si>
    <t>TUERCA CON BASE PARA ESPARRAGO</t>
  </si>
  <si>
    <t>TC0003</t>
  </si>
  <si>
    <t>TUERCA CONICA</t>
  </si>
  <si>
    <t>TC01</t>
  </si>
  <si>
    <t>TUERCA CUADRADA 1/4</t>
  </si>
  <si>
    <t>TC96</t>
  </si>
  <si>
    <t>TUERCA CUADRADA 1/4 EN ACERO INOX. T-304 GRADO ALIMENTICIO</t>
  </si>
  <si>
    <t>TUERCA CUADRADA 1/4 INOX</t>
  </si>
  <si>
    <t>TC02</t>
  </si>
  <si>
    <t>TUERCA DE LATÓN</t>
  </si>
  <si>
    <t>TUERCA DE LATON</t>
  </si>
  <si>
    <t>T001</t>
  </si>
  <si>
    <t>TUERCA GALVANIZADA 3/8"</t>
  </si>
  <si>
    <t>TC97</t>
  </si>
  <si>
    <t>TUERCA HEXAGONAL 1/2 EN ACERO INOX. T-304 GRADO ALIMENTICIO</t>
  </si>
  <si>
    <t>TUERCA HEXAGONAL 1/2 INOX</t>
  </si>
  <si>
    <t>TU08</t>
  </si>
  <si>
    <t>TUERCA HEXAGONAL 1/2 GALVANIZADA</t>
  </si>
  <si>
    <t>TC98</t>
  </si>
  <si>
    <t>TUERCA HEXAGONAL 3/8 EN ACERO INOX. T-304 GRADO ALIMENTICIO</t>
  </si>
  <si>
    <t>TUERCA HEXAGONAL 3/8 INOX</t>
  </si>
  <si>
    <t>TU06</t>
  </si>
  <si>
    <t>TUERCA HEXAGONAL 3/8" INOX</t>
  </si>
  <si>
    <t>TC99</t>
  </si>
  <si>
    <t>TUERCA HEXAGONAL 5/8 EN ACERO INOX. T-304 GRADO ALIMENTICIO</t>
  </si>
  <si>
    <t>TUERCA HEXAGONAL 5/8 INOX</t>
  </si>
  <si>
    <t>TC08</t>
  </si>
  <si>
    <t>TUERCA HEXAGONAL GALVANIZADA DE 1/4" STD</t>
  </si>
  <si>
    <t>TC07</t>
  </si>
  <si>
    <t>TUERCA HEXAGONAL INOXIDABLE DE 1/4"</t>
  </si>
  <si>
    <t>TC17</t>
  </si>
  <si>
    <t>TUERCA INOX PARA AJUSTE DE RODILLO</t>
  </si>
  <si>
    <t>T002</t>
  </si>
  <si>
    <t>TUERCA INOXIDABLE 5/16"</t>
  </si>
  <si>
    <t>TC03</t>
  </si>
  <si>
    <t>TUERCA TENSORA PARA CABEZAL RESTAURANTERO</t>
  </si>
  <si>
    <t>TUERCA TENSORA P/CABEZAL RESTAURANTERO</t>
  </si>
  <si>
    <t>TC09</t>
  </si>
  <si>
    <t>TUERCA UNION GALVANIZADO DE 1/2"</t>
  </si>
  <si>
    <t>TC100</t>
  </si>
  <si>
    <t>TUERCAS BELLOTA INOX DE 3/8</t>
  </si>
  <si>
    <t>TR0003</t>
  </si>
  <si>
    <t>TUERCAS DE 5/16</t>
  </si>
  <si>
    <t>TC11</t>
  </si>
  <si>
    <t>TUERCAS NEGRAS DE 3/8"</t>
  </si>
  <si>
    <t>TC10</t>
  </si>
  <si>
    <t>TUERCAS NEGRAS DE 5/16</t>
  </si>
  <si>
    <t>VA01</t>
  </si>
  <si>
    <t>VÁLVULA CARBURADORA 1/2 ARMADA SENCILLA (B.C.)</t>
  </si>
  <si>
    <t>VALVULA CARBURADORA 1/2 ARMADA SENC BC</t>
  </si>
  <si>
    <t>VA02</t>
  </si>
  <si>
    <t>VÁLVULA CARBURADORA 3/8 ARMADA SENCILLA MODELO ANTERIOR</t>
  </si>
  <si>
    <t>VALVULA CARBURADORA 3/8 ARMADA SENC MA</t>
  </si>
  <si>
    <t>VA06</t>
  </si>
  <si>
    <t>VÁLVULA CARBURADORA DÚPLEX ARMADA</t>
  </si>
  <si>
    <t>VALVULA CARBURADORA DPLX</t>
  </si>
  <si>
    <t>VA09</t>
  </si>
  <si>
    <t>VÁLVULA SOLENOIDE 1''</t>
  </si>
  <si>
    <t>VALVULA SOLENOIDE 1''</t>
  </si>
  <si>
    <t>VA04</t>
  </si>
  <si>
    <t>VALVULA SOLENOIDE 1/2 BAJO FLUJO 110V</t>
  </si>
  <si>
    <t>VALVULA SOLENOIDE 1/2 BAJO FLUJO</t>
  </si>
  <si>
    <t>VA03</t>
  </si>
  <si>
    <t>VÁLVULA SOLENOIDE 1/4</t>
  </si>
  <si>
    <t>VALVULA SOLENOIDE 1/4</t>
  </si>
  <si>
    <t>VA07</t>
  </si>
  <si>
    <t>VÁLVULA SOLENOIDE 3/4</t>
  </si>
  <si>
    <t>VALVULA SOLENOIDE 3/4</t>
  </si>
  <si>
    <t>VAR006</t>
  </si>
  <si>
    <t>VARIADOR DE VELOCIDAD DE 1 HP 220V BIFÁSICO</t>
  </si>
  <si>
    <t>VARIADOR DE VELOCIDAD 1HP 220V BIF</t>
  </si>
  <si>
    <t>VAR003</t>
  </si>
  <si>
    <t>VARIADOR DE VELOCIDAD DE 2 HP 220 V BIFASICO</t>
  </si>
  <si>
    <t>VARIADOR DE VELOCIDAD 2HP 220V BIF</t>
  </si>
  <si>
    <t>MG33</t>
  </si>
  <si>
    <t>VARIADOR DE VELOCIDAD P/MOTOR 3HP</t>
  </si>
  <si>
    <t>VL04</t>
  </si>
  <si>
    <t>VARILLA DE 1/2" PARA ALAMBRE</t>
  </si>
  <si>
    <t>VL05</t>
  </si>
  <si>
    <t>VARILLA TRAVESAÑO DÚPLEX</t>
  </si>
  <si>
    <t>VARILLA TRAVESANO DPLX</t>
  </si>
  <si>
    <t>VL06</t>
  </si>
  <si>
    <t>VARILLA TRAVESAÑO DÚPLEX EN ACERO INOX. T-304 GRADO ALIMENTICIO</t>
  </si>
  <si>
    <t>VARILLA TRAVESANO DPLX INOX GA</t>
  </si>
  <si>
    <t>VL07</t>
  </si>
  <si>
    <t>VARILLA TRAVESAÑO ESPECIAL CHICA</t>
  </si>
  <si>
    <t>VARILLA TRAVESANO ESPECIAL CHICA</t>
  </si>
  <si>
    <t>VL08</t>
  </si>
  <si>
    <r>
      <rPr>
        <rFont val="Didact Gothic"/>
        <sz val="9.0"/>
      </rPr>
      <t xml:space="preserve">VARILLA TRAVESAÑO ESPECIAL CHICA EN ACERO INOX. T-304 </t>
    </r>
    <r>
      <rPr>
        <rFont val="Didact Gothic"/>
        <sz val="9.0"/>
      </rPr>
      <t>GRADO ALIMENTICIO</t>
    </r>
  </si>
  <si>
    <t>VARILLA TRAVESANO ESPECIAL CHICA INOX GA</t>
  </si>
  <si>
    <t>VL09</t>
  </si>
  <si>
    <t>VARILLA TRAVESAÑO SENCILLA</t>
  </si>
  <si>
    <t>VARILLA TRAVESANO SENCILLA</t>
  </si>
  <si>
    <t>VL10</t>
  </si>
  <si>
    <t>VARILLA TRAVESAÑO SENCILLA EN ACERO INOX. T-304 GRADO ALIMENTICIO</t>
  </si>
  <si>
    <t>VARILLA TRAVESANO SENCILLA INOX GA</t>
  </si>
  <si>
    <t>VL02C</t>
  </si>
  <si>
    <t>VARILLA TRAVESAÑO SENCILLA TIPO CELORIO</t>
  </si>
  <si>
    <t>VARILLA TRAVESAÑO SENCILLA TIPO CEL</t>
  </si>
  <si>
    <t>VE01</t>
  </si>
  <si>
    <t>VENTILADOR EXTRA PARA EL ENFRIADOR DE HARINA</t>
  </si>
  <si>
    <t>VENTILADOR P/ENFRIADOR HARINA</t>
  </si>
  <si>
    <t>AS06</t>
  </si>
  <si>
    <t>VENTILADOR RODOTEC</t>
  </si>
  <si>
    <t>VI01</t>
  </si>
  <si>
    <t>VIBRADOR 30 W 220 V</t>
  </si>
  <si>
    <t>VO01</t>
  </si>
  <si>
    <t>VOLANTE DE ALUMINIO</t>
  </si>
  <si>
    <t>VO03</t>
  </si>
  <si>
    <t>VOLANTE DE APRIETE CHICO (FRONTAL) MOLINO TOLUCA #3</t>
  </si>
  <si>
    <t>VOLANTE APRIETE CH FRONTAL MOL TOLUCA#3</t>
  </si>
  <si>
    <t>VO04</t>
  </si>
  <si>
    <t>VOLANTE DE APRIETE GRANDE (LATERAL) MOLINO TOLUCA #3</t>
  </si>
  <si>
    <t>VOLANTE APRIETE G LATERAL MOL TOLUCA#3</t>
  </si>
  <si>
    <t>VO02</t>
  </si>
  <si>
    <t>VOLANTE DE APRIETE MOLINO TOLUCA #1</t>
  </si>
  <si>
    <t>VO05</t>
  </si>
  <si>
    <t>VOLANTE DE APRIETE MOLINO TOLUCA #2</t>
  </si>
  <si>
    <t>ZP01</t>
  </si>
  <si>
    <t>ZAPATA DE ACERO INOXIDABLE OJILLO PARA LAS BUJIAS</t>
  </si>
  <si>
    <t>ZAPATA ACERO INOX OJILLO P/ BUJIAS</t>
  </si>
  <si>
    <t>ZP0002</t>
  </si>
  <si>
    <t>ZAPATAS DE ESPADA CALIBRE 10/12</t>
  </si>
  <si>
    <t>ZP0001</t>
  </si>
  <si>
    <t>ZAPATAS OJILLO DE 3/16 CAL 16</t>
  </si>
  <si>
    <t>MO33</t>
  </si>
  <si>
    <t>MOTOREDUCTOR 3/4 HP R 37- Y0.55KW 4 POLOS 44.81-MI</t>
  </si>
  <si>
    <t>MOTOREDUCTOR 3/4HP R37Y0.55KW 4P 44.81MI</t>
  </si>
  <si>
    <t>AR18</t>
  </si>
  <si>
    <t>ARRANCADOR DLW 220 VCA TRIFASICO 30 HP</t>
  </si>
  <si>
    <t>CO37</t>
  </si>
  <si>
    <t>CORONA PARA REDUCTOR MEDIANO</t>
  </si>
  <si>
    <t>MT41</t>
  </si>
  <si>
    <t>DESHIDRATADOR DUPLEX CON VARIADOR DE VELOCIDAD, CONTROL DE TEMPERATURA, ENCENDIDO ELECTRONICO, MALLA INOX 18" X 9 NIVELES X 4 MTS DE LARGO</t>
  </si>
  <si>
    <t>DESHIDRATADOR DUP VAR C.T E.E 18"I 9N 4M</t>
  </si>
  <si>
    <t>MT42</t>
  </si>
  <si>
    <t>DESHIDRATADOR TRIPLE CON VARIADOR DE VELOCIDAD, CONTROL DE TEMPERATURA, ENCENDIDO ELECTRONICO, MALLA INOX 24" X 9 NIVELES X 4 MTS DE LARGO</t>
  </si>
  <si>
    <t>DESHIDRATADOR TRI VAR C.T E.E 24"I 9N 4M</t>
  </si>
  <si>
    <t>MT43</t>
  </si>
  <si>
    <t>DESHIDRATADOR CUADRUPLE CON VARIADOR DE VELOCIDAD, CONTROL DE TEMPERATURA, ENCENDIDO ELECTRONICO, MALLA INOX 30" X 9 NIVELES X 4 MTS DE LARGO</t>
  </si>
  <si>
    <t>DESHIDRATADOR CUA VAR C.T E.E 30"I 9N 4M</t>
  </si>
  <si>
    <t>REFACCIONES PARA EL SERVICIO</t>
  </si>
  <si>
    <t>DESCRIPCION DEL SERVICIO MANO DE OBRA</t>
  </si>
  <si>
    <t>PRECIO MANO DE OBRA</t>
  </si>
  <si>
    <t>PRECIO REFACCIONES</t>
  </si>
  <si>
    <t>SUBTOTAL SERVICIO</t>
  </si>
  <si>
    <t>LISTA 2 (5%)</t>
  </si>
  <si>
    <t>LISTA 3 (10%)</t>
  </si>
  <si>
    <t>LISTA 4 (15%)</t>
  </si>
  <si>
    <t>LISTA 5 (17%)</t>
  </si>
  <si>
    <t>LISTA 6 (20%)</t>
  </si>
  <si>
    <t>SERVICO REQ REFACCIÓN</t>
  </si>
  <si>
    <t>PIEZAS</t>
  </si>
  <si>
    <t>PRECIO REFAC LP</t>
  </si>
  <si>
    <t>IMPORTE REF</t>
  </si>
  <si>
    <t>SV62</t>
  </si>
  <si>
    <t>ABRIR INTERIOR DE PIEDRA</t>
  </si>
  <si>
    <t>SV06</t>
  </si>
  <si>
    <t>SV01</t>
  </si>
  <si>
    <t>ABRIR PUENTE MODELO ANTERIOR A OTRA MEDIDA</t>
  </si>
  <si>
    <t>SV07</t>
  </si>
  <si>
    <t>SV02</t>
  </si>
  <si>
    <t>ARMAR BASE INFERIOR DÚPLEX</t>
  </si>
  <si>
    <t>SV09</t>
  </si>
  <si>
    <t>SV03</t>
  </si>
  <si>
    <t>ARMAR BASE INFERIOR SENCILLA</t>
  </si>
  <si>
    <t>SV08</t>
  </si>
  <si>
    <t>SV05</t>
  </si>
  <si>
    <t>ARMAR Y DESARMAR FLECHA</t>
  </si>
  <si>
    <t>SV10</t>
  </si>
  <si>
    <t>SV04</t>
  </si>
  <si>
    <t>ARMAR  Y DESARMAR CATARINA CLUTCH</t>
  </si>
  <si>
    <t>SV11</t>
  </si>
  <si>
    <t>SV96</t>
  </si>
  <si>
    <t>SV47</t>
  </si>
  <si>
    <t>SV92</t>
  </si>
  <si>
    <t>COLOCACIÓN DE JUEGO DE BRONCES SENCILLOS EN BASE INF. SENCILLO</t>
  </si>
  <si>
    <t>SV12</t>
  </si>
  <si>
    <t>COLOCACIÓN BIRLO 3/8 X 3 PUESTO EN BASE (C/U)</t>
  </si>
  <si>
    <t>SV13</t>
  </si>
  <si>
    <t>COLOCACIÓN BUJE 5/8 DUPLEX PUESTO EN BASE (C/U)</t>
  </si>
  <si>
    <t>SV14</t>
  </si>
  <si>
    <t>COLOCACIÓN BUJE 5/8 SENCILLO BRONCE PUESTO EN BASE (C/U)</t>
  </si>
  <si>
    <t>COLOCACIÓN BUJE 5/8 SENCILLO NYLAMID PUESTO EN BASE (C/U)</t>
  </si>
  <si>
    <t>SV15</t>
  </si>
  <si>
    <t>COLOCACIÓN BUJE DE CENTRO DUPLEX PUESTO EN BASE (C/U)</t>
  </si>
  <si>
    <t>COLOCACIÓN BUJE DE CENTRO SENCILLO PUESTO EN BASE (C/U)</t>
  </si>
  <si>
    <t>SV16</t>
  </si>
  <si>
    <t>COLOCACIÓN BUJE PARA PUENTE ADICIONAL PUESTO EN BASE (C/U)</t>
  </si>
  <si>
    <t>COLOCACIÓN BUJES ESPECIALES A BASE INFERIOR DUPLEX</t>
  </si>
  <si>
    <t>COLOCACIÓN BUJES ESPECIALES A BASE INFERIOR SENCILLA</t>
  </si>
  <si>
    <t>CAMBIAR BIRLOS A CARRO DUPLEX</t>
  </si>
  <si>
    <t>CAMBIAR BIRLOS A CARRO SENCILLO</t>
  </si>
  <si>
    <t>CAMBIAR FLECHA A SINFINES DE ALUMINIO DUPLEX</t>
  </si>
  <si>
    <t>SV17</t>
  </si>
  <si>
    <t>CAMBIAR FLECHA A SINFIN DE ALUMINIO SENCILLO</t>
  </si>
  <si>
    <t>SV18</t>
  </si>
  <si>
    <t>CAMBIAR JUEGO DE BRONCES DUPLEX A BASE</t>
  </si>
  <si>
    <t>SV19</t>
  </si>
  <si>
    <t>CAMBIAR JUEGO DE BRONCES DUPLEX A BASE A CAMBIO</t>
  </si>
  <si>
    <t>SV20</t>
  </si>
  <si>
    <t>CAMBIAR JUEGO DE BRONCES SENCILLO A BASE</t>
  </si>
  <si>
    <t>SV21</t>
  </si>
  <si>
    <t>CAMBIAR JUEGO DE BRONCES SENCILLO A BASE A CAMBIO</t>
  </si>
  <si>
    <t>SV61</t>
  </si>
  <si>
    <t xml:space="preserve">CORTAR FLECHA </t>
  </si>
  <si>
    <t>SV22</t>
  </si>
  <si>
    <t>DESARMAR BASE INFERIOR DÚPLEX</t>
  </si>
  <si>
    <t>SV23</t>
  </si>
  <si>
    <t>DESARMAR BASE INFERIOR SENCILLA</t>
  </si>
  <si>
    <t>SV60</t>
  </si>
  <si>
    <t>COLOCAR LAINAS A BASE SUPERIOR DE ALUMINIO SENCILLA</t>
  </si>
  <si>
    <t>SV48</t>
  </si>
  <si>
    <t>MANO DE OBRA DE PERFORAR SEGUIDOR T.P.</t>
  </si>
  <si>
    <t>SV24</t>
  </si>
  <si>
    <t>MANO DE OBRA PONER CASQUILLO PARA BALERO 7210</t>
  </si>
  <si>
    <t>SV25</t>
  </si>
  <si>
    <t>PONER CASQUILLO SOBRE CENTRAL A BASE DE ALUMINIO</t>
  </si>
  <si>
    <t>SV26</t>
  </si>
  <si>
    <t>PONER LAINAS A BASE INFERIOR DUPLEX</t>
  </si>
  <si>
    <t>SV27</t>
  </si>
  <si>
    <t>PONER LAINAS A BASE INFERIOR SENCILLA</t>
  </si>
  <si>
    <t>SV28</t>
  </si>
  <si>
    <t>COLOCAR LAINAS A BASE SUPERIOR DE ALUMINIO DUPLEX</t>
  </si>
  <si>
    <t>SV29</t>
  </si>
  <si>
    <t>SV31</t>
  </si>
  <si>
    <t>PONER OREJA DE BRONCE A BASE INFERIOR</t>
  </si>
  <si>
    <t>SV32</t>
  </si>
  <si>
    <t>PONER OREJA DE FIERRO A BASE SUPERIOR</t>
  </si>
  <si>
    <t>SV30</t>
  </si>
  <si>
    <t>PONER OREJA A CÁMARA DE PRESIÓN</t>
  </si>
  <si>
    <t>SV33</t>
  </si>
  <si>
    <t>MANO DE OBRA PULIR CUBRECADENA</t>
  </si>
  <si>
    <t>SV35</t>
  </si>
  <si>
    <t>MANO DE OBRA PULIR JUEGO DE ALUMINIO SENCILLO ( 3PZAS.)</t>
  </si>
  <si>
    <t>SV34</t>
  </si>
  <si>
    <t>MANO DE OBRA PULIR JUEGO DE ALUMINIO DÚPLEX (3 PZAS.)</t>
  </si>
  <si>
    <t>SV88</t>
  </si>
  <si>
    <t>MANO DE OBRA PULIR JUEGO DE TOLVA INOX. SENCILLO ( 3PZAS.)</t>
  </si>
  <si>
    <t>SV50</t>
  </si>
  <si>
    <t>MANO DE OBRA QUITAR Y COLOCAR BALERO A CORONA SENCILLO Y DÚPLEX</t>
  </si>
  <si>
    <t>SV51</t>
  </si>
  <si>
    <t>MANO DE OBRA QUITAR Y COLOCAR BALERO A PERNOS PARA SEGURO</t>
  </si>
  <si>
    <t>SV57</t>
  </si>
  <si>
    <t>RECTIFICAR BRONCES DE 1/2 BASE INFERIOR DÚPLEX</t>
  </si>
  <si>
    <t>SV56</t>
  </si>
  <si>
    <t>RECTIFICAR BRONCES DE 1/2 BASE INFERIOR SENCILLA</t>
  </si>
  <si>
    <t>SV36</t>
  </si>
  <si>
    <t>RECTIFICAR BRONCES DE BASE INFERIOR DÚPLEX</t>
  </si>
  <si>
    <t>SV37</t>
  </si>
  <si>
    <t>RECTIFICAR BRONCES DE BASE INFERIOR SENCILLA</t>
  </si>
  <si>
    <t>SV38</t>
  </si>
  <si>
    <t>RECTIFICAR PERFILADOR DÚPLEX NORMAL E INOX.</t>
  </si>
  <si>
    <t>SV39</t>
  </si>
  <si>
    <t>RECTIFICAR PERFILADOR SENCILLO NORMAL E INOX.</t>
  </si>
  <si>
    <t>SV98</t>
  </si>
  <si>
    <t>RECTIFICAR, TORNEAR Y GRANALLAR RODILLO NEGROS DE CABEZAL RESTAURANTERO 4"</t>
  </si>
  <si>
    <t>SV99</t>
  </si>
  <si>
    <t>RECTIFICAR, TORNEAR Y GRANALLAR RODILLO NEGROS DE CABEZAL RESTAURANTERO 6"</t>
  </si>
  <si>
    <t>SV101</t>
  </si>
  <si>
    <t>RECTIFICAR, TORNEAR Y GRANALLAR RODILLO NEGROS DE CABEZAL RESTAURANTERO 8"</t>
  </si>
  <si>
    <t>SV40</t>
  </si>
  <si>
    <t>RELLENAR, HACER BARRENO SUPERIOR NUEVO 1/2 BASE INFERIOR</t>
  </si>
  <si>
    <t>SV41</t>
  </si>
  <si>
    <t>RELLENAR, HACER BARRENO SUPERIOR NUEVO 5/16 BASE INFERIOR</t>
  </si>
  <si>
    <t>SV42</t>
  </si>
  <si>
    <t>REPARAR ASPA</t>
  </si>
  <si>
    <t>SV52</t>
  </si>
  <si>
    <t>REPARAR HÉLICE DE SINFÍN</t>
  </si>
  <si>
    <t>SV53</t>
  </si>
  <si>
    <t>REPARAR PUENTE PRINCIPAL</t>
  </si>
  <si>
    <t>SV49</t>
  </si>
  <si>
    <t>REPARAR PUENTE PRINCIPAL SENCILLO</t>
  </si>
  <si>
    <t>SV45</t>
  </si>
  <si>
    <t>REPARAR REDUCTOR (MANO DE OBRA)</t>
  </si>
  <si>
    <t>SV46</t>
  </si>
  <si>
    <t>REPARAR VÁLVULA (MANO DE OBRA)</t>
  </si>
  <si>
    <t>SV54</t>
  </si>
  <si>
    <t>SOLDAR ANILLO PARA COMAL MODELO ANTERIOR ( C/U )</t>
  </si>
  <si>
    <t>SV58</t>
  </si>
  <si>
    <t>SOLDAR BARRITA DE LATÓN</t>
  </si>
  <si>
    <t>SV55</t>
  </si>
  <si>
    <t>SOLDAR ELECTRODOS (MANO DE OBRA)</t>
  </si>
  <si>
    <t>SV59</t>
  </si>
  <si>
    <t>REPARACIÓN DE AMASADORA</t>
  </si>
  <si>
    <t>SV94</t>
  </si>
  <si>
    <t>RECTIFICAR RODILLO DE ACERO INOX DE CABEZAL RESTAURANTERO</t>
  </si>
  <si>
    <t>SV95</t>
  </si>
  <si>
    <t>REALIZAR BARRENO A PIEDRA</t>
  </si>
  <si>
    <t>RECTIFICAR ROD CORT MQ ROD RIESGO CLIENT</t>
  </si>
  <si>
    <t xml:space="preserve"> TORTILLADORAS VERDUZCO</t>
  </si>
  <si>
    <t xml:space="preserve">  </t>
  </si>
  <si>
    <t xml:space="preserve">                MÁQUINAS TORTILLADORAS, HARINA DE TRIGO, TOSTADAS, RESTAURANTERAS, REFACCIONES, INSUMOS Y TODO LO RELACIONADO CON MAQUINARIA PARA EL PROCESO  DE NIXTAMALIZACIÓN</t>
  </si>
  <si>
    <t>Precios sujetos a cambios sin previo aviso, precios al día:</t>
  </si>
  <si>
    <t>LISTA DE PAQUETES PROMOCIONALES</t>
  </si>
  <si>
    <t>PAQUETE</t>
  </si>
  <si>
    <t>DESCRIPCIÓN, EQUIPO QUE INCLUYE</t>
  </si>
  <si>
    <t>PRECIO NORMAL</t>
  </si>
  <si>
    <t>%</t>
  </si>
  <si>
    <t>PRECIO PROMOCIÓN ($)</t>
  </si>
  <si>
    <t>USTED AHORRA</t>
  </si>
  <si>
    <t>IVA ($)</t>
  </si>
  <si>
    <t>TOTAL ($)</t>
  </si>
  <si>
    <t>PAQUETE 1</t>
  </si>
  <si>
    <t>Máquina Tortilladora TV30</t>
  </si>
  <si>
    <t>Amasadora 25 kg</t>
  </si>
  <si>
    <t>Báscula</t>
  </si>
  <si>
    <t>PAQUETE 2</t>
  </si>
  <si>
    <t>Máquina Tortilladora TV40</t>
  </si>
  <si>
    <t>Amasadora 50 kg</t>
  </si>
  <si>
    <t>PAQUETE 3</t>
  </si>
  <si>
    <t>Mostrador Chico S/V</t>
  </si>
  <si>
    <t>Carrito Masero</t>
  </si>
  <si>
    <t>PAQUETE 4</t>
  </si>
  <si>
    <t>Paila Cocedora de 200kg</t>
  </si>
  <si>
    <t>Molino Toluca Tres 7.5HP</t>
  </si>
  <si>
    <t>Lavador Nixtamal</t>
  </si>
  <si>
    <t>PAQUETE 5</t>
  </si>
  <si>
    <t>Molino Toluca Tres 10HP</t>
  </si>
  <si>
    <t>PAQUETE 6</t>
  </si>
  <si>
    <t>Máquina Tortilladora TV50</t>
  </si>
  <si>
    <t>Paila Cocedora de 300kg</t>
  </si>
  <si>
    <t>Molino de Cono 7.5HP</t>
  </si>
  <si>
    <t>PQ07</t>
  </si>
  <si>
    <t>PAQUETE 7</t>
  </si>
  <si>
    <t>Mostrador de Cristal</t>
  </si>
  <si>
    <t>Molino Tortimex Uno 5HP</t>
  </si>
  <si>
    <t>PQ08</t>
  </si>
  <si>
    <t>PAQUETE 8</t>
  </si>
  <si>
    <t>Máquina Tortilladora TV60</t>
  </si>
  <si>
    <t>Molino Tortimex Uno 5 HP</t>
  </si>
  <si>
    <t>PQ09</t>
  </si>
  <si>
    <t>PAQUETE 9</t>
  </si>
  <si>
    <t>Lavador Automático Nixtamal</t>
  </si>
  <si>
    <t>PAQUETE 11</t>
  </si>
  <si>
    <t>Máquina Tortilladora TVR30</t>
  </si>
  <si>
    <t>Amasadora 25kg</t>
  </si>
  <si>
    <t>PQ12</t>
  </si>
  <si>
    <t>PAQUETE 12</t>
  </si>
  <si>
    <t>Máquina Tortilladora TVR40</t>
  </si>
  <si>
    <t>Amasadora 50kg</t>
  </si>
  <si>
    <t>PQ13</t>
  </si>
  <si>
    <t>PAQUETE 13</t>
  </si>
  <si>
    <t>PQ14</t>
  </si>
  <si>
    <t>PAQUETE 14</t>
  </si>
  <si>
    <t>PQ15</t>
  </si>
  <si>
    <t>PAQUETE 15</t>
  </si>
  <si>
    <t>PQ16</t>
  </si>
  <si>
    <t>PAQUETE 16</t>
  </si>
  <si>
    <t>Máquina Tortilladora TVR50</t>
  </si>
  <si>
    <t>PQ17</t>
  </si>
  <si>
    <t>PAQUETE 17</t>
  </si>
  <si>
    <t>PQ18</t>
  </si>
  <si>
    <t>PAQUETE 18</t>
  </si>
  <si>
    <t>Máquina Tortilladora TVR60</t>
  </si>
  <si>
    <t>PQ19</t>
  </si>
  <si>
    <t>PAQUETE 19</t>
  </si>
  <si>
    <t>PQ21</t>
  </si>
  <si>
    <t>PAQUETE 21</t>
  </si>
  <si>
    <t>Máquina Tortilladora TV30 GA</t>
  </si>
  <si>
    <t>Amasadora 25kg (304L)</t>
  </si>
  <si>
    <t>PQ22</t>
  </si>
  <si>
    <t>PAQUETE 22</t>
  </si>
  <si>
    <t>Máquina Tortilladora TV40 GA</t>
  </si>
  <si>
    <t>Amasadora 50kg (304L)</t>
  </si>
  <si>
    <t>PAQUETE 23</t>
  </si>
  <si>
    <t>PQ24</t>
  </si>
  <si>
    <t>PAQUETE 24</t>
  </si>
  <si>
    <t>Máquina Tortilladora TV40GA</t>
  </si>
  <si>
    <t>Paila Cocedora 200kg</t>
  </si>
  <si>
    <t>PQ25</t>
  </si>
  <si>
    <t>PAQUETE 25</t>
  </si>
  <si>
    <t>PQ26</t>
  </si>
  <si>
    <t>PAQUETE 26</t>
  </si>
  <si>
    <t>Máquina Tortilladora TV50 GA</t>
  </si>
  <si>
    <t>Paila Cocedora 300kg</t>
  </si>
  <si>
    <t>PQ27</t>
  </si>
  <si>
    <t>PAQUETE 27</t>
  </si>
  <si>
    <t>PQ28</t>
  </si>
  <si>
    <t>PAQUETE 28</t>
  </si>
  <si>
    <t>Máquina Tortilladora TV60 GA</t>
  </si>
  <si>
    <t>PQ29</t>
  </si>
  <si>
    <t>PAQUETE 29</t>
  </si>
  <si>
    <t>Paila Cocedora 500kg</t>
  </si>
  <si>
    <t>PQ31</t>
  </si>
  <si>
    <t>PAQUETE 31</t>
  </si>
  <si>
    <t>Cabezal de Libro</t>
  </si>
  <si>
    <t>Comal Tradicional 1.40</t>
  </si>
  <si>
    <t>Cortadora Manual</t>
  </si>
  <si>
    <t>PQ32</t>
  </si>
  <si>
    <t>PAQUETE 32</t>
  </si>
  <si>
    <t>Mesa con espiguero para charolas</t>
  </si>
  <si>
    <t>PQ33</t>
  </si>
  <si>
    <t>PAQUETE 33</t>
  </si>
  <si>
    <t>Amasadora 50kg 6 paletas</t>
  </si>
  <si>
    <t>Chasis Cocedor 16″</t>
  </si>
  <si>
    <t>Espiguero con 18 Charolas</t>
  </si>
  <si>
    <t>PQ34</t>
  </si>
  <si>
    <t>PAQUETE 34</t>
  </si>
  <si>
    <t>Cortadora Automática</t>
  </si>
  <si>
    <t>PQ35</t>
  </si>
  <si>
    <t>PAQUETE 35</t>
  </si>
  <si>
    <t>Prensa Horizontal 16″x16″</t>
  </si>
  <si>
    <t>Amasadora 100kg 6 paletas</t>
  </si>
  <si>
    <t>Boleadora</t>
  </si>
  <si>
    <t>Enfriador 3 mts x 3 Niveles</t>
  </si>
  <si>
    <t>PQ36</t>
  </si>
  <si>
    <t>PAQUETE 36</t>
  </si>
  <si>
    <t>Prensa Horizontal 12″x24″</t>
  </si>
  <si>
    <t>Chasis Cocedor 32″</t>
  </si>
  <si>
    <t>En esta sección se colocará la clave (no usada), fecha de fabricación, descripción y precio de LA REFACCIÓN ó SERVICIO especial, que servirá de referencia para cotizar en un futuro</t>
  </si>
  <si>
    <t>REFACCIONES Y SERVICIOS ESPECIALES</t>
  </si>
  <si>
    <t>DESCRIPCIÓN</t>
  </si>
  <si>
    <t>FECHA CREACIÓN</t>
  </si>
  <si>
    <t>SOLICITADO POR:</t>
  </si>
  <si>
    <t>COTIZADO POR:</t>
  </si>
  <si>
    <t>CLIENTE</t>
  </si>
  <si>
    <t xml:space="preserve">DOCUMENTO </t>
  </si>
  <si>
    <t>PRECIO PUBLICO</t>
  </si>
  <si>
    <t>PRECIO PLANTA</t>
  </si>
  <si>
    <t>CORONA DE BRONCE MEDIANA DE 40 DTS</t>
  </si>
  <si>
    <t>OSMARA</t>
  </si>
  <si>
    <t>BANDA METÁLICA ESPECIAL MODELO ANTERIOR DE 36 CM ANCHO X 108 TABLETAS DE LARGO</t>
  </si>
  <si>
    <t>RODILLO PARA BANDA METÁLICA MODELO ANTERIO DE 36 CM, FLECHA DE 15/16" CON 66 CM TOTALES, AMBAS PUNTAS DE LA FLECHA DE 6.5 CM A 3/4"</t>
  </si>
  <si>
    <t>SV66</t>
  </si>
  <si>
    <t>ARMAR Y DESARMAR CABEZAL</t>
  </si>
  <si>
    <t>FLECHA PARA PALETAS DE AMASADORA DE 100 KG (1''3/16 x 1.10 M) CON CUÑERO DE 1/4''X3''</t>
  </si>
  <si>
    <t>SUCURSAL TOLUCA</t>
  </si>
  <si>
    <t>MALLA TESTALERA INOXIDABLE DE 40 CM X 1.50 M PARA CABEZAL DE RODILLOS DE 8''</t>
  </si>
  <si>
    <t>YASMIN</t>
  </si>
  <si>
    <t>DANIEL / ITALIA / MANUEL MANCERA</t>
  </si>
  <si>
    <t>BANDA METÁLICA DE 42 CM DE ANCHO X 90 TABLETAS CON 3 BISAGRAS TIPO BC</t>
  </si>
  <si>
    <t>COMERCIALIZADORA TERE</t>
  </si>
  <si>
    <t>JUEGO DE RODILLOS PARA CABEZA TVR50 CON FLECHA DE ACERO INOXIDABLE</t>
  </si>
  <si>
    <t>ING. VERDUZCO</t>
  </si>
  <si>
    <t>SOPORTE PARA VARILLA DE 1/2 PARA ALAMBRE</t>
  </si>
  <si>
    <t>EDUARDO TORRES</t>
  </si>
  <si>
    <t>RAFAEL BECKER</t>
  </si>
  <si>
    <t xml:space="preserve">CATARINA 59 DTS P40 INT 3/4 </t>
  </si>
  <si>
    <t>YASMIN NAVARRO</t>
  </si>
  <si>
    <t xml:space="preserve">GUATEMALA </t>
  </si>
  <si>
    <t>FLECHA ESPECIAL DE 1"1/2 DIAMETRO X 1.20 MTS DE LARGO Y CUÑERO DE 5/16</t>
  </si>
  <si>
    <t>PATY NAZARIO</t>
  </si>
  <si>
    <t>JG221</t>
  </si>
  <si>
    <t>JUEGO DE PIEDRAS DE 8'' MOLINO TORTIMEX 8'' 2 1/4</t>
  </si>
  <si>
    <t>VIDAURI (XOCHITL, GABY)</t>
  </si>
  <si>
    <t>SIERRA MADRE TORTILLA (USA)</t>
  </si>
  <si>
    <t>RODILLO ESPECIAL CON FLECHA DE 1'' X 56 CM, CON 2 CABEZALES CON CEJA IZQUIERDA Y DERECHA</t>
  </si>
  <si>
    <t>CARLOS ALVAREZ</t>
  </si>
  <si>
    <t>RODILLO CORTADOR PARA MAQUINA VW-100 DE 11CMS</t>
  </si>
  <si>
    <t>GABY GARCIA (PLANTA)</t>
  </si>
  <si>
    <t>TORTILLADORAS DE GUATEMALA</t>
  </si>
  <si>
    <t>RODILLO CORTADOR PARA MAQUINA VW-100 DE 13CMS</t>
  </si>
  <si>
    <t>GABY GARCIA</t>
  </si>
  <si>
    <t>RC33</t>
  </si>
  <si>
    <t>RODILLO CORTADOR PARA MAQUINA VW-100 DE 14CMS</t>
  </si>
  <si>
    <t>ENGRANE DE 55 DTS P5.7</t>
  </si>
  <si>
    <t>VIDAURI (ANTONIA)</t>
  </si>
  <si>
    <t>LINEA DE QUEMADORES PARA PAILA COCEDORA DE 1.6 MTS DE LARGO</t>
  </si>
  <si>
    <t>BANDA METÁLICA B.C. DE 71 CM 106 TABLETAS CON 4 BISAGRAS</t>
  </si>
  <si>
    <t>ARACELI GARCIA</t>
  </si>
  <si>
    <t>TABLETA TIPO B.C. DE 42 CM DE ANCHO CON 3 BISAGRAS</t>
  </si>
  <si>
    <t>BANDA METÁLICA DE 42 CM DE ANCHO X 9 TABLETAS CON 3 BISAGRAS TIPO BC</t>
  </si>
  <si>
    <t>CATARINA 24 DTS P40 INTERIOR 3/4</t>
  </si>
  <si>
    <t>SHEYLA GONZALEZ</t>
  </si>
  <si>
    <t>SUCURSAL QUERETARO</t>
  </si>
  <si>
    <t>RODILLO DE 1/2 X 34 CM EN ACERO INOXIDABLE PARA CABEZAL RESTAURANTERO DE 4''</t>
  </si>
  <si>
    <t>RODILLO CORTADOR PARA MAQUINA CABEZAL RESTAURANTERO AUTOMÁTICO  R4 20X20 CUADRADO</t>
  </si>
  <si>
    <t>CINTHIA MARIN</t>
  </si>
  <si>
    <t>JOSE GUSTAVO GARCIA CARDEÑA</t>
  </si>
  <si>
    <t>PROGRAMA PARA RODILLO CORTADOR PARA MAQUINA CABEZAL RESTAURANTERO AUTOMÁTICO  R4 20X20 CUADRADO</t>
  </si>
  <si>
    <t>RODILLO CORTADOR DE TOTOPOS PARA MAQUINA TRIPLE</t>
  </si>
  <si>
    <t>XOCHITL</t>
  </si>
  <si>
    <t>ALIMENTOS ESPECIALIZADOS GOMEZ</t>
  </si>
  <si>
    <t>PALANCA PARA AMASADORA DE MASECA</t>
  </si>
  <si>
    <t>ANTONIA</t>
  </si>
  <si>
    <t>CHRISTIAN ALANIS</t>
  </si>
  <si>
    <t>CORONA DE ACERO SENCILLA (ABIERTA 1" CON CUÑERO 5/16 Y DOS BARRENOS OPRESOR DE 3/8)</t>
  </si>
  <si>
    <t>Carlos Alvarez</t>
  </si>
  <si>
    <t>ASPA PARA AMASADORA DE 50 KG. INOX. 304</t>
  </si>
  <si>
    <t>ARIANA ROJAS VAZQUEZ</t>
  </si>
  <si>
    <t>ANDRES HIDALGO VARGAS</t>
  </si>
  <si>
    <t>TAPA CON BISAGRA EN ACERO INOX. 430</t>
  </si>
  <si>
    <t>POLEA DE 3 1/2 " TRES RANURAS, ENTRADA  5/8", CUÑERO 3/16"</t>
  </si>
  <si>
    <t>MARCO PARA CERNIDOR EN ACERO INOX. 304</t>
  </si>
  <si>
    <t>BIOTECH</t>
  </si>
  <si>
    <t>SINFIN ESPECIAL</t>
  </si>
  <si>
    <t>JUAN ENCERRADO</t>
  </si>
  <si>
    <t>TULTITLAN</t>
  </si>
  <si>
    <t>PAD9</t>
  </si>
  <si>
    <t>RODILLO ENFRIADOR 13'' LARGO DIAM 3'' CON FLECHA A 1'' Y LARGO 24" SIN SOLDAR FLECHA</t>
  </si>
  <si>
    <t>ANTONIA ARROYO</t>
  </si>
  <si>
    <t>ALMA MARQUEZ</t>
  </si>
  <si>
    <t>ROCIO MAGDONAL LANDA</t>
  </si>
  <si>
    <t>COT786</t>
  </si>
  <si>
    <t>SWITCH REVERSIBLE</t>
  </si>
  <si>
    <t>CRIS CIA</t>
  </si>
  <si>
    <t>EP02</t>
  </si>
  <si>
    <t>QUEMADOR PARA TOSTADOR DE 65 CM</t>
  </si>
  <si>
    <t>EP03</t>
  </si>
  <si>
    <t>QUEMADOR PARA TOSTADOR DE 90 CM</t>
  </si>
  <si>
    <t>EP04</t>
  </si>
  <si>
    <t>BOMBA CENTRÍFUGA</t>
  </si>
  <si>
    <t>EP05</t>
  </si>
  <si>
    <t>MALLA ENFRIADOR HARINA INOX 42 PULGADAS CON CADENA INOXIDABLE X METRO</t>
  </si>
  <si>
    <t>BANDA METALICA DE 7 METROS DE LARGO POR 80.90 CM DE ANCHO 150 TABLETAS DE 4.6 CM PARA MAQUINA CUADRUPLE</t>
  </si>
  <si>
    <t>PRODUCTOS ALIMENTICIOS CARDIN</t>
  </si>
  <si>
    <t>BANDA METALICA DE 1 METRO DE LARGO POR 80.90 CM DE ANCHO TABLETAS DE 4.6 CM PARA MAQUINA CUADRUPLE</t>
  </si>
  <si>
    <t>NORMA SANCHEZ</t>
  </si>
  <si>
    <t>ALEJANDRO VERDUZCO</t>
  </si>
  <si>
    <t>CARLOS IVAN ALVAREZ</t>
  </si>
  <si>
    <t xml:space="preserve">13" X 100 TABLETAS 3 BISAGRAS </t>
  </si>
  <si>
    <t>YAZMIN NAVA</t>
  </si>
  <si>
    <t>VICTOR ESTRADA</t>
  </si>
  <si>
    <t>ENGRANE DE 98 DTS PASO 5.7</t>
  </si>
  <si>
    <t>SARA</t>
  </si>
  <si>
    <t>TORTILLERIA GIGANTE</t>
  </si>
  <si>
    <t>RODILLO NEGRO DE POLIGAR MACHO TVRC</t>
  </si>
  <si>
    <t>JVP</t>
  </si>
  <si>
    <t>RODILLO NEGRO DE POLIGAR HEMBRA TVRC</t>
  </si>
  <si>
    <t>RODILLO EN ACERO INOXIDABLE DELANTERO CON RANURAS PARA MAQUINA TVRC</t>
  </si>
  <si>
    <t>BANDA METALICA PARA MAQUINA TVRC CON CADENA TIPO WALMART DE 112 TABLETAS</t>
  </si>
  <si>
    <t>ASPA Y FLECHA PARA AMASAADORA DE 100 KG. EN ACERO INOX. 304</t>
  </si>
  <si>
    <t>FRANCISCO ROJAS CRUZ</t>
  </si>
  <si>
    <t>TAPA QUITA PON PARA AMASADORA DE 100 KG. EN ACERO INOX. 430</t>
  </si>
  <si>
    <t>SEPARADOR PARA LATERAL R4 (RESTAURATERO)</t>
  </si>
  <si>
    <t>JULIO ALEJANDRO</t>
  </si>
  <si>
    <t>ARO PARA JUEGO DE ALUMINIO ESPECIAL CHICO</t>
  </si>
  <si>
    <t>ANOTNIA</t>
  </si>
  <si>
    <t>YOLANDA ZARATE</t>
  </si>
  <si>
    <t>CORTADORES DE POLYGAR EXISTENTES CON PROGRAMA</t>
  </si>
  <si>
    <t xml:space="preserve"> CORTADOR PARA MAQUINAS TVR-30, 40, 50 Y 60 (DIAMETRO) (*2)</t>
  </si>
  <si>
    <t xml:space="preserve"> CORTADOR PARA MAQUINAS TVRM 20,30, 50 Y 60 (DÍAMETRO) (*2)</t>
  </si>
  <si>
    <t>CORTADOR PARA MAQUINAS TVRD 80,100 y 120 (DIÁMETRO) (*2)</t>
  </si>
  <si>
    <t>DÍAMETRO TORTILLA (*1)</t>
  </si>
  <si>
    <t>VARIABLES (*3)</t>
  </si>
  <si>
    <t>2"</t>
  </si>
  <si>
    <t>2 1/2"</t>
  </si>
  <si>
    <t>3"</t>
  </si>
  <si>
    <t>3 1/2"</t>
  </si>
  <si>
    <t>4"</t>
  </si>
  <si>
    <t>4 1/2"</t>
  </si>
  <si>
    <t>5"</t>
  </si>
  <si>
    <t>6 (AREPAS)</t>
  </si>
  <si>
    <t>Filas</t>
  </si>
  <si>
    <t>Proyecciones</t>
  </si>
  <si>
    <t>7 (NACHOS)</t>
  </si>
  <si>
    <t>10 (TAQUERA)</t>
  </si>
  <si>
    <t>16 (TORTILLA ESTANDAR)</t>
  </si>
  <si>
    <t>FLAUTA 12 X 22</t>
  </si>
  <si>
    <t>HUARACHE 14 X 22</t>
  </si>
  <si>
    <t>HUARACHE 14 X 24</t>
  </si>
  <si>
    <t>TOTOPOS</t>
  </si>
  <si>
    <t>PRECIO</t>
  </si>
  <si>
    <t>NOTAS:</t>
  </si>
  <si>
    <t>1.- El díametro de la tortilla es en crudo y reduce un 6% en condiciones normales</t>
  </si>
  <si>
    <t>2.- El díametro del cortador es el diámetro del rodillo con el que se fabrica el cortador</t>
  </si>
  <si>
    <t>3.- Las Filas son la cantidad de impresiónes que lleva el cortador a lo ancho, en algunos casos se pueden intercalar en zigzag salvo previo análisis</t>
  </si>
  <si>
    <t>3.- Las Proyeccuines son la cantidad de impresiones que lleva el cortador a lo largo de su perímetro</t>
  </si>
  <si>
    <t>DETALLES</t>
  </si>
  <si>
    <t>Se pueden hacer tortillas ovaladas o huaraches, se requiere saber el ancho y el alto</t>
  </si>
  <si>
    <t>Se puede fabricar cortadores especiales a la medida</t>
  </si>
  <si>
    <t>Existen medidas de tortillas que se pueden realizar en diferentes grosores de cortador logrando una impresión más, entre más proyecciones menor reborde y mejor calidad de tortilla</t>
  </si>
  <si>
    <t>De 10 a 14 cm se toma una barra de 2"</t>
  </si>
  <si>
    <t>De 15 a 18 cm se toma una barra de 2" 1/2</t>
  </si>
  <si>
    <t>De 19 cm en adelante se toma una barra de 3" en ese mismo diámetro entran los cortes de flauta, nachos, totopos y Julianas</t>
  </si>
  <si>
    <t>Para las arepas se utilizara una barra de 3" 1/2.</t>
  </si>
  <si>
    <t>NOTA : OTRA FORMA DE SABER QUE GROSOR DE POLIGAR NECESITAN LOS CORTADORES ES EJEMPLO : SI ES DE 18 CMS. SE SUMAN 2 CMS. MÁS ESTO SE DIVIDE ENTRE 3.1416 Y SE VUELVE A DIVIDIR ENTRE 2.54 EL RESULTADO SERA EL GROSOR DE POLIGAR Y YA CON ESTO PUEDEN COTIZAR TAMBIEN</t>
  </si>
  <si>
    <t>En esta sección se colocará la clave (no usada), fecha de fabricación, descripción y precio de EQUIPO especial, que servirá de referencia para cotizar en un futuro</t>
  </si>
  <si>
    <t>LISTA DE EQUIPO ESPECIAL</t>
  </si>
  <si>
    <t>ACOMODADOR DE TORTILLAS AUTOMATICO SENCILLO 10CM</t>
  </si>
  <si>
    <t>ACOMODADOR DE TORTILLAS AUTOMATICO SENCILLO 17CM</t>
  </si>
  <si>
    <t>M</t>
  </si>
  <si>
    <t>ACOMODADOR DE TORTILLAS DUPLEX PARA TRES TIPOS DE TORTILLAS</t>
  </si>
  <si>
    <t>GABRIELA GARCIA</t>
  </si>
  <si>
    <t>LA MORENITA DI BECKER ARRIOLA DANIEL</t>
  </si>
  <si>
    <t>AMASADORA DE 25 KG CON PALETAS FUNDIDAS Y FLECHA EN ACERO INOX 304 G.A. Y TAPA</t>
  </si>
  <si>
    <t>AMASADORA DE  50 KG. EN ACERO INOX. T-430, MOTOR TRIFASICO</t>
  </si>
  <si>
    <t xml:space="preserve">AMASADORA DE 50 KG EN ACERO INOX T-430, MOTOR 1 HP MONOFASICO, GRADO HIGIÉNICO CON ASPA </t>
  </si>
  <si>
    <t>PATRICIA NAZARIO (PLANTA)</t>
  </si>
  <si>
    <t>SUCURSAL TOLUCA / JUAN MARCOS MARTINEZ MARTINEZ</t>
  </si>
  <si>
    <t>AMASADORA DE 100 KG EN ACERO INOX 304 G.A SIN ESQUINAS, CON BANCO EN ACERO INOX 304, ASPA, MOTOR DE 2 HP MONOFASICO Y TAPA</t>
  </si>
  <si>
    <t>CABEZAL ESPECIAL PARA HUARACHES DE 30 X 60 CM</t>
  </si>
  <si>
    <t>CABEZAL RESTAURANTERO CHICO, MANUAL, DE RODILLOS EN POLIGAR MODIFICADO, BASE RECORTADA Y EN ACERO INOXIDABLE, MALLA EN ACERO INOXIDABLE Y CON CORTADOR OVALADO DE 13X20 CM</t>
  </si>
  <si>
    <t>CABEZAL RESTAURANTERO DE RODILLOS DE POLIGAR DE 4", LATERALES EN ACERO INOXIDABLE 304 G.A. CON COLUMPIO DE 60 CM DE LARGO Y BANDA DE TEFLON Y POLEA DE 2"1/2, MOTOR DE 1 HP</t>
  </si>
  <si>
    <t>CAMPANA EN ACERO INOXIDABLE PARA FREIDORA MECANIZADA MÉRIDA O DUPLEX</t>
  </si>
  <si>
    <t>CERNIDOR PARA TAMAL Y CHILES C/ESTRUCTURA EN ACERO INOX. T-304 (FABRICACIÓN ESPECIAL)</t>
  </si>
  <si>
    <t xml:space="preserve">CHASIS SOLO SENCILLO TV-40 </t>
  </si>
  <si>
    <r>
      <rPr>
        <rFont val="Montserrat"/>
        <color rgb="FF000000"/>
        <sz val="9.0"/>
      </rPr>
      <t>DESHIDRATADOR MÉRIDA</t>
    </r>
    <r>
      <rPr>
        <rFont val="Montserrat"/>
        <color rgb="FF000000"/>
        <sz val="9.0"/>
      </rPr>
      <t xml:space="preserve">, </t>
    </r>
    <r>
      <rPr>
        <rFont val="Montserrat"/>
        <color rgb="FF000000"/>
        <sz val="9.0"/>
      </rPr>
      <t>CON VARIADOR DE VELOCIDAD</t>
    </r>
    <r>
      <rPr>
        <rFont val="Montserrat"/>
        <color rgb="FF000000"/>
        <sz val="9.0"/>
      </rPr>
      <t xml:space="preserve">, </t>
    </r>
    <r>
      <rPr>
        <rFont val="Montserrat"/>
        <color rgb="FF000000"/>
        <sz val="9.0"/>
      </rPr>
      <t>CONTROL DE TEMPERATURA</t>
    </r>
    <r>
      <rPr>
        <rFont val="Montserrat"/>
        <color rgb="FF000000"/>
        <sz val="9.0"/>
      </rPr>
      <t xml:space="preserve">, </t>
    </r>
    <r>
      <rPr>
        <rFont val="Montserrat"/>
        <color rgb="FF000000"/>
        <sz val="9.0"/>
      </rPr>
      <t>ENCENDIDO ELECTRONICO Y MALLA EN ACERO INOXIDABLE</t>
    </r>
    <r>
      <rPr>
        <rFont val="Montserrat"/>
        <color rgb="FF000000"/>
        <sz val="9.0"/>
      </rPr>
      <t xml:space="preserve"> DE </t>
    </r>
    <r>
      <rPr>
        <rFont val="Montserrat"/>
        <color rgb="FF000000"/>
        <sz val="9.0"/>
      </rPr>
      <t>11 NIVELES</t>
    </r>
    <r>
      <rPr>
        <rFont val="Montserrat"/>
        <color rgb="FF000000"/>
        <sz val="9.0"/>
      </rPr>
      <t xml:space="preserve">, </t>
    </r>
    <r>
      <rPr>
        <rFont val="Montserrat"/>
        <color rgb="FF000000"/>
        <sz val="9.0"/>
      </rPr>
      <t>MOTOR DE 2 HP BIFASICO Y SALIDA PARA DESCARGAR EN FREIDORA</t>
    </r>
  </si>
  <si>
    <t>MAQUINA CUADRUPLE CON COMAL CON CADENA, ENCENDIDO ELECTRONICO, DETECTOR DE FLAMA, MOTOR DE 3 HP, CON 2 RODILLOS CORTADORES</t>
  </si>
  <si>
    <t>MÁQUINA DE RODILLOS TVR-50 SIN ENCENDIDO ELECTRÓNICO, MOTOR DE 2 HP MONOFASICO</t>
  </si>
  <si>
    <t>MAQUINA TORTILLADORA DE TOLVA G.A. C/ENCENDIDO ELECTRONICO, MOTOR 2 HP BIFASICO</t>
  </si>
  <si>
    <t>MOLINO DE CONO (CAMARADA) CON MOTOR DE 15 HP TRIFASICO Y CON PIEDRAS 11''</t>
  </si>
  <si>
    <t>MOLINO TORTIMEX MINI CON MOTOR DE 5 HP TRIFASICO Y PIEDRAS DE 7"  (MEDIDAS: 1.25 M X 1.10 M X 1.00 M)</t>
  </si>
  <si>
    <t>MOLINO TORTIMEX No. 2 CON MOTOR 10 HP TRIFASICO PIEDRAS 11" ESTRUCTURA ACERO INOX</t>
  </si>
  <si>
    <t>PAILA COCEDORA DE 750 KG. EN ACERO INOX. T-304 G.A. EN CAL. 10 PALETAS EN ACERO INOX. TAPA, SISTEMA DE VOLTEO CON SIST. DE REDUCTOR Y CATARINA (MOTOR  5 HP VARIADOR DE VELOCIDAD  Y REDUCTOR MARCA  WEG, LA RELACIÓN SERA DE 40 A 1 O 50 A 1)   ENCENDIDO ELECTRONICO, DETECTOR DE FLAMA (FABRICACIÓN ESPECIAL)CAP.APROX. DE AGUA EN LITROS 1,900</t>
  </si>
  <si>
    <t>PAILA REPOSADORA PARA 300 KG EN ACERO INOX 304 G.A. DE 2 MTS DE LARGO Y LLANTAS</t>
  </si>
  <si>
    <t>TRANSPORTADOR DE MÁQUINA TVRM A DESHIDRATADOR CON MALLA EN ACERO INOXIDABLE 304</t>
  </si>
  <si>
    <t>TRANSPORTADOR DE MAQUINA A DESHIDRATADOR DE 3.40 MTS</t>
  </si>
  <si>
    <t>TRANSPORTADOR DE DESHIDRATADOR A FREIDORA DE 1.85 MTS</t>
  </si>
  <si>
    <t>TRANSPORTADOR DE MAQUINA AL ENFRIADOR DE 1.50 MTS</t>
  </si>
  <si>
    <t>PARA PROYECTO ECUADOR, CLIENTE CRIS CIA LTDA (GABY GARCIA)</t>
  </si>
  <si>
    <t xml:space="preserve">ELEVADOR DE MAIZ </t>
  </si>
  <si>
    <t xml:space="preserve">BASE EN ACERO INOXIDABLE MODELO BIP-750
</t>
  </si>
  <si>
    <t>PAILA REPOSADORA MODELO PRM-750K</t>
  </si>
  <si>
    <t>MOLINO AUTOMATICO TORTIMEX MODELO MAT3-20</t>
  </si>
  <si>
    <t>MAQUINA (Cabezal laminador y horno cocedor) PARA NACHOS Y TOTOPOS, MODELO TVR-275</t>
  </si>
  <si>
    <t>TRANSPORTADOR DEL HORNO COCEDOR AL DESHIDRATADOR</t>
  </si>
  <si>
    <t>TRANSPORTADOR: Del deshidratador al enfriador</t>
  </si>
  <si>
    <t>ENFRIADOR 3 NIVELES POR 3 METROS DE 30'' DE ANCHO</t>
  </si>
  <si>
    <t>TRANSPORTADOR LINEAL: Del enfriador al freidor</t>
  </si>
  <si>
    <t>TRANSPORTADOR SALIDA PARA PRODUCTO HORNEADO</t>
  </si>
  <si>
    <t>ESCURRIDOR PARA FRITURA SIN VENTILADORES</t>
  </si>
  <si>
    <t>DOSIFICADOR DE CONDIMENTO TIPO CHAROLA DOSIFICADORA</t>
  </si>
  <si>
    <t>ENFRIADOR PARA MAQUINA VW-50</t>
  </si>
  <si>
    <t>ALIMENTADOR PARA MÁQUINA VW-50</t>
  </si>
  <si>
    <t>FREIDOR PARA HABAS Y CACAHUATE</t>
  </si>
  <si>
    <t>ENFRIADOR CON EXTRACTOR PARA HABAS Y CACAHUATE HORNEADO</t>
  </si>
  <si>
    <t>ENFRIADOR CON VENTILADORES PARA HABAS Y CACAHUATES FRITOS</t>
  </si>
  <si>
    <t xml:space="preserve">MAQUINA DUPLEX ESPECIAL CON BANDA DE TEFLON PARA TORTILLAS DE HARINA DE TRIGO </t>
  </si>
  <si>
    <t>CORTADORA-BOLEADORA CON ENCENDIDO ELECTRÓNICO</t>
  </si>
  <si>
    <t>AMASADORA PARA 50 KG EN 304 G.A., ESTRUCTURA EN ACERO AL CARBON</t>
  </si>
  <si>
    <t>ENFRIADOR ESPECIAL DE 7 PASOS X 3.60 M DE LARGO CON MALLA DE 18'' GALVANIZADA</t>
  </si>
  <si>
    <t>PARA PROYECTO GUATEMALA, CLIENTE TORTILLADORAS DE GUATEMALA (JVP)</t>
  </si>
  <si>
    <t xml:space="preserve">NUEVO MODELO MAQUINA VW-100 GRADO ALIMENTICIO CON ENCENDIDO ELECTRONICO, DETECTOR DE FLAMA, RODILLO CORTADOR DE 15 CM, MOTOR DE 2 HP, VARIADOR DE VELOCIDAD Y ALIMENTADOR </t>
  </si>
  <si>
    <t>PARA PROYECTO COLOMBIA, CLIENTE JORGE (GABY GARCIA)</t>
  </si>
  <si>
    <t>MAQUINA TORTILLADORA CUADRUPLE:  CON BANDA METALICA CON CADENA DE RODILLOS, RODILLO ALIMENTADOR, VARIADOR DE VELOCIDAD, GAS NATURAL, SISTEMA DE ENCENDIDO</t>
  </si>
  <si>
    <t>PARA PEDIDO PEX-025-2022, CLIENTE JORGE ALBERTO RUIZ URIBE, COLOMBIA (GABY GARCIA)</t>
  </si>
  <si>
    <t>MAQUINA TORTILLADORA CUADRUPLE DE RODILLOS (ESPECIAL), INCLUYE 11 CORTADORES</t>
  </si>
  <si>
    <t>PARA PEDIDO DE CLIENTE DE XOCHITL, CLIENTE SIERRA MADRE TORTILLA, USA</t>
  </si>
  <si>
    <t>ENFRIADOR DE 7 PASOS X 3.60 M DE LARGO CON MALLA DE 14'' GALVANIZADA, VENTILADORES Y MOTOR</t>
  </si>
  <si>
    <t>PARA PEDIDO PEX2022-10, CLIENTE LA MORENITA DI BECKER ARRIOLA DANIEL, ITALIA (GABY GARCIA)</t>
  </si>
  <si>
    <t>RAYADORA DE PIEDRAS R4. (NO LA VENDEMOS, SOLO FUE APOYO AL CLIENTE PARA QUE LA EXPORTARA)</t>
  </si>
  <si>
    <t>PARA PEDIDO PEX-038A-2022, CLIENTE TORTILLADORAS DE GUATEMALA, GUATEMALA (GABY GARCIA)</t>
  </si>
  <si>
    <t>MAQUINA VW-100 Con variador de velocidad monofasico, tercer rodillo, rodillo frontal en acero inoxidable, encendido electronico, detector de flama. (No incluye alimentador)</t>
  </si>
  <si>
    <t>Por definir</t>
  </si>
  <si>
    <t>AMASADORA PARA 100 KG En acero inoxidable 304 G.A. calibre 16, con arrancador, timer de amasado, motorreductor monofasico de 2 hp, mesa con 4 patas para descarga de masa en lugar de charola de carga en acero inoxidable 304 calibre 16, boton push para descarga de masa con un solo boton. Con flecha y paletas en acero inoxidable 304.</t>
  </si>
  <si>
    <t>PARA PEDIDO PS-023-2022, CLIENTE JUAN MARCOS MARTINEZ MARTINEZ, SUCURSAL TOLUCA (JUAN CARLOS)</t>
  </si>
  <si>
    <t>CABEZAL RESTAURANTERO W100 PARA AREPAS CON UN RODILLO DE ACERO INOXIDABLE CON CORTADOR DEL #15 DOBLE</t>
  </si>
  <si>
    <t>PARA PEDIDO ____, CLIENTE CRIS CIA, ECUADOR, GABY GARCIA (ING. VERDUZCO)</t>
  </si>
  <si>
    <t>EQ0001</t>
  </si>
  <si>
    <t>MAQUINA T100 EQUIPO PARA LA FABRICACION DE TAQUIS</t>
  </si>
  <si>
    <t>EDUARDO (GABY GARCIA)</t>
  </si>
  <si>
    <t>EQ0002</t>
  </si>
  <si>
    <t>TRANSPORTADOR DE MAQUINA VW-50 A ENFRIADOR</t>
  </si>
  <si>
    <t>LISTA DE PRECIOS WALMART</t>
  </si>
  <si>
    <t>CODIGO VERDUZCO</t>
  </si>
  <si>
    <t>CODIGO WALMART</t>
  </si>
  <si>
    <t>CANT</t>
  </si>
  <si>
    <t>PRECIO CATALOGO WALMART</t>
  </si>
  <si>
    <t>PRECIO ACTUAL VERDUZCO</t>
  </si>
  <si>
    <t>OBSERVACIONES</t>
  </si>
  <si>
    <t>WM-MTO-VER-AB01</t>
  </si>
  <si>
    <t>WM-MTO-VER-AC01</t>
  </si>
  <si>
    <t>WM-MTO-VER-AM03</t>
  </si>
  <si>
    <t>WM-MTO-VER-AN08</t>
  </si>
  <si>
    <t>ANGULO RANURADO P/SOLERA DE PALANCA -TORTIMEX -AR101</t>
  </si>
  <si>
    <t>WM-MTO-VER-AR101</t>
  </si>
  <si>
    <t>BASE PARA DESLIZADOR -TORTIMEX -BD0001</t>
  </si>
  <si>
    <t>WM-MTO-VER-BD0001</t>
  </si>
  <si>
    <t>BISAGRA 1/2 INOX -TORTIMEX -BG01</t>
  </si>
  <si>
    <t>WM-MTO-VER-BG01</t>
  </si>
  <si>
    <t>BANDA B-57 GATE (BLACK GOLD) -TORTIMEX -BH22</t>
  </si>
  <si>
    <t>WM-MTO-VER-BH22</t>
  </si>
  <si>
    <t>BANDA A-22 GATES -TORTIMEX -BH30</t>
  </si>
  <si>
    <t>WM-MTO-VER-BH30</t>
  </si>
  <si>
    <t>BANDA A-24 GATES -TORTIMEX -BH32</t>
  </si>
  <si>
    <t>WM-MTO-VER-BH32</t>
  </si>
  <si>
    <t>PORTA ESPREAS -TORTIMEX -BJ0002</t>
  </si>
  <si>
    <t>WM-MTO-VER-BJ0002</t>
  </si>
  <si>
    <t>BUJE NYLAMID PARA BRAZO -TORTIMEX -BJ19</t>
  </si>
  <si>
    <t>WM-MTO-VER-BJ19</t>
  </si>
  <si>
    <t>BUJIA SENSOR -TORTIMEX -BJ97</t>
  </si>
  <si>
    <t>WM-MTO-VER-BJ97</t>
  </si>
  <si>
    <t>BUJE CENTRADOR PARA BOQUILLA -TORTIMEX -BJE0001</t>
  </si>
  <si>
    <t>WM-MTO-VER-BJE0001</t>
  </si>
  <si>
    <t>COMAL 96 TABLETAS -TORTIMEX -BM112</t>
  </si>
  <si>
    <t>WM-MTO-VER-BM112</t>
  </si>
  <si>
    <t>BANCO CON CHAROLA Y RUEDASPARA ALIMENTADOR CON RUEDAS -TORTIMEX -BN0001</t>
  </si>
  <si>
    <t>WM-MTO-VER-BN0001</t>
  </si>
  <si>
    <t>BANCO PTR ARMADO PARA AMASADORA DE 50 KG -TORTIMEX -BN02</t>
  </si>
  <si>
    <t>WM-MTO-VER-BN02</t>
  </si>
  <si>
    <t>BOQUILLA PARA ALIMENTADOR -TORTIMEX -BQ0001</t>
  </si>
  <si>
    <t>WM-MTO-VER-BQ0001</t>
  </si>
  <si>
    <t>BOQUILLA DE LATON -TORTIMEX -BQ01</t>
  </si>
  <si>
    <t>WM-MTO-VER-BQ01</t>
  </si>
  <si>
    <t>BASE CUADRADA PARA MECHERO -TORTIMEX -BS0001</t>
  </si>
  <si>
    <t>WM-MTO-VER-BS0001</t>
  </si>
  <si>
    <t>WM-MTO-VER-BS11</t>
  </si>
  <si>
    <t>BASE PARA TEMPLADOR CON TENSOR -TORTIMEX -BS19</t>
  </si>
  <si>
    <t>WM-MTO-VER-BS19</t>
  </si>
  <si>
    <t>BASE DUPLEX PARA CLUTCH MAQ DE RODILLOS INOX (PESCADO) -TORTIMEX -BS20</t>
  </si>
  <si>
    <t>WM-MTO-VER-BS20</t>
  </si>
  <si>
    <t>BASE P/ TERMOMETRO -TORTIMEX -BS21</t>
  </si>
  <si>
    <t>WM-MTO-VER-BS21</t>
  </si>
  <si>
    <t>SLECTORES (BOTON) -TORTIMEX -BT03</t>
  </si>
  <si>
    <t>WM-MTO-VER-BT03</t>
  </si>
  <si>
    <t>BOTON DOMINO -TORTIMEX -BT04</t>
  </si>
  <si>
    <t>WM-MTO-VER-BT04</t>
  </si>
  <si>
    <t>BOTON PARO DE EMERGENCIA -TORTIMEX -BT06</t>
  </si>
  <si>
    <t>WM-MTO-VER-BT06</t>
  </si>
  <si>
    <t>MICRO SWICH DE PERNO -TORTIMEX -BT08</t>
  </si>
  <si>
    <t>WM-MTO-VER-BT08</t>
  </si>
  <si>
    <t>WM-MTO-VER-BT09</t>
  </si>
  <si>
    <t>BAYONETA DUPLEX (ESPECIAL) INOX. ALIMENTADOR -TORTIMEX -BY0001</t>
  </si>
  <si>
    <t>WM-MTO-VER-BY0001</t>
  </si>
  <si>
    <t>BRAZO SOPORTE DE CORTADOR -TORTIMEX -BZ01</t>
  </si>
  <si>
    <t>WM-MTO-VER-BZ01</t>
  </si>
  <si>
    <t>CATARINA 9 DTS P/COMAL INT 15/16 -TORTIMEX -CA01</t>
  </si>
  <si>
    <t>WM-MTO-VER-CA01</t>
  </si>
  <si>
    <t>CATARINA 12 DTS P50 INTERIOR 1" -TORTIMEX -CA03</t>
  </si>
  <si>
    <t>WM-MTO-VER-CA03</t>
  </si>
  <si>
    <t>CATARINA 13 DTS P-40 INT 1" C/C 1/4 -TORTIMEX -CA06</t>
  </si>
  <si>
    <t>WM-MTO-VER-CA06</t>
  </si>
  <si>
    <t>CATARINA P40 X 59 DTS X 1 1/4 CUÑERO DE 1/4 -TORTIMEX -CA126</t>
  </si>
  <si>
    <t>WM-MTO-VER-CA126</t>
  </si>
  <si>
    <t>CATARINA 12 DTS P-40 INT 7/8 -TORTIMEX -CA164</t>
  </si>
  <si>
    <t>WM-MTO-VER-CA164</t>
  </si>
  <si>
    <t>CATARINA P40 X 13 DTS X 1 1/4 CUÑERO DE 1/4 -TORTIMEX -CA186</t>
  </si>
  <si>
    <t>WM-MTO-VER-CA186</t>
  </si>
  <si>
    <t>CATARINA P40 X 16 DTS PARA MOTORREDUCTOR 50 A 1 INT 1" (MAQUINA W100) -TORTIMEX -CA187</t>
  </si>
  <si>
    <t>WM-MTO-VER-CA187</t>
  </si>
  <si>
    <t>CATARINA 36 DTS P-40 INT 15/16" -TORTIMEX -CA189</t>
  </si>
  <si>
    <t>WM-MTO-VER-CA189</t>
  </si>
  <si>
    <t>CA190</t>
  </si>
  <si>
    <t>CATARINA MIXTA 30 DTS P-40 CON 15 DTS P-40 INT 1" C/C 1/4 -TORTIMEX -CA190</t>
  </si>
  <si>
    <t>WM-MTO-VER-CA190</t>
  </si>
  <si>
    <t>CATARINA ARMADA PARA CLUTCH DE 21 DTS P40 INT 1" CON ACCESORIOS SENCILLO -TORTIMEX -CA57</t>
  </si>
  <si>
    <t>WM-MTO-VER-CA57</t>
  </si>
  <si>
    <t>CATARINA 26 DTS P-40 INT 1" SEGUN REDUCTOR -TORTIMEX -CA71</t>
  </si>
  <si>
    <t>WM-MTO-VER-CA71</t>
  </si>
  <si>
    <t>CATARINA 30DTS P-40 INT 3/4 C/C 1/4 -TORTIMEX -CA79</t>
  </si>
  <si>
    <t>WM-MTO-VER-CA79</t>
  </si>
  <si>
    <t>CATARINA 30 DTS P-40 INT 15/16 -TORTIMEX -CA82</t>
  </si>
  <si>
    <t>WM-MTO-VER-CA82</t>
  </si>
  <si>
    <t>CATARINA 72 DTS P50 INTERIOR 1" -TORTIMEX -CA85</t>
  </si>
  <si>
    <t>WM-MTO-VER-CA85</t>
  </si>
  <si>
    <t>CABLE USO RUDO 3 X 12 PARA MOTOR (METRO) -TORTIMEX -CB12</t>
  </si>
  <si>
    <t>WM-MTO-VER-CB12</t>
  </si>
  <si>
    <t>CD01</t>
  </si>
  <si>
    <t>CADENA P-40 -TORTIMEX -CD01</t>
  </si>
  <si>
    <t>WM-MTO-VER-CD01</t>
  </si>
  <si>
    <t>CADENA P40 CAJA ECONOMICA</t>
  </si>
  <si>
    <t>WM-MTO-VER-CD02</t>
  </si>
  <si>
    <t>CD05</t>
  </si>
  <si>
    <t>CADENA P50 -TORTIMEX -CD05</t>
  </si>
  <si>
    <t>WM-MTO-VER-CD05</t>
  </si>
  <si>
    <t>CANDADO P-40 -TORTIMEX -CD08</t>
  </si>
  <si>
    <t>WM-MTO-VER-CD08</t>
  </si>
  <si>
    <t>CODO DE 1/4" -TORTIMEX -CD20</t>
  </si>
  <si>
    <t>WM-MTO-VER-CD20</t>
  </si>
  <si>
    <t>CODO GALVANIZADO DE 1/2" -TORTIMEX -CD21</t>
  </si>
  <si>
    <t>WM-MTO-VER-CD21</t>
  </si>
  <si>
    <t>CHUMACERA (UCPA 204) 3/4" -TORTIMEX -CH0001</t>
  </si>
  <si>
    <t>WM-MTO-VER-CH0001</t>
  </si>
  <si>
    <t>$ -</t>
  </si>
  <si>
    <t>CHUMACERA AUTOLINEABLE ALTA SOLA -TORTIMEX -CH05</t>
  </si>
  <si>
    <t>WM-MTO-VER-CH05</t>
  </si>
  <si>
    <t>CHUMACERA DE PARED 1" PARA AMASADORA DE 50 KG. -TORTIMEX -CH20</t>
  </si>
  <si>
    <t>WM-MTO-VER-CH20</t>
  </si>
  <si>
    <t>CHUMACERA DE PARED DE 1 1/4" -TORTIMEX -CH21</t>
  </si>
  <si>
    <t>WM-MTO-VER-CH21</t>
  </si>
  <si>
    <t>CHUMACERA PISO 3/4 -TORTIMEX -CH22</t>
  </si>
  <si>
    <t>WM-MTO-VER-CH22</t>
  </si>
  <si>
    <t>CHUMACERA DE PISO 1" PARA AMASADORA DE 50 KG. -TORTIMEX -CH23</t>
  </si>
  <si>
    <t>WM-MTO-VER-CH23</t>
  </si>
  <si>
    <t>CHUAMCERA DE COCOL DE 1" -TORTIMEX -CH34</t>
  </si>
  <si>
    <t>WM-MTO-VER-CH34</t>
  </si>
  <si>
    <t>CHUMACERA DE COCOL 3/4 -TORTIMEX -CH35</t>
  </si>
  <si>
    <t>WM-MTO-VER-CH35</t>
  </si>
  <si>
    <t>CHUMACERA TENSORA DE 1 1/4" -TORTIMEX -CH64</t>
  </si>
  <si>
    <t>WM-MTO-VER-CH64</t>
  </si>
  <si>
    <t>CUÑA DE 1/4" X 1" -TORTIMEX -CI01</t>
  </si>
  <si>
    <t>WM-MTO-VER-CI01</t>
  </si>
  <si>
    <t>CUÑA DE 1/4" X 2" -TORTIMEX -CI02</t>
  </si>
  <si>
    <t>WM-MTO-VER-CI02</t>
  </si>
  <si>
    <t>CUÑA DE 1/4 X 1 1/2" -TORTIMEX -CI08</t>
  </si>
  <si>
    <t>WM-MTO-VER-CI08</t>
  </si>
  <si>
    <t>WM-MTO-VER-CI100</t>
  </si>
  <si>
    <t>CANJILONES 13 1/2" -TORTIMEX -CJ0001</t>
  </si>
  <si>
    <t>WM-MTO-VER-CJ0001</t>
  </si>
  <si>
    <t>COLLARIN B.C. -TORTIMEX -CL09</t>
  </si>
  <si>
    <t>WM-MTO-VER-CL09</t>
  </si>
  <si>
    <t>COLLARIN GALVANIZADO INT 3/4"P/CORTADOR -TORTIMEX -CL11</t>
  </si>
  <si>
    <t>WM-MTO-VER-CL11</t>
  </si>
  <si>
    <t>COLLARIN GALVANIZADO INT 3/4"P/TENSOR -TORTIMEX -CL12</t>
  </si>
  <si>
    <t>WM-MTO-VER-CL12</t>
  </si>
  <si>
    <t>COMAL W-50 68 TABLETAS -TORTIMEX -CMW001</t>
  </si>
  <si>
    <t>WM-MTO-VER-CMW001</t>
  </si>
  <si>
    <t>COMAL W-50 70 TABLETAS -TORTIMEX -CMW003</t>
  </si>
  <si>
    <t>WM-MTO-VER-CMW003</t>
  </si>
  <si>
    <t>CONTACTOR TRIFASICO 127V APIKE -TORTIMEX -CN0001</t>
  </si>
  <si>
    <t>WM-MTO-VER-CN0001</t>
  </si>
  <si>
    <t>MINI CONTACTOR TRIFASICO 127V WEG -TORTIMEX -CN0002</t>
  </si>
  <si>
    <t>WM-MTO-VER-CN0002</t>
  </si>
  <si>
    <t>CONECTOR USO RUDO -TORTIMEX -CNT001</t>
  </si>
  <si>
    <t>WM-MTO-VER-CNT001</t>
  </si>
  <si>
    <t>CONECTOR DE USO RUDO 3/8 DE 90° -TORTIMEX -CNT002</t>
  </si>
  <si>
    <t>WM-MTO-VER-CNT002</t>
  </si>
  <si>
    <t>CAPUCHON DE BUJIA -TORTIMEX -CP0001</t>
  </si>
  <si>
    <t>WM-MTO-VER-CP0001</t>
  </si>
  <si>
    <t>CHAROLA Y TOLVA PARA ALIMENTADOR -TORTIMEX -CR0001</t>
  </si>
  <si>
    <t>WM-MTO-VER-CR0001</t>
  </si>
  <si>
    <t>CAJA DE BOTON DE PARO DE EMERGENCIA -TORTIMEX -CR10</t>
  </si>
  <si>
    <t>WM-MTO-VER-CR10</t>
  </si>
  <si>
    <t>CHAROLA DE LAMINA ACERO INOX T-304 -TORTIMEX -CS02</t>
  </si>
  <si>
    <t>WM-MTO-VER-CS02</t>
  </si>
  <si>
    <t>CT0001</t>
  </si>
  <si>
    <t>CATARINA 12 DTS P-40 INT 3/4 -TORTIMEX -CT0001</t>
  </si>
  <si>
    <t>WM-MTO-VER-CT0001</t>
  </si>
  <si>
    <t>CT0002</t>
  </si>
  <si>
    <t>CATARINA 43 DTS P-40 INT 5/16 -TORTIMEX -CT0002</t>
  </si>
  <si>
    <t>WM-MTO-VER-CT0002</t>
  </si>
  <si>
    <t>WM-MTO-VER-CTT0001</t>
  </si>
  <si>
    <t>WM-MTO-VER-CU04</t>
  </si>
  <si>
    <t>WM-MTO-VER-CV03</t>
  </si>
  <si>
    <t>CUBRE MOTOR 430 -TORTIMEX -CX13</t>
  </si>
  <si>
    <t>WM-MTO-VER-CX13</t>
  </si>
  <si>
    <t>WM-MTO-VER-DE04</t>
  </si>
  <si>
    <t>WM-MTO-VER-DE11</t>
  </si>
  <si>
    <t>DESLIZADOR INTERMEDIO DELANTERO -TORTIMEX -DZ0001</t>
  </si>
  <si>
    <t>WM-MTO-VER-DZ0001</t>
  </si>
  <si>
    <t>DESLIZADOR INTERMEDIO INFERIOR -TORTIMEX -DZ0002</t>
  </si>
  <si>
    <t>WM-MTO-VER-DZ0002</t>
  </si>
  <si>
    <t>ESPREAS 1/8" -TORTIMEX -EC03</t>
  </si>
  <si>
    <t>WM-MTO-VER-EC03</t>
  </si>
  <si>
    <t>EMPAQUE NEOPRENO INT 1" -TORTIMEX -EM100</t>
  </si>
  <si>
    <t>WM-MTO-VER-EM100</t>
  </si>
  <si>
    <t>WM-MTO-VER-EM101</t>
  </si>
  <si>
    <t>EMPAQUE NAYLAMID COCOL 3/4 INT -TORTIMEX -EM96</t>
  </si>
  <si>
    <t>WM-MTO-VER-EM96</t>
  </si>
  <si>
    <t>EMPAQUE DE NYLAMID PARA AMASADORA DE 50 KG. -TORTIMEX -EM98</t>
  </si>
  <si>
    <t>WM-MTO-VER-EM98</t>
  </si>
  <si>
    <t>EMPAQUE DE NEOPRENO CUADRADO PARA AMASADORA DE 50 KG. -TORTIMEX -EM99</t>
  </si>
  <si>
    <t>WM-MTO-VER-EM99</t>
  </si>
  <si>
    <t>WM-MTO-VER-EMP001</t>
  </si>
  <si>
    <t>ENGRANE P12 X 98 DTS X 1 1/4 CUÑERO DE 1/4 -TORTIMEX -EN25</t>
  </si>
  <si>
    <t>WM-MTO-VER-EN25</t>
  </si>
  <si>
    <t>ENGRANE P6 DE 57 DTS X 1 1/4 CUÑERO DE 1/4 (PRODUCCION ESTANDAR) -TORTIMEX -EN82</t>
  </si>
  <si>
    <t>WM-MTO-VER-EN82</t>
  </si>
  <si>
    <t>ENGRANE P6 X 42 DTS X 1 1/4 CUÑERO DE 1/4 C/C (PRODUCCION ESTANDAR) -TORTIMEX -EN83</t>
  </si>
  <si>
    <t>WM-MTO-VER-EN83</t>
  </si>
  <si>
    <t>EMPAQUE PARA FERULA 6" TEFLON -TORTIMEX -EP0001</t>
  </si>
  <si>
    <t>WM-MTO-VER-EP0001</t>
  </si>
  <si>
    <t>ESPARRAGO DE 3/8" X 4" CON SOLERA SOLDADA -TORTIMEX -ES08</t>
  </si>
  <si>
    <t>WM-MTO-VER-ES08</t>
  </si>
  <si>
    <t>FLECHA PARA RODILLO DE 15/16" X 25 3/4" C/CUÑERO 1/4" -TORTIMEX -FL0001</t>
  </si>
  <si>
    <t>WM-MTO-VER-FL0001</t>
  </si>
  <si>
    <t>FLECHA SEPARADOR 18 3/4 X 3/4 -TORTIMEX -FL0002</t>
  </si>
  <si>
    <t>WM-MTO-VER-FL0002</t>
  </si>
  <si>
    <t>FLECHA PRINCIPAL 30" -TORTIMEX -FL110</t>
  </si>
  <si>
    <t>WM-MTO-VER-FL110</t>
  </si>
  <si>
    <t>FLECHA DE 1" X 25 3/4" CON ESPIGAS 3/4" DE 1 1/4 C/C DE 1/4" -TORTIMEX -FL111</t>
  </si>
  <si>
    <t>WM-MTO-VER-FL111</t>
  </si>
  <si>
    <t>FLECHA PARA PALETAS DE AMASADORA DE 50 KG (1"X91CM) EN ACERO INOX -TORTIMEX -FL13</t>
  </si>
  <si>
    <t>WM-MTO-VER-FL13</t>
  </si>
  <si>
    <t>WM-MTO-VER-FL15</t>
  </si>
  <si>
    <t>WM-MTO-VER-FL16</t>
  </si>
  <si>
    <t>FLECHA PARA TRANSPORTADOR DE AMASADORA DE 50 KG (1"X95CM) 2 CUÑEROS -TORTIMEX -FL21</t>
  </si>
  <si>
    <t>WM-MTO-VER-FL21</t>
  </si>
  <si>
    <t>WM-MTO-VER-FL35</t>
  </si>
  <si>
    <t>FLECHA INOX 3/4X53.5 CM -TORTIMEX -FLI0001</t>
  </si>
  <si>
    <t>WM-MTO-VER-FLI0001</t>
  </si>
  <si>
    <t>FUE0001</t>
  </si>
  <si>
    <t>WM-MTO-VER-FUE001</t>
  </si>
  <si>
    <t>GABINETE CHICO 25X30CM -TORTIMEX -GB0001</t>
  </si>
  <si>
    <t>WM-MTO-VER-GB0001</t>
  </si>
  <si>
    <t>GABINETE CHICO -TORTIMEX -GB0002</t>
  </si>
  <si>
    <t>WM-MTO-VER-GB0002</t>
  </si>
  <si>
    <t>GABINETE PARA AMASADORA WALMART ARMADO</t>
  </si>
  <si>
    <t>WM-MTO-VER-GB02</t>
  </si>
  <si>
    <t>ESPECIFICAR PARA EQUIPO</t>
  </si>
  <si>
    <t>WM-MTO-VER-GF04</t>
  </si>
  <si>
    <t>WM-MTO-VER-GR02</t>
  </si>
  <si>
    <t>GUIA PARA CHUMACERA TENSORA GALVANIZADA -TORTIMEX -GU05</t>
  </si>
  <si>
    <t>WM-MTO-VER-GU05</t>
  </si>
  <si>
    <t>DISCO MOVIL DE 1/2" X 10" DIAMETRO PARA AMASADORA DE 50 KG -TORTIMEX -HR08</t>
  </si>
  <si>
    <t>WM-MTO-VER-HR08</t>
  </si>
  <si>
    <t>NIPLE INOXIDABLE DE 3/4" X 1 1/2 CON CUERDA -TORTIMEX -HR19</t>
  </si>
  <si>
    <t>WM-MTO-VER-HR19</t>
  </si>
  <si>
    <t>JUEGO DE SEPARADORES P/CABEZAL C/U -TORTIMEX -JG109</t>
  </si>
  <si>
    <t>WM-MTO-VER-JG109</t>
  </si>
  <si>
    <t>JUEGO DE PALANCA PARA AMASADORA DE 50 KG, (PALANCA,BASE,SOLERA,RESORTE,SOLERA DE 1/8 X 1" 1 3/4" -TORTIMEX -JG115</t>
  </si>
  <si>
    <t>WM-MTO-VER-JG115</t>
  </si>
  <si>
    <t>WM-MTO-VER-JG204</t>
  </si>
  <si>
    <t>WM-MTO-VER-JG207</t>
  </si>
  <si>
    <t>WM-MTO-VER-JG208</t>
  </si>
  <si>
    <t>JUEGO DE SOLERAS PARA COLUMPIO -TORTIMEX -JG71</t>
  </si>
  <si>
    <t>WM-MTO-VER-JG71</t>
  </si>
  <si>
    <t>JUEGO DE RODILLOS (CON RANURA Y SIN RANURA) C/U -TORTIMEX -JG90</t>
  </si>
  <si>
    <t>WM-MTO-VER-JG90</t>
  </si>
  <si>
    <t>JUEGO DE BIKINIS -TORTIMEX -JGB1</t>
  </si>
  <si>
    <t>WM-MTO-VER-JGB1</t>
  </si>
  <si>
    <t>JGO TAPAS PARA ALIMENTADOR -TORTIMEX -JGT0001</t>
  </si>
  <si>
    <t>WM-MTO-VER-JGT0001</t>
  </si>
  <si>
    <t>LATERALES PARA BIKINIS C/U -TORTIMEX -LA10</t>
  </si>
  <si>
    <t>WM-MTO-VER-LA10</t>
  </si>
  <si>
    <t>LAMPARA VERDE DE 127V -TORTIMEX -LMP0001</t>
  </si>
  <si>
    <t>WM-MTO-VER-LMP0001</t>
  </si>
  <si>
    <t>LAMPARA INDICADORA ROJO 127V -TORTIMEX -LP0001</t>
  </si>
  <si>
    <t>WM-MTO-VER-LP0001</t>
  </si>
  <si>
    <t>MEDIO CANDADO P-40 -TORTIMEX -MD01</t>
  </si>
  <si>
    <t>WM-MTO-VER-MD01</t>
  </si>
  <si>
    <t>CANDADO P50 -TORTIMEX -MD02</t>
  </si>
  <si>
    <t>WM-MTO-VER-MD02</t>
  </si>
  <si>
    <t>MECHERO -TORTIMEX -MH0001</t>
  </si>
  <si>
    <t>WM-MTO-VER-MH0001</t>
  </si>
  <si>
    <t>MODULO DE IGNICION -TORTIMEX -MI0001</t>
  </si>
  <si>
    <t>WM-MTO-VER-MI0001</t>
  </si>
  <si>
    <t>MALLA GALVANIZADA 18" P/ENFRIADOR -TORTIMEX -ML06</t>
  </si>
  <si>
    <t>WM-MTO-VER-ML06</t>
  </si>
  <si>
    <t>WM-MTO-VER-ML10</t>
  </si>
  <si>
    <t>WM-MTO-VER-ML139</t>
  </si>
  <si>
    <t>WM-MTO-VER-ML39</t>
  </si>
  <si>
    <t>MANGO PARA PALANCA DE CLUTCH -TORTIMEX -MN01</t>
  </si>
  <si>
    <t>WM-MTO-VER-MN01</t>
  </si>
  <si>
    <t>MOTOR 1/2 HP TRIFASICO 1750 RPM -TORTIMEX -MO09</t>
  </si>
  <si>
    <t>WM-MTO-VER-MO09</t>
  </si>
  <si>
    <t>WM-MTO-VER-MO10</t>
  </si>
  <si>
    <t>WM-MO22</t>
  </si>
  <si>
    <t>MOTOR 1HP 1750 RPM TRIFASICO CON BRIDA C 5/8" M05 -TORTIMEX -MO22</t>
  </si>
  <si>
    <t>WM-MTO-VER-MO22</t>
  </si>
  <si>
    <t>MOTOR 1HP 1750 RPM TRIFASICO CON BRIDA C 5/8PLG M05</t>
  </si>
  <si>
    <t>MOTOREDUCTOR M06 REL 50:1</t>
  </si>
  <si>
    <t>WM-MTO-VER-MO24</t>
  </si>
  <si>
    <t>MOTOREDUCTOR M05 REL 50:1</t>
  </si>
  <si>
    <t>WM-MTO-VER-MO28</t>
  </si>
  <si>
    <t>MO31</t>
  </si>
  <si>
    <t>MOTOREDUCTOR M07</t>
  </si>
  <si>
    <t>WM-MTO-VER-MO31</t>
  </si>
  <si>
    <t>CAJA REDUCTORA M06 REL 50:1</t>
  </si>
  <si>
    <t>WM-MTO-VER-MO34</t>
  </si>
  <si>
    <t>CAJA REDUCTORA M05 REL 50:1</t>
  </si>
  <si>
    <t>WM-MTO-VER-MO38</t>
  </si>
  <si>
    <t>MO41</t>
  </si>
  <si>
    <t>CAJA REDUCTORA M07 REL 50:1</t>
  </si>
  <si>
    <t>WM-MTO-VER-MO41</t>
  </si>
  <si>
    <t>MOTOR 2 HP BRIDA C 1750RPM M06/M07</t>
  </si>
  <si>
    <t>WM-MTO-VER-MO44</t>
  </si>
  <si>
    <t>MOTOR 1 HP BRIDA C 1750RPM M05</t>
  </si>
  <si>
    <t>WM-MTO-VER-MO48</t>
  </si>
  <si>
    <t>MOTO REDUCTOR 1 HP P/ALIMENTADO -TORTIMEX -MR0001</t>
  </si>
  <si>
    <t>WM-MTO-VER-MR0001</t>
  </si>
  <si>
    <t>MANOMETRO -TORTIMEX -MT0001</t>
  </si>
  <si>
    <t>WM-MTO-VER-MT0001</t>
  </si>
  <si>
    <t>MODULO DETECTOR DE FLAMA -TORTIMEX -MT34</t>
  </si>
  <si>
    <t>WM-MTO-VER-MT34</t>
  </si>
  <si>
    <t>NIPLE NTP 1/2" A 3/8" -TORTIMEX -NP0006</t>
  </si>
  <si>
    <t>WM-MTO-VER-NP0006</t>
  </si>
  <si>
    <t>NIPLE NTP 1/2PLG A 3/8PLG</t>
  </si>
  <si>
    <t>NIPLE NTP 1/4" A 3/8" -TORTIMEX -NP0007</t>
  </si>
  <si>
    <t>WM-MTO-VER-NP0007</t>
  </si>
  <si>
    <t>OPRESOR DE 3/8" X 3/8" INOX -TORTIMEX -OP0003</t>
  </si>
  <si>
    <t>WM-MTO-VER-OP0003</t>
  </si>
  <si>
    <t>OPRESOR DE 3/8" X 3/8" NEGROS -TORTIMEX -OP03</t>
  </si>
  <si>
    <t>WM-MTO-VER-OP03</t>
  </si>
  <si>
    <t>OPRESOR DE 1/4" X 5/16" ASTRIADO -TORTIMEX -OP08</t>
  </si>
  <si>
    <t>WM-MTO-VER-OP08</t>
  </si>
  <si>
    <t>OPRESOR ALLEN DE 3/8 X 1/4" -TORTIMEX -OP11</t>
  </si>
  <si>
    <t>WM-MTO-VER-OP11</t>
  </si>
  <si>
    <t>OPRESOR ZET INOX CABEZA CUADRADA DE 3/8 X 1" -TORTIMEX -OP92</t>
  </si>
  <si>
    <t>WM-MTO-VER-OP92</t>
  </si>
  <si>
    <t>OPRESOR SET CABEZA CUADRADA DE 3/8" X 1 1/4" STD -TORTIMEX -OP98</t>
  </si>
  <si>
    <t>WM-MTO-VER-OP98</t>
  </si>
  <si>
    <t>PLACA PARA ENFRIADOR BARRENADA (1PZA) -TORTIMEX -PC03</t>
  </si>
  <si>
    <t>WM-MTO-VER-PC03</t>
  </si>
  <si>
    <t>PALANCA DE 1/2" PARA CLUTCH -TORTIMEX -PL04</t>
  </si>
  <si>
    <t>WM-MTO-VER-PL04</t>
  </si>
  <si>
    <t>PERNO PARA SEGUIDOR DUPLEX -TORTIMEX -PN07</t>
  </si>
  <si>
    <t>WM-MTO-VER-PN07</t>
  </si>
  <si>
    <t>PERNO DE BRONCE PARA BUJE DE CORTADOR -TORTIMEX -PN19</t>
  </si>
  <si>
    <t>WM-MTO-VER-PN19</t>
  </si>
  <si>
    <t>PERNO EXCENTRICO DUPLEX PARA CLUTCH -TORTIMEX -PN20</t>
  </si>
  <si>
    <t>WM-MTO-VER-PN20</t>
  </si>
  <si>
    <t>PERNO DE SUJECION PARA TAPA CUBRECADENA 3/8 X 8" -TORTIMEX -PN21</t>
  </si>
  <si>
    <t>WM-MTO-VER-PN21</t>
  </si>
  <si>
    <t>PERNO DUPLEX INOX P/SIN FIN ESPECIAL -TORTIMEX -PN22</t>
  </si>
  <si>
    <t>WM-MTO-VER-PN22</t>
  </si>
  <si>
    <t>POLEA DE 2 1/2 " UNA RANURA CON MAMELON, ENTRADA 5/8", CUÑERO 3/16" -TORTIMEX -PO02</t>
  </si>
  <si>
    <t>WM-MTO-VER-PO02</t>
  </si>
  <si>
    <t>POLEA DE 18 " UNA RANURA, ENTRADA 1", CUÑERO 1/4" -TORTIMEX -PO24</t>
  </si>
  <si>
    <t>WM-MTO-VER-PO24</t>
  </si>
  <si>
    <t>PERILLA DE ALUMINIO PARA TAPA -TORTIMEX -PR01</t>
  </si>
  <si>
    <t>WM-MTO-VER-PR01</t>
  </si>
  <si>
    <t>PROTECCION P/TERMOMETRO -TORTIMEX -PR12</t>
  </si>
  <si>
    <t>WM-MTO-VER-PR12</t>
  </si>
  <si>
    <t>PALETA PARA AMASADORA DE 50 KG CENTRAL EN ACERO INOX. T-304-L GRADO ALIMENTICIO</t>
  </si>
  <si>
    <t>WM-MTO-VER-PT94</t>
  </si>
  <si>
    <t>PALETA PARA AMASADORA DE 50 KG DERECHA EN ACERO INOX. T-304-L GRADO ALIMENTICIO</t>
  </si>
  <si>
    <t>WM-MTO-VER-PT95</t>
  </si>
  <si>
    <t>PALETA PARA AMASADORA DE 50 KG IZQUIERDA EN ACERO INOX. T-304-L GRADO ALIMENTICIO</t>
  </si>
  <si>
    <t>WM-MTO-VER-PT96</t>
  </si>
  <si>
    <t>PALETA PARA AMASADORA DE 100 KG CENTRAL EN ACERO INOX. T-304-L GRADO ALIMENTICIO</t>
  </si>
  <si>
    <t>WM-MTO-VER-PT97</t>
  </si>
  <si>
    <t>PALETA PARA AMASADORA DE 100 KG DERECHA EN ACERO INOX. T-304-L GRADO ALIMENTICIO</t>
  </si>
  <si>
    <t>WM-MTO-VER-PT98</t>
  </si>
  <si>
    <t>PALETA PARA AMASADORA DE 100 KG IZQUIERDA EN ACERO INOX. T-304-L GRADO ALIMENTICIO</t>
  </si>
  <si>
    <t>WM-MTO-VER-PT99</t>
  </si>
  <si>
    <t>QUIJADA PARA CLUTCH DE 1" -TORTIMEX -QU04</t>
  </si>
  <si>
    <t>WM-MTO-VER-QU04</t>
  </si>
  <si>
    <t>RODILLO CORTADOR 15.5CM -TORTIMEX -RC142</t>
  </si>
  <si>
    <t>WM-MTO-VER-RC142</t>
  </si>
  <si>
    <t>REJILLA PARA RODILLOS POSTERIOR -TORTIMEX -RE01</t>
  </si>
  <si>
    <t>WM-MTO-VER-RE01</t>
  </si>
  <si>
    <t>REJILLA PERFORADA PARA RODILLOS -TORTIMEX -RE02</t>
  </si>
  <si>
    <t>WM-MTO-VER-RE02</t>
  </si>
  <si>
    <t>REJILLA PARA ALIMENTADOR -TORTIMEX -RE06</t>
  </si>
  <si>
    <t>WM-MTO-VER-RE06</t>
  </si>
  <si>
    <t>REGILLA PARA TINA 27" X 18 1/2" CON REJA -TORTIMEX -RE09</t>
  </si>
  <si>
    <t>WM-MTO-VER-RE09</t>
  </si>
  <si>
    <t>RELEVADOR 8 PINES</t>
  </si>
  <si>
    <t>WM-MTO-VER-REL006</t>
  </si>
  <si>
    <t>REGULADOR FASE 1 -TORTIMEX -RG01</t>
  </si>
  <si>
    <t>WM-MTO-VER-RG01</t>
  </si>
  <si>
    <t>REGULADOR FASE 2 -TORTIMEX -RG02</t>
  </si>
  <si>
    <t>WM-MTO-VER-RG02</t>
  </si>
  <si>
    <t>REGULADOR "LOBITO" -TORTIMEX -RG03</t>
  </si>
  <si>
    <t>WM-MTO-VER-RG03</t>
  </si>
  <si>
    <t>WM-MTO-VER-RG04</t>
  </si>
  <si>
    <t>REGATONES DE 2" -TORTIMEX -RG90</t>
  </si>
  <si>
    <t>WM-MTO-VER-RG90</t>
  </si>
  <si>
    <t>ALAMBRE RODOTEC 120g 15mm -TORTIMEX -RL03</t>
  </si>
  <si>
    <t>WM-MTO-VER-RL03</t>
  </si>
  <si>
    <t>REMACHE DE 1/2" X 1/8" -TORTIMEX -RM01</t>
  </si>
  <si>
    <t>WM-MTO-VER-RM01</t>
  </si>
  <si>
    <t>RODILLO CON MALLA -TORTIMEX -RO75</t>
  </si>
  <si>
    <t>WM-MTO-VER-RO75</t>
  </si>
  <si>
    <t>RESORTE SENCILLO PARA CABEZAL -TORTIMEX -RS0001</t>
  </si>
  <si>
    <t>WM-MTO-VER-RS0001</t>
  </si>
  <si>
    <t>RESORTE TEMPLE MEDIO PARA CORTADOR -TORTIMEX -RS16</t>
  </si>
  <si>
    <t>WM-MTO-VER-RS16</t>
  </si>
  <si>
    <t>RESORTE SUAVE PARA AMASADORA -TORTIMEX -RS17</t>
  </si>
  <si>
    <t>WM-MTO-VER-RS17</t>
  </si>
  <si>
    <t>ROTULAS ESTEREO CARBON -TORTIMEX -BZ01</t>
  </si>
  <si>
    <t>WM-MTO-VER-RT02</t>
  </si>
  <si>
    <t>WM-MTO-VER-SD02</t>
  </si>
  <si>
    <t>WM-MTO-VER-SD03</t>
  </si>
  <si>
    <t>SEPARADOR CON AJUSTE PARA COLIMPIO C/U -TORTIMEX -SD15</t>
  </si>
  <si>
    <t>WM-MTO-VER-SD15</t>
  </si>
  <si>
    <t>SEPARADOR 5/8" X 40.3 CM PARA BRAZO DE CORTADOR -TORTIMEX -SD16</t>
  </si>
  <si>
    <t>WM-MTO-VER-SD16</t>
  </si>
  <si>
    <t>SEPARADOR PARA LATERALES C/U -TORTIMEX -SD17</t>
  </si>
  <si>
    <t>WM-MTO-VER-SD17</t>
  </si>
  <si>
    <t>SINFIN PARA ALIMENTADOR -TORTIMEX -SF36</t>
  </si>
  <si>
    <t>WM-MTO-VER-SF36</t>
  </si>
  <si>
    <t>SOLERA RANURADA (PARA MICRO) -TORTIMEX -SL0001</t>
  </si>
  <si>
    <t>WM-MTO-VER-SL0001</t>
  </si>
  <si>
    <t>SOLERA DE 1/8 X 1 1/2 (BASE SWICH) -TORTIMEX -SL0002</t>
  </si>
  <si>
    <t>WM-MTO-VER-SL0002</t>
  </si>
  <si>
    <t>SEPARADOR 3/8 X 7/8 TUBO GALVANIZADO -TORTIMEX -SP0001</t>
  </si>
  <si>
    <t>WM-MTO-VER-SP0001</t>
  </si>
  <si>
    <t>PALANCA PARA CORTADOR -TORTIMEX -SP08</t>
  </si>
  <si>
    <t>WM-MTO-VER-SP08</t>
  </si>
  <si>
    <t>SOPORTE DE FIERRO COLADO PARA CLUTCH SENCILLO -TORTIMEX -SP09</t>
  </si>
  <si>
    <t>WM-MTO-VER-SP09</t>
  </si>
  <si>
    <t>SOPORTES PARA ACOMODADOR CON SOLERAS ( PZS.) -TORTIMEX -SP10</t>
  </si>
  <si>
    <t>WM-MTO-VER-SP10</t>
  </si>
  <si>
    <t>SOLERA C/TENSOR CUERDA DE GUITARRA -TORTIMEX -SR08</t>
  </si>
  <si>
    <t>WM-MTO-VER-SR08</t>
  </si>
  <si>
    <t>SOLERA PARA PALANCA DE CORTADOR INOX -TORTIMEX -SR09</t>
  </si>
  <si>
    <t>WM-MTO-VER-SR09</t>
  </si>
  <si>
    <t>SOLERA PARA COLUMPIO C/ FLECHA SOLDADA -TORTIMEX -SR10</t>
  </si>
  <si>
    <t>WM-MTO-VER-SR10</t>
  </si>
  <si>
    <t>TUBO DE COBRE 1/2" -TORTIMEX -TB0006</t>
  </si>
  <si>
    <t>WM-MTO-VER-TB0006</t>
  </si>
  <si>
    <t>TUBO PARA COLUMPIO -TORTIMEX -TB51</t>
  </si>
  <si>
    <t>WM-MTO-VER-TB51</t>
  </si>
  <si>
    <t>TUERCA HEXAGONAL INOXIDABLE DE 1/4" -TORTIMEX -TC07</t>
  </si>
  <si>
    <t>WM-MTO-VER-TC07</t>
  </si>
  <si>
    <t>TEMPLADOR CON BALEROS -TORTIMEX -TE01</t>
  </si>
  <si>
    <t>WM-MTO-VER-TE01</t>
  </si>
  <si>
    <t>TEMPLADOR CON BALEROS</t>
  </si>
  <si>
    <t>TERMOMETRO 0° A 300° -TORTIMEX -TE05</t>
  </si>
  <si>
    <t>WM-MTO-VER-TE05</t>
  </si>
  <si>
    <t>TERMOMETRO 0 GRADOS A 300 GRADOS</t>
  </si>
  <si>
    <t>TIMER</t>
  </si>
  <si>
    <t>WM-MTO-VER-TIM01</t>
  </si>
  <si>
    <t>TORNILLO CABEZA HEXAGONAL INOXIDABLE DE 3/8" X 3/4" -TORTIMEX -TO05</t>
  </si>
  <si>
    <t>WM-MTO-VER-TO05</t>
  </si>
  <si>
    <t>WM-MTO-VER-TO17</t>
  </si>
  <si>
    <t>WM-MTO-VER-TP06</t>
  </si>
  <si>
    <t>TAPON PERNO CONICO 9/16" -TORTIMEX -TP13</t>
  </si>
  <si>
    <t>WM-MTO-VER-TP13</t>
  </si>
  <si>
    <t>WM-MTO-VER-TP14</t>
  </si>
  <si>
    <t>WM-MTO-VER-TP15</t>
  </si>
  <si>
    <t>WM-MTO-VER-TP16</t>
  </si>
  <si>
    <t>WM-MTO-VER-TP18</t>
  </si>
  <si>
    <t>TAPA DE CUBRE POLEA Y TAPA DE CUBRE CADENA</t>
  </si>
  <si>
    <t>TAPON CACHUCHA DE 3/4" GALVANIZADO -TORTIMEX -TP36</t>
  </si>
  <si>
    <t>WM-MTO-VER-TP36</t>
  </si>
  <si>
    <t>TAPON CACHUCHA DE 3/4PLG GALVANIZADO</t>
  </si>
  <si>
    <t>WM-MTO-VER-TP40</t>
  </si>
  <si>
    <t>VALVULA CARBURADORA DE 1/2 -TORTIMEX -VA01</t>
  </si>
  <si>
    <t>WM-MTO-VER-VA01</t>
  </si>
  <si>
    <t>VALVULA SOLENOIDE 1/4" -TORTIMEX -VA03</t>
  </si>
  <si>
    <t>WM-MTO-VER-VA03</t>
  </si>
  <si>
    <t>VALVULA SOLENOIDE 1/2" -TORTIMEX -VA04</t>
  </si>
  <si>
    <t>WM-MTO-VER-VA04</t>
  </si>
  <si>
    <t>VALVULA SOLENOIDE 3/4 PARA GAS NATURAL</t>
  </si>
  <si>
    <t>WM-MTO-VER-VA07</t>
  </si>
  <si>
    <t>VARILLA DE 1/2" PARA ALAMBRE -TORTIMEX -VL04</t>
  </si>
  <si>
    <t>WM-MTO-VER-VL04</t>
  </si>
  <si>
    <t>VARILLA DE 1/2PLG PARA ALAMBRE</t>
  </si>
  <si>
    <t>WM-MTO-VER-WM-DE11</t>
  </si>
  <si>
    <t>MOTOR 1/2 HP 1750 RPM</t>
  </si>
  <si>
    <t>WM-MTO-VER-WM-MO09</t>
  </si>
  <si>
    <t>GABINETE ARMADO PARA MAQUINA TORTILLADORA WALMART MODELO ANTERIOR</t>
  </si>
  <si>
    <t>JUEGO DE CATARINA 9 DTS PARA COMAL INT 15/16 CC 1/4</t>
  </si>
  <si>
    <t>09067/09196</t>
  </si>
  <si>
    <t>1203 C3</t>
  </si>
  <si>
    <t>1203 C3 NF</t>
  </si>
  <si>
    <t>1203 NF</t>
  </si>
  <si>
    <t>1204 C2 NF</t>
  </si>
  <si>
    <t>1204 C3</t>
  </si>
  <si>
    <t>1204 C3 NF</t>
  </si>
  <si>
    <t>1204 C5 NF</t>
  </si>
  <si>
    <t>1204 NF</t>
  </si>
  <si>
    <t>1204 P6 NF</t>
  </si>
  <si>
    <t>1204K</t>
  </si>
  <si>
    <t>1204K C3 NF</t>
  </si>
  <si>
    <t>1204K NF</t>
  </si>
  <si>
    <t>1205 C3 NF</t>
  </si>
  <si>
    <t>1205 NF</t>
  </si>
  <si>
    <t>1205 P6 NF</t>
  </si>
  <si>
    <t>1205K</t>
  </si>
  <si>
    <t>1205K C3 NF</t>
  </si>
  <si>
    <t>1205K NF</t>
  </si>
  <si>
    <t>1206 C3 NF</t>
  </si>
  <si>
    <t>1206 P6 NF</t>
  </si>
  <si>
    <t>1206K</t>
  </si>
  <si>
    <t>1206K C3</t>
  </si>
  <si>
    <t>1206K C3 NF</t>
  </si>
  <si>
    <t>1206K NF</t>
  </si>
  <si>
    <t>1207 C3</t>
  </si>
  <si>
    <t>1207 C3 NF</t>
  </si>
  <si>
    <t>1207 NF</t>
  </si>
  <si>
    <t>1207K</t>
  </si>
  <si>
    <t>1207K C3</t>
  </si>
  <si>
    <t>1207K C3 NF</t>
  </si>
  <si>
    <t>1207K NF</t>
  </si>
  <si>
    <t>1208 C3</t>
  </si>
  <si>
    <t>1208 K C3.</t>
  </si>
  <si>
    <t>1208 P6 NF</t>
  </si>
  <si>
    <t>1208K</t>
  </si>
  <si>
    <t>1208K C3</t>
  </si>
  <si>
    <t>1208K C3 NF</t>
  </si>
  <si>
    <t>1208K C3.</t>
  </si>
  <si>
    <t>1208K NF</t>
  </si>
  <si>
    <t>1209 C3 NF</t>
  </si>
  <si>
    <t>1209 C3.</t>
  </si>
  <si>
    <t>1209 NF</t>
  </si>
  <si>
    <t>1209 P6 NF</t>
  </si>
  <si>
    <t>1209K</t>
  </si>
  <si>
    <t>1209K C3 NF</t>
  </si>
  <si>
    <t>1209K NF</t>
  </si>
  <si>
    <t>1210 C3 NF</t>
  </si>
  <si>
    <t>1210 NF</t>
  </si>
  <si>
    <t>1210 P6 NF</t>
  </si>
  <si>
    <t>1210K</t>
  </si>
  <si>
    <t>1210K C3</t>
  </si>
  <si>
    <t>1210K C3 NF</t>
  </si>
  <si>
    <t>1210K NF</t>
  </si>
  <si>
    <t>1211 C3 NF</t>
  </si>
  <si>
    <t>1211 NF</t>
  </si>
  <si>
    <t>1211 P6 NF</t>
  </si>
  <si>
    <t>1211K</t>
  </si>
  <si>
    <t>1211K C3 NF</t>
  </si>
  <si>
    <t>1211K NF</t>
  </si>
  <si>
    <t>1212 C3 NF</t>
  </si>
  <si>
    <t>1212 NF</t>
  </si>
  <si>
    <t>1212 P6 NF</t>
  </si>
  <si>
    <t>1212K</t>
  </si>
  <si>
    <t>1212K C3</t>
  </si>
  <si>
    <t>1212K C3 NF</t>
  </si>
  <si>
    <t>1212K NF</t>
  </si>
  <si>
    <t>1213 C3</t>
  </si>
  <si>
    <t>1213K</t>
  </si>
  <si>
    <t>1213K C3</t>
  </si>
  <si>
    <t>1213K C3 NF</t>
  </si>
  <si>
    <t>1213K C3.</t>
  </si>
  <si>
    <t>1213K NF</t>
  </si>
  <si>
    <t>1215 C3</t>
  </si>
  <si>
    <t>1215 C3 NF</t>
  </si>
  <si>
    <t>1215 NF</t>
  </si>
  <si>
    <t>1215K</t>
  </si>
  <si>
    <t>1215K C3</t>
  </si>
  <si>
    <t>1215K C3 NF</t>
  </si>
  <si>
    <t>1215K NF</t>
  </si>
  <si>
    <t>1216 C3</t>
  </si>
  <si>
    <t>1216 C3 NF</t>
  </si>
  <si>
    <t>1216 NF</t>
  </si>
  <si>
    <t>1216K C3 NF</t>
  </si>
  <si>
    <t>1216K NF</t>
  </si>
  <si>
    <t>1217 C3</t>
  </si>
  <si>
    <t>1217 C3 NF</t>
  </si>
  <si>
    <t>1217 NF</t>
  </si>
  <si>
    <t>1217K</t>
  </si>
  <si>
    <t>1217K C3</t>
  </si>
  <si>
    <t>1217K C3 NF</t>
  </si>
  <si>
    <t>1217K NF</t>
  </si>
  <si>
    <t>1218 C3 NF</t>
  </si>
  <si>
    <t>1218 NF</t>
  </si>
  <si>
    <t>1218 P6 NF</t>
  </si>
  <si>
    <t>1218K</t>
  </si>
  <si>
    <t>1218K C3</t>
  </si>
  <si>
    <t>1218K C3 NF</t>
  </si>
  <si>
    <t>1218K NF</t>
  </si>
  <si>
    <t>1219 C3 NF</t>
  </si>
  <si>
    <t>1219 NF</t>
  </si>
  <si>
    <t>1219K</t>
  </si>
  <si>
    <t>1219K C3 NF</t>
  </si>
  <si>
    <t>1219K NF</t>
  </si>
  <si>
    <t>1220 C3 NF</t>
  </si>
  <si>
    <t>1220 NF</t>
  </si>
  <si>
    <t>1220K</t>
  </si>
  <si>
    <t>1220K C3 NF</t>
  </si>
  <si>
    <t>1220K NF</t>
  </si>
  <si>
    <t>1222 C3 NF</t>
  </si>
  <si>
    <t>1222 NF</t>
  </si>
  <si>
    <t>1222K C3 NF</t>
  </si>
  <si>
    <t>1222K NF</t>
  </si>
  <si>
    <t>130 K</t>
  </si>
  <si>
    <t>1305 C3 NF</t>
  </si>
  <si>
    <t>1305 NF</t>
  </si>
  <si>
    <t>1305K</t>
  </si>
  <si>
    <t>1305K C3</t>
  </si>
  <si>
    <t>1305K C3 NF</t>
  </si>
  <si>
    <t>1305K NF</t>
  </si>
  <si>
    <t>1306 C3 NF</t>
  </si>
  <si>
    <t>1306 NF</t>
  </si>
  <si>
    <t>1306 P6 NF</t>
  </si>
  <si>
    <t>1306K C3</t>
  </si>
  <si>
    <t>1306K C3 NF</t>
  </si>
  <si>
    <t>1306K NF</t>
  </si>
  <si>
    <t>1308 C3 NF</t>
  </si>
  <si>
    <t>1308 NF</t>
  </si>
  <si>
    <t>1308 P6 NF</t>
  </si>
  <si>
    <t>1308K</t>
  </si>
  <si>
    <t>1308K C3</t>
  </si>
  <si>
    <t>1308K C3 NF</t>
  </si>
  <si>
    <t>1308K NF</t>
  </si>
  <si>
    <t>1309 C3 NF</t>
  </si>
  <si>
    <t>1309 NF</t>
  </si>
  <si>
    <t>1309 P6 NF</t>
  </si>
  <si>
    <t>1309K</t>
  </si>
  <si>
    <t>1309K C3 NF</t>
  </si>
  <si>
    <t>1309K NF</t>
  </si>
  <si>
    <t>1309K P6 NF</t>
  </si>
  <si>
    <t>1310 C3</t>
  </si>
  <si>
    <t>1310 C3 NF</t>
  </si>
  <si>
    <t>1310 NF</t>
  </si>
  <si>
    <t>1310 P6 NF</t>
  </si>
  <si>
    <t>1310K</t>
  </si>
  <si>
    <t>1310K C3</t>
  </si>
  <si>
    <t>1310K C3 NF</t>
  </si>
  <si>
    <t>1310K NF</t>
  </si>
  <si>
    <t>1311 NF</t>
  </si>
  <si>
    <t>1311K</t>
  </si>
  <si>
    <t>1312 C3 NF</t>
  </si>
  <si>
    <t>1312 NF</t>
  </si>
  <si>
    <t>1312 P6 NF</t>
  </si>
  <si>
    <t>1312K</t>
  </si>
  <si>
    <t>1312K C3 NF</t>
  </si>
  <si>
    <t>1312K NF</t>
  </si>
  <si>
    <t>1315 C3 NF</t>
  </si>
  <si>
    <t>1315 NF</t>
  </si>
  <si>
    <t>1315K</t>
  </si>
  <si>
    <t>1315K C3</t>
  </si>
  <si>
    <t>1315K C3 NF</t>
  </si>
  <si>
    <t>1315K NF</t>
  </si>
  <si>
    <t>1317 C3 NF</t>
  </si>
  <si>
    <t>1317 NF</t>
  </si>
  <si>
    <t>1317K C3 NF</t>
  </si>
  <si>
    <t>1317K NF</t>
  </si>
  <si>
    <t>1319 C3 NF</t>
  </si>
  <si>
    <t>1319 NF</t>
  </si>
  <si>
    <t>1319K NF</t>
  </si>
  <si>
    <t>1320 C3 NF</t>
  </si>
  <si>
    <t>1320 NF</t>
  </si>
  <si>
    <t>1320K C3 NF</t>
  </si>
  <si>
    <t>1320K NF</t>
  </si>
  <si>
    <t>1322 C3 NF</t>
  </si>
  <si>
    <t>1322 NF</t>
  </si>
  <si>
    <t>1322K</t>
  </si>
  <si>
    <t>1322K C3 NF</t>
  </si>
  <si>
    <t>1322K NF</t>
  </si>
  <si>
    <t>132Z K</t>
  </si>
  <si>
    <t>137 K</t>
  </si>
  <si>
    <t>14125A/14274</t>
  </si>
  <si>
    <t>15101/15250X</t>
  </si>
  <si>
    <t>15123/15250X</t>
  </si>
  <si>
    <t>16012 C3</t>
  </si>
  <si>
    <t>16030 C3</t>
  </si>
  <si>
    <t>16044 C3</t>
  </si>
  <si>
    <t>20326 MC.</t>
  </si>
  <si>
    <t>20418 MC.</t>
  </si>
  <si>
    <t>21308CW33J</t>
  </si>
  <si>
    <t>21308CW33J C3</t>
  </si>
  <si>
    <t>21311CKW33J</t>
  </si>
  <si>
    <t>21311CKW33J C3</t>
  </si>
  <si>
    <t>21311CW33J</t>
  </si>
  <si>
    <t>21311CW33J C3</t>
  </si>
  <si>
    <t>21311EW33MH</t>
  </si>
  <si>
    <t>21311EW33MH C3</t>
  </si>
  <si>
    <t>21313CKW33J C3</t>
  </si>
  <si>
    <t>21313CW33J</t>
  </si>
  <si>
    <t>21313CW33J C3</t>
  </si>
  <si>
    <t>21314CKW33J C3</t>
  </si>
  <si>
    <t>21314CW33J</t>
  </si>
  <si>
    <t>21314CW33J C3</t>
  </si>
  <si>
    <t>21315CKW33J</t>
  </si>
  <si>
    <t>21315CKW33J C3</t>
  </si>
  <si>
    <t>21315CW33J</t>
  </si>
  <si>
    <t>21315CW33J C3</t>
  </si>
  <si>
    <t>21316CKW33J</t>
  </si>
  <si>
    <t>21316CKW33J C3</t>
  </si>
  <si>
    <t>21316CW33J</t>
  </si>
  <si>
    <t>21316CW33J C3</t>
  </si>
  <si>
    <t>21318CKW33J</t>
  </si>
  <si>
    <t>21318CKW33J C3</t>
  </si>
  <si>
    <t>21318CW33J</t>
  </si>
  <si>
    <t>21318CW33J C3</t>
  </si>
  <si>
    <t>21319CKW33J</t>
  </si>
  <si>
    <t>21319CKW33J C3</t>
  </si>
  <si>
    <t>21319CW33J</t>
  </si>
  <si>
    <t>21319CW33J C3</t>
  </si>
  <si>
    <t>21320CKW33J</t>
  </si>
  <si>
    <t>21320CKW33J C3</t>
  </si>
  <si>
    <t>21320CW33J</t>
  </si>
  <si>
    <t>21320CW33J C3</t>
  </si>
  <si>
    <t>2205 C3 NF</t>
  </si>
  <si>
    <t>2205 NF</t>
  </si>
  <si>
    <t>2205 P6 NF</t>
  </si>
  <si>
    <t>2205K C3</t>
  </si>
  <si>
    <t>2205K C3 NF</t>
  </si>
  <si>
    <t>2205K NF</t>
  </si>
  <si>
    <t>2206 C3</t>
  </si>
  <si>
    <t>2206 C3 NF</t>
  </si>
  <si>
    <t>2206 NF</t>
  </si>
  <si>
    <t>2206K</t>
  </si>
  <si>
    <t>2206K C3 NF</t>
  </si>
  <si>
    <t>2206K NF</t>
  </si>
  <si>
    <t>2207 C3 NF</t>
  </si>
  <si>
    <t>2207 K</t>
  </si>
  <si>
    <t>2207 NF</t>
  </si>
  <si>
    <t>2207 P6 NF</t>
  </si>
  <si>
    <t>2207K C3</t>
  </si>
  <si>
    <t>2207K C3 NF</t>
  </si>
  <si>
    <t>2207K NF</t>
  </si>
  <si>
    <t>2208 2RS C3</t>
  </si>
  <si>
    <t>2208K</t>
  </si>
  <si>
    <t>2209 C3</t>
  </si>
  <si>
    <t>2209 C3 NF</t>
  </si>
  <si>
    <t>2209 K C3.</t>
  </si>
  <si>
    <t>2209 NF</t>
  </si>
  <si>
    <t>2209K</t>
  </si>
  <si>
    <t>2209K C3</t>
  </si>
  <si>
    <t>2209K C3 NF</t>
  </si>
  <si>
    <t>2209K NF</t>
  </si>
  <si>
    <t>2210 C3 NF</t>
  </si>
  <si>
    <t>2210 NF</t>
  </si>
  <si>
    <t>2210 P6 NF</t>
  </si>
  <si>
    <t>2210K</t>
  </si>
  <si>
    <t>2210K C3</t>
  </si>
  <si>
    <t>2210K C3 NF</t>
  </si>
  <si>
    <t>2210K NF</t>
  </si>
  <si>
    <t>2211 C3 NF</t>
  </si>
  <si>
    <t>2211 NF</t>
  </si>
  <si>
    <t>2211K</t>
  </si>
  <si>
    <t>2211K C3</t>
  </si>
  <si>
    <t>2211K C3 NF</t>
  </si>
  <si>
    <t>2211K NF</t>
  </si>
  <si>
    <t>2212 C3 NF</t>
  </si>
  <si>
    <t>2212 C3.</t>
  </si>
  <si>
    <t>2212 NF</t>
  </si>
  <si>
    <t>2212K</t>
  </si>
  <si>
    <t>2212K C3</t>
  </si>
  <si>
    <t>2212K C3 NF</t>
  </si>
  <si>
    <t>2212K NF</t>
  </si>
  <si>
    <t>2213 C3 NF</t>
  </si>
  <si>
    <t>2213 NF</t>
  </si>
  <si>
    <t>2213K</t>
  </si>
  <si>
    <t>2213K C3</t>
  </si>
  <si>
    <t>2213K C3 NF</t>
  </si>
  <si>
    <t>2213K NF</t>
  </si>
  <si>
    <t>2214 NF</t>
  </si>
  <si>
    <t>2214C3</t>
  </si>
  <si>
    <t>2214K</t>
  </si>
  <si>
    <t>2214K C3 NF</t>
  </si>
  <si>
    <t>2214K NF</t>
  </si>
  <si>
    <t>2215 C3 NF</t>
  </si>
  <si>
    <t>2215 C4 NF</t>
  </si>
  <si>
    <t>2215 NF</t>
  </si>
  <si>
    <t>2215 P6 NF</t>
  </si>
  <si>
    <t>2215K</t>
  </si>
  <si>
    <t>2215K C3</t>
  </si>
  <si>
    <t>2215K C3 NF</t>
  </si>
  <si>
    <t>2215K NF</t>
  </si>
  <si>
    <t>2216 NF</t>
  </si>
  <si>
    <t>2216 P6 NF</t>
  </si>
  <si>
    <t>2216K</t>
  </si>
  <si>
    <t>2216K C3 NF</t>
  </si>
  <si>
    <t>2216K NF</t>
  </si>
  <si>
    <t>2217K</t>
  </si>
  <si>
    <t>2218 C3 NF</t>
  </si>
  <si>
    <t>2218 NF</t>
  </si>
  <si>
    <t>2218K</t>
  </si>
  <si>
    <t>2218K C3</t>
  </si>
  <si>
    <t>2218K C3 NF</t>
  </si>
  <si>
    <t>2218K NF</t>
  </si>
  <si>
    <t>2219 C3 NF</t>
  </si>
  <si>
    <t>2219 NF</t>
  </si>
  <si>
    <t>2219K C3 NF</t>
  </si>
  <si>
    <t>2219K NF</t>
  </si>
  <si>
    <t>2220 C3 NF</t>
  </si>
  <si>
    <t>2220 NF</t>
  </si>
  <si>
    <t>22205EKW33J</t>
  </si>
  <si>
    <t>22205EKW33J C3</t>
  </si>
  <si>
    <t>22205EW33J</t>
  </si>
  <si>
    <t>22205EW33J C3</t>
  </si>
  <si>
    <t>22206EKW33J</t>
  </si>
  <si>
    <t>22206EKW33J C3</t>
  </si>
  <si>
    <t>22206EW33J</t>
  </si>
  <si>
    <t>22206EW33J C3</t>
  </si>
  <si>
    <t>22207EKW33J</t>
  </si>
  <si>
    <t>22207EKW33J C3</t>
  </si>
  <si>
    <t>22207EW33J</t>
  </si>
  <si>
    <t>22207EW33J C2</t>
  </si>
  <si>
    <t>22207EW33J C3</t>
  </si>
  <si>
    <t>22207EW33J C3 NF</t>
  </si>
  <si>
    <t>22208 EKW33J C3.</t>
  </si>
  <si>
    <t>22208EKW33J</t>
  </si>
  <si>
    <t>22208EKW33J C3</t>
  </si>
  <si>
    <t>22208EKW33J C3.</t>
  </si>
  <si>
    <t>22208EW33J</t>
  </si>
  <si>
    <t>22208EW33J C3</t>
  </si>
  <si>
    <t>22208EW33J C3.</t>
  </si>
  <si>
    <t>22209EKW33J</t>
  </si>
  <si>
    <t>22209EKW33J C3</t>
  </si>
  <si>
    <t>22209EW33J</t>
  </si>
  <si>
    <t>22209EW33J C3</t>
  </si>
  <si>
    <t>22209EW33J C3.</t>
  </si>
  <si>
    <t>2220K</t>
  </si>
  <si>
    <t>2220K C3 NF</t>
  </si>
  <si>
    <t>2220K NF</t>
  </si>
  <si>
    <t>22210 EW33J C3.</t>
  </si>
  <si>
    <t>22210 KJEW33 C3</t>
  </si>
  <si>
    <t>22210EKW33J</t>
  </si>
  <si>
    <t>22210EKW33J C3</t>
  </si>
  <si>
    <t>22210EW33J</t>
  </si>
  <si>
    <t>22210EW33J C3</t>
  </si>
  <si>
    <t>22210EW33J C3.</t>
  </si>
  <si>
    <t>22210KEW33J</t>
  </si>
  <si>
    <t>22211EKW33J</t>
  </si>
  <si>
    <t>22211EKW33J C3</t>
  </si>
  <si>
    <t>22211EKW33J C3NF</t>
  </si>
  <si>
    <t>22211EKW33J NF</t>
  </si>
  <si>
    <t>22211EW33J</t>
  </si>
  <si>
    <t>22211EW33J C3</t>
  </si>
  <si>
    <t>22211EW33J C3 NF</t>
  </si>
  <si>
    <t>22211EW33J C4</t>
  </si>
  <si>
    <t>22211EW33J NF</t>
  </si>
  <si>
    <t>22212EKW33J</t>
  </si>
  <si>
    <t>22212EKW33J C3</t>
  </si>
  <si>
    <t>22212EKW33J C3NF</t>
  </si>
  <si>
    <t>22212EKW33J NF</t>
  </si>
  <si>
    <t>22212EW33J</t>
  </si>
  <si>
    <t>22212EW33J C3</t>
  </si>
  <si>
    <t>22212EW33J C3 NF</t>
  </si>
  <si>
    <t>22212EW33J C3.</t>
  </si>
  <si>
    <t>22212EW33J NF</t>
  </si>
  <si>
    <t>22213EKW33J</t>
  </si>
  <si>
    <t>22213EKW33J C3</t>
  </si>
  <si>
    <t>22213EKW33J C3.</t>
  </si>
  <si>
    <t>22213EKW33J C3NF</t>
  </si>
  <si>
    <t>22213EKW33J NF</t>
  </si>
  <si>
    <t>22213EW33J</t>
  </si>
  <si>
    <t>22213EW33J C3</t>
  </si>
  <si>
    <t>22213EW33J C3 NF</t>
  </si>
  <si>
    <t>22213EW33J C4</t>
  </si>
  <si>
    <t>22213EW33J NF</t>
  </si>
  <si>
    <t>22214EKW33J</t>
  </si>
  <si>
    <t>22214EKW33J C2</t>
  </si>
  <si>
    <t>22214EKW33J C4</t>
  </si>
  <si>
    <t>22214EKW33J C5</t>
  </si>
  <si>
    <t>22214EKW33J NF</t>
  </si>
  <si>
    <t>22214EW33J</t>
  </si>
  <si>
    <t>22214EW33J C2</t>
  </si>
  <si>
    <t>22214EW33J C3</t>
  </si>
  <si>
    <t>22214EW33J C3 NF</t>
  </si>
  <si>
    <t>22214EW33J C4</t>
  </si>
  <si>
    <t>22214EW33J C5</t>
  </si>
  <si>
    <t>22214EW33J NF</t>
  </si>
  <si>
    <t>22214EW33J P6</t>
  </si>
  <si>
    <t>22215EKW33J</t>
  </si>
  <si>
    <t>22215EKW33J C2</t>
  </si>
  <si>
    <t>22215EKW33J C3</t>
  </si>
  <si>
    <t>22215EKW33J C3 N</t>
  </si>
  <si>
    <t>22215EKW33J C4</t>
  </si>
  <si>
    <t>22215EKW33J C5</t>
  </si>
  <si>
    <t>22215EKW33J NF</t>
  </si>
  <si>
    <t>22215EW33J</t>
  </si>
  <si>
    <t>22215EW33J C2</t>
  </si>
  <si>
    <t>22215EW33J C3</t>
  </si>
  <si>
    <t>22215EW33J C3 NF</t>
  </si>
  <si>
    <t>22215EW33J C4</t>
  </si>
  <si>
    <t>22215EW33J C4S3</t>
  </si>
  <si>
    <t>22215EW33J C5</t>
  </si>
  <si>
    <t>22215EW33J NF</t>
  </si>
  <si>
    <t>22215KW33JC3 NF</t>
  </si>
  <si>
    <t>22215W33J C2</t>
  </si>
  <si>
    <t>22216 W33 C3</t>
  </si>
  <si>
    <t>22216EKW33J</t>
  </si>
  <si>
    <t>22216EKW33J C2</t>
  </si>
  <si>
    <t>22216EKW33J C3</t>
  </si>
  <si>
    <t>22216EKW33J C3NF</t>
  </si>
  <si>
    <t>22216EKW33J C4</t>
  </si>
  <si>
    <t>22216EKW33J C5</t>
  </si>
  <si>
    <t>22216EKW33J NF</t>
  </si>
  <si>
    <t>22216EW33J</t>
  </si>
  <si>
    <t>22216EW33J C2</t>
  </si>
  <si>
    <t>22216EW33J C3</t>
  </si>
  <si>
    <t>22216EW33J C3 NF</t>
  </si>
  <si>
    <t>22216EW33J C4</t>
  </si>
  <si>
    <t>22216EW33J C5</t>
  </si>
  <si>
    <t>22216EW33J NF</t>
  </si>
  <si>
    <t>22216KW33M</t>
  </si>
  <si>
    <t>22216KW33M C3</t>
  </si>
  <si>
    <t>22216W33M</t>
  </si>
  <si>
    <t>22216W33M C3</t>
  </si>
  <si>
    <t>22216W33M C4</t>
  </si>
  <si>
    <t>22217 EW33J C3.</t>
  </si>
  <si>
    <t>22217EKW33J</t>
  </si>
  <si>
    <t>22217EKW33J C2</t>
  </si>
  <si>
    <t>22217EKW33J C3</t>
  </si>
  <si>
    <t>22217EKW33J C3NF</t>
  </si>
  <si>
    <t>22217EKW33J C5</t>
  </si>
  <si>
    <t>22217EKW33J NF</t>
  </si>
  <si>
    <t>22217EKW33J P6</t>
  </si>
  <si>
    <t>22217EKW33J P63</t>
  </si>
  <si>
    <t>22217EKW33MHC3NF</t>
  </si>
  <si>
    <t>22217EW33J</t>
  </si>
  <si>
    <t>22217EW33J C2</t>
  </si>
  <si>
    <t>22217EW33J C3</t>
  </si>
  <si>
    <t>22217EW33J C3 NF</t>
  </si>
  <si>
    <t>22217EW33J C3.</t>
  </si>
  <si>
    <t>22217EW33J C4</t>
  </si>
  <si>
    <t>22217EW33J C5</t>
  </si>
  <si>
    <t>22217EW33J NF</t>
  </si>
  <si>
    <t>22217EW33J P6</t>
  </si>
  <si>
    <t>22217EW33J P63</t>
  </si>
  <si>
    <t>22217KW33M</t>
  </si>
  <si>
    <t>22217KW33M C3</t>
  </si>
  <si>
    <t>22217W33M</t>
  </si>
  <si>
    <t>22217W33M C3</t>
  </si>
  <si>
    <t>22217W33M C4</t>
  </si>
  <si>
    <t>22218EKW33 MH</t>
  </si>
  <si>
    <t>22218EKW33J</t>
  </si>
  <si>
    <t>22218EKW33J C2</t>
  </si>
  <si>
    <t>22218EKW33J C3</t>
  </si>
  <si>
    <t>22218EKW33J C3.</t>
  </si>
  <si>
    <t>22218EKW33J C4</t>
  </si>
  <si>
    <t>22218EKW33J C5</t>
  </si>
  <si>
    <t>22218EKW33MH NF</t>
  </si>
  <si>
    <t>22218EKW33MHC3NF</t>
  </si>
  <si>
    <t>22218EW33J</t>
  </si>
  <si>
    <t>22218EW33J C2</t>
  </si>
  <si>
    <t>22218EW33J C3</t>
  </si>
  <si>
    <t>22218EW33J C4</t>
  </si>
  <si>
    <t>22218EW33J C5</t>
  </si>
  <si>
    <t>22218EW33MH C3NF</t>
  </si>
  <si>
    <t>22218EW33MH NF</t>
  </si>
  <si>
    <t>22218KW33M</t>
  </si>
  <si>
    <t>22218KW33M C3</t>
  </si>
  <si>
    <t>22218W33M</t>
  </si>
  <si>
    <t>22218W33M C3</t>
  </si>
  <si>
    <t>22218W33M C4</t>
  </si>
  <si>
    <t>22219 ZKW33J C3</t>
  </si>
  <si>
    <t>22219EKW33J</t>
  </si>
  <si>
    <t>22219EKW33J C2</t>
  </si>
  <si>
    <t>22219EKW33J C3</t>
  </si>
  <si>
    <t>22219EKW33J C3NF</t>
  </si>
  <si>
    <t>22219EKW33J C4</t>
  </si>
  <si>
    <t>22219EKW33J C5</t>
  </si>
  <si>
    <t>22219EKW33J NF</t>
  </si>
  <si>
    <t>22219EKW33MH NF</t>
  </si>
  <si>
    <t>22219EKW33MHC3NF</t>
  </si>
  <si>
    <t>22219EW33J</t>
  </si>
  <si>
    <t>22219EW33J C2</t>
  </si>
  <si>
    <t>22219EW33J C3</t>
  </si>
  <si>
    <t>22219EW33J C3 NF</t>
  </si>
  <si>
    <t>22219EW33J C4</t>
  </si>
  <si>
    <t>22219EW33J C5</t>
  </si>
  <si>
    <t>22219EW33J NF</t>
  </si>
  <si>
    <t>22219EW33MH C3NF</t>
  </si>
  <si>
    <t>22219EW33MH NF</t>
  </si>
  <si>
    <t>22219KW33M</t>
  </si>
  <si>
    <t>22219KW33M C3</t>
  </si>
  <si>
    <t>22219W33M</t>
  </si>
  <si>
    <t>22219W33M C3</t>
  </si>
  <si>
    <t>22219W33M C4</t>
  </si>
  <si>
    <t>2222 C3 NF</t>
  </si>
  <si>
    <t>2222 NF</t>
  </si>
  <si>
    <t>22220 EW33J C3.</t>
  </si>
  <si>
    <t>22220EKW33J</t>
  </si>
  <si>
    <t>22220EKW33J C2</t>
  </si>
  <si>
    <t>22220EKW33J C3</t>
  </si>
  <si>
    <t>22220EKW33J C3NF</t>
  </si>
  <si>
    <t>22220EKW33J C4</t>
  </si>
  <si>
    <t>22220EKW33J C5</t>
  </si>
  <si>
    <t>22220EKW33J NF</t>
  </si>
  <si>
    <t>22220EKW33MH NF</t>
  </si>
  <si>
    <t>22220EW33J</t>
  </si>
  <si>
    <t>22220EW33J C2</t>
  </si>
  <si>
    <t>22220EW33J C3</t>
  </si>
  <si>
    <t>22220EW33J C3 NF</t>
  </si>
  <si>
    <t>22220EW33J C3.</t>
  </si>
  <si>
    <t>22220EW33J C4</t>
  </si>
  <si>
    <t>22220EW33J C5</t>
  </si>
  <si>
    <t>22220EW33J NF</t>
  </si>
  <si>
    <t>22220EW33MH C3NF</t>
  </si>
  <si>
    <t>22220EW33MH NF</t>
  </si>
  <si>
    <t>22220KW33M</t>
  </si>
  <si>
    <t>22220KW33M C3</t>
  </si>
  <si>
    <t>22220W33M</t>
  </si>
  <si>
    <t>22220W33M C2</t>
  </si>
  <si>
    <t>22220W33M C3</t>
  </si>
  <si>
    <t>22220W33M C3S2</t>
  </si>
  <si>
    <t>22220W33M C4</t>
  </si>
  <si>
    <t>22222EKW33J</t>
  </si>
  <si>
    <t>22222EKW33J C2</t>
  </si>
  <si>
    <t>22222EKW33J C3</t>
  </si>
  <si>
    <t>22222EKW33J C3NF</t>
  </si>
  <si>
    <t>22222EKW33J C4</t>
  </si>
  <si>
    <t>22222EKW33J C5</t>
  </si>
  <si>
    <t>22222EKW33J NF</t>
  </si>
  <si>
    <t>22222EKW33MH NF</t>
  </si>
  <si>
    <t>22222EKW33MHC3NF</t>
  </si>
  <si>
    <t>22222EW33J</t>
  </si>
  <si>
    <t>22222EW33J C2</t>
  </si>
  <si>
    <t>22222EW33J C3</t>
  </si>
  <si>
    <t>22222EW33J C3 NF</t>
  </si>
  <si>
    <t>22222EW33J C4</t>
  </si>
  <si>
    <t>22222EW33J C5</t>
  </si>
  <si>
    <t>22222EW33J NF</t>
  </si>
  <si>
    <t>22222EW33J S3</t>
  </si>
  <si>
    <t>22222EW33MH C3NF</t>
  </si>
  <si>
    <t>22222EW33MH NF</t>
  </si>
  <si>
    <t>22222KW33M</t>
  </si>
  <si>
    <t>22222KW33M C2</t>
  </si>
  <si>
    <t>22222KW33M C3</t>
  </si>
  <si>
    <t>22222W33M</t>
  </si>
  <si>
    <t>22222W33M C3</t>
  </si>
  <si>
    <t>22224EKW33J</t>
  </si>
  <si>
    <t>22224EKW33J C2</t>
  </si>
  <si>
    <t>22224EKW33J C3</t>
  </si>
  <si>
    <t>22224EKW33J C4</t>
  </si>
  <si>
    <t>22224EKW33J C5</t>
  </si>
  <si>
    <t>22224EKW33J P6</t>
  </si>
  <si>
    <t>22224EKW33J P63</t>
  </si>
  <si>
    <t>22224EKW33MH NF</t>
  </si>
  <si>
    <t>22224EKW33MHC3NF</t>
  </si>
  <si>
    <t>22224EW33J</t>
  </si>
  <si>
    <t>22224EW33J C2</t>
  </si>
  <si>
    <t>22224EW33J C3</t>
  </si>
  <si>
    <t>22224EW33J C4</t>
  </si>
  <si>
    <t>22224EW33J C5</t>
  </si>
  <si>
    <t>22224EW33J P6</t>
  </si>
  <si>
    <t>22224EW33J P63</t>
  </si>
  <si>
    <t>22224EW33MH C3</t>
  </si>
  <si>
    <t>22224EW33MH C3NF</t>
  </si>
  <si>
    <t>22224EW33MH NF</t>
  </si>
  <si>
    <t>22224KW33M</t>
  </si>
  <si>
    <t>22224KW33M C3</t>
  </si>
  <si>
    <t>22224KW33M C4</t>
  </si>
  <si>
    <t>22224KW33M C5</t>
  </si>
  <si>
    <t>22224KW33MH C3</t>
  </si>
  <si>
    <t>22224W33M</t>
  </si>
  <si>
    <t>22224W33M C3</t>
  </si>
  <si>
    <t>22224W33M C4</t>
  </si>
  <si>
    <t>22226EKW33J</t>
  </si>
  <si>
    <t>22226EKW33J C2</t>
  </si>
  <si>
    <t>22226EKW33J C3</t>
  </si>
  <si>
    <t>22226EKW33J C4</t>
  </si>
  <si>
    <t>22226EKW33J C5</t>
  </si>
  <si>
    <t>22226EKW33J_NF</t>
  </si>
  <si>
    <t>22226EKW33MH NF</t>
  </si>
  <si>
    <t>22226EW33J</t>
  </si>
  <si>
    <t>22226EW33J (NKE)</t>
  </si>
  <si>
    <t>22226EW33J C2</t>
  </si>
  <si>
    <t>22226EW33J C3</t>
  </si>
  <si>
    <t>22226EW33J C3 NF</t>
  </si>
  <si>
    <t>22226EW33J C4</t>
  </si>
  <si>
    <t>22226EW33J C5</t>
  </si>
  <si>
    <t>22226EW33MH NF</t>
  </si>
  <si>
    <t>22226KW33M</t>
  </si>
  <si>
    <t>22226KW33M C3</t>
  </si>
  <si>
    <t>22226W33M</t>
  </si>
  <si>
    <t>22226W33M C2</t>
  </si>
  <si>
    <t>22226W33M C3</t>
  </si>
  <si>
    <t>22228 CW33J C3</t>
  </si>
  <si>
    <t>22228EKW33J</t>
  </si>
  <si>
    <t>22228EKW33J C2</t>
  </si>
  <si>
    <t>22228EKW33J C3</t>
  </si>
  <si>
    <t>22228EKW33J C4</t>
  </si>
  <si>
    <t>22228EKW33J C5</t>
  </si>
  <si>
    <t>22228EKW33MH</t>
  </si>
  <si>
    <t>22228EW33J</t>
  </si>
  <si>
    <t>22228EW33J C2</t>
  </si>
  <si>
    <t>22228EW33J C3</t>
  </si>
  <si>
    <t>22228EW33J C3 NF</t>
  </si>
  <si>
    <t>22228EW33J C4</t>
  </si>
  <si>
    <t>22228EW33J C5</t>
  </si>
  <si>
    <t>22228EW33MH</t>
  </si>
  <si>
    <t>22228KW33M</t>
  </si>
  <si>
    <t>22228KW33M C2</t>
  </si>
  <si>
    <t>22228KW33M C3</t>
  </si>
  <si>
    <t>22228KW33M C4</t>
  </si>
  <si>
    <t>22228W33M</t>
  </si>
  <si>
    <t>22228W33M C3</t>
  </si>
  <si>
    <t>22228W33M C4</t>
  </si>
  <si>
    <t>2222K C3 NF</t>
  </si>
  <si>
    <t>2222K NF</t>
  </si>
  <si>
    <t>22230EKW33J</t>
  </si>
  <si>
    <t>22230EKW33J C2</t>
  </si>
  <si>
    <t>22230EKW33J C3</t>
  </si>
  <si>
    <t>22230EKW33J C4</t>
  </si>
  <si>
    <t>22230EKW33J C5</t>
  </si>
  <si>
    <t>22230EW33J</t>
  </si>
  <si>
    <t>22230EW33J C2</t>
  </si>
  <si>
    <t>22230EW33J C3</t>
  </si>
  <si>
    <t>22230EW33J C4</t>
  </si>
  <si>
    <t>22230EW33J C5</t>
  </si>
  <si>
    <t>22230KW33M</t>
  </si>
  <si>
    <t>22230KW33M C3</t>
  </si>
  <si>
    <t>22230W33M</t>
  </si>
  <si>
    <t>22230W33M C3</t>
  </si>
  <si>
    <t>22232EKW33J</t>
  </si>
  <si>
    <t>22232EKW33J C2</t>
  </si>
  <si>
    <t>22232EKW33J C3</t>
  </si>
  <si>
    <t>22232EKW33J C4</t>
  </si>
  <si>
    <t>22232EKW33J C5</t>
  </si>
  <si>
    <t>22232EKW33MH NF</t>
  </si>
  <si>
    <t>22232EW33J</t>
  </si>
  <si>
    <t>22232EW33J C2</t>
  </si>
  <si>
    <t>22232EW33J C3</t>
  </si>
  <si>
    <t>22232EW33J C4</t>
  </si>
  <si>
    <t>22232EW33J C5</t>
  </si>
  <si>
    <t>22232KW33M</t>
  </si>
  <si>
    <t>22232KW33M C3</t>
  </si>
  <si>
    <t>22232KW33M C4</t>
  </si>
  <si>
    <t>22232W33M</t>
  </si>
  <si>
    <t>22232W33M C3</t>
  </si>
  <si>
    <t>22232W33M C4</t>
  </si>
  <si>
    <t>22234CKW33J</t>
  </si>
  <si>
    <t>22234CKW33J C3</t>
  </si>
  <si>
    <t>22234CW33J</t>
  </si>
  <si>
    <t>22234CW33J C3</t>
  </si>
  <si>
    <t>22234KW33M</t>
  </si>
  <si>
    <t>22234KW33M C2</t>
  </si>
  <si>
    <t>22234KW33M C3</t>
  </si>
  <si>
    <t>22234KW33M C4</t>
  </si>
  <si>
    <t>22234W33M</t>
  </si>
  <si>
    <t>22234W33M_C3</t>
  </si>
  <si>
    <t>22236 / C3</t>
  </si>
  <si>
    <t>22236CKW33J</t>
  </si>
  <si>
    <t>22236CKW33J C3</t>
  </si>
  <si>
    <t>22236CW33J</t>
  </si>
  <si>
    <t>22236CW33J C3</t>
  </si>
  <si>
    <t>22236EW33MH NF</t>
  </si>
  <si>
    <t>22236KW33M</t>
  </si>
  <si>
    <t>22236KW33M C3</t>
  </si>
  <si>
    <t>22236KW33M C4</t>
  </si>
  <si>
    <t>22236W33M</t>
  </si>
  <si>
    <t>22236W33M C4</t>
  </si>
  <si>
    <t>22238 KC3W33</t>
  </si>
  <si>
    <t>22238CKW33J</t>
  </si>
  <si>
    <t>22238CKW33J C3</t>
  </si>
  <si>
    <t>22238CW33J</t>
  </si>
  <si>
    <t>22238CW33J C3</t>
  </si>
  <si>
    <t>22238EW33MH C3</t>
  </si>
  <si>
    <t>22238EW33MH C3NF</t>
  </si>
  <si>
    <t>22238EW33MH NF</t>
  </si>
  <si>
    <t>22238KW33M</t>
  </si>
  <si>
    <t>22238KW33M C3</t>
  </si>
  <si>
    <t>22238KW33M C4</t>
  </si>
  <si>
    <t>22238W33M</t>
  </si>
  <si>
    <t>22238W33M C3</t>
  </si>
  <si>
    <t>22240CKW33J</t>
  </si>
  <si>
    <t>22240CKW33J C3</t>
  </si>
  <si>
    <t>22240CW33J</t>
  </si>
  <si>
    <t>22240CW33J C3</t>
  </si>
  <si>
    <t>22240EKW33MHC3NF</t>
  </si>
  <si>
    <t>22240KW33M</t>
  </si>
  <si>
    <t>22240KW33M (NKE)</t>
  </si>
  <si>
    <t>22240KW33M C3</t>
  </si>
  <si>
    <t>22240KW33M C4</t>
  </si>
  <si>
    <t>22240W33M</t>
  </si>
  <si>
    <t>22240W33M C3</t>
  </si>
  <si>
    <t>22240W33M C4</t>
  </si>
  <si>
    <t>22244CKW33J</t>
  </si>
  <si>
    <t>22244CKW33J C3</t>
  </si>
  <si>
    <t>22244CW33J</t>
  </si>
  <si>
    <t>22244CW33J C3</t>
  </si>
  <si>
    <t>22244EKW33MH NF</t>
  </si>
  <si>
    <t>22244EKW33MHC3NF</t>
  </si>
  <si>
    <t>22244EW33MH C3NF</t>
  </si>
  <si>
    <t>22244EW33MH NF</t>
  </si>
  <si>
    <t>22244KW33M</t>
  </si>
  <si>
    <t>22244KW33M C3</t>
  </si>
  <si>
    <t>22244KW33M C4</t>
  </si>
  <si>
    <t>22244W33M</t>
  </si>
  <si>
    <t>22244W33M C3</t>
  </si>
  <si>
    <t>22244W33M C4</t>
  </si>
  <si>
    <t>22248CKW33J</t>
  </si>
  <si>
    <t>22248CKW33J C3</t>
  </si>
  <si>
    <t>22248CKW33J C4</t>
  </si>
  <si>
    <t>22248CW33J</t>
  </si>
  <si>
    <t>22248CW33J C3</t>
  </si>
  <si>
    <t>22248EKW33MH NF</t>
  </si>
  <si>
    <t>22248EKW33MHC3NF</t>
  </si>
  <si>
    <t>22248EW33MH C3NF</t>
  </si>
  <si>
    <t>22248EW33MH NF</t>
  </si>
  <si>
    <t>22248KW33M</t>
  </si>
  <si>
    <t>22248KW33M C3</t>
  </si>
  <si>
    <t>22248W33M</t>
  </si>
  <si>
    <t>22248W33M C2</t>
  </si>
  <si>
    <t>22248W33M C3</t>
  </si>
  <si>
    <t>22252EKW33MH NF</t>
  </si>
  <si>
    <t>22252EKW33MHC3NF</t>
  </si>
  <si>
    <t>22252EW33MH C3NF</t>
  </si>
  <si>
    <t>22252EW33MH NF</t>
  </si>
  <si>
    <t>22252KW33M</t>
  </si>
  <si>
    <t>22252KW33M C3</t>
  </si>
  <si>
    <t>22252KW33M C4</t>
  </si>
  <si>
    <t>22252W33M</t>
  </si>
  <si>
    <t>22252W33M C3</t>
  </si>
  <si>
    <t>22256EKW33MH NF</t>
  </si>
  <si>
    <t>22256EKW33MHC3NF</t>
  </si>
  <si>
    <t>22256EW33MH C3NF</t>
  </si>
  <si>
    <t>22256EW33MH NF</t>
  </si>
  <si>
    <t>22256KW33M</t>
  </si>
  <si>
    <t>22256KW33M C3</t>
  </si>
  <si>
    <t>22256W33M</t>
  </si>
  <si>
    <t>22256W33M C3</t>
  </si>
  <si>
    <t>22260EKW33MH NF</t>
  </si>
  <si>
    <t>22260EKW33MHC3NF</t>
  </si>
  <si>
    <t>22260EW33MH C3NF</t>
  </si>
  <si>
    <t>22260EW33MH NF</t>
  </si>
  <si>
    <t>22260KW33M</t>
  </si>
  <si>
    <t>22260KW33M C3</t>
  </si>
  <si>
    <t>22260W33M</t>
  </si>
  <si>
    <t>22260W33M C3</t>
  </si>
  <si>
    <t>22264EKW33MH NF</t>
  </si>
  <si>
    <t>22264EKW33MHC3NF</t>
  </si>
  <si>
    <t>22264EW33MH C3NF</t>
  </si>
  <si>
    <t>22264EW33MH NF</t>
  </si>
  <si>
    <t>22264KW33M</t>
  </si>
  <si>
    <t>22264KW33M C3</t>
  </si>
  <si>
    <t>22264W33M</t>
  </si>
  <si>
    <t>22264W33M C3</t>
  </si>
  <si>
    <t>22264W33M C4</t>
  </si>
  <si>
    <t>22308EKW33J</t>
  </si>
  <si>
    <t>22308EKW33J C2</t>
  </si>
  <si>
    <t>22308EKW33J C3</t>
  </si>
  <si>
    <t>22308EKW33J C4</t>
  </si>
  <si>
    <t>22308EKW33J C5</t>
  </si>
  <si>
    <t>22308EKW33MH</t>
  </si>
  <si>
    <t>22308EKW33MH C3</t>
  </si>
  <si>
    <t>22308EW33J</t>
  </si>
  <si>
    <t>22308EW33J C2</t>
  </si>
  <si>
    <t>22308EW33J C3</t>
  </si>
  <si>
    <t>22308EW33J C4</t>
  </si>
  <si>
    <t>22308EW33J C5</t>
  </si>
  <si>
    <t>22308EW33J NF</t>
  </si>
  <si>
    <t>22308EW33MH</t>
  </si>
  <si>
    <t>22308EW33MH C3</t>
  </si>
  <si>
    <t>22309EKW33J</t>
  </si>
  <si>
    <t>22309EKW33J C2</t>
  </si>
  <si>
    <t>22309EKW33J C3</t>
  </si>
  <si>
    <t>22309EKW33J C4</t>
  </si>
  <si>
    <t>22309EKW33J C5</t>
  </si>
  <si>
    <t>22309EKW33MH</t>
  </si>
  <si>
    <t>22309EKW33MH C3</t>
  </si>
  <si>
    <t>22309EW33J</t>
  </si>
  <si>
    <t>22309EW33J C2</t>
  </si>
  <si>
    <t>22309EW33J C3</t>
  </si>
  <si>
    <t>22309EW33J C4</t>
  </si>
  <si>
    <t>22309EW33J C5</t>
  </si>
  <si>
    <t>22309EW33MH</t>
  </si>
  <si>
    <t>22309EW33MH C3</t>
  </si>
  <si>
    <t>22309EW33MH C4</t>
  </si>
  <si>
    <t>22310EKW33J</t>
  </si>
  <si>
    <t>22310EKW33J C2</t>
  </si>
  <si>
    <t>22310EKW33J C3</t>
  </si>
  <si>
    <t>22310EKW33J C4</t>
  </si>
  <si>
    <t>22310EKW33J C5</t>
  </si>
  <si>
    <t>22310EKW33MH</t>
  </si>
  <si>
    <t>22310EKW33MH C3</t>
  </si>
  <si>
    <t>22310EW33J</t>
  </si>
  <si>
    <t>22310EW33J C2</t>
  </si>
  <si>
    <t>22310EW33J C3</t>
  </si>
  <si>
    <t>22310EW33J C4</t>
  </si>
  <si>
    <t>22310EW33J C5</t>
  </si>
  <si>
    <t>22310EW33MH</t>
  </si>
  <si>
    <t>22310EW33MH C3</t>
  </si>
  <si>
    <t>22310EW33MH C5</t>
  </si>
  <si>
    <t>22311 EKW33J C3.</t>
  </si>
  <si>
    <t>22311EKW33J C2</t>
  </si>
  <si>
    <t>22311EKW33J C3</t>
  </si>
  <si>
    <t>22311EKW33J C3.</t>
  </si>
  <si>
    <t>22311EKW33J C3NF</t>
  </si>
  <si>
    <t>22311EKW33J C4</t>
  </si>
  <si>
    <t>22311EKW33J C5</t>
  </si>
  <si>
    <t>22311EKW33J NF</t>
  </si>
  <si>
    <t>22311EKW33MH</t>
  </si>
  <si>
    <t>22311EKW33MH C3</t>
  </si>
  <si>
    <t>22311EW33J</t>
  </si>
  <si>
    <t>22311EW33J C2</t>
  </si>
  <si>
    <t>22311EW33J C3 NF</t>
  </si>
  <si>
    <t>22311EW33J C4</t>
  </si>
  <si>
    <t>22311EW33J C5</t>
  </si>
  <si>
    <t>22311EW33J NF</t>
  </si>
  <si>
    <t>22311EW33MH</t>
  </si>
  <si>
    <t>22311EW33MH C3</t>
  </si>
  <si>
    <t>22311EW33MH C5</t>
  </si>
  <si>
    <t>22312EKW33J C2</t>
  </si>
  <si>
    <t>22312EKW33J C3</t>
  </si>
  <si>
    <t>22312EKW33J C4</t>
  </si>
  <si>
    <t>22312EKW33J C5</t>
  </si>
  <si>
    <t>22312EKW33J NF</t>
  </si>
  <si>
    <t>22312EKW33MH NF</t>
  </si>
  <si>
    <t>22312EKW33MHC3NF</t>
  </si>
  <si>
    <t>22312EW33J</t>
  </si>
  <si>
    <t>22312EW33J C2</t>
  </si>
  <si>
    <t>22312EW33J C3</t>
  </si>
  <si>
    <t>22312EW33J C3 NF</t>
  </si>
  <si>
    <t>22312EW33J C4</t>
  </si>
  <si>
    <t>22312EW33J C4S2</t>
  </si>
  <si>
    <t>22312EW33J C5</t>
  </si>
  <si>
    <t>22312EW33MH C4NF</t>
  </si>
  <si>
    <t>22312EW33MH NF</t>
  </si>
  <si>
    <t>22312KW33M</t>
  </si>
  <si>
    <t>22312KW33M C3</t>
  </si>
  <si>
    <t>22312W33M</t>
  </si>
  <si>
    <t>22312W33M C2</t>
  </si>
  <si>
    <t>22312W33M C3</t>
  </si>
  <si>
    <t>22312W33M C4</t>
  </si>
  <si>
    <t>22313EKW33J C2</t>
  </si>
  <si>
    <t>22313EKW33J C4</t>
  </si>
  <si>
    <t>22313EKW33J C5</t>
  </si>
  <si>
    <t>22313EKW33J NF</t>
  </si>
  <si>
    <t>22313EKW33MH NF</t>
  </si>
  <si>
    <t>22313EKW33MHC3NF</t>
  </si>
  <si>
    <t>22313EW33J</t>
  </si>
  <si>
    <t>22313EW33J C2</t>
  </si>
  <si>
    <t>22313EW33J C3</t>
  </si>
  <si>
    <t>22313EW33J C3 NF</t>
  </si>
  <si>
    <t>22313EW33J C4</t>
  </si>
  <si>
    <t>22313EW33J C5</t>
  </si>
  <si>
    <t>22313EW33J NF</t>
  </si>
  <si>
    <t>22313EW33MH C3NF</t>
  </si>
  <si>
    <t>22313EW33MH NF</t>
  </si>
  <si>
    <t>22313KW33M</t>
  </si>
  <si>
    <t>22313KW33M C3</t>
  </si>
  <si>
    <t>22313W33M</t>
  </si>
  <si>
    <t>22313W33M C3</t>
  </si>
  <si>
    <t>22313W33M C4</t>
  </si>
  <si>
    <t>22313W33M P6</t>
  </si>
  <si>
    <t>22314 EW33MH C3</t>
  </si>
  <si>
    <t>22314EKW33J</t>
  </si>
  <si>
    <t>22314EKW33J C2</t>
  </si>
  <si>
    <t>22314EKW33J C4</t>
  </si>
  <si>
    <t>22314EKW33J C5</t>
  </si>
  <si>
    <t>22314EKW33J NF</t>
  </si>
  <si>
    <t>22314EKW33MH NF</t>
  </si>
  <si>
    <t>22314EW33J</t>
  </si>
  <si>
    <t>22314EW33J C2</t>
  </si>
  <si>
    <t>22314EW33J C3 NF</t>
  </si>
  <si>
    <t>22314EW33J C4</t>
  </si>
  <si>
    <t>22314EW33J C5</t>
  </si>
  <si>
    <t>22314EW33J NF</t>
  </si>
  <si>
    <t>22314EW33MH NF</t>
  </si>
  <si>
    <t>22314KW33M</t>
  </si>
  <si>
    <t>22314KW33M C3</t>
  </si>
  <si>
    <t>22314W33M</t>
  </si>
  <si>
    <t>22314W33M C3</t>
  </si>
  <si>
    <t>22314W33M C4</t>
  </si>
  <si>
    <t>22315EKW33J</t>
  </si>
  <si>
    <t>22315EKW33J C2</t>
  </si>
  <si>
    <t>22315EKW33J C3</t>
  </si>
  <si>
    <t>22315EKW33J C3NF</t>
  </si>
  <si>
    <t>22315EKW33J C4</t>
  </si>
  <si>
    <t>22315EKW33J C5</t>
  </si>
  <si>
    <t>22315EKW33J NF</t>
  </si>
  <si>
    <t>22315EKW33MH NF</t>
  </si>
  <si>
    <t>22315EKW33MHC3NF</t>
  </si>
  <si>
    <t>22315EW33J</t>
  </si>
  <si>
    <t>22315EW33J C2</t>
  </si>
  <si>
    <t>22315EW33J C3 NF</t>
  </si>
  <si>
    <t>22315EW33J C4</t>
  </si>
  <si>
    <t>22315EW33J C5</t>
  </si>
  <si>
    <t>22315EW33J NF</t>
  </si>
  <si>
    <t>22315EW33MH C3NF</t>
  </si>
  <si>
    <t>22315EW33MH NF</t>
  </si>
  <si>
    <t>22315KW33M</t>
  </si>
  <si>
    <t>22315KW33M C3</t>
  </si>
  <si>
    <t>22315KW33M C4</t>
  </si>
  <si>
    <t>22315W33M</t>
  </si>
  <si>
    <t>22315W33M C3</t>
  </si>
  <si>
    <t>22316EKW33J</t>
  </si>
  <si>
    <t>22316EKW33J C2</t>
  </si>
  <si>
    <t>22316EKW33J C4</t>
  </si>
  <si>
    <t>22316EKW33J C5</t>
  </si>
  <si>
    <t>22316EKW33J NF</t>
  </si>
  <si>
    <t>22316EMHD2 (NKE)</t>
  </si>
  <si>
    <t>22316EW33J</t>
  </si>
  <si>
    <t>22316EW33J C2</t>
  </si>
  <si>
    <t>22316EW33J C3</t>
  </si>
  <si>
    <t>22316EW33J C3 NF</t>
  </si>
  <si>
    <t>22316EW33J C4</t>
  </si>
  <si>
    <t>22316EW33J C5</t>
  </si>
  <si>
    <t>22316EW33J NF</t>
  </si>
  <si>
    <t>22316KW33M</t>
  </si>
  <si>
    <t>22316KW33M C3</t>
  </si>
  <si>
    <t>22316W33M</t>
  </si>
  <si>
    <t>22316W33M C3</t>
  </si>
  <si>
    <t>22317EKW33J</t>
  </si>
  <si>
    <t>22317EKW33J C2</t>
  </si>
  <si>
    <t>22317EKW33J C3</t>
  </si>
  <si>
    <t>22317EKW33J C3NF</t>
  </si>
  <si>
    <t>22317EKW33J C4</t>
  </si>
  <si>
    <t>22317EKW33J C5</t>
  </si>
  <si>
    <t>22317EKW33J NF</t>
  </si>
  <si>
    <t>22317EKW33MH</t>
  </si>
  <si>
    <t>22317EW33J</t>
  </si>
  <si>
    <t>22317EW33J C2</t>
  </si>
  <si>
    <t>22317EW33J C3</t>
  </si>
  <si>
    <t>22317EW33J C3 NF</t>
  </si>
  <si>
    <t>22317EW33J C4</t>
  </si>
  <si>
    <t>22317EW33J C5</t>
  </si>
  <si>
    <t>22317EW33J NF</t>
  </si>
  <si>
    <t>22317EW33MH</t>
  </si>
  <si>
    <t>22317KW33M</t>
  </si>
  <si>
    <t>22317KW33M C3</t>
  </si>
  <si>
    <t>22317W33M</t>
  </si>
  <si>
    <t>22317W33M C3</t>
  </si>
  <si>
    <t>22317W33M C4</t>
  </si>
  <si>
    <t>22318EKW33J</t>
  </si>
  <si>
    <t>22318EKW33J C2</t>
  </si>
  <si>
    <t>22318EKW33J C3</t>
  </si>
  <si>
    <t>22318EKW33J C3NF</t>
  </si>
  <si>
    <t>22318EKW33J C4</t>
  </si>
  <si>
    <t>22318EKW33J C5</t>
  </si>
  <si>
    <t>22318EKW33J NF</t>
  </si>
  <si>
    <t>22318EKW33MH NF</t>
  </si>
  <si>
    <t>22318EKW33MHC3NF</t>
  </si>
  <si>
    <t>22318EW33J</t>
  </si>
  <si>
    <t>22318EW33J C2</t>
  </si>
  <si>
    <t>22318EW33J C3</t>
  </si>
  <si>
    <t>22318EW33J C3 NF</t>
  </si>
  <si>
    <t>22318EW33J C4</t>
  </si>
  <si>
    <t>22318EW33J C5</t>
  </si>
  <si>
    <t>22318EW33J NF</t>
  </si>
  <si>
    <t>22318EW33MH C3NF</t>
  </si>
  <si>
    <t>22318EW33MH NF</t>
  </si>
  <si>
    <t>22318KW33M</t>
  </si>
  <si>
    <t>22318KW33M C3</t>
  </si>
  <si>
    <t>22318W33M</t>
  </si>
  <si>
    <t>22318W33M C2</t>
  </si>
  <si>
    <t>22318W33M C3</t>
  </si>
  <si>
    <t>22318W33M C3S3</t>
  </si>
  <si>
    <t>22318W33MK C3</t>
  </si>
  <si>
    <t>22319EKW33J C2</t>
  </si>
  <si>
    <t>22319EKW33J C4</t>
  </si>
  <si>
    <t>22319EKW33J C5</t>
  </si>
  <si>
    <t>22319EKW33J NF</t>
  </si>
  <si>
    <t>22319EKW33MH NF</t>
  </si>
  <si>
    <t>22319EKW33MHC3NF</t>
  </si>
  <si>
    <t>22319EW33J</t>
  </si>
  <si>
    <t>22319EW33J C2</t>
  </si>
  <si>
    <t>22319EW33J C3</t>
  </si>
  <si>
    <t>22319EW33J C3 NF</t>
  </si>
  <si>
    <t>22319EW33J C4</t>
  </si>
  <si>
    <t>22319EW33J C5</t>
  </si>
  <si>
    <t>22319EW33J NF</t>
  </si>
  <si>
    <t>22319EW33MH C3NF</t>
  </si>
  <si>
    <t>22319EW33MH NF</t>
  </si>
  <si>
    <t>22319KW33M</t>
  </si>
  <si>
    <t>22319KW33M C3</t>
  </si>
  <si>
    <t>22319KW33M C4</t>
  </si>
  <si>
    <t>22319W33M</t>
  </si>
  <si>
    <t>22319W33M C3</t>
  </si>
  <si>
    <t>22320 EKW33MH C3</t>
  </si>
  <si>
    <t>22320EKW33J</t>
  </si>
  <si>
    <t>22320EKW33J C2</t>
  </si>
  <si>
    <t>22320EKW33J C3</t>
  </si>
  <si>
    <t>22320EKW33J C4</t>
  </si>
  <si>
    <t>22320EKW33J C5</t>
  </si>
  <si>
    <t>22320EKW33J S4</t>
  </si>
  <si>
    <t>22320EKW33MH NF</t>
  </si>
  <si>
    <t>22320EW33J</t>
  </si>
  <si>
    <t>22320EW33J C2</t>
  </si>
  <si>
    <t>22320EW33J C3</t>
  </si>
  <si>
    <t>22320EW33J C4</t>
  </si>
  <si>
    <t>22320EW33J C5</t>
  </si>
  <si>
    <t>22320EW33MH C3NF</t>
  </si>
  <si>
    <t>22320EW33MH NF</t>
  </si>
  <si>
    <t>22320KW33M</t>
  </si>
  <si>
    <t>22320KW33M C3</t>
  </si>
  <si>
    <t>22320KW33M C4</t>
  </si>
  <si>
    <t>22320KW33M S4</t>
  </si>
  <si>
    <t>22320W33M</t>
  </si>
  <si>
    <t>22320W33M C2</t>
  </si>
  <si>
    <t>22320W33M C3</t>
  </si>
  <si>
    <t>22320W33M C4</t>
  </si>
  <si>
    <t>22322 KW33J C3</t>
  </si>
  <si>
    <t>22322EKW33J</t>
  </si>
  <si>
    <t>22322EKW33J C2</t>
  </si>
  <si>
    <t>22322EKW33J C3</t>
  </si>
  <si>
    <t>22322EKW33J C4</t>
  </si>
  <si>
    <t>22322EKW33J C5</t>
  </si>
  <si>
    <t>22322EKW33MH</t>
  </si>
  <si>
    <t>22322EW33J</t>
  </si>
  <si>
    <t>22322EW33J C2</t>
  </si>
  <si>
    <t>22322EW33J C3</t>
  </si>
  <si>
    <t>22322EW33J C4</t>
  </si>
  <si>
    <t>22322EW33J C5</t>
  </si>
  <si>
    <t>22322EW33MH</t>
  </si>
  <si>
    <t>22322KW33M</t>
  </si>
  <si>
    <t>22322KW33M C2</t>
  </si>
  <si>
    <t>22322KW33M C3</t>
  </si>
  <si>
    <t>22322KW33M C4</t>
  </si>
  <si>
    <t>22322W33M</t>
  </si>
  <si>
    <t>22322W33M C3</t>
  </si>
  <si>
    <t>22322W33M C4</t>
  </si>
  <si>
    <t>22324EKW33J</t>
  </si>
  <si>
    <t>22324EKW33J C2</t>
  </si>
  <si>
    <t>22324EKW33J C3</t>
  </si>
  <si>
    <t>22324EKW33J C4</t>
  </si>
  <si>
    <t>22324EKW33J C5</t>
  </si>
  <si>
    <t>22324EKW33J P63</t>
  </si>
  <si>
    <t>22324EKW33MH NF</t>
  </si>
  <si>
    <t>22324EKW33MHC3NF</t>
  </si>
  <si>
    <t>22324EW33J</t>
  </si>
  <si>
    <t>22324EW33J C2</t>
  </si>
  <si>
    <t>22324EW33J C3</t>
  </si>
  <si>
    <t>22324EW33J C4</t>
  </si>
  <si>
    <t>22324EW33J C5</t>
  </si>
  <si>
    <t>22324EW33J P63</t>
  </si>
  <si>
    <t>22324EW33MH C3NF</t>
  </si>
  <si>
    <t>22324EW33MH NF</t>
  </si>
  <si>
    <t>22324KW33M</t>
  </si>
  <si>
    <t>22324KW33M C2</t>
  </si>
  <si>
    <t>22324KW33M C3</t>
  </si>
  <si>
    <t>22324KW33M C4</t>
  </si>
  <si>
    <t>22324W33M</t>
  </si>
  <si>
    <t>22324W33M C3</t>
  </si>
  <si>
    <t>22324W33M C4</t>
  </si>
  <si>
    <t>22326EKW33J</t>
  </si>
  <si>
    <t>22326EKW33J C2</t>
  </si>
  <si>
    <t>22326EKW33J C3</t>
  </si>
  <si>
    <t>22326EKW33J C4</t>
  </si>
  <si>
    <t>22326EKW33J C5</t>
  </si>
  <si>
    <t>22326EKW33MH NF</t>
  </si>
  <si>
    <t>22326EKW33MHC3NF</t>
  </si>
  <si>
    <t>22326EW33J</t>
  </si>
  <si>
    <t>22326EW33J C2</t>
  </si>
  <si>
    <t>22326EW33J C3</t>
  </si>
  <si>
    <t>22326EW33J C4</t>
  </si>
  <si>
    <t>22326EW33J C5</t>
  </si>
  <si>
    <t>22326KW33M</t>
  </si>
  <si>
    <t>22326KW33M C2</t>
  </si>
  <si>
    <t>22326KW33M C3</t>
  </si>
  <si>
    <t>22326KW33M C4</t>
  </si>
  <si>
    <t>22326W33M</t>
  </si>
  <si>
    <t>22326W33M C2</t>
  </si>
  <si>
    <t>22326W33M C3</t>
  </si>
  <si>
    <t>22328CKW33J</t>
  </si>
  <si>
    <t>22328CKW33J C3</t>
  </si>
  <si>
    <t>22328CW33J</t>
  </si>
  <si>
    <t>22328CW33J C3</t>
  </si>
  <si>
    <t>22328EKW33MH NF</t>
  </si>
  <si>
    <t>22328EKW33MHC3NF</t>
  </si>
  <si>
    <t>22328EW33MH C3</t>
  </si>
  <si>
    <t>22328EW33MH C3NF</t>
  </si>
  <si>
    <t>22328EW33MH NF</t>
  </si>
  <si>
    <t>22328KW33M</t>
  </si>
  <si>
    <t>22328KW33M C3</t>
  </si>
  <si>
    <t>22328KW33M C4</t>
  </si>
  <si>
    <t>22328W33M</t>
  </si>
  <si>
    <t>22328W33M C3</t>
  </si>
  <si>
    <t>22328W33M C4</t>
  </si>
  <si>
    <t>2233 W33M C3</t>
  </si>
  <si>
    <t>22330CKW33J</t>
  </si>
  <si>
    <t>22330CKW33J C3</t>
  </si>
  <si>
    <t>22330CW33J</t>
  </si>
  <si>
    <t>22330CW33J C3</t>
  </si>
  <si>
    <t>22330EKW33MH NF</t>
  </si>
  <si>
    <t>22330EKW33MHC3NF</t>
  </si>
  <si>
    <t>22330EW33MH C3NF</t>
  </si>
  <si>
    <t>22330EW33MH NF</t>
  </si>
  <si>
    <t>22330KW33M</t>
  </si>
  <si>
    <t>22330KW33M C3</t>
  </si>
  <si>
    <t>22330W33M</t>
  </si>
  <si>
    <t>22330W33M C3</t>
  </si>
  <si>
    <t>22332CKW33J</t>
  </si>
  <si>
    <t>22332CKW33J C3</t>
  </si>
  <si>
    <t>22332CW33J</t>
  </si>
  <si>
    <t>22332CW33J C3</t>
  </si>
  <si>
    <t>22332EKW33MH NF</t>
  </si>
  <si>
    <t>22332EW33MH C3NF</t>
  </si>
  <si>
    <t>22332EW33MH NF</t>
  </si>
  <si>
    <t>22332KW33M</t>
  </si>
  <si>
    <t>22332KW33M C2</t>
  </si>
  <si>
    <t>22332KW33M C3</t>
  </si>
  <si>
    <t>22332KW33M C4</t>
  </si>
  <si>
    <t>22332W33M</t>
  </si>
  <si>
    <t>22332W33M C3</t>
  </si>
  <si>
    <t>22332W33M C4</t>
  </si>
  <si>
    <t>22334CKW33J</t>
  </si>
  <si>
    <t>22334CKW33J C3</t>
  </si>
  <si>
    <t>22334CW33J</t>
  </si>
  <si>
    <t>22334CW33J C3</t>
  </si>
  <si>
    <t>22334EKMHD2</t>
  </si>
  <si>
    <t>22334EMHD2</t>
  </si>
  <si>
    <t>22334KW33M</t>
  </si>
  <si>
    <t>22334KW33M C2</t>
  </si>
  <si>
    <t>22334KW33M C3</t>
  </si>
  <si>
    <t>22334W33M</t>
  </si>
  <si>
    <t>22334W33M C3</t>
  </si>
  <si>
    <t>22334W33M C4</t>
  </si>
  <si>
    <t>22336CKW33J</t>
  </si>
  <si>
    <t>22336CKW33J C3</t>
  </si>
  <si>
    <t>22336CW33J</t>
  </si>
  <si>
    <t>22336CW33J C3</t>
  </si>
  <si>
    <t>22336EKW33MH NF</t>
  </si>
  <si>
    <t>22336EKW33MHC3NF</t>
  </si>
  <si>
    <t>22336EW33MH C3NF</t>
  </si>
  <si>
    <t>22336EW33MH NF</t>
  </si>
  <si>
    <t>22336KW33M</t>
  </si>
  <si>
    <t>22336KW33M C2</t>
  </si>
  <si>
    <t>22336KW33M C3</t>
  </si>
  <si>
    <t>22336W33M</t>
  </si>
  <si>
    <t>22336W33M C3</t>
  </si>
  <si>
    <t>22336W33M C4</t>
  </si>
  <si>
    <t>22338 W33J C3</t>
  </si>
  <si>
    <t>22338CKW33J</t>
  </si>
  <si>
    <t>22338CKW33J C3</t>
  </si>
  <si>
    <t>22338CKW33M</t>
  </si>
  <si>
    <t>22338CKW33M C2</t>
  </si>
  <si>
    <t>22338CKW33M C3</t>
  </si>
  <si>
    <t>22338CKW33M C4</t>
  </si>
  <si>
    <t>22338CW33J</t>
  </si>
  <si>
    <t>22338CW33J C3</t>
  </si>
  <si>
    <t>22338CW33M</t>
  </si>
  <si>
    <t>22338CW33M C3</t>
  </si>
  <si>
    <t>22338CW33M C4</t>
  </si>
  <si>
    <t>22338EKW33MH NF</t>
  </si>
  <si>
    <t>22338EKW33MHC3NF</t>
  </si>
  <si>
    <t>22338EW33MH C3NF</t>
  </si>
  <si>
    <t>22338EW33MH NF</t>
  </si>
  <si>
    <t>22340CKW33J</t>
  </si>
  <si>
    <t>22340CKW33J C3</t>
  </si>
  <si>
    <t>22340CW33J</t>
  </si>
  <si>
    <t>22340CW33J C3</t>
  </si>
  <si>
    <t>22340EKW33MH NF</t>
  </si>
  <si>
    <t>22340EKW33MHC3NF</t>
  </si>
  <si>
    <t>22340EW33MH NF</t>
  </si>
  <si>
    <t>22340KW33M</t>
  </si>
  <si>
    <t>22340KW33M C2</t>
  </si>
  <si>
    <t>22340KW33M C3</t>
  </si>
  <si>
    <t>22340KW33M C4</t>
  </si>
  <si>
    <t>22340W33M</t>
  </si>
  <si>
    <t>22340W33M C3</t>
  </si>
  <si>
    <t>22340W33M C4</t>
  </si>
  <si>
    <t>22344CKW33J</t>
  </si>
  <si>
    <t>22344CKW33J C3</t>
  </si>
  <si>
    <t>22344CW33J</t>
  </si>
  <si>
    <t>22344CW33J C3</t>
  </si>
  <si>
    <t>22344EKW33MH NF</t>
  </si>
  <si>
    <t>22344EKW33MHC3NF</t>
  </si>
  <si>
    <t>22344EW33MH C3NF</t>
  </si>
  <si>
    <t>22344EW33MH NF</t>
  </si>
  <si>
    <t>22348CKW33J</t>
  </si>
  <si>
    <t>22348CKW33J C3</t>
  </si>
  <si>
    <t>22348CW33J</t>
  </si>
  <si>
    <t>22348CW33J C3</t>
  </si>
  <si>
    <t>22348EKW33MH NF</t>
  </si>
  <si>
    <t>22348EKW33MHC3NF</t>
  </si>
  <si>
    <t>22348EW33MH C3NF</t>
  </si>
  <si>
    <t>22348EW33MH NF</t>
  </si>
  <si>
    <t>22348KW33M</t>
  </si>
  <si>
    <t>22348KW33M C3</t>
  </si>
  <si>
    <t>22348W33M</t>
  </si>
  <si>
    <t>22348W33M C3</t>
  </si>
  <si>
    <t>22352EKW33MH NF</t>
  </si>
  <si>
    <t>22352EKW33MHC3NF</t>
  </si>
  <si>
    <t>22352EW33MH C3NF</t>
  </si>
  <si>
    <t>22352EW33MH NF</t>
  </si>
  <si>
    <t>22356CKW33M</t>
  </si>
  <si>
    <t>22356CKW33M C3</t>
  </si>
  <si>
    <t>22356CW33M</t>
  </si>
  <si>
    <t>22356CW33M C3</t>
  </si>
  <si>
    <t>22380CKW33M</t>
  </si>
  <si>
    <t>22380CW33M</t>
  </si>
  <si>
    <t>22380CW33M C3</t>
  </si>
  <si>
    <t>2302 BEK133MH C3</t>
  </si>
  <si>
    <t>23022CKW33J</t>
  </si>
  <si>
    <t>23022CW33J</t>
  </si>
  <si>
    <t>23022CW33J C3</t>
  </si>
  <si>
    <t>23022CW33J C5</t>
  </si>
  <si>
    <t>23022EKW33MH</t>
  </si>
  <si>
    <t>23022EKW33MH NF</t>
  </si>
  <si>
    <t>23022EW33MH</t>
  </si>
  <si>
    <t>23022EW33MH NF</t>
  </si>
  <si>
    <t>23024CKW33J</t>
  </si>
  <si>
    <t>23024CKW33J C2</t>
  </si>
  <si>
    <t>23024CKW33J C3</t>
  </si>
  <si>
    <t>23024CKW33J C4</t>
  </si>
  <si>
    <t>23024CKW33J C5</t>
  </si>
  <si>
    <t>23024CW33J</t>
  </si>
  <si>
    <t>23024CW33J (NKE)</t>
  </si>
  <si>
    <t>23024CW33J C2</t>
  </si>
  <si>
    <t>23024CW33J C3</t>
  </si>
  <si>
    <t>23024CW33J C4</t>
  </si>
  <si>
    <t>23024CW33J C5</t>
  </si>
  <si>
    <t>23024EKW33MH NF</t>
  </si>
  <si>
    <t>23024EKW33MHC3NF</t>
  </si>
  <si>
    <t>23024EW33MH C3NF</t>
  </si>
  <si>
    <t>23024EW33MH NF</t>
  </si>
  <si>
    <t>23024KW33J</t>
  </si>
  <si>
    <t>23024KW33J C3</t>
  </si>
  <si>
    <t>23024KW33J C5S4</t>
  </si>
  <si>
    <t>23024KW33M</t>
  </si>
  <si>
    <t>23024KW33M C3</t>
  </si>
  <si>
    <t>23024W33J</t>
  </si>
  <si>
    <t>23024W33J C3</t>
  </si>
  <si>
    <t>23024W33J C4</t>
  </si>
  <si>
    <t>23024W33M</t>
  </si>
  <si>
    <t>23024W33M C3</t>
  </si>
  <si>
    <t>23024W33M C4</t>
  </si>
  <si>
    <t>23026CKW33J</t>
  </si>
  <si>
    <t>23026CKW33J C2</t>
  </si>
  <si>
    <t>23026CKW33J C3</t>
  </si>
  <si>
    <t>23026CKW33J C4</t>
  </si>
  <si>
    <t>23026CKW33J C5</t>
  </si>
  <si>
    <t>23026CW33J</t>
  </si>
  <si>
    <t>23026CW33J C2</t>
  </si>
  <si>
    <t>23026CW33J C3</t>
  </si>
  <si>
    <t>23026CW33J C4</t>
  </si>
  <si>
    <t>23026CW33J C5</t>
  </si>
  <si>
    <t>23026KW33J</t>
  </si>
  <si>
    <t>23026KW33J C3</t>
  </si>
  <si>
    <t>23026KW33M</t>
  </si>
  <si>
    <t>23026KW33M C3</t>
  </si>
  <si>
    <t>23026W33J</t>
  </si>
  <si>
    <t>23026W33J C2</t>
  </si>
  <si>
    <t>23026W33J C3</t>
  </si>
  <si>
    <t>23026W33J C4</t>
  </si>
  <si>
    <t>23026W33J P62</t>
  </si>
  <si>
    <t>23026W33M</t>
  </si>
  <si>
    <t>23026W33M C3</t>
  </si>
  <si>
    <t>23028CKW33J</t>
  </si>
  <si>
    <t>23028CKW33J C2</t>
  </si>
  <si>
    <t>23028CKW33J C3</t>
  </si>
  <si>
    <t>23028CKW33J C4</t>
  </si>
  <si>
    <t>23028CKW33J C5</t>
  </si>
  <si>
    <t>23028CW33J</t>
  </si>
  <si>
    <t>23028CW33J C2</t>
  </si>
  <si>
    <t>23028CW33J C3</t>
  </si>
  <si>
    <t>23028CW33J C4</t>
  </si>
  <si>
    <t>23028CW33J C5</t>
  </si>
  <si>
    <t>23028EKW33MH NF</t>
  </si>
  <si>
    <t>23028EW33MH NF</t>
  </si>
  <si>
    <t>23028EW33MHC3 NF</t>
  </si>
  <si>
    <t>23028KW33M</t>
  </si>
  <si>
    <t>23028KW33M C3</t>
  </si>
  <si>
    <t>23028KW33M C4S2</t>
  </si>
  <si>
    <t>23028W33M</t>
  </si>
  <si>
    <t>23028W33M C3</t>
  </si>
  <si>
    <t>23028W33M C4</t>
  </si>
  <si>
    <t>2303 2ZR C3.</t>
  </si>
  <si>
    <t>2303 C3 TNG</t>
  </si>
  <si>
    <t>23030 EW33MH C3</t>
  </si>
  <si>
    <t>23030CKW33J</t>
  </si>
  <si>
    <t>23030CKW33J C2</t>
  </si>
  <si>
    <t>23030CKW33J C3</t>
  </si>
  <si>
    <t>23030CKW33J C4</t>
  </si>
  <si>
    <t>23030CKW33J C5</t>
  </si>
  <si>
    <t>23030CW33J</t>
  </si>
  <si>
    <t>23030CW33J C2</t>
  </si>
  <si>
    <t>23030CW33J C3</t>
  </si>
  <si>
    <t>23030CW33J C4</t>
  </si>
  <si>
    <t>23030CW33J C5</t>
  </si>
  <si>
    <t>23030EKW33MH NF</t>
  </si>
  <si>
    <t>23030EW33MH NF</t>
  </si>
  <si>
    <t>23030KW33M</t>
  </si>
  <si>
    <t>23030KW33M C3</t>
  </si>
  <si>
    <t>23030KW33M C4</t>
  </si>
  <si>
    <t>23030W33M</t>
  </si>
  <si>
    <t>23030W33M C2</t>
  </si>
  <si>
    <t>23030W33M C3</t>
  </si>
  <si>
    <t>23030W33M C4</t>
  </si>
  <si>
    <t>23032CKW33J</t>
  </si>
  <si>
    <t>23032CKW33J C3</t>
  </si>
  <si>
    <t>23032CW33J</t>
  </si>
  <si>
    <t>23032CW33J C3</t>
  </si>
  <si>
    <t>23032KW33M</t>
  </si>
  <si>
    <t>23032KW33M C2</t>
  </si>
  <si>
    <t>23032KW33M C3</t>
  </si>
  <si>
    <t>23032KW33M C3 S2</t>
  </si>
  <si>
    <t>23032W33M</t>
  </si>
  <si>
    <t>23032W33M C3</t>
  </si>
  <si>
    <t>23032W33M C4</t>
  </si>
  <si>
    <t>23034CKW33J</t>
  </si>
  <si>
    <t>23034CKW33J C3</t>
  </si>
  <si>
    <t>23034CW33J</t>
  </si>
  <si>
    <t>23034CW33J C3</t>
  </si>
  <si>
    <t>23034KW33M</t>
  </si>
  <si>
    <t>23034KW33M C3</t>
  </si>
  <si>
    <t>23034KW33M C4</t>
  </si>
  <si>
    <t>23034W33M</t>
  </si>
  <si>
    <t>23034W33M C3</t>
  </si>
  <si>
    <t>23036CKW33J</t>
  </si>
  <si>
    <t>23036CKW33J C3</t>
  </si>
  <si>
    <t>23036CW33J</t>
  </si>
  <si>
    <t>23036CW33J C3</t>
  </si>
  <si>
    <t>23036CW33J C5</t>
  </si>
  <si>
    <t>23036KW33M</t>
  </si>
  <si>
    <t>23036KW33M C3</t>
  </si>
  <si>
    <t>23036KW33M C4</t>
  </si>
  <si>
    <t>23036W33M</t>
  </si>
  <si>
    <t>23036W33M C2</t>
  </si>
  <si>
    <t>23036W33M C3</t>
  </si>
  <si>
    <t>23036W33M C4</t>
  </si>
  <si>
    <t>23036W33M C5</t>
  </si>
  <si>
    <t>23038CKW33J</t>
  </si>
  <si>
    <t>23038CKW33J C3</t>
  </si>
  <si>
    <t>23038CW33J</t>
  </si>
  <si>
    <t>23038CW33J C3</t>
  </si>
  <si>
    <t>23038KW33M</t>
  </si>
  <si>
    <t>23038KW33M C3</t>
  </si>
  <si>
    <t>23038KW33M C4</t>
  </si>
  <si>
    <t>23038W33M</t>
  </si>
  <si>
    <t>23038W33M C3</t>
  </si>
  <si>
    <t>23040CKW33J</t>
  </si>
  <si>
    <t>23040CKW33J C3</t>
  </si>
  <si>
    <t>23040CKW33M</t>
  </si>
  <si>
    <t>23040CKW33M C3</t>
  </si>
  <si>
    <t>23040CKW33M C4</t>
  </si>
  <si>
    <t>23040CW33J</t>
  </si>
  <si>
    <t>23040CW33J C3</t>
  </si>
  <si>
    <t>23040CW33M</t>
  </si>
  <si>
    <t>23040CW33M C3</t>
  </si>
  <si>
    <t>23040CW33M C5</t>
  </si>
  <si>
    <t>23040EKW33MH NF</t>
  </si>
  <si>
    <t>23040EKW33MHC3NF</t>
  </si>
  <si>
    <t>23040EW33MH C3NF</t>
  </si>
  <si>
    <t>23040EW33MH NF</t>
  </si>
  <si>
    <t>23044CKW33J</t>
  </si>
  <si>
    <t>23044CKW33J C3</t>
  </si>
  <si>
    <t>23044CKW33M</t>
  </si>
  <si>
    <t>23044CKW33M C3</t>
  </si>
  <si>
    <t>23044CKW33M C4</t>
  </si>
  <si>
    <t>23044CW33J</t>
  </si>
  <si>
    <t>23044CW33J C3</t>
  </si>
  <si>
    <t>23044CW33M</t>
  </si>
  <si>
    <t>23044CW33M C2</t>
  </si>
  <si>
    <t>23044CW33M C3</t>
  </si>
  <si>
    <t>23044CW33M C4</t>
  </si>
  <si>
    <t>23044CW33M C5</t>
  </si>
  <si>
    <t>23048 MCW33 C3K</t>
  </si>
  <si>
    <t>23048CKW33J</t>
  </si>
  <si>
    <t>23048CKW33J C3</t>
  </si>
  <si>
    <t>23048CKW33M</t>
  </si>
  <si>
    <t>23048CKW33M C3</t>
  </si>
  <si>
    <t>23048CKW33M C4</t>
  </si>
  <si>
    <t>23048CKW33M C5</t>
  </si>
  <si>
    <t>23048CW33J</t>
  </si>
  <si>
    <t>23048CW33J C3</t>
  </si>
  <si>
    <t>23048CW33M</t>
  </si>
  <si>
    <t>23048CW33M (NKE)</t>
  </si>
  <si>
    <t>23048CW33M (SNR)</t>
  </si>
  <si>
    <t>23048CW33M C3</t>
  </si>
  <si>
    <t>23048CW33M C4</t>
  </si>
  <si>
    <t>23048CW33M C5</t>
  </si>
  <si>
    <t>23048EKW33MH</t>
  </si>
  <si>
    <t>23048EKW33MH C3</t>
  </si>
  <si>
    <t>23048EKW33MH NF</t>
  </si>
  <si>
    <t>23048EKW33MHC3NF</t>
  </si>
  <si>
    <t>23048EW33MH</t>
  </si>
  <si>
    <t>23048EW33MH C3</t>
  </si>
  <si>
    <t>23048EW33MH C3NF</t>
  </si>
  <si>
    <t>23048EW33MH NF</t>
  </si>
  <si>
    <t>23052 W3</t>
  </si>
  <si>
    <t>23052 W33MH</t>
  </si>
  <si>
    <t>23052CKW33J</t>
  </si>
  <si>
    <t>23052CKW33J C3</t>
  </si>
  <si>
    <t>23052CKW33M</t>
  </si>
  <si>
    <t>23052CKW33M C3</t>
  </si>
  <si>
    <t>23052CKW33M C4</t>
  </si>
  <si>
    <t>23052CKW33M C5</t>
  </si>
  <si>
    <t>23052CW33J</t>
  </si>
  <si>
    <t>23052CW33J C3</t>
  </si>
  <si>
    <t>23052CW33M</t>
  </si>
  <si>
    <t>23052CW33M C2</t>
  </si>
  <si>
    <t>23052CW33M C3</t>
  </si>
  <si>
    <t>23052CW33M C4</t>
  </si>
  <si>
    <t>23052CW33M C5</t>
  </si>
  <si>
    <t>23052EKW33MH NF</t>
  </si>
  <si>
    <t>23052EKW33MHC3NF</t>
  </si>
  <si>
    <t>23052EW33MH C3</t>
  </si>
  <si>
    <t>23052EW33MH C3NF</t>
  </si>
  <si>
    <t>23052EW33MH NF</t>
  </si>
  <si>
    <t>23056CKW33J</t>
  </si>
  <si>
    <t>23056CKW33J C3</t>
  </si>
  <si>
    <t>23056CW33J</t>
  </si>
  <si>
    <t>23056CW33J C3</t>
  </si>
  <si>
    <t>23056EKW33MH NF</t>
  </si>
  <si>
    <t>23056EKW33MHC3NF</t>
  </si>
  <si>
    <t>23056EW33MH NF</t>
  </si>
  <si>
    <t>23056KW33M</t>
  </si>
  <si>
    <t>23056KW33M C3</t>
  </si>
  <si>
    <t>23056KW33M C4</t>
  </si>
  <si>
    <t>23056KW33M C5</t>
  </si>
  <si>
    <t>23056W33M</t>
  </si>
  <si>
    <t>23056W33M C3</t>
  </si>
  <si>
    <t>23056W33M C4</t>
  </si>
  <si>
    <t>2305TNG NF</t>
  </si>
  <si>
    <t>2306 NF</t>
  </si>
  <si>
    <t>23060CKW33J</t>
  </si>
  <si>
    <t>23060CKW33J C3</t>
  </si>
  <si>
    <t>23060CW33J</t>
  </si>
  <si>
    <t>23060CW33J C3</t>
  </si>
  <si>
    <t>23060EKW33MH NF</t>
  </si>
  <si>
    <t>23060EKW33MHC3NF</t>
  </si>
  <si>
    <t>23060EW33MH C3NF</t>
  </si>
  <si>
    <t>23060EW33MH NF</t>
  </si>
  <si>
    <t>23060KW33M</t>
  </si>
  <si>
    <t>23060KW33M C3</t>
  </si>
  <si>
    <t>23060KW33M C4</t>
  </si>
  <si>
    <t>23060KW33M C5</t>
  </si>
  <si>
    <t>23060W33M</t>
  </si>
  <si>
    <t>23060W33M C3</t>
  </si>
  <si>
    <t>23060W33M C4</t>
  </si>
  <si>
    <t>23064CKW33J</t>
  </si>
  <si>
    <t>23064CKW33J C3</t>
  </si>
  <si>
    <t>23064CW33J</t>
  </si>
  <si>
    <t>23064CW33J C3</t>
  </si>
  <si>
    <t>23064EKW33MH NF</t>
  </si>
  <si>
    <t>23064EKW33MHC3NF</t>
  </si>
  <si>
    <t>23064EW33MH C3NF</t>
  </si>
  <si>
    <t>23064EW33MH NF</t>
  </si>
  <si>
    <t>23064KW33M</t>
  </si>
  <si>
    <t>23064KW33M C3</t>
  </si>
  <si>
    <t>23064W33M</t>
  </si>
  <si>
    <t>23064W33M C3</t>
  </si>
  <si>
    <t>23068EKW33MH NF</t>
  </si>
  <si>
    <t>23068EKW33MHC3NF</t>
  </si>
  <si>
    <t>23068EW33MH C3</t>
  </si>
  <si>
    <t>23068EW33MH C3NF</t>
  </si>
  <si>
    <t>23068EW33MH NF</t>
  </si>
  <si>
    <t>23068KW33M</t>
  </si>
  <si>
    <t>23068KW33M C3</t>
  </si>
  <si>
    <t>23068KW33M C4</t>
  </si>
  <si>
    <t>23068KW33M C5</t>
  </si>
  <si>
    <t>23068W33M</t>
  </si>
  <si>
    <t>23068W33M C2</t>
  </si>
  <si>
    <t>23068W33M C3</t>
  </si>
  <si>
    <t>2306K</t>
  </si>
  <si>
    <t>2306K C3 NF</t>
  </si>
  <si>
    <t>2306K NF</t>
  </si>
  <si>
    <t>23072EKW33MH NF</t>
  </si>
  <si>
    <t>23072EKW33MHC3NF</t>
  </si>
  <si>
    <t>23072EW33MH C3NF</t>
  </si>
  <si>
    <t>23072EW33MH NF</t>
  </si>
  <si>
    <t>23072KW33M</t>
  </si>
  <si>
    <t>23072KW33M C3</t>
  </si>
  <si>
    <t>23072KW33M C4</t>
  </si>
  <si>
    <t>23072KW33M C5</t>
  </si>
  <si>
    <t>23072W33M</t>
  </si>
  <si>
    <t>23072W33M (SNR)</t>
  </si>
  <si>
    <t>23072W33M C3</t>
  </si>
  <si>
    <t>23076EKW33MH NF</t>
  </si>
  <si>
    <t>23076EKW33MHC3NF</t>
  </si>
  <si>
    <t>23076EW33MH C3NF</t>
  </si>
  <si>
    <t>23076EW33MH NF</t>
  </si>
  <si>
    <t>23076KW33M</t>
  </si>
  <si>
    <t>23076KW33M C3</t>
  </si>
  <si>
    <t>23076KW33M C4</t>
  </si>
  <si>
    <t>23076KW33M C5</t>
  </si>
  <si>
    <t>23076W33M</t>
  </si>
  <si>
    <t>23076W33M C3</t>
  </si>
  <si>
    <t>2307K</t>
  </si>
  <si>
    <t>2308 C3 NF</t>
  </si>
  <si>
    <t>2308 NF</t>
  </si>
  <si>
    <t>23080EKW33MH NF</t>
  </si>
  <si>
    <t>23080EKW33MHC3NF</t>
  </si>
  <si>
    <t>23080EW33MH C3NF</t>
  </si>
  <si>
    <t>23080EW33MH NF</t>
  </si>
  <si>
    <t>23080KW33M</t>
  </si>
  <si>
    <t>23080KW33M C3</t>
  </si>
  <si>
    <t>23080KW33M C4</t>
  </si>
  <si>
    <t>23080KW33M C5</t>
  </si>
  <si>
    <t>23080W33M</t>
  </si>
  <si>
    <t>23080W33M C3</t>
  </si>
  <si>
    <t>23080W33M C4</t>
  </si>
  <si>
    <t>23080W33M C5</t>
  </si>
  <si>
    <t>23084EKW33MH NF</t>
  </si>
  <si>
    <t>23084EKW33MHC3NF</t>
  </si>
  <si>
    <t>23084EW33MH C3NF</t>
  </si>
  <si>
    <t>23084EW33MH NF</t>
  </si>
  <si>
    <t>23084KW33M</t>
  </si>
  <si>
    <t>23084KW33M C3</t>
  </si>
  <si>
    <t>23084W33M</t>
  </si>
  <si>
    <t>23084W33M C3</t>
  </si>
  <si>
    <t>23088 EWMH C3</t>
  </si>
  <si>
    <t>23088EKW33MH NF</t>
  </si>
  <si>
    <t>23088EKW33MHC3NF</t>
  </si>
  <si>
    <t>23088EW33MH C3NF</t>
  </si>
  <si>
    <t>23088EW33MH NF</t>
  </si>
  <si>
    <t>23088KW33M</t>
  </si>
  <si>
    <t>23088KW33M C2</t>
  </si>
  <si>
    <t>23088KW33M C3</t>
  </si>
  <si>
    <t>23088W33M</t>
  </si>
  <si>
    <t>23088W33M C3</t>
  </si>
  <si>
    <t>2308K</t>
  </si>
  <si>
    <t>2308K C3 NF</t>
  </si>
  <si>
    <t>2308K NF</t>
  </si>
  <si>
    <t>2309 NF</t>
  </si>
  <si>
    <t>23092KW33M</t>
  </si>
  <si>
    <t>23092KW33M C3</t>
  </si>
  <si>
    <t>23092W33M</t>
  </si>
  <si>
    <t>23092W33M C3</t>
  </si>
  <si>
    <t>23096EKW33MH NF</t>
  </si>
  <si>
    <t>23096EKW33MHC3NF</t>
  </si>
  <si>
    <t>23096EW33MH C3NF</t>
  </si>
  <si>
    <t>23096EW33MH NF</t>
  </si>
  <si>
    <t>23096KW33M</t>
  </si>
  <si>
    <t>23096KW33M C3</t>
  </si>
  <si>
    <t>23096W33M</t>
  </si>
  <si>
    <t>23096W33M C3</t>
  </si>
  <si>
    <t>2309K</t>
  </si>
  <si>
    <t>2309K C3</t>
  </si>
  <si>
    <t>2309K C3 NF</t>
  </si>
  <si>
    <t>2309K NF</t>
  </si>
  <si>
    <t>2310 C3</t>
  </si>
  <si>
    <t>23100 CW3J C3</t>
  </si>
  <si>
    <t>2310K</t>
  </si>
  <si>
    <t>2311K</t>
  </si>
  <si>
    <t>2311K C3</t>
  </si>
  <si>
    <t>2312 NF</t>
  </si>
  <si>
    <t>23120CKW33J</t>
  </si>
  <si>
    <t>23120CKW33J C3</t>
  </si>
  <si>
    <t>23120CW33J</t>
  </si>
  <si>
    <t>23120CW33J C3</t>
  </si>
  <si>
    <t>23120EKW33MH NF</t>
  </si>
  <si>
    <t>23120EKW33MHC3NF</t>
  </si>
  <si>
    <t>23120EW33MH C3NF</t>
  </si>
  <si>
    <t>23120EW33MH NF</t>
  </si>
  <si>
    <t>23122CKW33J</t>
  </si>
  <si>
    <t>23122CKW33J C2</t>
  </si>
  <si>
    <t>23122CKW33J C3</t>
  </si>
  <si>
    <t>23122CKW33J C4</t>
  </si>
  <si>
    <t>23122CKW33J C5</t>
  </si>
  <si>
    <t>23122CW33J</t>
  </si>
  <si>
    <t>23122CW33J C2</t>
  </si>
  <si>
    <t>23122CW33J C3</t>
  </si>
  <si>
    <t>23122CW33J C4</t>
  </si>
  <si>
    <t>23122CW33J C5</t>
  </si>
  <si>
    <t>23122EKW33MH NF</t>
  </si>
  <si>
    <t>23122EKW33MHC3NF</t>
  </si>
  <si>
    <t>23122EW33MH C3NF</t>
  </si>
  <si>
    <t>23122EW33MH NF</t>
  </si>
  <si>
    <t>23122KW33M</t>
  </si>
  <si>
    <t>23122KW33M C3</t>
  </si>
  <si>
    <t>23122KW33M C5</t>
  </si>
  <si>
    <t>23122W33M</t>
  </si>
  <si>
    <t>23122W33M C3</t>
  </si>
  <si>
    <t>23122W33M C4</t>
  </si>
  <si>
    <t>23124CKW33J</t>
  </si>
  <si>
    <t>23124CKW33J C3</t>
  </si>
  <si>
    <t>23124CW33J C3</t>
  </si>
  <si>
    <t>23124CW33J NF</t>
  </si>
  <si>
    <t>23124EKW33MH NF</t>
  </si>
  <si>
    <t>23124EKW33MHC3NF</t>
  </si>
  <si>
    <t>23124EW33MH NF</t>
  </si>
  <si>
    <t>23124KW33M</t>
  </si>
  <si>
    <t>23124KW33M C3</t>
  </si>
  <si>
    <t>23124KW33M C4</t>
  </si>
  <si>
    <t>23124W33M</t>
  </si>
  <si>
    <t>23124W33M C2</t>
  </si>
  <si>
    <t>23124W33M C3</t>
  </si>
  <si>
    <t>23124W33M C4</t>
  </si>
  <si>
    <t>23126CKW33J</t>
  </si>
  <si>
    <t>23126CKW33J C3</t>
  </si>
  <si>
    <t>23126CW33J</t>
  </si>
  <si>
    <t>23126CW33J C3</t>
  </si>
  <si>
    <t>23126EKW33MH NF</t>
  </si>
  <si>
    <t>23126EW33MH NF</t>
  </si>
  <si>
    <t>23126KW33M</t>
  </si>
  <si>
    <t>23126KW33M C3</t>
  </si>
  <si>
    <t>23126W33M</t>
  </si>
  <si>
    <t>23126W33M C2</t>
  </si>
  <si>
    <t>23126W33M C3</t>
  </si>
  <si>
    <t>23126W33M C4</t>
  </si>
  <si>
    <t>23128CKW33J</t>
  </si>
  <si>
    <t>23128CKW33J C3</t>
  </si>
  <si>
    <t>23128CW33J</t>
  </si>
  <si>
    <t>23128CW33J C3</t>
  </si>
  <si>
    <t>23128EKW33MH NF</t>
  </si>
  <si>
    <t>23128EKW33MHC3NF</t>
  </si>
  <si>
    <t>23128EW33MH C3NF</t>
  </si>
  <si>
    <t>23128EW33MH NF</t>
  </si>
  <si>
    <t>23128KW33M</t>
  </si>
  <si>
    <t>23128KW33M C3</t>
  </si>
  <si>
    <t>23128KW33M C4</t>
  </si>
  <si>
    <t>23128W33M</t>
  </si>
  <si>
    <t>23128W33M C2</t>
  </si>
  <si>
    <t>23128W33M C3</t>
  </si>
  <si>
    <t>23128W33M C5</t>
  </si>
  <si>
    <t>2312K C3</t>
  </si>
  <si>
    <t>23130CKW33J</t>
  </si>
  <si>
    <t>23130CKW33J C3</t>
  </si>
  <si>
    <t>23130CW33J</t>
  </si>
  <si>
    <t>23130CW33J C3</t>
  </si>
  <si>
    <t>23130KW33M</t>
  </si>
  <si>
    <t>23130KW33M C3</t>
  </si>
  <si>
    <t>23130KW33M C4</t>
  </si>
  <si>
    <t>23130W33M</t>
  </si>
  <si>
    <t>23130W33M C2</t>
  </si>
  <si>
    <t>23130W33M C3</t>
  </si>
  <si>
    <t>23132CKW33J</t>
  </si>
  <si>
    <t>23132CKW33J C3</t>
  </si>
  <si>
    <t>23132CW33J</t>
  </si>
  <si>
    <t>23132CW33J C3</t>
  </si>
  <si>
    <t>23132KW33M</t>
  </si>
  <si>
    <t>23132KW33M C3</t>
  </si>
  <si>
    <t>23132W33M</t>
  </si>
  <si>
    <t>23132W33M C2</t>
  </si>
  <si>
    <t>23132W33M C3</t>
  </si>
  <si>
    <t>23132W33M C4</t>
  </si>
  <si>
    <t>23134CKW33J</t>
  </si>
  <si>
    <t>23134CKW33J C3</t>
  </si>
  <si>
    <t>23134CW33J</t>
  </si>
  <si>
    <t>23134CW33J C3</t>
  </si>
  <si>
    <t>23134KW33M</t>
  </si>
  <si>
    <t>23134KW33M C3</t>
  </si>
  <si>
    <t>23134W33M</t>
  </si>
  <si>
    <t>23134W33M C2</t>
  </si>
  <si>
    <t>23136CKW33J</t>
  </si>
  <si>
    <t>23136CKW33J C3</t>
  </si>
  <si>
    <t>23136CW33J</t>
  </si>
  <si>
    <t>23136CW33J C3</t>
  </si>
  <si>
    <t>23136KW33M</t>
  </si>
  <si>
    <t>23136KW33M C3</t>
  </si>
  <si>
    <t>23136W33M</t>
  </si>
  <si>
    <t>23136W33M C3</t>
  </si>
  <si>
    <t>23136W33M C4</t>
  </si>
  <si>
    <t>23138CKW33J</t>
  </si>
  <si>
    <t>23138CKW33J C3</t>
  </si>
  <si>
    <t>23138CW33J</t>
  </si>
  <si>
    <t>23138CW33J C3</t>
  </si>
  <si>
    <t>23138KW33M</t>
  </si>
  <si>
    <t>23138KW33M C2</t>
  </si>
  <si>
    <t>23138KW33M C3</t>
  </si>
  <si>
    <t>23138KW33M C4</t>
  </si>
  <si>
    <t>23138W33M</t>
  </si>
  <si>
    <t>23138W33M C2</t>
  </si>
  <si>
    <t>23138W33M C3</t>
  </si>
  <si>
    <t>2314 C3 NF</t>
  </si>
  <si>
    <t>2314 NF</t>
  </si>
  <si>
    <t>23140 EKW33MH C3</t>
  </si>
  <si>
    <t>23140CKW33J</t>
  </si>
  <si>
    <t>23140CKW33J C3</t>
  </si>
  <si>
    <t>23140CW33J</t>
  </si>
  <si>
    <t>23140CW33J C3</t>
  </si>
  <si>
    <t>23140EKW33MH NF</t>
  </si>
  <si>
    <t>23140EKW33MHC4NF</t>
  </si>
  <si>
    <t>23140EW33MH NF</t>
  </si>
  <si>
    <t>23140KW33M</t>
  </si>
  <si>
    <t>23140KW33M (SNR)</t>
  </si>
  <si>
    <t>23140KW33M C3</t>
  </si>
  <si>
    <t>23140KW33M C4</t>
  </si>
  <si>
    <t>23140KW33M C5</t>
  </si>
  <si>
    <t>23140W33M</t>
  </si>
  <si>
    <t>23140W33M C2</t>
  </si>
  <si>
    <t>23140W33M C3</t>
  </si>
  <si>
    <t>23140W33M C4</t>
  </si>
  <si>
    <t>23140W33M C5</t>
  </si>
  <si>
    <t>23144 K W33 MC3</t>
  </si>
  <si>
    <t>23144CKW33J</t>
  </si>
  <si>
    <t>23144CKW33J C3</t>
  </si>
  <si>
    <t>23144CW33J C3</t>
  </si>
  <si>
    <t>23144CW33J NF</t>
  </si>
  <si>
    <t>23144EKW33MH NF</t>
  </si>
  <si>
    <t>23144EKW33MHC3NF</t>
  </si>
  <si>
    <t>23144EW33MH C3NF</t>
  </si>
  <si>
    <t>23144EW33MH NF</t>
  </si>
  <si>
    <t>23144KW33M</t>
  </si>
  <si>
    <t>23144KW33M C3</t>
  </si>
  <si>
    <t>23144KW33M C4</t>
  </si>
  <si>
    <t>23144W33M</t>
  </si>
  <si>
    <t>23144W33M C3</t>
  </si>
  <si>
    <t>23148CKW33J</t>
  </si>
  <si>
    <t>23148CKW33J C3</t>
  </si>
  <si>
    <t>23148CW33J</t>
  </si>
  <si>
    <t>23148CW33J C3</t>
  </si>
  <si>
    <t>23148EKW33MH NF</t>
  </si>
  <si>
    <t>23148EW33MH NF</t>
  </si>
  <si>
    <t>23148KW33M</t>
  </si>
  <si>
    <t>23148KW33M C2</t>
  </si>
  <si>
    <t>23148KW33M C3</t>
  </si>
  <si>
    <t>23148KW33M C4</t>
  </si>
  <si>
    <t>23148KW33M C4S2</t>
  </si>
  <si>
    <t>23148KW33M C5</t>
  </si>
  <si>
    <t>23148W33M</t>
  </si>
  <si>
    <t>23148W33M C2</t>
  </si>
  <si>
    <t>2314K C3 NF</t>
  </si>
  <si>
    <t>2314K NF</t>
  </si>
  <si>
    <t>2315 C3 NF</t>
  </si>
  <si>
    <t>23152CKW33J</t>
  </si>
  <si>
    <t>23152CKW33J C3</t>
  </si>
  <si>
    <t>23152CKW33M</t>
  </si>
  <si>
    <t>23152CKW33M C2</t>
  </si>
  <si>
    <t>23152CKW33M C3</t>
  </si>
  <si>
    <t>23152CKW33M C4</t>
  </si>
  <si>
    <t>23152CW33J</t>
  </si>
  <si>
    <t>23152CW33J C3</t>
  </si>
  <si>
    <t>23152CW33M</t>
  </si>
  <si>
    <t>23152CW33M C3</t>
  </si>
  <si>
    <t>23152CW33M C4</t>
  </si>
  <si>
    <t>23152EKW33MH NF</t>
  </si>
  <si>
    <t>23152EKW33MHC3NF</t>
  </si>
  <si>
    <t>23152EW33MH C3NF</t>
  </si>
  <si>
    <t>23152EW33MH NF</t>
  </si>
  <si>
    <t>23156CKW33J</t>
  </si>
  <si>
    <t>23156CKW33J C3</t>
  </si>
  <si>
    <t>23156CW33J</t>
  </si>
  <si>
    <t>23156CW33J C3</t>
  </si>
  <si>
    <t>23156EKW33MH</t>
  </si>
  <si>
    <t>23156EKW33MH NF</t>
  </si>
  <si>
    <t>23156EKW33MHC3NF</t>
  </si>
  <si>
    <t>23156EW33MH</t>
  </si>
  <si>
    <t>23156EW33MH C3</t>
  </si>
  <si>
    <t>23156EW33MH C3NF</t>
  </si>
  <si>
    <t>23156EW33MH NF</t>
  </si>
  <si>
    <t>23156KW33M</t>
  </si>
  <si>
    <t>23156KW33M C2</t>
  </si>
  <si>
    <t>23156KW33M C3</t>
  </si>
  <si>
    <t>23156KW33M C4</t>
  </si>
  <si>
    <t>23156W33M</t>
  </si>
  <si>
    <t>23156W33M C3</t>
  </si>
  <si>
    <t>2315K C3 NF</t>
  </si>
  <si>
    <t>2315K NF</t>
  </si>
  <si>
    <t>23160CKW33J</t>
  </si>
  <si>
    <t>23160CKW33J C3</t>
  </si>
  <si>
    <t>23160CW33J</t>
  </si>
  <si>
    <t>23160CW33J C3</t>
  </si>
  <si>
    <t>23160EKW33MH NF</t>
  </si>
  <si>
    <t>23160EKW33MHC3NF</t>
  </si>
  <si>
    <t>23160EW33MH C3NF</t>
  </si>
  <si>
    <t>23160EW33MH NF</t>
  </si>
  <si>
    <t>23164CKW33J</t>
  </si>
  <si>
    <t>23164CKW33J C3</t>
  </si>
  <si>
    <t>23164CW33J</t>
  </si>
  <si>
    <t>23164CW33J C3</t>
  </si>
  <si>
    <t>23164EKW33MH</t>
  </si>
  <si>
    <t>23164EKW33MH C3</t>
  </si>
  <si>
    <t>23164EKW33MH NF</t>
  </si>
  <si>
    <t>23164EKW33MHC3NF</t>
  </si>
  <si>
    <t>23164EW33MH C3</t>
  </si>
  <si>
    <t>23164EW33MH C3NF</t>
  </si>
  <si>
    <t>23164EW33MH NF</t>
  </si>
  <si>
    <t>23164KW33M</t>
  </si>
  <si>
    <t>23164KW33M C3</t>
  </si>
  <si>
    <t>23164KW33M C4</t>
  </si>
  <si>
    <t>23164W33M</t>
  </si>
  <si>
    <t>23164W33M C3</t>
  </si>
  <si>
    <t>23168CKW33J</t>
  </si>
  <si>
    <t>23168CKW33J C3</t>
  </si>
  <si>
    <t>23168CW33J</t>
  </si>
  <si>
    <t>23168CW33J C3</t>
  </si>
  <si>
    <t>23168EKW33MH</t>
  </si>
  <si>
    <t>23168EKW33MH C3</t>
  </si>
  <si>
    <t>23168EKW33MH NF</t>
  </si>
  <si>
    <t>23168EKW33MHC3NF</t>
  </si>
  <si>
    <t>23168EW33MH</t>
  </si>
  <si>
    <t>23168EW33MH C3</t>
  </si>
  <si>
    <t>23168EW33MH C3NF</t>
  </si>
  <si>
    <t>23168KW33M</t>
  </si>
  <si>
    <t>23168KW33M C2</t>
  </si>
  <si>
    <t>23168KW33M C3</t>
  </si>
  <si>
    <t>23168W33M</t>
  </si>
  <si>
    <t>23168W33M C3</t>
  </si>
  <si>
    <t>2317 C3 NF</t>
  </si>
  <si>
    <t>2317 NF</t>
  </si>
  <si>
    <t>23172EKW33MH NF</t>
  </si>
  <si>
    <t>23172EKW33MHC3NF</t>
  </si>
  <si>
    <t>23172EW33MH C3NF</t>
  </si>
  <si>
    <t>23172EW33MH NF</t>
  </si>
  <si>
    <t>23172KW33M</t>
  </si>
  <si>
    <t>23172KW33M C2</t>
  </si>
  <si>
    <t>23172KW33M C3</t>
  </si>
  <si>
    <t>23172KW33M C4</t>
  </si>
  <si>
    <t>23172W33M</t>
  </si>
  <si>
    <t>23172W33M C3</t>
  </si>
  <si>
    <t>23176EKW33MH NF</t>
  </si>
  <si>
    <t>23176EKW33MHC3NF</t>
  </si>
  <si>
    <t>23176EW33MH C3NF</t>
  </si>
  <si>
    <t>23176EW33MH NF</t>
  </si>
  <si>
    <t>23176KW33M</t>
  </si>
  <si>
    <t>23176KW33M C2</t>
  </si>
  <si>
    <t>23176KW33M C3</t>
  </si>
  <si>
    <t>23176KW33M C4</t>
  </si>
  <si>
    <t>23176W33M</t>
  </si>
  <si>
    <t>23176W33M C3</t>
  </si>
  <si>
    <t>23176W33M C4</t>
  </si>
  <si>
    <t>2317K</t>
  </si>
  <si>
    <t>2317K C3 NF</t>
  </si>
  <si>
    <t>2317K NF</t>
  </si>
  <si>
    <t>2318 C3 NF</t>
  </si>
  <si>
    <t>2318 NF</t>
  </si>
  <si>
    <t>23180EKW33MH NF</t>
  </si>
  <si>
    <t>23180EKW33MHC3NF</t>
  </si>
  <si>
    <t>23180EW33MH C3NF</t>
  </si>
  <si>
    <t>23180EW33MH NF</t>
  </si>
  <si>
    <t>23184CKW33M</t>
  </si>
  <si>
    <t>23184CKW33M C3</t>
  </si>
  <si>
    <t>23184CW33M</t>
  </si>
  <si>
    <t>23184CW33M C3</t>
  </si>
  <si>
    <t>23184EKW33MH NF</t>
  </si>
  <si>
    <t>23184EKW33MHC3NF</t>
  </si>
  <si>
    <t>23184EW33MH C3NF</t>
  </si>
  <si>
    <t>23184EW33MH NF</t>
  </si>
  <si>
    <t>23188EKW33MH NF</t>
  </si>
  <si>
    <t>23188EKW33MHC3NF</t>
  </si>
  <si>
    <t>23188EW33MH C3NF</t>
  </si>
  <si>
    <t>23188EW33MH NF</t>
  </si>
  <si>
    <t>23188KW33M</t>
  </si>
  <si>
    <t>23188KW33M C3</t>
  </si>
  <si>
    <t>23188W33M</t>
  </si>
  <si>
    <t>23188W33M C3</t>
  </si>
  <si>
    <t>2318K C3 NF</t>
  </si>
  <si>
    <t>2318K NF</t>
  </si>
  <si>
    <t>23192EKW33MH NF</t>
  </si>
  <si>
    <t>23192EKW33MHC3NF</t>
  </si>
  <si>
    <t>23192EW33MH C3NF</t>
  </si>
  <si>
    <t>23192EW33MH NF</t>
  </si>
  <si>
    <t>23192KW33M</t>
  </si>
  <si>
    <t>23192KW33M C3</t>
  </si>
  <si>
    <t>23192W33M</t>
  </si>
  <si>
    <t>23192W33M C3</t>
  </si>
  <si>
    <t>23196EKW33MH NF</t>
  </si>
  <si>
    <t>23196EKW33MHC3NF</t>
  </si>
  <si>
    <t>23196EW33MH C3NF</t>
  </si>
  <si>
    <t>23196EW33MH NF</t>
  </si>
  <si>
    <t>23196KW33M C3</t>
  </si>
  <si>
    <t>23196W33M</t>
  </si>
  <si>
    <t>23196W33M C3</t>
  </si>
  <si>
    <t>23218CKW33J</t>
  </si>
  <si>
    <t>23218CKW33J C2</t>
  </si>
  <si>
    <t>23218CKW33J C3</t>
  </si>
  <si>
    <t>23218CKW33J C4</t>
  </si>
  <si>
    <t>23218CKW33J C5</t>
  </si>
  <si>
    <t>23218CW33J</t>
  </si>
  <si>
    <t>23218CW33J C2</t>
  </si>
  <si>
    <t>23218CW33J C3</t>
  </si>
  <si>
    <t>23218CW33J C4</t>
  </si>
  <si>
    <t>23218CW33J C5</t>
  </si>
  <si>
    <t>23218EKW33MH</t>
  </si>
  <si>
    <t>23218EW33MH</t>
  </si>
  <si>
    <t>23218KW33M</t>
  </si>
  <si>
    <t>23218KW33M C3</t>
  </si>
  <si>
    <t>23218KW33M C4</t>
  </si>
  <si>
    <t>23218W33M</t>
  </si>
  <si>
    <t>23218W33M C3</t>
  </si>
  <si>
    <t>23218W33M C4</t>
  </si>
  <si>
    <t>23220CKW33J</t>
  </si>
  <si>
    <t>23220CKW33J C2</t>
  </si>
  <si>
    <t>23220CKW33J C3</t>
  </si>
  <si>
    <t>23220CKW33J C4</t>
  </si>
  <si>
    <t>23220CKW33J C5</t>
  </si>
  <si>
    <t>23220CW33J</t>
  </si>
  <si>
    <t>23220CW33J C2</t>
  </si>
  <si>
    <t>23220CW33J C3</t>
  </si>
  <si>
    <t>23220CW33J C4</t>
  </si>
  <si>
    <t>23220CW33J C5</t>
  </si>
  <si>
    <t>23220EKW33MH NF</t>
  </si>
  <si>
    <t>23220EKW33MHC3NF</t>
  </si>
  <si>
    <t>23220EW33MH C3NF</t>
  </si>
  <si>
    <t>23220EW33MH NF</t>
  </si>
  <si>
    <t>23220KW33M</t>
  </si>
  <si>
    <t>23220KW33M C3</t>
  </si>
  <si>
    <t>23220W33M</t>
  </si>
  <si>
    <t>23220W33M (NKE)</t>
  </si>
  <si>
    <t>23220W33M C2</t>
  </si>
  <si>
    <t>23220W33M C3</t>
  </si>
  <si>
    <t>23220W33M C4</t>
  </si>
  <si>
    <t>23220W33M C5</t>
  </si>
  <si>
    <t>23222CKW33J</t>
  </si>
  <si>
    <t>23222CKW33J C2</t>
  </si>
  <si>
    <t>23222CKW33J C3</t>
  </si>
  <si>
    <t>23222CKW33J C4</t>
  </si>
  <si>
    <t>23222CKW33J C5</t>
  </si>
  <si>
    <t>23222CW33J</t>
  </si>
  <si>
    <t>23222CW33J C2</t>
  </si>
  <si>
    <t>23222CW33J C3</t>
  </si>
  <si>
    <t>23222CW33J C4</t>
  </si>
  <si>
    <t>23222CW33J C5</t>
  </si>
  <si>
    <t>23222EKW33MH</t>
  </si>
  <si>
    <t>23222EW33MH</t>
  </si>
  <si>
    <t>23222KW33M</t>
  </si>
  <si>
    <t>23222KW33M C2</t>
  </si>
  <si>
    <t>23222KW33M C3</t>
  </si>
  <si>
    <t>23222KW33M C4</t>
  </si>
  <si>
    <t>23222W33M</t>
  </si>
  <si>
    <t>23222W33M C2</t>
  </si>
  <si>
    <t>23222W33M C3</t>
  </si>
  <si>
    <t>23222W33M C4</t>
  </si>
  <si>
    <t>23222W33M S4</t>
  </si>
  <si>
    <t>23224CKW33J</t>
  </si>
  <si>
    <t>23224CKW33J C2</t>
  </si>
  <si>
    <t>23224CKW33J C3</t>
  </si>
  <si>
    <t>23224CKW33J C4</t>
  </si>
  <si>
    <t>23224CKW33J C5</t>
  </si>
  <si>
    <t>23224CW33J</t>
  </si>
  <si>
    <t>23224CW33J C2</t>
  </si>
  <si>
    <t>23224CW33J C3</t>
  </si>
  <si>
    <t>23224CW33J C4</t>
  </si>
  <si>
    <t>23224CW33J C5</t>
  </si>
  <si>
    <t>23224EKW33MH NF</t>
  </si>
  <si>
    <t>23224EW33MH C4NF</t>
  </si>
  <si>
    <t>23224EW33MH NF</t>
  </si>
  <si>
    <t>23224KW33M</t>
  </si>
  <si>
    <t>23224KW33M C3</t>
  </si>
  <si>
    <t>23224W33M</t>
  </si>
  <si>
    <t>23224W33M C3</t>
  </si>
  <si>
    <t>23224W33M C4</t>
  </si>
  <si>
    <t>23224W33M C5</t>
  </si>
  <si>
    <t>23226CKW33J</t>
  </si>
  <si>
    <t>23226CKW33J C2</t>
  </si>
  <si>
    <t>23226CKW33J C3</t>
  </si>
  <si>
    <t>23226CKW33J C4</t>
  </si>
  <si>
    <t>23226CKW33J C5</t>
  </si>
  <si>
    <t>23226CW33J</t>
  </si>
  <si>
    <t>23226CW33J C2</t>
  </si>
  <si>
    <t>23226CW33J C3</t>
  </si>
  <si>
    <t>23226CW33J C4</t>
  </si>
  <si>
    <t>23226CW33J C5</t>
  </si>
  <si>
    <t>23226CW33M</t>
  </si>
  <si>
    <t>23226CW33M C4</t>
  </si>
  <si>
    <t>23226EKW33MH NF</t>
  </si>
  <si>
    <t>23226EKW33MHC3NF</t>
  </si>
  <si>
    <t>23226EW33MH C3NF</t>
  </si>
  <si>
    <t>23226EW33MH NF</t>
  </si>
  <si>
    <t>23226KW33M</t>
  </si>
  <si>
    <t>23226KW33M C3</t>
  </si>
  <si>
    <t>23226W33M</t>
  </si>
  <si>
    <t>23226W33M C2</t>
  </si>
  <si>
    <t>23226W33M C3</t>
  </si>
  <si>
    <t>23226W33M C4</t>
  </si>
  <si>
    <t>23226W33M C5</t>
  </si>
  <si>
    <t>23228CKW33J</t>
  </si>
  <si>
    <t>23228CKW33J C3</t>
  </si>
  <si>
    <t>23228CW33J</t>
  </si>
  <si>
    <t>23228CW33J C2</t>
  </si>
  <si>
    <t>23228CW33J C3</t>
  </si>
  <si>
    <t>23228EKW33MH</t>
  </si>
  <si>
    <t>23228EW33MH NF</t>
  </si>
  <si>
    <t>23228KW33M</t>
  </si>
  <si>
    <t>23228KW33M C3</t>
  </si>
  <si>
    <t>23228W33M</t>
  </si>
  <si>
    <t>23228W33M C3</t>
  </si>
  <si>
    <t>23228W33M C4</t>
  </si>
  <si>
    <t>23230CKW33J</t>
  </si>
  <si>
    <t>23230CKW33J C3</t>
  </si>
  <si>
    <t>23230CW33J</t>
  </si>
  <si>
    <t>23230CW33J C3</t>
  </si>
  <si>
    <t>23230EKW33MH NF</t>
  </si>
  <si>
    <t>23230EKW33MHC3NF</t>
  </si>
  <si>
    <t>23230EW33MH C3NF</t>
  </si>
  <si>
    <t>23230EW33MH NF</t>
  </si>
  <si>
    <t>23230KW33M</t>
  </si>
  <si>
    <t>23230KW33M C3</t>
  </si>
  <si>
    <t>23230W33M</t>
  </si>
  <si>
    <t>23230W33M C3</t>
  </si>
  <si>
    <t>23230W33M C4</t>
  </si>
  <si>
    <t>23232CKW33J</t>
  </si>
  <si>
    <t>23232CKW33J C3</t>
  </si>
  <si>
    <t>23232CKW33M</t>
  </si>
  <si>
    <t>23232CKW33M C2</t>
  </si>
  <si>
    <t>23232CKW33M C3</t>
  </si>
  <si>
    <t>23232CW33J</t>
  </si>
  <si>
    <t>23232CW33J C2</t>
  </si>
  <si>
    <t>23232CW33J C4</t>
  </si>
  <si>
    <t>23232CW33J C5</t>
  </si>
  <si>
    <t>23232CW33M</t>
  </si>
  <si>
    <t>23232CW33M C2</t>
  </si>
  <si>
    <t>23232CW33M C3</t>
  </si>
  <si>
    <t>23234CKW33J</t>
  </si>
  <si>
    <t>23234CKW33J C3</t>
  </si>
  <si>
    <t>23234CKW33M</t>
  </si>
  <si>
    <t>23234CKW33M C3</t>
  </si>
  <si>
    <t>23234CW33J</t>
  </si>
  <si>
    <t>23234CW33J C3</t>
  </si>
  <si>
    <t>23234CW33M</t>
  </si>
  <si>
    <t>23234CW33M C3</t>
  </si>
  <si>
    <t>23234CW33M C4</t>
  </si>
  <si>
    <t>23236 KC3</t>
  </si>
  <si>
    <t>23236 KC3W33</t>
  </si>
  <si>
    <t>23236 M W33 C3</t>
  </si>
  <si>
    <t>23236CKW33J</t>
  </si>
  <si>
    <t>23236CKW33J C3</t>
  </si>
  <si>
    <t>23236CKW33M</t>
  </si>
  <si>
    <t>23236CKW33M C3</t>
  </si>
  <si>
    <t>23236CW33J</t>
  </si>
  <si>
    <t>23236CW33J C3</t>
  </si>
  <si>
    <t>23236CW33M</t>
  </si>
  <si>
    <t>23236CW33M C3</t>
  </si>
  <si>
    <t>23236CW33M C4</t>
  </si>
  <si>
    <t>23236KC3 W33M</t>
  </si>
  <si>
    <t>23238 EW33MH C3</t>
  </si>
  <si>
    <t>23238CKW33J</t>
  </si>
  <si>
    <t>23238CKW33J C3</t>
  </si>
  <si>
    <t>23238CKW33M</t>
  </si>
  <si>
    <t>23238CKW33M C2</t>
  </si>
  <si>
    <t>23238CKW33M C3</t>
  </si>
  <si>
    <t>23238CW33J</t>
  </si>
  <si>
    <t>23238CW33J C3</t>
  </si>
  <si>
    <t>23238CW33M</t>
  </si>
  <si>
    <t>23238CW33M C3</t>
  </si>
  <si>
    <t>23238EKW33MH NF</t>
  </si>
  <si>
    <t>23238EKW33MHC3NF</t>
  </si>
  <si>
    <t>23238EW33MH C3NF</t>
  </si>
  <si>
    <t>23238EW33MH NF</t>
  </si>
  <si>
    <t>23240CKW33J</t>
  </si>
  <si>
    <t>23240CKW33J C3</t>
  </si>
  <si>
    <t>23240CKW33M</t>
  </si>
  <si>
    <t>23240CKW33M C3</t>
  </si>
  <si>
    <t>23240CW33J</t>
  </si>
  <si>
    <t>23240CW33J C3</t>
  </si>
  <si>
    <t>23240CW33M</t>
  </si>
  <si>
    <t>23240CW33M C3</t>
  </si>
  <si>
    <t>23240CW33M C4</t>
  </si>
  <si>
    <t>23240EKW33MH NF</t>
  </si>
  <si>
    <t>23240EKW33MHC3NF</t>
  </si>
  <si>
    <t>23240EW33MH C3NF</t>
  </si>
  <si>
    <t>23240EW33MH NF</t>
  </si>
  <si>
    <t>23244CKW33J</t>
  </si>
  <si>
    <t>23244CKW33J C3</t>
  </si>
  <si>
    <t>23244CKW33M</t>
  </si>
  <si>
    <t>23244CKW33M C3</t>
  </si>
  <si>
    <t>23244CKW33M C4</t>
  </si>
  <si>
    <t>23244CW33J</t>
  </si>
  <si>
    <t>23244CW33J C3</t>
  </si>
  <si>
    <t>23244CW33M</t>
  </si>
  <si>
    <t>23244CW33M C3</t>
  </si>
  <si>
    <t>23244CW33M C4</t>
  </si>
  <si>
    <t>23244EKW33MH NF</t>
  </si>
  <si>
    <t>23244EKW33MHC3NF</t>
  </si>
  <si>
    <t>23244EW33MH C3NF</t>
  </si>
  <si>
    <t>23244EW33MH NF</t>
  </si>
  <si>
    <t>23248KW33M</t>
  </si>
  <si>
    <t>23248KW33M C3</t>
  </si>
  <si>
    <t>23248KW33M C4</t>
  </si>
  <si>
    <t>23248W33M</t>
  </si>
  <si>
    <t>23248W33M C3</t>
  </si>
  <si>
    <t>23252KW33M</t>
  </si>
  <si>
    <t>23252KW33M C3</t>
  </si>
  <si>
    <t>23252W33M</t>
  </si>
  <si>
    <t>23252W33M C2</t>
  </si>
  <si>
    <t>23252W33M C3</t>
  </si>
  <si>
    <t>23256KW33M</t>
  </si>
  <si>
    <t>23256KW33M C2</t>
  </si>
  <si>
    <t>23256KW33M C3</t>
  </si>
  <si>
    <t>23256W33M</t>
  </si>
  <si>
    <t>23256W33M C3</t>
  </si>
  <si>
    <t>23260KW33M</t>
  </si>
  <si>
    <t>23260KW33M C3</t>
  </si>
  <si>
    <t>23260W33M</t>
  </si>
  <si>
    <t>23260W33M C3</t>
  </si>
  <si>
    <t>23264EKW33MH NF</t>
  </si>
  <si>
    <t>23264EKW33MHC3NF</t>
  </si>
  <si>
    <t>23264EW33MH C3NF</t>
  </si>
  <si>
    <t>23264EW33MH NF</t>
  </si>
  <si>
    <t>23264KW33M</t>
  </si>
  <si>
    <t>23264KW33M C3</t>
  </si>
  <si>
    <t>23264KW33M C4</t>
  </si>
  <si>
    <t>23264W33M</t>
  </si>
  <si>
    <t>23264W33M C2</t>
  </si>
  <si>
    <t>23264W33M C3</t>
  </si>
  <si>
    <t>23268KW33M</t>
  </si>
  <si>
    <t>23268KW33M C3</t>
  </si>
  <si>
    <t>23268W33M</t>
  </si>
  <si>
    <t>23268W33M C3</t>
  </si>
  <si>
    <t>23272CKW33M</t>
  </si>
  <si>
    <t>23272CKW33M C3</t>
  </si>
  <si>
    <t>23272CW33M</t>
  </si>
  <si>
    <t>23272CW33M C3</t>
  </si>
  <si>
    <t>23276KW33M</t>
  </si>
  <si>
    <t>23276KW33M C3</t>
  </si>
  <si>
    <t>23276W33M</t>
  </si>
  <si>
    <t>23276W33M C3</t>
  </si>
  <si>
    <t>23280EKW33MH NF</t>
  </si>
  <si>
    <t>23280EKW33MHC3NF</t>
  </si>
  <si>
    <t>23280EW33MH C3NF</t>
  </si>
  <si>
    <t>23280EW33MH NF</t>
  </si>
  <si>
    <t>23280KW33M</t>
  </si>
  <si>
    <t>23280KW33M C3</t>
  </si>
  <si>
    <t>23280KW33M C5</t>
  </si>
  <si>
    <t>23280W33M</t>
  </si>
  <si>
    <t>23280W33M (NKE)</t>
  </si>
  <si>
    <t>23280W33M C3</t>
  </si>
  <si>
    <t>23284CKW33M</t>
  </si>
  <si>
    <t>23284CKW33M C3</t>
  </si>
  <si>
    <t>23284CW33M</t>
  </si>
  <si>
    <t>23284CW33M C3</t>
  </si>
  <si>
    <t>23288KW33M C3</t>
  </si>
  <si>
    <t>23288W33M</t>
  </si>
  <si>
    <t>23288W33M C3</t>
  </si>
  <si>
    <t>23320 EKW33MH C3</t>
  </si>
  <si>
    <t>23326 EW33J C3</t>
  </si>
  <si>
    <t>23334 CKW33J C3</t>
  </si>
  <si>
    <t>23456 CW33J C3</t>
  </si>
  <si>
    <t>23936CKW33J</t>
  </si>
  <si>
    <t>23936CKW33J C3</t>
  </si>
  <si>
    <t>23936CW33J</t>
  </si>
  <si>
    <t>23936CW33J C3</t>
  </si>
  <si>
    <t>23936EKW33MH NF</t>
  </si>
  <si>
    <t>23936EW33MH NF</t>
  </si>
  <si>
    <t>23938EKW33MH NF</t>
  </si>
  <si>
    <t>23938EW33MH NF</t>
  </si>
  <si>
    <t>23940EKW33MH NF</t>
  </si>
  <si>
    <t>23940EW33MH NF</t>
  </si>
  <si>
    <t>23944CW33J</t>
  </si>
  <si>
    <t>23944CW33J C3</t>
  </si>
  <si>
    <t>23944EKW33MH</t>
  </si>
  <si>
    <t>23944EKW33MH C3</t>
  </si>
  <si>
    <t>23944EKW33MH NF</t>
  </si>
  <si>
    <t>23944EKW33MHC3NF</t>
  </si>
  <si>
    <t>23944EW33MH</t>
  </si>
  <si>
    <t>23944EW33MH C3</t>
  </si>
  <si>
    <t>23944EW33MH C3NF</t>
  </si>
  <si>
    <t>23944EW33MH NF</t>
  </si>
  <si>
    <t>23948EKW33MH NF</t>
  </si>
  <si>
    <t>23948EW33MH NF</t>
  </si>
  <si>
    <t>23952CW33J</t>
  </si>
  <si>
    <t>23952CW33J C3</t>
  </si>
  <si>
    <t>23952EKW33MH</t>
  </si>
  <si>
    <t>23952EKW33MH C3</t>
  </si>
  <si>
    <t>23952EW33MH</t>
  </si>
  <si>
    <t>23952EW33MH C3</t>
  </si>
  <si>
    <t>23956EKW33MH NF</t>
  </si>
  <si>
    <t>23956EW33MH NF</t>
  </si>
  <si>
    <t>23960EKW33MH</t>
  </si>
  <si>
    <t>23960EKW33MH C3</t>
  </si>
  <si>
    <t>23960EKW33MH NF</t>
  </si>
  <si>
    <t>23960EKW33MHC3NF</t>
  </si>
  <si>
    <t>23960EW33MH C3NF</t>
  </si>
  <si>
    <t>23960EW33MH NF</t>
  </si>
  <si>
    <t>23964EKW33MH NF</t>
  </si>
  <si>
    <t>23964EW33MH NF</t>
  </si>
  <si>
    <t>23968EKW33MH NF</t>
  </si>
  <si>
    <t>23968EKW33MHC3NF</t>
  </si>
  <si>
    <t>23968EW33MH</t>
  </si>
  <si>
    <t>23968EW33MH C3NF</t>
  </si>
  <si>
    <t>23968EW33MH NF</t>
  </si>
  <si>
    <t>23972EKW33MH NF</t>
  </si>
  <si>
    <t>23972EKW33MHC3NF</t>
  </si>
  <si>
    <t>23972EW33MH C3NF</t>
  </si>
  <si>
    <t>23972EW33MH NF</t>
  </si>
  <si>
    <t>23980EKW33MH</t>
  </si>
  <si>
    <t>23980EKW33MH NF</t>
  </si>
  <si>
    <t>23980EKW33MHC3NF</t>
  </si>
  <si>
    <t>23980EW33MH</t>
  </si>
  <si>
    <t>23980EW33MH C3NF</t>
  </si>
  <si>
    <t>23980EW33MH NF</t>
  </si>
  <si>
    <t>23996EKW33MH NF</t>
  </si>
  <si>
    <t>23996EKW33MHC3NF</t>
  </si>
  <si>
    <t>23996EW33MH C3NF</t>
  </si>
  <si>
    <t>23996EW33MH NF</t>
  </si>
  <si>
    <t>24020CK30W33J</t>
  </si>
  <si>
    <t>24020CW33J</t>
  </si>
  <si>
    <t>24020CW33J C3</t>
  </si>
  <si>
    <t>24022CK30W33J</t>
  </si>
  <si>
    <t>24022CK30W33J C2</t>
  </si>
  <si>
    <t>24022CK30W33J C3</t>
  </si>
  <si>
    <t>24022CK30W33J C4</t>
  </si>
  <si>
    <t>24022CK30W33J C5</t>
  </si>
  <si>
    <t>24022CW33J</t>
  </si>
  <si>
    <t>24022CW33J C2</t>
  </si>
  <si>
    <t>24022CW33J C3</t>
  </si>
  <si>
    <t>24022CW33J C4</t>
  </si>
  <si>
    <t>24022CW33J C5</t>
  </si>
  <si>
    <t>24022EK30W33MHC3</t>
  </si>
  <si>
    <t>24024 W33J C4</t>
  </si>
  <si>
    <t>24024CK30W33J</t>
  </si>
  <si>
    <t>24024CK30W33J C2</t>
  </si>
  <si>
    <t>24024CK30W33J C3</t>
  </si>
  <si>
    <t>24024CK30W33J C4</t>
  </si>
  <si>
    <t>24024CK30W33J C5</t>
  </si>
  <si>
    <t>24024CW33J</t>
  </si>
  <si>
    <t>24024CW33J C2</t>
  </si>
  <si>
    <t>24024CW33J C3</t>
  </si>
  <si>
    <t>24024CW33J C4</t>
  </si>
  <si>
    <t>24024CW33J C5</t>
  </si>
  <si>
    <t>24026CK30W33J</t>
  </si>
  <si>
    <t>24026CK30W33J C2</t>
  </si>
  <si>
    <t>24026CK30W33J C3</t>
  </si>
  <si>
    <t>24026CK30W33J C4</t>
  </si>
  <si>
    <t>24026CK30W33J C5</t>
  </si>
  <si>
    <t>24026CW33J</t>
  </si>
  <si>
    <t>24026CW33J C2</t>
  </si>
  <si>
    <t>24026CW33J C3</t>
  </si>
  <si>
    <t>24026CW33J C4</t>
  </si>
  <si>
    <t>24026CW33J C5</t>
  </si>
  <si>
    <t>24028CK30W33J</t>
  </si>
  <si>
    <t>24028CK30W33J C2</t>
  </si>
  <si>
    <t>24028CK30W33J C3</t>
  </si>
  <si>
    <t>24028CK30W33J C4</t>
  </si>
  <si>
    <t>24028CK30W33J C5</t>
  </si>
  <si>
    <t>24028CW33J</t>
  </si>
  <si>
    <t>24028CW33J (NKE)</t>
  </si>
  <si>
    <t>24028CW33J C2</t>
  </si>
  <si>
    <t>24028CW33J C3</t>
  </si>
  <si>
    <t>24028CW33J C4</t>
  </si>
  <si>
    <t>24028CW33J C5</t>
  </si>
  <si>
    <t>24030CK30W33J</t>
  </si>
  <si>
    <t>24030CK30W33J C2</t>
  </si>
  <si>
    <t>24030CK30W33J C3</t>
  </si>
  <si>
    <t>24030CK30W33J C4</t>
  </si>
  <si>
    <t>24030CK30W33J C5</t>
  </si>
  <si>
    <t>24030CW33J</t>
  </si>
  <si>
    <t>24030CW33J C2</t>
  </si>
  <si>
    <t>24030CW33J C3</t>
  </si>
  <si>
    <t>24030CW33J C4</t>
  </si>
  <si>
    <t>24030CW33J C5</t>
  </si>
  <si>
    <t>24032CK30W33J</t>
  </si>
  <si>
    <t>24032CK30W33J C2</t>
  </si>
  <si>
    <t>24032CK30W33J C3</t>
  </si>
  <si>
    <t>24032CK30W33J C4</t>
  </si>
  <si>
    <t>24032CK30W33J C5</t>
  </si>
  <si>
    <t>24032CW33J</t>
  </si>
  <si>
    <t>24032CW33J (NKE)</t>
  </si>
  <si>
    <t>24032CW33J C2</t>
  </si>
  <si>
    <t>24032CW33J C3</t>
  </si>
  <si>
    <t>24032CW33J C4</t>
  </si>
  <si>
    <t>24032CW33J C5</t>
  </si>
  <si>
    <t>24034CK30W33J</t>
  </si>
  <si>
    <t>24034CK30W33J C2</t>
  </si>
  <si>
    <t>24034CK30W33J C3</t>
  </si>
  <si>
    <t>24034CK30W33J C4</t>
  </si>
  <si>
    <t>24034CK30W33J C5</t>
  </si>
  <si>
    <t>24034CW33J</t>
  </si>
  <si>
    <t>24034CW33J C2</t>
  </si>
  <si>
    <t>24034CW33J C3</t>
  </si>
  <si>
    <t>24034CW33J C4</t>
  </si>
  <si>
    <t>24034CW33J C5</t>
  </si>
  <si>
    <t>24036CK30W33J</t>
  </si>
  <si>
    <t>24036CK30W33J C2</t>
  </si>
  <si>
    <t>24036CK30W33J C3</t>
  </si>
  <si>
    <t>24036CK30W33J C4</t>
  </si>
  <si>
    <t>24036CK30W33J C5</t>
  </si>
  <si>
    <t>24036CW33J</t>
  </si>
  <si>
    <t>24036CW33J (NKE)</t>
  </si>
  <si>
    <t>24036CW33J C2</t>
  </si>
  <si>
    <t>24036CW33J C3</t>
  </si>
  <si>
    <t>24036CW33J C4</t>
  </si>
  <si>
    <t>24036CW33J C5</t>
  </si>
  <si>
    <t>24036EW33MH C3NF</t>
  </si>
  <si>
    <t>24036EW33MH NF</t>
  </si>
  <si>
    <t>24038CK30W33J</t>
  </si>
  <si>
    <t>24038CK30W33J C3</t>
  </si>
  <si>
    <t>24038CW33J</t>
  </si>
  <si>
    <t>24038CW33J C3</t>
  </si>
  <si>
    <t>24038CW33J C4</t>
  </si>
  <si>
    <t>24040CK30W33J</t>
  </si>
  <si>
    <t>24040CK30W33J C3</t>
  </si>
  <si>
    <t>24040CW33J</t>
  </si>
  <si>
    <t>24040CW33J C3</t>
  </si>
  <si>
    <t>24040CW33J C4</t>
  </si>
  <si>
    <t>24040EK30W33MHC2</t>
  </si>
  <si>
    <t>24040EK30W33MHC4</t>
  </si>
  <si>
    <t>24040EK30W33MHC5</t>
  </si>
  <si>
    <t>24040EW33MH NF</t>
  </si>
  <si>
    <t>24044CK30W33J</t>
  </si>
  <si>
    <t>24044CK30W33J C3</t>
  </si>
  <si>
    <t>24044CW33J</t>
  </si>
  <si>
    <t>24044CW33J C3</t>
  </si>
  <si>
    <t>24044EK30W33MHC2</t>
  </si>
  <si>
    <t>24044EK30W33MHC4</t>
  </si>
  <si>
    <t>24044EK30W33MHC5</t>
  </si>
  <si>
    <t>24044EW33MH (SNR</t>
  </si>
  <si>
    <t>24044EW33MH NF</t>
  </si>
  <si>
    <t>24048EW33MH NF</t>
  </si>
  <si>
    <t>24052EK30W33MH</t>
  </si>
  <si>
    <t>24052EK30W33MHNF</t>
  </si>
  <si>
    <t>24052EW33MH C3NF</t>
  </si>
  <si>
    <t>24052EW33MH NF</t>
  </si>
  <si>
    <t>24056EW33MH NF</t>
  </si>
  <si>
    <t>24060CW33J</t>
  </si>
  <si>
    <t>24060CW33J C3</t>
  </si>
  <si>
    <t>24060EW33MH NF</t>
  </si>
  <si>
    <t>24064CW33J C3</t>
  </si>
  <si>
    <t>24064EW33MH NF</t>
  </si>
  <si>
    <t>24068EK30W33MHC2</t>
  </si>
  <si>
    <t>24068EK30W33MHC3</t>
  </si>
  <si>
    <t>24068EK30W33MHC4</t>
  </si>
  <si>
    <t>24068EK30W33MHC5</t>
  </si>
  <si>
    <t>24068EK30W33MHNF</t>
  </si>
  <si>
    <t>24068EW33MH C2</t>
  </si>
  <si>
    <t>24068EW33MH C3</t>
  </si>
  <si>
    <t>24068EW33MH C4</t>
  </si>
  <si>
    <t>24068EW33MH C5</t>
  </si>
  <si>
    <t>24068EW33MH NF</t>
  </si>
  <si>
    <t>24072EK30W33MHNF</t>
  </si>
  <si>
    <t>24072EW33MH C3NF</t>
  </si>
  <si>
    <t>24072EW33MH NF</t>
  </si>
  <si>
    <t>24076EK30W33MHC2</t>
  </si>
  <si>
    <t>24076EK30W33MHC3</t>
  </si>
  <si>
    <t>24076EK30W33MHC4</t>
  </si>
  <si>
    <t>24076EK30W33MHC5</t>
  </si>
  <si>
    <t>24076EW33MH C2</t>
  </si>
  <si>
    <t>24076EW33MH C3NF</t>
  </si>
  <si>
    <t>24076EW33MH C4</t>
  </si>
  <si>
    <t>24076EW33MH C5</t>
  </si>
  <si>
    <t>24076EW33MH NF</t>
  </si>
  <si>
    <t>24080EK30W33MHC3</t>
  </si>
  <si>
    <t>24080EK30W33MHNF</t>
  </si>
  <si>
    <t>24080EW33MH C3NF</t>
  </si>
  <si>
    <t>24122CK30W33J</t>
  </si>
  <si>
    <t>24122CK30W33J C2</t>
  </si>
  <si>
    <t>24122CK30W33J C3</t>
  </si>
  <si>
    <t>24122CK30W33J C4</t>
  </si>
  <si>
    <t>24122CK30W33J C5</t>
  </si>
  <si>
    <t>24122CW33J</t>
  </si>
  <si>
    <t>24122CW33J (NKE)</t>
  </si>
  <si>
    <t>24122CW33J C2</t>
  </si>
  <si>
    <t>24122CW33J C3</t>
  </si>
  <si>
    <t>24122CW33J C4</t>
  </si>
  <si>
    <t>24122CW33J C5</t>
  </si>
  <si>
    <t>24124CK30W33J</t>
  </si>
  <si>
    <t>24124CK30W33J C2</t>
  </si>
  <si>
    <t>24124CK30W33J C3</t>
  </si>
  <si>
    <t>24124CK30W33J C4</t>
  </si>
  <si>
    <t>24124CK30W33J C5</t>
  </si>
  <si>
    <t>24124CW33J</t>
  </si>
  <si>
    <t>24124CW33J (NKE)</t>
  </si>
  <si>
    <t>24124CW33J C2</t>
  </si>
  <si>
    <t>24124CW33J C3</t>
  </si>
  <si>
    <t>24124CW33J C4</t>
  </si>
  <si>
    <t>24124CW33J C5</t>
  </si>
  <si>
    <t>24126CK30W33J</t>
  </si>
  <si>
    <t>24126CK30W33J C2</t>
  </si>
  <si>
    <t>24126CK30W33J C3</t>
  </si>
  <si>
    <t>24126CK30W33J C4</t>
  </si>
  <si>
    <t>24126CK30W33J C5</t>
  </si>
  <si>
    <t>24126CW33J</t>
  </si>
  <si>
    <t>24126CW33J C2</t>
  </si>
  <si>
    <t>24126CW33J C3</t>
  </si>
  <si>
    <t>24126CW33J C4</t>
  </si>
  <si>
    <t>24126CW33J C5</t>
  </si>
  <si>
    <t>24128CK30W33J</t>
  </si>
  <si>
    <t>24128CK30W33J C2</t>
  </si>
  <si>
    <t>24128CK30W33J C3</t>
  </si>
  <si>
    <t>24128CK30W33J C4</t>
  </si>
  <si>
    <t>24128CK30W33J C5</t>
  </si>
  <si>
    <t>24128CW33J</t>
  </si>
  <si>
    <t>24128CW33J (NKE)</t>
  </si>
  <si>
    <t>24128CW33J C2</t>
  </si>
  <si>
    <t>24128CW33J C3</t>
  </si>
  <si>
    <t>24128CW33J C4</t>
  </si>
  <si>
    <t>24128CW33J C5</t>
  </si>
  <si>
    <t>24130CK30W33J</t>
  </si>
  <si>
    <t>24130CK30W33J C2</t>
  </si>
  <si>
    <t>24130CK30W33J C3</t>
  </si>
  <si>
    <t>24130CK30W33J C4</t>
  </si>
  <si>
    <t>24130CK30W33J C5</t>
  </si>
  <si>
    <t>24130CW33J</t>
  </si>
  <si>
    <t>24130CW33J C2</t>
  </si>
  <si>
    <t>24130CW33J C3</t>
  </si>
  <si>
    <t>24130CW33J C4</t>
  </si>
  <si>
    <t>24130CW33J C5</t>
  </si>
  <si>
    <t>24132CK30W33J</t>
  </si>
  <si>
    <t>24132CK30W33J C2</t>
  </si>
  <si>
    <t>24132CK30W33J C3</t>
  </si>
  <si>
    <t>24132CK30W33J C4</t>
  </si>
  <si>
    <t>24132CK30W33J C5</t>
  </si>
  <si>
    <t>24132CW33J</t>
  </si>
  <si>
    <t>24132CW33J C2</t>
  </si>
  <si>
    <t>24132CW33J C3</t>
  </si>
  <si>
    <t>24132CW33J C4</t>
  </si>
  <si>
    <t>24132CW33J C5</t>
  </si>
  <si>
    <t>24134CK30W33J</t>
  </si>
  <si>
    <t>24134CK30W33J C2</t>
  </si>
  <si>
    <t>24134CK30W33J C3</t>
  </si>
  <si>
    <t>24134CK30W33J C4</t>
  </si>
  <si>
    <t>24134CK30W33J C5</t>
  </si>
  <si>
    <t>24134CW33J</t>
  </si>
  <si>
    <t>24134CW33J C2</t>
  </si>
  <si>
    <t>24134CW33J C3</t>
  </si>
  <si>
    <t>24134CW33J C4</t>
  </si>
  <si>
    <t>24134CW33J C5</t>
  </si>
  <si>
    <t>24136CK30W33J</t>
  </si>
  <si>
    <t>24136CK30W33J C3</t>
  </si>
  <si>
    <t>24136CW33J</t>
  </si>
  <si>
    <t>24136CW33J C3</t>
  </si>
  <si>
    <t>24138EK30W33MHC3</t>
  </si>
  <si>
    <t>24138EK30W33MHNF</t>
  </si>
  <si>
    <t>24138EW33MH C3NF</t>
  </si>
  <si>
    <t>24138EW33MH NF</t>
  </si>
  <si>
    <t>24140EK30W33MHC2</t>
  </si>
  <si>
    <t>24140EK30W33MHC4</t>
  </si>
  <si>
    <t>24140EK30W33MHC5</t>
  </si>
  <si>
    <t>24140EW33MH NF</t>
  </si>
  <si>
    <t>24144EK30W33MHC2</t>
  </si>
  <si>
    <t>24144EK30W33MHC4</t>
  </si>
  <si>
    <t>24144EK30W33MHC5</t>
  </si>
  <si>
    <t>24144EW33MH NF</t>
  </si>
  <si>
    <t>24144EW33MH(SNR)</t>
  </si>
  <si>
    <t>24148EK30W33MHC2</t>
  </si>
  <si>
    <t>24148EK30W33MHC4</t>
  </si>
  <si>
    <t>24148EK30W33MHC5</t>
  </si>
  <si>
    <t>24148EW33MH NF</t>
  </si>
  <si>
    <t>24148EW33MH(SNR)</t>
  </si>
  <si>
    <t>24152EK30W33MHC2</t>
  </si>
  <si>
    <t>24152EK30W33MHC4</t>
  </si>
  <si>
    <t>24152EK30W33MHC5</t>
  </si>
  <si>
    <t>24152EW33MH NF</t>
  </si>
  <si>
    <t>24156EK30W33MHC2</t>
  </si>
  <si>
    <t>24156EK30W33MHC4</t>
  </si>
  <si>
    <t>24156EK30W33MHC5</t>
  </si>
  <si>
    <t>24156EW33MH NF</t>
  </si>
  <si>
    <t>24160EK30W33MHC2</t>
  </si>
  <si>
    <t>24160EK30W33MHC4</t>
  </si>
  <si>
    <t>24160EK30W33MHC5</t>
  </si>
  <si>
    <t>24160EW33MH NF</t>
  </si>
  <si>
    <t>24164EK30W33MHC2</t>
  </si>
  <si>
    <t>24164EK30W33MHC4</t>
  </si>
  <si>
    <t>24164EK30W33MHC5</t>
  </si>
  <si>
    <t>24164EW33MH NF</t>
  </si>
  <si>
    <t>24172EK30W33MH</t>
  </si>
  <si>
    <t>24172EK30W33MHC3</t>
  </si>
  <si>
    <t>24172EW33MH</t>
  </si>
  <si>
    <t>24172EW33MH C3</t>
  </si>
  <si>
    <t>24176EK30W33MHC3</t>
  </si>
  <si>
    <t>24176EK30W33MHNF</t>
  </si>
  <si>
    <t>24176EW33MH NF</t>
  </si>
  <si>
    <t>24180EK30W33MHC2</t>
  </si>
  <si>
    <t>24180EK30W33MHC4</t>
  </si>
  <si>
    <t>24180EK30W33MHC5</t>
  </si>
  <si>
    <t>24180EW33MH C2NF</t>
  </si>
  <si>
    <t>24180EW33MH C4NF</t>
  </si>
  <si>
    <t>24180EW33MH C5NF</t>
  </si>
  <si>
    <t>24180EW33MH NF</t>
  </si>
  <si>
    <t>24184EK30W33MH</t>
  </si>
  <si>
    <t>24184EK30W33MHC2</t>
  </si>
  <si>
    <t>24184EK30W33MHC3</t>
  </si>
  <si>
    <t>24184EK30W33MHC4</t>
  </si>
  <si>
    <t>24184EK30W33MHC5</t>
  </si>
  <si>
    <t>24184EW33MH</t>
  </si>
  <si>
    <t>24184EW33MH C2</t>
  </si>
  <si>
    <t>24184EW33MH C3</t>
  </si>
  <si>
    <t>24184EW33MH C4</t>
  </si>
  <si>
    <t>24184EW33MH C5</t>
  </si>
  <si>
    <t>24192EK30W33MH</t>
  </si>
  <si>
    <t>24192EW33MH</t>
  </si>
  <si>
    <t>24192EW33MH C2</t>
  </si>
  <si>
    <t>24192EW33MH C3</t>
  </si>
  <si>
    <t>24192EW33MH C4</t>
  </si>
  <si>
    <t>24192EW33MH C5</t>
  </si>
  <si>
    <t>2474/2420</t>
  </si>
  <si>
    <t>24780/24720</t>
  </si>
  <si>
    <t>25577/25520</t>
  </si>
  <si>
    <t>25877/25820</t>
  </si>
  <si>
    <t>29223228 CW33JC3</t>
  </si>
  <si>
    <t>29240EM</t>
  </si>
  <si>
    <t>29244EM</t>
  </si>
  <si>
    <t>29248M</t>
  </si>
  <si>
    <t>29252M</t>
  </si>
  <si>
    <t>29256M</t>
  </si>
  <si>
    <t>29260M</t>
  </si>
  <si>
    <t>29264M</t>
  </si>
  <si>
    <t>29268EM</t>
  </si>
  <si>
    <t>29272M</t>
  </si>
  <si>
    <t>29276M</t>
  </si>
  <si>
    <t>29280M</t>
  </si>
  <si>
    <t>29284EM</t>
  </si>
  <si>
    <t>29320EJ</t>
  </si>
  <si>
    <t>29322 MC.</t>
  </si>
  <si>
    <t>29322EJ</t>
  </si>
  <si>
    <t>29322M</t>
  </si>
  <si>
    <t>29324EJ</t>
  </si>
  <si>
    <t>29324M</t>
  </si>
  <si>
    <t>29326EJ</t>
  </si>
  <si>
    <t>29326M</t>
  </si>
  <si>
    <t>29328EJ</t>
  </si>
  <si>
    <t>29328M</t>
  </si>
  <si>
    <t>29330EJ</t>
  </si>
  <si>
    <t>29330M</t>
  </si>
  <si>
    <t>29332EJ</t>
  </si>
  <si>
    <t>29332M</t>
  </si>
  <si>
    <t>29334EJ</t>
  </si>
  <si>
    <t>29334M</t>
  </si>
  <si>
    <t>29336EJ</t>
  </si>
  <si>
    <t>29336M</t>
  </si>
  <si>
    <t>29338EJ</t>
  </si>
  <si>
    <t>29338M</t>
  </si>
  <si>
    <t>29340EJ</t>
  </si>
  <si>
    <t>29340M</t>
  </si>
  <si>
    <t>29344EJ</t>
  </si>
  <si>
    <t>29344M</t>
  </si>
  <si>
    <t>29348EJ</t>
  </si>
  <si>
    <t>29348M</t>
  </si>
  <si>
    <t>29348M TPF</t>
  </si>
  <si>
    <t>29352EJ</t>
  </si>
  <si>
    <t>29352M</t>
  </si>
  <si>
    <t>29356EJ</t>
  </si>
  <si>
    <t>29356M</t>
  </si>
  <si>
    <t>29360EJ</t>
  </si>
  <si>
    <t>29360M</t>
  </si>
  <si>
    <t>29364EJ</t>
  </si>
  <si>
    <t>29364M</t>
  </si>
  <si>
    <t>29368M</t>
  </si>
  <si>
    <t>29368M TPF</t>
  </si>
  <si>
    <t>29372M</t>
  </si>
  <si>
    <t>29380M</t>
  </si>
  <si>
    <t>29384M</t>
  </si>
  <si>
    <t>29388M</t>
  </si>
  <si>
    <t>2941 EJ.</t>
  </si>
  <si>
    <t>29412EJ</t>
  </si>
  <si>
    <t>29412M</t>
  </si>
  <si>
    <t>29413EJ</t>
  </si>
  <si>
    <t>29413M</t>
  </si>
  <si>
    <t>29414EJ</t>
  </si>
  <si>
    <t>29414M</t>
  </si>
  <si>
    <t>29415EJ</t>
  </si>
  <si>
    <t>29415M</t>
  </si>
  <si>
    <t>29416EJ</t>
  </si>
  <si>
    <t>29417EJ</t>
  </si>
  <si>
    <t>29417M</t>
  </si>
  <si>
    <t>29418EJ</t>
  </si>
  <si>
    <t>29418M</t>
  </si>
  <si>
    <t>29420EJ</t>
  </si>
  <si>
    <t>29420M</t>
  </si>
  <si>
    <t>29422EJ</t>
  </si>
  <si>
    <t>29422M</t>
  </si>
  <si>
    <t>29424EJ</t>
  </si>
  <si>
    <t>29424M</t>
  </si>
  <si>
    <t>29426EJ</t>
  </si>
  <si>
    <t>29426M</t>
  </si>
  <si>
    <t>29428EJ</t>
  </si>
  <si>
    <t>29430EJ</t>
  </si>
  <si>
    <t>29430M</t>
  </si>
  <si>
    <t>29432EJ</t>
  </si>
  <si>
    <t>29432M</t>
  </si>
  <si>
    <t>29434EJ</t>
  </si>
  <si>
    <t>29434M</t>
  </si>
  <si>
    <t>29436EJ</t>
  </si>
  <si>
    <t>29436M</t>
  </si>
  <si>
    <t>29438EJ</t>
  </si>
  <si>
    <t>29438M</t>
  </si>
  <si>
    <t>29440EJ</t>
  </si>
  <si>
    <t>29440M</t>
  </si>
  <si>
    <t>29444EJ</t>
  </si>
  <si>
    <t>29444M</t>
  </si>
  <si>
    <t>29448EJ</t>
  </si>
  <si>
    <t>29448M</t>
  </si>
  <si>
    <t>29452EJ</t>
  </si>
  <si>
    <t>29452M</t>
  </si>
  <si>
    <t>29456EJ</t>
  </si>
  <si>
    <t>29456M</t>
  </si>
  <si>
    <t>29460EJ</t>
  </si>
  <si>
    <t>29460M</t>
  </si>
  <si>
    <t>29464EJ</t>
  </si>
  <si>
    <t>29464M</t>
  </si>
  <si>
    <t>29468M</t>
  </si>
  <si>
    <t>29476EM</t>
  </si>
  <si>
    <t>29476M</t>
  </si>
  <si>
    <t>29480EM</t>
  </si>
  <si>
    <t>29484EM</t>
  </si>
  <si>
    <t>29488M</t>
  </si>
  <si>
    <t>29496EM</t>
  </si>
  <si>
    <t>30202A</t>
  </si>
  <si>
    <t>30202A,</t>
  </si>
  <si>
    <t>30203A</t>
  </si>
  <si>
    <t>30204A</t>
  </si>
  <si>
    <t>30204A,</t>
  </si>
  <si>
    <t>30205A</t>
  </si>
  <si>
    <t>30205A,</t>
  </si>
  <si>
    <t>30206 A,</t>
  </si>
  <si>
    <t>30206A,</t>
  </si>
  <si>
    <t>30207 A,</t>
  </si>
  <si>
    <t>30207A</t>
  </si>
  <si>
    <t>30207A,</t>
  </si>
  <si>
    <t>30208 A,</t>
  </si>
  <si>
    <t>30208A</t>
  </si>
  <si>
    <t>30208A,</t>
  </si>
  <si>
    <t>30209A</t>
  </si>
  <si>
    <t>30210A</t>
  </si>
  <si>
    <t>30210A,</t>
  </si>
  <si>
    <t>30211A</t>
  </si>
  <si>
    <t>30211A,</t>
  </si>
  <si>
    <t>30212A</t>
  </si>
  <si>
    <t>30213A</t>
  </si>
  <si>
    <t>30213A,</t>
  </si>
  <si>
    <t>30214A</t>
  </si>
  <si>
    <t>30214A,</t>
  </si>
  <si>
    <t>30215A</t>
  </si>
  <si>
    <t>30216A</t>
  </si>
  <si>
    <t>30216A,</t>
  </si>
  <si>
    <t>30217A</t>
  </si>
  <si>
    <t>30218A</t>
  </si>
  <si>
    <t>30219A</t>
  </si>
  <si>
    <t>30219A,</t>
  </si>
  <si>
    <t>30220A</t>
  </si>
  <si>
    <t>30221A</t>
  </si>
  <si>
    <t>30222A</t>
  </si>
  <si>
    <t>30224A</t>
  </si>
  <si>
    <t>30226A</t>
  </si>
  <si>
    <t>30228A</t>
  </si>
  <si>
    <t>30232 A,</t>
  </si>
  <si>
    <t>30232A,</t>
  </si>
  <si>
    <t>30302 F</t>
  </si>
  <si>
    <t>30302A</t>
  </si>
  <si>
    <t>30302A,</t>
  </si>
  <si>
    <t>30303A</t>
  </si>
  <si>
    <t>30303A,</t>
  </si>
  <si>
    <t>30304A</t>
  </si>
  <si>
    <t>30304A,</t>
  </si>
  <si>
    <t>30305 A,</t>
  </si>
  <si>
    <t>30305A</t>
  </si>
  <si>
    <t>30305A,</t>
  </si>
  <si>
    <t>30306A</t>
  </si>
  <si>
    <t>30306A,</t>
  </si>
  <si>
    <t>30307A</t>
  </si>
  <si>
    <t>30307A,</t>
  </si>
  <si>
    <t>30308 A,</t>
  </si>
  <si>
    <t>30308A</t>
  </si>
  <si>
    <t>30308A,</t>
  </si>
  <si>
    <t>30309A</t>
  </si>
  <si>
    <t>30309A,</t>
  </si>
  <si>
    <t>30310A</t>
  </si>
  <si>
    <t>30310A,</t>
  </si>
  <si>
    <t>30311A</t>
  </si>
  <si>
    <t>30312A</t>
  </si>
  <si>
    <t>30312A,</t>
  </si>
  <si>
    <t>30313A</t>
  </si>
  <si>
    <t>30314A</t>
  </si>
  <si>
    <t>30315A</t>
  </si>
  <si>
    <t>30316A</t>
  </si>
  <si>
    <t>30317 A,</t>
  </si>
  <si>
    <t>30317A</t>
  </si>
  <si>
    <t>30317A,</t>
  </si>
  <si>
    <t>30320A</t>
  </si>
  <si>
    <t>30322 A,</t>
  </si>
  <si>
    <t>30322A</t>
  </si>
  <si>
    <t>30322A,</t>
  </si>
  <si>
    <t>30324 A,</t>
  </si>
  <si>
    <t>30324A</t>
  </si>
  <si>
    <t>30324A,</t>
  </si>
  <si>
    <t>3111 2Z C3</t>
  </si>
  <si>
    <t>31305 A,</t>
  </si>
  <si>
    <t>31305A</t>
  </si>
  <si>
    <t>31305A,</t>
  </si>
  <si>
    <t>31306A</t>
  </si>
  <si>
    <t>31306A,</t>
  </si>
  <si>
    <t>31307A</t>
  </si>
  <si>
    <t>31307A,</t>
  </si>
  <si>
    <t>31308 A,</t>
  </si>
  <si>
    <t>31308A</t>
  </si>
  <si>
    <t>31308A,</t>
  </si>
  <si>
    <t>31309A</t>
  </si>
  <si>
    <t>31309A,</t>
  </si>
  <si>
    <t>31310A</t>
  </si>
  <si>
    <t>31310A,</t>
  </si>
  <si>
    <t>31311A</t>
  </si>
  <si>
    <t>31311A,</t>
  </si>
  <si>
    <t>31312A</t>
  </si>
  <si>
    <t>31312A,</t>
  </si>
  <si>
    <t>31313A</t>
  </si>
  <si>
    <t>31313A,</t>
  </si>
  <si>
    <t>31314A</t>
  </si>
  <si>
    <t>31316 X,</t>
  </si>
  <si>
    <t>31316X</t>
  </si>
  <si>
    <t>31318A</t>
  </si>
  <si>
    <t>31318X</t>
  </si>
  <si>
    <t>31324X</t>
  </si>
  <si>
    <t>3133 A</t>
  </si>
  <si>
    <t>319 K</t>
  </si>
  <si>
    <t>320/32AX</t>
  </si>
  <si>
    <t>320/32AX,</t>
  </si>
  <si>
    <t>3200 C3 NF</t>
  </si>
  <si>
    <t>3200 P62 NF</t>
  </si>
  <si>
    <t>32004AX</t>
  </si>
  <si>
    <t>32004AX,</t>
  </si>
  <si>
    <t>32005 AX,</t>
  </si>
  <si>
    <t>32005AX</t>
  </si>
  <si>
    <t>32005AX,</t>
  </si>
  <si>
    <t>32006AX</t>
  </si>
  <si>
    <t>32006AX,</t>
  </si>
  <si>
    <t>32007AX</t>
  </si>
  <si>
    <t>32007AX,</t>
  </si>
  <si>
    <t>32008AX</t>
  </si>
  <si>
    <t>32008AX,</t>
  </si>
  <si>
    <t>32009AX</t>
  </si>
  <si>
    <t>32009AX,</t>
  </si>
  <si>
    <t>3200TNG</t>
  </si>
  <si>
    <t>3201 C3 NF</t>
  </si>
  <si>
    <t>3201 NF</t>
  </si>
  <si>
    <t>3201 P62 NF</t>
  </si>
  <si>
    <t>32010 AX,</t>
  </si>
  <si>
    <t>32010AX,</t>
  </si>
  <si>
    <t>32011AX</t>
  </si>
  <si>
    <t>32011AX,</t>
  </si>
  <si>
    <t>32012 AX,</t>
  </si>
  <si>
    <t>32012AX</t>
  </si>
  <si>
    <t>32012AX,</t>
  </si>
  <si>
    <t>32013AX</t>
  </si>
  <si>
    <t>32013AX,</t>
  </si>
  <si>
    <t>32014 AX,</t>
  </si>
  <si>
    <t>32014AX</t>
  </si>
  <si>
    <t>32014AX,</t>
  </si>
  <si>
    <t>32015AX</t>
  </si>
  <si>
    <t>32016AX</t>
  </si>
  <si>
    <t>32016AX,</t>
  </si>
  <si>
    <t>32017AX</t>
  </si>
  <si>
    <t>32017AX,</t>
  </si>
  <si>
    <t>32018AX</t>
  </si>
  <si>
    <t>32019AX</t>
  </si>
  <si>
    <t>3201TNG</t>
  </si>
  <si>
    <t>3201TNG C3</t>
  </si>
  <si>
    <t>3202 C2 NF</t>
  </si>
  <si>
    <t>3202 C3 NF</t>
  </si>
  <si>
    <t>3202 NF</t>
  </si>
  <si>
    <t>32020AX</t>
  </si>
  <si>
    <t>32021AX</t>
  </si>
  <si>
    <t>32022AX</t>
  </si>
  <si>
    <t>32024AX</t>
  </si>
  <si>
    <t>32024AX,</t>
  </si>
  <si>
    <t>32026AX</t>
  </si>
  <si>
    <t>32028AX</t>
  </si>
  <si>
    <t>32028AX,</t>
  </si>
  <si>
    <t>3202TNG</t>
  </si>
  <si>
    <t>3202TNG C3</t>
  </si>
  <si>
    <t>3203 C2 NF</t>
  </si>
  <si>
    <t>3203 C3 NF</t>
  </si>
  <si>
    <t>3203 P6 NF</t>
  </si>
  <si>
    <t>3203 P62 NF</t>
  </si>
  <si>
    <t>32030X</t>
  </si>
  <si>
    <t>32034AX</t>
  </si>
  <si>
    <t>32036AX</t>
  </si>
  <si>
    <t>32038AX</t>
  </si>
  <si>
    <t>3203NS NF</t>
  </si>
  <si>
    <t>3203TNG</t>
  </si>
  <si>
    <t>3203TNG C3</t>
  </si>
  <si>
    <t>3204 C2 NF</t>
  </si>
  <si>
    <t>3204 P6 NF</t>
  </si>
  <si>
    <t>3204 P62 NF</t>
  </si>
  <si>
    <t>32040X</t>
  </si>
  <si>
    <t>32044X</t>
  </si>
  <si>
    <t>3204A-2RSTNG NF</t>
  </si>
  <si>
    <t>3204A2RSTNGC3 NF</t>
  </si>
  <si>
    <t>3204TNG</t>
  </si>
  <si>
    <t>3204TNG C3</t>
  </si>
  <si>
    <t>3205 C2 NF</t>
  </si>
  <si>
    <t>3205 P6 NF</t>
  </si>
  <si>
    <t>3205 P62 NF</t>
  </si>
  <si>
    <t>3205 P63 NF</t>
  </si>
  <si>
    <t>3205 TNG</t>
  </si>
  <si>
    <t>3205 TNG 2Z</t>
  </si>
  <si>
    <t>3205 TNG ZZ C3</t>
  </si>
  <si>
    <t>3205A-2RSTNG NF</t>
  </si>
  <si>
    <t>3205A2RSTNGC3 NF</t>
  </si>
  <si>
    <t>3205N C3 NF</t>
  </si>
  <si>
    <t>3205N NF</t>
  </si>
  <si>
    <t>3205TNG</t>
  </si>
  <si>
    <t>3205TNG C3</t>
  </si>
  <si>
    <t>3206 C2 NF</t>
  </si>
  <si>
    <t>3206 P6 NF</t>
  </si>
  <si>
    <t>3206 P62 NF</t>
  </si>
  <si>
    <t>3206A-2RSTNG NF</t>
  </si>
  <si>
    <t>3206TNG</t>
  </si>
  <si>
    <t>3206TNG C3</t>
  </si>
  <si>
    <t>3207 2Z C3</t>
  </si>
  <si>
    <t>3207 2ZC3 NF</t>
  </si>
  <si>
    <t>3207 P6 NF</t>
  </si>
  <si>
    <t>3207 P62 NF</t>
  </si>
  <si>
    <t>3207TNG</t>
  </si>
  <si>
    <t>3207TNG C3</t>
  </si>
  <si>
    <t>3208 C2 NF</t>
  </si>
  <si>
    <t>3208 N C3</t>
  </si>
  <si>
    <t>3208 P6 NF</t>
  </si>
  <si>
    <t>3208 P62 NF</t>
  </si>
  <si>
    <t>3208A-2RSTNG NF</t>
  </si>
  <si>
    <t>3208TNG</t>
  </si>
  <si>
    <t>3208TNG C3</t>
  </si>
  <si>
    <t>3209 C2 NF</t>
  </si>
  <si>
    <t>3209 P6 NF</t>
  </si>
  <si>
    <t>3209 P62 NF</t>
  </si>
  <si>
    <t>3209TNG</t>
  </si>
  <si>
    <t>3209TNG 2Z</t>
  </si>
  <si>
    <t>3209TNG C3</t>
  </si>
  <si>
    <t>3210 2Z</t>
  </si>
  <si>
    <t>3210 2Z C3</t>
  </si>
  <si>
    <t>3210 C2 NF</t>
  </si>
  <si>
    <t>3210 P6 NF</t>
  </si>
  <si>
    <t>3210 P62 NF</t>
  </si>
  <si>
    <t>3210TNG</t>
  </si>
  <si>
    <t>3210TNG C3</t>
  </si>
  <si>
    <t>3211 C2 NF</t>
  </si>
  <si>
    <t>3211 P6 NF</t>
  </si>
  <si>
    <t>3211 TNG</t>
  </si>
  <si>
    <t>3211TNG</t>
  </si>
  <si>
    <t>3211TNG 2Z</t>
  </si>
  <si>
    <t>3211TNG 2ZN</t>
  </si>
  <si>
    <t>3211TNG C3</t>
  </si>
  <si>
    <t>3211TNG ZN</t>
  </si>
  <si>
    <t>3212 2RS TNG C3</t>
  </si>
  <si>
    <t>3212 2Z</t>
  </si>
  <si>
    <t>3212 C3</t>
  </si>
  <si>
    <t>3212 P6 NF</t>
  </si>
  <si>
    <t>3212 P62 NF</t>
  </si>
  <si>
    <t>3212K C3</t>
  </si>
  <si>
    <t>3212N C2 NF</t>
  </si>
  <si>
    <t>3212N C3 NF</t>
  </si>
  <si>
    <t>3212N NF</t>
  </si>
  <si>
    <t>3212TNG</t>
  </si>
  <si>
    <t>3212TNG 2ZN</t>
  </si>
  <si>
    <t>3212TNG C3</t>
  </si>
  <si>
    <t>3212TNG ZN</t>
  </si>
  <si>
    <t>3212TNG ZN C3</t>
  </si>
  <si>
    <t>3213 2Z</t>
  </si>
  <si>
    <t>3213 C2 NF</t>
  </si>
  <si>
    <t>3213 C3 NF</t>
  </si>
  <si>
    <t>3213 P6 NF</t>
  </si>
  <si>
    <t>3213 P62 NF</t>
  </si>
  <si>
    <t>3213TNG</t>
  </si>
  <si>
    <t>3213TNG 2Z</t>
  </si>
  <si>
    <t>3213TNG 2ZN</t>
  </si>
  <si>
    <t>3213TNG C3</t>
  </si>
  <si>
    <t>3213TNG ZN</t>
  </si>
  <si>
    <t>3214 P6 NF</t>
  </si>
  <si>
    <t>3214TNG</t>
  </si>
  <si>
    <t>3214TNG C3</t>
  </si>
  <si>
    <t>3215 2Z</t>
  </si>
  <si>
    <t>3215 P6 NF</t>
  </si>
  <si>
    <t>3215TNG</t>
  </si>
  <si>
    <t>3215TNG C3</t>
  </si>
  <si>
    <t>3215TNG ZN</t>
  </si>
  <si>
    <t>3220 A</t>
  </si>
  <si>
    <t>32205A</t>
  </si>
  <si>
    <t>32206A</t>
  </si>
  <si>
    <t>32206A,</t>
  </si>
  <si>
    <t>32207A</t>
  </si>
  <si>
    <t>32208 A,</t>
  </si>
  <si>
    <t>32208A</t>
  </si>
  <si>
    <t>32208A,</t>
  </si>
  <si>
    <t>32209A</t>
  </si>
  <si>
    <t>32210A</t>
  </si>
  <si>
    <t>32210A,</t>
  </si>
  <si>
    <t>32211A</t>
  </si>
  <si>
    <t>32211A,</t>
  </si>
  <si>
    <t>32212A</t>
  </si>
  <si>
    <t>32212A,</t>
  </si>
  <si>
    <t>32213A</t>
  </si>
  <si>
    <t>32213A,</t>
  </si>
  <si>
    <t>32214 A,</t>
  </si>
  <si>
    <t>32214A</t>
  </si>
  <si>
    <t>32215A</t>
  </si>
  <si>
    <t>32215A,</t>
  </si>
  <si>
    <t>32216A</t>
  </si>
  <si>
    <t>32216A,</t>
  </si>
  <si>
    <t>32217A</t>
  </si>
  <si>
    <t>32217A,</t>
  </si>
  <si>
    <t>32218A</t>
  </si>
  <si>
    <t>32219A</t>
  </si>
  <si>
    <t>32219A,</t>
  </si>
  <si>
    <t>32220A</t>
  </si>
  <si>
    <t>32220A,</t>
  </si>
  <si>
    <t>32221A</t>
  </si>
  <si>
    <t>32221A,</t>
  </si>
  <si>
    <t>32222A</t>
  </si>
  <si>
    <t>32222A,</t>
  </si>
  <si>
    <t>32224A</t>
  </si>
  <si>
    <t>32226A</t>
  </si>
  <si>
    <t>32228 A,</t>
  </si>
  <si>
    <t>32228A</t>
  </si>
  <si>
    <t>32228A,</t>
  </si>
  <si>
    <t>32230A</t>
  </si>
  <si>
    <t>32232A</t>
  </si>
  <si>
    <t>32234A</t>
  </si>
  <si>
    <t>32236A</t>
  </si>
  <si>
    <t>32244A</t>
  </si>
  <si>
    <t>32303 A,</t>
  </si>
  <si>
    <t>32303A</t>
  </si>
  <si>
    <t>32303A,</t>
  </si>
  <si>
    <t>32304 A,</t>
  </si>
  <si>
    <t>32304A</t>
  </si>
  <si>
    <t>32304A,</t>
  </si>
  <si>
    <t>32305A</t>
  </si>
  <si>
    <t>32306A</t>
  </si>
  <si>
    <t>32306A,</t>
  </si>
  <si>
    <t>32307A</t>
  </si>
  <si>
    <t>32307A,</t>
  </si>
  <si>
    <t>32308A</t>
  </si>
  <si>
    <t>32308A,</t>
  </si>
  <si>
    <t>32309 A,</t>
  </si>
  <si>
    <t>32309A,</t>
  </si>
  <si>
    <t>32310 A,</t>
  </si>
  <si>
    <t>32310A</t>
  </si>
  <si>
    <t>32310A,</t>
  </si>
  <si>
    <t>32311A</t>
  </si>
  <si>
    <t>32311A,</t>
  </si>
  <si>
    <t>32312A</t>
  </si>
  <si>
    <t>32312A,</t>
  </si>
  <si>
    <t>32313A</t>
  </si>
  <si>
    <t>32314A</t>
  </si>
  <si>
    <t>32314A,</t>
  </si>
  <si>
    <t>32315 A,</t>
  </si>
  <si>
    <t>32315A</t>
  </si>
  <si>
    <t>32315A,</t>
  </si>
  <si>
    <t>32316A</t>
  </si>
  <si>
    <t>32316A,</t>
  </si>
  <si>
    <t>32317 A,</t>
  </si>
  <si>
    <t>32317A</t>
  </si>
  <si>
    <t>32317A,</t>
  </si>
  <si>
    <t>32318A</t>
  </si>
  <si>
    <t>32319A</t>
  </si>
  <si>
    <t>32320A</t>
  </si>
  <si>
    <t>32321A</t>
  </si>
  <si>
    <t>32321A,</t>
  </si>
  <si>
    <t>32324A</t>
  </si>
  <si>
    <t>32326A</t>
  </si>
  <si>
    <t>32330A</t>
  </si>
  <si>
    <t>32938A</t>
  </si>
  <si>
    <t>33010 A,</t>
  </si>
  <si>
    <t>33010A</t>
  </si>
  <si>
    <t>33010A,</t>
  </si>
  <si>
    <t>33012 A,</t>
  </si>
  <si>
    <t>33012A,</t>
  </si>
  <si>
    <t>33013 A,</t>
  </si>
  <si>
    <t>33013A</t>
  </si>
  <si>
    <t>33013A,</t>
  </si>
  <si>
    <t>33017 A,</t>
  </si>
  <si>
    <t>33017A</t>
  </si>
  <si>
    <t>33017A,</t>
  </si>
  <si>
    <t>33018 A,</t>
  </si>
  <si>
    <t>33018A</t>
  </si>
  <si>
    <t>33018A,</t>
  </si>
  <si>
    <t>33019A</t>
  </si>
  <si>
    <t>3302 C3 NF</t>
  </si>
  <si>
    <t>33021A</t>
  </si>
  <si>
    <t>33022A</t>
  </si>
  <si>
    <t>3302TNG</t>
  </si>
  <si>
    <t>3302TNG 2Z</t>
  </si>
  <si>
    <t>3303 C3 NF</t>
  </si>
  <si>
    <t>3303 NF</t>
  </si>
  <si>
    <t>3303TNG</t>
  </si>
  <si>
    <t>3303TNG 2Z</t>
  </si>
  <si>
    <t>3303TNG C3</t>
  </si>
  <si>
    <t>3304 2Z C3</t>
  </si>
  <si>
    <t>3304 C2 NF</t>
  </si>
  <si>
    <t>3304 TNG ZZ</t>
  </si>
  <si>
    <t>3304A C3 NF</t>
  </si>
  <si>
    <t>3304TNG</t>
  </si>
  <si>
    <t>3304TNG C3</t>
  </si>
  <si>
    <t>3304TNG C3 2ZN</t>
  </si>
  <si>
    <t>3305 C2 NF</t>
  </si>
  <si>
    <t>3305 TNG ZNC3</t>
  </si>
  <si>
    <t>3305 TNG ZZN</t>
  </si>
  <si>
    <t>3305TNG</t>
  </si>
  <si>
    <t>3305TNG C3</t>
  </si>
  <si>
    <t>3306 C2 NF</t>
  </si>
  <si>
    <t>3306 P6 NF</t>
  </si>
  <si>
    <t>3306TNG</t>
  </si>
  <si>
    <t>3306TNG C3</t>
  </si>
  <si>
    <t>3307 C2 NF</t>
  </si>
  <si>
    <t>3307 P63 NF</t>
  </si>
  <si>
    <t>3307TNG</t>
  </si>
  <si>
    <t>3307TNG C3</t>
  </si>
  <si>
    <t>3308 2Z</t>
  </si>
  <si>
    <t>3308 2Z N</t>
  </si>
  <si>
    <t>3308 C3 TNG</t>
  </si>
  <si>
    <t>3308 TNG Z</t>
  </si>
  <si>
    <t>3308NR NF</t>
  </si>
  <si>
    <t>3308TNG</t>
  </si>
  <si>
    <t>3308TNG 2Z</t>
  </si>
  <si>
    <t>3308TNG 2Z C3</t>
  </si>
  <si>
    <t>3308TNG C3</t>
  </si>
  <si>
    <t>3308TNG ZN NF</t>
  </si>
  <si>
    <t>3309 2Z C3</t>
  </si>
  <si>
    <t>3309 2Z N</t>
  </si>
  <si>
    <t>3309 2Z N NF</t>
  </si>
  <si>
    <t>3309 C2 NF</t>
  </si>
  <si>
    <t>3309 C3 TNG ZZ</t>
  </si>
  <si>
    <t>3309 NR</t>
  </si>
  <si>
    <t>3309 P6 NF</t>
  </si>
  <si>
    <t>3309 ZN</t>
  </si>
  <si>
    <t>3309 ZN C3</t>
  </si>
  <si>
    <t>3309TNG</t>
  </si>
  <si>
    <t>3309TNG C3</t>
  </si>
  <si>
    <t>3310 C2 NF</t>
  </si>
  <si>
    <t>3310 P6 NF</t>
  </si>
  <si>
    <t>3310 P63 NF</t>
  </si>
  <si>
    <t>33109A</t>
  </si>
  <si>
    <t>3310A-2RSTNG NF</t>
  </si>
  <si>
    <t>3310A2RSTNGC3 NF</t>
  </si>
  <si>
    <t>3310NR C3 NF</t>
  </si>
  <si>
    <t>3310TNG</t>
  </si>
  <si>
    <t>3310TNG C3</t>
  </si>
  <si>
    <t>3311 C2 NF</t>
  </si>
  <si>
    <t>3311 C3</t>
  </si>
  <si>
    <t>3311 P6 NF</t>
  </si>
  <si>
    <t>3311 ZZ</t>
  </si>
  <si>
    <t>33111A</t>
  </si>
  <si>
    <t>33113A</t>
  </si>
  <si>
    <t>33115A</t>
  </si>
  <si>
    <t>33116A</t>
  </si>
  <si>
    <t>33117A</t>
  </si>
  <si>
    <t>3311NR C3 NF</t>
  </si>
  <si>
    <t>3311TNG</t>
  </si>
  <si>
    <t>3311TNG C3</t>
  </si>
  <si>
    <t>3312 C2 NF</t>
  </si>
  <si>
    <t>3312 N</t>
  </si>
  <si>
    <t>3312 P6 NF</t>
  </si>
  <si>
    <t>3312 ZN</t>
  </si>
  <si>
    <t>3312 ZZ</t>
  </si>
  <si>
    <t>3312TNG</t>
  </si>
  <si>
    <t>3312TNG C3</t>
  </si>
  <si>
    <t>3313 C2 NF</t>
  </si>
  <si>
    <t>3313 C3</t>
  </si>
  <si>
    <t>3313 P6 NF</t>
  </si>
  <si>
    <t>3313 ZZ</t>
  </si>
  <si>
    <t>3313TNG</t>
  </si>
  <si>
    <t>3313TNG C3</t>
  </si>
  <si>
    <t>33205A</t>
  </si>
  <si>
    <t>33207A</t>
  </si>
  <si>
    <t>33208A</t>
  </si>
  <si>
    <t>33209A</t>
  </si>
  <si>
    <t>33211A</t>
  </si>
  <si>
    <t>33213A</t>
  </si>
  <si>
    <t>33215A</t>
  </si>
  <si>
    <t>33216A</t>
  </si>
  <si>
    <t>33217A</t>
  </si>
  <si>
    <t>33220A</t>
  </si>
  <si>
    <t>33275 / 33472</t>
  </si>
  <si>
    <t>3767 / 3720</t>
  </si>
  <si>
    <t>495A/493</t>
  </si>
  <si>
    <t>505614A</t>
  </si>
  <si>
    <t>510607A</t>
  </si>
  <si>
    <t>51100A NF</t>
  </si>
  <si>
    <t>51100A P5 NF</t>
  </si>
  <si>
    <t>51100A P6 NF</t>
  </si>
  <si>
    <t>51101A</t>
  </si>
  <si>
    <t>51101A NF</t>
  </si>
  <si>
    <t>51101A P5 NF</t>
  </si>
  <si>
    <t>51101A P6 NF</t>
  </si>
  <si>
    <t>51102A</t>
  </si>
  <si>
    <t>51102A NF</t>
  </si>
  <si>
    <t>51102A P5 NF</t>
  </si>
  <si>
    <t>51102A P6 NF</t>
  </si>
  <si>
    <t>51103A</t>
  </si>
  <si>
    <t>51103A NF</t>
  </si>
  <si>
    <t>51103A P5 NF</t>
  </si>
  <si>
    <t>51103A P6 NF</t>
  </si>
  <si>
    <t>51104A</t>
  </si>
  <si>
    <t>51104A NF</t>
  </si>
  <si>
    <t>51104A P5 NF</t>
  </si>
  <si>
    <t>51104A P6 NF</t>
  </si>
  <si>
    <t>51105 NF</t>
  </si>
  <si>
    <t>51105A</t>
  </si>
  <si>
    <t>51105A NF</t>
  </si>
  <si>
    <t>51105A P5 NF</t>
  </si>
  <si>
    <t>51105A P6 NF</t>
  </si>
  <si>
    <t>51106A</t>
  </si>
  <si>
    <t>51106A NF</t>
  </si>
  <si>
    <t>51106A P5 NF</t>
  </si>
  <si>
    <t>51106A P6 NF</t>
  </si>
  <si>
    <t>51107A</t>
  </si>
  <si>
    <t>51107A NF</t>
  </si>
  <si>
    <t>51107A P5 NF</t>
  </si>
  <si>
    <t>51107A P6 NF</t>
  </si>
  <si>
    <t>51108A</t>
  </si>
  <si>
    <t>51108A NF</t>
  </si>
  <si>
    <t>51108A P5 NF</t>
  </si>
  <si>
    <t>51108A P6 NF</t>
  </si>
  <si>
    <t>51109A</t>
  </si>
  <si>
    <t>51109A NF</t>
  </si>
  <si>
    <t>51109A P5 NF</t>
  </si>
  <si>
    <t>51109A P6 NF</t>
  </si>
  <si>
    <t>51110A</t>
  </si>
  <si>
    <t>51110A NF</t>
  </si>
  <si>
    <t>51110A P5 NF</t>
  </si>
  <si>
    <t>51110A P6 NF</t>
  </si>
  <si>
    <t>51111A</t>
  </si>
  <si>
    <t>51111A NF</t>
  </si>
  <si>
    <t>51111A P5 NF</t>
  </si>
  <si>
    <t>51111A P6 NF</t>
  </si>
  <si>
    <t>51112A NF</t>
  </si>
  <si>
    <t>51112A P5 NF</t>
  </si>
  <si>
    <t>51112A P6 NF</t>
  </si>
  <si>
    <t>51113A</t>
  </si>
  <si>
    <t>51113A NF</t>
  </si>
  <si>
    <t>51114A</t>
  </si>
  <si>
    <t>51114A NF</t>
  </si>
  <si>
    <t>51114A P5 NF</t>
  </si>
  <si>
    <t>51114A P6 NF</t>
  </si>
  <si>
    <t>51115A</t>
  </si>
  <si>
    <t>51115A NF</t>
  </si>
  <si>
    <t>51115A P5 NF</t>
  </si>
  <si>
    <t>51115A P6 NF</t>
  </si>
  <si>
    <t>51116A</t>
  </si>
  <si>
    <t>51116A NF</t>
  </si>
  <si>
    <t>51116A P5 NF</t>
  </si>
  <si>
    <t>51116A P6 NF</t>
  </si>
  <si>
    <t>51117A</t>
  </si>
  <si>
    <t>51117A NF</t>
  </si>
  <si>
    <t>51117A P5 NF</t>
  </si>
  <si>
    <t>51117A P6 NF</t>
  </si>
  <si>
    <t>51118A</t>
  </si>
  <si>
    <t>51118A P5 NF</t>
  </si>
  <si>
    <t>51118A P6 NF</t>
  </si>
  <si>
    <t>51120A</t>
  </si>
  <si>
    <t>51120A NF</t>
  </si>
  <si>
    <t>51120A P5 NF</t>
  </si>
  <si>
    <t>51120A P6 NF</t>
  </si>
  <si>
    <t>51120AM NF</t>
  </si>
  <si>
    <t>51122A</t>
  </si>
  <si>
    <t>51122A NF</t>
  </si>
  <si>
    <t>51122A P5 NF</t>
  </si>
  <si>
    <t>51122A P6 NF</t>
  </si>
  <si>
    <t>51124 NF</t>
  </si>
  <si>
    <t>51124A P5 NF</t>
  </si>
  <si>
    <t>51124A P6 NF</t>
  </si>
  <si>
    <t>51126 NF</t>
  </si>
  <si>
    <t>51126A P5 NF</t>
  </si>
  <si>
    <t>51126A P6 NF</t>
  </si>
  <si>
    <t>51130 NF</t>
  </si>
  <si>
    <t>51130 P5 NF</t>
  </si>
  <si>
    <t>51130A P6 NF</t>
  </si>
  <si>
    <t>51132 NF</t>
  </si>
  <si>
    <t>51132A P5 NF</t>
  </si>
  <si>
    <t>51132A P6 NF</t>
  </si>
  <si>
    <t>51134 P5 NF</t>
  </si>
  <si>
    <t>51134 P6 NF</t>
  </si>
  <si>
    <t>51134M NF</t>
  </si>
  <si>
    <t>51136 P5 NF</t>
  </si>
  <si>
    <t>51136 P6 NF</t>
  </si>
  <si>
    <t>51136M NF</t>
  </si>
  <si>
    <t>51136M P5 NF</t>
  </si>
  <si>
    <t>51138 NF</t>
  </si>
  <si>
    <t>51138 P5 NF</t>
  </si>
  <si>
    <t>51138 P6 NF</t>
  </si>
  <si>
    <t>51138M</t>
  </si>
  <si>
    <t>51140 NF</t>
  </si>
  <si>
    <t>51140 P5 NF</t>
  </si>
  <si>
    <t>51140 P6 NF</t>
  </si>
  <si>
    <t>51140M</t>
  </si>
  <si>
    <t>51140M NF</t>
  </si>
  <si>
    <t>51140M P5 NF</t>
  </si>
  <si>
    <t>51144 NF</t>
  </si>
  <si>
    <t>51144 P5 NF</t>
  </si>
  <si>
    <t>51144 P6 NF</t>
  </si>
  <si>
    <t>51144M</t>
  </si>
  <si>
    <t>51144M NF</t>
  </si>
  <si>
    <t>51144M P5 NF</t>
  </si>
  <si>
    <t>51148 NF</t>
  </si>
  <si>
    <t>51148M</t>
  </si>
  <si>
    <t>51152M</t>
  </si>
  <si>
    <t>51160M</t>
  </si>
  <si>
    <t>511Z30</t>
  </si>
  <si>
    <t>511Z35 NF</t>
  </si>
  <si>
    <t>51202A</t>
  </si>
  <si>
    <t>51202A NF</t>
  </si>
  <si>
    <t>51202A P5 NF</t>
  </si>
  <si>
    <t>51202A P6 NF</t>
  </si>
  <si>
    <t>51203A</t>
  </si>
  <si>
    <t>51203A NF</t>
  </si>
  <si>
    <t>51203A P5 NF</t>
  </si>
  <si>
    <t>51203A P6 NF</t>
  </si>
  <si>
    <t>51204 P5 NF</t>
  </si>
  <si>
    <t>51204 P6 NF</t>
  </si>
  <si>
    <t>51205 NF</t>
  </si>
  <si>
    <t>51205 P5 NF</t>
  </si>
  <si>
    <t>51205 P6 NF</t>
  </si>
  <si>
    <t>51206 NF</t>
  </si>
  <si>
    <t>51206 P5 NF</t>
  </si>
  <si>
    <t>51206 P6 NF</t>
  </si>
  <si>
    <t>51207 NF</t>
  </si>
  <si>
    <t>51207 P5 NF</t>
  </si>
  <si>
    <t>51207 P6 NF</t>
  </si>
  <si>
    <t>51208 NF</t>
  </si>
  <si>
    <t>51208 P5 NF</t>
  </si>
  <si>
    <t>51208 P6 NF</t>
  </si>
  <si>
    <t>51209 NF</t>
  </si>
  <si>
    <t>51209 P5 NF</t>
  </si>
  <si>
    <t>51209 P6 NF</t>
  </si>
  <si>
    <t>51210A NF</t>
  </si>
  <si>
    <t>51210A P5 NF</t>
  </si>
  <si>
    <t>51210A P6 NF</t>
  </si>
  <si>
    <t>51211A</t>
  </si>
  <si>
    <t>51211A NF</t>
  </si>
  <si>
    <t>51211A P5 NF</t>
  </si>
  <si>
    <t>51211A P6 NF</t>
  </si>
  <si>
    <t>51213A</t>
  </si>
  <si>
    <t>51213A NF</t>
  </si>
  <si>
    <t>51213A P5 NF</t>
  </si>
  <si>
    <t>51213A P6 NF</t>
  </si>
  <si>
    <t>51214 P5 NF</t>
  </si>
  <si>
    <t>51214 P6 NF</t>
  </si>
  <si>
    <t>51215 NF</t>
  </si>
  <si>
    <t>51215 P5 NF</t>
  </si>
  <si>
    <t>51215 P6 NF</t>
  </si>
  <si>
    <t>51216 NF</t>
  </si>
  <si>
    <t>51216 P5 NF</t>
  </si>
  <si>
    <t>51216 P6 NF</t>
  </si>
  <si>
    <t>51217 NF</t>
  </si>
  <si>
    <t>51217 P6 NF</t>
  </si>
  <si>
    <t>51226 NF</t>
  </si>
  <si>
    <t>51230M NF</t>
  </si>
  <si>
    <t>51232 P6 NF</t>
  </si>
  <si>
    <t>51232M NF</t>
  </si>
  <si>
    <t>51234 NF</t>
  </si>
  <si>
    <t>51234 P5 NF</t>
  </si>
  <si>
    <t>51234 P6 NF</t>
  </si>
  <si>
    <t>51234M NF</t>
  </si>
  <si>
    <t>51236 NF</t>
  </si>
  <si>
    <t>51236M</t>
  </si>
  <si>
    <t>51236M NF</t>
  </si>
  <si>
    <t>51238 NF</t>
  </si>
  <si>
    <t>51238M NF</t>
  </si>
  <si>
    <t>51240 NF</t>
  </si>
  <si>
    <t>51240M NF</t>
  </si>
  <si>
    <t>51305 P5 NF</t>
  </si>
  <si>
    <t>51305 P6 NF</t>
  </si>
  <si>
    <t>51306 P5 NF</t>
  </si>
  <si>
    <t>51306 P6 NF</t>
  </si>
  <si>
    <t>51307 NF</t>
  </si>
  <si>
    <t>51307 P5 NF</t>
  </si>
  <si>
    <t>51307 P6 NF</t>
  </si>
  <si>
    <t>51308 NF</t>
  </si>
  <si>
    <t>51308 P5 NF</t>
  </si>
  <si>
    <t>51308 P6 NF</t>
  </si>
  <si>
    <t>51309 NF</t>
  </si>
  <si>
    <t>51309 P5 NF</t>
  </si>
  <si>
    <t>51309 P6 NF</t>
  </si>
  <si>
    <t>51311 NF</t>
  </si>
  <si>
    <t>51311A</t>
  </si>
  <si>
    <t>51312 NF</t>
  </si>
  <si>
    <t>51312 P5 NF</t>
  </si>
  <si>
    <t>51312 P6 NF</t>
  </si>
  <si>
    <t>51313 NF</t>
  </si>
  <si>
    <t>51313 P5 NF</t>
  </si>
  <si>
    <t>51313 P6 NF</t>
  </si>
  <si>
    <t>51314A</t>
  </si>
  <si>
    <t>51314A NF</t>
  </si>
  <si>
    <t>51314A P5 NF</t>
  </si>
  <si>
    <t>51314A P6 NF</t>
  </si>
  <si>
    <t>51315A</t>
  </si>
  <si>
    <t>51315A NF</t>
  </si>
  <si>
    <t>51315A P5 NF</t>
  </si>
  <si>
    <t>51315A P6 NF</t>
  </si>
  <si>
    <t>51317A NF</t>
  </si>
  <si>
    <t>51317A P5 NF</t>
  </si>
  <si>
    <t>51317A P6 NF</t>
  </si>
  <si>
    <t>51318 NF</t>
  </si>
  <si>
    <t>51320F NF</t>
  </si>
  <si>
    <t>51322 A</t>
  </si>
  <si>
    <t>51322 M NF</t>
  </si>
  <si>
    <t>51322 NF</t>
  </si>
  <si>
    <t>51324 NF</t>
  </si>
  <si>
    <t>51326 NF</t>
  </si>
  <si>
    <t>51326M NF</t>
  </si>
  <si>
    <t>51328 NF</t>
  </si>
  <si>
    <t>51328M NF</t>
  </si>
  <si>
    <t>51330 NF</t>
  </si>
  <si>
    <t>51330M NF</t>
  </si>
  <si>
    <t>51405 NF</t>
  </si>
  <si>
    <t>51405 P6 NF</t>
  </si>
  <si>
    <t>51406 NF</t>
  </si>
  <si>
    <t>51406 P5 NF</t>
  </si>
  <si>
    <t>51406 P6 NF</t>
  </si>
  <si>
    <t>51407 P6 NF</t>
  </si>
  <si>
    <t>51408ATNGN NF</t>
  </si>
  <si>
    <t>51409 NF</t>
  </si>
  <si>
    <t>51409 P6 NF</t>
  </si>
  <si>
    <t>51411 NF</t>
  </si>
  <si>
    <t>51414A NF</t>
  </si>
  <si>
    <t>51414M</t>
  </si>
  <si>
    <t>51415M</t>
  </si>
  <si>
    <t>51416 NF</t>
  </si>
  <si>
    <t>51416M</t>
  </si>
  <si>
    <t>51418 NF</t>
  </si>
  <si>
    <t>51422 NF</t>
  </si>
  <si>
    <t>51424 NF</t>
  </si>
  <si>
    <t>5204 D1</t>
  </si>
  <si>
    <t>52202 NF</t>
  </si>
  <si>
    <t>52205 P6 NF</t>
  </si>
  <si>
    <t>52205 ZKL</t>
  </si>
  <si>
    <t>52206 NF</t>
  </si>
  <si>
    <t>52206 ZKL</t>
  </si>
  <si>
    <t>52207 P6 NF</t>
  </si>
  <si>
    <t>52207 ZKL</t>
  </si>
  <si>
    <t>52208 NF</t>
  </si>
  <si>
    <t>52209 NF</t>
  </si>
  <si>
    <t>52209 ZKL</t>
  </si>
  <si>
    <t>52210 A</t>
  </si>
  <si>
    <t>52210A NF</t>
  </si>
  <si>
    <t>52211 NF</t>
  </si>
  <si>
    <t>52215 NF</t>
  </si>
  <si>
    <t>52217 NF</t>
  </si>
  <si>
    <t>52230M NF</t>
  </si>
  <si>
    <t>52232 NF</t>
  </si>
  <si>
    <t>52232M NF</t>
  </si>
  <si>
    <t>52234M NF</t>
  </si>
  <si>
    <t>52305 NF</t>
  </si>
  <si>
    <t>52305 P6 NF</t>
  </si>
  <si>
    <t>52306 NF</t>
  </si>
  <si>
    <t>52307 ZKL</t>
  </si>
  <si>
    <t>52308 NF</t>
  </si>
  <si>
    <t>52308 ZKL</t>
  </si>
  <si>
    <t>52309 NF</t>
  </si>
  <si>
    <t>52309 ZKL</t>
  </si>
  <si>
    <t>52312 NF</t>
  </si>
  <si>
    <t>52313 NF</t>
  </si>
  <si>
    <t>52314A NF</t>
  </si>
  <si>
    <t>52314A P6 NF</t>
  </si>
  <si>
    <t>52315A NF</t>
  </si>
  <si>
    <t>52317A NF</t>
  </si>
  <si>
    <t>52318 NF</t>
  </si>
  <si>
    <t>52324M NF</t>
  </si>
  <si>
    <t>52405 NF</t>
  </si>
  <si>
    <t>52406 NF</t>
  </si>
  <si>
    <t>52407 NF</t>
  </si>
  <si>
    <t>52408ATNGN NF</t>
  </si>
  <si>
    <t>52409 NF</t>
  </si>
  <si>
    <t>55175/55437</t>
  </si>
  <si>
    <t>594/592A</t>
  </si>
  <si>
    <t>6000 C3</t>
  </si>
  <si>
    <t>6000-2RS</t>
  </si>
  <si>
    <t>6000-2RS C3</t>
  </si>
  <si>
    <t>6000-2Z</t>
  </si>
  <si>
    <t>6000-2Z C3</t>
  </si>
  <si>
    <t>6000-RS</t>
  </si>
  <si>
    <t>6000-RS C3</t>
  </si>
  <si>
    <t>6000-Z</t>
  </si>
  <si>
    <t>6000-Z C3</t>
  </si>
  <si>
    <t>6001 2R</t>
  </si>
  <si>
    <t>6001 2RSR</t>
  </si>
  <si>
    <t>6001 C3</t>
  </si>
  <si>
    <t>6001-2RS</t>
  </si>
  <si>
    <t>6001-2RS C3</t>
  </si>
  <si>
    <t>6001-2Z</t>
  </si>
  <si>
    <t>6001-2Z C3</t>
  </si>
  <si>
    <t>6001-RS</t>
  </si>
  <si>
    <t>6001-RS C3</t>
  </si>
  <si>
    <t>6001-Z</t>
  </si>
  <si>
    <t>6001-Z C3</t>
  </si>
  <si>
    <t>6001-ZR</t>
  </si>
  <si>
    <t>6002 2RSR C3.</t>
  </si>
  <si>
    <t>6002 2ZR C3.</t>
  </si>
  <si>
    <t>6002 C3</t>
  </si>
  <si>
    <t>6002-2RS</t>
  </si>
  <si>
    <t>6002-2RS C3</t>
  </si>
  <si>
    <t>6002-2Z</t>
  </si>
  <si>
    <t>6002-2Z C3</t>
  </si>
  <si>
    <t>6002-RS</t>
  </si>
  <si>
    <t>6002-RS C3</t>
  </si>
  <si>
    <t>6002-Z</t>
  </si>
  <si>
    <t>6002-Z C3</t>
  </si>
  <si>
    <t>6003 2RSR C3.</t>
  </si>
  <si>
    <t>6003 2RSR.</t>
  </si>
  <si>
    <t>6003 2ZR C3.</t>
  </si>
  <si>
    <t>6003 2ZR.</t>
  </si>
  <si>
    <t>6003-2RS</t>
  </si>
  <si>
    <t>6003-2RS C3</t>
  </si>
  <si>
    <t>6003-2Z</t>
  </si>
  <si>
    <t>6003-2Z C3</t>
  </si>
  <si>
    <t>6003-Z</t>
  </si>
  <si>
    <t>6003-Z C3</t>
  </si>
  <si>
    <t>6004 C3</t>
  </si>
  <si>
    <t>6004-2RS</t>
  </si>
  <si>
    <t>6004-2RS C3</t>
  </si>
  <si>
    <t>6004-2Z</t>
  </si>
  <si>
    <t>6004-2Z C3</t>
  </si>
  <si>
    <t>6004-RS</t>
  </si>
  <si>
    <t>6004-RS C3</t>
  </si>
  <si>
    <t>6004-Z</t>
  </si>
  <si>
    <t>6004-Z C3</t>
  </si>
  <si>
    <t>6004N</t>
  </si>
  <si>
    <t>6005 2ZR C3.</t>
  </si>
  <si>
    <t>6005 AZR.</t>
  </si>
  <si>
    <t>6005-2RS</t>
  </si>
  <si>
    <t>6005-2RS C3</t>
  </si>
  <si>
    <t>6005-2Z</t>
  </si>
  <si>
    <t>6005-2Z C3</t>
  </si>
  <si>
    <t>6005-RS</t>
  </si>
  <si>
    <t>6005-RS C3</t>
  </si>
  <si>
    <t>6005-Z</t>
  </si>
  <si>
    <t>6005-Z C3</t>
  </si>
  <si>
    <t>6006 2ZR C3.</t>
  </si>
  <si>
    <t>6006 2ZR.</t>
  </si>
  <si>
    <t>6006-2RS</t>
  </si>
  <si>
    <t>6006-2RS C3</t>
  </si>
  <si>
    <t>6006-2Z</t>
  </si>
  <si>
    <t>6006-2Z C3</t>
  </si>
  <si>
    <t>6006-RS</t>
  </si>
  <si>
    <t>6006-RS C3</t>
  </si>
  <si>
    <t>6006-Z</t>
  </si>
  <si>
    <t>6006-Z C3</t>
  </si>
  <si>
    <t>6006N</t>
  </si>
  <si>
    <t>6007 2RSR C3.</t>
  </si>
  <si>
    <t>6007 C3</t>
  </si>
  <si>
    <t>6007-2RS</t>
  </si>
  <si>
    <t>6007-2RS C3</t>
  </si>
  <si>
    <t>6007-2Z</t>
  </si>
  <si>
    <t>6007-2Z C3</t>
  </si>
  <si>
    <t>6007-RS</t>
  </si>
  <si>
    <t>6007-RS C3</t>
  </si>
  <si>
    <t>6007-Z</t>
  </si>
  <si>
    <t>6007-Z C3</t>
  </si>
  <si>
    <t>6007N</t>
  </si>
  <si>
    <t>6008-2RS</t>
  </si>
  <si>
    <t>6008-2RS C3</t>
  </si>
  <si>
    <t>6008-2Z</t>
  </si>
  <si>
    <t>6008-2Z C3</t>
  </si>
  <si>
    <t>6008-RS</t>
  </si>
  <si>
    <t>6008-RS C3</t>
  </si>
  <si>
    <t>6008-Z</t>
  </si>
  <si>
    <t>6008-Z C3</t>
  </si>
  <si>
    <t>6008N</t>
  </si>
  <si>
    <t>6009 2RSR C3.</t>
  </si>
  <si>
    <t>6009 2RSR.</t>
  </si>
  <si>
    <t>6009 B</t>
  </si>
  <si>
    <t>6009-2RS</t>
  </si>
  <si>
    <t>6009-2RS C3</t>
  </si>
  <si>
    <t>6009-2Z</t>
  </si>
  <si>
    <t>6009-2Z C3</t>
  </si>
  <si>
    <t>6009-RS</t>
  </si>
  <si>
    <t>6009-RS C3</t>
  </si>
  <si>
    <t>6009-Z</t>
  </si>
  <si>
    <t>6009-Z C3</t>
  </si>
  <si>
    <t>6009N</t>
  </si>
  <si>
    <t>6010 2RSR C3.</t>
  </si>
  <si>
    <t>6010 Z N C3</t>
  </si>
  <si>
    <t>6010-2RS</t>
  </si>
  <si>
    <t>6010-2RS C3</t>
  </si>
  <si>
    <t>6010-2Z</t>
  </si>
  <si>
    <t>6010-2Z C3</t>
  </si>
  <si>
    <t>6010-RS</t>
  </si>
  <si>
    <t>6010-RS C3</t>
  </si>
  <si>
    <t>6010-Z</t>
  </si>
  <si>
    <t>6010-Z C3</t>
  </si>
  <si>
    <t>6010N</t>
  </si>
  <si>
    <t>6011 2RS C3.</t>
  </si>
  <si>
    <t>6011 2ZR C3.</t>
  </si>
  <si>
    <t>6011 C3</t>
  </si>
  <si>
    <t>6011-2RS</t>
  </si>
  <si>
    <t>6011-2RS C3</t>
  </si>
  <si>
    <t>6011-2Z</t>
  </si>
  <si>
    <t>6011-2Z C3</t>
  </si>
  <si>
    <t>6011-RS</t>
  </si>
  <si>
    <t>6011-RS C3</t>
  </si>
  <si>
    <t>6011-Z</t>
  </si>
  <si>
    <t>6011-Z C3</t>
  </si>
  <si>
    <t>6011N</t>
  </si>
  <si>
    <t>6012 2RSR C3.</t>
  </si>
  <si>
    <t>6012 2ZA.</t>
  </si>
  <si>
    <t>6012 2ZR C3.</t>
  </si>
  <si>
    <t>6012 C3</t>
  </si>
  <si>
    <t>6012-2RS</t>
  </si>
  <si>
    <t>6012-2RS C3</t>
  </si>
  <si>
    <t>6012-2Z</t>
  </si>
  <si>
    <t>6012-2Z C3</t>
  </si>
  <si>
    <t>6012-RS</t>
  </si>
  <si>
    <t>6012-RS C3</t>
  </si>
  <si>
    <t>6012-Z</t>
  </si>
  <si>
    <t>6012-Z C3</t>
  </si>
  <si>
    <t>6012N</t>
  </si>
  <si>
    <t>6013 2RSR C3.</t>
  </si>
  <si>
    <t>6013 2RSR.</t>
  </si>
  <si>
    <t>6013-2RS</t>
  </si>
  <si>
    <t>6013-2RS C3</t>
  </si>
  <si>
    <t>6013-2Z</t>
  </si>
  <si>
    <t>6013-2Z C3</t>
  </si>
  <si>
    <t>6013-RS</t>
  </si>
  <si>
    <t>6013-RS C3</t>
  </si>
  <si>
    <t>6013-Z</t>
  </si>
  <si>
    <t>6013-Z C3</t>
  </si>
  <si>
    <t>6013N</t>
  </si>
  <si>
    <t>6014 2RSR C3.</t>
  </si>
  <si>
    <t>6014 2RSR.</t>
  </si>
  <si>
    <t>6014 2ZR C3.</t>
  </si>
  <si>
    <t>6014 C3</t>
  </si>
  <si>
    <t>6014-2RS</t>
  </si>
  <si>
    <t>6014-2RS C3</t>
  </si>
  <si>
    <t>6014-2Z</t>
  </si>
  <si>
    <t>6014-2Z C3</t>
  </si>
  <si>
    <t>6014-RS</t>
  </si>
  <si>
    <t>6014-RS C3</t>
  </si>
  <si>
    <t>6014-Z</t>
  </si>
  <si>
    <t>6015 C3</t>
  </si>
  <si>
    <t>6015 C4</t>
  </si>
  <si>
    <t>6015-2RS</t>
  </si>
  <si>
    <t>6015-2RS C3</t>
  </si>
  <si>
    <t>6015-2Z</t>
  </si>
  <si>
    <t>6015-2Z C3</t>
  </si>
  <si>
    <t>6015-RS</t>
  </si>
  <si>
    <t>6015-RS C3</t>
  </si>
  <si>
    <t>6015-Z</t>
  </si>
  <si>
    <t>6015-Z C3</t>
  </si>
  <si>
    <t>6015N</t>
  </si>
  <si>
    <t>6016 C3</t>
  </si>
  <si>
    <t>6016-2RS</t>
  </si>
  <si>
    <t>6016-2RS C3</t>
  </si>
  <si>
    <t>6016-2Z</t>
  </si>
  <si>
    <t>6016-2Z C3</t>
  </si>
  <si>
    <t>6016-RS</t>
  </si>
  <si>
    <t>6016-RS C3</t>
  </si>
  <si>
    <t>6016-Z</t>
  </si>
  <si>
    <t>6016-Z C3</t>
  </si>
  <si>
    <t>6017-2RS</t>
  </si>
  <si>
    <t>6017-2RS C3</t>
  </si>
  <si>
    <t>6017-2Z</t>
  </si>
  <si>
    <t>6017-2Z C3</t>
  </si>
  <si>
    <t>6017-RS</t>
  </si>
  <si>
    <t>6017-RS C3</t>
  </si>
  <si>
    <t>6017-Z</t>
  </si>
  <si>
    <t>6017-Z C3</t>
  </si>
  <si>
    <t>6018 C3</t>
  </si>
  <si>
    <t>6018-2RS</t>
  </si>
  <si>
    <t>6018-2RS C3</t>
  </si>
  <si>
    <t>6018-2Z</t>
  </si>
  <si>
    <t>6018-2Z C3</t>
  </si>
  <si>
    <t>6018-Z</t>
  </si>
  <si>
    <t>6018-Z C3</t>
  </si>
  <si>
    <t>6019 C3</t>
  </si>
  <si>
    <t>6019-2RS</t>
  </si>
  <si>
    <t>6019-2RS C3</t>
  </si>
  <si>
    <t>6019-2Z</t>
  </si>
  <si>
    <t>6019-2Z C3</t>
  </si>
  <si>
    <t>6019-Z</t>
  </si>
  <si>
    <t>6019-Z C3</t>
  </si>
  <si>
    <t>6020 2RSR C3.</t>
  </si>
  <si>
    <t>6020-2RS</t>
  </si>
  <si>
    <t>6020-2RS C3</t>
  </si>
  <si>
    <t>6020-2Z</t>
  </si>
  <si>
    <t>6020-2Z C3</t>
  </si>
  <si>
    <t>6020-RS</t>
  </si>
  <si>
    <t>6020-Z</t>
  </si>
  <si>
    <t>6020-Z C3</t>
  </si>
  <si>
    <t>6021-2Z</t>
  </si>
  <si>
    <t>6021-2Z C3</t>
  </si>
  <si>
    <t>6021-Z</t>
  </si>
  <si>
    <t>6021-Z C3</t>
  </si>
  <si>
    <t>6022-2RS</t>
  </si>
  <si>
    <t>6022-2RS C3</t>
  </si>
  <si>
    <t>6022-2Z</t>
  </si>
  <si>
    <t>6022-2Z C3</t>
  </si>
  <si>
    <t>6022-Z</t>
  </si>
  <si>
    <t>6024-2RS</t>
  </si>
  <si>
    <t>6024-2RS C3</t>
  </si>
  <si>
    <t>6024-2Z</t>
  </si>
  <si>
    <t>6024-2Z C3</t>
  </si>
  <si>
    <t>6024-RS</t>
  </si>
  <si>
    <t>6024-Z</t>
  </si>
  <si>
    <t>6024-Z C3</t>
  </si>
  <si>
    <t>6026 C3</t>
  </si>
  <si>
    <t>6026-2Z</t>
  </si>
  <si>
    <t>6026-2Z C3</t>
  </si>
  <si>
    <t>6028 C3</t>
  </si>
  <si>
    <t>6028 C3 ZZ</t>
  </si>
  <si>
    <t>6028-2Z</t>
  </si>
  <si>
    <t>6028-2Z C3</t>
  </si>
  <si>
    <t>6030-2Z</t>
  </si>
  <si>
    <t>6030-2Z C3</t>
  </si>
  <si>
    <t>6032 2RSR.</t>
  </si>
  <si>
    <t>6038 C3</t>
  </si>
  <si>
    <t>607-2RS C3</t>
  </si>
  <si>
    <t>607-2RSR</t>
  </si>
  <si>
    <t>607-2RSR C3</t>
  </si>
  <si>
    <t>607-2ZR</t>
  </si>
  <si>
    <t>607-2ZR C3</t>
  </si>
  <si>
    <t>607-ZR</t>
  </si>
  <si>
    <t>608-2RSR</t>
  </si>
  <si>
    <t>608-2RSR C3</t>
  </si>
  <si>
    <t>608-2ZR</t>
  </si>
  <si>
    <t>608-2ZR C3</t>
  </si>
  <si>
    <t>609-2RSR</t>
  </si>
  <si>
    <t>609-2RSR C3</t>
  </si>
  <si>
    <t>609-2ZR</t>
  </si>
  <si>
    <t>609-2ZR C3</t>
  </si>
  <si>
    <t>61922M C3</t>
  </si>
  <si>
    <t>6200 2RSR.</t>
  </si>
  <si>
    <t>6200-2RS</t>
  </si>
  <si>
    <t>6200-2RS C3</t>
  </si>
  <si>
    <t>6200-2Z</t>
  </si>
  <si>
    <t>6200-2Z C3</t>
  </si>
  <si>
    <t>6200-RS</t>
  </si>
  <si>
    <t>6200-RS C3</t>
  </si>
  <si>
    <t>6200-Z</t>
  </si>
  <si>
    <t>6200-Z C3</t>
  </si>
  <si>
    <t>6201 2RSR.</t>
  </si>
  <si>
    <t>6201 2ZR C3.</t>
  </si>
  <si>
    <t>6201 2ZR.</t>
  </si>
  <si>
    <t>6201 C3</t>
  </si>
  <si>
    <t>6201-2RS</t>
  </si>
  <si>
    <t>6201-2RS C3</t>
  </si>
  <si>
    <t>6201-2Z</t>
  </si>
  <si>
    <t>6201-2Z C3</t>
  </si>
  <si>
    <t>6201-RS</t>
  </si>
  <si>
    <t>6201-RS C3</t>
  </si>
  <si>
    <t>6201-Z</t>
  </si>
  <si>
    <t>6201-Z C3</t>
  </si>
  <si>
    <t>6202 2ZR C3.</t>
  </si>
  <si>
    <t>6202 2ZR.</t>
  </si>
  <si>
    <t>6202-2RS</t>
  </si>
  <si>
    <t>6202-2RS C3</t>
  </si>
  <si>
    <t>6202-2Z</t>
  </si>
  <si>
    <t>6202-2Z C3</t>
  </si>
  <si>
    <t>6202-RS</t>
  </si>
  <si>
    <t>6202-RS C3</t>
  </si>
  <si>
    <t>6202-Z</t>
  </si>
  <si>
    <t>6202-Z C3</t>
  </si>
  <si>
    <t>6202N</t>
  </si>
  <si>
    <t>6203 2ZR C3.</t>
  </si>
  <si>
    <t>6203 2ZR.</t>
  </si>
  <si>
    <t>6203-2RS</t>
  </si>
  <si>
    <t>6203-2RS C3</t>
  </si>
  <si>
    <t>6203-2Z</t>
  </si>
  <si>
    <t>6203-2Z C3</t>
  </si>
  <si>
    <t>6203-RS</t>
  </si>
  <si>
    <t>6203-RS C3</t>
  </si>
  <si>
    <t>6203-Z</t>
  </si>
  <si>
    <t>6203-Z C3</t>
  </si>
  <si>
    <t>6203N</t>
  </si>
  <si>
    <t>6204 2RSR C3.</t>
  </si>
  <si>
    <t>6204 2RSR.</t>
  </si>
  <si>
    <t>6204 2ZR.</t>
  </si>
  <si>
    <t>6204 C3</t>
  </si>
  <si>
    <t>6204-2RS</t>
  </si>
  <si>
    <t>6204-2RS C3</t>
  </si>
  <si>
    <t>6204-2Z</t>
  </si>
  <si>
    <t>6204-RS</t>
  </si>
  <si>
    <t>6204-RS C3</t>
  </si>
  <si>
    <t>6204-Z</t>
  </si>
  <si>
    <t>6204-Z C3</t>
  </si>
  <si>
    <t>6204-ZN</t>
  </si>
  <si>
    <t>6204N</t>
  </si>
  <si>
    <t>6205 2RSR C3.</t>
  </si>
  <si>
    <t>6205 2RSR.</t>
  </si>
  <si>
    <t>6205 2ZR C3.</t>
  </si>
  <si>
    <t>6205 C3</t>
  </si>
  <si>
    <t>6205-2RS</t>
  </si>
  <si>
    <t>6205-2RS C3</t>
  </si>
  <si>
    <t>6205-2Z</t>
  </si>
  <si>
    <t>6205-2Z C3</t>
  </si>
  <si>
    <t>6205-RS</t>
  </si>
  <si>
    <t>6205-RS C3</t>
  </si>
  <si>
    <t>6205-Z</t>
  </si>
  <si>
    <t>6205-Z C3</t>
  </si>
  <si>
    <t>6205-ZN</t>
  </si>
  <si>
    <t>6205N</t>
  </si>
  <si>
    <t>6205N C3</t>
  </si>
  <si>
    <t>6206 {VKB}</t>
  </si>
  <si>
    <t>6206 2ZR C3.</t>
  </si>
  <si>
    <t>6206 2ZR.</t>
  </si>
  <si>
    <t>6206-2RS</t>
  </si>
  <si>
    <t>6206-2RS C3</t>
  </si>
  <si>
    <t>6206-2Z</t>
  </si>
  <si>
    <t>6206-2Z C3</t>
  </si>
  <si>
    <t>6206-RS</t>
  </si>
  <si>
    <t>6206-RS C3</t>
  </si>
  <si>
    <t>6206-Z</t>
  </si>
  <si>
    <t>6206-Z C3</t>
  </si>
  <si>
    <t>6206-ZN</t>
  </si>
  <si>
    <t>6206N</t>
  </si>
  <si>
    <t>6207 2Z N C3</t>
  </si>
  <si>
    <t>6207-2RS</t>
  </si>
  <si>
    <t>6207-2RS C3</t>
  </si>
  <si>
    <t>6207-2RSK</t>
  </si>
  <si>
    <t>6207-2Z</t>
  </si>
  <si>
    <t>6207-2Z C3</t>
  </si>
  <si>
    <t>6207-RS</t>
  </si>
  <si>
    <t>6207-RS C3</t>
  </si>
  <si>
    <t>6207-Z</t>
  </si>
  <si>
    <t>6207-Z C3</t>
  </si>
  <si>
    <t>6207-ZN</t>
  </si>
  <si>
    <t>6207-ZN C3</t>
  </si>
  <si>
    <t>6207N</t>
  </si>
  <si>
    <t>6208 2ZR C3.</t>
  </si>
  <si>
    <t>6208-2RS</t>
  </si>
  <si>
    <t>6208-2RS C3</t>
  </si>
  <si>
    <t>6208-2RSK</t>
  </si>
  <si>
    <t>6208-2Z</t>
  </si>
  <si>
    <t>6208-2Z C3</t>
  </si>
  <si>
    <t>6208-RS</t>
  </si>
  <si>
    <t>6208-RS C3</t>
  </si>
  <si>
    <t>6208-Z</t>
  </si>
  <si>
    <t>6208-Z C3</t>
  </si>
  <si>
    <t>6208-ZN</t>
  </si>
  <si>
    <t>62082Z</t>
  </si>
  <si>
    <t>6208N</t>
  </si>
  <si>
    <t>6209 2RSR C3.</t>
  </si>
  <si>
    <t>6209 2RSR.</t>
  </si>
  <si>
    <t>6209 TB P5.</t>
  </si>
  <si>
    <t>6209 TB P6.</t>
  </si>
  <si>
    <t>6209-2RS</t>
  </si>
  <si>
    <t>6209-2RS C3</t>
  </si>
  <si>
    <t>6209-2RSK</t>
  </si>
  <si>
    <t>6209-2RSK C3</t>
  </si>
  <si>
    <t>6209-2Z</t>
  </si>
  <si>
    <t>6209-2Z C3</t>
  </si>
  <si>
    <t>6209-RS</t>
  </si>
  <si>
    <t>6209-RS C3</t>
  </si>
  <si>
    <t>6209-Z</t>
  </si>
  <si>
    <t>6209-Z C3</t>
  </si>
  <si>
    <t>6209-ZN</t>
  </si>
  <si>
    <t>6209N</t>
  </si>
  <si>
    <t>6210 2RSR.</t>
  </si>
  <si>
    <t>6210 2Z N</t>
  </si>
  <si>
    <t>6210 2ZR C3.</t>
  </si>
  <si>
    <t>6210 2ZR.</t>
  </si>
  <si>
    <t>6210-2RS</t>
  </si>
  <si>
    <t>6210-2RS C3</t>
  </si>
  <si>
    <t>6210-2RSK</t>
  </si>
  <si>
    <t>6210-2Z</t>
  </si>
  <si>
    <t>6210-2Z C3</t>
  </si>
  <si>
    <t>6210-RS</t>
  </si>
  <si>
    <t>6210-RS C3</t>
  </si>
  <si>
    <t>6210-Z</t>
  </si>
  <si>
    <t>6210-Z C3</t>
  </si>
  <si>
    <t>6210-ZN</t>
  </si>
  <si>
    <t>6210N</t>
  </si>
  <si>
    <t>6211 2RSR.</t>
  </si>
  <si>
    <t>6211 2ZR C3.</t>
  </si>
  <si>
    <t>6211 C3.</t>
  </si>
  <si>
    <t>6211-2RS</t>
  </si>
  <si>
    <t>6211-2RS C3</t>
  </si>
  <si>
    <t>6211-2Z</t>
  </si>
  <si>
    <t>6211-2Z C3</t>
  </si>
  <si>
    <t>6211-RS</t>
  </si>
  <si>
    <t>6211-RS C3</t>
  </si>
  <si>
    <t>6211-Z</t>
  </si>
  <si>
    <t>6211-Z C3</t>
  </si>
  <si>
    <t>6211-ZN</t>
  </si>
  <si>
    <t>6212 2RSR C3.</t>
  </si>
  <si>
    <t>6212 2RSR.</t>
  </si>
  <si>
    <t>6212-2RS</t>
  </si>
  <si>
    <t>6212-2RS C3</t>
  </si>
  <si>
    <t>6212-2Z</t>
  </si>
  <si>
    <t>6212-2Z C3</t>
  </si>
  <si>
    <t>6212-RS</t>
  </si>
  <si>
    <t>6212-RS C3</t>
  </si>
  <si>
    <t>6212-Z</t>
  </si>
  <si>
    <t>6212-Z C3</t>
  </si>
  <si>
    <t>6212-ZN</t>
  </si>
  <si>
    <t>6212N</t>
  </si>
  <si>
    <t>6213 2Z C4.</t>
  </si>
  <si>
    <t>6213 2ZR C3.</t>
  </si>
  <si>
    <t>6213-2RS</t>
  </si>
  <si>
    <t>6213-2RS C3</t>
  </si>
  <si>
    <t>6213-2Z</t>
  </si>
  <si>
    <t>6213-2Z C3</t>
  </si>
  <si>
    <t>6213-RS</t>
  </si>
  <si>
    <t>6213-RS C3</t>
  </si>
  <si>
    <t>6213-Z</t>
  </si>
  <si>
    <t>6213-Z C3</t>
  </si>
  <si>
    <t>6213-ZN</t>
  </si>
  <si>
    <t>6213-ZN C3</t>
  </si>
  <si>
    <t>6213N</t>
  </si>
  <si>
    <t>6214 2RSR.</t>
  </si>
  <si>
    <t>6214-2RS</t>
  </si>
  <si>
    <t>6214-2RS C3</t>
  </si>
  <si>
    <t>6214-2Z</t>
  </si>
  <si>
    <t>6214-2Z C3</t>
  </si>
  <si>
    <t>6214-RS</t>
  </si>
  <si>
    <t>6214-RS C3</t>
  </si>
  <si>
    <t>6214-Z</t>
  </si>
  <si>
    <t>6214-Z C3</t>
  </si>
  <si>
    <t>6215 2RSR C3.</t>
  </si>
  <si>
    <t>6215-2RS</t>
  </si>
  <si>
    <t>6215-2RS C3</t>
  </si>
  <si>
    <t>6215-2Z</t>
  </si>
  <si>
    <t>6215-2Z C3</t>
  </si>
  <si>
    <t>6215-RS</t>
  </si>
  <si>
    <t>6215-RS C3</t>
  </si>
  <si>
    <t>6215-Z</t>
  </si>
  <si>
    <t>6215-Z C3</t>
  </si>
  <si>
    <t>6215-ZN</t>
  </si>
  <si>
    <t>6216 2RSR C3.</t>
  </si>
  <si>
    <t>6216 2RSR.</t>
  </si>
  <si>
    <t>6216-2RS</t>
  </si>
  <si>
    <t>6216-2RS C3</t>
  </si>
  <si>
    <t>6216-2Z</t>
  </si>
  <si>
    <t>6216-2Z C3</t>
  </si>
  <si>
    <t>6216-RS</t>
  </si>
  <si>
    <t>6216-RS C3</t>
  </si>
  <si>
    <t>6216-Z</t>
  </si>
  <si>
    <t>6216-Z C3</t>
  </si>
  <si>
    <t>6216-ZN</t>
  </si>
  <si>
    <t>6217 C3</t>
  </si>
  <si>
    <t>6217-2RS</t>
  </si>
  <si>
    <t>6217-2RS C3</t>
  </si>
  <si>
    <t>6217-2Z</t>
  </si>
  <si>
    <t>6217-2Z C3</t>
  </si>
  <si>
    <t>6217-RS</t>
  </si>
  <si>
    <t>6217-RS C3</t>
  </si>
  <si>
    <t>6217-Z</t>
  </si>
  <si>
    <t>6217-Z C3</t>
  </si>
  <si>
    <t>6218 2RSR.</t>
  </si>
  <si>
    <t>6218-2RS</t>
  </si>
  <si>
    <t>6218-2RS C3</t>
  </si>
  <si>
    <t>6218-2Z</t>
  </si>
  <si>
    <t>6218-2Z C3</t>
  </si>
  <si>
    <t>6218-RS</t>
  </si>
  <si>
    <t>6218-Z</t>
  </si>
  <si>
    <t>6218-Z C3</t>
  </si>
  <si>
    <t>6218N</t>
  </si>
  <si>
    <t>6218N C3</t>
  </si>
  <si>
    <t>6219-2RS</t>
  </si>
  <si>
    <t>6219-2RS C3</t>
  </si>
  <si>
    <t>6219-2Z</t>
  </si>
  <si>
    <t>6219-2Z C3</t>
  </si>
  <si>
    <t>6219-Z</t>
  </si>
  <si>
    <t>6219-Z C3</t>
  </si>
  <si>
    <t>6219N</t>
  </si>
  <si>
    <t>622 ZZ</t>
  </si>
  <si>
    <t>6220-2RS</t>
  </si>
  <si>
    <t>6220-2RS C3</t>
  </si>
  <si>
    <t>6220-2Z</t>
  </si>
  <si>
    <t>6220-2Z C3</t>
  </si>
  <si>
    <t>6220-RS</t>
  </si>
  <si>
    <t>6220-Z</t>
  </si>
  <si>
    <t>6220-Z C3</t>
  </si>
  <si>
    <t>62200-2RS</t>
  </si>
  <si>
    <t>62201-2RS</t>
  </si>
  <si>
    <t>62201-2RS C3</t>
  </si>
  <si>
    <t>62202-2RS</t>
  </si>
  <si>
    <t>62203-2RS</t>
  </si>
  <si>
    <t>62203-2RS C3</t>
  </si>
  <si>
    <t>62204 2RSR.</t>
  </si>
  <si>
    <t>62204-2RS</t>
  </si>
  <si>
    <t>62205 2RSR.</t>
  </si>
  <si>
    <t>62205-2RS</t>
  </si>
  <si>
    <t>62206-2RS</t>
  </si>
  <si>
    <t>62207-2RS</t>
  </si>
  <si>
    <t>6222-2Z</t>
  </si>
  <si>
    <t>6222-2Z C3</t>
  </si>
  <si>
    <t>6222-Z</t>
  </si>
  <si>
    <t>6222-Z C3</t>
  </si>
  <si>
    <t>623-2ZR</t>
  </si>
  <si>
    <t>623-2ZR C3</t>
  </si>
  <si>
    <t>6230 C3</t>
  </si>
  <si>
    <t>62303-2RS</t>
  </si>
  <si>
    <t>62304-2RS</t>
  </si>
  <si>
    <t>62305-2RS</t>
  </si>
  <si>
    <t>62305-2RS C3</t>
  </si>
  <si>
    <t>62307-2RS</t>
  </si>
  <si>
    <t>62307-2RS C3</t>
  </si>
  <si>
    <t>6232 C3</t>
  </si>
  <si>
    <t>6238M</t>
  </si>
  <si>
    <t>6238M C3</t>
  </si>
  <si>
    <t>624 2ZR.</t>
  </si>
  <si>
    <t>624-2ZR</t>
  </si>
  <si>
    <t>624-2ZR C3</t>
  </si>
  <si>
    <t>624-2ZR.</t>
  </si>
  <si>
    <t>6240_</t>
  </si>
  <si>
    <t>6242 Z C3</t>
  </si>
  <si>
    <t>625 2Z R</t>
  </si>
  <si>
    <t>625 2ZR C3.</t>
  </si>
  <si>
    <t>625 Z R</t>
  </si>
  <si>
    <t>625-2RSR</t>
  </si>
  <si>
    <t>625-2RSR C3</t>
  </si>
  <si>
    <t>625-2ZR</t>
  </si>
  <si>
    <t>625-2ZR C3</t>
  </si>
  <si>
    <t>625-2ZR C3.</t>
  </si>
  <si>
    <t>625-2ZR.</t>
  </si>
  <si>
    <t>626 2RSR C3.</t>
  </si>
  <si>
    <t>626 2ZR C3.</t>
  </si>
  <si>
    <t>626 2ZR.</t>
  </si>
  <si>
    <t>626-2RS</t>
  </si>
  <si>
    <t>626-2RSR C3</t>
  </si>
  <si>
    <t>626-2ZR</t>
  </si>
  <si>
    <t>626-2ZR C3</t>
  </si>
  <si>
    <t>626-2ZR C3.</t>
  </si>
  <si>
    <t>626-2ZR.</t>
  </si>
  <si>
    <t>626-ZR</t>
  </si>
  <si>
    <t>627-2RSR</t>
  </si>
  <si>
    <t>627-2RSR C3</t>
  </si>
  <si>
    <t>627-2ZR</t>
  </si>
  <si>
    <t>627-2ZR C3</t>
  </si>
  <si>
    <t>627-ZR</t>
  </si>
  <si>
    <t>629-2RSR</t>
  </si>
  <si>
    <t>629-2RSR C3</t>
  </si>
  <si>
    <t>629-2ZR</t>
  </si>
  <si>
    <t>629-2ZR C3.</t>
  </si>
  <si>
    <t>6292ZRC3</t>
  </si>
  <si>
    <t>6300 2RSR C3.</t>
  </si>
  <si>
    <t>6300 2RSR.</t>
  </si>
  <si>
    <t>6300 C3</t>
  </si>
  <si>
    <t>6300-2RS</t>
  </si>
  <si>
    <t>6300-2RS C3</t>
  </si>
  <si>
    <t>6300-2Z</t>
  </si>
  <si>
    <t>6300-2Z C3</t>
  </si>
  <si>
    <t>6300-RS</t>
  </si>
  <si>
    <t>6300-Z</t>
  </si>
  <si>
    <t>6300-Z C3</t>
  </si>
  <si>
    <t>63002 2ZR C3.</t>
  </si>
  <si>
    <t>6301 2RSR C3.</t>
  </si>
  <si>
    <t>6301 2RSR.</t>
  </si>
  <si>
    <t>6301 C3</t>
  </si>
  <si>
    <t>6301-2RS</t>
  </si>
  <si>
    <t>6301-2RS C3</t>
  </si>
  <si>
    <t>6301-2Z</t>
  </si>
  <si>
    <t>6301-2Z C3</t>
  </si>
  <si>
    <t>6301-RS</t>
  </si>
  <si>
    <t>6301-RS C3</t>
  </si>
  <si>
    <t>6301-Z</t>
  </si>
  <si>
    <t>6301-Z C3</t>
  </si>
  <si>
    <t>6302 2RSR C3.</t>
  </si>
  <si>
    <t>6302 2RSR.</t>
  </si>
  <si>
    <t>6302 2ZR C3.</t>
  </si>
  <si>
    <t>6302 2ZR.</t>
  </si>
  <si>
    <t>6302 C3</t>
  </si>
  <si>
    <t>6302-2RS</t>
  </si>
  <si>
    <t>6302-2RS C3</t>
  </si>
  <si>
    <t>6302-2Z</t>
  </si>
  <si>
    <t>6302-2Z C3</t>
  </si>
  <si>
    <t>6302-RS</t>
  </si>
  <si>
    <t>6302-RS C3</t>
  </si>
  <si>
    <t>6302-Z</t>
  </si>
  <si>
    <t>6302-Z C3</t>
  </si>
  <si>
    <t>6303 2RSR.</t>
  </si>
  <si>
    <t>6303 2ZR.</t>
  </si>
  <si>
    <t>6303 C3</t>
  </si>
  <si>
    <t>6303-2RS</t>
  </si>
  <si>
    <t>6303-2RS C3</t>
  </si>
  <si>
    <t>6303-2Z</t>
  </si>
  <si>
    <t>6303-2Z C3</t>
  </si>
  <si>
    <t>6303-RS</t>
  </si>
  <si>
    <t>6303-RS C3</t>
  </si>
  <si>
    <t>6303-Z</t>
  </si>
  <si>
    <t>6303-Z C3</t>
  </si>
  <si>
    <t>6304 2RSR C3.</t>
  </si>
  <si>
    <t>6304 2RSR.</t>
  </si>
  <si>
    <t>6304 C3</t>
  </si>
  <si>
    <t>6304-2RS</t>
  </si>
  <si>
    <t>6304-2RS C3</t>
  </si>
  <si>
    <t>6304-2Z</t>
  </si>
  <si>
    <t>6304-2Z C3</t>
  </si>
  <si>
    <t>6304-RS</t>
  </si>
  <si>
    <t>6304-RS C3</t>
  </si>
  <si>
    <t>6304-Z</t>
  </si>
  <si>
    <t>6304-Z C3</t>
  </si>
  <si>
    <t>6304-ZN</t>
  </si>
  <si>
    <t>6304N</t>
  </si>
  <si>
    <t>6305 2RSR C3.</t>
  </si>
  <si>
    <t>6305 2RSR.</t>
  </si>
  <si>
    <t>6305 2ZR C3.</t>
  </si>
  <si>
    <t>6305-2RS</t>
  </si>
  <si>
    <t>6305-2RS C3</t>
  </si>
  <si>
    <t>6305-2Z</t>
  </si>
  <si>
    <t>6305-2Z C3</t>
  </si>
  <si>
    <t>6305-RS</t>
  </si>
  <si>
    <t>6305-RS C3</t>
  </si>
  <si>
    <t>6305-Z</t>
  </si>
  <si>
    <t>6305-Z C3</t>
  </si>
  <si>
    <t>6305-ZN</t>
  </si>
  <si>
    <t>6305N</t>
  </si>
  <si>
    <t>6305N C3</t>
  </si>
  <si>
    <t>6306 2RSR.</t>
  </si>
  <si>
    <t>6306 2Z N</t>
  </si>
  <si>
    <t>6306-2RS</t>
  </si>
  <si>
    <t>6306-2RS C3</t>
  </si>
  <si>
    <t>6306-2Z</t>
  </si>
  <si>
    <t>6306-2Z C3</t>
  </si>
  <si>
    <t>6306-RS</t>
  </si>
  <si>
    <t>6306-RS C3</t>
  </si>
  <si>
    <t>6306-Z</t>
  </si>
  <si>
    <t>6306-Z C3</t>
  </si>
  <si>
    <t>6306-ZN</t>
  </si>
  <si>
    <t>6306-ZN C3</t>
  </si>
  <si>
    <t>6306N</t>
  </si>
  <si>
    <t>6306N C3</t>
  </si>
  <si>
    <t>6307 2RSR.</t>
  </si>
  <si>
    <t>6307-2RS</t>
  </si>
  <si>
    <t>6307-2RS C3</t>
  </si>
  <si>
    <t>6307-2Z</t>
  </si>
  <si>
    <t>6307-2Z C3</t>
  </si>
  <si>
    <t>6307-RS</t>
  </si>
  <si>
    <t>6307-RS C3</t>
  </si>
  <si>
    <t>6307-Z</t>
  </si>
  <si>
    <t>6307-Z C3</t>
  </si>
  <si>
    <t>6307-ZN</t>
  </si>
  <si>
    <t>6307N</t>
  </si>
  <si>
    <t>6308 C4.</t>
  </si>
  <si>
    <t>6308-2RS</t>
  </si>
  <si>
    <t>6308-2RS C3</t>
  </si>
  <si>
    <t>6308-2Z</t>
  </si>
  <si>
    <t>6308-2Z C3</t>
  </si>
  <si>
    <t>6308-RS</t>
  </si>
  <si>
    <t>6308-RS C3</t>
  </si>
  <si>
    <t>6308-Z</t>
  </si>
  <si>
    <t>6308-Z C3</t>
  </si>
  <si>
    <t>6308-ZN</t>
  </si>
  <si>
    <t>6308-ZN C3</t>
  </si>
  <si>
    <t>6308N</t>
  </si>
  <si>
    <t>6309-2RS</t>
  </si>
  <si>
    <t>6309-2RS C3</t>
  </si>
  <si>
    <t>6309-2Z</t>
  </si>
  <si>
    <t>6309-2Z C3</t>
  </si>
  <si>
    <t>6309-RS</t>
  </si>
  <si>
    <t>6309-RS C3</t>
  </si>
  <si>
    <t>6309-Z</t>
  </si>
  <si>
    <t>6309-Z C3</t>
  </si>
  <si>
    <t>6309-ZN</t>
  </si>
  <si>
    <t>6309N</t>
  </si>
  <si>
    <t>6310 2RSR.</t>
  </si>
  <si>
    <t>6310 2ZR C3.</t>
  </si>
  <si>
    <t>6310-2RS</t>
  </si>
  <si>
    <t>6310-2RS C3</t>
  </si>
  <si>
    <t>6310-2Z</t>
  </si>
  <si>
    <t>6310-2Z C3</t>
  </si>
  <si>
    <t>6310-RS</t>
  </si>
  <si>
    <t>6310-RS C3</t>
  </si>
  <si>
    <t>6310-Z</t>
  </si>
  <si>
    <t>6310-Z C3</t>
  </si>
  <si>
    <t>6310-ZN</t>
  </si>
  <si>
    <t>6310N</t>
  </si>
  <si>
    <t>6311 2RSR C3.</t>
  </si>
  <si>
    <t>6311 AZ</t>
  </si>
  <si>
    <t>6311-2RS</t>
  </si>
  <si>
    <t>6311-2RS C3</t>
  </si>
  <si>
    <t>6311-2Z</t>
  </si>
  <si>
    <t>6311-2Z C3</t>
  </si>
  <si>
    <t>6311-RS</t>
  </si>
  <si>
    <t>6311-RS C3</t>
  </si>
  <si>
    <t>6311-Z</t>
  </si>
  <si>
    <t>6311-Z C3</t>
  </si>
  <si>
    <t>6311-ZN</t>
  </si>
  <si>
    <t>6311N</t>
  </si>
  <si>
    <t>6312 2ZR C3.</t>
  </si>
  <si>
    <t>6312 2ZR.</t>
  </si>
  <si>
    <t>6312 C3</t>
  </si>
  <si>
    <t>6312-2RS</t>
  </si>
  <si>
    <t>6312-2RS C3</t>
  </si>
  <si>
    <t>6312-2Z</t>
  </si>
  <si>
    <t>6312-2Z C3</t>
  </si>
  <si>
    <t>6312-RS</t>
  </si>
  <si>
    <t>6312-RS C3</t>
  </si>
  <si>
    <t>6312-Z</t>
  </si>
  <si>
    <t>6312-Z C3</t>
  </si>
  <si>
    <t>6312N</t>
  </si>
  <si>
    <t>6312N C3</t>
  </si>
  <si>
    <t>6313 2RSR C3.</t>
  </si>
  <si>
    <t>6313 2RSR.</t>
  </si>
  <si>
    <t>6313 2ZR C3.</t>
  </si>
  <si>
    <t>6313-2RS</t>
  </si>
  <si>
    <t>6313-2RS C3</t>
  </si>
  <si>
    <t>6313-2Z</t>
  </si>
  <si>
    <t>6313-2Z C3</t>
  </si>
  <si>
    <t>6313-RS</t>
  </si>
  <si>
    <t>6313-RS C3</t>
  </si>
  <si>
    <t>6313-Z</t>
  </si>
  <si>
    <t>6313-Z C3</t>
  </si>
  <si>
    <t>6313-ZN</t>
  </si>
  <si>
    <t>6314 2RSR C3.</t>
  </si>
  <si>
    <t>6314 2ZR C3.</t>
  </si>
  <si>
    <t>6314 2ZR.</t>
  </si>
  <si>
    <t>6314 AP6</t>
  </si>
  <si>
    <t>6314 ZN</t>
  </si>
  <si>
    <t>6314 ZN C3</t>
  </si>
  <si>
    <t>6314-2RS</t>
  </si>
  <si>
    <t>6314-2RS C3</t>
  </si>
  <si>
    <t>6314-2Z</t>
  </si>
  <si>
    <t>6314-2Z C3</t>
  </si>
  <si>
    <t>6314-RS</t>
  </si>
  <si>
    <t>6314-RS C3</t>
  </si>
  <si>
    <t>6314-Z</t>
  </si>
  <si>
    <t>6314-Z C3</t>
  </si>
  <si>
    <t>6314N</t>
  </si>
  <si>
    <t>6315-2RS</t>
  </si>
  <si>
    <t>6315-2RS C3</t>
  </si>
  <si>
    <t>6315-2Z</t>
  </si>
  <si>
    <t>6315-2Z C3</t>
  </si>
  <si>
    <t>6315-RS</t>
  </si>
  <si>
    <t>6315-RS C3</t>
  </si>
  <si>
    <t>6315-Z</t>
  </si>
  <si>
    <t>6315-Z C3</t>
  </si>
  <si>
    <t>6316-2RS</t>
  </si>
  <si>
    <t>6316-2RS C3</t>
  </si>
  <si>
    <t>6316-2Z</t>
  </si>
  <si>
    <t>6316-2Z C3</t>
  </si>
  <si>
    <t>6316-RS</t>
  </si>
  <si>
    <t>6316-RS C3</t>
  </si>
  <si>
    <t>6316-Z</t>
  </si>
  <si>
    <t>6316-Z C3</t>
  </si>
  <si>
    <t>6317-2RS</t>
  </si>
  <si>
    <t>6317-2RS C3</t>
  </si>
  <si>
    <t>6317-2Z</t>
  </si>
  <si>
    <t>6317-2Z C3</t>
  </si>
  <si>
    <t>6317-RS</t>
  </si>
  <si>
    <t>6317-RS C3</t>
  </si>
  <si>
    <t>6317-Z</t>
  </si>
  <si>
    <t>6317-Z C3</t>
  </si>
  <si>
    <t>6318-2RS</t>
  </si>
  <si>
    <t>6318-2RS C3</t>
  </si>
  <si>
    <t>6318-2Z</t>
  </si>
  <si>
    <t>6318-2Z C3</t>
  </si>
  <si>
    <t>6318-RS</t>
  </si>
  <si>
    <t>6318-RS C3</t>
  </si>
  <si>
    <t>6318-Z</t>
  </si>
  <si>
    <t>6318-Z C3</t>
  </si>
  <si>
    <t>6319-2RS</t>
  </si>
  <si>
    <t>6319-2RS C3</t>
  </si>
  <si>
    <t>6319-2Z</t>
  </si>
  <si>
    <t>6319-2Z C3</t>
  </si>
  <si>
    <t>6319-RS</t>
  </si>
  <si>
    <t>6319-RS C3</t>
  </si>
  <si>
    <t>6319-Z</t>
  </si>
  <si>
    <t>6319-Z C3</t>
  </si>
  <si>
    <t>6320-2RS</t>
  </si>
  <si>
    <t>6320-2RS C3</t>
  </si>
  <si>
    <t>6320-2Z</t>
  </si>
  <si>
    <t>6320-2Z C3</t>
  </si>
  <si>
    <t>6320-RS</t>
  </si>
  <si>
    <t>6320-RS C3</t>
  </si>
  <si>
    <t>6321 C4</t>
  </si>
  <si>
    <t>6321-2Z</t>
  </si>
  <si>
    <t>6321-2Z C3</t>
  </si>
  <si>
    <t>6322 C3</t>
  </si>
  <si>
    <t>6322-2Z</t>
  </si>
  <si>
    <t>6322-2Z C3</t>
  </si>
  <si>
    <t>6324 C3</t>
  </si>
  <si>
    <t>6326 C3</t>
  </si>
  <si>
    <t>6328 C3</t>
  </si>
  <si>
    <t>6330 C3</t>
  </si>
  <si>
    <t>634 ZZ</t>
  </si>
  <si>
    <t>634-2ZR</t>
  </si>
  <si>
    <t>635-2ZR</t>
  </si>
  <si>
    <t>6360 2Z C3</t>
  </si>
  <si>
    <t>6403-2RS</t>
  </si>
  <si>
    <t>6404 ZZ</t>
  </si>
  <si>
    <t>6414 2Z C3</t>
  </si>
  <si>
    <t>6416 C3</t>
  </si>
  <si>
    <t>642381/42584</t>
  </si>
  <si>
    <t>667 2RS C3</t>
  </si>
  <si>
    <t>7202AA</t>
  </si>
  <si>
    <t>7203 AA.</t>
  </si>
  <si>
    <t>7206 B.</t>
  </si>
  <si>
    <t>7206B</t>
  </si>
  <si>
    <t>7210AA</t>
  </si>
  <si>
    <t>7220AC</t>
  </si>
  <si>
    <t>7314 AA.</t>
  </si>
  <si>
    <t>7322BM</t>
  </si>
  <si>
    <t>ABG020</t>
  </si>
  <si>
    <t>abr-40</t>
  </si>
  <si>
    <t>abr.-01</t>
  </si>
  <si>
    <t>abr.-10</t>
  </si>
  <si>
    <t>abr.-30</t>
  </si>
  <si>
    <t>abr.-40</t>
  </si>
  <si>
    <t>ABR001</t>
  </si>
  <si>
    <t>ABR002</t>
  </si>
  <si>
    <t>ABR003</t>
  </si>
  <si>
    <t>ABR004</t>
  </si>
  <si>
    <t>ABR005</t>
  </si>
  <si>
    <t>ABR006</t>
  </si>
  <si>
    <t>ABR008</t>
  </si>
  <si>
    <t>ABR009</t>
  </si>
  <si>
    <t>ABR010</t>
  </si>
  <si>
    <t>ABR011</t>
  </si>
  <si>
    <t>ABR012</t>
  </si>
  <si>
    <t>ABR013</t>
  </si>
  <si>
    <t>ABR014</t>
  </si>
  <si>
    <t>ABR015</t>
  </si>
  <si>
    <t>ABR016</t>
  </si>
  <si>
    <t>ABR017</t>
  </si>
  <si>
    <t>ABR018</t>
  </si>
  <si>
    <t>ABR019</t>
  </si>
  <si>
    <t>ABR020</t>
  </si>
  <si>
    <t>ABRA004</t>
  </si>
  <si>
    <t>ABRA017</t>
  </si>
  <si>
    <t>ABRA018</t>
  </si>
  <si>
    <t>ACA006</t>
  </si>
  <si>
    <t>ACA007</t>
  </si>
  <si>
    <t>ACA008</t>
  </si>
  <si>
    <t>ACA009</t>
  </si>
  <si>
    <t>ACA01</t>
  </si>
  <si>
    <t>ACA010</t>
  </si>
  <si>
    <t>ACA011</t>
  </si>
  <si>
    <t>ACA012</t>
  </si>
  <si>
    <t>ACA02</t>
  </si>
  <si>
    <t>ACA03</t>
  </si>
  <si>
    <t>ACA04</t>
  </si>
  <si>
    <t>ACA05</t>
  </si>
  <si>
    <t>ACA12</t>
  </si>
  <si>
    <t>ACA13</t>
  </si>
  <si>
    <t>ACA14</t>
  </si>
  <si>
    <t>ACA15</t>
  </si>
  <si>
    <t>ACE001</t>
  </si>
  <si>
    <t>ACE002</t>
  </si>
  <si>
    <t>ACE003</t>
  </si>
  <si>
    <t>ACE004</t>
  </si>
  <si>
    <t>ACE005</t>
  </si>
  <si>
    <t>ACE006</t>
  </si>
  <si>
    <t>ACE007</t>
  </si>
  <si>
    <t>ACE008</t>
  </si>
  <si>
    <t>ACE01</t>
  </si>
  <si>
    <t>ACE010</t>
  </si>
  <si>
    <t>ACE011</t>
  </si>
  <si>
    <t>ACE012</t>
  </si>
  <si>
    <t>ACE013</t>
  </si>
  <si>
    <t>ACE014</t>
  </si>
  <si>
    <t>ACE018</t>
  </si>
  <si>
    <t>ACE019</t>
  </si>
  <si>
    <t>ACEDUR01</t>
  </si>
  <si>
    <t>ACI001</t>
  </si>
  <si>
    <t>ACR002</t>
  </si>
  <si>
    <t>ACTOR184</t>
  </si>
  <si>
    <t>ACTOR206</t>
  </si>
  <si>
    <t>ADA001</t>
  </si>
  <si>
    <t>ADH001</t>
  </si>
  <si>
    <t>AFL001</t>
  </si>
  <si>
    <t>AFL002</t>
  </si>
  <si>
    <t>AGL001</t>
  </si>
  <si>
    <t>AGU001</t>
  </si>
  <si>
    <t>AJU001</t>
  </si>
  <si>
    <t>ALA005</t>
  </si>
  <si>
    <t>ALA006</t>
  </si>
  <si>
    <t>ALA007</t>
  </si>
  <si>
    <t>ALA01</t>
  </si>
  <si>
    <t>ALC001</t>
  </si>
  <si>
    <t>ALU001</t>
  </si>
  <si>
    <t>ALU002</t>
  </si>
  <si>
    <t>AMP001</t>
  </si>
  <si>
    <t>AN10</t>
  </si>
  <si>
    <t>ANG001</t>
  </si>
  <si>
    <t>ANG002</t>
  </si>
  <si>
    <t>ANG003</t>
  </si>
  <si>
    <t>ANG004</t>
  </si>
  <si>
    <t>ANG005</t>
  </si>
  <si>
    <t>ANG006</t>
  </si>
  <si>
    <t>ANG007</t>
  </si>
  <si>
    <t>ANG008</t>
  </si>
  <si>
    <t>ANG009</t>
  </si>
  <si>
    <t>ANG01</t>
  </si>
  <si>
    <t>ANG010</t>
  </si>
  <si>
    <t>ANG011</t>
  </si>
  <si>
    <t>ANG012</t>
  </si>
  <si>
    <t>ANG013</t>
  </si>
  <si>
    <t>ANG014</t>
  </si>
  <si>
    <t>ANG015</t>
  </si>
  <si>
    <t>ANG016</t>
  </si>
  <si>
    <t>ANG017</t>
  </si>
  <si>
    <t>ANG018</t>
  </si>
  <si>
    <t>ANG019</t>
  </si>
  <si>
    <t>ANG020</t>
  </si>
  <si>
    <t>ANG021</t>
  </si>
  <si>
    <t>ANG022</t>
  </si>
  <si>
    <t>ANG023</t>
  </si>
  <si>
    <t>ANG024</t>
  </si>
  <si>
    <t>ANG025</t>
  </si>
  <si>
    <t>ANG40</t>
  </si>
  <si>
    <t>ANT001</t>
  </si>
  <si>
    <t>ANTOR184</t>
  </si>
  <si>
    <t>ANTOR251</t>
  </si>
  <si>
    <t>ANTOR252</t>
  </si>
  <si>
    <t>ANTOR299</t>
  </si>
  <si>
    <t>ANTOR30</t>
  </si>
  <si>
    <t>ANTOR31</t>
  </si>
  <si>
    <t>ANTOR40</t>
  </si>
  <si>
    <t>ANTOR540</t>
  </si>
  <si>
    <t>ANTOR543</t>
  </si>
  <si>
    <t>ANTOR606</t>
  </si>
  <si>
    <t>APA001</t>
  </si>
  <si>
    <t>APA002</t>
  </si>
  <si>
    <t>APA003</t>
  </si>
  <si>
    <t>APA004</t>
  </si>
  <si>
    <t>APA04</t>
  </si>
  <si>
    <t>APL001</t>
  </si>
  <si>
    <t>APO001</t>
  </si>
  <si>
    <t>ARE003</t>
  </si>
  <si>
    <t>ARE004</t>
  </si>
  <si>
    <t>ARE005</t>
  </si>
  <si>
    <t>ARE10</t>
  </si>
  <si>
    <t>ARG001</t>
  </si>
  <si>
    <t>ARR001</t>
  </si>
  <si>
    <t>ARR01</t>
  </si>
  <si>
    <t>ARR10</t>
  </si>
  <si>
    <t>ARTOR251</t>
  </si>
  <si>
    <t>ASP001</t>
  </si>
  <si>
    <t>ASTO619</t>
  </si>
  <si>
    <t>ASTOR575</t>
  </si>
  <si>
    <t>ASTOR617</t>
  </si>
  <si>
    <t>ASTOR618</t>
  </si>
  <si>
    <t>ASTOR619</t>
  </si>
  <si>
    <t>ATO001</t>
  </si>
  <si>
    <t>AVR001</t>
  </si>
  <si>
    <t>BA27</t>
  </si>
  <si>
    <t>BA29</t>
  </si>
  <si>
    <t>BA30</t>
  </si>
  <si>
    <t>BA33</t>
  </si>
  <si>
    <t>BA34</t>
  </si>
  <si>
    <t>BA40</t>
  </si>
  <si>
    <t>BA44</t>
  </si>
  <si>
    <t>BA50</t>
  </si>
  <si>
    <t>BA63</t>
  </si>
  <si>
    <t>BA65</t>
  </si>
  <si>
    <t>BA66</t>
  </si>
  <si>
    <t>BA68</t>
  </si>
  <si>
    <t>BA69</t>
  </si>
  <si>
    <t>BA73</t>
  </si>
  <si>
    <t>BA74</t>
  </si>
  <si>
    <t>BAC 72</t>
  </si>
  <si>
    <t>BAC01</t>
  </si>
  <si>
    <t>BAC02</t>
  </si>
  <si>
    <t>BAC03</t>
  </si>
  <si>
    <t>BAC04</t>
  </si>
  <si>
    <t>BAC05</t>
  </si>
  <si>
    <t>BAC06</t>
  </si>
  <si>
    <t>BAC07</t>
  </si>
  <si>
    <t>BAC08</t>
  </si>
  <si>
    <t>BAC09</t>
  </si>
  <si>
    <t>BAC10</t>
  </si>
  <si>
    <t>BAC11</t>
  </si>
  <si>
    <t>BAC12</t>
  </si>
  <si>
    <t>BAC13</t>
  </si>
  <si>
    <t>BAC14</t>
  </si>
  <si>
    <t>BAC15</t>
  </si>
  <si>
    <t>BAC16</t>
  </si>
  <si>
    <t>BAC17</t>
  </si>
  <si>
    <t>BAC18</t>
  </si>
  <si>
    <t>BAC19</t>
  </si>
  <si>
    <t>BAC20</t>
  </si>
  <si>
    <t>BAC21</t>
  </si>
  <si>
    <t>BAC22</t>
  </si>
  <si>
    <t>BAC23</t>
  </si>
  <si>
    <t>BAC24</t>
  </si>
  <si>
    <t>BAC25</t>
  </si>
  <si>
    <t>BAC26</t>
  </si>
  <si>
    <t>BAC27</t>
  </si>
  <si>
    <t>BAC28</t>
  </si>
  <si>
    <t>BAC29</t>
  </si>
  <si>
    <t>BAC30</t>
  </si>
  <si>
    <t>BAC31</t>
  </si>
  <si>
    <t>BAC32</t>
  </si>
  <si>
    <t>BAC33</t>
  </si>
  <si>
    <t>BAC34</t>
  </si>
  <si>
    <t>BAC35</t>
  </si>
  <si>
    <t>BAC36</t>
  </si>
  <si>
    <t>BAC37</t>
  </si>
  <si>
    <t>BAC38</t>
  </si>
  <si>
    <t>BAC39</t>
  </si>
  <si>
    <t>BAC40</t>
  </si>
  <si>
    <t>BAC41</t>
  </si>
  <si>
    <t>BAC42</t>
  </si>
  <si>
    <t>BAC43</t>
  </si>
  <si>
    <t>BAC44</t>
  </si>
  <si>
    <t>BAC45</t>
  </si>
  <si>
    <t>BAC46</t>
  </si>
  <si>
    <t>BAC47</t>
  </si>
  <si>
    <t>BAC48</t>
  </si>
  <si>
    <t>BAC49</t>
  </si>
  <si>
    <t>BAC50</t>
  </si>
  <si>
    <t>BAC51</t>
  </si>
  <si>
    <t>BAC52</t>
  </si>
  <si>
    <t>BAC53</t>
  </si>
  <si>
    <t>BAC54</t>
  </si>
  <si>
    <t>BAC55</t>
  </si>
  <si>
    <t>BAC56</t>
  </si>
  <si>
    <t>BAC57</t>
  </si>
  <si>
    <t>BAC58</t>
  </si>
  <si>
    <t>BAC60</t>
  </si>
  <si>
    <t>BAC65</t>
  </si>
  <si>
    <t>BAC66</t>
  </si>
  <si>
    <t>BAC67</t>
  </si>
  <si>
    <t>BAC68</t>
  </si>
  <si>
    <t>BAC69</t>
  </si>
  <si>
    <t>BAC70</t>
  </si>
  <si>
    <t>BAC71</t>
  </si>
  <si>
    <t>BAC72</t>
  </si>
  <si>
    <t>BAL001</t>
  </si>
  <si>
    <t>BAL002</t>
  </si>
  <si>
    <t>BAL003</t>
  </si>
  <si>
    <t>BAL004</t>
  </si>
  <si>
    <t>BAL005</t>
  </si>
  <si>
    <t>BAL006</t>
  </si>
  <si>
    <t>BAL007</t>
  </si>
  <si>
    <t>BAL01</t>
  </si>
  <si>
    <t>BAL02</t>
  </si>
  <si>
    <t>BAL03</t>
  </si>
  <si>
    <t>BAL04</t>
  </si>
  <si>
    <t>BAL125</t>
  </si>
  <si>
    <t>BAL126</t>
  </si>
  <si>
    <t>BAL127</t>
  </si>
  <si>
    <t>BAL128</t>
  </si>
  <si>
    <t>BAL129</t>
  </si>
  <si>
    <t>BAL130</t>
  </si>
  <si>
    <t>BAL131</t>
  </si>
  <si>
    <t>BAL132</t>
  </si>
  <si>
    <t>BAN001</t>
  </si>
  <si>
    <t>BAN002</t>
  </si>
  <si>
    <t>BAN003</t>
  </si>
  <si>
    <t>BAN005</t>
  </si>
  <si>
    <t>BAN006</t>
  </si>
  <si>
    <t>BAN010</t>
  </si>
  <si>
    <t>BAN011</t>
  </si>
  <si>
    <t>BAN012</t>
  </si>
  <si>
    <t>BAN013</t>
  </si>
  <si>
    <t>BAN014</t>
  </si>
  <si>
    <t>BAN40</t>
  </si>
  <si>
    <t>BAN45</t>
  </si>
  <si>
    <t>BAND001</t>
  </si>
  <si>
    <t>BAQ01</t>
  </si>
  <si>
    <t>BAR001</t>
  </si>
  <si>
    <t>BAR002</t>
  </si>
  <si>
    <t>BAR003</t>
  </si>
  <si>
    <t>BAR009</t>
  </si>
  <si>
    <t>BAR01</t>
  </si>
  <si>
    <t>BAR010</t>
  </si>
  <si>
    <t>BAR011</t>
  </si>
  <si>
    <t>BAR012</t>
  </si>
  <si>
    <t>BAR02</t>
  </si>
  <si>
    <t>BAR03</t>
  </si>
  <si>
    <t>BAR10</t>
  </si>
  <si>
    <t>BAR11</t>
  </si>
  <si>
    <t>BAR12</t>
  </si>
  <si>
    <t>BAR13</t>
  </si>
  <si>
    <t>BAR14</t>
  </si>
  <si>
    <t>BAR20</t>
  </si>
  <si>
    <t>BAR21</t>
  </si>
  <si>
    <t>BAS001</t>
  </si>
  <si>
    <t>BAS002</t>
  </si>
  <si>
    <t>BAS003</t>
  </si>
  <si>
    <t>BAS004</t>
  </si>
  <si>
    <t>BAS005</t>
  </si>
  <si>
    <t>BAS006</t>
  </si>
  <si>
    <t>BAS007</t>
  </si>
  <si>
    <t>BAS01</t>
  </si>
  <si>
    <t>BAS02</t>
  </si>
  <si>
    <t>BAS03</t>
  </si>
  <si>
    <t>BAS04</t>
  </si>
  <si>
    <t>BAS05</t>
  </si>
  <si>
    <t>BAS10</t>
  </si>
  <si>
    <t>BATOR108</t>
  </si>
  <si>
    <t>BATOR125</t>
  </si>
  <si>
    <t>BATOR168</t>
  </si>
  <si>
    <t>BATOR173</t>
  </si>
  <si>
    <t>BATOR174</t>
  </si>
  <si>
    <t>BATOR192</t>
  </si>
  <si>
    <t>BATOR194</t>
  </si>
  <si>
    <t>BATOR32</t>
  </si>
  <si>
    <t>BATOR405</t>
  </si>
  <si>
    <t>BATOR424</t>
  </si>
  <si>
    <t>BATOR442</t>
  </si>
  <si>
    <t>BATOR561</t>
  </si>
  <si>
    <t>BATOR562</t>
  </si>
  <si>
    <t>BATOR564</t>
  </si>
  <si>
    <t>BATOR624</t>
  </si>
  <si>
    <t>BATOR640</t>
  </si>
  <si>
    <t>BATOR650</t>
  </si>
  <si>
    <t>BATOR656</t>
  </si>
  <si>
    <t>BATOR86</t>
  </si>
  <si>
    <t>BAY01</t>
  </si>
  <si>
    <t>BCR001</t>
  </si>
  <si>
    <t>BCR002</t>
  </si>
  <si>
    <t>BCR003</t>
  </si>
  <si>
    <t>BEL01</t>
  </si>
  <si>
    <t>BEN001</t>
  </si>
  <si>
    <t>BEN100</t>
  </si>
  <si>
    <t>BG0001</t>
  </si>
  <si>
    <t>BGH037</t>
  </si>
  <si>
    <t>BH103</t>
  </si>
  <si>
    <t>BH104</t>
  </si>
  <si>
    <t>BH105</t>
  </si>
  <si>
    <t>BH106</t>
  </si>
  <si>
    <t>BH107</t>
  </si>
  <si>
    <t>BH108</t>
  </si>
  <si>
    <t>BH109</t>
  </si>
  <si>
    <t>BH110</t>
  </si>
  <si>
    <t>BH111</t>
  </si>
  <si>
    <t>BH112</t>
  </si>
  <si>
    <t>BH113</t>
  </si>
  <si>
    <t>BH115</t>
  </si>
  <si>
    <t>BH120</t>
  </si>
  <si>
    <t>BH121</t>
  </si>
  <si>
    <t>BH130</t>
  </si>
  <si>
    <t>BH131</t>
  </si>
  <si>
    <t>BH52</t>
  </si>
  <si>
    <t>BH59</t>
  </si>
  <si>
    <t>BH63</t>
  </si>
  <si>
    <t>BH64</t>
  </si>
  <si>
    <t>BH65</t>
  </si>
  <si>
    <t>BH66</t>
  </si>
  <si>
    <t>BH67</t>
  </si>
  <si>
    <t>BH68</t>
  </si>
  <si>
    <t>BH69</t>
  </si>
  <si>
    <t>BH70</t>
  </si>
  <si>
    <t>BH71</t>
  </si>
  <si>
    <t>BH72</t>
  </si>
  <si>
    <t>BH73</t>
  </si>
  <si>
    <t>BH74</t>
  </si>
  <si>
    <t>BH75</t>
  </si>
  <si>
    <t>BH76</t>
  </si>
  <si>
    <t>BH77</t>
  </si>
  <si>
    <t>BH78</t>
  </si>
  <si>
    <t>BH79</t>
  </si>
  <si>
    <t>BH83</t>
  </si>
  <si>
    <t>BH84</t>
  </si>
  <si>
    <t>BH85</t>
  </si>
  <si>
    <t>BH87</t>
  </si>
  <si>
    <t>BH88</t>
  </si>
  <si>
    <t>BH89</t>
  </si>
  <si>
    <t>BHB001</t>
  </si>
  <si>
    <t>BHB002</t>
  </si>
  <si>
    <t>BHG001</t>
  </si>
  <si>
    <t>BHG002</t>
  </si>
  <si>
    <t>BHG003</t>
  </si>
  <si>
    <t>BHG005</t>
  </si>
  <si>
    <t>BHG006</t>
  </si>
  <si>
    <t>BHG007</t>
  </si>
  <si>
    <t>BHG008</t>
  </si>
  <si>
    <t>BHG010</t>
  </si>
  <si>
    <t>BHG011</t>
  </si>
  <si>
    <t>BHG012</t>
  </si>
  <si>
    <t>BHG015</t>
  </si>
  <si>
    <t>BHG016</t>
  </si>
  <si>
    <t>BHG017</t>
  </si>
  <si>
    <t>BHG018</t>
  </si>
  <si>
    <t>BHG019</t>
  </si>
  <si>
    <t>BHG020</t>
  </si>
  <si>
    <t>BHG021</t>
  </si>
  <si>
    <t>BHG022</t>
  </si>
  <si>
    <t>BHG023</t>
  </si>
  <si>
    <t>BHG024</t>
  </si>
  <si>
    <t>BHG025</t>
  </si>
  <si>
    <t>BHG026</t>
  </si>
  <si>
    <t>BHG027</t>
  </si>
  <si>
    <t>BHG028</t>
  </si>
  <si>
    <t>BHG029</t>
  </si>
  <si>
    <t>BHG030</t>
  </si>
  <si>
    <t>BHG031</t>
  </si>
  <si>
    <t>BHG032</t>
  </si>
  <si>
    <t>BHG033</t>
  </si>
  <si>
    <t>BHG034</t>
  </si>
  <si>
    <t>BHG035</t>
  </si>
  <si>
    <t>BHG036</t>
  </si>
  <si>
    <t>BHG040</t>
  </si>
  <si>
    <t>BHGA026</t>
  </si>
  <si>
    <t>BHGB01</t>
  </si>
  <si>
    <t>BHP001</t>
  </si>
  <si>
    <t>BI502</t>
  </si>
  <si>
    <t>BIE001</t>
  </si>
  <si>
    <t>BIO001</t>
  </si>
  <si>
    <t>BIS001</t>
  </si>
  <si>
    <t>BIS002</t>
  </si>
  <si>
    <t>BIS01</t>
  </si>
  <si>
    <t>BIS02</t>
  </si>
  <si>
    <t>BITOR 291</t>
  </si>
  <si>
    <t>BITOR 53</t>
  </si>
  <si>
    <t>BITOR242</t>
  </si>
  <si>
    <t>BITOR260</t>
  </si>
  <si>
    <t>BITOR272</t>
  </si>
  <si>
    <t>BITOR395</t>
  </si>
  <si>
    <t>BITOR53</t>
  </si>
  <si>
    <t>BITOR548</t>
  </si>
  <si>
    <t>BJ0001</t>
  </si>
  <si>
    <t>BJ001</t>
  </si>
  <si>
    <t>BJ12</t>
  </si>
  <si>
    <t>BLO001</t>
  </si>
  <si>
    <t>BM120</t>
  </si>
  <si>
    <t>BM125</t>
  </si>
  <si>
    <t>BM133</t>
  </si>
  <si>
    <t>BM19</t>
  </si>
  <si>
    <t>BM21</t>
  </si>
  <si>
    <t>BM24</t>
  </si>
  <si>
    <t>BM43.</t>
  </si>
  <si>
    <t>BM99</t>
  </si>
  <si>
    <t>BO01</t>
  </si>
  <si>
    <t>BOL004</t>
  </si>
  <si>
    <t>BOL005</t>
  </si>
  <si>
    <t>BOL02</t>
  </si>
  <si>
    <t>BOL03</t>
  </si>
  <si>
    <t>BOL04</t>
  </si>
  <si>
    <t>BOM001</t>
  </si>
  <si>
    <t>BOM002</t>
  </si>
  <si>
    <t>BOM003</t>
  </si>
  <si>
    <t>BOQ002</t>
  </si>
  <si>
    <t>BOT001</t>
  </si>
  <si>
    <t>BOT002</t>
  </si>
  <si>
    <t>BOT003</t>
  </si>
  <si>
    <t>BOT004</t>
  </si>
  <si>
    <t>BOT005</t>
  </si>
  <si>
    <t>BOT006</t>
  </si>
  <si>
    <t>BOT007</t>
  </si>
  <si>
    <t>BOT008</t>
  </si>
  <si>
    <t>BOT009</t>
  </si>
  <si>
    <t>BOT010</t>
  </si>
  <si>
    <t>BOT011</t>
  </si>
  <si>
    <t>BOT10</t>
  </si>
  <si>
    <t>BQ008</t>
  </si>
  <si>
    <t>BQ02</t>
  </si>
  <si>
    <t>BQ14</t>
  </si>
  <si>
    <t>BRI001</t>
  </si>
  <si>
    <t>BRI002</t>
  </si>
  <si>
    <t>BRI003</t>
  </si>
  <si>
    <t>BRI009</t>
  </si>
  <si>
    <t>BRID001</t>
  </si>
  <si>
    <t>BRO001</t>
  </si>
  <si>
    <t>BRO002</t>
  </si>
  <si>
    <t>BRO009</t>
  </si>
  <si>
    <t>BRO010</t>
  </si>
  <si>
    <t>BRO011</t>
  </si>
  <si>
    <t>BRO65</t>
  </si>
  <si>
    <t>BRTOR 110</t>
  </si>
  <si>
    <t>BRTOR 296</t>
  </si>
  <si>
    <t>BRTOR 297</t>
  </si>
  <si>
    <t>BRTOR143</t>
  </si>
  <si>
    <t>BRTOR201</t>
  </si>
  <si>
    <t>BRTOR224</t>
  </si>
  <si>
    <t>BRTOR259</t>
  </si>
  <si>
    <t>BRTOR296</t>
  </si>
  <si>
    <t>BRTOR297</t>
  </si>
  <si>
    <t>BRTOR298</t>
  </si>
  <si>
    <t>BRTOR55</t>
  </si>
  <si>
    <t>BRTOR623</t>
  </si>
  <si>
    <t>BS15</t>
  </si>
  <si>
    <t>BS25</t>
  </si>
  <si>
    <t>BUJ001</t>
  </si>
  <si>
    <t>BUJ01</t>
  </si>
  <si>
    <t>BUTOR105</t>
  </si>
  <si>
    <t>BUTOR195</t>
  </si>
  <si>
    <t>BUTOR27</t>
  </si>
  <si>
    <t>BUTOR280</t>
  </si>
  <si>
    <t>BUTOR402</t>
  </si>
  <si>
    <t>BUTOR403</t>
  </si>
  <si>
    <t>BUTOR404</t>
  </si>
  <si>
    <t>BUTOR633</t>
  </si>
  <si>
    <t>BUTOR636</t>
  </si>
  <si>
    <t>BUTOR637</t>
  </si>
  <si>
    <t>BUTOR699</t>
  </si>
  <si>
    <t>CA115</t>
  </si>
  <si>
    <t>CA122</t>
  </si>
  <si>
    <t>CA166</t>
  </si>
  <si>
    <t>CA188</t>
  </si>
  <si>
    <t>CA191</t>
  </si>
  <si>
    <t>CA200C</t>
  </si>
  <si>
    <t>CA7783</t>
  </si>
  <si>
    <t>CA79C</t>
  </si>
  <si>
    <t>CA81C</t>
  </si>
  <si>
    <t>CA91C</t>
  </si>
  <si>
    <t>CA92</t>
  </si>
  <si>
    <t>CAB001</t>
  </si>
  <si>
    <t>CAB002</t>
  </si>
  <si>
    <t>CAB003</t>
  </si>
  <si>
    <t>CAB004</t>
  </si>
  <si>
    <t>CAB005</t>
  </si>
  <si>
    <t>CAB006</t>
  </si>
  <si>
    <t>CAB007</t>
  </si>
  <si>
    <t>CAB008</t>
  </si>
  <si>
    <t>CAB009</t>
  </si>
  <si>
    <t>CAB01</t>
  </si>
  <si>
    <t>CAB010</t>
  </si>
  <si>
    <t>CAB011</t>
  </si>
  <si>
    <t>CAB012</t>
  </si>
  <si>
    <t>CAB013</t>
  </si>
  <si>
    <t>CAB014</t>
  </si>
  <si>
    <t>CAB015</t>
  </si>
  <si>
    <t>CAB016</t>
  </si>
  <si>
    <t>CAB017</t>
  </si>
  <si>
    <t>CAB018</t>
  </si>
  <si>
    <t>CAB019</t>
  </si>
  <si>
    <t>CAB020</t>
  </si>
  <si>
    <t>CAB021</t>
  </si>
  <si>
    <t>CAB024</t>
  </si>
  <si>
    <t>CAB025</t>
  </si>
  <si>
    <t>CAB026</t>
  </si>
  <si>
    <t>CAB027</t>
  </si>
  <si>
    <t>CAB028</t>
  </si>
  <si>
    <t>CAB029</t>
  </si>
  <si>
    <t>CAB030</t>
  </si>
  <si>
    <t>CAB031</t>
  </si>
  <si>
    <t>CAB032</t>
  </si>
  <si>
    <t>CAB033</t>
  </si>
  <si>
    <t>CAB034</t>
  </si>
  <si>
    <t>CAB035</t>
  </si>
  <si>
    <t>CAB036</t>
  </si>
  <si>
    <t>CAB037</t>
  </si>
  <si>
    <t>CAB038</t>
  </si>
  <si>
    <t>CAB039</t>
  </si>
  <si>
    <t>CAB040</t>
  </si>
  <si>
    <t>CAB041</t>
  </si>
  <si>
    <t>CAB042</t>
  </si>
  <si>
    <t>CAB043</t>
  </si>
  <si>
    <t>CAB044</t>
  </si>
  <si>
    <t>CAB045</t>
  </si>
  <si>
    <t>CAB046</t>
  </si>
  <si>
    <t>CAB047</t>
  </si>
  <si>
    <t>CAB048</t>
  </si>
  <si>
    <t>CAB049</t>
  </si>
  <si>
    <t>CAB050</t>
  </si>
  <si>
    <t>CAB051</t>
  </si>
  <si>
    <t>CAB052</t>
  </si>
  <si>
    <t>CAB053</t>
  </si>
  <si>
    <t>CAB054</t>
  </si>
  <si>
    <t>CAB055</t>
  </si>
  <si>
    <t>CAB056</t>
  </si>
  <si>
    <t>CAB10</t>
  </si>
  <si>
    <t>CAB20</t>
  </si>
  <si>
    <t>CAI001</t>
  </si>
  <si>
    <t>CAIN001</t>
  </si>
  <si>
    <t>CAJ001</t>
  </si>
  <si>
    <t>CAJ002</t>
  </si>
  <si>
    <t>CAJ003</t>
  </si>
  <si>
    <t>CAJ004</t>
  </si>
  <si>
    <t>CAJ005</t>
  </si>
  <si>
    <t>CAJ006</t>
  </si>
  <si>
    <t>CAJ007</t>
  </si>
  <si>
    <t>CAJ008</t>
  </si>
  <si>
    <t>CAJ009</t>
  </si>
  <si>
    <t>CAJ01</t>
  </si>
  <si>
    <t>CAJ010</t>
  </si>
  <si>
    <t>CAJ011</t>
  </si>
  <si>
    <t>CAJ02</t>
  </si>
  <si>
    <t>CAM33</t>
  </si>
  <si>
    <t>CAN001</t>
  </si>
  <si>
    <t>CAN002</t>
  </si>
  <si>
    <t>CANL001</t>
  </si>
  <si>
    <t>CAP001</t>
  </si>
  <si>
    <t>CAP002</t>
  </si>
  <si>
    <t>CAP003</t>
  </si>
  <si>
    <t>CAP010</t>
  </si>
  <si>
    <t>CAR001</t>
  </si>
  <si>
    <t>CAR002</t>
  </si>
  <si>
    <t>CAR003</t>
  </si>
  <si>
    <t>CAR004</t>
  </si>
  <si>
    <t>CAR005</t>
  </si>
  <si>
    <t>CAR10</t>
  </si>
  <si>
    <t>CARR001</t>
  </si>
  <si>
    <t>CAS10</t>
  </si>
  <si>
    <t>CAT001</t>
  </si>
  <si>
    <t>CAT002</t>
  </si>
  <si>
    <t>CAT003</t>
  </si>
  <si>
    <t>CATOR 120</t>
  </si>
  <si>
    <t>CATOR 185</t>
  </si>
  <si>
    <t>CATOR 293</t>
  </si>
  <si>
    <t>CATOR 294</t>
  </si>
  <si>
    <t>CATOR 43</t>
  </si>
  <si>
    <t>CATOR107</t>
  </si>
  <si>
    <t>CATOR110</t>
  </si>
  <si>
    <t>CATOR120</t>
  </si>
  <si>
    <t>CATOR126</t>
  </si>
  <si>
    <t>CATOR127</t>
  </si>
  <si>
    <t>CATOR177</t>
  </si>
  <si>
    <t>CATOR185</t>
  </si>
  <si>
    <t>CATOR193</t>
  </si>
  <si>
    <t>CATOR22</t>
  </si>
  <si>
    <t>CATOR229</t>
  </si>
  <si>
    <t>CATOR233</t>
  </si>
  <si>
    <t>CATOR24</t>
  </si>
  <si>
    <t>CATOR261</t>
  </si>
  <si>
    <t>CATOR263</t>
  </si>
  <si>
    <t>CATOR264</t>
  </si>
  <si>
    <t>CATOR265</t>
  </si>
  <si>
    <t>CATOR266</t>
  </si>
  <si>
    <t>CATOR267</t>
  </si>
  <si>
    <t>CATOR268</t>
  </si>
  <si>
    <t>CATOR269</t>
  </si>
  <si>
    <t>CATOR270</t>
  </si>
  <si>
    <t>CATOR271</t>
  </si>
  <si>
    <t>CATOR273</t>
  </si>
  <si>
    <t>CATOR276</t>
  </si>
  <si>
    <t>CATOR284</t>
  </si>
  <si>
    <t>CATOR288</t>
  </si>
  <si>
    <t>CATOR294</t>
  </si>
  <si>
    <t>CATOR343</t>
  </si>
  <si>
    <t>CATOR344</t>
  </si>
  <si>
    <t>CATOR345</t>
  </si>
  <si>
    <t>CATOR346</t>
  </si>
  <si>
    <t>CATOR347</t>
  </si>
  <si>
    <t>CATOR348</t>
  </si>
  <si>
    <t>CATOR349</t>
  </si>
  <si>
    <t>CATOR350</t>
  </si>
  <si>
    <t>CATOR351</t>
  </si>
  <si>
    <t>CATOR375</t>
  </si>
  <si>
    <t>CATOR376</t>
  </si>
  <si>
    <t>CATOR377</t>
  </si>
  <si>
    <t>CATOR378</t>
  </si>
  <si>
    <t>CATOR380</t>
  </si>
  <si>
    <t>CATOR382</t>
  </si>
  <si>
    <t>CATOR384</t>
  </si>
  <si>
    <t>CATOR385</t>
  </si>
  <si>
    <t>CATOR386</t>
  </si>
  <si>
    <t>CATOR387</t>
  </si>
  <si>
    <t>CATOR388</t>
  </si>
  <si>
    <t>CATOR389</t>
  </si>
  <si>
    <t>CATOR390</t>
  </si>
  <si>
    <t>CATOR391</t>
  </si>
  <si>
    <t>CATOR392</t>
  </si>
  <si>
    <t>CATOR393</t>
  </si>
  <si>
    <t>CATOR396</t>
  </si>
  <si>
    <t>CATOR413</t>
  </si>
  <si>
    <t>CATOR426</t>
  </si>
  <si>
    <t>CATOR43</t>
  </si>
  <si>
    <t>CATOR50</t>
  </si>
  <si>
    <t>CATOR678</t>
  </si>
  <si>
    <t>CATOR679</t>
  </si>
  <si>
    <t>CATOR680</t>
  </si>
  <si>
    <t>CATOR683</t>
  </si>
  <si>
    <t>CATOR684</t>
  </si>
  <si>
    <t>CATOR685</t>
  </si>
  <si>
    <t>CATOR686</t>
  </si>
  <si>
    <t>CATOR704</t>
  </si>
  <si>
    <t>CATOR76</t>
  </si>
  <si>
    <t>CATOR77</t>
  </si>
  <si>
    <t>CATOR80</t>
  </si>
  <si>
    <t>CATOR82</t>
  </si>
  <si>
    <t>CATOR83</t>
  </si>
  <si>
    <t>CATOR94</t>
  </si>
  <si>
    <t>CATOR96</t>
  </si>
  <si>
    <t>CATOR97</t>
  </si>
  <si>
    <t>CATORR390</t>
  </si>
  <si>
    <t>CATRO677</t>
  </si>
  <si>
    <t>CB04</t>
  </si>
  <si>
    <t>CB07</t>
  </si>
  <si>
    <t>CCF</t>
  </si>
  <si>
    <t>CCN</t>
  </si>
  <si>
    <t>CCN002</t>
  </si>
  <si>
    <t>CCP001</t>
  </si>
  <si>
    <t>CD13</t>
  </si>
  <si>
    <t>CEP001</t>
  </si>
  <si>
    <t>CEP002</t>
  </si>
  <si>
    <t>CER001</t>
  </si>
  <si>
    <t>CETOR114</t>
  </si>
  <si>
    <t>CG03</t>
  </si>
  <si>
    <t>CG04</t>
  </si>
  <si>
    <t>CG05</t>
  </si>
  <si>
    <t>CG06</t>
  </si>
  <si>
    <t>CG12</t>
  </si>
  <si>
    <t>CH01</t>
  </si>
  <si>
    <t>CH02</t>
  </si>
  <si>
    <t>CH03</t>
  </si>
  <si>
    <t>CH06</t>
  </si>
  <si>
    <t>CH07</t>
  </si>
  <si>
    <t>CH08</t>
  </si>
  <si>
    <t>CH52</t>
  </si>
  <si>
    <t>CH57</t>
  </si>
  <si>
    <t>CH65</t>
  </si>
  <si>
    <t>CH68</t>
  </si>
  <si>
    <t>CH69</t>
  </si>
  <si>
    <t>CH70</t>
  </si>
  <si>
    <t>CH78</t>
  </si>
  <si>
    <t>CH79</t>
  </si>
  <si>
    <t>CH80</t>
  </si>
  <si>
    <t>CH81</t>
  </si>
  <si>
    <t>CH8U003</t>
  </si>
  <si>
    <t>CHA001</t>
  </si>
  <si>
    <t>CHA002</t>
  </si>
  <si>
    <t>CHA005</t>
  </si>
  <si>
    <t>CHA006</t>
  </si>
  <si>
    <t>CHA007</t>
  </si>
  <si>
    <t>CHAP001</t>
  </si>
  <si>
    <t>CHTOR134</t>
  </si>
  <si>
    <t>CHTOR301</t>
  </si>
  <si>
    <t>CHTOR341</t>
  </si>
  <si>
    <t>CHTOR352</t>
  </si>
  <si>
    <t>CHTOR354</t>
  </si>
  <si>
    <t>CHTOR356</t>
  </si>
  <si>
    <t>CHTOR565</t>
  </si>
  <si>
    <t>CHTOR566</t>
  </si>
  <si>
    <t>CHTOR567</t>
  </si>
  <si>
    <t>CHTOR568</t>
  </si>
  <si>
    <t>CHTOR569</t>
  </si>
  <si>
    <t>CHTOR570</t>
  </si>
  <si>
    <t>CHTOR668</t>
  </si>
  <si>
    <t>CHU001</t>
  </si>
  <si>
    <t>CHU002</t>
  </si>
  <si>
    <t>CHU003</t>
  </si>
  <si>
    <t>CHU004</t>
  </si>
  <si>
    <t>CHU005</t>
  </si>
  <si>
    <t>CHU006</t>
  </si>
  <si>
    <t>CHU007</t>
  </si>
  <si>
    <t>CHU008</t>
  </si>
  <si>
    <t>CHU01</t>
  </si>
  <si>
    <t>CHU010</t>
  </si>
  <si>
    <t>CHU011</t>
  </si>
  <si>
    <t>CHU012</t>
  </si>
  <si>
    <t>CHU013</t>
  </si>
  <si>
    <t>CHU014</t>
  </si>
  <si>
    <t>CHU015</t>
  </si>
  <si>
    <t>CHU016</t>
  </si>
  <si>
    <t>CHU017</t>
  </si>
  <si>
    <t>CHU018</t>
  </si>
  <si>
    <t>CHU019</t>
  </si>
  <si>
    <t>CHU020</t>
  </si>
  <si>
    <t>CHU021</t>
  </si>
  <si>
    <t>CHU022</t>
  </si>
  <si>
    <t>CHU023</t>
  </si>
  <si>
    <t>CHU025</t>
  </si>
  <si>
    <t>CHU026</t>
  </si>
  <si>
    <t>CHU027</t>
  </si>
  <si>
    <t>CHU028</t>
  </si>
  <si>
    <t>CHU40</t>
  </si>
  <si>
    <t>CHU41</t>
  </si>
  <si>
    <t>CHU42</t>
  </si>
  <si>
    <t>CHU43</t>
  </si>
  <si>
    <t>CHU44</t>
  </si>
  <si>
    <t>CHU45</t>
  </si>
  <si>
    <t>CHU46</t>
  </si>
  <si>
    <t>CHU47</t>
  </si>
  <si>
    <t>CHU48</t>
  </si>
  <si>
    <t>CHU49</t>
  </si>
  <si>
    <t>CHU50</t>
  </si>
  <si>
    <t>CHUM001</t>
  </si>
  <si>
    <t>CHUM002</t>
  </si>
  <si>
    <t>CHUTE001</t>
  </si>
  <si>
    <t>CIN002</t>
  </si>
  <si>
    <t>CIN004</t>
  </si>
  <si>
    <t>CIN005</t>
  </si>
  <si>
    <t>CIN006</t>
  </si>
  <si>
    <t>CIN007</t>
  </si>
  <si>
    <t>CIN008</t>
  </si>
  <si>
    <t>CIN009</t>
  </si>
  <si>
    <t>CIN010</t>
  </si>
  <si>
    <t>CIN011</t>
  </si>
  <si>
    <t>CIN012</t>
  </si>
  <si>
    <t>CIN013</t>
  </si>
  <si>
    <t>CIN033</t>
  </si>
  <si>
    <t>CL07C</t>
  </si>
  <si>
    <t>CLA001</t>
  </si>
  <si>
    <t>CLA002</t>
  </si>
  <si>
    <t>CLA005</t>
  </si>
  <si>
    <t>CLA006</t>
  </si>
  <si>
    <t>CLA007</t>
  </si>
  <si>
    <t>CLA009</t>
  </si>
  <si>
    <t>CLA010</t>
  </si>
  <si>
    <t>CLA011</t>
  </si>
  <si>
    <t>CLA012</t>
  </si>
  <si>
    <t>CLE001</t>
  </si>
  <si>
    <t>CLI002</t>
  </si>
  <si>
    <t>CLO001</t>
  </si>
  <si>
    <t>CLO002</t>
  </si>
  <si>
    <t>CM022C</t>
  </si>
  <si>
    <t>CMA001</t>
  </si>
  <si>
    <t>CN0003</t>
  </si>
  <si>
    <t>CÑ01</t>
  </si>
  <si>
    <t>CO09C</t>
  </si>
  <si>
    <t>CO10C</t>
  </si>
  <si>
    <t>CO11</t>
  </si>
  <si>
    <t>COB001</t>
  </si>
  <si>
    <t>COB002</t>
  </si>
  <si>
    <t>COB101</t>
  </si>
  <si>
    <t>COB102</t>
  </si>
  <si>
    <t>COB103</t>
  </si>
  <si>
    <t>COB104</t>
  </si>
  <si>
    <t>COB105</t>
  </si>
  <si>
    <t>COB106</t>
  </si>
  <si>
    <t>COB107</t>
  </si>
  <si>
    <t>COD001</t>
  </si>
  <si>
    <t>COD002</t>
  </si>
  <si>
    <t>COD003</t>
  </si>
  <si>
    <t>COD004</t>
  </si>
  <si>
    <t>COD005</t>
  </si>
  <si>
    <t>COD008</t>
  </si>
  <si>
    <t>COD012</t>
  </si>
  <si>
    <t>COD015</t>
  </si>
  <si>
    <t>COD016</t>
  </si>
  <si>
    <t>COD017</t>
  </si>
  <si>
    <t>COD018</t>
  </si>
  <si>
    <t>COD019</t>
  </si>
  <si>
    <t>COD10</t>
  </si>
  <si>
    <t>COD40</t>
  </si>
  <si>
    <t>COD41</t>
  </si>
  <si>
    <t>CODC001</t>
  </si>
  <si>
    <t>COL001</t>
  </si>
  <si>
    <t>COL002</t>
  </si>
  <si>
    <t>COM001</t>
  </si>
  <si>
    <t>COM002</t>
  </si>
  <si>
    <t>COMI001</t>
  </si>
  <si>
    <t>COMP01</t>
  </si>
  <si>
    <t>CON001</t>
  </si>
  <si>
    <t>CON002</t>
  </si>
  <si>
    <t>CON003</t>
  </si>
  <si>
    <t>CON004</t>
  </si>
  <si>
    <t>CON005</t>
  </si>
  <si>
    <t>CON006</t>
  </si>
  <si>
    <t>CON007</t>
  </si>
  <si>
    <t>CON008</t>
  </si>
  <si>
    <t>CON009</t>
  </si>
  <si>
    <t>CON01</t>
  </si>
  <si>
    <t>CON010</t>
  </si>
  <si>
    <t>CON011</t>
  </si>
  <si>
    <t>CON012</t>
  </si>
  <si>
    <t>CON013</t>
  </si>
  <si>
    <t>CON014</t>
  </si>
  <si>
    <t>CON015</t>
  </si>
  <si>
    <t>CON016</t>
  </si>
  <si>
    <t>CON017</t>
  </si>
  <si>
    <t>CON018</t>
  </si>
  <si>
    <t>CON019</t>
  </si>
  <si>
    <t>CON020</t>
  </si>
  <si>
    <t>CON021</t>
  </si>
  <si>
    <t>CON022</t>
  </si>
  <si>
    <t>CON023</t>
  </si>
  <si>
    <t>CON024</t>
  </si>
  <si>
    <t>CON025</t>
  </si>
  <si>
    <t>CON026</t>
  </si>
  <si>
    <t>CON027</t>
  </si>
  <si>
    <t>CON028</t>
  </si>
  <si>
    <t>CON029</t>
  </si>
  <si>
    <t>CON030</t>
  </si>
  <si>
    <t>CON031</t>
  </si>
  <si>
    <t>CON032</t>
  </si>
  <si>
    <t>CON033</t>
  </si>
  <si>
    <t>CON034</t>
  </si>
  <si>
    <t>CON035</t>
  </si>
  <si>
    <t>CON036</t>
  </si>
  <si>
    <t>CON037</t>
  </si>
  <si>
    <t>CON038</t>
  </si>
  <si>
    <t>CON039</t>
  </si>
  <si>
    <t>CON04</t>
  </si>
  <si>
    <t>CON040</t>
  </si>
  <si>
    <t>CON041</t>
  </si>
  <si>
    <t>CON045</t>
  </si>
  <si>
    <t>CON050</t>
  </si>
  <si>
    <t>CON051</t>
  </si>
  <si>
    <t>CON052</t>
  </si>
  <si>
    <t>CON053</t>
  </si>
  <si>
    <t>CON054</t>
  </si>
  <si>
    <t>CON055</t>
  </si>
  <si>
    <t>CON056</t>
  </si>
  <si>
    <t>CON060</t>
  </si>
  <si>
    <t>CON070</t>
  </si>
  <si>
    <t>CON075</t>
  </si>
  <si>
    <t>CON076</t>
  </si>
  <si>
    <t>CON081</t>
  </si>
  <si>
    <t>CON12</t>
  </si>
  <si>
    <t>CON20</t>
  </si>
  <si>
    <t>CON23</t>
  </si>
  <si>
    <t>CONCS001</t>
  </si>
  <si>
    <t>COND001</t>
  </si>
  <si>
    <t>COND014</t>
  </si>
  <si>
    <t>COND015</t>
  </si>
  <si>
    <t>COND016</t>
  </si>
  <si>
    <t>COND017</t>
  </si>
  <si>
    <t>COND018</t>
  </si>
  <si>
    <t>CONG001</t>
  </si>
  <si>
    <t>CONS01</t>
  </si>
  <si>
    <t>CONT001</t>
  </si>
  <si>
    <t>COP001</t>
  </si>
  <si>
    <t>COP002</t>
  </si>
  <si>
    <t>COP003</t>
  </si>
  <si>
    <t>COP004</t>
  </si>
  <si>
    <t>COP005</t>
  </si>
  <si>
    <t>COP006</t>
  </si>
  <si>
    <t>COP007</t>
  </si>
  <si>
    <t>COP008</t>
  </si>
  <si>
    <t>COP009</t>
  </si>
  <si>
    <t>COP010</t>
  </si>
  <si>
    <t>COP011</t>
  </si>
  <si>
    <t>COP02</t>
  </si>
  <si>
    <t>COP10</t>
  </si>
  <si>
    <t>COR001</t>
  </si>
  <si>
    <t>COR002</t>
  </si>
  <si>
    <t>COR003</t>
  </si>
  <si>
    <t>COR01</t>
  </si>
  <si>
    <t>COR02</t>
  </si>
  <si>
    <t>COR020</t>
  </si>
  <si>
    <t>COR03</t>
  </si>
  <si>
    <t>COR04</t>
  </si>
  <si>
    <t>COR05</t>
  </si>
  <si>
    <t>COR06</t>
  </si>
  <si>
    <t>COR07</t>
  </si>
  <si>
    <t>COR08</t>
  </si>
  <si>
    <t>COR09</t>
  </si>
  <si>
    <t>COR10</t>
  </si>
  <si>
    <t>COR11</t>
  </si>
  <si>
    <t>COR12</t>
  </si>
  <si>
    <t>COR13</t>
  </si>
  <si>
    <t>COR15</t>
  </si>
  <si>
    <t>COR20</t>
  </si>
  <si>
    <t>COR21</t>
  </si>
  <si>
    <t>COR22</t>
  </si>
  <si>
    <t>COR23</t>
  </si>
  <si>
    <t>COR24</t>
  </si>
  <si>
    <t>COR25</t>
  </si>
  <si>
    <t>COR26</t>
  </si>
  <si>
    <t>COR27</t>
  </si>
  <si>
    <t>COR28</t>
  </si>
  <si>
    <t>COR29</t>
  </si>
  <si>
    <t>COR30</t>
  </si>
  <si>
    <t>COR31</t>
  </si>
  <si>
    <t>COTOR 295</t>
  </si>
  <si>
    <t>COTOR156</t>
  </si>
  <si>
    <t>COTOR162</t>
  </si>
  <si>
    <t>COTOR18</t>
  </si>
  <si>
    <t>COTOR19</t>
  </si>
  <si>
    <t>COTOR207</t>
  </si>
  <si>
    <t>COTOR231</t>
  </si>
  <si>
    <t>COTOR254</t>
  </si>
  <si>
    <t>COTOR419</t>
  </si>
  <si>
    <t>COTOR420</t>
  </si>
  <si>
    <t>COTOR425</t>
  </si>
  <si>
    <t>COTOR426</t>
  </si>
  <si>
    <t>COTOR432</t>
  </si>
  <si>
    <t>COTOR433</t>
  </si>
  <si>
    <t>COTOR436</t>
  </si>
  <si>
    <t>COTOR546</t>
  </si>
  <si>
    <t>COTOR550</t>
  </si>
  <si>
    <t>COTOR552</t>
  </si>
  <si>
    <t>COTOR592</t>
  </si>
  <si>
    <t>COTOR701</t>
  </si>
  <si>
    <t>COU001</t>
  </si>
  <si>
    <t>CPN001</t>
  </si>
  <si>
    <t>CPV001</t>
  </si>
  <si>
    <t>CR01</t>
  </si>
  <si>
    <t>CRTOR593</t>
  </si>
  <si>
    <t>CS311</t>
  </si>
  <si>
    <t>CT0003</t>
  </si>
  <si>
    <t>CT08</t>
  </si>
  <si>
    <t>CUA001</t>
  </si>
  <si>
    <t>CUA0010</t>
  </si>
  <si>
    <t>CUA002</t>
  </si>
  <si>
    <t>CUA003</t>
  </si>
  <si>
    <t>CUA004</t>
  </si>
  <si>
    <t>CUA005</t>
  </si>
  <si>
    <t>CUA006</t>
  </si>
  <si>
    <t>CUA007</t>
  </si>
  <si>
    <t>CUA008</t>
  </si>
  <si>
    <t>CUA009</t>
  </si>
  <si>
    <t>CUA010</t>
  </si>
  <si>
    <t>CUA011</t>
  </si>
  <si>
    <t>CUA012</t>
  </si>
  <si>
    <t>CUA013</t>
  </si>
  <si>
    <t>CUA014</t>
  </si>
  <si>
    <t>CUA015</t>
  </si>
  <si>
    <t>CUA016</t>
  </si>
  <si>
    <t>CUA017</t>
  </si>
  <si>
    <t>CUA018</t>
  </si>
  <si>
    <t>CUA019</t>
  </si>
  <si>
    <t>CUA020</t>
  </si>
  <si>
    <t>CUA021</t>
  </si>
  <si>
    <t>CUA022</t>
  </si>
  <si>
    <t>CUA030</t>
  </si>
  <si>
    <t>CUA09</t>
  </si>
  <si>
    <t>CUA20</t>
  </si>
  <si>
    <t>CUA31</t>
  </si>
  <si>
    <t>CUA32</t>
  </si>
  <si>
    <t>CUE001</t>
  </si>
  <si>
    <t>CUN001</t>
  </si>
  <si>
    <t>CUTOR 49</t>
  </si>
  <si>
    <t>CUTOR154</t>
  </si>
  <si>
    <t>CUTOR155</t>
  </si>
  <si>
    <t>CUTOR169</t>
  </si>
  <si>
    <t>CUTOR249</t>
  </si>
  <si>
    <t>CUTOR414</t>
  </si>
  <si>
    <t>CUTOR49</t>
  </si>
  <si>
    <t>CUTOR538</t>
  </si>
  <si>
    <t>CUTOR627</t>
  </si>
  <si>
    <t>CUTOR629</t>
  </si>
  <si>
    <t>CUTOR630</t>
  </si>
  <si>
    <t>CUTOR79</t>
  </si>
  <si>
    <t>CUTOR93</t>
  </si>
  <si>
    <t>DAD001</t>
  </si>
  <si>
    <t>DE12</t>
  </si>
  <si>
    <t>DEC001</t>
  </si>
  <si>
    <t>DED004</t>
  </si>
  <si>
    <t>DES001</t>
  </si>
  <si>
    <t>DES030</t>
  </si>
  <si>
    <t>DETOR293</t>
  </si>
  <si>
    <t>DETOR534</t>
  </si>
  <si>
    <t>DI010</t>
  </si>
  <si>
    <t>DI10</t>
  </si>
  <si>
    <t>DIA001</t>
  </si>
  <si>
    <t>DID001</t>
  </si>
  <si>
    <t>DIF001</t>
  </si>
  <si>
    <t>DIF002</t>
  </si>
  <si>
    <t>DIS001</t>
  </si>
  <si>
    <t>DIS002</t>
  </si>
  <si>
    <t>DIS003</t>
  </si>
  <si>
    <t>DIS004</t>
  </si>
  <si>
    <t>DITOR366</t>
  </si>
  <si>
    <t>DOB01</t>
  </si>
  <si>
    <t>DRI10</t>
  </si>
  <si>
    <t>DRI11</t>
  </si>
  <si>
    <t>DRI12</t>
  </si>
  <si>
    <t>DRI13</t>
  </si>
  <si>
    <t>EFT001</t>
  </si>
  <si>
    <t>ELE003</t>
  </si>
  <si>
    <t>ELE019</t>
  </si>
  <si>
    <t>ELE020</t>
  </si>
  <si>
    <t>ELE021</t>
  </si>
  <si>
    <t>EMP009</t>
  </si>
  <si>
    <t>EMP01</t>
  </si>
  <si>
    <t>EMP010</t>
  </si>
  <si>
    <t>EMP05</t>
  </si>
  <si>
    <t>EMP40</t>
  </si>
  <si>
    <t>EMTO122</t>
  </si>
  <si>
    <t>EMTOR124</t>
  </si>
  <si>
    <t>EMTOR394</t>
  </si>
  <si>
    <t>EN13</t>
  </si>
  <si>
    <t>EN18</t>
  </si>
  <si>
    <t>ENTOR115</t>
  </si>
  <si>
    <t>ENTOR20</t>
  </si>
  <si>
    <t>ENTOR21</t>
  </si>
  <si>
    <t>ENTOR287</t>
  </si>
  <si>
    <t>ENTOR303</t>
  </si>
  <si>
    <t>ENTOR304</t>
  </si>
  <si>
    <t>ENTOR305</t>
  </si>
  <si>
    <t>ENTOR306</t>
  </si>
  <si>
    <t>ENTOR307</t>
  </si>
  <si>
    <t>ENTOR308</t>
  </si>
  <si>
    <t>ENTOR309</t>
  </si>
  <si>
    <t>ENTOR310</t>
  </si>
  <si>
    <t>ENTOR311</t>
  </si>
  <si>
    <t>ENTOR312</t>
  </si>
  <si>
    <t>ENTOR313</t>
  </si>
  <si>
    <t>ENTOR314</t>
  </si>
  <si>
    <t>ENTOR315</t>
  </si>
  <si>
    <t>ENTOR316</t>
  </si>
  <si>
    <t>ENTOR317</t>
  </si>
  <si>
    <t>ENTOR318</t>
  </si>
  <si>
    <t>ENTOR319</t>
  </si>
  <si>
    <t>ENTOR320</t>
  </si>
  <si>
    <t>ENTOR321</t>
  </si>
  <si>
    <t>ENTOR322</t>
  </si>
  <si>
    <t>ENTOR323</t>
  </si>
  <si>
    <t>ENTOR324</t>
  </si>
  <si>
    <t>ENTOR325</t>
  </si>
  <si>
    <t>ENTOR326</t>
  </si>
  <si>
    <t>ENTOR327</t>
  </si>
  <si>
    <t>ENTOR328</t>
  </si>
  <si>
    <t>ENTOR329</t>
  </si>
  <si>
    <t>ENTOR330</t>
  </si>
  <si>
    <t>ENTOR331</t>
  </si>
  <si>
    <t>ENTOR332</t>
  </si>
  <si>
    <t>ENTOR333</t>
  </si>
  <si>
    <t>ENTOR334</t>
  </si>
  <si>
    <t>ENTOR335</t>
  </si>
  <si>
    <t>ENTOR336</t>
  </si>
  <si>
    <t>ENTOR337</t>
  </si>
  <si>
    <t>ENTOR338</t>
  </si>
  <si>
    <t>ENTOR339</t>
  </si>
  <si>
    <t>ENTOR340</t>
  </si>
  <si>
    <t>ENTOR372</t>
  </si>
  <si>
    <t>ENTOR373</t>
  </si>
  <si>
    <t>ENTOR379</t>
  </si>
  <si>
    <t>ENTOR381</t>
  </si>
  <si>
    <t>ENTOR383</t>
  </si>
  <si>
    <t>ENTOR631</t>
  </si>
  <si>
    <t>ENV001</t>
  </si>
  <si>
    <t>ENV01</t>
  </si>
  <si>
    <t>EP0002</t>
  </si>
  <si>
    <t>ES01</t>
  </si>
  <si>
    <t>ES011</t>
  </si>
  <si>
    <t>ESC001</t>
  </si>
  <si>
    <t>ESC002</t>
  </si>
  <si>
    <t>ESC003</t>
  </si>
  <si>
    <t>ESFV001</t>
  </si>
  <si>
    <t>ESM001</t>
  </si>
  <si>
    <t>ESM002</t>
  </si>
  <si>
    <t>ESM003</t>
  </si>
  <si>
    <t>ESM005</t>
  </si>
  <si>
    <t>ESM006</t>
  </si>
  <si>
    <t>ESMB001</t>
  </si>
  <si>
    <t>ESMM001</t>
  </si>
  <si>
    <t>ESMM002</t>
  </si>
  <si>
    <t>ESP001</t>
  </si>
  <si>
    <t>ESP0016</t>
  </si>
  <si>
    <t>ESP002</t>
  </si>
  <si>
    <t>ESP003</t>
  </si>
  <si>
    <t>ESP004</t>
  </si>
  <si>
    <t>ESP005</t>
  </si>
  <si>
    <t>ESP006</t>
  </si>
  <si>
    <t>ESP007</t>
  </si>
  <si>
    <t>ESP008</t>
  </si>
  <si>
    <t>ESP009</t>
  </si>
  <si>
    <t>ESP01</t>
  </si>
  <si>
    <t>ESP010</t>
  </si>
  <si>
    <t>ESP011</t>
  </si>
  <si>
    <t>ESP012</t>
  </si>
  <si>
    <t>ESP013</t>
  </si>
  <si>
    <t>ESP014</t>
  </si>
  <si>
    <t>ESP015</t>
  </si>
  <si>
    <t>ESP016</t>
  </si>
  <si>
    <t>ESP017</t>
  </si>
  <si>
    <t>ESP018</t>
  </si>
  <si>
    <t>ESP019</t>
  </si>
  <si>
    <t>ESP020</t>
  </si>
  <si>
    <t>ESP021</t>
  </si>
  <si>
    <t>ESP022</t>
  </si>
  <si>
    <t>ESP023</t>
  </si>
  <si>
    <t>ESP024</t>
  </si>
  <si>
    <t>ESP03</t>
  </si>
  <si>
    <t>ESP08</t>
  </si>
  <si>
    <t>ESP15</t>
  </si>
  <si>
    <t>ESPR001</t>
  </si>
  <si>
    <t>EST001</t>
  </si>
  <si>
    <t>EST002</t>
  </si>
  <si>
    <t>EST003</t>
  </si>
  <si>
    <t>ESTOR 59</t>
  </si>
  <si>
    <t>ESTOR 90</t>
  </si>
  <si>
    <t>ESTOR141</t>
  </si>
  <si>
    <t>ESTOR142</t>
  </si>
  <si>
    <t>ESTOR16</t>
  </si>
  <si>
    <t>ESTOR203</t>
  </si>
  <si>
    <t>ESTOR422</t>
  </si>
  <si>
    <t>ESTOR434</t>
  </si>
  <si>
    <t>ESTOR435</t>
  </si>
  <si>
    <t>ESTOR57</t>
  </si>
  <si>
    <t>ESTOR59</t>
  </si>
  <si>
    <t>ESTOR610</t>
  </si>
  <si>
    <t>ESTOR611</t>
  </si>
  <si>
    <t>ESTOR696</t>
  </si>
  <si>
    <t>ESTOR90</t>
  </si>
  <si>
    <t>ET01</t>
  </si>
  <si>
    <t>ETI001</t>
  </si>
  <si>
    <t>ETI002</t>
  </si>
  <si>
    <t>ETI003</t>
  </si>
  <si>
    <t>ETI004</t>
  </si>
  <si>
    <t>ETI005</t>
  </si>
  <si>
    <t>ETI006</t>
  </si>
  <si>
    <t>ETI007</t>
  </si>
  <si>
    <t>ETI024</t>
  </si>
  <si>
    <t>ETI035</t>
  </si>
  <si>
    <t>ETI036</t>
  </si>
  <si>
    <t>ETI037</t>
  </si>
  <si>
    <t>ETI038</t>
  </si>
  <si>
    <t>ETI046</t>
  </si>
  <si>
    <t>ETI047</t>
  </si>
  <si>
    <t>ETI049</t>
  </si>
  <si>
    <t>ETI050</t>
  </si>
  <si>
    <t>ETI051</t>
  </si>
  <si>
    <t>ETI052</t>
  </si>
  <si>
    <t>ETI053</t>
  </si>
  <si>
    <t>ETI06</t>
  </si>
  <si>
    <t>ETI40</t>
  </si>
  <si>
    <t>ETI41</t>
  </si>
  <si>
    <t>EX00</t>
  </si>
  <si>
    <t>EXP01</t>
  </si>
  <si>
    <t>EXP02</t>
  </si>
  <si>
    <t>EXP03</t>
  </si>
  <si>
    <t>EXP04</t>
  </si>
  <si>
    <t>EXP05</t>
  </si>
  <si>
    <t>EXP06</t>
  </si>
  <si>
    <t>EXP07</t>
  </si>
  <si>
    <t>EXP08</t>
  </si>
  <si>
    <t>EXP09</t>
  </si>
  <si>
    <t>EXP10</t>
  </si>
  <si>
    <t>EXP11</t>
  </si>
  <si>
    <t>EXP12</t>
  </si>
  <si>
    <t>EXP13</t>
  </si>
  <si>
    <t>EXP14</t>
  </si>
  <si>
    <t>EXP15</t>
  </si>
  <si>
    <t>EXP16</t>
  </si>
  <si>
    <t>EXP17</t>
  </si>
  <si>
    <t>EXP18</t>
  </si>
  <si>
    <t>EXP19</t>
  </si>
  <si>
    <t>EXP20</t>
  </si>
  <si>
    <t>EXP21</t>
  </si>
  <si>
    <t>EXP22</t>
  </si>
  <si>
    <t>EXP23</t>
  </si>
  <si>
    <t>EXP24</t>
  </si>
  <si>
    <t>EXP25</t>
  </si>
  <si>
    <t>EXP26</t>
  </si>
  <si>
    <t>EXP27</t>
  </si>
  <si>
    <t>EXP28</t>
  </si>
  <si>
    <t>EXP29</t>
  </si>
  <si>
    <t>EXP30</t>
  </si>
  <si>
    <t>EXP31</t>
  </si>
  <si>
    <t>EXP32</t>
  </si>
  <si>
    <t>EXP33</t>
  </si>
  <si>
    <t>EXP34</t>
  </si>
  <si>
    <t>EXP35</t>
  </si>
  <si>
    <t>EXP36</t>
  </si>
  <si>
    <t>EXP37</t>
  </si>
  <si>
    <t>EXP38</t>
  </si>
  <si>
    <t>EXP39</t>
  </si>
  <si>
    <t>EXP40</t>
  </si>
  <si>
    <t>EXP41</t>
  </si>
  <si>
    <t>EXP42</t>
  </si>
  <si>
    <t>EXP43</t>
  </si>
  <si>
    <t>EXP44</t>
  </si>
  <si>
    <t>EXP45</t>
  </si>
  <si>
    <t>EXP46</t>
  </si>
  <si>
    <t>EXP47</t>
  </si>
  <si>
    <t>EXP48</t>
  </si>
  <si>
    <t>EXP49</t>
  </si>
  <si>
    <t>EXP50</t>
  </si>
  <si>
    <t>EXP51</t>
  </si>
  <si>
    <t>EXP52</t>
  </si>
  <si>
    <t>EXP53</t>
  </si>
  <si>
    <t>EXP54</t>
  </si>
  <si>
    <t>EXP55</t>
  </si>
  <si>
    <t>EXP56</t>
  </si>
  <si>
    <t>EXP57</t>
  </si>
  <si>
    <t>EXP58</t>
  </si>
  <si>
    <t>EXP59</t>
  </si>
  <si>
    <t>EXP60</t>
  </si>
  <si>
    <t>EXP61</t>
  </si>
  <si>
    <t>EXP62</t>
  </si>
  <si>
    <t>EXP63</t>
  </si>
  <si>
    <t>EXP64</t>
  </si>
  <si>
    <t>EXP65</t>
  </si>
  <si>
    <t>EXP66</t>
  </si>
  <si>
    <t>EXP67</t>
  </si>
  <si>
    <t>EXP68</t>
  </si>
  <si>
    <t>EXP69</t>
  </si>
  <si>
    <t>EXP70</t>
  </si>
  <si>
    <t>EXP71</t>
  </si>
  <si>
    <t>EXP72</t>
  </si>
  <si>
    <t>EXP73</t>
  </si>
  <si>
    <t>EXP74</t>
  </si>
  <si>
    <t>EXP75</t>
  </si>
  <si>
    <t>EXP76</t>
  </si>
  <si>
    <t>EXP77</t>
  </si>
  <si>
    <t>EXP78</t>
  </si>
  <si>
    <t>EXP79</t>
  </si>
  <si>
    <t>EXP80</t>
  </si>
  <si>
    <t>EXP81</t>
  </si>
  <si>
    <t>EXP82</t>
  </si>
  <si>
    <t>EXP83</t>
  </si>
  <si>
    <t>EXP84</t>
  </si>
  <si>
    <t>EXP85</t>
  </si>
  <si>
    <t>EXP86</t>
  </si>
  <si>
    <t>EXP87</t>
  </si>
  <si>
    <t>EXP88</t>
  </si>
  <si>
    <t>EXP89</t>
  </si>
  <si>
    <t>EXP90</t>
  </si>
  <si>
    <t>EXP91</t>
  </si>
  <si>
    <t>EXP92</t>
  </si>
  <si>
    <t>EXP93</t>
  </si>
  <si>
    <t>EXP94</t>
  </si>
  <si>
    <t>EXP95</t>
  </si>
  <si>
    <t>EXP96</t>
  </si>
  <si>
    <t>EXP97</t>
  </si>
  <si>
    <t>EXP98</t>
  </si>
  <si>
    <t>EXP99</t>
  </si>
  <si>
    <t>EXTOR145</t>
  </si>
  <si>
    <t>F15029/L45410</t>
  </si>
  <si>
    <t>FAJ001</t>
  </si>
  <si>
    <t>FAJ002</t>
  </si>
  <si>
    <t>FB004</t>
  </si>
  <si>
    <t>FER001</t>
  </si>
  <si>
    <t>FER002</t>
  </si>
  <si>
    <t>FER003</t>
  </si>
  <si>
    <t>FER004</t>
  </si>
  <si>
    <t>FER40</t>
  </si>
  <si>
    <t>FERR005</t>
  </si>
  <si>
    <t>FERR01</t>
  </si>
  <si>
    <t>FERR02</t>
  </si>
  <si>
    <t>FIB001</t>
  </si>
  <si>
    <t>FIB002</t>
  </si>
  <si>
    <t>FIB003</t>
  </si>
  <si>
    <t>FIB005</t>
  </si>
  <si>
    <t>FIB006</t>
  </si>
  <si>
    <t>FIL001</t>
  </si>
  <si>
    <t>FIL002</t>
  </si>
  <si>
    <t>FIL003</t>
  </si>
  <si>
    <t>FIL004</t>
  </si>
  <si>
    <t>FIL005</t>
  </si>
  <si>
    <t>FIL006</t>
  </si>
  <si>
    <t>FIL007</t>
  </si>
  <si>
    <t>FL112</t>
  </si>
  <si>
    <t>FLA002</t>
  </si>
  <si>
    <t>FLE001</t>
  </si>
  <si>
    <t>FLE002</t>
  </si>
  <si>
    <t>FLE003</t>
  </si>
  <si>
    <t>FLE004</t>
  </si>
  <si>
    <t>FLE005</t>
  </si>
  <si>
    <t>FLE006</t>
  </si>
  <si>
    <t>FLE007</t>
  </si>
  <si>
    <t>FLFTOR688</t>
  </si>
  <si>
    <t>FLO001</t>
  </si>
  <si>
    <t>FLTOR 292</t>
  </si>
  <si>
    <t>FLTOR04</t>
  </si>
  <si>
    <t>FLTOR05</t>
  </si>
  <si>
    <t>FLTOR111</t>
  </si>
  <si>
    <t>FLTOR112</t>
  </si>
  <si>
    <t>FLTOR129</t>
  </si>
  <si>
    <t>FLTOR137</t>
  </si>
  <si>
    <t>FLTOR14</t>
  </si>
  <si>
    <t>FLTOR150</t>
  </si>
  <si>
    <t>FLTOR179</t>
  </si>
  <si>
    <t>FLTOR188</t>
  </si>
  <si>
    <t>FLTOR196</t>
  </si>
  <si>
    <t>FLTOR197</t>
  </si>
  <si>
    <t>FLTOR210</t>
  </si>
  <si>
    <t>FLTOR211</t>
  </si>
  <si>
    <t>FLTOR212</t>
  </si>
  <si>
    <t>FLTOR213</t>
  </si>
  <si>
    <t>FLTOR214</t>
  </si>
  <si>
    <t>FLTOR215</t>
  </si>
  <si>
    <t>FLTOR216</t>
  </si>
  <si>
    <t>FLTOR217</t>
  </si>
  <si>
    <t>FLTOR225</t>
  </si>
  <si>
    <t>FLTOR226</t>
  </si>
  <si>
    <t>FLTOR228</t>
  </si>
  <si>
    <t>FLTOR230</t>
  </si>
  <si>
    <t>FLTOR240</t>
  </si>
  <si>
    <t>FLTOR274</t>
  </si>
  <si>
    <t>FLTOR278</t>
  </si>
  <si>
    <t>FLTOR279</t>
  </si>
  <si>
    <t>FLTOR281</t>
  </si>
  <si>
    <t>FLTOR283</t>
  </si>
  <si>
    <t>FLTOR284</t>
  </si>
  <si>
    <t>FLTOR288</t>
  </si>
  <si>
    <t>FLTOR292</t>
  </si>
  <si>
    <t>FLTOR300</t>
  </si>
  <si>
    <t>FLTOR361</t>
  </si>
  <si>
    <t>FLTOR362</t>
  </si>
  <si>
    <t>FLTOR363</t>
  </si>
  <si>
    <t>FLTOR398</t>
  </si>
  <si>
    <t>FLTOR399</t>
  </si>
  <si>
    <t>FLTOR401</t>
  </si>
  <si>
    <t>FLTOR41</t>
  </si>
  <si>
    <t>FLTOR437</t>
  </si>
  <si>
    <t>FLTOR446</t>
  </si>
  <si>
    <t>FLTOR46</t>
  </si>
  <si>
    <t>FLTOR52</t>
  </si>
  <si>
    <t>FLTOR533</t>
  </si>
  <si>
    <t>FLTOR54</t>
  </si>
  <si>
    <t>FLTOR559</t>
  </si>
  <si>
    <t>FLTOR560</t>
  </si>
  <si>
    <t>FLTOR569</t>
  </si>
  <si>
    <t>FLTOR570</t>
  </si>
  <si>
    <t>FLTOR577</t>
  </si>
  <si>
    <t>FLTOR578</t>
  </si>
  <si>
    <t>FLTOR581</t>
  </si>
  <si>
    <t>FLTOR582</t>
  </si>
  <si>
    <t>FLTOR584</t>
  </si>
  <si>
    <t>FLTOR592</t>
  </si>
  <si>
    <t>FLTOR605</t>
  </si>
  <si>
    <t>FLTOR62</t>
  </si>
  <si>
    <t>FLTOR620</t>
  </si>
  <si>
    <t>FLTOR621</t>
  </si>
  <si>
    <t>FLTOR632</t>
  </si>
  <si>
    <t>FLTOR672</t>
  </si>
  <si>
    <t>FLTOR687</t>
  </si>
  <si>
    <t>FLTOR710</t>
  </si>
  <si>
    <t>FLTOR72</t>
  </si>
  <si>
    <t>FLTOR75</t>
  </si>
  <si>
    <t>FLTOR77</t>
  </si>
  <si>
    <t>FLTOR88</t>
  </si>
  <si>
    <t>FLTOR91</t>
  </si>
  <si>
    <t>FLTOR92</t>
  </si>
  <si>
    <t>FLTOR93</t>
  </si>
  <si>
    <t>FLTOR95</t>
  </si>
  <si>
    <t>FLTORT278</t>
  </si>
  <si>
    <t>FOCP001</t>
  </si>
  <si>
    <t>FOCP002</t>
  </si>
  <si>
    <t>FOS001</t>
  </si>
  <si>
    <t>FPV001</t>
  </si>
  <si>
    <t>FRE001</t>
  </si>
  <si>
    <t>FRE002</t>
  </si>
  <si>
    <t>FRE01</t>
  </si>
  <si>
    <t>FRE02</t>
  </si>
  <si>
    <t>FRTOR439</t>
  </si>
  <si>
    <t>FRTOR440</t>
  </si>
  <si>
    <t>FUN001</t>
  </si>
  <si>
    <t>FUS001</t>
  </si>
  <si>
    <t>FUS002</t>
  </si>
  <si>
    <t>GAB001</t>
  </si>
  <si>
    <t>GAB002</t>
  </si>
  <si>
    <t>GAB003</t>
  </si>
  <si>
    <t>GAB004</t>
  </si>
  <si>
    <t>GATOR157</t>
  </si>
  <si>
    <t>GATOR421</t>
  </si>
  <si>
    <t>GATOR423</t>
  </si>
  <si>
    <t>GB01</t>
  </si>
  <si>
    <t>GE01</t>
  </si>
  <si>
    <t>GE100</t>
  </si>
  <si>
    <t>GE1000</t>
  </si>
  <si>
    <t>GEN001</t>
  </si>
  <si>
    <t>GEN002</t>
  </si>
  <si>
    <t>GLA001</t>
  </si>
  <si>
    <t>GOM002</t>
  </si>
  <si>
    <t>GR10</t>
  </si>
  <si>
    <t>GRA001</t>
  </si>
  <si>
    <t>GRA002</t>
  </si>
  <si>
    <t>GRA003</t>
  </si>
  <si>
    <t>GRA004</t>
  </si>
  <si>
    <t>GRA005</t>
  </si>
  <si>
    <t>GRA006</t>
  </si>
  <si>
    <t>GRA012</t>
  </si>
  <si>
    <t>GRO002</t>
  </si>
  <si>
    <t>GU06</t>
  </si>
  <si>
    <t>GUA001</t>
  </si>
  <si>
    <t>GUA002</t>
  </si>
  <si>
    <t>GUA003</t>
  </si>
  <si>
    <t>GUA004</t>
  </si>
  <si>
    <t>GUI001</t>
  </si>
  <si>
    <t>GUIA 01</t>
  </si>
  <si>
    <t>GUTOR103</t>
  </si>
  <si>
    <t>GUTOR104</t>
  </si>
  <si>
    <t>GUTOR147</t>
  </si>
  <si>
    <t>GUTOR33</t>
  </si>
  <si>
    <t>HAR001</t>
  </si>
  <si>
    <t>HAR002</t>
  </si>
  <si>
    <t>HAR003</t>
  </si>
  <si>
    <t>HAR004</t>
  </si>
  <si>
    <t>HEL001</t>
  </si>
  <si>
    <t>HM801346/801310</t>
  </si>
  <si>
    <t>HM803149/803110</t>
  </si>
  <si>
    <t>HM88649/88610</t>
  </si>
  <si>
    <t>HM89449/89410</t>
  </si>
  <si>
    <t>HM903249/903210</t>
  </si>
  <si>
    <t>HM926740/HM92671</t>
  </si>
  <si>
    <t>HOJ007</t>
  </si>
  <si>
    <t>HPE001</t>
  </si>
  <si>
    <t>IMA001</t>
  </si>
  <si>
    <t>IND012</t>
  </si>
  <si>
    <t>IND015</t>
  </si>
  <si>
    <t>IND12</t>
  </si>
  <si>
    <t>INS001</t>
  </si>
  <si>
    <t>INS002</t>
  </si>
  <si>
    <t>INS003</t>
  </si>
  <si>
    <t>INS004</t>
  </si>
  <si>
    <t>INS005</t>
  </si>
  <si>
    <t>INS038</t>
  </si>
  <si>
    <t>INS16</t>
  </si>
  <si>
    <t>INT001</t>
  </si>
  <si>
    <t>INT002</t>
  </si>
  <si>
    <t>INT003</t>
  </si>
  <si>
    <t>INT004</t>
  </si>
  <si>
    <t>INT005</t>
  </si>
  <si>
    <t>INT01</t>
  </si>
  <si>
    <t>INTM01</t>
  </si>
  <si>
    <t>INTM02</t>
  </si>
  <si>
    <t>IPS4</t>
  </si>
  <si>
    <t>IPS6</t>
  </si>
  <si>
    <t>JA01</t>
  </si>
  <si>
    <t>JAL001</t>
  </si>
  <si>
    <t>JAL002</t>
  </si>
  <si>
    <t>JER001</t>
  </si>
  <si>
    <t>JG01</t>
  </si>
  <si>
    <t>JG02</t>
  </si>
  <si>
    <t>JG03</t>
  </si>
  <si>
    <t>JG04</t>
  </si>
  <si>
    <t>JG05</t>
  </si>
  <si>
    <t>JG10</t>
  </si>
  <si>
    <t>JG106</t>
  </si>
  <si>
    <t>JG107</t>
  </si>
  <si>
    <t>JG108</t>
  </si>
  <si>
    <t>JG11</t>
  </si>
  <si>
    <t>JG111</t>
  </si>
  <si>
    <t>JG12</t>
  </si>
  <si>
    <t>JG13</t>
  </si>
  <si>
    <t>JG14</t>
  </si>
  <si>
    <t>JG15</t>
  </si>
  <si>
    <t>JG156</t>
  </si>
  <si>
    <t>JG16</t>
  </si>
  <si>
    <t>JG17</t>
  </si>
  <si>
    <t>JG192</t>
  </si>
  <si>
    <t>JG20</t>
  </si>
  <si>
    <t>JG21</t>
  </si>
  <si>
    <t>JG22</t>
  </si>
  <si>
    <t>JG223</t>
  </si>
  <si>
    <t>JG224</t>
  </si>
  <si>
    <t>JG24</t>
  </si>
  <si>
    <t>JG25</t>
  </si>
  <si>
    <t>JG27</t>
  </si>
  <si>
    <t>JG28</t>
  </si>
  <si>
    <t>JG35</t>
  </si>
  <si>
    <t>JG36</t>
  </si>
  <si>
    <t>JG37</t>
  </si>
  <si>
    <t>JG38</t>
  </si>
  <si>
    <t>JG45</t>
  </si>
  <si>
    <t>JG46</t>
  </si>
  <si>
    <t>JG47</t>
  </si>
  <si>
    <t>JG53</t>
  </si>
  <si>
    <t>JG54</t>
  </si>
  <si>
    <t>JG57</t>
  </si>
  <si>
    <t>JG58</t>
  </si>
  <si>
    <t>JG59</t>
  </si>
  <si>
    <t>JG60</t>
  </si>
  <si>
    <t>JG66</t>
  </si>
  <si>
    <t>JG67</t>
  </si>
  <si>
    <t>JG91</t>
  </si>
  <si>
    <t>JG92</t>
  </si>
  <si>
    <t>JG94</t>
  </si>
  <si>
    <t>JG95</t>
  </si>
  <si>
    <t>JG96</t>
  </si>
  <si>
    <t>JG97</t>
  </si>
  <si>
    <t>JGO001</t>
  </si>
  <si>
    <t>JL01</t>
  </si>
  <si>
    <t>JL69349/JL69310</t>
  </si>
  <si>
    <t>JLM506849/506810</t>
  </si>
  <si>
    <t>JM 20749 10</t>
  </si>
  <si>
    <t>JM207049A/207010</t>
  </si>
  <si>
    <t>JPSC</t>
  </si>
  <si>
    <t>JUE041</t>
  </si>
  <si>
    <t>JUTOR 11</t>
  </si>
  <si>
    <t>JUTOR10</t>
  </si>
  <si>
    <t>JUTOR102</t>
  </si>
  <si>
    <t>JUTOR11</t>
  </si>
  <si>
    <t>JUTOR250</t>
  </si>
  <si>
    <t>JUTOR258</t>
  </si>
  <si>
    <t>JUTOR26</t>
  </si>
  <si>
    <t>JUTOR37</t>
  </si>
  <si>
    <t>JUTOR397</t>
  </si>
  <si>
    <t>JUTOR535</t>
  </si>
  <si>
    <t>JUTOR604</t>
  </si>
  <si>
    <t>JUTOR648</t>
  </si>
  <si>
    <t>JUTOR666</t>
  </si>
  <si>
    <t>JUTOR669</t>
  </si>
  <si>
    <t>JUTOR67</t>
  </si>
  <si>
    <t>K 49SA / 493</t>
  </si>
  <si>
    <t>K-HM518445</t>
  </si>
  <si>
    <t>KIT0003</t>
  </si>
  <si>
    <t>KIT001</t>
  </si>
  <si>
    <t>KIT002</t>
  </si>
  <si>
    <t>KITFIL01</t>
  </si>
  <si>
    <t>KITSEP01</t>
  </si>
  <si>
    <t>KT01</t>
  </si>
  <si>
    <t>KUL001</t>
  </si>
  <si>
    <t>KUL002</t>
  </si>
  <si>
    <t>KUL003</t>
  </si>
  <si>
    <t>KUL004</t>
  </si>
  <si>
    <t>KUL03</t>
  </si>
  <si>
    <t>L44649/L44610</t>
  </si>
  <si>
    <t>L68149 / L68110.</t>
  </si>
  <si>
    <t>LA11</t>
  </si>
  <si>
    <t>LAM001</t>
  </si>
  <si>
    <t>LAM002</t>
  </si>
  <si>
    <t>LAM003</t>
  </si>
  <si>
    <t>LAM004</t>
  </si>
  <si>
    <t>LAM005</t>
  </si>
  <si>
    <t>LAM006</t>
  </si>
  <si>
    <t>LAM007</t>
  </si>
  <si>
    <t>LAM008</t>
  </si>
  <si>
    <t>LAM009</t>
  </si>
  <si>
    <t>LAM01</t>
  </si>
  <si>
    <t>LAM010</t>
  </si>
  <si>
    <t>LAM011</t>
  </si>
  <si>
    <t>LAM012</t>
  </si>
  <si>
    <t>LAM013</t>
  </si>
  <si>
    <t>LAM014</t>
  </si>
  <si>
    <t>LAM015</t>
  </si>
  <si>
    <t>LAM016</t>
  </si>
  <si>
    <t>LAM017</t>
  </si>
  <si>
    <t>LAM018</t>
  </si>
  <si>
    <t>LAM019</t>
  </si>
  <si>
    <t>LAM02</t>
  </si>
  <si>
    <t>LAM020</t>
  </si>
  <si>
    <t>LAM021</t>
  </si>
  <si>
    <t>LAM022</t>
  </si>
  <si>
    <t>LAM023</t>
  </si>
  <si>
    <t>LAM024</t>
  </si>
  <si>
    <t>LAM025</t>
  </si>
  <si>
    <t>LAM026</t>
  </si>
  <si>
    <t>LAM027</t>
  </si>
  <si>
    <t>LAM028</t>
  </si>
  <si>
    <t>LAM029</t>
  </si>
  <si>
    <t>LAM030</t>
  </si>
  <si>
    <t>LAM031</t>
  </si>
  <si>
    <t>LAM032</t>
  </si>
  <si>
    <t>LAM033</t>
  </si>
  <si>
    <t>LAM034</t>
  </si>
  <si>
    <t>LAM035</t>
  </si>
  <si>
    <t>LAM036</t>
  </si>
  <si>
    <t>LAM037</t>
  </si>
  <si>
    <t>LAM038</t>
  </si>
  <si>
    <t>LAM039</t>
  </si>
  <si>
    <t>LAM040</t>
  </si>
  <si>
    <t>LAM041</t>
  </si>
  <si>
    <t>LAM042</t>
  </si>
  <si>
    <t>LAM043</t>
  </si>
  <si>
    <t>LAM044</t>
  </si>
  <si>
    <t>LAM045</t>
  </si>
  <si>
    <t>LAM046</t>
  </si>
  <si>
    <t>LAM047</t>
  </si>
  <si>
    <t>LAM048</t>
  </si>
  <si>
    <t>LAM050</t>
  </si>
  <si>
    <t>LAM051</t>
  </si>
  <si>
    <t>LAM053</t>
  </si>
  <si>
    <t>LAM060</t>
  </si>
  <si>
    <t>LAM070</t>
  </si>
  <si>
    <t>LAM071</t>
  </si>
  <si>
    <t>LAM072</t>
  </si>
  <si>
    <t>LAM073</t>
  </si>
  <si>
    <t>LAM074</t>
  </si>
  <si>
    <t>LAM075</t>
  </si>
  <si>
    <t>LAM076</t>
  </si>
  <si>
    <t>LAM080</t>
  </si>
  <si>
    <t>LAM081</t>
  </si>
  <si>
    <t>LAM082</t>
  </si>
  <si>
    <t>LAM083</t>
  </si>
  <si>
    <t>LAM084</t>
  </si>
  <si>
    <t>LAM10</t>
  </si>
  <si>
    <t>LAM11</t>
  </si>
  <si>
    <t>LAM12</t>
  </si>
  <si>
    <t>LAM13</t>
  </si>
  <si>
    <t>LAM15</t>
  </si>
  <si>
    <t>LAM75</t>
  </si>
  <si>
    <t>LAMO008</t>
  </si>
  <si>
    <t>LAMP003</t>
  </si>
  <si>
    <t>LAMP011</t>
  </si>
  <si>
    <t>LAP001</t>
  </si>
  <si>
    <t>LAT001</t>
  </si>
  <si>
    <t>LAT002</t>
  </si>
  <si>
    <t>LAT003</t>
  </si>
  <si>
    <t>LATOR378</t>
  </si>
  <si>
    <t>LATOR428</t>
  </si>
  <si>
    <t>LATOR44</t>
  </si>
  <si>
    <t>LATOR583</t>
  </si>
  <si>
    <t>LATOR651</t>
  </si>
  <si>
    <t>LE01</t>
  </si>
  <si>
    <t>LE02</t>
  </si>
  <si>
    <t>LE98</t>
  </si>
  <si>
    <t>LETOR204</t>
  </si>
  <si>
    <t>LIG001</t>
  </si>
  <si>
    <t>LIJ001</t>
  </si>
  <si>
    <t>LIM001</t>
  </si>
  <si>
    <t>LIM002</t>
  </si>
  <si>
    <t>LIM003</t>
  </si>
  <si>
    <t>LIM004</t>
  </si>
  <si>
    <t>LIM005</t>
  </si>
  <si>
    <t>LIM006</t>
  </si>
  <si>
    <t>LIM007</t>
  </si>
  <si>
    <t>LIM008</t>
  </si>
  <si>
    <t>LIM009</t>
  </si>
  <si>
    <t>LIS001</t>
  </si>
  <si>
    <t>LIS01</t>
  </si>
  <si>
    <t>LL01</t>
  </si>
  <si>
    <t>LL13</t>
  </si>
  <si>
    <t>LL15</t>
  </si>
  <si>
    <t>LL16</t>
  </si>
  <si>
    <t>LL17</t>
  </si>
  <si>
    <t>LL18</t>
  </si>
  <si>
    <t>LL19</t>
  </si>
  <si>
    <t>LL20</t>
  </si>
  <si>
    <t>LL21</t>
  </si>
  <si>
    <t>LL22</t>
  </si>
  <si>
    <t>LL23</t>
  </si>
  <si>
    <t>LL24</t>
  </si>
  <si>
    <t>LL25</t>
  </si>
  <si>
    <t>LL27</t>
  </si>
  <si>
    <t>LL28</t>
  </si>
  <si>
    <t>LL29</t>
  </si>
  <si>
    <t>LL30</t>
  </si>
  <si>
    <t>LL31</t>
  </si>
  <si>
    <t>LLA001</t>
  </si>
  <si>
    <t>LLA003</t>
  </si>
  <si>
    <t>LLA01</t>
  </si>
  <si>
    <t>LLA011</t>
  </si>
  <si>
    <t>LLA012</t>
  </si>
  <si>
    <t>LLA013</t>
  </si>
  <si>
    <t>LLA014</t>
  </si>
  <si>
    <t>LLA021</t>
  </si>
  <si>
    <t>LLA022</t>
  </si>
  <si>
    <t>LLA06</t>
  </si>
  <si>
    <t>LLA07</t>
  </si>
  <si>
    <t>LLA10</t>
  </si>
  <si>
    <t>LLA24</t>
  </si>
  <si>
    <t>LLAB01</t>
  </si>
  <si>
    <t>LLAN005</t>
  </si>
  <si>
    <t>LLAV001</t>
  </si>
  <si>
    <t>LLAV082</t>
  </si>
  <si>
    <t>LLAV083</t>
  </si>
  <si>
    <t>LLAV084</t>
  </si>
  <si>
    <t>LLTOR572</t>
  </si>
  <si>
    <t>LLTOR673</t>
  </si>
  <si>
    <t>LM 11749 / 10</t>
  </si>
  <si>
    <t>LM 127249 / 10</t>
  </si>
  <si>
    <t>LM11749/LM11710</t>
  </si>
  <si>
    <t>LM11949/LM11910</t>
  </si>
  <si>
    <t>LM12749/LM12710</t>
  </si>
  <si>
    <t>LM12749/LM12711</t>
  </si>
  <si>
    <t>LM29748/LM29710</t>
  </si>
  <si>
    <t>LM29749/LM29710</t>
  </si>
  <si>
    <t>LM300849</t>
  </si>
  <si>
    <t>LM48548/LM48510</t>
  </si>
  <si>
    <t>LM603049</t>
  </si>
  <si>
    <t>LM663049/603012</t>
  </si>
  <si>
    <t>LM67048/LM67010</t>
  </si>
  <si>
    <t>LM68149/L68110</t>
  </si>
  <si>
    <t>LM78349/78310A</t>
  </si>
  <si>
    <t>LMP001</t>
  </si>
  <si>
    <t>LMP002</t>
  </si>
  <si>
    <t>LON10</t>
  </si>
  <si>
    <t>LOZ01</t>
  </si>
  <si>
    <t>LP01</t>
  </si>
  <si>
    <t>LP02</t>
  </si>
  <si>
    <t>LRB001</t>
  </si>
  <si>
    <t>LTOR614</t>
  </si>
  <si>
    <t>LUB001</t>
  </si>
  <si>
    <t>LUTOR295</t>
  </si>
  <si>
    <t>LUTOR368</t>
  </si>
  <si>
    <t>LUTOR369</t>
  </si>
  <si>
    <t>LV03</t>
  </si>
  <si>
    <t>LV06</t>
  </si>
  <si>
    <t>LV07</t>
  </si>
  <si>
    <t>LV11</t>
  </si>
  <si>
    <t>M12649/M12610</t>
  </si>
  <si>
    <t>M238844/238810</t>
  </si>
  <si>
    <t>MAC001</t>
  </si>
  <si>
    <t>MAC002</t>
  </si>
  <si>
    <t>MAL001</t>
  </si>
  <si>
    <t>MAL002</t>
  </si>
  <si>
    <t>MAL003</t>
  </si>
  <si>
    <t>MAL004</t>
  </si>
  <si>
    <t>MAL01</t>
  </si>
  <si>
    <t>MAL010</t>
  </si>
  <si>
    <t>MAL02</t>
  </si>
  <si>
    <t>MAL03</t>
  </si>
  <si>
    <t>MAL032</t>
  </si>
  <si>
    <t>MAL04</t>
  </si>
  <si>
    <t>MAL05</t>
  </si>
  <si>
    <t>MAL051</t>
  </si>
  <si>
    <t>MAL06</t>
  </si>
  <si>
    <t>MAL07</t>
  </si>
  <si>
    <t>MAL081</t>
  </si>
  <si>
    <t>MAL09</t>
  </si>
  <si>
    <t>MAL10</t>
  </si>
  <si>
    <t>MAL11</t>
  </si>
  <si>
    <t>MAL12</t>
  </si>
  <si>
    <t>MAL13</t>
  </si>
  <si>
    <t>MAL20</t>
  </si>
  <si>
    <t>MAL21</t>
  </si>
  <si>
    <t>MAL30</t>
  </si>
  <si>
    <t>MAL31</t>
  </si>
  <si>
    <t>MAL32</t>
  </si>
  <si>
    <t>MAL33</t>
  </si>
  <si>
    <t>MAL34</t>
  </si>
  <si>
    <t>MAL40</t>
  </si>
  <si>
    <t>MAL41</t>
  </si>
  <si>
    <t>MAL50</t>
  </si>
  <si>
    <t>MAN001</t>
  </si>
  <si>
    <t>MAN002</t>
  </si>
  <si>
    <t>MAN003</t>
  </si>
  <si>
    <t>MAN004</t>
  </si>
  <si>
    <t>MAN01</t>
  </si>
  <si>
    <t>MAN02</t>
  </si>
  <si>
    <t>MAN03</t>
  </si>
  <si>
    <t>MAN04</t>
  </si>
  <si>
    <t>MAN05</t>
  </si>
  <si>
    <t>MAN06</t>
  </si>
  <si>
    <t>MAN10</t>
  </si>
  <si>
    <t>MAN11</t>
  </si>
  <si>
    <t>MANO001</t>
  </si>
  <si>
    <t>MAQ001</t>
  </si>
  <si>
    <t>MAQ002</t>
  </si>
  <si>
    <t>MAQ003</t>
  </si>
  <si>
    <t>MAQ004</t>
  </si>
  <si>
    <t>MAQ005</t>
  </si>
  <si>
    <t>MAQ008</t>
  </si>
  <si>
    <t>MAQ01</t>
  </si>
  <si>
    <t>MAQ02</t>
  </si>
  <si>
    <t>MAQ025</t>
  </si>
  <si>
    <t>MAQ027</t>
  </si>
  <si>
    <t>MAQ029</t>
  </si>
  <si>
    <t>MAQ03</t>
  </si>
  <si>
    <t>MAQ032</t>
  </si>
  <si>
    <t>MAQ033</t>
  </si>
  <si>
    <t>MAQ10</t>
  </si>
  <si>
    <t>MAR001</t>
  </si>
  <si>
    <t>MAR024</t>
  </si>
  <si>
    <t>MAR025</t>
  </si>
  <si>
    <t>MAS002</t>
  </si>
  <si>
    <t>MAS01</t>
  </si>
  <si>
    <t>MAS02</t>
  </si>
  <si>
    <t>MAS03</t>
  </si>
  <si>
    <t>MAS10</t>
  </si>
  <si>
    <t>MAS11</t>
  </si>
  <si>
    <t>MAS12</t>
  </si>
  <si>
    <t>MATOR149</t>
  </si>
  <si>
    <t>MATOR178</t>
  </si>
  <si>
    <t>MATOR612</t>
  </si>
  <si>
    <t>MATR001</t>
  </si>
  <si>
    <t>MB13</t>
  </si>
  <si>
    <t>MBAB01</t>
  </si>
  <si>
    <t>MCO001</t>
  </si>
  <si>
    <t>MEC001</t>
  </si>
  <si>
    <t>MEN01</t>
  </si>
  <si>
    <t>MEN02</t>
  </si>
  <si>
    <t>MET001</t>
  </si>
  <si>
    <t>METOR 262</t>
  </si>
  <si>
    <t>METOR 98</t>
  </si>
  <si>
    <t>METOR262</t>
  </si>
  <si>
    <t>MG13</t>
  </si>
  <si>
    <t>MG133</t>
  </si>
  <si>
    <t>MG137</t>
  </si>
  <si>
    <t>MG139</t>
  </si>
  <si>
    <t>MG141</t>
  </si>
  <si>
    <t>MG145</t>
  </si>
  <si>
    <t>MG41</t>
  </si>
  <si>
    <t>MIC001</t>
  </si>
  <si>
    <t>MIC002</t>
  </si>
  <si>
    <t>MIC003</t>
  </si>
  <si>
    <t>MIC004</t>
  </si>
  <si>
    <t>MIC005</t>
  </si>
  <si>
    <t>MIC006</t>
  </si>
  <si>
    <t>MIC01</t>
  </si>
  <si>
    <t>MIN001</t>
  </si>
  <si>
    <t>MIN002</t>
  </si>
  <si>
    <t>MINR006</t>
  </si>
  <si>
    <t>ML102</t>
  </si>
  <si>
    <t>ML107</t>
  </si>
  <si>
    <t>ML114</t>
  </si>
  <si>
    <t>ML138</t>
  </si>
  <si>
    <t>ML14</t>
  </si>
  <si>
    <t>ML146</t>
  </si>
  <si>
    <t>ML17</t>
  </si>
  <si>
    <t>ML19</t>
  </si>
  <si>
    <t>ML20</t>
  </si>
  <si>
    <t>ML21</t>
  </si>
  <si>
    <t>ML32</t>
  </si>
  <si>
    <t>ML42</t>
  </si>
  <si>
    <t>ML50</t>
  </si>
  <si>
    <t>ML51</t>
  </si>
  <si>
    <t>ML52</t>
  </si>
  <si>
    <t>ML53</t>
  </si>
  <si>
    <t>ML74</t>
  </si>
  <si>
    <t>MLEI30P</t>
  </si>
  <si>
    <t xml:space="preserve">MLFG50M </t>
  </si>
  <si>
    <t>MM18</t>
  </si>
  <si>
    <t>MN07</t>
  </si>
  <si>
    <t>MO25</t>
  </si>
  <si>
    <t>MO26</t>
  </si>
  <si>
    <t>MO29</t>
  </si>
  <si>
    <t>MO30</t>
  </si>
  <si>
    <t>MOD001</t>
  </si>
  <si>
    <t>MOD002</t>
  </si>
  <si>
    <t>MOD003</t>
  </si>
  <si>
    <t>MOL001</t>
  </si>
  <si>
    <t>MOL002</t>
  </si>
  <si>
    <t>MOL003</t>
  </si>
  <si>
    <t>MOL004</t>
  </si>
  <si>
    <t>MOL005</t>
  </si>
  <si>
    <t>MOL01</t>
  </si>
  <si>
    <t>MOL06</t>
  </si>
  <si>
    <t>MON001</t>
  </si>
  <si>
    <t>MONO020</t>
  </si>
  <si>
    <t>MOT001</t>
  </si>
  <si>
    <t>MOT002</t>
  </si>
  <si>
    <t>MOT003</t>
  </si>
  <si>
    <t>MOT004</t>
  </si>
  <si>
    <t>MOT005</t>
  </si>
  <si>
    <t>MOT006</t>
  </si>
  <si>
    <t>MOT007</t>
  </si>
  <si>
    <t>MOT008</t>
  </si>
  <si>
    <t>MOT009</t>
  </si>
  <si>
    <t>MOT01</t>
  </si>
  <si>
    <t>MOT010</t>
  </si>
  <si>
    <t>MOT0105</t>
  </si>
  <si>
    <t>MOT011</t>
  </si>
  <si>
    <t>MOT012</t>
  </si>
  <si>
    <t>MOT013</t>
  </si>
  <si>
    <t>MOT014</t>
  </si>
  <si>
    <t>MOT015</t>
  </si>
  <si>
    <t>MOT02</t>
  </si>
  <si>
    <t>MOT020</t>
  </si>
  <si>
    <t>MOT021</t>
  </si>
  <si>
    <t>MOT022</t>
  </si>
  <si>
    <t>MOT023</t>
  </si>
  <si>
    <t>MOT024</t>
  </si>
  <si>
    <t>MOT025</t>
  </si>
  <si>
    <t>MOT03</t>
  </si>
  <si>
    <t>MOT10</t>
  </si>
  <si>
    <t>MOT14</t>
  </si>
  <si>
    <t>MOT15</t>
  </si>
  <si>
    <t>MOT16</t>
  </si>
  <si>
    <t>MOT17</t>
  </si>
  <si>
    <t>MOT18</t>
  </si>
  <si>
    <t>MOT19</t>
  </si>
  <si>
    <t>MOT20</t>
  </si>
  <si>
    <t>MOT21</t>
  </si>
  <si>
    <t>MOT22</t>
  </si>
  <si>
    <t>MOT25</t>
  </si>
  <si>
    <t>MOTD001</t>
  </si>
  <si>
    <t>MOTRW001</t>
  </si>
  <si>
    <t>MOTS001</t>
  </si>
  <si>
    <t>MOTS002</t>
  </si>
  <si>
    <t>MOTS003</t>
  </si>
  <si>
    <t>MOTS004</t>
  </si>
  <si>
    <t>MOTW001</t>
  </si>
  <si>
    <t>MOTW002</t>
  </si>
  <si>
    <t>MOTW003</t>
  </si>
  <si>
    <t>MOTW005</t>
  </si>
  <si>
    <t>MOTW007</t>
  </si>
  <si>
    <t>MOTW008</t>
  </si>
  <si>
    <t>MOTW009</t>
  </si>
  <si>
    <t>MOTW010</t>
  </si>
  <si>
    <t>MOTW012</t>
  </si>
  <si>
    <t>MOTW017</t>
  </si>
  <si>
    <t>MOTW018</t>
  </si>
  <si>
    <t>MOTW019</t>
  </si>
  <si>
    <t>MOTW023</t>
  </si>
  <si>
    <t>MOTW024</t>
  </si>
  <si>
    <t>MOTW026</t>
  </si>
  <si>
    <t>MOTW034</t>
  </si>
  <si>
    <t>MOTW035</t>
  </si>
  <si>
    <t>MOTW036</t>
  </si>
  <si>
    <t>MOTW037</t>
  </si>
  <si>
    <t>MOU002</t>
  </si>
  <si>
    <t>MOU003</t>
  </si>
  <si>
    <t>MPA001</t>
  </si>
  <si>
    <t>MPC001</t>
  </si>
  <si>
    <t>MPC002</t>
  </si>
  <si>
    <t>MPP001</t>
  </si>
  <si>
    <t>MPP002</t>
  </si>
  <si>
    <t>MRD001</t>
  </si>
  <si>
    <t>MRD002</t>
  </si>
  <si>
    <t>MRD003</t>
  </si>
  <si>
    <t>MRL001</t>
  </si>
  <si>
    <t>MT05</t>
  </si>
  <si>
    <t>MT21</t>
  </si>
  <si>
    <t>MTR01</t>
  </si>
  <si>
    <t>MX41</t>
  </si>
  <si>
    <t>N 207 E.</t>
  </si>
  <si>
    <t>N 208 E.</t>
  </si>
  <si>
    <t>N 210 E.</t>
  </si>
  <si>
    <t>N 211 E.</t>
  </si>
  <si>
    <t>N 305 E.</t>
  </si>
  <si>
    <t>N 308 E.</t>
  </si>
  <si>
    <t>N 310 E.</t>
  </si>
  <si>
    <t>N 311 E.</t>
  </si>
  <si>
    <t>N 312 E.</t>
  </si>
  <si>
    <t>N 313.</t>
  </si>
  <si>
    <t>N205M C3</t>
  </si>
  <si>
    <t>N206 C3</t>
  </si>
  <si>
    <t>N206 P6</t>
  </si>
  <si>
    <t>N207 C3</t>
  </si>
  <si>
    <t>N207 P6</t>
  </si>
  <si>
    <t>N208 C3</t>
  </si>
  <si>
    <t>N208 P6</t>
  </si>
  <si>
    <t>N208M C3</t>
  </si>
  <si>
    <t>N209 C3</t>
  </si>
  <si>
    <t>N210 C3</t>
  </si>
  <si>
    <t>N211 C3</t>
  </si>
  <si>
    <t>N211 P6</t>
  </si>
  <si>
    <t>N212 C3</t>
  </si>
  <si>
    <t>N212 P6</t>
  </si>
  <si>
    <t>N213</t>
  </si>
  <si>
    <t>N213 C3</t>
  </si>
  <si>
    <t>N213 P6</t>
  </si>
  <si>
    <t>N214</t>
  </si>
  <si>
    <t>N214 C3</t>
  </si>
  <si>
    <t>N214 P6</t>
  </si>
  <si>
    <t>N215 C3</t>
  </si>
  <si>
    <t>N215 P6</t>
  </si>
  <si>
    <t>N216</t>
  </si>
  <si>
    <t>N216M C3</t>
  </si>
  <si>
    <t>N217</t>
  </si>
  <si>
    <t>N217 C3</t>
  </si>
  <si>
    <t>N218</t>
  </si>
  <si>
    <t>N218 C3</t>
  </si>
  <si>
    <t>N218M</t>
  </si>
  <si>
    <t>N218M C3</t>
  </si>
  <si>
    <t>N219</t>
  </si>
  <si>
    <t>N219 C3</t>
  </si>
  <si>
    <t>N220</t>
  </si>
  <si>
    <t>N220 C3</t>
  </si>
  <si>
    <t>N220M</t>
  </si>
  <si>
    <t>N220M C3</t>
  </si>
  <si>
    <t>N221 C3</t>
  </si>
  <si>
    <t>N221M</t>
  </si>
  <si>
    <t>N221M C3</t>
  </si>
  <si>
    <t>N222</t>
  </si>
  <si>
    <t>N222 C3</t>
  </si>
  <si>
    <t>N224</t>
  </si>
  <si>
    <t>N224 C3</t>
  </si>
  <si>
    <t>N224 P6</t>
  </si>
  <si>
    <t>N224M</t>
  </si>
  <si>
    <t>N226</t>
  </si>
  <si>
    <t>N226 C3</t>
  </si>
  <si>
    <t>N228</t>
  </si>
  <si>
    <t>N228 P6</t>
  </si>
  <si>
    <t>N230EM</t>
  </si>
  <si>
    <t>N305 C3</t>
  </si>
  <si>
    <t>N306 C3</t>
  </si>
  <si>
    <t>N306ETNG</t>
  </si>
  <si>
    <t>N307 C3</t>
  </si>
  <si>
    <t>N307 P6</t>
  </si>
  <si>
    <t>N308 C3</t>
  </si>
  <si>
    <t>N309 C3</t>
  </si>
  <si>
    <t>N309 P6</t>
  </si>
  <si>
    <t>N310 C3</t>
  </si>
  <si>
    <t>N311</t>
  </si>
  <si>
    <t>N311 P6</t>
  </si>
  <si>
    <t>N311M C3</t>
  </si>
  <si>
    <t>N312 P6</t>
  </si>
  <si>
    <t>N312EM1 C3</t>
  </si>
  <si>
    <t>N313</t>
  </si>
  <si>
    <t>N313 C3</t>
  </si>
  <si>
    <t>N313 P6</t>
  </si>
  <si>
    <t>N314</t>
  </si>
  <si>
    <t>N314 C3</t>
  </si>
  <si>
    <t>N314EM1 C3</t>
  </si>
  <si>
    <t>N314M</t>
  </si>
  <si>
    <t>N315 C3</t>
  </si>
  <si>
    <t>N315 P6</t>
  </si>
  <si>
    <t>N315M C3</t>
  </si>
  <si>
    <t>N316</t>
  </si>
  <si>
    <t>N316 C3</t>
  </si>
  <si>
    <t>N317</t>
  </si>
  <si>
    <t>N317 C3</t>
  </si>
  <si>
    <t>N317M C3</t>
  </si>
  <si>
    <t>N318</t>
  </si>
  <si>
    <t>N318 C3</t>
  </si>
  <si>
    <t>N318M C3</t>
  </si>
  <si>
    <t>N319M</t>
  </si>
  <si>
    <t>N319M C3</t>
  </si>
  <si>
    <t>N320 C3</t>
  </si>
  <si>
    <t>N320M</t>
  </si>
  <si>
    <t>N321</t>
  </si>
  <si>
    <t>N321 C3</t>
  </si>
  <si>
    <t>N322</t>
  </si>
  <si>
    <t>N322M</t>
  </si>
  <si>
    <t>N322M C3</t>
  </si>
  <si>
    <t>N326M C3</t>
  </si>
  <si>
    <t>N407</t>
  </si>
  <si>
    <t>N407 C3</t>
  </si>
  <si>
    <t>N409</t>
  </si>
  <si>
    <t>N410</t>
  </si>
  <si>
    <t>N410 C3</t>
  </si>
  <si>
    <t>N411</t>
  </si>
  <si>
    <t>N411 C3</t>
  </si>
  <si>
    <t>N415</t>
  </si>
  <si>
    <t>N415M</t>
  </si>
  <si>
    <t>NAY001</t>
  </si>
  <si>
    <t>NAY002</t>
  </si>
  <si>
    <t>NAY003</t>
  </si>
  <si>
    <t>NAY004</t>
  </si>
  <si>
    <t>NEO001</t>
  </si>
  <si>
    <t>NIP001</t>
  </si>
  <si>
    <t>NIP002</t>
  </si>
  <si>
    <t>NIP003</t>
  </si>
  <si>
    <t>NIP004</t>
  </si>
  <si>
    <t>NIP005</t>
  </si>
  <si>
    <t>NIP006</t>
  </si>
  <si>
    <t>NIP007</t>
  </si>
  <si>
    <t>NIP008</t>
  </si>
  <si>
    <t>NIP009</t>
  </si>
  <si>
    <t>NIP010</t>
  </si>
  <si>
    <t>NIP011</t>
  </si>
  <si>
    <t>NIP012</t>
  </si>
  <si>
    <t>NIP013</t>
  </si>
  <si>
    <t>NIP014</t>
  </si>
  <si>
    <t>NIP015</t>
  </si>
  <si>
    <t>NIP016</t>
  </si>
  <si>
    <t>NIP017</t>
  </si>
  <si>
    <t>NIP018</t>
  </si>
  <si>
    <t>NIP019</t>
  </si>
  <si>
    <t>NIP020</t>
  </si>
  <si>
    <t>NIP021</t>
  </si>
  <si>
    <t>NIP022</t>
  </si>
  <si>
    <t>NIP023</t>
  </si>
  <si>
    <t>NIP024</t>
  </si>
  <si>
    <t>NIP025</t>
  </si>
  <si>
    <t>NIP026</t>
  </si>
  <si>
    <t>NIP027</t>
  </si>
  <si>
    <t>NIP028</t>
  </si>
  <si>
    <t>NIP029</t>
  </si>
  <si>
    <t>NIP030</t>
  </si>
  <si>
    <t>NIP031</t>
  </si>
  <si>
    <t>NIP032</t>
  </si>
  <si>
    <t>NIP033</t>
  </si>
  <si>
    <t>NIP034</t>
  </si>
  <si>
    <t>NIP035</t>
  </si>
  <si>
    <t>NIP036</t>
  </si>
  <si>
    <t>NIP037</t>
  </si>
  <si>
    <t>NIP038</t>
  </si>
  <si>
    <t>NIP039</t>
  </si>
  <si>
    <t>NIP040</t>
  </si>
  <si>
    <t>NIP041</t>
  </si>
  <si>
    <t>NIP10</t>
  </si>
  <si>
    <t>NIP11</t>
  </si>
  <si>
    <t>NIP20</t>
  </si>
  <si>
    <t>NIQ002</t>
  </si>
  <si>
    <t>NIQ01</t>
  </si>
  <si>
    <t>NIT001</t>
  </si>
  <si>
    <t>NIV001</t>
  </si>
  <si>
    <t>NJ 207 E.</t>
  </si>
  <si>
    <t>NJ 209E.</t>
  </si>
  <si>
    <t>NJ 210 E.</t>
  </si>
  <si>
    <t>NJ 211 B NA</t>
  </si>
  <si>
    <t>NJ 211 E.</t>
  </si>
  <si>
    <t>NJ 212 E.</t>
  </si>
  <si>
    <t>NJ 213 E.</t>
  </si>
  <si>
    <t>NJ 215E.</t>
  </si>
  <si>
    <t>NJ 217 C3</t>
  </si>
  <si>
    <t>NJ 217.</t>
  </si>
  <si>
    <t>NJ 2204 E.</t>
  </si>
  <si>
    <t>NJ 2209 E.</t>
  </si>
  <si>
    <t>NJ 2209E.</t>
  </si>
  <si>
    <t>NJ 2215 E.</t>
  </si>
  <si>
    <t>NJ 2304 E.</t>
  </si>
  <si>
    <t>NJ 2305 E.</t>
  </si>
  <si>
    <t>NJ 2306 E.</t>
  </si>
  <si>
    <t>NJ 2307 E.</t>
  </si>
  <si>
    <t>NJ 2308 E.</t>
  </si>
  <si>
    <t>NJ 304 E.</t>
  </si>
  <si>
    <t>NJ 305 E.</t>
  </si>
  <si>
    <t>NJ 307 E.</t>
  </si>
  <si>
    <t>NJ 308 E.</t>
  </si>
  <si>
    <t>NJ 309 E.</t>
  </si>
  <si>
    <t>NJ 310 E.</t>
  </si>
  <si>
    <t>NJ 313 E C3.</t>
  </si>
  <si>
    <t>NJ 313.</t>
  </si>
  <si>
    <t>NJ 314 E.</t>
  </si>
  <si>
    <t>NJ 407 M C3.</t>
  </si>
  <si>
    <t>NJ1022EM C3</t>
  </si>
  <si>
    <t>NJ1032EM</t>
  </si>
  <si>
    <t>NJ1032EM C3</t>
  </si>
  <si>
    <t>NJ1034EM</t>
  </si>
  <si>
    <t>NJ204</t>
  </si>
  <si>
    <t>NJ204 C3</t>
  </si>
  <si>
    <t>NJ205</t>
  </si>
  <si>
    <t>NJ205 C2</t>
  </si>
  <si>
    <t>NJ205 C3</t>
  </si>
  <si>
    <t>NJ205 P6</t>
  </si>
  <si>
    <t>NJ205E</t>
  </si>
  <si>
    <t>NJ205E C3</t>
  </si>
  <si>
    <t>NJ206</t>
  </si>
  <si>
    <t>NJ206 C3</t>
  </si>
  <si>
    <t>NJ206 P6</t>
  </si>
  <si>
    <t>NJ206E</t>
  </si>
  <si>
    <t>NJ206E C3</t>
  </si>
  <si>
    <t>NJ206ETNG</t>
  </si>
  <si>
    <t>NJ207</t>
  </si>
  <si>
    <t>NJ207 C3</t>
  </si>
  <si>
    <t>NJ207 P6</t>
  </si>
  <si>
    <t>NJ207E</t>
  </si>
  <si>
    <t>NJ207E C3</t>
  </si>
  <si>
    <t>NJ207ETNG</t>
  </si>
  <si>
    <t>NJ207MA C3</t>
  </si>
  <si>
    <t>NJ208</t>
  </si>
  <si>
    <t>NJ208 C3</t>
  </si>
  <si>
    <t>NJ208 P6</t>
  </si>
  <si>
    <t>NJ208E</t>
  </si>
  <si>
    <t>NJ208E C3</t>
  </si>
  <si>
    <t>NJ208M</t>
  </si>
  <si>
    <t>NJ208M C3</t>
  </si>
  <si>
    <t>NJ209E</t>
  </si>
  <si>
    <t>NJ209E C3</t>
  </si>
  <si>
    <t>NJ209E P6</t>
  </si>
  <si>
    <t>NJ209ETNG</t>
  </si>
  <si>
    <t>NJ209ETNG C3</t>
  </si>
  <si>
    <t>NJ210</t>
  </si>
  <si>
    <t>NJ210 C3</t>
  </si>
  <si>
    <t>NJ210 P6</t>
  </si>
  <si>
    <t>NJ210E</t>
  </si>
  <si>
    <t>NJ210E C3</t>
  </si>
  <si>
    <t>NJ210EM C3</t>
  </si>
  <si>
    <t>NJ210ETNG</t>
  </si>
  <si>
    <t>NJ210ETNG C3</t>
  </si>
  <si>
    <t>NJ211</t>
  </si>
  <si>
    <t>NJ211 C3</t>
  </si>
  <si>
    <t>NJ211 P6</t>
  </si>
  <si>
    <t>NJ211E</t>
  </si>
  <si>
    <t>NJ211N</t>
  </si>
  <si>
    <t>NJ212</t>
  </si>
  <si>
    <t>NJ212 C3</t>
  </si>
  <si>
    <t>NJ212 P6</t>
  </si>
  <si>
    <t>NJ212EM C3</t>
  </si>
  <si>
    <t>NJ212ETNG</t>
  </si>
  <si>
    <t>NJ213</t>
  </si>
  <si>
    <t>NJ213 C3</t>
  </si>
  <si>
    <t>NJ213E C3</t>
  </si>
  <si>
    <t>NJ213EM C3</t>
  </si>
  <si>
    <t>NJ213EMA C3</t>
  </si>
  <si>
    <t>NJ214</t>
  </si>
  <si>
    <t>NJ214 C3</t>
  </si>
  <si>
    <t>NJ214 C4</t>
  </si>
  <si>
    <t>NJ214 P6</t>
  </si>
  <si>
    <t>NJ214EMA C3</t>
  </si>
  <si>
    <t>NJ214ETNG</t>
  </si>
  <si>
    <t>NJ215</t>
  </si>
  <si>
    <t>NJ215E</t>
  </si>
  <si>
    <t>NJ215E C3</t>
  </si>
  <si>
    <t>NJ215EM C3</t>
  </si>
  <si>
    <t>NJ216</t>
  </si>
  <si>
    <t>NJ216 C3</t>
  </si>
  <si>
    <t>NJ217</t>
  </si>
  <si>
    <t>NJ217 C3</t>
  </si>
  <si>
    <t>NJ217 P6</t>
  </si>
  <si>
    <t>NJ217B NA</t>
  </si>
  <si>
    <t>NJ217E C3</t>
  </si>
  <si>
    <t>NJ217EM C3</t>
  </si>
  <si>
    <t>NJ217ETNG</t>
  </si>
  <si>
    <t>NJ218</t>
  </si>
  <si>
    <t>NJ218 C3</t>
  </si>
  <si>
    <t>NJ218 P6</t>
  </si>
  <si>
    <t>NJ218EM C3</t>
  </si>
  <si>
    <t>NJ219</t>
  </si>
  <si>
    <t>NJ219 C3</t>
  </si>
  <si>
    <t>NJ219E C3</t>
  </si>
  <si>
    <t>NJ219EM</t>
  </si>
  <si>
    <t>NJ219EM C3</t>
  </si>
  <si>
    <t>NJ219M C3</t>
  </si>
  <si>
    <t>NJ219N</t>
  </si>
  <si>
    <t>NJ220</t>
  </si>
  <si>
    <t>NJ220 C3</t>
  </si>
  <si>
    <t>NJ2204</t>
  </si>
  <si>
    <t>NJ2204 C3</t>
  </si>
  <si>
    <t>NJ2205</t>
  </si>
  <si>
    <t>NJ2205 C3</t>
  </si>
  <si>
    <t>NJ2206</t>
  </si>
  <si>
    <t>NJ2206 C3</t>
  </si>
  <si>
    <t>NJ2206 P6</t>
  </si>
  <si>
    <t>NJ2206ETNG</t>
  </si>
  <si>
    <t>NJ2206M C3</t>
  </si>
  <si>
    <t>NJ2206MA</t>
  </si>
  <si>
    <t>NJ2207</t>
  </si>
  <si>
    <t>NJ2207 C3</t>
  </si>
  <si>
    <t>NJ2207 P6</t>
  </si>
  <si>
    <t>NJ2207ETNG</t>
  </si>
  <si>
    <t>NJ2208</t>
  </si>
  <si>
    <t>NJ2208 C3</t>
  </si>
  <si>
    <t>NJ2208E</t>
  </si>
  <si>
    <t>NJ2208E C3</t>
  </si>
  <si>
    <t>NJ2209E</t>
  </si>
  <si>
    <t>NJ2209E C3</t>
  </si>
  <si>
    <t>NJ220E C3</t>
  </si>
  <si>
    <t>NJ220EM C3</t>
  </si>
  <si>
    <t>NJ220M</t>
  </si>
  <si>
    <t>NJ220M C3</t>
  </si>
  <si>
    <t>NJ221</t>
  </si>
  <si>
    <t>NJ221 C3</t>
  </si>
  <si>
    <t>NJ221 P6</t>
  </si>
  <si>
    <t>NJ2210</t>
  </si>
  <si>
    <t>NJ2210 C3</t>
  </si>
  <si>
    <t>NJ2210 P6</t>
  </si>
  <si>
    <t>NJ2210ETNG</t>
  </si>
  <si>
    <t>NJ2211</t>
  </si>
  <si>
    <t>NJ2211 C3</t>
  </si>
  <si>
    <t>NJ2211 P6</t>
  </si>
  <si>
    <t>NJ2211E C3</t>
  </si>
  <si>
    <t>NJ2211EM C3</t>
  </si>
  <si>
    <t>NJ2212</t>
  </si>
  <si>
    <t>NJ2212 C3</t>
  </si>
  <si>
    <t>NJ2212 P6</t>
  </si>
  <si>
    <t>NJ2212EM C3</t>
  </si>
  <si>
    <t>NJ2212ETNG</t>
  </si>
  <si>
    <t>NJ2213</t>
  </si>
  <si>
    <t>NJ2213 C3</t>
  </si>
  <si>
    <t>NJ2213 P6</t>
  </si>
  <si>
    <t>NJ2213E C3</t>
  </si>
  <si>
    <t>NJ2213EM C3</t>
  </si>
  <si>
    <t>NJ2213N</t>
  </si>
  <si>
    <t>NJ2214</t>
  </si>
  <si>
    <t>NJ2214 C3</t>
  </si>
  <si>
    <t>NJ2214 P6</t>
  </si>
  <si>
    <t>NJ2215E</t>
  </si>
  <si>
    <t>NJ2215E C3</t>
  </si>
  <si>
    <t>NJ2215E P6</t>
  </si>
  <si>
    <t>NJ2216E</t>
  </si>
  <si>
    <t>NJ2216E C3</t>
  </si>
  <si>
    <t>NJ2216EM C3</t>
  </si>
  <si>
    <t>NJ2217E</t>
  </si>
  <si>
    <t>NJ2218EM C3</t>
  </si>
  <si>
    <t>NJ2218MAS C3</t>
  </si>
  <si>
    <t>NJ2219</t>
  </si>
  <si>
    <t>NJ2219 C3</t>
  </si>
  <si>
    <t>NJ221EM C3</t>
  </si>
  <si>
    <t>NJ221M</t>
  </si>
  <si>
    <t>NJ221MA C3</t>
  </si>
  <si>
    <t>NJ222</t>
  </si>
  <si>
    <t>NJ222 C3</t>
  </si>
  <si>
    <t>NJ222 P6</t>
  </si>
  <si>
    <t>NJ2220</t>
  </si>
  <si>
    <t>NJ2220 C3</t>
  </si>
  <si>
    <t>NJ2220EM C3</t>
  </si>
  <si>
    <t>NJ2220EMA C3</t>
  </si>
  <si>
    <t>NJ2220M</t>
  </si>
  <si>
    <t>NJ2222</t>
  </si>
  <si>
    <t>NJ2222 C3</t>
  </si>
  <si>
    <t>NJ2222EM C3</t>
  </si>
  <si>
    <t>NJ2224</t>
  </si>
  <si>
    <t>NJ2224EM</t>
  </si>
  <si>
    <t>NJ2224EM C3</t>
  </si>
  <si>
    <t>NJ2224M</t>
  </si>
  <si>
    <t>NJ2226EM C3</t>
  </si>
  <si>
    <t>NJ2228EM C3</t>
  </si>
  <si>
    <t>NJ222E C3</t>
  </si>
  <si>
    <t>NJ222EM C3</t>
  </si>
  <si>
    <t>NJ222MA</t>
  </si>
  <si>
    <t>NJ222MA C3</t>
  </si>
  <si>
    <t>NJ2236M</t>
  </si>
  <si>
    <t>NJ224</t>
  </si>
  <si>
    <t>NJ224 C3</t>
  </si>
  <si>
    <t>NJ224 P6</t>
  </si>
  <si>
    <t>NJ224E C3</t>
  </si>
  <si>
    <t>NJ224EM C3</t>
  </si>
  <si>
    <t>NJ224MA</t>
  </si>
  <si>
    <t>NJ224MA C3</t>
  </si>
  <si>
    <t>NJ226</t>
  </si>
  <si>
    <t>NJ226 C3</t>
  </si>
  <si>
    <t>NJ226EM C3</t>
  </si>
  <si>
    <t>NJ226M</t>
  </si>
  <si>
    <t>NJ226M C3</t>
  </si>
  <si>
    <t>NJ228</t>
  </si>
  <si>
    <t>NJ228 C3</t>
  </si>
  <si>
    <t>NJ228M</t>
  </si>
  <si>
    <t>NJ230</t>
  </si>
  <si>
    <t>NJ230 C3</t>
  </si>
  <si>
    <t>NJ2304</t>
  </si>
  <si>
    <t>NJ2304 C3</t>
  </si>
  <si>
    <t>NJ2305</t>
  </si>
  <si>
    <t>NJ2305 C3</t>
  </si>
  <si>
    <t>NJ2306</t>
  </si>
  <si>
    <t>NJ2306 C3</t>
  </si>
  <si>
    <t>NJ2307</t>
  </si>
  <si>
    <t>NJ2307 C3</t>
  </si>
  <si>
    <t>NJ2307EMAS</t>
  </si>
  <si>
    <t>NJ2308</t>
  </si>
  <si>
    <t>NJ2308 C3</t>
  </si>
  <si>
    <t>NJ2308EMAS</t>
  </si>
  <si>
    <t>NJ2308EMAS C3</t>
  </si>
  <si>
    <t>NJ2309</t>
  </si>
  <si>
    <t>NJ2309 C3</t>
  </si>
  <si>
    <t>NJ2309E</t>
  </si>
  <si>
    <t>NJ2309E C3</t>
  </si>
  <si>
    <t>NJ230M</t>
  </si>
  <si>
    <t>NJ2310</t>
  </si>
  <si>
    <t>NJ2310 C3</t>
  </si>
  <si>
    <t>NJ2310EMAS</t>
  </si>
  <si>
    <t>NJ2311 C3</t>
  </si>
  <si>
    <t>NJ2312</t>
  </si>
  <si>
    <t>NJ2312 C3</t>
  </si>
  <si>
    <t>NJ2313</t>
  </si>
  <si>
    <t>NJ2313 C3</t>
  </si>
  <si>
    <t>NJ2314</t>
  </si>
  <si>
    <t>NJ2314 C3</t>
  </si>
  <si>
    <t>NJ2314EM C3</t>
  </si>
  <si>
    <t>NJ2314EMAS</t>
  </si>
  <si>
    <t>NJ2315</t>
  </si>
  <si>
    <t>NJ2315 C3</t>
  </si>
  <si>
    <t>NJ2315 P6</t>
  </si>
  <si>
    <t>NJ2315EM C3</t>
  </si>
  <si>
    <t>NJ2316</t>
  </si>
  <si>
    <t>NJ2316 C3</t>
  </si>
  <si>
    <t>NJ2316EM C3</t>
  </si>
  <si>
    <t>NJ2316M</t>
  </si>
  <si>
    <t>NJ2316M C3</t>
  </si>
  <si>
    <t>NJ2317M C3</t>
  </si>
  <si>
    <t>NJ2318EMAS</t>
  </si>
  <si>
    <t>NJ2318EMAS C3</t>
  </si>
  <si>
    <t>NJ2318M C3</t>
  </si>
  <si>
    <t>NJ2319M C3</t>
  </si>
  <si>
    <t>NJ2320EM</t>
  </si>
  <si>
    <t>NJ2320EM C3</t>
  </si>
  <si>
    <t>NJ2320EMAS</t>
  </si>
  <si>
    <t>NJ2320EMAS C3</t>
  </si>
  <si>
    <t>NJ2322EM C3</t>
  </si>
  <si>
    <t>NJ2324EM C3</t>
  </si>
  <si>
    <t>NJ2324EMAS</t>
  </si>
  <si>
    <t>NJ2324EMAS C3</t>
  </si>
  <si>
    <t>NJ2326EM C3</t>
  </si>
  <si>
    <t>NJ2328M</t>
  </si>
  <si>
    <t>NJ2328M C3</t>
  </si>
  <si>
    <t>NJ232EM</t>
  </si>
  <si>
    <t>NJ232EM C3</t>
  </si>
  <si>
    <t>NJ234EM</t>
  </si>
  <si>
    <t>NJ234EM C3</t>
  </si>
  <si>
    <t>NJ236E</t>
  </si>
  <si>
    <t>NJ236EM</t>
  </si>
  <si>
    <t>NJ236EM C3</t>
  </si>
  <si>
    <t>NJ240EM</t>
  </si>
  <si>
    <t>NJ244EM C3</t>
  </si>
  <si>
    <t>NJ248</t>
  </si>
  <si>
    <t>NJ304</t>
  </si>
  <si>
    <t>NJ304 C3</t>
  </si>
  <si>
    <t>NJ304 P6</t>
  </si>
  <si>
    <t>NJ305</t>
  </si>
  <si>
    <t>NJ305 C3</t>
  </si>
  <si>
    <t>NJ305 P6</t>
  </si>
  <si>
    <t>NJ305ETNG</t>
  </si>
  <si>
    <t>NJ305ETNG C3</t>
  </si>
  <si>
    <t>NJ306</t>
  </si>
  <si>
    <t>NJ306 C3</t>
  </si>
  <si>
    <t>NJ306 P6</t>
  </si>
  <si>
    <t>NJ306E</t>
  </si>
  <si>
    <t>NJ306E C3</t>
  </si>
  <si>
    <t>NJ306ETNG</t>
  </si>
  <si>
    <t>NJ306ETNG C3</t>
  </si>
  <si>
    <t>NJ306N</t>
  </si>
  <si>
    <t>NJ307</t>
  </si>
  <si>
    <t>NJ307 C3</t>
  </si>
  <si>
    <t>NJ307 P6</t>
  </si>
  <si>
    <t>NJ307E</t>
  </si>
  <si>
    <t>NJ308</t>
  </si>
  <si>
    <t>NJ308 C3</t>
  </si>
  <si>
    <t>NJ308E</t>
  </si>
  <si>
    <t>NJ309</t>
  </si>
  <si>
    <t>NJ309 C3</t>
  </si>
  <si>
    <t>NJ309 P6</t>
  </si>
  <si>
    <t>NJ309E</t>
  </si>
  <si>
    <t>NJ309E C3</t>
  </si>
  <si>
    <t>NJ309M</t>
  </si>
  <si>
    <t>NJ309M C3</t>
  </si>
  <si>
    <t>NJ309N</t>
  </si>
  <si>
    <t>NJ309N C3</t>
  </si>
  <si>
    <t>NJ310</t>
  </si>
  <si>
    <t>NJ310 C3</t>
  </si>
  <si>
    <t>NJ310 P6</t>
  </si>
  <si>
    <t>NJ310E</t>
  </si>
  <si>
    <t>NJ310E C3</t>
  </si>
  <si>
    <t>NJ310EM C3</t>
  </si>
  <si>
    <t>NJ310ETNG</t>
  </si>
  <si>
    <t>NJ310ETNG C3</t>
  </si>
  <si>
    <t>NJ310M C3</t>
  </si>
  <si>
    <t>NJ310N</t>
  </si>
  <si>
    <t>NJ311</t>
  </si>
  <si>
    <t>NJ311 C3</t>
  </si>
  <si>
    <t>NJ311 P6</t>
  </si>
  <si>
    <t>NJ311ETNG</t>
  </si>
  <si>
    <t>NJ311M</t>
  </si>
  <si>
    <t>NJ311M C3</t>
  </si>
  <si>
    <t>NJ311N</t>
  </si>
  <si>
    <t>NJ312</t>
  </si>
  <si>
    <t>NJ312 C3</t>
  </si>
  <si>
    <t>NJ312 P6</t>
  </si>
  <si>
    <t>NJ312M C3</t>
  </si>
  <si>
    <t>NJ313</t>
  </si>
  <si>
    <t>NJ313 C3</t>
  </si>
  <si>
    <t>NJ313 P6</t>
  </si>
  <si>
    <t>NJ313E NF</t>
  </si>
  <si>
    <t>NJ313M</t>
  </si>
  <si>
    <t>NJ313M C3</t>
  </si>
  <si>
    <t>NJ313N</t>
  </si>
  <si>
    <t>NJ314</t>
  </si>
  <si>
    <t>NJ314 C3</t>
  </si>
  <si>
    <t>NJ314 P6</t>
  </si>
  <si>
    <t>NJ314M C3</t>
  </si>
  <si>
    <t>NJ315</t>
  </si>
  <si>
    <t>NJ315 C3</t>
  </si>
  <si>
    <t>NJ315 P6</t>
  </si>
  <si>
    <t>NJ315EM C3</t>
  </si>
  <si>
    <t>NJ315M</t>
  </si>
  <si>
    <t>NJ315M C3</t>
  </si>
  <si>
    <t>NJ316</t>
  </si>
  <si>
    <t>NJ316 C3</t>
  </si>
  <si>
    <t>NJ316E NF</t>
  </si>
  <si>
    <t>NJ316M</t>
  </si>
  <si>
    <t>NJ316M C3</t>
  </si>
  <si>
    <t>NOT001</t>
  </si>
  <si>
    <t>NOT002</t>
  </si>
  <si>
    <t>NP00013</t>
  </si>
  <si>
    <t>NP0012</t>
  </si>
  <si>
    <t>NP0013</t>
  </si>
  <si>
    <t>NP014</t>
  </si>
  <si>
    <t>NYL01</t>
  </si>
  <si>
    <t>OAAP001</t>
  </si>
  <si>
    <t>OAAP002</t>
  </si>
  <si>
    <t>OAIM001</t>
  </si>
  <si>
    <t>OAIP001</t>
  </si>
  <si>
    <t>OAIP002</t>
  </si>
  <si>
    <t>OAIP003</t>
  </si>
  <si>
    <t>OAIP004</t>
  </si>
  <si>
    <t>OAIP005</t>
  </si>
  <si>
    <t>OAIP006</t>
  </si>
  <si>
    <t>OAIP007</t>
  </si>
  <si>
    <t>OAIP008</t>
  </si>
  <si>
    <t>OAIP009</t>
  </si>
  <si>
    <t>OAM001</t>
  </si>
  <si>
    <t>OAP001</t>
  </si>
  <si>
    <t>OAP002</t>
  </si>
  <si>
    <t>OAP003</t>
  </si>
  <si>
    <t>OAP004</t>
  </si>
  <si>
    <t>OAP005</t>
  </si>
  <si>
    <t>OAP006</t>
  </si>
  <si>
    <t>OAP007</t>
  </si>
  <si>
    <t>OAP008</t>
  </si>
  <si>
    <t>OAP009</t>
  </si>
  <si>
    <t>OAP105</t>
  </si>
  <si>
    <t>OG01</t>
  </si>
  <si>
    <t>OP10</t>
  </si>
  <si>
    <t>OP101</t>
  </si>
  <si>
    <t>OP103</t>
  </si>
  <si>
    <t>OP104</t>
  </si>
  <si>
    <t>OP105</t>
  </si>
  <si>
    <t>OPR001</t>
  </si>
  <si>
    <t>OPR01</t>
  </si>
  <si>
    <t>OPR07</t>
  </si>
  <si>
    <t>OPR10</t>
  </si>
  <si>
    <t>OPR11</t>
  </si>
  <si>
    <t>OPR50</t>
  </si>
  <si>
    <t>OPS006</t>
  </si>
  <si>
    <t>OPS007</t>
  </si>
  <si>
    <t>OPS010</t>
  </si>
  <si>
    <t>OR02</t>
  </si>
  <si>
    <t>OR16</t>
  </si>
  <si>
    <t>ORE001</t>
  </si>
  <si>
    <t>ORTOR191</t>
  </si>
  <si>
    <t>ORTOT191</t>
  </si>
  <si>
    <t>OSP001</t>
  </si>
  <si>
    <t>OSP002</t>
  </si>
  <si>
    <t>OSP003</t>
  </si>
  <si>
    <t>OSP004</t>
  </si>
  <si>
    <t>OSP005</t>
  </si>
  <si>
    <t>OSP006</t>
  </si>
  <si>
    <t>OSP007</t>
  </si>
  <si>
    <t>OSP008</t>
  </si>
  <si>
    <t>OSP009</t>
  </si>
  <si>
    <t>OSP010</t>
  </si>
  <si>
    <t>OSP011</t>
  </si>
  <si>
    <t>OSP012</t>
  </si>
  <si>
    <t>OSP013</t>
  </si>
  <si>
    <t>OSP014</t>
  </si>
  <si>
    <t>OSP015</t>
  </si>
  <si>
    <t>OSPI004</t>
  </si>
  <si>
    <t>OXI001</t>
  </si>
  <si>
    <t>OXI002</t>
  </si>
  <si>
    <t>OXI003</t>
  </si>
  <si>
    <t>PA04</t>
  </si>
  <si>
    <t>PAL001</t>
  </si>
  <si>
    <t>PAM001</t>
  </si>
  <si>
    <t>PAQ001</t>
  </si>
  <si>
    <t>PAQ01</t>
  </si>
  <si>
    <t>PAQ02</t>
  </si>
  <si>
    <t>PAS001</t>
  </si>
  <si>
    <t>PAS002</t>
  </si>
  <si>
    <t>PAS003</t>
  </si>
  <si>
    <t>PAS004</t>
  </si>
  <si>
    <t>PAS005</t>
  </si>
  <si>
    <t>PAS006</t>
  </si>
  <si>
    <t>PAS007</t>
  </si>
  <si>
    <t>PAS008</t>
  </si>
  <si>
    <t>PAS009</t>
  </si>
  <si>
    <t>PAS010</t>
  </si>
  <si>
    <t>PAS011</t>
  </si>
  <si>
    <t>PAS015</t>
  </si>
  <si>
    <t>PAS016</t>
  </si>
  <si>
    <t>PAS017</t>
  </si>
  <si>
    <t>PAT001</t>
  </si>
  <si>
    <t>PATOR 290</t>
  </si>
  <si>
    <t>PATOR1170</t>
  </si>
  <si>
    <t>PATOR170</t>
  </si>
  <si>
    <t>PATOR289</t>
  </si>
  <si>
    <t>PATOR290</t>
  </si>
  <si>
    <t>PATOR429</t>
  </si>
  <si>
    <t>PATOR529</t>
  </si>
  <si>
    <t>PATOR56</t>
  </si>
  <si>
    <t>PATOR595</t>
  </si>
  <si>
    <t>PATOR596</t>
  </si>
  <si>
    <t>PATOR597</t>
  </si>
  <si>
    <t>PATOR598</t>
  </si>
  <si>
    <t>PATOR599</t>
  </si>
  <si>
    <t>PATOR600</t>
  </si>
  <si>
    <t>PATOR601</t>
  </si>
  <si>
    <t>PATOR602</t>
  </si>
  <si>
    <t>PATOR603</t>
  </si>
  <si>
    <t>PATOR607</t>
  </si>
  <si>
    <t>PATOR608</t>
  </si>
  <si>
    <t>PB01</t>
  </si>
  <si>
    <t>PE001</t>
  </si>
  <si>
    <t>PE10</t>
  </si>
  <si>
    <t>PE60</t>
  </si>
  <si>
    <t>PE61</t>
  </si>
  <si>
    <t>PE62</t>
  </si>
  <si>
    <t>PE99</t>
  </si>
  <si>
    <t>PEG001</t>
  </si>
  <si>
    <t>PER001</t>
  </si>
  <si>
    <t>PER002</t>
  </si>
  <si>
    <t>PER003</t>
  </si>
  <si>
    <t>PER004</t>
  </si>
  <si>
    <t>PER005</t>
  </si>
  <si>
    <t>PER006</t>
  </si>
  <si>
    <t>PER008</t>
  </si>
  <si>
    <t>PER009</t>
  </si>
  <si>
    <t>PER01</t>
  </si>
  <si>
    <t>PER012</t>
  </si>
  <si>
    <t>PER013</t>
  </si>
  <si>
    <t>PER014</t>
  </si>
  <si>
    <t>PERR001</t>
  </si>
  <si>
    <t>PETOR 106</t>
  </si>
  <si>
    <t>PETOR 28</t>
  </si>
  <si>
    <t>PETOR 47</t>
  </si>
  <si>
    <t>PETOR106</t>
  </si>
  <si>
    <t>PETOR140</t>
  </si>
  <si>
    <t>PETOR171</t>
  </si>
  <si>
    <t>PETOR198</t>
  </si>
  <si>
    <t>PETOR227</t>
  </si>
  <si>
    <t>PETOR245</t>
  </si>
  <si>
    <t>PETOR247</t>
  </si>
  <si>
    <t>PETOR28</t>
  </si>
  <si>
    <t>PETOR360</t>
  </si>
  <si>
    <t>PETOR370</t>
  </si>
  <si>
    <t>PETOR371</t>
  </si>
  <si>
    <t>PETOR415</t>
  </si>
  <si>
    <t>PETOR416</t>
  </si>
  <si>
    <t>PETOR418</t>
  </si>
  <si>
    <t>PETOR47</t>
  </si>
  <si>
    <t>PETOR48</t>
  </si>
  <si>
    <t>PETOR549</t>
  </si>
  <si>
    <t>PETOR556</t>
  </si>
  <si>
    <t>PETOR573</t>
  </si>
  <si>
    <t>PETOR574</t>
  </si>
  <si>
    <t>PETOR591</t>
  </si>
  <si>
    <t>PETOR615</t>
  </si>
  <si>
    <t>PETOR628</t>
  </si>
  <si>
    <t>PETOR638</t>
  </si>
  <si>
    <t>PETOR639</t>
  </si>
  <si>
    <t>PETOR640</t>
  </si>
  <si>
    <t>PETOR641</t>
  </si>
  <si>
    <t>PETOR642</t>
  </si>
  <si>
    <t>PETOR643</t>
  </si>
  <si>
    <t>PETOR644</t>
  </si>
  <si>
    <t>PETOR645</t>
  </si>
  <si>
    <t>PETOR649</t>
  </si>
  <si>
    <t>PETOR689</t>
  </si>
  <si>
    <t>PETOR69</t>
  </si>
  <si>
    <t>PETOR697</t>
  </si>
  <si>
    <t>PETOR698</t>
  </si>
  <si>
    <t>PETOR73</t>
  </si>
  <si>
    <t>PG001</t>
  </si>
  <si>
    <t>PIC001</t>
  </si>
  <si>
    <t>PIJ001</t>
  </si>
  <si>
    <t>PIJ002</t>
  </si>
  <si>
    <t>PIJ003</t>
  </si>
  <si>
    <t>PIJ004</t>
  </si>
  <si>
    <t>PIJ005</t>
  </si>
  <si>
    <t>PIJ006</t>
  </si>
  <si>
    <t>PIJ007</t>
  </si>
  <si>
    <t>PIJ008</t>
  </si>
  <si>
    <t>PIJ009</t>
  </si>
  <si>
    <t>PIJ010</t>
  </si>
  <si>
    <t>PIJ011</t>
  </si>
  <si>
    <t>PIJ012</t>
  </si>
  <si>
    <t>PIJ013</t>
  </si>
  <si>
    <t>PIJ014</t>
  </si>
  <si>
    <t>PIJ015</t>
  </si>
  <si>
    <t>PIJ016</t>
  </si>
  <si>
    <t>PÍJ017</t>
  </si>
  <si>
    <t>PIJ10</t>
  </si>
  <si>
    <t>PIJ17</t>
  </si>
  <si>
    <t>PIN001</t>
  </si>
  <si>
    <t>PIN002</t>
  </si>
  <si>
    <t>PIN003</t>
  </si>
  <si>
    <t>PIN004</t>
  </si>
  <si>
    <t>PIN005</t>
  </si>
  <si>
    <t>PIN006</t>
  </si>
  <si>
    <t>PIN007</t>
  </si>
  <si>
    <t>PIN008</t>
  </si>
  <si>
    <t>PIN11</t>
  </si>
  <si>
    <t>PINT013</t>
  </si>
  <si>
    <t>PIÑ001</t>
  </si>
  <si>
    <t>PIR001</t>
  </si>
  <si>
    <t>PIS001</t>
  </si>
  <si>
    <t>PIS002</t>
  </si>
  <si>
    <t>PIS003</t>
  </si>
  <si>
    <t>PITOR634</t>
  </si>
  <si>
    <t>PL01</t>
  </si>
  <si>
    <t>PLA001</t>
  </si>
  <si>
    <t>PLA002</t>
  </si>
  <si>
    <t>PLA003</t>
  </si>
  <si>
    <t>PLA007</t>
  </si>
  <si>
    <t>PLA008</t>
  </si>
  <si>
    <t>PLA009</t>
  </si>
  <si>
    <t>PLA01</t>
  </si>
  <si>
    <t>PLA010</t>
  </si>
  <si>
    <t>PLA011</t>
  </si>
  <si>
    <t>PLA012</t>
  </si>
  <si>
    <t>PLA013</t>
  </si>
  <si>
    <t>PLA014</t>
  </si>
  <si>
    <t>PLA015</t>
  </si>
  <si>
    <t>PLA016</t>
  </si>
  <si>
    <t>PLA017</t>
  </si>
  <si>
    <t>PLA018</t>
  </si>
  <si>
    <t>PLA019</t>
  </si>
  <si>
    <t>PLA02</t>
  </si>
  <si>
    <t>PLA020</t>
  </si>
  <si>
    <t>PLA021</t>
  </si>
  <si>
    <t>PLA022</t>
  </si>
  <si>
    <t>PLA023</t>
  </si>
  <si>
    <t>PLA03</t>
  </si>
  <si>
    <t>PLA030</t>
  </si>
  <si>
    <t>PLA031</t>
  </si>
  <si>
    <t>PLA037</t>
  </si>
  <si>
    <t>PLA038</t>
  </si>
  <si>
    <t>PLA039</t>
  </si>
  <si>
    <t>PLA04</t>
  </si>
  <si>
    <t>PLA045</t>
  </si>
  <si>
    <t>PLA046</t>
  </si>
  <si>
    <t>PLA047</t>
  </si>
  <si>
    <t>PLA048</t>
  </si>
  <si>
    <t>PLA049</t>
  </si>
  <si>
    <t>PLA050</t>
  </si>
  <si>
    <t>PLA051</t>
  </si>
  <si>
    <t>PLA10</t>
  </si>
  <si>
    <t>PLTOR109</t>
  </si>
  <si>
    <t>PLTOR135</t>
  </si>
  <si>
    <t>PLTOR151</t>
  </si>
  <si>
    <t>PLTOR161</t>
  </si>
  <si>
    <t>PLTOR243</t>
  </si>
  <si>
    <t>PLTOR244</t>
  </si>
  <si>
    <t>PLTOR353</t>
  </si>
  <si>
    <t>PLTOR438</t>
  </si>
  <si>
    <t>PLTOR441</t>
  </si>
  <si>
    <t>PLTOR547</t>
  </si>
  <si>
    <t>PLTOR557</t>
  </si>
  <si>
    <t>PLTOR579</t>
  </si>
  <si>
    <t>PLTOR653</t>
  </si>
  <si>
    <t>PLTOR654</t>
  </si>
  <si>
    <t>PLTOR679</t>
  </si>
  <si>
    <t>PLTOR681</t>
  </si>
  <si>
    <t>PN001</t>
  </si>
  <si>
    <t>PN13</t>
  </si>
  <si>
    <t>POL001</t>
  </si>
  <si>
    <t>POL002</t>
  </si>
  <si>
    <t>POL003</t>
  </si>
  <si>
    <t>POL004</t>
  </si>
  <si>
    <t>POL010</t>
  </si>
  <si>
    <t>POL011</t>
  </si>
  <si>
    <t>POL012</t>
  </si>
  <si>
    <t>POL013</t>
  </si>
  <si>
    <t>POL014</t>
  </si>
  <si>
    <t>POL015</t>
  </si>
  <si>
    <t>POL020</t>
  </si>
  <si>
    <t>POL025</t>
  </si>
  <si>
    <t>POL026</t>
  </si>
  <si>
    <t>POR001</t>
  </si>
  <si>
    <t>POR003</t>
  </si>
  <si>
    <t>PORTOR488</t>
  </si>
  <si>
    <t>POS001</t>
  </si>
  <si>
    <t>POT001</t>
  </si>
  <si>
    <t>POT002</t>
  </si>
  <si>
    <t>POTOR 236</t>
  </si>
  <si>
    <t>POTOR 518</t>
  </si>
  <si>
    <t>POTOR 65</t>
  </si>
  <si>
    <t>POTOR 66</t>
  </si>
  <si>
    <t>POTOR 99</t>
  </si>
  <si>
    <t>POTOR113</t>
  </si>
  <si>
    <t>POTOR131</t>
  </si>
  <si>
    <t>POTOR132</t>
  </si>
  <si>
    <t>POTOR133</t>
  </si>
  <si>
    <t>POTOR158</t>
  </si>
  <si>
    <t>POTOR159</t>
  </si>
  <si>
    <t>POTOR175</t>
  </si>
  <si>
    <t>POTOR176</t>
  </si>
  <si>
    <t>POTOR180</t>
  </si>
  <si>
    <t>POTOR181</t>
  </si>
  <si>
    <t>POTOR186</t>
  </si>
  <si>
    <t>POTOR234</t>
  </si>
  <si>
    <t>POTOR236</t>
  </si>
  <si>
    <t>POTOR237</t>
  </si>
  <si>
    <t>POTOR238</t>
  </si>
  <si>
    <t>POTOR302</t>
  </si>
  <si>
    <t>POTOR358</t>
  </si>
  <si>
    <t>POTOR359</t>
  </si>
  <si>
    <t>POTOR394</t>
  </si>
  <si>
    <t>POTOR406</t>
  </si>
  <si>
    <t>POTOR407</t>
  </si>
  <si>
    <t>POTOR408</t>
  </si>
  <si>
    <t>POTOR409</t>
  </si>
  <si>
    <t>POTOR410</t>
  </si>
  <si>
    <t>POTOR411</t>
  </si>
  <si>
    <t>POTOR412</t>
  </si>
  <si>
    <t>POTOR457</t>
  </si>
  <si>
    <t>POTOR458</t>
  </si>
  <si>
    <t>POTOR459</t>
  </si>
  <si>
    <t>POTOR460</t>
  </si>
  <si>
    <t>POTOR461</t>
  </si>
  <si>
    <t>POTOR462</t>
  </si>
  <si>
    <t>POTOR463</t>
  </si>
  <si>
    <t>POTOR464</t>
  </si>
  <si>
    <t>POTOR465</t>
  </si>
  <si>
    <t>POTOR466</t>
  </si>
  <si>
    <t>POTOR467</t>
  </si>
  <si>
    <t>POTOR468</t>
  </si>
  <si>
    <t>POTOR469</t>
  </si>
  <si>
    <t>POTOR470</t>
  </si>
  <si>
    <t>POTOR471</t>
  </si>
  <si>
    <t>POTOR472</t>
  </si>
  <si>
    <t>POTOR473</t>
  </si>
  <si>
    <t>POTOR474</t>
  </si>
  <si>
    <t>POTOR475</t>
  </si>
  <si>
    <t>POTOR476</t>
  </si>
  <si>
    <t>POTOR477</t>
  </si>
  <si>
    <t>POTOR478</t>
  </si>
  <si>
    <t>POTOR479</t>
  </si>
  <si>
    <t>POTOR480</t>
  </si>
  <si>
    <t>POTOR481</t>
  </si>
  <si>
    <t>POTOR482</t>
  </si>
  <si>
    <t>POTOR483</t>
  </si>
  <si>
    <t>POTOR484</t>
  </si>
  <si>
    <t>POTOR485</t>
  </si>
  <si>
    <t>POTOR486</t>
  </si>
  <si>
    <t>POTOR487</t>
  </si>
  <si>
    <t>POTOR488</t>
  </si>
  <si>
    <t>POTOR489</t>
  </si>
  <si>
    <t>POTOR490</t>
  </si>
  <si>
    <t>POTOR491</t>
  </si>
  <si>
    <t>POTOR492</t>
  </si>
  <si>
    <t>POTOR493</t>
  </si>
  <si>
    <t>POTOR494</t>
  </si>
  <si>
    <t>POTOR495</t>
  </si>
  <si>
    <t>POTOR496</t>
  </si>
  <si>
    <t>POTOR497</t>
  </si>
  <si>
    <t>POTOR498</t>
  </si>
  <si>
    <t>POTOR499</t>
  </si>
  <si>
    <t>POTOR500</t>
  </si>
  <si>
    <t>POTOR501</t>
  </si>
  <si>
    <t>POTOR502</t>
  </si>
  <si>
    <t>POTOR503</t>
  </si>
  <si>
    <t>POTOR504</t>
  </si>
  <si>
    <t>POTOR505</t>
  </si>
  <si>
    <t>POTOR506</t>
  </si>
  <si>
    <t>POTOR507</t>
  </si>
  <si>
    <t>POTOR508</t>
  </si>
  <si>
    <t>POTOR509</t>
  </si>
  <si>
    <t>POTOR510</t>
  </si>
  <si>
    <t>POTOR511</t>
  </si>
  <si>
    <t>POTOR512</t>
  </si>
  <si>
    <t>POTOR513</t>
  </si>
  <si>
    <t>POTOR514</t>
  </si>
  <si>
    <t>POTOR515</t>
  </si>
  <si>
    <t>POTOR516</t>
  </si>
  <si>
    <t>POTOR517</t>
  </si>
  <si>
    <t>POTOR518</t>
  </si>
  <si>
    <t>POTOR519</t>
  </si>
  <si>
    <t>POTOR520</t>
  </si>
  <si>
    <t>POTOR521</t>
  </si>
  <si>
    <t>POTOR522</t>
  </si>
  <si>
    <t>POTOR523</t>
  </si>
  <si>
    <t>POTOR524</t>
  </si>
  <si>
    <t>POTOR525</t>
  </si>
  <si>
    <t>POTOR589</t>
  </si>
  <si>
    <t>POTOR590</t>
  </si>
  <si>
    <t>POTOR65</t>
  </si>
  <si>
    <t>POTOR655</t>
  </si>
  <si>
    <t>POTOR66</t>
  </si>
  <si>
    <t>POTOR693</t>
  </si>
  <si>
    <t>POTOR81</t>
  </si>
  <si>
    <t>PP01</t>
  </si>
  <si>
    <t>PQ37</t>
  </si>
  <si>
    <t>PRO001</t>
  </si>
  <si>
    <t>PRTOR85</t>
  </si>
  <si>
    <t>PTR001</t>
  </si>
  <si>
    <t>PTR002</t>
  </si>
  <si>
    <t>PTR003</t>
  </si>
  <si>
    <t>PTR004</t>
  </si>
  <si>
    <t>PTR005</t>
  </si>
  <si>
    <t>PTR006</t>
  </si>
  <si>
    <t>PTR007</t>
  </si>
  <si>
    <t>PTR008</t>
  </si>
  <si>
    <t>PTR009</t>
  </si>
  <si>
    <t>PTR010</t>
  </si>
  <si>
    <t>PTR012</t>
  </si>
  <si>
    <t>PTR013</t>
  </si>
  <si>
    <t>PTR014</t>
  </si>
  <si>
    <t>PTR015</t>
  </si>
  <si>
    <t>PTR016</t>
  </si>
  <si>
    <t>PTR017</t>
  </si>
  <si>
    <t>PTR018</t>
  </si>
  <si>
    <t>PTR019</t>
  </si>
  <si>
    <t>PTR020</t>
  </si>
  <si>
    <t>PTR04</t>
  </si>
  <si>
    <t>PTR043</t>
  </si>
  <si>
    <t>PTR10</t>
  </si>
  <si>
    <t>PTR14</t>
  </si>
  <si>
    <t>PTR16</t>
  </si>
  <si>
    <t>PTR20</t>
  </si>
  <si>
    <t>PTR30</t>
  </si>
  <si>
    <t>PTR31</t>
  </si>
  <si>
    <t>PTR40</t>
  </si>
  <si>
    <t>PTR41</t>
  </si>
  <si>
    <t>PTR42</t>
  </si>
  <si>
    <t>PTRAI001</t>
  </si>
  <si>
    <t>PTRAI002</t>
  </si>
  <si>
    <t>PTRAI003</t>
  </si>
  <si>
    <t>PTRAI004</t>
  </si>
  <si>
    <t>PTRAI005</t>
  </si>
  <si>
    <t>PTRAI006</t>
  </si>
  <si>
    <t>PTRAI007</t>
  </si>
  <si>
    <t>PTRAI008</t>
  </si>
  <si>
    <t>PTRAI009</t>
  </si>
  <si>
    <t>PTRTOR545</t>
  </si>
  <si>
    <t>PU06</t>
  </si>
  <si>
    <t>PUN001</t>
  </si>
  <si>
    <t>PUP001</t>
  </si>
  <si>
    <t>PUR001</t>
  </si>
  <si>
    <t>QR01</t>
  </si>
  <si>
    <t>QUE001</t>
  </si>
  <si>
    <t>QUE002</t>
  </si>
  <si>
    <t>QUTOR25</t>
  </si>
  <si>
    <t>QUTOR674</t>
  </si>
  <si>
    <t>QUTOR675</t>
  </si>
  <si>
    <t>R0009</t>
  </si>
  <si>
    <t>RA19</t>
  </si>
  <si>
    <t>RAC01</t>
  </si>
  <si>
    <t>RAC10</t>
  </si>
  <si>
    <t>RAC11</t>
  </si>
  <si>
    <t>RAC12</t>
  </si>
  <si>
    <t>RAC13</t>
  </si>
  <si>
    <t>RAJ002</t>
  </si>
  <si>
    <t>RAM001</t>
  </si>
  <si>
    <t>RATOR561</t>
  </si>
  <si>
    <t>RATOR568</t>
  </si>
  <si>
    <t>RC151</t>
  </si>
  <si>
    <t>RC156</t>
  </si>
  <si>
    <t>RC64</t>
  </si>
  <si>
    <t>RC65</t>
  </si>
  <si>
    <t>RD0006</t>
  </si>
  <si>
    <t>RD0007</t>
  </si>
  <si>
    <t>RD007</t>
  </si>
  <si>
    <t>RD14</t>
  </si>
  <si>
    <t>RD15</t>
  </si>
  <si>
    <t>RDPN001</t>
  </si>
  <si>
    <t>RE001</t>
  </si>
  <si>
    <t>REB001</t>
  </si>
  <si>
    <t>REBC001</t>
  </si>
  <si>
    <t>REC001</t>
  </si>
  <si>
    <t>REC002</t>
  </si>
  <si>
    <t>RED001</t>
  </si>
  <si>
    <t>RED002</t>
  </si>
  <si>
    <t>RED003</t>
  </si>
  <si>
    <t>RED004</t>
  </si>
  <si>
    <t>RED005</t>
  </si>
  <si>
    <t>RED006</t>
  </si>
  <si>
    <t>RED007</t>
  </si>
  <si>
    <t>RED008</t>
  </si>
  <si>
    <t>RED009</t>
  </si>
  <si>
    <t>RED01</t>
  </si>
  <si>
    <t>RED010</t>
  </si>
  <si>
    <t>RED011</t>
  </si>
  <si>
    <t>RED012</t>
  </si>
  <si>
    <t>RED013</t>
  </si>
  <si>
    <t>RED014</t>
  </si>
  <si>
    <t>RED015</t>
  </si>
  <si>
    <t>RED016</t>
  </si>
  <si>
    <t>RED017</t>
  </si>
  <si>
    <t>RED018</t>
  </si>
  <si>
    <t>RED019</t>
  </si>
  <si>
    <t>RED020</t>
  </si>
  <si>
    <t>RED021</t>
  </si>
  <si>
    <t>RED025</t>
  </si>
  <si>
    <t>RED026</t>
  </si>
  <si>
    <t>RED028</t>
  </si>
  <si>
    <t>RED029</t>
  </si>
  <si>
    <t>RED030</t>
  </si>
  <si>
    <t>RED031</t>
  </si>
  <si>
    <t>RED032</t>
  </si>
  <si>
    <t>RED033</t>
  </si>
  <si>
    <t>RED034</t>
  </si>
  <si>
    <t>RED035</t>
  </si>
  <si>
    <t>RED036</t>
  </si>
  <si>
    <t>RED037</t>
  </si>
  <si>
    <t>RED038</t>
  </si>
  <si>
    <t>RED039</t>
  </si>
  <si>
    <t>RED040</t>
  </si>
  <si>
    <t>RED041</t>
  </si>
  <si>
    <t>RED042</t>
  </si>
  <si>
    <t>RED043</t>
  </si>
  <si>
    <t>RED044</t>
  </si>
  <si>
    <t>RED045</t>
  </si>
  <si>
    <t>RED046</t>
  </si>
  <si>
    <t>RED049</t>
  </si>
  <si>
    <t>REDU006</t>
  </si>
  <si>
    <t>REDU016</t>
  </si>
  <si>
    <t>REDW001</t>
  </si>
  <si>
    <t>REDW002</t>
  </si>
  <si>
    <t>REDW003</t>
  </si>
  <si>
    <t>REDW004</t>
  </si>
  <si>
    <t>REF001</t>
  </si>
  <si>
    <t>REF01</t>
  </si>
  <si>
    <t>REG001</t>
  </si>
  <si>
    <t>REG002</t>
  </si>
  <si>
    <t>REG003</t>
  </si>
  <si>
    <t>REG004</t>
  </si>
  <si>
    <t>REG005</t>
  </si>
  <si>
    <t>REG009</t>
  </si>
  <si>
    <t>REG01</t>
  </si>
  <si>
    <t>REG010</t>
  </si>
  <si>
    <t>REL001</t>
  </si>
  <si>
    <t>REL002</t>
  </si>
  <si>
    <t>REL003</t>
  </si>
  <si>
    <t>REL004</t>
  </si>
  <si>
    <t>REL005</t>
  </si>
  <si>
    <t>REL01</t>
  </si>
  <si>
    <t>REL10</t>
  </si>
  <si>
    <t>REM001</t>
  </si>
  <si>
    <t>REM002</t>
  </si>
  <si>
    <t>REM003</t>
  </si>
  <si>
    <t>REM004</t>
  </si>
  <si>
    <t>REM005</t>
  </si>
  <si>
    <t>REM006</t>
  </si>
  <si>
    <t>REM007</t>
  </si>
  <si>
    <t>REM008</t>
  </si>
  <si>
    <t>REM010</t>
  </si>
  <si>
    <t>REM011</t>
  </si>
  <si>
    <t>REM10</t>
  </si>
  <si>
    <t>REMP003</t>
  </si>
  <si>
    <t>REN001</t>
  </si>
  <si>
    <t>REP100</t>
  </si>
  <si>
    <t>RES001</t>
  </si>
  <si>
    <t>RES002</t>
  </si>
  <si>
    <t>RES003</t>
  </si>
  <si>
    <t>RES004</t>
  </si>
  <si>
    <t>RES005</t>
  </si>
  <si>
    <t>RES006</t>
  </si>
  <si>
    <t>RES007</t>
  </si>
  <si>
    <t>RES008</t>
  </si>
  <si>
    <t>RES009</t>
  </si>
  <si>
    <t>RES01</t>
  </si>
  <si>
    <t>RET001</t>
  </si>
  <si>
    <t>RET002</t>
  </si>
  <si>
    <t>RET003</t>
  </si>
  <si>
    <t>RET004</t>
  </si>
  <si>
    <t>RET005</t>
  </si>
  <si>
    <t>RET006</t>
  </si>
  <si>
    <t>RET007</t>
  </si>
  <si>
    <t>RET008</t>
  </si>
  <si>
    <t>RET01</t>
  </si>
  <si>
    <t>RET02</t>
  </si>
  <si>
    <t>RETC001</t>
  </si>
  <si>
    <t>RETOR652</t>
  </si>
  <si>
    <t>RI01</t>
  </si>
  <si>
    <t>RI02</t>
  </si>
  <si>
    <t>RI03</t>
  </si>
  <si>
    <t>RIE001</t>
  </si>
  <si>
    <t>RITOR 527</t>
  </si>
  <si>
    <t>RITOR 528</t>
  </si>
  <si>
    <t>RITOR 529</t>
  </si>
  <si>
    <t>RITOR 530</t>
  </si>
  <si>
    <t>RITOR164</t>
  </si>
  <si>
    <t>RITOR447</t>
  </si>
  <si>
    <t>RITOR526</t>
  </si>
  <si>
    <t>RITOR527</t>
  </si>
  <si>
    <t>RITOR528</t>
  </si>
  <si>
    <t>RITOR529</t>
  </si>
  <si>
    <t>RITOR530</t>
  </si>
  <si>
    <t>RITOR531</t>
  </si>
  <si>
    <t>RITOR576</t>
  </si>
  <si>
    <t>RIV001</t>
  </si>
  <si>
    <t>RJ07</t>
  </si>
  <si>
    <t>RJ08</t>
  </si>
  <si>
    <t>RJ09</t>
  </si>
  <si>
    <t>RJ10</t>
  </si>
  <si>
    <t>RL02</t>
  </si>
  <si>
    <t>RL06</t>
  </si>
  <si>
    <t>RM02</t>
  </si>
  <si>
    <t>RM03</t>
  </si>
  <si>
    <t>RN04</t>
  </si>
  <si>
    <t>RN05</t>
  </si>
  <si>
    <t>RN06</t>
  </si>
  <si>
    <t>RN07</t>
  </si>
  <si>
    <t>RN08</t>
  </si>
  <si>
    <t>RN09</t>
  </si>
  <si>
    <t>RN10</t>
  </si>
  <si>
    <t>RN11</t>
  </si>
  <si>
    <t>RN12</t>
  </si>
  <si>
    <t>RN15</t>
  </si>
  <si>
    <t>RO100</t>
  </si>
  <si>
    <t>RO101</t>
  </si>
  <si>
    <t>RO113</t>
  </si>
  <si>
    <t>RO28</t>
  </si>
  <si>
    <t>RO32</t>
  </si>
  <si>
    <t>RO34</t>
  </si>
  <si>
    <t>RO35</t>
  </si>
  <si>
    <t>RO36</t>
  </si>
  <si>
    <t>RO38</t>
  </si>
  <si>
    <t>RO39</t>
  </si>
  <si>
    <t>ROD001</t>
  </si>
  <si>
    <t>ROD002</t>
  </si>
  <si>
    <t>ROD20</t>
  </si>
  <si>
    <t>ROD21</t>
  </si>
  <si>
    <t>ROD22</t>
  </si>
  <si>
    <t>ROL10</t>
  </si>
  <si>
    <t>ROLL001</t>
  </si>
  <si>
    <t>ROLL002</t>
  </si>
  <si>
    <t>ROLLFC001</t>
  </si>
  <si>
    <t>RON001</t>
  </si>
  <si>
    <t>RON008</t>
  </si>
  <si>
    <t>RON009</t>
  </si>
  <si>
    <t>RON01</t>
  </si>
  <si>
    <t>RON010</t>
  </si>
  <si>
    <t>RON011</t>
  </si>
  <si>
    <t>RON02</t>
  </si>
  <si>
    <t>RON021</t>
  </si>
  <si>
    <t>RON03</t>
  </si>
  <si>
    <t>RON10</t>
  </si>
  <si>
    <t>RON11</t>
  </si>
  <si>
    <t>RON20</t>
  </si>
  <si>
    <t>RONI003</t>
  </si>
  <si>
    <t>ROP001</t>
  </si>
  <si>
    <t>ROTO657</t>
  </si>
  <si>
    <t>ROTOE537</t>
  </si>
  <si>
    <t>ROTOR 289</t>
  </si>
  <si>
    <t>ROTOR 34</t>
  </si>
  <si>
    <t>ROTOR 51</t>
  </si>
  <si>
    <t>ROTOR15</t>
  </si>
  <si>
    <t>ROTOR235</t>
  </si>
  <si>
    <t>ROTOR285</t>
  </si>
  <si>
    <t>ROTOR286</t>
  </si>
  <si>
    <t>ROTOR34</t>
  </si>
  <si>
    <t>ROTOR400</t>
  </si>
  <si>
    <t>ROTOR51</t>
  </si>
  <si>
    <t>ROTOR532</t>
  </si>
  <si>
    <t>ROTOR536</t>
  </si>
  <si>
    <t>ROTOR537</t>
  </si>
  <si>
    <t>ROTOR625</t>
  </si>
  <si>
    <t>ROTOR626</t>
  </si>
  <si>
    <t>ROTOR635</t>
  </si>
  <si>
    <t>ROTOR638</t>
  </si>
  <si>
    <t>ROTOR639</t>
  </si>
  <si>
    <t>ROTOR640</t>
  </si>
  <si>
    <t>ROTOR641</t>
  </si>
  <si>
    <t>ROTOR642</t>
  </si>
  <si>
    <t>ROTOR643</t>
  </si>
  <si>
    <t>ROTOR644</t>
  </si>
  <si>
    <t>ROTOR645</t>
  </si>
  <si>
    <t>ROTOR646</t>
  </si>
  <si>
    <t>ROTOR657</t>
  </si>
  <si>
    <t>ROTOR658</t>
  </si>
  <si>
    <t>ROTOR659</t>
  </si>
  <si>
    <t>ROTOR660</t>
  </si>
  <si>
    <t>ROTOR661</t>
  </si>
  <si>
    <t>ROTOR662</t>
  </si>
  <si>
    <t>ROTOR663</t>
  </si>
  <si>
    <t>ROTOR664</t>
  </si>
  <si>
    <t>ROTOR665</t>
  </si>
  <si>
    <t>ROTOR670</t>
  </si>
  <si>
    <t>ROTOR671</t>
  </si>
  <si>
    <t>ROTOR89</t>
  </si>
  <si>
    <t>RPG001</t>
  </si>
  <si>
    <t>RPGP001</t>
  </si>
  <si>
    <t>RPGP002</t>
  </si>
  <si>
    <t>RPGP003</t>
  </si>
  <si>
    <t>RPGP004</t>
  </si>
  <si>
    <t>RPGP005</t>
  </si>
  <si>
    <t>RPGP006</t>
  </si>
  <si>
    <t>RPGP007</t>
  </si>
  <si>
    <t>RPGP008</t>
  </si>
  <si>
    <t>RPGP009</t>
  </si>
  <si>
    <t>RPGP010</t>
  </si>
  <si>
    <t>RPIP001</t>
  </si>
  <si>
    <t>RPIP002</t>
  </si>
  <si>
    <t>RPIP003</t>
  </si>
  <si>
    <t>RPIP004</t>
  </si>
  <si>
    <t>RPIP005</t>
  </si>
  <si>
    <t>RPIP006</t>
  </si>
  <si>
    <t>RPIP009</t>
  </si>
  <si>
    <t>RPNP001</t>
  </si>
  <si>
    <t>RPNP002</t>
  </si>
  <si>
    <t>RPNP003</t>
  </si>
  <si>
    <t>RPNP004</t>
  </si>
  <si>
    <t>RPNP005</t>
  </si>
  <si>
    <t>RPNP006</t>
  </si>
  <si>
    <t>RPNP007</t>
  </si>
  <si>
    <t>RPP001</t>
  </si>
  <si>
    <t>RPP002</t>
  </si>
  <si>
    <t>RPP003</t>
  </si>
  <si>
    <t>RPP004</t>
  </si>
  <si>
    <t>RPP005</t>
  </si>
  <si>
    <t>RPP006</t>
  </si>
  <si>
    <t>RS002</t>
  </si>
  <si>
    <t>RS100</t>
  </si>
  <si>
    <t>RS15</t>
  </si>
  <si>
    <t>RS18</t>
  </si>
  <si>
    <t>RS19</t>
  </si>
  <si>
    <t>RS20</t>
  </si>
  <si>
    <t>RS21</t>
  </si>
  <si>
    <t>RS22</t>
  </si>
  <si>
    <t>RS94</t>
  </si>
  <si>
    <t>RUE001</t>
  </si>
  <si>
    <t>RUE002</t>
  </si>
  <si>
    <t>RUE007</t>
  </si>
  <si>
    <t>RUE008</t>
  </si>
  <si>
    <t>RUE009</t>
  </si>
  <si>
    <t>RUE010</t>
  </si>
  <si>
    <t>RUE011</t>
  </si>
  <si>
    <t>RUE015</t>
  </si>
  <si>
    <t>RUE016</t>
  </si>
  <si>
    <t>RUE017</t>
  </si>
  <si>
    <t>RUE018</t>
  </si>
  <si>
    <t>RUE019</t>
  </si>
  <si>
    <t>RUE021</t>
  </si>
  <si>
    <t>RUE022</t>
  </si>
  <si>
    <t>RUE041</t>
  </si>
  <si>
    <t>RUE10</t>
  </si>
  <si>
    <t>RUE11</t>
  </si>
  <si>
    <t>RUE12</t>
  </si>
  <si>
    <t>RUE23</t>
  </si>
  <si>
    <t>RUE24</t>
  </si>
  <si>
    <t>RUE40</t>
  </si>
  <si>
    <t>RUE41</t>
  </si>
  <si>
    <t>S/C</t>
  </si>
  <si>
    <t>SEL001</t>
  </si>
  <si>
    <t>SEN001</t>
  </si>
  <si>
    <t>SEN002</t>
  </si>
  <si>
    <t>SENS001</t>
  </si>
  <si>
    <t>SEP001</t>
  </si>
  <si>
    <t>SEP002</t>
  </si>
  <si>
    <t>SER001</t>
  </si>
  <si>
    <t>SER002</t>
  </si>
  <si>
    <t>SER003</t>
  </si>
  <si>
    <t>SER004</t>
  </si>
  <si>
    <t>SER005</t>
  </si>
  <si>
    <t>SER01</t>
  </si>
  <si>
    <t>SETOR 282</t>
  </si>
  <si>
    <t>SETOR 586</t>
  </si>
  <si>
    <t>SETOR 587</t>
  </si>
  <si>
    <t>SETOR12</t>
  </si>
  <si>
    <t>SETOR255</t>
  </si>
  <si>
    <t>SETOR282</t>
  </si>
  <si>
    <t>SETOR29</t>
  </si>
  <si>
    <t>SETOR42</t>
  </si>
  <si>
    <t>SETOR45</t>
  </si>
  <si>
    <t>SETOR539</t>
  </si>
  <si>
    <t>SETOR585</t>
  </si>
  <si>
    <t>SETOR586</t>
  </si>
  <si>
    <t>SETOR587</t>
  </si>
  <si>
    <t>SETOR60</t>
  </si>
  <si>
    <t>SETOR626</t>
  </si>
  <si>
    <t>SETOR646</t>
  </si>
  <si>
    <t>SETOR68</t>
  </si>
  <si>
    <t>SETOR84</t>
  </si>
  <si>
    <t>SFM001</t>
  </si>
  <si>
    <t>SG06</t>
  </si>
  <si>
    <t>SHI001</t>
  </si>
  <si>
    <t>SI001</t>
  </si>
  <si>
    <t>SIE001</t>
  </si>
  <si>
    <t>SIE002</t>
  </si>
  <si>
    <t>SIE003</t>
  </si>
  <si>
    <t>SIE004</t>
  </si>
  <si>
    <t>SIL001</t>
  </si>
  <si>
    <t>SIL003</t>
  </si>
  <si>
    <t>SIL03</t>
  </si>
  <si>
    <t>SILI001</t>
  </si>
  <si>
    <t>SIN003</t>
  </si>
  <si>
    <t>SIN01</t>
  </si>
  <si>
    <t>SIS001</t>
  </si>
  <si>
    <t>SITOR138</t>
  </si>
  <si>
    <t>SITOR139</t>
  </si>
  <si>
    <t>SITOR160</t>
  </si>
  <si>
    <t>SITOR189</t>
  </si>
  <si>
    <t>SITOR241</t>
  </si>
  <si>
    <t>SITOR253</t>
  </si>
  <si>
    <t>SITOR342</t>
  </si>
  <si>
    <t>SITOR355</t>
  </si>
  <si>
    <t>SITOR357</t>
  </si>
  <si>
    <t>SITOR441</t>
  </si>
  <si>
    <t>SITOR443</t>
  </si>
  <si>
    <t>SITOR444</t>
  </si>
  <si>
    <t>SITOR445</t>
  </si>
  <si>
    <t>SITOR448</t>
  </si>
  <si>
    <t>SITOR449</t>
  </si>
  <si>
    <t>SITOR450</t>
  </si>
  <si>
    <t>SITOR451</t>
  </si>
  <si>
    <t>SITOR452</t>
  </si>
  <si>
    <t>SITOR571</t>
  </si>
  <si>
    <t>SITOR594</t>
  </si>
  <si>
    <t>SK0001</t>
  </si>
  <si>
    <t>SOL001</t>
  </si>
  <si>
    <t>SOL002</t>
  </si>
  <si>
    <t>SOL003</t>
  </si>
  <si>
    <t>SOL004</t>
  </si>
  <si>
    <t>SOL005</t>
  </si>
  <si>
    <t>SOL006</t>
  </si>
  <si>
    <t>SOL007</t>
  </si>
  <si>
    <t>SOL008</t>
  </si>
  <si>
    <t>SOL009</t>
  </si>
  <si>
    <t>SOL01</t>
  </si>
  <si>
    <t>SOL010</t>
  </si>
  <si>
    <t>SOL011</t>
  </si>
  <si>
    <t>SOL012</t>
  </si>
  <si>
    <t>SOL013</t>
  </si>
  <si>
    <t>SOL014</t>
  </si>
  <si>
    <t>SOL015</t>
  </si>
  <si>
    <t>SOL016</t>
  </si>
  <si>
    <t>SOL017</t>
  </si>
  <si>
    <t>SOL018</t>
  </si>
  <si>
    <t>SOL019</t>
  </si>
  <si>
    <t>SOL020</t>
  </si>
  <si>
    <t>SOL021</t>
  </si>
  <si>
    <t>SOL022</t>
  </si>
  <si>
    <t>SOL023</t>
  </si>
  <si>
    <t>SOL024</t>
  </si>
  <si>
    <t>SOL025</t>
  </si>
  <si>
    <t>SOL026</t>
  </si>
  <si>
    <t>SOL027</t>
  </si>
  <si>
    <t>SOL028</t>
  </si>
  <si>
    <t>SOL029</t>
  </si>
  <si>
    <t>SOL030</t>
  </si>
  <si>
    <t>SOL031</t>
  </si>
  <si>
    <t>SOL032</t>
  </si>
  <si>
    <t>SOL033</t>
  </si>
  <si>
    <t>SOL035</t>
  </si>
  <si>
    <t>SOL036</t>
  </si>
  <si>
    <t>SOL037</t>
  </si>
  <si>
    <t>SOL038</t>
  </si>
  <si>
    <t>SOL039</t>
  </si>
  <si>
    <t>SOL040</t>
  </si>
  <si>
    <t>SOL041</t>
  </si>
  <si>
    <t>SOL042</t>
  </si>
  <si>
    <t>SOL043</t>
  </si>
  <si>
    <t>SOL045</t>
  </si>
  <si>
    <t>SOL046</t>
  </si>
  <si>
    <t>SOL05</t>
  </si>
  <si>
    <t>SOL050</t>
  </si>
  <si>
    <t>SOL051</t>
  </si>
  <si>
    <t>SOL052</t>
  </si>
  <si>
    <t>SOL053</t>
  </si>
  <si>
    <t>SOL060</t>
  </si>
  <si>
    <t>SOL061</t>
  </si>
  <si>
    <t>SOL062</t>
  </si>
  <si>
    <t>SOL070</t>
  </si>
  <si>
    <t>SOL071</t>
  </si>
  <si>
    <t>SOL072</t>
  </si>
  <si>
    <t>SOL073</t>
  </si>
  <si>
    <t>SOL074</t>
  </si>
  <si>
    <t>SOL075</t>
  </si>
  <si>
    <t>SOL076</t>
  </si>
  <si>
    <t>SOL078</t>
  </si>
  <si>
    <t>SOL10</t>
  </si>
  <si>
    <t>SOL11</t>
  </si>
  <si>
    <t>SOL20</t>
  </si>
  <si>
    <t>SOL40</t>
  </si>
  <si>
    <t>SOL41</t>
  </si>
  <si>
    <t>SOLD001</t>
  </si>
  <si>
    <t>SOP001</t>
  </si>
  <si>
    <t>SOP002</t>
  </si>
  <si>
    <t>SOQ001</t>
  </si>
  <si>
    <t>SOTOR 36</t>
  </si>
  <si>
    <t>SOTOR 63</t>
  </si>
  <si>
    <t>SOTOR01</t>
  </si>
  <si>
    <t>SOTOR02</t>
  </si>
  <si>
    <t>SOTOR100</t>
  </si>
  <si>
    <t>SOTOR101</t>
  </si>
  <si>
    <t>SOTOR121</t>
  </si>
  <si>
    <t>SOTOR146</t>
  </si>
  <si>
    <t>SOTOR148</t>
  </si>
  <si>
    <t>SOTOR152</t>
  </si>
  <si>
    <t>SOTOR166</t>
  </si>
  <si>
    <t>SOTOR190</t>
  </si>
  <si>
    <t>SOTOR202</t>
  </si>
  <si>
    <t>SOTOR246</t>
  </si>
  <si>
    <t>SOTOR256</t>
  </si>
  <si>
    <t>SOTOR257</t>
  </si>
  <si>
    <t>SOTOR275</t>
  </si>
  <si>
    <t>SOTOR35</t>
  </si>
  <si>
    <t>SOTOR36</t>
  </si>
  <si>
    <t>SOTOR39</t>
  </si>
  <si>
    <t>SOTOR417</t>
  </si>
  <si>
    <t>SOTOR427</t>
  </si>
  <si>
    <t>SOTOR430</t>
  </si>
  <si>
    <t>SOTOR431</t>
  </si>
  <si>
    <t>SOTOR453</t>
  </si>
  <si>
    <t>SOTOR454</t>
  </si>
  <si>
    <t>SOTOR455</t>
  </si>
  <si>
    <t>SOTOR456</t>
  </si>
  <si>
    <t>SOTOR541</t>
  </si>
  <si>
    <t>SOTOR544</t>
  </si>
  <si>
    <t>SOTOR551</t>
  </si>
  <si>
    <t>SOTOR554</t>
  </si>
  <si>
    <t>SOTOR563</t>
  </si>
  <si>
    <t>SOTOR580</t>
  </si>
  <si>
    <t>SOTOR590</t>
  </si>
  <si>
    <t>SOTOR609</t>
  </si>
  <si>
    <t>SOTOR610</t>
  </si>
  <si>
    <t>SOTOR613</t>
  </si>
  <si>
    <t>SOTOR616</t>
  </si>
  <si>
    <t>SOTOR63</t>
  </si>
  <si>
    <t>SOTOR64</t>
  </si>
  <si>
    <t>SOTOR682</t>
  </si>
  <si>
    <t>SOTOR695</t>
  </si>
  <si>
    <t>SOTOR87</t>
  </si>
  <si>
    <t>SPO001</t>
  </si>
  <si>
    <t>SPO002</t>
  </si>
  <si>
    <t>SPRO001</t>
  </si>
  <si>
    <t>SPTOR367</t>
  </si>
  <si>
    <t>SS102</t>
  </si>
  <si>
    <t>SUF001</t>
  </si>
  <si>
    <t>SUTOR202</t>
  </si>
  <si>
    <t>SV100</t>
  </si>
  <si>
    <t>SV44</t>
  </si>
  <si>
    <t>SV84</t>
  </si>
  <si>
    <t>SVPAGO</t>
  </si>
  <si>
    <t>SWI001</t>
  </si>
  <si>
    <t>SWI10</t>
  </si>
  <si>
    <t>SWI20</t>
  </si>
  <si>
    <t>T003</t>
  </si>
  <si>
    <t>TAB001</t>
  </si>
  <si>
    <t>TAB002</t>
  </si>
  <si>
    <t>TAC001</t>
  </si>
  <si>
    <t>TACP001</t>
  </si>
  <si>
    <t>TAG5P002</t>
  </si>
  <si>
    <t>TAGP001</t>
  </si>
  <si>
    <t>TAGP002</t>
  </si>
  <si>
    <t>TAL001</t>
  </si>
  <si>
    <t>TALL01</t>
  </si>
  <si>
    <t>TAM001</t>
  </si>
  <si>
    <t>TAM002</t>
  </si>
  <si>
    <t>TAP001</t>
  </si>
  <si>
    <t>TAP002</t>
  </si>
  <si>
    <t>TAP003</t>
  </si>
  <si>
    <t>TAP004</t>
  </si>
  <si>
    <t>TAP005</t>
  </si>
  <si>
    <t>TAP006</t>
  </si>
  <si>
    <t>TAP007</t>
  </si>
  <si>
    <t>TAP008</t>
  </si>
  <si>
    <t>TAP009</t>
  </si>
  <si>
    <t>TAP01</t>
  </si>
  <si>
    <t>TAP010</t>
  </si>
  <si>
    <t>TAP011</t>
  </si>
  <si>
    <t>TAP012</t>
  </si>
  <si>
    <t>TAP013</t>
  </si>
  <si>
    <t>TAP014</t>
  </si>
  <si>
    <t>TAP015</t>
  </si>
  <si>
    <t>TAP016</t>
  </si>
  <si>
    <t>TAP017</t>
  </si>
  <si>
    <t>TAP018</t>
  </si>
  <si>
    <t>TAP019</t>
  </si>
  <si>
    <t>TAP02</t>
  </si>
  <si>
    <t>TAP020</t>
  </si>
  <si>
    <t>TAQ001</t>
  </si>
  <si>
    <t>TAQ002</t>
  </si>
  <si>
    <t>TAQ003</t>
  </si>
  <si>
    <t>TAQ004</t>
  </si>
  <si>
    <t>TAQ01</t>
  </si>
  <si>
    <t>TAQ02</t>
  </si>
  <si>
    <t>TAR001</t>
  </si>
  <si>
    <t>TAS001</t>
  </si>
  <si>
    <t>TATOR144</t>
  </si>
  <si>
    <t>TATOR364</t>
  </si>
  <si>
    <t>TATOR365</t>
  </si>
  <si>
    <t>TATOR374</t>
  </si>
  <si>
    <t>TATOR542</t>
  </si>
  <si>
    <t>TATOR555</t>
  </si>
  <si>
    <t>TATOR588</t>
  </si>
  <si>
    <t>TATOR667</t>
  </si>
  <si>
    <t>TB11</t>
  </si>
  <si>
    <t>TB12</t>
  </si>
  <si>
    <t>TBGP001</t>
  </si>
  <si>
    <t>TBI001</t>
  </si>
  <si>
    <t>TBIP001</t>
  </si>
  <si>
    <t>TBIP002</t>
  </si>
  <si>
    <t>TC12</t>
  </si>
  <si>
    <t>TC13</t>
  </si>
  <si>
    <t>TCBIP001</t>
  </si>
  <si>
    <t>TCC001</t>
  </si>
  <si>
    <t>TCC002</t>
  </si>
  <si>
    <t>TCC003</t>
  </si>
  <si>
    <t>TCC004</t>
  </si>
  <si>
    <t>TCG001</t>
  </si>
  <si>
    <t>TCGC002</t>
  </si>
  <si>
    <t>TCGGC002</t>
  </si>
  <si>
    <t>TCGGP001</t>
  </si>
  <si>
    <t>TCGGP003</t>
  </si>
  <si>
    <t>TCGGP004</t>
  </si>
  <si>
    <t>TCGGP005</t>
  </si>
  <si>
    <t>TCGGP006</t>
  </si>
  <si>
    <t>TCGGP008</t>
  </si>
  <si>
    <t>TCGGP009</t>
  </si>
  <si>
    <t>TCGIP001</t>
  </si>
  <si>
    <t>TCGIP002</t>
  </si>
  <si>
    <t>TCGIP003</t>
  </si>
  <si>
    <t>TCGP001</t>
  </si>
  <si>
    <t>TCGP003</t>
  </si>
  <si>
    <t>TCGP004</t>
  </si>
  <si>
    <t>TCGP005</t>
  </si>
  <si>
    <t>TCGP006</t>
  </si>
  <si>
    <t>TCGP007</t>
  </si>
  <si>
    <t>TCGP008</t>
  </si>
  <si>
    <t>TCGRP001</t>
  </si>
  <si>
    <t>TCHP001</t>
  </si>
  <si>
    <t>TCHP002</t>
  </si>
  <si>
    <t>TCHP003</t>
  </si>
  <si>
    <t>TCIP001</t>
  </si>
  <si>
    <t>TCIP002</t>
  </si>
  <si>
    <t>TCIP003</t>
  </si>
  <si>
    <t>TCIP004</t>
  </si>
  <si>
    <t>TCIP005</t>
  </si>
  <si>
    <t>TCIP006</t>
  </si>
  <si>
    <t>TCIP007</t>
  </si>
  <si>
    <t>TCIP008</t>
  </si>
  <si>
    <t>TCIP009</t>
  </si>
  <si>
    <t>TCIP010</t>
  </si>
  <si>
    <t>TCIP011</t>
  </si>
  <si>
    <t>TCIP012</t>
  </si>
  <si>
    <t>TCP001</t>
  </si>
  <si>
    <t>TCP002</t>
  </si>
  <si>
    <t>TCP003</t>
  </si>
  <si>
    <t>TCP004</t>
  </si>
  <si>
    <t>TCP005</t>
  </si>
  <si>
    <t>TCPIP001</t>
  </si>
  <si>
    <t>TCPIP002</t>
  </si>
  <si>
    <t>TCPP001</t>
  </si>
  <si>
    <t>TCPP002</t>
  </si>
  <si>
    <t>TCPP003</t>
  </si>
  <si>
    <t>TCPP004</t>
  </si>
  <si>
    <t>TEA001</t>
  </si>
  <si>
    <t>TEC001</t>
  </si>
  <si>
    <t>TEC004</t>
  </si>
  <si>
    <t>TEE002</t>
  </si>
  <si>
    <t>TEE003</t>
  </si>
  <si>
    <t>TEE004</t>
  </si>
  <si>
    <t>TEE01</t>
  </si>
  <si>
    <t>TEE02</t>
  </si>
  <si>
    <t>TEE020</t>
  </si>
  <si>
    <t>TEJ001</t>
  </si>
  <si>
    <t>TEJ002</t>
  </si>
  <si>
    <t>TEJ003</t>
  </si>
  <si>
    <t>TEJ004</t>
  </si>
  <si>
    <t>TEJ006</t>
  </si>
  <si>
    <t>TEJ010</t>
  </si>
  <si>
    <t>TEJ011</t>
  </si>
  <si>
    <t>TEJ012</t>
  </si>
  <si>
    <t>TEJ013</t>
  </si>
  <si>
    <t>TEJ014</t>
  </si>
  <si>
    <t>TEJ015</t>
  </si>
  <si>
    <t>TEJ016</t>
  </si>
  <si>
    <t>TEJ017</t>
  </si>
  <si>
    <t>TEJ018</t>
  </si>
  <si>
    <t>TEJ020</t>
  </si>
  <si>
    <t>TEJ021</t>
  </si>
  <si>
    <t>TEJ022</t>
  </si>
  <si>
    <t>TEJ03</t>
  </si>
  <si>
    <t>TEJ04</t>
  </si>
  <si>
    <t>TEJ05</t>
  </si>
  <si>
    <t>TEN001</t>
  </si>
  <si>
    <t>TER001</t>
  </si>
  <si>
    <t>TER002</t>
  </si>
  <si>
    <t>TER004</t>
  </si>
  <si>
    <t>TER005</t>
  </si>
  <si>
    <t>TER006</t>
  </si>
  <si>
    <t>TER008</t>
  </si>
  <si>
    <t>TER009</t>
  </si>
  <si>
    <t>TER01</t>
  </si>
  <si>
    <t>TER010</t>
  </si>
  <si>
    <t>TER011</t>
  </si>
  <si>
    <t>TER012</t>
  </si>
  <si>
    <t>TER013</t>
  </si>
  <si>
    <t>TETOR172</t>
  </si>
  <si>
    <t>TETOR277</t>
  </si>
  <si>
    <t>TETOR545</t>
  </si>
  <si>
    <t>TETOR676</t>
  </si>
  <si>
    <t>TF001</t>
  </si>
  <si>
    <t>TF02</t>
  </si>
  <si>
    <t>TG01</t>
  </si>
  <si>
    <t>TGP004</t>
  </si>
  <si>
    <t>TH5012</t>
  </si>
  <si>
    <t>TH5P000</t>
  </si>
  <si>
    <t>TH5P001</t>
  </si>
  <si>
    <t>TH5P002</t>
  </si>
  <si>
    <t>TH5P003</t>
  </si>
  <si>
    <t>TH5P004</t>
  </si>
  <si>
    <t>TH5P005</t>
  </si>
  <si>
    <t>TH5P006</t>
  </si>
  <si>
    <t>TH5P007</t>
  </si>
  <si>
    <t>TH5P008</t>
  </si>
  <si>
    <t>TH5P009</t>
  </si>
  <si>
    <t>TH5P010</t>
  </si>
  <si>
    <t>TH5P011</t>
  </si>
  <si>
    <t>TH5P012</t>
  </si>
  <si>
    <t>THG001</t>
  </si>
  <si>
    <t>THG002</t>
  </si>
  <si>
    <t>THG003</t>
  </si>
  <si>
    <t>THGP002</t>
  </si>
  <si>
    <t>THGP003</t>
  </si>
  <si>
    <t>THGP004</t>
  </si>
  <si>
    <t>THGP005</t>
  </si>
  <si>
    <t>THGP006</t>
  </si>
  <si>
    <t>THGP007</t>
  </si>
  <si>
    <t>THI001</t>
  </si>
  <si>
    <t>THI002</t>
  </si>
  <si>
    <t>THI003</t>
  </si>
  <si>
    <t>THI004</t>
  </si>
  <si>
    <t>THI005</t>
  </si>
  <si>
    <t>THI006</t>
  </si>
  <si>
    <t>THI007</t>
  </si>
  <si>
    <t>THI008</t>
  </si>
  <si>
    <t>THI009</t>
  </si>
  <si>
    <t>THI010</t>
  </si>
  <si>
    <t>THI011</t>
  </si>
  <si>
    <t>THI012</t>
  </si>
  <si>
    <t>THIP001</t>
  </si>
  <si>
    <t>THIP002</t>
  </si>
  <si>
    <t>THIP003</t>
  </si>
  <si>
    <t>THIP004</t>
  </si>
  <si>
    <t>THIP005</t>
  </si>
  <si>
    <t>THMP001</t>
  </si>
  <si>
    <t>THN001</t>
  </si>
  <si>
    <t>THN002</t>
  </si>
  <si>
    <t>THN003</t>
  </si>
  <si>
    <t>THN004</t>
  </si>
  <si>
    <t>THN005</t>
  </si>
  <si>
    <t>THN006</t>
  </si>
  <si>
    <t>THN007</t>
  </si>
  <si>
    <t>THN008</t>
  </si>
  <si>
    <t>THN009</t>
  </si>
  <si>
    <t>THN010</t>
  </si>
  <si>
    <t>THNP001</t>
  </si>
  <si>
    <t>THNP002</t>
  </si>
  <si>
    <t>THNP003</t>
  </si>
  <si>
    <t>THNP004</t>
  </si>
  <si>
    <t>THNP005</t>
  </si>
  <si>
    <t>THP002</t>
  </si>
  <si>
    <t>THP003</t>
  </si>
  <si>
    <t>THP004</t>
  </si>
  <si>
    <t>TICBP001</t>
  </si>
  <si>
    <t>TICPAP002</t>
  </si>
  <si>
    <t>TIHP001</t>
  </si>
  <si>
    <t>TIHP002</t>
  </si>
  <si>
    <t>TIHP003</t>
  </si>
  <si>
    <t>TIHP004</t>
  </si>
  <si>
    <t>TIHP005</t>
  </si>
  <si>
    <t>TIHP006</t>
  </si>
  <si>
    <t>TIHP007</t>
  </si>
  <si>
    <t>TIHP008</t>
  </si>
  <si>
    <t>TIHP009</t>
  </si>
  <si>
    <t>TIHP010</t>
  </si>
  <si>
    <t>TIHP011</t>
  </si>
  <si>
    <t>TIHP012</t>
  </si>
  <si>
    <t>TIHP013</t>
  </si>
  <si>
    <t>TIHP014</t>
  </si>
  <si>
    <t>TIHP015</t>
  </si>
  <si>
    <t>TIHP016</t>
  </si>
  <si>
    <t>TIHP017</t>
  </si>
  <si>
    <t>TIHP018</t>
  </si>
  <si>
    <t>TIHP019</t>
  </si>
  <si>
    <t>TIHP020</t>
  </si>
  <si>
    <t>TIHP023</t>
  </si>
  <si>
    <t>TIHP030</t>
  </si>
  <si>
    <t>TIM001</t>
  </si>
  <si>
    <t>TIM002</t>
  </si>
  <si>
    <t>TIN001</t>
  </si>
  <si>
    <t>TIN002</t>
  </si>
  <si>
    <t>TIP001</t>
  </si>
  <si>
    <t>TITOR165</t>
  </si>
  <si>
    <t>TITOR558</t>
  </si>
  <si>
    <t>TLCGP001</t>
  </si>
  <si>
    <t>TM01</t>
  </si>
  <si>
    <t>TMAN001</t>
  </si>
  <si>
    <t>TMAN002</t>
  </si>
  <si>
    <t>TMAN003</t>
  </si>
  <si>
    <t>TMAN004</t>
  </si>
  <si>
    <t>TMGP001</t>
  </si>
  <si>
    <t>TMHGP001</t>
  </si>
  <si>
    <t>TMHGP002</t>
  </si>
  <si>
    <t>TMHGP003</t>
  </si>
  <si>
    <t>TMHGP004</t>
  </si>
  <si>
    <t>TMHGP005</t>
  </si>
  <si>
    <t>TMHGP006</t>
  </si>
  <si>
    <t>TMHGP007</t>
  </si>
  <si>
    <t>TMHGP008</t>
  </si>
  <si>
    <t>TMHGP009</t>
  </si>
  <si>
    <t>TMHGP010</t>
  </si>
  <si>
    <t>TMHIP001</t>
  </si>
  <si>
    <t>TMHP001</t>
  </si>
  <si>
    <t>TMHP002</t>
  </si>
  <si>
    <t>TMHP003</t>
  </si>
  <si>
    <t>TMHP004</t>
  </si>
  <si>
    <t>TMHP005</t>
  </si>
  <si>
    <t>TMHP006</t>
  </si>
  <si>
    <t>TMHP007</t>
  </si>
  <si>
    <t>TMHP009</t>
  </si>
  <si>
    <t>TMHP010</t>
  </si>
  <si>
    <t>TMHP011</t>
  </si>
  <si>
    <t>TMHP012</t>
  </si>
  <si>
    <t>TMHP013</t>
  </si>
  <si>
    <t>TMHP014</t>
  </si>
  <si>
    <t>TMHP015</t>
  </si>
  <si>
    <t>TMHP016</t>
  </si>
  <si>
    <t>TMHP017</t>
  </si>
  <si>
    <t>TMHP018</t>
  </si>
  <si>
    <t>TMHP019</t>
  </si>
  <si>
    <t>TMHP020</t>
  </si>
  <si>
    <t>TMHP021</t>
  </si>
  <si>
    <t>TMHP022</t>
  </si>
  <si>
    <t>TMHP023</t>
  </si>
  <si>
    <t>TMHP024</t>
  </si>
  <si>
    <t>TMHP025</t>
  </si>
  <si>
    <t>TMI001</t>
  </si>
  <si>
    <t>TNH009</t>
  </si>
  <si>
    <t>TO011</t>
  </si>
  <si>
    <t>TO100</t>
  </si>
  <si>
    <t>TO101</t>
  </si>
  <si>
    <t>TO107</t>
  </si>
  <si>
    <t>TO111</t>
  </si>
  <si>
    <t>TO120</t>
  </si>
  <si>
    <t>TO121</t>
  </si>
  <si>
    <t>TO40</t>
  </si>
  <si>
    <t>TO45</t>
  </si>
  <si>
    <t>TO60</t>
  </si>
  <si>
    <t>TO65</t>
  </si>
  <si>
    <t>TOAIP001</t>
  </si>
  <si>
    <t>TOAIP002</t>
  </si>
  <si>
    <t>TOAIP003</t>
  </si>
  <si>
    <t>TOAIP004</t>
  </si>
  <si>
    <t>TOAIP005</t>
  </si>
  <si>
    <t>TOAP001</t>
  </si>
  <si>
    <t>TOAP002</t>
  </si>
  <si>
    <t>TOAP003</t>
  </si>
  <si>
    <t>TOAP004</t>
  </si>
  <si>
    <t>TOAP005</t>
  </si>
  <si>
    <t>TOAP006</t>
  </si>
  <si>
    <t>TOAP007</t>
  </si>
  <si>
    <t>TOAP008</t>
  </si>
  <si>
    <t>TOAP009</t>
  </si>
  <si>
    <t>TOAP010</t>
  </si>
  <si>
    <t>TOAP011</t>
  </si>
  <si>
    <t>TOAP012</t>
  </si>
  <si>
    <t>TOAP013</t>
  </si>
  <si>
    <t>TOAP014</t>
  </si>
  <si>
    <t>TOAP015</t>
  </si>
  <si>
    <t>TOAP016</t>
  </si>
  <si>
    <t>TOAP017</t>
  </si>
  <si>
    <t>TOAP018</t>
  </si>
  <si>
    <t>TOAP019</t>
  </si>
  <si>
    <t>TOAP020</t>
  </si>
  <si>
    <t>TOAP021</t>
  </si>
  <si>
    <t>TOAP022</t>
  </si>
  <si>
    <t>TOAP023</t>
  </si>
  <si>
    <t>TOAP024</t>
  </si>
  <si>
    <t>TOAP025</t>
  </si>
  <si>
    <t>TOAP026</t>
  </si>
  <si>
    <t>TOAP028</t>
  </si>
  <si>
    <t>TOAP029</t>
  </si>
  <si>
    <t>TOAP032</t>
  </si>
  <si>
    <t>TOAP034</t>
  </si>
  <si>
    <t>TOAP036</t>
  </si>
  <si>
    <t>TOAP041</t>
  </si>
  <si>
    <t>TOAP042</t>
  </si>
  <si>
    <t>TOAP043</t>
  </si>
  <si>
    <t>TOAP044</t>
  </si>
  <si>
    <t>TOAP045</t>
  </si>
  <si>
    <t>TOAP046</t>
  </si>
  <si>
    <t>TOAP047</t>
  </si>
  <si>
    <t>TOAP048</t>
  </si>
  <si>
    <t>TOAP049</t>
  </si>
  <si>
    <t>TOAP050</t>
  </si>
  <si>
    <t>TOAP051</t>
  </si>
  <si>
    <t>TOAP052</t>
  </si>
  <si>
    <t>TOAP053</t>
  </si>
  <si>
    <t>TOB001</t>
  </si>
  <si>
    <t>TOB002</t>
  </si>
  <si>
    <t>TOB003</t>
  </si>
  <si>
    <t>TOB004</t>
  </si>
  <si>
    <t>TOB005</t>
  </si>
  <si>
    <t>TOB006</t>
  </si>
  <si>
    <t>TOGP001</t>
  </si>
  <si>
    <t>TOGR001</t>
  </si>
  <si>
    <t>TOHGP008</t>
  </si>
  <si>
    <t>TOHP001</t>
  </si>
  <si>
    <t>TOL001</t>
  </si>
  <si>
    <t>TON001</t>
  </si>
  <si>
    <t>TON002</t>
  </si>
  <si>
    <t>TOR001</t>
  </si>
  <si>
    <t>TOR002</t>
  </si>
  <si>
    <t>TOR003</t>
  </si>
  <si>
    <t>TOR004</t>
  </si>
  <si>
    <t>TOR005</t>
  </si>
  <si>
    <t>TOR006</t>
  </si>
  <si>
    <t>TOR007</t>
  </si>
  <si>
    <t>TOR01</t>
  </si>
  <si>
    <t>TOR011</t>
  </si>
  <si>
    <t>TOR014</t>
  </si>
  <si>
    <t>TOR05</t>
  </si>
  <si>
    <t>TOR06</t>
  </si>
  <si>
    <t>TOR10</t>
  </si>
  <si>
    <t>TOR100</t>
  </si>
  <si>
    <t>TOR11</t>
  </si>
  <si>
    <t>TOR12</t>
  </si>
  <si>
    <t>TOR126</t>
  </si>
  <si>
    <t>TOR13</t>
  </si>
  <si>
    <t>TOR130</t>
  </si>
  <si>
    <t>TOR131</t>
  </si>
  <si>
    <t>TOR132</t>
  </si>
  <si>
    <t>TOR133</t>
  </si>
  <si>
    <t>TOR134</t>
  </si>
  <si>
    <t>TOR135</t>
  </si>
  <si>
    <t>TOR136</t>
  </si>
  <si>
    <t>TOR137</t>
  </si>
  <si>
    <t>TOR138</t>
  </si>
  <si>
    <t>TOR139</t>
  </si>
  <si>
    <t>TOR20</t>
  </si>
  <si>
    <t>TOR21</t>
  </si>
  <si>
    <t>TOR22</t>
  </si>
  <si>
    <t>TOR23</t>
  </si>
  <si>
    <t>TOR24</t>
  </si>
  <si>
    <t>TOR25</t>
  </si>
  <si>
    <t>TOR26</t>
  </si>
  <si>
    <t>TOR27</t>
  </si>
  <si>
    <t>TOR28</t>
  </si>
  <si>
    <t>TOR29</t>
  </si>
  <si>
    <t>TOR30</t>
  </si>
  <si>
    <t>TOR31</t>
  </si>
  <si>
    <t>TOR32</t>
  </si>
  <si>
    <t>TOR33</t>
  </si>
  <si>
    <t>TOR35</t>
  </si>
  <si>
    <t>TOR36</t>
  </si>
  <si>
    <t>TOR37</t>
  </si>
  <si>
    <t>TOR40</t>
  </si>
  <si>
    <t>TOR41</t>
  </si>
  <si>
    <t>TOR42</t>
  </si>
  <si>
    <t>TOR50</t>
  </si>
  <si>
    <t>TOR51</t>
  </si>
  <si>
    <t>TOR52</t>
  </si>
  <si>
    <t>TOR53</t>
  </si>
  <si>
    <t>TOR54</t>
  </si>
  <si>
    <t>TOR55</t>
  </si>
  <si>
    <t>TOR56</t>
  </si>
  <si>
    <t>TOR60</t>
  </si>
  <si>
    <t>TOR61</t>
  </si>
  <si>
    <t>TOR62</t>
  </si>
  <si>
    <t>TOR63</t>
  </si>
  <si>
    <t>TOR64</t>
  </si>
  <si>
    <t>TOR65</t>
  </si>
  <si>
    <t>TOR66</t>
  </si>
  <si>
    <t>TOR70</t>
  </si>
  <si>
    <t>TOR71</t>
  </si>
  <si>
    <t>TOR72</t>
  </si>
  <si>
    <t>TOR75</t>
  </si>
  <si>
    <t>TOR80</t>
  </si>
  <si>
    <t>TOR81</t>
  </si>
  <si>
    <t>TOR82</t>
  </si>
  <si>
    <t>TOR90</t>
  </si>
  <si>
    <t>TOR91</t>
  </si>
  <si>
    <t>TOR92</t>
  </si>
  <si>
    <t>TOR93</t>
  </si>
  <si>
    <t>TOR94</t>
  </si>
  <si>
    <t>TOR95</t>
  </si>
  <si>
    <t>TOR96</t>
  </si>
  <si>
    <t>TOR97</t>
  </si>
  <si>
    <t>TOR98</t>
  </si>
  <si>
    <t>TOR99</t>
  </si>
  <si>
    <t>TORC01</t>
  </si>
  <si>
    <t>TORC02</t>
  </si>
  <si>
    <t>TORC03</t>
  </si>
  <si>
    <t>TORC04</t>
  </si>
  <si>
    <t>TORCB01</t>
  </si>
  <si>
    <t>TORCG003</t>
  </si>
  <si>
    <t>TORCG01</t>
  </si>
  <si>
    <t>TORCG02</t>
  </si>
  <si>
    <t>TORCG04</t>
  </si>
  <si>
    <t>TORE002</t>
  </si>
  <si>
    <t>TORE013</t>
  </si>
  <si>
    <t>TORE015</t>
  </si>
  <si>
    <t>TORE016</t>
  </si>
  <si>
    <t>TORG001</t>
  </si>
  <si>
    <t>TORG002</t>
  </si>
  <si>
    <t>TORGAL</t>
  </si>
  <si>
    <t>TORI013</t>
  </si>
  <si>
    <t>TOTOR08</t>
  </si>
  <si>
    <t>TOTOR09</t>
  </si>
  <si>
    <t>TOTOR200</t>
  </si>
  <si>
    <t>TOTOR239</t>
  </si>
  <si>
    <t>TOTOR690</t>
  </si>
  <si>
    <t>TOTOR691</t>
  </si>
  <si>
    <t>TOTOR692</t>
  </si>
  <si>
    <t>TP32</t>
  </si>
  <si>
    <t>TP41</t>
  </si>
  <si>
    <t>TR04</t>
  </si>
  <si>
    <t>TRA001</t>
  </si>
  <si>
    <t>TRA002</t>
  </si>
  <si>
    <t>TRA003</t>
  </si>
  <si>
    <t>TRA004</t>
  </si>
  <si>
    <t>TRA005</t>
  </si>
  <si>
    <t>TRO001</t>
  </si>
  <si>
    <t>TRTOR647</t>
  </si>
  <si>
    <t>TRTOR702</t>
  </si>
  <si>
    <t>TU05</t>
  </si>
  <si>
    <t>TU07</t>
  </si>
  <si>
    <t>TUB001</t>
  </si>
  <si>
    <t>TUB002</t>
  </si>
  <si>
    <t>TUB003</t>
  </si>
  <si>
    <t>TUB004</t>
  </si>
  <si>
    <t>TUB005</t>
  </si>
  <si>
    <t>TUB006</t>
  </si>
  <si>
    <t>TUB007</t>
  </si>
  <si>
    <t>TUB009</t>
  </si>
  <si>
    <t>TUB01</t>
  </si>
  <si>
    <t>TUB010</t>
  </si>
  <si>
    <t>TUB011</t>
  </si>
  <si>
    <t>TUB015</t>
  </si>
  <si>
    <t>TUB016</t>
  </si>
  <si>
    <t>TUB017</t>
  </si>
  <si>
    <t>TUB018</t>
  </si>
  <si>
    <t>TUB019</t>
  </si>
  <si>
    <t>TUB02</t>
  </si>
  <si>
    <t>TUB020</t>
  </si>
  <si>
    <t>TUB023</t>
  </si>
  <si>
    <t>TUB025</t>
  </si>
  <si>
    <t>TUB026</t>
  </si>
  <si>
    <t>TUB027</t>
  </si>
  <si>
    <t>TUB028</t>
  </si>
  <si>
    <t>TUB029</t>
  </si>
  <si>
    <t>TUB03</t>
  </si>
  <si>
    <t>TUB030</t>
  </si>
  <si>
    <t>TUB031</t>
  </si>
  <si>
    <t>TUB032</t>
  </si>
  <si>
    <t>TUB033</t>
  </si>
  <si>
    <t>TUB034</t>
  </si>
  <si>
    <t>TUB035</t>
  </si>
  <si>
    <t>TUB036</t>
  </si>
  <si>
    <t>TUB037</t>
  </si>
  <si>
    <t>TUB040</t>
  </si>
  <si>
    <t>TUB045</t>
  </si>
  <si>
    <t>TUB046</t>
  </si>
  <si>
    <t>TUB05</t>
  </si>
  <si>
    <t>TUB050</t>
  </si>
  <si>
    <t>TUB052</t>
  </si>
  <si>
    <t>TUB053</t>
  </si>
  <si>
    <t>TUB054</t>
  </si>
  <si>
    <t>TUB055</t>
  </si>
  <si>
    <t>TUB056</t>
  </si>
  <si>
    <t>TUB057</t>
  </si>
  <si>
    <t>TUB058</t>
  </si>
  <si>
    <t>TUB059</t>
  </si>
  <si>
    <t>TUB060</t>
  </si>
  <si>
    <t>TUB061</t>
  </si>
  <si>
    <t>TUB062</t>
  </si>
  <si>
    <t>TUB063</t>
  </si>
  <si>
    <t>TUB064</t>
  </si>
  <si>
    <t>TUB065</t>
  </si>
  <si>
    <t>TUB09</t>
  </si>
  <si>
    <t>TUB10</t>
  </si>
  <si>
    <t>TUB11</t>
  </si>
  <si>
    <t>TUB36</t>
  </si>
  <si>
    <t>TUB40</t>
  </si>
  <si>
    <t>TUB50</t>
  </si>
  <si>
    <t>TUB51</t>
  </si>
  <si>
    <t>TUB52</t>
  </si>
  <si>
    <t>TUBC01</t>
  </si>
  <si>
    <t>TUBFLE01</t>
  </si>
  <si>
    <t>TUBO40</t>
  </si>
  <si>
    <t>TUC001</t>
  </si>
  <si>
    <t>TUC002</t>
  </si>
  <si>
    <t>TUE011</t>
  </si>
  <si>
    <t>TUE012</t>
  </si>
  <si>
    <t>TUE013</t>
  </si>
  <si>
    <t>TUE014</t>
  </si>
  <si>
    <t>TUE016</t>
  </si>
  <si>
    <t>TUE017</t>
  </si>
  <si>
    <t>TUE018</t>
  </si>
  <si>
    <t>TUE019</t>
  </si>
  <si>
    <t>TUE020</t>
  </si>
  <si>
    <t>TUE021</t>
  </si>
  <si>
    <t>TUE022</t>
  </si>
  <si>
    <t>TUE10</t>
  </si>
  <si>
    <t>TUE11</t>
  </si>
  <si>
    <t>TUE12</t>
  </si>
  <si>
    <t>TUE13</t>
  </si>
  <si>
    <t>TUE14</t>
  </si>
  <si>
    <t>TUE15</t>
  </si>
  <si>
    <t>TUEC001</t>
  </si>
  <si>
    <t>TUEI001</t>
  </si>
  <si>
    <t>TUELI001</t>
  </si>
  <si>
    <t>TUER57</t>
  </si>
  <si>
    <t>TUER58</t>
  </si>
  <si>
    <t>TUER59</t>
  </si>
  <si>
    <t>TUG001</t>
  </si>
  <si>
    <t>TUG002</t>
  </si>
  <si>
    <t>TUG003</t>
  </si>
  <si>
    <t>TUG004</t>
  </si>
  <si>
    <t>TUHN01</t>
  </si>
  <si>
    <t>TUL001</t>
  </si>
  <si>
    <t>TUN12</t>
  </si>
  <si>
    <t>TUN13</t>
  </si>
  <si>
    <t>TUN14</t>
  </si>
  <si>
    <t>TUTOR 58</t>
  </si>
  <si>
    <t>TUTOR03</t>
  </si>
  <si>
    <t>TUTOR06</t>
  </si>
  <si>
    <t>TUTOR07</t>
  </si>
  <si>
    <t>TUTOR17</t>
  </si>
  <si>
    <t>TUTOR199</t>
  </si>
  <si>
    <t>TUTOR218</t>
  </si>
  <si>
    <t>TUTOR219</t>
  </si>
  <si>
    <t>TUTOR220</t>
  </si>
  <si>
    <t>TUTOR221</t>
  </si>
  <si>
    <t>TUTOR222</t>
  </si>
  <si>
    <t>TUTOR248</t>
  </si>
  <si>
    <t>TUTOR553</t>
  </si>
  <si>
    <t>TUTOR58</t>
  </si>
  <si>
    <t>TUTOR694</t>
  </si>
  <si>
    <t>TUTOR700</t>
  </si>
  <si>
    <t>TUTOR78</t>
  </si>
  <si>
    <t>USTOR622</t>
  </si>
  <si>
    <t>VA010</t>
  </si>
  <si>
    <t>VA011</t>
  </si>
  <si>
    <t>VAL001</t>
  </si>
  <si>
    <t>VAL002</t>
  </si>
  <si>
    <t>VAL003</t>
  </si>
  <si>
    <t>VAL004</t>
  </si>
  <si>
    <t>VAL005</t>
  </si>
  <si>
    <t>VAL006</t>
  </si>
  <si>
    <t>VAL007</t>
  </si>
  <si>
    <t>VAL008</t>
  </si>
  <si>
    <t>VAL009</t>
  </si>
  <si>
    <t>VAL01</t>
  </si>
  <si>
    <t>VAL010</t>
  </si>
  <si>
    <t>VAL011</t>
  </si>
  <si>
    <t>VAL020</t>
  </si>
  <si>
    <t>VAL021</t>
  </si>
  <si>
    <t>VAL06</t>
  </si>
  <si>
    <t>VALM001</t>
  </si>
  <si>
    <t>VALM002</t>
  </si>
  <si>
    <t>VALV001</t>
  </si>
  <si>
    <t>VALVC001</t>
  </si>
  <si>
    <t>VAR001</t>
  </si>
  <si>
    <t>VAR002</t>
  </si>
  <si>
    <t>VAR004</t>
  </si>
  <si>
    <t>VAR005</t>
  </si>
  <si>
    <t>VAR01</t>
  </si>
  <si>
    <t>VAR010</t>
  </si>
  <si>
    <t>VAR011</t>
  </si>
  <si>
    <t>VAR012</t>
  </si>
  <si>
    <t>VAR013</t>
  </si>
  <si>
    <t>VAR014</t>
  </si>
  <si>
    <t>VAR015</t>
  </si>
  <si>
    <t>VAR016</t>
  </si>
  <si>
    <t>VAR020</t>
  </si>
  <si>
    <t>VAR10</t>
  </si>
  <si>
    <t>VATOR38</t>
  </si>
  <si>
    <t>VEN001</t>
  </si>
  <si>
    <t>VIG001</t>
  </si>
  <si>
    <t>VL01</t>
  </si>
  <si>
    <t>VL02</t>
  </si>
  <si>
    <t>VL03</t>
  </si>
  <si>
    <t>VL97</t>
  </si>
  <si>
    <t>VL98</t>
  </si>
  <si>
    <t>VL99</t>
  </si>
  <si>
    <t>VOTOR136</t>
  </si>
  <si>
    <t>VVBB</t>
  </si>
  <si>
    <t>WIN001</t>
  </si>
  <si>
    <t>YDA001</t>
  </si>
  <si>
    <t>YEE001</t>
  </si>
  <si>
    <t>ZAP001</t>
  </si>
  <si>
    <t>ZAP002</t>
  </si>
  <si>
    <t>ZAP003</t>
  </si>
  <si>
    <t>ZAP004</t>
  </si>
  <si>
    <t>ZAP005</t>
  </si>
  <si>
    <t>ZAP006</t>
  </si>
  <si>
    <t>ZAP007</t>
  </si>
  <si>
    <t>ZAP008</t>
  </si>
  <si>
    <t>ZAP009</t>
  </si>
  <si>
    <t>ZAP010</t>
  </si>
  <si>
    <t>ZAP011</t>
  </si>
  <si>
    <t>ZIN001</t>
  </si>
  <si>
    <t>ZIN002</t>
  </si>
  <si>
    <t>VAL012</t>
  </si>
  <si>
    <t>SO01</t>
  </si>
  <si>
    <t>LISTA DE EQUIPO (MAÍZ)</t>
  </si>
  <si>
    <t>MOTOR</t>
  </si>
  <si>
    <t>VOLAJE</t>
  </si>
  <si>
    <t>CÓDIGO</t>
  </si>
  <si>
    <t>RANGO DE AMPERAJE</t>
  </si>
  <si>
    <t>PRECIO CON EL 8%</t>
  </si>
  <si>
    <t>MOTOR DE 2 HP</t>
  </si>
  <si>
    <t>TRIFÁSICO</t>
  </si>
  <si>
    <t>220V</t>
  </si>
  <si>
    <t>5~8 AMP</t>
  </si>
  <si>
    <t>MA02</t>
  </si>
  <si>
    <t>MOTOR DE 3 HP</t>
  </si>
  <si>
    <t>7~10 AMP</t>
  </si>
  <si>
    <t>MA03</t>
  </si>
  <si>
    <t>MOTOR DE 5 HP</t>
  </si>
  <si>
    <t>11~17 AMP</t>
  </si>
  <si>
    <t>MA04</t>
  </si>
  <si>
    <t>MOTOR DE 7.5 HP</t>
  </si>
  <si>
    <t>15~23 AMP</t>
  </si>
  <si>
    <t>MA05</t>
  </si>
  <si>
    <t>MOTOR DE 10 HP</t>
  </si>
  <si>
    <t>22~32 AMP</t>
  </si>
  <si>
    <t>MA06</t>
  </si>
  <si>
    <t>MOTOR DE 15 HP</t>
  </si>
  <si>
    <t>32~50 AMP</t>
  </si>
  <si>
    <t>MA07</t>
  </si>
  <si>
    <t>MOTOR DE 20 HP</t>
  </si>
  <si>
    <t>50~63 AMP</t>
  </si>
  <si>
    <t>MA08</t>
  </si>
  <si>
    <t>MOTOR DE 25 HP</t>
  </si>
  <si>
    <t>57~76 AMP</t>
  </si>
  <si>
    <t>MA09</t>
  </si>
  <si>
    <t>MONOFÁSICO</t>
  </si>
  <si>
    <t>8~12.5 AMP</t>
  </si>
  <si>
    <t>MA10</t>
  </si>
  <si>
    <t>MA11</t>
  </si>
  <si>
    <t>MA12</t>
  </si>
  <si>
    <t>MA13</t>
  </si>
  <si>
    <t>MA14</t>
  </si>
  <si>
    <t>127V</t>
  </si>
  <si>
    <t>MA15</t>
  </si>
  <si>
    <t>ESTOS PRECIOS SON SUJETOS A CAMBIO SIN PREVIO AVISO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</si>
</sst>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###0"/>
    <numFmt numFmtId="165" formatCode="_-&quot;$&quot;* #,##0_-;_-&quot;$&quot;* \-#,##0_-;_-&quot;$&quot;* &quot;-&quot;??_-;_-@"/>
    <numFmt numFmtId="166" formatCode="_-&quot;$&quot;* #,##0.00_-;_-&quot;$&quot;* \-#,##0.00_-;_-&quot;$&quot;* &quot;-&quot;??_-;_-@"/>
    <numFmt numFmtId="167" formatCode="_-&quot;$&quot;* #,##0.00_-;_-&quot;$&quot;* \-#,##0.00_-;_-&quot;$&quot;* &quot;-&quot;??.00_-;_-@"/>
    <numFmt numFmtId="168" formatCode="&quot;$&quot;#,##0.00"/>
    <numFmt numFmtId="169" formatCode="_(&quot;$&quot;* #,##0.00_);_(&quot;$&quot;* \(#,##0.00\);_(&quot;$&quot;* &quot;-&quot;??_);_(@_)"/>
    <numFmt numFmtId="170" formatCode="&quot;$&quot;#,##0"/>
    <numFmt numFmtId="171" formatCode="d/M/yyyy"/>
    <numFmt numFmtId="172" formatCode="dd&quot;-&quot;mmmm&quot;-&quot;yy"/>
    <numFmt numFmtId="173" formatCode="dd/mm/yyyy"/>
    <numFmt numFmtId="174" formatCode="d/m/yyyy"/>
    <numFmt numFmtId="175" formatCode="dd-mm-yyyy"/>
    <numFmt numFmtId="176" formatCode="d mmm yy"/>
    <numFmt numFmtId="177" formatCode="d-m-yyyy"/>
    <numFmt numFmtId="178" formatCode="mmm-dd"/>
    <numFmt numFmtId="179" formatCode="mmm-d"/>
  </numFmts>
  <fonts count="40">
    <font>
      <sz val="10.0"/>
      <color rgb="FF000000"/>
      <name val="Arial"/>
    </font>
    <font>
      <sz val="9.0"/>
      <name val="Didact Gothic"/>
    </font>
    <font>
      <b/>
      <sz val="9.0"/>
      <name val="Didact Gothic"/>
    </font>
    <font>
      <u/>
      <sz val="9.0"/>
      <color rgb="FF0000FF"/>
      <name val="Didact Gothic"/>
    </font>
    <font/>
    <font>
      <u/>
      <sz val="9.0"/>
      <color rgb="FF0000FF"/>
      <name val="Didact Gothic"/>
    </font>
    <font>
      <b/>
      <name val="Didact Gothic"/>
    </font>
    <font>
      <sz val="9.0"/>
      <color rgb="FF000000"/>
      <name val="Didact Gothic"/>
    </font>
    <font>
      <name val="Didact Gothic"/>
    </font>
    <font>
      <sz val="9.0"/>
      <color rgb="FF222222"/>
      <name val="Didact Gothic"/>
    </font>
    <font>
      <b/>
      <sz val="9.0"/>
      <color rgb="FF000000"/>
      <name val="Didact Gothic"/>
    </font>
    <font>
      <sz val="9.0"/>
      <color rgb="FF4C1130"/>
      <name val="Didact Gothic"/>
    </font>
    <font>
      <sz val="9.0"/>
      <color rgb="FF1F1F1F"/>
      <name val="Didact Gothic"/>
    </font>
    <font>
      <b/>
      <sz val="9.0"/>
      <color rgb="FF006629"/>
      <name val="Montserrat"/>
    </font>
    <font>
      <sz val="9.0"/>
      <name val="Montserrat"/>
    </font>
    <font>
      <b/>
      <sz val="9.0"/>
      <name val="Montserrat"/>
    </font>
    <font>
      <sz val="9.0"/>
      <color rgb="FFE06666"/>
      <name val="Montserrat"/>
    </font>
    <font>
      <sz val="9.0"/>
      <color rgb="FF000000"/>
      <name val="Montserrat"/>
    </font>
    <font>
      <sz val="9.0"/>
      <color rgb="FF6AA84F"/>
      <name val="Montserrat"/>
    </font>
    <font>
      <sz val="9.0"/>
      <color rgb="FF3C78D8"/>
      <name val="Montserrat"/>
    </font>
    <font>
      <sz val="9.0"/>
      <color rgb="FFE69138"/>
      <name val="Montserrat"/>
    </font>
    <font>
      <b/>
      <sz val="7.0"/>
      <name val="Montserrat"/>
    </font>
    <font>
      <sz val="7.0"/>
      <name val="Montserrat"/>
    </font>
    <font>
      <sz val="7.0"/>
      <color rgb="FF000000"/>
      <name val="Calibri"/>
    </font>
    <font>
      <name val="Arial"/>
    </font>
    <font>
      <name val="Nunito"/>
    </font>
    <font>
      <sz val="10.0"/>
      <color rgb="FF222222"/>
      <name val="Nunito"/>
    </font>
    <font>
      <sz val="14.0"/>
      <color rgb="FF222222"/>
      <name val="Nunito"/>
    </font>
    <font>
      <sz val="8.0"/>
      <name val="Nunito"/>
    </font>
    <font>
      <sz val="9.0"/>
      <color rgb="FF000000"/>
      <name val="Bogle"/>
    </font>
    <font>
      <sz val="9.0"/>
      <color rgb="FF1F1F1F"/>
      <name val="Montserrat"/>
    </font>
    <font>
      <sz val="9.0"/>
      <color rgb="FF000000"/>
      <name val="Arial"/>
    </font>
    <font>
      <b/>
    </font>
    <font>
      <sz val="11.0"/>
      <color rgb="FF000000"/>
      <name val="Calibri"/>
    </font>
    <font>
      <sz val="11.0"/>
      <color rgb="FF006629"/>
      <name val="Didact Gothic"/>
    </font>
    <font>
      <sz val="11.0"/>
      <name val="Arial"/>
    </font>
    <font>
      <b/>
      <sz val="11.0"/>
      <name val="Didact Gothic"/>
    </font>
    <font>
      <sz val="11.0"/>
      <name val="Didact Gothic"/>
    </font>
    <font>
      <b/>
      <color rgb="FF000000"/>
    </font>
    <font>
      <b/>
      <name val="Arial"/>
    </font>
  </fonts>
  <fills count="28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E599"/>
        <bgColor rgb="FFFFE599"/>
      </patternFill>
    </fill>
    <fill>
      <patternFill patternType="solid">
        <fgColor rgb="FF6AA84F"/>
        <bgColor rgb="FF6AA84F"/>
      </patternFill>
    </fill>
    <fill>
      <patternFill patternType="solid">
        <fgColor rgb="FFF6B26B"/>
        <bgColor rgb="FFF6B26B"/>
      </patternFill>
    </fill>
    <fill>
      <patternFill patternType="solid">
        <fgColor rgb="FFA64D79"/>
        <bgColor rgb="FFA64D79"/>
      </patternFill>
    </fill>
    <fill>
      <patternFill patternType="solid">
        <fgColor rgb="FF6D9EEB"/>
        <bgColor rgb="FF6D9EEB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B4A7D6"/>
        <bgColor rgb="FFB4A7D6"/>
      </patternFill>
    </fill>
    <fill>
      <patternFill patternType="solid">
        <fgColor rgb="FF4A86E8"/>
        <bgColor rgb="FF4A86E8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00FFFF"/>
        <bgColor rgb="FF00FFFF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2" numFmtId="49" xfId="0" applyAlignment="1" applyBorder="1" applyFont="1" applyNumberFormat="1">
      <alignment horizontal="center" shrinkToFit="0" vertical="center" wrapText="1"/>
    </xf>
    <xf borderId="1" fillId="2" fontId="2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readingOrder="0" shrinkToFit="0" vertical="center" wrapText="1"/>
    </xf>
    <xf borderId="1" fillId="2" fontId="2" numFmtId="49" xfId="0" applyAlignment="1" applyBorder="1" applyFont="1" applyNumberFormat="1">
      <alignment horizontal="center" readingOrder="0" shrinkToFit="0" vertical="center" wrapText="1"/>
    </xf>
    <xf borderId="1" fillId="2" fontId="2" numFmtId="164" xfId="0" applyAlignment="1" applyBorder="1" applyFont="1" applyNumberFormat="1">
      <alignment horizontal="center" readingOrder="0" shrinkToFit="0" vertical="center" wrapText="1"/>
    </xf>
    <xf borderId="1" fillId="2" fontId="2" numFmtId="49" xfId="0" applyAlignment="1" applyBorder="1" applyFont="1" applyNumberFormat="1">
      <alignment horizontal="center" readingOrder="0" shrinkToFit="0" vertical="center" wrapText="1"/>
    </xf>
    <xf borderId="0" fillId="2" fontId="2" numFmtId="10" xfId="0" applyAlignment="1" applyFont="1" applyNumberFormat="1">
      <alignment horizontal="center" readingOrder="0" shrinkToFit="0" vertical="center" wrapText="1"/>
    </xf>
    <xf borderId="1" fillId="3" fontId="2" numFmtId="165" xfId="0" applyAlignment="1" applyBorder="1" applyFill="1" applyFont="1" applyNumberFormat="1">
      <alignment horizontal="center" readingOrder="0" shrinkToFit="0" vertical="center" wrapText="1"/>
    </xf>
    <xf borderId="1" fillId="3" fontId="2" numFmtId="166" xfId="0" applyAlignment="1" applyBorder="1" applyFont="1" applyNumberFormat="1">
      <alignment horizontal="center" readingOrder="0" shrinkToFit="0" vertical="center" wrapText="1"/>
    </xf>
    <xf borderId="1" fillId="3" fontId="2" numFmtId="167" xfId="0" applyAlignment="1" applyBorder="1" applyFont="1" applyNumberFormat="1">
      <alignment horizontal="center" readingOrder="0" shrinkToFit="0" vertical="center" wrapText="1"/>
    </xf>
    <xf borderId="2" fillId="4" fontId="2" numFmtId="167" xfId="0" applyAlignment="1" applyBorder="1" applyFill="1" applyFont="1" applyNumberFormat="1">
      <alignment horizontal="center" readingOrder="0" shrinkToFit="0" vertical="center" wrapText="0"/>
    </xf>
    <xf borderId="3" fillId="0" fontId="4" numFmtId="0" xfId="0" applyBorder="1" applyFont="1"/>
    <xf borderId="4" fillId="0" fontId="4" numFmtId="0" xfId="0" applyBorder="1" applyFont="1"/>
    <xf borderId="2" fillId="5" fontId="2" numFmtId="9" xfId="0" applyAlignment="1" applyBorder="1" applyFill="1" applyFont="1" applyNumberFormat="1">
      <alignment horizontal="center" readingOrder="0" shrinkToFit="0" vertical="center" wrapText="0"/>
    </xf>
    <xf borderId="2" fillId="6" fontId="2" numFmtId="9" xfId="0" applyAlignment="1" applyBorder="1" applyFill="1" applyFont="1" applyNumberFormat="1">
      <alignment horizontal="center" readingOrder="0" shrinkToFit="0" vertical="center" wrapText="0"/>
    </xf>
    <xf borderId="2" fillId="7" fontId="2" numFmtId="9" xfId="0" applyAlignment="1" applyBorder="1" applyFill="1" applyFont="1" applyNumberFormat="1">
      <alignment horizontal="center" readingOrder="0" shrinkToFit="0" vertical="center" wrapText="0"/>
    </xf>
    <xf borderId="2" fillId="8" fontId="2" numFmtId="9" xfId="0" applyAlignment="1" applyBorder="1" applyFill="1" applyFont="1" applyNumberFormat="1">
      <alignment horizontal="center" readingOrder="0" shrinkToFit="0" vertical="center" wrapText="0"/>
    </xf>
    <xf borderId="2" fillId="9" fontId="2" numFmtId="9" xfId="0" applyAlignment="1" applyBorder="1" applyFill="1" applyFont="1" applyNumberFormat="1">
      <alignment horizontal="center" readingOrder="0" shrinkToFit="0" vertical="center" wrapText="0"/>
    </xf>
    <xf borderId="1" fillId="10" fontId="2" numFmtId="0" xfId="0" applyAlignment="1" applyBorder="1" applyFill="1" applyFont="1">
      <alignment horizontal="center" readingOrder="0" vertical="center"/>
    </xf>
    <xf borderId="1" fillId="10" fontId="2" numFmtId="49" xfId="0" applyAlignment="1" applyBorder="1" applyFont="1" applyNumberFormat="1">
      <alignment horizontal="center" shrinkToFit="0" vertical="center" wrapText="1"/>
    </xf>
    <xf borderId="1" fillId="10" fontId="2" numFmtId="0" xfId="0" applyAlignment="1" applyBorder="1" applyFont="1">
      <alignment horizontal="center" vertical="center"/>
    </xf>
    <xf borderId="1" fillId="10" fontId="5" numFmtId="0" xfId="0" applyAlignment="1" applyBorder="1" applyFont="1">
      <alignment horizontal="center" readingOrder="0" shrinkToFit="0" vertical="center" wrapText="1"/>
    </xf>
    <xf borderId="1" fillId="10" fontId="2" numFmtId="49" xfId="0" applyAlignment="1" applyBorder="1" applyFont="1" applyNumberFormat="1">
      <alignment horizontal="center" readingOrder="0" shrinkToFit="0" vertical="center" wrapText="1"/>
    </xf>
    <xf borderId="1" fillId="10" fontId="2" numFmtId="164" xfId="0" applyAlignment="1" applyBorder="1" applyFont="1" applyNumberFormat="1">
      <alignment horizontal="center" readingOrder="0" shrinkToFit="0" vertical="center" wrapText="1"/>
    </xf>
    <xf borderId="1" fillId="10" fontId="2" numFmtId="49" xfId="0" applyAlignment="1" applyBorder="1" applyFont="1" applyNumberFormat="1">
      <alignment horizontal="center" readingOrder="0" shrinkToFit="0" vertical="center" wrapText="1"/>
    </xf>
    <xf borderId="0" fillId="10" fontId="2" numFmtId="10" xfId="0" applyAlignment="1" applyFont="1" applyNumberFormat="1">
      <alignment horizontal="center" readingOrder="0" shrinkToFit="0" vertical="center" wrapText="1"/>
    </xf>
    <xf borderId="1" fillId="10" fontId="2" numFmtId="165" xfId="0" applyAlignment="1" applyBorder="1" applyFont="1" applyNumberFormat="1">
      <alignment horizontal="center" readingOrder="0" shrinkToFit="0" vertical="center" wrapText="1"/>
    </xf>
    <xf borderId="1" fillId="10" fontId="2" numFmtId="166" xfId="0" applyAlignment="1" applyBorder="1" applyFont="1" applyNumberFormat="1">
      <alignment horizontal="center" readingOrder="0" shrinkToFit="0" vertical="center" wrapText="1"/>
    </xf>
    <xf borderId="2" fillId="10" fontId="2" numFmtId="167" xfId="0" applyAlignment="1" applyBorder="1" applyFont="1" applyNumberFormat="1">
      <alignment horizontal="center" readingOrder="0" shrinkToFit="0" vertical="center" wrapText="0"/>
    </xf>
    <xf borderId="2" fillId="10" fontId="1" numFmtId="9" xfId="0" applyAlignment="1" applyBorder="1" applyFont="1" applyNumberFormat="1">
      <alignment horizontal="center" readingOrder="0" shrinkToFit="0" vertical="center" wrapText="0"/>
    </xf>
    <xf borderId="1" fillId="2" fontId="2" numFmtId="0" xfId="0" applyAlignment="1" applyBorder="1" applyFont="1">
      <alignment horizontal="center" readingOrder="0" shrinkToFit="0" vertical="center" wrapText="1"/>
    </xf>
    <xf borderId="2" fillId="2" fontId="2" numFmtId="10" xfId="0" applyAlignment="1" applyBorder="1" applyFont="1" applyNumberFormat="1">
      <alignment horizontal="center" readingOrder="0" shrinkToFit="0" vertical="center" wrapText="1"/>
    </xf>
    <xf borderId="1" fillId="4" fontId="2" numFmtId="167" xfId="0" applyAlignment="1" applyBorder="1" applyFont="1" applyNumberFormat="1">
      <alignment horizontal="center" readingOrder="0" shrinkToFit="0" vertical="center" wrapText="1"/>
    </xf>
    <xf borderId="1" fillId="4" fontId="2" numFmtId="166" xfId="0" applyAlignment="1" applyBorder="1" applyFont="1" applyNumberFormat="1">
      <alignment horizontal="center" readingOrder="0" shrinkToFit="0" vertical="center" wrapText="1"/>
    </xf>
    <xf borderId="1" fillId="4" fontId="2" numFmtId="165" xfId="0" applyAlignment="1" applyBorder="1" applyFont="1" applyNumberFormat="1">
      <alignment horizontal="center" readingOrder="0" shrinkToFit="0" vertical="center" wrapText="1"/>
    </xf>
    <xf borderId="1" fillId="5" fontId="2" numFmtId="165" xfId="0" applyAlignment="1" applyBorder="1" applyFont="1" applyNumberFormat="1">
      <alignment horizontal="center" readingOrder="0" shrinkToFit="0" vertical="center" wrapText="1"/>
    </xf>
    <xf borderId="1" fillId="5" fontId="2" numFmtId="0" xfId="0" applyAlignment="1" applyBorder="1" applyFont="1">
      <alignment horizontal="center" readingOrder="0" shrinkToFit="0" vertical="center" wrapText="1"/>
    </xf>
    <xf borderId="1" fillId="6" fontId="2" numFmtId="165" xfId="0" applyAlignment="1" applyBorder="1" applyFont="1" applyNumberFormat="1">
      <alignment horizontal="center" readingOrder="0" shrinkToFit="0" vertical="center" wrapText="1"/>
    </xf>
    <xf borderId="1" fillId="6" fontId="2" numFmtId="166" xfId="0" applyAlignment="1" applyBorder="1" applyFont="1" applyNumberFormat="1">
      <alignment horizontal="center" readingOrder="0" shrinkToFit="0" vertical="center" wrapText="1"/>
    </xf>
    <xf borderId="1" fillId="7" fontId="2" numFmtId="165" xfId="0" applyAlignment="1" applyBorder="1" applyFont="1" applyNumberFormat="1">
      <alignment horizontal="center" readingOrder="0" shrinkToFit="0" vertical="center" wrapText="1"/>
    </xf>
    <xf borderId="1" fillId="7" fontId="2" numFmtId="166" xfId="0" applyAlignment="1" applyBorder="1" applyFont="1" applyNumberFormat="1">
      <alignment horizontal="center" readingOrder="0" shrinkToFit="0" vertical="center" wrapText="1"/>
    </xf>
    <xf borderId="1" fillId="8" fontId="2" numFmtId="165" xfId="0" applyAlignment="1" applyBorder="1" applyFont="1" applyNumberFormat="1">
      <alignment horizontal="center" readingOrder="0" shrinkToFit="0" vertical="center" wrapText="1"/>
    </xf>
    <xf borderId="1" fillId="8" fontId="2" numFmtId="166" xfId="0" applyAlignment="1" applyBorder="1" applyFont="1" applyNumberFormat="1">
      <alignment horizontal="center" readingOrder="0" shrinkToFit="0" vertical="center" wrapText="1"/>
    </xf>
    <xf borderId="1" fillId="9" fontId="2" numFmtId="165" xfId="0" applyAlignment="1" applyBorder="1" applyFont="1" applyNumberFormat="1">
      <alignment horizontal="center" readingOrder="0" shrinkToFit="0" vertical="center" wrapText="1"/>
    </xf>
    <xf borderId="1" fillId="9" fontId="2" numFmtId="166" xfId="0" applyAlignment="1" applyBorder="1" applyFont="1" applyNumberFormat="1">
      <alignment horizontal="center" readingOrder="0" shrinkToFit="0" vertical="center" wrapText="1"/>
    </xf>
    <xf borderId="1" fillId="10" fontId="2" numFmtId="0" xfId="0" applyAlignment="1" applyBorder="1" applyFont="1">
      <alignment horizontal="center" readingOrder="0" shrinkToFit="0" vertical="center" wrapText="1"/>
    </xf>
    <xf borderId="2" fillId="10" fontId="2" numFmtId="10" xfId="0" applyAlignment="1" applyBorder="1" applyFont="1" applyNumberFormat="1">
      <alignment horizontal="center" readingOrder="0" shrinkToFit="0" vertical="center" wrapText="1"/>
    </xf>
    <xf borderId="1" fillId="10" fontId="1" numFmtId="167" xfId="0" applyAlignment="1" applyBorder="1" applyFont="1" applyNumberFormat="1">
      <alignment horizontal="center" readingOrder="0" shrinkToFit="0" vertical="center" wrapText="1"/>
    </xf>
    <xf borderId="1" fillId="10" fontId="1" numFmtId="166" xfId="0" applyAlignment="1" applyBorder="1" applyFont="1" applyNumberFormat="1">
      <alignment horizontal="center" readingOrder="0" shrinkToFit="0" vertical="center" wrapText="1"/>
    </xf>
    <xf borderId="1" fillId="10" fontId="1" numFmtId="165" xfId="0" applyAlignment="1" applyBorder="1" applyFont="1" applyNumberFormat="1">
      <alignment horizontal="center" readingOrder="0" shrinkToFit="0" vertical="center" wrapText="1"/>
    </xf>
    <xf borderId="1" fillId="1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49" xfId="0" applyAlignment="1" applyBorder="1" applyFont="1" applyNumberFormat="1">
      <alignment horizontal="left" readingOrder="0" shrinkToFit="0" vertical="center" wrapText="1"/>
    </xf>
    <xf borderId="1" fillId="0" fontId="1" numFmtId="49" xfId="0" applyAlignment="1" applyBorder="1" applyFont="1" applyNumberFormat="1">
      <alignment horizontal="left" readingOrder="0" shrinkToFit="0" wrapText="1"/>
    </xf>
    <xf borderId="1" fillId="0" fontId="1" numFmtId="164" xfId="0" applyAlignment="1" applyBorder="1" applyFont="1" applyNumberFormat="1">
      <alignment horizontal="right" readingOrder="0" vertical="bottom"/>
    </xf>
    <xf borderId="1" fillId="0" fontId="1" numFmtId="164" xfId="0" applyAlignment="1" applyBorder="1" applyFont="1" applyNumberFormat="1">
      <alignment horizontal="right" shrinkToFit="0" wrapText="1"/>
    </xf>
    <xf borderId="1" fillId="0" fontId="6" numFmtId="0" xfId="0" applyAlignment="1" applyBorder="1" applyFont="1">
      <alignment shrinkToFit="0" wrapText="1"/>
    </xf>
    <xf borderId="1" fillId="0" fontId="1" numFmtId="168" xfId="0" applyAlignment="1" applyBorder="1" applyFont="1" applyNumberFormat="1">
      <alignment horizontal="right" shrinkToFit="0" vertical="center" wrapText="1"/>
    </xf>
    <xf borderId="1" fillId="0" fontId="1" numFmtId="165" xfId="0" applyAlignment="1" applyBorder="1" applyFont="1" applyNumberFormat="1">
      <alignment shrinkToFit="0" vertical="bottom" wrapText="0"/>
    </xf>
    <xf borderId="1" fillId="0" fontId="1" numFmtId="165" xfId="0" applyAlignment="1" applyBorder="1" applyFont="1" applyNumberFormat="1">
      <alignment horizontal="right" readingOrder="0"/>
    </xf>
    <xf borderId="1" fillId="0" fontId="1" numFmtId="166" xfId="0" applyAlignment="1" applyBorder="1" applyFont="1" applyNumberFormat="1">
      <alignment horizontal="right" readingOrder="0"/>
    </xf>
    <xf borderId="1" fillId="0" fontId="7" numFmtId="166" xfId="0" applyAlignment="1" applyBorder="1" applyFont="1" applyNumberFormat="1">
      <alignment readingOrder="0" shrinkToFit="0" vertical="bottom" wrapText="0"/>
    </xf>
    <xf borderId="1" fillId="0" fontId="7" numFmtId="168" xfId="0" applyAlignment="1" applyBorder="1" applyFont="1" applyNumberFormat="1">
      <alignment shrinkToFit="0" vertical="center" wrapText="0"/>
    </xf>
    <xf borderId="1" fillId="0" fontId="7" numFmtId="166" xfId="0" applyAlignment="1" applyBorder="1" applyFont="1" applyNumberFormat="1">
      <alignment horizontal="right" readingOrder="0" shrinkToFit="0" vertical="center" wrapText="0"/>
    </xf>
    <xf borderId="1" fillId="0" fontId="7" numFmtId="10" xfId="0" applyAlignment="1" applyBorder="1" applyFont="1" applyNumberFormat="1">
      <alignment horizontal="right" shrinkToFit="0" vertical="center" wrapText="0"/>
    </xf>
    <xf borderId="1" fillId="0" fontId="7" numFmtId="167" xfId="0" applyAlignment="1" applyBorder="1" applyFont="1" applyNumberFormat="1">
      <alignment horizontal="right" shrinkToFit="0" vertical="center" wrapText="0"/>
    </xf>
    <xf borderId="1" fillId="0" fontId="7" numFmtId="166" xfId="0" applyAlignment="1" applyBorder="1" applyFont="1" applyNumberFormat="1">
      <alignment horizontal="right" shrinkToFit="0" vertical="bottom" wrapText="0"/>
    </xf>
    <xf borderId="0" fillId="11" fontId="7" numFmtId="49" xfId="0" applyAlignment="1" applyFill="1" applyFont="1" applyNumberFormat="1">
      <alignment readingOrder="0"/>
    </xf>
    <xf borderId="0" fillId="0" fontId="7" numFmtId="49" xfId="0" applyAlignment="1" applyFont="1" applyNumberFormat="1">
      <alignment shrinkToFit="0" vertical="bottom" wrapText="0"/>
    </xf>
    <xf borderId="0" fillId="0" fontId="7" numFmtId="166" xfId="0" applyAlignment="1" applyFont="1" applyNumberFormat="1">
      <alignment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164" xfId="0" applyAlignment="1" applyBorder="1" applyFont="1" applyNumberFormat="1">
      <alignment horizontal="right" readingOrder="0" shrinkToFit="0" wrapText="1"/>
    </xf>
    <xf borderId="1" fillId="0" fontId="8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readingOrder="0" shrinkToFit="0" wrapText="1"/>
    </xf>
    <xf borderId="1" fillId="0" fontId="7" numFmtId="168" xfId="0" applyAlignment="1" applyBorder="1" applyFont="1" applyNumberFormat="1">
      <alignment readingOrder="0" shrinkToFit="0" vertical="center" wrapText="0"/>
    </xf>
    <xf borderId="1" fillId="0" fontId="1" numFmtId="165" xfId="0" applyAlignment="1" applyBorder="1" applyFont="1" applyNumberFormat="1">
      <alignment readingOrder="0" shrinkToFit="0" vertical="bottom" wrapText="0"/>
    </xf>
    <xf borderId="1" fillId="0" fontId="2" numFmtId="164" xfId="0" applyAlignment="1" applyBorder="1" applyFont="1" applyNumberFormat="1">
      <alignment horizontal="right" shrinkToFit="0" wrapText="1"/>
    </xf>
    <xf borderId="1" fillId="0" fontId="1" numFmtId="0" xfId="0" applyAlignment="1" applyBorder="1" applyFont="1">
      <alignment horizontal="left" shrinkToFit="0" vertical="center" wrapText="1"/>
    </xf>
    <xf borderId="1" fillId="0" fontId="2" numFmtId="49" xfId="0" applyAlignment="1" applyBorder="1" applyFont="1" applyNumberFormat="1">
      <alignment horizontal="left" readingOrder="0" shrinkToFit="0" wrapText="1"/>
    </xf>
    <xf borderId="1" fillId="0" fontId="2" numFmtId="164" xfId="0" applyAlignment="1" applyBorder="1" applyFont="1" applyNumberFormat="1">
      <alignment horizontal="right" readingOrder="0" vertical="bottom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left" readingOrder="0" shrinkToFit="0" wrapText="1"/>
    </xf>
    <xf borderId="1" fillId="0" fontId="8" numFmtId="0" xfId="0" applyAlignment="1" applyBorder="1" applyFont="1">
      <alignment shrinkToFit="0" wrapText="1"/>
    </xf>
    <xf borderId="1" fillId="0" fontId="1" numFmtId="49" xfId="0" applyAlignment="1" applyBorder="1" applyFont="1" applyNumberFormat="1">
      <alignment horizontal="left" shrinkToFit="0" vertical="center" wrapText="1"/>
    </xf>
    <xf borderId="1" fillId="0" fontId="8" numFmtId="0" xfId="0" applyBorder="1" applyFont="1"/>
    <xf borderId="1" fillId="0" fontId="1" numFmtId="165" xfId="0" applyAlignment="1" applyBorder="1" applyFont="1" applyNumberFormat="1">
      <alignment horizontal="right"/>
    </xf>
    <xf borderId="1" fillId="0" fontId="8" numFmtId="0" xfId="0" applyAlignment="1" applyBorder="1" applyFont="1">
      <alignment readingOrder="0"/>
    </xf>
    <xf borderId="1" fillId="11" fontId="1" numFmtId="165" xfId="0" applyAlignment="1" applyBorder="1" applyFont="1" applyNumberFormat="1">
      <alignment horizontal="right" readingOrder="0" shrinkToFit="0" vertical="center" wrapText="1"/>
    </xf>
    <xf borderId="1" fillId="0" fontId="1" numFmtId="166" xfId="0" applyAlignment="1" applyBorder="1" applyFont="1" applyNumberFormat="1">
      <alignment shrinkToFit="0" vertical="bottom" wrapText="0"/>
    </xf>
    <xf borderId="1" fillId="0" fontId="7" numFmtId="165" xfId="0" applyAlignment="1" applyBorder="1" applyFont="1" applyNumberFormat="1">
      <alignment shrinkToFit="0" vertical="bottom" wrapText="0"/>
    </xf>
    <xf borderId="1" fillId="0" fontId="7" numFmtId="167" xfId="0" applyAlignment="1" applyBorder="1" applyFont="1" applyNumberFormat="1">
      <alignment readingOrder="0" shrinkToFit="0" vertical="center" wrapText="0"/>
    </xf>
    <xf borderId="1" fillId="0" fontId="7" numFmtId="166" xfId="0" applyAlignment="1" applyBorder="1" applyFont="1" applyNumberFormat="1">
      <alignment shrinkToFit="0" vertical="bottom" wrapText="0"/>
    </xf>
    <xf borderId="1" fillId="11" fontId="1" numFmtId="166" xfId="0" applyAlignment="1" applyBorder="1" applyFont="1" applyNumberFormat="1">
      <alignment horizontal="right" readingOrder="0" shrinkToFit="0" vertical="center" wrapText="1"/>
    </xf>
    <xf borderId="1" fillId="0" fontId="1" numFmtId="0" xfId="0" applyAlignment="1" applyBorder="1" applyFont="1">
      <alignment horizontal="center" shrinkToFit="0" vertical="center" wrapText="0"/>
    </xf>
    <xf borderId="1" fillId="0" fontId="1" numFmtId="164" xfId="0" applyAlignment="1" applyBorder="1" applyFont="1" applyNumberFormat="1">
      <alignment horizontal="left" shrinkToFit="0" vertical="center" wrapText="1"/>
    </xf>
    <xf borderId="1" fillId="0" fontId="1" numFmtId="165" xfId="0" applyAlignment="1" applyBorder="1" applyFont="1" applyNumberFormat="1">
      <alignment horizontal="left" readingOrder="0" shrinkToFit="0" vertical="center" wrapText="1"/>
    </xf>
    <xf borderId="1" fillId="0" fontId="1" numFmtId="0" xfId="0" applyAlignment="1" applyBorder="1" applyFont="1">
      <alignment horizontal="left" shrinkToFit="0" wrapText="1"/>
    </xf>
    <xf borderId="1" fillId="0" fontId="1" numFmtId="164" xfId="0" applyAlignment="1" applyBorder="1" applyFont="1" applyNumberFormat="1">
      <alignment horizontal="left" readingOrder="0" shrinkToFit="0" vertical="center" wrapText="1"/>
    </xf>
    <xf borderId="1" fillId="0" fontId="7" numFmtId="164" xfId="0" applyAlignment="1" applyBorder="1" applyFont="1" applyNumberFormat="1">
      <alignment readingOrder="0" shrinkToFit="0" wrapText="1"/>
    </xf>
    <xf borderId="1" fillId="0" fontId="7" numFmtId="165" xfId="0" applyAlignment="1" applyBorder="1" applyFont="1" applyNumberFormat="1">
      <alignment readingOrder="0" shrinkToFit="0" wrapText="1"/>
    </xf>
    <xf borderId="1" fillId="12" fontId="1" numFmtId="166" xfId="0" applyAlignment="1" applyBorder="1" applyFill="1" applyFont="1" applyNumberFormat="1">
      <alignment horizontal="right" shrinkToFit="0" vertical="center" wrapText="0"/>
    </xf>
    <xf borderId="1" fillId="0" fontId="7" numFmtId="0" xfId="0" applyAlignment="1" applyBorder="1" applyFont="1">
      <alignment readingOrder="0" shrinkToFit="0" wrapText="1"/>
    </xf>
    <xf borderId="1" fillId="0" fontId="1" numFmtId="166" xfId="0" applyAlignment="1" applyBorder="1" applyFont="1" applyNumberFormat="1">
      <alignment horizontal="right" shrinkToFit="0" vertical="center" wrapText="0"/>
    </xf>
    <xf borderId="1" fillId="0" fontId="7" numFmtId="0" xfId="0" applyAlignment="1" applyBorder="1" applyFont="1">
      <alignment horizontal="left" readingOrder="0" shrinkToFit="0" vertical="bottom" wrapText="1"/>
    </xf>
    <xf borderId="1" fillId="0" fontId="7" numFmtId="164" xfId="0" applyAlignment="1" applyBorder="1" applyFont="1" applyNumberFormat="1">
      <alignment horizontal="left" readingOrder="0" shrinkToFit="0" vertical="bottom" wrapText="1"/>
    </xf>
    <xf borderId="1" fillId="0" fontId="7" numFmtId="165" xfId="0" applyAlignment="1" applyBorder="1" applyFont="1" applyNumberFormat="1">
      <alignment horizontal="left" readingOrder="0" shrinkToFit="0" vertical="bottom" wrapText="1"/>
    </xf>
    <xf borderId="1" fillId="0" fontId="7" numFmtId="166" xfId="0" applyAlignment="1" applyBorder="1" applyFont="1" applyNumberFormat="1">
      <alignment horizontal="right" shrinkToFit="0" vertical="center" wrapText="0"/>
    </xf>
    <xf borderId="1" fillId="0" fontId="1" numFmtId="166" xfId="0" applyAlignment="1" applyBorder="1" applyFont="1" applyNumberFormat="1">
      <alignment horizontal="right" shrinkToFit="0" vertical="center" wrapText="1"/>
    </xf>
    <xf borderId="1" fillId="0" fontId="7" numFmtId="0" xfId="0" applyAlignment="1" applyBorder="1" applyFont="1">
      <alignment horizontal="left" readingOrder="0" shrinkToFit="0" wrapText="1"/>
    </xf>
    <xf borderId="1" fillId="0" fontId="7" numFmtId="164" xfId="0" applyAlignment="1" applyBorder="1" applyFont="1" applyNumberFormat="1">
      <alignment horizontal="left" readingOrder="0" shrinkToFit="0" wrapText="1"/>
    </xf>
    <xf borderId="1" fillId="0" fontId="7" numFmtId="165" xfId="0" applyAlignment="1" applyBorder="1" applyFont="1" applyNumberFormat="1">
      <alignment horizontal="left" readingOrder="0" shrinkToFit="0" wrapText="1"/>
    </xf>
    <xf borderId="1" fillId="0" fontId="1" numFmtId="49" xfId="0" applyAlignment="1" applyBorder="1" applyFont="1" applyNumberFormat="1">
      <alignment horizontal="center" readingOrder="0" shrinkToFit="0" wrapText="1"/>
    </xf>
    <xf borderId="1" fillId="0" fontId="7" numFmtId="0" xfId="0" applyAlignment="1" applyBorder="1" applyFont="1">
      <alignment horizontal="left" shrinkToFit="0" vertical="center" wrapText="1"/>
    </xf>
    <xf borderId="1" fillId="0" fontId="8" numFmtId="4" xfId="0" applyAlignment="1" applyBorder="1" applyFont="1" applyNumberFormat="1">
      <alignment readingOrder="0" shrinkToFit="0" wrapText="1"/>
    </xf>
    <xf borderId="1" fillId="0" fontId="1" numFmtId="165" xfId="0" applyAlignment="1" applyBorder="1" applyFont="1" applyNumberFormat="1">
      <alignment horizontal="right" readingOrder="0" shrinkToFit="0" vertical="center" wrapText="1"/>
    </xf>
    <xf borderId="1" fillId="0" fontId="1" numFmtId="0" xfId="0" applyAlignment="1" applyBorder="1" applyFont="1">
      <alignment horizontal="center" readingOrder="0" shrinkToFit="0" wrapText="0"/>
    </xf>
    <xf borderId="1" fillId="0" fontId="1" numFmtId="0" xfId="0" applyAlignment="1" applyBorder="1" applyFont="1">
      <alignment horizontal="center" shrinkToFit="0" wrapText="0"/>
    </xf>
    <xf borderId="1" fillId="0" fontId="1" numFmtId="49" xfId="0" applyAlignment="1" applyBorder="1" applyFont="1" applyNumberFormat="1">
      <alignment readingOrder="0" shrinkToFit="0" vertical="center" wrapText="1"/>
    </xf>
    <xf borderId="1" fillId="0" fontId="1" numFmtId="49" xfId="0" applyAlignment="1" applyBorder="1" applyFont="1" applyNumberFormat="1">
      <alignment shrinkToFit="0" vertical="center" wrapText="1"/>
    </xf>
    <xf borderId="1" fillId="0" fontId="1" numFmtId="10" xfId="0" applyAlignment="1" applyBorder="1" applyFont="1" applyNumberFormat="1">
      <alignment horizontal="right" readingOrder="0" shrinkToFit="0" vertical="center" wrapText="1"/>
    </xf>
    <xf borderId="1" fillId="0" fontId="7" numFmtId="167" xfId="0" applyAlignment="1" applyBorder="1" applyFont="1" applyNumberFormat="1">
      <alignment horizontal="right" readingOrder="0" shrinkToFit="0" vertical="center" wrapText="0"/>
    </xf>
    <xf borderId="1" fillId="0" fontId="1" numFmtId="166" xfId="0" applyAlignment="1" applyBorder="1" applyFont="1" applyNumberFormat="1">
      <alignment horizontal="right" readingOrder="0" shrinkToFit="0" vertical="center" wrapText="1"/>
    </xf>
    <xf borderId="1" fillId="0" fontId="7" numFmtId="168" xfId="0" applyAlignment="1" applyBorder="1" applyFont="1" applyNumberFormat="1">
      <alignment horizontal="right" shrinkToFit="0" vertical="center" wrapText="0"/>
    </xf>
    <xf borderId="1" fillId="0" fontId="1" numFmtId="0" xfId="0" applyAlignment="1" applyBorder="1" applyFont="1">
      <alignment horizontal="center" readingOrder="0" vertical="center"/>
    </xf>
    <xf borderId="1" fillId="0" fontId="1" numFmtId="165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11" fontId="7" numFmtId="0" xfId="0" applyAlignment="1" applyBorder="1" applyFont="1">
      <alignment horizontal="center" readingOrder="0"/>
    </xf>
    <xf borderId="1" fillId="0" fontId="9" numFmtId="0" xfId="0" applyAlignment="1" applyBorder="1" applyFont="1">
      <alignment readingOrder="0" shrinkToFit="0" wrapText="1"/>
    </xf>
    <xf borderId="1" fillId="0" fontId="9" numFmtId="0" xfId="0" applyAlignment="1" applyBorder="1" applyFont="1">
      <alignment readingOrder="0"/>
    </xf>
    <xf borderId="1" fillId="0" fontId="7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11" fontId="7" numFmtId="49" xfId="0" applyAlignment="1" applyFont="1" applyNumberFormat="1">
      <alignment shrinkToFit="0" vertical="bottom" wrapText="0"/>
    </xf>
    <xf borderId="0" fillId="11" fontId="7" numFmtId="166" xfId="0" applyAlignment="1" applyFont="1" applyNumberFormat="1">
      <alignment shrinkToFit="0" vertical="bottom" wrapText="0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shrinkToFit="0" wrapText="1"/>
    </xf>
    <xf borderId="1" fillId="12" fontId="7" numFmtId="166" xfId="0" applyAlignment="1" applyBorder="1" applyFont="1" applyNumberFormat="1">
      <alignment horizontal="right" shrinkToFit="0" vertical="center" wrapText="0"/>
    </xf>
    <xf borderId="1" fillId="13" fontId="1" numFmtId="49" xfId="0" applyAlignment="1" applyBorder="1" applyFill="1" applyFont="1" applyNumberFormat="1">
      <alignment horizontal="left" readingOrder="0" shrinkToFit="0" vertical="center" wrapText="1"/>
    </xf>
    <xf borderId="1" fillId="13" fontId="1" numFmtId="49" xfId="0" applyAlignment="1" applyBorder="1" applyFont="1" applyNumberFormat="1">
      <alignment horizontal="left" readingOrder="0" shrinkToFit="0" wrapText="1"/>
    </xf>
    <xf borderId="1" fillId="0" fontId="2" numFmtId="164" xfId="0" applyAlignment="1" applyBorder="1" applyFont="1" applyNumberFormat="1">
      <alignment horizontal="right" readingOrder="0" shrinkToFit="0" wrapText="1"/>
    </xf>
    <xf borderId="1" fillId="0" fontId="1" numFmtId="49" xfId="0" applyAlignment="1" applyBorder="1" applyFont="1" applyNumberFormat="1">
      <alignment horizontal="left" readingOrder="0" shrinkToFit="0" vertical="center" wrapText="1"/>
    </xf>
    <xf borderId="0" fillId="0" fontId="8" numFmtId="0" xfId="0" applyAlignment="1" applyFont="1">
      <alignment readingOrder="0" shrinkToFit="0" wrapText="1"/>
    </xf>
    <xf borderId="1" fillId="0" fontId="4" numFmtId="0" xfId="0" applyAlignment="1" applyBorder="1" applyFont="1">
      <alignment shrinkToFit="0" wrapText="1"/>
    </xf>
    <xf borderId="1" fillId="0" fontId="7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center"/>
    </xf>
    <xf borderId="1" fillId="0" fontId="10" numFmtId="167" xfId="0" applyAlignment="1" applyBorder="1" applyFont="1" applyNumberFormat="1">
      <alignment horizontal="right" shrinkToFit="0" vertical="center" wrapText="0"/>
    </xf>
    <xf borderId="1" fillId="0" fontId="7" numFmtId="169" xfId="0" applyAlignment="1" applyBorder="1" applyFont="1" applyNumberFormat="1">
      <alignment horizontal="left" readingOrder="0" shrinkToFit="0" vertical="center" wrapText="1"/>
    </xf>
    <xf borderId="1" fillId="0" fontId="8" numFmtId="0" xfId="0" applyAlignment="1" applyBorder="1" applyFont="1">
      <alignment vertical="center"/>
    </xf>
    <xf borderId="1" fillId="0" fontId="1" numFmtId="49" xfId="0" applyAlignment="1" applyBorder="1" applyFont="1" applyNumberFormat="1">
      <alignment readingOrder="0" shrinkToFit="0" wrapText="1"/>
    </xf>
    <xf borderId="1" fillId="11" fontId="8" numFmtId="0" xfId="0" applyAlignment="1" applyBorder="1" applyFont="1">
      <alignment readingOrder="0" shrinkToFit="0" wrapText="1"/>
    </xf>
    <xf borderId="1" fillId="0" fontId="7" numFmtId="49" xfId="0" applyAlignment="1" applyBorder="1" applyFont="1" applyNumberFormat="1">
      <alignment readingOrder="0" shrinkToFit="0" wrapText="1"/>
    </xf>
    <xf borderId="1" fillId="14" fontId="1" numFmtId="49" xfId="0" applyAlignment="1" applyBorder="1" applyFill="1" applyFont="1" applyNumberFormat="1">
      <alignment horizontal="left" readingOrder="0" shrinkToFit="0" wrapText="1"/>
    </xf>
    <xf borderId="1" fillId="14" fontId="1" numFmtId="0" xfId="0" applyAlignment="1" applyBorder="1" applyFont="1">
      <alignment horizontal="left" readingOrder="0" shrinkToFit="0" vertical="center" wrapText="1"/>
    </xf>
    <xf borderId="1" fillId="14" fontId="1" numFmtId="49" xfId="0" applyAlignment="1" applyBorder="1" applyFont="1" applyNumberFormat="1">
      <alignment horizontal="left" readingOrder="0" shrinkToFit="0" vertical="center" wrapText="1"/>
    </xf>
    <xf borderId="1" fillId="14" fontId="1" numFmtId="49" xfId="0" applyAlignment="1" applyBorder="1" applyFont="1" applyNumberFormat="1">
      <alignment readingOrder="0" shrinkToFit="0" wrapText="1"/>
    </xf>
    <xf borderId="1" fillId="14" fontId="1" numFmtId="0" xfId="0" applyAlignment="1" applyBorder="1" applyFont="1">
      <alignment readingOrder="0" shrinkToFit="0" vertical="center" wrapText="1"/>
    </xf>
    <xf borderId="1" fillId="0" fontId="1" numFmtId="49" xfId="0" applyAlignment="1" applyBorder="1" applyFont="1" applyNumberForma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readingOrder="0" vertical="bottom"/>
    </xf>
    <xf borderId="1" fillId="0" fontId="1" numFmtId="164" xfId="0" applyAlignment="1" applyBorder="1" applyFont="1" applyNumberFormat="1">
      <alignment horizontal="center" shrinkToFit="0" wrapText="1"/>
    </xf>
    <xf borderId="1" fillId="0" fontId="8" numFmtId="0" xfId="0" applyAlignment="1" applyBorder="1" applyFont="1">
      <alignment horizontal="center" shrinkToFit="0" wrapText="1"/>
    </xf>
    <xf borderId="1" fillId="0" fontId="1" numFmtId="165" xfId="0" applyAlignment="1" applyBorder="1" applyFont="1" applyNumberFormat="1">
      <alignment horizontal="center" shrinkToFit="0" vertical="bottom" wrapText="0"/>
    </xf>
    <xf borderId="1" fillId="0" fontId="1" numFmtId="165" xfId="0" applyAlignment="1" applyBorder="1" applyFont="1" applyNumberFormat="1">
      <alignment horizontal="center" readingOrder="0"/>
    </xf>
    <xf borderId="1" fillId="0" fontId="1" numFmtId="166" xfId="0" applyAlignment="1" applyBorder="1" applyFont="1" applyNumberFormat="1">
      <alignment horizontal="center" readingOrder="0"/>
    </xf>
    <xf borderId="1" fillId="0" fontId="7" numFmtId="166" xfId="0" applyAlignment="1" applyBorder="1" applyFont="1" applyNumberFormat="1">
      <alignment horizontal="center" readingOrder="0" shrinkToFit="0" vertical="bottom" wrapText="0"/>
    </xf>
    <xf borderId="1" fillId="0" fontId="7" numFmtId="168" xfId="0" applyAlignment="1" applyBorder="1" applyFont="1" applyNumberFormat="1">
      <alignment horizontal="center" shrinkToFit="0" vertical="center" wrapText="0"/>
    </xf>
    <xf borderId="0" fillId="0" fontId="7" numFmtId="49" xfId="0" applyAlignment="1" applyFont="1" applyNumberFormat="1">
      <alignment horizontal="center" shrinkToFit="0" vertical="bottom" wrapText="0"/>
    </xf>
    <xf borderId="0" fillId="0" fontId="7" numFmtId="166" xfId="0" applyAlignment="1" applyFont="1" applyNumberFormat="1">
      <alignment horizontal="center" shrinkToFit="0" vertical="bottom" wrapText="0"/>
    </xf>
    <xf borderId="1" fillId="0" fontId="7" numFmtId="0" xfId="0" applyAlignment="1" applyBorder="1" applyFont="1">
      <alignment horizontal="center" readingOrder="0" shrinkToFit="0" vertical="center" wrapText="0"/>
    </xf>
    <xf borderId="1" fillId="0" fontId="7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borderId="1" fillId="0" fontId="8" numFmtId="0" xfId="0" applyAlignment="1" applyBorder="1" applyFont="1">
      <alignment readingOrder="0" vertical="center"/>
    </xf>
    <xf borderId="1" fillId="0" fontId="1" numFmtId="164" xfId="0" applyAlignment="1" applyBorder="1" applyFont="1" applyNumberFormat="1">
      <alignment horizontal="right" readingOrder="0" vertical="center"/>
    </xf>
    <xf borderId="1" fillId="0" fontId="1" numFmtId="164" xfId="0" applyAlignment="1" applyBorder="1" applyFont="1" applyNumberFormat="1">
      <alignment horizontal="right" shrinkToFit="0" vertical="center" wrapText="1"/>
    </xf>
    <xf borderId="1" fillId="0" fontId="1" numFmtId="165" xfId="0" applyAlignment="1" applyBorder="1" applyFont="1" applyNumberFormat="1">
      <alignment shrinkToFit="0" vertical="center" wrapText="0"/>
    </xf>
    <xf borderId="1" fillId="0" fontId="1" numFmtId="165" xfId="0" applyAlignment="1" applyBorder="1" applyFont="1" applyNumberFormat="1">
      <alignment horizontal="right" vertical="center"/>
    </xf>
    <xf borderId="1" fillId="0" fontId="1" numFmtId="166" xfId="0" applyAlignment="1" applyBorder="1" applyFont="1" applyNumberFormat="1">
      <alignment horizontal="right" readingOrder="0" vertical="center"/>
    </xf>
    <xf borderId="1" fillId="0" fontId="7" numFmtId="166" xfId="0" applyAlignment="1" applyBorder="1" applyFont="1" applyNumberFormat="1">
      <alignment readingOrder="0" shrinkToFit="0" vertical="center" wrapText="0"/>
    </xf>
    <xf borderId="0" fillId="0" fontId="7" numFmtId="49" xfId="0" applyAlignment="1" applyFont="1" applyNumberFormat="1">
      <alignment shrinkToFit="0" vertical="center" wrapText="0"/>
    </xf>
    <xf borderId="0" fillId="0" fontId="7" numFmtId="166" xfId="0" applyAlignment="1" applyFont="1" applyNumberFormat="1">
      <alignment shrinkToFit="0" vertical="center" wrapText="0"/>
    </xf>
    <xf borderId="1" fillId="15" fontId="8" numFmtId="0" xfId="0" applyAlignment="1" applyBorder="1" applyFill="1" applyFont="1">
      <alignment readingOrder="0" shrinkToFit="0" wrapText="1"/>
    </xf>
    <xf borderId="1" fillId="0" fontId="7" numFmtId="0" xfId="0" applyAlignment="1" applyBorder="1" applyFont="1">
      <alignment horizontal="center" readingOrder="0"/>
    </xf>
    <xf borderId="1" fillId="0" fontId="7" numFmtId="164" xfId="0" applyAlignment="1" applyBorder="1" applyFont="1" applyNumberFormat="1">
      <alignment horizontal="right" readingOrder="0" vertical="bottom"/>
    </xf>
    <xf borderId="1" fillId="0" fontId="7" numFmtId="165" xfId="0" applyAlignment="1" applyBorder="1" applyFont="1" applyNumberFormat="1">
      <alignment horizontal="right" readingOrder="0" shrinkToFit="0" wrapText="0"/>
    </xf>
    <xf borderId="1" fillId="12" fontId="1" numFmtId="49" xfId="0" applyAlignment="1" applyBorder="1" applyFont="1" applyNumberFormat="1">
      <alignment horizontal="left" readingOrder="0" shrinkToFit="0" vertical="center" wrapText="1"/>
    </xf>
    <xf borderId="1" fillId="12" fontId="1" numFmtId="49" xfId="0" applyAlignment="1" applyBorder="1" applyFont="1" applyNumberFormat="1">
      <alignment horizontal="left" readingOrder="0" shrinkToFit="0" wrapText="1"/>
    </xf>
    <xf borderId="1" fillId="13" fontId="1" numFmtId="0" xfId="0" applyAlignment="1" applyBorder="1" applyFont="1">
      <alignment readingOrder="0" shrinkToFit="0" vertical="center" wrapText="1"/>
    </xf>
    <xf borderId="1" fillId="0" fontId="8" numFmtId="49" xfId="0" applyAlignment="1" applyBorder="1" applyFont="1" applyNumberFormat="1">
      <alignment readingOrder="0"/>
    </xf>
    <xf borderId="1" fillId="0" fontId="11" numFmtId="0" xfId="0" applyAlignment="1" applyBorder="1" applyFont="1">
      <alignment readingOrder="0" shrinkToFit="0" wrapText="1"/>
    </xf>
    <xf borderId="1" fillId="16" fontId="1" numFmtId="49" xfId="0" applyAlignment="1" applyBorder="1" applyFill="1" applyFont="1" applyNumberFormat="1">
      <alignment horizontal="left" readingOrder="0" shrinkToFit="0" wrapText="1"/>
    </xf>
    <xf borderId="1" fillId="16" fontId="11" numFmtId="0" xfId="0" applyAlignment="1" applyBorder="1" applyFont="1">
      <alignment readingOrder="0" shrinkToFit="0" wrapText="1"/>
    </xf>
    <xf borderId="1" fillId="16" fontId="1" numFmtId="49" xfId="0" applyAlignment="1" applyBorder="1" applyFont="1" applyNumberFormat="1">
      <alignment horizontal="left" readingOrder="0" shrinkToFit="0" vertical="center" wrapText="1"/>
    </xf>
    <xf borderId="1" fillId="16" fontId="1" numFmtId="0" xfId="0" applyAlignment="1" applyBorder="1" applyFont="1">
      <alignment readingOrder="0" shrinkToFit="0" vertical="center" wrapText="1"/>
    </xf>
    <xf borderId="1" fillId="16" fontId="1" numFmtId="0" xfId="0" applyAlignment="1" applyBorder="1" applyFont="1">
      <alignment horizontal="left" readingOrder="0" shrinkToFit="0" vertical="center" wrapText="1"/>
    </xf>
    <xf borderId="1" fillId="16" fontId="12" numFmtId="49" xfId="0" applyAlignment="1" applyBorder="1" applyFont="1" applyNumberFormat="1">
      <alignment readingOrder="0"/>
    </xf>
    <xf borderId="1" fillId="0" fontId="7" numFmtId="49" xfId="0" applyAlignment="1" applyBorder="1" applyFont="1" applyNumberFormat="1">
      <alignment readingOrder="0" shrinkToFit="0" vertical="bottom" wrapText="1"/>
    </xf>
    <xf borderId="1" fillId="0" fontId="1" numFmtId="166" xfId="0" applyAlignment="1" applyBorder="1" applyFont="1" applyNumberFormat="1">
      <alignment horizontal="left" readingOrder="0" shrinkToFit="0" vertical="center" wrapText="1"/>
    </xf>
    <xf borderId="0" fillId="0" fontId="8" numFmtId="0" xfId="0" applyFont="1"/>
    <xf borderId="1" fillId="0" fontId="1" numFmtId="49" xfId="0" applyAlignment="1" applyBorder="1" applyFont="1" applyNumberFormat="1">
      <alignment horizontal="left" shrinkToFit="0" wrapText="1"/>
    </xf>
    <xf borderId="1" fillId="11" fontId="12" numFmtId="49" xfId="0" applyAlignment="1" applyBorder="1" applyFont="1" applyNumberFormat="1">
      <alignment readingOrder="0"/>
    </xf>
    <xf borderId="0" fillId="0" fontId="1" numFmtId="165" xfId="0" applyAlignment="1" applyFont="1" applyNumberFormat="1">
      <alignment horizontal="right" readingOrder="0" shrinkToFit="0" vertical="center" wrapText="1"/>
    </xf>
    <xf borderId="1" fillId="0" fontId="1" numFmtId="166" xfId="0" applyAlignment="1" applyBorder="1" applyFont="1" applyNumberFormat="1">
      <alignment horizontal="right" readingOrder="0" shrinkToFit="0" vertical="center" wrapText="0"/>
    </xf>
    <xf borderId="0" fillId="0" fontId="1" numFmtId="166" xfId="0" applyAlignment="1" applyFont="1" applyNumberFormat="1">
      <alignment horizontal="right" readingOrder="0" shrinkToFit="0" vertical="center" wrapText="1"/>
    </xf>
    <xf borderId="2" fillId="15" fontId="1" numFmtId="0" xfId="0" applyAlignment="1" applyBorder="1" applyFont="1">
      <alignment horizontal="center" readingOrder="0" shrinkToFit="0" vertical="bottom" wrapText="1"/>
    </xf>
    <xf borderId="3" fillId="15" fontId="2" numFmtId="0" xfId="0" applyAlignment="1" applyBorder="1" applyFont="1">
      <alignment horizontal="center" readingOrder="0" shrinkToFit="0" vertical="bottom" wrapText="1"/>
    </xf>
    <xf borderId="4" fillId="15" fontId="2" numFmtId="0" xfId="0" applyAlignment="1" applyBorder="1" applyFont="1">
      <alignment horizontal="center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2" fillId="15" fontId="2" numFmtId="0" xfId="0" applyAlignment="1" applyBorder="1" applyFont="1">
      <alignment horizontal="center" readingOrder="0" shrinkToFit="0" vertical="bottom" wrapText="1"/>
    </xf>
    <xf borderId="1" fillId="15" fontId="7" numFmtId="0" xfId="0" applyAlignment="1" applyBorder="1" applyFont="1">
      <alignment horizontal="center" readingOrder="0" shrinkToFit="0" wrapText="0"/>
    </xf>
    <xf borderId="1" fillId="15" fontId="10" numFmtId="0" xfId="0" applyAlignment="1" applyBorder="1" applyFont="1">
      <alignment horizontal="center" readingOrder="0" shrinkToFit="0" wrapText="0"/>
    </xf>
    <xf borderId="1" fillId="15" fontId="10" numFmtId="0" xfId="0" applyAlignment="1" applyBorder="1" applyFont="1">
      <alignment horizontal="center" readingOrder="0" shrinkToFit="0" wrapText="1"/>
    </xf>
    <xf borderId="1" fillId="15" fontId="10" numFmtId="168" xfId="0" applyAlignment="1" applyBorder="1" applyFont="1" applyNumberFormat="1">
      <alignment horizontal="center" readingOrder="0" shrinkToFit="0" wrapText="1"/>
    </xf>
    <xf borderId="1" fillId="15" fontId="10" numFmtId="170" xfId="0" applyAlignment="1" applyBorder="1" applyFont="1" applyNumberFormat="1">
      <alignment horizontal="center" readingOrder="0" shrinkToFit="0" wrapText="1"/>
    </xf>
    <xf borderId="1" fillId="15" fontId="10" numFmtId="168" xfId="0" applyAlignment="1" applyBorder="1" applyFont="1" applyNumberFormat="1">
      <alignment horizontal="center" readingOrder="0" shrinkToFit="0" wrapText="1"/>
    </xf>
    <xf borderId="2" fillId="15" fontId="10" numFmtId="0" xfId="0" applyAlignment="1" applyBorder="1" applyFont="1">
      <alignment horizontal="center" readingOrder="0" shrinkToFit="0" vertical="center" wrapText="0"/>
    </xf>
    <xf borderId="0" fillId="0" fontId="10" numFmtId="0" xfId="0" applyAlignment="1" applyFont="1">
      <alignment horizontal="center" readingOrder="0" shrinkToFit="0" wrapText="0"/>
    </xf>
    <xf borderId="1" fillId="15" fontId="10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readingOrder="0" shrinkToFit="0" wrapText="0"/>
    </xf>
    <xf borderId="1" fillId="0" fontId="7" numFmtId="168" xfId="0" applyAlignment="1" applyBorder="1" applyFont="1" applyNumberFormat="1">
      <alignment readingOrder="0" shrinkToFit="0" wrapText="0"/>
    </xf>
    <xf borderId="1" fillId="0" fontId="7" numFmtId="168" xfId="0" applyAlignment="1" applyBorder="1" applyFont="1" applyNumberFormat="1">
      <alignment horizontal="center" readingOrder="0" shrinkToFit="0" wrapText="0"/>
    </xf>
    <xf borderId="0" fillId="0" fontId="7" numFmtId="0" xfId="0" applyAlignment="1" applyFont="1">
      <alignment horizontal="center" readingOrder="0" shrinkToFit="0" wrapText="0"/>
    </xf>
    <xf borderId="1" fillId="0" fontId="7" numFmtId="168" xfId="0" applyAlignment="1" applyBorder="1" applyFont="1" applyNumberFormat="1">
      <alignment readingOrder="0" shrinkToFit="0" wrapText="1"/>
    </xf>
    <xf borderId="1" fillId="0" fontId="7" numFmtId="166" xfId="0" applyAlignment="1" applyBorder="1" applyFont="1" applyNumberFormat="1">
      <alignment horizontal="center" readingOrder="0" shrinkToFit="0" wrapText="0"/>
    </xf>
    <xf borderId="1" fillId="0" fontId="7" numFmtId="168" xfId="0" applyAlignment="1" applyBorder="1" applyFont="1" applyNumberFormat="1">
      <alignment readingOrder="0" shrinkToFit="0" wrapText="0"/>
    </xf>
    <xf borderId="1" fillId="0" fontId="1" numFmtId="168" xfId="0" applyAlignment="1" applyBorder="1" applyFont="1" applyNumberFormat="1">
      <alignment readingOrder="0" shrinkToFit="0" vertical="center" wrapText="1"/>
    </xf>
    <xf borderId="0" fillId="0" fontId="1" numFmtId="170" xfId="0" applyAlignment="1" applyFont="1" applyNumberFormat="1">
      <alignment shrinkToFit="0" vertical="center" wrapText="1"/>
    </xf>
    <xf borderId="1" fillId="0" fontId="7" numFmtId="168" xfId="0" applyAlignment="1" applyBorder="1" applyFont="1" applyNumberFormat="1">
      <alignment readingOrder="0" shrinkToFit="0" vertical="bottom" wrapText="0"/>
    </xf>
    <xf borderId="0" fillId="0" fontId="7" numFmtId="168" xfId="0" applyAlignment="1" applyFont="1" applyNumberFormat="1">
      <alignment readingOrder="0" shrinkToFit="0" vertical="bottom" wrapText="0"/>
    </xf>
    <xf borderId="0" fillId="0" fontId="7" numFmtId="0" xfId="0" applyAlignment="1" applyFont="1">
      <alignment horizontal="center" shrinkToFit="0" wrapText="0"/>
    </xf>
    <xf borderId="0" fillId="0" fontId="7" numFmtId="168" xfId="0" applyAlignment="1" applyFont="1" applyNumberFormat="1">
      <alignment readingOrder="0" shrinkToFit="0" wrapText="1"/>
    </xf>
    <xf borderId="0" fillId="0" fontId="7" numFmtId="168" xfId="0" applyAlignment="1" applyFont="1" applyNumberFormat="1">
      <alignment readingOrder="0" shrinkToFit="0" wrapText="0"/>
    </xf>
    <xf borderId="0" fillId="0" fontId="1" numFmtId="0" xfId="0" applyAlignment="1" applyFont="1">
      <alignment horizontal="center" readingOrder="0"/>
    </xf>
    <xf borderId="0" fillId="0" fontId="7" numFmtId="0" xfId="0" applyFont="1"/>
    <xf borderId="0" fillId="0" fontId="7" numFmtId="168" xfId="0" applyAlignment="1" applyFont="1" applyNumberFormat="1">
      <alignment shrinkToFit="0" wrapText="1"/>
    </xf>
    <xf borderId="0" fillId="0" fontId="7" numFmtId="168" xfId="0" applyFont="1" applyNumberFormat="1"/>
    <xf borderId="0" fillId="0" fontId="7" numFmtId="0" xfId="0" applyAlignment="1" applyFont="1">
      <alignment shrinkToFit="0" wrapText="1"/>
    </xf>
    <xf borderId="1" fillId="0" fontId="1" numFmtId="0" xfId="0" applyAlignment="1" applyBorder="1" applyFont="1">
      <alignment horizontal="left" readingOrder="0" shrinkToFit="0" vertical="bottom" wrapText="1"/>
    </xf>
    <xf borderId="1" fillId="0" fontId="1" numFmtId="0" xfId="0" applyAlignment="1" applyBorder="1" applyFont="1">
      <alignment readingOrder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7" numFmtId="170" xfId="0" applyAlignment="1" applyFont="1" applyNumberFormat="1">
      <alignment readingOrder="0" shrinkToFit="0" vertical="bottom" wrapText="0"/>
    </xf>
    <xf borderId="0" fillId="0" fontId="7" numFmtId="170" xfId="0" applyFont="1" applyNumberFormat="1"/>
    <xf borderId="0" fillId="0" fontId="7" numFmtId="168" xfId="0" applyFont="1" applyNumberFormat="1"/>
    <xf borderId="0" fillId="0" fontId="13" numFmtId="0" xfId="0" applyAlignment="1" applyFont="1">
      <alignment horizontal="center" shrinkToFit="0" vertical="center" wrapText="1"/>
    </xf>
    <xf borderId="0" fillId="0" fontId="14" numFmtId="0" xfId="0" applyAlignment="1" applyFont="1">
      <alignment horizontal="center" readingOrder="0" shrinkToFit="0" wrapText="0"/>
    </xf>
    <xf borderId="0" fillId="0" fontId="15" numFmtId="0" xfId="0" applyAlignment="1" applyFont="1">
      <alignment horizontal="center" shrinkToFit="0" vertical="center" wrapText="1"/>
    </xf>
    <xf borderId="0" fillId="0" fontId="14" numFmtId="0" xfId="0" applyAlignment="1" applyFont="1">
      <alignment horizontal="center"/>
    </xf>
    <xf borderId="5" fillId="0" fontId="14" numFmtId="168" xfId="0" applyAlignment="1" applyBorder="1" applyFont="1" applyNumberFormat="1">
      <alignment horizontal="right" vertical="bottom"/>
    </xf>
    <xf borderId="5" fillId="0" fontId="4" numFmtId="0" xfId="0" applyBorder="1" applyFont="1"/>
    <xf borderId="5" fillId="0" fontId="14" numFmtId="170" xfId="0" applyAlignment="1" applyBorder="1" applyFont="1" applyNumberFormat="1">
      <alignment horizontal="center" vertical="center"/>
    </xf>
    <xf borderId="5" fillId="0" fontId="14" numFmtId="171" xfId="0" applyAlignment="1" applyBorder="1" applyFont="1" applyNumberFormat="1">
      <alignment horizontal="left" vertical="bottom"/>
    </xf>
    <xf borderId="0" fillId="0" fontId="14" numFmtId="170" xfId="0" applyFont="1" applyNumberFormat="1"/>
    <xf borderId="2" fillId="17" fontId="15" numFmtId="0" xfId="0" applyAlignment="1" applyBorder="1" applyFill="1" applyFont="1">
      <alignment horizontal="center" readingOrder="0" shrinkToFit="0" vertical="center" wrapText="1"/>
    </xf>
    <xf borderId="1" fillId="17" fontId="15" numFmtId="0" xfId="0" applyAlignment="1" applyBorder="1" applyFont="1">
      <alignment horizontal="center" shrinkToFit="0" vertical="center" wrapText="0"/>
    </xf>
    <xf borderId="1" fillId="17" fontId="15" numFmtId="0" xfId="0" applyAlignment="1" applyBorder="1" applyFont="1">
      <alignment horizontal="center" readingOrder="0" shrinkToFit="0" vertical="center" wrapText="0"/>
    </xf>
    <xf borderId="1" fillId="17" fontId="15" numFmtId="170" xfId="0" applyAlignment="1" applyBorder="1" applyFont="1" applyNumberFormat="1">
      <alignment horizontal="center" readingOrder="0" shrinkToFit="0" vertical="center" wrapText="1"/>
    </xf>
    <xf borderId="1" fillId="17" fontId="15" numFmtId="168" xfId="0" applyAlignment="1" applyBorder="1" applyFont="1" applyNumberFormat="1">
      <alignment horizontal="center" shrinkToFit="0" vertical="center" wrapText="0"/>
    </xf>
    <xf borderId="1" fillId="17" fontId="15" numFmtId="170" xfId="0" applyAlignment="1" applyBorder="1" applyFont="1" applyNumberFormat="1">
      <alignment horizontal="center" shrinkToFit="0" vertical="center" wrapText="0"/>
    </xf>
    <xf borderId="6" fillId="0" fontId="14" numFmtId="0" xfId="0" applyAlignment="1" applyBorder="1" applyFont="1">
      <alignment horizontal="center" readingOrder="0" shrinkToFit="0" vertical="center" wrapText="0"/>
    </xf>
    <xf borderId="6" fillId="0" fontId="16" numFmtId="0" xfId="0" applyAlignment="1" applyBorder="1" applyFont="1">
      <alignment horizontal="center" readingOrder="0" shrinkToFit="0" vertical="center" wrapText="1"/>
    </xf>
    <xf borderId="1" fillId="0" fontId="14" numFmtId="0" xfId="0" applyAlignment="1" applyBorder="1" applyFont="1">
      <alignment readingOrder="0"/>
    </xf>
    <xf borderId="1" fillId="0" fontId="14" numFmtId="165" xfId="0" applyAlignment="1" applyBorder="1" applyFont="1" applyNumberFormat="1">
      <alignment readingOrder="0"/>
    </xf>
    <xf borderId="6" fillId="0" fontId="14" numFmtId="170" xfId="0" applyAlignment="1" applyBorder="1" applyFont="1" applyNumberFormat="1">
      <alignment horizontal="center" readingOrder="0" shrinkToFit="0" vertical="center" wrapText="0"/>
    </xf>
    <xf borderId="7" fillId="0" fontId="4" numFmtId="0" xfId="0" applyBorder="1" applyFont="1"/>
    <xf borderId="1" fillId="0" fontId="14" numFmtId="0" xfId="0" applyAlignment="1" applyBorder="1" applyFont="1">
      <alignment readingOrder="0" shrinkToFit="0" wrapText="1"/>
    </xf>
    <xf borderId="8" fillId="0" fontId="4" numFmtId="0" xfId="0" applyBorder="1" applyFont="1"/>
    <xf borderId="6" fillId="18" fontId="14" numFmtId="0" xfId="0" applyAlignment="1" applyBorder="1" applyFill="1" applyFont="1">
      <alignment horizontal="center" readingOrder="0" shrinkToFit="0" vertical="center" wrapText="0"/>
    </xf>
    <xf borderId="6" fillId="18" fontId="16" numFmtId="0" xfId="0" applyAlignment="1" applyBorder="1" applyFont="1">
      <alignment horizontal="center" readingOrder="0" shrinkToFit="0" vertical="center" wrapText="1"/>
    </xf>
    <xf borderId="1" fillId="18" fontId="14" numFmtId="0" xfId="0" applyAlignment="1" applyBorder="1" applyFont="1">
      <alignment readingOrder="0"/>
    </xf>
    <xf borderId="1" fillId="18" fontId="14" numFmtId="165" xfId="0" applyAlignment="1" applyBorder="1" applyFont="1" applyNumberFormat="1">
      <alignment readingOrder="0"/>
    </xf>
    <xf borderId="6" fillId="18" fontId="14" numFmtId="170" xfId="0" applyAlignment="1" applyBorder="1" applyFont="1" applyNumberFormat="1">
      <alignment horizontal="center" readingOrder="0" shrinkToFit="0" vertical="center" wrapText="0"/>
    </xf>
    <xf borderId="1" fillId="18" fontId="14" numFmtId="0" xfId="0" applyAlignment="1" applyBorder="1" applyFont="1">
      <alignment readingOrder="0" shrinkToFit="0" wrapText="1"/>
    </xf>
    <xf borderId="1" fillId="18" fontId="14" numFmtId="165" xfId="0" applyAlignment="1" applyBorder="1" applyFont="1" applyNumberFormat="1">
      <alignment readingOrder="0" shrinkToFit="0" wrapText="1"/>
    </xf>
    <xf borderId="1" fillId="18" fontId="14" numFmtId="0" xfId="0" applyAlignment="1" applyBorder="1" applyFont="1">
      <alignment horizontal="left" readingOrder="0"/>
    </xf>
    <xf borderId="1" fillId="18" fontId="14" numFmtId="165" xfId="0" applyAlignment="1" applyBorder="1" applyFont="1" applyNumberFormat="1">
      <alignment horizontal="left" readingOrder="0"/>
    </xf>
    <xf borderId="1" fillId="0" fontId="17" numFmtId="0" xfId="0" applyAlignment="1" applyBorder="1" applyFont="1">
      <alignment horizontal="left" readingOrder="0"/>
    </xf>
    <xf borderId="1" fillId="11" fontId="17" numFmtId="0" xfId="0" applyAlignment="1" applyBorder="1" applyFont="1">
      <alignment horizontal="left" readingOrder="0"/>
    </xf>
    <xf borderId="1" fillId="18" fontId="17" numFmtId="0" xfId="0" applyAlignment="1" applyBorder="1" applyFont="1">
      <alignment horizontal="left" readingOrder="0"/>
    </xf>
    <xf borderId="1" fillId="18" fontId="17" numFmtId="165" xfId="0" applyAlignment="1" applyBorder="1" applyFont="1" applyNumberFormat="1">
      <alignment horizontal="left" readingOrder="0"/>
    </xf>
    <xf borderId="1" fillId="0" fontId="14" numFmtId="0" xfId="0" applyAlignment="1" applyBorder="1" applyFont="1">
      <alignment horizontal="left" readingOrder="0" shrinkToFit="0" wrapText="1"/>
    </xf>
    <xf borderId="1" fillId="18" fontId="14" numFmtId="0" xfId="0" applyAlignment="1" applyBorder="1" applyFont="1">
      <alignment horizontal="left" readingOrder="0" shrinkToFit="0" wrapText="1"/>
    </xf>
    <xf borderId="1" fillId="18" fontId="14" numFmtId="165" xfId="0" applyAlignment="1" applyBorder="1" applyFont="1" applyNumberFormat="1">
      <alignment horizontal="left" readingOrder="0" shrinkToFit="0" wrapText="1"/>
    </xf>
    <xf borderId="6" fillId="19" fontId="14" numFmtId="0" xfId="0" applyAlignment="1" applyBorder="1" applyFill="1" applyFont="1">
      <alignment horizontal="center" readingOrder="0" shrinkToFit="0" vertical="center" wrapText="0"/>
    </xf>
    <xf borderId="6" fillId="19" fontId="18" numFmtId="0" xfId="0" applyAlignment="1" applyBorder="1" applyFont="1">
      <alignment horizontal="center" readingOrder="0" shrinkToFit="0" vertical="center" wrapText="1"/>
    </xf>
    <xf borderId="1" fillId="19" fontId="17" numFmtId="0" xfId="0" applyAlignment="1" applyBorder="1" applyFont="1">
      <alignment horizontal="left" readingOrder="0"/>
    </xf>
    <xf borderId="1" fillId="19" fontId="17" numFmtId="165" xfId="0" applyAlignment="1" applyBorder="1" applyFont="1" applyNumberFormat="1">
      <alignment horizontal="left" readingOrder="0"/>
    </xf>
    <xf borderId="6" fillId="19" fontId="14" numFmtId="170" xfId="0" applyAlignment="1" applyBorder="1" applyFont="1" applyNumberFormat="1">
      <alignment horizontal="center" readingOrder="0" shrinkToFit="0" vertical="center" wrapText="0"/>
    </xf>
    <xf borderId="1" fillId="19" fontId="14" numFmtId="0" xfId="0" applyAlignment="1" applyBorder="1" applyFont="1">
      <alignment horizontal="left" readingOrder="0" shrinkToFit="0" wrapText="1"/>
    </xf>
    <xf borderId="1" fillId="19" fontId="14" numFmtId="165" xfId="0" applyAlignment="1" applyBorder="1" applyFont="1" applyNumberFormat="1">
      <alignment horizontal="left" readingOrder="0" shrinkToFit="0" wrapText="1"/>
    </xf>
    <xf borderId="6" fillId="0" fontId="18" numFmtId="0" xfId="0" applyAlignment="1" applyBorder="1" applyFont="1">
      <alignment horizontal="center" readingOrder="0" shrinkToFit="0" vertical="center" wrapText="1"/>
    </xf>
    <xf borderId="6" fillId="0" fontId="19" numFmtId="0" xfId="0" applyAlignment="1" applyBorder="1" applyFont="1">
      <alignment horizontal="center" readingOrder="0" shrinkToFit="0" vertical="center" wrapText="1"/>
    </xf>
    <xf borderId="6" fillId="20" fontId="14" numFmtId="0" xfId="0" applyAlignment="1" applyBorder="1" applyFill="1" applyFont="1">
      <alignment horizontal="center" readingOrder="0" shrinkToFit="0" vertical="center" wrapText="0"/>
    </xf>
    <xf borderId="6" fillId="20" fontId="19" numFmtId="0" xfId="0" applyAlignment="1" applyBorder="1" applyFont="1">
      <alignment horizontal="center" readingOrder="0" shrinkToFit="0" vertical="center" wrapText="1"/>
    </xf>
    <xf borderId="1" fillId="20" fontId="17" numFmtId="0" xfId="0" applyAlignment="1" applyBorder="1" applyFont="1">
      <alignment horizontal="left" readingOrder="0"/>
    </xf>
    <xf borderId="1" fillId="20" fontId="17" numFmtId="165" xfId="0" applyAlignment="1" applyBorder="1" applyFont="1" applyNumberFormat="1">
      <alignment horizontal="left" readingOrder="0"/>
    </xf>
    <xf borderId="6" fillId="20" fontId="14" numFmtId="170" xfId="0" applyAlignment="1" applyBorder="1" applyFont="1" applyNumberFormat="1">
      <alignment horizontal="center" readingOrder="0" shrinkToFit="0" vertical="center" wrapText="0"/>
    </xf>
    <xf borderId="1" fillId="20" fontId="14" numFmtId="0" xfId="0" applyAlignment="1" applyBorder="1" applyFont="1">
      <alignment readingOrder="0" shrinkToFit="0" wrapText="1"/>
    </xf>
    <xf borderId="1" fillId="20" fontId="14" numFmtId="165" xfId="0" applyAlignment="1" applyBorder="1" applyFont="1" applyNumberFormat="1">
      <alignment readingOrder="0" shrinkToFit="0" wrapText="1"/>
    </xf>
    <xf borderId="1" fillId="20" fontId="14" numFmtId="0" xfId="0" applyAlignment="1" applyBorder="1" applyFont="1">
      <alignment horizontal="left" readingOrder="0" shrinkToFit="0" wrapText="1"/>
    </xf>
    <xf borderId="1" fillId="20" fontId="14" numFmtId="165" xfId="0" applyAlignment="1" applyBorder="1" applyFont="1" applyNumberFormat="1">
      <alignment horizontal="left" readingOrder="0" shrinkToFit="0" wrapText="1"/>
    </xf>
    <xf borderId="6" fillId="21" fontId="14" numFmtId="0" xfId="0" applyAlignment="1" applyBorder="1" applyFill="1" applyFont="1">
      <alignment horizontal="center" readingOrder="0" shrinkToFit="0" vertical="center" wrapText="0"/>
    </xf>
    <xf borderId="6" fillId="21" fontId="20" numFmtId="0" xfId="0" applyAlignment="1" applyBorder="1" applyFont="1">
      <alignment horizontal="center" readingOrder="0" shrinkToFit="0" vertical="center" wrapText="1"/>
    </xf>
    <xf borderId="1" fillId="21" fontId="17" numFmtId="0" xfId="0" applyAlignment="1" applyBorder="1" applyFont="1">
      <alignment horizontal="left" readingOrder="0"/>
    </xf>
    <xf borderId="1" fillId="21" fontId="17" numFmtId="165" xfId="0" applyAlignment="1" applyBorder="1" applyFont="1" applyNumberFormat="1">
      <alignment horizontal="left" readingOrder="0"/>
    </xf>
    <xf borderId="6" fillId="21" fontId="14" numFmtId="170" xfId="0" applyAlignment="1" applyBorder="1" applyFont="1" applyNumberFormat="1">
      <alignment horizontal="center" readingOrder="0" shrinkToFit="0" vertical="center" wrapText="0"/>
    </xf>
    <xf borderId="1" fillId="21" fontId="14" numFmtId="0" xfId="0" applyAlignment="1" applyBorder="1" applyFont="1">
      <alignment horizontal="left" readingOrder="0" shrinkToFit="0" wrapText="1"/>
    </xf>
    <xf borderId="1" fillId="21" fontId="14" numFmtId="165" xfId="0" applyAlignment="1" applyBorder="1" applyFont="1" applyNumberFormat="1">
      <alignment horizontal="left" readingOrder="0" shrinkToFit="0" wrapText="1"/>
    </xf>
    <xf borderId="6" fillId="0" fontId="20" numFmtId="0" xfId="0" applyAlignment="1" applyBorder="1" applyFont="1">
      <alignment horizontal="center" readingOrder="0" shrinkToFit="0" vertical="center" wrapText="1"/>
    </xf>
    <xf borderId="0" fillId="0" fontId="14" numFmtId="0" xfId="0" applyAlignment="1" applyFont="1">
      <alignment horizontal="center" readingOrder="0" shrinkToFit="0" vertical="center" wrapText="0"/>
    </xf>
    <xf borderId="0" fillId="0" fontId="20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horizontal="left" readingOrder="0" shrinkToFit="0" wrapText="1"/>
    </xf>
    <xf borderId="0" fillId="0" fontId="14" numFmtId="170" xfId="0" applyAlignment="1" applyFont="1" applyNumberFormat="1">
      <alignment horizontal="center" readingOrder="0" shrinkToFit="0" vertical="center" wrapText="0"/>
    </xf>
    <xf borderId="0" fillId="0" fontId="21" numFmtId="0" xfId="0" applyAlignment="1" applyFont="1">
      <alignment horizontal="center" readingOrder="0" shrinkToFit="0" vertical="bottom" wrapText="1"/>
    </xf>
    <xf borderId="0" fillId="0" fontId="22" numFmtId="0" xfId="0" applyFont="1"/>
    <xf borderId="0" fillId="0" fontId="22" numFmtId="0" xfId="0" applyAlignment="1" applyFont="1">
      <alignment vertical="bottom"/>
    </xf>
    <xf borderId="0" fillId="0" fontId="22" numFmtId="0" xfId="0" applyAlignment="1" applyFont="1">
      <alignment horizontal="right" shrinkToFit="0" vertical="bottom" wrapText="1"/>
    </xf>
    <xf borderId="0" fillId="0" fontId="22" numFmtId="172" xfId="0" applyAlignment="1" applyFont="1" applyNumberFormat="1">
      <alignment horizontal="left" vertical="bottom"/>
    </xf>
    <xf borderId="0" fillId="0" fontId="22" numFmtId="172" xfId="0" applyAlignment="1" applyFont="1" applyNumberFormat="1">
      <alignment horizontal="left" shrinkToFit="0" vertical="bottom" wrapText="1"/>
    </xf>
    <xf borderId="0" fillId="0" fontId="22" numFmtId="168" xfId="0" applyAlignment="1" applyFont="1" applyNumberFormat="1">
      <alignment vertical="bottom"/>
    </xf>
    <xf borderId="0" fillId="0" fontId="22" numFmtId="0" xfId="0" applyAlignment="1" applyFont="1">
      <alignment horizontal="center" readingOrder="0" shrinkToFit="0" vertical="bottom" wrapText="1"/>
    </xf>
    <xf borderId="2" fillId="22" fontId="22" numFmtId="0" xfId="0" applyAlignment="1" applyBorder="1" applyFill="1" applyFont="1">
      <alignment horizontal="center" readingOrder="0" shrinkToFit="0" vertical="bottom" wrapText="1"/>
    </xf>
    <xf borderId="1" fillId="22" fontId="22" numFmtId="0" xfId="0" applyAlignment="1" applyBorder="1" applyFont="1">
      <alignment horizontal="center" shrinkToFit="0" vertical="bottom" wrapText="1"/>
    </xf>
    <xf borderId="2" fillId="22" fontId="21" numFmtId="0" xfId="0" applyAlignment="1" applyBorder="1" applyFont="1">
      <alignment horizontal="center" shrinkToFit="0" vertical="bottom" wrapText="1"/>
    </xf>
    <xf borderId="2" fillId="22" fontId="21" numFmtId="170" xfId="0" applyAlignment="1" applyBorder="1" applyFont="1" applyNumberFormat="1">
      <alignment horizontal="center" readingOrder="0" shrinkToFit="0" vertical="bottom" wrapText="1"/>
    </xf>
    <xf borderId="1" fillId="22" fontId="21" numFmtId="170" xfId="0" applyAlignment="1" applyBorder="1" applyFont="1" applyNumberFormat="1">
      <alignment horizontal="center" readingOrder="0" shrinkToFit="0" vertical="bottom" wrapText="1"/>
    </xf>
    <xf borderId="1" fillId="22" fontId="21" numFmtId="168" xfId="0" applyAlignment="1" applyBorder="1" applyFont="1" applyNumberFormat="1">
      <alignment horizontal="center" shrinkToFit="0" vertical="bottom" wrapText="1"/>
    </xf>
    <xf borderId="1" fillId="22" fontId="21" numFmtId="168" xfId="0" applyAlignment="1" applyBorder="1" applyFont="1" applyNumberFormat="1">
      <alignment horizontal="center" readingOrder="0" shrinkToFit="0" vertical="bottom" wrapText="1"/>
    </xf>
    <xf borderId="1" fillId="0" fontId="22" numFmtId="0" xfId="0" applyAlignment="1" applyBorder="1" applyFont="1">
      <alignment horizontal="center" readingOrder="0" shrinkToFit="0" vertical="center" wrapText="1"/>
    </xf>
    <xf borderId="2" fillId="0" fontId="22" numFmtId="0" xfId="0" applyAlignment="1" applyBorder="1" applyFont="1">
      <alignment horizontal="left" readingOrder="0" shrinkToFit="0" vertical="center" wrapText="1"/>
    </xf>
    <xf borderId="2" fillId="0" fontId="22" numFmtId="173" xfId="0" applyAlignment="1" applyBorder="1" applyFont="1" applyNumberFormat="1">
      <alignment readingOrder="0" shrinkToFit="0" vertical="center" wrapText="0"/>
    </xf>
    <xf borderId="1" fillId="0" fontId="22" numFmtId="0" xfId="0" applyAlignment="1" applyBorder="1" applyFont="1">
      <alignment readingOrder="0" shrinkToFit="0" vertical="center" wrapText="1"/>
    </xf>
    <xf borderId="1" fillId="0" fontId="22" numFmtId="166" xfId="0" applyAlignment="1" applyBorder="1" applyFont="1" applyNumberFormat="1">
      <alignment readingOrder="0" shrinkToFit="0" vertical="center" wrapText="1"/>
    </xf>
    <xf borderId="1" fillId="0" fontId="22" numFmtId="166" xfId="0" applyAlignment="1" applyBorder="1" applyFont="1" applyNumberFormat="1">
      <alignment readingOrder="0" shrinkToFit="0" vertical="center" wrapText="0"/>
    </xf>
    <xf borderId="1" fillId="0" fontId="22" numFmtId="166" xfId="0" applyAlignment="1" applyBorder="1" applyFont="1" applyNumberFormat="1">
      <alignment shrinkToFit="0" vertical="center" wrapText="0"/>
    </xf>
    <xf borderId="1" fillId="0" fontId="22" numFmtId="0" xfId="0" applyBorder="1" applyFont="1"/>
    <xf borderId="1" fillId="0" fontId="22" numFmtId="0" xfId="0" applyAlignment="1" applyBorder="1" applyFont="1">
      <alignment horizontal="left" readingOrder="0" shrinkToFit="0" vertical="center" wrapText="1"/>
    </xf>
    <xf borderId="1" fillId="0" fontId="22" numFmtId="173" xfId="0" applyAlignment="1" applyBorder="1" applyFont="1" applyNumberFormat="1">
      <alignment readingOrder="0" shrinkToFit="0" vertical="center" wrapText="0"/>
    </xf>
    <xf borderId="1" fillId="0" fontId="22" numFmtId="49" xfId="0" applyAlignment="1" applyBorder="1" applyFont="1" applyNumberFormat="1">
      <alignment horizontal="left" readingOrder="0" shrinkToFit="0" wrapText="1"/>
    </xf>
    <xf borderId="2" fillId="0" fontId="22" numFmtId="174" xfId="0" applyAlignment="1" applyBorder="1" applyFont="1" applyNumberFormat="1">
      <alignment readingOrder="0" shrinkToFit="0" vertical="center" wrapText="0"/>
    </xf>
    <xf borderId="1" fillId="0" fontId="22" numFmtId="0" xfId="0" applyAlignment="1" applyBorder="1" applyFont="1">
      <alignment horizontal="left" readingOrder="0" shrinkToFit="0" wrapText="1"/>
    </xf>
    <xf borderId="1" fillId="11" fontId="22" numFmtId="0" xfId="0" applyAlignment="1" applyBorder="1" applyFont="1">
      <alignment horizontal="center" readingOrder="0" shrinkToFit="0" vertical="center" wrapText="0"/>
    </xf>
    <xf borderId="1" fillId="0" fontId="22" numFmtId="0" xfId="0" applyAlignment="1" applyBorder="1" applyFont="1">
      <alignment horizontal="center" readingOrder="0" shrinkToFit="0" vertical="center" wrapText="0"/>
    </xf>
    <xf borderId="2" fillId="0" fontId="22" numFmtId="0" xfId="0" applyAlignment="1" applyBorder="1" applyFont="1">
      <alignment horizontal="left" readingOrder="0" shrinkToFit="0" wrapText="1"/>
    </xf>
    <xf borderId="1" fillId="12" fontId="22" numFmtId="0" xfId="0" applyAlignment="1" applyBorder="1" applyFont="1">
      <alignment horizontal="center" readingOrder="0" shrinkToFit="0" vertical="center" wrapText="0"/>
    </xf>
    <xf borderId="1" fillId="12" fontId="22" numFmtId="0" xfId="0" applyAlignment="1" applyBorder="1" applyFont="1">
      <alignment horizontal="left" readingOrder="0" shrinkToFit="0" wrapText="1"/>
    </xf>
    <xf borderId="1" fillId="12" fontId="22" numFmtId="173" xfId="0" applyAlignment="1" applyBorder="1" applyFont="1" applyNumberFormat="1">
      <alignment readingOrder="0" shrinkToFit="0" vertical="center" wrapText="0"/>
    </xf>
    <xf borderId="1" fillId="12" fontId="22" numFmtId="166" xfId="0" applyAlignment="1" applyBorder="1" applyFont="1" applyNumberFormat="1">
      <alignment readingOrder="0" shrinkToFit="0" vertical="center" wrapText="1"/>
    </xf>
    <xf borderId="1" fillId="12" fontId="22" numFmtId="166" xfId="0" applyAlignment="1" applyBorder="1" applyFont="1" applyNumberFormat="1">
      <alignment shrinkToFit="0" vertical="center" wrapText="0"/>
    </xf>
    <xf borderId="1" fillId="12" fontId="22" numFmtId="166" xfId="0" applyAlignment="1" applyBorder="1" applyFont="1" applyNumberFormat="1">
      <alignment readingOrder="0" shrinkToFit="0" vertical="center" wrapText="0"/>
    </xf>
    <xf borderId="1" fillId="12" fontId="22" numFmtId="0" xfId="0" applyAlignment="1" applyBorder="1" applyFont="1">
      <alignment readingOrder="0" shrinkToFit="0" wrapText="1"/>
    </xf>
    <xf borderId="1" fillId="12" fontId="22" numFmtId="0" xfId="0" applyBorder="1" applyFont="1"/>
    <xf borderId="1" fillId="0" fontId="23" numFmtId="0" xfId="0" applyAlignment="1" applyBorder="1" applyFont="1">
      <alignment horizontal="right" readingOrder="0" shrinkToFit="0" wrapText="0"/>
    </xf>
    <xf borderId="1" fillId="0" fontId="22" numFmtId="175" xfId="0" applyAlignment="1" applyBorder="1" applyFont="1" applyNumberFormat="1">
      <alignment readingOrder="0"/>
    </xf>
    <xf borderId="1" fillId="0" fontId="22" numFmtId="0" xfId="0" applyAlignment="1" applyBorder="1" applyFont="1">
      <alignment readingOrder="0" shrinkToFit="0" wrapText="1"/>
    </xf>
    <xf borderId="1" fillId="0" fontId="22" numFmtId="166" xfId="0" applyAlignment="1" applyBorder="1" applyFont="1" applyNumberFormat="1">
      <alignment horizontal="center" vertical="center"/>
    </xf>
    <xf borderId="1" fillId="0" fontId="22" numFmtId="0" xfId="0" applyAlignment="1" applyBorder="1" applyFont="1">
      <alignment horizontal="center"/>
    </xf>
    <xf borderId="1" fillId="0" fontId="22" numFmtId="168" xfId="0" applyAlignment="1" applyBorder="1" applyFont="1" applyNumberFormat="1">
      <alignment readingOrder="0"/>
    </xf>
    <xf borderId="1" fillId="0" fontId="22" numFmtId="168" xfId="0" applyAlignment="1" applyBorder="1" applyFont="1" applyNumberFormat="1">
      <alignment horizontal="center" vertical="center"/>
    </xf>
    <xf borderId="1" fillId="0" fontId="22" numFmtId="0" xfId="0" applyAlignment="1" applyBorder="1" applyFont="1">
      <alignment horizontal="center" readingOrder="0"/>
    </xf>
    <xf borderId="1" fillId="0" fontId="22" numFmtId="176" xfId="0" applyAlignment="1" applyBorder="1" applyFont="1" applyNumberFormat="1">
      <alignment readingOrder="0"/>
    </xf>
    <xf borderId="1" fillId="0" fontId="22" numFmtId="0" xfId="0" applyAlignment="1" applyBorder="1" applyFont="1">
      <alignment shrinkToFit="0" wrapText="1"/>
    </xf>
    <xf borderId="1" fillId="0" fontId="22" numFmtId="0" xfId="0" applyAlignment="1" applyBorder="1" applyFont="1">
      <alignment readingOrder="0"/>
    </xf>
    <xf borderId="1" fillId="0" fontId="22" numFmtId="168" xfId="0" applyBorder="1" applyFont="1" applyNumberFormat="1"/>
    <xf borderId="1" fillId="0" fontId="14" numFmtId="49" xfId="0" applyAlignment="1" applyBorder="1" applyFont="1" applyNumberFormat="1">
      <alignment horizontal="left" readingOrder="0" shrinkToFit="0" wrapText="1"/>
    </xf>
    <xf borderId="1" fillId="0" fontId="22" numFmtId="0" xfId="0" applyAlignment="1" applyBorder="1" applyFont="1">
      <alignment horizontal="center" vertical="bottom"/>
    </xf>
    <xf borderId="1" fillId="0" fontId="14" numFmtId="49" xfId="0" applyAlignment="1" applyBorder="1" applyFont="1" applyNumberFormat="1">
      <alignment readingOrder="0" shrinkToFit="0" vertical="bottom" wrapText="1"/>
    </xf>
    <xf borderId="1" fillId="0" fontId="22" numFmtId="0" xfId="0" applyAlignment="1" applyBorder="1" applyFont="1">
      <alignment shrinkToFit="0" vertical="bottom" wrapText="1"/>
    </xf>
    <xf borderId="1" fillId="0" fontId="22" numFmtId="0" xfId="0" applyAlignment="1" applyBorder="1" applyFont="1">
      <alignment vertical="bottom"/>
    </xf>
    <xf borderId="1" fillId="0" fontId="24" numFmtId="168" xfId="0" applyAlignment="1" applyBorder="1" applyFont="1" applyNumberFormat="1">
      <alignment vertical="bottom"/>
    </xf>
    <xf borderId="1" fillId="0" fontId="22" numFmtId="168" xfId="0" applyAlignment="1" applyBorder="1" applyFont="1" applyNumberFormat="1">
      <alignment horizontal="right" readingOrder="0" vertical="bottom"/>
    </xf>
    <xf borderId="1" fillId="0" fontId="22" numFmtId="166" xfId="0" applyAlignment="1" applyBorder="1" applyFont="1" applyNumberFormat="1">
      <alignment horizontal="right"/>
    </xf>
    <xf borderId="1" fillId="0" fontId="22" numFmtId="168" xfId="0" applyAlignment="1" applyBorder="1" applyFont="1" applyNumberFormat="1">
      <alignment horizontal="center"/>
    </xf>
    <xf borderId="1" fillId="0" fontId="24" numFmtId="0" xfId="0" applyAlignment="1" applyBorder="1" applyFont="1">
      <alignment vertical="bottom"/>
    </xf>
    <xf borderId="0" fillId="0" fontId="22" numFmtId="0" xfId="0" applyAlignment="1" applyFont="1">
      <alignment horizontal="center" readingOrder="0"/>
    </xf>
    <xf borderId="0" fillId="0" fontId="22" numFmtId="0" xfId="0" applyAlignment="1" applyFont="1">
      <alignment readingOrder="0" shrinkToFit="0" wrapText="1"/>
    </xf>
    <xf borderId="0" fillId="0" fontId="22" numFmtId="177" xfId="0" applyAlignment="1" applyFont="1" applyNumberFormat="1">
      <alignment readingOrder="0"/>
    </xf>
    <xf borderId="0" fillId="0" fontId="22" numFmtId="168" xfId="0" applyAlignment="1" applyFont="1" applyNumberFormat="1">
      <alignment readingOrder="0"/>
    </xf>
    <xf borderId="0" fillId="0" fontId="22" numFmtId="0" xfId="0" applyAlignment="1" applyFont="1">
      <alignment shrinkToFit="0" wrapText="1"/>
    </xf>
    <xf borderId="0" fillId="0" fontId="25" numFmtId="0" xfId="0" applyAlignment="1" applyFont="1">
      <alignment horizontal="center" shrinkToFit="0" wrapText="1"/>
    </xf>
    <xf borderId="0" fillId="0" fontId="25" numFmtId="0" xfId="0" applyAlignment="1" applyFont="1">
      <alignment horizontal="center" readingOrder="0"/>
    </xf>
    <xf borderId="0" fillId="0" fontId="25" numFmtId="0" xfId="0" applyFont="1"/>
    <xf borderId="2" fillId="23" fontId="25" numFmtId="0" xfId="0" applyAlignment="1" applyBorder="1" applyFill="1" applyFont="1">
      <alignment horizontal="center" readingOrder="0" shrinkToFit="0" wrapText="1"/>
    </xf>
    <xf borderId="2" fillId="0" fontId="25" numFmtId="0" xfId="0" applyAlignment="1" applyBorder="1" applyFont="1">
      <alignment horizontal="center" readingOrder="0" shrinkToFit="0" wrapText="1"/>
    </xf>
    <xf borderId="2" fillId="24" fontId="25" numFmtId="0" xfId="0" applyAlignment="1" applyBorder="1" applyFill="1" applyFont="1">
      <alignment horizontal="center" readingOrder="0" shrinkToFit="0" wrapText="1"/>
    </xf>
    <xf borderId="1" fillId="8" fontId="25" numFmtId="0" xfId="0" applyAlignment="1" applyBorder="1" applyFont="1">
      <alignment horizontal="center" readingOrder="0" shrinkToFit="0" vertical="bottom" wrapText="1"/>
    </xf>
    <xf borderId="2" fillId="0" fontId="25" numFmtId="0" xfId="0" applyAlignment="1" applyBorder="1" applyFont="1">
      <alignment readingOrder="0" shrinkToFit="0" vertical="bottom" wrapText="0"/>
    </xf>
    <xf borderId="1" fillId="23" fontId="25" numFmtId="0" xfId="0" applyAlignment="1" applyBorder="1" applyFont="1">
      <alignment horizontal="center" readingOrder="0" shrinkToFit="0" vertical="bottom" wrapText="0"/>
    </xf>
    <xf borderId="1" fillId="0" fontId="25" numFmtId="0" xfId="0" applyAlignment="1" applyBorder="1" applyFont="1">
      <alignment horizontal="center" readingOrder="0" shrinkToFit="0" vertical="bottom" wrapText="0"/>
    </xf>
    <xf borderId="1" fillId="24" fontId="25" numFmtId="0" xfId="0" applyAlignment="1" applyBorder="1" applyFont="1">
      <alignment horizontal="center" readingOrder="0" shrinkToFit="0" vertical="bottom" wrapText="0"/>
    </xf>
    <xf borderId="6" fillId="25" fontId="25" numFmtId="0" xfId="0" applyAlignment="1" applyBorder="1" applyFill="1" applyFont="1">
      <alignment horizontal="center" readingOrder="0" shrinkToFit="0" vertical="bottom" wrapText="1"/>
    </xf>
    <xf borderId="2" fillId="25" fontId="25" numFmtId="0" xfId="0" applyAlignment="1" applyBorder="1" applyFont="1">
      <alignment readingOrder="0" shrinkToFit="0" vertical="bottom" wrapText="0"/>
    </xf>
    <xf borderId="1" fillId="25" fontId="25" numFmtId="0" xfId="0" applyAlignment="1" applyBorder="1" applyFont="1">
      <alignment shrinkToFit="0" vertical="bottom" wrapText="0"/>
    </xf>
    <xf borderId="1" fillId="25" fontId="25" numFmtId="0" xfId="0" applyAlignment="1" applyBorder="1" applyFont="1">
      <alignment horizontal="center" shrinkToFit="0" vertical="bottom" wrapText="0"/>
    </xf>
    <xf borderId="1" fillId="25" fontId="25" numFmtId="0" xfId="0" applyAlignment="1" applyBorder="1" applyFont="1">
      <alignment horizontal="center" readingOrder="0" shrinkToFit="0" vertical="bottom" wrapText="0"/>
    </xf>
    <xf borderId="9" fillId="25" fontId="25" numFmtId="0" xfId="0" applyAlignment="1" applyBorder="1" applyFont="1">
      <alignment readingOrder="0" shrinkToFit="0" vertical="bottom" wrapText="0"/>
    </xf>
    <xf borderId="6" fillId="0" fontId="25" numFmtId="0" xfId="0" applyAlignment="1" applyBorder="1" applyFont="1">
      <alignment horizontal="center" readingOrder="0" shrinkToFit="0" vertical="bottom" wrapText="1"/>
    </xf>
    <xf borderId="9" fillId="0" fontId="25" numFmtId="0" xfId="0" applyAlignment="1" applyBorder="1" applyFont="1">
      <alignment readingOrder="0" shrinkToFit="0" vertical="bottom" wrapText="0"/>
    </xf>
    <xf borderId="1" fillId="23" fontId="25" numFmtId="0" xfId="0" applyAlignment="1" applyBorder="1" applyFont="1">
      <alignment shrinkToFit="0" vertical="bottom" wrapText="0"/>
    </xf>
    <xf borderId="1" fillId="23" fontId="25" numFmtId="0" xfId="0" applyAlignment="1" applyBorder="1" applyFont="1">
      <alignment horizontal="center" shrinkToFit="0" vertical="bottom" wrapText="0"/>
    </xf>
    <xf borderId="1" fillId="0" fontId="25" numFmtId="0" xfId="0" applyAlignment="1" applyBorder="1" applyFont="1">
      <alignment horizontal="center" shrinkToFit="0" vertical="bottom" wrapText="0"/>
    </xf>
    <xf borderId="1" fillId="24" fontId="25" numFmtId="0" xfId="0" applyAlignment="1" applyBorder="1" applyFont="1">
      <alignment horizontal="center" shrinkToFit="0" vertical="bottom" wrapText="0"/>
    </xf>
    <xf borderId="6" fillId="26" fontId="25" numFmtId="0" xfId="0" applyAlignment="1" applyBorder="1" applyFill="1" applyFont="1">
      <alignment horizontal="center" readingOrder="0" shrinkToFit="0" vertical="bottom" wrapText="1"/>
    </xf>
    <xf borderId="9" fillId="26" fontId="25" numFmtId="0" xfId="0" applyAlignment="1" applyBorder="1" applyFont="1">
      <alignment readingOrder="0" shrinkToFit="0" vertical="bottom" wrapText="0"/>
    </xf>
    <xf borderId="1" fillId="26" fontId="25" numFmtId="0" xfId="0" applyAlignment="1" applyBorder="1" applyFont="1">
      <alignment shrinkToFit="0" vertical="bottom" wrapText="0"/>
    </xf>
    <xf borderId="1" fillId="26" fontId="25" numFmtId="0" xfId="0" applyAlignment="1" applyBorder="1" applyFont="1">
      <alignment horizontal="center" shrinkToFit="0" vertical="bottom" wrapText="0"/>
    </xf>
    <xf borderId="1" fillId="26" fontId="25" numFmtId="0" xfId="0" applyAlignment="1" applyBorder="1" applyFont="1">
      <alignment horizontal="center" readingOrder="0" shrinkToFit="0" vertical="bottom" wrapText="0"/>
    </xf>
    <xf borderId="0" fillId="0" fontId="25" numFmtId="170" xfId="0" applyAlignment="1" applyFont="1" applyNumberFormat="1">
      <alignment horizontal="center" shrinkToFit="0" vertical="bottom" wrapText="1"/>
    </xf>
    <xf borderId="1" fillId="27" fontId="25" numFmtId="170" xfId="0" applyAlignment="1" applyBorder="1" applyFill="1" applyFont="1" applyNumberFormat="1">
      <alignment readingOrder="0" shrinkToFit="0" vertical="bottom" wrapText="0"/>
    </xf>
    <xf borderId="1" fillId="27" fontId="25" numFmtId="170" xfId="0" applyAlignment="1" applyBorder="1" applyFont="1" applyNumberFormat="1">
      <alignment shrinkToFit="0" vertical="bottom" wrapText="0"/>
    </xf>
    <xf borderId="0" fillId="0" fontId="25" numFmtId="0" xfId="0" applyAlignment="1" applyFont="1">
      <alignment horizontal="center" shrinkToFit="0" vertical="bottom" wrapText="1"/>
    </xf>
    <xf borderId="1" fillId="27" fontId="25" numFmtId="0" xfId="0" applyAlignment="1" applyBorder="1" applyFont="1">
      <alignment readingOrder="0" shrinkToFit="0" vertical="bottom" wrapText="0"/>
    </xf>
    <xf borderId="1" fillId="27" fontId="25" numFmtId="0" xfId="0" applyAlignment="1" applyBorder="1" applyFont="1">
      <alignment readingOrder="0"/>
    </xf>
    <xf borderId="1" fillId="27" fontId="25" numFmtId="170" xfId="0" applyBorder="1" applyFont="1" applyNumberFormat="1"/>
    <xf borderId="1" fillId="0" fontId="25" numFmtId="0" xfId="0" applyAlignment="1" applyBorder="1" applyFont="1">
      <alignment readingOrder="0"/>
    </xf>
    <xf borderId="10" fillId="0" fontId="25" numFmtId="0" xfId="0" applyAlignment="1" applyBorder="1" applyFont="1">
      <alignment readingOrder="0"/>
    </xf>
    <xf borderId="11" fillId="0" fontId="4" numFmtId="0" xfId="0" applyBorder="1" applyFont="1"/>
    <xf borderId="12" fillId="0" fontId="4" numFmtId="0" xfId="0" applyBorder="1" applyFont="1"/>
    <xf borderId="0" fillId="0" fontId="25" numFmtId="0" xfId="0" applyAlignment="1" applyFont="1">
      <alignment shrinkToFit="0" vertical="bottom" wrapText="0"/>
    </xf>
    <xf borderId="13" fillId="0" fontId="25" numFmtId="0" xfId="0" applyAlignment="1" applyBorder="1" applyFont="1">
      <alignment readingOrder="0" shrinkToFit="0" vertical="bottom" wrapText="0"/>
    </xf>
    <xf borderId="14" fillId="0" fontId="4" numFmtId="0" xfId="0" applyBorder="1" applyFont="1"/>
    <xf borderId="0" fillId="0" fontId="25" numFmtId="0" xfId="0" applyAlignment="1" applyFont="1">
      <alignment readingOrder="0" shrinkToFit="0" vertical="bottom" wrapText="0"/>
    </xf>
    <xf borderId="15" fillId="0" fontId="4" numFmtId="0" xfId="0" applyBorder="1" applyFont="1"/>
    <xf borderId="1" fillId="0" fontId="25" numFmtId="0" xfId="0" applyAlignment="1" applyBorder="1" applyFont="1">
      <alignment readingOrder="0" shrinkToFit="0" vertical="bottom" wrapText="0"/>
    </xf>
    <xf borderId="10" fillId="0" fontId="25" numFmtId="0" xfId="0" applyAlignment="1" applyBorder="1" applyFont="1">
      <alignment readingOrder="0" shrinkToFit="0" vertical="bottom" wrapText="0"/>
    </xf>
    <xf borderId="13" fillId="11" fontId="26" numFmtId="0" xfId="0" applyAlignment="1" applyBorder="1" applyFont="1">
      <alignment readingOrder="0"/>
    </xf>
    <xf borderId="0" fillId="11" fontId="27" numFmtId="0" xfId="0" applyAlignment="1" applyFont="1">
      <alignment readingOrder="0"/>
    </xf>
    <xf borderId="9" fillId="11" fontId="26" numFmtId="0" xfId="0" applyAlignment="1" applyBorder="1" applyFont="1">
      <alignment readingOrder="0"/>
    </xf>
    <xf borderId="0" fillId="0" fontId="28" numFmtId="0" xfId="0" applyAlignment="1" applyFont="1">
      <alignment readingOrder="0" shrinkToFit="0" wrapText="1"/>
    </xf>
    <xf borderId="0" fillId="0" fontId="15" numFmtId="0" xfId="0" applyAlignment="1" applyFont="1">
      <alignment horizontal="center" readingOrder="0" shrinkToFit="0" vertical="bottom" wrapText="1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shrinkToFit="0" vertical="bottom" wrapText="1"/>
    </xf>
    <xf borderId="0" fillId="0" fontId="14" numFmtId="172" xfId="0" applyAlignment="1" applyFont="1" applyNumberFormat="1">
      <alignment horizontal="left" vertical="bottom"/>
    </xf>
    <xf borderId="0" fillId="0" fontId="14" numFmtId="168" xfId="0" applyAlignment="1" applyFont="1" applyNumberFormat="1">
      <alignment vertical="bottom"/>
    </xf>
    <xf borderId="0" fillId="0" fontId="14" numFmtId="0" xfId="0" applyAlignment="1" applyFont="1">
      <alignment horizontal="center" readingOrder="0" shrinkToFit="0" vertical="bottom" wrapText="1"/>
    </xf>
    <xf borderId="2" fillId="22" fontId="14" numFmtId="0" xfId="0" applyAlignment="1" applyBorder="1" applyFont="1">
      <alignment horizontal="center" shrinkToFit="0" vertical="bottom" wrapText="1"/>
    </xf>
    <xf borderId="2" fillId="22" fontId="14" numFmtId="0" xfId="0" applyAlignment="1" applyBorder="1" applyFont="1">
      <alignment horizontal="center" readingOrder="0" shrinkToFit="0" vertical="bottom" wrapText="1"/>
    </xf>
    <xf borderId="2" fillId="22" fontId="15" numFmtId="0" xfId="0" applyAlignment="1" applyBorder="1" applyFont="1">
      <alignment horizontal="center" readingOrder="0" shrinkToFit="0" vertical="bottom" wrapText="1"/>
    </xf>
    <xf borderId="2" fillId="22" fontId="15" numFmtId="0" xfId="0" applyAlignment="1" applyBorder="1" applyFont="1">
      <alignment horizontal="center" shrinkToFit="0" vertical="bottom" wrapText="1"/>
    </xf>
    <xf borderId="2" fillId="22" fontId="15" numFmtId="170" xfId="0" applyAlignment="1" applyBorder="1" applyFont="1" applyNumberFormat="1">
      <alignment horizontal="center" readingOrder="0" shrinkToFit="0" vertical="bottom" wrapText="1"/>
    </xf>
    <xf borderId="1" fillId="22" fontId="15" numFmtId="170" xfId="0" applyAlignment="1" applyBorder="1" applyFont="1" applyNumberFormat="1">
      <alignment horizontal="center" shrinkToFit="0" vertical="bottom" wrapText="1"/>
    </xf>
    <xf borderId="1" fillId="22" fontId="15" numFmtId="168" xfId="0" applyAlignment="1" applyBorder="1" applyFont="1" applyNumberFormat="1">
      <alignment horizontal="center" shrinkToFit="0" vertical="bottom" wrapText="1"/>
    </xf>
    <xf borderId="1" fillId="22" fontId="15" numFmtId="168" xfId="0" applyAlignment="1" applyBorder="1" applyFont="1" applyNumberFormat="1">
      <alignment horizontal="center" readingOrder="0" shrinkToFit="0" vertical="bottom" wrapText="1"/>
    </xf>
    <xf borderId="1" fillId="11" fontId="14" numFmtId="0" xfId="0" applyAlignment="1" applyBorder="1" applyFont="1">
      <alignment horizontal="center" readingOrder="0" shrinkToFit="0" vertical="center" wrapText="0"/>
    </xf>
    <xf borderId="1" fillId="0" fontId="14" numFmtId="166" xfId="0" applyAlignment="1" applyBorder="1" applyFont="1" applyNumberFormat="1">
      <alignment readingOrder="0" shrinkToFit="0" vertical="center" wrapText="0"/>
    </xf>
    <xf borderId="1" fillId="0" fontId="14" numFmtId="166" xfId="0" applyAlignment="1" applyBorder="1" applyFont="1" applyNumberFormat="1">
      <alignment shrinkToFit="0" vertical="center" wrapText="0"/>
    </xf>
    <xf borderId="1" fillId="0" fontId="14" numFmtId="0" xfId="0" applyAlignment="1" applyBorder="1" applyFont="1">
      <alignment horizontal="center" readingOrder="0" shrinkToFit="0" vertical="center" wrapText="1"/>
    </xf>
    <xf borderId="1" fillId="0" fontId="17" numFmtId="165" xfId="0" applyAlignment="1" applyBorder="1" applyFont="1" applyNumberFormat="1">
      <alignment readingOrder="0" shrinkToFit="0" vertical="bottom" wrapText="0"/>
    </xf>
    <xf borderId="1" fillId="0" fontId="17" numFmtId="173" xfId="0" applyAlignment="1" applyBorder="1" applyFont="1" applyNumberFormat="1">
      <alignment readingOrder="0" shrinkToFit="0" vertical="bottom" wrapText="0"/>
    </xf>
    <xf borderId="1" fillId="0" fontId="17" numFmtId="165" xfId="0" applyAlignment="1" applyBorder="1" applyFont="1" applyNumberFormat="1">
      <alignment readingOrder="0" shrinkToFit="0" vertical="center" wrapText="0"/>
    </xf>
    <xf borderId="0" fillId="11" fontId="17" numFmtId="0" xfId="0" applyAlignment="1" applyFont="1">
      <alignment readingOrder="0" shrinkToFit="0" wrapText="1"/>
    </xf>
    <xf borderId="0" fillId="0" fontId="14" numFmtId="166" xfId="0" applyAlignment="1" applyFont="1" applyNumberFormat="1">
      <alignment shrinkToFit="0" vertical="center" wrapText="0"/>
    </xf>
    <xf borderId="1" fillId="0" fontId="14" numFmtId="0" xfId="0" applyAlignment="1" applyBorder="1" applyFont="1">
      <alignment horizontal="center" readingOrder="0" shrinkToFit="0" vertical="center" wrapText="0"/>
    </xf>
    <xf borderId="6" fillId="11" fontId="14" numFmtId="0" xfId="0" applyAlignment="1" applyBorder="1" applyFont="1">
      <alignment horizontal="center" shrinkToFit="0" vertical="center" wrapText="0"/>
    </xf>
    <xf borderId="6" fillId="0" fontId="14" numFmtId="0" xfId="0" applyAlignment="1" applyBorder="1" applyFont="1">
      <alignment horizontal="left" shrinkToFit="0" wrapText="1"/>
    </xf>
    <xf borderId="6" fillId="0" fontId="14" numFmtId="166" xfId="0" applyAlignment="1" applyBorder="1" applyFont="1" applyNumberFormat="1">
      <alignment shrinkToFit="0" vertical="center" wrapText="0"/>
    </xf>
    <xf borderId="0" fillId="11" fontId="14" numFmtId="0" xfId="0" applyAlignment="1" applyFont="1">
      <alignment horizontal="center" shrinkToFit="0" vertical="center" wrapText="0"/>
    </xf>
    <xf borderId="0" fillId="0" fontId="14" numFmtId="0" xfId="0" applyAlignment="1" applyFont="1">
      <alignment horizontal="left" shrinkToFit="0" wrapText="1"/>
    </xf>
    <xf borderId="2" fillId="22" fontId="14" numFmtId="0" xfId="0" applyAlignment="1" applyBorder="1" applyFont="1">
      <alignment horizontal="left" readingOrder="0" shrinkToFit="0" vertical="center" wrapText="0"/>
    </xf>
    <xf borderId="3" fillId="22" fontId="14" numFmtId="0" xfId="0" applyAlignment="1" applyBorder="1" applyFont="1">
      <alignment horizontal="left" readingOrder="0" shrinkToFit="0" wrapText="1"/>
    </xf>
    <xf borderId="3" fillId="22" fontId="14" numFmtId="166" xfId="0" applyAlignment="1" applyBorder="1" applyFont="1" applyNumberFormat="1">
      <alignment shrinkToFit="0" vertical="center" wrapText="0"/>
    </xf>
    <xf borderId="4" fillId="22" fontId="14" numFmtId="166" xfId="0" applyAlignment="1" applyBorder="1" applyFont="1" applyNumberFormat="1">
      <alignment shrinkToFit="0" vertical="center" wrapText="0"/>
    </xf>
    <xf borderId="8" fillId="11" fontId="14" numFmtId="0" xfId="0" applyAlignment="1" applyBorder="1" applyFont="1">
      <alignment horizontal="center" readingOrder="0" shrinkToFit="0" vertical="center" wrapText="0"/>
    </xf>
    <xf borderId="8" fillId="0" fontId="14" numFmtId="0" xfId="0" applyAlignment="1" applyBorder="1" applyFont="1">
      <alignment horizontal="left" readingOrder="0" shrinkToFit="0" wrapText="1"/>
    </xf>
    <xf borderId="8" fillId="0" fontId="14" numFmtId="166" xfId="0" applyAlignment="1" applyBorder="1" applyFont="1" applyNumberFormat="1">
      <alignment shrinkToFit="0" vertical="center" wrapText="0"/>
    </xf>
    <xf borderId="8" fillId="0" fontId="14" numFmtId="166" xfId="0" applyAlignment="1" applyBorder="1" applyFont="1" applyNumberFormat="1">
      <alignment readingOrder="0" shrinkToFit="0" vertical="center" wrapText="0"/>
    </xf>
    <xf borderId="0" fillId="0" fontId="14" numFmtId="0" xfId="0" applyFont="1"/>
    <xf borderId="8" fillId="0" fontId="14" numFmtId="0" xfId="0" applyAlignment="1" applyBorder="1" applyFont="1">
      <alignment horizontal="center" readingOrder="0" shrinkToFit="0" vertical="center" wrapText="0"/>
    </xf>
    <xf borderId="8" fillId="12" fontId="14" numFmtId="166" xfId="0" applyAlignment="1" applyBorder="1" applyFont="1" applyNumberFormat="1">
      <alignment readingOrder="0" shrinkToFit="0" vertical="center" wrapText="0"/>
    </xf>
    <xf borderId="8" fillId="0" fontId="14" numFmtId="174" xfId="0" applyAlignment="1" applyBorder="1" applyFont="1" applyNumberFormat="1">
      <alignment readingOrder="0" shrinkToFit="0" vertical="center" wrapText="0"/>
    </xf>
    <xf borderId="0" fillId="0" fontId="15" numFmtId="0" xfId="0" applyAlignment="1" applyFont="1">
      <alignment horizontal="right" shrinkToFit="0" vertical="bottom" wrapText="1"/>
    </xf>
    <xf borderId="0" fillId="0" fontId="14" numFmtId="172" xfId="0" applyAlignment="1" applyFont="1" applyNumberFormat="1">
      <alignment horizontal="left" shrinkToFit="0" vertical="bottom" wrapText="1"/>
    </xf>
    <xf borderId="0" fillId="0" fontId="15" numFmtId="0" xfId="0" applyAlignment="1" applyFont="1">
      <alignment readingOrder="0" shrinkToFit="0" vertical="center" wrapText="1"/>
    </xf>
    <xf borderId="0" fillId="0" fontId="15" numFmtId="0" xfId="0" applyAlignment="1" applyFont="1">
      <alignment readingOrder="0" vertical="center"/>
    </xf>
    <xf borderId="0" fillId="0" fontId="15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vertical="center"/>
    </xf>
    <xf borderId="1" fillId="0" fontId="15" numFmtId="0" xfId="0" applyAlignment="1" applyBorder="1" applyFont="1">
      <alignment horizontal="left" readingOrder="0" shrinkToFit="0" vertical="center" wrapText="1"/>
    </xf>
    <xf borderId="1" fillId="0" fontId="14" numFmtId="0" xfId="0" applyAlignment="1" applyBorder="1" applyFont="1">
      <alignment shrinkToFit="0" wrapText="1"/>
    </xf>
    <xf borderId="1" fillId="0" fontId="14" numFmtId="0" xfId="0" applyBorder="1" applyFont="1"/>
    <xf borderId="0" fillId="0" fontId="14" numFmtId="9" xfId="0" applyAlignment="1" applyFont="1" applyNumberFormat="1">
      <alignment readingOrder="0"/>
    </xf>
    <xf borderId="1" fillId="0" fontId="15" numFmtId="166" xfId="0" applyAlignment="1" applyBorder="1" applyFont="1" applyNumberFormat="1">
      <alignment readingOrder="0" shrinkToFit="0" vertical="center" wrapText="0"/>
    </xf>
    <xf borderId="1" fillId="0" fontId="17" numFmtId="0" xfId="0" applyAlignment="1" applyBorder="1" applyFont="1">
      <alignment readingOrder="0" shrinkToFit="0" vertical="bottom" wrapText="0"/>
    </xf>
    <xf borderId="1" fillId="0" fontId="17" numFmtId="0" xfId="0" applyAlignment="1" applyBorder="1" applyFont="1">
      <alignment horizontal="center" readingOrder="0" shrinkToFit="0" wrapText="0"/>
    </xf>
    <xf borderId="1" fillId="0" fontId="29" numFmtId="166" xfId="0" applyAlignment="1" applyBorder="1" applyFont="1" applyNumberFormat="1">
      <alignment horizontal="center" readingOrder="0" shrinkToFit="0" wrapText="0"/>
    </xf>
    <xf borderId="8" fillId="0" fontId="17" numFmtId="0" xfId="0" applyAlignment="1" applyBorder="1" applyFont="1">
      <alignment readingOrder="0" shrinkToFit="0" vertical="bottom" wrapText="0"/>
    </xf>
    <xf borderId="8" fillId="0" fontId="29" numFmtId="166" xfId="0" applyAlignment="1" applyBorder="1" applyFont="1" applyNumberFormat="1">
      <alignment horizontal="center" readingOrder="0" shrinkToFit="0" wrapText="0"/>
    </xf>
    <xf borderId="8" fillId="0" fontId="17" numFmtId="0" xfId="0" applyAlignment="1" applyBorder="1" applyFont="1">
      <alignment horizontal="left" readingOrder="0" shrinkToFit="0" vertical="bottom" wrapText="0"/>
    </xf>
    <xf borderId="8" fillId="0" fontId="29" numFmtId="166" xfId="0" applyAlignment="1" applyBorder="1" applyFont="1" applyNumberFormat="1">
      <alignment horizontal="center" shrinkToFit="0" wrapText="0"/>
    </xf>
    <xf borderId="8" fillId="0" fontId="30" numFmtId="0" xfId="0" applyAlignment="1" applyBorder="1" applyFont="1">
      <alignment horizontal="left" readingOrder="0" shrinkToFit="0" vertical="bottom" wrapText="0"/>
    </xf>
    <xf borderId="8" fillId="0" fontId="31" numFmtId="166" xfId="0" applyAlignment="1" applyBorder="1" applyFont="1" applyNumberFormat="1">
      <alignment horizontal="center" readingOrder="0" shrinkToFit="0" wrapText="0"/>
    </xf>
    <xf borderId="1" fillId="0" fontId="17" numFmtId="0" xfId="0" applyAlignment="1" applyBorder="1" applyFont="1">
      <alignment horizontal="left" readingOrder="0" shrinkToFit="0" vertical="bottom" wrapText="0"/>
    </xf>
    <xf borderId="1" fillId="0" fontId="17" numFmtId="0" xfId="0" applyAlignment="1" applyBorder="1" applyFont="1">
      <alignment shrinkToFit="0" vertical="bottom" wrapText="0"/>
    </xf>
    <xf borderId="1" fillId="0" fontId="24" numFmtId="0" xfId="0" applyAlignment="1" applyBorder="1" applyFont="1">
      <alignment shrinkToFit="0" vertical="bottom" wrapText="0"/>
    </xf>
    <xf borderId="0" fillId="0" fontId="15" numFmtId="0" xfId="0" applyAlignment="1" applyFont="1">
      <alignment shrinkToFit="0" wrapText="1"/>
    </xf>
    <xf borderId="0" fillId="0" fontId="14" numFmtId="0" xfId="0" applyAlignment="1" applyFont="1">
      <alignment shrinkToFit="0" wrapText="1"/>
    </xf>
    <xf borderId="0" fillId="2" fontId="32" numFmtId="0" xfId="0" applyAlignment="1" applyFont="1">
      <alignment horizontal="left" readingOrder="0"/>
    </xf>
    <xf borderId="0" fillId="0" fontId="33" numFmtId="0" xfId="0" applyAlignment="1" applyFont="1">
      <alignment horizontal="left" readingOrder="0" shrinkToFit="0" vertical="bottom" wrapText="0"/>
    </xf>
    <xf borderId="0" fillId="0" fontId="33" numFmtId="178" xfId="0" applyAlignment="1" applyFont="1" applyNumberFormat="1">
      <alignment horizontal="left" readingOrder="0" shrinkToFit="0" vertical="bottom" wrapText="0"/>
    </xf>
    <xf borderId="0" fillId="0" fontId="33" numFmtId="179" xfId="0" applyAlignment="1" applyFont="1" applyNumberFormat="1">
      <alignment horizontal="left" readingOrder="0" shrinkToFit="0" vertical="bottom" wrapText="0"/>
    </xf>
    <xf borderId="0" fillId="0" fontId="4" numFmtId="0" xfId="0" applyAlignment="1" applyFont="1">
      <alignment readingOrder="0"/>
    </xf>
    <xf borderId="0" fillId="0" fontId="34" numFmtId="0" xfId="0" applyAlignment="1" applyFont="1">
      <alignment horizontal="center" shrinkToFit="0" vertical="bottom" wrapText="1"/>
    </xf>
    <xf borderId="0" fillId="0" fontId="24" numFmtId="0" xfId="0" applyAlignment="1" applyFont="1">
      <alignment horizontal="left" readingOrder="0" shrinkToFit="0" vertical="top" wrapText="0"/>
    </xf>
    <xf borderId="0" fillId="0" fontId="24" numFmtId="0" xfId="0" applyAlignment="1" applyFont="1">
      <alignment shrinkToFit="0" vertical="bottom" wrapText="0"/>
    </xf>
    <xf borderId="0" fillId="0" fontId="35" numFmtId="0" xfId="0" applyAlignment="1" applyFont="1">
      <alignment shrinkToFit="0" vertical="bottom" wrapText="1"/>
    </xf>
    <xf borderId="0" fillId="0" fontId="36" numFmtId="0" xfId="0" applyAlignment="1" applyFont="1">
      <alignment horizontal="center" shrinkToFit="0" vertical="bottom" wrapText="1"/>
    </xf>
    <xf borderId="0" fillId="0" fontId="24" numFmtId="0" xfId="0" applyAlignment="1" applyFont="1">
      <alignment horizontal="left" readingOrder="0" shrinkToFit="0" vertical="top" wrapText="1"/>
    </xf>
    <xf borderId="5" fillId="0" fontId="35" numFmtId="0" xfId="0" applyAlignment="1" applyBorder="1" applyFont="1">
      <alignment vertical="bottom"/>
    </xf>
    <xf borderId="5" fillId="0" fontId="37" numFmtId="0" xfId="0" applyAlignment="1" applyBorder="1" applyFont="1">
      <alignment horizontal="right" vertical="bottom"/>
    </xf>
    <xf borderId="5" fillId="0" fontId="35" numFmtId="172" xfId="0" applyAlignment="1" applyBorder="1" applyFont="1" applyNumberFormat="1">
      <alignment vertical="bottom"/>
    </xf>
    <xf borderId="5" fillId="0" fontId="37" numFmtId="172" xfId="0" applyAlignment="1" applyBorder="1" applyFont="1" applyNumberFormat="1">
      <alignment horizontal="left" vertical="bottom"/>
    </xf>
    <xf borderId="5" fillId="0" fontId="35" numFmtId="168" xfId="0" applyAlignment="1" applyBorder="1" applyFont="1" applyNumberFormat="1">
      <alignment vertical="bottom"/>
    </xf>
    <xf borderId="9" fillId="22" fontId="37" numFmtId="0" xfId="0" applyAlignment="1" applyBorder="1" applyFont="1">
      <alignment horizontal="center" shrinkToFit="0" vertical="bottom" wrapText="1"/>
    </xf>
    <xf borderId="5" fillId="0" fontId="24" numFmtId="0" xfId="0" applyAlignment="1" applyBorder="1" applyFont="1">
      <alignment readingOrder="0" shrinkToFit="0" vertical="bottom" wrapText="1"/>
    </xf>
    <xf borderId="8" fillId="22" fontId="36" numFmtId="0" xfId="0" applyAlignment="1" applyBorder="1" applyFont="1">
      <alignment horizontal="center" shrinkToFit="0" vertical="bottom" wrapText="1"/>
    </xf>
    <xf borderId="15" fillId="22" fontId="36" numFmtId="0" xfId="0" applyAlignment="1" applyBorder="1" applyFont="1">
      <alignment horizontal="center" shrinkToFit="0" vertical="bottom" wrapText="1"/>
    </xf>
    <xf borderId="1" fillId="22" fontId="38" numFmtId="0" xfId="0" applyAlignment="1" applyBorder="1" applyFont="1">
      <alignment readingOrder="0" shrinkToFit="0" wrapText="1"/>
    </xf>
    <xf borderId="1" fillId="22" fontId="32" numFmtId="0" xfId="0" applyAlignment="1" applyBorder="1" applyFont="1">
      <alignment readingOrder="0"/>
    </xf>
    <xf borderId="1" fillId="22" fontId="32" numFmtId="0" xfId="0" applyAlignment="1" applyBorder="1" applyFont="1">
      <alignment readingOrder="0" shrinkToFit="0" wrapText="1"/>
    </xf>
    <xf borderId="15" fillId="22" fontId="36" numFmtId="170" xfId="0" applyAlignment="1" applyBorder="1" applyFont="1" applyNumberFormat="1">
      <alignment horizontal="center" shrinkToFit="0" vertical="bottom" wrapText="1"/>
    </xf>
    <xf borderId="15" fillId="22" fontId="36" numFmtId="168" xfId="0" applyAlignment="1" applyBorder="1" applyFont="1" applyNumberFormat="1">
      <alignment horizontal="center" shrinkToFit="0" vertical="bottom" wrapText="1"/>
    </xf>
    <xf borderId="8" fillId="0" fontId="24" numFmtId="0" xfId="0" applyAlignment="1" applyBorder="1" applyFont="1">
      <alignment readingOrder="0" shrinkToFit="0" vertical="bottom" wrapText="0"/>
    </xf>
    <xf borderId="15" fillId="0" fontId="24" numFmtId="0" xfId="0" applyAlignment="1" applyBorder="1" applyFont="1">
      <alignment readingOrder="0" shrinkToFit="0" vertical="bottom" wrapText="0"/>
    </xf>
    <xf borderId="15" fillId="0" fontId="39" numFmtId="170" xfId="0" applyAlignment="1" applyBorder="1" applyFont="1" applyNumberFormat="1">
      <alignment readingOrder="0" shrinkToFit="0" vertical="bottom" wrapText="0"/>
    </xf>
    <xf borderId="15" fillId="0" fontId="24" numFmtId="168" xfId="0" applyAlignment="1" applyBorder="1" applyFont="1" applyNumberFormat="1">
      <alignment readingOrder="0" shrinkToFit="0" vertical="bottom" wrapText="0"/>
    </xf>
    <xf borderId="8" fillId="0" fontId="24" numFmtId="0" xfId="0" applyAlignment="1" applyBorder="1" applyFont="1">
      <alignment shrinkToFit="0" vertical="bottom" wrapText="0"/>
    </xf>
    <xf borderId="15" fillId="0" fontId="24" numFmtId="0" xfId="0" applyAlignment="1" applyBorder="1" applyFont="1">
      <alignment shrinkToFit="0" vertical="bottom" wrapText="0"/>
    </xf>
    <xf borderId="0" fillId="0" fontId="24" numFmtId="0" xfId="0" applyAlignment="1" applyFont="1">
      <alignment readingOrder="0"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47700" cy="638175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32</xdr:row>
      <xdr:rowOff>0</xdr:rowOff>
    </xdr:from>
    <xdr:ext cx="1485900" cy="83820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rive.google.com/drive/folders/0B3UdAK42qf2EdTlIcE80YmhGVmc?resourcekey=0-ywn5wKdOp1MPWnO9DW0Z2w&amp;usp=sharing" TargetMode="External"/><Relationship Id="rId3" Type="http://schemas.openxmlformats.org/officeDocument/2006/relationships/hyperlink" Target="https://drive.google.com/drive/folders/0B3UdAK42qf2EdTlIcE80YmhGVmc?resourcekey=0-ywn5wKdOp1MPWnO9DW0Z2w&amp;usp=sharing" TargetMode="Externa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2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xSplit="7.0" ySplit="2.0" topLeftCell="H3" activePane="bottomRight" state="frozen"/>
      <selection activeCell="H1" sqref="H1" pane="topRight"/>
      <selection activeCell="A3" sqref="A3" pane="bottomLeft"/>
      <selection activeCell="H3" sqref="H3" pane="bottomRight"/>
    </sheetView>
  </sheetViews>
  <sheetFormatPr customHeight="1" defaultColWidth="15.13" defaultRowHeight="15.0"/>
  <cols>
    <col customWidth="1" min="1" max="1" width="3.75"/>
    <col customWidth="1" min="2" max="2" width="1.88"/>
    <col customWidth="1" min="3" max="3" width="2.75"/>
    <col customWidth="1" min="4" max="4" width="10.63"/>
    <col customWidth="1" min="5" max="6" width="5.13"/>
    <col customWidth="1" min="7" max="8" width="31.38"/>
    <col customWidth="1" min="9" max="9" width="5.13"/>
    <col customWidth="1" min="10" max="11" width="6.38"/>
    <col customWidth="1" min="12" max="12" width="13.13"/>
    <col customWidth="1" min="13" max="13" width="12.63"/>
    <col customWidth="1" hidden="1" min="14" max="18" width="10.13"/>
    <col customWidth="1" min="19" max="21" width="10.13"/>
    <col customWidth="1" hidden="1" min="22" max="22" width="12.63"/>
    <col customWidth="1" min="23" max="23" width="12.63"/>
    <col customWidth="1" hidden="1" min="24" max="25" width="12.63"/>
    <col customWidth="1" min="26" max="26" width="12.63"/>
    <col customWidth="1" hidden="1" min="27" max="28" width="12.63"/>
    <col customWidth="1" min="29" max="29" width="14.25"/>
    <col customWidth="1" hidden="1" min="30" max="31" width="12.63"/>
    <col customWidth="1" min="32" max="32" width="14.13"/>
    <col customWidth="1" hidden="1" min="33" max="34" width="12.63"/>
    <col customWidth="1" min="35" max="37" width="12.63"/>
    <col customWidth="1" hidden="1" min="38" max="38" width="5.63"/>
    <col customWidth="1" hidden="1" min="39" max="39" width="4.75"/>
    <col customWidth="1" hidden="1" min="40" max="43" width="12.63"/>
    <col customWidth="1" hidden="1" min="44" max="44" width="26.75"/>
    <col customWidth="1" hidden="1" min="45" max="74" width="12.63"/>
  </cols>
  <sheetData>
    <row r="1">
      <c r="A1" s="1"/>
      <c r="B1" s="2"/>
      <c r="C1" s="3"/>
      <c r="D1" s="4" t="s">
        <v>0</v>
      </c>
      <c r="E1" s="2"/>
      <c r="F1" s="2"/>
      <c r="G1" s="5"/>
      <c r="H1" s="2"/>
      <c r="I1" s="2"/>
      <c r="J1" s="6"/>
      <c r="K1" s="6"/>
      <c r="L1" s="7"/>
      <c r="M1" s="8"/>
      <c r="N1" s="9" t="s">
        <v>1</v>
      </c>
      <c r="O1" s="9" t="s">
        <v>2</v>
      </c>
      <c r="P1" s="10" t="s">
        <v>3</v>
      </c>
      <c r="Q1" s="10" t="s">
        <v>4</v>
      </c>
      <c r="R1" s="11" t="s">
        <v>5</v>
      </c>
      <c r="S1" s="12" t="s">
        <v>6</v>
      </c>
      <c r="T1" s="13"/>
      <c r="U1" s="13"/>
      <c r="V1" s="14"/>
      <c r="W1" s="15">
        <v>0.05</v>
      </c>
      <c r="X1" s="13"/>
      <c r="Y1" s="14"/>
      <c r="Z1" s="16">
        <v>0.1</v>
      </c>
      <c r="AA1" s="13"/>
      <c r="AB1" s="14"/>
      <c r="AC1" s="17">
        <v>0.15</v>
      </c>
      <c r="AD1" s="13"/>
      <c r="AE1" s="14"/>
      <c r="AF1" s="18">
        <v>0.17</v>
      </c>
      <c r="AG1" s="13"/>
      <c r="AH1" s="14"/>
      <c r="AI1" s="19">
        <v>0.2</v>
      </c>
      <c r="AJ1" s="13"/>
      <c r="AK1" s="14"/>
      <c r="AL1" s="20" t="s">
        <v>7</v>
      </c>
      <c r="AM1" s="21"/>
      <c r="AN1" s="22"/>
      <c r="AO1" s="23" t="s">
        <v>0</v>
      </c>
      <c r="AP1" s="21"/>
      <c r="AQ1" s="21"/>
      <c r="AR1" s="24"/>
      <c r="AS1" s="21"/>
      <c r="AT1" s="21"/>
      <c r="AU1" s="25"/>
      <c r="AV1" s="25"/>
      <c r="AW1" s="26"/>
      <c r="AX1" s="27"/>
      <c r="AY1" s="28" t="s">
        <v>8</v>
      </c>
      <c r="AZ1" s="28" t="s">
        <v>1</v>
      </c>
      <c r="BA1" s="28" t="s">
        <v>2</v>
      </c>
      <c r="BB1" s="29" t="s">
        <v>3</v>
      </c>
      <c r="BC1" s="29" t="s">
        <v>4</v>
      </c>
      <c r="BD1" s="30" t="s">
        <v>9</v>
      </c>
      <c r="BE1" s="13"/>
      <c r="BF1" s="13"/>
      <c r="BG1" s="14"/>
      <c r="BH1" s="31">
        <v>0.05</v>
      </c>
      <c r="BI1" s="13"/>
      <c r="BJ1" s="14"/>
      <c r="BK1" s="31">
        <v>0.1</v>
      </c>
      <c r="BL1" s="13"/>
      <c r="BM1" s="14"/>
      <c r="BN1" s="31">
        <v>0.15</v>
      </c>
      <c r="BO1" s="13"/>
      <c r="BP1" s="14"/>
      <c r="BQ1" s="31">
        <v>0.17</v>
      </c>
      <c r="BR1" s="13"/>
      <c r="BS1" s="14"/>
      <c r="BT1" s="31">
        <v>0.2</v>
      </c>
      <c r="BU1" s="13"/>
      <c r="BV1" s="14"/>
    </row>
    <row r="2">
      <c r="A2" s="32" t="s">
        <v>10</v>
      </c>
      <c r="B2" s="7" t="s">
        <v>11</v>
      </c>
      <c r="C2" s="32" t="s">
        <v>12</v>
      </c>
      <c r="D2" s="32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7" t="s">
        <v>12</v>
      </c>
      <c r="J2" s="6" t="s">
        <v>18</v>
      </c>
      <c r="K2" s="6" t="s">
        <v>19</v>
      </c>
      <c r="L2" s="7" t="s">
        <v>20</v>
      </c>
      <c r="M2" s="33" t="s">
        <v>21</v>
      </c>
      <c r="N2" s="10" t="s">
        <v>22</v>
      </c>
      <c r="O2" s="10" t="s">
        <v>22</v>
      </c>
      <c r="P2" s="10" t="s">
        <v>22</v>
      </c>
      <c r="Q2" s="10" t="s">
        <v>22</v>
      </c>
      <c r="R2" s="11" t="s">
        <v>22</v>
      </c>
      <c r="S2" s="34" t="s">
        <v>22</v>
      </c>
      <c r="T2" s="35" t="s">
        <v>23</v>
      </c>
      <c r="U2" s="35" t="s">
        <v>24</v>
      </c>
      <c r="V2" s="36" t="s">
        <v>25</v>
      </c>
      <c r="W2" s="37" t="s">
        <v>26</v>
      </c>
      <c r="X2" s="38" t="s">
        <v>23</v>
      </c>
      <c r="Y2" s="38" t="s">
        <v>24</v>
      </c>
      <c r="Z2" s="39" t="s">
        <v>27</v>
      </c>
      <c r="AA2" s="40" t="s">
        <v>23</v>
      </c>
      <c r="AB2" s="40" t="s">
        <v>24</v>
      </c>
      <c r="AC2" s="41" t="s">
        <v>28</v>
      </c>
      <c r="AD2" s="42" t="s">
        <v>23</v>
      </c>
      <c r="AE2" s="42" t="s">
        <v>24</v>
      </c>
      <c r="AF2" s="43" t="s">
        <v>29</v>
      </c>
      <c r="AG2" s="44" t="s">
        <v>23</v>
      </c>
      <c r="AH2" s="44" t="s">
        <v>24</v>
      </c>
      <c r="AI2" s="45" t="s">
        <v>30</v>
      </c>
      <c r="AJ2" s="46" t="s">
        <v>23</v>
      </c>
      <c r="AK2" s="46" t="s">
        <v>24</v>
      </c>
      <c r="AL2" s="47" t="s">
        <v>10</v>
      </c>
      <c r="AM2" s="26" t="s">
        <v>11</v>
      </c>
      <c r="AN2" s="47" t="s">
        <v>12</v>
      </c>
      <c r="AO2" s="47" t="s">
        <v>13</v>
      </c>
      <c r="AP2" s="26" t="s">
        <v>14</v>
      </c>
      <c r="AQ2" s="26" t="s">
        <v>15</v>
      </c>
      <c r="AR2" s="26" t="s">
        <v>16</v>
      </c>
      <c r="AS2" s="26" t="s">
        <v>17</v>
      </c>
      <c r="AT2" s="26" t="s">
        <v>12</v>
      </c>
      <c r="AU2" s="25" t="s">
        <v>18</v>
      </c>
      <c r="AV2" s="25" t="s">
        <v>19</v>
      </c>
      <c r="AW2" s="26" t="s">
        <v>20</v>
      </c>
      <c r="AX2" s="48" t="s">
        <v>21</v>
      </c>
      <c r="AY2" s="29" t="s">
        <v>22</v>
      </c>
      <c r="AZ2" s="29" t="s">
        <v>22</v>
      </c>
      <c r="BA2" s="29" t="s">
        <v>22</v>
      </c>
      <c r="BB2" s="29" t="s">
        <v>22</v>
      </c>
      <c r="BC2" s="29" t="s">
        <v>22</v>
      </c>
      <c r="BD2" s="49" t="s">
        <v>22</v>
      </c>
      <c r="BE2" s="50" t="s">
        <v>23</v>
      </c>
      <c r="BF2" s="50" t="s">
        <v>24</v>
      </c>
      <c r="BG2" s="51" t="s">
        <v>25</v>
      </c>
      <c r="BH2" s="51" t="s">
        <v>31</v>
      </c>
      <c r="BI2" s="52" t="s">
        <v>23</v>
      </c>
      <c r="BJ2" s="52" t="s">
        <v>24</v>
      </c>
      <c r="BK2" s="28" t="s">
        <v>32</v>
      </c>
      <c r="BL2" s="50" t="s">
        <v>23</v>
      </c>
      <c r="BM2" s="50" t="s">
        <v>24</v>
      </c>
      <c r="BN2" s="51" t="s">
        <v>33</v>
      </c>
      <c r="BO2" s="50" t="s">
        <v>23</v>
      </c>
      <c r="BP2" s="50" t="s">
        <v>24</v>
      </c>
      <c r="BQ2" s="51" t="s">
        <v>34</v>
      </c>
      <c r="BR2" s="50" t="s">
        <v>23</v>
      </c>
      <c r="BS2" s="50" t="s">
        <v>24</v>
      </c>
      <c r="BT2" s="51" t="s">
        <v>35</v>
      </c>
      <c r="BU2" s="50" t="s">
        <v>23</v>
      </c>
      <c r="BV2" s="50" t="s">
        <v>24</v>
      </c>
    </row>
    <row r="3">
      <c r="A3" s="53"/>
      <c r="B3" s="53"/>
      <c r="C3" s="53" t="s">
        <v>36</v>
      </c>
      <c r="D3" s="53" t="s">
        <v>37</v>
      </c>
      <c r="E3" s="54" t="s">
        <v>38</v>
      </c>
      <c r="F3" s="55" t="s">
        <v>39</v>
      </c>
      <c r="G3" s="54" t="s">
        <v>40</v>
      </c>
      <c r="H3" s="55"/>
      <c r="I3" s="54">
        <f t="shared" ref="I3:I450" si="1">IF(D3="","",LEN(H3))</f>
        <v>0</v>
      </c>
      <c r="J3" s="56"/>
      <c r="K3" s="57"/>
      <c r="L3" s="58"/>
      <c r="M3" s="59"/>
      <c r="N3" s="60"/>
      <c r="O3" s="61">
        <v>1074.0</v>
      </c>
      <c r="P3" s="62">
        <v>1220.0</v>
      </c>
      <c r="Q3" s="63">
        <v>1220.0</v>
      </c>
      <c r="R3" s="64">
        <v>1281.0</v>
      </c>
      <c r="S3" s="65">
        <v>1345.0</v>
      </c>
      <c r="T3" s="65">
        <f t="shared" ref="T3:T1009" si="2">S3*0.16</f>
        <v>215.2</v>
      </c>
      <c r="U3" s="65">
        <f t="shared" ref="U3:U1009" si="3">S3+T3</f>
        <v>1560.2</v>
      </c>
      <c r="V3" s="66">
        <f t="shared" ref="V3:V1009" si="4">(S3-R3)/R3</f>
        <v>0.04996096799</v>
      </c>
      <c r="W3" s="67">
        <f t="shared" ref="W3:W2124" si="5">(IF(B3="",(S3*(1-$W$1)),(IF(B3=1,(S3*(1-$W$1)),(IF(B3=2,(S3*(1-$W$1)),(IF(B3=3,(S3*(1-$W$1)),(IF(B3=4,(S3*(1))))))))))))</f>
        <v>1277.75</v>
      </c>
      <c r="X3" s="67">
        <f t="shared" ref="X3:X1116" si="6">W3*0.16</f>
        <v>204.44</v>
      </c>
      <c r="Y3" s="67">
        <f t="shared" ref="Y3:Y1116" si="7">W3+X3</f>
        <v>1482.19</v>
      </c>
      <c r="Z3" s="67">
        <f t="shared" ref="Z3:Z2124" si="8">(IF(B3="",(S3*(1-$Z$1)),(IF(B3=1,(S3*(1-$Z$1)),(IF(B3=2,(S3*(1-$Z$1)),(IF(B3=3,(S3*(1-$Z$1)),(IF(B3=4,(S3*(1))))))))))))</f>
        <v>1210.5</v>
      </c>
      <c r="AA3" s="67">
        <f t="shared" ref="AA3:AA1116" si="9">Z3*0.16</f>
        <v>193.68</v>
      </c>
      <c r="AB3" s="67">
        <f t="shared" ref="AB3:AB1116" si="10">Z3+AA3</f>
        <v>1404.18</v>
      </c>
      <c r="AC3" s="67">
        <f t="shared" ref="AC3:AC2124" si="11">(IF(B3="",(S3*(1-$AC$1)),(IF(B3=1,(S3*(1-$AC$1)),(IF(B3=2,(S3*(1-0.15)),(IF(B3=3,(S3*(1-0.1)),(IF(B3=4,(S3*(1))))))))))))</f>
        <v>1143.25</v>
      </c>
      <c r="AD3" s="67">
        <f t="shared" ref="AD3:AD1487" si="12">AC3*0.16</f>
        <v>182.92</v>
      </c>
      <c r="AE3" s="67">
        <f t="shared" ref="AE3:AE1487" si="13">AC3+AD3</f>
        <v>1326.17</v>
      </c>
      <c r="AF3" s="67">
        <f t="shared" ref="AF3:AF695" si="14">(IF(B3="",(S3*(1-$AF$1)),(IF(B3=1,(S3*(1-$AF$1)),(IF(B3=2,(S3*(1-0.15)),(IF(B3=3,(S3*(1-0.1)),(IF(B3=4,(S3*(1))))))))))))</f>
        <v>1116.35</v>
      </c>
      <c r="AG3" s="67">
        <f t="shared" ref="AG3:AG1487" si="15">AF3*0.16</f>
        <v>178.616</v>
      </c>
      <c r="AH3" s="67">
        <f t="shared" ref="AH3:AH1487" si="16">AF3+AG3</f>
        <v>1294.966</v>
      </c>
      <c r="AI3" s="67">
        <f t="shared" ref="AI3:AI2124" si="17">(IF(B3="",(S3*(1-$AI$1)),(IF(B3=1,(S3*(1-$AI$1)),(IF(B3=2,(S3*(1-0.15)),(IF(B3=3,(S3*(1-0.1)),(IF(B3=4,(S3*(1))))))))))))</f>
        <v>1076</v>
      </c>
      <c r="AJ3" s="68">
        <f t="shared" ref="AJ3:AJ20" si="18">AI3*0.16</f>
        <v>172.16</v>
      </c>
      <c r="AK3" s="68">
        <f t="shared" ref="AK3:AK20" si="19">AI3+AJ3</f>
        <v>1248.16</v>
      </c>
      <c r="AL3" s="69">
        <f>IFERROR(__xludf.DUMMYFUNCTION("FILTER(A:AK,A:A=1)"),1.0)</f>
        <v>1</v>
      </c>
      <c r="AM3" s="70"/>
      <c r="AN3" s="71" t="str">
        <f>IFERROR(__xludf.DUMMYFUNCTION("""COMPUTED_VALUE""")," C")</f>
        <v>C</v>
      </c>
      <c r="AO3" s="71" t="str">
        <f>IFERROR(__xludf.DUMMYFUNCTION("""COMPUTED_VALUE""")," AC02")</f>
        <v>AC02</v>
      </c>
      <c r="AP3" s="71" t="str">
        <f>IFERROR(__xludf.DUMMYFUNCTION("""COMPUTED_VALUE""")," PZA")</f>
        <v>PZA</v>
      </c>
      <c r="AQ3" s="71" t="str">
        <f>IFERROR(__xludf.DUMMYFUNCTION("""COMPUTED_VALUE""")," REF")</f>
        <v>REF</v>
      </c>
      <c r="AR3" s="71" t="str">
        <f>IFERROR(__xludf.DUMMYFUNCTION("""COMPUTED_VALUE""")," ACEITE SAE BARDAHL 40")</f>
        <v>ACEITE SAE BARDAHL 40</v>
      </c>
      <c r="AS3" s="71" t="str">
        <f>IFERROR(__xludf.DUMMYFUNCTION("""COMPUTED_VALUE""")," ACEITE SAE BARDAHL 40")</f>
        <v>ACEITE SAE BARDAHL 40</v>
      </c>
      <c r="AT3" s="71">
        <f>IFERROR(__xludf.DUMMYFUNCTION("""COMPUTED_VALUE"""),21.0)</f>
        <v>21</v>
      </c>
      <c r="AU3" s="71"/>
      <c r="AV3" s="71"/>
      <c r="AW3" s="71"/>
      <c r="AX3" s="71"/>
      <c r="AY3" s="71">
        <f>IFERROR(__xludf.DUMMYFUNCTION("""COMPUTED_VALUE"""),100.0)</f>
        <v>100</v>
      </c>
      <c r="AZ3" s="71">
        <f>IFERROR(__xludf.DUMMYFUNCTION("""COMPUTED_VALUE"""),108.0)</f>
        <v>108</v>
      </c>
      <c r="BA3" s="71">
        <f>IFERROR(__xludf.DUMMYFUNCTION("""COMPUTED_VALUE"""),134.78)</f>
        <v>134.78</v>
      </c>
      <c r="BB3" s="71">
        <f>IFERROR(__xludf.DUMMYFUNCTION("""COMPUTED_VALUE"""),134.78)</f>
        <v>134.78</v>
      </c>
      <c r="BC3" s="71">
        <f>IFERROR(__xludf.DUMMYFUNCTION("""COMPUTED_VALUE"""),130.0)</f>
        <v>130</v>
      </c>
      <c r="BD3" s="71">
        <f>IFERROR(__xludf.DUMMYFUNCTION("""COMPUTED_VALUE"""),137.0)</f>
        <v>137</v>
      </c>
      <c r="BE3" s="71">
        <f>IFERROR(__xludf.DUMMYFUNCTION("""COMPUTED_VALUE"""),21.92)</f>
        <v>21.92</v>
      </c>
      <c r="BF3" s="71">
        <f>IFERROR(__xludf.DUMMYFUNCTION("""COMPUTED_VALUE"""),158.92000000000002)</f>
        <v>158.92</v>
      </c>
      <c r="BG3" s="71">
        <f>IFERROR(__xludf.DUMMYFUNCTION("""COMPUTED_VALUE"""),0.05384615384615385)</f>
        <v>0.05384615385</v>
      </c>
      <c r="BH3" s="71">
        <f>IFERROR(__xludf.DUMMYFUNCTION("""COMPUTED_VALUE"""),130.15)</f>
        <v>130.15</v>
      </c>
      <c r="BI3" s="71">
        <f>IFERROR(__xludf.DUMMYFUNCTION("""COMPUTED_VALUE"""),20.824)</f>
        <v>20.824</v>
      </c>
      <c r="BJ3" s="71">
        <f>IFERROR(__xludf.DUMMYFUNCTION("""COMPUTED_VALUE"""),150.97400000000002)</f>
        <v>150.974</v>
      </c>
      <c r="BK3" s="71">
        <f>IFERROR(__xludf.DUMMYFUNCTION("""COMPUTED_VALUE"""),123.3)</f>
        <v>123.3</v>
      </c>
      <c r="BL3" s="71">
        <f>IFERROR(__xludf.DUMMYFUNCTION("""COMPUTED_VALUE"""),19.728)</f>
        <v>19.728</v>
      </c>
      <c r="BM3" s="71">
        <f>IFERROR(__xludf.DUMMYFUNCTION("""COMPUTED_VALUE"""),143.028)</f>
        <v>143.028</v>
      </c>
      <c r="BN3" s="71">
        <f>IFERROR(__xludf.DUMMYFUNCTION("""COMPUTED_VALUE"""),116.45)</f>
        <v>116.45</v>
      </c>
      <c r="BO3" s="71">
        <f>IFERROR(__xludf.DUMMYFUNCTION("""COMPUTED_VALUE"""),18.632)</f>
        <v>18.632</v>
      </c>
      <c r="BP3" s="71">
        <f>IFERROR(__xludf.DUMMYFUNCTION("""COMPUTED_VALUE"""),135.082)</f>
        <v>135.082</v>
      </c>
      <c r="BQ3" s="71">
        <f>IFERROR(__xludf.DUMMYFUNCTION("""COMPUTED_VALUE"""),113.71)</f>
        <v>113.71</v>
      </c>
      <c r="BR3" s="71">
        <f>IFERROR(__xludf.DUMMYFUNCTION("""COMPUTED_VALUE"""),18.1936)</f>
        <v>18.1936</v>
      </c>
      <c r="BS3" s="71">
        <f>IFERROR(__xludf.DUMMYFUNCTION("""COMPUTED_VALUE"""),131.90359999999998)</f>
        <v>131.9036</v>
      </c>
      <c r="BT3" s="71">
        <f>IFERROR(__xludf.DUMMYFUNCTION("""COMPUTED_VALUE"""),109.60000000000001)</f>
        <v>109.6</v>
      </c>
      <c r="BU3" s="71">
        <f>IFERROR(__xludf.DUMMYFUNCTION("""COMPUTED_VALUE"""),17.536)</f>
        <v>17.536</v>
      </c>
      <c r="BV3" s="71">
        <f>IFERROR(__xludf.DUMMYFUNCTION("""COMPUTED_VALUE"""),127.13600000000001)</f>
        <v>127.136</v>
      </c>
    </row>
    <row r="4">
      <c r="A4" s="53"/>
      <c r="B4" s="72"/>
      <c r="C4" s="73" t="s">
        <v>12</v>
      </c>
      <c r="D4" s="74" t="s">
        <v>41</v>
      </c>
      <c r="E4" s="54" t="s">
        <v>38</v>
      </c>
      <c r="F4" s="54" t="s">
        <v>42</v>
      </c>
      <c r="G4" s="54" t="s">
        <v>43</v>
      </c>
      <c r="H4" s="54" t="s">
        <v>44</v>
      </c>
      <c r="I4" s="54">
        <f t="shared" si="1"/>
        <v>29</v>
      </c>
      <c r="J4" s="56"/>
      <c r="K4" s="75"/>
      <c r="L4" s="76"/>
      <c r="M4" s="59"/>
      <c r="N4" s="60">
        <v>88.0</v>
      </c>
      <c r="O4" s="61">
        <v>126.0</v>
      </c>
      <c r="P4" s="62">
        <v>136.08</v>
      </c>
      <c r="Q4" s="63">
        <v>136.08</v>
      </c>
      <c r="R4" s="64">
        <v>144.0</v>
      </c>
      <c r="S4" s="65">
        <v>151.0</v>
      </c>
      <c r="T4" s="65">
        <f t="shared" si="2"/>
        <v>24.16</v>
      </c>
      <c r="U4" s="65">
        <f t="shared" si="3"/>
        <v>175.16</v>
      </c>
      <c r="V4" s="66">
        <f t="shared" si="4"/>
        <v>0.04861111111</v>
      </c>
      <c r="W4" s="67">
        <f t="shared" si="5"/>
        <v>143.45</v>
      </c>
      <c r="X4" s="67">
        <f t="shared" si="6"/>
        <v>22.952</v>
      </c>
      <c r="Y4" s="67">
        <f t="shared" si="7"/>
        <v>166.402</v>
      </c>
      <c r="Z4" s="67">
        <f t="shared" si="8"/>
        <v>135.9</v>
      </c>
      <c r="AA4" s="67">
        <f t="shared" si="9"/>
        <v>21.744</v>
      </c>
      <c r="AB4" s="67">
        <f t="shared" si="10"/>
        <v>157.644</v>
      </c>
      <c r="AC4" s="67">
        <f t="shared" si="11"/>
        <v>128.35</v>
      </c>
      <c r="AD4" s="67">
        <f t="shared" si="12"/>
        <v>20.536</v>
      </c>
      <c r="AE4" s="67">
        <f t="shared" si="13"/>
        <v>148.886</v>
      </c>
      <c r="AF4" s="67">
        <f t="shared" si="14"/>
        <v>125.33</v>
      </c>
      <c r="AG4" s="67">
        <f t="shared" si="15"/>
        <v>20.0528</v>
      </c>
      <c r="AH4" s="67">
        <f t="shared" si="16"/>
        <v>145.3828</v>
      </c>
      <c r="AI4" s="67">
        <f t="shared" si="17"/>
        <v>120.8</v>
      </c>
      <c r="AJ4" s="68">
        <f t="shared" si="18"/>
        <v>19.328</v>
      </c>
      <c r="AK4" s="68">
        <f t="shared" si="19"/>
        <v>140.128</v>
      </c>
      <c r="AL4" s="69">
        <f>IFERROR(__xludf.DUMMYFUNCTION("""COMPUTED_VALUE"""),1.0)</f>
        <v>1</v>
      </c>
      <c r="AM4" s="70">
        <f>IFERROR(__xludf.DUMMYFUNCTION("""COMPUTED_VALUE"""),2.0)</f>
        <v>2</v>
      </c>
      <c r="AN4" s="71" t="str">
        <f>IFERROR(__xludf.DUMMYFUNCTION("""COMPUTED_VALUE""")," C")</f>
        <v>C</v>
      </c>
      <c r="AO4" s="71" t="str">
        <f>IFERROR(__xludf.DUMMYFUNCTION("""COMPUTED_VALUE""")," AE01")</f>
        <v>AE01</v>
      </c>
      <c r="AP4" s="71" t="str">
        <f>IFERROR(__xludf.DUMMYFUNCTION("""COMPUTED_VALUE""")," PZA")</f>
        <v>PZA</v>
      </c>
      <c r="AQ4" s="71" t="str">
        <f>IFERROR(__xludf.DUMMYFUNCTION("""COMPUTED_VALUE""")," REF")</f>
        <v>REF</v>
      </c>
      <c r="AR4" s="71" t="str">
        <f>IFERROR(__xludf.DUMMYFUNCTION("""COMPUTED_VALUE""")," ACEITERA DE PIPETA FLEXIBLE 300 ML. TRUPER")</f>
        <v>ACEITERA DE PIPETA FLEXIBLE 300 ML. TRUPER</v>
      </c>
      <c r="AS4" s="71" t="str">
        <f>IFERROR(__xludf.DUMMYFUNCTION("""COMPUTED_VALUE""")," ACEITERA PIPETA FLEXIBLE 300 ML TRUPER")</f>
        <v>ACEITERA PIPETA FLEXIBLE 300 ML TRUPER</v>
      </c>
      <c r="AT4" s="71">
        <f>IFERROR(__xludf.DUMMYFUNCTION("""COMPUTED_VALUE"""),38.0)</f>
        <v>38</v>
      </c>
      <c r="AU4" s="71"/>
      <c r="AV4" s="71"/>
      <c r="AW4" s="71"/>
      <c r="AX4" s="71"/>
      <c r="AY4" s="71">
        <f>IFERROR(__xludf.DUMMYFUNCTION("""COMPUTED_VALUE"""),103.0)</f>
        <v>103</v>
      </c>
      <c r="AZ4" s="71">
        <f>IFERROR(__xludf.DUMMYFUNCTION("""COMPUTED_VALUE"""),111.0)</f>
        <v>111</v>
      </c>
      <c r="BA4" s="71">
        <f>IFERROR(__xludf.DUMMYFUNCTION("""COMPUTED_VALUE"""),119.88000000000001)</f>
        <v>119.88</v>
      </c>
      <c r="BB4" s="71">
        <f>IFERROR(__xludf.DUMMYFUNCTION("""COMPUTED_VALUE"""),119.88000000000001)</f>
        <v>119.88</v>
      </c>
      <c r="BC4" s="71">
        <f>IFERROR(__xludf.DUMMYFUNCTION("""COMPUTED_VALUE"""),135.0)</f>
        <v>135</v>
      </c>
      <c r="BD4" s="71">
        <f>IFERROR(__xludf.DUMMYFUNCTION("""COMPUTED_VALUE"""),142.0)</f>
        <v>142</v>
      </c>
      <c r="BE4" s="71">
        <f>IFERROR(__xludf.DUMMYFUNCTION("""COMPUTED_VALUE"""),22.72)</f>
        <v>22.72</v>
      </c>
      <c r="BF4" s="71">
        <f>IFERROR(__xludf.DUMMYFUNCTION("""COMPUTED_VALUE"""),164.72)</f>
        <v>164.72</v>
      </c>
      <c r="BG4" s="71">
        <f>IFERROR(__xludf.DUMMYFUNCTION("""COMPUTED_VALUE"""),0.05185185185185185)</f>
        <v>0.05185185185</v>
      </c>
      <c r="BH4" s="71">
        <f>IFERROR(__xludf.DUMMYFUNCTION("""COMPUTED_VALUE"""),134.9)</f>
        <v>134.9</v>
      </c>
      <c r="BI4" s="71">
        <f>IFERROR(__xludf.DUMMYFUNCTION("""COMPUTED_VALUE"""),21.584)</f>
        <v>21.584</v>
      </c>
      <c r="BJ4" s="71">
        <f>IFERROR(__xludf.DUMMYFUNCTION("""COMPUTED_VALUE"""),156.484)</f>
        <v>156.484</v>
      </c>
      <c r="BK4" s="71">
        <f>IFERROR(__xludf.DUMMYFUNCTION("""COMPUTED_VALUE"""),127.8)</f>
        <v>127.8</v>
      </c>
      <c r="BL4" s="71">
        <f>IFERROR(__xludf.DUMMYFUNCTION("""COMPUTED_VALUE"""),20.448)</f>
        <v>20.448</v>
      </c>
      <c r="BM4" s="71">
        <f>IFERROR(__xludf.DUMMYFUNCTION("""COMPUTED_VALUE"""),148.248)</f>
        <v>148.248</v>
      </c>
      <c r="BN4" s="71">
        <f>IFERROR(__xludf.DUMMYFUNCTION("""COMPUTED_VALUE"""),120.7)</f>
        <v>120.7</v>
      </c>
      <c r="BO4" s="71">
        <f>IFERROR(__xludf.DUMMYFUNCTION("""COMPUTED_VALUE"""),19.312)</f>
        <v>19.312</v>
      </c>
      <c r="BP4" s="71">
        <f>IFERROR(__xludf.DUMMYFUNCTION("""COMPUTED_VALUE"""),140.012)</f>
        <v>140.012</v>
      </c>
      <c r="BQ4" s="71">
        <f>IFERROR(__xludf.DUMMYFUNCTION("""COMPUTED_VALUE"""),120.7)</f>
        <v>120.7</v>
      </c>
      <c r="BR4" s="71">
        <f>IFERROR(__xludf.DUMMYFUNCTION("""COMPUTED_VALUE"""),19.312)</f>
        <v>19.312</v>
      </c>
      <c r="BS4" s="71">
        <f>IFERROR(__xludf.DUMMYFUNCTION("""COMPUTED_VALUE"""),140.012)</f>
        <v>140.012</v>
      </c>
      <c r="BT4" s="71">
        <f>IFERROR(__xludf.DUMMYFUNCTION("""COMPUTED_VALUE"""),120.7)</f>
        <v>120.7</v>
      </c>
      <c r="BU4" s="71">
        <f>IFERROR(__xludf.DUMMYFUNCTION("""COMPUTED_VALUE"""),19.312)</f>
        <v>19.312</v>
      </c>
      <c r="BV4" s="71">
        <f>IFERROR(__xludf.DUMMYFUNCTION("""COMPUTED_VALUE"""),140.012)</f>
        <v>140.012</v>
      </c>
    </row>
    <row r="5">
      <c r="A5" s="53">
        <v>1.0</v>
      </c>
      <c r="B5" s="72"/>
      <c r="C5" s="73" t="s">
        <v>12</v>
      </c>
      <c r="D5" s="74" t="s">
        <v>45</v>
      </c>
      <c r="E5" s="54" t="s">
        <v>38</v>
      </c>
      <c r="F5" s="54" t="s">
        <v>42</v>
      </c>
      <c r="G5" s="54" t="s">
        <v>46</v>
      </c>
      <c r="H5" s="54" t="str">
        <f>G5</f>
        <v>ACEITE SAE BARDAHL 40</v>
      </c>
      <c r="I5" s="54">
        <f t="shared" si="1"/>
        <v>21</v>
      </c>
      <c r="J5" s="56"/>
      <c r="K5" s="75"/>
      <c r="L5" s="77"/>
      <c r="M5" s="59"/>
      <c r="N5" s="60">
        <v>100.0</v>
      </c>
      <c r="O5" s="61">
        <v>108.0</v>
      </c>
      <c r="P5" s="62">
        <v>134.78</v>
      </c>
      <c r="Q5" s="63">
        <v>134.78</v>
      </c>
      <c r="R5" s="78">
        <v>130.0</v>
      </c>
      <c r="S5" s="65">
        <v>137.0</v>
      </c>
      <c r="T5" s="65">
        <f t="shared" si="2"/>
        <v>21.92</v>
      </c>
      <c r="U5" s="65">
        <f t="shared" si="3"/>
        <v>158.92</v>
      </c>
      <c r="V5" s="66">
        <f t="shared" si="4"/>
        <v>0.05384615385</v>
      </c>
      <c r="W5" s="67">
        <f t="shared" si="5"/>
        <v>130.15</v>
      </c>
      <c r="X5" s="67">
        <f t="shared" si="6"/>
        <v>20.824</v>
      </c>
      <c r="Y5" s="67">
        <f t="shared" si="7"/>
        <v>150.974</v>
      </c>
      <c r="Z5" s="67">
        <f t="shared" si="8"/>
        <v>123.3</v>
      </c>
      <c r="AA5" s="67">
        <f t="shared" si="9"/>
        <v>19.728</v>
      </c>
      <c r="AB5" s="67">
        <f t="shared" si="10"/>
        <v>143.028</v>
      </c>
      <c r="AC5" s="67">
        <f t="shared" si="11"/>
        <v>116.45</v>
      </c>
      <c r="AD5" s="67">
        <f t="shared" si="12"/>
        <v>18.632</v>
      </c>
      <c r="AE5" s="67">
        <f t="shared" si="13"/>
        <v>135.082</v>
      </c>
      <c r="AF5" s="67">
        <f t="shared" si="14"/>
        <v>113.71</v>
      </c>
      <c r="AG5" s="67">
        <f t="shared" si="15"/>
        <v>18.1936</v>
      </c>
      <c r="AH5" s="67">
        <f t="shared" si="16"/>
        <v>131.9036</v>
      </c>
      <c r="AI5" s="67">
        <f t="shared" si="17"/>
        <v>109.6</v>
      </c>
      <c r="AJ5" s="68">
        <f t="shared" si="18"/>
        <v>17.536</v>
      </c>
      <c r="AK5" s="68">
        <f t="shared" si="19"/>
        <v>127.136</v>
      </c>
      <c r="AL5" s="70">
        <f>IFERROR(__xludf.DUMMYFUNCTION("""COMPUTED_VALUE"""),1.0)</f>
        <v>1</v>
      </c>
      <c r="AM5" s="70">
        <f>IFERROR(__xludf.DUMMYFUNCTION("""COMPUTED_VALUE"""),2.0)</f>
        <v>2</v>
      </c>
      <c r="AN5" s="71" t="str">
        <f>IFERROR(__xludf.DUMMYFUNCTION("""COMPUTED_VALUE""")," C")</f>
        <v>C</v>
      </c>
      <c r="AO5" s="71" t="str">
        <f>IFERROR(__xludf.DUMMYFUNCTION("""COMPUTED_VALUE""")," AE02")</f>
        <v>AE02</v>
      </c>
      <c r="AP5" s="71" t="str">
        <f>IFERROR(__xludf.DUMMYFUNCTION("""COMPUTED_VALUE""")," PZA")</f>
        <v>PZA</v>
      </c>
      <c r="AQ5" s="71" t="str">
        <f>IFERROR(__xludf.DUMMYFUNCTION("""COMPUTED_VALUE""")," REF")</f>
        <v>REF</v>
      </c>
      <c r="AR5" s="71" t="str">
        <f>IFERROR(__xludf.DUMMYFUNCTION("""COMPUTED_VALUE""")," ACEITERA DE PIPETA FLEXIBLE 500 ML. TRUPER")</f>
        <v>ACEITERA DE PIPETA FLEXIBLE 500 ML. TRUPER</v>
      </c>
      <c r="AS5" s="71" t="str">
        <f>IFERROR(__xludf.DUMMYFUNCTION("""COMPUTED_VALUE""")," ACEITERA PIPETA FLEXIBLE 500 ML TRUPER")</f>
        <v>ACEITERA PIPETA FLEXIBLE 500 ML TRUPER</v>
      </c>
      <c r="AT5" s="71">
        <f>IFERROR(__xludf.DUMMYFUNCTION("""COMPUTED_VALUE"""),38.0)</f>
        <v>38</v>
      </c>
      <c r="AU5" s="71"/>
      <c r="AV5" s="71"/>
      <c r="AW5" s="71"/>
      <c r="AX5" s="71"/>
      <c r="AY5" s="71">
        <f>IFERROR(__xludf.DUMMYFUNCTION("""COMPUTED_VALUE"""),119.0)</f>
        <v>119</v>
      </c>
      <c r="AZ5" s="71">
        <f>IFERROR(__xludf.DUMMYFUNCTION("""COMPUTED_VALUE"""),128.0)</f>
        <v>128</v>
      </c>
      <c r="BA5" s="71">
        <f>IFERROR(__xludf.DUMMYFUNCTION("""COMPUTED_VALUE"""),138.24)</f>
        <v>138.24</v>
      </c>
      <c r="BB5" s="71">
        <f>IFERROR(__xludf.DUMMYFUNCTION("""COMPUTED_VALUE"""),138.24)</f>
        <v>138.24</v>
      </c>
      <c r="BC5" s="71">
        <f>IFERROR(__xludf.DUMMYFUNCTION("""COMPUTED_VALUE"""),155.0)</f>
        <v>155</v>
      </c>
      <c r="BD5" s="71">
        <f>IFERROR(__xludf.DUMMYFUNCTION("""COMPUTED_VALUE"""),163.0)</f>
        <v>163</v>
      </c>
      <c r="BE5" s="71">
        <f>IFERROR(__xludf.DUMMYFUNCTION("""COMPUTED_VALUE"""),26.080000000000002)</f>
        <v>26.08</v>
      </c>
      <c r="BF5" s="71">
        <f>IFERROR(__xludf.DUMMYFUNCTION("""COMPUTED_VALUE"""),189.08)</f>
        <v>189.08</v>
      </c>
      <c r="BG5" s="71">
        <f>IFERROR(__xludf.DUMMYFUNCTION("""COMPUTED_VALUE"""),0.05161290322580645)</f>
        <v>0.05161290323</v>
      </c>
      <c r="BH5" s="71">
        <f>IFERROR(__xludf.DUMMYFUNCTION("""COMPUTED_VALUE"""),154.85)</f>
        <v>154.85</v>
      </c>
      <c r="BI5" s="71">
        <f>IFERROR(__xludf.DUMMYFUNCTION("""COMPUTED_VALUE"""),24.776)</f>
        <v>24.776</v>
      </c>
      <c r="BJ5" s="71">
        <f>IFERROR(__xludf.DUMMYFUNCTION("""COMPUTED_VALUE"""),179.626)</f>
        <v>179.626</v>
      </c>
      <c r="BK5" s="71">
        <f>IFERROR(__xludf.DUMMYFUNCTION("""COMPUTED_VALUE"""),146.70000000000002)</f>
        <v>146.7</v>
      </c>
      <c r="BL5" s="71">
        <f>IFERROR(__xludf.DUMMYFUNCTION("""COMPUTED_VALUE"""),23.472000000000005)</f>
        <v>23.472</v>
      </c>
      <c r="BM5" s="71">
        <f>IFERROR(__xludf.DUMMYFUNCTION("""COMPUTED_VALUE"""),170.17200000000003)</f>
        <v>170.172</v>
      </c>
      <c r="BN5" s="71">
        <f>IFERROR(__xludf.DUMMYFUNCTION("""COMPUTED_VALUE"""),138.54999999999998)</f>
        <v>138.55</v>
      </c>
      <c r="BO5" s="71">
        <f>IFERROR(__xludf.DUMMYFUNCTION("""COMPUTED_VALUE"""),22.168)</f>
        <v>22.168</v>
      </c>
      <c r="BP5" s="71">
        <f>IFERROR(__xludf.DUMMYFUNCTION("""COMPUTED_VALUE"""),160.718)</f>
        <v>160.718</v>
      </c>
      <c r="BQ5" s="71">
        <f>IFERROR(__xludf.DUMMYFUNCTION("""COMPUTED_VALUE"""),138.54999999999998)</f>
        <v>138.55</v>
      </c>
      <c r="BR5" s="71">
        <f>IFERROR(__xludf.DUMMYFUNCTION("""COMPUTED_VALUE"""),22.168)</f>
        <v>22.168</v>
      </c>
      <c r="BS5" s="71">
        <f>IFERROR(__xludf.DUMMYFUNCTION("""COMPUTED_VALUE"""),160.718)</f>
        <v>160.718</v>
      </c>
      <c r="BT5" s="71">
        <f>IFERROR(__xludf.DUMMYFUNCTION("""COMPUTED_VALUE"""),138.54999999999998)</f>
        <v>138.55</v>
      </c>
      <c r="BU5" s="71">
        <f>IFERROR(__xludf.DUMMYFUNCTION("""COMPUTED_VALUE"""),22.168)</f>
        <v>22.168</v>
      </c>
      <c r="BV5" s="71">
        <f>IFERROR(__xludf.DUMMYFUNCTION("""COMPUTED_VALUE"""),160.718)</f>
        <v>160.718</v>
      </c>
    </row>
    <row r="6">
      <c r="A6" s="53">
        <v>1.0</v>
      </c>
      <c r="B6" s="72">
        <v>2.0</v>
      </c>
      <c r="C6" s="73" t="s">
        <v>12</v>
      </c>
      <c r="D6" s="74" t="s">
        <v>47</v>
      </c>
      <c r="E6" s="54" t="s">
        <v>38</v>
      </c>
      <c r="F6" s="54" t="s">
        <v>42</v>
      </c>
      <c r="G6" s="54" t="s">
        <v>48</v>
      </c>
      <c r="H6" s="54" t="s">
        <v>49</v>
      </c>
      <c r="I6" s="54">
        <f t="shared" si="1"/>
        <v>38</v>
      </c>
      <c r="J6" s="56"/>
      <c r="K6" s="75"/>
      <c r="L6" s="76"/>
      <c r="M6" s="59"/>
      <c r="N6" s="60">
        <v>103.0</v>
      </c>
      <c r="O6" s="61">
        <v>111.0</v>
      </c>
      <c r="P6" s="62">
        <v>119.88000000000001</v>
      </c>
      <c r="Q6" s="63">
        <v>119.88000000000001</v>
      </c>
      <c r="R6" s="64">
        <v>135.0</v>
      </c>
      <c r="S6" s="65">
        <v>142.0</v>
      </c>
      <c r="T6" s="65">
        <f t="shared" si="2"/>
        <v>22.72</v>
      </c>
      <c r="U6" s="65">
        <f t="shared" si="3"/>
        <v>164.72</v>
      </c>
      <c r="V6" s="66">
        <f t="shared" si="4"/>
        <v>0.05185185185</v>
      </c>
      <c r="W6" s="67">
        <f t="shared" si="5"/>
        <v>134.9</v>
      </c>
      <c r="X6" s="67">
        <f t="shared" si="6"/>
        <v>21.584</v>
      </c>
      <c r="Y6" s="67">
        <f t="shared" si="7"/>
        <v>156.484</v>
      </c>
      <c r="Z6" s="67">
        <f t="shared" si="8"/>
        <v>127.8</v>
      </c>
      <c r="AA6" s="67">
        <f t="shared" si="9"/>
        <v>20.448</v>
      </c>
      <c r="AB6" s="67">
        <f t="shared" si="10"/>
        <v>148.248</v>
      </c>
      <c r="AC6" s="67">
        <f t="shared" si="11"/>
        <v>120.7</v>
      </c>
      <c r="AD6" s="67">
        <f t="shared" si="12"/>
        <v>19.312</v>
      </c>
      <c r="AE6" s="67">
        <f t="shared" si="13"/>
        <v>140.012</v>
      </c>
      <c r="AF6" s="67">
        <f t="shared" si="14"/>
        <v>120.7</v>
      </c>
      <c r="AG6" s="67">
        <f t="shared" si="15"/>
        <v>19.312</v>
      </c>
      <c r="AH6" s="67">
        <f t="shared" si="16"/>
        <v>140.012</v>
      </c>
      <c r="AI6" s="67">
        <f t="shared" si="17"/>
        <v>120.7</v>
      </c>
      <c r="AJ6" s="68">
        <f t="shared" si="18"/>
        <v>19.312</v>
      </c>
      <c r="AK6" s="68">
        <f t="shared" si="19"/>
        <v>140.012</v>
      </c>
      <c r="AL6" s="70">
        <f>IFERROR(__xludf.DUMMYFUNCTION("""COMPUTED_VALUE"""),1.0)</f>
        <v>1</v>
      </c>
      <c r="AM6" s="70"/>
      <c r="AN6" s="71" t="str">
        <f>IFERROR(__xludf.DUMMYFUNCTION("""COMPUTED_VALUE""")," P")</f>
        <v>P</v>
      </c>
      <c r="AO6" s="71" t="str">
        <f>IFERROR(__xludf.DUMMYFUNCTION("""COMPUTED_VALUE""")," AM10")</f>
        <v>AM10</v>
      </c>
      <c r="AP6" s="71" t="str">
        <f>IFERROR(__xludf.DUMMYFUNCTION("""COMPUTED_VALUE""")," PZA")</f>
        <v>PZA</v>
      </c>
      <c r="AQ6" s="71" t="str">
        <f>IFERROR(__xludf.DUMMYFUNCTION("""COMPUTED_VALUE""")," REF")</f>
        <v>REF</v>
      </c>
      <c r="AR6" s="71" t="str">
        <f>IFERROR(__xludf.DUMMYFUNCTION("""COMPUTED_VALUE""")," ACOMODADOR DE TORTILLAS CUADRUPLEX")</f>
        <v>ACOMODADOR DE TORTILLAS CUADRUPLEX</v>
      </c>
      <c r="AS6" s="71" t="str">
        <f>IFERROR(__xludf.DUMMYFUNCTION("""COMPUTED_VALUE""")," ACOMODADOR DE TORTILLAS CUADRUPLEX")</f>
        <v>ACOMODADOR DE TORTILLAS CUADRUPLEX</v>
      </c>
      <c r="AT6" s="71">
        <f>IFERROR(__xludf.DUMMYFUNCTION("""COMPUTED_VALUE"""),34.0)</f>
        <v>34</v>
      </c>
      <c r="AU6" s="71"/>
      <c r="AV6" s="71"/>
      <c r="AW6" s="71"/>
      <c r="AX6" s="71"/>
      <c r="AY6" s="71">
        <f>IFERROR(__xludf.DUMMYFUNCTION("""COMPUTED_VALUE"""),4097.0)</f>
        <v>4097</v>
      </c>
      <c r="AZ6" s="71">
        <f>IFERROR(__xludf.DUMMYFUNCTION("""COMPUTED_VALUE"""),4424.0)</f>
        <v>4424</v>
      </c>
      <c r="BA6" s="71">
        <f>IFERROR(__xludf.DUMMYFUNCTION("""COMPUTED_VALUE"""),4777.92)</f>
        <v>4777.92</v>
      </c>
      <c r="BB6" s="71">
        <f>IFERROR(__xludf.DUMMYFUNCTION("""COMPUTED_VALUE"""),4777.92)</f>
        <v>4777.92</v>
      </c>
      <c r="BC6" s="71">
        <f>IFERROR(__xludf.DUMMYFUNCTION("""COMPUTED_VALUE"""),5319.0)</f>
        <v>5319</v>
      </c>
      <c r="BD6" s="71">
        <f>IFERROR(__xludf.DUMMYFUNCTION("""COMPUTED_VALUE"""),5585.0)</f>
        <v>5585</v>
      </c>
      <c r="BE6" s="71">
        <f>IFERROR(__xludf.DUMMYFUNCTION("""COMPUTED_VALUE"""),893.6)</f>
        <v>893.6</v>
      </c>
      <c r="BF6" s="71">
        <f>IFERROR(__xludf.DUMMYFUNCTION("""COMPUTED_VALUE"""),6478.6)</f>
        <v>6478.6</v>
      </c>
      <c r="BG6" s="71">
        <f>IFERROR(__xludf.DUMMYFUNCTION("""COMPUTED_VALUE"""),0.05000940026320737)</f>
        <v>0.05000940026</v>
      </c>
      <c r="BH6" s="71">
        <f>IFERROR(__xludf.DUMMYFUNCTION("""COMPUTED_VALUE"""),5305.75)</f>
        <v>5305.75</v>
      </c>
      <c r="BI6" s="71">
        <f>IFERROR(__xludf.DUMMYFUNCTION("""COMPUTED_VALUE"""),848.9200000000001)</f>
        <v>848.92</v>
      </c>
      <c r="BJ6" s="71">
        <f>IFERROR(__xludf.DUMMYFUNCTION("""COMPUTED_VALUE"""),6154.67)</f>
        <v>6154.67</v>
      </c>
      <c r="BK6" s="71">
        <f>IFERROR(__xludf.DUMMYFUNCTION("""COMPUTED_VALUE"""),5026.5)</f>
        <v>5026.5</v>
      </c>
      <c r="BL6" s="71">
        <f>IFERROR(__xludf.DUMMYFUNCTION("""COMPUTED_VALUE"""),804.24)</f>
        <v>804.24</v>
      </c>
      <c r="BM6" s="71">
        <f>IFERROR(__xludf.DUMMYFUNCTION("""COMPUTED_VALUE"""),5830.74)</f>
        <v>5830.74</v>
      </c>
      <c r="BN6" s="71">
        <f>IFERROR(__xludf.DUMMYFUNCTION("""COMPUTED_VALUE"""),4747.25)</f>
        <v>4747.25</v>
      </c>
      <c r="BO6" s="71">
        <f>IFERROR(__xludf.DUMMYFUNCTION("""COMPUTED_VALUE"""),759.5600000000001)</f>
        <v>759.56</v>
      </c>
      <c r="BP6" s="71">
        <f>IFERROR(__xludf.DUMMYFUNCTION("""COMPUTED_VALUE"""),5506.81)</f>
        <v>5506.81</v>
      </c>
      <c r="BQ6" s="71">
        <f>IFERROR(__xludf.DUMMYFUNCTION("""COMPUTED_VALUE"""),4635.55)</f>
        <v>4635.55</v>
      </c>
      <c r="BR6" s="71">
        <f>IFERROR(__xludf.DUMMYFUNCTION("""COMPUTED_VALUE"""),741.688)</f>
        <v>741.688</v>
      </c>
      <c r="BS6" s="71">
        <f>IFERROR(__xludf.DUMMYFUNCTION("""COMPUTED_VALUE"""),5377.238)</f>
        <v>5377.238</v>
      </c>
      <c r="BT6" s="71">
        <f>IFERROR(__xludf.DUMMYFUNCTION("""COMPUTED_VALUE"""),4468.0)</f>
        <v>4468</v>
      </c>
      <c r="BU6" s="71">
        <f>IFERROR(__xludf.DUMMYFUNCTION("""COMPUTED_VALUE"""),714.88)</f>
        <v>714.88</v>
      </c>
      <c r="BV6" s="71">
        <f>IFERROR(__xludf.DUMMYFUNCTION("""COMPUTED_VALUE"""),5182.88)</f>
        <v>5182.88</v>
      </c>
    </row>
    <row r="7">
      <c r="A7" s="53">
        <v>1.0</v>
      </c>
      <c r="B7" s="72">
        <v>2.0</v>
      </c>
      <c r="C7" s="73" t="s">
        <v>12</v>
      </c>
      <c r="D7" s="74" t="s">
        <v>50</v>
      </c>
      <c r="E7" s="54" t="s">
        <v>38</v>
      </c>
      <c r="F7" s="54" t="s">
        <v>42</v>
      </c>
      <c r="G7" s="54" t="s">
        <v>51</v>
      </c>
      <c r="H7" s="54" t="s">
        <v>52</v>
      </c>
      <c r="I7" s="54">
        <f t="shared" si="1"/>
        <v>38</v>
      </c>
      <c r="J7" s="56"/>
      <c r="K7" s="75"/>
      <c r="L7" s="77"/>
      <c r="M7" s="59"/>
      <c r="N7" s="60">
        <v>119.0</v>
      </c>
      <c r="O7" s="61">
        <v>128.0</v>
      </c>
      <c r="P7" s="62">
        <v>138.24</v>
      </c>
      <c r="Q7" s="63">
        <v>138.24</v>
      </c>
      <c r="R7" s="64">
        <v>155.0</v>
      </c>
      <c r="S7" s="65">
        <v>163.0</v>
      </c>
      <c r="T7" s="65">
        <f t="shared" si="2"/>
        <v>26.08</v>
      </c>
      <c r="U7" s="65">
        <f t="shared" si="3"/>
        <v>189.08</v>
      </c>
      <c r="V7" s="66">
        <f t="shared" si="4"/>
        <v>0.05161290323</v>
      </c>
      <c r="W7" s="67">
        <f t="shared" si="5"/>
        <v>154.85</v>
      </c>
      <c r="X7" s="67">
        <f t="shared" si="6"/>
        <v>24.776</v>
      </c>
      <c r="Y7" s="67">
        <f t="shared" si="7"/>
        <v>179.626</v>
      </c>
      <c r="Z7" s="67">
        <f t="shared" si="8"/>
        <v>146.7</v>
      </c>
      <c r="AA7" s="67">
        <f t="shared" si="9"/>
        <v>23.472</v>
      </c>
      <c r="AB7" s="67">
        <f t="shared" si="10"/>
        <v>170.172</v>
      </c>
      <c r="AC7" s="67">
        <f t="shared" si="11"/>
        <v>138.55</v>
      </c>
      <c r="AD7" s="67">
        <f t="shared" si="12"/>
        <v>22.168</v>
      </c>
      <c r="AE7" s="67">
        <f t="shared" si="13"/>
        <v>160.718</v>
      </c>
      <c r="AF7" s="67">
        <f t="shared" si="14"/>
        <v>138.55</v>
      </c>
      <c r="AG7" s="67">
        <f t="shared" si="15"/>
        <v>22.168</v>
      </c>
      <c r="AH7" s="67">
        <f t="shared" si="16"/>
        <v>160.718</v>
      </c>
      <c r="AI7" s="67">
        <f t="shared" si="17"/>
        <v>138.55</v>
      </c>
      <c r="AJ7" s="68">
        <f t="shared" si="18"/>
        <v>22.168</v>
      </c>
      <c r="AK7" s="68">
        <f t="shared" si="19"/>
        <v>160.718</v>
      </c>
      <c r="AL7" s="70">
        <f>IFERROR(__xludf.DUMMYFUNCTION("""COMPUTED_VALUE"""),1.0)</f>
        <v>1</v>
      </c>
      <c r="AM7" s="70"/>
      <c r="AN7" s="71" t="str">
        <f>IFERROR(__xludf.DUMMYFUNCTION("""COMPUTED_VALUE""")," P")</f>
        <v>P</v>
      </c>
      <c r="AO7" s="71" t="str">
        <f>IFERROR(__xludf.DUMMYFUNCTION("""COMPUTED_VALUE""")," AM01")</f>
        <v>AM01</v>
      </c>
      <c r="AP7" s="71" t="str">
        <f>IFERROR(__xludf.DUMMYFUNCTION("""COMPUTED_VALUE""")," PZA")</f>
        <v>PZA</v>
      </c>
      <c r="AQ7" s="71" t="str">
        <f>IFERROR(__xludf.DUMMYFUNCTION("""COMPUTED_VALUE""")," REF")</f>
        <v>REF</v>
      </c>
      <c r="AR7" s="71" t="str">
        <f>IFERROR(__xludf.DUMMYFUNCTION("""COMPUTED_VALUE""")," ACOMODADOR DE TORTILLAS ESTÁNDAR (10-17 CM.)")</f>
        <v>ACOMODADOR DE TORTILLAS ESTÁNDAR (10-17 CM.)</v>
      </c>
      <c r="AS7" s="71" t="str">
        <f>IFERROR(__xludf.DUMMYFUNCTION("""COMPUTED_VALUE""")," ACOMODADOR DE TORTILLAS STD 10-17 CM")</f>
        <v>ACOMODADOR DE TORTILLAS STD 10-17 CM</v>
      </c>
      <c r="AT7" s="71">
        <f>IFERROR(__xludf.DUMMYFUNCTION("""COMPUTED_VALUE"""),36.0)</f>
        <v>36</v>
      </c>
      <c r="AU7" s="71"/>
      <c r="AV7" s="71"/>
      <c r="AW7" s="71"/>
      <c r="AX7" s="71"/>
      <c r="AY7" s="71">
        <f>IFERROR(__xludf.DUMMYFUNCTION("""COMPUTED_VALUE"""),780.0)</f>
        <v>780</v>
      </c>
      <c r="AZ7" s="71">
        <f>IFERROR(__xludf.DUMMYFUNCTION("""COMPUTED_VALUE"""),842.0)</f>
        <v>842</v>
      </c>
      <c r="BA7" s="71">
        <f>IFERROR(__xludf.DUMMYFUNCTION("""COMPUTED_VALUE"""),909.36)</f>
        <v>909.36</v>
      </c>
      <c r="BB7" s="71">
        <f>IFERROR(__xludf.DUMMYFUNCTION("""COMPUTED_VALUE"""),909.36)</f>
        <v>909.36</v>
      </c>
      <c r="BC7" s="71">
        <f>IFERROR(__xludf.DUMMYFUNCTION("""COMPUTED_VALUE"""),1013.0)</f>
        <v>1013</v>
      </c>
      <c r="BD7" s="71">
        <f>IFERROR(__xludf.DUMMYFUNCTION("""COMPUTED_VALUE"""),1064.0)</f>
        <v>1064</v>
      </c>
      <c r="BE7" s="71">
        <f>IFERROR(__xludf.DUMMYFUNCTION("""COMPUTED_VALUE"""),170.24)</f>
        <v>170.24</v>
      </c>
      <c r="BF7" s="71">
        <f>IFERROR(__xludf.DUMMYFUNCTION("""COMPUTED_VALUE"""),1234.24)</f>
        <v>1234.24</v>
      </c>
      <c r="BG7" s="71">
        <f>IFERROR(__xludf.DUMMYFUNCTION("""COMPUTED_VALUE"""),0.050345508390918066)</f>
        <v>0.05034550839</v>
      </c>
      <c r="BH7" s="71">
        <f>IFERROR(__xludf.DUMMYFUNCTION("""COMPUTED_VALUE"""),1010.8)</f>
        <v>1010.8</v>
      </c>
      <c r="BI7" s="71">
        <f>IFERROR(__xludf.DUMMYFUNCTION("""COMPUTED_VALUE"""),161.728)</f>
        <v>161.728</v>
      </c>
      <c r="BJ7" s="71">
        <f>IFERROR(__xludf.DUMMYFUNCTION("""COMPUTED_VALUE"""),1172.528)</f>
        <v>1172.528</v>
      </c>
      <c r="BK7" s="71">
        <f>IFERROR(__xludf.DUMMYFUNCTION("""COMPUTED_VALUE"""),957.6)</f>
        <v>957.6</v>
      </c>
      <c r="BL7" s="71">
        <f>IFERROR(__xludf.DUMMYFUNCTION("""COMPUTED_VALUE"""),153.216)</f>
        <v>153.216</v>
      </c>
      <c r="BM7" s="71">
        <f>IFERROR(__xludf.DUMMYFUNCTION("""COMPUTED_VALUE"""),1110.816)</f>
        <v>1110.816</v>
      </c>
      <c r="BN7" s="71">
        <f>IFERROR(__xludf.DUMMYFUNCTION("""COMPUTED_VALUE"""),904.4)</f>
        <v>904.4</v>
      </c>
      <c r="BO7" s="71">
        <f>IFERROR(__xludf.DUMMYFUNCTION("""COMPUTED_VALUE"""),144.704)</f>
        <v>144.704</v>
      </c>
      <c r="BP7" s="71">
        <f>IFERROR(__xludf.DUMMYFUNCTION("""COMPUTED_VALUE"""),1049.104)</f>
        <v>1049.104</v>
      </c>
      <c r="BQ7" s="71">
        <f>IFERROR(__xludf.DUMMYFUNCTION("""COMPUTED_VALUE"""),883.12)</f>
        <v>883.12</v>
      </c>
      <c r="BR7" s="71">
        <f>IFERROR(__xludf.DUMMYFUNCTION("""COMPUTED_VALUE"""),141.2992)</f>
        <v>141.2992</v>
      </c>
      <c r="BS7" s="71">
        <f>IFERROR(__xludf.DUMMYFUNCTION("""COMPUTED_VALUE"""),1024.4192)</f>
        <v>1024.4192</v>
      </c>
      <c r="BT7" s="71">
        <f>IFERROR(__xludf.DUMMYFUNCTION("""COMPUTED_VALUE"""),851.2)</f>
        <v>851.2</v>
      </c>
      <c r="BU7" s="71">
        <f>IFERROR(__xludf.DUMMYFUNCTION("""COMPUTED_VALUE"""),136.192)</f>
        <v>136.192</v>
      </c>
      <c r="BV7" s="71">
        <f>IFERROR(__xludf.DUMMYFUNCTION("""COMPUTED_VALUE"""),987.392)</f>
        <v>987.392</v>
      </c>
    </row>
    <row r="8">
      <c r="A8" s="53"/>
      <c r="B8" s="53"/>
      <c r="C8" s="73" t="s">
        <v>53</v>
      </c>
      <c r="D8" s="53" t="s">
        <v>54</v>
      </c>
      <c r="E8" s="54" t="s">
        <v>38</v>
      </c>
      <c r="F8" s="54" t="s">
        <v>42</v>
      </c>
      <c r="G8" s="55" t="s">
        <v>55</v>
      </c>
      <c r="H8" s="54" t="s">
        <v>56</v>
      </c>
      <c r="I8" s="54">
        <f t="shared" si="1"/>
        <v>29</v>
      </c>
      <c r="J8" s="56"/>
      <c r="K8" s="57"/>
      <c r="L8" s="76"/>
      <c r="M8" s="59"/>
      <c r="N8" s="79">
        <v>2100.0</v>
      </c>
      <c r="O8" s="61">
        <v>2268.0</v>
      </c>
      <c r="P8" s="62">
        <v>2449.44</v>
      </c>
      <c r="Q8" s="63">
        <v>2449.44</v>
      </c>
      <c r="R8" s="64">
        <v>2572.0</v>
      </c>
      <c r="S8" s="65">
        <v>2701.0</v>
      </c>
      <c r="T8" s="65">
        <f t="shared" si="2"/>
        <v>432.16</v>
      </c>
      <c r="U8" s="65">
        <f t="shared" si="3"/>
        <v>3133.16</v>
      </c>
      <c r="V8" s="66">
        <f t="shared" si="4"/>
        <v>0.050155521</v>
      </c>
      <c r="W8" s="67">
        <f t="shared" si="5"/>
        <v>2565.95</v>
      </c>
      <c r="X8" s="67">
        <f t="shared" si="6"/>
        <v>410.552</v>
      </c>
      <c r="Y8" s="67">
        <f t="shared" si="7"/>
        <v>2976.502</v>
      </c>
      <c r="Z8" s="67">
        <f t="shared" si="8"/>
        <v>2430.9</v>
      </c>
      <c r="AA8" s="67">
        <f t="shared" si="9"/>
        <v>388.944</v>
      </c>
      <c r="AB8" s="67">
        <f t="shared" si="10"/>
        <v>2819.844</v>
      </c>
      <c r="AC8" s="67">
        <f t="shared" si="11"/>
        <v>2295.85</v>
      </c>
      <c r="AD8" s="67">
        <f t="shared" si="12"/>
        <v>367.336</v>
      </c>
      <c r="AE8" s="67">
        <f t="shared" si="13"/>
        <v>2663.186</v>
      </c>
      <c r="AF8" s="67">
        <f t="shared" si="14"/>
        <v>2241.83</v>
      </c>
      <c r="AG8" s="67">
        <f t="shared" si="15"/>
        <v>358.6928</v>
      </c>
      <c r="AH8" s="67">
        <f t="shared" si="16"/>
        <v>2600.5228</v>
      </c>
      <c r="AI8" s="67">
        <f t="shared" si="17"/>
        <v>2160.8</v>
      </c>
      <c r="AJ8" s="68">
        <f t="shared" si="18"/>
        <v>345.728</v>
      </c>
      <c r="AK8" s="68">
        <f t="shared" si="19"/>
        <v>2506.528</v>
      </c>
      <c r="AL8" s="70">
        <f>IFERROR(__xludf.DUMMYFUNCTION("""COMPUTED_VALUE"""),1.0)</f>
        <v>1</v>
      </c>
      <c r="AM8" s="70"/>
      <c r="AN8" s="71" t="str">
        <f>IFERROR(__xludf.DUMMYFUNCTION("""COMPUTED_VALUE""")," P")</f>
        <v>P</v>
      </c>
      <c r="AO8" s="71" t="str">
        <f>IFERROR(__xludf.DUMMYFUNCTION("""COMPUTED_VALUE""")," AM02")</f>
        <v>AM02</v>
      </c>
      <c r="AP8" s="71" t="str">
        <f>IFERROR(__xludf.DUMMYFUNCTION("""COMPUTED_VALUE""")," PZA")</f>
        <v>PZA</v>
      </c>
      <c r="AQ8" s="71" t="str">
        <f>IFERROR(__xludf.DUMMYFUNCTION("""COMPUTED_VALUE""")," REF")</f>
        <v>REF</v>
      </c>
      <c r="AR8" s="71" t="str">
        <f>IFERROR(__xludf.DUMMYFUNCTION("""COMPUTED_VALUE""")," ACOMODADOR DE TORTILLAS TIPO PUEBLA ")</f>
        <v>ACOMODADOR DE TORTILLAS TIPO PUEBLA </v>
      </c>
      <c r="AS8" s="71" t="str">
        <f>IFERROR(__xludf.DUMMYFUNCTION("""COMPUTED_VALUE""")," ACOMODADOR DE TORTILLAS TIPO PUEBLA ")</f>
        <v>ACOMODADOR DE TORTILLAS TIPO PUEBLA </v>
      </c>
      <c r="AT8" s="71">
        <f>IFERROR(__xludf.DUMMYFUNCTION("""COMPUTED_VALUE"""),36.0)</f>
        <v>36</v>
      </c>
      <c r="AU8" s="71"/>
      <c r="AV8" s="71"/>
      <c r="AW8" s="71"/>
      <c r="AX8" s="71"/>
      <c r="AY8" s="71">
        <f>IFERROR(__xludf.DUMMYFUNCTION("""COMPUTED_VALUE"""),898.0)</f>
        <v>898</v>
      </c>
      <c r="AZ8" s="71">
        <f>IFERROR(__xludf.DUMMYFUNCTION("""COMPUTED_VALUE"""),969.0)</f>
        <v>969</v>
      </c>
      <c r="BA8" s="71">
        <f>IFERROR(__xludf.DUMMYFUNCTION("""COMPUTED_VALUE"""),1046.52)</f>
        <v>1046.52</v>
      </c>
      <c r="BB8" s="71">
        <f>IFERROR(__xludf.DUMMYFUNCTION("""COMPUTED_VALUE"""),1046.52)</f>
        <v>1046.52</v>
      </c>
      <c r="BC8" s="71">
        <f>IFERROR(__xludf.DUMMYFUNCTION("""COMPUTED_VALUE"""),1166.0)</f>
        <v>1166</v>
      </c>
      <c r="BD8" s="71">
        <f>IFERROR(__xludf.DUMMYFUNCTION("""COMPUTED_VALUE"""),1224.0)</f>
        <v>1224</v>
      </c>
      <c r="BE8" s="71">
        <f>IFERROR(__xludf.DUMMYFUNCTION("""COMPUTED_VALUE"""),195.84)</f>
        <v>195.84</v>
      </c>
      <c r="BF8" s="71">
        <f>IFERROR(__xludf.DUMMYFUNCTION("""COMPUTED_VALUE"""),1419.84)</f>
        <v>1419.84</v>
      </c>
      <c r="BG8" s="71">
        <f>IFERROR(__xludf.DUMMYFUNCTION("""COMPUTED_VALUE"""),0.04974271012006861)</f>
        <v>0.04974271012</v>
      </c>
      <c r="BH8" s="71">
        <f>IFERROR(__xludf.DUMMYFUNCTION("""COMPUTED_VALUE"""),1162.8)</f>
        <v>1162.8</v>
      </c>
      <c r="BI8" s="71">
        <f>IFERROR(__xludf.DUMMYFUNCTION("""COMPUTED_VALUE"""),186.048)</f>
        <v>186.048</v>
      </c>
      <c r="BJ8" s="71">
        <f>IFERROR(__xludf.DUMMYFUNCTION("""COMPUTED_VALUE"""),1348.848)</f>
        <v>1348.848</v>
      </c>
      <c r="BK8" s="71">
        <f>IFERROR(__xludf.DUMMYFUNCTION("""COMPUTED_VALUE"""),1101.6000000000001)</f>
        <v>1101.6</v>
      </c>
      <c r="BL8" s="71">
        <f>IFERROR(__xludf.DUMMYFUNCTION("""COMPUTED_VALUE"""),176.25600000000003)</f>
        <v>176.256</v>
      </c>
      <c r="BM8" s="71">
        <f>IFERROR(__xludf.DUMMYFUNCTION("""COMPUTED_VALUE"""),1277.8560000000002)</f>
        <v>1277.856</v>
      </c>
      <c r="BN8" s="71">
        <f>IFERROR(__xludf.DUMMYFUNCTION("""COMPUTED_VALUE"""),1040.3999999999999)</f>
        <v>1040.4</v>
      </c>
      <c r="BO8" s="71">
        <f>IFERROR(__xludf.DUMMYFUNCTION("""COMPUTED_VALUE"""),166.46399999999997)</f>
        <v>166.464</v>
      </c>
      <c r="BP8" s="71">
        <f>IFERROR(__xludf.DUMMYFUNCTION("""COMPUTED_VALUE"""),1206.8639999999998)</f>
        <v>1206.864</v>
      </c>
      <c r="BQ8" s="71">
        <f>IFERROR(__xludf.DUMMYFUNCTION("""COMPUTED_VALUE"""),1015.92)</f>
        <v>1015.92</v>
      </c>
      <c r="BR8" s="71">
        <f>IFERROR(__xludf.DUMMYFUNCTION("""COMPUTED_VALUE"""),162.5472)</f>
        <v>162.5472</v>
      </c>
      <c r="BS8" s="71">
        <f>IFERROR(__xludf.DUMMYFUNCTION("""COMPUTED_VALUE"""),1178.4672)</f>
        <v>1178.4672</v>
      </c>
      <c r="BT8" s="71">
        <f>IFERROR(__xludf.DUMMYFUNCTION("""COMPUTED_VALUE"""),979.2)</f>
        <v>979.2</v>
      </c>
      <c r="BU8" s="71">
        <f>IFERROR(__xludf.DUMMYFUNCTION("""COMPUTED_VALUE"""),156.672)</f>
        <v>156.672</v>
      </c>
      <c r="BV8" s="71">
        <f>IFERROR(__xludf.DUMMYFUNCTION("""COMPUTED_VALUE"""),1135.872)</f>
        <v>1135.872</v>
      </c>
    </row>
    <row r="9">
      <c r="A9" s="53"/>
      <c r="B9" s="53"/>
      <c r="C9" s="73" t="s">
        <v>53</v>
      </c>
      <c r="D9" s="53" t="s">
        <v>57</v>
      </c>
      <c r="E9" s="54" t="s">
        <v>38</v>
      </c>
      <c r="F9" s="54" t="s">
        <v>42</v>
      </c>
      <c r="G9" s="55" t="s">
        <v>58</v>
      </c>
      <c r="H9" s="54" t="s">
        <v>59</v>
      </c>
      <c r="I9" s="54">
        <f t="shared" si="1"/>
        <v>29</v>
      </c>
      <c r="J9" s="56"/>
      <c r="K9" s="80"/>
      <c r="L9" s="76"/>
      <c r="M9" s="59"/>
      <c r="N9" s="79">
        <v>2100.0</v>
      </c>
      <c r="O9" s="61">
        <v>2268.0</v>
      </c>
      <c r="P9" s="62">
        <v>2449.44</v>
      </c>
      <c r="Q9" s="63">
        <v>2449.44</v>
      </c>
      <c r="R9" s="64">
        <v>2572.0</v>
      </c>
      <c r="S9" s="65">
        <v>2701.0</v>
      </c>
      <c r="T9" s="65">
        <f t="shared" si="2"/>
        <v>432.16</v>
      </c>
      <c r="U9" s="65">
        <f t="shared" si="3"/>
        <v>3133.16</v>
      </c>
      <c r="V9" s="66">
        <f t="shared" si="4"/>
        <v>0.050155521</v>
      </c>
      <c r="W9" s="67">
        <f t="shared" si="5"/>
        <v>2565.95</v>
      </c>
      <c r="X9" s="67">
        <f t="shared" si="6"/>
        <v>410.552</v>
      </c>
      <c r="Y9" s="67">
        <f t="shared" si="7"/>
        <v>2976.502</v>
      </c>
      <c r="Z9" s="67">
        <f t="shared" si="8"/>
        <v>2430.9</v>
      </c>
      <c r="AA9" s="67">
        <f t="shared" si="9"/>
        <v>388.944</v>
      </c>
      <c r="AB9" s="67">
        <f t="shared" si="10"/>
        <v>2819.844</v>
      </c>
      <c r="AC9" s="67">
        <f t="shared" si="11"/>
        <v>2295.85</v>
      </c>
      <c r="AD9" s="67">
        <f t="shared" si="12"/>
        <v>367.336</v>
      </c>
      <c r="AE9" s="67">
        <f t="shared" si="13"/>
        <v>2663.186</v>
      </c>
      <c r="AF9" s="67">
        <f t="shared" si="14"/>
        <v>2241.83</v>
      </c>
      <c r="AG9" s="67">
        <f t="shared" si="15"/>
        <v>358.6928</v>
      </c>
      <c r="AH9" s="67">
        <f t="shared" si="16"/>
        <v>2600.5228</v>
      </c>
      <c r="AI9" s="67">
        <f t="shared" si="17"/>
        <v>2160.8</v>
      </c>
      <c r="AJ9" s="68">
        <f t="shared" si="18"/>
        <v>345.728</v>
      </c>
      <c r="AK9" s="68">
        <f t="shared" si="19"/>
        <v>2506.528</v>
      </c>
      <c r="AL9" s="70">
        <f>IFERROR(__xludf.DUMMYFUNCTION("""COMPUTED_VALUE"""),1.0)</f>
        <v>1</v>
      </c>
      <c r="AM9" s="70"/>
      <c r="AN9" s="71" t="str">
        <f>IFERROR(__xludf.DUMMYFUNCTION("""COMPUTED_VALUE""")," P")</f>
        <v>P</v>
      </c>
      <c r="AO9" s="71" t="str">
        <f>IFERROR(__xludf.DUMMYFUNCTION("""COMPUTED_VALUE""")," AM18")</f>
        <v>AM18</v>
      </c>
      <c r="AP9" s="71" t="str">
        <f>IFERROR(__xludf.DUMMYFUNCTION("""COMPUTED_VALUE""")," JGO")</f>
        <v>JGO</v>
      </c>
      <c r="AQ9" s="71" t="str">
        <f>IFERROR(__xludf.DUMMYFUNCTION("""COMPUTED_VALUE""")," REF")</f>
        <v>REF</v>
      </c>
      <c r="AR9" s="71" t="str">
        <f>IFERROR(__xludf.DUMMYFUNCTION("""COMPUTED_VALUE""")," ACOMODADOR DE TORTILLAS TIPO PUEBLA CON TIRANTES (18-22 CM.)")</f>
        <v>ACOMODADOR DE TORTILLAS TIPO PUEBLA CON TIRANTES (18-22 CM.)</v>
      </c>
      <c r="AS9" s="71" t="str">
        <f>IFERROR(__xludf.DUMMYFUNCTION("""COMPUTED_VALUE""")," ACOMODADOR TORT. T/PUE C/TIRANT 18-22 CM")</f>
        <v>ACOMODADOR TORT. T/PUE C/TIRANT 18-22 CM</v>
      </c>
      <c r="AT9" s="71">
        <f>IFERROR(__xludf.DUMMYFUNCTION("""COMPUTED_VALUE"""),40.0)</f>
        <v>40</v>
      </c>
      <c r="AU9" s="71"/>
      <c r="AV9" s="71"/>
      <c r="AW9" s="71"/>
      <c r="AX9" s="71"/>
      <c r="AY9" s="71">
        <f>IFERROR(__xludf.DUMMYFUNCTION("""COMPUTED_VALUE"""),1026.0)</f>
        <v>1026</v>
      </c>
      <c r="AZ9" s="71">
        <f>IFERROR(__xludf.DUMMYFUNCTION("""COMPUTED_VALUE"""),1108.0)</f>
        <v>1108</v>
      </c>
      <c r="BA9" s="71">
        <f>IFERROR(__xludf.DUMMYFUNCTION("""COMPUTED_VALUE"""),1196.64)</f>
        <v>1196.64</v>
      </c>
      <c r="BB9" s="71">
        <f>IFERROR(__xludf.DUMMYFUNCTION("""COMPUTED_VALUE"""),1196.64)</f>
        <v>1196.64</v>
      </c>
      <c r="BC9" s="71">
        <f>IFERROR(__xludf.DUMMYFUNCTION("""COMPUTED_VALUE"""),1257.0)</f>
        <v>1257</v>
      </c>
      <c r="BD9" s="71">
        <f>IFERROR(__xludf.DUMMYFUNCTION("""COMPUTED_VALUE"""),1320.0)</f>
        <v>1320</v>
      </c>
      <c r="BE9" s="71">
        <f>IFERROR(__xludf.DUMMYFUNCTION("""COMPUTED_VALUE"""),211.20000000000002)</f>
        <v>211.2</v>
      </c>
      <c r="BF9" s="71">
        <f>IFERROR(__xludf.DUMMYFUNCTION("""COMPUTED_VALUE"""),1531.2)</f>
        <v>1531.2</v>
      </c>
      <c r="BG9" s="71">
        <f>IFERROR(__xludf.DUMMYFUNCTION("""COMPUTED_VALUE"""),0.050119331742243436)</f>
        <v>0.05011933174</v>
      </c>
      <c r="BH9" s="71">
        <f>IFERROR(__xludf.DUMMYFUNCTION("""COMPUTED_VALUE"""),1254.0)</f>
        <v>1254</v>
      </c>
      <c r="BI9" s="71">
        <f>IFERROR(__xludf.DUMMYFUNCTION("""COMPUTED_VALUE"""),200.64000000000001)</f>
        <v>200.64</v>
      </c>
      <c r="BJ9" s="71">
        <f>IFERROR(__xludf.DUMMYFUNCTION("""COMPUTED_VALUE"""),1454.64)</f>
        <v>1454.64</v>
      </c>
      <c r="BK9" s="71">
        <f>IFERROR(__xludf.DUMMYFUNCTION("""COMPUTED_VALUE"""),1188.0)</f>
        <v>1188</v>
      </c>
      <c r="BL9" s="71">
        <f>IFERROR(__xludf.DUMMYFUNCTION("""COMPUTED_VALUE"""),190.08)</f>
        <v>190.08</v>
      </c>
      <c r="BM9" s="71">
        <f>IFERROR(__xludf.DUMMYFUNCTION("""COMPUTED_VALUE"""),1378.08)</f>
        <v>1378.08</v>
      </c>
      <c r="BN9" s="71">
        <f>IFERROR(__xludf.DUMMYFUNCTION("""COMPUTED_VALUE"""),1122.0)</f>
        <v>1122</v>
      </c>
      <c r="BO9" s="71">
        <f>IFERROR(__xludf.DUMMYFUNCTION("""COMPUTED_VALUE"""),179.52)</f>
        <v>179.52</v>
      </c>
      <c r="BP9" s="71">
        <f>IFERROR(__xludf.DUMMYFUNCTION("""COMPUTED_VALUE"""),1301.52)</f>
        <v>1301.52</v>
      </c>
      <c r="BQ9" s="71">
        <f>IFERROR(__xludf.DUMMYFUNCTION("""COMPUTED_VALUE"""),1095.6)</f>
        <v>1095.6</v>
      </c>
      <c r="BR9" s="71">
        <f>IFERROR(__xludf.DUMMYFUNCTION("""COMPUTED_VALUE"""),175.296)</f>
        <v>175.296</v>
      </c>
      <c r="BS9" s="71">
        <f>IFERROR(__xludf.DUMMYFUNCTION("""COMPUTED_VALUE"""),1270.896)</f>
        <v>1270.896</v>
      </c>
      <c r="BT9" s="71">
        <f>IFERROR(__xludf.DUMMYFUNCTION("""COMPUTED_VALUE"""),1056.0)</f>
        <v>1056</v>
      </c>
      <c r="BU9" s="71">
        <f>IFERROR(__xludf.DUMMYFUNCTION("""COMPUTED_VALUE"""),168.96)</f>
        <v>168.96</v>
      </c>
      <c r="BV9" s="71">
        <f>IFERROR(__xludf.DUMMYFUNCTION("""COMPUTED_VALUE"""),1224.96)</f>
        <v>1224.96</v>
      </c>
    </row>
    <row r="10">
      <c r="A10" s="53"/>
      <c r="B10" s="53">
        <v>3.0</v>
      </c>
      <c r="C10" s="53" t="s">
        <v>36</v>
      </c>
      <c r="D10" s="74" t="s">
        <v>60</v>
      </c>
      <c r="E10" s="54" t="s">
        <v>38</v>
      </c>
      <c r="F10" s="55" t="s">
        <v>61</v>
      </c>
      <c r="G10" s="81" t="s">
        <v>62</v>
      </c>
      <c r="H10" s="82"/>
      <c r="I10" s="54">
        <f t="shared" si="1"/>
        <v>0</v>
      </c>
      <c r="J10" s="83"/>
      <c r="K10" s="57"/>
      <c r="L10" s="76"/>
      <c r="M10" s="59"/>
      <c r="N10" s="60"/>
      <c r="O10" s="61">
        <v>17667.0</v>
      </c>
      <c r="P10" s="62">
        <v>19080.36</v>
      </c>
      <c r="Q10" s="63">
        <v>19080.36</v>
      </c>
      <c r="R10" s="64">
        <v>21036.0</v>
      </c>
      <c r="S10" s="65">
        <v>22088.0</v>
      </c>
      <c r="T10" s="65">
        <f t="shared" si="2"/>
        <v>3534.08</v>
      </c>
      <c r="U10" s="65">
        <f t="shared" si="3"/>
        <v>25622.08</v>
      </c>
      <c r="V10" s="66">
        <f t="shared" si="4"/>
        <v>0.05000950751</v>
      </c>
      <c r="W10" s="67">
        <f t="shared" si="5"/>
        <v>20983.6</v>
      </c>
      <c r="X10" s="67">
        <f t="shared" si="6"/>
        <v>3357.376</v>
      </c>
      <c r="Y10" s="67">
        <f t="shared" si="7"/>
        <v>24340.976</v>
      </c>
      <c r="Z10" s="67">
        <f t="shared" si="8"/>
        <v>19879.2</v>
      </c>
      <c r="AA10" s="67">
        <f t="shared" si="9"/>
        <v>3180.672</v>
      </c>
      <c r="AB10" s="67">
        <f t="shared" si="10"/>
        <v>23059.872</v>
      </c>
      <c r="AC10" s="67">
        <f t="shared" si="11"/>
        <v>19879.2</v>
      </c>
      <c r="AD10" s="67">
        <f t="shared" si="12"/>
        <v>3180.672</v>
      </c>
      <c r="AE10" s="67">
        <f t="shared" si="13"/>
        <v>23059.872</v>
      </c>
      <c r="AF10" s="67">
        <f t="shared" si="14"/>
        <v>19879.2</v>
      </c>
      <c r="AG10" s="67">
        <f t="shared" si="15"/>
        <v>3180.672</v>
      </c>
      <c r="AH10" s="67">
        <f t="shared" si="16"/>
        <v>23059.872</v>
      </c>
      <c r="AI10" s="67">
        <f t="shared" si="17"/>
        <v>19879.2</v>
      </c>
      <c r="AJ10" s="68">
        <f t="shared" si="18"/>
        <v>3180.672</v>
      </c>
      <c r="AK10" s="68">
        <f t="shared" si="19"/>
        <v>23059.872</v>
      </c>
      <c r="AL10" s="70">
        <f>IFERROR(__xludf.DUMMYFUNCTION("""COMPUTED_VALUE"""),1.0)</f>
        <v>1</v>
      </c>
      <c r="AM10" s="70"/>
      <c r="AN10" s="71" t="str">
        <f>IFERROR(__xludf.DUMMYFUNCTION("""COMPUTED_VALUE""")," C")</f>
        <v>C</v>
      </c>
      <c r="AO10" s="71" t="str">
        <f>IFERROR(__xludf.DUMMYFUNCTION("""COMPUTED_VALUE""")," RL15")</f>
        <v>RL15</v>
      </c>
      <c r="AP10" s="71" t="str">
        <f>IFERROR(__xludf.DUMMYFUNCTION("""COMPUTED_VALUE""")," PZA")</f>
        <v>PZA</v>
      </c>
      <c r="AQ10" s="71" t="str">
        <f>IFERROR(__xludf.DUMMYFUNCTION("""COMPUTED_VALUE""")," REF")</f>
        <v>REF</v>
      </c>
      <c r="AR10" s="71" t="str">
        <f>IFERROR(__xludf.DUMMYFUNCTION("""COMPUTED_VALUE""")," ALAMBRE DESPEGADOR 15 GR")</f>
        <v>ALAMBRE DESPEGADOR 15 GR</v>
      </c>
      <c r="AS10" s="71" t="str">
        <f>IFERROR(__xludf.DUMMYFUNCTION("""COMPUTED_VALUE""")," ALAMBRE DESPEGADOR 15 GR")</f>
        <v>ALAMBRE DESPEGADOR 15 GR</v>
      </c>
      <c r="AT10" s="71">
        <f>IFERROR(__xludf.DUMMYFUNCTION("""COMPUTED_VALUE"""),24.0)</f>
        <v>24</v>
      </c>
      <c r="AU10" s="71"/>
      <c r="AV10" s="71"/>
      <c r="AW10" s="71"/>
      <c r="AX10" s="71"/>
      <c r="AY10" s="71"/>
      <c r="AZ10" s="71"/>
      <c r="BA10" s="71"/>
      <c r="BB10" s="71"/>
      <c r="BC10" s="71">
        <f>IFERROR(__xludf.DUMMYFUNCTION("""COMPUTED_VALUE"""),42.0)</f>
        <v>42</v>
      </c>
      <c r="BD10" s="71">
        <f>IFERROR(__xludf.DUMMYFUNCTION("""COMPUTED_VALUE"""),44.0)</f>
        <v>44</v>
      </c>
      <c r="BE10" s="71">
        <f>IFERROR(__xludf.DUMMYFUNCTION("""COMPUTED_VALUE"""),7.04)</f>
        <v>7.04</v>
      </c>
      <c r="BF10" s="71">
        <f>IFERROR(__xludf.DUMMYFUNCTION("""COMPUTED_VALUE"""),51.04)</f>
        <v>51.04</v>
      </c>
      <c r="BG10" s="71">
        <f>IFERROR(__xludf.DUMMYFUNCTION("""COMPUTED_VALUE"""),0.047619047619047616)</f>
        <v>0.04761904762</v>
      </c>
      <c r="BH10" s="71">
        <f>IFERROR(__xludf.DUMMYFUNCTION("""COMPUTED_VALUE"""),41.8)</f>
        <v>41.8</v>
      </c>
      <c r="BI10" s="71">
        <f>IFERROR(__xludf.DUMMYFUNCTION("""COMPUTED_VALUE"""),6.688)</f>
        <v>6.688</v>
      </c>
      <c r="BJ10" s="71">
        <f>IFERROR(__xludf.DUMMYFUNCTION("""COMPUTED_VALUE"""),48.488)</f>
        <v>48.488</v>
      </c>
      <c r="BK10" s="71">
        <f>IFERROR(__xludf.DUMMYFUNCTION("""COMPUTED_VALUE"""),39.6)</f>
        <v>39.6</v>
      </c>
      <c r="BL10" s="71">
        <f>IFERROR(__xludf.DUMMYFUNCTION("""COMPUTED_VALUE"""),6.336)</f>
        <v>6.336</v>
      </c>
      <c r="BM10" s="71">
        <f>IFERROR(__xludf.DUMMYFUNCTION("""COMPUTED_VALUE"""),45.936)</f>
        <v>45.936</v>
      </c>
      <c r="BN10" s="71">
        <f>IFERROR(__xludf.DUMMYFUNCTION("""COMPUTED_VALUE"""),37.4)</f>
        <v>37.4</v>
      </c>
      <c r="BO10" s="71">
        <f>IFERROR(__xludf.DUMMYFUNCTION("""COMPUTED_VALUE"""),5.984)</f>
        <v>5.984</v>
      </c>
      <c r="BP10" s="71">
        <f>IFERROR(__xludf.DUMMYFUNCTION("""COMPUTED_VALUE"""),43.384)</f>
        <v>43.384</v>
      </c>
      <c r="BQ10" s="71">
        <f>IFERROR(__xludf.DUMMYFUNCTION("""COMPUTED_VALUE"""),36.519999999999996)</f>
        <v>36.52</v>
      </c>
      <c r="BR10" s="71">
        <f>IFERROR(__xludf.DUMMYFUNCTION("""COMPUTED_VALUE"""),5.8431999999999995)</f>
        <v>5.8432</v>
      </c>
      <c r="BS10" s="71">
        <f>IFERROR(__xludf.DUMMYFUNCTION("""COMPUTED_VALUE"""),42.36319999999999)</f>
        <v>42.3632</v>
      </c>
      <c r="BT10" s="71">
        <f>IFERROR(__xludf.DUMMYFUNCTION("""COMPUTED_VALUE"""),35.2)</f>
        <v>35.2</v>
      </c>
      <c r="BU10" s="71"/>
      <c r="BV10" s="71"/>
    </row>
    <row r="11">
      <c r="A11" s="53"/>
      <c r="B11" s="53">
        <v>3.0</v>
      </c>
      <c r="C11" s="53" t="s">
        <v>36</v>
      </c>
      <c r="D11" s="74" t="s">
        <v>63</v>
      </c>
      <c r="E11" s="54" t="s">
        <v>38</v>
      </c>
      <c r="F11" s="55" t="s">
        <v>61</v>
      </c>
      <c r="G11" s="84" t="s">
        <v>64</v>
      </c>
      <c r="H11" s="55"/>
      <c r="I11" s="54">
        <f t="shared" si="1"/>
        <v>0</v>
      </c>
      <c r="J11" s="56"/>
      <c r="K11" s="57"/>
      <c r="L11" s="76"/>
      <c r="M11" s="59"/>
      <c r="N11" s="60"/>
      <c r="O11" s="61">
        <v>7624.0</v>
      </c>
      <c r="P11" s="62">
        <v>8233.92</v>
      </c>
      <c r="Q11" s="63">
        <v>8233.92</v>
      </c>
      <c r="R11" s="64">
        <v>9079.0</v>
      </c>
      <c r="S11" s="65">
        <v>9533.0</v>
      </c>
      <c r="T11" s="65">
        <f t="shared" si="2"/>
        <v>1525.28</v>
      </c>
      <c r="U11" s="65">
        <f t="shared" si="3"/>
        <v>11058.28</v>
      </c>
      <c r="V11" s="66">
        <f t="shared" si="4"/>
        <v>0.05000550721</v>
      </c>
      <c r="W11" s="67">
        <f t="shared" si="5"/>
        <v>9056.35</v>
      </c>
      <c r="X11" s="67">
        <f t="shared" si="6"/>
        <v>1449.016</v>
      </c>
      <c r="Y11" s="67">
        <f t="shared" si="7"/>
        <v>10505.366</v>
      </c>
      <c r="Z11" s="67">
        <f t="shared" si="8"/>
        <v>8579.7</v>
      </c>
      <c r="AA11" s="67">
        <f t="shared" si="9"/>
        <v>1372.752</v>
      </c>
      <c r="AB11" s="67">
        <f t="shared" si="10"/>
        <v>9952.452</v>
      </c>
      <c r="AC11" s="67">
        <f t="shared" si="11"/>
        <v>8579.7</v>
      </c>
      <c r="AD11" s="67">
        <f t="shared" si="12"/>
        <v>1372.752</v>
      </c>
      <c r="AE11" s="67">
        <f t="shared" si="13"/>
        <v>9952.452</v>
      </c>
      <c r="AF11" s="67">
        <f t="shared" si="14"/>
        <v>8579.7</v>
      </c>
      <c r="AG11" s="67">
        <f t="shared" si="15"/>
        <v>1372.752</v>
      </c>
      <c r="AH11" s="67">
        <f t="shared" si="16"/>
        <v>9952.452</v>
      </c>
      <c r="AI11" s="67">
        <f t="shared" si="17"/>
        <v>8579.7</v>
      </c>
      <c r="AJ11" s="68">
        <f t="shared" si="18"/>
        <v>1372.752</v>
      </c>
      <c r="AK11" s="68">
        <f t="shared" si="19"/>
        <v>9952.452</v>
      </c>
      <c r="AL11" s="70">
        <f>IFERROR(__xludf.DUMMYFUNCTION("""COMPUTED_VALUE"""),1.0)</f>
        <v>1</v>
      </c>
      <c r="AM11" s="70"/>
      <c r="AN11" s="71" t="str">
        <f>IFERROR(__xludf.DUMMYFUNCTION("""COMPUTED_VALUE""")," C")</f>
        <v>C</v>
      </c>
      <c r="AO11" s="71" t="str">
        <f>IFERROR(__xludf.DUMMYFUNCTION("""COMPUTED_VALUE""")," RL90")</f>
        <v>RL90</v>
      </c>
      <c r="AP11" s="71" t="str">
        <f>IFERROR(__xludf.DUMMYFUNCTION("""COMPUTED_VALUE""")," PZA")</f>
        <v>PZA</v>
      </c>
      <c r="AQ11" s="71" t="str">
        <f>IFERROR(__xludf.DUMMYFUNCTION("""COMPUTED_VALUE""")," REF")</f>
        <v>REF</v>
      </c>
      <c r="AR11" s="71" t="str">
        <f>IFERROR(__xludf.DUMMYFUNCTION("""COMPUTED_VALUE""")," ALAMBRE DESPEGADOR 90 GR")</f>
        <v>ALAMBRE DESPEGADOR 90 GR</v>
      </c>
      <c r="AS11" s="71" t="str">
        <f>IFERROR(__xludf.DUMMYFUNCTION("""COMPUTED_VALUE""")," ALAMBRE DESPEGADOR 90 GR")</f>
        <v>ALAMBRE DESPEGADOR 90 GR</v>
      </c>
      <c r="AT11" s="71">
        <f>IFERROR(__xludf.DUMMYFUNCTION("""COMPUTED_VALUE"""),24.0)</f>
        <v>24</v>
      </c>
      <c r="AU11" s="71"/>
      <c r="AV11" s="71"/>
      <c r="AW11" s="71"/>
      <c r="AX11" s="71"/>
      <c r="AY11" s="71"/>
      <c r="AZ11" s="71"/>
      <c r="BA11" s="71"/>
      <c r="BB11" s="71"/>
      <c r="BC11" s="71">
        <f>IFERROR(__xludf.DUMMYFUNCTION("""COMPUTED_VALUE"""),250.0)</f>
        <v>250</v>
      </c>
      <c r="BD11" s="71">
        <f>IFERROR(__xludf.DUMMYFUNCTION("""COMPUTED_VALUE"""),263.0)</f>
        <v>263</v>
      </c>
      <c r="BE11" s="71">
        <f>IFERROR(__xludf.DUMMYFUNCTION("""COMPUTED_VALUE"""),42.08)</f>
        <v>42.08</v>
      </c>
      <c r="BF11" s="71">
        <f>IFERROR(__xludf.DUMMYFUNCTION("""COMPUTED_VALUE"""),305.08)</f>
        <v>305.08</v>
      </c>
      <c r="BG11" s="71">
        <f>IFERROR(__xludf.DUMMYFUNCTION("""COMPUTED_VALUE"""),0.052)</f>
        <v>0.052</v>
      </c>
      <c r="BH11" s="71">
        <f>IFERROR(__xludf.DUMMYFUNCTION("""COMPUTED_VALUE"""),249.85)</f>
        <v>249.85</v>
      </c>
      <c r="BI11" s="71">
        <f>IFERROR(__xludf.DUMMYFUNCTION("""COMPUTED_VALUE"""),39.976)</f>
        <v>39.976</v>
      </c>
      <c r="BJ11" s="71">
        <f>IFERROR(__xludf.DUMMYFUNCTION("""COMPUTED_VALUE"""),289.826)</f>
        <v>289.826</v>
      </c>
      <c r="BK11" s="71">
        <f>IFERROR(__xludf.DUMMYFUNCTION("""COMPUTED_VALUE"""),236.70000000000002)</f>
        <v>236.7</v>
      </c>
      <c r="BL11" s="71">
        <f>IFERROR(__xludf.DUMMYFUNCTION("""COMPUTED_VALUE"""),37.87200000000001)</f>
        <v>37.872</v>
      </c>
      <c r="BM11" s="71">
        <f>IFERROR(__xludf.DUMMYFUNCTION("""COMPUTED_VALUE"""),274.572)</f>
        <v>274.572</v>
      </c>
      <c r="BN11" s="71">
        <f>IFERROR(__xludf.DUMMYFUNCTION("""COMPUTED_VALUE"""),223.54999999999998)</f>
        <v>223.55</v>
      </c>
      <c r="BO11" s="71">
        <f>IFERROR(__xludf.DUMMYFUNCTION("""COMPUTED_VALUE"""),35.768)</f>
        <v>35.768</v>
      </c>
      <c r="BP11" s="71">
        <f>IFERROR(__xludf.DUMMYFUNCTION("""COMPUTED_VALUE"""),259.318)</f>
        <v>259.318</v>
      </c>
      <c r="BQ11" s="71">
        <f>IFERROR(__xludf.DUMMYFUNCTION("""COMPUTED_VALUE"""),218.29)</f>
        <v>218.29</v>
      </c>
      <c r="BR11" s="71">
        <f>IFERROR(__xludf.DUMMYFUNCTION("""COMPUTED_VALUE"""),34.9264)</f>
        <v>34.9264</v>
      </c>
      <c r="BS11" s="71">
        <f>IFERROR(__xludf.DUMMYFUNCTION("""COMPUTED_VALUE"""),253.2164)</f>
        <v>253.2164</v>
      </c>
      <c r="BT11" s="71">
        <f>IFERROR(__xludf.DUMMYFUNCTION("""COMPUTED_VALUE"""),210.4)</f>
        <v>210.4</v>
      </c>
      <c r="BU11" s="71"/>
      <c r="BV11" s="71"/>
    </row>
    <row r="12">
      <c r="A12" s="53"/>
      <c r="B12" s="53">
        <v>3.0</v>
      </c>
      <c r="C12" s="53" t="s">
        <v>36</v>
      </c>
      <c r="D12" s="74" t="s">
        <v>65</v>
      </c>
      <c r="E12" s="54" t="s">
        <v>38</v>
      </c>
      <c r="F12" s="55" t="s">
        <v>61</v>
      </c>
      <c r="G12" s="84" t="s">
        <v>66</v>
      </c>
      <c r="H12" s="55"/>
      <c r="I12" s="54">
        <f t="shared" si="1"/>
        <v>0</v>
      </c>
      <c r="J12" s="56"/>
      <c r="K12" s="57"/>
      <c r="L12" s="76"/>
      <c r="M12" s="59"/>
      <c r="N12" s="60"/>
      <c r="O12" s="61">
        <v>9037.0</v>
      </c>
      <c r="P12" s="62">
        <v>9759.960000000001</v>
      </c>
      <c r="Q12" s="63">
        <v>9759.960000000001</v>
      </c>
      <c r="R12" s="64">
        <v>10761.0</v>
      </c>
      <c r="S12" s="65">
        <v>11299.0</v>
      </c>
      <c r="T12" s="65">
        <f t="shared" si="2"/>
        <v>1807.84</v>
      </c>
      <c r="U12" s="65">
        <f t="shared" si="3"/>
        <v>13106.84</v>
      </c>
      <c r="V12" s="66">
        <f t="shared" si="4"/>
        <v>0.04999535359</v>
      </c>
      <c r="W12" s="67">
        <f t="shared" si="5"/>
        <v>10734.05</v>
      </c>
      <c r="X12" s="67">
        <f t="shared" si="6"/>
        <v>1717.448</v>
      </c>
      <c r="Y12" s="67">
        <f t="shared" si="7"/>
        <v>12451.498</v>
      </c>
      <c r="Z12" s="67">
        <f t="shared" si="8"/>
        <v>10169.1</v>
      </c>
      <c r="AA12" s="67">
        <f t="shared" si="9"/>
        <v>1627.056</v>
      </c>
      <c r="AB12" s="67">
        <f t="shared" si="10"/>
        <v>11796.156</v>
      </c>
      <c r="AC12" s="67">
        <f t="shared" si="11"/>
        <v>10169.1</v>
      </c>
      <c r="AD12" s="67">
        <f t="shared" si="12"/>
        <v>1627.056</v>
      </c>
      <c r="AE12" s="67">
        <f t="shared" si="13"/>
        <v>11796.156</v>
      </c>
      <c r="AF12" s="67">
        <f t="shared" si="14"/>
        <v>10169.1</v>
      </c>
      <c r="AG12" s="67">
        <f t="shared" si="15"/>
        <v>1627.056</v>
      </c>
      <c r="AH12" s="67">
        <f t="shared" si="16"/>
        <v>11796.156</v>
      </c>
      <c r="AI12" s="67">
        <f t="shared" si="17"/>
        <v>10169.1</v>
      </c>
      <c r="AJ12" s="68">
        <f t="shared" si="18"/>
        <v>1627.056</v>
      </c>
      <c r="AK12" s="68">
        <f t="shared" si="19"/>
        <v>11796.156</v>
      </c>
      <c r="AL12" s="70">
        <f>IFERROR(__xludf.DUMMYFUNCTION("""COMPUTED_VALUE"""),1.0)</f>
        <v>1</v>
      </c>
      <c r="AM12" s="70"/>
      <c r="AN12" s="71" t="str">
        <f>IFERROR(__xludf.DUMMYFUNCTION("""COMPUTED_VALUE""")," C")</f>
        <v>C</v>
      </c>
      <c r="AO12" s="71" t="str">
        <f>IFERROR(__xludf.DUMMYFUNCTION("""COMPUTED_VALUE""")," AN01")</f>
        <v>AN01</v>
      </c>
      <c r="AP12" s="71" t="str">
        <f>IFERROR(__xludf.DUMMYFUNCTION("""COMPUTED_VALUE""")," CUB")</f>
        <v>CUB</v>
      </c>
      <c r="AQ12" s="71" t="str">
        <f>IFERROR(__xludf.DUMMYFUNCTION("""COMPUTED_VALUE""")," REF")</f>
        <v>REF</v>
      </c>
      <c r="AR12" s="71" t="str">
        <f>IFERROR(__xludf.DUMMYFUNCTION("""COMPUTED_VALUE""")," ANTIADHERENTE ""A"" 19 LITROS")</f>
        <v>ANTIADHERENTE "A" 19 LITROS</v>
      </c>
      <c r="AS12" s="71" t="str">
        <f>IFERROR(__xludf.DUMMYFUNCTION("""COMPUTED_VALUE""")," ANTIADHERENTE A 19 LITROS")</f>
        <v>ANTIADHERENTE A 19 LITROS</v>
      </c>
      <c r="AT12" s="71">
        <f>IFERROR(__xludf.DUMMYFUNCTION("""COMPUTED_VALUE"""),25.0)</f>
        <v>25</v>
      </c>
      <c r="AU12" s="71"/>
      <c r="AV12" s="71"/>
      <c r="AW12" s="71"/>
      <c r="AX12" s="71"/>
      <c r="AY12" s="71">
        <f>IFERROR(__xludf.DUMMYFUNCTION("""COMPUTED_VALUE"""),3537.0)</f>
        <v>3537</v>
      </c>
      <c r="AZ12" s="71">
        <f>IFERROR(__xludf.DUMMYFUNCTION("""COMPUTED_VALUE"""),2554.0)</f>
        <v>2554</v>
      </c>
      <c r="BA12" s="71">
        <f>IFERROR(__xludf.DUMMYFUNCTION("""COMPUTED_VALUE"""),2291.4)</f>
        <v>2291.4</v>
      </c>
      <c r="BB12" s="71">
        <f>IFERROR(__xludf.DUMMYFUNCTION("""COMPUTED_VALUE"""),2291.4)</f>
        <v>2291.4</v>
      </c>
      <c r="BC12" s="71">
        <f>IFERROR(__xludf.DUMMYFUNCTION("""COMPUTED_VALUE"""),2551.0)</f>
        <v>2551</v>
      </c>
      <c r="BD12" s="71">
        <f>IFERROR(__xludf.DUMMYFUNCTION("""COMPUTED_VALUE"""),2679.0)</f>
        <v>2679</v>
      </c>
      <c r="BE12" s="71">
        <f>IFERROR(__xludf.DUMMYFUNCTION("""COMPUTED_VALUE"""),428.64)</f>
        <v>428.64</v>
      </c>
      <c r="BF12" s="71">
        <f>IFERROR(__xludf.DUMMYFUNCTION("""COMPUTED_VALUE"""),3107.64)</f>
        <v>3107.64</v>
      </c>
      <c r="BG12" s="71">
        <f>IFERROR(__xludf.DUMMYFUNCTION("""COMPUTED_VALUE"""),0.05017640141121129)</f>
        <v>0.05017640141</v>
      </c>
      <c r="BH12" s="71">
        <f>IFERROR(__xludf.DUMMYFUNCTION("""COMPUTED_VALUE"""),2545.0499999999997)</f>
        <v>2545.05</v>
      </c>
      <c r="BI12" s="71">
        <f>IFERROR(__xludf.DUMMYFUNCTION("""COMPUTED_VALUE"""),407.20799999999997)</f>
        <v>407.208</v>
      </c>
      <c r="BJ12" s="71">
        <f>IFERROR(__xludf.DUMMYFUNCTION("""COMPUTED_VALUE"""),2952.258)</f>
        <v>2952.258</v>
      </c>
      <c r="BK12" s="71">
        <f>IFERROR(__xludf.DUMMYFUNCTION("""COMPUTED_VALUE"""),2411.1)</f>
        <v>2411.1</v>
      </c>
      <c r="BL12" s="71">
        <f>IFERROR(__xludf.DUMMYFUNCTION("""COMPUTED_VALUE"""),385.776)</f>
        <v>385.776</v>
      </c>
      <c r="BM12" s="71">
        <f>IFERROR(__xludf.DUMMYFUNCTION("""COMPUTED_VALUE"""),2796.8759999999997)</f>
        <v>2796.876</v>
      </c>
      <c r="BN12" s="71">
        <f>IFERROR(__xludf.DUMMYFUNCTION("""COMPUTED_VALUE"""),2277.15)</f>
        <v>2277.15</v>
      </c>
      <c r="BO12" s="71">
        <f>IFERROR(__xludf.DUMMYFUNCTION("""COMPUTED_VALUE"""),364.344)</f>
        <v>364.344</v>
      </c>
      <c r="BP12" s="71">
        <f>IFERROR(__xludf.DUMMYFUNCTION("""COMPUTED_VALUE"""),2641.494)</f>
        <v>2641.494</v>
      </c>
      <c r="BQ12" s="71">
        <f>IFERROR(__xludf.DUMMYFUNCTION("""COMPUTED_VALUE"""),2223.5699999999997)</f>
        <v>2223.57</v>
      </c>
      <c r="BR12" s="71">
        <f>IFERROR(__xludf.DUMMYFUNCTION("""COMPUTED_VALUE"""),355.77119999999996)</f>
        <v>355.7712</v>
      </c>
      <c r="BS12" s="71">
        <f>IFERROR(__xludf.DUMMYFUNCTION("""COMPUTED_VALUE"""),2579.3412)</f>
        <v>2579.3412</v>
      </c>
      <c r="BT12" s="71">
        <f>IFERROR(__xludf.DUMMYFUNCTION("""COMPUTED_VALUE"""),2143.2000000000003)</f>
        <v>2143.2</v>
      </c>
      <c r="BU12" s="71">
        <f>IFERROR(__xludf.DUMMYFUNCTION("""COMPUTED_VALUE"""),342.91200000000003)</f>
        <v>342.912</v>
      </c>
      <c r="BV12" s="71">
        <f>IFERROR(__xludf.DUMMYFUNCTION("""COMPUTED_VALUE"""),2486.112)</f>
        <v>2486.112</v>
      </c>
    </row>
    <row r="13">
      <c r="A13" s="53"/>
      <c r="B13" s="53"/>
      <c r="C13" s="53" t="s">
        <v>36</v>
      </c>
      <c r="D13" s="85" t="s">
        <v>67</v>
      </c>
      <c r="E13" s="54" t="s">
        <v>38</v>
      </c>
      <c r="F13" s="55" t="s">
        <v>39</v>
      </c>
      <c r="G13" s="86" t="s">
        <v>68</v>
      </c>
      <c r="H13" s="55"/>
      <c r="I13" s="54">
        <f t="shared" si="1"/>
        <v>0</v>
      </c>
      <c r="J13" s="83"/>
      <c r="K13" s="57"/>
      <c r="L13" s="77"/>
      <c r="M13" s="59"/>
      <c r="N13" s="60"/>
      <c r="O13" s="61">
        <v>1559.04</v>
      </c>
      <c r="P13" s="62">
        <v>1683.7632</v>
      </c>
      <c r="Q13" s="63">
        <v>1683.7632</v>
      </c>
      <c r="R13" s="64">
        <v>1769.0</v>
      </c>
      <c r="S13" s="65">
        <v>1857.0</v>
      </c>
      <c r="T13" s="65">
        <f t="shared" si="2"/>
        <v>297.12</v>
      </c>
      <c r="U13" s="65">
        <f t="shared" si="3"/>
        <v>2154.12</v>
      </c>
      <c r="V13" s="66">
        <f t="shared" si="4"/>
        <v>0.04974561899</v>
      </c>
      <c r="W13" s="67">
        <f t="shared" si="5"/>
        <v>1764.15</v>
      </c>
      <c r="X13" s="67">
        <f t="shared" si="6"/>
        <v>282.264</v>
      </c>
      <c r="Y13" s="67">
        <f t="shared" si="7"/>
        <v>2046.414</v>
      </c>
      <c r="Z13" s="67">
        <f t="shared" si="8"/>
        <v>1671.3</v>
      </c>
      <c r="AA13" s="67">
        <f t="shared" si="9"/>
        <v>267.408</v>
      </c>
      <c r="AB13" s="67">
        <f t="shared" si="10"/>
        <v>1938.708</v>
      </c>
      <c r="AC13" s="67">
        <f t="shared" si="11"/>
        <v>1578.45</v>
      </c>
      <c r="AD13" s="67">
        <f t="shared" si="12"/>
        <v>252.552</v>
      </c>
      <c r="AE13" s="67">
        <f t="shared" si="13"/>
        <v>1831.002</v>
      </c>
      <c r="AF13" s="67">
        <f t="shared" si="14"/>
        <v>1541.31</v>
      </c>
      <c r="AG13" s="67">
        <f t="shared" si="15"/>
        <v>246.6096</v>
      </c>
      <c r="AH13" s="67">
        <f t="shared" si="16"/>
        <v>1787.9196</v>
      </c>
      <c r="AI13" s="67">
        <f t="shared" si="17"/>
        <v>1485.6</v>
      </c>
      <c r="AJ13" s="68">
        <f t="shared" si="18"/>
        <v>237.696</v>
      </c>
      <c r="AK13" s="68">
        <f t="shared" si="19"/>
        <v>1723.296</v>
      </c>
      <c r="AL13" s="70">
        <f>IFERROR(__xludf.DUMMYFUNCTION("""COMPUTED_VALUE"""),1.0)</f>
        <v>1</v>
      </c>
      <c r="AM13" s="70"/>
      <c r="AN13" s="71" t="str">
        <f>IFERROR(__xludf.DUMMYFUNCTION("""COMPUTED_VALUE""")," C")</f>
        <v>C</v>
      </c>
      <c r="AO13" s="71" t="str">
        <f>IFERROR(__xludf.DUMMYFUNCTION("""COMPUTED_VALUE""")," AN02")</f>
        <v>AN02</v>
      </c>
      <c r="AP13" s="71" t="str">
        <f>IFERROR(__xludf.DUMMYFUNCTION("""COMPUTED_VALUE""")," GAL")</f>
        <v>GAL</v>
      </c>
      <c r="AQ13" s="71" t="str">
        <f>IFERROR(__xludf.DUMMYFUNCTION("""COMPUTED_VALUE""")," REF")</f>
        <v>REF</v>
      </c>
      <c r="AR13" s="71" t="str">
        <f>IFERROR(__xludf.DUMMYFUNCTION("""COMPUTED_VALUE""")," ANTIADHERENTE ""A"" GALÓN")</f>
        <v>ANTIADHERENTE "A" GALÓN</v>
      </c>
      <c r="AS13" s="71" t="str">
        <f>IFERROR(__xludf.DUMMYFUNCTION("""COMPUTED_VALUE""")," ANTIADHERENTE A GALON")</f>
        <v>ANTIADHERENTE A GALON</v>
      </c>
      <c r="AT13" s="71">
        <f>IFERROR(__xludf.DUMMYFUNCTION("""COMPUTED_VALUE"""),21.0)</f>
        <v>21</v>
      </c>
      <c r="AU13" s="71"/>
      <c r="AV13" s="71"/>
      <c r="AW13" s="71"/>
      <c r="AX13" s="71"/>
      <c r="AY13" s="71">
        <f>IFERROR(__xludf.DUMMYFUNCTION("""COMPUTED_VALUE"""),744.0)</f>
        <v>744</v>
      </c>
      <c r="AZ13" s="71">
        <f>IFERROR(__xludf.DUMMYFUNCTION("""COMPUTED_VALUE"""),538.0)</f>
        <v>538</v>
      </c>
      <c r="BA13" s="71">
        <f>IFERROR(__xludf.DUMMYFUNCTION("""COMPUTED_VALUE"""),482.4)</f>
        <v>482.4</v>
      </c>
      <c r="BB13" s="71">
        <f>IFERROR(__xludf.DUMMYFUNCTION("""COMPUTED_VALUE"""),482.4)</f>
        <v>482.4</v>
      </c>
      <c r="BC13" s="71">
        <f>IFERROR(__xludf.DUMMYFUNCTION("""COMPUTED_VALUE"""),538.0)</f>
        <v>538</v>
      </c>
      <c r="BD13" s="71">
        <f>IFERROR(__xludf.DUMMYFUNCTION("""COMPUTED_VALUE"""),565.0)</f>
        <v>565</v>
      </c>
      <c r="BE13" s="71">
        <f>IFERROR(__xludf.DUMMYFUNCTION("""COMPUTED_VALUE"""),90.4)</f>
        <v>90.4</v>
      </c>
      <c r="BF13" s="71">
        <f>IFERROR(__xludf.DUMMYFUNCTION("""COMPUTED_VALUE"""),655.4)</f>
        <v>655.4</v>
      </c>
      <c r="BG13" s="71">
        <f>IFERROR(__xludf.DUMMYFUNCTION("""COMPUTED_VALUE"""),0.05018587360594796)</f>
        <v>0.05018587361</v>
      </c>
      <c r="BH13" s="71">
        <f>IFERROR(__xludf.DUMMYFUNCTION("""COMPUTED_VALUE"""),536.75)</f>
        <v>536.75</v>
      </c>
      <c r="BI13" s="71">
        <f>IFERROR(__xludf.DUMMYFUNCTION("""COMPUTED_VALUE"""),85.88)</f>
        <v>85.88</v>
      </c>
      <c r="BJ13" s="71">
        <f>IFERROR(__xludf.DUMMYFUNCTION("""COMPUTED_VALUE"""),622.63)</f>
        <v>622.63</v>
      </c>
      <c r="BK13" s="71">
        <f>IFERROR(__xludf.DUMMYFUNCTION("""COMPUTED_VALUE"""),508.5)</f>
        <v>508.5</v>
      </c>
      <c r="BL13" s="71">
        <f>IFERROR(__xludf.DUMMYFUNCTION("""COMPUTED_VALUE"""),81.36)</f>
        <v>81.36</v>
      </c>
      <c r="BM13" s="71">
        <f>IFERROR(__xludf.DUMMYFUNCTION("""COMPUTED_VALUE"""),589.86)</f>
        <v>589.86</v>
      </c>
      <c r="BN13" s="71">
        <f>IFERROR(__xludf.DUMMYFUNCTION("""COMPUTED_VALUE"""),480.25)</f>
        <v>480.25</v>
      </c>
      <c r="BO13" s="71">
        <f>IFERROR(__xludf.DUMMYFUNCTION("""COMPUTED_VALUE"""),76.84)</f>
        <v>76.84</v>
      </c>
      <c r="BP13" s="71">
        <f>IFERROR(__xludf.DUMMYFUNCTION("""COMPUTED_VALUE"""),557.09)</f>
        <v>557.09</v>
      </c>
      <c r="BQ13" s="71">
        <f>IFERROR(__xludf.DUMMYFUNCTION("""COMPUTED_VALUE"""),468.95)</f>
        <v>468.95</v>
      </c>
      <c r="BR13" s="71">
        <f>IFERROR(__xludf.DUMMYFUNCTION("""COMPUTED_VALUE"""),75.032)</f>
        <v>75.032</v>
      </c>
      <c r="BS13" s="71">
        <f>IFERROR(__xludf.DUMMYFUNCTION("""COMPUTED_VALUE"""),543.982)</f>
        <v>543.982</v>
      </c>
      <c r="BT13" s="71">
        <f>IFERROR(__xludf.DUMMYFUNCTION("""COMPUTED_VALUE"""),452.0)</f>
        <v>452</v>
      </c>
      <c r="BU13" s="71">
        <f>IFERROR(__xludf.DUMMYFUNCTION("""COMPUTED_VALUE"""),72.32000000000001)</f>
        <v>72.32</v>
      </c>
      <c r="BV13" s="71">
        <f>IFERROR(__xludf.DUMMYFUNCTION("""COMPUTED_VALUE"""),524.32)</f>
        <v>524.32</v>
      </c>
    </row>
    <row r="14">
      <c r="A14" s="53">
        <v>1.0</v>
      </c>
      <c r="B14" s="72"/>
      <c r="C14" s="73" t="s">
        <v>53</v>
      </c>
      <c r="D14" s="53" t="s">
        <v>69</v>
      </c>
      <c r="E14" s="54" t="s">
        <v>38</v>
      </c>
      <c r="F14" s="54" t="s">
        <v>42</v>
      </c>
      <c r="G14" s="54" t="s">
        <v>70</v>
      </c>
      <c r="H14" s="54" t="s">
        <v>70</v>
      </c>
      <c r="I14" s="54">
        <f t="shared" si="1"/>
        <v>34</v>
      </c>
      <c r="J14" s="56"/>
      <c r="K14" s="80"/>
      <c r="L14" s="87"/>
      <c r="M14" s="59"/>
      <c r="N14" s="60">
        <v>4097.0</v>
      </c>
      <c r="O14" s="61">
        <v>4424.0</v>
      </c>
      <c r="P14" s="62">
        <v>4777.92</v>
      </c>
      <c r="Q14" s="63">
        <v>4777.92</v>
      </c>
      <c r="R14" s="64">
        <v>5319.0</v>
      </c>
      <c r="S14" s="65">
        <v>5585.0</v>
      </c>
      <c r="T14" s="65">
        <f t="shared" si="2"/>
        <v>893.6</v>
      </c>
      <c r="U14" s="65">
        <f t="shared" si="3"/>
        <v>6478.6</v>
      </c>
      <c r="V14" s="66">
        <f t="shared" si="4"/>
        <v>0.05000940026</v>
      </c>
      <c r="W14" s="67">
        <f t="shared" si="5"/>
        <v>5305.75</v>
      </c>
      <c r="X14" s="67">
        <f t="shared" si="6"/>
        <v>848.92</v>
      </c>
      <c r="Y14" s="67">
        <f t="shared" si="7"/>
        <v>6154.67</v>
      </c>
      <c r="Z14" s="67">
        <f t="shared" si="8"/>
        <v>5026.5</v>
      </c>
      <c r="AA14" s="67">
        <f t="shared" si="9"/>
        <v>804.24</v>
      </c>
      <c r="AB14" s="67">
        <f t="shared" si="10"/>
        <v>5830.74</v>
      </c>
      <c r="AC14" s="67">
        <f t="shared" si="11"/>
        <v>4747.25</v>
      </c>
      <c r="AD14" s="67">
        <f t="shared" si="12"/>
        <v>759.56</v>
      </c>
      <c r="AE14" s="67">
        <f t="shared" si="13"/>
        <v>5506.81</v>
      </c>
      <c r="AF14" s="67">
        <f t="shared" si="14"/>
        <v>4635.55</v>
      </c>
      <c r="AG14" s="67">
        <f t="shared" si="15"/>
        <v>741.688</v>
      </c>
      <c r="AH14" s="67">
        <f t="shared" si="16"/>
        <v>5377.238</v>
      </c>
      <c r="AI14" s="67">
        <f t="shared" si="17"/>
        <v>4468</v>
      </c>
      <c r="AJ14" s="68">
        <f t="shared" si="18"/>
        <v>714.88</v>
      </c>
      <c r="AK14" s="68">
        <f t="shared" si="19"/>
        <v>5182.88</v>
      </c>
      <c r="AL14" s="70">
        <f>IFERROR(__xludf.DUMMYFUNCTION("""COMPUTED_VALUE"""),1.0)</f>
        <v>1</v>
      </c>
      <c r="AM14" s="70"/>
      <c r="AN14" s="71" t="str">
        <f>IFERROR(__xludf.DUMMYFUNCTION("""COMPUTED_VALUE""")," C")</f>
        <v>C</v>
      </c>
      <c r="AO14" s="71" t="str">
        <f>IFERROR(__xludf.DUMMYFUNCTION("""COMPUTED_VALUE""")," AN03")</f>
        <v>AN03</v>
      </c>
      <c r="AP14" s="71" t="str">
        <f>IFERROR(__xludf.DUMMYFUNCTION("""COMPUTED_VALUE""")," LTR")</f>
        <v>LTR</v>
      </c>
      <c r="AQ14" s="71" t="str">
        <f>IFERROR(__xludf.DUMMYFUNCTION("""COMPUTED_VALUE""")," REF")</f>
        <v>REF</v>
      </c>
      <c r="AR14" s="71" t="str">
        <f>IFERROR(__xludf.DUMMYFUNCTION("""COMPUTED_VALUE""")," ANTIADHERENTE ""A"" LITRO")</f>
        <v>ANTIADHERENTE "A" LITRO</v>
      </c>
      <c r="AS14" s="71" t="str">
        <f>IFERROR(__xludf.DUMMYFUNCTION("""COMPUTED_VALUE""")," ANTIADHERENTE A LITRO")</f>
        <v>ANTIADHERENTE A LITRO</v>
      </c>
      <c r="AT14" s="71">
        <f>IFERROR(__xludf.DUMMYFUNCTION("""COMPUTED_VALUE"""),21.0)</f>
        <v>21</v>
      </c>
      <c r="AU14" s="71"/>
      <c r="AV14" s="71"/>
      <c r="AW14" s="71"/>
      <c r="AX14" s="71"/>
      <c r="AY14" s="71">
        <f>IFERROR(__xludf.DUMMYFUNCTION("""COMPUTED_VALUE"""),182.0)</f>
        <v>182</v>
      </c>
      <c r="AZ14" s="71">
        <f>IFERROR(__xludf.DUMMYFUNCTION("""COMPUTED_VALUE"""),134.0)</f>
        <v>134</v>
      </c>
      <c r="BA14" s="71">
        <f>IFERROR(__xludf.DUMMYFUNCTION("""COMPUTED_VALUE"""),120.6)</f>
        <v>120.6</v>
      </c>
      <c r="BB14" s="71">
        <f>IFERROR(__xludf.DUMMYFUNCTION("""COMPUTED_VALUE"""),120.6)</f>
        <v>120.6</v>
      </c>
      <c r="BC14" s="71">
        <f>IFERROR(__xludf.DUMMYFUNCTION("""COMPUTED_VALUE"""),134.0)</f>
        <v>134</v>
      </c>
      <c r="BD14" s="71">
        <f>IFERROR(__xludf.DUMMYFUNCTION("""COMPUTED_VALUE"""),141.0)</f>
        <v>141</v>
      </c>
      <c r="BE14" s="71">
        <f>IFERROR(__xludf.DUMMYFUNCTION("""COMPUTED_VALUE"""),22.56)</f>
        <v>22.56</v>
      </c>
      <c r="BF14" s="71">
        <f>IFERROR(__xludf.DUMMYFUNCTION("""COMPUTED_VALUE"""),163.56)</f>
        <v>163.56</v>
      </c>
      <c r="BG14" s="71">
        <f>IFERROR(__xludf.DUMMYFUNCTION("""COMPUTED_VALUE"""),0.05223880597014925)</f>
        <v>0.05223880597</v>
      </c>
      <c r="BH14" s="71">
        <f>IFERROR(__xludf.DUMMYFUNCTION("""COMPUTED_VALUE"""),133.95)</f>
        <v>133.95</v>
      </c>
      <c r="BI14" s="71">
        <f>IFERROR(__xludf.DUMMYFUNCTION("""COMPUTED_VALUE"""),21.432)</f>
        <v>21.432</v>
      </c>
      <c r="BJ14" s="71">
        <f>IFERROR(__xludf.DUMMYFUNCTION("""COMPUTED_VALUE"""),155.38199999999998)</f>
        <v>155.382</v>
      </c>
      <c r="BK14" s="71">
        <f>IFERROR(__xludf.DUMMYFUNCTION("""COMPUTED_VALUE"""),126.9)</f>
        <v>126.9</v>
      </c>
      <c r="BL14" s="71">
        <f>IFERROR(__xludf.DUMMYFUNCTION("""COMPUTED_VALUE"""),20.304000000000002)</f>
        <v>20.304</v>
      </c>
      <c r="BM14" s="71">
        <f>IFERROR(__xludf.DUMMYFUNCTION("""COMPUTED_VALUE"""),147.204)</f>
        <v>147.204</v>
      </c>
      <c r="BN14" s="71">
        <f>IFERROR(__xludf.DUMMYFUNCTION("""COMPUTED_VALUE"""),119.85)</f>
        <v>119.85</v>
      </c>
      <c r="BO14" s="71">
        <f>IFERROR(__xludf.DUMMYFUNCTION("""COMPUTED_VALUE"""),19.176)</f>
        <v>19.176</v>
      </c>
      <c r="BP14" s="71">
        <f>IFERROR(__xludf.DUMMYFUNCTION("""COMPUTED_VALUE"""),139.02599999999998)</f>
        <v>139.026</v>
      </c>
      <c r="BQ14" s="71">
        <f>IFERROR(__xludf.DUMMYFUNCTION("""COMPUTED_VALUE"""),117.03)</f>
        <v>117.03</v>
      </c>
      <c r="BR14" s="71">
        <f>IFERROR(__xludf.DUMMYFUNCTION("""COMPUTED_VALUE"""),18.724800000000002)</f>
        <v>18.7248</v>
      </c>
      <c r="BS14" s="71">
        <f>IFERROR(__xludf.DUMMYFUNCTION("""COMPUTED_VALUE"""),135.7548)</f>
        <v>135.7548</v>
      </c>
      <c r="BT14" s="71">
        <f>IFERROR(__xludf.DUMMYFUNCTION("""COMPUTED_VALUE"""),112.80000000000001)</f>
        <v>112.8</v>
      </c>
      <c r="BU14" s="71">
        <f>IFERROR(__xludf.DUMMYFUNCTION("""COMPUTED_VALUE"""),18.048000000000002)</f>
        <v>18.048</v>
      </c>
      <c r="BV14" s="71">
        <f>IFERROR(__xludf.DUMMYFUNCTION("""COMPUTED_VALUE"""),130.848)</f>
        <v>130.848</v>
      </c>
    </row>
    <row r="15">
      <c r="A15" s="53">
        <v>1.0</v>
      </c>
      <c r="B15" s="72"/>
      <c r="C15" s="73" t="s">
        <v>53</v>
      </c>
      <c r="D15" s="74" t="s">
        <v>71</v>
      </c>
      <c r="E15" s="54" t="s">
        <v>38</v>
      </c>
      <c r="F15" s="54" t="s">
        <v>42</v>
      </c>
      <c r="G15" s="88" t="s">
        <v>72</v>
      </c>
      <c r="H15" s="54" t="s">
        <v>73</v>
      </c>
      <c r="I15" s="54">
        <f t="shared" si="1"/>
        <v>36</v>
      </c>
      <c r="J15" s="56"/>
      <c r="K15" s="75"/>
      <c r="L15" s="77"/>
      <c r="M15" s="59"/>
      <c r="N15" s="60">
        <v>780.0</v>
      </c>
      <c r="O15" s="61">
        <v>842.0</v>
      </c>
      <c r="P15" s="62">
        <v>909.36</v>
      </c>
      <c r="Q15" s="63">
        <v>909.36</v>
      </c>
      <c r="R15" s="64">
        <v>1013.0</v>
      </c>
      <c r="S15" s="65">
        <v>1064.0</v>
      </c>
      <c r="T15" s="65">
        <f t="shared" si="2"/>
        <v>170.24</v>
      </c>
      <c r="U15" s="65">
        <f t="shared" si="3"/>
        <v>1234.24</v>
      </c>
      <c r="V15" s="66">
        <f t="shared" si="4"/>
        <v>0.05034550839</v>
      </c>
      <c r="W15" s="67">
        <f t="shared" si="5"/>
        <v>1010.8</v>
      </c>
      <c r="X15" s="67">
        <f t="shared" si="6"/>
        <v>161.728</v>
      </c>
      <c r="Y15" s="67">
        <f t="shared" si="7"/>
        <v>1172.528</v>
      </c>
      <c r="Z15" s="67">
        <f t="shared" si="8"/>
        <v>957.6</v>
      </c>
      <c r="AA15" s="67">
        <f t="shared" si="9"/>
        <v>153.216</v>
      </c>
      <c r="AB15" s="67">
        <f t="shared" si="10"/>
        <v>1110.816</v>
      </c>
      <c r="AC15" s="67">
        <f t="shared" si="11"/>
        <v>904.4</v>
      </c>
      <c r="AD15" s="67">
        <f t="shared" si="12"/>
        <v>144.704</v>
      </c>
      <c r="AE15" s="67">
        <f t="shared" si="13"/>
        <v>1049.104</v>
      </c>
      <c r="AF15" s="67">
        <f t="shared" si="14"/>
        <v>883.12</v>
      </c>
      <c r="AG15" s="67">
        <f t="shared" si="15"/>
        <v>141.2992</v>
      </c>
      <c r="AH15" s="67">
        <f t="shared" si="16"/>
        <v>1024.4192</v>
      </c>
      <c r="AI15" s="67">
        <f t="shared" si="17"/>
        <v>851.2</v>
      </c>
      <c r="AJ15" s="68">
        <f t="shared" si="18"/>
        <v>136.192</v>
      </c>
      <c r="AK15" s="68">
        <f t="shared" si="19"/>
        <v>987.392</v>
      </c>
      <c r="AL15" s="70">
        <f>IFERROR(__xludf.DUMMYFUNCTION("""COMPUTED_VALUE"""),1.0)</f>
        <v>1</v>
      </c>
      <c r="AM15" s="70"/>
      <c r="AN15" s="71" t="str">
        <f>IFERROR(__xludf.DUMMYFUNCTION("""COMPUTED_VALUE""")," C")</f>
        <v>C</v>
      </c>
      <c r="AO15" s="71" t="str">
        <f>IFERROR(__xludf.DUMMYFUNCTION("""COMPUTED_VALUE""")," AN04")</f>
        <v>AN04</v>
      </c>
      <c r="AP15" s="71" t="str">
        <f>IFERROR(__xludf.DUMMYFUNCTION("""COMPUTED_VALUE""")," CUB")</f>
        <v>CUB</v>
      </c>
      <c r="AQ15" s="71" t="str">
        <f>IFERROR(__xludf.DUMMYFUNCTION("""COMPUTED_VALUE""")," REF")</f>
        <v>REF</v>
      </c>
      <c r="AR15" s="71" t="str">
        <f>IFERROR(__xludf.DUMMYFUNCTION("""COMPUTED_VALUE""")," ANTIADHERENTE ""B"" 19 LITROS")</f>
        <v>ANTIADHERENTE "B" 19 LITROS</v>
      </c>
      <c r="AS15" s="71" t="str">
        <f>IFERROR(__xludf.DUMMYFUNCTION("""COMPUTED_VALUE""")," ANTIADHERENTE B 19 LITROS")</f>
        <v>ANTIADHERENTE B 19 LITROS</v>
      </c>
      <c r="AT15" s="71">
        <f>IFERROR(__xludf.DUMMYFUNCTION("""COMPUTED_VALUE"""),25.0)</f>
        <v>25</v>
      </c>
      <c r="AU15" s="71"/>
      <c r="AV15" s="71"/>
      <c r="AW15" s="71"/>
      <c r="AX15" s="71"/>
      <c r="AY15" s="71">
        <f>IFERROR(__xludf.DUMMYFUNCTION("""COMPUTED_VALUE"""),2567.0)</f>
        <v>2567</v>
      </c>
      <c r="AZ15" s="71">
        <f>IFERROR(__xludf.DUMMYFUNCTION("""COMPUTED_VALUE"""),1763.0)</f>
        <v>1763</v>
      </c>
      <c r="BA15" s="71">
        <f>IFERROR(__xludf.DUMMYFUNCTION("""COMPUTED_VALUE"""),1675.8)</f>
        <v>1675.8</v>
      </c>
      <c r="BB15" s="71">
        <f>IFERROR(__xludf.DUMMYFUNCTION("""COMPUTED_VALUE"""),1675.8)</f>
        <v>1675.8</v>
      </c>
      <c r="BC15" s="71">
        <f>IFERROR(__xludf.DUMMYFUNCTION("""COMPUTED_VALUE"""),1866.0)</f>
        <v>1866</v>
      </c>
      <c r="BD15" s="71">
        <f>IFERROR(__xludf.DUMMYFUNCTION("""COMPUTED_VALUE"""),1959.0)</f>
        <v>1959</v>
      </c>
      <c r="BE15" s="71">
        <f>IFERROR(__xludf.DUMMYFUNCTION("""COMPUTED_VALUE"""),313.44)</f>
        <v>313.44</v>
      </c>
      <c r="BF15" s="71">
        <f>IFERROR(__xludf.DUMMYFUNCTION("""COMPUTED_VALUE"""),2272.44)</f>
        <v>2272.44</v>
      </c>
      <c r="BG15" s="71">
        <f>IFERROR(__xludf.DUMMYFUNCTION("""COMPUTED_VALUE"""),0.04983922829581994)</f>
        <v>0.0498392283</v>
      </c>
      <c r="BH15" s="71">
        <f>IFERROR(__xludf.DUMMYFUNCTION("""COMPUTED_VALUE"""),1861.05)</f>
        <v>1861.05</v>
      </c>
      <c r="BI15" s="71">
        <f>IFERROR(__xludf.DUMMYFUNCTION("""COMPUTED_VALUE"""),297.768)</f>
        <v>297.768</v>
      </c>
      <c r="BJ15" s="71">
        <f>IFERROR(__xludf.DUMMYFUNCTION("""COMPUTED_VALUE"""),2158.8179999999998)</f>
        <v>2158.818</v>
      </c>
      <c r="BK15" s="71">
        <f>IFERROR(__xludf.DUMMYFUNCTION("""COMPUTED_VALUE"""),1763.1000000000001)</f>
        <v>1763.1</v>
      </c>
      <c r="BL15" s="71">
        <f>IFERROR(__xludf.DUMMYFUNCTION("""COMPUTED_VALUE"""),282.096)</f>
        <v>282.096</v>
      </c>
      <c r="BM15" s="71">
        <f>IFERROR(__xludf.DUMMYFUNCTION("""COMPUTED_VALUE"""),2045.1960000000001)</f>
        <v>2045.196</v>
      </c>
      <c r="BN15" s="71">
        <f>IFERROR(__xludf.DUMMYFUNCTION("""COMPUTED_VALUE"""),1665.1499999999999)</f>
        <v>1665.15</v>
      </c>
      <c r="BO15" s="71">
        <f>IFERROR(__xludf.DUMMYFUNCTION("""COMPUTED_VALUE"""),266.424)</f>
        <v>266.424</v>
      </c>
      <c r="BP15" s="71">
        <f>IFERROR(__xludf.DUMMYFUNCTION("""COMPUTED_VALUE"""),1931.5739999999998)</f>
        <v>1931.574</v>
      </c>
      <c r="BQ15" s="71">
        <f>IFERROR(__xludf.DUMMYFUNCTION("""COMPUTED_VALUE"""),1625.97)</f>
        <v>1625.97</v>
      </c>
      <c r="BR15" s="71">
        <f>IFERROR(__xludf.DUMMYFUNCTION("""COMPUTED_VALUE"""),260.15520000000004)</f>
        <v>260.1552</v>
      </c>
      <c r="BS15" s="71">
        <f>IFERROR(__xludf.DUMMYFUNCTION("""COMPUTED_VALUE"""),1886.1252)</f>
        <v>1886.1252</v>
      </c>
      <c r="BT15" s="71">
        <f>IFERROR(__xludf.DUMMYFUNCTION("""COMPUTED_VALUE"""),1567.2)</f>
        <v>1567.2</v>
      </c>
      <c r="BU15" s="71">
        <f>IFERROR(__xludf.DUMMYFUNCTION("""COMPUTED_VALUE"""),250.752)</f>
        <v>250.752</v>
      </c>
      <c r="BV15" s="71">
        <f>IFERROR(__xludf.DUMMYFUNCTION("""COMPUTED_VALUE"""),1817.952)</f>
        <v>1817.952</v>
      </c>
    </row>
    <row r="16">
      <c r="A16" s="53">
        <v>1.0</v>
      </c>
      <c r="B16" s="72"/>
      <c r="C16" s="73" t="s">
        <v>53</v>
      </c>
      <c r="D16" s="74" t="s">
        <v>74</v>
      </c>
      <c r="E16" s="54" t="s">
        <v>38</v>
      </c>
      <c r="F16" s="54" t="s">
        <v>42</v>
      </c>
      <c r="G16" s="54" t="s">
        <v>75</v>
      </c>
      <c r="H16" s="54" t="s">
        <v>75</v>
      </c>
      <c r="I16" s="54">
        <f t="shared" si="1"/>
        <v>36</v>
      </c>
      <c r="J16" s="56"/>
      <c r="K16" s="75"/>
      <c r="L16" s="76"/>
      <c r="M16" s="59"/>
      <c r="N16" s="79">
        <v>898.0</v>
      </c>
      <c r="O16" s="61">
        <v>969.0</v>
      </c>
      <c r="P16" s="62">
        <v>1046.52</v>
      </c>
      <c r="Q16" s="63">
        <v>1046.52</v>
      </c>
      <c r="R16" s="64">
        <v>1166.0</v>
      </c>
      <c r="S16" s="65">
        <v>1224.0</v>
      </c>
      <c r="T16" s="65">
        <f t="shared" si="2"/>
        <v>195.84</v>
      </c>
      <c r="U16" s="65">
        <f t="shared" si="3"/>
        <v>1419.84</v>
      </c>
      <c r="V16" s="66">
        <f t="shared" si="4"/>
        <v>0.04974271012</v>
      </c>
      <c r="W16" s="67">
        <f t="shared" si="5"/>
        <v>1162.8</v>
      </c>
      <c r="X16" s="67">
        <f t="shared" si="6"/>
        <v>186.048</v>
      </c>
      <c r="Y16" s="67">
        <f t="shared" si="7"/>
        <v>1348.848</v>
      </c>
      <c r="Z16" s="67">
        <f t="shared" si="8"/>
        <v>1101.6</v>
      </c>
      <c r="AA16" s="67">
        <f t="shared" si="9"/>
        <v>176.256</v>
      </c>
      <c r="AB16" s="67">
        <f t="shared" si="10"/>
        <v>1277.856</v>
      </c>
      <c r="AC16" s="67">
        <f t="shared" si="11"/>
        <v>1040.4</v>
      </c>
      <c r="AD16" s="67">
        <f t="shared" si="12"/>
        <v>166.464</v>
      </c>
      <c r="AE16" s="67">
        <f t="shared" si="13"/>
        <v>1206.864</v>
      </c>
      <c r="AF16" s="67">
        <f t="shared" si="14"/>
        <v>1015.92</v>
      </c>
      <c r="AG16" s="67">
        <f t="shared" si="15"/>
        <v>162.5472</v>
      </c>
      <c r="AH16" s="67">
        <f t="shared" si="16"/>
        <v>1178.4672</v>
      </c>
      <c r="AI16" s="67">
        <f t="shared" si="17"/>
        <v>979.2</v>
      </c>
      <c r="AJ16" s="68">
        <f t="shared" si="18"/>
        <v>156.672</v>
      </c>
      <c r="AK16" s="68">
        <f t="shared" si="19"/>
        <v>1135.872</v>
      </c>
      <c r="AL16" s="70">
        <f>IFERROR(__xludf.DUMMYFUNCTION("""COMPUTED_VALUE"""),1.0)</f>
        <v>1</v>
      </c>
      <c r="AM16" s="70"/>
      <c r="AN16" s="71" t="str">
        <f>IFERROR(__xludf.DUMMYFUNCTION("""COMPUTED_VALUE""")," C")</f>
        <v>C</v>
      </c>
      <c r="AO16" s="71" t="str">
        <f>IFERROR(__xludf.DUMMYFUNCTION("""COMPUTED_VALUE""")," AN05")</f>
        <v>AN05</v>
      </c>
      <c r="AP16" s="71" t="str">
        <f>IFERROR(__xludf.DUMMYFUNCTION("""COMPUTED_VALUE""")," GAL")</f>
        <v>GAL</v>
      </c>
      <c r="AQ16" s="71" t="str">
        <f>IFERROR(__xludf.DUMMYFUNCTION("""COMPUTED_VALUE""")," REF")</f>
        <v>REF</v>
      </c>
      <c r="AR16" s="71" t="str">
        <f>IFERROR(__xludf.DUMMYFUNCTION("""COMPUTED_VALUE""")," ANTIADHERENTE ""B"" GALÓN")</f>
        <v>ANTIADHERENTE "B" GALÓN</v>
      </c>
      <c r="AS16" s="71" t="str">
        <f>IFERROR(__xludf.DUMMYFUNCTION("""COMPUTED_VALUE""")," ANTIADHERENTE B GALON")</f>
        <v>ANTIADHERENTE B GALON</v>
      </c>
      <c r="AT16" s="71">
        <f>IFERROR(__xludf.DUMMYFUNCTION("""COMPUTED_VALUE"""),21.0)</f>
        <v>21</v>
      </c>
      <c r="AU16" s="71"/>
      <c r="AV16" s="71"/>
      <c r="AW16" s="71"/>
      <c r="AX16" s="71"/>
      <c r="AY16" s="71">
        <f>IFERROR(__xludf.DUMMYFUNCTION("""COMPUTED_VALUE"""),540.0)</f>
        <v>540</v>
      </c>
      <c r="AZ16" s="71">
        <f>IFERROR(__xludf.DUMMYFUNCTION("""COMPUTED_VALUE"""),371.0)</f>
        <v>371</v>
      </c>
      <c r="BA16" s="71">
        <f>IFERROR(__xludf.DUMMYFUNCTION("""COMPUTED_VALUE"""),352.8)</f>
        <v>352.8</v>
      </c>
      <c r="BB16" s="71">
        <f>IFERROR(__xludf.DUMMYFUNCTION("""COMPUTED_VALUE"""),352.8)</f>
        <v>352.8</v>
      </c>
      <c r="BC16" s="71">
        <f>IFERROR(__xludf.DUMMYFUNCTION("""COMPUTED_VALUE"""),393.0)</f>
        <v>393</v>
      </c>
      <c r="BD16" s="71">
        <f>IFERROR(__xludf.DUMMYFUNCTION("""COMPUTED_VALUE"""),413.0)</f>
        <v>413</v>
      </c>
      <c r="BE16" s="71">
        <f>IFERROR(__xludf.DUMMYFUNCTION("""COMPUTED_VALUE"""),66.08)</f>
        <v>66.08</v>
      </c>
      <c r="BF16" s="71">
        <f>IFERROR(__xludf.DUMMYFUNCTION("""COMPUTED_VALUE"""),479.08)</f>
        <v>479.08</v>
      </c>
      <c r="BG16" s="71">
        <f>IFERROR(__xludf.DUMMYFUNCTION("""COMPUTED_VALUE"""),0.05089058524173028)</f>
        <v>0.05089058524</v>
      </c>
      <c r="BH16" s="71">
        <f>IFERROR(__xludf.DUMMYFUNCTION("""COMPUTED_VALUE"""),392.34999999999997)</f>
        <v>392.35</v>
      </c>
      <c r="BI16" s="71">
        <f>IFERROR(__xludf.DUMMYFUNCTION("""COMPUTED_VALUE"""),62.775999999999996)</f>
        <v>62.776</v>
      </c>
      <c r="BJ16" s="71">
        <f>IFERROR(__xludf.DUMMYFUNCTION("""COMPUTED_VALUE"""),455.126)</f>
        <v>455.126</v>
      </c>
      <c r="BK16" s="71">
        <f>IFERROR(__xludf.DUMMYFUNCTION("""COMPUTED_VALUE"""),371.7)</f>
        <v>371.7</v>
      </c>
      <c r="BL16" s="71">
        <f>IFERROR(__xludf.DUMMYFUNCTION("""COMPUTED_VALUE"""),59.472)</f>
        <v>59.472</v>
      </c>
      <c r="BM16" s="71">
        <f>IFERROR(__xludf.DUMMYFUNCTION("""COMPUTED_VALUE"""),431.17199999999997)</f>
        <v>431.172</v>
      </c>
      <c r="BN16" s="71">
        <f>IFERROR(__xludf.DUMMYFUNCTION("""COMPUTED_VALUE"""),351.05)</f>
        <v>351.05</v>
      </c>
      <c r="BO16" s="71">
        <f>IFERROR(__xludf.DUMMYFUNCTION("""COMPUTED_VALUE"""),56.168000000000006)</f>
        <v>56.168</v>
      </c>
      <c r="BP16" s="71">
        <f>IFERROR(__xludf.DUMMYFUNCTION("""COMPUTED_VALUE"""),407.218)</f>
        <v>407.218</v>
      </c>
      <c r="BQ16" s="71">
        <f>IFERROR(__xludf.DUMMYFUNCTION("""COMPUTED_VALUE"""),342.78999999999996)</f>
        <v>342.79</v>
      </c>
      <c r="BR16" s="71">
        <f>IFERROR(__xludf.DUMMYFUNCTION("""COMPUTED_VALUE"""),54.846399999999996)</f>
        <v>54.8464</v>
      </c>
      <c r="BS16" s="71">
        <f>IFERROR(__xludf.DUMMYFUNCTION("""COMPUTED_VALUE"""),397.6364)</f>
        <v>397.6364</v>
      </c>
      <c r="BT16" s="71">
        <f>IFERROR(__xludf.DUMMYFUNCTION("""COMPUTED_VALUE"""),330.40000000000003)</f>
        <v>330.4</v>
      </c>
      <c r="BU16" s="71">
        <f>IFERROR(__xludf.DUMMYFUNCTION("""COMPUTED_VALUE"""),52.864000000000004)</f>
        <v>52.864</v>
      </c>
      <c r="BV16" s="71">
        <f>IFERROR(__xludf.DUMMYFUNCTION("""COMPUTED_VALUE"""),383.264)</f>
        <v>383.264</v>
      </c>
    </row>
    <row r="17">
      <c r="A17" s="53">
        <v>1.0</v>
      </c>
      <c r="B17" s="72"/>
      <c r="C17" s="73" t="s">
        <v>53</v>
      </c>
      <c r="D17" s="53" t="s">
        <v>76</v>
      </c>
      <c r="E17" s="54" t="s">
        <v>77</v>
      </c>
      <c r="F17" s="54" t="s">
        <v>42</v>
      </c>
      <c r="G17" s="88" t="s">
        <v>78</v>
      </c>
      <c r="H17" s="54" t="s">
        <v>79</v>
      </c>
      <c r="I17" s="54">
        <f t="shared" si="1"/>
        <v>40</v>
      </c>
      <c r="J17" s="56"/>
      <c r="K17" s="75"/>
      <c r="L17" s="76"/>
      <c r="M17" s="59"/>
      <c r="N17" s="60">
        <v>1026.0</v>
      </c>
      <c r="O17" s="61">
        <v>1108.0</v>
      </c>
      <c r="P17" s="62">
        <v>1196.64</v>
      </c>
      <c r="Q17" s="63">
        <v>1196.64</v>
      </c>
      <c r="R17" s="64">
        <v>1257.0</v>
      </c>
      <c r="S17" s="65">
        <v>1320.0</v>
      </c>
      <c r="T17" s="65">
        <f t="shared" si="2"/>
        <v>211.2</v>
      </c>
      <c r="U17" s="65">
        <f t="shared" si="3"/>
        <v>1531.2</v>
      </c>
      <c r="V17" s="66">
        <f t="shared" si="4"/>
        <v>0.05011933174</v>
      </c>
      <c r="W17" s="67">
        <f t="shared" si="5"/>
        <v>1254</v>
      </c>
      <c r="X17" s="67">
        <f t="shared" si="6"/>
        <v>200.64</v>
      </c>
      <c r="Y17" s="67">
        <f t="shared" si="7"/>
        <v>1454.64</v>
      </c>
      <c r="Z17" s="67">
        <f t="shared" si="8"/>
        <v>1188</v>
      </c>
      <c r="AA17" s="67">
        <f t="shared" si="9"/>
        <v>190.08</v>
      </c>
      <c r="AB17" s="67">
        <f t="shared" si="10"/>
        <v>1378.08</v>
      </c>
      <c r="AC17" s="67">
        <f t="shared" si="11"/>
        <v>1122</v>
      </c>
      <c r="AD17" s="67">
        <f t="shared" si="12"/>
        <v>179.52</v>
      </c>
      <c r="AE17" s="67">
        <f t="shared" si="13"/>
        <v>1301.52</v>
      </c>
      <c r="AF17" s="67">
        <f t="shared" si="14"/>
        <v>1095.6</v>
      </c>
      <c r="AG17" s="67">
        <f t="shared" si="15"/>
        <v>175.296</v>
      </c>
      <c r="AH17" s="67">
        <f t="shared" si="16"/>
        <v>1270.896</v>
      </c>
      <c r="AI17" s="67">
        <f t="shared" si="17"/>
        <v>1056</v>
      </c>
      <c r="AJ17" s="68">
        <f t="shared" si="18"/>
        <v>168.96</v>
      </c>
      <c r="AK17" s="68">
        <f t="shared" si="19"/>
        <v>1224.96</v>
      </c>
      <c r="AL17" s="70">
        <f>IFERROR(__xludf.DUMMYFUNCTION("""COMPUTED_VALUE"""),1.0)</f>
        <v>1</v>
      </c>
      <c r="AM17" s="70"/>
      <c r="AN17" s="71" t="str">
        <f>IFERROR(__xludf.DUMMYFUNCTION("""COMPUTED_VALUE""")," C")</f>
        <v>C</v>
      </c>
      <c r="AO17" s="71" t="str">
        <f>IFERROR(__xludf.DUMMYFUNCTION("""COMPUTED_VALUE""")," AN06")</f>
        <v>AN06</v>
      </c>
      <c r="AP17" s="71" t="str">
        <f>IFERROR(__xludf.DUMMYFUNCTION("""COMPUTED_VALUE""")," LTR")</f>
        <v>LTR</v>
      </c>
      <c r="AQ17" s="71" t="str">
        <f>IFERROR(__xludf.DUMMYFUNCTION("""COMPUTED_VALUE""")," REF")</f>
        <v>REF</v>
      </c>
      <c r="AR17" s="71" t="str">
        <f>IFERROR(__xludf.DUMMYFUNCTION("""COMPUTED_VALUE""")," ANTIADHERENTE ""B"" LITRO")</f>
        <v>ANTIADHERENTE "B" LITRO</v>
      </c>
      <c r="AS17" s="71" t="str">
        <f>IFERROR(__xludf.DUMMYFUNCTION("""COMPUTED_VALUE""")," ANTIADHERENTE B LITRO")</f>
        <v>ANTIADHERENTE B LITRO</v>
      </c>
      <c r="AT17" s="71">
        <f>IFERROR(__xludf.DUMMYFUNCTION("""COMPUTED_VALUE"""),21.0)</f>
        <v>21</v>
      </c>
      <c r="AU17" s="71"/>
      <c r="AV17" s="71"/>
      <c r="AW17" s="71"/>
      <c r="AX17" s="71"/>
      <c r="AY17" s="71">
        <f>IFERROR(__xludf.DUMMYFUNCTION("""COMPUTED_VALUE"""),144.0)</f>
        <v>144</v>
      </c>
      <c r="AZ17" s="71">
        <f>IFERROR(__xludf.DUMMYFUNCTION("""COMPUTED_VALUE"""),93.0)</f>
        <v>93</v>
      </c>
      <c r="BA17" s="71">
        <f>IFERROR(__xludf.DUMMYFUNCTION("""COMPUTED_VALUE"""),88.2)</f>
        <v>88.2</v>
      </c>
      <c r="BB17" s="71">
        <f>IFERROR(__xludf.DUMMYFUNCTION("""COMPUTED_VALUE"""),88.2)</f>
        <v>88.2</v>
      </c>
      <c r="BC17" s="71">
        <f>IFERROR(__xludf.DUMMYFUNCTION("""COMPUTED_VALUE"""),99.0)</f>
        <v>99</v>
      </c>
      <c r="BD17" s="71">
        <f>IFERROR(__xludf.DUMMYFUNCTION("""COMPUTED_VALUE"""),104.0)</f>
        <v>104</v>
      </c>
      <c r="BE17" s="71">
        <f>IFERROR(__xludf.DUMMYFUNCTION("""COMPUTED_VALUE"""),16.64)</f>
        <v>16.64</v>
      </c>
      <c r="BF17" s="71">
        <f>IFERROR(__xludf.DUMMYFUNCTION("""COMPUTED_VALUE"""),120.64)</f>
        <v>120.64</v>
      </c>
      <c r="BG17" s="71">
        <f>IFERROR(__xludf.DUMMYFUNCTION("""COMPUTED_VALUE"""),0.050505050505050504)</f>
        <v>0.05050505051</v>
      </c>
      <c r="BH17" s="71">
        <f>IFERROR(__xludf.DUMMYFUNCTION("""COMPUTED_VALUE"""),98.8)</f>
        <v>98.8</v>
      </c>
      <c r="BI17" s="71">
        <f>IFERROR(__xludf.DUMMYFUNCTION("""COMPUTED_VALUE"""),15.808)</f>
        <v>15.808</v>
      </c>
      <c r="BJ17" s="71">
        <f>IFERROR(__xludf.DUMMYFUNCTION("""COMPUTED_VALUE"""),114.608)</f>
        <v>114.608</v>
      </c>
      <c r="BK17" s="71">
        <f>IFERROR(__xludf.DUMMYFUNCTION("""COMPUTED_VALUE"""),93.60000000000001)</f>
        <v>93.6</v>
      </c>
      <c r="BL17" s="71">
        <f>IFERROR(__xludf.DUMMYFUNCTION("""COMPUTED_VALUE"""),14.976)</f>
        <v>14.976</v>
      </c>
      <c r="BM17" s="71">
        <f>IFERROR(__xludf.DUMMYFUNCTION("""COMPUTED_VALUE"""),108.57600000000001)</f>
        <v>108.576</v>
      </c>
      <c r="BN17" s="71">
        <f>IFERROR(__xludf.DUMMYFUNCTION("""COMPUTED_VALUE"""),88.39999999999999)</f>
        <v>88.4</v>
      </c>
      <c r="BO17" s="71">
        <f>IFERROR(__xludf.DUMMYFUNCTION("""COMPUTED_VALUE"""),14.143999999999998)</f>
        <v>14.144</v>
      </c>
      <c r="BP17" s="71">
        <f>IFERROR(__xludf.DUMMYFUNCTION("""COMPUTED_VALUE"""),102.54399999999998)</f>
        <v>102.544</v>
      </c>
      <c r="BQ17" s="71">
        <f>IFERROR(__xludf.DUMMYFUNCTION("""COMPUTED_VALUE"""),86.32)</f>
        <v>86.32</v>
      </c>
      <c r="BR17" s="71">
        <f>IFERROR(__xludf.DUMMYFUNCTION("""COMPUTED_VALUE"""),13.8112)</f>
        <v>13.8112</v>
      </c>
      <c r="BS17" s="71">
        <f>IFERROR(__xludf.DUMMYFUNCTION("""COMPUTED_VALUE"""),100.13119999999999)</f>
        <v>100.1312</v>
      </c>
      <c r="BT17" s="71">
        <f>IFERROR(__xludf.DUMMYFUNCTION("""COMPUTED_VALUE"""),83.2)</f>
        <v>83.2</v>
      </c>
      <c r="BU17" s="71">
        <f>IFERROR(__xludf.DUMMYFUNCTION("""COMPUTED_VALUE"""),13.312000000000001)</f>
        <v>13.312</v>
      </c>
      <c r="BV17" s="71">
        <f>IFERROR(__xludf.DUMMYFUNCTION("""COMPUTED_VALUE"""),96.512)</f>
        <v>96.512</v>
      </c>
    </row>
    <row r="18">
      <c r="A18" s="53"/>
      <c r="B18" s="53"/>
      <c r="C18" s="53"/>
      <c r="D18" s="53" t="s">
        <v>80</v>
      </c>
      <c r="E18" s="55" t="s">
        <v>38</v>
      </c>
      <c r="F18" s="89"/>
      <c r="G18" s="84" t="s">
        <v>81</v>
      </c>
      <c r="H18" s="82"/>
      <c r="I18" s="54">
        <f t="shared" si="1"/>
        <v>0</v>
      </c>
      <c r="J18" s="56"/>
      <c r="K18" s="57"/>
      <c r="L18" s="55"/>
      <c r="M18" s="59"/>
      <c r="N18" s="60"/>
      <c r="O18" s="90"/>
      <c r="P18" s="62">
        <v>7624.0</v>
      </c>
      <c r="Q18" s="63">
        <v>7624.0</v>
      </c>
      <c r="R18" s="64">
        <v>8406.0</v>
      </c>
      <c r="S18" s="65">
        <v>8826.0</v>
      </c>
      <c r="T18" s="65">
        <f t="shared" si="2"/>
        <v>1412.16</v>
      </c>
      <c r="U18" s="65">
        <f t="shared" si="3"/>
        <v>10238.16</v>
      </c>
      <c r="V18" s="66">
        <f t="shared" si="4"/>
        <v>0.04996431121</v>
      </c>
      <c r="W18" s="67">
        <f t="shared" si="5"/>
        <v>8384.7</v>
      </c>
      <c r="X18" s="67">
        <f t="shared" si="6"/>
        <v>1341.552</v>
      </c>
      <c r="Y18" s="67">
        <f t="shared" si="7"/>
        <v>9726.252</v>
      </c>
      <c r="Z18" s="67">
        <f t="shared" si="8"/>
        <v>7943.4</v>
      </c>
      <c r="AA18" s="67">
        <f t="shared" si="9"/>
        <v>1270.944</v>
      </c>
      <c r="AB18" s="67">
        <f t="shared" si="10"/>
        <v>9214.344</v>
      </c>
      <c r="AC18" s="67">
        <f t="shared" si="11"/>
        <v>7502.1</v>
      </c>
      <c r="AD18" s="67">
        <f t="shared" si="12"/>
        <v>1200.336</v>
      </c>
      <c r="AE18" s="67">
        <f t="shared" si="13"/>
        <v>8702.436</v>
      </c>
      <c r="AF18" s="67">
        <f t="shared" si="14"/>
        <v>7325.58</v>
      </c>
      <c r="AG18" s="67">
        <f t="shared" si="15"/>
        <v>1172.0928</v>
      </c>
      <c r="AH18" s="67">
        <f t="shared" si="16"/>
        <v>8497.6728</v>
      </c>
      <c r="AI18" s="67">
        <f t="shared" si="17"/>
        <v>7060.8</v>
      </c>
      <c r="AJ18" s="68">
        <f t="shared" si="18"/>
        <v>1129.728</v>
      </c>
      <c r="AK18" s="68">
        <f t="shared" si="19"/>
        <v>8190.528</v>
      </c>
      <c r="AL18" s="70">
        <f>IFERROR(__xludf.DUMMYFUNCTION("""COMPUTED_VALUE"""),1.0)</f>
        <v>1</v>
      </c>
      <c r="AM18" s="70"/>
      <c r="AN18" s="71" t="str">
        <f>IFERROR(__xludf.DUMMYFUNCTION("""COMPUTED_VALUE""")," C")</f>
        <v>C</v>
      </c>
      <c r="AO18" s="71" t="str">
        <f>IFERROR(__xludf.DUMMYFUNCTION("""COMPUTED_VALUE""")," AN07")</f>
        <v>AN07</v>
      </c>
      <c r="AP18" s="71" t="str">
        <f>IFERROR(__xludf.DUMMYFUNCTION("""COMPUTED_VALUE""")," CUB")</f>
        <v>CUB</v>
      </c>
      <c r="AQ18" s="71" t="str">
        <f>IFERROR(__xludf.DUMMYFUNCTION("""COMPUTED_VALUE""")," REF")</f>
        <v>REF</v>
      </c>
      <c r="AR18" s="71" t="str">
        <f>IFERROR(__xludf.DUMMYFUNCTION("""COMPUTED_VALUE""")," ANTIADHERENTE ""TRANSPARENTE"" 19 LITROS")</f>
        <v>ANTIADHERENTE "TRANSPARENTE" 19 LITROS</v>
      </c>
      <c r="AS18" s="71" t="str">
        <f>IFERROR(__xludf.DUMMYFUNCTION("""COMPUTED_VALUE""")," ANTIADHERENTE TRANSPARENTE 19 LITROS")</f>
        <v>ANTIADHERENTE TRANSPARENTE 19 LITROS</v>
      </c>
      <c r="AT18" s="71">
        <f>IFERROR(__xludf.DUMMYFUNCTION("""COMPUTED_VALUE"""),36.0)</f>
        <v>36</v>
      </c>
      <c r="AU18" s="71"/>
      <c r="AV18" s="71"/>
      <c r="AW18" s="71"/>
      <c r="AX18" s="71"/>
      <c r="AY18" s="71">
        <f>IFERROR(__xludf.DUMMYFUNCTION("""COMPUTED_VALUE"""),4820.0)</f>
        <v>4820</v>
      </c>
      <c r="AZ18" s="71">
        <f>IFERROR(__xludf.DUMMYFUNCTION("""COMPUTED_VALUE"""),3739.0)</f>
        <v>3739</v>
      </c>
      <c r="BA18" s="71">
        <f>IFERROR(__xludf.DUMMYFUNCTION("""COMPUTED_VALUE"""),2907.0)</f>
        <v>2907</v>
      </c>
      <c r="BB18" s="71">
        <f>IFERROR(__xludf.DUMMYFUNCTION("""COMPUTED_VALUE"""),2907.0)</f>
        <v>2907</v>
      </c>
      <c r="BC18" s="71">
        <f>IFERROR(__xludf.DUMMYFUNCTION("""COMPUTED_VALUE"""),3237.0)</f>
        <v>3237</v>
      </c>
      <c r="BD18" s="71">
        <f>IFERROR(__xludf.DUMMYFUNCTION("""COMPUTED_VALUE"""),3399.0)</f>
        <v>3399</v>
      </c>
      <c r="BE18" s="71">
        <f>IFERROR(__xludf.DUMMYFUNCTION("""COMPUTED_VALUE"""),543.84)</f>
        <v>543.84</v>
      </c>
      <c r="BF18" s="71">
        <f>IFERROR(__xludf.DUMMYFUNCTION("""COMPUTED_VALUE"""),3942.84)</f>
        <v>3942.84</v>
      </c>
      <c r="BG18" s="71">
        <f>IFERROR(__xludf.DUMMYFUNCTION("""COMPUTED_VALUE"""),0.05004633920296571)</f>
        <v>0.0500463392</v>
      </c>
      <c r="BH18" s="71">
        <f>IFERROR(__xludf.DUMMYFUNCTION("""COMPUTED_VALUE"""),3229.0499999999997)</f>
        <v>3229.05</v>
      </c>
      <c r="BI18" s="71">
        <f>IFERROR(__xludf.DUMMYFUNCTION("""COMPUTED_VALUE"""),516.6479999999999)</f>
        <v>516.648</v>
      </c>
      <c r="BJ18" s="71">
        <f>IFERROR(__xludf.DUMMYFUNCTION("""COMPUTED_VALUE"""),3745.6979999999994)</f>
        <v>3745.698</v>
      </c>
      <c r="BK18" s="71">
        <f>IFERROR(__xludf.DUMMYFUNCTION("""COMPUTED_VALUE"""),3059.1)</f>
        <v>3059.1</v>
      </c>
      <c r="BL18" s="71">
        <f>IFERROR(__xludf.DUMMYFUNCTION("""COMPUTED_VALUE"""),489.456)</f>
        <v>489.456</v>
      </c>
      <c r="BM18" s="71">
        <f>IFERROR(__xludf.DUMMYFUNCTION("""COMPUTED_VALUE"""),3548.556)</f>
        <v>3548.556</v>
      </c>
      <c r="BN18" s="71">
        <f>IFERROR(__xludf.DUMMYFUNCTION("""COMPUTED_VALUE"""),2889.15)</f>
        <v>2889.15</v>
      </c>
      <c r="BO18" s="71">
        <f>IFERROR(__xludf.DUMMYFUNCTION("""COMPUTED_VALUE"""),462.264)</f>
        <v>462.264</v>
      </c>
      <c r="BP18" s="71">
        <f>IFERROR(__xludf.DUMMYFUNCTION("""COMPUTED_VALUE"""),3351.414)</f>
        <v>3351.414</v>
      </c>
      <c r="BQ18" s="71">
        <f>IFERROR(__xludf.DUMMYFUNCTION("""COMPUTED_VALUE"""),2821.17)</f>
        <v>2821.17</v>
      </c>
      <c r="BR18" s="71">
        <f>IFERROR(__xludf.DUMMYFUNCTION("""COMPUTED_VALUE"""),451.3872)</f>
        <v>451.3872</v>
      </c>
      <c r="BS18" s="71">
        <f>IFERROR(__xludf.DUMMYFUNCTION("""COMPUTED_VALUE"""),3272.5572)</f>
        <v>3272.5572</v>
      </c>
      <c r="BT18" s="71">
        <f>IFERROR(__xludf.DUMMYFUNCTION("""COMPUTED_VALUE"""),2719.2000000000003)</f>
        <v>2719.2</v>
      </c>
      <c r="BU18" s="71">
        <f>IFERROR(__xludf.DUMMYFUNCTION("""COMPUTED_VALUE"""),435.07200000000006)</f>
        <v>435.072</v>
      </c>
      <c r="BV18" s="71">
        <f>IFERROR(__xludf.DUMMYFUNCTION("""COMPUTED_VALUE"""),3154.2720000000004)</f>
        <v>3154.272</v>
      </c>
    </row>
    <row r="19">
      <c r="A19" s="53"/>
      <c r="B19" s="53"/>
      <c r="C19" s="53"/>
      <c r="D19" s="53" t="s">
        <v>82</v>
      </c>
      <c r="E19" s="55" t="s">
        <v>38</v>
      </c>
      <c r="F19" s="89"/>
      <c r="G19" s="84" t="s">
        <v>83</v>
      </c>
      <c r="H19" s="55"/>
      <c r="I19" s="54">
        <f t="shared" si="1"/>
        <v>0</v>
      </c>
      <c r="J19" s="56"/>
      <c r="K19" s="57"/>
      <c r="L19" s="55"/>
      <c r="M19" s="59"/>
      <c r="N19" s="60"/>
      <c r="O19" s="90"/>
      <c r="P19" s="62">
        <v>8331.0</v>
      </c>
      <c r="Q19" s="63">
        <v>8331.0</v>
      </c>
      <c r="R19" s="64">
        <v>9186.0</v>
      </c>
      <c r="S19" s="65">
        <v>9645.0</v>
      </c>
      <c r="T19" s="65">
        <f t="shared" si="2"/>
        <v>1543.2</v>
      </c>
      <c r="U19" s="65">
        <f t="shared" si="3"/>
        <v>11188.2</v>
      </c>
      <c r="V19" s="66">
        <f t="shared" si="4"/>
        <v>0.04996734161</v>
      </c>
      <c r="W19" s="67">
        <f t="shared" si="5"/>
        <v>9162.75</v>
      </c>
      <c r="X19" s="67">
        <f t="shared" si="6"/>
        <v>1466.04</v>
      </c>
      <c r="Y19" s="67">
        <f t="shared" si="7"/>
        <v>10628.79</v>
      </c>
      <c r="Z19" s="67">
        <f t="shared" si="8"/>
        <v>8680.5</v>
      </c>
      <c r="AA19" s="67">
        <f t="shared" si="9"/>
        <v>1388.88</v>
      </c>
      <c r="AB19" s="67">
        <f t="shared" si="10"/>
        <v>10069.38</v>
      </c>
      <c r="AC19" s="67">
        <f t="shared" si="11"/>
        <v>8198.25</v>
      </c>
      <c r="AD19" s="67">
        <f t="shared" si="12"/>
        <v>1311.72</v>
      </c>
      <c r="AE19" s="67">
        <f t="shared" si="13"/>
        <v>9509.97</v>
      </c>
      <c r="AF19" s="67">
        <f t="shared" si="14"/>
        <v>8005.35</v>
      </c>
      <c r="AG19" s="67">
        <f t="shared" si="15"/>
        <v>1280.856</v>
      </c>
      <c r="AH19" s="67">
        <f t="shared" si="16"/>
        <v>9286.206</v>
      </c>
      <c r="AI19" s="67">
        <f t="shared" si="17"/>
        <v>7716</v>
      </c>
      <c r="AJ19" s="68">
        <f t="shared" si="18"/>
        <v>1234.56</v>
      </c>
      <c r="AK19" s="68">
        <f t="shared" si="19"/>
        <v>8950.56</v>
      </c>
      <c r="AL19" s="70">
        <f>IFERROR(__xludf.DUMMYFUNCTION("""COMPUTED_VALUE"""),1.0)</f>
        <v>1</v>
      </c>
      <c r="AM19" s="70"/>
      <c r="AN19" s="71" t="str">
        <f>IFERROR(__xludf.DUMMYFUNCTION("""COMPUTED_VALUE""")," C")</f>
        <v>C</v>
      </c>
      <c r="AO19" s="71" t="str">
        <f>IFERROR(__xludf.DUMMYFUNCTION("""COMPUTED_VALUE""")," AN08")</f>
        <v>AN08</v>
      </c>
      <c r="AP19" s="71" t="str">
        <f>IFERROR(__xludf.DUMMYFUNCTION("""COMPUTED_VALUE""")," GAL")</f>
        <v>GAL</v>
      </c>
      <c r="AQ19" s="71" t="str">
        <f>IFERROR(__xludf.DUMMYFUNCTION("""COMPUTED_VALUE""")," REF")</f>
        <v>REF</v>
      </c>
      <c r="AR19" s="71" t="str">
        <f>IFERROR(__xludf.DUMMYFUNCTION("""COMPUTED_VALUE""")," ANTIADHERENTE ""TRANSPARENTE"" GALÓN")</f>
        <v>ANTIADHERENTE "TRANSPARENTE" GALÓN</v>
      </c>
      <c r="AS19" s="71" t="str">
        <f>IFERROR(__xludf.DUMMYFUNCTION("""COMPUTED_VALUE""")," ANTIADHERENTE TRANSPARENTE GALON")</f>
        <v>ANTIADHERENTE TRANSPARENTE GALON</v>
      </c>
      <c r="AT19" s="71">
        <f>IFERROR(__xludf.DUMMYFUNCTION("""COMPUTED_VALUE"""),32.0)</f>
        <v>32</v>
      </c>
      <c r="AU19" s="71"/>
      <c r="AV19" s="71"/>
      <c r="AW19" s="71"/>
      <c r="AX19" s="71"/>
      <c r="AY19" s="71">
        <f>IFERROR(__xludf.DUMMYFUNCTION("""COMPUTED_VALUE"""),1055.0)</f>
        <v>1055</v>
      </c>
      <c r="AZ19" s="71">
        <f>IFERROR(__xludf.DUMMYFUNCTION("""COMPUTED_VALUE"""),787.0)</f>
        <v>787</v>
      </c>
      <c r="BA19" s="71">
        <f>IFERROR(__xludf.DUMMYFUNCTION("""COMPUTED_VALUE"""),612.0)</f>
        <v>612</v>
      </c>
      <c r="BB19" s="71">
        <f>IFERROR(__xludf.DUMMYFUNCTION("""COMPUTED_VALUE"""),612.0)</f>
        <v>612</v>
      </c>
      <c r="BC19" s="71">
        <f>IFERROR(__xludf.DUMMYFUNCTION("""COMPUTED_VALUE"""),682.0)</f>
        <v>682</v>
      </c>
      <c r="BD19" s="71">
        <f>IFERROR(__xludf.DUMMYFUNCTION("""COMPUTED_VALUE"""),716.0)</f>
        <v>716</v>
      </c>
      <c r="BE19" s="71">
        <f>IFERROR(__xludf.DUMMYFUNCTION("""COMPUTED_VALUE"""),114.56)</f>
        <v>114.56</v>
      </c>
      <c r="BF19" s="71">
        <f>IFERROR(__xludf.DUMMYFUNCTION("""COMPUTED_VALUE"""),830.56)</f>
        <v>830.56</v>
      </c>
      <c r="BG19" s="71">
        <f>IFERROR(__xludf.DUMMYFUNCTION("""COMPUTED_VALUE"""),0.04985337243401759)</f>
        <v>0.04985337243</v>
      </c>
      <c r="BH19" s="71">
        <f>IFERROR(__xludf.DUMMYFUNCTION("""COMPUTED_VALUE"""),680.1999999999999)</f>
        <v>680.2</v>
      </c>
      <c r="BI19" s="71">
        <f>IFERROR(__xludf.DUMMYFUNCTION("""COMPUTED_VALUE"""),108.832)</f>
        <v>108.832</v>
      </c>
      <c r="BJ19" s="71">
        <f>IFERROR(__xludf.DUMMYFUNCTION("""COMPUTED_VALUE"""),789.0319999999999)</f>
        <v>789.032</v>
      </c>
      <c r="BK19" s="71">
        <f>IFERROR(__xludf.DUMMYFUNCTION("""COMPUTED_VALUE"""),644.4)</f>
        <v>644.4</v>
      </c>
      <c r="BL19" s="71">
        <f>IFERROR(__xludf.DUMMYFUNCTION("""COMPUTED_VALUE"""),103.104)</f>
        <v>103.104</v>
      </c>
      <c r="BM19" s="71">
        <f>IFERROR(__xludf.DUMMYFUNCTION("""COMPUTED_VALUE"""),747.504)</f>
        <v>747.504</v>
      </c>
      <c r="BN19" s="71">
        <f>IFERROR(__xludf.DUMMYFUNCTION("""COMPUTED_VALUE"""),608.6)</f>
        <v>608.6</v>
      </c>
      <c r="BO19" s="71">
        <f>IFERROR(__xludf.DUMMYFUNCTION("""COMPUTED_VALUE"""),97.376)</f>
        <v>97.376</v>
      </c>
      <c r="BP19" s="71">
        <f>IFERROR(__xludf.DUMMYFUNCTION("""COMPUTED_VALUE"""),705.976)</f>
        <v>705.976</v>
      </c>
      <c r="BQ19" s="71">
        <f>IFERROR(__xludf.DUMMYFUNCTION("""COMPUTED_VALUE"""),594.28)</f>
        <v>594.28</v>
      </c>
      <c r="BR19" s="71">
        <f>IFERROR(__xludf.DUMMYFUNCTION("""COMPUTED_VALUE"""),95.0848)</f>
        <v>95.0848</v>
      </c>
      <c r="BS19" s="71">
        <f>IFERROR(__xludf.DUMMYFUNCTION("""COMPUTED_VALUE"""),689.3648)</f>
        <v>689.3648</v>
      </c>
      <c r="BT19" s="71">
        <f>IFERROR(__xludf.DUMMYFUNCTION("""COMPUTED_VALUE"""),572.8000000000001)</f>
        <v>572.8</v>
      </c>
      <c r="BU19" s="71">
        <f>IFERROR(__xludf.DUMMYFUNCTION("""COMPUTED_VALUE"""),91.64800000000001)</f>
        <v>91.648</v>
      </c>
      <c r="BV19" s="71">
        <f>IFERROR(__xludf.DUMMYFUNCTION("""COMPUTED_VALUE"""),664.4480000000001)</f>
        <v>664.448</v>
      </c>
    </row>
    <row r="20">
      <c r="A20" s="53"/>
      <c r="B20" s="53"/>
      <c r="C20" s="53" t="s">
        <v>36</v>
      </c>
      <c r="D20" s="85" t="s">
        <v>84</v>
      </c>
      <c r="E20" s="54" t="s">
        <v>85</v>
      </c>
      <c r="F20" s="55" t="s">
        <v>39</v>
      </c>
      <c r="G20" s="86" t="s">
        <v>86</v>
      </c>
      <c r="H20" s="86" t="s">
        <v>86</v>
      </c>
      <c r="I20" s="54">
        <f t="shared" si="1"/>
        <v>25</v>
      </c>
      <c r="J20" s="56"/>
      <c r="K20" s="75"/>
      <c r="L20" s="77"/>
      <c r="M20" s="59"/>
      <c r="N20" s="60"/>
      <c r="O20" s="61">
        <v>462.72</v>
      </c>
      <c r="P20" s="62">
        <v>499.73760000000004</v>
      </c>
      <c r="Q20" s="63">
        <v>499.73760000000004</v>
      </c>
      <c r="R20" s="64">
        <v>525.0</v>
      </c>
      <c r="S20" s="65">
        <v>551.0</v>
      </c>
      <c r="T20" s="65">
        <f t="shared" si="2"/>
        <v>88.16</v>
      </c>
      <c r="U20" s="65">
        <f t="shared" si="3"/>
        <v>639.16</v>
      </c>
      <c r="V20" s="66">
        <f t="shared" si="4"/>
        <v>0.04952380952</v>
      </c>
      <c r="W20" s="67">
        <f t="shared" si="5"/>
        <v>523.45</v>
      </c>
      <c r="X20" s="67">
        <f t="shared" si="6"/>
        <v>83.752</v>
      </c>
      <c r="Y20" s="67">
        <f t="shared" si="7"/>
        <v>607.202</v>
      </c>
      <c r="Z20" s="67">
        <f t="shared" si="8"/>
        <v>495.9</v>
      </c>
      <c r="AA20" s="67">
        <f t="shared" si="9"/>
        <v>79.344</v>
      </c>
      <c r="AB20" s="67">
        <f t="shared" si="10"/>
        <v>575.244</v>
      </c>
      <c r="AC20" s="67">
        <f t="shared" si="11"/>
        <v>468.35</v>
      </c>
      <c r="AD20" s="67">
        <f t="shared" si="12"/>
        <v>74.936</v>
      </c>
      <c r="AE20" s="67">
        <f t="shared" si="13"/>
        <v>543.286</v>
      </c>
      <c r="AF20" s="67">
        <f t="shared" si="14"/>
        <v>457.33</v>
      </c>
      <c r="AG20" s="67">
        <f t="shared" si="15"/>
        <v>73.1728</v>
      </c>
      <c r="AH20" s="67">
        <f t="shared" si="16"/>
        <v>530.5028</v>
      </c>
      <c r="AI20" s="67">
        <f t="shared" si="17"/>
        <v>440.8</v>
      </c>
      <c r="AJ20" s="68">
        <f t="shared" si="18"/>
        <v>70.528</v>
      </c>
      <c r="AK20" s="68">
        <f t="shared" si="19"/>
        <v>511.328</v>
      </c>
      <c r="AL20" s="70">
        <f>IFERROR(__xludf.DUMMYFUNCTION("""COMPUTED_VALUE"""),1.0)</f>
        <v>1</v>
      </c>
      <c r="AM20" s="70"/>
      <c r="AN20" s="71" t="str">
        <f>IFERROR(__xludf.DUMMYFUNCTION("""COMPUTED_VALUE""")," C")</f>
        <v>C</v>
      </c>
      <c r="AO20" s="71" t="str">
        <f>IFERROR(__xludf.DUMMYFUNCTION("""COMPUTED_VALUE""")," AN09")</f>
        <v>AN09</v>
      </c>
      <c r="AP20" s="71" t="str">
        <f>IFERROR(__xludf.DUMMYFUNCTION("""COMPUTED_VALUE""")," LTR")</f>
        <v>LTR</v>
      </c>
      <c r="AQ20" s="71" t="str">
        <f>IFERROR(__xludf.DUMMYFUNCTION("""COMPUTED_VALUE""")," REF")</f>
        <v>REF</v>
      </c>
      <c r="AR20" s="71" t="str">
        <f>IFERROR(__xludf.DUMMYFUNCTION("""COMPUTED_VALUE""")," ANTIADHERENTE ""TRANSPARENTE"" LITRO")</f>
        <v>ANTIADHERENTE "TRANSPARENTE" LITRO</v>
      </c>
      <c r="AS20" s="71" t="str">
        <f>IFERROR(__xludf.DUMMYFUNCTION("""COMPUTED_VALUE""")," ANTIADHERENTE TRANSPARENTE LITRO")</f>
        <v>ANTIADHERENTE TRANSPARENTE LITRO</v>
      </c>
      <c r="AT20" s="71">
        <f>IFERROR(__xludf.DUMMYFUNCTION("""COMPUTED_VALUE"""),32.0)</f>
        <v>32</v>
      </c>
      <c r="AU20" s="71"/>
      <c r="AV20" s="71"/>
      <c r="AW20" s="71"/>
      <c r="AX20" s="71"/>
      <c r="AY20" s="71">
        <f>IFERROR(__xludf.DUMMYFUNCTION("""COMPUTED_VALUE"""),254.0)</f>
        <v>254</v>
      </c>
      <c r="AZ20" s="71">
        <f>IFERROR(__xludf.DUMMYFUNCTION("""COMPUTED_VALUE"""),197.0)</f>
        <v>197</v>
      </c>
      <c r="BA20" s="71">
        <f>IFERROR(__xludf.DUMMYFUNCTION("""COMPUTED_VALUE"""),153.0)</f>
        <v>153</v>
      </c>
      <c r="BB20" s="71">
        <f>IFERROR(__xludf.DUMMYFUNCTION("""COMPUTED_VALUE"""),153.0)</f>
        <v>153</v>
      </c>
      <c r="BC20" s="71">
        <f>IFERROR(__xludf.DUMMYFUNCTION("""COMPUTED_VALUE"""),172.0)</f>
        <v>172</v>
      </c>
      <c r="BD20" s="71">
        <f>IFERROR(__xludf.DUMMYFUNCTION("""COMPUTED_VALUE"""),181.0)</f>
        <v>181</v>
      </c>
      <c r="BE20" s="71">
        <f>IFERROR(__xludf.DUMMYFUNCTION("""COMPUTED_VALUE"""),28.96)</f>
        <v>28.96</v>
      </c>
      <c r="BF20" s="71">
        <f>IFERROR(__xludf.DUMMYFUNCTION("""COMPUTED_VALUE"""),209.96)</f>
        <v>209.96</v>
      </c>
      <c r="BG20" s="71">
        <f>IFERROR(__xludf.DUMMYFUNCTION("""COMPUTED_VALUE"""),0.05232558139534884)</f>
        <v>0.0523255814</v>
      </c>
      <c r="BH20" s="71">
        <f>IFERROR(__xludf.DUMMYFUNCTION("""COMPUTED_VALUE"""),171.95)</f>
        <v>171.95</v>
      </c>
      <c r="BI20" s="71">
        <f>IFERROR(__xludf.DUMMYFUNCTION("""COMPUTED_VALUE"""),27.512)</f>
        <v>27.512</v>
      </c>
      <c r="BJ20" s="71">
        <f>IFERROR(__xludf.DUMMYFUNCTION("""COMPUTED_VALUE"""),199.462)</f>
        <v>199.462</v>
      </c>
      <c r="BK20" s="71">
        <f>IFERROR(__xludf.DUMMYFUNCTION("""COMPUTED_VALUE"""),162.9)</f>
        <v>162.9</v>
      </c>
      <c r="BL20" s="71">
        <f>IFERROR(__xludf.DUMMYFUNCTION("""COMPUTED_VALUE"""),26.064)</f>
        <v>26.064</v>
      </c>
      <c r="BM20" s="71">
        <f>IFERROR(__xludf.DUMMYFUNCTION("""COMPUTED_VALUE"""),188.964)</f>
        <v>188.964</v>
      </c>
      <c r="BN20" s="71">
        <f>IFERROR(__xludf.DUMMYFUNCTION("""COMPUTED_VALUE"""),153.85)</f>
        <v>153.85</v>
      </c>
      <c r="BO20" s="71">
        <f>IFERROR(__xludf.DUMMYFUNCTION("""COMPUTED_VALUE"""),24.616)</f>
        <v>24.616</v>
      </c>
      <c r="BP20" s="71">
        <f>IFERROR(__xludf.DUMMYFUNCTION("""COMPUTED_VALUE"""),178.466)</f>
        <v>178.466</v>
      </c>
      <c r="BQ20" s="71">
        <f>IFERROR(__xludf.DUMMYFUNCTION("""COMPUTED_VALUE"""),150.23)</f>
        <v>150.23</v>
      </c>
      <c r="BR20" s="71">
        <f>IFERROR(__xludf.DUMMYFUNCTION("""COMPUTED_VALUE"""),24.0368)</f>
        <v>24.0368</v>
      </c>
      <c r="BS20" s="71">
        <f>IFERROR(__xludf.DUMMYFUNCTION("""COMPUTED_VALUE"""),174.2668)</f>
        <v>174.2668</v>
      </c>
      <c r="BT20" s="71">
        <f>IFERROR(__xludf.DUMMYFUNCTION("""COMPUTED_VALUE"""),144.8)</f>
        <v>144.8</v>
      </c>
      <c r="BU20" s="71">
        <f>IFERROR(__xludf.DUMMYFUNCTION("""COMPUTED_VALUE"""),23.168000000000003)</f>
        <v>23.168</v>
      </c>
      <c r="BV20" s="71">
        <f>IFERROR(__xludf.DUMMYFUNCTION("""COMPUTED_VALUE"""),167.96800000000002)</f>
        <v>167.968</v>
      </c>
    </row>
    <row r="21">
      <c r="A21" s="53">
        <v>1.0</v>
      </c>
      <c r="B21" s="53"/>
      <c r="C21" s="53" t="s">
        <v>12</v>
      </c>
      <c r="D21" s="53" t="s">
        <v>87</v>
      </c>
      <c r="E21" s="86" t="s">
        <v>38</v>
      </c>
      <c r="F21" s="91" t="s">
        <v>42</v>
      </c>
      <c r="G21" s="84" t="s">
        <v>88</v>
      </c>
      <c r="H21" s="84" t="s">
        <v>88</v>
      </c>
      <c r="I21" s="54">
        <f t="shared" si="1"/>
        <v>24</v>
      </c>
      <c r="J21" s="56"/>
      <c r="K21" s="57"/>
      <c r="L21" s="92"/>
      <c r="M21" s="59"/>
      <c r="N21" s="93"/>
      <c r="O21" s="61"/>
      <c r="P21" s="90"/>
      <c r="Q21" s="94"/>
      <c r="R21" s="95">
        <v>42.0</v>
      </c>
      <c r="S21" s="65">
        <v>44.0</v>
      </c>
      <c r="T21" s="65">
        <f t="shared" si="2"/>
        <v>7.04</v>
      </c>
      <c r="U21" s="65">
        <f t="shared" si="3"/>
        <v>51.04</v>
      </c>
      <c r="V21" s="66">
        <f t="shared" si="4"/>
        <v>0.04761904762</v>
      </c>
      <c r="W21" s="67">
        <f t="shared" si="5"/>
        <v>41.8</v>
      </c>
      <c r="X21" s="67">
        <f t="shared" si="6"/>
        <v>6.688</v>
      </c>
      <c r="Y21" s="67">
        <f t="shared" si="7"/>
        <v>48.488</v>
      </c>
      <c r="Z21" s="67">
        <f t="shared" si="8"/>
        <v>39.6</v>
      </c>
      <c r="AA21" s="67">
        <f t="shared" si="9"/>
        <v>6.336</v>
      </c>
      <c r="AB21" s="67">
        <f t="shared" si="10"/>
        <v>45.936</v>
      </c>
      <c r="AC21" s="67">
        <f t="shared" si="11"/>
        <v>37.4</v>
      </c>
      <c r="AD21" s="67">
        <f t="shared" si="12"/>
        <v>5.984</v>
      </c>
      <c r="AE21" s="67">
        <f t="shared" si="13"/>
        <v>43.384</v>
      </c>
      <c r="AF21" s="67">
        <f t="shared" si="14"/>
        <v>36.52</v>
      </c>
      <c r="AG21" s="67">
        <f t="shared" si="15"/>
        <v>5.8432</v>
      </c>
      <c r="AH21" s="67">
        <f t="shared" si="16"/>
        <v>42.3632</v>
      </c>
      <c r="AI21" s="67">
        <f t="shared" si="17"/>
        <v>35.2</v>
      </c>
      <c r="AJ21" s="96"/>
      <c r="AK21" s="96"/>
      <c r="AL21" s="70">
        <f>IFERROR(__xludf.DUMMYFUNCTION("""COMPUTED_VALUE"""),1.0)</f>
        <v>1</v>
      </c>
      <c r="AM21" s="70"/>
      <c r="AN21" s="71" t="str">
        <f>IFERROR(__xludf.DUMMYFUNCTION("""COMPUTED_VALUE""")," C")</f>
        <v>C</v>
      </c>
      <c r="AO21" s="71" t="str">
        <f>IFERROR(__xludf.DUMMYFUNCTION("""COMPUTED_VALUE""")," AN99")</f>
        <v>AN99</v>
      </c>
      <c r="AP21" s="71" t="str">
        <f>IFERROR(__xludf.DUMMYFUNCTION("""COMPUTED_VALUE""")," LTR")</f>
        <v>LTR</v>
      </c>
      <c r="AQ21" s="71" t="str">
        <f>IFERROR(__xludf.DUMMYFUNCTION("""COMPUTED_VALUE""")," REF")</f>
        <v>REF</v>
      </c>
      <c r="AR21" s="71" t="str">
        <f>IFERROR(__xludf.DUMMYFUNCTION("""COMPUTED_VALUE""")," ANTIADHERENTE ""TRANSPARENTE"" PLUS LITRO")</f>
        <v>ANTIADHERENTE "TRANSPARENTE" PLUS LITRO</v>
      </c>
      <c r="AS21" s="71" t="str">
        <f>IFERROR(__xludf.DUMMYFUNCTION("""COMPUTED_VALUE""")," ANTIADHERENTE TRANSPARENTE PLUS LITRO")</f>
        <v>ANTIADHERENTE TRANSPARENTE PLUS LITRO</v>
      </c>
      <c r="AT21" s="71">
        <f>IFERROR(__xludf.DUMMYFUNCTION("""COMPUTED_VALUE"""),37.0)</f>
        <v>37</v>
      </c>
      <c r="AU21" s="71"/>
      <c r="AV21" s="71"/>
      <c r="AW21" s="71"/>
      <c r="AX21" s="71"/>
      <c r="AY21" s="71">
        <f>IFERROR(__xludf.DUMMYFUNCTION("""COMPUTED_VALUE"""),297.0)</f>
        <v>297</v>
      </c>
      <c r="AZ21" s="71">
        <f>IFERROR(__xludf.DUMMYFUNCTION("""COMPUTED_VALUE"""),200.0)</f>
        <v>200</v>
      </c>
      <c r="BA21" s="71">
        <f>IFERROR(__xludf.DUMMYFUNCTION("""COMPUTED_VALUE"""),149.4)</f>
        <v>149.4</v>
      </c>
      <c r="BB21" s="71">
        <f>IFERROR(__xludf.DUMMYFUNCTION("""COMPUTED_VALUE"""),149.4)</f>
        <v>149.4</v>
      </c>
      <c r="BC21" s="71">
        <f>IFERROR(__xludf.DUMMYFUNCTION("""COMPUTED_VALUE"""),167.0)</f>
        <v>167</v>
      </c>
      <c r="BD21" s="71">
        <f>IFERROR(__xludf.DUMMYFUNCTION("""COMPUTED_VALUE"""),175.0)</f>
        <v>175</v>
      </c>
      <c r="BE21" s="71">
        <f>IFERROR(__xludf.DUMMYFUNCTION("""COMPUTED_VALUE"""),28.0)</f>
        <v>28</v>
      </c>
      <c r="BF21" s="71">
        <f>IFERROR(__xludf.DUMMYFUNCTION("""COMPUTED_VALUE"""),203.0)</f>
        <v>203</v>
      </c>
      <c r="BG21" s="71">
        <f>IFERROR(__xludf.DUMMYFUNCTION("""COMPUTED_VALUE"""),0.04790419161676647)</f>
        <v>0.04790419162</v>
      </c>
      <c r="BH21" s="71">
        <f>IFERROR(__xludf.DUMMYFUNCTION("""COMPUTED_VALUE"""),166.25)</f>
        <v>166.25</v>
      </c>
      <c r="BI21" s="71">
        <f>IFERROR(__xludf.DUMMYFUNCTION("""COMPUTED_VALUE"""),26.6)</f>
        <v>26.6</v>
      </c>
      <c r="BJ21" s="71">
        <f>IFERROR(__xludf.DUMMYFUNCTION("""COMPUTED_VALUE"""),192.85)</f>
        <v>192.85</v>
      </c>
      <c r="BK21" s="71">
        <f>IFERROR(__xludf.DUMMYFUNCTION("""COMPUTED_VALUE"""),157.5)</f>
        <v>157.5</v>
      </c>
      <c r="BL21" s="71">
        <f>IFERROR(__xludf.DUMMYFUNCTION("""COMPUTED_VALUE"""),25.2)</f>
        <v>25.2</v>
      </c>
      <c r="BM21" s="71">
        <f>IFERROR(__xludf.DUMMYFUNCTION("""COMPUTED_VALUE"""),182.7)</f>
        <v>182.7</v>
      </c>
      <c r="BN21" s="71">
        <f>IFERROR(__xludf.DUMMYFUNCTION("""COMPUTED_VALUE"""),148.75)</f>
        <v>148.75</v>
      </c>
      <c r="BO21" s="71">
        <f>IFERROR(__xludf.DUMMYFUNCTION("""COMPUTED_VALUE"""),23.8)</f>
        <v>23.8</v>
      </c>
      <c r="BP21" s="71">
        <f>IFERROR(__xludf.DUMMYFUNCTION("""COMPUTED_VALUE"""),172.55)</f>
        <v>172.55</v>
      </c>
      <c r="BQ21" s="71">
        <f>IFERROR(__xludf.DUMMYFUNCTION("""COMPUTED_VALUE"""),145.25)</f>
        <v>145.25</v>
      </c>
      <c r="BR21" s="71">
        <f>IFERROR(__xludf.DUMMYFUNCTION("""COMPUTED_VALUE"""),23.240000000000002)</f>
        <v>23.24</v>
      </c>
      <c r="BS21" s="71">
        <f>IFERROR(__xludf.DUMMYFUNCTION("""COMPUTED_VALUE"""),168.49)</f>
        <v>168.49</v>
      </c>
      <c r="BT21" s="71">
        <f>IFERROR(__xludf.DUMMYFUNCTION("""COMPUTED_VALUE"""),140.0)</f>
        <v>140</v>
      </c>
      <c r="BU21" s="71">
        <f>IFERROR(__xludf.DUMMYFUNCTION("""COMPUTED_VALUE"""),22.400000000000002)</f>
        <v>22.4</v>
      </c>
      <c r="BV21" s="71">
        <f>IFERROR(__xludf.DUMMYFUNCTION("""COMPUTED_VALUE"""),162.4)</f>
        <v>162.4</v>
      </c>
    </row>
    <row r="22">
      <c r="A22" s="53">
        <v>1.0</v>
      </c>
      <c r="B22" s="53"/>
      <c r="C22" s="53" t="s">
        <v>12</v>
      </c>
      <c r="D22" s="53" t="s">
        <v>89</v>
      </c>
      <c r="E22" s="86" t="s">
        <v>38</v>
      </c>
      <c r="F22" s="91" t="s">
        <v>42</v>
      </c>
      <c r="G22" s="84" t="s">
        <v>90</v>
      </c>
      <c r="H22" s="84" t="s">
        <v>90</v>
      </c>
      <c r="I22" s="54">
        <f t="shared" si="1"/>
        <v>24</v>
      </c>
      <c r="J22" s="56"/>
      <c r="K22" s="57"/>
      <c r="L22" s="97"/>
      <c r="M22" s="59"/>
      <c r="N22" s="93"/>
      <c r="O22" s="61"/>
      <c r="P22" s="90"/>
      <c r="Q22" s="94"/>
      <c r="R22" s="95">
        <v>250.0</v>
      </c>
      <c r="S22" s="65">
        <v>263.0</v>
      </c>
      <c r="T22" s="65">
        <f t="shared" si="2"/>
        <v>42.08</v>
      </c>
      <c r="U22" s="65">
        <f t="shared" si="3"/>
        <v>305.08</v>
      </c>
      <c r="V22" s="66">
        <f t="shared" si="4"/>
        <v>0.052</v>
      </c>
      <c r="W22" s="67">
        <f t="shared" si="5"/>
        <v>249.85</v>
      </c>
      <c r="X22" s="67">
        <f t="shared" si="6"/>
        <v>39.976</v>
      </c>
      <c r="Y22" s="67">
        <f t="shared" si="7"/>
        <v>289.826</v>
      </c>
      <c r="Z22" s="67">
        <f t="shared" si="8"/>
        <v>236.7</v>
      </c>
      <c r="AA22" s="67">
        <f t="shared" si="9"/>
        <v>37.872</v>
      </c>
      <c r="AB22" s="67">
        <f t="shared" si="10"/>
        <v>274.572</v>
      </c>
      <c r="AC22" s="67">
        <f t="shared" si="11"/>
        <v>223.55</v>
      </c>
      <c r="AD22" s="67">
        <f t="shared" si="12"/>
        <v>35.768</v>
      </c>
      <c r="AE22" s="67">
        <f t="shared" si="13"/>
        <v>259.318</v>
      </c>
      <c r="AF22" s="67">
        <f t="shared" si="14"/>
        <v>218.29</v>
      </c>
      <c r="AG22" s="67">
        <f t="shared" si="15"/>
        <v>34.9264</v>
      </c>
      <c r="AH22" s="67">
        <f t="shared" si="16"/>
        <v>253.2164</v>
      </c>
      <c r="AI22" s="67">
        <f t="shared" si="17"/>
        <v>210.4</v>
      </c>
      <c r="AJ22" s="96"/>
      <c r="AK22" s="96"/>
      <c r="AL22" s="70">
        <f>IFERROR(__xludf.DUMMYFUNCTION("""COMPUTED_VALUE"""),1.0)</f>
        <v>1</v>
      </c>
      <c r="AM22" s="70"/>
      <c r="AN22" s="71" t="str">
        <f>IFERROR(__xludf.DUMMYFUNCTION("""COMPUTED_VALUE""")," C")</f>
        <v>C</v>
      </c>
      <c r="AO22" s="71" t="str">
        <f>IFERROR(__xludf.DUMMYFUNCTION("""COMPUTED_VALUE""")," AR13")</f>
        <v>AR13</v>
      </c>
      <c r="AP22" s="71" t="str">
        <f>IFERROR(__xludf.DUMMYFUNCTION("""COMPUTED_VALUE""")," PZA")</f>
        <v>PZA</v>
      </c>
      <c r="AQ22" s="71" t="str">
        <f>IFERROR(__xludf.DUMMYFUNCTION("""COMPUTED_VALUE""")," REF")</f>
        <v>REF</v>
      </c>
      <c r="AR22" s="71" t="str">
        <f>IFERROR(__xludf.DUMMYFUNCTION("""COMPUTED_VALUE""")," ARRANCADOR PARA MOTOR DE 10 HP MONOFÁSICO 220V CODIGO 10046372 32~50 AMP")</f>
        <v>ARRANCADOR PARA MOTOR DE 10 HP MONOFÁSICO 220V CODIGO 10046372 32~50 AMP</v>
      </c>
      <c r="AS22" s="71" t="str">
        <f>IFERROR(__xludf.DUMMYFUNCTION("""COMPUTED_VALUE""")," ARRANCADOR 10HP MON 220V 10046372 32-50A")</f>
        <v>ARRANCADOR 10HP MON 220V 10046372 32-50A</v>
      </c>
      <c r="AT22" s="71">
        <f>IFERROR(__xludf.DUMMYFUNCTION("""COMPUTED_VALUE"""),40.0)</f>
        <v>40</v>
      </c>
      <c r="AU22" s="71"/>
      <c r="AV22" s="71"/>
      <c r="AW22" s="71"/>
      <c r="AX22" s="71"/>
      <c r="AY22" s="71">
        <f>IFERROR(__xludf.DUMMYFUNCTION("""COMPUTED_VALUE"""),6858.0)</f>
        <v>6858</v>
      </c>
      <c r="AZ22" s="71">
        <f>IFERROR(__xludf.DUMMYFUNCTION("""COMPUTED_VALUE"""),7406.0)</f>
        <v>7406</v>
      </c>
      <c r="BA22" s="71">
        <f>IFERROR(__xludf.DUMMYFUNCTION("""COMPUTED_VALUE"""),7998.4800000000005)</f>
        <v>7998.48</v>
      </c>
      <c r="BB22" s="71">
        <f>IFERROR(__xludf.DUMMYFUNCTION("""COMPUTED_VALUE"""),7998.4800000000005)</f>
        <v>7998.48</v>
      </c>
      <c r="BC22" s="71">
        <f>IFERROR(__xludf.DUMMYFUNCTION("""COMPUTED_VALUE"""),8903.0)</f>
        <v>8903</v>
      </c>
      <c r="BD22" s="71">
        <f>IFERROR(__xludf.DUMMYFUNCTION("""COMPUTED_VALUE"""),5251.0)</f>
        <v>5251</v>
      </c>
      <c r="BE22" s="71">
        <f>IFERROR(__xludf.DUMMYFUNCTION("""COMPUTED_VALUE"""),840.16)</f>
        <v>840.16</v>
      </c>
      <c r="BF22" s="71">
        <f>IFERROR(__xludf.DUMMYFUNCTION("""COMPUTED_VALUE"""),6091.16)</f>
        <v>6091.16</v>
      </c>
      <c r="BG22" s="71">
        <f>IFERROR(__xludf.DUMMYFUNCTION("""COMPUTED_VALUE"""),-0.41019880939009323)</f>
        <v>-0.4101988094</v>
      </c>
      <c r="BH22" s="71">
        <f>IFERROR(__xludf.DUMMYFUNCTION("""COMPUTED_VALUE"""),4988.45)</f>
        <v>4988.45</v>
      </c>
      <c r="BI22" s="71">
        <f>IFERROR(__xludf.DUMMYFUNCTION("""COMPUTED_VALUE"""),798.152)</f>
        <v>798.152</v>
      </c>
      <c r="BJ22" s="71">
        <f>IFERROR(__xludf.DUMMYFUNCTION("""COMPUTED_VALUE"""),5786.602)</f>
        <v>5786.602</v>
      </c>
      <c r="BK22" s="71">
        <f>IFERROR(__xludf.DUMMYFUNCTION("""COMPUTED_VALUE"""),4725.900000000001)</f>
        <v>4725.9</v>
      </c>
      <c r="BL22" s="71">
        <f>IFERROR(__xludf.DUMMYFUNCTION("""COMPUTED_VALUE"""),756.1440000000001)</f>
        <v>756.144</v>
      </c>
      <c r="BM22" s="71">
        <f>IFERROR(__xludf.DUMMYFUNCTION("""COMPUTED_VALUE"""),5482.044000000001)</f>
        <v>5482.044</v>
      </c>
      <c r="BN22" s="71">
        <f>IFERROR(__xludf.DUMMYFUNCTION("""COMPUTED_VALUE"""),4463.349999999999)</f>
        <v>4463.35</v>
      </c>
      <c r="BO22" s="71">
        <f>IFERROR(__xludf.DUMMYFUNCTION("""COMPUTED_VALUE"""),714.136)</f>
        <v>714.136</v>
      </c>
      <c r="BP22" s="71">
        <f>IFERROR(__xludf.DUMMYFUNCTION("""COMPUTED_VALUE"""),5177.485999999999)</f>
        <v>5177.486</v>
      </c>
      <c r="BQ22" s="71">
        <f>IFERROR(__xludf.DUMMYFUNCTION("""COMPUTED_VALUE"""),4358.33)</f>
        <v>4358.33</v>
      </c>
      <c r="BR22" s="71">
        <f>IFERROR(__xludf.DUMMYFUNCTION("""COMPUTED_VALUE"""),697.3328)</f>
        <v>697.3328</v>
      </c>
      <c r="BS22" s="71">
        <f>IFERROR(__xludf.DUMMYFUNCTION("""COMPUTED_VALUE"""),5055.6628)</f>
        <v>5055.6628</v>
      </c>
      <c r="BT22" s="71">
        <f>IFERROR(__xludf.DUMMYFUNCTION("""COMPUTED_VALUE"""),4200.8)</f>
        <v>4200.8</v>
      </c>
      <c r="BU22" s="71">
        <f>IFERROR(__xludf.DUMMYFUNCTION("""COMPUTED_VALUE"""),672.128)</f>
        <v>672.128</v>
      </c>
      <c r="BV22" s="71">
        <f>IFERROR(__xludf.DUMMYFUNCTION("""COMPUTED_VALUE"""),4872.928)</f>
        <v>4872.928</v>
      </c>
    </row>
    <row r="23">
      <c r="A23" s="53"/>
      <c r="B23" s="53">
        <v>0.0</v>
      </c>
      <c r="C23" s="73" t="s">
        <v>12</v>
      </c>
      <c r="D23" s="53" t="s">
        <v>91</v>
      </c>
      <c r="E23" s="54" t="s">
        <v>92</v>
      </c>
      <c r="F23" s="54" t="s">
        <v>42</v>
      </c>
      <c r="G23" s="55" t="s">
        <v>93</v>
      </c>
      <c r="H23" s="54" t="s">
        <v>94</v>
      </c>
      <c r="I23" s="54">
        <f t="shared" si="1"/>
        <v>33</v>
      </c>
      <c r="J23" s="56"/>
      <c r="K23" s="57"/>
      <c r="L23" s="76"/>
      <c r="M23" s="59"/>
      <c r="N23" s="79">
        <v>1080.0</v>
      </c>
      <c r="O23" s="61">
        <v>1166.0</v>
      </c>
      <c r="P23" s="62">
        <v>1259.28</v>
      </c>
      <c r="Q23" s="63">
        <v>1259.28</v>
      </c>
      <c r="R23" s="64">
        <v>1322.0</v>
      </c>
      <c r="S23" s="65">
        <v>1388.0</v>
      </c>
      <c r="T23" s="65">
        <f t="shared" si="2"/>
        <v>222.08</v>
      </c>
      <c r="U23" s="65">
        <f t="shared" si="3"/>
        <v>1610.08</v>
      </c>
      <c r="V23" s="66">
        <f t="shared" si="4"/>
        <v>0.04992435703</v>
      </c>
      <c r="W23" s="67" t="b">
        <f t="shared" si="5"/>
        <v>0</v>
      </c>
      <c r="X23" s="67">
        <f t="shared" si="6"/>
        <v>0</v>
      </c>
      <c r="Y23" s="67">
        <f t="shared" si="7"/>
        <v>0</v>
      </c>
      <c r="Z23" s="67" t="b">
        <f t="shared" si="8"/>
        <v>0</v>
      </c>
      <c r="AA23" s="67">
        <f t="shared" si="9"/>
        <v>0</v>
      </c>
      <c r="AB23" s="67">
        <f t="shared" si="10"/>
        <v>0</v>
      </c>
      <c r="AC23" s="67" t="b">
        <f t="shared" si="11"/>
        <v>0</v>
      </c>
      <c r="AD23" s="67">
        <f t="shared" si="12"/>
        <v>0</v>
      </c>
      <c r="AE23" s="67">
        <f t="shared" si="13"/>
        <v>0</v>
      </c>
      <c r="AF23" s="67" t="b">
        <f t="shared" si="14"/>
        <v>0</v>
      </c>
      <c r="AG23" s="67">
        <f t="shared" si="15"/>
        <v>0</v>
      </c>
      <c r="AH23" s="67">
        <f t="shared" si="16"/>
        <v>0</v>
      </c>
      <c r="AI23" s="67" t="b">
        <f t="shared" si="17"/>
        <v>0</v>
      </c>
      <c r="AJ23" s="68">
        <f t="shared" ref="AJ23:AJ585" si="20">AI23*0.16</f>
        <v>0</v>
      </c>
      <c r="AK23" s="68">
        <f t="shared" ref="AK23:AK585" si="21">AI23+AJ23</f>
        <v>0</v>
      </c>
      <c r="AL23" s="70">
        <f>IFERROR(__xludf.DUMMYFUNCTION("""COMPUTED_VALUE"""),1.0)</f>
        <v>1</v>
      </c>
      <c r="AM23" s="70"/>
      <c r="AN23" s="71" t="str">
        <f>IFERROR(__xludf.DUMMYFUNCTION("""COMPUTED_VALUE""")," C")</f>
        <v>C</v>
      </c>
      <c r="AO23" s="71" t="str">
        <f>IFERROR(__xludf.DUMMYFUNCTION("""COMPUTED_VALUE""")," AR05")</f>
        <v>AR05</v>
      </c>
      <c r="AP23" s="71" t="str">
        <f>IFERROR(__xludf.DUMMYFUNCTION("""COMPUTED_VALUE""")," PZA")</f>
        <v>PZA</v>
      </c>
      <c r="AQ23" s="71" t="str">
        <f>IFERROR(__xludf.DUMMYFUNCTION("""COMPUTED_VALUE""")," REF")</f>
        <v>REF</v>
      </c>
      <c r="AR23" s="71" t="str">
        <f>IFERROR(__xludf.DUMMYFUNCTION("""COMPUTED_VALUE""")," ARRANCADOR PARA MOTOR DE 10 HP TRIFÁSICO 220V CODIGO 10072610 22~32 AMP")</f>
        <v>ARRANCADOR PARA MOTOR DE 10 HP TRIFÁSICO 220V CODIGO 10072610 22~32 AMP</v>
      </c>
      <c r="AS23" s="71" t="str">
        <f>IFERROR(__xludf.DUMMYFUNCTION("""COMPUTED_VALUE""")," ARRANCADOR 10HP TRI 220V 10072610 22-32A")</f>
        <v>ARRANCADOR 10HP TRI 220V 10072610 22-32A</v>
      </c>
      <c r="AT23" s="71">
        <f>IFERROR(__xludf.DUMMYFUNCTION("""COMPUTED_VALUE"""),40.0)</f>
        <v>40</v>
      </c>
      <c r="AU23" s="71"/>
      <c r="AV23" s="71"/>
      <c r="AW23" s="71"/>
      <c r="AX23" s="71"/>
      <c r="AY23" s="71">
        <f>IFERROR(__xludf.DUMMYFUNCTION("""COMPUTED_VALUE"""),5184.0)</f>
        <v>5184</v>
      </c>
      <c r="AZ23" s="71">
        <f>IFERROR(__xludf.DUMMYFUNCTION("""COMPUTED_VALUE"""),2686.0)</f>
        <v>2686</v>
      </c>
      <c r="BA23" s="71">
        <f>IFERROR(__xludf.DUMMYFUNCTION("""COMPUTED_VALUE"""),2900.88)</f>
        <v>2900.88</v>
      </c>
      <c r="BB23" s="71">
        <f>IFERROR(__xludf.DUMMYFUNCTION("""COMPUTED_VALUE"""),2900.88)</f>
        <v>2900.88</v>
      </c>
      <c r="BC23" s="71">
        <f>IFERROR(__xludf.DUMMYFUNCTION("""COMPUTED_VALUE"""),3229.0)</f>
        <v>3229</v>
      </c>
      <c r="BD23" s="71">
        <f>IFERROR(__xludf.DUMMYFUNCTION("""COMPUTED_VALUE"""),3390.0)</f>
        <v>3390</v>
      </c>
      <c r="BE23" s="71">
        <f>IFERROR(__xludf.DUMMYFUNCTION("""COMPUTED_VALUE"""),542.4)</f>
        <v>542.4</v>
      </c>
      <c r="BF23" s="71">
        <f>IFERROR(__xludf.DUMMYFUNCTION("""COMPUTED_VALUE"""),3932.4)</f>
        <v>3932.4</v>
      </c>
      <c r="BG23" s="71">
        <f>IFERROR(__xludf.DUMMYFUNCTION("""COMPUTED_VALUE"""),0.049860637968411274)</f>
        <v>0.04986063797</v>
      </c>
      <c r="BH23" s="71">
        <f>IFERROR(__xludf.DUMMYFUNCTION("""COMPUTED_VALUE"""),3220.5)</f>
        <v>3220.5</v>
      </c>
      <c r="BI23" s="71">
        <f>IFERROR(__xludf.DUMMYFUNCTION("""COMPUTED_VALUE"""),515.28)</f>
        <v>515.28</v>
      </c>
      <c r="BJ23" s="71">
        <f>IFERROR(__xludf.DUMMYFUNCTION("""COMPUTED_VALUE"""),3735.7799999999997)</f>
        <v>3735.78</v>
      </c>
      <c r="BK23" s="71">
        <f>IFERROR(__xludf.DUMMYFUNCTION("""COMPUTED_VALUE"""),3051.0)</f>
        <v>3051</v>
      </c>
      <c r="BL23" s="71">
        <f>IFERROR(__xludf.DUMMYFUNCTION("""COMPUTED_VALUE"""),488.16)</f>
        <v>488.16</v>
      </c>
      <c r="BM23" s="71">
        <f>IFERROR(__xludf.DUMMYFUNCTION("""COMPUTED_VALUE"""),3539.16)</f>
        <v>3539.16</v>
      </c>
      <c r="BN23" s="71">
        <f>IFERROR(__xludf.DUMMYFUNCTION("""COMPUTED_VALUE"""),2881.5)</f>
        <v>2881.5</v>
      </c>
      <c r="BO23" s="71">
        <f>IFERROR(__xludf.DUMMYFUNCTION("""COMPUTED_VALUE"""),461.04)</f>
        <v>461.04</v>
      </c>
      <c r="BP23" s="71">
        <f>IFERROR(__xludf.DUMMYFUNCTION("""COMPUTED_VALUE"""),3342.54)</f>
        <v>3342.54</v>
      </c>
      <c r="BQ23" s="71">
        <f>IFERROR(__xludf.DUMMYFUNCTION("""COMPUTED_VALUE"""),2813.7)</f>
        <v>2813.7</v>
      </c>
      <c r="BR23" s="71">
        <f>IFERROR(__xludf.DUMMYFUNCTION("""COMPUTED_VALUE"""),450.192)</f>
        <v>450.192</v>
      </c>
      <c r="BS23" s="71">
        <f>IFERROR(__xludf.DUMMYFUNCTION("""COMPUTED_VALUE"""),3263.892)</f>
        <v>3263.892</v>
      </c>
      <c r="BT23" s="71">
        <f>IFERROR(__xludf.DUMMYFUNCTION("""COMPUTED_VALUE"""),2712.0)</f>
        <v>2712</v>
      </c>
      <c r="BU23" s="71">
        <f>IFERROR(__xludf.DUMMYFUNCTION("""COMPUTED_VALUE"""),433.92)</f>
        <v>433.92</v>
      </c>
      <c r="BV23" s="71">
        <f>IFERROR(__xludf.DUMMYFUNCTION("""COMPUTED_VALUE"""),3145.92)</f>
        <v>3145.92</v>
      </c>
    </row>
    <row r="24">
      <c r="A24" s="53"/>
      <c r="B24" s="53">
        <v>3.0</v>
      </c>
      <c r="C24" s="53" t="s">
        <v>36</v>
      </c>
      <c r="D24" s="85" t="s">
        <v>95</v>
      </c>
      <c r="E24" s="54" t="s">
        <v>38</v>
      </c>
      <c r="F24" s="55" t="s">
        <v>96</v>
      </c>
      <c r="G24" s="55" t="s">
        <v>97</v>
      </c>
      <c r="H24" s="55"/>
      <c r="I24" s="54">
        <f t="shared" si="1"/>
        <v>0</v>
      </c>
      <c r="J24" s="56"/>
      <c r="K24" s="57"/>
      <c r="L24" s="76"/>
      <c r="M24" s="59"/>
      <c r="N24" s="60"/>
      <c r="O24" s="61">
        <v>118305.0</v>
      </c>
      <c r="P24" s="62">
        <v>127769.40000000001</v>
      </c>
      <c r="Q24" s="63">
        <v>127769.40000000001</v>
      </c>
      <c r="R24" s="64">
        <v>140865.0</v>
      </c>
      <c r="S24" s="65">
        <v>147908.0</v>
      </c>
      <c r="T24" s="65">
        <f t="shared" si="2"/>
        <v>23665.28</v>
      </c>
      <c r="U24" s="65">
        <f t="shared" si="3"/>
        <v>171573.28</v>
      </c>
      <c r="V24" s="66">
        <f t="shared" si="4"/>
        <v>0.04999822525</v>
      </c>
      <c r="W24" s="67">
        <f t="shared" si="5"/>
        <v>140512.6</v>
      </c>
      <c r="X24" s="67">
        <f t="shared" si="6"/>
        <v>22482.016</v>
      </c>
      <c r="Y24" s="67">
        <f t="shared" si="7"/>
        <v>162994.616</v>
      </c>
      <c r="Z24" s="67">
        <f t="shared" si="8"/>
        <v>133117.2</v>
      </c>
      <c r="AA24" s="67">
        <f t="shared" si="9"/>
        <v>21298.752</v>
      </c>
      <c r="AB24" s="67">
        <f t="shared" si="10"/>
        <v>154415.952</v>
      </c>
      <c r="AC24" s="67">
        <f t="shared" si="11"/>
        <v>133117.2</v>
      </c>
      <c r="AD24" s="67">
        <f t="shared" si="12"/>
        <v>21298.752</v>
      </c>
      <c r="AE24" s="67">
        <f t="shared" si="13"/>
        <v>154415.952</v>
      </c>
      <c r="AF24" s="67">
        <f t="shared" si="14"/>
        <v>133117.2</v>
      </c>
      <c r="AG24" s="67">
        <f t="shared" si="15"/>
        <v>21298.752</v>
      </c>
      <c r="AH24" s="67">
        <f t="shared" si="16"/>
        <v>154415.952</v>
      </c>
      <c r="AI24" s="67">
        <f t="shared" si="17"/>
        <v>133117.2</v>
      </c>
      <c r="AJ24" s="68">
        <f t="shared" si="20"/>
        <v>21298.752</v>
      </c>
      <c r="AK24" s="68">
        <f t="shared" si="21"/>
        <v>154415.952</v>
      </c>
      <c r="AL24" s="70">
        <f>IFERROR(__xludf.DUMMYFUNCTION("""COMPUTED_VALUE"""),1.0)</f>
        <v>1</v>
      </c>
      <c r="AM24" s="70"/>
      <c r="AN24" s="71" t="str">
        <f>IFERROR(__xludf.DUMMYFUNCTION("""COMPUTED_VALUE""")," C")</f>
        <v>C</v>
      </c>
      <c r="AO24" s="71" t="str">
        <f>IFERROR(__xludf.DUMMYFUNCTION("""COMPUTED_VALUE""")," AR06")</f>
        <v>AR06</v>
      </c>
      <c r="AP24" s="71" t="str">
        <f>IFERROR(__xludf.DUMMYFUNCTION("""COMPUTED_VALUE""")," PZA")</f>
        <v>PZA</v>
      </c>
      <c r="AQ24" s="71" t="str">
        <f>IFERROR(__xludf.DUMMYFUNCTION("""COMPUTED_VALUE""")," REF")</f>
        <v>REF</v>
      </c>
      <c r="AR24" s="71" t="str">
        <f>IFERROR(__xludf.DUMMYFUNCTION("""COMPUTED_VALUE""")," ARRANCADOR PARA MOTOR DE 15 HP TRIFÁSICO 220V CODIGO 10046372 32~50 AMP")</f>
        <v>ARRANCADOR PARA MOTOR DE 15 HP TRIFÁSICO 220V CODIGO 10046372 32~50 AMP</v>
      </c>
      <c r="AS24" s="71" t="str">
        <f>IFERROR(__xludf.DUMMYFUNCTION("""COMPUTED_VALUE""")," ARRANCADOR 15HP TRI 220V 10046372 32-50A")</f>
        <v>ARRANCADOR 15HP TRI 220V 10046372 32-50A</v>
      </c>
      <c r="AT24" s="71">
        <f>IFERROR(__xludf.DUMMYFUNCTION("""COMPUTED_VALUE"""),40.0)</f>
        <v>40</v>
      </c>
      <c r="AU24" s="71"/>
      <c r="AV24" s="71"/>
      <c r="AW24" s="71"/>
      <c r="AX24" s="71"/>
      <c r="AY24" s="71">
        <f>IFERROR(__xludf.DUMMYFUNCTION("""COMPUTED_VALUE"""),6858.0)</f>
        <v>6858</v>
      </c>
      <c r="AZ24" s="71">
        <f>IFERROR(__xludf.DUMMYFUNCTION("""COMPUTED_VALUE"""),3553.0)</f>
        <v>3553</v>
      </c>
      <c r="BA24" s="71">
        <f>IFERROR(__xludf.DUMMYFUNCTION("""COMPUTED_VALUE"""),3837.2400000000002)</f>
        <v>3837.24</v>
      </c>
      <c r="BB24" s="71">
        <f>IFERROR(__xludf.DUMMYFUNCTION("""COMPUTED_VALUE"""),3837.2400000000002)</f>
        <v>3837.24</v>
      </c>
      <c r="BC24" s="71">
        <f>IFERROR(__xludf.DUMMYFUNCTION("""COMPUTED_VALUE"""),4272.0)</f>
        <v>4272</v>
      </c>
      <c r="BD24" s="71">
        <f>IFERROR(__xludf.DUMMYFUNCTION("""COMPUTED_VALUE"""),4486.0)</f>
        <v>4486</v>
      </c>
      <c r="BE24" s="71">
        <f>IFERROR(__xludf.DUMMYFUNCTION("""COMPUTED_VALUE"""),717.76)</f>
        <v>717.76</v>
      </c>
      <c r="BF24" s="71">
        <f>IFERROR(__xludf.DUMMYFUNCTION("""COMPUTED_VALUE"""),5203.76)</f>
        <v>5203.76</v>
      </c>
      <c r="BG24" s="71">
        <f>IFERROR(__xludf.DUMMYFUNCTION("""COMPUTED_VALUE"""),0.050093632958801496)</f>
        <v>0.05009363296</v>
      </c>
      <c r="BH24" s="71">
        <f>IFERROR(__xludf.DUMMYFUNCTION("""COMPUTED_VALUE"""),4261.7)</f>
        <v>4261.7</v>
      </c>
      <c r="BI24" s="71">
        <f>IFERROR(__xludf.DUMMYFUNCTION("""COMPUTED_VALUE"""),681.872)</f>
        <v>681.872</v>
      </c>
      <c r="BJ24" s="71">
        <f>IFERROR(__xludf.DUMMYFUNCTION("""COMPUTED_VALUE"""),4943.572)</f>
        <v>4943.572</v>
      </c>
      <c r="BK24" s="71">
        <f>IFERROR(__xludf.DUMMYFUNCTION("""COMPUTED_VALUE"""),4037.4)</f>
        <v>4037.4</v>
      </c>
      <c r="BL24" s="71">
        <f>IFERROR(__xludf.DUMMYFUNCTION("""COMPUTED_VALUE"""),645.984)</f>
        <v>645.984</v>
      </c>
      <c r="BM24" s="71">
        <f>IFERROR(__xludf.DUMMYFUNCTION("""COMPUTED_VALUE"""),4683.384)</f>
        <v>4683.384</v>
      </c>
      <c r="BN24" s="71">
        <f>IFERROR(__xludf.DUMMYFUNCTION("""COMPUTED_VALUE"""),3813.1)</f>
        <v>3813.1</v>
      </c>
      <c r="BO24" s="71">
        <f>IFERROR(__xludf.DUMMYFUNCTION("""COMPUTED_VALUE"""),610.096)</f>
        <v>610.096</v>
      </c>
      <c r="BP24" s="71">
        <f>IFERROR(__xludf.DUMMYFUNCTION("""COMPUTED_VALUE"""),4423.196)</f>
        <v>4423.196</v>
      </c>
      <c r="BQ24" s="71">
        <f>IFERROR(__xludf.DUMMYFUNCTION("""COMPUTED_VALUE"""),3723.3799999999997)</f>
        <v>3723.38</v>
      </c>
      <c r="BR24" s="71">
        <f>IFERROR(__xludf.DUMMYFUNCTION("""COMPUTED_VALUE"""),595.7407999999999)</f>
        <v>595.7408</v>
      </c>
      <c r="BS24" s="71">
        <f>IFERROR(__xludf.DUMMYFUNCTION("""COMPUTED_VALUE"""),4319.1208)</f>
        <v>4319.1208</v>
      </c>
      <c r="BT24" s="71">
        <f>IFERROR(__xludf.DUMMYFUNCTION("""COMPUTED_VALUE"""),3588.8)</f>
        <v>3588.8</v>
      </c>
      <c r="BU24" s="71">
        <f>IFERROR(__xludf.DUMMYFUNCTION("""COMPUTED_VALUE"""),574.2080000000001)</f>
        <v>574.208</v>
      </c>
      <c r="BV24" s="71">
        <f>IFERROR(__xludf.DUMMYFUNCTION("""COMPUTED_VALUE"""),4163.008)</f>
        <v>4163.008</v>
      </c>
    </row>
    <row r="25">
      <c r="A25" s="53"/>
      <c r="B25" s="53">
        <v>3.0</v>
      </c>
      <c r="C25" s="53" t="s">
        <v>36</v>
      </c>
      <c r="D25" s="98" t="s">
        <v>98</v>
      </c>
      <c r="E25" s="54" t="s">
        <v>38</v>
      </c>
      <c r="F25" s="55" t="s">
        <v>96</v>
      </c>
      <c r="G25" s="55" t="s">
        <v>99</v>
      </c>
      <c r="H25" s="55" t="s">
        <v>100</v>
      </c>
      <c r="I25" s="54">
        <f t="shared" si="1"/>
        <v>40</v>
      </c>
      <c r="J25" s="56"/>
      <c r="K25" s="57"/>
      <c r="L25" s="76"/>
      <c r="M25" s="59"/>
      <c r="N25" s="60"/>
      <c r="O25" s="61">
        <v>48290.0</v>
      </c>
      <c r="P25" s="62">
        <v>52153.200000000004</v>
      </c>
      <c r="Q25" s="63">
        <v>52153.200000000004</v>
      </c>
      <c r="R25" s="64">
        <v>57500.0</v>
      </c>
      <c r="S25" s="65">
        <v>60375.0</v>
      </c>
      <c r="T25" s="65">
        <f t="shared" si="2"/>
        <v>9660</v>
      </c>
      <c r="U25" s="65">
        <f t="shared" si="3"/>
        <v>70035</v>
      </c>
      <c r="V25" s="66">
        <f t="shared" si="4"/>
        <v>0.05</v>
      </c>
      <c r="W25" s="67">
        <f t="shared" si="5"/>
        <v>57356.25</v>
      </c>
      <c r="X25" s="67">
        <f t="shared" si="6"/>
        <v>9177</v>
      </c>
      <c r="Y25" s="67">
        <f t="shared" si="7"/>
        <v>66533.25</v>
      </c>
      <c r="Z25" s="67">
        <f t="shared" si="8"/>
        <v>54337.5</v>
      </c>
      <c r="AA25" s="67">
        <f t="shared" si="9"/>
        <v>8694</v>
      </c>
      <c r="AB25" s="67">
        <f t="shared" si="10"/>
        <v>63031.5</v>
      </c>
      <c r="AC25" s="67">
        <f t="shared" si="11"/>
        <v>54337.5</v>
      </c>
      <c r="AD25" s="67">
        <f t="shared" si="12"/>
        <v>8694</v>
      </c>
      <c r="AE25" s="67">
        <f t="shared" si="13"/>
        <v>63031.5</v>
      </c>
      <c r="AF25" s="67">
        <f t="shared" si="14"/>
        <v>54337.5</v>
      </c>
      <c r="AG25" s="67">
        <f t="shared" si="15"/>
        <v>8694</v>
      </c>
      <c r="AH25" s="67">
        <f t="shared" si="16"/>
        <v>63031.5</v>
      </c>
      <c r="AI25" s="67">
        <f t="shared" si="17"/>
        <v>54337.5</v>
      </c>
      <c r="AJ25" s="68">
        <f t="shared" si="20"/>
        <v>8694</v>
      </c>
      <c r="AK25" s="68">
        <f t="shared" si="21"/>
        <v>63031.5</v>
      </c>
      <c r="AL25" s="70">
        <f>IFERROR(__xludf.DUMMYFUNCTION("""COMPUTED_VALUE"""),1.0)</f>
        <v>1</v>
      </c>
      <c r="AM25" s="70"/>
      <c r="AN25" s="71" t="str">
        <f>IFERROR(__xludf.DUMMYFUNCTION("""COMPUTED_VALUE""")," C")</f>
        <v>C</v>
      </c>
      <c r="AO25" s="71" t="str">
        <f>IFERROR(__xludf.DUMMYFUNCTION("""COMPUTED_VALUE""")," AR14")</f>
        <v>AR14</v>
      </c>
      <c r="AP25" s="71" t="str">
        <f>IFERROR(__xludf.DUMMYFUNCTION("""COMPUTED_VALUE""")," PZA")</f>
        <v>PZA</v>
      </c>
      <c r="AQ25" s="71" t="str">
        <f>IFERROR(__xludf.DUMMYFUNCTION("""COMPUTED_VALUE""")," REF")</f>
        <v>REF</v>
      </c>
      <c r="AR25" s="71" t="str">
        <f>IFERROR(__xludf.DUMMYFUNCTION("""COMPUTED_VALUE""")," ARRANCADOR PARA MOTOR DE 2 HP MONOFÁSICO 127V CODIGO 10410257 8~12.5 AMP")</f>
        <v>ARRANCADOR PARA MOTOR DE 2 HP MONOFÁSICO 127V CODIGO 10410257 8~12.5 AMP</v>
      </c>
      <c r="AS25" s="71" t="str">
        <f>IFERROR(__xludf.DUMMYFUNCTION("""COMPUTED_VALUE""")," ARRANCADOR 2HP MON 127V 10410257 8-12.5A")</f>
        <v>ARRANCADOR 2HP MON 127V 10410257 8-12.5A</v>
      </c>
      <c r="AT25" s="71">
        <f>IFERROR(__xludf.DUMMYFUNCTION("""COMPUTED_VALUE"""),40.0)</f>
        <v>40</v>
      </c>
      <c r="AU25" s="71"/>
      <c r="AV25" s="71"/>
      <c r="AW25" s="71"/>
      <c r="AX25" s="71"/>
      <c r="AY25" s="71">
        <f>IFERROR(__xludf.DUMMYFUNCTION("""COMPUTED_VALUE"""),3341.0)</f>
        <v>3341</v>
      </c>
      <c r="AZ25" s="71">
        <f>IFERROR(__xludf.DUMMYFUNCTION("""COMPUTED_VALUE"""),3608.0)</f>
        <v>3608</v>
      </c>
      <c r="BA25" s="71">
        <f>IFERROR(__xludf.DUMMYFUNCTION("""COMPUTED_VALUE"""),3896.6400000000003)</f>
        <v>3896.64</v>
      </c>
      <c r="BB25" s="71">
        <f>IFERROR(__xludf.DUMMYFUNCTION("""COMPUTED_VALUE"""),3896.6400000000003)</f>
        <v>3896.64</v>
      </c>
      <c r="BC25" s="71">
        <f>IFERROR(__xludf.DUMMYFUNCTION("""COMPUTED_VALUE"""),4092.0)</f>
        <v>4092</v>
      </c>
      <c r="BD25" s="71">
        <f>IFERROR(__xludf.DUMMYFUNCTION("""COMPUTED_VALUE"""),2443.0)</f>
        <v>2443</v>
      </c>
      <c r="BE25" s="71">
        <f>IFERROR(__xludf.DUMMYFUNCTION("""COMPUTED_VALUE"""),390.88)</f>
        <v>390.88</v>
      </c>
      <c r="BF25" s="71">
        <f>IFERROR(__xludf.DUMMYFUNCTION("""COMPUTED_VALUE"""),2833.88)</f>
        <v>2833.88</v>
      </c>
      <c r="BG25" s="71">
        <f>IFERROR(__xludf.DUMMYFUNCTION("""COMPUTED_VALUE"""),-0.40298142717497554)</f>
        <v>-0.4029814272</v>
      </c>
      <c r="BH25" s="71">
        <f>IFERROR(__xludf.DUMMYFUNCTION("""COMPUTED_VALUE"""),2320.85)</f>
        <v>2320.85</v>
      </c>
      <c r="BI25" s="71">
        <f>IFERROR(__xludf.DUMMYFUNCTION("""COMPUTED_VALUE"""),371.336)</f>
        <v>371.336</v>
      </c>
      <c r="BJ25" s="71">
        <f>IFERROR(__xludf.DUMMYFUNCTION("""COMPUTED_VALUE"""),2692.1859999999997)</f>
        <v>2692.186</v>
      </c>
      <c r="BK25" s="71">
        <f>IFERROR(__xludf.DUMMYFUNCTION("""COMPUTED_VALUE"""),2198.7000000000003)</f>
        <v>2198.7</v>
      </c>
      <c r="BL25" s="71">
        <f>IFERROR(__xludf.DUMMYFUNCTION("""COMPUTED_VALUE"""),351.79200000000003)</f>
        <v>351.792</v>
      </c>
      <c r="BM25" s="71">
        <f>IFERROR(__xludf.DUMMYFUNCTION("""COMPUTED_VALUE"""),2550.492)</f>
        <v>2550.492</v>
      </c>
      <c r="BN25" s="71">
        <f>IFERROR(__xludf.DUMMYFUNCTION("""COMPUTED_VALUE"""),2076.5499999999997)</f>
        <v>2076.55</v>
      </c>
      <c r="BO25" s="71">
        <f>IFERROR(__xludf.DUMMYFUNCTION("""COMPUTED_VALUE"""),332.248)</f>
        <v>332.248</v>
      </c>
      <c r="BP25" s="71">
        <f>IFERROR(__xludf.DUMMYFUNCTION("""COMPUTED_VALUE"""),2408.798)</f>
        <v>2408.798</v>
      </c>
      <c r="BQ25" s="71">
        <f>IFERROR(__xludf.DUMMYFUNCTION("""COMPUTED_VALUE"""),2027.6899999999998)</f>
        <v>2027.69</v>
      </c>
      <c r="BR25" s="71">
        <f>IFERROR(__xludf.DUMMYFUNCTION("""COMPUTED_VALUE"""),324.43039999999996)</f>
        <v>324.4304</v>
      </c>
      <c r="BS25" s="71">
        <f>IFERROR(__xludf.DUMMYFUNCTION("""COMPUTED_VALUE"""),2352.1204)</f>
        <v>2352.1204</v>
      </c>
      <c r="BT25" s="71">
        <f>IFERROR(__xludf.DUMMYFUNCTION("""COMPUTED_VALUE"""),1954.4)</f>
        <v>1954.4</v>
      </c>
      <c r="BU25" s="71">
        <f>IFERROR(__xludf.DUMMYFUNCTION("""COMPUTED_VALUE"""),312.704)</f>
        <v>312.704</v>
      </c>
      <c r="BV25" s="71">
        <f>IFERROR(__xludf.DUMMYFUNCTION("""COMPUTED_VALUE"""),2267.1040000000003)</f>
        <v>2267.104</v>
      </c>
    </row>
    <row r="26">
      <c r="A26" s="53"/>
      <c r="B26" s="53">
        <v>3.0</v>
      </c>
      <c r="C26" s="53" t="s">
        <v>36</v>
      </c>
      <c r="D26" s="85" t="s">
        <v>101</v>
      </c>
      <c r="E26" s="54" t="s">
        <v>38</v>
      </c>
      <c r="F26" s="55" t="s">
        <v>96</v>
      </c>
      <c r="G26" s="55" t="s">
        <v>102</v>
      </c>
      <c r="H26" s="55" t="s">
        <v>103</v>
      </c>
      <c r="I26" s="54">
        <f t="shared" si="1"/>
        <v>40</v>
      </c>
      <c r="J26" s="56"/>
      <c r="K26" s="57"/>
      <c r="L26" s="76"/>
      <c r="M26" s="59"/>
      <c r="N26" s="60"/>
      <c r="O26" s="61">
        <v>63452.0</v>
      </c>
      <c r="P26" s="62">
        <v>68528.16</v>
      </c>
      <c r="Q26" s="63">
        <v>68528.16</v>
      </c>
      <c r="R26" s="64">
        <v>75552.0</v>
      </c>
      <c r="S26" s="65">
        <v>79330.0</v>
      </c>
      <c r="T26" s="65">
        <f t="shared" si="2"/>
        <v>12692.8</v>
      </c>
      <c r="U26" s="65">
        <f t="shared" si="3"/>
        <v>92022.8</v>
      </c>
      <c r="V26" s="66">
        <f t="shared" si="4"/>
        <v>0.05000529437</v>
      </c>
      <c r="W26" s="67">
        <f t="shared" si="5"/>
        <v>75363.5</v>
      </c>
      <c r="X26" s="67">
        <f t="shared" si="6"/>
        <v>12058.16</v>
      </c>
      <c r="Y26" s="67">
        <f t="shared" si="7"/>
        <v>87421.66</v>
      </c>
      <c r="Z26" s="67">
        <f t="shared" si="8"/>
        <v>71397</v>
      </c>
      <c r="AA26" s="67">
        <f t="shared" si="9"/>
        <v>11423.52</v>
      </c>
      <c r="AB26" s="67">
        <f t="shared" si="10"/>
        <v>82820.52</v>
      </c>
      <c r="AC26" s="67">
        <f t="shared" si="11"/>
        <v>71397</v>
      </c>
      <c r="AD26" s="67">
        <f t="shared" si="12"/>
        <v>11423.52</v>
      </c>
      <c r="AE26" s="67">
        <f t="shared" si="13"/>
        <v>82820.52</v>
      </c>
      <c r="AF26" s="67">
        <f t="shared" si="14"/>
        <v>71397</v>
      </c>
      <c r="AG26" s="67">
        <f t="shared" si="15"/>
        <v>11423.52</v>
      </c>
      <c r="AH26" s="67">
        <f t="shared" si="16"/>
        <v>82820.52</v>
      </c>
      <c r="AI26" s="67">
        <f t="shared" si="17"/>
        <v>71397</v>
      </c>
      <c r="AJ26" s="68">
        <f t="shared" si="20"/>
        <v>11423.52</v>
      </c>
      <c r="AK26" s="68">
        <f t="shared" si="21"/>
        <v>82820.52</v>
      </c>
      <c r="AL26" s="70">
        <f>IFERROR(__xludf.DUMMYFUNCTION("""COMPUTED_VALUE"""),1.0)</f>
        <v>1</v>
      </c>
      <c r="AM26" s="70"/>
      <c r="AN26" s="71" t="str">
        <f>IFERROR(__xludf.DUMMYFUNCTION("""COMPUTED_VALUE""")," C")</f>
        <v>C</v>
      </c>
      <c r="AO26" s="71" t="str">
        <f>IFERROR(__xludf.DUMMYFUNCTION("""COMPUTED_VALUE""")," AR09")</f>
        <v>AR09</v>
      </c>
      <c r="AP26" s="71" t="str">
        <f>IFERROR(__xludf.DUMMYFUNCTION("""COMPUTED_VALUE""")," PZA")</f>
        <v>PZA</v>
      </c>
      <c r="AQ26" s="71" t="str">
        <f>IFERROR(__xludf.DUMMYFUNCTION("""COMPUTED_VALUE""")," REF")</f>
        <v>REF</v>
      </c>
      <c r="AR26" s="71" t="str">
        <f>IFERROR(__xludf.DUMMYFUNCTION("""COMPUTED_VALUE""")," ARRANCADOR PARA MOTOR DE 2 HP MONOFÁSICO 220V CODIGO 10410257 8~12.5 AMP")</f>
        <v>ARRANCADOR PARA MOTOR DE 2 HP MONOFÁSICO 220V CODIGO 10410257 8~12.5 AMP</v>
      </c>
      <c r="AS26" s="71" t="str">
        <f>IFERROR(__xludf.DUMMYFUNCTION("""COMPUTED_VALUE""")," ARRANCADOR 2HP MON 220V 10410257 8-12.5A")</f>
        <v>ARRANCADOR 2HP MON 220V 10410257 8-12.5A</v>
      </c>
      <c r="AT26" s="71">
        <f>IFERROR(__xludf.DUMMYFUNCTION("""COMPUTED_VALUE"""),40.0)</f>
        <v>40</v>
      </c>
      <c r="AU26" s="71"/>
      <c r="AV26" s="71"/>
      <c r="AW26" s="71"/>
      <c r="AX26" s="71"/>
      <c r="AY26" s="71">
        <f>IFERROR(__xludf.DUMMYFUNCTION("""COMPUTED_VALUE"""),3341.0)</f>
        <v>3341</v>
      </c>
      <c r="AZ26" s="71">
        <f>IFERROR(__xludf.DUMMYFUNCTION("""COMPUTED_VALUE"""),3608.0)</f>
        <v>3608</v>
      </c>
      <c r="BA26" s="71">
        <f>IFERROR(__xludf.DUMMYFUNCTION("""COMPUTED_VALUE"""),3896.6400000000003)</f>
        <v>3896.64</v>
      </c>
      <c r="BB26" s="71">
        <f>IFERROR(__xludf.DUMMYFUNCTION("""COMPUTED_VALUE"""),3896.6400000000003)</f>
        <v>3896.64</v>
      </c>
      <c r="BC26" s="71">
        <f>IFERROR(__xludf.DUMMYFUNCTION("""COMPUTED_VALUE"""),4338.0)</f>
        <v>4338</v>
      </c>
      <c r="BD26" s="71">
        <f>IFERROR(__xludf.DUMMYFUNCTION("""COMPUTED_VALUE"""),2443.0)</f>
        <v>2443</v>
      </c>
      <c r="BE26" s="71">
        <f>IFERROR(__xludf.DUMMYFUNCTION("""COMPUTED_VALUE"""),390.88)</f>
        <v>390.88</v>
      </c>
      <c r="BF26" s="71">
        <f>IFERROR(__xludf.DUMMYFUNCTION("""COMPUTED_VALUE"""),2833.88)</f>
        <v>2833.88</v>
      </c>
      <c r="BG26" s="71">
        <f>IFERROR(__xludf.DUMMYFUNCTION("""COMPUTED_VALUE"""),-0.4368372521899493)</f>
        <v>-0.4368372522</v>
      </c>
      <c r="BH26" s="71">
        <f>IFERROR(__xludf.DUMMYFUNCTION("""COMPUTED_VALUE"""),2320.85)</f>
        <v>2320.85</v>
      </c>
      <c r="BI26" s="71">
        <f>IFERROR(__xludf.DUMMYFUNCTION("""COMPUTED_VALUE"""),371.336)</f>
        <v>371.336</v>
      </c>
      <c r="BJ26" s="71">
        <f>IFERROR(__xludf.DUMMYFUNCTION("""COMPUTED_VALUE"""),2692.1859999999997)</f>
        <v>2692.186</v>
      </c>
      <c r="BK26" s="71">
        <f>IFERROR(__xludf.DUMMYFUNCTION("""COMPUTED_VALUE"""),2198.7000000000003)</f>
        <v>2198.7</v>
      </c>
      <c r="BL26" s="71">
        <f>IFERROR(__xludf.DUMMYFUNCTION("""COMPUTED_VALUE"""),351.79200000000003)</f>
        <v>351.792</v>
      </c>
      <c r="BM26" s="71">
        <f>IFERROR(__xludf.DUMMYFUNCTION("""COMPUTED_VALUE"""),2550.492)</f>
        <v>2550.492</v>
      </c>
      <c r="BN26" s="71">
        <f>IFERROR(__xludf.DUMMYFUNCTION("""COMPUTED_VALUE"""),2076.5499999999997)</f>
        <v>2076.55</v>
      </c>
      <c r="BO26" s="71">
        <f>IFERROR(__xludf.DUMMYFUNCTION("""COMPUTED_VALUE"""),332.248)</f>
        <v>332.248</v>
      </c>
      <c r="BP26" s="71">
        <f>IFERROR(__xludf.DUMMYFUNCTION("""COMPUTED_VALUE"""),2408.798)</f>
        <v>2408.798</v>
      </c>
      <c r="BQ26" s="71">
        <f>IFERROR(__xludf.DUMMYFUNCTION("""COMPUTED_VALUE"""),2027.6899999999998)</f>
        <v>2027.69</v>
      </c>
      <c r="BR26" s="71">
        <f>IFERROR(__xludf.DUMMYFUNCTION("""COMPUTED_VALUE"""),324.43039999999996)</f>
        <v>324.4304</v>
      </c>
      <c r="BS26" s="71">
        <f>IFERROR(__xludf.DUMMYFUNCTION("""COMPUTED_VALUE"""),2352.1204)</f>
        <v>2352.1204</v>
      </c>
      <c r="BT26" s="71">
        <f>IFERROR(__xludf.DUMMYFUNCTION("""COMPUTED_VALUE"""),1954.4)</f>
        <v>1954.4</v>
      </c>
      <c r="BU26" s="71">
        <f>IFERROR(__xludf.DUMMYFUNCTION("""COMPUTED_VALUE"""),312.704)</f>
        <v>312.704</v>
      </c>
      <c r="BV26" s="71">
        <f>IFERROR(__xludf.DUMMYFUNCTION("""COMPUTED_VALUE"""),2267.1040000000003)</f>
        <v>2267.104</v>
      </c>
    </row>
    <row r="27">
      <c r="A27" s="53"/>
      <c r="B27" s="53"/>
      <c r="C27" s="53"/>
      <c r="D27" s="53" t="s">
        <v>104</v>
      </c>
      <c r="E27" s="55" t="s">
        <v>38</v>
      </c>
      <c r="F27" s="89"/>
      <c r="G27" s="84" t="s">
        <v>105</v>
      </c>
      <c r="H27" s="55"/>
      <c r="I27" s="54">
        <f t="shared" si="1"/>
        <v>0</v>
      </c>
      <c r="J27" s="56"/>
      <c r="K27" s="57"/>
      <c r="L27" s="55"/>
      <c r="M27" s="59"/>
      <c r="N27" s="60"/>
      <c r="O27" s="90"/>
      <c r="P27" s="62">
        <v>43134.0</v>
      </c>
      <c r="Q27" s="63">
        <v>43134.0</v>
      </c>
      <c r="R27" s="64">
        <v>47556.0</v>
      </c>
      <c r="S27" s="65">
        <v>49934.0</v>
      </c>
      <c r="T27" s="65">
        <f t="shared" si="2"/>
        <v>7989.44</v>
      </c>
      <c r="U27" s="65">
        <f t="shared" si="3"/>
        <v>57923.44</v>
      </c>
      <c r="V27" s="66">
        <f t="shared" si="4"/>
        <v>0.05000420557</v>
      </c>
      <c r="W27" s="67">
        <f t="shared" si="5"/>
        <v>47437.3</v>
      </c>
      <c r="X27" s="67">
        <f t="shared" si="6"/>
        <v>7589.968</v>
      </c>
      <c r="Y27" s="67">
        <f t="shared" si="7"/>
        <v>55027.268</v>
      </c>
      <c r="Z27" s="67">
        <f t="shared" si="8"/>
        <v>44940.6</v>
      </c>
      <c r="AA27" s="67">
        <f t="shared" si="9"/>
        <v>7190.496</v>
      </c>
      <c r="AB27" s="67">
        <f t="shared" si="10"/>
        <v>52131.096</v>
      </c>
      <c r="AC27" s="67">
        <f t="shared" si="11"/>
        <v>42443.9</v>
      </c>
      <c r="AD27" s="67">
        <f t="shared" si="12"/>
        <v>6791.024</v>
      </c>
      <c r="AE27" s="67">
        <f t="shared" si="13"/>
        <v>49234.924</v>
      </c>
      <c r="AF27" s="67">
        <f t="shared" si="14"/>
        <v>41445.22</v>
      </c>
      <c r="AG27" s="67">
        <f t="shared" si="15"/>
        <v>6631.2352</v>
      </c>
      <c r="AH27" s="67">
        <f t="shared" si="16"/>
        <v>48076.4552</v>
      </c>
      <c r="AI27" s="67">
        <f t="shared" si="17"/>
        <v>39947.2</v>
      </c>
      <c r="AJ27" s="68">
        <f t="shared" si="20"/>
        <v>6391.552</v>
      </c>
      <c r="AK27" s="68">
        <f t="shared" si="21"/>
        <v>46338.752</v>
      </c>
      <c r="AL27" s="70">
        <f>IFERROR(__xludf.DUMMYFUNCTION("""COMPUTED_VALUE"""),1.0)</f>
        <v>1</v>
      </c>
      <c r="AM27" s="70"/>
      <c r="AN27" s="71" t="str">
        <f>IFERROR(__xludf.DUMMYFUNCTION("""COMPUTED_VALUE""")," C")</f>
        <v>C</v>
      </c>
      <c r="AO27" s="71" t="str">
        <f>IFERROR(__xludf.DUMMYFUNCTION("""COMPUTED_VALUE""")," AR01")</f>
        <v>AR01</v>
      </c>
      <c r="AP27" s="71" t="str">
        <f>IFERROR(__xludf.DUMMYFUNCTION("""COMPUTED_VALUE""")," PZA")</f>
        <v>PZA</v>
      </c>
      <c r="AQ27" s="71" t="str">
        <f>IFERROR(__xludf.DUMMYFUNCTION("""COMPUTED_VALUE""")," REF")</f>
        <v>REF</v>
      </c>
      <c r="AR27" s="71" t="str">
        <f>IFERROR(__xludf.DUMMYFUNCTION("""COMPUTED_VALUE""")," ARRANCADOR PARA MOTOR DE 2 HP TRIFÁSICO 220V CODIGO 10046368 5~8 AMP")</f>
        <v>ARRANCADOR PARA MOTOR DE 2 HP TRIFÁSICO 220V CODIGO 10046368 5~8 AMP</v>
      </c>
      <c r="AS27" s="71" t="str">
        <f>IFERROR(__xludf.DUMMYFUNCTION("""COMPUTED_VALUE""")," ARRANCADOR 2HP TRI 220V 10046368 5-8A")</f>
        <v>ARRANCADOR 2HP TRI 220V 10046368 5-8A</v>
      </c>
      <c r="AT27" s="71">
        <f>IFERROR(__xludf.DUMMYFUNCTION("""COMPUTED_VALUE"""),37.0)</f>
        <v>37</v>
      </c>
      <c r="AU27" s="71"/>
      <c r="AV27" s="71"/>
      <c r="AW27" s="71"/>
      <c r="AX27" s="71"/>
      <c r="AY27" s="71">
        <f>IFERROR(__xludf.DUMMYFUNCTION("""COMPUTED_VALUE"""),2400.0)</f>
        <v>2400</v>
      </c>
      <c r="AZ27" s="71">
        <f>IFERROR(__xludf.DUMMYFUNCTION("""COMPUTED_VALUE"""),1243.0)</f>
        <v>1243</v>
      </c>
      <c r="BA27" s="71">
        <f>IFERROR(__xludf.DUMMYFUNCTION("""COMPUTED_VALUE"""),1342.44)</f>
        <v>1342.44</v>
      </c>
      <c r="BB27" s="71">
        <f>IFERROR(__xludf.DUMMYFUNCTION("""COMPUTED_VALUE"""),1342.44)</f>
        <v>1342.44</v>
      </c>
      <c r="BC27" s="71">
        <f>IFERROR(__xludf.DUMMYFUNCTION("""COMPUTED_VALUE"""),1411.0)</f>
        <v>1411</v>
      </c>
      <c r="BD27" s="71">
        <f>IFERROR(__xludf.DUMMYFUNCTION("""COMPUTED_VALUE"""),1482.0)</f>
        <v>1482</v>
      </c>
      <c r="BE27" s="71">
        <f>IFERROR(__xludf.DUMMYFUNCTION("""COMPUTED_VALUE"""),237.12)</f>
        <v>237.12</v>
      </c>
      <c r="BF27" s="71">
        <f>IFERROR(__xludf.DUMMYFUNCTION("""COMPUTED_VALUE"""),1719.12)</f>
        <v>1719.12</v>
      </c>
      <c r="BG27" s="71">
        <f>IFERROR(__xludf.DUMMYFUNCTION("""COMPUTED_VALUE"""),0.050318922749822824)</f>
        <v>0.05031892275</v>
      </c>
      <c r="BH27" s="71">
        <f>IFERROR(__xludf.DUMMYFUNCTION("""COMPUTED_VALUE"""),1407.8999999999999)</f>
        <v>1407.9</v>
      </c>
      <c r="BI27" s="71">
        <f>IFERROR(__xludf.DUMMYFUNCTION("""COMPUTED_VALUE"""),225.26399999999998)</f>
        <v>225.264</v>
      </c>
      <c r="BJ27" s="71">
        <f>IFERROR(__xludf.DUMMYFUNCTION("""COMPUTED_VALUE"""),1633.1639999999998)</f>
        <v>1633.164</v>
      </c>
      <c r="BK27" s="71">
        <f>IFERROR(__xludf.DUMMYFUNCTION("""COMPUTED_VALUE"""),1333.8)</f>
        <v>1333.8</v>
      </c>
      <c r="BL27" s="71">
        <f>IFERROR(__xludf.DUMMYFUNCTION("""COMPUTED_VALUE"""),213.408)</f>
        <v>213.408</v>
      </c>
      <c r="BM27" s="71">
        <f>IFERROR(__xludf.DUMMYFUNCTION("""COMPUTED_VALUE"""),1547.2079999999999)</f>
        <v>1547.208</v>
      </c>
      <c r="BN27" s="71">
        <f>IFERROR(__xludf.DUMMYFUNCTION("""COMPUTED_VALUE"""),1259.7)</f>
        <v>1259.7</v>
      </c>
      <c r="BO27" s="71">
        <f>IFERROR(__xludf.DUMMYFUNCTION("""COMPUTED_VALUE"""),201.55200000000002)</f>
        <v>201.552</v>
      </c>
      <c r="BP27" s="71">
        <f>IFERROR(__xludf.DUMMYFUNCTION("""COMPUTED_VALUE"""),1461.252)</f>
        <v>1461.252</v>
      </c>
      <c r="BQ27" s="71">
        <f>IFERROR(__xludf.DUMMYFUNCTION("""COMPUTED_VALUE"""),1230.06)</f>
        <v>1230.06</v>
      </c>
      <c r="BR27" s="71">
        <f>IFERROR(__xludf.DUMMYFUNCTION("""COMPUTED_VALUE"""),196.8096)</f>
        <v>196.8096</v>
      </c>
      <c r="BS27" s="71">
        <f>IFERROR(__xludf.DUMMYFUNCTION("""COMPUTED_VALUE"""),1426.8696)</f>
        <v>1426.8696</v>
      </c>
      <c r="BT27" s="71">
        <f>IFERROR(__xludf.DUMMYFUNCTION("""COMPUTED_VALUE"""),1185.6000000000001)</f>
        <v>1185.6</v>
      </c>
      <c r="BU27" s="71">
        <f>IFERROR(__xludf.DUMMYFUNCTION("""COMPUTED_VALUE"""),189.69600000000003)</f>
        <v>189.696</v>
      </c>
      <c r="BV27" s="71">
        <f>IFERROR(__xludf.DUMMYFUNCTION("""COMPUTED_VALUE"""),1375.2960000000003)</f>
        <v>1375.296</v>
      </c>
    </row>
    <row r="28">
      <c r="A28" s="53"/>
      <c r="B28" s="53"/>
      <c r="C28" s="53"/>
      <c r="D28" s="53" t="s">
        <v>106</v>
      </c>
      <c r="E28" s="55" t="s">
        <v>38</v>
      </c>
      <c r="F28" s="89"/>
      <c r="G28" s="84" t="s">
        <v>107</v>
      </c>
      <c r="H28" s="55"/>
      <c r="I28" s="54">
        <f t="shared" si="1"/>
        <v>0</v>
      </c>
      <c r="J28" s="56"/>
      <c r="K28" s="57"/>
      <c r="L28" s="55"/>
      <c r="M28" s="59"/>
      <c r="N28" s="60"/>
      <c r="O28" s="90"/>
      <c r="P28" s="62">
        <v>280426.0</v>
      </c>
      <c r="Q28" s="63">
        <v>280426.0</v>
      </c>
      <c r="R28" s="64">
        <v>309170.0</v>
      </c>
      <c r="S28" s="65">
        <v>324629.0</v>
      </c>
      <c r="T28" s="65">
        <f t="shared" si="2"/>
        <v>51940.64</v>
      </c>
      <c r="U28" s="65">
        <f t="shared" si="3"/>
        <v>376569.64</v>
      </c>
      <c r="V28" s="66">
        <f t="shared" si="4"/>
        <v>0.05000161723</v>
      </c>
      <c r="W28" s="67">
        <f t="shared" si="5"/>
        <v>308397.55</v>
      </c>
      <c r="X28" s="67">
        <f t="shared" si="6"/>
        <v>49343.608</v>
      </c>
      <c r="Y28" s="67">
        <f t="shared" si="7"/>
        <v>357741.158</v>
      </c>
      <c r="Z28" s="67">
        <f t="shared" si="8"/>
        <v>292166.1</v>
      </c>
      <c r="AA28" s="67">
        <f t="shared" si="9"/>
        <v>46746.576</v>
      </c>
      <c r="AB28" s="67">
        <f t="shared" si="10"/>
        <v>338912.676</v>
      </c>
      <c r="AC28" s="67">
        <f t="shared" si="11"/>
        <v>275934.65</v>
      </c>
      <c r="AD28" s="67">
        <f t="shared" si="12"/>
        <v>44149.544</v>
      </c>
      <c r="AE28" s="67">
        <f t="shared" si="13"/>
        <v>320084.194</v>
      </c>
      <c r="AF28" s="67">
        <f t="shared" si="14"/>
        <v>269442.07</v>
      </c>
      <c r="AG28" s="67">
        <f t="shared" si="15"/>
        <v>43110.7312</v>
      </c>
      <c r="AH28" s="67">
        <f t="shared" si="16"/>
        <v>312552.8012</v>
      </c>
      <c r="AI28" s="67">
        <f t="shared" si="17"/>
        <v>259703.2</v>
      </c>
      <c r="AJ28" s="68">
        <f t="shared" si="20"/>
        <v>41552.512</v>
      </c>
      <c r="AK28" s="68">
        <f t="shared" si="21"/>
        <v>301255.712</v>
      </c>
      <c r="AL28" s="70">
        <f>IFERROR(__xludf.DUMMYFUNCTION("""COMPUTED_VALUE"""),1.0)</f>
        <v>1</v>
      </c>
      <c r="AM28" s="70"/>
      <c r="AN28" s="71" t="str">
        <f>IFERROR(__xludf.DUMMYFUNCTION("""COMPUTED_VALUE""")," C")</f>
        <v>C</v>
      </c>
      <c r="AO28" s="71" t="str">
        <f>IFERROR(__xludf.DUMMYFUNCTION("""COMPUTED_VALUE""")," AR07")</f>
        <v>AR07</v>
      </c>
      <c r="AP28" s="71" t="str">
        <f>IFERROR(__xludf.DUMMYFUNCTION("""COMPUTED_VALUE""")," PZA")</f>
        <v>PZA</v>
      </c>
      <c r="AQ28" s="71" t="str">
        <f>IFERROR(__xludf.DUMMYFUNCTION("""COMPUTED_VALUE""")," REF")</f>
        <v>REF</v>
      </c>
      <c r="AR28" s="71" t="str">
        <f>IFERROR(__xludf.DUMMYFUNCTION("""COMPUTED_VALUE""")," ARRANCADOR PARA MOTOR DE 20 HP TRIFÁSICO 220V CODIGO 11001941 50~63 AMP")</f>
        <v>ARRANCADOR PARA MOTOR DE 20 HP TRIFÁSICO 220V CODIGO 11001941 50~63 AMP</v>
      </c>
      <c r="AS28" s="71" t="str">
        <f>IFERROR(__xludf.DUMMYFUNCTION("""COMPUTED_VALUE""")," ARRANCADOR 20HP TRI 220V 11001941 50-63A")</f>
        <v>ARRANCADOR 20HP TRI 220V 11001941 50-63A</v>
      </c>
      <c r="AT28" s="71">
        <f>IFERROR(__xludf.DUMMYFUNCTION("""COMPUTED_VALUE"""),40.0)</f>
        <v>40</v>
      </c>
      <c r="AU28" s="71"/>
      <c r="AV28" s="71"/>
      <c r="AW28" s="71"/>
      <c r="AX28" s="71"/>
      <c r="AY28" s="71">
        <f>IFERROR(__xludf.DUMMYFUNCTION("""COMPUTED_VALUE"""),7733.0)</f>
        <v>7733</v>
      </c>
      <c r="AZ28" s="71">
        <f>IFERROR(__xludf.DUMMYFUNCTION("""COMPUTED_VALUE"""),4159.0)</f>
        <v>4159</v>
      </c>
      <c r="BA28" s="71">
        <f>IFERROR(__xludf.DUMMYFUNCTION("""COMPUTED_VALUE"""),4491.72)</f>
        <v>4491.72</v>
      </c>
      <c r="BB28" s="71">
        <f>IFERROR(__xludf.DUMMYFUNCTION("""COMPUTED_VALUE"""),4491.72)</f>
        <v>4491.72</v>
      </c>
      <c r="BC28" s="71">
        <f>IFERROR(__xludf.DUMMYFUNCTION("""COMPUTED_VALUE"""),5001.0)</f>
        <v>5001</v>
      </c>
      <c r="BD28" s="71">
        <f>IFERROR(__xludf.DUMMYFUNCTION("""COMPUTED_VALUE"""),5251.0)</f>
        <v>5251</v>
      </c>
      <c r="BE28" s="71">
        <f>IFERROR(__xludf.DUMMYFUNCTION("""COMPUTED_VALUE"""),840.16)</f>
        <v>840.16</v>
      </c>
      <c r="BF28" s="71">
        <f>IFERROR(__xludf.DUMMYFUNCTION("""COMPUTED_VALUE"""),6091.16)</f>
        <v>6091.16</v>
      </c>
      <c r="BG28" s="71">
        <f>IFERROR(__xludf.DUMMYFUNCTION("""COMPUTED_VALUE"""),0.04999000199960008)</f>
        <v>0.049990002</v>
      </c>
      <c r="BH28" s="71">
        <f>IFERROR(__xludf.DUMMYFUNCTION("""COMPUTED_VALUE"""),4988.45)</f>
        <v>4988.45</v>
      </c>
      <c r="BI28" s="71">
        <f>IFERROR(__xludf.DUMMYFUNCTION("""COMPUTED_VALUE"""),798.152)</f>
        <v>798.152</v>
      </c>
      <c r="BJ28" s="71">
        <f>IFERROR(__xludf.DUMMYFUNCTION("""COMPUTED_VALUE"""),5786.602)</f>
        <v>5786.602</v>
      </c>
      <c r="BK28" s="71">
        <f>IFERROR(__xludf.DUMMYFUNCTION("""COMPUTED_VALUE"""),4725.900000000001)</f>
        <v>4725.9</v>
      </c>
      <c r="BL28" s="71">
        <f>IFERROR(__xludf.DUMMYFUNCTION("""COMPUTED_VALUE"""),756.1440000000001)</f>
        <v>756.144</v>
      </c>
      <c r="BM28" s="71">
        <f>IFERROR(__xludf.DUMMYFUNCTION("""COMPUTED_VALUE"""),5482.044000000001)</f>
        <v>5482.044</v>
      </c>
      <c r="BN28" s="71">
        <f>IFERROR(__xludf.DUMMYFUNCTION("""COMPUTED_VALUE"""),4463.349999999999)</f>
        <v>4463.35</v>
      </c>
      <c r="BO28" s="71">
        <f>IFERROR(__xludf.DUMMYFUNCTION("""COMPUTED_VALUE"""),714.136)</f>
        <v>714.136</v>
      </c>
      <c r="BP28" s="71">
        <f>IFERROR(__xludf.DUMMYFUNCTION("""COMPUTED_VALUE"""),5177.485999999999)</f>
        <v>5177.486</v>
      </c>
      <c r="BQ28" s="71">
        <f>IFERROR(__xludf.DUMMYFUNCTION("""COMPUTED_VALUE"""),4358.33)</f>
        <v>4358.33</v>
      </c>
      <c r="BR28" s="71">
        <f>IFERROR(__xludf.DUMMYFUNCTION("""COMPUTED_VALUE"""),697.3328)</f>
        <v>697.3328</v>
      </c>
      <c r="BS28" s="71">
        <f>IFERROR(__xludf.DUMMYFUNCTION("""COMPUTED_VALUE"""),5055.6628)</f>
        <v>5055.6628</v>
      </c>
      <c r="BT28" s="71">
        <f>IFERROR(__xludf.DUMMYFUNCTION("""COMPUTED_VALUE"""),4200.8)</f>
        <v>4200.8</v>
      </c>
      <c r="BU28" s="71">
        <f>IFERROR(__xludf.DUMMYFUNCTION("""COMPUTED_VALUE"""),672.128)</f>
        <v>672.128</v>
      </c>
      <c r="BV28" s="71">
        <f>IFERROR(__xludf.DUMMYFUNCTION("""COMPUTED_VALUE"""),4872.928)</f>
        <v>4872.928</v>
      </c>
    </row>
    <row r="29">
      <c r="A29" s="53"/>
      <c r="B29" s="53"/>
      <c r="C29" s="53"/>
      <c r="D29" s="53" t="s">
        <v>108</v>
      </c>
      <c r="E29" s="55" t="s">
        <v>38</v>
      </c>
      <c r="F29" s="89"/>
      <c r="G29" s="84" t="s">
        <v>109</v>
      </c>
      <c r="H29" s="55"/>
      <c r="I29" s="54">
        <f t="shared" si="1"/>
        <v>0</v>
      </c>
      <c r="J29" s="56"/>
      <c r="K29" s="57"/>
      <c r="L29" s="55"/>
      <c r="M29" s="59"/>
      <c r="N29" s="60"/>
      <c r="O29" s="90"/>
      <c r="P29" s="62">
        <v>22113.0</v>
      </c>
      <c r="Q29" s="63">
        <v>22113.0</v>
      </c>
      <c r="R29" s="64">
        <v>24380.0</v>
      </c>
      <c r="S29" s="65">
        <v>25599.0</v>
      </c>
      <c r="T29" s="65">
        <f t="shared" si="2"/>
        <v>4095.84</v>
      </c>
      <c r="U29" s="65">
        <f t="shared" si="3"/>
        <v>29694.84</v>
      </c>
      <c r="V29" s="66">
        <f t="shared" si="4"/>
        <v>0.05</v>
      </c>
      <c r="W29" s="67">
        <f t="shared" si="5"/>
        <v>24319.05</v>
      </c>
      <c r="X29" s="67">
        <f t="shared" si="6"/>
        <v>3891.048</v>
      </c>
      <c r="Y29" s="67">
        <f t="shared" si="7"/>
        <v>28210.098</v>
      </c>
      <c r="Z29" s="67">
        <f t="shared" si="8"/>
        <v>23039.1</v>
      </c>
      <c r="AA29" s="67">
        <f t="shared" si="9"/>
        <v>3686.256</v>
      </c>
      <c r="AB29" s="67">
        <f t="shared" si="10"/>
        <v>26725.356</v>
      </c>
      <c r="AC29" s="67">
        <f t="shared" si="11"/>
        <v>21759.15</v>
      </c>
      <c r="AD29" s="67">
        <f t="shared" si="12"/>
        <v>3481.464</v>
      </c>
      <c r="AE29" s="67">
        <f t="shared" si="13"/>
        <v>25240.614</v>
      </c>
      <c r="AF29" s="67">
        <f t="shared" si="14"/>
        <v>21247.17</v>
      </c>
      <c r="AG29" s="67">
        <f t="shared" si="15"/>
        <v>3399.5472</v>
      </c>
      <c r="AH29" s="67">
        <f t="shared" si="16"/>
        <v>24646.7172</v>
      </c>
      <c r="AI29" s="67">
        <f t="shared" si="17"/>
        <v>20479.2</v>
      </c>
      <c r="AJ29" s="68">
        <f t="shared" si="20"/>
        <v>3276.672</v>
      </c>
      <c r="AK29" s="68">
        <f t="shared" si="21"/>
        <v>23755.872</v>
      </c>
      <c r="AL29" s="70">
        <f>IFERROR(__xludf.DUMMYFUNCTION("""COMPUTED_VALUE"""),1.0)</f>
        <v>1</v>
      </c>
      <c r="AM29" s="70"/>
      <c r="AN29" s="71" t="str">
        <f>IFERROR(__xludf.DUMMYFUNCTION("""COMPUTED_VALUE""")," C")</f>
        <v>C</v>
      </c>
      <c r="AO29" s="71" t="str">
        <f>IFERROR(__xludf.DUMMYFUNCTION("""COMPUTED_VALUE""")," AR08")</f>
        <v>AR08</v>
      </c>
      <c r="AP29" s="71" t="str">
        <f>IFERROR(__xludf.DUMMYFUNCTION("""COMPUTED_VALUE""")," PZA")</f>
        <v>PZA</v>
      </c>
      <c r="AQ29" s="71" t="str">
        <f>IFERROR(__xludf.DUMMYFUNCTION("""COMPUTED_VALUE""")," REF")</f>
        <v>REF</v>
      </c>
      <c r="AR29" s="71" t="str">
        <f>IFERROR(__xludf.DUMMYFUNCTION("""COMPUTED_VALUE""")," ARRANCADOR PARA MOTOR DE 25 HP TRIFÁSICO 220V CODIGO 11001942 57~76 AMP")</f>
        <v>ARRANCADOR PARA MOTOR DE 25 HP TRIFÁSICO 220V CODIGO 11001942 57~76 AMP</v>
      </c>
      <c r="AS29" s="71" t="str">
        <f>IFERROR(__xludf.DUMMYFUNCTION("""COMPUTED_VALUE""")," ARRANCADOR 25HP TRI 220V 11001942 57-76A")</f>
        <v>ARRANCADOR 25HP TRI 220V 11001942 57-76A</v>
      </c>
      <c r="AT29" s="71">
        <f>IFERROR(__xludf.DUMMYFUNCTION("""COMPUTED_VALUE"""),40.0)</f>
        <v>40</v>
      </c>
      <c r="AU29" s="71"/>
      <c r="AV29" s="71"/>
      <c r="AW29" s="71"/>
      <c r="AX29" s="71"/>
      <c r="AY29" s="71">
        <f>IFERROR(__xludf.DUMMYFUNCTION("""COMPUTED_VALUE"""),10642.0)</f>
        <v>10642</v>
      </c>
      <c r="AZ29" s="71">
        <f>IFERROR(__xludf.DUMMYFUNCTION("""COMPUTED_VALUE"""),6209.0)</f>
        <v>6209</v>
      </c>
      <c r="BA29" s="71">
        <f>IFERROR(__xludf.DUMMYFUNCTION("""COMPUTED_VALUE"""),6705.72)</f>
        <v>6705.72</v>
      </c>
      <c r="BB29" s="71">
        <f>IFERROR(__xludf.DUMMYFUNCTION("""COMPUTED_VALUE"""),6705.72)</f>
        <v>6705.72</v>
      </c>
      <c r="BC29" s="71">
        <f>IFERROR(__xludf.DUMMYFUNCTION("""COMPUTED_VALUE"""),7465.0)</f>
        <v>7465</v>
      </c>
      <c r="BD29" s="71">
        <f>IFERROR(__xludf.DUMMYFUNCTION("""COMPUTED_VALUE"""),7838.0)</f>
        <v>7838</v>
      </c>
      <c r="BE29" s="71">
        <f>IFERROR(__xludf.DUMMYFUNCTION("""COMPUTED_VALUE"""),1254.08)</f>
        <v>1254.08</v>
      </c>
      <c r="BF29" s="71">
        <f>IFERROR(__xludf.DUMMYFUNCTION("""COMPUTED_VALUE"""),9092.08)</f>
        <v>9092.08</v>
      </c>
      <c r="BG29" s="71">
        <f>IFERROR(__xludf.DUMMYFUNCTION("""COMPUTED_VALUE"""),0.04996651038178165)</f>
        <v>0.04996651038</v>
      </c>
      <c r="BH29" s="71">
        <f>IFERROR(__xludf.DUMMYFUNCTION("""COMPUTED_VALUE"""),7446.099999999999)</f>
        <v>7446.1</v>
      </c>
      <c r="BI29" s="71">
        <f>IFERROR(__xludf.DUMMYFUNCTION("""COMPUTED_VALUE"""),1191.376)</f>
        <v>1191.376</v>
      </c>
      <c r="BJ29" s="71">
        <f>IFERROR(__xludf.DUMMYFUNCTION("""COMPUTED_VALUE"""),8637.475999999999)</f>
        <v>8637.476</v>
      </c>
      <c r="BK29" s="71">
        <f>IFERROR(__xludf.DUMMYFUNCTION("""COMPUTED_VALUE"""),7054.2)</f>
        <v>7054.2</v>
      </c>
      <c r="BL29" s="71">
        <f>IFERROR(__xludf.DUMMYFUNCTION("""COMPUTED_VALUE"""),1128.672)</f>
        <v>1128.672</v>
      </c>
      <c r="BM29" s="71">
        <f>IFERROR(__xludf.DUMMYFUNCTION("""COMPUTED_VALUE"""),8182.871999999999)</f>
        <v>8182.872</v>
      </c>
      <c r="BN29" s="71">
        <f>IFERROR(__xludf.DUMMYFUNCTION("""COMPUTED_VALUE"""),6662.3)</f>
        <v>6662.3</v>
      </c>
      <c r="BO29" s="71">
        <f>IFERROR(__xludf.DUMMYFUNCTION("""COMPUTED_VALUE"""),1065.968)</f>
        <v>1065.968</v>
      </c>
      <c r="BP29" s="71">
        <f>IFERROR(__xludf.DUMMYFUNCTION("""COMPUTED_VALUE"""),7728.268)</f>
        <v>7728.268</v>
      </c>
      <c r="BQ29" s="71">
        <f>IFERROR(__xludf.DUMMYFUNCTION("""COMPUTED_VALUE"""),6505.54)</f>
        <v>6505.54</v>
      </c>
      <c r="BR29" s="71">
        <f>IFERROR(__xludf.DUMMYFUNCTION("""COMPUTED_VALUE"""),1040.8864)</f>
        <v>1040.8864</v>
      </c>
      <c r="BS29" s="71">
        <f>IFERROR(__xludf.DUMMYFUNCTION("""COMPUTED_VALUE"""),7546.4264)</f>
        <v>7546.4264</v>
      </c>
      <c r="BT29" s="71">
        <f>IFERROR(__xludf.DUMMYFUNCTION("""COMPUTED_VALUE"""),6270.400000000001)</f>
        <v>6270.4</v>
      </c>
      <c r="BU29" s="71">
        <f>IFERROR(__xludf.DUMMYFUNCTION("""COMPUTED_VALUE"""),1003.2640000000001)</f>
        <v>1003.264</v>
      </c>
      <c r="BV29" s="71">
        <f>IFERROR(__xludf.DUMMYFUNCTION("""COMPUTED_VALUE"""),7273.664000000001)</f>
        <v>7273.664</v>
      </c>
    </row>
    <row r="30">
      <c r="A30" s="53"/>
      <c r="B30" s="53"/>
      <c r="C30" s="53"/>
      <c r="D30" s="53" t="s">
        <v>110</v>
      </c>
      <c r="E30" s="55" t="s">
        <v>38</v>
      </c>
      <c r="F30" s="89"/>
      <c r="G30" s="84" t="s">
        <v>111</v>
      </c>
      <c r="H30" s="55"/>
      <c r="I30" s="54">
        <f t="shared" si="1"/>
        <v>0</v>
      </c>
      <c r="J30" s="56"/>
      <c r="K30" s="57"/>
      <c r="L30" s="55"/>
      <c r="M30" s="59"/>
      <c r="N30" s="60"/>
      <c r="O30" s="90"/>
      <c r="P30" s="62">
        <v>62257.0</v>
      </c>
      <c r="Q30" s="63">
        <v>62257.0</v>
      </c>
      <c r="R30" s="64">
        <v>68639.0</v>
      </c>
      <c r="S30" s="65">
        <v>72071.0</v>
      </c>
      <c r="T30" s="65">
        <f t="shared" si="2"/>
        <v>11531.36</v>
      </c>
      <c r="U30" s="65">
        <f t="shared" si="3"/>
        <v>83602.36</v>
      </c>
      <c r="V30" s="66">
        <f t="shared" si="4"/>
        <v>0.05000072845</v>
      </c>
      <c r="W30" s="67">
        <f t="shared" si="5"/>
        <v>68467.45</v>
      </c>
      <c r="X30" s="67">
        <f t="shared" si="6"/>
        <v>10954.792</v>
      </c>
      <c r="Y30" s="67">
        <f t="shared" si="7"/>
        <v>79422.242</v>
      </c>
      <c r="Z30" s="67">
        <f t="shared" si="8"/>
        <v>64863.9</v>
      </c>
      <c r="AA30" s="67">
        <f t="shared" si="9"/>
        <v>10378.224</v>
      </c>
      <c r="AB30" s="67">
        <f t="shared" si="10"/>
        <v>75242.124</v>
      </c>
      <c r="AC30" s="67">
        <f t="shared" si="11"/>
        <v>61260.35</v>
      </c>
      <c r="AD30" s="67">
        <f t="shared" si="12"/>
        <v>9801.656</v>
      </c>
      <c r="AE30" s="67">
        <f t="shared" si="13"/>
        <v>71062.006</v>
      </c>
      <c r="AF30" s="67">
        <f t="shared" si="14"/>
        <v>59818.93</v>
      </c>
      <c r="AG30" s="67">
        <f t="shared" si="15"/>
        <v>9571.0288</v>
      </c>
      <c r="AH30" s="67">
        <f t="shared" si="16"/>
        <v>69389.9588</v>
      </c>
      <c r="AI30" s="67">
        <f t="shared" si="17"/>
        <v>57656.8</v>
      </c>
      <c r="AJ30" s="68">
        <f t="shared" si="20"/>
        <v>9225.088</v>
      </c>
      <c r="AK30" s="68">
        <f t="shared" si="21"/>
        <v>66881.888</v>
      </c>
      <c r="AL30" s="70">
        <f>IFERROR(__xludf.DUMMYFUNCTION("""COMPUTED_VALUE"""),1.0)</f>
        <v>1</v>
      </c>
      <c r="AM30" s="70"/>
      <c r="AN30" s="71" t="str">
        <f>IFERROR(__xludf.DUMMYFUNCTION("""COMPUTED_VALUE""")," C")</f>
        <v>C</v>
      </c>
      <c r="AO30" s="71" t="str">
        <f>IFERROR(__xludf.DUMMYFUNCTION("""COMPUTED_VALUE""")," AR15")</f>
        <v>AR15</v>
      </c>
      <c r="AP30" s="71" t="str">
        <f>IFERROR(__xludf.DUMMYFUNCTION("""COMPUTED_VALUE""")," PZA")</f>
        <v>PZA</v>
      </c>
      <c r="AQ30" s="71" t="str">
        <f>IFERROR(__xludf.DUMMYFUNCTION("""COMPUTED_VALUE""")," REF")</f>
        <v>REF</v>
      </c>
      <c r="AR30" s="71" t="str">
        <f>IFERROR(__xludf.DUMMYFUNCTION("""COMPUTED_VALUE""")," ARRANCADOR PARA MOTOR DE 3 HP MONOFÁSICO 127V CODIGO 10046370 11~17 AMP")</f>
        <v>ARRANCADOR PARA MOTOR DE 3 HP MONOFÁSICO 127V CODIGO 10046370 11~17 AMP</v>
      </c>
      <c r="AS30" s="71" t="str">
        <f>IFERROR(__xludf.DUMMYFUNCTION("""COMPUTED_VALUE""")," ARRANCADOR 3HP MON 127V 10046370 11-17A")</f>
        <v>ARRANCADOR 3HP MON 127V 10046370 11-17A</v>
      </c>
      <c r="AT30" s="71">
        <f>IFERROR(__xludf.DUMMYFUNCTION("""COMPUTED_VALUE"""),39.0)</f>
        <v>39</v>
      </c>
      <c r="AU30" s="71"/>
      <c r="AV30" s="71"/>
      <c r="AW30" s="71"/>
      <c r="AX30" s="71"/>
      <c r="AY30" s="71">
        <f>IFERROR(__xludf.DUMMYFUNCTION("""COMPUTED_VALUE"""),3512.0)</f>
        <v>3512</v>
      </c>
      <c r="AZ30" s="71">
        <f>IFERROR(__xludf.DUMMYFUNCTION("""COMPUTED_VALUE"""),3792.0)</f>
        <v>3792</v>
      </c>
      <c r="BA30" s="71">
        <f>IFERROR(__xludf.DUMMYFUNCTION("""COMPUTED_VALUE"""),4095.36)</f>
        <v>4095.36</v>
      </c>
      <c r="BB30" s="71">
        <f>IFERROR(__xludf.DUMMYFUNCTION("""COMPUTED_VALUE"""),4095.36)</f>
        <v>4095.36</v>
      </c>
      <c r="BC30" s="71">
        <f>IFERROR(__xludf.DUMMYFUNCTION("""COMPUTED_VALUE"""),4560.0)</f>
        <v>4560</v>
      </c>
      <c r="BD30" s="71">
        <f>IFERROR(__xludf.DUMMYFUNCTION("""COMPUTED_VALUE"""),4788.0)</f>
        <v>4788</v>
      </c>
      <c r="BE30" s="71">
        <f>IFERROR(__xludf.DUMMYFUNCTION("""COMPUTED_VALUE"""),766.08)</f>
        <v>766.08</v>
      </c>
      <c r="BF30" s="71">
        <f>IFERROR(__xludf.DUMMYFUNCTION("""COMPUTED_VALUE"""),5554.08)</f>
        <v>5554.08</v>
      </c>
      <c r="BG30" s="71">
        <f>IFERROR(__xludf.DUMMYFUNCTION("""COMPUTED_VALUE"""),0.05)</f>
        <v>0.05</v>
      </c>
      <c r="BH30" s="71">
        <f>IFERROR(__xludf.DUMMYFUNCTION("""COMPUTED_VALUE"""),4548.599999999999)</f>
        <v>4548.6</v>
      </c>
      <c r="BI30" s="71">
        <f>IFERROR(__xludf.DUMMYFUNCTION("""COMPUTED_VALUE"""),727.776)</f>
        <v>727.776</v>
      </c>
      <c r="BJ30" s="71">
        <f>IFERROR(__xludf.DUMMYFUNCTION("""COMPUTED_VALUE"""),5276.375999999999)</f>
        <v>5276.376</v>
      </c>
      <c r="BK30" s="71">
        <f>IFERROR(__xludf.DUMMYFUNCTION("""COMPUTED_VALUE"""),4309.2)</f>
        <v>4309.2</v>
      </c>
      <c r="BL30" s="71">
        <f>IFERROR(__xludf.DUMMYFUNCTION("""COMPUTED_VALUE"""),689.472)</f>
        <v>689.472</v>
      </c>
      <c r="BM30" s="71">
        <f>IFERROR(__xludf.DUMMYFUNCTION("""COMPUTED_VALUE"""),4998.672)</f>
        <v>4998.672</v>
      </c>
      <c r="BN30" s="71">
        <f>IFERROR(__xludf.DUMMYFUNCTION("""COMPUTED_VALUE"""),4069.7999999999997)</f>
        <v>4069.8</v>
      </c>
      <c r="BO30" s="71">
        <f>IFERROR(__xludf.DUMMYFUNCTION("""COMPUTED_VALUE"""),651.168)</f>
        <v>651.168</v>
      </c>
      <c r="BP30" s="71">
        <f>IFERROR(__xludf.DUMMYFUNCTION("""COMPUTED_VALUE"""),4720.968)</f>
        <v>4720.968</v>
      </c>
      <c r="BQ30" s="71">
        <f>IFERROR(__xludf.DUMMYFUNCTION("""COMPUTED_VALUE"""),3974.04)</f>
        <v>3974.04</v>
      </c>
      <c r="BR30" s="71">
        <f>IFERROR(__xludf.DUMMYFUNCTION("""COMPUTED_VALUE"""),635.8464)</f>
        <v>635.8464</v>
      </c>
      <c r="BS30" s="71">
        <f>IFERROR(__xludf.DUMMYFUNCTION("""COMPUTED_VALUE"""),4609.8864)</f>
        <v>4609.8864</v>
      </c>
      <c r="BT30" s="71">
        <f>IFERROR(__xludf.DUMMYFUNCTION("""COMPUTED_VALUE"""),3830.4)</f>
        <v>3830.4</v>
      </c>
      <c r="BU30" s="71">
        <f>IFERROR(__xludf.DUMMYFUNCTION("""COMPUTED_VALUE"""),612.864)</f>
        <v>612.864</v>
      </c>
      <c r="BV30" s="71">
        <f>IFERROR(__xludf.DUMMYFUNCTION("""COMPUTED_VALUE"""),4443.264)</f>
        <v>4443.264</v>
      </c>
    </row>
    <row r="31">
      <c r="A31" s="53"/>
      <c r="B31" s="53"/>
      <c r="C31" s="53"/>
      <c r="D31" s="53" t="s">
        <v>112</v>
      </c>
      <c r="E31" s="55" t="s">
        <v>38</v>
      </c>
      <c r="F31" s="89"/>
      <c r="G31" s="84" t="s">
        <v>113</v>
      </c>
      <c r="H31" s="55"/>
      <c r="I31" s="54">
        <f t="shared" si="1"/>
        <v>0</v>
      </c>
      <c r="J31" s="56"/>
      <c r="K31" s="57"/>
      <c r="L31" s="55"/>
      <c r="M31" s="59"/>
      <c r="N31" s="60"/>
      <c r="O31" s="90"/>
      <c r="P31" s="62">
        <v>21867.0</v>
      </c>
      <c r="Q31" s="63">
        <v>21867.0</v>
      </c>
      <c r="R31" s="64">
        <v>24108.0</v>
      </c>
      <c r="S31" s="65">
        <v>25313.0</v>
      </c>
      <c r="T31" s="65">
        <f t="shared" si="2"/>
        <v>4050.08</v>
      </c>
      <c r="U31" s="65">
        <f t="shared" si="3"/>
        <v>29363.08</v>
      </c>
      <c r="V31" s="66">
        <f t="shared" si="4"/>
        <v>0.049983408</v>
      </c>
      <c r="W31" s="67">
        <f t="shared" si="5"/>
        <v>24047.35</v>
      </c>
      <c r="X31" s="67">
        <f t="shared" si="6"/>
        <v>3847.576</v>
      </c>
      <c r="Y31" s="67">
        <f t="shared" si="7"/>
        <v>27894.926</v>
      </c>
      <c r="Z31" s="67">
        <f t="shared" si="8"/>
        <v>22781.7</v>
      </c>
      <c r="AA31" s="67">
        <f t="shared" si="9"/>
        <v>3645.072</v>
      </c>
      <c r="AB31" s="67">
        <f t="shared" si="10"/>
        <v>26426.772</v>
      </c>
      <c r="AC31" s="67">
        <f t="shared" si="11"/>
        <v>21516.05</v>
      </c>
      <c r="AD31" s="67">
        <f t="shared" si="12"/>
        <v>3442.568</v>
      </c>
      <c r="AE31" s="67">
        <f t="shared" si="13"/>
        <v>24958.618</v>
      </c>
      <c r="AF31" s="67">
        <f t="shared" si="14"/>
        <v>21009.79</v>
      </c>
      <c r="AG31" s="67">
        <f t="shared" si="15"/>
        <v>3361.5664</v>
      </c>
      <c r="AH31" s="67">
        <f t="shared" si="16"/>
        <v>24371.3564</v>
      </c>
      <c r="AI31" s="67">
        <f t="shared" si="17"/>
        <v>20250.4</v>
      </c>
      <c r="AJ31" s="68">
        <f t="shared" si="20"/>
        <v>3240.064</v>
      </c>
      <c r="AK31" s="68">
        <f t="shared" si="21"/>
        <v>23490.464</v>
      </c>
      <c r="AL31" s="70">
        <f>IFERROR(__xludf.DUMMYFUNCTION("""COMPUTED_VALUE"""),1.0)</f>
        <v>1</v>
      </c>
      <c r="AM31" s="70"/>
      <c r="AN31" s="71" t="str">
        <f>IFERROR(__xludf.DUMMYFUNCTION("""COMPUTED_VALUE""")," C")</f>
        <v>C</v>
      </c>
      <c r="AO31" s="71" t="str">
        <f>IFERROR(__xludf.DUMMYFUNCTION("""COMPUTED_VALUE""")," AR10")</f>
        <v>AR10</v>
      </c>
      <c r="AP31" s="71" t="str">
        <f>IFERROR(__xludf.DUMMYFUNCTION("""COMPUTED_VALUE""")," PZA")</f>
        <v>PZA</v>
      </c>
      <c r="AQ31" s="71" t="str">
        <f>IFERROR(__xludf.DUMMYFUNCTION("""COMPUTED_VALUE""")," REF")</f>
        <v>REF</v>
      </c>
      <c r="AR31" s="71" t="str">
        <f>IFERROR(__xludf.DUMMYFUNCTION("""COMPUTED_VALUE""")," ARRANCADOR PARA MOTOR DE 3 HP MONOFÁSICO 220V CODIGO 10046370 11~17 AMP")</f>
        <v>ARRANCADOR PARA MOTOR DE 3 HP MONOFÁSICO 220V CODIGO 10046370 11~17 AMP</v>
      </c>
      <c r="AS31" s="71" t="str">
        <f>IFERROR(__xludf.DUMMYFUNCTION("""COMPUTED_VALUE""")," ARRANCADOR 3HP MON 220V 10046370 11-17A")</f>
        <v>ARRANCADOR 3HP MON 220V 10046370 11-17A</v>
      </c>
      <c r="AT31" s="71">
        <f>IFERROR(__xludf.DUMMYFUNCTION("""COMPUTED_VALUE"""),39.0)</f>
        <v>39</v>
      </c>
      <c r="AU31" s="71"/>
      <c r="AV31" s="71"/>
      <c r="AW31" s="71"/>
      <c r="AX31" s="71"/>
      <c r="AY31" s="71">
        <f>IFERROR(__xludf.DUMMYFUNCTION("""COMPUTED_VALUE"""),3512.0)</f>
        <v>3512</v>
      </c>
      <c r="AZ31" s="71">
        <f>IFERROR(__xludf.DUMMYFUNCTION("""COMPUTED_VALUE"""),3792.0)</f>
        <v>3792</v>
      </c>
      <c r="BA31" s="71">
        <f>IFERROR(__xludf.DUMMYFUNCTION("""COMPUTED_VALUE"""),4095.36)</f>
        <v>4095.36</v>
      </c>
      <c r="BB31" s="71">
        <f>IFERROR(__xludf.DUMMYFUNCTION("""COMPUTED_VALUE"""),4095.36)</f>
        <v>4095.36</v>
      </c>
      <c r="BC31" s="71">
        <f>IFERROR(__xludf.DUMMYFUNCTION("""COMPUTED_VALUE"""),4560.0)</f>
        <v>4560</v>
      </c>
      <c r="BD31" s="71">
        <f>IFERROR(__xludf.DUMMYFUNCTION("""COMPUTED_VALUE"""),2443.0)</f>
        <v>2443</v>
      </c>
      <c r="BE31" s="71">
        <f>IFERROR(__xludf.DUMMYFUNCTION("""COMPUTED_VALUE"""),390.88)</f>
        <v>390.88</v>
      </c>
      <c r="BF31" s="71">
        <f>IFERROR(__xludf.DUMMYFUNCTION("""COMPUTED_VALUE"""),2833.88)</f>
        <v>2833.88</v>
      </c>
      <c r="BG31" s="71">
        <f>IFERROR(__xludf.DUMMYFUNCTION("""COMPUTED_VALUE"""),-0.4642543859649123)</f>
        <v>-0.464254386</v>
      </c>
      <c r="BH31" s="71">
        <f>IFERROR(__xludf.DUMMYFUNCTION("""COMPUTED_VALUE"""),2320.85)</f>
        <v>2320.85</v>
      </c>
      <c r="BI31" s="71">
        <f>IFERROR(__xludf.DUMMYFUNCTION("""COMPUTED_VALUE"""),371.336)</f>
        <v>371.336</v>
      </c>
      <c r="BJ31" s="71">
        <f>IFERROR(__xludf.DUMMYFUNCTION("""COMPUTED_VALUE"""),2692.1859999999997)</f>
        <v>2692.186</v>
      </c>
      <c r="BK31" s="71">
        <f>IFERROR(__xludf.DUMMYFUNCTION("""COMPUTED_VALUE"""),2198.7000000000003)</f>
        <v>2198.7</v>
      </c>
      <c r="BL31" s="71">
        <f>IFERROR(__xludf.DUMMYFUNCTION("""COMPUTED_VALUE"""),351.79200000000003)</f>
        <v>351.792</v>
      </c>
      <c r="BM31" s="71">
        <f>IFERROR(__xludf.DUMMYFUNCTION("""COMPUTED_VALUE"""),2550.492)</f>
        <v>2550.492</v>
      </c>
      <c r="BN31" s="71">
        <f>IFERROR(__xludf.DUMMYFUNCTION("""COMPUTED_VALUE"""),2076.5499999999997)</f>
        <v>2076.55</v>
      </c>
      <c r="BO31" s="71">
        <f>IFERROR(__xludf.DUMMYFUNCTION("""COMPUTED_VALUE"""),332.248)</f>
        <v>332.248</v>
      </c>
      <c r="BP31" s="71">
        <f>IFERROR(__xludf.DUMMYFUNCTION("""COMPUTED_VALUE"""),2408.798)</f>
        <v>2408.798</v>
      </c>
      <c r="BQ31" s="71">
        <f>IFERROR(__xludf.DUMMYFUNCTION("""COMPUTED_VALUE"""),2027.6899999999998)</f>
        <v>2027.69</v>
      </c>
      <c r="BR31" s="71">
        <f>IFERROR(__xludf.DUMMYFUNCTION("""COMPUTED_VALUE"""),324.43039999999996)</f>
        <v>324.4304</v>
      </c>
      <c r="BS31" s="71">
        <f>IFERROR(__xludf.DUMMYFUNCTION("""COMPUTED_VALUE"""),2352.1204)</f>
        <v>2352.1204</v>
      </c>
      <c r="BT31" s="71">
        <f>IFERROR(__xludf.DUMMYFUNCTION("""COMPUTED_VALUE"""),1954.4)</f>
        <v>1954.4</v>
      </c>
      <c r="BU31" s="71">
        <f>IFERROR(__xludf.DUMMYFUNCTION("""COMPUTED_VALUE"""),312.704)</f>
        <v>312.704</v>
      </c>
      <c r="BV31" s="71">
        <f>IFERROR(__xludf.DUMMYFUNCTION("""COMPUTED_VALUE"""),2267.1040000000003)</f>
        <v>2267.104</v>
      </c>
    </row>
    <row r="32">
      <c r="A32" s="53"/>
      <c r="B32" s="53"/>
      <c r="C32" s="53"/>
      <c r="D32" s="53" t="s">
        <v>114</v>
      </c>
      <c r="E32" s="55" t="s">
        <v>38</v>
      </c>
      <c r="F32" s="89"/>
      <c r="G32" s="84" t="s">
        <v>115</v>
      </c>
      <c r="H32" s="55"/>
      <c r="I32" s="54">
        <f t="shared" si="1"/>
        <v>0</v>
      </c>
      <c r="J32" s="56"/>
      <c r="K32" s="57"/>
      <c r="L32" s="55"/>
      <c r="M32" s="59"/>
      <c r="N32" s="60"/>
      <c r="O32" s="90"/>
      <c r="P32" s="62">
        <v>17619.0</v>
      </c>
      <c r="Q32" s="63">
        <v>17619.0</v>
      </c>
      <c r="R32" s="64">
        <v>19425.0</v>
      </c>
      <c r="S32" s="65">
        <v>20396.0</v>
      </c>
      <c r="T32" s="65">
        <f t="shared" si="2"/>
        <v>3263.36</v>
      </c>
      <c r="U32" s="65">
        <f t="shared" si="3"/>
        <v>23659.36</v>
      </c>
      <c r="V32" s="66">
        <f t="shared" si="4"/>
        <v>0.04998712999</v>
      </c>
      <c r="W32" s="67">
        <f t="shared" si="5"/>
        <v>19376.2</v>
      </c>
      <c r="X32" s="67">
        <f t="shared" si="6"/>
        <v>3100.192</v>
      </c>
      <c r="Y32" s="67">
        <f t="shared" si="7"/>
        <v>22476.392</v>
      </c>
      <c r="Z32" s="67">
        <f t="shared" si="8"/>
        <v>18356.4</v>
      </c>
      <c r="AA32" s="67">
        <f t="shared" si="9"/>
        <v>2937.024</v>
      </c>
      <c r="AB32" s="67">
        <f t="shared" si="10"/>
        <v>21293.424</v>
      </c>
      <c r="AC32" s="67">
        <f t="shared" si="11"/>
        <v>17336.6</v>
      </c>
      <c r="AD32" s="67">
        <f t="shared" si="12"/>
        <v>2773.856</v>
      </c>
      <c r="AE32" s="67">
        <f t="shared" si="13"/>
        <v>20110.456</v>
      </c>
      <c r="AF32" s="67">
        <f t="shared" si="14"/>
        <v>16928.68</v>
      </c>
      <c r="AG32" s="67">
        <f t="shared" si="15"/>
        <v>2708.5888</v>
      </c>
      <c r="AH32" s="67">
        <f t="shared" si="16"/>
        <v>19637.2688</v>
      </c>
      <c r="AI32" s="67">
        <f t="shared" si="17"/>
        <v>16316.8</v>
      </c>
      <c r="AJ32" s="68">
        <f t="shared" si="20"/>
        <v>2610.688</v>
      </c>
      <c r="AK32" s="68">
        <f t="shared" si="21"/>
        <v>18927.488</v>
      </c>
      <c r="AL32" s="70">
        <f>IFERROR(__xludf.DUMMYFUNCTION("""COMPUTED_VALUE"""),1.0)</f>
        <v>1</v>
      </c>
      <c r="AM32" s="70"/>
      <c r="AN32" s="71" t="str">
        <f>IFERROR(__xludf.DUMMYFUNCTION("""COMPUTED_VALUE""")," C")</f>
        <v>C</v>
      </c>
      <c r="AO32" s="71" t="str">
        <f>IFERROR(__xludf.DUMMYFUNCTION("""COMPUTED_VALUE""")," AR02")</f>
        <v>AR02</v>
      </c>
      <c r="AP32" s="71" t="str">
        <f>IFERROR(__xludf.DUMMYFUNCTION("""COMPUTED_VALUE""")," PZA")</f>
        <v>PZA</v>
      </c>
      <c r="AQ32" s="71" t="str">
        <f>IFERROR(__xludf.DUMMYFUNCTION("""COMPUTED_VALUE""")," REF")</f>
        <v>REF</v>
      </c>
      <c r="AR32" s="71" t="str">
        <f>IFERROR(__xludf.DUMMYFUNCTION("""COMPUTED_VALUE""")," ARRANCADOR PARA MOTOR DE 3 HP TRIFÁSICO 220V CODIGO 10046369 7~10 AMP")</f>
        <v>ARRANCADOR PARA MOTOR DE 3 HP TRIFÁSICO 220V CODIGO 10046369 7~10 AMP</v>
      </c>
      <c r="AS32" s="71" t="str">
        <f>IFERROR(__xludf.DUMMYFUNCTION("""COMPUTED_VALUE""")," ARRANCADOR 3HP TRI 220V 10046369 7-10A")</f>
        <v>ARRANCADOR 3HP TRI 220V 10046369 7-10A</v>
      </c>
      <c r="AT32" s="71">
        <f>IFERROR(__xludf.DUMMYFUNCTION("""COMPUTED_VALUE"""),38.0)</f>
        <v>38</v>
      </c>
      <c r="AU32" s="71"/>
      <c r="AV32" s="71"/>
      <c r="AW32" s="71"/>
      <c r="AX32" s="71"/>
      <c r="AY32" s="71">
        <f>IFERROR(__xludf.DUMMYFUNCTION("""COMPUTED_VALUE"""),3143.0)</f>
        <v>3143</v>
      </c>
      <c r="AZ32" s="71">
        <f>IFERROR(__xludf.DUMMYFUNCTION("""COMPUTED_VALUE"""),1628.0)</f>
        <v>1628</v>
      </c>
      <c r="BA32" s="71">
        <f>IFERROR(__xludf.DUMMYFUNCTION("""COMPUTED_VALUE"""),1758.24)</f>
        <v>1758.24</v>
      </c>
      <c r="BB32" s="71">
        <f>IFERROR(__xludf.DUMMYFUNCTION("""COMPUTED_VALUE"""),1758.24)</f>
        <v>1758.24</v>
      </c>
      <c r="BC32" s="71">
        <f>IFERROR(__xludf.DUMMYFUNCTION("""COMPUTED_VALUE"""),1958.0)</f>
        <v>1958</v>
      </c>
      <c r="BD32" s="71">
        <f>IFERROR(__xludf.DUMMYFUNCTION("""COMPUTED_VALUE"""),2056.0)</f>
        <v>2056</v>
      </c>
      <c r="BE32" s="71">
        <f>IFERROR(__xludf.DUMMYFUNCTION("""COMPUTED_VALUE"""),328.96)</f>
        <v>328.96</v>
      </c>
      <c r="BF32" s="71">
        <f>IFERROR(__xludf.DUMMYFUNCTION("""COMPUTED_VALUE"""),2384.96)</f>
        <v>2384.96</v>
      </c>
      <c r="BG32" s="71">
        <f>IFERROR(__xludf.DUMMYFUNCTION("""COMPUTED_VALUE"""),0.05005107252298264)</f>
        <v>0.05005107252</v>
      </c>
      <c r="BH32" s="71">
        <f>IFERROR(__xludf.DUMMYFUNCTION("""COMPUTED_VALUE"""),1953.1999999999998)</f>
        <v>1953.2</v>
      </c>
      <c r="BI32" s="71">
        <f>IFERROR(__xludf.DUMMYFUNCTION("""COMPUTED_VALUE"""),312.512)</f>
        <v>312.512</v>
      </c>
      <c r="BJ32" s="71">
        <f>IFERROR(__xludf.DUMMYFUNCTION("""COMPUTED_VALUE"""),2265.712)</f>
        <v>2265.712</v>
      </c>
      <c r="BK32" s="71">
        <f>IFERROR(__xludf.DUMMYFUNCTION("""COMPUTED_VALUE"""),1850.4)</f>
        <v>1850.4</v>
      </c>
      <c r="BL32" s="71">
        <f>IFERROR(__xludf.DUMMYFUNCTION("""COMPUTED_VALUE"""),296.064)</f>
        <v>296.064</v>
      </c>
      <c r="BM32" s="71">
        <f>IFERROR(__xludf.DUMMYFUNCTION("""COMPUTED_VALUE"""),2146.464)</f>
        <v>2146.464</v>
      </c>
      <c r="BN32" s="71">
        <f>IFERROR(__xludf.DUMMYFUNCTION("""COMPUTED_VALUE"""),1747.6)</f>
        <v>1747.6</v>
      </c>
      <c r="BO32" s="71">
        <f>IFERROR(__xludf.DUMMYFUNCTION("""COMPUTED_VALUE"""),279.616)</f>
        <v>279.616</v>
      </c>
      <c r="BP32" s="71">
        <f>IFERROR(__xludf.DUMMYFUNCTION("""COMPUTED_VALUE"""),2027.216)</f>
        <v>2027.216</v>
      </c>
      <c r="BQ32" s="71">
        <f>IFERROR(__xludf.DUMMYFUNCTION("""COMPUTED_VALUE"""),1706.48)</f>
        <v>1706.48</v>
      </c>
      <c r="BR32" s="71">
        <f>IFERROR(__xludf.DUMMYFUNCTION("""COMPUTED_VALUE"""),273.0368)</f>
        <v>273.0368</v>
      </c>
      <c r="BS32" s="71">
        <f>IFERROR(__xludf.DUMMYFUNCTION("""COMPUTED_VALUE"""),1979.5168)</f>
        <v>1979.5168</v>
      </c>
      <c r="BT32" s="71">
        <f>IFERROR(__xludf.DUMMYFUNCTION("""COMPUTED_VALUE"""),1644.8000000000002)</f>
        <v>1644.8</v>
      </c>
      <c r="BU32" s="71">
        <f>IFERROR(__xludf.DUMMYFUNCTION("""COMPUTED_VALUE"""),263.168)</f>
        <v>263.168</v>
      </c>
      <c r="BV32" s="71">
        <f>IFERROR(__xludf.DUMMYFUNCTION("""COMPUTED_VALUE"""),1907.9680000000003)</f>
        <v>1907.968</v>
      </c>
    </row>
    <row r="33">
      <c r="A33" s="53"/>
      <c r="B33" s="53">
        <v>3.0</v>
      </c>
      <c r="C33" s="53" t="s">
        <v>36</v>
      </c>
      <c r="D33" s="85" t="s">
        <v>116</v>
      </c>
      <c r="E33" s="54" t="s">
        <v>38</v>
      </c>
      <c r="F33" s="55" t="s">
        <v>96</v>
      </c>
      <c r="G33" s="81" t="s">
        <v>117</v>
      </c>
      <c r="H33" s="81"/>
      <c r="I33" s="54">
        <f t="shared" si="1"/>
        <v>0</v>
      </c>
      <c r="J33" s="99"/>
      <c r="K33" s="99"/>
      <c r="L33" s="76"/>
      <c r="M33" s="59"/>
      <c r="N33" s="60"/>
      <c r="O33" s="100">
        <v>18823.0</v>
      </c>
      <c r="P33" s="62">
        <v>20328.84</v>
      </c>
      <c r="Q33" s="63">
        <v>20328.84</v>
      </c>
      <c r="R33" s="64">
        <v>22413.0</v>
      </c>
      <c r="S33" s="65">
        <v>23534.0</v>
      </c>
      <c r="T33" s="65">
        <f t="shared" si="2"/>
        <v>3765.44</v>
      </c>
      <c r="U33" s="65">
        <f t="shared" si="3"/>
        <v>27299.44</v>
      </c>
      <c r="V33" s="66">
        <f t="shared" si="4"/>
        <v>0.05001561594</v>
      </c>
      <c r="W33" s="67">
        <f t="shared" si="5"/>
        <v>22357.3</v>
      </c>
      <c r="X33" s="67">
        <f t="shared" si="6"/>
        <v>3577.168</v>
      </c>
      <c r="Y33" s="67">
        <f t="shared" si="7"/>
        <v>25934.468</v>
      </c>
      <c r="Z33" s="67">
        <f t="shared" si="8"/>
        <v>21180.6</v>
      </c>
      <c r="AA33" s="67">
        <f t="shared" si="9"/>
        <v>3388.896</v>
      </c>
      <c r="AB33" s="67">
        <f t="shared" si="10"/>
        <v>24569.496</v>
      </c>
      <c r="AC33" s="67">
        <f t="shared" si="11"/>
        <v>21180.6</v>
      </c>
      <c r="AD33" s="67">
        <f t="shared" si="12"/>
        <v>3388.896</v>
      </c>
      <c r="AE33" s="67">
        <f t="shared" si="13"/>
        <v>24569.496</v>
      </c>
      <c r="AF33" s="67">
        <f t="shared" si="14"/>
        <v>21180.6</v>
      </c>
      <c r="AG33" s="67">
        <f t="shared" si="15"/>
        <v>3388.896</v>
      </c>
      <c r="AH33" s="67">
        <f t="shared" si="16"/>
        <v>24569.496</v>
      </c>
      <c r="AI33" s="67">
        <f t="shared" si="17"/>
        <v>21180.6</v>
      </c>
      <c r="AJ33" s="68">
        <f t="shared" si="20"/>
        <v>3388.896</v>
      </c>
      <c r="AK33" s="68">
        <f t="shared" si="21"/>
        <v>24569.496</v>
      </c>
      <c r="AL33" s="70">
        <f>IFERROR(__xludf.DUMMYFUNCTION("""COMPUTED_VALUE"""),1.0)</f>
        <v>1</v>
      </c>
      <c r="AM33" s="70"/>
      <c r="AN33" s="71" t="str">
        <f>IFERROR(__xludf.DUMMYFUNCTION("""COMPUTED_VALUE""")," C")</f>
        <v>C</v>
      </c>
      <c r="AO33" s="71" t="str">
        <f>IFERROR(__xludf.DUMMYFUNCTION("""COMPUTED_VALUE""")," AR11")</f>
        <v>AR11</v>
      </c>
      <c r="AP33" s="71" t="str">
        <f>IFERROR(__xludf.DUMMYFUNCTION("""COMPUTED_VALUE""")," PZA")</f>
        <v>PZA</v>
      </c>
      <c r="AQ33" s="71" t="str">
        <f>IFERROR(__xludf.DUMMYFUNCTION("""COMPUTED_VALUE""")," REF")</f>
        <v>REF</v>
      </c>
      <c r="AR33" s="71" t="str">
        <f>IFERROR(__xludf.DUMMYFUNCTION("""COMPUTED_VALUE""")," ARRANCADOR PARA MOTOR DE 5 HP MONOFÁSICO 220V CODIGO 10072610 22~32 AMP")</f>
        <v>ARRANCADOR PARA MOTOR DE 5 HP MONOFÁSICO 220V CODIGO 10072610 22~32 AMP</v>
      </c>
      <c r="AS33" s="71" t="str">
        <f>IFERROR(__xludf.DUMMYFUNCTION("""COMPUTED_VALUE""")," ARRANCADOR 5HP MON 220V 10072610 22-32A")</f>
        <v>ARRANCADOR 5HP MON 220V 10072610 22-32A</v>
      </c>
      <c r="AT33" s="71">
        <f>IFERROR(__xludf.DUMMYFUNCTION("""COMPUTED_VALUE"""),39.0)</f>
        <v>39</v>
      </c>
      <c r="AU33" s="71"/>
      <c r="AV33" s="71"/>
      <c r="AW33" s="71"/>
      <c r="AX33" s="71"/>
      <c r="AY33" s="71">
        <f>IFERROR(__xludf.DUMMYFUNCTION("""COMPUTED_VALUE"""),5184.0)</f>
        <v>5184</v>
      </c>
      <c r="AZ33" s="71">
        <f>IFERROR(__xludf.DUMMYFUNCTION("""COMPUTED_VALUE"""),5598.0)</f>
        <v>5598</v>
      </c>
      <c r="BA33" s="71">
        <f>IFERROR(__xludf.DUMMYFUNCTION("""COMPUTED_VALUE"""),6045.84)</f>
        <v>6045.84</v>
      </c>
      <c r="BB33" s="71">
        <f>IFERROR(__xludf.DUMMYFUNCTION("""COMPUTED_VALUE"""),6045.84)</f>
        <v>6045.84</v>
      </c>
      <c r="BC33" s="71">
        <f>IFERROR(__xludf.DUMMYFUNCTION("""COMPUTED_VALUE"""),6730.0)</f>
        <v>6730</v>
      </c>
      <c r="BD33" s="71">
        <f>IFERROR(__xludf.DUMMYFUNCTION("""COMPUTED_VALUE"""),3390.0)</f>
        <v>3390</v>
      </c>
      <c r="BE33" s="71">
        <f>IFERROR(__xludf.DUMMYFUNCTION("""COMPUTED_VALUE"""),542.4)</f>
        <v>542.4</v>
      </c>
      <c r="BF33" s="71">
        <f>IFERROR(__xludf.DUMMYFUNCTION("""COMPUTED_VALUE"""),3932.4)</f>
        <v>3932.4</v>
      </c>
      <c r="BG33" s="71">
        <f>IFERROR(__xludf.DUMMYFUNCTION("""COMPUTED_VALUE"""),-0.4962852897473997)</f>
        <v>-0.4962852897</v>
      </c>
      <c r="BH33" s="71">
        <f>IFERROR(__xludf.DUMMYFUNCTION("""COMPUTED_VALUE"""),3220.5)</f>
        <v>3220.5</v>
      </c>
      <c r="BI33" s="71">
        <f>IFERROR(__xludf.DUMMYFUNCTION("""COMPUTED_VALUE"""),515.28)</f>
        <v>515.28</v>
      </c>
      <c r="BJ33" s="71">
        <f>IFERROR(__xludf.DUMMYFUNCTION("""COMPUTED_VALUE"""),3735.7799999999997)</f>
        <v>3735.78</v>
      </c>
      <c r="BK33" s="71">
        <f>IFERROR(__xludf.DUMMYFUNCTION("""COMPUTED_VALUE"""),3051.0)</f>
        <v>3051</v>
      </c>
      <c r="BL33" s="71">
        <f>IFERROR(__xludf.DUMMYFUNCTION("""COMPUTED_VALUE"""),488.16)</f>
        <v>488.16</v>
      </c>
      <c r="BM33" s="71">
        <f>IFERROR(__xludf.DUMMYFUNCTION("""COMPUTED_VALUE"""),3539.16)</f>
        <v>3539.16</v>
      </c>
      <c r="BN33" s="71">
        <f>IFERROR(__xludf.DUMMYFUNCTION("""COMPUTED_VALUE"""),2881.5)</f>
        <v>2881.5</v>
      </c>
      <c r="BO33" s="71">
        <f>IFERROR(__xludf.DUMMYFUNCTION("""COMPUTED_VALUE"""),461.04)</f>
        <v>461.04</v>
      </c>
      <c r="BP33" s="71">
        <f>IFERROR(__xludf.DUMMYFUNCTION("""COMPUTED_VALUE"""),3342.54)</f>
        <v>3342.54</v>
      </c>
      <c r="BQ33" s="71">
        <f>IFERROR(__xludf.DUMMYFUNCTION("""COMPUTED_VALUE"""),2813.7)</f>
        <v>2813.7</v>
      </c>
      <c r="BR33" s="71">
        <f>IFERROR(__xludf.DUMMYFUNCTION("""COMPUTED_VALUE"""),450.192)</f>
        <v>450.192</v>
      </c>
      <c r="BS33" s="71">
        <f>IFERROR(__xludf.DUMMYFUNCTION("""COMPUTED_VALUE"""),3263.892)</f>
        <v>3263.892</v>
      </c>
      <c r="BT33" s="71">
        <f>IFERROR(__xludf.DUMMYFUNCTION("""COMPUTED_VALUE"""),2712.0)</f>
        <v>2712</v>
      </c>
      <c r="BU33" s="71">
        <f>IFERROR(__xludf.DUMMYFUNCTION("""COMPUTED_VALUE"""),433.92)</f>
        <v>433.92</v>
      </c>
      <c r="BV33" s="71">
        <f>IFERROR(__xludf.DUMMYFUNCTION("""COMPUTED_VALUE"""),3145.92)</f>
        <v>3145.92</v>
      </c>
    </row>
    <row r="34">
      <c r="A34" s="53"/>
      <c r="B34" s="53">
        <v>3.0</v>
      </c>
      <c r="C34" s="53" t="s">
        <v>36</v>
      </c>
      <c r="D34" s="98" t="s">
        <v>118</v>
      </c>
      <c r="E34" s="54" t="s">
        <v>38</v>
      </c>
      <c r="F34" s="55" t="s">
        <v>61</v>
      </c>
      <c r="G34" s="101" t="s">
        <v>119</v>
      </c>
      <c r="H34" s="55"/>
      <c r="I34" s="54">
        <f t="shared" si="1"/>
        <v>0</v>
      </c>
      <c r="J34" s="56"/>
      <c r="K34" s="57"/>
      <c r="L34" s="76"/>
      <c r="M34" s="59"/>
      <c r="N34" s="60"/>
      <c r="O34" s="61">
        <v>12775.0</v>
      </c>
      <c r="P34" s="62">
        <v>13797.0</v>
      </c>
      <c r="Q34" s="63">
        <v>13797.0</v>
      </c>
      <c r="R34" s="64">
        <v>15212.0</v>
      </c>
      <c r="S34" s="65">
        <v>15973.0</v>
      </c>
      <c r="T34" s="65">
        <f t="shared" si="2"/>
        <v>2555.68</v>
      </c>
      <c r="U34" s="65">
        <f t="shared" si="3"/>
        <v>18528.68</v>
      </c>
      <c r="V34" s="66">
        <f t="shared" si="4"/>
        <v>0.05002629503</v>
      </c>
      <c r="W34" s="67">
        <f t="shared" si="5"/>
        <v>15174.35</v>
      </c>
      <c r="X34" s="67">
        <f t="shared" si="6"/>
        <v>2427.896</v>
      </c>
      <c r="Y34" s="67">
        <f t="shared" si="7"/>
        <v>17602.246</v>
      </c>
      <c r="Z34" s="67">
        <f t="shared" si="8"/>
        <v>14375.7</v>
      </c>
      <c r="AA34" s="67">
        <f t="shared" si="9"/>
        <v>2300.112</v>
      </c>
      <c r="AB34" s="67">
        <f t="shared" si="10"/>
        <v>16675.812</v>
      </c>
      <c r="AC34" s="67">
        <f t="shared" si="11"/>
        <v>14375.7</v>
      </c>
      <c r="AD34" s="67">
        <f t="shared" si="12"/>
        <v>2300.112</v>
      </c>
      <c r="AE34" s="67">
        <f t="shared" si="13"/>
        <v>16675.812</v>
      </c>
      <c r="AF34" s="67">
        <f t="shared" si="14"/>
        <v>14375.7</v>
      </c>
      <c r="AG34" s="67">
        <f t="shared" si="15"/>
        <v>2300.112</v>
      </c>
      <c r="AH34" s="67">
        <f t="shared" si="16"/>
        <v>16675.812</v>
      </c>
      <c r="AI34" s="67">
        <f t="shared" si="17"/>
        <v>14375.7</v>
      </c>
      <c r="AJ34" s="68">
        <f t="shared" si="20"/>
        <v>2300.112</v>
      </c>
      <c r="AK34" s="68">
        <f t="shared" si="21"/>
        <v>16675.812</v>
      </c>
      <c r="AL34" s="70">
        <f>IFERROR(__xludf.DUMMYFUNCTION("""COMPUTED_VALUE"""),1.0)</f>
        <v>1</v>
      </c>
      <c r="AM34" s="70"/>
      <c r="AN34" s="71" t="str">
        <f>IFERROR(__xludf.DUMMYFUNCTION("""COMPUTED_VALUE""")," C")</f>
        <v>C</v>
      </c>
      <c r="AO34" s="71" t="str">
        <f>IFERROR(__xludf.DUMMYFUNCTION("""COMPUTED_VALUE""")," AR03")</f>
        <v>AR03</v>
      </c>
      <c r="AP34" s="71" t="str">
        <f>IFERROR(__xludf.DUMMYFUNCTION("""COMPUTED_VALUE""")," PZA")</f>
        <v>PZA</v>
      </c>
      <c r="AQ34" s="71" t="str">
        <f>IFERROR(__xludf.DUMMYFUNCTION("""COMPUTED_VALUE""")," REF")</f>
        <v>REF</v>
      </c>
      <c r="AR34" s="71" t="str">
        <f>IFERROR(__xludf.DUMMYFUNCTION("""COMPUTED_VALUE""")," ARRANCADOR PARA MOTOR DE 5 HP TRIFÁSICO 220V CODIGO 10046370 11~17 AMP")</f>
        <v>ARRANCADOR PARA MOTOR DE 5 HP TRIFÁSICO 220V CODIGO 10046370 11~17 AMP</v>
      </c>
      <c r="AS34" s="71" t="str">
        <f>IFERROR(__xludf.DUMMYFUNCTION("""COMPUTED_VALUE""")," ARRANCADOR 5HP TRI 220V 10046370 11-17A")</f>
        <v>ARRANCADOR 5HP TRI 220V 10046370 11-17A</v>
      </c>
      <c r="AT34" s="71">
        <f>IFERROR(__xludf.DUMMYFUNCTION("""COMPUTED_VALUE"""),39.0)</f>
        <v>39</v>
      </c>
      <c r="AU34" s="71"/>
      <c r="AV34" s="71"/>
      <c r="AW34" s="71"/>
      <c r="AX34" s="71"/>
      <c r="AY34" s="71">
        <f>IFERROR(__xludf.DUMMYFUNCTION("""COMPUTED_VALUE"""),3512.0)</f>
        <v>3512</v>
      </c>
      <c r="AZ34" s="71">
        <f>IFERROR(__xludf.DUMMYFUNCTION("""COMPUTED_VALUE"""),1935.0)</f>
        <v>1935</v>
      </c>
      <c r="BA34" s="71">
        <f>IFERROR(__xludf.DUMMYFUNCTION("""COMPUTED_VALUE"""),2089.8)</f>
        <v>2089.8</v>
      </c>
      <c r="BB34" s="71">
        <f>IFERROR(__xludf.DUMMYFUNCTION("""COMPUTED_VALUE"""),2089.8)</f>
        <v>2089.8</v>
      </c>
      <c r="BC34" s="71">
        <f>IFERROR(__xludf.DUMMYFUNCTION("""COMPUTED_VALUE"""),2327.0)</f>
        <v>2327</v>
      </c>
      <c r="BD34" s="71">
        <f>IFERROR(__xludf.DUMMYFUNCTION("""COMPUTED_VALUE"""),2443.0)</f>
        <v>2443</v>
      </c>
      <c r="BE34" s="71">
        <f>IFERROR(__xludf.DUMMYFUNCTION("""COMPUTED_VALUE"""),390.88)</f>
        <v>390.88</v>
      </c>
      <c r="BF34" s="71">
        <f>IFERROR(__xludf.DUMMYFUNCTION("""COMPUTED_VALUE"""),2833.88)</f>
        <v>2833.88</v>
      </c>
      <c r="BG34" s="71">
        <f>IFERROR(__xludf.DUMMYFUNCTION("""COMPUTED_VALUE"""),0.04984959174903309)</f>
        <v>0.04984959175</v>
      </c>
      <c r="BH34" s="71">
        <f>IFERROR(__xludf.DUMMYFUNCTION("""COMPUTED_VALUE"""),2320.85)</f>
        <v>2320.85</v>
      </c>
      <c r="BI34" s="71">
        <f>IFERROR(__xludf.DUMMYFUNCTION("""COMPUTED_VALUE"""),371.336)</f>
        <v>371.336</v>
      </c>
      <c r="BJ34" s="71">
        <f>IFERROR(__xludf.DUMMYFUNCTION("""COMPUTED_VALUE"""),2692.1859999999997)</f>
        <v>2692.186</v>
      </c>
      <c r="BK34" s="71">
        <f>IFERROR(__xludf.DUMMYFUNCTION("""COMPUTED_VALUE"""),2198.7000000000003)</f>
        <v>2198.7</v>
      </c>
      <c r="BL34" s="71">
        <f>IFERROR(__xludf.DUMMYFUNCTION("""COMPUTED_VALUE"""),351.79200000000003)</f>
        <v>351.792</v>
      </c>
      <c r="BM34" s="71">
        <f>IFERROR(__xludf.DUMMYFUNCTION("""COMPUTED_VALUE"""),2550.492)</f>
        <v>2550.492</v>
      </c>
      <c r="BN34" s="71">
        <f>IFERROR(__xludf.DUMMYFUNCTION("""COMPUTED_VALUE"""),2076.5499999999997)</f>
        <v>2076.55</v>
      </c>
      <c r="BO34" s="71">
        <f>IFERROR(__xludf.DUMMYFUNCTION("""COMPUTED_VALUE"""),332.248)</f>
        <v>332.248</v>
      </c>
      <c r="BP34" s="71">
        <f>IFERROR(__xludf.DUMMYFUNCTION("""COMPUTED_VALUE"""),2408.798)</f>
        <v>2408.798</v>
      </c>
      <c r="BQ34" s="71">
        <f>IFERROR(__xludf.DUMMYFUNCTION("""COMPUTED_VALUE"""),2027.6899999999998)</f>
        <v>2027.69</v>
      </c>
      <c r="BR34" s="71">
        <f>IFERROR(__xludf.DUMMYFUNCTION("""COMPUTED_VALUE"""),324.43039999999996)</f>
        <v>324.4304</v>
      </c>
      <c r="BS34" s="71">
        <f>IFERROR(__xludf.DUMMYFUNCTION("""COMPUTED_VALUE"""),2352.1204)</f>
        <v>2352.1204</v>
      </c>
      <c r="BT34" s="71">
        <f>IFERROR(__xludf.DUMMYFUNCTION("""COMPUTED_VALUE"""),1954.4)</f>
        <v>1954.4</v>
      </c>
      <c r="BU34" s="71">
        <f>IFERROR(__xludf.DUMMYFUNCTION("""COMPUTED_VALUE"""),312.704)</f>
        <v>312.704</v>
      </c>
      <c r="BV34" s="71">
        <f>IFERROR(__xludf.DUMMYFUNCTION("""COMPUTED_VALUE"""),2267.1040000000003)</f>
        <v>2267.104</v>
      </c>
    </row>
    <row r="35">
      <c r="A35" s="53"/>
      <c r="B35" s="53">
        <v>3.0</v>
      </c>
      <c r="C35" s="53" t="s">
        <v>36</v>
      </c>
      <c r="D35" s="74" t="s">
        <v>120</v>
      </c>
      <c r="E35" s="54" t="s">
        <v>38</v>
      </c>
      <c r="F35" s="55" t="s">
        <v>96</v>
      </c>
      <c r="G35" s="84" t="s">
        <v>121</v>
      </c>
      <c r="H35" s="84" t="s">
        <v>122</v>
      </c>
      <c r="I35" s="54">
        <f t="shared" si="1"/>
        <v>33</v>
      </c>
      <c r="J35" s="99"/>
      <c r="K35" s="99"/>
      <c r="L35" s="76"/>
      <c r="M35" s="59"/>
      <c r="N35" s="60"/>
      <c r="O35" s="100">
        <v>32132.0</v>
      </c>
      <c r="P35" s="62">
        <v>34702.560000000005</v>
      </c>
      <c r="Q35" s="63">
        <v>34702.560000000005</v>
      </c>
      <c r="R35" s="64">
        <v>38260.0</v>
      </c>
      <c r="S35" s="65">
        <v>37550.0</v>
      </c>
      <c r="T35" s="65">
        <f t="shared" si="2"/>
        <v>6008</v>
      </c>
      <c r="U35" s="65">
        <f t="shared" si="3"/>
        <v>43558</v>
      </c>
      <c r="V35" s="66">
        <f t="shared" si="4"/>
        <v>-0.01855723994</v>
      </c>
      <c r="W35" s="67">
        <f t="shared" si="5"/>
        <v>35672.5</v>
      </c>
      <c r="X35" s="67">
        <f t="shared" si="6"/>
        <v>5707.6</v>
      </c>
      <c r="Y35" s="67">
        <f t="shared" si="7"/>
        <v>41380.1</v>
      </c>
      <c r="Z35" s="67">
        <f t="shared" si="8"/>
        <v>33795</v>
      </c>
      <c r="AA35" s="67">
        <f t="shared" si="9"/>
        <v>5407.2</v>
      </c>
      <c r="AB35" s="67">
        <f t="shared" si="10"/>
        <v>39202.2</v>
      </c>
      <c r="AC35" s="67">
        <f t="shared" si="11"/>
        <v>33795</v>
      </c>
      <c r="AD35" s="67">
        <f t="shared" si="12"/>
        <v>5407.2</v>
      </c>
      <c r="AE35" s="67">
        <f t="shared" si="13"/>
        <v>39202.2</v>
      </c>
      <c r="AF35" s="67">
        <f t="shared" si="14"/>
        <v>33795</v>
      </c>
      <c r="AG35" s="67">
        <f t="shared" si="15"/>
        <v>5407.2</v>
      </c>
      <c r="AH35" s="67">
        <f t="shared" si="16"/>
        <v>39202.2</v>
      </c>
      <c r="AI35" s="67">
        <f t="shared" si="17"/>
        <v>33795</v>
      </c>
      <c r="AJ35" s="68">
        <f t="shared" si="20"/>
        <v>5407.2</v>
      </c>
      <c r="AK35" s="68">
        <f t="shared" si="21"/>
        <v>39202.2</v>
      </c>
      <c r="AL35" s="70">
        <f>IFERROR(__xludf.DUMMYFUNCTION("""COMPUTED_VALUE"""),1.0)</f>
        <v>1</v>
      </c>
      <c r="AM35" s="70"/>
      <c r="AN35" s="71" t="str">
        <f>IFERROR(__xludf.DUMMYFUNCTION("""COMPUTED_VALUE""")," C")</f>
        <v>C</v>
      </c>
      <c r="AO35" s="71" t="str">
        <f>IFERROR(__xludf.DUMMYFUNCTION("""COMPUTED_VALUE""")," AR12")</f>
        <v>AR12</v>
      </c>
      <c r="AP35" s="71" t="str">
        <f>IFERROR(__xludf.DUMMYFUNCTION("""COMPUTED_VALUE""")," PZA")</f>
        <v>PZA</v>
      </c>
      <c r="AQ35" s="71" t="str">
        <f>IFERROR(__xludf.DUMMYFUNCTION("""COMPUTED_VALUE""")," REF")</f>
        <v>REF</v>
      </c>
      <c r="AR35" s="71" t="str">
        <f>IFERROR(__xludf.DUMMYFUNCTION("""COMPUTED_VALUE""")," ARRANCADOR PARA MOTOR DE 7.5 HP MONOFÁSICO 220V CODIGO 10046372 32~50 AMP")</f>
        <v>ARRANCADOR PARA MOTOR DE 7.5 HP MONOFÁSICO 220V CODIGO 10046372 32~50 AMP</v>
      </c>
      <c r="AS35" s="71" t="str">
        <f>IFERROR(__xludf.DUMMYFUNCTION("""COMPUTED_VALUE""")," ARRANCADOR7.5HP MON 220V 10046372 32-50A")</f>
        <v>ARRANCADOR7.5HP MON 220V 10046372 32-50A</v>
      </c>
      <c r="AT35" s="71">
        <f>IFERROR(__xludf.DUMMYFUNCTION("""COMPUTED_VALUE"""),40.0)</f>
        <v>40</v>
      </c>
      <c r="AU35" s="71"/>
      <c r="AV35" s="71"/>
      <c r="AW35" s="71"/>
      <c r="AX35" s="71"/>
      <c r="AY35" s="71">
        <f>IFERROR(__xludf.DUMMYFUNCTION("""COMPUTED_VALUE"""),6858.0)</f>
        <v>6858</v>
      </c>
      <c r="AZ35" s="71">
        <f>IFERROR(__xludf.DUMMYFUNCTION("""COMPUTED_VALUE"""),7406.0)</f>
        <v>7406</v>
      </c>
      <c r="BA35" s="71">
        <f>IFERROR(__xludf.DUMMYFUNCTION("""COMPUTED_VALUE"""),7998.4800000000005)</f>
        <v>7998.48</v>
      </c>
      <c r="BB35" s="71">
        <f>IFERROR(__xludf.DUMMYFUNCTION("""COMPUTED_VALUE"""),7998.4800000000005)</f>
        <v>7998.48</v>
      </c>
      <c r="BC35" s="71">
        <f>IFERROR(__xludf.DUMMYFUNCTION("""COMPUTED_VALUE"""),8903.0)</f>
        <v>8903</v>
      </c>
      <c r="BD35" s="71">
        <f>IFERROR(__xludf.DUMMYFUNCTION("""COMPUTED_VALUE"""),4486.0)</f>
        <v>4486</v>
      </c>
      <c r="BE35" s="71">
        <f>IFERROR(__xludf.DUMMYFUNCTION("""COMPUTED_VALUE"""),717.76)</f>
        <v>717.76</v>
      </c>
      <c r="BF35" s="71">
        <f>IFERROR(__xludf.DUMMYFUNCTION("""COMPUTED_VALUE"""),5203.76)</f>
        <v>5203.76</v>
      </c>
      <c r="BG35" s="71">
        <f>IFERROR(__xludf.DUMMYFUNCTION("""COMPUTED_VALUE"""),-0.49612490171852186)</f>
        <v>-0.4961249017</v>
      </c>
      <c r="BH35" s="71">
        <f>IFERROR(__xludf.DUMMYFUNCTION("""COMPUTED_VALUE"""),4261.7)</f>
        <v>4261.7</v>
      </c>
      <c r="BI35" s="71">
        <f>IFERROR(__xludf.DUMMYFUNCTION("""COMPUTED_VALUE"""),681.872)</f>
        <v>681.872</v>
      </c>
      <c r="BJ35" s="71">
        <f>IFERROR(__xludf.DUMMYFUNCTION("""COMPUTED_VALUE"""),4943.572)</f>
        <v>4943.572</v>
      </c>
      <c r="BK35" s="71">
        <f>IFERROR(__xludf.DUMMYFUNCTION("""COMPUTED_VALUE"""),4037.4)</f>
        <v>4037.4</v>
      </c>
      <c r="BL35" s="71">
        <f>IFERROR(__xludf.DUMMYFUNCTION("""COMPUTED_VALUE"""),645.984)</f>
        <v>645.984</v>
      </c>
      <c r="BM35" s="71">
        <f>IFERROR(__xludf.DUMMYFUNCTION("""COMPUTED_VALUE"""),4683.384)</f>
        <v>4683.384</v>
      </c>
      <c r="BN35" s="71">
        <f>IFERROR(__xludf.DUMMYFUNCTION("""COMPUTED_VALUE"""),3813.1)</f>
        <v>3813.1</v>
      </c>
      <c r="BO35" s="71">
        <f>IFERROR(__xludf.DUMMYFUNCTION("""COMPUTED_VALUE"""),610.096)</f>
        <v>610.096</v>
      </c>
      <c r="BP35" s="71">
        <f>IFERROR(__xludf.DUMMYFUNCTION("""COMPUTED_VALUE"""),4423.196)</f>
        <v>4423.196</v>
      </c>
      <c r="BQ35" s="71">
        <f>IFERROR(__xludf.DUMMYFUNCTION("""COMPUTED_VALUE"""),3723.3799999999997)</f>
        <v>3723.38</v>
      </c>
      <c r="BR35" s="71">
        <f>IFERROR(__xludf.DUMMYFUNCTION("""COMPUTED_VALUE"""),595.7407999999999)</f>
        <v>595.7408</v>
      </c>
      <c r="BS35" s="71">
        <f>IFERROR(__xludf.DUMMYFUNCTION("""COMPUTED_VALUE"""),4319.1208)</f>
        <v>4319.1208</v>
      </c>
      <c r="BT35" s="71">
        <f>IFERROR(__xludf.DUMMYFUNCTION("""COMPUTED_VALUE"""),3588.8)</f>
        <v>3588.8</v>
      </c>
      <c r="BU35" s="71">
        <f>IFERROR(__xludf.DUMMYFUNCTION("""COMPUTED_VALUE"""),574.2080000000001)</f>
        <v>574.208</v>
      </c>
      <c r="BV35" s="71">
        <f>IFERROR(__xludf.DUMMYFUNCTION("""COMPUTED_VALUE"""),4163.008)</f>
        <v>4163.008</v>
      </c>
    </row>
    <row r="36">
      <c r="A36" s="53"/>
      <c r="B36" s="53">
        <v>3.0</v>
      </c>
      <c r="C36" s="53" t="s">
        <v>36</v>
      </c>
      <c r="D36" s="53" t="s">
        <v>123</v>
      </c>
      <c r="E36" s="54" t="s">
        <v>38</v>
      </c>
      <c r="F36" s="55" t="s">
        <v>96</v>
      </c>
      <c r="G36" s="84" t="s">
        <v>124</v>
      </c>
      <c r="H36" s="84" t="s">
        <v>125</v>
      </c>
      <c r="I36" s="54">
        <f t="shared" si="1"/>
        <v>40</v>
      </c>
      <c r="J36" s="102"/>
      <c r="K36" s="102"/>
      <c r="L36" s="76"/>
      <c r="M36" s="59"/>
      <c r="N36" s="60"/>
      <c r="O36" s="100">
        <v>36747.0</v>
      </c>
      <c r="P36" s="62">
        <v>39686.76</v>
      </c>
      <c r="Q36" s="63">
        <v>39686.76</v>
      </c>
      <c r="R36" s="64">
        <v>43755.0</v>
      </c>
      <c r="S36" s="65">
        <v>41350.0</v>
      </c>
      <c r="T36" s="65">
        <f t="shared" si="2"/>
        <v>6616</v>
      </c>
      <c r="U36" s="65">
        <f t="shared" si="3"/>
        <v>47966</v>
      </c>
      <c r="V36" s="66">
        <f t="shared" si="4"/>
        <v>-0.05496514684</v>
      </c>
      <c r="W36" s="67">
        <f t="shared" si="5"/>
        <v>39282.5</v>
      </c>
      <c r="X36" s="67">
        <f t="shared" si="6"/>
        <v>6285.2</v>
      </c>
      <c r="Y36" s="67">
        <f t="shared" si="7"/>
        <v>45567.7</v>
      </c>
      <c r="Z36" s="67">
        <f t="shared" si="8"/>
        <v>37215</v>
      </c>
      <c r="AA36" s="67">
        <f t="shared" si="9"/>
        <v>5954.4</v>
      </c>
      <c r="AB36" s="67">
        <f t="shared" si="10"/>
        <v>43169.4</v>
      </c>
      <c r="AC36" s="67">
        <f t="shared" si="11"/>
        <v>37215</v>
      </c>
      <c r="AD36" s="67">
        <f t="shared" si="12"/>
        <v>5954.4</v>
      </c>
      <c r="AE36" s="67">
        <f t="shared" si="13"/>
        <v>43169.4</v>
      </c>
      <c r="AF36" s="67">
        <f t="shared" si="14"/>
        <v>37215</v>
      </c>
      <c r="AG36" s="67">
        <f t="shared" si="15"/>
        <v>5954.4</v>
      </c>
      <c r="AH36" s="67">
        <f t="shared" si="16"/>
        <v>43169.4</v>
      </c>
      <c r="AI36" s="67">
        <f t="shared" si="17"/>
        <v>37215</v>
      </c>
      <c r="AJ36" s="68">
        <f t="shared" si="20"/>
        <v>5954.4</v>
      </c>
      <c r="AK36" s="68">
        <f t="shared" si="21"/>
        <v>43169.4</v>
      </c>
      <c r="AL36" s="70">
        <f>IFERROR(__xludf.DUMMYFUNCTION("""COMPUTED_VALUE"""),1.0)</f>
        <v>1</v>
      </c>
      <c r="AM36" s="70"/>
      <c r="AN36" s="71" t="str">
        <f>IFERROR(__xludf.DUMMYFUNCTION("""COMPUTED_VALUE""")," C")</f>
        <v>C</v>
      </c>
      <c r="AO36" s="71" t="str">
        <f>IFERROR(__xludf.DUMMYFUNCTION("""COMPUTED_VALUE""")," AR04")</f>
        <v>AR04</v>
      </c>
      <c r="AP36" s="71" t="str">
        <f>IFERROR(__xludf.DUMMYFUNCTION("""COMPUTED_VALUE""")," PZA")</f>
        <v>PZA</v>
      </c>
      <c r="AQ36" s="71" t="str">
        <f>IFERROR(__xludf.DUMMYFUNCTION("""COMPUTED_VALUE""")," REF")</f>
        <v>REF</v>
      </c>
      <c r="AR36" s="71" t="str">
        <f>IFERROR(__xludf.DUMMYFUNCTION("""COMPUTED_VALUE""")," ARRANCADOR PARA MOTOR DE 7.5 HP TRIFÁSICO 220V CODIGO 10045781 15~23 AMP")</f>
        <v>ARRANCADOR PARA MOTOR DE 7.5 HP TRIFÁSICO 220V CODIGO 10045781 15~23 AMP</v>
      </c>
      <c r="AS36" s="71" t="str">
        <f>IFERROR(__xludf.DUMMYFUNCTION("""COMPUTED_VALUE""")," ARRANCADOR7.5HP TRI 220V 10045781 15-23A")</f>
        <v>ARRANCADOR7.5HP TRI 220V 10045781 15-23A</v>
      </c>
      <c r="AT36" s="71">
        <f>IFERROR(__xludf.DUMMYFUNCTION("""COMPUTED_VALUE"""),40.0)</f>
        <v>40</v>
      </c>
      <c r="AU36" s="71"/>
      <c r="AV36" s="71"/>
      <c r="AW36" s="71"/>
      <c r="AX36" s="71"/>
      <c r="AY36" s="71">
        <f>IFERROR(__xludf.DUMMYFUNCTION("""COMPUTED_VALUE"""),3512.0)</f>
        <v>3512</v>
      </c>
      <c r="AZ36" s="71">
        <f>IFERROR(__xludf.DUMMYFUNCTION("""COMPUTED_VALUE"""),1935.0)</f>
        <v>1935</v>
      </c>
      <c r="BA36" s="71">
        <f>IFERROR(__xludf.DUMMYFUNCTION("""COMPUTED_VALUE"""),2089.8)</f>
        <v>2089.8</v>
      </c>
      <c r="BB36" s="71">
        <f>IFERROR(__xludf.DUMMYFUNCTION("""COMPUTED_VALUE"""),2089.8)</f>
        <v>2089.8</v>
      </c>
      <c r="BC36" s="71">
        <f>IFERROR(__xludf.DUMMYFUNCTION("""COMPUTED_VALUE"""),2327.0)</f>
        <v>2327</v>
      </c>
      <c r="BD36" s="71">
        <f>IFERROR(__xludf.DUMMYFUNCTION("""COMPUTED_VALUE"""),2443.0)</f>
        <v>2443</v>
      </c>
      <c r="BE36" s="71">
        <f>IFERROR(__xludf.DUMMYFUNCTION("""COMPUTED_VALUE"""),390.88)</f>
        <v>390.88</v>
      </c>
      <c r="BF36" s="71">
        <f>IFERROR(__xludf.DUMMYFUNCTION("""COMPUTED_VALUE"""),2833.88)</f>
        <v>2833.88</v>
      </c>
      <c r="BG36" s="71">
        <f>IFERROR(__xludf.DUMMYFUNCTION("""COMPUTED_VALUE"""),0.04984959174903309)</f>
        <v>0.04984959175</v>
      </c>
      <c r="BH36" s="71">
        <f>IFERROR(__xludf.DUMMYFUNCTION("""COMPUTED_VALUE"""),2320.85)</f>
        <v>2320.85</v>
      </c>
      <c r="BI36" s="71">
        <f>IFERROR(__xludf.DUMMYFUNCTION("""COMPUTED_VALUE"""),371.336)</f>
        <v>371.336</v>
      </c>
      <c r="BJ36" s="71">
        <f>IFERROR(__xludf.DUMMYFUNCTION("""COMPUTED_VALUE"""),2692.1859999999997)</f>
        <v>2692.186</v>
      </c>
      <c r="BK36" s="71">
        <f>IFERROR(__xludf.DUMMYFUNCTION("""COMPUTED_VALUE"""),2198.7000000000003)</f>
        <v>2198.7</v>
      </c>
      <c r="BL36" s="71">
        <f>IFERROR(__xludf.DUMMYFUNCTION("""COMPUTED_VALUE"""),351.79200000000003)</f>
        <v>351.792</v>
      </c>
      <c r="BM36" s="71">
        <f>IFERROR(__xludf.DUMMYFUNCTION("""COMPUTED_VALUE"""),2550.492)</f>
        <v>2550.492</v>
      </c>
      <c r="BN36" s="71">
        <f>IFERROR(__xludf.DUMMYFUNCTION("""COMPUTED_VALUE"""),2076.5499999999997)</f>
        <v>2076.55</v>
      </c>
      <c r="BO36" s="71">
        <f>IFERROR(__xludf.DUMMYFUNCTION("""COMPUTED_VALUE"""),332.248)</f>
        <v>332.248</v>
      </c>
      <c r="BP36" s="71">
        <f>IFERROR(__xludf.DUMMYFUNCTION("""COMPUTED_VALUE"""),2408.798)</f>
        <v>2408.798</v>
      </c>
      <c r="BQ36" s="71">
        <f>IFERROR(__xludf.DUMMYFUNCTION("""COMPUTED_VALUE"""),2027.6899999999998)</f>
        <v>2027.69</v>
      </c>
      <c r="BR36" s="71">
        <f>IFERROR(__xludf.DUMMYFUNCTION("""COMPUTED_VALUE"""),324.43039999999996)</f>
        <v>324.4304</v>
      </c>
      <c r="BS36" s="71">
        <f>IFERROR(__xludf.DUMMYFUNCTION("""COMPUTED_VALUE"""),2352.1204)</f>
        <v>2352.1204</v>
      </c>
      <c r="BT36" s="71">
        <f>IFERROR(__xludf.DUMMYFUNCTION("""COMPUTED_VALUE"""),1954.4)</f>
        <v>1954.4</v>
      </c>
      <c r="BU36" s="71">
        <f>IFERROR(__xludf.DUMMYFUNCTION("""COMPUTED_VALUE"""),312.704)</f>
        <v>312.704</v>
      </c>
      <c r="BV36" s="71">
        <f>IFERROR(__xludf.DUMMYFUNCTION("""COMPUTED_VALUE"""),2267.1040000000003)</f>
        <v>2267.104</v>
      </c>
    </row>
    <row r="37">
      <c r="A37" s="53"/>
      <c r="B37" s="53">
        <v>3.0</v>
      </c>
      <c r="C37" s="53" t="s">
        <v>36</v>
      </c>
      <c r="D37" s="53" t="s">
        <v>126</v>
      </c>
      <c r="E37" s="54" t="s">
        <v>38</v>
      </c>
      <c r="F37" s="55" t="s">
        <v>96</v>
      </c>
      <c r="G37" s="84" t="s">
        <v>127</v>
      </c>
      <c r="H37" s="84" t="s">
        <v>128</v>
      </c>
      <c r="I37" s="54">
        <f t="shared" si="1"/>
        <v>40</v>
      </c>
      <c r="J37" s="103"/>
      <c r="K37" s="103"/>
      <c r="L37" s="76"/>
      <c r="M37" s="59"/>
      <c r="N37" s="60"/>
      <c r="O37" s="104">
        <v>38389.0</v>
      </c>
      <c r="P37" s="62">
        <v>41460.12</v>
      </c>
      <c r="Q37" s="63">
        <v>41460.12</v>
      </c>
      <c r="R37" s="64">
        <v>45710.0</v>
      </c>
      <c r="S37" s="65">
        <v>43550.0</v>
      </c>
      <c r="T37" s="65">
        <f t="shared" si="2"/>
        <v>6968</v>
      </c>
      <c r="U37" s="65">
        <f t="shared" si="3"/>
        <v>50518</v>
      </c>
      <c r="V37" s="66">
        <f t="shared" si="4"/>
        <v>-0.0472544301</v>
      </c>
      <c r="W37" s="67">
        <f t="shared" si="5"/>
        <v>41372.5</v>
      </c>
      <c r="X37" s="67">
        <f t="shared" si="6"/>
        <v>6619.6</v>
      </c>
      <c r="Y37" s="67">
        <f t="shared" si="7"/>
        <v>47992.1</v>
      </c>
      <c r="Z37" s="67">
        <f t="shared" si="8"/>
        <v>39195</v>
      </c>
      <c r="AA37" s="67">
        <f t="shared" si="9"/>
        <v>6271.2</v>
      </c>
      <c r="AB37" s="67">
        <f t="shared" si="10"/>
        <v>45466.2</v>
      </c>
      <c r="AC37" s="67">
        <f t="shared" si="11"/>
        <v>39195</v>
      </c>
      <c r="AD37" s="67">
        <f t="shared" si="12"/>
        <v>6271.2</v>
      </c>
      <c r="AE37" s="67">
        <f t="shared" si="13"/>
        <v>45466.2</v>
      </c>
      <c r="AF37" s="67">
        <f t="shared" si="14"/>
        <v>39195</v>
      </c>
      <c r="AG37" s="67">
        <f t="shared" si="15"/>
        <v>6271.2</v>
      </c>
      <c r="AH37" s="67">
        <f t="shared" si="16"/>
        <v>45466.2</v>
      </c>
      <c r="AI37" s="67">
        <f t="shared" si="17"/>
        <v>39195</v>
      </c>
      <c r="AJ37" s="68">
        <f t="shared" si="20"/>
        <v>6271.2</v>
      </c>
      <c r="AK37" s="68">
        <f t="shared" si="21"/>
        <v>45466.2</v>
      </c>
      <c r="AL37" s="70">
        <f>IFERROR(__xludf.DUMMYFUNCTION("""COMPUTED_VALUE"""),1.0)</f>
        <v>1</v>
      </c>
      <c r="AM37" s="70"/>
      <c r="AN37" s="71" t="str">
        <f>IFERROR(__xludf.DUMMYFUNCTION("""COMPUTED_VALUE""")," P")</f>
        <v>P</v>
      </c>
      <c r="AO37" s="71" t="str">
        <f>IFERROR(__xludf.DUMMYFUNCTION("""COMPUTED_VALUE""")," AS01")</f>
        <v>AS01</v>
      </c>
      <c r="AP37" s="71" t="str">
        <f>IFERROR(__xludf.DUMMYFUNCTION("""COMPUTED_VALUE""")," PZA")</f>
        <v>PZA</v>
      </c>
      <c r="AQ37" s="71" t="str">
        <f>IFERROR(__xludf.DUMMYFUNCTION("""COMPUTED_VALUE""")," REF")</f>
        <v>REF</v>
      </c>
      <c r="AR37" s="71" t="str">
        <f>IFERROR(__xludf.DUMMYFUNCTION("""COMPUTED_VALUE""")," ASPA DE 4 ALETAS PARA VENTILADOR")</f>
        <v>ASPA DE 4 ALETAS PARA VENTILADOR</v>
      </c>
      <c r="AS37" s="71" t="str">
        <f>IFERROR(__xludf.DUMMYFUNCTION("""COMPUTED_VALUE""")," ASPA DE 4 ALETAS PARA VENTILADOR")</f>
        <v>ASPA DE 4 ALETAS PARA VENTILADOR</v>
      </c>
      <c r="AT37" s="71">
        <f>IFERROR(__xludf.DUMMYFUNCTION("""COMPUTED_VALUE"""),32.0)</f>
        <v>32</v>
      </c>
      <c r="AU37" s="71"/>
      <c r="AV37" s="71"/>
      <c r="AW37" s="71"/>
      <c r="AX37" s="71"/>
      <c r="AY37" s="71">
        <f>IFERROR(__xludf.DUMMYFUNCTION("""COMPUTED_VALUE"""),100.0)</f>
        <v>100</v>
      </c>
      <c r="AZ37" s="71">
        <f>IFERROR(__xludf.DUMMYFUNCTION("""COMPUTED_VALUE"""),108.0)</f>
        <v>108</v>
      </c>
      <c r="BA37" s="71">
        <f>IFERROR(__xludf.DUMMYFUNCTION("""COMPUTED_VALUE"""),116.64000000000001)</f>
        <v>116.64</v>
      </c>
      <c r="BB37" s="71">
        <f>IFERROR(__xludf.DUMMYFUNCTION("""COMPUTED_VALUE"""),116.64000000000001)</f>
        <v>116.64</v>
      </c>
      <c r="BC37" s="71">
        <f>IFERROR(__xludf.DUMMYFUNCTION("""COMPUTED_VALUE"""),131.0)</f>
        <v>131</v>
      </c>
      <c r="BD37" s="71">
        <f>IFERROR(__xludf.DUMMYFUNCTION("""COMPUTED_VALUE"""),138.0)</f>
        <v>138</v>
      </c>
      <c r="BE37" s="71">
        <f>IFERROR(__xludf.DUMMYFUNCTION("""COMPUTED_VALUE"""),22.080000000000002)</f>
        <v>22.08</v>
      </c>
      <c r="BF37" s="71">
        <f>IFERROR(__xludf.DUMMYFUNCTION("""COMPUTED_VALUE"""),160.08)</f>
        <v>160.08</v>
      </c>
      <c r="BG37" s="71">
        <f>IFERROR(__xludf.DUMMYFUNCTION("""COMPUTED_VALUE"""),0.05343511450381679)</f>
        <v>0.0534351145</v>
      </c>
      <c r="BH37" s="71">
        <f>IFERROR(__xludf.DUMMYFUNCTION("""COMPUTED_VALUE"""),131.1)</f>
        <v>131.1</v>
      </c>
      <c r="BI37" s="71">
        <f>IFERROR(__xludf.DUMMYFUNCTION("""COMPUTED_VALUE"""),20.976)</f>
        <v>20.976</v>
      </c>
      <c r="BJ37" s="71">
        <f>IFERROR(__xludf.DUMMYFUNCTION("""COMPUTED_VALUE"""),152.076)</f>
        <v>152.076</v>
      </c>
      <c r="BK37" s="71">
        <f>IFERROR(__xludf.DUMMYFUNCTION("""COMPUTED_VALUE"""),124.2)</f>
        <v>124.2</v>
      </c>
      <c r="BL37" s="71">
        <f>IFERROR(__xludf.DUMMYFUNCTION("""COMPUTED_VALUE"""),19.872)</f>
        <v>19.872</v>
      </c>
      <c r="BM37" s="71">
        <f>IFERROR(__xludf.DUMMYFUNCTION("""COMPUTED_VALUE"""),144.072)</f>
        <v>144.072</v>
      </c>
      <c r="BN37" s="71">
        <f>IFERROR(__xludf.DUMMYFUNCTION("""COMPUTED_VALUE"""),117.3)</f>
        <v>117.3</v>
      </c>
      <c r="BO37" s="71">
        <f>IFERROR(__xludf.DUMMYFUNCTION("""COMPUTED_VALUE"""),18.768)</f>
        <v>18.768</v>
      </c>
      <c r="BP37" s="71">
        <f>IFERROR(__xludf.DUMMYFUNCTION("""COMPUTED_VALUE"""),136.06799999999998)</f>
        <v>136.068</v>
      </c>
      <c r="BQ37" s="71">
        <f>IFERROR(__xludf.DUMMYFUNCTION("""COMPUTED_VALUE"""),114.53999999999999)</f>
        <v>114.54</v>
      </c>
      <c r="BR37" s="71">
        <f>IFERROR(__xludf.DUMMYFUNCTION("""COMPUTED_VALUE"""),18.3264)</f>
        <v>18.3264</v>
      </c>
      <c r="BS37" s="71">
        <f>IFERROR(__xludf.DUMMYFUNCTION("""COMPUTED_VALUE"""),132.8664)</f>
        <v>132.8664</v>
      </c>
      <c r="BT37" s="71">
        <f>IFERROR(__xludf.DUMMYFUNCTION("""COMPUTED_VALUE"""),110.4)</f>
        <v>110.4</v>
      </c>
      <c r="BU37" s="71">
        <f>IFERROR(__xludf.DUMMYFUNCTION("""COMPUTED_VALUE"""),17.664)</f>
        <v>17.664</v>
      </c>
      <c r="BV37" s="71">
        <f>IFERROR(__xludf.DUMMYFUNCTION("""COMPUTED_VALUE"""),128.06400000000002)</f>
        <v>128.064</v>
      </c>
    </row>
    <row r="38">
      <c r="A38" s="53"/>
      <c r="B38" s="53">
        <v>3.0</v>
      </c>
      <c r="C38" s="53" t="s">
        <v>36</v>
      </c>
      <c r="D38" s="74" t="s">
        <v>129</v>
      </c>
      <c r="E38" s="54" t="s">
        <v>38</v>
      </c>
      <c r="F38" s="55" t="s">
        <v>96</v>
      </c>
      <c r="G38" s="84" t="s">
        <v>130</v>
      </c>
      <c r="H38" s="84" t="s">
        <v>131</v>
      </c>
      <c r="I38" s="54">
        <f t="shared" si="1"/>
        <v>38</v>
      </c>
      <c r="J38" s="102"/>
      <c r="K38" s="102"/>
      <c r="L38" s="76"/>
      <c r="M38" s="59"/>
      <c r="N38" s="60"/>
      <c r="O38" s="100">
        <v>23718.0</v>
      </c>
      <c r="P38" s="62">
        <v>25615.440000000002</v>
      </c>
      <c r="Q38" s="63">
        <v>25615.440000000002</v>
      </c>
      <c r="R38" s="64">
        <v>28241.0</v>
      </c>
      <c r="S38" s="65">
        <v>29653.0</v>
      </c>
      <c r="T38" s="65">
        <f t="shared" si="2"/>
        <v>4744.48</v>
      </c>
      <c r="U38" s="65">
        <f t="shared" si="3"/>
        <v>34397.48</v>
      </c>
      <c r="V38" s="66">
        <f t="shared" si="4"/>
        <v>0.04999822952</v>
      </c>
      <c r="W38" s="67">
        <f t="shared" si="5"/>
        <v>28170.35</v>
      </c>
      <c r="X38" s="67">
        <f t="shared" si="6"/>
        <v>4507.256</v>
      </c>
      <c r="Y38" s="67">
        <f t="shared" si="7"/>
        <v>32677.606</v>
      </c>
      <c r="Z38" s="67">
        <f t="shared" si="8"/>
        <v>26687.7</v>
      </c>
      <c r="AA38" s="67">
        <f t="shared" si="9"/>
        <v>4270.032</v>
      </c>
      <c r="AB38" s="67">
        <f t="shared" si="10"/>
        <v>30957.732</v>
      </c>
      <c r="AC38" s="67">
        <f t="shared" si="11"/>
        <v>26687.7</v>
      </c>
      <c r="AD38" s="67">
        <f t="shared" si="12"/>
        <v>4270.032</v>
      </c>
      <c r="AE38" s="67">
        <f t="shared" si="13"/>
        <v>30957.732</v>
      </c>
      <c r="AF38" s="67">
        <f t="shared" si="14"/>
        <v>26687.7</v>
      </c>
      <c r="AG38" s="67">
        <f t="shared" si="15"/>
        <v>4270.032</v>
      </c>
      <c r="AH38" s="67">
        <f t="shared" si="16"/>
        <v>30957.732</v>
      </c>
      <c r="AI38" s="67">
        <f t="shared" si="17"/>
        <v>26687.7</v>
      </c>
      <c r="AJ38" s="68">
        <f t="shared" si="20"/>
        <v>4270.032</v>
      </c>
      <c r="AK38" s="68">
        <f t="shared" si="21"/>
        <v>30957.732</v>
      </c>
      <c r="AL38" s="70">
        <f>IFERROR(__xludf.DUMMYFUNCTION("""COMPUTED_VALUE"""),1.0)</f>
        <v>1</v>
      </c>
      <c r="AM38" s="70"/>
      <c r="AN38" s="71" t="str">
        <f>IFERROR(__xludf.DUMMYFUNCTION("""COMPUTED_VALUE""")," P")</f>
        <v>P</v>
      </c>
      <c r="AO38" s="71" t="str">
        <f>IFERROR(__xludf.DUMMYFUNCTION("""COMPUTED_VALUE""")," AS02")</f>
        <v>AS02</v>
      </c>
      <c r="AP38" s="71" t="str">
        <f>IFERROR(__xludf.DUMMYFUNCTION("""COMPUTED_VALUE""")," PZA")</f>
        <v>PZA</v>
      </c>
      <c r="AQ38" s="71" t="str">
        <f>IFERROR(__xludf.DUMMYFUNCTION("""COMPUTED_VALUE""")," REF")</f>
        <v>REF</v>
      </c>
      <c r="AR38" s="71" t="str">
        <f>IFERROR(__xludf.DUMMYFUNCTION("""COMPUTED_VALUE""")," ASPA DE 8 ALETAS PARA VENTILADOR")</f>
        <v>ASPA DE 8 ALETAS PARA VENTILADOR</v>
      </c>
      <c r="AS38" s="71" t="str">
        <f>IFERROR(__xludf.DUMMYFUNCTION("""COMPUTED_VALUE""")," ASPA DE 8 ALETAS PARA VENTILADOR")</f>
        <v>ASPA DE 8 ALETAS PARA VENTILADOR</v>
      </c>
      <c r="AT38" s="71">
        <f>IFERROR(__xludf.DUMMYFUNCTION("""COMPUTED_VALUE"""),32.0)</f>
        <v>32</v>
      </c>
      <c r="AU38" s="71"/>
      <c r="AV38" s="71"/>
      <c r="AW38" s="71"/>
      <c r="AX38" s="71"/>
      <c r="AY38" s="71">
        <f>IFERROR(__xludf.DUMMYFUNCTION("""COMPUTED_VALUE"""),151.0)</f>
        <v>151</v>
      </c>
      <c r="AZ38" s="71">
        <f>IFERROR(__xludf.DUMMYFUNCTION("""COMPUTED_VALUE"""),163.0)</f>
        <v>163</v>
      </c>
      <c r="BA38" s="71">
        <f>IFERROR(__xludf.DUMMYFUNCTION("""COMPUTED_VALUE"""),176.04000000000002)</f>
        <v>176.04</v>
      </c>
      <c r="BB38" s="71">
        <f>IFERROR(__xludf.DUMMYFUNCTION("""COMPUTED_VALUE"""),176.04000000000002)</f>
        <v>176.04</v>
      </c>
      <c r="BC38" s="71">
        <f>IFERROR(__xludf.DUMMYFUNCTION("""COMPUTED_VALUE"""),197.0)</f>
        <v>197</v>
      </c>
      <c r="BD38" s="71">
        <f>IFERROR(__xludf.DUMMYFUNCTION("""COMPUTED_VALUE"""),207.0)</f>
        <v>207</v>
      </c>
      <c r="BE38" s="71">
        <f>IFERROR(__xludf.DUMMYFUNCTION("""COMPUTED_VALUE"""),33.12)</f>
        <v>33.12</v>
      </c>
      <c r="BF38" s="71">
        <f>IFERROR(__xludf.DUMMYFUNCTION("""COMPUTED_VALUE"""),240.12)</f>
        <v>240.12</v>
      </c>
      <c r="BG38" s="71">
        <f>IFERROR(__xludf.DUMMYFUNCTION("""COMPUTED_VALUE"""),0.050761421319796954)</f>
        <v>0.05076142132</v>
      </c>
      <c r="BH38" s="71">
        <f>IFERROR(__xludf.DUMMYFUNCTION("""COMPUTED_VALUE"""),196.64999999999998)</f>
        <v>196.65</v>
      </c>
      <c r="BI38" s="71">
        <f>IFERROR(__xludf.DUMMYFUNCTION("""COMPUTED_VALUE"""),31.464)</f>
        <v>31.464</v>
      </c>
      <c r="BJ38" s="71">
        <f>IFERROR(__xludf.DUMMYFUNCTION("""COMPUTED_VALUE"""),228.11399999999998)</f>
        <v>228.114</v>
      </c>
      <c r="BK38" s="71">
        <f>IFERROR(__xludf.DUMMYFUNCTION("""COMPUTED_VALUE"""),186.3)</f>
        <v>186.3</v>
      </c>
      <c r="BL38" s="71">
        <f>IFERROR(__xludf.DUMMYFUNCTION("""COMPUTED_VALUE"""),29.808000000000003)</f>
        <v>29.808</v>
      </c>
      <c r="BM38" s="71">
        <f>IFERROR(__xludf.DUMMYFUNCTION("""COMPUTED_VALUE"""),216.108)</f>
        <v>216.108</v>
      </c>
      <c r="BN38" s="71">
        <f>IFERROR(__xludf.DUMMYFUNCTION("""COMPUTED_VALUE"""),175.95)</f>
        <v>175.95</v>
      </c>
      <c r="BO38" s="71">
        <f>IFERROR(__xludf.DUMMYFUNCTION("""COMPUTED_VALUE"""),28.151999999999997)</f>
        <v>28.152</v>
      </c>
      <c r="BP38" s="71">
        <f>IFERROR(__xludf.DUMMYFUNCTION("""COMPUTED_VALUE"""),204.10199999999998)</f>
        <v>204.102</v>
      </c>
      <c r="BQ38" s="71">
        <f>IFERROR(__xludf.DUMMYFUNCTION("""COMPUTED_VALUE"""),171.81)</f>
        <v>171.81</v>
      </c>
      <c r="BR38" s="71">
        <f>IFERROR(__xludf.DUMMYFUNCTION("""COMPUTED_VALUE"""),27.4896)</f>
        <v>27.4896</v>
      </c>
      <c r="BS38" s="71">
        <f>IFERROR(__xludf.DUMMYFUNCTION("""COMPUTED_VALUE"""),199.2996)</f>
        <v>199.2996</v>
      </c>
      <c r="BT38" s="71">
        <f>IFERROR(__xludf.DUMMYFUNCTION("""COMPUTED_VALUE"""),165.60000000000002)</f>
        <v>165.6</v>
      </c>
      <c r="BU38" s="71">
        <f>IFERROR(__xludf.DUMMYFUNCTION("""COMPUTED_VALUE"""),26.496000000000006)</f>
        <v>26.496</v>
      </c>
      <c r="BV38" s="71">
        <f>IFERROR(__xludf.DUMMYFUNCTION("""COMPUTED_VALUE"""),192.09600000000003)</f>
        <v>192.096</v>
      </c>
    </row>
    <row r="39">
      <c r="A39" s="53"/>
      <c r="B39" s="53">
        <v>3.0</v>
      </c>
      <c r="C39" s="53" t="s">
        <v>36</v>
      </c>
      <c r="D39" s="74" t="s">
        <v>132</v>
      </c>
      <c r="E39" s="54" t="s">
        <v>38</v>
      </c>
      <c r="F39" s="55" t="s">
        <v>96</v>
      </c>
      <c r="G39" s="81" t="s">
        <v>133</v>
      </c>
      <c r="H39" s="81"/>
      <c r="I39" s="54">
        <f t="shared" si="1"/>
        <v>0</v>
      </c>
      <c r="J39" s="99"/>
      <c r="K39" s="99"/>
      <c r="L39" s="76"/>
      <c r="M39" s="59"/>
      <c r="N39" s="60"/>
      <c r="O39" s="100">
        <v>18823.0</v>
      </c>
      <c r="P39" s="62">
        <v>20328.84</v>
      </c>
      <c r="Q39" s="63">
        <v>20328.84</v>
      </c>
      <c r="R39" s="64">
        <v>22413.0</v>
      </c>
      <c r="S39" s="65">
        <v>19320.0</v>
      </c>
      <c r="T39" s="65">
        <f t="shared" si="2"/>
        <v>3091.2</v>
      </c>
      <c r="U39" s="65">
        <f t="shared" si="3"/>
        <v>22411.2</v>
      </c>
      <c r="V39" s="66">
        <f t="shared" si="4"/>
        <v>-0.1380002677</v>
      </c>
      <c r="W39" s="67">
        <f t="shared" si="5"/>
        <v>18354</v>
      </c>
      <c r="X39" s="67">
        <f t="shared" si="6"/>
        <v>2936.64</v>
      </c>
      <c r="Y39" s="67">
        <f t="shared" si="7"/>
        <v>21290.64</v>
      </c>
      <c r="Z39" s="67">
        <f t="shared" si="8"/>
        <v>17388</v>
      </c>
      <c r="AA39" s="67">
        <f t="shared" si="9"/>
        <v>2782.08</v>
      </c>
      <c r="AB39" s="67">
        <f t="shared" si="10"/>
        <v>20170.08</v>
      </c>
      <c r="AC39" s="67">
        <f t="shared" si="11"/>
        <v>17388</v>
      </c>
      <c r="AD39" s="67">
        <f t="shared" si="12"/>
        <v>2782.08</v>
      </c>
      <c r="AE39" s="67">
        <f t="shared" si="13"/>
        <v>20170.08</v>
      </c>
      <c r="AF39" s="67">
        <f t="shared" si="14"/>
        <v>17388</v>
      </c>
      <c r="AG39" s="67">
        <f t="shared" si="15"/>
        <v>2782.08</v>
      </c>
      <c r="AH39" s="67">
        <f t="shared" si="16"/>
        <v>20170.08</v>
      </c>
      <c r="AI39" s="67">
        <f t="shared" si="17"/>
        <v>17388</v>
      </c>
      <c r="AJ39" s="68">
        <f t="shared" si="20"/>
        <v>2782.08</v>
      </c>
      <c r="AK39" s="68">
        <f t="shared" si="21"/>
        <v>20170.08</v>
      </c>
      <c r="AL39" s="70">
        <f>IFERROR(__xludf.DUMMYFUNCTION("""COMPUTED_VALUE"""),1.0)</f>
        <v>1</v>
      </c>
      <c r="AM39" s="70"/>
      <c r="AN39" s="71" t="str">
        <f>IFERROR(__xludf.DUMMYFUNCTION("""COMPUTED_VALUE""")," P")</f>
        <v>P</v>
      </c>
      <c r="AO39" s="71" t="str">
        <f>IFERROR(__xludf.DUMMYFUNCTION("""COMPUTED_VALUE""")," AS03")</f>
        <v>AS03</v>
      </c>
      <c r="AP39" s="71" t="str">
        <f>IFERROR(__xludf.DUMMYFUNCTION("""COMPUTED_VALUE""")," PZA")</f>
        <v>PZA</v>
      </c>
      <c r="AQ39" s="71" t="str">
        <f>IFERROR(__xludf.DUMMYFUNCTION("""COMPUTED_VALUE""")," REF")</f>
        <v>REF</v>
      </c>
      <c r="AR39" s="71" t="str">
        <f>IFERROR(__xludf.DUMMYFUNCTION("""COMPUTED_VALUE""")," ASPA DE ALUMINIO DÚPLEX")</f>
        <v>ASPA DE ALUMINIO DÚPLEX</v>
      </c>
      <c r="AS39" s="71" t="str">
        <f>IFERROR(__xludf.DUMMYFUNCTION("""COMPUTED_VALUE""")," ASPA DE ALUMINIO DUPLEX")</f>
        <v>ASPA DE ALUMINIO DUPLEX</v>
      </c>
      <c r="AT39" s="71">
        <f>IFERROR(__xludf.DUMMYFUNCTION("""COMPUTED_VALUE"""),23.0)</f>
        <v>23</v>
      </c>
      <c r="AU39" s="71"/>
      <c r="AV39" s="71"/>
      <c r="AW39" s="71"/>
      <c r="AX39" s="71"/>
      <c r="AY39" s="71">
        <f>IFERROR(__xludf.DUMMYFUNCTION("""COMPUTED_VALUE"""),772.0)</f>
        <v>772</v>
      </c>
      <c r="AZ39" s="71">
        <f>IFERROR(__xludf.DUMMYFUNCTION("""COMPUTED_VALUE"""),833.0)</f>
        <v>833</v>
      </c>
      <c r="BA39" s="71">
        <f>IFERROR(__xludf.DUMMYFUNCTION("""COMPUTED_VALUE"""),899.6400000000001)</f>
        <v>899.64</v>
      </c>
      <c r="BB39" s="71">
        <f>IFERROR(__xludf.DUMMYFUNCTION("""COMPUTED_VALUE"""),899.6400000000001)</f>
        <v>899.64</v>
      </c>
      <c r="BC39" s="71">
        <f>IFERROR(__xludf.DUMMYFUNCTION("""COMPUTED_VALUE"""),1002.0)</f>
        <v>1002</v>
      </c>
      <c r="BD39" s="71">
        <f>IFERROR(__xludf.DUMMYFUNCTION("""COMPUTED_VALUE"""),1052.0)</f>
        <v>1052</v>
      </c>
      <c r="BE39" s="71">
        <f>IFERROR(__xludf.DUMMYFUNCTION("""COMPUTED_VALUE"""),168.32)</f>
        <v>168.32</v>
      </c>
      <c r="BF39" s="71">
        <f>IFERROR(__xludf.DUMMYFUNCTION("""COMPUTED_VALUE"""),1220.32)</f>
        <v>1220.32</v>
      </c>
      <c r="BG39" s="71">
        <f>IFERROR(__xludf.DUMMYFUNCTION("""COMPUTED_VALUE"""),0.0499001996007984)</f>
        <v>0.0499001996</v>
      </c>
      <c r="BH39" s="71">
        <f>IFERROR(__xludf.DUMMYFUNCTION("""COMPUTED_VALUE"""),999.4)</f>
        <v>999.4</v>
      </c>
      <c r="BI39" s="71">
        <f>IFERROR(__xludf.DUMMYFUNCTION("""COMPUTED_VALUE"""),159.904)</f>
        <v>159.904</v>
      </c>
      <c r="BJ39" s="71">
        <f>IFERROR(__xludf.DUMMYFUNCTION("""COMPUTED_VALUE"""),1159.304)</f>
        <v>1159.304</v>
      </c>
      <c r="BK39" s="71">
        <f>IFERROR(__xludf.DUMMYFUNCTION("""COMPUTED_VALUE"""),946.8000000000001)</f>
        <v>946.8</v>
      </c>
      <c r="BL39" s="71">
        <f>IFERROR(__xludf.DUMMYFUNCTION("""COMPUTED_VALUE"""),151.48800000000003)</f>
        <v>151.488</v>
      </c>
      <c r="BM39" s="71">
        <f>IFERROR(__xludf.DUMMYFUNCTION("""COMPUTED_VALUE"""),1098.288)</f>
        <v>1098.288</v>
      </c>
      <c r="BN39" s="71">
        <f>IFERROR(__xludf.DUMMYFUNCTION("""COMPUTED_VALUE"""),894.1999999999999)</f>
        <v>894.2</v>
      </c>
      <c r="BO39" s="71">
        <f>IFERROR(__xludf.DUMMYFUNCTION("""COMPUTED_VALUE"""),143.072)</f>
        <v>143.072</v>
      </c>
      <c r="BP39" s="71">
        <f>IFERROR(__xludf.DUMMYFUNCTION("""COMPUTED_VALUE"""),1037.272)</f>
        <v>1037.272</v>
      </c>
      <c r="BQ39" s="71">
        <f>IFERROR(__xludf.DUMMYFUNCTION("""COMPUTED_VALUE"""),873.16)</f>
        <v>873.16</v>
      </c>
      <c r="BR39" s="71">
        <f>IFERROR(__xludf.DUMMYFUNCTION("""COMPUTED_VALUE"""),139.7056)</f>
        <v>139.7056</v>
      </c>
      <c r="BS39" s="71">
        <f>IFERROR(__xludf.DUMMYFUNCTION("""COMPUTED_VALUE"""),1012.8656)</f>
        <v>1012.8656</v>
      </c>
      <c r="BT39" s="71">
        <f>IFERROR(__xludf.DUMMYFUNCTION("""COMPUTED_VALUE"""),841.6)</f>
        <v>841.6</v>
      </c>
      <c r="BU39" s="71">
        <f>IFERROR(__xludf.DUMMYFUNCTION("""COMPUTED_VALUE"""),134.656)</f>
        <v>134.656</v>
      </c>
      <c r="BV39" s="71">
        <f>IFERROR(__xludf.DUMMYFUNCTION("""COMPUTED_VALUE"""),976.2560000000001)</f>
        <v>976.256</v>
      </c>
    </row>
    <row r="40">
      <c r="A40" s="53"/>
      <c r="B40" s="53">
        <v>3.0</v>
      </c>
      <c r="C40" s="53" t="s">
        <v>36</v>
      </c>
      <c r="D40" s="74" t="s">
        <v>134</v>
      </c>
      <c r="E40" s="54" t="s">
        <v>38</v>
      </c>
      <c r="F40" s="55" t="s">
        <v>96</v>
      </c>
      <c r="G40" s="84" t="s">
        <v>135</v>
      </c>
      <c r="H40" s="84" t="s">
        <v>136</v>
      </c>
      <c r="I40" s="54">
        <f t="shared" si="1"/>
        <v>40</v>
      </c>
      <c r="J40" s="102"/>
      <c r="K40" s="102"/>
      <c r="L40" s="76"/>
      <c r="M40" s="59"/>
      <c r="N40" s="60"/>
      <c r="O40" s="100">
        <v>21517.0</v>
      </c>
      <c r="P40" s="62">
        <v>23238.36</v>
      </c>
      <c r="Q40" s="63">
        <v>23238.36</v>
      </c>
      <c r="R40" s="64">
        <v>25620.0</v>
      </c>
      <c r="S40" s="65">
        <v>22120.0</v>
      </c>
      <c r="T40" s="65">
        <f t="shared" si="2"/>
        <v>3539.2</v>
      </c>
      <c r="U40" s="65">
        <f t="shared" si="3"/>
        <v>25659.2</v>
      </c>
      <c r="V40" s="66">
        <f t="shared" si="4"/>
        <v>-0.1366120219</v>
      </c>
      <c r="W40" s="67">
        <f t="shared" si="5"/>
        <v>21014</v>
      </c>
      <c r="X40" s="67">
        <f t="shared" si="6"/>
        <v>3362.24</v>
      </c>
      <c r="Y40" s="67">
        <f t="shared" si="7"/>
        <v>24376.24</v>
      </c>
      <c r="Z40" s="67">
        <f t="shared" si="8"/>
        <v>19908</v>
      </c>
      <c r="AA40" s="67">
        <f t="shared" si="9"/>
        <v>3185.28</v>
      </c>
      <c r="AB40" s="67">
        <f t="shared" si="10"/>
        <v>23093.28</v>
      </c>
      <c r="AC40" s="67">
        <f t="shared" si="11"/>
        <v>19908</v>
      </c>
      <c r="AD40" s="67">
        <f t="shared" si="12"/>
        <v>3185.28</v>
      </c>
      <c r="AE40" s="67">
        <f t="shared" si="13"/>
        <v>23093.28</v>
      </c>
      <c r="AF40" s="67">
        <f t="shared" si="14"/>
        <v>19908</v>
      </c>
      <c r="AG40" s="67">
        <f t="shared" si="15"/>
        <v>3185.28</v>
      </c>
      <c r="AH40" s="67">
        <f t="shared" si="16"/>
        <v>23093.28</v>
      </c>
      <c r="AI40" s="67">
        <f t="shared" si="17"/>
        <v>19908</v>
      </c>
      <c r="AJ40" s="68">
        <f t="shared" si="20"/>
        <v>3185.28</v>
      </c>
      <c r="AK40" s="68">
        <f t="shared" si="21"/>
        <v>23093.28</v>
      </c>
      <c r="AL40" s="70">
        <f>IFERROR(__xludf.DUMMYFUNCTION("""COMPUTED_VALUE"""),1.0)</f>
        <v>1</v>
      </c>
      <c r="AM40" s="70"/>
      <c r="AN40" s="71" t="str">
        <f>IFERROR(__xludf.DUMMYFUNCTION("""COMPUTED_VALUE""")," P")</f>
        <v>P</v>
      </c>
      <c r="AO40" s="71" t="str">
        <f>IFERROR(__xludf.DUMMYFUNCTION("""COMPUTED_VALUE""")," AS04")</f>
        <v>AS04</v>
      </c>
      <c r="AP40" s="71" t="str">
        <f>IFERROR(__xludf.DUMMYFUNCTION("""COMPUTED_VALUE""")," PZA")</f>
        <v>PZA</v>
      </c>
      <c r="AQ40" s="71" t="str">
        <f>IFERROR(__xludf.DUMMYFUNCTION("""COMPUTED_VALUE""")," REF")</f>
        <v>REF</v>
      </c>
      <c r="AR40" s="71" t="str">
        <f>IFERROR(__xludf.DUMMYFUNCTION("""COMPUTED_VALUE""")," ASPA DE ALUMINIO PARA ARMAR SINFÍN CHICO")</f>
        <v>ASPA DE ALUMINIO PARA ARMAR SINFÍN CHICO</v>
      </c>
      <c r="AS40" s="71" t="str">
        <f>IFERROR(__xludf.DUMMYFUNCTION("""COMPUTED_VALUE""")," ASPA DE ALUMINIO PARA ARMAR SINFIN CHICO")</f>
        <v>ASPA DE ALUMINIO PARA ARMAR SINFIN CHICO</v>
      </c>
      <c r="AT40" s="71">
        <f>IFERROR(__xludf.DUMMYFUNCTION("""COMPUTED_VALUE"""),40.0)</f>
        <v>40</v>
      </c>
      <c r="AU40" s="71"/>
      <c r="AV40" s="71"/>
      <c r="AW40" s="71"/>
      <c r="AX40" s="71"/>
      <c r="AY40" s="71">
        <f>IFERROR(__xludf.DUMMYFUNCTION("""COMPUTED_VALUE"""),821.0)</f>
        <v>821</v>
      </c>
      <c r="AZ40" s="71">
        <f>IFERROR(__xludf.DUMMYFUNCTION("""COMPUTED_VALUE"""),886.0)</f>
        <v>886</v>
      </c>
      <c r="BA40" s="71">
        <f>IFERROR(__xludf.DUMMYFUNCTION("""COMPUTED_VALUE"""),956.8800000000001)</f>
        <v>956.88</v>
      </c>
      <c r="BB40" s="71">
        <f>IFERROR(__xludf.DUMMYFUNCTION("""COMPUTED_VALUE"""),956.8800000000001)</f>
        <v>956.88</v>
      </c>
      <c r="BC40" s="71">
        <f>IFERROR(__xludf.DUMMYFUNCTION("""COMPUTED_VALUE"""),1066.0)</f>
        <v>1066</v>
      </c>
      <c r="BD40" s="71">
        <f>IFERROR(__xludf.DUMMYFUNCTION("""COMPUTED_VALUE"""),1119.0)</f>
        <v>1119</v>
      </c>
      <c r="BE40" s="71">
        <f>IFERROR(__xludf.DUMMYFUNCTION("""COMPUTED_VALUE"""),179.04)</f>
        <v>179.04</v>
      </c>
      <c r="BF40" s="71">
        <f>IFERROR(__xludf.DUMMYFUNCTION("""COMPUTED_VALUE"""),1298.04)</f>
        <v>1298.04</v>
      </c>
      <c r="BG40" s="71">
        <f>IFERROR(__xludf.DUMMYFUNCTION("""COMPUTED_VALUE"""),0.04971857410881801)</f>
        <v>0.04971857411</v>
      </c>
      <c r="BH40" s="71">
        <f>IFERROR(__xludf.DUMMYFUNCTION("""COMPUTED_VALUE"""),1063.05)</f>
        <v>1063.05</v>
      </c>
      <c r="BI40" s="71">
        <f>IFERROR(__xludf.DUMMYFUNCTION("""COMPUTED_VALUE"""),170.088)</f>
        <v>170.088</v>
      </c>
      <c r="BJ40" s="71">
        <f>IFERROR(__xludf.DUMMYFUNCTION("""COMPUTED_VALUE"""),1233.138)</f>
        <v>1233.138</v>
      </c>
      <c r="BK40" s="71">
        <f>IFERROR(__xludf.DUMMYFUNCTION("""COMPUTED_VALUE"""),1007.1)</f>
        <v>1007.1</v>
      </c>
      <c r="BL40" s="71">
        <f>IFERROR(__xludf.DUMMYFUNCTION("""COMPUTED_VALUE"""),161.136)</f>
        <v>161.136</v>
      </c>
      <c r="BM40" s="71">
        <f>IFERROR(__xludf.DUMMYFUNCTION("""COMPUTED_VALUE"""),1168.236)</f>
        <v>1168.236</v>
      </c>
      <c r="BN40" s="71">
        <f>IFERROR(__xludf.DUMMYFUNCTION("""COMPUTED_VALUE"""),951.15)</f>
        <v>951.15</v>
      </c>
      <c r="BO40" s="71">
        <f>IFERROR(__xludf.DUMMYFUNCTION("""COMPUTED_VALUE"""),152.184)</f>
        <v>152.184</v>
      </c>
      <c r="BP40" s="71">
        <f>IFERROR(__xludf.DUMMYFUNCTION("""COMPUTED_VALUE"""),1103.334)</f>
        <v>1103.334</v>
      </c>
      <c r="BQ40" s="71">
        <f>IFERROR(__xludf.DUMMYFUNCTION("""COMPUTED_VALUE"""),928.77)</f>
        <v>928.77</v>
      </c>
      <c r="BR40" s="71">
        <f>IFERROR(__xludf.DUMMYFUNCTION("""COMPUTED_VALUE"""),148.6032)</f>
        <v>148.6032</v>
      </c>
      <c r="BS40" s="71">
        <f>IFERROR(__xludf.DUMMYFUNCTION("""COMPUTED_VALUE"""),1077.3732)</f>
        <v>1077.3732</v>
      </c>
      <c r="BT40" s="71">
        <f>IFERROR(__xludf.DUMMYFUNCTION("""COMPUTED_VALUE"""),895.2)</f>
        <v>895.2</v>
      </c>
      <c r="BU40" s="71">
        <f>IFERROR(__xludf.DUMMYFUNCTION("""COMPUTED_VALUE"""),143.232)</f>
        <v>143.232</v>
      </c>
      <c r="BV40" s="71">
        <f>IFERROR(__xludf.DUMMYFUNCTION("""COMPUTED_VALUE"""),1038.432)</f>
        <v>1038.432</v>
      </c>
    </row>
    <row r="41">
      <c r="A41" s="53"/>
      <c r="B41" s="53">
        <v>3.0</v>
      </c>
      <c r="C41" s="53" t="s">
        <v>36</v>
      </c>
      <c r="D41" s="98" t="s">
        <v>137</v>
      </c>
      <c r="E41" s="54" t="s">
        <v>38</v>
      </c>
      <c r="F41" s="55" t="s">
        <v>61</v>
      </c>
      <c r="G41" s="101" t="s">
        <v>138</v>
      </c>
      <c r="H41" s="55"/>
      <c r="I41" s="54">
        <f t="shared" si="1"/>
        <v>0</v>
      </c>
      <c r="J41" s="56"/>
      <c r="K41" s="57"/>
      <c r="L41" s="76"/>
      <c r="M41" s="59"/>
      <c r="N41" s="60"/>
      <c r="O41" s="61">
        <v>12775.0</v>
      </c>
      <c r="P41" s="62">
        <v>13797.0</v>
      </c>
      <c r="Q41" s="63">
        <v>13797.0</v>
      </c>
      <c r="R41" s="64">
        <v>15212.0</v>
      </c>
      <c r="S41" s="65">
        <v>15973.0</v>
      </c>
      <c r="T41" s="65">
        <f t="shared" si="2"/>
        <v>2555.68</v>
      </c>
      <c r="U41" s="65">
        <f t="shared" si="3"/>
        <v>18528.68</v>
      </c>
      <c r="V41" s="66">
        <f t="shared" si="4"/>
        <v>0.05002629503</v>
      </c>
      <c r="W41" s="67">
        <f t="shared" si="5"/>
        <v>15174.35</v>
      </c>
      <c r="X41" s="67">
        <f t="shared" si="6"/>
        <v>2427.896</v>
      </c>
      <c r="Y41" s="67">
        <f t="shared" si="7"/>
        <v>17602.246</v>
      </c>
      <c r="Z41" s="67">
        <f t="shared" si="8"/>
        <v>14375.7</v>
      </c>
      <c r="AA41" s="67">
        <f t="shared" si="9"/>
        <v>2300.112</v>
      </c>
      <c r="AB41" s="67">
        <f t="shared" si="10"/>
        <v>16675.812</v>
      </c>
      <c r="AC41" s="67">
        <f t="shared" si="11"/>
        <v>14375.7</v>
      </c>
      <c r="AD41" s="67">
        <f t="shared" si="12"/>
        <v>2300.112</v>
      </c>
      <c r="AE41" s="67">
        <f t="shared" si="13"/>
        <v>16675.812</v>
      </c>
      <c r="AF41" s="67">
        <f t="shared" si="14"/>
        <v>14375.7</v>
      </c>
      <c r="AG41" s="67">
        <f t="shared" si="15"/>
        <v>2300.112</v>
      </c>
      <c r="AH41" s="67">
        <f t="shared" si="16"/>
        <v>16675.812</v>
      </c>
      <c r="AI41" s="67">
        <f t="shared" si="17"/>
        <v>14375.7</v>
      </c>
      <c r="AJ41" s="68">
        <f t="shared" si="20"/>
        <v>2300.112</v>
      </c>
      <c r="AK41" s="68">
        <f t="shared" si="21"/>
        <v>16675.812</v>
      </c>
      <c r="AL41" s="70">
        <f>IFERROR(__xludf.DUMMYFUNCTION("""COMPUTED_VALUE"""),1.0)</f>
        <v>1</v>
      </c>
      <c r="AM41" s="70"/>
      <c r="AN41" s="71" t="str">
        <f>IFERROR(__xludf.DUMMYFUNCTION("""COMPUTED_VALUE""")," P")</f>
        <v>P</v>
      </c>
      <c r="AO41" s="71" t="str">
        <f>IFERROR(__xludf.DUMMYFUNCTION("""COMPUTED_VALUE""")," AS05")</f>
        <v>AS05</v>
      </c>
      <c r="AP41" s="71" t="str">
        <f>IFERROR(__xludf.DUMMYFUNCTION("""COMPUTED_VALUE""")," PZA")</f>
        <v>PZA</v>
      </c>
      <c r="AQ41" s="71" t="str">
        <f>IFERROR(__xludf.DUMMYFUNCTION("""COMPUTED_VALUE""")," REF")</f>
        <v>REF</v>
      </c>
      <c r="AR41" s="71" t="str">
        <f>IFERROR(__xludf.DUMMYFUNCTION("""COMPUTED_VALUE""")," ASPA DE ALUMINIO SENCILLA")</f>
        <v>ASPA DE ALUMINIO SENCILLA</v>
      </c>
      <c r="AS41" s="71" t="str">
        <f>IFERROR(__xludf.DUMMYFUNCTION("""COMPUTED_VALUE""")," ASPA DE ALUMINIO SENCILLA")</f>
        <v>ASPA DE ALUMINIO SENCILLA</v>
      </c>
      <c r="AT41" s="71">
        <f>IFERROR(__xludf.DUMMYFUNCTION("""COMPUTED_VALUE"""),25.0)</f>
        <v>25</v>
      </c>
      <c r="AU41" s="71"/>
      <c r="AV41" s="71"/>
      <c r="AW41" s="71"/>
      <c r="AX41" s="71"/>
      <c r="AY41" s="71">
        <f>IFERROR(__xludf.DUMMYFUNCTION("""COMPUTED_VALUE"""),590.0)</f>
        <v>590</v>
      </c>
      <c r="AZ41" s="71">
        <f>IFERROR(__xludf.DUMMYFUNCTION("""COMPUTED_VALUE"""),637.0)</f>
        <v>637</v>
      </c>
      <c r="BA41" s="71">
        <f>IFERROR(__xludf.DUMMYFUNCTION("""COMPUTED_VALUE"""),687.96)</f>
        <v>687.96</v>
      </c>
      <c r="BB41" s="71">
        <f>IFERROR(__xludf.DUMMYFUNCTION("""COMPUTED_VALUE"""),687.96)</f>
        <v>687.96</v>
      </c>
      <c r="BC41" s="71">
        <f>IFERROR(__xludf.DUMMYFUNCTION("""COMPUTED_VALUE"""),767.0)</f>
        <v>767</v>
      </c>
      <c r="BD41" s="71">
        <f>IFERROR(__xludf.DUMMYFUNCTION("""COMPUTED_VALUE"""),805.0)</f>
        <v>805</v>
      </c>
      <c r="BE41" s="71">
        <f>IFERROR(__xludf.DUMMYFUNCTION("""COMPUTED_VALUE"""),128.8)</f>
        <v>128.8</v>
      </c>
      <c r="BF41" s="71">
        <f>IFERROR(__xludf.DUMMYFUNCTION("""COMPUTED_VALUE"""),933.8)</f>
        <v>933.8</v>
      </c>
      <c r="BG41" s="71">
        <f>IFERROR(__xludf.DUMMYFUNCTION("""COMPUTED_VALUE"""),0.04954367666232073)</f>
        <v>0.04954367666</v>
      </c>
      <c r="BH41" s="71">
        <f>IFERROR(__xludf.DUMMYFUNCTION("""COMPUTED_VALUE"""),764.75)</f>
        <v>764.75</v>
      </c>
      <c r="BI41" s="71">
        <f>IFERROR(__xludf.DUMMYFUNCTION("""COMPUTED_VALUE"""),122.36)</f>
        <v>122.36</v>
      </c>
      <c r="BJ41" s="71">
        <f>IFERROR(__xludf.DUMMYFUNCTION("""COMPUTED_VALUE"""),887.11)</f>
        <v>887.11</v>
      </c>
      <c r="BK41" s="71">
        <f>IFERROR(__xludf.DUMMYFUNCTION("""COMPUTED_VALUE"""),724.5)</f>
        <v>724.5</v>
      </c>
      <c r="BL41" s="71">
        <f>IFERROR(__xludf.DUMMYFUNCTION("""COMPUTED_VALUE"""),115.92)</f>
        <v>115.92</v>
      </c>
      <c r="BM41" s="71">
        <f>IFERROR(__xludf.DUMMYFUNCTION("""COMPUTED_VALUE"""),840.42)</f>
        <v>840.42</v>
      </c>
      <c r="BN41" s="71">
        <f>IFERROR(__xludf.DUMMYFUNCTION("""COMPUTED_VALUE"""),684.25)</f>
        <v>684.25</v>
      </c>
      <c r="BO41" s="71">
        <f>IFERROR(__xludf.DUMMYFUNCTION("""COMPUTED_VALUE"""),109.48)</f>
        <v>109.48</v>
      </c>
      <c r="BP41" s="71">
        <f>IFERROR(__xludf.DUMMYFUNCTION("""COMPUTED_VALUE"""),793.73)</f>
        <v>793.73</v>
      </c>
      <c r="BQ41" s="71">
        <f>IFERROR(__xludf.DUMMYFUNCTION("""COMPUTED_VALUE"""),668.15)</f>
        <v>668.15</v>
      </c>
      <c r="BR41" s="71">
        <f>IFERROR(__xludf.DUMMYFUNCTION("""COMPUTED_VALUE"""),106.904)</f>
        <v>106.904</v>
      </c>
      <c r="BS41" s="71">
        <f>IFERROR(__xludf.DUMMYFUNCTION("""COMPUTED_VALUE"""),775.054)</f>
        <v>775.054</v>
      </c>
      <c r="BT41" s="71">
        <f>IFERROR(__xludf.DUMMYFUNCTION("""COMPUTED_VALUE"""),644.0)</f>
        <v>644</v>
      </c>
      <c r="BU41" s="71">
        <f>IFERROR(__xludf.DUMMYFUNCTION("""COMPUTED_VALUE"""),103.04)</f>
        <v>103.04</v>
      </c>
      <c r="BV41" s="71">
        <f>IFERROR(__xludf.DUMMYFUNCTION("""COMPUTED_VALUE"""),747.04)</f>
        <v>747.04</v>
      </c>
    </row>
    <row r="42">
      <c r="A42" s="53"/>
      <c r="B42" s="53">
        <v>3.0</v>
      </c>
      <c r="C42" s="53" t="s">
        <v>36</v>
      </c>
      <c r="D42" s="74" t="s">
        <v>139</v>
      </c>
      <c r="E42" s="54" t="s">
        <v>38</v>
      </c>
      <c r="F42" s="55" t="s">
        <v>96</v>
      </c>
      <c r="G42" s="84" t="s">
        <v>140</v>
      </c>
      <c r="H42" s="84" t="s">
        <v>141</v>
      </c>
      <c r="I42" s="54">
        <f t="shared" si="1"/>
        <v>38</v>
      </c>
      <c r="J42" s="102"/>
      <c r="K42" s="102"/>
      <c r="L42" s="76"/>
      <c r="M42" s="59"/>
      <c r="N42" s="60"/>
      <c r="O42" s="100">
        <v>30116.0</v>
      </c>
      <c r="P42" s="62">
        <v>32525.280000000002</v>
      </c>
      <c r="Q42" s="63">
        <v>32525.280000000002</v>
      </c>
      <c r="R42" s="64">
        <v>35859.0</v>
      </c>
      <c r="S42" s="65">
        <v>37652.0</v>
      </c>
      <c r="T42" s="65">
        <f t="shared" si="2"/>
        <v>6024.32</v>
      </c>
      <c r="U42" s="65">
        <f t="shared" si="3"/>
        <v>43676.32</v>
      </c>
      <c r="V42" s="66">
        <f t="shared" si="4"/>
        <v>0.05000139435</v>
      </c>
      <c r="W42" s="67">
        <f t="shared" si="5"/>
        <v>35769.4</v>
      </c>
      <c r="X42" s="67">
        <f t="shared" si="6"/>
        <v>5723.104</v>
      </c>
      <c r="Y42" s="67">
        <f t="shared" si="7"/>
        <v>41492.504</v>
      </c>
      <c r="Z42" s="67">
        <f t="shared" si="8"/>
        <v>33886.8</v>
      </c>
      <c r="AA42" s="67">
        <f t="shared" si="9"/>
        <v>5421.888</v>
      </c>
      <c r="AB42" s="67">
        <f t="shared" si="10"/>
        <v>39308.688</v>
      </c>
      <c r="AC42" s="67">
        <f t="shared" si="11"/>
        <v>33886.8</v>
      </c>
      <c r="AD42" s="67">
        <f t="shared" si="12"/>
        <v>5421.888</v>
      </c>
      <c r="AE42" s="67">
        <f t="shared" si="13"/>
        <v>39308.688</v>
      </c>
      <c r="AF42" s="67">
        <f t="shared" si="14"/>
        <v>33886.8</v>
      </c>
      <c r="AG42" s="67">
        <f t="shared" si="15"/>
        <v>5421.888</v>
      </c>
      <c r="AH42" s="67">
        <f t="shared" si="16"/>
        <v>39308.688</v>
      </c>
      <c r="AI42" s="67">
        <f t="shared" si="17"/>
        <v>33886.8</v>
      </c>
      <c r="AJ42" s="68">
        <f t="shared" si="20"/>
        <v>5421.888</v>
      </c>
      <c r="AK42" s="68">
        <f t="shared" si="21"/>
        <v>39308.688</v>
      </c>
      <c r="AL42" s="70">
        <f>IFERROR(__xludf.DUMMYFUNCTION("""COMPUTED_VALUE"""),1.0)</f>
        <v>1</v>
      </c>
      <c r="AM42" s="70"/>
      <c r="AN42" s="71" t="str">
        <f>IFERROR(__xludf.DUMMYFUNCTION("""COMPUTED_VALUE""")," C")</f>
        <v>C</v>
      </c>
      <c r="AO42" s="71" t="str">
        <f>IFERROR(__xludf.DUMMYFUNCTION("""COMPUTED_VALUE""")," BA62")</f>
        <v>BA62</v>
      </c>
      <c r="AP42" s="71" t="str">
        <f>IFERROR(__xludf.DUMMYFUNCTION("""COMPUTED_VALUE""")," PZA")</f>
        <v>PZA</v>
      </c>
      <c r="AQ42" s="71" t="str">
        <f>IFERROR(__xludf.DUMMYFUNCTION("""COMPUTED_VALUE""")," REF")</f>
        <v>REF</v>
      </c>
      <c r="AR42" s="71" t="str">
        <f>IFERROR(__xludf.DUMMYFUNCTION("""COMPUTED_VALUE""")," BALERO 15520 MULTIMARCA")</f>
        <v>BALERO 15520 MULTIMARCA</v>
      </c>
      <c r="AS42" s="71" t="str">
        <f>IFERROR(__xludf.DUMMYFUNCTION("""COMPUTED_VALUE""")," BALERO 15520 MULTIMARCA")</f>
        <v>BALERO 15520 MULTIMARCA</v>
      </c>
      <c r="AT42" s="71">
        <f>IFERROR(__xludf.DUMMYFUNCTION("""COMPUTED_VALUE"""),23.0)</f>
        <v>23</v>
      </c>
      <c r="AU42" s="71"/>
      <c r="AV42" s="71"/>
      <c r="AW42" s="71"/>
      <c r="AX42" s="71"/>
      <c r="AY42" s="71">
        <f>IFERROR(__xludf.DUMMYFUNCTION("""COMPUTED_VALUE"""),74.0)</f>
        <v>74</v>
      </c>
      <c r="AZ42" s="71">
        <f>IFERROR(__xludf.DUMMYFUNCTION("""COMPUTED_VALUE"""),79.0)</f>
        <v>79</v>
      </c>
      <c r="BA42" s="71">
        <f>IFERROR(__xludf.DUMMYFUNCTION("""COMPUTED_VALUE"""),85.32000000000001)</f>
        <v>85.32</v>
      </c>
      <c r="BB42" s="71">
        <f>IFERROR(__xludf.DUMMYFUNCTION("""COMPUTED_VALUE"""),85.32000000000001)</f>
        <v>85.32</v>
      </c>
      <c r="BC42" s="71">
        <f>IFERROR(__xludf.DUMMYFUNCTION("""COMPUTED_VALUE"""),90.0)</f>
        <v>90</v>
      </c>
      <c r="BD42" s="71">
        <f>IFERROR(__xludf.DUMMYFUNCTION("""COMPUTED_VALUE"""),95.0)</f>
        <v>95</v>
      </c>
      <c r="BE42" s="71">
        <f>IFERROR(__xludf.DUMMYFUNCTION("""COMPUTED_VALUE"""),15.200000000000001)</f>
        <v>15.2</v>
      </c>
      <c r="BF42" s="71">
        <f>IFERROR(__xludf.DUMMYFUNCTION("""COMPUTED_VALUE"""),110.2)</f>
        <v>110.2</v>
      </c>
      <c r="BG42" s="71">
        <f>IFERROR(__xludf.DUMMYFUNCTION("""COMPUTED_VALUE"""),0.05555555555555555)</f>
        <v>0.05555555556</v>
      </c>
      <c r="BH42" s="71">
        <f>IFERROR(__xludf.DUMMYFUNCTION("""COMPUTED_VALUE"""),90.25)</f>
        <v>90.25</v>
      </c>
      <c r="BI42" s="71">
        <f>IFERROR(__xludf.DUMMYFUNCTION("""COMPUTED_VALUE"""),14.44)</f>
        <v>14.44</v>
      </c>
      <c r="BJ42" s="71">
        <f>IFERROR(__xludf.DUMMYFUNCTION("""COMPUTED_VALUE"""),104.69)</f>
        <v>104.69</v>
      </c>
      <c r="BK42" s="71">
        <f>IFERROR(__xludf.DUMMYFUNCTION("""COMPUTED_VALUE"""),85.5)</f>
        <v>85.5</v>
      </c>
      <c r="BL42" s="71">
        <f>IFERROR(__xludf.DUMMYFUNCTION("""COMPUTED_VALUE"""),13.68)</f>
        <v>13.68</v>
      </c>
      <c r="BM42" s="71">
        <f>IFERROR(__xludf.DUMMYFUNCTION("""COMPUTED_VALUE"""),99.18)</f>
        <v>99.18</v>
      </c>
      <c r="BN42" s="71">
        <f>IFERROR(__xludf.DUMMYFUNCTION("""COMPUTED_VALUE"""),80.75)</f>
        <v>80.75</v>
      </c>
      <c r="BO42" s="71">
        <f>IFERROR(__xludf.DUMMYFUNCTION("""COMPUTED_VALUE"""),12.92)</f>
        <v>12.92</v>
      </c>
      <c r="BP42" s="71">
        <f>IFERROR(__xludf.DUMMYFUNCTION("""COMPUTED_VALUE"""),93.67)</f>
        <v>93.67</v>
      </c>
      <c r="BQ42" s="71">
        <f>IFERROR(__xludf.DUMMYFUNCTION("""COMPUTED_VALUE"""),78.85)</f>
        <v>78.85</v>
      </c>
      <c r="BR42" s="71">
        <f>IFERROR(__xludf.DUMMYFUNCTION("""COMPUTED_VALUE"""),12.616)</f>
        <v>12.616</v>
      </c>
      <c r="BS42" s="71">
        <f>IFERROR(__xludf.DUMMYFUNCTION("""COMPUTED_VALUE"""),91.466)</f>
        <v>91.466</v>
      </c>
      <c r="BT42" s="71">
        <f>IFERROR(__xludf.DUMMYFUNCTION("""COMPUTED_VALUE"""),76.0)</f>
        <v>76</v>
      </c>
      <c r="BU42" s="71">
        <f>IFERROR(__xludf.DUMMYFUNCTION("""COMPUTED_VALUE"""),12.16)</f>
        <v>12.16</v>
      </c>
      <c r="BV42" s="71">
        <f>IFERROR(__xludf.DUMMYFUNCTION("""COMPUTED_VALUE"""),88.16)</f>
        <v>88.16</v>
      </c>
    </row>
    <row r="43">
      <c r="A43" s="53"/>
      <c r="B43" s="53">
        <v>3.0</v>
      </c>
      <c r="C43" s="53" t="s">
        <v>36</v>
      </c>
      <c r="D43" s="74" t="s">
        <v>142</v>
      </c>
      <c r="E43" s="54" t="s">
        <v>38</v>
      </c>
      <c r="F43" s="55" t="s">
        <v>96</v>
      </c>
      <c r="G43" s="84" t="s">
        <v>143</v>
      </c>
      <c r="H43" s="84" t="s">
        <v>144</v>
      </c>
      <c r="I43" s="54">
        <f t="shared" si="1"/>
        <v>38</v>
      </c>
      <c r="J43" s="102"/>
      <c r="K43" s="102"/>
      <c r="L43" s="76"/>
      <c r="M43" s="59"/>
      <c r="N43" s="60"/>
      <c r="O43" s="100">
        <v>36839.0</v>
      </c>
      <c r="P43" s="62">
        <v>39786.12</v>
      </c>
      <c r="Q43" s="63">
        <v>39786.12</v>
      </c>
      <c r="R43" s="64">
        <v>43864.0</v>
      </c>
      <c r="S43" s="65">
        <v>46057.0</v>
      </c>
      <c r="T43" s="65">
        <f t="shared" si="2"/>
        <v>7369.12</v>
      </c>
      <c r="U43" s="65">
        <f t="shared" si="3"/>
        <v>53426.12</v>
      </c>
      <c r="V43" s="66">
        <f t="shared" si="4"/>
        <v>0.04999544045</v>
      </c>
      <c r="W43" s="67">
        <f t="shared" si="5"/>
        <v>43754.15</v>
      </c>
      <c r="X43" s="67">
        <f t="shared" si="6"/>
        <v>7000.664</v>
      </c>
      <c r="Y43" s="67">
        <f t="shared" si="7"/>
        <v>50754.814</v>
      </c>
      <c r="Z43" s="67">
        <f t="shared" si="8"/>
        <v>41451.3</v>
      </c>
      <c r="AA43" s="67">
        <f t="shared" si="9"/>
        <v>6632.208</v>
      </c>
      <c r="AB43" s="67">
        <f t="shared" si="10"/>
        <v>48083.508</v>
      </c>
      <c r="AC43" s="67">
        <f t="shared" si="11"/>
        <v>41451.3</v>
      </c>
      <c r="AD43" s="67">
        <f t="shared" si="12"/>
        <v>6632.208</v>
      </c>
      <c r="AE43" s="67">
        <f t="shared" si="13"/>
        <v>48083.508</v>
      </c>
      <c r="AF43" s="67">
        <f t="shared" si="14"/>
        <v>41451.3</v>
      </c>
      <c r="AG43" s="67">
        <f t="shared" si="15"/>
        <v>6632.208</v>
      </c>
      <c r="AH43" s="67">
        <f t="shared" si="16"/>
        <v>48083.508</v>
      </c>
      <c r="AI43" s="67">
        <f t="shared" si="17"/>
        <v>41451.3</v>
      </c>
      <c r="AJ43" s="68">
        <f t="shared" si="20"/>
        <v>6632.208</v>
      </c>
      <c r="AK43" s="68">
        <f t="shared" si="21"/>
        <v>48083.508</v>
      </c>
      <c r="AL43" s="70">
        <f>IFERROR(__xludf.DUMMYFUNCTION("""COMPUTED_VALUE"""),1.0)</f>
        <v>1</v>
      </c>
      <c r="AM43" s="70"/>
      <c r="AN43" s="71" t="str">
        <f>IFERROR(__xludf.DUMMYFUNCTION("""COMPUTED_VALUE""")," C")</f>
        <v>C</v>
      </c>
      <c r="AO43" s="71" t="str">
        <f>IFERROR(__xludf.DUMMYFUNCTION("""COMPUTED_VALUE""")," BA20")</f>
        <v>BA20</v>
      </c>
      <c r="AP43" s="71" t="str">
        <f>IFERROR(__xludf.DUMMYFUNCTION("""COMPUTED_VALUE""")," PZA")</f>
        <v>PZA</v>
      </c>
      <c r="AQ43" s="71" t="str">
        <f>IFERROR(__xludf.DUMMYFUNCTION("""COMPUTED_VALUE""")," REF")</f>
        <v>REF</v>
      </c>
      <c r="AR43" s="71" t="str">
        <f>IFERROR(__xludf.DUMMYFUNCTION("""COMPUTED_VALUE""")," BALERO 15580 MULTIMARCA")</f>
        <v>BALERO 15580 MULTIMARCA</v>
      </c>
      <c r="AS43" s="71" t="str">
        <f>IFERROR(__xludf.DUMMYFUNCTION("""COMPUTED_VALUE""")," BALERO 15580 MULTIMARCA")</f>
        <v>BALERO 15580 MULTIMARCA</v>
      </c>
      <c r="AT43" s="71">
        <f>IFERROR(__xludf.DUMMYFUNCTION("""COMPUTED_VALUE"""),23.0)</f>
        <v>23</v>
      </c>
      <c r="AU43" s="71"/>
      <c r="AV43" s="71"/>
      <c r="AW43" s="71"/>
      <c r="AX43" s="71"/>
      <c r="AY43" s="71">
        <f>IFERROR(__xludf.DUMMYFUNCTION("""COMPUTED_VALUE"""),130.0)</f>
        <v>130</v>
      </c>
      <c r="AZ43" s="71">
        <f>IFERROR(__xludf.DUMMYFUNCTION("""COMPUTED_VALUE"""),140.0)</f>
        <v>140</v>
      </c>
      <c r="BA43" s="71">
        <f>IFERROR(__xludf.DUMMYFUNCTION("""COMPUTED_VALUE"""),151.20000000000002)</f>
        <v>151.2</v>
      </c>
      <c r="BB43" s="71">
        <f>IFERROR(__xludf.DUMMYFUNCTION("""COMPUTED_VALUE"""),151.20000000000002)</f>
        <v>151.2</v>
      </c>
      <c r="BC43" s="71">
        <f>IFERROR(__xludf.DUMMYFUNCTION("""COMPUTED_VALUE"""),174.0)</f>
        <v>174</v>
      </c>
      <c r="BD43" s="71">
        <f>IFERROR(__xludf.DUMMYFUNCTION("""COMPUTED_VALUE"""),183.0)</f>
        <v>183</v>
      </c>
      <c r="BE43" s="71">
        <f>IFERROR(__xludf.DUMMYFUNCTION("""COMPUTED_VALUE"""),29.28)</f>
        <v>29.28</v>
      </c>
      <c r="BF43" s="71">
        <f>IFERROR(__xludf.DUMMYFUNCTION("""COMPUTED_VALUE"""),212.28)</f>
        <v>212.28</v>
      </c>
      <c r="BG43" s="71">
        <f>IFERROR(__xludf.DUMMYFUNCTION("""COMPUTED_VALUE"""),0.05172413793103448)</f>
        <v>0.05172413793</v>
      </c>
      <c r="BH43" s="71">
        <f>IFERROR(__xludf.DUMMYFUNCTION("""COMPUTED_VALUE"""),173.85)</f>
        <v>173.85</v>
      </c>
      <c r="BI43" s="71">
        <f>IFERROR(__xludf.DUMMYFUNCTION("""COMPUTED_VALUE"""),27.816)</f>
        <v>27.816</v>
      </c>
      <c r="BJ43" s="71">
        <f>IFERROR(__xludf.DUMMYFUNCTION("""COMPUTED_VALUE"""),201.666)</f>
        <v>201.666</v>
      </c>
      <c r="BK43" s="71">
        <f>IFERROR(__xludf.DUMMYFUNCTION("""COMPUTED_VALUE"""),164.70000000000002)</f>
        <v>164.7</v>
      </c>
      <c r="BL43" s="71">
        <f>IFERROR(__xludf.DUMMYFUNCTION("""COMPUTED_VALUE"""),26.352000000000004)</f>
        <v>26.352</v>
      </c>
      <c r="BM43" s="71">
        <f>IFERROR(__xludf.DUMMYFUNCTION("""COMPUTED_VALUE"""),191.05200000000002)</f>
        <v>191.052</v>
      </c>
      <c r="BN43" s="71">
        <f>IFERROR(__xludf.DUMMYFUNCTION("""COMPUTED_VALUE"""),155.54999999999998)</f>
        <v>155.55</v>
      </c>
      <c r="BO43" s="71">
        <f>IFERROR(__xludf.DUMMYFUNCTION("""COMPUTED_VALUE"""),24.887999999999998)</f>
        <v>24.888</v>
      </c>
      <c r="BP43" s="71">
        <f>IFERROR(__xludf.DUMMYFUNCTION("""COMPUTED_VALUE"""),180.438)</f>
        <v>180.438</v>
      </c>
      <c r="BQ43" s="71">
        <f>IFERROR(__xludf.DUMMYFUNCTION("""COMPUTED_VALUE"""),151.89)</f>
        <v>151.89</v>
      </c>
      <c r="BR43" s="71">
        <f>IFERROR(__xludf.DUMMYFUNCTION("""COMPUTED_VALUE"""),24.3024)</f>
        <v>24.3024</v>
      </c>
      <c r="BS43" s="71">
        <f>IFERROR(__xludf.DUMMYFUNCTION("""COMPUTED_VALUE"""),176.1924)</f>
        <v>176.1924</v>
      </c>
      <c r="BT43" s="71">
        <f>IFERROR(__xludf.DUMMYFUNCTION("""COMPUTED_VALUE"""),146.4)</f>
        <v>146.4</v>
      </c>
      <c r="BU43" s="71">
        <f>IFERROR(__xludf.DUMMYFUNCTION("""COMPUTED_VALUE"""),23.424000000000003)</f>
        <v>23.424</v>
      </c>
      <c r="BV43" s="71">
        <f>IFERROR(__xludf.DUMMYFUNCTION("""COMPUTED_VALUE"""),169.824)</f>
        <v>169.824</v>
      </c>
    </row>
    <row r="44">
      <c r="A44" s="53"/>
      <c r="B44" s="53">
        <v>3.0</v>
      </c>
      <c r="C44" s="53" t="s">
        <v>36</v>
      </c>
      <c r="D44" s="74" t="s">
        <v>145</v>
      </c>
      <c r="E44" s="54" t="s">
        <v>38</v>
      </c>
      <c r="F44" s="55" t="s">
        <v>96</v>
      </c>
      <c r="G44" s="84" t="s">
        <v>146</v>
      </c>
      <c r="H44" s="84" t="s">
        <v>147</v>
      </c>
      <c r="I44" s="54">
        <f t="shared" si="1"/>
        <v>40</v>
      </c>
      <c r="J44" s="102"/>
      <c r="K44" s="102"/>
      <c r="L44" s="76"/>
      <c r="M44" s="59"/>
      <c r="N44" s="60"/>
      <c r="O44" s="100">
        <v>32604.0</v>
      </c>
      <c r="P44" s="62">
        <v>35212.32</v>
      </c>
      <c r="Q44" s="63">
        <v>35212.32</v>
      </c>
      <c r="R44" s="64">
        <v>38822.0</v>
      </c>
      <c r="S44" s="65">
        <v>40763.0</v>
      </c>
      <c r="T44" s="65">
        <f t="shared" si="2"/>
        <v>6522.08</v>
      </c>
      <c r="U44" s="65">
        <f t="shared" si="3"/>
        <v>47285.08</v>
      </c>
      <c r="V44" s="66">
        <f t="shared" si="4"/>
        <v>0.04999742414</v>
      </c>
      <c r="W44" s="67">
        <f t="shared" si="5"/>
        <v>38724.85</v>
      </c>
      <c r="X44" s="67">
        <f t="shared" si="6"/>
        <v>6195.976</v>
      </c>
      <c r="Y44" s="67">
        <f t="shared" si="7"/>
        <v>44920.826</v>
      </c>
      <c r="Z44" s="67">
        <f t="shared" si="8"/>
        <v>36686.7</v>
      </c>
      <c r="AA44" s="67">
        <f t="shared" si="9"/>
        <v>5869.872</v>
      </c>
      <c r="AB44" s="67">
        <f t="shared" si="10"/>
        <v>42556.572</v>
      </c>
      <c r="AC44" s="67">
        <f t="shared" si="11"/>
        <v>36686.7</v>
      </c>
      <c r="AD44" s="67">
        <f t="shared" si="12"/>
        <v>5869.872</v>
      </c>
      <c r="AE44" s="67">
        <f t="shared" si="13"/>
        <v>42556.572</v>
      </c>
      <c r="AF44" s="67">
        <f t="shared" si="14"/>
        <v>36686.7</v>
      </c>
      <c r="AG44" s="67">
        <f t="shared" si="15"/>
        <v>5869.872</v>
      </c>
      <c r="AH44" s="67">
        <f t="shared" si="16"/>
        <v>42556.572</v>
      </c>
      <c r="AI44" s="67">
        <f t="shared" si="17"/>
        <v>36686.7</v>
      </c>
      <c r="AJ44" s="68">
        <f t="shared" si="20"/>
        <v>5869.872</v>
      </c>
      <c r="AK44" s="68">
        <f t="shared" si="21"/>
        <v>42556.572</v>
      </c>
      <c r="AL44" s="70">
        <f>IFERROR(__xludf.DUMMYFUNCTION("""COMPUTED_VALUE"""),1.0)</f>
        <v>1</v>
      </c>
      <c r="AM44" s="70"/>
      <c r="AN44" s="71" t="str">
        <f>IFERROR(__xludf.DUMMYFUNCTION("""COMPUTED_VALUE""")," C")</f>
        <v>C</v>
      </c>
      <c r="AO44" s="71" t="str">
        <f>IFERROR(__xludf.DUMMYFUNCTION("""COMPUTED_VALUE""")," BA61")</f>
        <v>BA61</v>
      </c>
      <c r="AP44" s="71" t="str">
        <f>IFERROR(__xludf.DUMMYFUNCTION("""COMPUTED_VALUE""")," PZA")</f>
        <v>PZA</v>
      </c>
      <c r="AQ44" s="71" t="str">
        <f>IFERROR(__xludf.DUMMYFUNCTION("""COMPUTED_VALUE""")," REF")</f>
        <v>REF</v>
      </c>
      <c r="AR44" s="71" t="str">
        <f>IFERROR(__xludf.DUMMYFUNCTION("""COMPUTED_VALUE""")," BALERO 15580/20 MULTIMARCA")</f>
        <v>BALERO 15580/20 MULTIMARCA</v>
      </c>
      <c r="AS44" s="71" t="str">
        <f>IFERROR(__xludf.DUMMYFUNCTION("""COMPUTED_VALUE""")," BALERO 15580/20 MULTIMARCA")</f>
        <v>BALERO 15580/20 MULTIMARCA</v>
      </c>
      <c r="AT44" s="71">
        <f>IFERROR(__xludf.DUMMYFUNCTION("""COMPUTED_VALUE"""),26.0)</f>
        <v>26</v>
      </c>
      <c r="AU44" s="71"/>
      <c r="AV44" s="71"/>
      <c r="AW44" s="71"/>
      <c r="AX44" s="71"/>
      <c r="AY44" s="71">
        <f>IFERROR(__xludf.DUMMYFUNCTION("""COMPUTED_VALUE"""),1131.0)</f>
        <v>1131</v>
      </c>
      <c r="AZ44" s="71">
        <f>IFERROR(__xludf.DUMMYFUNCTION("""COMPUTED_VALUE"""),1221.0)</f>
        <v>1221</v>
      </c>
      <c r="BA44" s="71">
        <f>IFERROR(__xludf.DUMMYFUNCTION("""COMPUTED_VALUE"""),1318.68)</f>
        <v>1318.68</v>
      </c>
      <c r="BB44" s="71">
        <f>IFERROR(__xludf.DUMMYFUNCTION("""COMPUTED_VALUE"""),1318.68)</f>
        <v>1318.68</v>
      </c>
      <c r="BC44" s="71">
        <f>IFERROR(__xludf.DUMMYFUNCTION("""COMPUTED_VALUE"""),1425.0)</f>
        <v>1425</v>
      </c>
      <c r="BD44" s="71">
        <f>IFERROR(__xludf.DUMMYFUNCTION("""COMPUTED_VALUE"""),1496.0)</f>
        <v>1496</v>
      </c>
      <c r="BE44" s="71">
        <f>IFERROR(__xludf.DUMMYFUNCTION("""COMPUTED_VALUE"""),239.36)</f>
        <v>239.36</v>
      </c>
      <c r="BF44" s="71">
        <f>IFERROR(__xludf.DUMMYFUNCTION("""COMPUTED_VALUE"""),1735.3600000000001)</f>
        <v>1735.36</v>
      </c>
      <c r="BG44" s="71">
        <f>IFERROR(__xludf.DUMMYFUNCTION("""COMPUTED_VALUE"""),0.04982456140350877)</f>
        <v>0.0498245614</v>
      </c>
      <c r="BH44" s="71">
        <f>IFERROR(__xludf.DUMMYFUNCTION("""COMPUTED_VALUE"""),1421.2)</f>
        <v>1421.2</v>
      </c>
      <c r="BI44" s="71">
        <f>IFERROR(__xludf.DUMMYFUNCTION("""COMPUTED_VALUE"""),227.39200000000002)</f>
        <v>227.392</v>
      </c>
      <c r="BJ44" s="71">
        <f>IFERROR(__xludf.DUMMYFUNCTION("""COMPUTED_VALUE"""),1648.592)</f>
        <v>1648.592</v>
      </c>
      <c r="BK44" s="71">
        <f>IFERROR(__xludf.DUMMYFUNCTION("""COMPUTED_VALUE"""),1346.4)</f>
        <v>1346.4</v>
      </c>
      <c r="BL44" s="71">
        <f>IFERROR(__xludf.DUMMYFUNCTION("""COMPUTED_VALUE"""),215.424)</f>
        <v>215.424</v>
      </c>
      <c r="BM44" s="71">
        <f>IFERROR(__xludf.DUMMYFUNCTION("""COMPUTED_VALUE"""),1561.824)</f>
        <v>1561.824</v>
      </c>
      <c r="BN44" s="71">
        <f>IFERROR(__xludf.DUMMYFUNCTION("""COMPUTED_VALUE"""),1271.6)</f>
        <v>1271.6</v>
      </c>
      <c r="BO44" s="71">
        <f>IFERROR(__xludf.DUMMYFUNCTION("""COMPUTED_VALUE"""),203.456)</f>
        <v>203.456</v>
      </c>
      <c r="BP44" s="71">
        <f>IFERROR(__xludf.DUMMYFUNCTION("""COMPUTED_VALUE"""),1475.0559999999998)</f>
        <v>1475.056</v>
      </c>
      <c r="BQ44" s="71">
        <f>IFERROR(__xludf.DUMMYFUNCTION("""COMPUTED_VALUE"""),1241.6799999999998)</f>
        <v>1241.68</v>
      </c>
      <c r="BR44" s="71">
        <f>IFERROR(__xludf.DUMMYFUNCTION("""COMPUTED_VALUE"""),198.66879999999998)</f>
        <v>198.6688</v>
      </c>
      <c r="BS44" s="71">
        <f>IFERROR(__xludf.DUMMYFUNCTION("""COMPUTED_VALUE"""),1440.3487999999998)</f>
        <v>1440.3488</v>
      </c>
      <c r="BT44" s="71">
        <f>IFERROR(__xludf.DUMMYFUNCTION("""COMPUTED_VALUE"""),1196.8)</f>
        <v>1196.8</v>
      </c>
      <c r="BU44" s="71">
        <f>IFERROR(__xludf.DUMMYFUNCTION("""COMPUTED_VALUE"""),191.488)</f>
        <v>191.488</v>
      </c>
      <c r="BV44" s="71">
        <f>IFERROR(__xludf.DUMMYFUNCTION("""COMPUTED_VALUE"""),1388.288)</f>
        <v>1388.288</v>
      </c>
    </row>
    <row r="45">
      <c r="A45" s="53"/>
      <c r="B45" s="53">
        <v>3.0</v>
      </c>
      <c r="C45" s="53" t="s">
        <v>36</v>
      </c>
      <c r="D45" s="74" t="s">
        <v>148</v>
      </c>
      <c r="E45" s="54" t="s">
        <v>38</v>
      </c>
      <c r="F45" s="55" t="s">
        <v>96</v>
      </c>
      <c r="G45" s="84" t="s">
        <v>149</v>
      </c>
      <c r="H45" s="84" t="s">
        <v>150</v>
      </c>
      <c r="I45" s="54">
        <f t="shared" si="1"/>
        <v>32</v>
      </c>
      <c r="J45" s="99"/>
      <c r="K45" s="99"/>
      <c r="L45" s="76"/>
      <c r="M45" s="59"/>
      <c r="N45" s="60"/>
      <c r="O45" s="100">
        <v>27379.0</v>
      </c>
      <c r="P45" s="62">
        <v>29569.320000000003</v>
      </c>
      <c r="Q45" s="63">
        <v>29569.320000000003</v>
      </c>
      <c r="R45" s="64">
        <v>32600.0</v>
      </c>
      <c r="S45" s="65">
        <v>28660.0</v>
      </c>
      <c r="T45" s="65">
        <f t="shared" si="2"/>
        <v>4585.6</v>
      </c>
      <c r="U45" s="65">
        <f t="shared" si="3"/>
        <v>33245.6</v>
      </c>
      <c r="V45" s="66">
        <f t="shared" si="4"/>
        <v>-0.1208588957</v>
      </c>
      <c r="W45" s="67">
        <f t="shared" si="5"/>
        <v>27227</v>
      </c>
      <c r="X45" s="67">
        <f t="shared" si="6"/>
        <v>4356.32</v>
      </c>
      <c r="Y45" s="67">
        <f t="shared" si="7"/>
        <v>31583.32</v>
      </c>
      <c r="Z45" s="67">
        <f t="shared" si="8"/>
        <v>25794</v>
      </c>
      <c r="AA45" s="67">
        <f t="shared" si="9"/>
        <v>4127.04</v>
      </c>
      <c r="AB45" s="67">
        <f t="shared" si="10"/>
        <v>29921.04</v>
      </c>
      <c r="AC45" s="67">
        <f t="shared" si="11"/>
        <v>25794</v>
      </c>
      <c r="AD45" s="67">
        <f t="shared" si="12"/>
        <v>4127.04</v>
      </c>
      <c r="AE45" s="67">
        <f t="shared" si="13"/>
        <v>29921.04</v>
      </c>
      <c r="AF45" s="67">
        <f t="shared" si="14"/>
        <v>25794</v>
      </c>
      <c r="AG45" s="67">
        <f t="shared" si="15"/>
        <v>4127.04</v>
      </c>
      <c r="AH45" s="67">
        <f t="shared" si="16"/>
        <v>29921.04</v>
      </c>
      <c r="AI45" s="67">
        <f t="shared" si="17"/>
        <v>25794</v>
      </c>
      <c r="AJ45" s="68">
        <f t="shared" si="20"/>
        <v>4127.04</v>
      </c>
      <c r="AK45" s="68">
        <f t="shared" si="21"/>
        <v>29921.04</v>
      </c>
      <c r="AL45" s="70">
        <f>IFERROR(__xludf.DUMMYFUNCTION("""COMPUTED_VALUE"""),1.0)</f>
        <v>1</v>
      </c>
      <c r="AM45" s="70"/>
      <c r="AN45" s="71" t="str">
        <f>IFERROR(__xludf.DUMMYFUNCTION("""COMPUTED_VALUE""")," C")</f>
        <v>C</v>
      </c>
      <c r="AO45" s="71" t="str">
        <f>IFERROR(__xludf.DUMMYFUNCTION("""COMPUTED_VALUE""")," BA03")</f>
        <v>BA03</v>
      </c>
      <c r="AP45" s="71" t="str">
        <f>IFERROR(__xludf.DUMMYFUNCTION("""COMPUTED_VALUE""")," PZA")</f>
        <v>PZA</v>
      </c>
      <c r="AQ45" s="71" t="str">
        <f>IFERROR(__xludf.DUMMYFUNCTION("""COMPUTED_VALUE""")," REF")</f>
        <v>REF</v>
      </c>
      <c r="AR45" s="71" t="str">
        <f>IFERROR(__xludf.DUMMYFUNCTION("""COMPUTED_VALUE""")," BALERO 30204A ZKL/ZVL")</f>
        <v>BALERO 30204A ZKL/ZVL</v>
      </c>
      <c r="AS45" s="71" t="str">
        <f>IFERROR(__xludf.DUMMYFUNCTION("""COMPUTED_VALUE""")," BALERO 30204A ZKL/ZVL")</f>
        <v>BALERO 30204A ZKL/ZVL</v>
      </c>
      <c r="AT45" s="71">
        <f>IFERROR(__xludf.DUMMYFUNCTION("""COMPUTED_VALUE"""),21.0)</f>
        <v>21</v>
      </c>
      <c r="AU45" s="71"/>
      <c r="AV45" s="71"/>
      <c r="AW45" s="71"/>
      <c r="AX45" s="71"/>
      <c r="AY45" s="71"/>
      <c r="AZ45" s="71">
        <f>IFERROR(__xludf.DUMMYFUNCTION("""COMPUTED_VALUE"""),125.0)</f>
        <v>125</v>
      </c>
      <c r="BA45" s="71">
        <f>IFERROR(__xludf.DUMMYFUNCTION("""COMPUTED_VALUE"""),135.0)</f>
        <v>135</v>
      </c>
      <c r="BB45" s="71">
        <f>IFERROR(__xludf.DUMMYFUNCTION("""COMPUTED_VALUE"""),135.0)</f>
        <v>135</v>
      </c>
      <c r="BC45" s="71">
        <f>IFERROR(__xludf.DUMMYFUNCTION("""COMPUTED_VALUE"""),142.0)</f>
        <v>142</v>
      </c>
      <c r="BD45" s="71">
        <f>IFERROR(__xludf.DUMMYFUNCTION("""COMPUTED_VALUE"""),149.0)</f>
        <v>149</v>
      </c>
      <c r="BE45" s="71">
        <f>IFERROR(__xludf.DUMMYFUNCTION("""COMPUTED_VALUE"""),23.84)</f>
        <v>23.84</v>
      </c>
      <c r="BF45" s="71">
        <f>IFERROR(__xludf.DUMMYFUNCTION("""COMPUTED_VALUE"""),172.84)</f>
        <v>172.84</v>
      </c>
      <c r="BG45" s="71">
        <f>IFERROR(__xludf.DUMMYFUNCTION("""COMPUTED_VALUE"""),0.04929577464788732)</f>
        <v>0.04929577465</v>
      </c>
      <c r="BH45" s="71">
        <f>IFERROR(__xludf.DUMMYFUNCTION("""COMPUTED_VALUE"""),141.54999999999998)</f>
        <v>141.55</v>
      </c>
      <c r="BI45" s="71">
        <f>IFERROR(__xludf.DUMMYFUNCTION("""COMPUTED_VALUE"""),22.647999999999996)</f>
        <v>22.648</v>
      </c>
      <c r="BJ45" s="71">
        <f>IFERROR(__xludf.DUMMYFUNCTION("""COMPUTED_VALUE"""),164.19799999999998)</f>
        <v>164.198</v>
      </c>
      <c r="BK45" s="71">
        <f>IFERROR(__xludf.DUMMYFUNCTION("""COMPUTED_VALUE"""),134.1)</f>
        <v>134.1</v>
      </c>
      <c r="BL45" s="71">
        <f>IFERROR(__xludf.DUMMYFUNCTION("""COMPUTED_VALUE"""),21.456)</f>
        <v>21.456</v>
      </c>
      <c r="BM45" s="71">
        <f>IFERROR(__xludf.DUMMYFUNCTION("""COMPUTED_VALUE"""),155.55599999999998)</f>
        <v>155.556</v>
      </c>
      <c r="BN45" s="71">
        <f>IFERROR(__xludf.DUMMYFUNCTION("""COMPUTED_VALUE"""),126.64999999999999)</f>
        <v>126.65</v>
      </c>
      <c r="BO45" s="71">
        <f>IFERROR(__xludf.DUMMYFUNCTION("""COMPUTED_VALUE"""),20.264)</f>
        <v>20.264</v>
      </c>
      <c r="BP45" s="71">
        <f>IFERROR(__xludf.DUMMYFUNCTION("""COMPUTED_VALUE"""),146.914)</f>
        <v>146.914</v>
      </c>
      <c r="BQ45" s="71">
        <f>IFERROR(__xludf.DUMMYFUNCTION("""COMPUTED_VALUE"""),123.66999999999999)</f>
        <v>123.67</v>
      </c>
      <c r="BR45" s="71">
        <f>IFERROR(__xludf.DUMMYFUNCTION("""COMPUTED_VALUE"""),19.7872)</f>
        <v>19.7872</v>
      </c>
      <c r="BS45" s="71">
        <f>IFERROR(__xludf.DUMMYFUNCTION("""COMPUTED_VALUE"""),143.4572)</f>
        <v>143.4572</v>
      </c>
      <c r="BT45" s="71">
        <f>IFERROR(__xludf.DUMMYFUNCTION("""COMPUTED_VALUE"""),119.2)</f>
        <v>119.2</v>
      </c>
      <c r="BU45" s="71">
        <f>IFERROR(__xludf.DUMMYFUNCTION("""COMPUTED_VALUE"""),19.072)</f>
        <v>19.072</v>
      </c>
      <c r="BV45" s="71">
        <f>IFERROR(__xludf.DUMMYFUNCTION("""COMPUTED_VALUE"""),138.272)</f>
        <v>138.272</v>
      </c>
    </row>
    <row r="46">
      <c r="A46" s="53"/>
      <c r="B46" s="53">
        <v>3.0</v>
      </c>
      <c r="C46" s="53" t="s">
        <v>36</v>
      </c>
      <c r="D46" s="53" t="s">
        <v>151</v>
      </c>
      <c r="E46" s="54" t="s">
        <v>38</v>
      </c>
      <c r="F46" s="55" t="s">
        <v>96</v>
      </c>
      <c r="G46" s="84" t="s">
        <v>152</v>
      </c>
      <c r="H46" s="84" t="s">
        <v>153</v>
      </c>
      <c r="I46" s="54">
        <f t="shared" si="1"/>
        <v>40</v>
      </c>
      <c r="J46" s="102"/>
      <c r="K46" s="102"/>
      <c r="L46" s="76"/>
      <c r="M46" s="59"/>
      <c r="N46" s="60"/>
      <c r="O46" s="100">
        <v>31197.0</v>
      </c>
      <c r="P46" s="62">
        <v>33692.76</v>
      </c>
      <c r="Q46" s="63">
        <v>33692.76</v>
      </c>
      <c r="R46" s="64">
        <v>37147.0</v>
      </c>
      <c r="S46" s="65">
        <v>32060.0</v>
      </c>
      <c r="T46" s="65">
        <f t="shared" si="2"/>
        <v>5129.6</v>
      </c>
      <c r="U46" s="65">
        <f t="shared" si="3"/>
        <v>37189.6</v>
      </c>
      <c r="V46" s="66">
        <f t="shared" si="4"/>
        <v>-0.136942418</v>
      </c>
      <c r="W46" s="67">
        <f t="shared" si="5"/>
        <v>30457</v>
      </c>
      <c r="X46" s="67">
        <f t="shared" si="6"/>
        <v>4873.12</v>
      </c>
      <c r="Y46" s="67">
        <f t="shared" si="7"/>
        <v>35330.12</v>
      </c>
      <c r="Z46" s="67">
        <f t="shared" si="8"/>
        <v>28854</v>
      </c>
      <c r="AA46" s="67">
        <f t="shared" si="9"/>
        <v>4616.64</v>
      </c>
      <c r="AB46" s="67">
        <f t="shared" si="10"/>
        <v>33470.64</v>
      </c>
      <c r="AC46" s="67">
        <f t="shared" si="11"/>
        <v>28854</v>
      </c>
      <c r="AD46" s="67">
        <f t="shared" si="12"/>
        <v>4616.64</v>
      </c>
      <c r="AE46" s="67">
        <f t="shared" si="13"/>
        <v>33470.64</v>
      </c>
      <c r="AF46" s="67">
        <f t="shared" si="14"/>
        <v>28854</v>
      </c>
      <c r="AG46" s="67">
        <f t="shared" si="15"/>
        <v>4616.64</v>
      </c>
      <c r="AH46" s="67">
        <f t="shared" si="16"/>
        <v>33470.64</v>
      </c>
      <c r="AI46" s="67">
        <f t="shared" si="17"/>
        <v>28854</v>
      </c>
      <c r="AJ46" s="68">
        <f t="shared" si="20"/>
        <v>4616.64</v>
      </c>
      <c r="AK46" s="68">
        <f t="shared" si="21"/>
        <v>33470.64</v>
      </c>
      <c r="AL46" s="70">
        <f>IFERROR(__xludf.DUMMYFUNCTION("""COMPUTED_VALUE"""),1.0)</f>
        <v>1</v>
      </c>
      <c r="AM46" s="70"/>
      <c r="AN46" s="71" t="str">
        <f>IFERROR(__xludf.DUMMYFUNCTION("""COMPUTED_VALUE""")," C")</f>
        <v>C</v>
      </c>
      <c r="AO46" s="71" t="str">
        <f>IFERROR(__xludf.DUMMYFUNCTION("""COMPUTED_VALUE""")," BA21")</f>
        <v>BA21</v>
      </c>
      <c r="AP46" s="71" t="str">
        <f>IFERROR(__xludf.DUMMYFUNCTION("""COMPUTED_VALUE""")," PZA")</f>
        <v>PZA</v>
      </c>
      <c r="AQ46" s="71" t="str">
        <f>IFERROR(__xludf.DUMMYFUNCTION("""COMPUTED_VALUE""")," REF")</f>
        <v>REF</v>
      </c>
      <c r="AR46" s="71" t="str">
        <f>IFERROR(__xludf.DUMMYFUNCTION("""COMPUTED_VALUE""")," BALERO 30205 ZKL/ZVL")</f>
        <v>BALERO 30205 ZKL/ZVL</v>
      </c>
      <c r="AS46" s="71" t="str">
        <f>IFERROR(__xludf.DUMMYFUNCTION("""COMPUTED_VALUE""")," BALERO 30205 ZKL/ZVL")</f>
        <v>BALERO 30205 ZKL/ZVL</v>
      </c>
      <c r="AT46" s="71">
        <f>IFERROR(__xludf.DUMMYFUNCTION("""COMPUTED_VALUE"""),20.0)</f>
        <v>20</v>
      </c>
      <c r="AU46" s="71"/>
      <c r="AV46" s="71"/>
      <c r="AW46" s="71"/>
      <c r="AX46" s="71"/>
      <c r="AY46" s="71">
        <f>IFERROR(__xludf.DUMMYFUNCTION("""COMPUTED_VALUE"""),155.0)</f>
        <v>155</v>
      </c>
      <c r="AZ46" s="71">
        <f>IFERROR(__xludf.DUMMYFUNCTION("""COMPUTED_VALUE"""),167.0)</f>
        <v>167</v>
      </c>
      <c r="BA46" s="71">
        <f>IFERROR(__xludf.DUMMYFUNCTION("""COMPUTED_VALUE"""),180.36)</f>
        <v>180.36</v>
      </c>
      <c r="BB46" s="71">
        <f>IFERROR(__xludf.DUMMYFUNCTION("""COMPUTED_VALUE"""),180.36)</f>
        <v>180.36</v>
      </c>
      <c r="BC46" s="71">
        <f>IFERROR(__xludf.DUMMYFUNCTION("""COMPUTED_VALUE"""),202.0)</f>
        <v>202</v>
      </c>
      <c r="BD46" s="71">
        <f>IFERROR(__xludf.DUMMYFUNCTION("""COMPUTED_VALUE"""),212.0)</f>
        <v>212</v>
      </c>
      <c r="BE46" s="71">
        <f>IFERROR(__xludf.DUMMYFUNCTION("""COMPUTED_VALUE"""),33.92)</f>
        <v>33.92</v>
      </c>
      <c r="BF46" s="71">
        <f>IFERROR(__xludf.DUMMYFUNCTION("""COMPUTED_VALUE"""),245.92000000000002)</f>
        <v>245.92</v>
      </c>
      <c r="BG46" s="71">
        <f>IFERROR(__xludf.DUMMYFUNCTION("""COMPUTED_VALUE"""),0.04950495049504951)</f>
        <v>0.0495049505</v>
      </c>
      <c r="BH46" s="71">
        <f>IFERROR(__xludf.DUMMYFUNCTION("""COMPUTED_VALUE"""),201.39999999999998)</f>
        <v>201.4</v>
      </c>
      <c r="BI46" s="71">
        <f>IFERROR(__xludf.DUMMYFUNCTION("""COMPUTED_VALUE"""),32.224)</f>
        <v>32.224</v>
      </c>
      <c r="BJ46" s="71">
        <f>IFERROR(__xludf.DUMMYFUNCTION("""COMPUTED_VALUE"""),233.62399999999997)</f>
        <v>233.624</v>
      </c>
      <c r="BK46" s="71">
        <f>IFERROR(__xludf.DUMMYFUNCTION("""COMPUTED_VALUE"""),190.8)</f>
        <v>190.8</v>
      </c>
      <c r="BL46" s="71">
        <f>IFERROR(__xludf.DUMMYFUNCTION("""COMPUTED_VALUE"""),30.528000000000002)</f>
        <v>30.528</v>
      </c>
      <c r="BM46" s="71">
        <f>IFERROR(__xludf.DUMMYFUNCTION("""COMPUTED_VALUE"""),221.328)</f>
        <v>221.328</v>
      </c>
      <c r="BN46" s="71">
        <f>IFERROR(__xludf.DUMMYFUNCTION("""COMPUTED_VALUE"""),180.2)</f>
        <v>180.2</v>
      </c>
      <c r="BO46" s="71">
        <f>IFERROR(__xludf.DUMMYFUNCTION("""COMPUTED_VALUE"""),28.831999999999997)</f>
        <v>28.832</v>
      </c>
      <c r="BP46" s="71">
        <f>IFERROR(__xludf.DUMMYFUNCTION("""COMPUTED_VALUE"""),209.03199999999998)</f>
        <v>209.032</v>
      </c>
      <c r="BQ46" s="71">
        <f>IFERROR(__xludf.DUMMYFUNCTION("""COMPUTED_VALUE"""),175.95999999999998)</f>
        <v>175.96</v>
      </c>
      <c r="BR46" s="71">
        <f>IFERROR(__xludf.DUMMYFUNCTION("""COMPUTED_VALUE"""),28.153599999999997)</f>
        <v>28.1536</v>
      </c>
      <c r="BS46" s="71">
        <f>IFERROR(__xludf.DUMMYFUNCTION("""COMPUTED_VALUE"""),204.11359999999996)</f>
        <v>204.1136</v>
      </c>
      <c r="BT46" s="71">
        <f>IFERROR(__xludf.DUMMYFUNCTION("""COMPUTED_VALUE"""),169.60000000000002)</f>
        <v>169.6</v>
      </c>
      <c r="BU46" s="71">
        <f>IFERROR(__xludf.DUMMYFUNCTION("""COMPUTED_VALUE"""),27.136000000000003)</f>
        <v>27.136</v>
      </c>
      <c r="BV46" s="71">
        <f>IFERROR(__xludf.DUMMYFUNCTION("""COMPUTED_VALUE"""),196.73600000000002)</f>
        <v>196.736</v>
      </c>
    </row>
    <row r="47">
      <c r="A47" s="53"/>
      <c r="B47" s="53">
        <v>3.0</v>
      </c>
      <c r="C47" s="53" t="s">
        <v>36</v>
      </c>
      <c r="D47" s="98" t="s">
        <v>154</v>
      </c>
      <c r="E47" s="54" t="s">
        <v>38</v>
      </c>
      <c r="F47" s="55" t="s">
        <v>61</v>
      </c>
      <c r="G47" s="86" t="s">
        <v>155</v>
      </c>
      <c r="H47" s="55"/>
      <c r="I47" s="54">
        <f t="shared" si="1"/>
        <v>0</v>
      </c>
      <c r="J47" s="56"/>
      <c r="K47" s="57"/>
      <c r="L47" s="76"/>
      <c r="M47" s="59"/>
      <c r="N47" s="60"/>
      <c r="O47" s="61">
        <v>17036.0</v>
      </c>
      <c r="P47" s="62">
        <v>18398.88</v>
      </c>
      <c r="Q47" s="63">
        <v>18398.88</v>
      </c>
      <c r="R47" s="64">
        <v>20285.0</v>
      </c>
      <c r="S47" s="105">
        <v>21299.0</v>
      </c>
      <c r="T47" s="65">
        <f t="shared" si="2"/>
        <v>3407.84</v>
      </c>
      <c r="U47" s="65">
        <f t="shared" si="3"/>
        <v>24706.84</v>
      </c>
      <c r="V47" s="66">
        <f t="shared" si="4"/>
        <v>0.04998767562</v>
      </c>
      <c r="W47" s="67">
        <f t="shared" si="5"/>
        <v>20234.05</v>
      </c>
      <c r="X47" s="67">
        <f t="shared" si="6"/>
        <v>3237.448</v>
      </c>
      <c r="Y47" s="67">
        <f t="shared" si="7"/>
        <v>23471.498</v>
      </c>
      <c r="Z47" s="67">
        <f t="shared" si="8"/>
        <v>19169.1</v>
      </c>
      <c r="AA47" s="67">
        <f t="shared" si="9"/>
        <v>3067.056</v>
      </c>
      <c r="AB47" s="67">
        <f t="shared" si="10"/>
        <v>22236.156</v>
      </c>
      <c r="AC47" s="67">
        <f t="shared" si="11"/>
        <v>19169.1</v>
      </c>
      <c r="AD47" s="67">
        <f t="shared" si="12"/>
        <v>3067.056</v>
      </c>
      <c r="AE47" s="67">
        <f t="shared" si="13"/>
        <v>22236.156</v>
      </c>
      <c r="AF47" s="67">
        <f t="shared" si="14"/>
        <v>19169.1</v>
      </c>
      <c r="AG47" s="67">
        <f t="shared" si="15"/>
        <v>3067.056</v>
      </c>
      <c r="AH47" s="67">
        <f t="shared" si="16"/>
        <v>22236.156</v>
      </c>
      <c r="AI47" s="67">
        <f t="shared" si="17"/>
        <v>19169.1</v>
      </c>
      <c r="AJ47" s="68">
        <f t="shared" si="20"/>
        <v>3067.056</v>
      </c>
      <c r="AK47" s="68">
        <f t="shared" si="21"/>
        <v>22236.156</v>
      </c>
      <c r="AL47" s="70">
        <f>IFERROR(__xludf.DUMMYFUNCTION("""COMPUTED_VALUE"""),1.0)</f>
        <v>1</v>
      </c>
      <c r="AM47" s="70"/>
      <c r="AN47" s="71" t="str">
        <f>IFERROR(__xludf.DUMMYFUNCTION("""COMPUTED_VALUE""")," C")</f>
        <v>C</v>
      </c>
      <c r="AO47" s="71" t="str">
        <f>IFERROR(__xludf.DUMMYFUNCTION("""COMPUTED_VALUE""")," BA22")</f>
        <v>BA22</v>
      </c>
      <c r="AP47" s="71" t="str">
        <f>IFERROR(__xludf.DUMMYFUNCTION("""COMPUTED_VALUE""")," PZA")</f>
        <v>PZA</v>
      </c>
      <c r="AQ47" s="71" t="str">
        <f>IFERROR(__xludf.DUMMYFUNCTION("""COMPUTED_VALUE""")," REF")</f>
        <v>REF</v>
      </c>
      <c r="AR47" s="71" t="str">
        <f>IFERROR(__xludf.DUMMYFUNCTION("""COMPUTED_VALUE""")," BALERO 30206 ZKL/ZVL")</f>
        <v>BALERO 30206 ZKL/ZVL</v>
      </c>
      <c r="AS47" s="71" t="str">
        <f>IFERROR(__xludf.DUMMYFUNCTION("""COMPUTED_VALUE""")," BALERO 30206 ZKL/ZVL")</f>
        <v>BALERO 30206 ZKL/ZVL</v>
      </c>
      <c r="AT47" s="71">
        <f>IFERROR(__xludf.DUMMYFUNCTION("""COMPUTED_VALUE"""),20.0)</f>
        <v>20</v>
      </c>
      <c r="AU47" s="71"/>
      <c r="AV47" s="71"/>
      <c r="AW47" s="71"/>
      <c r="AX47" s="71"/>
      <c r="AY47" s="71">
        <f>IFERROR(__xludf.DUMMYFUNCTION("""COMPUTED_VALUE"""),179.0)</f>
        <v>179</v>
      </c>
      <c r="AZ47" s="71">
        <f>IFERROR(__xludf.DUMMYFUNCTION("""COMPUTED_VALUE"""),193.0)</f>
        <v>193</v>
      </c>
      <c r="BA47" s="71">
        <f>IFERROR(__xludf.DUMMYFUNCTION("""COMPUTED_VALUE"""),208.44000000000003)</f>
        <v>208.44</v>
      </c>
      <c r="BB47" s="71">
        <f>IFERROR(__xludf.DUMMYFUNCTION("""COMPUTED_VALUE"""),208.44000000000003)</f>
        <v>208.44</v>
      </c>
      <c r="BC47" s="71">
        <f>IFERROR(__xludf.DUMMYFUNCTION("""COMPUTED_VALUE"""),233.0)</f>
        <v>233</v>
      </c>
      <c r="BD47" s="71">
        <f>IFERROR(__xludf.DUMMYFUNCTION("""COMPUTED_VALUE"""),245.0)</f>
        <v>245</v>
      </c>
      <c r="BE47" s="71">
        <f>IFERROR(__xludf.DUMMYFUNCTION("""COMPUTED_VALUE"""),39.2)</f>
        <v>39.2</v>
      </c>
      <c r="BF47" s="71">
        <f>IFERROR(__xludf.DUMMYFUNCTION("""COMPUTED_VALUE"""),284.2)</f>
        <v>284.2</v>
      </c>
      <c r="BG47" s="71">
        <f>IFERROR(__xludf.DUMMYFUNCTION("""COMPUTED_VALUE"""),0.05150214592274678)</f>
        <v>0.05150214592</v>
      </c>
      <c r="BH47" s="71">
        <f>IFERROR(__xludf.DUMMYFUNCTION("""COMPUTED_VALUE"""),232.75)</f>
        <v>232.75</v>
      </c>
      <c r="BI47" s="71">
        <f>IFERROR(__xludf.DUMMYFUNCTION("""COMPUTED_VALUE"""),37.24)</f>
        <v>37.24</v>
      </c>
      <c r="BJ47" s="71">
        <f>IFERROR(__xludf.DUMMYFUNCTION("""COMPUTED_VALUE"""),269.99)</f>
        <v>269.99</v>
      </c>
      <c r="BK47" s="71">
        <f>IFERROR(__xludf.DUMMYFUNCTION("""COMPUTED_VALUE"""),220.5)</f>
        <v>220.5</v>
      </c>
      <c r="BL47" s="71">
        <f>IFERROR(__xludf.DUMMYFUNCTION("""COMPUTED_VALUE"""),35.28)</f>
        <v>35.28</v>
      </c>
      <c r="BM47" s="71">
        <f>IFERROR(__xludf.DUMMYFUNCTION("""COMPUTED_VALUE"""),255.78)</f>
        <v>255.78</v>
      </c>
      <c r="BN47" s="71">
        <f>IFERROR(__xludf.DUMMYFUNCTION("""COMPUTED_VALUE"""),208.25)</f>
        <v>208.25</v>
      </c>
      <c r="BO47" s="71">
        <f>IFERROR(__xludf.DUMMYFUNCTION("""COMPUTED_VALUE"""),33.32)</f>
        <v>33.32</v>
      </c>
      <c r="BP47" s="71">
        <f>IFERROR(__xludf.DUMMYFUNCTION("""COMPUTED_VALUE"""),241.57)</f>
        <v>241.57</v>
      </c>
      <c r="BQ47" s="71">
        <f>IFERROR(__xludf.DUMMYFUNCTION("""COMPUTED_VALUE"""),203.35)</f>
        <v>203.35</v>
      </c>
      <c r="BR47" s="71">
        <f>IFERROR(__xludf.DUMMYFUNCTION("""COMPUTED_VALUE"""),32.536)</f>
        <v>32.536</v>
      </c>
      <c r="BS47" s="71">
        <f>IFERROR(__xludf.DUMMYFUNCTION("""COMPUTED_VALUE"""),235.886)</f>
        <v>235.886</v>
      </c>
      <c r="BT47" s="71">
        <f>IFERROR(__xludf.DUMMYFUNCTION("""COMPUTED_VALUE"""),196.0)</f>
        <v>196</v>
      </c>
      <c r="BU47" s="71">
        <f>IFERROR(__xludf.DUMMYFUNCTION("""COMPUTED_VALUE"""),31.36)</f>
        <v>31.36</v>
      </c>
      <c r="BV47" s="71">
        <f>IFERROR(__xludf.DUMMYFUNCTION("""COMPUTED_VALUE"""),227.36)</f>
        <v>227.36</v>
      </c>
    </row>
    <row r="48">
      <c r="A48" s="53"/>
      <c r="B48" s="53">
        <v>3.0</v>
      </c>
      <c r="C48" s="53" t="s">
        <v>36</v>
      </c>
      <c r="D48" s="53" t="s">
        <v>156</v>
      </c>
      <c r="E48" s="54" t="s">
        <v>38</v>
      </c>
      <c r="F48" s="55" t="s">
        <v>96</v>
      </c>
      <c r="G48" s="106" t="s">
        <v>157</v>
      </c>
      <c r="H48" s="106" t="s">
        <v>158</v>
      </c>
      <c r="I48" s="54">
        <f t="shared" si="1"/>
        <v>39</v>
      </c>
      <c r="J48" s="103"/>
      <c r="K48" s="103"/>
      <c r="L48" s="76"/>
      <c r="M48" s="59"/>
      <c r="N48" s="60"/>
      <c r="O48" s="104">
        <v>37923.0</v>
      </c>
      <c r="P48" s="62">
        <v>40956.840000000004</v>
      </c>
      <c r="Q48" s="63">
        <v>40956.840000000004</v>
      </c>
      <c r="R48" s="64">
        <v>45156.0</v>
      </c>
      <c r="S48" s="107">
        <v>47414.0</v>
      </c>
      <c r="T48" s="65">
        <f t="shared" si="2"/>
        <v>7586.24</v>
      </c>
      <c r="U48" s="65">
        <f t="shared" si="3"/>
        <v>55000.24</v>
      </c>
      <c r="V48" s="66">
        <f t="shared" si="4"/>
        <v>0.05000442909</v>
      </c>
      <c r="W48" s="67">
        <f t="shared" si="5"/>
        <v>45043.3</v>
      </c>
      <c r="X48" s="67">
        <f t="shared" si="6"/>
        <v>7206.928</v>
      </c>
      <c r="Y48" s="67">
        <f t="shared" si="7"/>
        <v>52250.228</v>
      </c>
      <c r="Z48" s="67">
        <f t="shared" si="8"/>
        <v>42672.6</v>
      </c>
      <c r="AA48" s="67">
        <f t="shared" si="9"/>
        <v>6827.616</v>
      </c>
      <c r="AB48" s="67">
        <f t="shared" si="10"/>
        <v>49500.216</v>
      </c>
      <c r="AC48" s="67">
        <f t="shared" si="11"/>
        <v>42672.6</v>
      </c>
      <c r="AD48" s="67">
        <f t="shared" si="12"/>
        <v>6827.616</v>
      </c>
      <c r="AE48" s="67">
        <f t="shared" si="13"/>
        <v>49500.216</v>
      </c>
      <c r="AF48" s="67">
        <f t="shared" si="14"/>
        <v>42672.6</v>
      </c>
      <c r="AG48" s="67">
        <f t="shared" si="15"/>
        <v>6827.616</v>
      </c>
      <c r="AH48" s="67">
        <f t="shared" si="16"/>
        <v>49500.216</v>
      </c>
      <c r="AI48" s="67">
        <f t="shared" si="17"/>
        <v>42672.6</v>
      </c>
      <c r="AJ48" s="68">
        <f t="shared" si="20"/>
        <v>6827.616</v>
      </c>
      <c r="AK48" s="68">
        <f t="shared" si="21"/>
        <v>49500.216</v>
      </c>
      <c r="AL48" s="70">
        <f>IFERROR(__xludf.DUMMYFUNCTION("""COMPUTED_VALUE"""),1.0)</f>
        <v>1</v>
      </c>
      <c r="AM48" s="70"/>
      <c r="AN48" s="71" t="str">
        <f>IFERROR(__xludf.DUMMYFUNCTION("""COMPUTED_VALUE""")," C")</f>
        <v>C</v>
      </c>
      <c r="AO48" s="71" t="str">
        <f>IFERROR(__xludf.DUMMYFUNCTION("""COMPUTED_VALUE""")," BA01")</f>
        <v>BA01</v>
      </c>
      <c r="AP48" s="71" t="str">
        <f>IFERROR(__xludf.DUMMYFUNCTION("""COMPUTED_VALUE""")," PZA")</f>
        <v>PZA</v>
      </c>
      <c r="AQ48" s="71" t="str">
        <f>IFERROR(__xludf.DUMMYFUNCTION("""COMPUTED_VALUE""")," REF")</f>
        <v>REF</v>
      </c>
      <c r="AR48" s="71" t="str">
        <f>IFERROR(__xludf.DUMMYFUNCTION("""COMPUTED_VALUE""")," BALERO 3204 ZKL/ZVL")</f>
        <v>BALERO 3204 ZKL/ZVL</v>
      </c>
      <c r="AS48" s="71" t="str">
        <f>IFERROR(__xludf.DUMMYFUNCTION("""COMPUTED_VALUE""")," BALERO 3204 ZKL/ZVL")</f>
        <v>BALERO 3204 ZKL/ZVL</v>
      </c>
      <c r="AT48" s="71">
        <f>IFERROR(__xludf.DUMMYFUNCTION("""COMPUTED_VALUE"""),19.0)</f>
        <v>19</v>
      </c>
      <c r="AU48" s="71"/>
      <c r="AV48" s="71"/>
      <c r="AW48" s="71"/>
      <c r="AX48" s="71"/>
      <c r="AY48" s="71">
        <f>IFERROR(__xludf.DUMMYFUNCTION("""COMPUTED_VALUE"""),288.0)</f>
        <v>288</v>
      </c>
      <c r="AZ48" s="71">
        <f>IFERROR(__xludf.DUMMYFUNCTION("""COMPUTED_VALUE"""),311.0)</f>
        <v>311</v>
      </c>
      <c r="BA48" s="71">
        <f>IFERROR(__xludf.DUMMYFUNCTION("""COMPUTED_VALUE"""),335.88)</f>
        <v>335.88</v>
      </c>
      <c r="BB48" s="71">
        <f>IFERROR(__xludf.DUMMYFUNCTION("""COMPUTED_VALUE"""),335.88)</f>
        <v>335.88</v>
      </c>
      <c r="BC48" s="71">
        <f>IFERROR(__xludf.DUMMYFUNCTION("""COMPUTED_VALUE"""),386.0)</f>
        <v>386</v>
      </c>
      <c r="BD48" s="71">
        <f>IFERROR(__xludf.DUMMYFUNCTION("""COMPUTED_VALUE"""),405.0)</f>
        <v>405</v>
      </c>
      <c r="BE48" s="71">
        <f>IFERROR(__xludf.DUMMYFUNCTION("""COMPUTED_VALUE"""),64.8)</f>
        <v>64.8</v>
      </c>
      <c r="BF48" s="71">
        <f>IFERROR(__xludf.DUMMYFUNCTION("""COMPUTED_VALUE"""),469.8)</f>
        <v>469.8</v>
      </c>
      <c r="BG48" s="71">
        <f>IFERROR(__xludf.DUMMYFUNCTION("""COMPUTED_VALUE"""),0.04922279792746114)</f>
        <v>0.04922279793</v>
      </c>
      <c r="BH48" s="71">
        <f>IFERROR(__xludf.DUMMYFUNCTION("""COMPUTED_VALUE"""),384.75)</f>
        <v>384.75</v>
      </c>
      <c r="BI48" s="71">
        <f>IFERROR(__xludf.DUMMYFUNCTION("""COMPUTED_VALUE"""),61.56)</f>
        <v>61.56</v>
      </c>
      <c r="BJ48" s="71">
        <f>IFERROR(__xludf.DUMMYFUNCTION("""COMPUTED_VALUE"""),446.31)</f>
        <v>446.31</v>
      </c>
      <c r="BK48" s="71">
        <f>IFERROR(__xludf.DUMMYFUNCTION("""COMPUTED_VALUE"""),364.5)</f>
        <v>364.5</v>
      </c>
      <c r="BL48" s="71">
        <f>IFERROR(__xludf.DUMMYFUNCTION("""COMPUTED_VALUE"""),58.32)</f>
        <v>58.32</v>
      </c>
      <c r="BM48" s="71">
        <f>IFERROR(__xludf.DUMMYFUNCTION("""COMPUTED_VALUE"""),422.82)</f>
        <v>422.82</v>
      </c>
      <c r="BN48" s="71">
        <f>IFERROR(__xludf.DUMMYFUNCTION("""COMPUTED_VALUE"""),344.25)</f>
        <v>344.25</v>
      </c>
      <c r="BO48" s="71">
        <f>IFERROR(__xludf.DUMMYFUNCTION("""COMPUTED_VALUE"""),55.08)</f>
        <v>55.08</v>
      </c>
      <c r="BP48" s="71">
        <f>IFERROR(__xludf.DUMMYFUNCTION("""COMPUTED_VALUE"""),399.33)</f>
        <v>399.33</v>
      </c>
      <c r="BQ48" s="71">
        <f>IFERROR(__xludf.DUMMYFUNCTION("""COMPUTED_VALUE"""),336.15)</f>
        <v>336.15</v>
      </c>
      <c r="BR48" s="71">
        <f>IFERROR(__xludf.DUMMYFUNCTION("""COMPUTED_VALUE"""),53.784)</f>
        <v>53.784</v>
      </c>
      <c r="BS48" s="71">
        <f>IFERROR(__xludf.DUMMYFUNCTION("""COMPUTED_VALUE"""),389.93399999999997)</f>
        <v>389.934</v>
      </c>
      <c r="BT48" s="71">
        <f>IFERROR(__xludf.DUMMYFUNCTION("""COMPUTED_VALUE"""),324.0)</f>
        <v>324</v>
      </c>
      <c r="BU48" s="71">
        <f>IFERROR(__xludf.DUMMYFUNCTION("""COMPUTED_VALUE"""),51.84)</f>
        <v>51.84</v>
      </c>
      <c r="BV48" s="71">
        <f>IFERROR(__xludf.DUMMYFUNCTION("""COMPUTED_VALUE"""),375.84000000000003)</f>
        <v>375.84</v>
      </c>
    </row>
    <row r="49">
      <c r="A49" s="53"/>
      <c r="B49" s="53">
        <v>3.0</v>
      </c>
      <c r="C49" s="53" t="s">
        <v>36</v>
      </c>
      <c r="D49" s="53" t="s">
        <v>159</v>
      </c>
      <c r="E49" s="54" t="s">
        <v>38</v>
      </c>
      <c r="F49" s="55" t="s">
        <v>96</v>
      </c>
      <c r="G49" s="84" t="s">
        <v>160</v>
      </c>
      <c r="H49" s="84" t="s">
        <v>161</v>
      </c>
      <c r="I49" s="54">
        <f t="shared" si="1"/>
        <v>40</v>
      </c>
      <c r="J49" s="102"/>
      <c r="K49" s="102"/>
      <c r="L49" s="76"/>
      <c r="M49" s="59"/>
      <c r="N49" s="60"/>
      <c r="O49" s="100">
        <v>60002.0</v>
      </c>
      <c r="P49" s="62">
        <v>64802.16</v>
      </c>
      <c r="Q49" s="63">
        <v>64802.16</v>
      </c>
      <c r="R49" s="64">
        <v>71445.0</v>
      </c>
      <c r="S49" s="107">
        <v>75017.0</v>
      </c>
      <c r="T49" s="65">
        <f t="shared" si="2"/>
        <v>12002.72</v>
      </c>
      <c r="U49" s="65">
        <f t="shared" si="3"/>
        <v>87019.72</v>
      </c>
      <c r="V49" s="66">
        <f t="shared" si="4"/>
        <v>0.0499965008</v>
      </c>
      <c r="W49" s="67">
        <f t="shared" si="5"/>
        <v>71266.15</v>
      </c>
      <c r="X49" s="67">
        <f t="shared" si="6"/>
        <v>11402.584</v>
      </c>
      <c r="Y49" s="67">
        <f t="shared" si="7"/>
        <v>82668.734</v>
      </c>
      <c r="Z49" s="67">
        <f t="shared" si="8"/>
        <v>67515.3</v>
      </c>
      <c r="AA49" s="67">
        <f t="shared" si="9"/>
        <v>10802.448</v>
      </c>
      <c r="AB49" s="67">
        <f t="shared" si="10"/>
        <v>78317.748</v>
      </c>
      <c r="AC49" s="67">
        <f t="shared" si="11"/>
        <v>67515.3</v>
      </c>
      <c r="AD49" s="67">
        <f t="shared" si="12"/>
        <v>10802.448</v>
      </c>
      <c r="AE49" s="67">
        <f t="shared" si="13"/>
        <v>78317.748</v>
      </c>
      <c r="AF49" s="67">
        <f t="shared" si="14"/>
        <v>67515.3</v>
      </c>
      <c r="AG49" s="67">
        <f t="shared" si="15"/>
        <v>10802.448</v>
      </c>
      <c r="AH49" s="67">
        <f t="shared" si="16"/>
        <v>78317.748</v>
      </c>
      <c r="AI49" s="67">
        <f t="shared" si="17"/>
        <v>67515.3</v>
      </c>
      <c r="AJ49" s="68">
        <f t="shared" si="20"/>
        <v>10802.448</v>
      </c>
      <c r="AK49" s="68">
        <f t="shared" si="21"/>
        <v>78317.748</v>
      </c>
      <c r="AL49" s="70">
        <f>IFERROR(__xludf.DUMMYFUNCTION("""COMPUTED_VALUE"""),1.0)</f>
        <v>1</v>
      </c>
      <c r="AM49" s="70"/>
      <c r="AN49" s="71" t="str">
        <f>IFERROR(__xludf.DUMMYFUNCTION("""COMPUTED_VALUE""")," C")</f>
        <v>C</v>
      </c>
      <c r="AO49" s="71" t="str">
        <f>IFERROR(__xludf.DUMMYFUNCTION("""COMPUTED_VALUE""")," BA23")</f>
        <v>BA23</v>
      </c>
      <c r="AP49" s="71" t="str">
        <f>IFERROR(__xludf.DUMMYFUNCTION("""COMPUTED_VALUE""")," PZA")</f>
        <v>PZA</v>
      </c>
      <c r="AQ49" s="71" t="str">
        <f>IFERROR(__xludf.DUMMYFUNCTION("""COMPUTED_VALUE""")," REF")</f>
        <v>REF</v>
      </c>
      <c r="AR49" s="71" t="str">
        <f>IFERROR(__xludf.DUMMYFUNCTION("""COMPUTED_VALUE""")," BALERO 32207 MULTIMARCA")</f>
        <v>BALERO 32207 MULTIMARCA</v>
      </c>
      <c r="AS49" s="71" t="str">
        <f>IFERROR(__xludf.DUMMYFUNCTION("""COMPUTED_VALUE""")," BALERO 32207 MULTIMARCA")</f>
        <v>BALERO 32207 MULTIMARCA</v>
      </c>
      <c r="AT49" s="71">
        <f>IFERROR(__xludf.DUMMYFUNCTION("""COMPUTED_VALUE"""),23.0)</f>
        <v>23</v>
      </c>
      <c r="AU49" s="71"/>
      <c r="AV49" s="71"/>
      <c r="AW49" s="71"/>
      <c r="AX49" s="71"/>
      <c r="AY49" s="71">
        <f>IFERROR(__xludf.DUMMYFUNCTION("""COMPUTED_VALUE"""),150.0)</f>
        <v>150</v>
      </c>
      <c r="AZ49" s="71">
        <f>IFERROR(__xludf.DUMMYFUNCTION("""COMPUTED_VALUE"""),162.0)</f>
        <v>162</v>
      </c>
      <c r="BA49" s="71">
        <f>IFERROR(__xludf.DUMMYFUNCTION("""COMPUTED_VALUE"""),174.96)</f>
        <v>174.96</v>
      </c>
      <c r="BB49" s="71">
        <f>IFERROR(__xludf.DUMMYFUNCTION("""COMPUTED_VALUE"""),174.96)</f>
        <v>174.96</v>
      </c>
      <c r="BC49" s="71">
        <f>IFERROR(__xludf.DUMMYFUNCTION("""COMPUTED_VALUE"""),201.0)</f>
        <v>201</v>
      </c>
      <c r="BD49" s="71">
        <f>IFERROR(__xludf.DUMMYFUNCTION("""COMPUTED_VALUE"""),211.0)</f>
        <v>211</v>
      </c>
      <c r="BE49" s="71">
        <f>IFERROR(__xludf.DUMMYFUNCTION("""COMPUTED_VALUE"""),33.76)</f>
        <v>33.76</v>
      </c>
      <c r="BF49" s="71">
        <f>IFERROR(__xludf.DUMMYFUNCTION("""COMPUTED_VALUE"""),244.76)</f>
        <v>244.76</v>
      </c>
      <c r="BG49" s="71">
        <f>IFERROR(__xludf.DUMMYFUNCTION("""COMPUTED_VALUE"""),0.04975124378109453)</f>
        <v>0.04975124378</v>
      </c>
      <c r="BH49" s="71">
        <f>IFERROR(__xludf.DUMMYFUNCTION("""COMPUTED_VALUE"""),200.45)</f>
        <v>200.45</v>
      </c>
      <c r="BI49" s="71">
        <f>IFERROR(__xludf.DUMMYFUNCTION("""COMPUTED_VALUE"""),32.071999999999996)</f>
        <v>32.072</v>
      </c>
      <c r="BJ49" s="71">
        <f>IFERROR(__xludf.DUMMYFUNCTION("""COMPUTED_VALUE"""),232.522)</f>
        <v>232.522</v>
      </c>
      <c r="BK49" s="71">
        <f>IFERROR(__xludf.DUMMYFUNCTION("""COMPUTED_VALUE"""),189.9)</f>
        <v>189.9</v>
      </c>
      <c r="BL49" s="71">
        <f>IFERROR(__xludf.DUMMYFUNCTION("""COMPUTED_VALUE"""),30.384)</f>
        <v>30.384</v>
      </c>
      <c r="BM49" s="71">
        <f>IFERROR(__xludf.DUMMYFUNCTION("""COMPUTED_VALUE"""),220.284)</f>
        <v>220.284</v>
      </c>
      <c r="BN49" s="71">
        <f>IFERROR(__xludf.DUMMYFUNCTION("""COMPUTED_VALUE"""),179.35)</f>
        <v>179.35</v>
      </c>
      <c r="BO49" s="71">
        <f>IFERROR(__xludf.DUMMYFUNCTION("""COMPUTED_VALUE"""),28.695999999999998)</f>
        <v>28.696</v>
      </c>
      <c r="BP49" s="71">
        <f>IFERROR(__xludf.DUMMYFUNCTION("""COMPUTED_VALUE"""),208.046)</f>
        <v>208.046</v>
      </c>
      <c r="BQ49" s="71">
        <f>IFERROR(__xludf.DUMMYFUNCTION("""COMPUTED_VALUE"""),175.13)</f>
        <v>175.13</v>
      </c>
      <c r="BR49" s="71">
        <f>IFERROR(__xludf.DUMMYFUNCTION("""COMPUTED_VALUE"""),28.0208)</f>
        <v>28.0208</v>
      </c>
      <c r="BS49" s="71">
        <f>IFERROR(__xludf.DUMMYFUNCTION("""COMPUTED_VALUE"""),203.1508)</f>
        <v>203.1508</v>
      </c>
      <c r="BT49" s="71">
        <f>IFERROR(__xludf.DUMMYFUNCTION("""COMPUTED_VALUE"""),168.8)</f>
        <v>168.8</v>
      </c>
      <c r="BU49" s="71">
        <f>IFERROR(__xludf.DUMMYFUNCTION("""COMPUTED_VALUE"""),27.008000000000003)</f>
        <v>27.008</v>
      </c>
      <c r="BV49" s="71">
        <f>IFERROR(__xludf.DUMMYFUNCTION("""COMPUTED_VALUE"""),195.80800000000002)</f>
        <v>195.808</v>
      </c>
    </row>
    <row r="50">
      <c r="A50" s="53"/>
      <c r="B50" s="53">
        <v>3.0</v>
      </c>
      <c r="C50" s="53" t="s">
        <v>36</v>
      </c>
      <c r="D50" s="85" t="s">
        <v>162</v>
      </c>
      <c r="E50" s="54" t="s">
        <v>38</v>
      </c>
      <c r="F50" s="55" t="s">
        <v>96</v>
      </c>
      <c r="G50" s="108" t="s">
        <v>163</v>
      </c>
      <c r="H50" s="108"/>
      <c r="I50" s="54">
        <f t="shared" si="1"/>
        <v>0</v>
      </c>
      <c r="J50" s="109"/>
      <c r="K50" s="109"/>
      <c r="L50" s="76"/>
      <c r="M50" s="59"/>
      <c r="N50" s="60"/>
      <c r="O50" s="110">
        <v>73996.0</v>
      </c>
      <c r="P50" s="62">
        <v>79915.68000000001</v>
      </c>
      <c r="Q50" s="63">
        <v>79915.68000000001</v>
      </c>
      <c r="R50" s="64">
        <v>88108.0</v>
      </c>
      <c r="S50" s="111">
        <v>92513.0</v>
      </c>
      <c r="T50" s="65">
        <f t="shared" si="2"/>
        <v>14802.08</v>
      </c>
      <c r="U50" s="65">
        <f t="shared" si="3"/>
        <v>107315.08</v>
      </c>
      <c r="V50" s="66">
        <f t="shared" si="4"/>
        <v>0.04999546012</v>
      </c>
      <c r="W50" s="67">
        <f t="shared" si="5"/>
        <v>87887.35</v>
      </c>
      <c r="X50" s="67">
        <f t="shared" si="6"/>
        <v>14061.976</v>
      </c>
      <c r="Y50" s="67">
        <f t="shared" si="7"/>
        <v>101949.326</v>
      </c>
      <c r="Z50" s="67">
        <f t="shared" si="8"/>
        <v>83261.7</v>
      </c>
      <c r="AA50" s="67">
        <f t="shared" si="9"/>
        <v>13321.872</v>
      </c>
      <c r="AB50" s="67">
        <f t="shared" si="10"/>
        <v>96583.572</v>
      </c>
      <c r="AC50" s="67">
        <f t="shared" si="11"/>
        <v>83261.7</v>
      </c>
      <c r="AD50" s="67">
        <f t="shared" si="12"/>
        <v>13321.872</v>
      </c>
      <c r="AE50" s="67">
        <f t="shared" si="13"/>
        <v>96583.572</v>
      </c>
      <c r="AF50" s="67">
        <f t="shared" si="14"/>
        <v>83261.7</v>
      </c>
      <c r="AG50" s="67">
        <f t="shared" si="15"/>
        <v>13321.872</v>
      </c>
      <c r="AH50" s="67">
        <f t="shared" si="16"/>
        <v>96583.572</v>
      </c>
      <c r="AI50" s="67">
        <f t="shared" si="17"/>
        <v>83261.7</v>
      </c>
      <c r="AJ50" s="68">
        <f t="shared" si="20"/>
        <v>13321.872</v>
      </c>
      <c r="AK50" s="68">
        <f t="shared" si="21"/>
        <v>96583.572</v>
      </c>
      <c r="AL50" s="70">
        <f>IFERROR(__xludf.DUMMYFUNCTION("""COMPUTED_VALUE"""),1.0)</f>
        <v>1</v>
      </c>
      <c r="AM50" s="70"/>
      <c r="AN50" s="71" t="str">
        <f>IFERROR(__xludf.DUMMYFUNCTION("""COMPUTED_VALUE""")," C")</f>
        <v>C</v>
      </c>
      <c r="AO50" s="71" t="str">
        <f>IFERROR(__xludf.DUMMYFUNCTION("""COMPUTED_VALUE""")," BA24")</f>
        <v>BA24</v>
      </c>
      <c r="AP50" s="71" t="str">
        <f>IFERROR(__xludf.DUMMYFUNCTION("""COMPUTED_VALUE""")," PZA")</f>
        <v>PZA</v>
      </c>
      <c r="AQ50" s="71" t="str">
        <f>IFERROR(__xludf.DUMMYFUNCTION("""COMPUTED_VALUE""")," REF")</f>
        <v>REF</v>
      </c>
      <c r="AR50" s="71" t="str">
        <f>IFERROR(__xludf.DUMMYFUNCTION("""COMPUTED_VALUE""")," BALERO 32207 ZKL/ZVL")</f>
        <v>BALERO 32207 ZKL/ZVL</v>
      </c>
      <c r="AS50" s="71" t="str">
        <f>IFERROR(__xludf.DUMMYFUNCTION("""COMPUTED_VALUE""")," BALERO 32207 ZKL/ZVL")</f>
        <v>BALERO 32207 ZKL/ZVL</v>
      </c>
      <c r="AT50" s="71">
        <f>IFERROR(__xludf.DUMMYFUNCTION("""COMPUTED_VALUE"""),20.0)</f>
        <v>20</v>
      </c>
      <c r="AU50" s="71"/>
      <c r="AV50" s="71"/>
      <c r="AW50" s="71"/>
      <c r="AX50" s="71"/>
      <c r="AY50" s="71">
        <f>IFERROR(__xludf.DUMMYFUNCTION("""COMPUTED_VALUE"""),268.0)</f>
        <v>268</v>
      </c>
      <c r="AZ50" s="71">
        <f>IFERROR(__xludf.DUMMYFUNCTION("""COMPUTED_VALUE"""),289.0)</f>
        <v>289</v>
      </c>
      <c r="BA50" s="71">
        <f>IFERROR(__xludf.DUMMYFUNCTION("""COMPUTED_VALUE"""),312.12)</f>
        <v>312.12</v>
      </c>
      <c r="BB50" s="71">
        <f>IFERROR(__xludf.DUMMYFUNCTION("""COMPUTED_VALUE"""),312.12)</f>
        <v>312.12</v>
      </c>
      <c r="BC50" s="71">
        <f>IFERROR(__xludf.DUMMYFUNCTION("""COMPUTED_VALUE"""),348.0)</f>
        <v>348</v>
      </c>
      <c r="BD50" s="71">
        <f>IFERROR(__xludf.DUMMYFUNCTION("""COMPUTED_VALUE"""),365.0)</f>
        <v>365</v>
      </c>
      <c r="BE50" s="71">
        <f>IFERROR(__xludf.DUMMYFUNCTION("""COMPUTED_VALUE"""),58.4)</f>
        <v>58.4</v>
      </c>
      <c r="BF50" s="71">
        <f>IFERROR(__xludf.DUMMYFUNCTION("""COMPUTED_VALUE"""),423.4)</f>
        <v>423.4</v>
      </c>
      <c r="BG50" s="71">
        <f>IFERROR(__xludf.DUMMYFUNCTION("""COMPUTED_VALUE"""),0.04885057471264368)</f>
        <v>0.04885057471</v>
      </c>
      <c r="BH50" s="71">
        <f>IFERROR(__xludf.DUMMYFUNCTION("""COMPUTED_VALUE"""),346.75)</f>
        <v>346.75</v>
      </c>
      <c r="BI50" s="71">
        <f>IFERROR(__xludf.DUMMYFUNCTION("""COMPUTED_VALUE"""),55.480000000000004)</f>
        <v>55.48</v>
      </c>
      <c r="BJ50" s="71">
        <f>IFERROR(__xludf.DUMMYFUNCTION("""COMPUTED_VALUE"""),402.23)</f>
        <v>402.23</v>
      </c>
      <c r="BK50" s="71">
        <f>IFERROR(__xludf.DUMMYFUNCTION("""COMPUTED_VALUE"""),328.5)</f>
        <v>328.5</v>
      </c>
      <c r="BL50" s="71">
        <f>IFERROR(__xludf.DUMMYFUNCTION("""COMPUTED_VALUE"""),52.56)</f>
        <v>52.56</v>
      </c>
      <c r="BM50" s="71">
        <f>IFERROR(__xludf.DUMMYFUNCTION("""COMPUTED_VALUE"""),381.06)</f>
        <v>381.06</v>
      </c>
      <c r="BN50" s="71">
        <f>IFERROR(__xludf.DUMMYFUNCTION("""COMPUTED_VALUE"""),310.25)</f>
        <v>310.25</v>
      </c>
      <c r="BO50" s="71">
        <f>IFERROR(__xludf.DUMMYFUNCTION("""COMPUTED_VALUE"""),49.64)</f>
        <v>49.64</v>
      </c>
      <c r="BP50" s="71">
        <f>IFERROR(__xludf.DUMMYFUNCTION("""COMPUTED_VALUE"""),359.89)</f>
        <v>359.89</v>
      </c>
      <c r="BQ50" s="71">
        <f>IFERROR(__xludf.DUMMYFUNCTION("""COMPUTED_VALUE"""),302.95)</f>
        <v>302.95</v>
      </c>
      <c r="BR50" s="71">
        <f>IFERROR(__xludf.DUMMYFUNCTION("""COMPUTED_VALUE"""),48.472)</f>
        <v>48.472</v>
      </c>
      <c r="BS50" s="71">
        <f>IFERROR(__xludf.DUMMYFUNCTION("""COMPUTED_VALUE"""),351.42199999999997)</f>
        <v>351.422</v>
      </c>
      <c r="BT50" s="71">
        <f>IFERROR(__xludf.DUMMYFUNCTION("""COMPUTED_VALUE"""),292.0)</f>
        <v>292</v>
      </c>
      <c r="BU50" s="71">
        <f>IFERROR(__xludf.DUMMYFUNCTION("""COMPUTED_VALUE"""),46.72)</f>
        <v>46.72</v>
      </c>
      <c r="BV50" s="71">
        <f>IFERROR(__xludf.DUMMYFUNCTION("""COMPUTED_VALUE"""),338.72)</f>
        <v>338.72</v>
      </c>
    </row>
    <row r="51">
      <c r="A51" s="53"/>
      <c r="B51" s="53">
        <v>3.0</v>
      </c>
      <c r="C51" s="53" t="s">
        <v>36</v>
      </c>
      <c r="D51" s="98" t="s">
        <v>164</v>
      </c>
      <c r="E51" s="54" t="s">
        <v>38</v>
      </c>
      <c r="F51" s="55" t="s">
        <v>61</v>
      </c>
      <c r="G51" s="86" t="s">
        <v>165</v>
      </c>
      <c r="H51" s="55"/>
      <c r="I51" s="54">
        <f t="shared" si="1"/>
        <v>0</v>
      </c>
      <c r="J51" s="56"/>
      <c r="K51" s="57"/>
      <c r="L51" s="76"/>
      <c r="M51" s="59"/>
      <c r="N51" s="60"/>
      <c r="O51" s="61">
        <v>20480.0</v>
      </c>
      <c r="P51" s="62">
        <v>22118.4</v>
      </c>
      <c r="Q51" s="63">
        <v>22118.4</v>
      </c>
      <c r="R51" s="64">
        <v>24386.0</v>
      </c>
      <c r="S51" s="107">
        <v>25605.0</v>
      </c>
      <c r="T51" s="65">
        <f t="shared" si="2"/>
        <v>4096.8</v>
      </c>
      <c r="U51" s="65">
        <f t="shared" si="3"/>
        <v>29701.8</v>
      </c>
      <c r="V51" s="66">
        <f t="shared" si="4"/>
        <v>0.04998769786</v>
      </c>
      <c r="W51" s="67">
        <f t="shared" si="5"/>
        <v>24324.75</v>
      </c>
      <c r="X51" s="67">
        <f t="shared" si="6"/>
        <v>3891.96</v>
      </c>
      <c r="Y51" s="67">
        <f t="shared" si="7"/>
        <v>28216.71</v>
      </c>
      <c r="Z51" s="67">
        <f t="shared" si="8"/>
        <v>23044.5</v>
      </c>
      <c r="AA51" s="67">
        <f t="shared" si="9"/>
        <v>3687.12</v>
      </c>
      <c r="AB51" s="67">
        <f t="shared" si="10"/>
        <v>26731.62</v>
      </c>
      <c r="AC51" s="67">
        <f t="shared" si="11"/>
        <v>23044.5</v>
      </c>
      <c r="AD51" s="67">
        <f t="shared" si="12"/>
        <v>3687.12</v>
      </c>
      <c r="AE51" s="67">
        <f t="shared" si="13"/>
        <v>26731.62</v>
      </c>
      <c r="AF51" s="67">
        <f t="shared" si="14"/>
        <v>23044.5</v>
      </c>
      <c r="AG51" s="67">
        <f t="shared" si="15"/>
        <v>3687.12</v>
      </c>
      <c r="AH51" s="67">
        <f t="shared" si="16"/>
        <v>26731.62</v>
      </c>
      <c r="AI51" s="67">
        <f t="shared" si="17"/>
        <v>23044.5</v>
      </c>
      <c r="AJ51" s="68">
        <f t="shared" si="20"/>
        <v>3687.12</v>
      </c>
      <c r="AK51" s="68">
        <f t="shared" si="21"/>
        <v>26731.62</v>
      </c>
      <c r="AL51" s="70">
        <f>IFERROR(__xludf.DUMMYFUNCTION("""COMPUTED_VALUE"""),1.0)</f>
        <v>1</v>
      </c>
      <c r="AM51" s="70"/>
      <c r="AN51" s="71" t="str">
        <f>IFERROR(__xludf.DUMMYFUNCTION("""COMPUTED_VALUE""")," C")</f>
        <v>C</v>
      </c>
      <c r="AO51" s="71" t="str">
        <f>IFERROR(__xludf.DUMMYFUNCTION("""COMPUTED_VALUE""")," BA75")</f>
        <v>BA75</v>
      </c>
      <c r="AP51" s="71" t="str">
        <f>IFERROR(__xludf.DUMMYFUNCTION("""COMPUTED_VALUE""")," PZA")</f>
        <v>PZA</v>
      </c>
      <c r="AQ51" s="71" t="str">
        <f>IFERROR(__xludf.DUMMYFUNCTION("""COMPUTED_VALUE""")," REF")</f>
        <v>REF</v>
      </c>
      <c r="AR51" s="71" t="str">
        <f>IFERROR(__xludf.DUMMYFUNCTION("""COMPUTED_VALUE""")," BALERO 32209 MULTIMARCA")</f>
        <v>BALERO 32209 MULTIMARCA</v>
      </c>
      <c r="AS51" s="71" t="str">
        <f>IFERROR(__xludf.DUMMYFUNCTION("""COMPUTED_VALUE""")," BALERO 32209 MULTIMARCA")</f>
        <v>BALERO 32209 MULTIMARCA</v>
      </c>
      <c r="AT51" s="71">
        <f>IFERROR(__xludf.DUMMYFUNCTION("""COMPUTED_VALUE"""),23.0)</f>
        <v>23</v>
      </c>
      <c r="AU51" s="71"/>
      <c r="AV51" s="71"/>
      <c r="AW51" s="71"/>
      <c r="AX51" s="71"/>
      <c r="AY51" s="71"/>
      <c r="AZ51" s="71"/>
      <c r="BA51" s="71">
        <f>IFERROR(__xludf.DUMMYFUNCTION("""COMPUTED_VALUE"""),225.0)</f>
        <v>225</v>
      </c>
      <c r="BB51" s="71">
        <f>IFERROR(__xludf.DUMMYFUNCTION("""COMPUTED_VALUE"""),225.0)</f>
        <v>225</v>
      </c>
      <c r="BC51" s="71">
        <f>IFERROR(__xludf.DUMMYFUNCTION("""COMPUTED_VALUE"""),237.0)</f>
        <v>237</v>
      </c>
      <c r="BD51" s="71">
        <f>IFERROR(__xludf.DUMMYFUNCTION("""COMPUTED_VALUE"""),249.0)</f>
        <v>249</v>
      </c>
      <c r="BE51" s="71">
        <f>IFERROR(__xludf.DUMMYFUNCTION("""COMPUTED_VALUE"""),39.84)</f>
        <v>39.84</v>
      </c>
      <c r="BF51" s="71">
        <f>IFERROR(__xludf.DUMMYFUNCTION("""COMPUTED_VALUE"""),288.84000000000003)</f>
        <v>288.84</v>
      </c>
      <c r="BG51" s="71">
        <f>IFERROR(__xludf.DUMMYFUNCTION("""COMPUTED_VALUE"""),0.05063291139240506)</f>
        <v>0.05063291139</v>
      </c>
      <c r="BH51" s="71">
        <f>IFERROR(__xludf.DUMMYFUNCTION("""COMPUTED_VALUE"""),236.54999999999998)</f>
        <v>236.55</v>
      </c>
      <c r="BI51" s="71">
        <f>IFERROR(__xludf.DUMMYFUNCTION("""COMPUTED_VALUE"""),37.848)</f>
        <v>37.848</v>
      </c>
      <c r="BJ51" s="71">
        <f>IFERROR(__xludf.DUMMYFUNCTION("""COMPUTED_VALUE"""),274.39799999999997)</f>
        <v>274.398</v>
      </c>
      <c r="BK51" s="71">
        <f>IFERROR(__xludf.DUMMYFUNCTION("""COMPUTED_VALUE"""),224.1)</f>
        <v>224.1</v>
      </c>
      <c r="BL51" s="71">
        <f>IFERROR(__xludf.DUMMYFUNCTION("""COMPUTED_VALUE"""),35.856)</f>
        <v>35.856</v>
      </c>
      <c r="BM51" s="71">
        <f>IFERROR(__xludf.DUMMYFUNCTION("""COMPUTED_VALUE"""),259.956)</f>
        <v>259.956</v>
      </c>
      <c r="BN51" s="71">
        <f>IFERROR(__xludf.DUMMYFUNCTION("""COMPUTED_VALUE"""),211.65)</f>
        <v>211.65</v>
      </c>
      <c r="BO51" s="71">
        <f>IFERROR(__xludf.DUMMYFUNCTION("""COMPUTED_VALUE"""),33.864000000000004)</f>
        <v>33.864</v>
      </c>
      <c r="BP51" s="71">
        <f>IFERROR(__xludf.DUMMYFUNCTION("""COMPUTED_VALUE"""),245.514)</f>
        <v>245.514</v>
      </c>
      <c r="BQ51" s="71">
        <f>IFERROR(__xludf.DUMMYFUNCTION("""COMPUTED_VALUE"""),206.67)</f>
        <v>206.67</v>
      </c>
      <c r="BR51" s="71">
        <f>IFERROR(__xludf.DUMMYFUNCTION("""COMPUTED_VALUE"""),33.0672)</f>
        <v>33.0672</v>
      </c>
      <c r="BS51" s="71">
        <f>IFERROR(__xludf.DUMMYFUNCTION("""COMPUTED_VALUE"""),239.73719999999997)</f>
        <v>239.7372</v>
      </c>
      <c r="BT51" s="71">
        <f>IFERROR(__xludf.DUMMYFUNCTION("""COMPUTED_VALUE"""),199.20000000000002)</f>
        <v>199.2</v>
      </c>
      <c r="BU51" s="71">
        <f>IFERROR(__xludf.DUMMYFUNCTION("""COMPUTED_VALUE"""),31.872000000000003)</f>
        <v>31.872</v>
      </c>
      <c r="BV51" s="71">
        <f>IFERROR(__xludf.DUMMYFUNCTION("""COMPUTED_VALUE"""),231.07200000000003)</f>
        <v>231.072</v>
      </c>
    </row>
    <row r="52">
      <c r="A52" s="53"/>
      <c r="B52" s="53">
        <v>3.0</v>
      </c>
      <c r="C52" s="53" t="s">
        <v>36</v>
      </c>
      <c r="D52" s="98" t="s">
        <v>166</v>
      </c>
      <c r="E52" s="54" t="s">
        <v>38</v>
      </c>
      <c r="F52" s="55" t="s">
        <v>61</v>
      </c>
      <c r="G52" s="101" t="s">
        <v>167</v>
      </c>
      <c r="H52" s="55"/>
      <c r="I52" s="54">
        <f t="shared" si="1"/>
        <v>0</v>
      </c>
      <c r="J52" s="56"/>
      <c r="K52" s="57"/>
      <c r="L52" s="76"/>
      <c r="M52" s="59"/>
      <c r="N52" s="60"/>
      <c r="O52" s="61">
        <v>22122.0</v>
      </c>
      <c r="P52" s="62">
        <v>23891.760000000002</v>
      </c>
      <c r="Q52" s="63">
        <v>23891.760000000002</v>
      </c>
      <c r="R52" s="64">
        <v>26342.0</v>
      </c>
      <c r="S52" s="107">
        <v>27659.0</v>
      </c>
      <c r="T52" s="65">
        <f t="shared" si="2"/>
        <v>4425.44</v>
      </c>
      <c r="U52" s="65">
        <f t="shared" si="3"/>
        <v>32084.44</v>
      </c>
      <c r="V52" s="66">
        <f t="shared" si="4"/>
        <v>0.04999620378</v>
      </c>
      <c r="W52" s="67">
        <f t="shared" si="5"/>
        <v>26276.05</v>
      </c>
      <c r="X52" s="67">
        <f t="shared" si="6"/>
        <v>4204.168</v>
      </c>
      <c r="Y52" s="67">
        <f t="shared" si="7"/>
        <v>30480.218</v>
      </c>
      <c r="Z52" s="67">
        <f t="shared" si="8"/>
        <v>24893.1</v>
      </c>
      <c r="AA52" s="67">
        <f t="shared" si="9"/>
        <v>3982.896</v>
      </c>
      <c r="AB52" s="67">
        <f t="shared" si="10"/>
        <v>28875.996</v>
      </c>
      <c r="AC52" s="67">
        <f t="shared" si="11"/>
        <v>24893.1</v>
      </c>
      <c r="AD52" s="67">
        <f t="shared" si="12"/>
        <v>3982.896</v>
      </c>
      <c r="AE52" s="67">
        <f t="shared" si="13"/>
        <v>28875.996</v>
      </c>
      <c r="AF52" s="67">
        <f t="shared" si="14"/>
        <v>24893.1</v>
      </c>
      <c r="AG52" s="67">
        <f t="shared" si="15"/>
        <v>3982.896</v>
      </c>
      <c r="AH52" s="67">
        <f t="shared" si="16"/>
        <v>28875.996</v>
      </c>
      <c r="AI52" s="67">
        <f t="shared" si="17"/>
        <v>24893.1</v>
      </c>
      <c r="AJ52" s="68">
        <f t="shared" si="20"/>
        <v>3982.896</v>
      </c>
      <c r="AK52" s="68">
        <f t="shared" si="21"/>
        <v>28875.996</v>
      </c>
      <c r="AL52" s="70">
        <f>IFERROR(__xludf.DUMMYFUNCTION("""COMPUTED_VALUE"""),1.0)</f>
        <v>1</v>
      </c>
      <c r="AM52" s="70"/>
      <c r="AN52" s="71" t="str">
        <f>IFERROR(__xludf.DUMMYFUNCTION("""COMPUTED_VALUE""")," C")</f>
        <v>C</v>
      </c>
      <c r="AO52" s="71" t="str">
        <f>IFERROR(__xludf.DUMMYFUNCTION("""COMPUTED_VALUE""")," BA38")</f>
        <v>BA38</v>
      </c>
      <c r="AP52" s="71" t="str">
        <f>IFERROR(__xludf.DUMMYFUNCTION("""COMPUTED_VALUE""")," PZA")</f>
        <v>PZA</v>
      </c>
      <c r="AQ52" s="71" t="str">
        <f>IFERROR(__xludf.DUMMYFUNCTION("""COMPUTED_VALUE""")," REF")</f>
        <v>REF</v>
      </c>
      <c r="AR52" s="71" t="str">
        <f>IFERROR(__xludf.DUMMYFUNCTION("""COMPUTED_VALUE""")," BALERO 32209 ZKL/ZVL")</f>
        <v>BALERO 32209 ZKL/ZVL</v>
      </c>
      <c r="AS52" s="71" t="str">
        <f>IFERROR(__xludf.DUMMYFUNCTION("""COMPUTED_VALUE""")," BALERO 32209 ZKL/ZVL")</f>
        <v>BALERO 32209 ZKL/ZVL</v>
      </c>
      <c r="AT52" s="71">
        <f>IFERROR(__xludf.DUMMYFUNCTION("""COMPUTED_VALUE"""),20.0)</f>
        <v>20</v>
      </c>
      <c r="AU52" s="71"/>
      <c r="AV52" s="71"/>
      <c r="AW52" s="71"/>
      <c r="AX52" s="71"/>
      <c r="AY52" s="71">
        <f>IFERROR(__xludf.DUMMYFUNCTION("""COMPUTED_VALUE"""),495.0)</f>
        <v>495</v>
      </c>
      <c r="AZ52" s="71">
        <f>IFERROR(__xludf.DUMMYFUNCTION("""COMPUTED_VALUE"""),534.0)</f>
        <v>534</v>
      </c>
      <c r="BA52" s="71">
        <f>IFERROR(__xludf.DUMMYFUNCTION("""COMPUTED_VALUE"""),576.72)</f>
        <v>576.72</v>
      </c>
      <c r="BB52" s="71">
        <f>IFERROR(__xludf.DUMMYFUNCTION("""COMPUTED_VALUE"""),576.72)</f>
        <v>576.72</v>
      </c>
      <c r="BC52" s="71">
        <f>IFERROR(__xludf.DUMMYFUNCTION("""COMPUTED_VALUE"""),606.0)</f>
        <v>606</v>
      </c>
      <c r="BD52" s="71">
        <f>IFERROR(__xludf.DUMMYFUNCTION("""COMPUTED_VALUE"""),636.0)</f>
        <v>636</v>
      </c>
      <c r="BE52" s="71">
        <f>IFERROR(__xludf.DUMMYFUNCTION("""COMPUTED_VALUE"""),101.76)</f>
        <v>101.76</v>
      </c>
      <c r="BF52" s="71">
        <f>IFERROR(__xludf.DUMMYFUNCTION("""COMPUTED_VALUE"""),737.76)</f>
        <v>737.76</v>
      </c>
      <c r="BG52" s="71">
        <f>IFERROR(__xludf.DUMMYFUNCTION("""COMPUTED_VALUE"""),0.04950495049504951)</f>
        <v>0.0495049505</v>
      </c>
      <c r="BH52" s="71">
        <f>IFERROR(__xludf.DUMMYFUNCTION("""COMPUTED_VALUE"""),604.1999999999999)</f>
        <v>604.2</v>
      </c>
      <c r="BI52" s="71">
        <f>IFERROR(__xludf.DUMMYFUNCTION("""COMPUTED_VALUE"""),96.672)</f>
        <v>96.672</v>
      </c>
      <c r="BJ52" s="71">
        <f>IFERROR(__xludf.DUMMYFUNCTION("""COMPUTED_VALUE"""),700.872)</f>
        <v>700.872</v>
      </c>
      <c r="BK52" s="71">
        <f>IFERROR(__xludf.DUMMYFUNCTION("""COMPUTED_VALUE"""),572.4)</f>
        <v>572.4</v>
      </c>
      <c r="BL52" s="71">
        <f>IFERROR(__xludf.DUMMYFUNCTION("""COMPUTED_VALUE"""),91.584)</f>
        <v>91.584</v>
      </c>
      <c r="BM52" s="71">
        <f>IFERROR(__xludf.DUMMYFUNCTION("""COMPUTED_VALUE"""),663.9839999999999)</f>
        <v>663.984</v>
      </c>
      <c r="BN52" s="71">
        <f>IFERROR(__xludf.DUMMYFUNCTION("""COMPUTED_VALUE"""),540.6)</f>
        <v>540.6</v>
      </c>
      <c r="BO52" s="71">
        <f>IFERROR(__xludf.DUMMYFUNCTION("""COMPUTED_VALUE"""),86.49600000000001)</f>
        <v>86.496</v>
      </c>
      <c r="BP52" s="71">
        <f>IFERROR(__xludf.DUMMYFUNCTION("""COMPUTED_VALUE"""),627.096)</f>
        <v>627.096</v>
      </c>
      <c r="BQ52" s="71">
        <f>IFERROR(__xludf.DUMMYFUNCTION("""COMPUTED_VALUE"""),527.88)</f>
        <v>527.88</v>
      </c>
      <c r="BR52" s="71">
        <f>IFERROR(__xludf.DUMMYFUNCTION("""COMPUTED_VALUE"""),84.4608)</f>
        <v>84.4608</v>
      </c>
      <c r="BS52" s="71">
        <f>IFERROR(__xludf.DUMMYFUNCTION("""COMPUTED_VALUE"""),612.3408)</f>
        <v>612.3408</v>
      </c>
      <c r="BT52" s="71">
        <f>IFERROR(__xludf.DUMMYFUNCTION("""COMPUTED_VALUE"""),508.8)</f>
        <v>508.8</v>
      </c>
      <c r="BU52" s="71">
        <f>IFERROR(__xludf.DUMMYFUNCTION("""COMPUTED_VALUE"""),81.408)</f>
        <v>81.408</v>
      </c>
      <c r="BV52" s="71">
        <f>IFERROR(__xludf.DUMMYFUNCTION("""COMPUTED_VALUE"""),590.208)</f>
        <v>590.208</v>
      </c>
    </row>
    <row r="53">
      <c r="A53" s="53"/>
      <c r="B53" s="53">
        <v>3.0</v>
      </c>
      <c r="C53" s="53" t="s">
        <v>36</v>
      </c>
      <c r="D53" s="85" t="s">
        <v>168</v>
      </c>
      <c r="E53" s="54" t="s">
        <v>38</v>
      </c>
      <c r="F53" s="55" t="s">
        <v>96</v>
      </c>
      <c r="G53" s="84" t="s">
        <v>169</v>
      </c>
      <c r="H53" s="84"/>
      <c r="I53" s="54">
        <f t="shared" si="1"/>
        <v>0</v>
      </c>
      <c r="J53" s="102"/>
      <c r="K53" s="102"/>
      <c r="L53" s="76"/>
      <c r="M53" s="59"/>
      <c r="N53" s="60"/>
      <c r="O53" s="100">
        <v>54547.0</v>
      </c>
      <c r="P53" s="62">
        <v>58910.76</v>
      </c>
      <c r="Q53" s="63">
        <v>58910.76</v>
      </c>
      <c r="R53" s="64">
        <v>64950.0</v>
      </c>
      <c r="S53" s="112">
        <v>68198.0</v>
      </c>
      <c r="T53" s="65">
        <f t="shared" si="2"/>
        <v>10911.68</v>
      </c>
      <c r="U53" s="65">
        <f t="shared" si="3"/>
        <v>79109.68</v>
      </c>
      <c r="V53" s="66">
        <f t="shared" si="4"/>
        <v>0.05000769823</v>
      </c>
      <c r="W53" s="67">
        <f t="shared" si="5"/>
        <v>64788.1</v>
      </c>
      <c r="X53" s="67">
        <f t="shared" si="6"/>
        <v>10366.096</v>
      </c>
      <c r="Y53" s="67">
        <f t="shared" si="7"/>
        <v>75154.196</v>
      </c>
      <c r="Z53" s="67">
        <f t="shared" si="8"/>
        <v>61378.2</v>
      </c>
      <c r="AA53" s="67">
        <f t="shared" si="9"/>
        <v>9820.512</v>
      </c>
      <c r="AB53" s="67">
        <f t="shared" si="10"/>
        <v>71198.712</v>
      </c>
      <c r="AC53" s="67">
        <f t="shared" si="11"/>
        <v>61378.2</v>
      </c>
      <c r="AD53" s="67">
        <f t="shared" si="12"/>
        <v>9820.512</v>
      </c>
      <c r="AE53" s="67">
        <f t="shared" si="13"/>
        <v>71198.712</v>
      </c>
      <c r="AF53" s="67">
        <f t="shared" si="14"/>
        <v>61378.2</v>
      </c>
      <c r="AG53" s="67">
        <f t="shared" si="15"/>
        <v>9820.512</v>
      </c>
      <c r="AH53" s="67">
        <f t="shared" si="16"/>
        <v>71198.712</v>
      </c>
      <c r="AI53" s="67">
        <f t="shared" si="17"/>
        <v>61378.2</v>
      </c>
      <c r="AJ53" s="68">
        <f t="shared" si="20"/>
        <v>9820.512</v>
      </c>
      <c r="AK53" s="68">
        <f t="shared" si="21"/>
        <v>71198.712</v>
      </c>
      <c r="AL53" s="70">
        <f>IFERROR(__xludf.DUMMYFUNCTION("""COMPUTED_VALUE"""),1.0)</f>
        <v>1</v>
      </c>
      <c r="AM53" s="70"/>
      <c r="AN53" s="71" t="str">
        <f>IFERROR(__xludf.DUMMYFUNCTION("""COMPUTED_VALUE""")," C")</f>
        <v>C</v>
      </c>
      <c r="AO53" s="71" t="str">
        <f>IFERROR(__xludf.DUMMYFUNCTION("""COMPUTED_VALUE""")," BA71")</f>
        <v>BA71</v>
      </c>
      <c r="AP53" s="71" t="str">
        <f>IFERROR(__xludf.DUMMYFUNCTION("""COMPUTED_VALUE""")," PZA")</f>
        <v>PZA</v>
      </c>
      <c r="AQ53" s="71" t="str">
        <f>IFERROR(__xludf.DUMMYFUNCTION("""COMPUTED_VALUE""")," REF")</f>
        <v>REF</v>
      </c>
      <c r="AR53" s="71" t="str">
        <f>IFERROR(__xludf.DUMMYFUNCTION("""COMPUTED_VALUE""")," BALERO 32210 ZKL/ZVL")</f>
        <v>BALERO 32210 ZKL/ZVL</v>
      </c>
      <c r="AS53" s="71" t="str">
        <f>IFERROR(__xludf.DUMMYFUNCTION("""COMPUTED_VALUE""")," BALERO 32210 ZKL/ZVL")</f>
        <v>BALERO 32210 ZKL/ZVL</v>
      </c>
      <c r="AT53" s="71">
        <f>IFERROR(__xludf.DUMMYFUNCTION("""COMPUTED_VALUE"""),20.0)</f>
        <v>20</v>
      </c>
      <c r="AU53" s="71"/>
      <c r="AV53" s="71"/>
      <c r="AW53" s="71"/>
      <c r="AX53" s="71"/>
      <c r="AY53" s="71">
        <f>IFERROR(__xludf.DUMMYFUNCTION("""COMPUTED_VALUE"""),325.0)</f>
        <v>325</v>
      </c>
      <c r="AZ53" s="71">
        <f>IFERROR(__xludf.DUMMYFUNCTION("""COMPUTED_VALUE"""),351.0)</f>
        <v>351</v>
      </c>
      <c r="BA53" s="71">
        <f>IFERROR(__xludf.DUMMYFUNCTION("""COMPUTED_VALUE"""),379.08000000000004)</f>
        <v>379.08</v>
      </c>
      <c r="BB53" s="71">
        <f>IFERROR(__xludf.DUMMYFUNCTION("""COMPUTED_VALUE"""),379.08000000000004)</f>
        <v>379.08</v>
      </c>
      <c r="BC53" s="71">
        <f>IFERROR(__xludf.DUMMYFUNCTION("""COMPUTED_VALUE"""),398.0)</f>
        <v>398</v>
      </c>
      <c r="BD53" s="71">
        <f>IFERROR(__xludf.DUMMYFUNCTION("""COMPUTED_VALUE"""),418.0)</f>
        <v>418</v>
      </c>
      <c r="BE53" s="71">
        <f>IFERROR(__xludf.DUMMYFUNCTION("""COMPUTED_VALUE"""),66.88)</f>
        <v>66.88</v>
      </c>
      <c r="BF53" s="71">
        <f>IFERROR(__xludf.DUMMYFUNCTION("""COMPUTED_VALUE"""),484.88)</f>
        <v>484.88</v>
      </c>
      <c r="BG53" s="71">
        <f>IFERROR(__xludf.DUMMYFUNCTION("""COMPUTED_VALUE"""),0.05025125628140704)</f>
        <v>0.05025125628</v>
      </c>
      <c r="BH53" s="71">
        <f>IFERROR(__xludf.DUMMYFUNCTION("""COMPUTED_VALUE"""),397.09999999999997)</f>
        <v>397.1</v>
      </c>
      <c r="BI53" s="71">
        <f>IFERROR(__xludf.DUMMYFUNCTION("""COMPUTED_VALUE"""),63.535999999999994)</f>
        <v>63.536</v>
      </c>
      <c r="BJ53" s="71">
        <f>IFERROR(__xludf.DUMMYFUNCTION("""COMPUTED_VALUE"""),460.63599999999997)</f>
        <v>460.636</v>
      </c>
      <c r="BK53" s="71">
        <f>IFERROR(__xludf.DUMMYFUNCTION("""COMPUTED_VALUE"""),376.2)</f>
        <v>376.2</v>
      </c>
      <c r="BL53" s="71">
        <f>IFERROR(__xludf.DUMMYFUNCTION("""COMPUTED_VALUE"""),60.192)</f>
        <v>60.192</v>
      </c>
      <c r="BM53" s="71">
        <f>IFERROR(__xludf.DUMMYFUNCTION("""COMPUTED_VALUE"""),436.392)</f>
        <v>436.392</v>
      </c>
      <c r="BN53" s="71">
        <f>IFERROR(__xludf.DUMMYFUNCTION("""COMPUTED_VALUE"""),355.3)</f>
        <v>355.3</v>
      </c>
      <c r="BO53" s="71">
        <f>IFERROR(__xludf.DUMMYFUNCTION("""COMPUTED_VALUE"""),56.848000000000006)</f>
        <v>56.848</v>
      </c>
      <c r="BP53" s="71">
        <f>IFERROR(__xludf.DUMMYFUNCTION("""COMPUTED_VALUE"""),412.148)</f>
        <v>412.148</v>
      </c>
      <c r="BQ53" s="71">
        <f>IFERROR(__xludf.DUMMYFUNCTION("""COMPUTED_VALUE"""),346.94)</f>
        <v>346.94</v>
      </c>
      <c r="BR53" s="71">
        <f>IFERROR(__xludf.DUMMYFUNCTION("""COMPUTED_VALUE"""),55.510400000000004)</f>
        <v>55.5104</v>
      </c>
      <c r="BS53" s="71">
        <f>IFERROR(__xludf.DUMMYFUNCTION("""COMPUTED_VALUE"""),402.4504)</f>
        <v>402.4504</v>
      </c>
      <c r="BT53" s="71">
        <f>IFERROR(__xludf.DUMMYFUNCTION("""COMPUTED_VALUE"""),334.40000000000003)</f>
        <v>334.4</v>
      </c>
      <c r="BU53" s="71">
        <f>IFERROR(__xludf.DUMMYFUNCTION("""COMPUTED_VALUE"""),53.504000000000005)</f>
        <v>53.504</v>
      </c>
      <c r="BV53" s="71">
        <f>IFERROR(__xludf.DUMMYFUNCTION("""COMPUTED_VALUE"""),387.90400000000005)</f>
        <v>387.904</v>
      </c>
    </row>
    <row r="54">
      <c r="A54" s="53"/>
      <c r="B54" s="53">
        <v>3.0</v>
      </c>
      <c r="C54" s="53" t="s">
        <v>36</v>
      </c>
      <c r="D54" s="85" t="s">
        <v>170</v>
      </c>
      <c r="E54" s="54" t="s">
        <v>38</v>
      </c>
      <c r="F54" s="55" t="s">
        <v>96</v>
      </c>
      <c r="G54" s="81" t="s">
        <v>171</v>
      </c>
      <c r="H54" s="81"/>
      <c r="I54" s="54">
        <f t="shared" si="1"/>
        <v>0</v>
      </c>
      <c r="J54" s="99"/>
      <c r="K54" s="99"/>
      <c r="L54" s="76"/>
      <c r="M54" s="59"/>
      <c r="N54" s="60"/>
      <c r="O54" s="100">
        <v>54625.0</v>
      </c>
      <c r="P54" s="62">
        <v>94100.0</v>
      </c>
      <c r="Q54" s="63">
        <v>94100.0</v>
      </c>
      <c r="R54" s="64">
        <v>103746.0</v>
      </c>
      <c r="S54" s="107">
        <v>108933.0</v>
      </c>
      <c r="T54" s="65">
        <f t="shared" si="2"/>
        <v>17429.28</v>
      </c>
      <c r="U54" s="65">
        <f t="shared" si="3"/>
        <v>126362.28</v>
      </c>
      <c r="V54" s="66">
        <f t="shared" si="4"/>
        <v>0.04999710832</v>
      </c>
      <c r="W54" s="67">
        <f t="shared" si="5"/>
        <v>103486.35</v>
      </c>
      <c r="X54" s="67">
        <f t="shared" si="6"/>
        <v>16557.816</v>
      </c>
      <c r="Y54" s="67">
        <f t="shared" si="7"/>
        <v>120044.166</v>
      </c>
      <c r="Z54" s="67">
        <f t="shared" si="8"/>
        <v>98039.7</v>
      </c>
      <c r="AA54" s="67">
        <f t="shared" si="9"/>
        <v>15686.352</v>
      </c>
      <c r="AB54" s="67">
        <f t="shared" si="10"/>
        <v>113726.052</v>
      </c>
      <c r="AC54" s="67">
        <f t="shared" si="11"/>
        <v>98039.7</v>
      </c>
      <c r="AD54" s="67">
        <f t="shared" si="12"/>
        <v>15686.352</v>
      </c>
      <c r="AE54" s="67">
        <f t="shared" si="13"/>
        <v>113726.052</v>
      </c>
      <c r="AF54" s="67">
        <f t="shared" si="14"/>
        <v>98039.7</v>
      </c>
      <c r="AG54" s="67">
        <f t="shared" si="15"/>
        <v>15686.352</v>
      </c>
      <c r="AH54" s="67">
        <f t="shared" si="16"/>
        <v>113726.052</v>
      </c>
      <c r="AI54" s="67">
        <f t="shared" si="17"/>
        <v>98039.7</v>
      </c>
      <c r="AJ54" s="68">
        <f t="shared" si="20"/>
        <v>15686.352</v>
      </c>
      <c r="AK54" s="68">
        <f t="shared" si="21"/>
        <v>113726.052</v>
      </c>
      <c r="AL54" s="70">
        <f>IFERROR(__xludf.DUMMYFUNCTION("""COMPUTED_VALUE"""),1.0)</f>
        <v>1</v>
      </c>
      <c r="AM54" s="70"/>
      <c r="AN54" s="71" t="str">
        <f>IFERROR(__xludf.DUMMYFUNCTION("""COMPUTED_VALUE""")," C")</f>
        <v>C</v>
      </c>
      <c r="AO54" s="71" t="str">
        <f>IFERROR(__xludf.DUMMYFUNCTION("""COMPUTED_VALUE""")," BA25")</f>
        <v>BA25</v>
      </c>
      <c r="AP54" s="71" t="str">
        <f>IFERROR(__xludf.DUMMYFUNCTION("""COMPUTED_VALUE""")," PZA")</f>
        <v>PZA</v>
      </c>
      <c r="AQ54" s="71" t="str">
        <f>IFERROR(__xludf.DUMMYFUNCTION("""COMPUTED_VALUE""")," REF")</f>
        <v>REF</v>
      </c>
      <c r="AR54" s="71" t="str">
        <f>IFERROR(__xludf.DUMMYFUNCTION("""COMPUTED_VALUE""")," BALERO 32305 MULTIMARCA")</f>
        <v>BALERO 32305 MULTIMARCA</v>
      </c>
      <c r="AS54" s="71" t="str">
        <f>IFERROR(__xludf.DUMMYFUNCTION("""COMPUTED_VALUE""")," BALERO 32305 MULTIMARCA")</f>
        <v>BALERO 32305 MULTIMARCA</v>
      </c>
      <c r="AT54" s="71">
        <f>IFERROR(__xludf.DUMMYFUNCTION("""COMPUTED_VALUE"""),23.0)</f>
        <v>23</v>
      </c>
      <c r="AU54" s="71"/>
      <c r="AV54" s="71"/>
      <c r="AW54" s="71"/>
      <c r="AX54" s="71"/>
      <c r="AY54" s="71">
        <f>IFERROR(__xludf.DUMMYFUNCTION("""COMPUTED_VALUE"""),185.0)</f>
        <v>185</v>
      </c>
      <c r="AZ54" s="71">
        <f>IFERROR(__xludf.DUMMYFUNCTION("""COMPUTED_VALUE"""),199.0)</f>
        <v>199</v>
      </c>
      <c r="BA54" s="71">
        <f>IFERROR(__xludf.DUMMYFUNCTION("""COMPUTED_VALUE"""),214.92000000000002)</f>
        <v>214.92</v>
      </c>
      <c r="BB54" s="71">
        <f>IFERROR(__xludf.DUMMYFUNCTION("""COMPUTED_VALUE"""),214.92000000000002)</f>
        <v>214.92</v>
      </c>
      <c r="BC54" s="71">
        <f>IFERROR(__xludf.DUMMYFUNCTION("""COMPUTED_VALUE"""),247.0)</f>
        <v>247</v>
      </c>
      <c r="BD54" s="71">
        <f>IFERROR(__xludf.DUMMYFUNCTION("""COMPUTED_VALUE"""),259.0)</f>
        <v>259</v>
      </c>
      <c r="BE54" s="71">
        <f>IFERROR(__xludf.DUMMYFUNCTION("""COMPUTED_VALUE"""),41.44)</f>
        <v>41.44</v>
      </c>
      <c r="BF54" s="71">
        <f>IFERROR(__xludf.DUMMYFUNCTION("""COMPUTED_VALUE"""),300.44)</f>
        <v>300.44</v>
      </c>
      <c r="BG54" s="71">
        <f>IFERROR(__xludf.DUMMYFUNCTION("""COMPUTED_VALUE"""),0.048582995951417005)</f>
        <v>0.04858299595</v>
      </c>
      <c r="BH54" s="71">
        <f>IFERROR(__xludf.DUMMYFUNCTION("""COMPUTED_VALUE"""),246.04999999999998)</f>
        <v>246.05</v>
      </c>
      <c r="BI54" s="71">
        <f>IFERROR(__xludf.DUMMYFUNCTION("""COMPUTED_VALUE"""),39.367999999999995)</f>
        <v>39.368</v>
      </c>
      <c r="BJ54" s="71">
        <f>IFERROR(__xludf.DUMMYFUNCTION("""COMPUTED_VALUE"""),285.418)</f>
        <v>285.418</v>
      </c>
      <c r="BK54" s="71">
        <f>IFERROR(__xludf.DUMMYFUNCTION("""COMPUTED_VALUE"""),233.1)</f>
        <v>233.1</v>
      </c>
      <c r="BL54" s="71">
        <f>IFERROR(__xludf.DUMMYFUNCTION("""COMPUTED_VALUE"""),37.296)</f>
        <v>37.296</v>
      </c>
      <c r="BM54" s="71">
        <f>IFERROR(__xludf.DUMMYFUNCTION("""COMPUTED_VALUE"""),270.396)</f>
        <v>270.396</v>
      </c>
      <c r="BN54" s="71">
        <f>IFERROR(__xludf.DUMMYFUNCTION("""COMPUTED_VALUE"""),220.15)</f>
        <v>220.15</v>
      </c>
      <c r="BO54" s="71">
        <f>IFERROR(__xludf.DUMMYFUNCTION("""COMPUTED_VALUE"""),35.224000000000004)</f>
        <v>35.224</v>
      </c>
      <c r="BP54" s="71">
        <f>IFERROR(__xludf.DUMMYFUNCTION("""COMPUTED_VALUE"""),255.37400000000002)</f>
        <v>255.374</v>
      </c>
      <c r="BQ54" s="71">
        <f>IFERROR(__xludf.DUMMYFUNCTION("""COMPUTED_VALUE"""),214.97)</f>
        <v>214.97</v>
      </c>
      <c r="BR54" s="71">
        <f>IFERROR(__xludf.DUMMYFUNCTION("""COMPUTED_VALUE"""),34.3952)</f>
        <v>34.3952</v>
      </c>
      <c r="BS54" s="71">
        <f>IFERROR(__xludf.DUMMYFUNCTION("""COMPUTED_VALUE"""),249.36520000000002)</f>
        <v>249.3652</v>
      </c>
      <c r="BT54" s="71">
        <f>IFERROR(__xludf.DUMMYFUNCTION("""COMPUTED_VALUE"""),207.20000000000002)</f>
        <v>207.2</v>
      </c>
      <c r="BU54" s="71">
        <f>IFERROR(__xludf.DUMMYFUNCTION("""COMPUTED_VALUE"""),33.152)</f>
        <v>33.152</v>
      </c>
      <c r="BV54" s="71">
        <f>IFERROR(__xludf.DUMMYFUNCTION("""COMPUTED_VALUE"""),240.35200000000003)</f>
        <v>240.352</v>
      </c>
    </row>
    <row r="55">
      <c r="A55" s="53"/>
      <c r="B55" s="53">
        <v>3.0</v>
      </c>
      <c r="C55" s="53" t="s">
        <v>36</v>
      </c>
      <c r="D55" s="85" t="s">
        <v>172</v>
      </c>
      <c r="E55" s="54" t="s">
        <v>38</v>
      </c>
      <c r="F55" s="55" t="s">
        <v>96</v>
      </c>
      <c r="G55" s="108" t="s">
        <v>173</v>
      </c>
      <c r="H55" s="108"/>
      <c r="I55" s="54">
        <f t="shared" si="1"/>
        <v>0</v>
      </c>
      <c r="J55" s="109"/>
      <c r="K55" s="109"/>
      <c r="L55" s="76"/>
      <c r="M55" s="59"/>
      <c r="N55" s="60"/>
      <c r="O55" s="110">
        <v>95071.0</v>
      </c>
      <c r="P55" s="62">
        <v>102676.68000000001</v>
      </c>
      <c r="Q55" s="63">
        <v>102676.68000000001</v>
      </c>
      <c r="R55" s="64">
        <v>113202.0</v>
      </c>
      <c r="S55" s="111">
        <v>118862.0</v>
      </c>
      <c r="T55" s="65">
        <f t="shared" si="2"/>
        <v>19017.92</v>
      </c>
      <c r="U55" s="65">
        <f t="shared" si="3"/>
        <v>137879.92</v>
      </c>
      <c r="V55" s="66">
        <f t="shared" si="4"/>
        <v>0.04999911662</v>
      </c>
      <c r="W55" s="67">
        <f t="shared" si="5"/>
        <v>112918.9</v>
      </c>
      <c r="X55" s="67">
        <f t="shared" si="6"/>
        <v>18067.024</v>
      </c>
      <c r="Y55" s="67">
        <f t="shared" si="7"/>
        <v>130985.924</v>
      </c>
      <c r="Z55" s="67">
        <f t="shared" si="8"/>
        <v>106975.8</v>
      </c>
      <c r="AA55" s="67">
        <f t="shared" si="9"/>
        <v>17116.128</v>
      </c>
      <c r="AB55" s="67">
        <f t="shared" si="10"/>
        <v>124091.928</v>
      </c>
      <c r="AC55" s="67">
        <f t="shared" si="11"/>
        <v>106975.8</v>
      </c>
      <c r="AD55" s="67">
        <f t="shared" si="12"/>
        <v>17116.128</v>
      </c>
      <c r="AE55" s="67">
        <f t="shared" si="13"/>
        <v>124091.928</v>
      </c>
      <c r="AF55" s="67">
        <f t="shared" si="14"/>
        <v>106975.8</v>
      </c>
      <c r="AG55" s="67">
        <f t="shared" si="15"/>
        <v>17116.128</v>
      </c>
      <c r="AH55" s="67">
        <f t="shared" si="16"/>
        <v>124091.928</v>
      </c>
      <c r="AI55" s="67">
        <f t="shared" si="17"/>
        <v>106975.8</v>
      </c>
      <c r="AJ55" s="68">
        <f t="shared" si="20"/>
        <v>17116.128</v>
      </c>
      <c r="AK55" s="68">
        <f t="shared" si="21"/>
        <v>124091.928</v>
      </c>
      <c r="AL55" s="70">
        <f>IFERROR(__xludf.DUMMYFUNCTION("""COMPUTED_VALUE"""),1.0)</f>
        <v>1</v>
      </c>
      <c r="AM55" s="70"/>
      <c r="AN55" s="71" t="str">
        <f>IFERROR(__xludf.DUMMYFUNCTION("""COMPUTED_VALUE""")," C")</f>
        <v>C</v>
      </c>
      <c r="AO55" s="71" t="str">
        <f>IFERROR(__xludf.DUMMYFUNCTION("""COMPUTED_VALUE""")," BA26")</f>
        <v>BA26</v>
      </c>
      <c r="AP55" s="71" t="str">
        <f>IFERROR(__xludf.DUMMYFUNCTION("""COMPUTED_VALUE""")," PZA")</f>
        <v>PZA</v>
      </c>
      <c r="AQ55" s="71" t="str">
        <f>IFERROR(__xludf.DUMMYFUNCTION("""COMPUTED_VALUE""")," REF")</f>
        <v>REF</v>
      </c>
      <c r="AR55" s="71" t="str">
        <f>IFERROR(__xludf.DUMMYFUNCTION("""COMPUTED_VALUE""")," BALERO 32305 ZKL/ZVL")</f>
        <v>BALERO 32305 ZKL/ZVL</v>
      </c>
      <c r="AS55" s="71" t="str">
        <f>IFERROR(__xludf.DUMMYFUNCTION("""COMPUTED_VALUE""")," BALERO 32305 ZKL/ZVL")</f>
        <v>BALERO 32305 ZKL/ZVL</v>
      </c>
      <c r="AT55" s="71">
        <f>IFERROR(__xludf.DUMMYFUNCTION("""COMPUTED_VALUE"""),20.0)</f>
        <v>20</v>
      </c>
      <c r="AU55" s="71"/>
      <c r="AV55" s="71"/>
      <c r="AW55" s="71"/>
      <c r="AX55" s="71"/>
      <c r="AY55" s="71">
        <f>IFERROR(__xludf.DUMMYFUNCTION("""COMPUTED_VALUE"""),242.0)</f>
        <v>242</v>
      </c>
      <c r="AZ55" s="71">
        <f>IFERROR(__xludf.DUMMYFUNCTION("""COMPUTED_VALUE"""),261.0)</f>
        <v>261</v>
      </c>
      <c r="BA55" s="71">
        <f>IFERROR(__xludf.DUMMYFUNCTION("""COMPUTED_VALUE"""),281.88)</f>
        <v>281.88</v>
      </c>
      <c r="BB55" s="71">
        <f>IFERROR(__xludf.DUMMYFUNCTION("""COMPUTED_VALUE"""),281.88)</f>
        <v>281.88</v>
      </c>
      <c r="BC55" s="71">
        <f>IFERROR(__xludf.DUMMYFUNCTION("""COMPUTED_VALUE"""),314.0)</f>
        <v>314</v>
      </c>
      <c r="BD55" s="71">
        <f>IFERROR(__xludf.DUMMYFUNCTION("""COMPUTED_VALUE"""),330.0)</f>
        <v>330</v>
      </c>
      <c r="BE55" s="71">
        <f>IFERROR(__xludf.DUMMYFUNCTION("""COMPUTED_VALUE"""),52.800000000000004)</f>
        <v>52.8</v>
      </c>
      <c r="BF55" s="71">
        <f>IFERROR(__xludf.DUMMYFUNCTION("""COMPUTED_VALUE"""),382.8)</f>
        <v>382.8</v>
      </c>
      <c r="BG55" s="71">
        <f>IFERROR(__xludf.DUMMYFUNCTION("""COMPUTED_VALUE"""),0.050955414012738856)</f>
        <v>0.05095541401</v>
      </c>
      <c r="BH55" s="71">
        <f>IFERROR(__xludf.DUMMYFUNCTION("""COMPUTED_VALUE"""),313.5)</f>
        <v>313.5</v>
      </c>
      <c r="BI55" s="71">
        <f>IFERROR(__xludf.DUMMYFUNCTION("""COMPUTED_VALUE"""),50.160000000000004)</f>
        <v>50.16</v>
      </c>
      <c r="BJ55" s="71">
        <f>IFERROR(__xludf.DUMMYFUNCTION("""COMPUTED_VALUE"""),363.66)</f>
        <v>363.66</v>
      </c>
      <c r="BK55" s="71">
        <f>IFERROR(__xludf.DUMMYFUNCTION("""COMPUTED_VALUE"""),297.0)</f>
        <v>297</v>
      </c>
      <c r="BL55" s="71">
        <f>IFERROR(__xludf.DUMMYFUNCTION("""COMPUTED_VALUE"""),47.52)</f>
        <v>47.52</v>
      </c>
      <c r="BM55" s="71">
        <f>IFERROR(__xludf.DUMMYFUNCTION("""COMPUTED_VALUE"""),344.52)</f>
        <v>344.52</v>
      </c>
      <c r="BN55" s="71">
        <f>IFERROR(__xludf.DUMMYFUNCTION("""COMPUTED_VALUE"""),280.5)</f>
        <v>280.5</v>
      </c>
      <c r="BO55" s="71">
        <f>IFERROR(__xludf.DUMMYFUNCTION("""COMPUTED_VALUE"""),44.88)</f>
        <v>44.88</v>
      </c>
      <c r="BP55" s="71">
        <f>IFERROR(__xludf.DUMMYFUNCTION("""COMPUTED_VALUE"""),325.38)</f>
        <v>325.38</v>
      </c>
      <c r="BQ55" s="71">
        <f>IFERROR(__xludf.DUMMYFUNCTION("""COMPUTED_VALUE"""),273.9)</f>
        <v>273.9</v>
      </c>
      <c r="BR55" s="71">
        <f>IFERROR(__xludf.DUMMYFUNCTION("""COMPUTED_VALUE"""),43.824)</f>
        <v>43.824</v>
      </c>
      <c r="BS55" s="71">
        <f>IFERROR(__xludf.DUMMYFUNCTION("""COMPUTED_VALUE"""),317.724)</f>
        <v>317.724</v>
      </c>
      <c r="BT55" s="71">
        <f>IFERROR(__xludf.DUMMYFUNCTION("""COMPUTED_VALUE"""),264.0)</f>
        <v>264</v>
      </c>
      <c r="BU55" s="71">
        <f>IFERROR(__xludf.DUMMYFUNCTION("""COMPUTED_VALUE"""),42.24)</f>
        <v>42.24</v>
      </c>
      <c r="BV55" s="71">
        <f>IFERROR(__xludf.DUMMYFUNCTION("""COMPUTED_VALUE"""),306.24)</f>
        <v>306.24</v>
      </c>
    </row>
    <row r="56">
      <c r="A56" s="53"/>
      <c r="B56" s="53">
        <v>3.0</v>
      </c>
      <c r="C56" s="53" t="s">
        <v>36</v>
      </c>
      <c r="D56" s="74" t="s">
        <v>174</v>
      </c>
      <c r="E56" s="54" t="s">
        <v>38</v>
      </c>
      <c r="F56" s="55" t="s">
        <v>96</v>
      </c>
      <c r="G56" s="81" t="s">
        <v>175</v>
      </c>
      <c r="H56" s="81"/>
      <c r="I56" s="54">
        <f t="shared" si="1"/>
        <v>0</v>
      </c>
      <c r="J56" s="99"/>
      <c r="K56" s="99"/>
      <c r="L56" s="76"/>
      <c r="M56" s="59"/>
      <c r="N56" s="60"/>
      <c r="O56" s="100">
        <v>95071.0</v>
      </c>
      <c r="P56" s="62">
        <v>102676.68000000001</v>
      </c>
      <c r="Q56" s="63">
        <v>102676.68000000001</v>
      </c>
      <c r="R56" s="64">
        <v>113202.0</v>
      </c>
      <c r="S56" s="107">
        <v>118862.0</v>
      </c>
      <c r="T56" s="65">
        <f t="shared" si="2"/>
        <v>19017.92</v>
      </c>
      <c r="U56" s="65">
        <f t="shared" si="3"/>
        <v>137879.92</v>
      </c>
      <c r="V56" s="66">
        <f t="shared" si="4"/>
        <v>0.04999911662</v>
      </c>
      <c r="W56" s="67">
        <f t="shared" si="5"/>
        <v>112918.9</v>
      </c>
      <c r="X56" s="67">
        <f t="shared" si="6"/>
        <v>18067.024</v>
      </c>
      <c r="Y56" s="67">
        <f t="shared" si="7"/>
        <v>130985.924</v>
      </c>
      <c r="Z56" s="67">
        <f t="shared" si="8"/>
        <v>106975.8</v>
      </c>
      <c r="AA56" s="67">
        <f t="shared" si="9"/>
        <v>17116.128</v>
      </c>
      <c r="AB56" s="67">
        <f t="shared" si="10"/>
        <v>124091.928</v>
      </c>
      <c r="AC56" s="67">
        <f t="shared" si="11"/>
        <v>106975.8</v>
      </c>
      <c r="AD56" s="67">
        <f t="shared" si="12"/>
        <v>17116.128</v>
      </c>
      <c r="AE56" s="67">
        <f t="shared" si="13"/>
        <v>124091.928</v>
      </c>
      <c r="AF56" s="67">
        <f t="shared" si="14"/>
        <v>106975.8</v>
      </c>
      <c r="AG56" s="67">
        <f t="shared" si="15"/>
        <v>17116.128</v>
      </c>
      <c r="AH56" s="67">
        <f t="shared" si="16"/>
        <v>124091.928</v>
      </c>
      <c r="AI56" s="67">
        <f t="shared" si="17"/>
        <v>106975.8</v>
      </c>
      <c r="AJ56" s="68">
        <f t="shared" si="20"/>
        <v>17116.128</v>
      </c>
      <c r="AK56" s="68">
        <f t="shared" si="21"/>
        <v>124091.928</v>
      </c>
      <c r="AL56" s="70">
        <f>IFERROR(__xludf.DUMMYFUNCTION("""COMPUTED_VALUE"""),1.0)</f>
        <v>1</v>
      </c>
      <c r="AM56" s="70"/>
      <c r="AN56" s="71" t="str">
        <f>IFERROR(__xludf.DUMMYFUNCTION("""COMPUTED_VALUE""")," C")</f>
        <v>C</v>
      </c>
      <c r="AO56" s="71" t="str">
        <f>IFERROR(__xludf.DUMMYFUNCTION("""COMPUTED_VALUE""")," BA52")</f>
        <v>BA52</v>
      </c>
      <c r="AP56" s="71" t="str">
        <f>IFERROR(__xludf.DUMMYFUNCTION("""COMPUTED_VALUE""")," PZA")</f>
        <v>PZA</v>
      </c>
      <c r="AQ56" s="71" t="str">
        <f>IFERROR(__xludf.DUMMYFUNCTION("""COMPUTED_VALUE""")," REF")</f>
        <v>REF</v>
      </c>
      <c r="AR56" s="71" t="str">
        <f>IFERROR(__xludf.DUMMYFUNCTION("""COMPUTED_VALUE""")," BALERO 3305 MULTIMARCA 16 BALAS")</f>
        <v>BALERO 3305 MULTIMARCA 16 BALAS</v>
      </c>
      <c r="AS56" s="71" t="str">
        <f>IFERROR(__xludf.DUMMYFUNCTION("""COMPUTED_VALUE""")," BALERO 3305 MULTIMARCA 16 BALAS")</f>
        <v>BALERO 3305 MULTIMARCA 16 BALAS</v>
      </c>
      <c r="AT56" s="71">
        <f>IFERROR(__xludf.DUMMYFUNCTION("""COMPUTED_VALUE"""),31.0)</f>
        <v>31</v>
      </c>
      <c r="AU56" s="71"/>
      <c r="AV56" s="71"/>
      <c r="AW56" s="71"/>
      <c r="AX56" s="71"/>
      <c r="AY56" s="71">
        <f>IFERROR(__xludf.DUMMYFUNCTION("""COMPUTED_VALUE"""),150.0)</f>
        <v>150</v>
      </c>
      <c r="AZ56" s="71">
        <f>IFERROR(__xludf.DUMMYFUNCTION("""COMPUTED_VALUE"""),162.0)</f>
        <v>162</v>
      </c>
      <c r="BA56" s="71">
        <f>IFERROR(__xludf.DUMMYFUNCTION("""COMPUTED_VALUE"""),174.96)</f>
        <v>174.96</v>
      </c>
      <c r="BB56" s="71">
        <f>IFERROR(__xludf.DUMMYFUNCTION("""COMPUTED_VALUE"""),174.96)</f>
        <v>174.96</v>
      </c>
      <c r="BC56" s="71">
        <f>IFERROR(__xludf.DUMMYFUNCTION("""COMPUTED_VALUE"""),189.0)</f>
        <v>189</v>
      </c>
      <c r="BD56" s="71">
        <f>IFERROR(__xludf.DUMMYFUNCTION("""COMPUTED_VALUE"""),198.0)</f>
        <v>198</v>
      </c>
      <c r="BE56" s="71">
        <f>IFERROR(__xludf.DUMMYFUNCTION("""COMPUTED_VALUE"""),31.68)</f>
        <v>31.68</v>
      </c>
      <c r="BF56" s="71">
        <f>IFERROR(__xludf.DUMMYFUNCTION("""COMPUTED_VALUE"""),229.68)</f>
        <v>229.68</v>
      </c>
      <c r="BG56" s="71">
        <f>IFERROR(__xludf.DUMMYFUNCTION("""COMPUTED_VALUE"""),0.047619047619047616)</f>
        <v>0.04761904762</v>
      </c>
      <c r="BH56" s="71">
        <f>IFERROR(__xludf.DUMMYFUNCTION("""COMPUTED_VALUE"""),188.1)</f>
        <v>188.1</v>
      </c>
      <c r="BI56" s="71">
        <f>IFERROR(__xludf.DUMMYFUNCTION("""COMPUTED_VALUE"""),30.096)</f>
        <v>30.096</v>
      </c>
      <c r="BJ56" s="71">
        <f>IFERROR(__xludf.DUMMYFUNCTION("""COMPUTED_VALUE"""),218.196)</f>
        <v>218.196</v>
      </c>
      <c r="BK56" s="71">
        <f>IFERROR(__xludf.DUMMYFUNCTION("""COMPUTED_VALUE"""),178.20000000000002)</f>
        <v>178.2</v>
      </c>
      <c r="BL56" s="71">
        <f>IFERROR(__xludf.DUMMYFUNCTION("""COMPUTED_VALUE"""),28.512000000000004)</f>
        <v>28.512</v>
      </c>
      <c r="BM56" s="71">
        <f>IFERROR(__xludf.DUMMYFUNCTION("""COMPUTED_VALUE"""),206.71200000000002)</f>
        <v>206.712</v>
      </c>
      <c r="BN56" s="71">
        <f>IFERROR(__xludf.DUMMYFUNCTION("""COMPUTED_VALUE"""),168.29999999999998)</f>
        <v>168.3</v>
      </c>
      <c r="BO56" s="71">
        <f>IFERROR(__xludf.DUMMYFUNCTION("""COMPUTED_VALUE"""),26.927999999999997)</f>
        <v>26.928</v>
      </c>
      <c r="BP56" s="71">
        <f>IFERROR(__xludf.DUMMYFUNCTION("""COMPUTED_VALUE"""),195.22799999999998)</f>
        <v>195.228</v>
      </c>
      <c r="BQ56" s="71">
        <f>IFERROR(__xludf.DUMMYFUNCTION("""COMPUTED_VALUE"""),164.34)</f>
        <v>164.34</v>
      </c>
      <c r="BR56" s="71">
        <f>IFERROR(__xludf.DUMMYFUNCTION("""COMPUTED_VALUE"""),26.2944)</f>
        <v>26.2944</v>
      </c>
      <c r="BS56" s="71">
        <f>IFERROR(__xludf.DUMMYFUNCTION("""COMPUTED_VALUE"""),190.6344)</f>
        <v>190.6344</v>
      </c>
      <c r="BT56" s="71">
        <f>IFERROR(__xludf.DUMMYFUNCTION("""COMPUTED_VALUE"""),158.4)</f>
        <v>158.4</v>
      </c>
      <c r="BU56" s="71">
        <f>IFERROR(__xludf.DUMMYFUNCTION("""COMPUTED_VALUE"""),25.344)</f>
        <v>25.344</v>
      </c>
      <c r="BV56" s="71">
        <f>IFERROR(__xludf.DUMMYFUNCTION("""COMPUTED_VALUE"""),183.744)</f>
        <v>183.744</v>
      </c>
    </row>
    <row r="57">
      <c r="A57" s="53"/>
      <c r="B57" s="53">
        <v>3.0</v>
      </c>
      <c r="C57" s="53" t="s">
        <v>36</v>
      </c>
      <c r="D57" s="85" t="s">
        <v>176</v>
      </c>
      <c r="E57" s="54" t="s">
        <v>38</v>
      </c>
      <c r="F57" s="55" t="s">
        <v>96</v>
      </c>
      <c r="G57" s="113" t="s">
        <v>177</v>
      </c>
      <c r="H57" s="113"/>
      <c r="I57" s="54">
        <f t="shared" si="1"/>
        <v>0</v>
      </c>
      <c r="J57" s="114"/>
      <c r="K57" s="114"/>
      <c r="L57" s="76"/>
      <c r="M57" s="59"/>
      <c r="N57" s="60"/>
      <c r="O57" s="115">
        <v>88367.0</v>
      </c>
      <c r="P57" s="62">
        <v>95436.36</v>
      </c>
      <c r="Q57" s="63">
        <v>95436.36</v>
      </c>
      <c r="R57" s="64">
        <v>105219.0</v>
      </c>
      <c r="S57" s="107">
        <v>110480.0</v>
      </c>
      <c r="T57" s="65">
        <f t="shared" si="2"/>
        <v>17676.8</v>
      </c>
      <c r="U57" s="65">
        <f t="shared" si="3"/>
        <v>128156.8</v>
      </c>
      <c r="V57" s="66">
        <f t="shared" si="4"/>
        <v>0.0500004752</v>
      </c>
      <c r="W57" s="67">
        <f t="shared" si="5"/>
        <v>104956</v>
      </c>
      <c r="X57" s="67">
        <f t="shared" si="6"/>
        <v>16792.96</v>
      </c>
      <c r="Y57" s="67">
        <f t="shared" si="7"/>
        <v>121748.96</v>
      </c>
      <c r="Z57" s="67">
        <f t="shared" si="8"/>
        <v>99432</v>
      </c>
      <c r="AA57" s="67">
        <f t="shared" si="9"/>
        <v>15909.12</v>
      </c>
      <c r="AB57" s="67">
        <f t="shared" si="10"/>
        <v>115341.12</v>
      </c>
      <c r="AC57" s="67">
        <f t="shared" si="11"/>
        <v>99432</v>
      </c>
      <c r="AD57" s="67">
        <f t="shared" si="12"/>
        <v>15909.12</v>
      </c>
      <c r="AE57" s="67">
        <f t="shared" si="13"/>
        <v>115341.12</v>
      </c>
      <c r="AF57" s="67">
        <f t="shared" si="14"/>
        <v>99432</v>
      </c>
      <c r="AG57" s="67">
        <f t="shared" si="15"/>
        <v>15909.12</v>
      </c>
      <c r="AH57" s="67">
        <f t="shared" si="16"/>
        <v>115341.12</v>
      </c>
      <c r="AI57" s="67">
        <f t="shared" si="17"/>
        <v>99432</v>
      </c>
      <c r="AJ57" s="68">
        <f t="shared" si="20"/>
        <v>15909.12</v>
      </c>
      <c r="AK57" s="68">
        <f t="shared" si="21"/>
        <v>115341.12</v>
      </c>
      <c r="AL57" s="70">
        <f>IFERROR(__xludf.DUMMYFUNCTION("""COMPUTED_VALUE"""),1.0)</f>
        <v>1</v>
      </c>
      <c r="AM57" s="70"/>
      <c r="AN57" s="71" t="str">
        <f>IFERROR(__xludf.DUMMYFUNCTION("""COMPUTED_VALUE""")," C")</f>
        <v>C</v>
      </c>
      <c r="AO57" s="71" t="str">
        <f>IFERROR(__xludf.DUMMYFUNCTION("""COMPUTED_VALUE""")," BA02")</f>
        <v>BA02</v>
      </c>
      <c r="AP57" s="71" t="str">
        <f>IFERROR(__xludf.DUMMYFUNCTION("""COMPUTED_VALUE""")," PZA")</f>
        <v>PZA</v>
      </c>
      <c r="AQ57" s="71" t="str">
        <f>IFERROR(__xludf.DUMMYFUNCTION("""COMPUTED_VALUE""")," REF")</f>
        <v>REF</v>
      </c>
      <c r="AR57" s="71" t="str">
        <f>IFERROR(__xludf.DUMMYFUNCTION("""COMPUTED_VALUE""")," BALERO 3305 MULTIMARCA 24 BALAS")</f>
        <v>BALERO 3305 MULTIMARCA 24 BALAS</v>
      </c>
      <c r="AS57" s="71" t="str">
        <f>IFERROR(__xludf.DUMMYFUNCTION("""COMPUTED_VALUE""")," BALERO 3305 MULTIMARCA 24 BALAS")</f>
        <v>BALERO 3305 MULTIMARCA 24 BALAS</v>
      </c>
      <c r="AT57" s="71">
        <f>IFERROR(__xludf.DUMMYFUNCTION("""COMPUTED_VALUE"""),31.0)</f>
        <v>31</v>
      </c>
      <c r="AU57" s="71"/>
      <c r="AV57" s="71"/>
      <c r="AW57" s="71"/>
      <c r="AX57" s="71"/>
      <c r="AY57" s="71">
        <f>IFERROR(__xludf.DUMMYFUNCTION("""COMPUTED_VALUE"""),232.0)</f>
        <v>232</v>
      </c>
      <c r="AZ57" s="71">
        <f>IFERROR(__xludf.DUMMYFUNCTION("""COMPUTED_VALUE"""),250.0)</f>
        <v>250</v>
      </c>
      <c r="BA57" s="71">
        <f>IFERROR(__xludf.DUMMYFUNCTION("""COMPUTED_VALUE"""),270.0)</f>
        <v>270</v>
      </c>
      <c r="BB57" s="71">
        <f>IFERROR(__xludf.DUMMYFUNCTION("""COMPUTED_VALUE"""),270.0)</f>
        <v>270</v>
      </c>
      <c r="BC57" s="71">
        <f>IFERROR(__xludf.DUMMYFUNCTION("""COMPUTED_VALUE"""),310.0)</f>
        <v>310</v>
      </c>
      <c r="BD57" s="71">
        <f>IFERROR(__xludf.DUMMYFUNCTION("""COMPUTED_VALUE"""),326.0)</f>
        <v>326</v>
      </c>
      <c r="BE57" s="71">
        <f>IFERROR(__xludf.DUMMYFUNCTION("""COMPUTED_VALUE"""),52.160000000000004)</f>
        <v>52.16</v>
      </c>
      <c r="BF57" s="71">
        <f>IFERROR(__xludf.DUMMYFUNCTION("""COMPUTED_VALUE"""),378.16)</f>
        <v>378.16</v>
      </c>
      <c r="BG57" s="71">
        <f>IFERROR(__xludf.DUMMYFUNCTION("""COMPUTED_VALUE"""),0.05161290322580645)</f>
        <v>0.05161290323</v>
      </c>
      <c r="BH57" s="71">
        <f>IFERROR(__xludf.DUMMYFUNCTION("""COMPUTED_VALUE"""),309.7)</f>
        <v>309.7</v>
      </c>
      <c r="BI57" s="71">
        <f>IFERROR(__xludf.DUMMYFUNCTION("""COMPUTED_VALUE"""),49.552)</f>
        <v>49.552</v>
      </c>
      <c r="BJ57" s="71">
        <f>IFERROR(__xludf.DUMMYFUNCTION("""COMPUTED_VALUE"""),359.252)</f>
        <v>359.252</v>
      </c>
      <c r="BK57" s="71">
        <f>IFERROR(__xludf.DUMMYFUNCTION("""COMPUTED_VALUE"""),293.40000000000003)</f>
        <v>293.4</v>
      </c>
      <c r="BL57" s="71">
        <f>IFERROR(__xludf.DUMMYFUNCTION("""COMPUTED_VALUE"""),46.94400000000001)</f>
        <v>46.944</v>
      </c>
      <c r="BM57" s="71">
        <f>IFERROR(__xludf.DUMMYFUNCTION("""COMPUTED_VALUE"""),340.34400000000005)</f>
        <v>340.344</v>
      </c>
      <c r="BN57" s="71">
        <f>IFERROR(__xludf.DUMMYFUNCTION("""COMPUTED_VALUE"""),277.09999999999997)</f>
        <v>277.1</v>
      </c>
      <c r="BO57" s="71">
        <f>IFERROR(__xludf.DUMMYFUNCTION("""COMPUTED_VALUE"""),44.336)</f>
        <v>44.336</v>
      </c>
      <c r="BP57" s="71">
        <f>IFERROR(__xludf.DUMMYFUNCTION("""COMPUTED_VALUE"""),321.436)</f>
        <v>321.436</v>
      </c>
      <c r="BQ57" s="71">
        <f>IFERROR(__xludf.DUMMYFUNCTION("""COMPUTED_VALUE"""),270.58)</f>
        <v>270.58</v>
      </c>
      <c r="BR57" s="71">
        <f>IFERROR(__xludf.DUMMYFUNCTION("""COMPUTED_VALUE"""),43.2928)</f>
        <v>43.2928</v>
      </c>
      <c r="BS57" s="71">
        <f>IFERROR(__xludf.DUMMYFUNCTION("""COMPUTED_VALUE"""),313.8728)</f>
        <v>313.8728</v>
      </c>
      <c r="BT57" s="71">
        <f>IFERROR(__xludf.DUMMYFUNCTION("""COMPUTED_VALUE"""),260.8)</f>
        <v>260.8</v>
      </c>
      <c r="BU57" s="71">
        <f>IFERROR(__xludf.DUMMYFUNCTION("""COMPUTED_VALUE"""),41.728)</f>
        <v>41.728</v>
      </c>
      <c r="BV57" s="71">
        <f>IFERROR(__xludf.DUMMYFUNCTION("""COMPUTED_VALUE"""),302.528)</f>
        <v>302.528</v>
      </c>
    </row>
    <row r="58">
      <c r="A58" s="53"/>
      <c r="B58" s="53">
        <v>3.0</v>
      </c>
      <c r="C58" s="53" t="s">
        <v>36</v>
      </c>
      <c r="D58" s="85" t="s">
        <v>178</v>
      </c>
      <c r="E58" s="54" t="s">
        <v>38</v>
      </c>
      <c r="F58" s="55" t="s">
        <v>61</v>
      </c>
      <c r="G58" s="84" t="s">
        <v>179</v>
      </c>
      <c r="H58" s="55"/>
      <c r="I58" s="54">
        <f t="shared" si="1"/>
        <v>0</v>
      </c>
      <c r="J58" s="56"/>
      <c r="K58" s="57"/>
      <c r="L58" s="76"/>
      <c r="M58" s="59"/>
      <c r="N58" s="60"/>
      <c r="O58" s="61">
        <v>80333.0</v>
      </c>
      <c r="P58" s="62">
        <v>86759.64</v>
      </c>
      <c r="Q58" s="63">
        <v>86759.64</v>
      </c>
      <c r="R58" s="64">
        <v>95653.0</v>
      </c>
      <c r="S58" s="107">
        <v>100436.0</v>
      </c>
      <c r="T58" s="65">
        <f t="shared" si="2"/>
        <v>16069.76</v>
      </c>
      <c r="U58" s="65">
        <f t="shared" si="3"/>
        <v>116505.76</v>
      </c>
      <c r="V58" s="66">
        <f t="shared" si="4"/>
        <v>0.05000365906</v>
      </c>
      <c r="W58" s="67">
        <f t="shared" si="5"/>
        <v>95414.2</v>
      </c>
      <c r="X58" s="67">
        <f t="shared" si="6"/>
        <v>15266.272</v>
      </c>
      <c r="Y58" s="67">
        <f t="shared" si="7"/>
        <v>110680.472</v>
      </c>
      <c r="Z58" s="67">
        <f t="shared" si="8"/>
        <v>90392.4</v>
      </c>
      <c r="AA58" s="67">
        <f t="shared" si="9"/>
        <v>14462.784</v>
      </c>
      <c r="AB58" s="67">
        <f t="shared" si="10"/>
        <v>104855.184</v>
      </c>
      <c r="AC58" s="67">
        <f t="shared" si="11"/>
        <v>90392.4</v>
      </c>
      <c r="AD58" s="67">
        <f t="shared" si="12"/>
        <v>14462.784</v>
      </c>
      <c r="AE58" s="67">
        <f t="shared" si="13"/>
        <v>104855.184</v>
      </c>
      <c r="AF58" s="67">
        <f t="shared" si="14"/>
        <v>90392.4</v>
      </c>
      <c r="AG58" s="67">
        <f t="shared" si="15"/>
        <v>14462.784</v>
      </c>
      <c r="AH58" s="67">
        <f t="shared" si="16"/>
        <v>104855.184</v>
      </c>
      <c r="AI58" s="67">
        <f t="shared" si="17"/>
        <v>90392.4</v>
      </c>
      <c r="AJ58" s="68">
        <f t="shared" si="20"/>
        <v>14462.784</v>
      </c>
      <c r="AK58" s="68">
        <f t="shared" si="21"/>
        <v>104855.184</v>
      </c>
      <c r="AL58" s="70">
        <f>IFERROR(__xludf.DUMMYFUNCTION("""COMPUTED_VALUE"""),1.0)</f>
        <v>1</v>
      </c>
      <c r="AM58" s="70">
        <f>IFERROR(__xludf.DUMMYFUNCTION("""COMPUTED_VALUE"""),3.0)</f>
        <v>3</v>
      </c>
      <c r="AN58" s="71" t="str">
        <f>IFERROR(__xludf.DUMMYFUNCTION("""COMPUTED_VALUE""")," C")</f>
        <v>C</v>
      </c>
      <c r="AO58" s="71" t="str">
        <f>IFERROR(__xludf.DUMMYFUNCTION("""COMPUTED_VALUE""")," BA05")</f>
        <v>BA05</v>
      </c>
      <c r="AP58" s="71" t="str">
        <f>IFERROR(__xludf.DUMMYFUNCTION("""COMPUTED_VALUE""")," PZA")</f>
        <v>PZA</v>
      </c>
      <c r="AQ58" s="71" t="str">
        <f>IFERROR(__xludf.DUMMYFUNCTION("""COMPUTED_VALUE""")," REF")</f>
        <v>REF</v>
      </c>
      <c r="AR58" s="71" t="str">
        <f>IFERROR(__xludf.DUMMYFUNCTION("""COMPUTED_VALUE""")," BALERO 3305 ZKL/ZVL 24 BALAS")</f>
        <v>BALERO 3305 ZKL/ZVL 24 BALAS</v>
      </c>
      <c r="AS58" s="71" t="str">
        <f>IFERROR(__xludf.DUMMYFUNCTION("""COMPUTED_VALUE""")," BALERO 3305 ZKL/ZVL 24 BALAS")</f>
        <v>BALERO 3305 ZKL/ZVL 24 BALAS</v>
      </c>
      <c r="AT58" s="71">
        <f>IFERROR(__xludf.DUMMYFUNCTION("""COMPUTED_VALUE"""),28.0)</f>
        <v>28</v>
      </c>
      <c r="AU58" s="71"/>
      <c r="AV58" s="71"/>
      <c r="AW58" s="71"/>
      <c r="AX58" s="71"/>
      <c r="AY58" s="71">
        <f>IFERROR(__xludf.DUMMYFUNCTION("""COMPUTED_VALUE"""),388.0)</f>
        <v>388</v>
      </c>
      <c r="AZ58" s="71">
        <f>IFERROR(__xludf.DUMMYFUNCTION("""COMPUTED_VALUE"""),419.0)</f>
        <v>419</v>
      </c>
      <c r="BA58" s="71">
        <f>IFERROR(__xludf.DUMMYFUNCTION("""COMPUTED_VALUE"""),452.52000000000004)</f>
        <v>452.52</v>
      </c>
      <c r="BB58" s="71">
        <f>IFERROR(__xludf.DUMMYFUNCTION("""COMPUTED_VALUE"""),452.52000000000004)</f>
        <v>452.52</v>
      </c>
      <c r="BC58" s="71">
        <f>IFERROR(__xludf.DUMMYFUNCTION("""COMPUTED_VALUE"""),504.0)</f>
        <v>504</v>
      </c>
      <c r="BD58" s="71">
        <f>IFERROR(__xludf.DUMMYFUNCTION("""COMPUTED_VALUE"""),529.0)</f>
        <v>529</v>
      </c>
      <c r="BE58" s="71">
        <f>IFERROR(__xludf.DUMMYFUNCTION("""COMPUTED_VALUE"""),84.64)</f>
        <v>84.64</v>
      </c>
      <c r="BF58" s="71">
        <f>IFERROR(__xludf.DUMMYFUNCTION("""COMPUTED_VALUE"""),613.64)</f>
        <v>613.64</v>
      </c>
      <c r="BG58" s="71">
        <f>IFERROR(__xludf.DUMMYFUNCTION("""COMPUTED_VALUE"""),0.0496031746031746)</f>
        <v>0.0496031746</v>
      </c>
      <c r="BH58" s="71">
        <f>IFERROR(__xludf.DUMMYFUNCTION("""COMPUTED_VALUE"""),502.54999999999995)</f>
        <v>502.55</v>
      </c>
      <c r="BI58" s="71">
        <f>IFERROR(__xludf.DUMMYFUNCTION("""COMPUTED_VALUE"""),80.408)</f>
        <v>80.408</v>
      </c>
      <c r="BJ58" s="71">
        <f>IFERROR(__xludf.DUMMYFUNCTION("""COMPUTED_VALUE"""),582.958)</f>
        <v>582.958</v>
      </c>
      <c r="BK58" s="71">
        <f>IFERROR(__xludf.DUMMYFUNCTION("""COMPUTED_VALUE"""),476.1)</f>
        <v>476.1</v>
      </c>
      <c r="BL58" s="71">
        <f>IFERROR(__xludf.DUMMYFUNCTION("""COMPUTED_VALUE"""),76.176)</f>
        <v>76.176</v>
      </c>
      <c r="BM58" s="71">
        <f>IFERROR(__xludf.DUMMYFUNCTION("""COMPUTED_VALUE"""),552.2760000000001)</f>
        <v>552.276</v>
      </c>
      <c r="BN58" s="71">
        <f>IFERROR(__xludf.DUMMYFUNCTION("""COMPUTED_VALUE"""),476.1)</f>
        <v>476.1</v>
      </c>
      <c r="BO58" s="71">
        <f>IFERROR(__xludf.DUMMYFUNCTION("""COMPUTED_VALUE"""),76.176)</f>
        <v>76.176</v>
      </c>
      <c r="BP58" s="71">
        <f>IFERROR(__xludf.DUMMYFUNCTION("""COMPUTED_VALUE"""),552.2760000000001)</f>
        <v>552.276</v>
      </c>
      <c r="BQ58" s="71">
        <f>IFERROR(__xludf.DUMMYFUNCTION("""COMPUTED_VALUE"""),476.1)</f>
        <v>476.1</v>
      </c>
      <c r="BR58" s="71">
        <f>IFERROR(__xludf.DUMMYFUNCTION("""COMPUTED_VALUE"""),76.176)</f>
        <v>76.176</v>
      </c>
      <c r="BS58" s="71">
        <f>IFERROR(__xludf.DUMMYFUNCTION("""COMPUTED_VALUE"""),552.2760000000001)</f>
        <v>552.276</v>
      </c>
      <c r="BT58" s="71">
        <f>IFERROR(__xludf.DUMMYFUNCTION("""COMPUTED_VALUE"""),476.1)</f>
        <v>476.1</v>
      </c>
      <c r="BU58" s="71">
        <f>IFERROR(__xludf.DUMMYFUNCTION("""COMPUTED_VALUE"""),76.176)</f>
        <v>76.176</v>
      </c>
      <c r="BV58" s="71">
        <f>IFERROR(__xludf.DUMMYFUNCTION("""COMPUTED_VALUE"""),552.2760000000001)</f>
        <v>552.276</v>
      </c>
    </row>
    <row r="59">
      <c r="A59" s="53"/>
      <c r="B59" s="53"/>
      <c r="C59" s="53"/>
      <c r="D59" s="53" t="s">
        <v>180</v>
      </c>
      <c r="E59" s="55" t="s">
        <v>38</v>
      </c>
      <c r="F59" s="89"/>
      <c r="G59" s="84" t="s">
        <v>181</v>
      </c>
      <c r="H59" s="55"/>
      <c r="I59" s="54">
        <f t="shared" si="1"/>
        <v>0</v>
      </c>
      <c r="J59" s="56"/>
      <c r="K59" s="57"/>
      <c r="L59" s="55"/>
      <c r="M59" s="59"/>
      <c r="N59" s="60"/>
      <c r="O59" s="90"/>
      <c r="P59" s="62">
        <v>42666.0</v>
      </c>
      <c r="Q59" s="63">
        <v>42666.0</v>
      </c>
      <c r="R59" s="64">
        <v>47039.0</v>
      </c>
      <c r="S59" s="111">
        <v>49391.0</v>
      </c>
      <c r="T59" s="65">
        <f t="shared" si="2"/>
        <v>7902.56</v>
      </c>
      <c r="U59" s="65">
        <f t="shared" si="3"/>
        <v>57293.56</v>
      </c>
      <c r="V59" s="66">
        <f t="shared" si="4"/>
        <v>0.05000106295</v>
      </c>
      <c r="W59" s="67">
        <f t="shared" si="5"/>
        <v>46921.45</v>
      </c>
      <c r="X59" s="67">
        <f t="shared" si="6"/>
        <v>7507.432</v>
      </c>
      <c r="Y59" s="67">
        <f t="shared" si="7"/>
        <v>54428.882</v>
      </c>
      <c r="Z59" s="67">
        <f t="shared" si="8"/>
        <v>44451.9</v>
      </c>
      <c r="AA59" s="67">
        <f t="shared" si="9"/>
        <v>7112.304</v>
      </c>
      <c r="AB59" s="67">
        <f t="shared" si="10"/>
        <v>51564.204</v>
      </c>
      <c r="AC59" s="67">
        <f t="shared" si="11"/>
        <v>41982.35</v>
      </c>
      <c r="AD59" s="67">
        <f t="shared" si="12"/>
        <v>6717.176</v>
      </c>
      <c r="AE59" s="67">
        <f t="shared" si="13"/>
        <v>48699.526</v>
      </c>
      <c r="AF59" s="67">
        <f t="shared" si="14"/>
        <v>40994.53</v>
      </c>
      <c r="AG59" s="67">
        <f t="shared" si="15"/>
        <v>6559.1248</v>
      </c>
      <c r="AH59" s="67">
        <f t="shared" si="16"/>
        <v>47553.6548</v>
      </c>
      <c r="AI59" s="67">
        <f t="shared" si="17"/>
        <v>39512.8</v>
      </c>
      <c r="AJ59" s="68">
        <f t="shared" si="20"/>
        <v>6322.048</v>
      </c>
      <c r="AK59" s="68">
        <f t="shared" si="21"/>
        <v>45834.848</v>
      </c>
      <c r="AL59" s="70">
        <f>IFERROR(__xludf.DUMMYFUNCTION("""COMPUTED_VALUE"""),1.0)</f>
        <v>1</v>
      </c>
      <c r="AM59" s="70"/>
      <c r="AN59" s="71" t="str">
        <f>IFERROR(__xludf.DUMMYFUNCTION("""COMPUTED_VALUE""")," C")</f>
        <v>C</v>
      </c>
      <c r="AO59" s="71" t="str">
        <f>IFERROR(__xludf.DUMMYFUNCTION("""COMPUTED_VALUE""")," BA60")</f>
        <v>BA60</v>
      </c>
      <c r="AP59" s="71" t="str">
        <f>IFERROR(__xludf.DUMMYFUNCTION("""COMPUTED_VALUE""")," PZA")</f>
        <v>PZA</v>
      </c>
      <c r="AQ59" s="71" t="str">
        <f>IFERROR(__xludf.DUMMYFUNCTION("""COMPUTED_VALUE""")," REF")</f>
        <v>REF</v>
      </c>
      <c r="AR59" s="71" t="str">
        <f>IFERROR(__xludf.DUMMYFUNCTION("""COMPUTED_VALUE""")," BALERO 33209 MULTIMARCA")</f>
        <v>BALERO 33209 MULTIMARCA</v>
      </c>
      <c r="AS59" s="71" t="str">
        <f>IFERROR(__xludf.DUMMYFUNCTION("""COMPUTED_VALUE""")," BALERO 33209 MULTIMARCA")</f>
        <v>BALERO 33209 MULTIMARCA</v>
      </c>
      <c r="AT59" s="71">
        <f>IFERROR(__xludf.DUMMYFUNCTION("""COMPUTED_VALUE"""),23.0)</f>
        <v>23</v>
      </c>
      <c r="AU59" s="71"/>
      <c r="AV59" s="71"/>
      <c r="AW59" s="71"/>
      <c r="AX59" s="71"/>
      <c r="AY59" s="71">
        <f>IFERROR(__xludf.DUMMYFUNCTION("""COMPUTED_VALUE"""),64.0)</f>
        <v>64</v>
      </c>
      <c r="AZ59" s="71">
        <f>IFERROR(__xludf.DUMMYFUNCTION("""COMPUTED_VALUE"""),69.0)</f>
        <v>69</v>
      </c>
      <c r="BA59" s="71">
        <f>IFERROR(__xludf.DUMMYFUNCTION("""COMPUTED_VALUE"""),74.52000000000001)</f>
        <v>74.52</v>
      </c>
      <c r="BB59" s="71">
        <f>IFERROR(__xludf.DUMMYFUNCTION("""COMPUTED_VALUE"""),74.52000000000001)</f>
        <v>74.52</v>
      </c>
      <c r="BC59" s="71">
        <f>IFERROR(__xludf.DUMMYFUNCTION("""COMPUTED_VALUE"""),79.0)</f>
        <v>79</v>
      </c>
      <c r="BD59" s="71">
        <f>IFERROR(__xludf.DUMMYFUNCTION("""COMPUTED_VALUE"""),83.0)</f>
        <v>83</v>
      </c>
      <c r="BE59" s="71">
        <f>IFERROR(__xludf.DUMMYFUNCTION("""COMPUTED_VALUE"""),13.280000000000001)</f>
        <v>13.28</v>
      </c>
      <c r="BF59" s="71">
        <f>IFERROR(__xludf.DUMMYFUNCTION("""COMPUTED_VALUE"""),96.28)</f>
        <v>96.28</v>
      </c>
      <c r="BG59" s="71">
        <f>IFERROR(__xludf.DUMMYFUNCTION("""COMPUTED_VALUE"""),0.05063291139240506)</f>
        <v>0.05063291139</v>
      </c>
      <c r="BH59" s="71">
        <f>IFERROR(__xludf.DUMMYFUNCTION("""COMPUTED_VALUE"""),78.85)</f>
        <v>78.85</v>
      </c>
      <c r="BI59" s="71">
        <f>IFERROR(__xludf.DUMMYFUNCTION("""COMPUTED_VALUE"""),12.616)</f>
        <v>12.616</v>
      </c>
      <c r="BJ59" s="71">
        <f>IFERROR(__xludf.DUMMYFUNCTION("""COMPUTED_VALUE"""),91.466)</f>
        <v>91.466</v>
      </c>
      <c r="BK59" s="71">
        <f>IFERROR(__xludf.DUMMYFUNCTION("""COMPUTED_VALUE"""),74.7)</f>
        <v>74.7</v>
      </c>
      <c r="BL59" s="71">
        <f>IFERROR(__xludf.DUMMYFUNCTION("""COMPUTED_VALUE"""),11.952)</f>
        <v>11.952</v>
      </c>
      <c r="BM59" s="71">
        <f>IFERROR(__xludf.DUMMYFUNCTION("""COMPUTED_VALUE"""),86.652)</f>
        <v>86.652</v>
      </c>
      <c r="BN59" s="71">
        <f>IFERROR(__xludf.DUMMYFUNCTION("""COMPUTED_VALUE"""),70.55)</f>
        <v>70.55</v>
      </c>
      <c r="BO59" s="71">
        <f>IFERROR(__xludf.DUMMYFUNCTION("""COMPUTED_VALUE"""),11.288)</f>
        <v>11.288</v>
      </c>
      <c r="BP59" s="71">
        <f>IFERROR(__xludf.DUMMYFUNCTION("""COMPUTED_VALUE"""),81.838)</f>
        <v>81.838</v>
      </c>
      <c r="BQ59" s="71">
        <f>IFERROR(__xludf.DUMMYFUNCTION("""COMPUTED_VALUE"""),68.89)</f>
        <v>68.89</v>
      </c>
      <c r="BR59" s="71">
        <f>IFERROR(__xludf.DUMMYFUNCTION("""COMPUTED_VALUE"""),11.022400000000001)</f>
        <v>11.0224</v>
      </c>
      <c r="BS59" s="71">
        <f>IFERROR(__xludf.DUMMYFUNCTION("""COMPUTED_VALUE"""),79.9124)</f>
        <v>79.9124</v>
      </c>
      <c r="BT59" s="71">
        <f>IFERROR(__xludf.DUMMYFUNCTION("""COMPUTED_VALUE"""),66.4)</f>
        <v>66.4</v>
      </c>
      <c r="BU59" s="71">
        <f>IFERROR(__xludf.DUMMYFUNCTION("""COMPUTED_VALUE"""),10.624)</f>
        <v>10.624</v>
      </c>
      <c r="BV59" s="71">
        <f>IFERROR(__xludf.DUMMYFUNCTION("""COMPUTED_VALUE"""),77.024)</f>
        <v>77.024</v>
      </c>
    </row>
    <row r="60">
      <c r="A60" s="53"/>
      <c r="B60" s="53">
        <v>3.0</v>
      </c>
      <c r="C60" s="53" t="s">
        <v>36</v>
      </c>
      <c r="D60" s="53" t="s">
        <v>182</v>
      </c>
      <c r="E60" s="54" t="s">
        <v>38</v>
      </c>
      <c r="F60" s="55" t="s">
        <v>39</v>
      </c>
      <c r="G60" s="84" t="s">
        <v>183</v>
      </c>
      <c r="H60" s="55"/>
      <c r="I60" s="54">
        <f t="shared" si="1"/>
        <v>0</v>
      </c>
      <c r="J60" s="56"/>
      <c r="K60" s="57"/>
      <c r="L60" s="76"/>
      <c r="M60" s="59"/>
      <c r="N60" s="60"/>
      <c r="O60" s="61">
        <v>33452.56</v>
      </c>
      <c r="P60" s="62">
        <v>36797.82</v>
      </c>
      <c r="Q60" s="63">
        <v>36797.82</v>
      </c>
      <c r="R60" s="64">
        <v>38638.0</v>
      </c>
      <c r="S60" s="107">
        <v>40570.0</v>
      </c>
      <c r="T60" s="65">
        <f t="shared" si="2"/>
        <v>6491.2</v>
      </c>
      <c r="U60" s="65">
        <f t="shared" si="3"/>
        <v>47061.2</v>
      </c>
      <c r="V60" s="66">
        <f t="shared" si="4"/>
        <v>0.05000258813</v>
      </c>
      <c r="W60" s="67">
        <f t="shared" si="5"/>
        <v>38541.5</v>
      </c>
      <c r="X60" s="67">
        <f t="shared" si="6"/>
        <v>6166.64</v>
      </c>
      <c r="Y60" s="67">
        <f t="shared" si="7"/>
        <v>44708.14</v>
      </c>
      <c r="Z60" s="67">
        <f t="shared" si="8"/>
        <v>36513</v>
      </c>
      <c r="AA60" s="67">
        <f t="shared" si="9"/>
        <v>5842.08</v>
      </c>
      <c r="AB60" s="67">
        <f t="shared" si="10"/>
        <v>42355.08</v>
      </c>
      <c r="AC60" s="67">
        <f t="shared" si="11"/>
        <v>36513</v>
      </c>
      <c r="AD60" s="67">
        <f t="shared" si="12"/>
        <v>5842.08</v>
      </c>
      <c r="AE60" s="67">
        <f t="shared" si="13"/>
        <v>42355.08</v>
      </c>
      <c r="AF60" s="67">
        <f t="shared" si="14"/>
        <v>36513</v>
      </c>
      <c r="AG60" s="67">
        <f t="shared" si="15"/>
        <v>5842.08</v>
      </c>
      <c r="AH60" s="67">
        <f t="shared" si="16"/>
        <v>42355.08</v>
      </c>
      <c r="AI60" s="67">
        <f t="shared" si="17"/>
        <v>36513</v>
      </c>
      <c r="AJ60" s="68">
        <f t="shared" si="20"/>
        <v>5842.08</v>
      </c>
      <c r="AK60" s="68">
        <f t="shared" si="21"/>
        <v>42355.08</v>
      </c>
      <c r="AL60" s="70">
        <f>IFERROR(__xludf.DUMMYFUNCTION("""COMPUTED_VALUE"""),1.0)</f>
        <v>1</v>
      </c>
      <c r="AM60" s="70"/>
      <c r="AN60" s="71" t="str">
        <f>IFERROR(__xludf.DUMMYFUNCTION("""COMPUTED_VALUE""")," C")</f>
        <v>C</v>
      </c>
      <c r="AO60" s="71" t="str">
        <f>IFERROR(__xludf.DUMMYFUNCTION("""COMPUTED_VALUE""")," BA70")</f>
        <v>BA70</v>
      </c>
      <c r="AP60" s="71" t="str">
        <f>IFERROR(__xludf.DUMMYFUNCTION("""COMPUTED_VALUE""")," PZA")</f>
        <v>PZA</v>
      </c>
      <c r="AQ60" s="71" t="str">
        <f>IFERROR(__xludf.DUMMYFUNCTION("""COMPUTED_VALUE""")," REF")</f>
        <v>REF</v>
      </c>
      <c r="AR60" s="71" t="str">
        <f>IFERROR(__xludf.DUMMYFUNCTION("""COMPUTED_VALUE""")," BALERO 51108 MULTIMARCA")</f>
        <v>BALERO 51108 MULTIMARCA</v>
      </c>
      <c r="AS60" s="71" t="str">
        <f>IFERROR(__xludf.DUMMYFUNCTION("""COMPUTED_VALUE""")," BALERO 51108 MULTIMARCA")</f>
        <v>BALERO 51108 MULTIMARCA</v>
      </c>
      <c r="AT60" s="71">
        <f>IFERROR(__xludf.DUMMYFUNCTION("""COMPUTED_VALUE"""),23.0)</f>
        <v>23</v>
      </c>
      <c r="AU60" s="71"/>
      <c r="AV60" s="71"/>
      <c r="AW60" s="71"/>
      <c r="AX60" s="71"/>
      <c r="AY60" s="71">
        <f>IFERROR(__xludf.DUMMYFUNCTION("""COMPUTED_VALUE"""),48.0)</f>
        <v>48</v>
      </c>
      <c r="AZ60" s="71">
        <f>IFERROR(__xludf.DUMMYFUNCTION("""COMPUTED_VALUE"""),51.0)</f>
        <v>51</v>
      </c>
      <c r="BA60" s="71">
        <f>IFERROR(__xludf.DUMMYFUNCTION("""COMPUTED_VALUE"""),55.080000000000005)</f>
        <v>55.08</v>
      </c>
      <c r="BB60" s="71">
        <f>IFERROR(__xludf.DUMMYFUNCTION("""COMPUTED_VALUE"""),55.080000000000005)</f>
        <v>55.08</v>
      </c>
      <c r="BC60" s="71">
        <f>IFERROR(__xludf.DUMMYFUNCTION("""COMPUTED_VALUE"""),64.0)</f>
        <v>64</v>
      </c>
      <c r="BD60" s="71">
        <f>IFERROR(__xludf.DUMMYFUNCTION("""COMPUTED_VALUE"""),67.0)</f>
        <v>67</v>
      </c>
      <c r="BE60" s="71">
        <f>IFERROR(__xludf.DUMMYFUNCTION("""COMPUTED_VALUE"""),10.72)</f>
        <v>10.72</v>
      </c>
      <c r="BF60" s="71">
        <f>IFERROR(__xludf.DUMMYFUNCTION("""COMPUTED_VALUE"""),77.72)</f>
        <v>77.72</v>
      </c>
      <c r="BG60" s="71">
        <f>IFERROR(__xludf.DUMMYFUNCTION("""COMPUTED_VALUE"""),0.046875)</f>
        <v>0.046875</v>
      </c>
      <c r="BH60" s="71">
        <f>IFERROR(__xludf.DUMMYFUNCTION("""COMPUTED_VALUE"""),63.65)</f>
        <v>63.65</v>
      </c>
      <c r="BI60" s="71">
        <f>IFERROR(__xludf.DUMMYFUNCTION("""COMPUTED_VALUE"""),10.184)</f>
        <v>10.184</v>
      </c>
      <c r="BJ60" s="71">
        <f>IFERROR(__xludf.DUMMYFUNCTION("""COMPUTED_VALUE"""),73.834)</f>
        <v>73.834</v>
      </c>
      <c r="BK60" s="71">
        <f>IFERROR(__xludf.DUMMYFUNCTION("""COMPUTED_VALUE"""),60.300000000000004)</f>
        <v>60.3</v>
      </c>
      <c r="BL60" s="71">
        <f>IFERROR(__xludf.DUMMYFUNCTION("""COMPUTED_VALUE"""),9.648000000000001)</f>
        <v>9.648</v>
      </c>
      <c r="BM60" s="71">
        <f>IFERROR(__xludf.DUMMYFUNCTION("""COMPUTED_VALUE"""),69.94800000000001)</f>
        <v>69.948</v>
      </c>
      <c r="BN60" s="71">
        <f>IFERROR(__xludf.DUMMYFUNCTION("""COMPUTED_VALUE"""),56.949999999999996)</f>
        <v>56.95</v>
      </c>
      <c r="BO60" s="71">
        <f>IFERROR(__xludf.DUMMYFUNCTION("""COMPUTED_VALUE"""),9.112)</f>
        <v>9.112</v>
      </c>
      <c r="BP60" s="71">
        <f>IFERROR(__xludf.DUMMYFUNCTION("""COMPUTED_VALUE"""),66.062)</f>
        <v>66.062</v>
      </c>
      <c r="BQ60" s="71">
        <f>IFERROR(__xludf.DUMMYFUNCTION("""COMPUTED_VALUE"""),55.61)</f>
        <v>55.61</v>
      </c>
      <c r="BR60" s="71">
        <f>IFERROR(__xludf.DUMMYFUNCTION("""COMPUTED_VALUE"""),8.8976)</f>
        <v>8.8976</v>
      </c>
      <c r="BS60" s="71">
        <f>IFERROR(__xludf.DUMMYFUNCTION("""COMPUTED_VALUE"""),64.5076)</f>
        <v>64.5076</v>
      </c>
      <c r="BT60" s="71">
        <f>IFERROR(__xludf.DUMMYFUNCTION("""COMPUTED_VALUE"""),53.6)</f>
        <v>53.6</v>
      </c>
      <c r="BU60" s="71">
        <f>IFERROR(__xludf.DUMMYFUNCTION("""COMPUTED_VALUE"""),8.576)</f>
        <v>8.576</v>
      </c>
      <c r="BV60" s="71">
        <f>IFERROR(__xludf.DUMMYFUNCTION("""COMPUTED_VALUE"""),62.176)</f>
        <v>62.176</v>
      </c>
    </row>
    <row r="61">
      <c r="A61" s="53"/>
      <c r="B61" s="53">
        <v>3.0</v>
      </c>
      <c r="C61" s="53" t="s">
        <v>36</v>
      </c>
      <c r="D61" s="53" t="s">
        <v>184</v>
      </c>
      <c r="E61" s="54" t="s">
        <v>38</v>
      </c>
      <c r="F61" s="116" t="s">
        <v>39</v>
      </c>
      <c r="G61" s="84" t="s">
        <v>185</v>
      </c>
      <c r="H61" s="55"/>
      <c r="I61" s="54">
        <f t="shared" si="1"/>
        <v>0</v>
      </c>
      <c r="J61" s="56"/>
      <c r="K61" s="57"/>
      <c r="L61" s="76"/>
      <c r="M61" s="59"/>
      <c r="N61" s="60"/>
      <c r="O61" s="90">
        <v>36050.5</v>
      </c>
      <c r="P61" s="62">
        <v>38934.54</v>
      </c>
      <c r="Q61" s="63">
        <v>38934.54</v>
      </c>
      <c r="R61" s="64">
        <v>40882.0</v>
      </c>
      <c r="S61" s="107">
        <v>42926.0</v>
      </c>
      <c r="T61" s="65">
        <f t="shared" si="2"/>
        <v>6868.16</v>
      </c>
      <c r="U61" s="65">
        <f t="shared" si="3"/>
        <v>49794.16</v>
      </c>
      <c r="V61" s="66">
        <f t="shared" si="4"/>
        <v>0.04999755394</v>
      </c>
      <c r="W61" s="67">
        <f t="shared" si="5"/>
        <v>40779.7</v>
      </c>
      <c r="X61" s="67">
        <f t="shared" si="6"/>
        <v>6524.752</v>
      </c>
      <c r="Y61" s="67">
        <f t="shared" si="7"/>
        <v>47304.452</v>
      </c>
      <c r="Z61" s="67">
        <f t="shared" si="8"/>
        <v>38633.4</v>
      </c>
      <c r="AA61" s="67">
        <f t="shared" si="9"/>
        <v>6181.344</v>
      </c>
      <c r="AB61" s="67">
        <f t="shared" si="10"/>
        <v>44814.744</v>
      </c>
      <c r="AC61" s="67">
        <f t="shared" si="11"/>
        <v>38633.4</v>
      </c>
      <c r="AD61" s="67">
        <f t="shared" si="12"/>
        <v>6181.344</v>
      </c>
      <c r="AE61" s="67">
        <f t="shared" si="13"/>
        <v>44814.744</v>
      </c>
      <c r="AF61" s="67">
        <f t="shared" si="14"/>
        <v>38633.4</v>
      </c>
      <c r="AG61" s="67">
        <f t="shared" si="15"/>
        <v>6181.344</v>
      </c>
      <c r="AH61" s="67">
        <f t="shared" si="16"/>
        <v>44814.744</v>
      </c>
      <c r="AI61" s="67">
        <f t="shared" si="17"/>
        <v>38633.4</v>
      </c>
      <c r="AJ61" s="68">
        <f t="shared" si="20"/>
        <v>6181.344</v>
      </c>
      <c r="AK61" s="68">
        <f t="shared" si="21"/>
        <v>44814.744</v>
      </c>
      <c r="AL61" s="70">
        <f>IFERROR(__xludf.DUMMYFUNCTION("""COMPUTED_VALUE"""),1.0)</f>
        <v>1</v>
      </c>
      <c r="AM61" s="70"/>
      <c r="AN61" s="71" t="str">
        <f>IFERROR(__xludf.DUMMYFUNCTION("""COMPUTED_VALUE""")," C")</f>
        <v>C</v>
      </c>
      <c r="AO61" s="71" t="str">
        <f>IFERROR(__xludf.DUMMYFUNCTION("""COMPUTED_VALUE""")," BA57")</f>
        <v>BA57</v>
      </c>
      <c r="AP61" s="71" t="str">
        <f>IFERROR(__xludf.DUMMYFUNCTION("""COMPUTED_VALUE""")," PZA")</f>
        <v>PZA</v>
      </c>
      <c r="AQ61" s="71" t="str">
        <f>IFERROR(__xludf.DUMMYFUNCTION("""COMPUTED_VALUE""")," REF")</f>
        <v>REF</v>
      </c>
      <c r="AR61" s="71" t="str">
        <f>IFERROR(__xludf.DUMMYFUNCTION("""COMPUTED_VALUE""")," BALERO 51204 ZKL/ZVL")</f>
        <v>BALERO 51204 ZKL/ZVL</v>
      </c>
      <c r="AS61" s="71" t="str">
        <f>IFERROR(__xludf.DUMMYFUNCTION("""COMPUTED_VALUE""")," BALERO 51204 ZKL/ZVL")</f>
        <v>BALERO 51204 ZKL/ZVL</v>
      </c>
      <c r="AT61" s="71">
        <f>IFERROR(__xludf.DUMMYFUNCTION("""COMPUTED_VALUE"""),20.0)</f>
        <v>20</v>
      </c>
      <c r="AU61" s="71"/>
      <c r="AV61" s="71"/>
      <c r="AW61" s="71"/>
      <c r="AX61" s="71"/>
      <c r="AY61" s="71">
        <f>IFERROR(__xludf.DUMMYFUNCTION("""COMPUTED_VALUE"""),66.0)</f>
        <v>66</v>
      </c>
      <c r="AZ61" s="71">
        <f>IFERROR(__xludf.DUMMYFUNCTION("""COMPUTED_VALUE"""),71.0)</f>
        <v>71</v>
      </c>
      <c r="BA61" s="71">
        <f>IFERROR(__xludf.DUMMYFUNCTION("""COMPUTED_VALUE"""),76.68)</f>
        <v>76.68</v>
      </c>
      <c r="BB61" s="71">
        <f>IFERROR(__xludf.DUMMYFUNCTION("""COMPUTED_VALUE"""),76.68)</f>
        <v>76.68</v>
      </c>
      <c r="BC61" s="71">
        <f>IFERROR(__xludf.DUMMYFUNCTION("""COMPUTED_VALUE"""),81.0)</f>
        <v>81</v>
      </c>
      <c r="BD61" s="71">
        <f>IFERROR(__xludf.DUMMYFUNCTION("""COMPUTED_VALUE"""),85.0)</f>
        <v>85</v>
      </c>
      <c r="BE61" s="71">
        <f>IFERROR(__xludf.DUMMYFUNCTION("""COMPUTED_VALUE"""),13.6)</f>
        <v>13.6</v>
      </c>
      <c r="BF61" s="71">
        <f>IFERROR(__xludf.DUMMYFUNCTION("""COMPUTED_VALUE"""),98.6)</f>
        <v>98.6</v>
      </c>
      <c r="BG61" s="71">
        <f>IFERROR(__xludf.DUMMYFUNCTION("""COMPUTED_VALUE"""),0.04938271604938271)</f>
        <v>0.04938271605</v>
      </c>
      <c r="BH61" s="71">
        <f>IFERROR(__xludf.DUMMYFUNCTION("""COMPUTED_VALUE"""),80.75)</f>
        <v>80.75</v>
      </c>
      <c r="BI61" s="71">
        <f>IFERROR(__xludf.DUMMYFUNCTION("""COMPUTED_VALUE"""),12.92)</f>
        <v>12.92</v>
      </c>
      <c r="BJ61" s="71">
        <f>IFERROR(__xludf.DUMMYFUNCTION("""COMPUTED_VALUE"""),93.67)</f>
        <v>93.67</v>
      </c>
      <c r="BK61" s="71">
        <f>IFERROR(__xludf.DUMMYFUNCTION("""COMPUTED_VALUE"""),76.5)</f>
        <v>76.5</v>
      </c>
      <c r="BL61" s="71">
        <f>IFERROR(__xludf.DUMMYFUNCTION("""COMPUTED_VALUE"""),12.24)</f>
        <v>12.24</v>
      </c>
      <c r="BM61" s="71">
        <f>IFERROR(__xludf.DUMMYFUNCTION("""COMPUTED_VALUE"""),88.74)</f>
        <v>88.74</v>
      </c>
      <c r="BN61" s="71">
        <f>IFERROR(__xludf.DUMMYFUNCTION("""COMPUTED_VALUE"""),72.25)</f>
        <v>72.25</v>
      </c>
      <c r="BO61" s="71">
        <f>IFERROR(__xludf.DUMMYFUNCTION("""COMPUTED_VALUE"""),11.56)</f>
        <v>11.56</v>
      </c>
      <c r="BP61" s="71">
        <f>IFERROR(__xludf.DUMMYFUNCTION("""COMPUTED_VALUE"""),83.81)</f>
        <v>83.81</v>
      </c>
      <c r="BQ61" s="71">
        <f>IFERROR(__xludf.DUMMYFUNCTION("""COMPUTED_VALUE"""),70.55)</f>
        <v>70.55</v>
      </c>
      <c r="BR61" s="71">
        <f>IFERROR(__xludf.DUMMYFUNCTION("""COMPUTED_VALUE"""),11.288)</f>
        <v>11.288</v>
      </c>
      <c r="BS61" s="71">
        <f>IFERROR(__xludf.DUMMYFUNCTION("""COMPUTED_VALUE"""),81.838)</f>
        <v>81.838</v>
      </c>
      <c r="BT61" s="71">
        <f>IFERROR(__xludf.DUMMYFUNCTION("""COMPUTED_VALUE"""),68.0)</f>
        <v>68</v>
      </c>
      <c r="BU61" s="71">
        <f>IFERROR(__xludf.DUMMYFUNCTION("""COMPUTED_VALUE"""),10.88)</f>
        <v>10.88</v>
      </c>
      <c r="BV61" s="71">
        <f>IFERROR(__xludf.DUMMYFUNCTION("""COMPUTED_VALUE"""),78.88)</f>
        <v>78.88</v>
      </c>
    </row>
    <row r="62">
      <c r="A62" s="53"/>
      <c r="B62" s="53">
        <v>3.0</v>
      </c>
      <c r="C62" s="53" t="s">
        <v>36</v>
      </c>
      <c r="D62" s="98" t="s">
        <v>186</v>
      </c>
      <c r="E62" s="54" t="s">
        <v>38</v>
      </c>
      <c r="F62" s="55" t="s">
        <v>187</v>
      </c>
      <c r="G62" s="117" t="s">
        <v>188</v>
      </c>
      <c r="H62" s="55"/>
      <c r="I62" s="54">
        <f t="shared" si="1"/>
        <v>0</v>
      </c>
      <c r="J62" s="56"/>
      <c r="K62" s="57"/>
      <c r="L62" s="76"/>
      <c r="M62" s="59"/>
      <c r="N62" s="60"/>
      <c r="O62" s="61">
        <v>19689.0</v>
      </c>
      <c r="P62" s="62">
        <v>21264.120000000003</v>
      </c>
      <c r="Q62" s="63">
        <v>21264.120000000003</v>
      </c>
      <c r="R62" s="64">
        <v>23444.0</v>
      </c>
      <c r="S62" s="107">
        <v>24616.0</v>
      </c>
      <c r="T62" s="65">
        <f t="shared" si="2"/>
        <v>3938.56</v>
      </c>
      <c r="U62" s="65">
        <f t="shared" si="3"/>
        <v>28554.56</v>
      </c>
      <c r="V62" s="66">
        <f t="shared" si="4"/>
        <v>0.04999146903</v>
      </c>
      <c r="W62" s="67">
        <f t="shared" si="5"/>
        <v>23385.2</v>
      </c>
      <c r="X62" s="67">
        <f t="shared" si="6"/>
        <v>3741.632</v>
      </c>
      <c r="Y62" s="67">
        <f t="shared" si="7"/>
        <v>27126.832</v>
      </c>
      <c r="Z62" s="67">
        <f t="shared" si="8"/>
        <v>22154.4</v>
      </c>
      <c r="AA62" s="67">
        <f t="shared" si="9"/>
        <v>3544.704</v>
      </c>
      <c r="AB62" s="67">
        <f t="shared" si="10"/>
        <v>25699.104</v>
      </c>
      <c r="AC62" s="67">
        <f t="shared" si="11"/>
        <v>22154.4</v>
      </c>
      <c r="AD62" s="67">
        <f t="shared" si="12"/>
        <v>3544.704</v>
      </c>
      <c r="AE62" s="67">
        <f t="shared" si="13"/>
        <v>25699.104</v>
      </c>
      <c r="AF62" s="67">
        <f t="shared" si="14"/>
        <v>22154.4</v>
      </c>
      <c r="AG62" s="67">
        <f t="shared" si="15"/>
        <v>3544.704</v>
      </c>
      <c r="AH62" s="67">
        <f t="shared" si="16"/>
        <v>25699.104</v>
      </c>
      <c r="AI62" s="67">
        <f t="shared" si="17"/>
        <v>22154.4</v>
      </c>
      <c r="AJ62" s="68">
        <f t="shared" si="20"/>
        <v>3544.704</v>
      </c>
      <c r="AK62" s="68">
        <f t="shared" si="21"/>
        <v>25699.104</v>
      </c>
      <c r="AL62" s="70">
        <f>IFERROR(__xludf.DUMMYFUNCTION("""COMPUTED_VALUE"""),1.0)</f>
        <v>1</v>
      </c>
      <c r="AM62" s="70"/>
      <c r="AN62" s="71" t="str">
        <f>IFERROR(__xludf.DUMMYFUNCTION("""COMPUTED_VALUE""")," C")</f>
        <v>C</v>
      </c>
      <c r="AO62" s="71" t="str">
        <f>IFERROR(__xludf.DUMMYFUNCTION("""COMPUTED_VALUE""")," BA32")</f>
        <v>BA32</v>
      </c>
      <c r="AP62" s="71" t="str">
        <f>IFERROR(__xludf.DUMMYFUNCTION("""COMPUTED_VALUE""")," PZA")</f>
        <v>PZA</v>
      </c>
      <c r="AQ62" s="71" t="str">
        <f>IFERROR(__xludf.DUMMYFUNCTION("""COMPUTED_VALUE""")," REF")</f>
        <v>REF</v>
      </c>
      <c r="AR62" s="71" t="str">
        <f>IFERROR(__xludf.DUMMYFUNCTION("""COMPUTED_VALUE""")," BALERO 51206 ZKL/ZVL")</f>
        <v>BALERO 51206 ZKL/ZVL</v>
      </c>
      <c r="AS62" s="71" t="str">
        <f>IFERROR(__xludf.DUMMYFUNCTION("""COMPUTED_VALUE""")," BALERO 51206 ZKL/ZVL")</f>
        <v>BALERO 51206 ZKL/ZVL</v>
      </c>
      <c r="AT62" s="71">
        <f>IFERROR(__xludf.DUMMYFUNCTION("""COMPUTED_VALUE"""),20.0)</f>
        <v>20</v>
      </c>
      <c r="AU62" s="71"/>
      <c r="AV62" s="71"/>
      <c r="AW62" s="71"/>
      <c r="AX62" s="71"/>
      <c r="AY62" s="71">
        <f>IFERROR(__xludf.DUMMYFUNCTION("""COMPUTED_VALUE"""),98.0)</f>
        <v>98</v>
      </c>
      <c r="AZ62" s="71">
        <f>IFERROR(__xludf.DUMMYFUNCTION("""COMPUTED_VALUE"""),105.0)</f>
        <v>105</v>
      </c>
      <c r="BA62" s="71">
        <f>IFERROR(__xludf.DUMMYFUNCTION("""COMPUTED_VALUE"""),113.4)</f>
        <v>113.4</v>
      </c>
      <c r="BB62" s="71">
        <f>IFERROR(__xludf.DUMMYFUNCTION("""COMPUTED_VALUE"""),113.4)</f>
        <v>113.4</v>
      </c>
      <c r="BC62" s="71">
        <f>IFERROR(__xludf.DUMMYFUNCTION("""COMPUTED_VALUE"""),119.0)</f>
        <v>119</v>
      </c>
      <c r="BD62" s="71">
        <f>IFERROR(__xludf.DUMMYFUNCTION("""COMPUTED_VALUE"""),125.0)</f>
        <v>125</v>
      </c>
      <c r="BE62" s="71">
        <f>IFERROR(__xludf.DUMMYFUNCTION("""COMPUTED_VALUE"""),20.0)</f>
        <v>20</v>
      </c>
      <c r="BF62" s="71">
        <f>IFERROR(__xludf.DUMMYFUNCTION("""COMPUTED_VALUE"""),145.0)</f>
        <v>145</v>
      </c>
      <c r="BG62" s="71">
        <f>IFERROR(__xludf.DUMMYFUNCTION("""COMPUTED_VALUE"""),0.05042016806722689)</f>
        <v>0.05042016807</v>
      </c>
      <c r="BH62" s="71">
        <f>IFERROR(__xludf.DUMMYFUNCTION("""COMPUTED_VALUE"""),118.75)</f>
        <v>118.75</v>
      </c>
      <c r="BI62" s="71">
        <f>IFERROR(__xludf.DUMMYFUNCTION("""COMPUTED_VALUE"""),19.0)</f>
        <v>19</v>
      </c>
      <c r="BJ62" s="71">
        <f>IFERROR(__xludf.DUMMYFUNCTION("""COMPUTED_VALUE"""),137.75)</f>
        <v>137.75</v>
      </c>
      <c r="BK62" s="71">
        <f>IFERROR(__xludf.DUMMYFUNCTION("""COMPUTED_VALUE"""),112.5)</f>
        <v>112.5</v>
      </c>
      <c r="BL62" s="71">
        <f>IFERROR(__xludf.DUMMYFUNCTION("""COMPUTED_VALUE"""),18.0)</f>
        <v>18</v>
      </c>
      <c r="BM62" s="71">
        <f>IFERROR(__xludf.DUMMYFUNCTION("""COMPUTED_VALUE"""),130.5)</f>
        <v>130.5</v>
      </c>
      <c r="BN62" s="71">
        <f>IFERROR(__xludf.DUMMYFUNCTION("""COMPUTED_VALUE"""),106.25)</f>
        <v>106.25</v>
      </c>
      <c r="BO62" s="71">
        <f>IFERROR(__xludf.DUMMYFUNCTION("""COMPUTED_VALUE"""),17.0)</f>
        <v>17</v>
      </c>
      <c r="BP62" s="71">
        <f>IFERROR(__xludf.DUMMYFUNCTION("""COMPUTED_VALUE"""),123.25)</f>
        <v>123.25</v>
      </c>
      <c r="BQ62" s="71">
        <f>IFERROR(__xludf.DUMMYFUNCTION("""COMPUTED_VALUE"""),103.75)</f>
        <v>103.75</v>
      </c>
      <c r="BR62" s="71">
        <f>IFERROR(__xludf.DUMMYFUNCTION("""COMPUTED_VALUE"""),16.6)</f>
        <v>16.6</v>
      </c>
      <c r="BS62" s="71">
        <f>IFERROR(__xludf.DUMMYFUNCTION("""COMPUTED_VALUE"""),120.35)</f>
        <v>120.35</v>
      </c>
      <c r="BT62" s="71">
        <f>IFERROR(__xludf.DUMMYFUNCTION("""COMPUTED_VALUE"""),100.0)</f>
        <v>100</v>
      </c>
      <c r="BU62" s="71">
        <f>IFERROR(__xludf.DUMMYFUNCTION("""COMPUTED_VALUE"""),16.0)</f>
        <v>16</v>
      </c>
      <c r="BV62" s="71">
        <f>IFERROR(__xludf.DUMMYFUNCTION("""COMPUTED_VALUE"""),116.0)</f>
        <v>116</v>
      </c>
    </row>
    <row r="63">
      <c r="A63" s="53"/>
      <c r="B63" s="53">
        <v>3.0</v>
      </c>
      <c r="C63" s="53" t="s">
        <v>36</v>
      </c>
      <c r="D63" s="98" t="s">
        <v>189</v>
      </c>
      <c r="E63" s="54" t="s">
        <v>38</v>
      </c>
      <c r="F63" s="55" t="s">
        <v>187</v>
      </c>
      <c r="G63" s="117" t="s">
        <v>190</v>
      </c>
      <c r="H63" s="55"/>
      <c r="I63" s="54">
        <f t="shared" si="1"/>
        <v>0</v>
      </c>
      <c r="J63" s="56"/>
      <c r="K63" s="57"/>
      <c r="L63" s="76"/>
      <c r="M63" s="59"/>
      <c r="N63" s="60"/>
      <c r="O63" s="61">
        <v>13814.0</v>
      </c>
      <c r="P63" s="62">
        <v>14919.12</v>
      </c>
      <c r="Q63" s="63">
        <v>14919.12</v>
      </c>
      <c r="R63" s="64">
        <v>16449.0</v>
      </c>
      <c r="S63" s="107">
        <v>17271.0</v>
      </c>
      <c r="T63" s="65">
        <f t="shared" si="2"/>
        <v>2763.36</v>
      </c>
      <c r="U63" s="65">
        <f t="shared" si="3"/>
        <v>20034.36</v>
      </c>
      <c r="V63" s="66">
        <f t="shared" si="4"/>
        <v>0.04997264271</v>
      </c>
      <c r="W63" s="67">
        <f t="shared" si="5"/>
        <v>16407.45</v>
      </c>
      <c r="X63" s="67">
        <f t="shared" si="6"/>
        <v>2625.192</v>
      </c>
      <c r="Y63" s="67">
        <f t="shared" si="7"/>
        <v>19032.642</v>
      </c>
      <c r="Z63" s="67">
        <f t="shared" si="8"/>
        <v>15543.9</v>
      </c>
      <c r="AA63" s="67">
        <f t="shared" si="9"/>
        <v>2487.024</v>
      </c>
      <c r="AB63" s="67">
        <f t="shared" si="10"/>
        <v>18030.924</v>
      </c>
      <c r="AC63" s="67">
        <f t="shared" si="11"/>
        <v>15543.9</v>
      </c>
      <c r="AD63" s="67">
        <f t="shared" si="12"/>
        <v>2487.024</v>
      </c>
      <c r="AE63" s="67">
        <f t="shared" si="13"/>
        <v>18030.924</v>
      </c>
      <c r="AF63" s="67">
        <f t="shared" si="14"/>
        <v>15543.9</v>
      </c>
      <c r="AG63" s="67">
        <f t="shared" si="15"/>
        <v>2487.024</v>
      </c>
      <c r="AH63" s="67">
        <f t="shared" si="16"/>
        <v>18030.924</v>
      </c>
      <c r="AI63" s="67">
        <f t="shared" si="17"/>
        <v>15543.9</v>
      </c>
      <c r="AJ63" s="68">
        <f t="shared" si="20"/>
        <v>2487.024</v>
      </c>
      <c r="AK63" s="68">
        <f t="shared" si="21"/>
        <v>18030.924</v>
      </c>
      <c r="AL63" s="70">
        <f>IFERROR(__xludf.DUMMYFUNCTION("""COMPUTED_VALUE"""),1.0)</f>
        <v>1</v>
      </c>
      <c r="AM63" s="70"/>
      <c r="AN63" s="71" t="str">
        <f>IFERROR(__xludf.DUMMYFUNCTION("""COMPUTED_VALUE""")," C")</f>
        <v>C</v>
      </c>
      <c r="AO63" s="71" t="str">
        <f>IFERROR(__xludf.DUMMYFUNCTION("""COMPUTED_VALUE""")," BA28")</f>
        <v>BA28</v>
      </c>
      <c r="AP63" s="71" t="str">
        <f>IFERROR(__xludf.DUMMYFUNCTION("""COMPUTED_VALUE""")," PZA")</f>
        <v>PZA</v>
      </c>
      <c r="AQ63" s="71" t="str">
        <f>IFERROR(__xludf.DUMMYFUNCTION("""COMPUTED_VALUE""")," REF")</f>
        <v>REF</v>
      </c>
      <c r="AR63" s="71" t="str">
        <f>IFERROR(__xludf.DUMMYFUNCTION("""COMPUTED_VALUE""")," BALERO 51208 MULTIMARCA")</f>
        <v>BALERO 51208 MULTIMARCA</v>
      </c>
      <c r="AS63" s="71" t="str">
        <f>IFERROR(__xludf.DUMMYFUNCTION("""COMPUTED_VALUE""")," BALERO 51208 MULTIMARCA")</f>
        <v>BALERO 51208 MULTIMARCA</v>
      </c>
      <c r="AT63" s="71">
        <f>IFERROR(__xludf.DUMMYFUNCTION("""COMPUTED_VALUE"""),23.0)</f>
        <v>23</v>
      </c>
      <c r="AU63" s="71"/>
      <c r="AV63" s="71"/>
      <c r="AW63" s="71"/>
      <c r="AX63" s="71"/>
      <c r="AY63" s="71">
        <f>IFERROR(__xludf.DUMMYFUNCTION("""COMPUTED_VALUE"""),75.0)</f>
        <v>75</v>
      </c>
      <c r="AZ63" s="71">
        <f>IFERROR(__xludf.DUMMYFUNCTION("""COMPUTED_VALUE"""),81.0)</f>
        <v>81</v>
      </c>
      <c r="BA63" s="71">
        <f>IFERROR(__xludf.DUMMYFUNCTION("""COMPUTED_VALUE"""),87.48)</f>
        <v>87.48</v>
      </c>
      <c r="BB63" s="71">
        <f>IFERROR(__xludf.DUMMYFUNCTION("""COMPUTED_VALUE"""),87.48)</f>
        <v>87.48</v>
      </c>
      <c r="BC63" s="71">
        <f>IFERROR(__xludf.DUMMYFUNCTION("""COMPUTED_VALUE"""),101.0)</f>
        <v>101</v>
      </c>
      <c r="BD63" s="71">
        <f>IFERROR(__xludf.DUMMYFUNCTION("""COMPUTED_VALUE"""),106.0)</f>
        <v>106</v>
      </c>
      <c r="BE63" s="71">
        <f>IFERROR(__xludf.DUMMYFUNCTION("""COMPUTED_VALUE"""),16.96)</f>
        <v>16.96</v>
      </c>
      <c r="BF63" s="71">
        <f>IFERROR(__xludf.DUMMYFUNCTION("""COMPUTED_VALUE"""),122.96000000000001)</f>
        <v>122.96</v>
      </c>
      <c r="BG63" s="71">
        <f>IFERROR(__xludf.DUMMYFUNCTION("""COMPUTED_VALUE"""),0.04950495049504951)</f>
        <v>0.0495049505</v>
      </c>
      <c r="BH63" s="71">
        <f>IFERROR(__xludf.DUMMYFUNCTION("""COMPUTED_VALUE"""),100.69999999999999)</f>
        <v>100.7</v>
      </c>
      <c r="BI63" s="71">
        <f>IFERROR(__xludf.DUMMYFUNCTION("""COMPUTED_VALUE"""),16.112)</f>
        <v>16.112</v>
      </c>
      <c r="BJ63" s="71">
        <f>IFERROR(__xludf.DUMMYFUNCTION("""COMPUTED_VALUE"""),116.81199999999998)</f>
        <v>116.812</v>
      </c>
      <c r="BK63" s="71">
        <f>IFERROR(__xludf.DUMMYFUNCTION("""COMPUTED_VALUE"""),95.4)</f>
        <v>95.4</v>
      </c>
      <c r="BL63" s="71">
        <f>IFERROR(__xludf.DUMMYFUNCTION("""COMPUTED_VALUE"""),15.264000000000001)</f>
        <v>15.264</v>
      </c>
      <c r="BM63" s="71">
        <f>IFERROR(__xludf.DUMMYFUNCTION("""COMPUTED_VALUE"""),110.664)</f>
        <v>110.664</v>
      </c>
      <c r="BN63" s="71">
        <f>IFERROR(__xludf.DUMMYFUNCTION("""COMPUTED_VALUE"""),90.1)</f>
        <v>90.1</v>
      </c>
      <c r="BO63" s="71">
        <f>IFERROR(__xludf.DUMMYFUNCTION("""COMPUTED_VALUE"""),14.415999999999999)</f>
        <v>14.416</v>
      </c>
      <c r="BP63" s="71">
        <f>IFERROR(__xludf.DUMMYFUNCTION("""COMPUTED_VALUE"""),104.51599999999999)</f>
        <v>104.516</v>
      </c>
      <c r="BQ63" s="71">
        <f>IFERROR(__xludf.DUMMYFUNCTION("""COMPUTED_VALUE"""),87.97999999999999)</f>
        <v>87.98</v>
      </c>
      <c r="BR63" s="71">
        <f>IFERROR(__xludf.DUMMYFUNCTION("""COMPUTED_VALUE"""),14.076799999999999)</f>
        <v>14.0768</v>
      </c>
      <c r="BS63" s="71">
        <f>IFERROR(__xludf.DUMMYFUNCTION("""COMPUTED_VALUE"""),102.05679999999998)</f>
        <v>102.0568</v>
      </c>
      <c r="BT63" s="71">
        <f>IFERROR(__xludf.DUMMYFUNCTION("""COMPUTED_VALUE"""),84.80000000000001)</f>
        <v>84.8</v>
      </c>
      <c r="BU63" s="71">
        <f>IFERROR(__xludf.DUMMYFUNCTION("""COMPUTED_VALUE"""),13.568000000000001)</f>
        <v>13.568</v>
      </c>
      <c r="BV63" s="71">
        <f>IFERROR(__xludf.DUMMYFUNCTION("""COMPUTED_VALUE"""),98.36800000000001)</f>
        <v>98.368</v>
      </c>
    </row>
    <row r="64">
      <c r="A64" s="53"/>
      <c r="B64" s="53">
        <v>3.0</v>
      </c>
      <c r="C64" s="53" t="s">
        <v>36</v>
      </c>
      <c r="D64" s="98" t="s">
        <v>191</v>
      </c>
      <c r="E64" s="54" t="s">
        <v>38</v>
      </c>
      <c r="F64" s="55" t="s">
        <v>187</v>
      </c>
      <c r="G64" s="117" t="s">
        <v>192</v>
      </c>
      <c r="H64" s="55"/>
      <c r="I64" s="54">
        <f t="shared" si="1"/>
        <v>0</v>
      </c>
      <c r="J64" s="56"/>
      <c r="K64" s="57"/>
      <c r="L64" s="76"/>
      <c r="M64" s="59"/>
      <c r="N64" s="60"/>
      <c r="O64" s="61">
        <v>28193.0</v>
      </c>
      <c r="P64" s="62">
        <v>30448.440000000002</v>
      </c>
      <c r="Q64" s="63">
        <v>30448.440000000002</v>
      </c>
      <c r="R64" s="64">
        <v>33569.0</v>
      </c>
      <c r="S64" s="107">
        <v>35247.0</v>
      </c>
      <c r="T64" s="65">
        <f t="shared" si="2"/>
        <v>5639.52</v>
      </c>
      <c r="U64" s="65">
        <f t="shared" si="3"/>
        <v>40886.52</v>
      </c>
      <c r="V64" s="66">
        <f t="shared" si="4"/>
        <v>0.04998659477</v>
      </c>
      <c r="W64" s="67">
        <f t="shared" si="5"/>
        <v>33484.65</v>
      </c>
      <c r="X64" s="67">
        <f t="shared" si="6"/>
        <v>5357.544</v>
      </c>
      <c r="Y64" s="67">
        <f t="shared" si="7"/>
        <v>38842.194</v>
      </c>
      <c r="Z64" s="67">
        <f t="shared" si="8"/>
        <v>31722.3</v>
      </c>
      <c r="AA64" s="67">
        <f t="shared" si="9"/>
        <v>5075.568</v>
      </c>
      <c r="AB64" s="67">
        <f t="shared" si="10"/>
        <v>36797.868</v>
      </c>
      <c r="AC64" s="67">
        <f t="shared" si="11"/>
        <v>31722.3</v>
      </c>
      <c r="AD64" s="67">
        <f t="shared" si="12"/>
        <v>5075.568</v>
      </c>
      <c r="AE64" s="67">
        <f t="shared" si="13"/>
        <v>36797.868</v>
      </c>
      <c r="AF64" s="67">
        <f t="shared" si="14"/>
        <v>31722.3</v>
      </c>
      <c r="AG64" s="67">
        <f t="shared" si="15"/>
        <v>5075.568</v>
      </c>
      <c r="AH64" s="67">
        <f t="shared" si="16"/>
        <v>36797.868</v>
      </c>
      <c r="AI64" s="67">
        <f t="shared" si="17"/>
        <v>31722.3</v>
      </c>
      <c r="AJ64" s="68">
        <f t="shared" si="20"/>
        <v>5075.568</v>
      </c>
      <c r="AK64" s="68">
        <f t="shared" si="21"/>
        <v>36797.868</v>
      </c>
      <c r="AL64" s="70">
        <f>IFERROR(__xludf.DUMMYFUNCTION("""COMPUTED_VALUE"""),1.0)</f>
        <v>1</v>
      </c>
      <c r="AM64" s="70"/>
      <c r="AN64" s="71" t="str">
        <f>IFERROR(__xludf.DUMMYFUNCTION("""COMPUTED_VALUE""")," C")</f>
        <v>C</v>
      </c>
      <c r="AO64" s="71" t="str">
        <f>IFERROR(__xludf.DUMMYFUNCTION("""COMPUTED_VALUE""")," BA43")</f>
        <v>BA43</v>
      </c>
      <c r="AP64" s="71" t="str">
        <f>IFERROR(__xludf.DUMMYFUNCTION("""COMPUTED_VALUE""")," PZA")</f>
        <v>PZA</v>
      </c>
      <c r="AQ64" s="71" t="str">
        <f>IFERROR(__xludf.DUMMYFUNCTION("""COMPUTED_VALUE""")," REF")</f>
        <v>REF</v>
      </c>
      <c r="AR64" s="71" t="str">
        <f>IFERROR(__xludf.DUMMYFUNCTION("""COMPUTED_VALUE""")," BALERO 6002 MULTIMARCA")</f>
        <v>BALERO 6002 MULTIMARCA</v>
      </c>
      <c r="AS64" s="71" t="str">
        <f>IFERROR(__xludf.DUMMYFUNCTION("""COMPUTED_VALUE""")," BALERO 6002 MULTIMARCA")</f>
        <v>BALERO 6002 MULTIMARCA</v>
      </c>
      <c r="AT64" s="71">
        <f>IFERROR(__xludf.DUMMYFUNCTION("""COMPUTED_VALUE"""),22.0)</f>
        <v>22</v>
      </c>
      <c r="AU64" s="71"/>
      <c r="AV64" s="71"/>
      <c r="AW64" s="71"/>
      <c r="AX64" s="71"/>
      <c r="AY64" s="71">
        <f>IFERROR(__xludf.DUMMYFUNCTION("""COMPUTED_VALUE"""),21.0)</f>
        <v>21</v>
      </c>
      <c r="AZ64" s="71">
        <f>IFERROR(__xludf.DUMMYFUNCTION("""COMPUTED_VALUE"""),22.0)</f>
        <v>22</v>
      </c>
      <c r="BA64" s="71">
        <f>IFERROR(__xludf.DUMMYFUNCTION("""COMPUTED_VALUE"""),23.76)</f>
        <v>23.76</v>
      </c>
      <c r="BB64" s="71">
        <f>IFERROR(__xludf.DUMMYFUNCTION("""COMPUTED_VALUE"""),23.76)</f>
        <v>23.76</v>
      </c>
      <c r="BC64" s="71">
        <f>IFERROR(__xludf.DUMMYFUNCTION("""COMPUTED_VALUE"""),26.0)</f>
        <v>26</v>
      </c>
      <c r="BD64" s="71">
        <f>IFERROR(__xludf.DUMMYFUNCTION("""COMPUTED_VALUE"""),27.0)</f>
        <v>27</v>
      </c>
      <c r="BE64" s="71">
        <f>IFERROR(__xludf.DUMMYFUNCTION("""COMPUTED_VALUE"""),4.32)</f>
        <v>4.32</v>
      </c>
      <c r="BF64" s="71">
        <f>IFERROR(__xludf.DUMMYFUNCTION("""COMPUTED_VALUE"""),31.32)</f>
        <v>31.32</v>
      </c>
      <c r="BG64" s="71">
        <f>IFERROR(__xludf.DUMMYFUNCTION("""COMPUTED_VALUE"""),0.038461538461538464)</f>
        <v>0.03846153846</v>
      </c>
      <c r="BH64" s="71">
        <f>IFERROR(__xludf.DUMMYFUNCTION("""COMPUTED_VALUE"""),25.65)</f>
        <v>25.65</v>
      </c>
      <c r="BI64" s="71">
        <f>IFERROR(__xludf.DUMMYFUNCTION("""COMPUTED_VALUE"""),4.104)</f>
        <v>4.104</v>
      </c>
      <c r="BJ64" s="71">
        <f>IFERROR(__xludf.DUMMYFUNCTION("""COMPUTED_VALUE"""),29.753999999999998)</f>
        <v>29.754</v>
      </c>
      <c r="BK64" s="71">
        <f>IFERROR(__xludf.DUMMYFUNCTION("""COMPUTED_VALUE"""),24.3)</f>
        <v>24.3</v>
      </c>
      <c r="BL64" s="71">
        <f>IFERROR(__xludf.DUMMYFUNCTION("""COMPUTED_VALUE"""),3.8880000000000003)</f>
        <v>3.888</v>
      </c>
      <c r="BM64" s="71">
        <f>IFERROR(__xludf.DUMMYFUNCTION("""COMPUTED_VALUE"""),28.188000000000002)</f>
        <v>28.188</v>
      </c>
      <c r="BN64" s="71">
        <f>IFERROR(__xludf.DUMMYFUNCTION("""COMPUTED_VALUE"""),22.95)</f>
        <v>22.95</v>
      </c>
      <c r="BO64" s="71">
        <f>IFERROR(__xludf.DUMMYFUNCTION("""COMPUTED_VALUE"""),3.672)</f>
        <v>3.672</v>
      </c>
      <c r="BP64" s="71">
        <f>IFERROR(__xludf.DUMMYFUNCTION("""COMPUTED_VALUE"""),26.622)</f>
        <v>26.622</v>
      </c>
      <c r="BQ64" s="71">
        <f>IFERROR(__xludf.DUMMYFUNCTION("""COMPUTED_VALUE"""),22.41)</f>
        <v>22.41</v>
      </c>
      <c r="BR64" s="71">
        <f>IFERROR(__xludf.DUMMYFUNCTION("""COMPUTED_VALUE"""),3.5856)</f>
        <v>3.5856</v>
      </c>
      <c r="BS64" s="71">
        <f>IFERROR(__xludf.DUMMYFUNCTION("""COMPUTED_VALUE"""),25.9956)</f>
        <v>25.9956</v>
      </c>
      <c r="BT64" s="71">
        <f>IFERROR(__xludf.DUMMYFUNCTION("""COMPUTED_VALUE"""),21.6)</f>
        <v>21.6</v>
      </c>
      <c r="BU64" s="71">
        <f>IFERROR(__xludf.DUMMYFUNCTION("""COMPUTED_VALUE"""),3.4560000000000004)</f>
        <v>3.456</v>
      </c>
      <c r="BV64" s="71">
        <f>IFERROR(__xludf.DUMMYFUNCTION("""COMPUTED_VALUE"""),25.056)</f>
        <v>25.056</v>
      </c>
    </row>
    <row r="65">
      <c r="A65" s="53"/>
      <c r="B65" s="53">
        <v>3.0</v>
      </c>
      <c r="C65" s="53" t="s">
        <v>36</v>
      </c>
      <c r="D65" s="98" t="s">
        <v>193</v>
      </c>
      <c r="E65" s="54" t="s">
        <v>38</v>
      </c>
      <c r="F65" s="55" t="s">
        <v>187</v>
      </c>
      <c r="G65" s="117" t="s">
        <v>194</v>
      </c>
      <c r="H65" s="55"/>
      <c r="I65" s="54">
        <f t="shared" si="1"/>
        <v>0</v>
      </c>
      <c r="J65" s="56"/>
      <c r="K65" s="57"/>
      <c r="L65" s="76"/>
      <c r="M65" s="59"/>
      <c r="N65" s="60"/>
      <c r="O65" s="61">
        <v>18182.0</v>
      </c>
      <c r="P65" s="62">
        <v>19636.56</v>
      </c>
      <c r="Q65" s="63">
        <v>19636.56</v>
      </c>
      <c r="R65" s="64">
        <v>21650.0</v>
      </c>
      <c r="S65" s="107">
        <v>22733.0</v>
      </c>
      <c r="T65" s="65">
        <f t="shared" si="2"/>
        <v>3637.28</v>
      </c>
      <c r="U65" s="65">
        <f t="shared" si="3"/>
        <v>26370.28</v>
      </c>
      <c r="V65" s="66">
        <f t="shared" si="4"/>
        <v>0.05002309469</v>
      </c>
      <c r="W65" s="67">
        <f t="shared" si="5"/>
        <v>21596.35</v>
      </c>
      <c r="X65" s="67">
        <f t="shared" si="6"/>
        <v>3455.416</v>
      </c>
      <c r="Y65" s="67">
        <f t="shared" si="7"/>
        <v>25051.766</v>
      </c>
      <c r="Z65" s="67">
        <f t="shared" si="8"/>
        <v>20459.7</v>
      </c>
      <c r="AA65" s="67">
        <f t="shared" si="9"/>
        <v>3273.552</v>
      </c>
      <c r="AB65" s="67">
        <f t="shared" si="10"/>
        <v>23733.252</v>
      </c>
      <c r="AC65" s="67">
        <f t="shared" si="11"/>
        <v>20459.7</v>
      </c>
      <c r="AD65" s="67">
        <f t="shared" si="12"/>
        <v>3273.552</v>
      </c>
      <c r="AE65" s="67">
        <f t="shared" si="13"/>
        <v>23733.252</v>
      </c>
      <c r="AF65" s="67">
        <f t="shared" si="14"/>
        <v>20459.7</v>
      </c>
      <c r="AG65" s="67">
        <f t="shared" si="15"/>
        <v>3273.552</v>
      </c>
      <c r="AH65" s="67">
        <f t="shared" si="16"/>
        <v>23733.252</v>
      </c>
      <c r="AI65" s="67">
        <f t="shared" si="17"/>
        <v>20459.7</v>
      </c>
      <c r="AJ65" s="68">
        <f t="shared" si="20"/>
        <v>3273.552</v>
      </c>
      <c r="AK65" s="68">
        <f t="shared" si="21"/>
        <v>23733.252</v>
      </c>
      <c r="AL65" s="70">
        <f>IFERROR(__xludf.DUMMYFUNCTION("""COMPUTED_VALUE"""),1.0)</f>
        <v>1</v>
      </c>
      <c r="AM65" s="70"/>
      <c r="AN65" s="71" t="str">
        <f>IFERROR(__xludf.DUMMYFUNCTION("""COMPUTED_VALUE""")," C")</f>
        <v>C</v>
      </c>
      <c r="AO65" s="71" t="str">
        <f>IFERROR(__xludf.DUMMYFUNCTION("""COMPUTED_VALUE""")," BA58")</f>
        <v>BA58</v>
      </c>
      <c r="AP65" s="71" t="str">
        <f>IFERROR(__xludf.DUMMYFUNCTION("""COMPUTED_VALUE""")," PZA")</f>
        <v>PZA</v>
      </c>
      <c r="AQ65" s="71" t="str">
        <f>IFERROR(__xludf.DUMMYFUNCTION("""COMPUTED_VALUE""")," REF")</f>
        <v>REF</v>
      </c>
      <c r="AR65" s="71" t="str">
        <f>IFERROR(__xludf.DUMMYFUNCTION("""COMPUTED_VALUE""")," BALERO 6002 ZKL/ZVL")</f>
        <v>BALERO 6002 ZKL/ZVL</v>
      </c>
      <c r="AS65" s="71" t="str">
        <f>IFERROR(__xludf.DUMMYFUNCTION("""COMPUTED_VALUE""")," BALERO 6002 ZKL/ZVL")</f>
        <v>BALERO 6002 ZKL/ZVL</v>
      </c>
      <c r="AT65" s="71">
        <f>IFERROR(__xludf.DUMMYFUNCTION("""COMPUTED_VALUE"""),19.0)</f>
        <v>19</v>
      </c>
      <c r="AU65" s="71"/>
      <c r="AV65" s="71"/>
      <c r="AW65" s="71"/>
      <c r="AX65" s="71"/>
      <c r="AY65" s="71">
        <f>IFERROR(__xludf.DUMMYFUNCTION("""COMPUTED_VALUE"""),48.0)</f>
        <v>48</v>
      </c>
      <c r="AZ65" s="71">
        <f>IFERROR(__xludf.DUMMYFUNCTION("""COMPUTED_VALUE"""),51.0)</f>
        <v>51</v>
      </c>
      <c r="BA65" s="71">
        <f>IFERROR(__xludf.DUMMYFUNCTION("""COMPUTED_VALUE"""),55.080000000000005)</f>
        <v>55.08</v>
      </c>
      <c r="BB65" s="71">
        <f>IFERROR(__xludf.DUMMYFUNCTION("""COMPUTED_VALUE"""),55.080000000000005)</f>
        <v>55.08</v>
      </c>
      <c r="BC65" s="71">
        <f>IFERROR(__xludf.DUMMYFUNCTION("""COMPUTED_VALUE"""),58.0)</f>
        <v>58</v>
      </c>
      <c r="BD65" s="71">
        <f>IFERROR(__xludf.DUMMYFUNCTION("""COMPUTED_VALUE"""),61.0)</f>
        <v>61</v>
      </c>
      <c r="BE65" s="71">
        <f>IFERROR(__xludf.DUMMYFUNCTION("""COMPUTED_VALUE"""),9.76)</f>
        <v>9.76</v>
      </c>
      <c r="BF65" s="71">
        <f>IFERROR(__xludf.DUMMYFUNCTION("""COMPUTED_VALUE"""),70.76)</f>
        <v>70.76</v>
      </c>
      <c r="BG65" s="71">
        <f>IFERROR(__xludf.DUMMYFUNCTION("""COMPUTED_VALUE"""),0.05172413793103448)</f>
        <v>0.05172413793</v>
      </c>
      <c r="BH65" s="71">
        <f>IFERROR(__xludf.DUMMYFUNCTION("""COMPUTED_VALUE"""),57.949999999999996)</f>
        <v>57.95</v>
      </c>
      <c r="BI65" s="71">
        <f>IFERROR(__xludf.DUMMYFUNCTION("""COMPUTED_VALUE"""),9.272)</f>
        <v>9.272</v>
      </c>
      <c r="BJ65" s="71">
        <f>IFERROR(__xludf.DUMMYFUNCTION("""COMPUTED_VALUE"""),67.222)</f>
        <v>67.222</v>
      </c>
      <c r="BK65" s="71">
        <f>IFERROR(__xludf.DUMMYFUNCTION("""COMPUTED_VALUE"""),54.9)</f>
        <v>54.9</v>
      </c>
      <c r="BL65" s="71">
        <f>IFERROR(__xludf.DUMMYFUNCTION("""COMPUTED_VALUE"""),8.784)</f>
        <v>8.784</v>
      </c>
      <c r="BM65" s="71">
        <f>IFERROR(__xludf.DUMMYFUNCTION("""COMPUTED_VALUE"""),63.684)</f>
        <v>63.684</v>
      </c>
      <c r="BN65" s="71">
        <f>IFERROR(__xludf.DUMMYFUNCTION("""COMPUTED_VALUE"""),51.85)</f>
        <v>51.85</v>
      </c>
      <c r="BO65" s="71">
        <f>IFERROR(__xludf.DUMMYFUNCTION("""COMPUTED_VALUE"""),8.296000000000001)</f>
        <v>8.296</v>
      </c>
      <c r="BP65" s="71">
        <f>IFERROR(__xludf.DUMMYFUNCTION("""COMPUTED_VALUE"""),60.146)</f>
        <v>60.146</v>
      </c>
      <c r="BQ65" s="71">
        <f>IFERROR(__xludf.DUMMYFUNCTION("""COMPUTED_VALUE"""),50.629999999999995)</f>
        <v>50.63</v>
      </c>
      <c r="BR65" s="71">
        <f>IFERROR(__xludf.DUMMYFUNCTION("""COMPUTED_VALUE"""),8.1008)</f>
        <v>8.1008</v>
      </c>
      <c r="BS65" s="71">
        <f>IFERROR(__xludf.DUMMYFUNCTION("""COMPUTED_VALUE"""),58.730799999999995)</f>
        <v>58.7308</v>
      </c>
      <c r="BT65" s="71">
        <f>IFERROR(__xludf.DUMMYFUNCTION("""COMPUTED_VALUE"""),48.800000000000004)</f>
        <v>48.8</v>
      </c>
      <c r="BU65" s="71">
        <f>IFERROR(__xludf.DUMMYFUNCTION("""COMPUTED_VALUE"""),7.808000000000001)</f>
        <v>7.808</v>
      </c>
      <c r="BV65" s="71">
        <f>IFERROR(__xludf.DUMMYFUNCTION("""COMPUTED_VALUE"""),56.608000000000004)</f>
        <v>56.608</v>
      </c>
    </row>
    <row r="66">
      <c r="A66" s="53"/>
      <c r="B66" s="53">
        <v>3.0</v>
      </c>
      <c r="C66" s="53" t="s">
        <v>36</v>
      </c>
      <c r="D66" s="98" t="s">
        <v>195</v>
      </c>
      <c r="E66" s="54" t="s">
        <v>38</v>
      </c>
      <c r="F66" s="55" t="s">
        <v>187</v>
      </c>
      <c r="G66" s="117" t="s">
        <v>196</v>
      </c>
      <c r="H66" s="55"/>
      <c r="I66" s="54">
        <f t="shared" si="1"/>
        <v>0</v>
      </c>
      <c r="J66" s="56"/>
      <c r="K66" s="57"/>
      <c r="L66" s="76"/>
      <c r="M66" s="59"/>
      <c r="N66" s="60"/>
      <c r="O66" s="61">
        <v>33078.0</v>
      </c>
      <c r="P66" s="62">
        <v>35724.240000000005</v>
      </c>
      <c r="Q66" s="63">
        <v>35724.240000000005</v>
      </c>
      <c r="R66" s="64">
        <v>39386.0</v>
      </c>
      <c r="S66" s="107">
        <v>41355.0</v>
      </c>
      <c r="T66" s="65">
        <f t="shared" si="2"/>
        <v>6616.8</v>
      </c>
      <c r="U66" s="65">
        <f t="shared" si="3"/>
        <v>47971.8</v>
      </c>
      <c r="V66" s="66">
        <f t="shared" si="4"/>
        <v>0.04999238308</v>
      </c>
      <c r="W66" s="67">
        <f t="shared" si="5"/>
        <v>39287.25</v>
      </c>
      <c r="X66" s="67">
        <f t="shared" si="6"/>
        <v>6285.96</v>
      </c>
      <c r="Y66" s="67">
        <f t="shared" si="7"/>
        <v>45573.21</v>
      </c>
      <c r="Z66" s="67">
        <f t="shared" si="8"/>
        <v>37219.5</v>
      </c>
      <c r="AA66" s="67">
        <f t="shared" si="9"/>
        <v>5955.12</v>
      </c>
      <c r="AB66" s="67">
        <f t="shared" si="10"/>
        <v>43174.62</v>
      </c>
      <c r="AC66" s="67">
        <f t="shared" si="11"/>
        <v>37219.5</v>
      </c>
      <c r="AD66" s="67">
        <f t="shared" si="12"/>
        <v>5955.12</v>
      </c>
      <c r="AE66" s="67">
        <f t="shared" si="13"/>
        <v>43174.62</v>
      </c>
      <c r="AF66" s="67">
        <f t="shared" si="14"/>
        <v>37219.5</v>
      </c>
      <c r="AG66" s="67">
        <f t="shared" si="15"/>
        <v>5955.12</v>
      </c>
      <c r="AH66" s="67">
        <f t="shared" si="16"/>
        <v>43174.62</v>
      </c>
      <c r="AI66" s="67">
        <f t="shared" si="17"/>
        <v>37219.5</v>
      </c>
      <c r="AJ66" s="68">
        <f t="shared" si="20"/>
        <v>5955.12</v>
      </c>
      <c r="AK66" s="68">
        <f t="shared" si="21"/>
        <v>43174.62</v>
      </c>
      <c r="AL66" s="70">
        <f>IFERROR(__xludf.DUMMYFUNCTION("""COMPUTED_VALUE"""),1.0)</f>
        <v>1</v>
      </c>
      <c r="AM66" s="70"/>
      <c r="AN66" s="71" t="str">
        <f>IFERROR(__xludf.DUMMYFUNCTION("""COMPUTED_VALUE""")," C")</f>
        <v>C</v>
      </c>
      <c r="AO66" s="71" t="str">
        <f>IFERROR(__xludf.DUMMYFUNCTION("""COMPUTED_VALUE""")," BA06")</f>
        <v>BA06</v>
      </c>
      <c r="AP66" s="71" t="str">
        <f>IFERROR(__xludf.DUMMYFUNCTION("""COMPUTED_VALUE""")," PZA")</f>
        <v>PZA</v>
      </c>
      <c r="AQ66" s="71" t="str">
        <f>IFERROR(__xludf.DUMMYFUNCTION("""COMPUTED_VALUE""")," REF")</f>
        <v>REF</v>
      </c>
      <c r="AR66" s="71" t="str">
        <f>IFERROR(__xludf.DUMMYFUNCTION("""COMPUTED_VALUE""")," BALERO 6003 ZKL/ZVL")</f>
        <v>BALERO 6003 ZKL/ZVL</v>
      </c>
      <c r="AS66" s="71" t="str">
        <f>IFERROR(__xludf.DUMMYFUNCTION("""COMPUTED_VALUE""")," BALERO 6003 ZKL/ZVL")</f>
        <v>BALERO 6003 ZKL/ZVL</v>
      </c>
      <c r="AT66" s="71">
        <f>IFERROR(__xludf.DUMMYFUNCTION("""COMPUTED_VALUE"""),19.0)</f>
        <v>19</v>
      </c>
      <c r="AU66" s="71"/>
      <c r="AV66" s="71"/>
      <c r="AW66" s="71"/>
      <c r="AX66" s="71"/>
      <c r="AY66" s="71">
        <f>IFERROR(__xludf.DUMMYFUNCTION("""COMPUTED_VALUE"""),52.0)</f>
        <v>52</v>
      </c>
      <c r="AZ66" s="71">
        <f>IFERROR(__xludf.DUMMYFUNCTION("""COMPUTED_VALUE"""),56.0)</f>
        <v>56</v>
      </c>
      <c r="BA66" s="71">
        <f>IFERROR(__xludf.DUMMYFUNCTION("""COMPUTED_VALUE"""),60.480000000000004)</f>
        <v>60.48</v>
      </c>
      <c r="BB66" s="71">
        <f>IFERROR(__xludf.DUMMYFUNCTION("""COMPUTED_VALUE"""),60.480000000000004)</f>
        <v>60.48</v>
      </c>
      <c r="BC66" s="71">
        <f>IFERROR(__xludf.DUMMYFUNCTION("""COMPUTED_VALUE"""),69.0)</f>
        <v>69</v>
      </c>
      <c r="BD66" s="71">
        <f>IFERROR(__xludf.DUMMYFUNCTION("""COMPUTED_VALUE"""),72.0)</f>
        <v>72</v>
      </c>
      <c r="BE66" s="71">
        <f>IFERROR(__xludf.DUMMYFUNCTION("""COMPUTED_VALUE"""),11.52)</f>
        <v>11.52</v>
      </c>
      <c r="BF66" s="71">
        <f>IFERROR(__xludf.DUMMYFUNCTION("""COMPUTED_VALUE"""),83.52)</f>
        <v>83.52</v>
      </c>
      <c r="BG66" s="71">
        <f>IFERROR(__xludf.DUMMYFUNCTION("""COMPUTED_VALUE"""),0.043478260869565216)</f>
        <v>0.04347826087</v>
      </c>
      <c r="BH66" s="71">
        <f>IFERROR(__xludf.DUMMYFUNCTION("""COMPUTED_VALUE"""),68.39999999999999)</f>
        <v>68.4</v>
      </c>
      <c r="BI66" s="71">
        <f>IFERROR(__xludf.DUMMYFUNCTION("""COMPUTED_VALUE"""),10.943999999999999)</f>
        <v>10.944</v>
      </c>
      <c r="BJ66" s="71">
        <f>IFERROR(__xludf.DUMMYFUNCTION("""COMPUTED_VALUE"""),79.344)</f>
        <v>79.344</v>
      </c>
      <c r="BK66" s="71">
        <f>IFERROR(__xludf.DUMMYFUNCTION("""COMPUTED_VALUE"""),64.8)</f>
        <v>64.8</v>
      </c>
      <c r="BL66" s="71">
        <f>IFERROR(__xludf.DUMMYFUNCTION("""COMPUTED_VALUE"""),10.368)</f>
        <v>10.368</v>
      </c>
      <c r="BM66" s="71">
        <f>IFERROR(__xludf.DUMMYFUNCTION("""COMPUTED_VALUE"""),75.16799999999999)</f>
        <v>75.168</v>
      </c>
      <c r="BN66" s="71">
        <f>IFERROR(__xludf.DUMMYFUNCTION("""COMPUTED_VALUE"""),61.199999999999996)</f>
        <v>61.2</v>
      </c>
      <c r="BO66" s="71">
        <f>IFERROR(__xludf.DUMMYFUNCTION("""COMPUTED_VALUE"""),9.792)</f>
        <v>9.792</v>
      </c>
      <c r="BP66" s="71">
        <f>IFERROR(__xludf.DUMMYFUNCTION("""COMPUTED_VALUE"""),70.99199999999999)</f>
        <v>70.992</v>
      </c>
      <c r="BQ66" s="71">
        <f>IFERROR(__xludf.DUMMYFUNCTION("""COMPUTED_VALUE"""),59.76)</f>
        <v>59.76</v>
      </c>
      <c r="BR66" s="71">
        <f>IFERROR(__xludf.DUMMYFUNCTION("""COMPUTED_VALUE"""),9.5616)</f>
        <v>9.5616</v>
      </c>
      <c r="BS66" s="71">
        <f>IFERROR(__xludf.DUMMYFUNCTION("""COMPUTED_VALUE"""),69.3216)</f>
        <v>69.3216</v>
      </c>
      <c r="BT66" s="71">
        <f>IFERROR(__xludf.DUMMYFUNCTION("""COMPUTED_VALUE"""),57.6)</f>
        <v>57.6</v>
      </c>
      <c r="BU66" s="71">
        <f>IFERROR(__xludf.DUMMYFUNCTION("""COMPUTED_VALUE"""),9.216000000000001)</f>
        <v>9.216</v>
      </c>
      <c r="BV66" s="71">
        <f>IFERROR(__xludf.DUMMYFUNCTION("""COMPUTED_VALUE"""),66.816)</f>
        <v>66.816</v>
      </c>
    </row>
    <row r="67">
      <c r="A67" s="53"/>
      <c r="B67" s="53">
        <v>3.0</v>
      </c>
      <c r="C67" s="53" t="s">
        <v>36</v>
      </c>
      <c r="D67" s="98" t="s">
        <v>197</v>
      </c>
      <c r="E67" s="54" t="s">
        <v>38</v>
      </c>
      <c r="F67" s="55" t="s">
        <v>187</v>
      </c>
      <c r="G67" s="117" t="s">
        <v>198</v>
      </c>
      <c r="H67" s="55"/>
      <c r="I67" s="54">
        <f t="shared" si="1"/>
        <v>0</v>
      </c>
      <c r="J67" s="56"/>
      <c r="K67" s="57"/>
      <c r="L67" s="76"/>
      <c r="M67" s="59"/>
      <c r="N67" s="60"/>
      <c r="O67" s="61">
        <v>21499.0</v>
      </c>
      <c r="P67" s="62">
        <v>23218.920000000002</v>
      </c>
      <c r="Q67" s="63">
        <v>23218.920000000002</v>
      </c>
      <c r="R67" s="64">
        <v>25599.0</v>
      </c>
      <c r="S67" s="107">
        <v>26879.0</v>
      </c>
      <c r="T67" s="65">
        <f t="shared" si="2"/>
        <v>4300.64</v>
      </c>
      <c r="U67" s="65">
        <f t="shared" si="3"/>
        <v>31179.64</v>
      </c>
      <c r="V67" s="66">
        <f t="shared" si="4"/>
        <v>0.0500019532</v>
      </c>
      <c r="W67" s="67">
        <f t="shared" si="5"/>
        <v>25535.05</v>
      </c>
      <c r="X67" s="67">
        <f t="shared" si="6"/>
        <v>4085.608</v>
      </c>
      <c r="Y67" s="67">
        <f t="shared" si="7"/>
        <v>29620.658</v>
      </c>
      <c r="Z67" s="67">
        <f t="shared" si="8"/>
        <v>24191.1</v>
      </c>
      <c r="AA67" s="67">
        <f t="shared" si="9"/>
        <v>3870.576</v>
      </c>
      <c r="AB67" s="67">
        <f t="shared" si="10"/>
        <v>28061.676</v>
      </c>
      <c r="AC67" s="67">
        <f t="shared" si="11"/>
        <v>24191.1</v>
      </c>
      <c r="AD67" s="67">
        <f t="shared" si="12"/>
        <v>3870.576</v>
      </c>
      <c r="AE67" s="67">
        <f t="shared" si="13"/>
        <v>28061.676</v>
      </c>
      <c r="AF67" s="67">
        <f t="shared" si="14"/>
        <v>24191.1</v>
      </c>
      <c r="AG67" s="67">
        <f t="shared" si="15"/>
        <v>3870.576</v>
      </c>
      <c r="AH67" s="67">
        <f t="shared" si="16"/>
        <v>28061.676</v>
      </c>
      <c r="AI67" s="67">
        <f t="shared" si="17"/>
        <v>24191.1</v>
      </c>
      <c r="AJ67" s="68">
        <f t="shared" si="20"/>
        <v>3870.576</v>
      </c>
      <c r="AK67" s="68">
        <f t="shared" si="21"/>
        <v>28061.676</v>
      </c>
      <c r="AL67" s="70">
        <f>IFERROR(__xludf.DUMMYFUNCTION("""COMPUTED_VALUE"""),1.0)</f>
        <v>1</v>
      </c>
      <c r="AM67" s="70"/>
      <c r="AN67" s="71" t="str">
        <f>IFERROR(__xludf.DUMMYFUNCTION("""COMPUTED_VALUE""")," C")</f>
        <v>C</v>
      </c>
      <c r="AO67" s="71" t="str">
        <f>IFERROR(__xludf.DUMMYFUNCTION("""COMPUTED_VALUE""")," BA37")</f>
        <v>BA37</v>
      </c>
      <c r="AP67" s="71" t="str">
        <f>IFERROR(__xludf.DUMMYFUNCTION("""COMPUTED_VALUE""")," PZA")</f>
        <v>PZA</v>
      </c>
      <c r="AQ67" s="71" t="str">
        <f>IFERROR(__xludf.DUMMYFUNCTION("""COMPUTED_VALUE""")," REF")</f>
        <v>REF</v>
      </c>
      <c r="AR67" s="71" t="str">
        <f>IFERROR(__xludf.DUMMYFUNCTION("""COMPUTED_VALUE""")," BALERO 6004 ZKL/ZVL")</f>
        <v>BALERO 6004 ZKL/ZVL</v>
      </c>
      <c r="AS67" s="71" t="str">
        <f>IFERROR(__xludf.DUMMYFUNCTION("""COMPUTED_VALUE""")," BALERO 6004 ZKL/ZVL")</f>
        <v>BALERO 6004 ZKL/ZVL</v>
      </c>
      <c r="AT67" s="71">
        <f>IFERROR(__xludf.DUMMYFUNCTION("""COMPUTED_VALUE"""),19.0)</f>
        <v>19</v>
      </c>
      <c r="AU67" s="71"/>
      <c r="AV67" s="71"/>
      <c r="AW67" s="71"/>
      <c r="AX67" s="71"/>
      <c r="AY67" s="71">
        <f>IFERROR(__xludf.DUMMYFUNCTION("""COMPUTED_VALUE"""),41.0)</f>
        <v>41</v>
      </c>
      <c r="AZ67" s="71">
        <f>IFERROR(__xludf.DUMMYFUNCTION("""COMPUTED_VALUE"""),44.0)</f>
        <v>44</v>
      </c>
      <c r="BA67" s="71">
        <f>IFERROR(__xludf.DUMMYFUNCTION("""COMPUTED_VALUE"""),47.52)</f>
        <v>47.52</v>
      </c>
      <c r="BB67" s="71">
        <f>IFERROR(__xludf.DUMMYFUNCTION("""COMPUTED_VALUE"""),47.52)</f>
        <v>47.52</v>
      </c>
      <c r="BC67" s="71">
        <f>IFERROR(__xludf.DUMMYFUNCTION("""COMPUTED_VALUE"""),51.0)</f>
        <v>51</v>
      </c>
      <c r="BD67" s="71">
        <f>IFERROR(__xludf.DUMMYFUNCTION("""COMPUTED_VALUE"""),54.0)</f>
        <v>54</v>
      </c>
      <c r="BE67" s="71">
        <f>IFERROR(__xludf.DUMMYFUNCTION("""COMPUTED_VALUE"""),8.64)</f>
        <v>8.64</v>
      </c>
      <c r="BF67" s="71">
        <f>IFERROR(__xludf.DUMMYFUNCTION("""COMPUTED_VALUE"""),62.64)</f>
        <v>62.64</v>
      </c>
      <c r="BG67" s="71">
        <f>IFERROR(__xludf.DUMMYFUNCTION("""COMPUTED_VALUE"""),0.058823529411764705)</f>
        <v>0.05882352941</v>
      </c>
      <c r="BH67" s="71">
        <f>IFERROR(__xludf.DUMMYFUNCTION("""COMPUTED_VALUE"""),51.3)</f>
        <v>51.3</v>
      </c>
      <c r="BI67" s="71">
        <f>IFERROR(__xludf.DUMMYFUNCTION("""COMPUTED_VALUE"""),8.208)</f>
        <v>8.208</v>
      </c>
      <c r="BJ67" s="71">
        <f>IFERROR(__xludf.DUMMYFUNCTION("""COMPUTED_VALUE"""),59.507999999999996)</f>
        <v>59.508</v>
      </c>
      <c r="BK67" s="71">
        <f>IFERROR(__xludf.DUMMYFUNCTION("""COMPUTED_VALUE"""),48.6)</f>
        <v>48.6</v>
      </c>
      <c r="BL67" s="71">
        <f>IFERROR(__xludf.DUMMYFUNCTION("""COMPUTED_VALUE"""),7.776000000000001)</f>
        <v>7.776</v>
      </c>
      <c r="BM67" s="71">
        <f>IFERROR(__xludf.DUMMYFUNCTION("""COMPUTED_VALUE"""),56.376000000000005)</f>
        <v>56.376</v>
      </c>
      <c r="BN67" s="71">
        <f>IFERROR(__xludf.DUMMYFUNCTION("""COMPUTED_VALUE"""),45.9)</f>
        <v>45.9</v>
      </c>
      <c r="BO67" s="71">
        <f>IFERROR(__xludf.DUMMYFUNCTION("""COMPUTED_VALUE"""),7.344)</f>
        <v>7.344</v>
      </c>
      <c r="BP67" s="71">
        <f>IFERROR(__xludf.DUMMYFUNCTION("""COMPUTED_VALUE"""),53.244)</f>
        <v>53.244</v>
      </c>
      <c r="BQ67" s="71">
        <f>IFERROR(__xludf.DUMMYFUNCTION("""COMPUTED_VALUE"""),44.82)</f>
        <v>44.82</v>
      </c>
      <c r="BR67" s="71">
        <f>IFERROR(__xludf.DUMMYFUNCTION("""COMPUTED_VALUE"""),7.1712)</f>
        <v>7.1712</v>
      </c>
      <c r="BS67" s="71">
        <f>IFERROR(__xludf.DUMMYFUNCTION("""COMPUTED_VALUE"""),51.9912)</f>
        <v>51.9912</v>
      </c>
      <c r="BT67" s="71">
        <f>IFERROR(__xludf.DUMMYFUNCTION("""COMPUTED_VALUE"""),43.2)</f>
        <v>43.2</v>
      </c>
      <c r="BU67" s="71">
        <f>IFERROR(__xludf.DUMMYFUNCTION("""COMPUTED_VALUE"""),6.912000000000001)</f>
        <v>6.912</v>
      </c>
      <c r="BV67" s="71">
        <f>IFERROR(__xludf.DUMMYFUNCTION("""COMPUTED_VALUE"""),50.112)</f>
        <v>50.112</v>
      </c>
    </row>
    <row r="68">
      <c r="A68" s="53"/>
      <c r="B68" s="53">
        <v>3.0</v>
      </c>
      <c r="C68" s="53" t="s">
        <v>36</v>
      </c>
      <c r="D68" s="98" t="s">
        <v>199</v>
      </c>
      <c r="E68" s="54" t="s">
        <v>38</v>
      </c>
      <c r="F68" s="55" t="s">
        <v>61</v>
      </c>
      <c r="G68" s="86" t="s">
        <v>200</v>
      </c>
      <c r="H68" s="55"/>
      <c r="I68" s="54">
        <f t="shared" si="1"/>
        <v>0</v>
      </c>
      <c r="J68" s="56"/>
      <c r="K68" s="57"/>
      <c r="L68" s="77"/>
      <c r="M68" s="59"/>
      <c r="N68" s="60"/>
      <c r="O68" s="61">
        <v>16096.0</v>
      </c>
      <c r="P68" s="62">
        <v>17383.68</v>
      </c>
      <c r="Q68" s="63">
        <v>17383.68</v>
      </c>
      <c r="R68" s="64">
        <v>19166.0</v>
      </c>
      <c r="S68" s="107">
        <v>20124.0</v>
      </c>
      <c r="T68" s="65">
        <f t="shared" si="2"/>
        <v>3219.84</v>
      </c>
      <c r="U68" s="65">
        <f t="shared" si="3"/>
        <v>23343.84</v>
      </c>
      <c r="V68" s="66">
        <f t="shared" si="4"/>
        <v>0.04998434728</v>
      </c>
      <c r="W68" s="67">
        <f t="shared" si="5"/>
        <v>19117.8</v>
      </c>
      <c r="X68" s="67">
        <f t="shared" si="6"/>
        <v>3058.848</v>
      </c>
      <c r="Y68" s="67">
        <f t="shared" si="7"/>
        <v>22176.648</v>
      </c>
      <c r="Z68" s="67">
        <f t="shared" si="8"/>
        <v>18111.6</v>
      </c>
      <c r="AA68" s="67">
        <f t="shared" si="9"/>
        <v>2897.856</v>
      </c>
      <c r="AB68" s="67">
        <f t="shared" si="10"/>
        <v>21009.456</v>
      </c>
      <c r="AC68" s="67">
        <f t="shared" si="11"/>
        <v>18111.6</v>
      </c>
      <c r="AD68" s="67">
        <f t="shared" si="12"/>
        <v>2897.856</v>
      </c>
      <c r="AE68" s="67">
        <f t="shared" si="13"/>
        <v>21009.456</v>
      </c>
      <c r="AF68" s="67">
        <f t="shared" si="14"/>
        <v>18111.6</v>
      </c>
      <c r="AG68" s="67">
        <f t="shared" si="15"/>
        <v>2897.856</v>
      </c>
      <c r="AH68" s="67">
        <f t="shared" si="16"/>
        <v>21009.456</v>
      </c>
      <c r="AI68" s="67">
        <f t="shared" si="17"/>
        <v>18111.6</v>
      </c>
      <c r="AJ68" s="68">
        <f t="shared" si="20"/>
        <v>2897.856</v>
      </c>
      <c r="AK68" s="68">
        <f t="shared" si="21"/>
        <v>21009.456</v>
      </c>
      <c r="AL68" s="70">
        <f>IFERROR(__xludf.DUMMYFUNCTION("""COMPUTED_VALUE"""),1.0)</f>
        <v>1</v>
      </c>
      <c r="AM68" s="70"/>
      <c r="AN68" s="71" t="str">
        <f>IFERROR(__xludf.DUMMYFUNCTION("""COMPUTED_VALUE""")," C")</f>
        <v>C</v>
      </c>
      <c r="AO68" s="71" t="str">
        <f>IFERROR(__xludf.DUMMYFUNCTION("""COMPUTED_VALUE""")," BA59")</f>
        <v>BA59</v>
      </c>
      <c r="AP68" s="71" t="str">
        <f>IFERROR(__xludf.DUMMYFUNCTION("""COMPUTED_VALUE""")," PZA")</f>
        <v>PZA</v>
      </c>
      <c r="AQ68" s="71" t="str">
        <f>IFERROR(__xludf.DUMMYFUNCTION("""COMPUTED_VALUE""")," REF")</f>
        <v>REF</v>
      </c>
      <c r="AR68" s="71" t="str">
        <f>IFERROR(__xludf.DUMMYFUNCTION("""COMPUTED_VALUE""")," BALERO 6201 ZKL/ZVL")</f>
        <v>BALERO 6201 ZKL/ZVL</v>
      </c>
      <c r="AS68" s="71" t="str">
        <f>IFERROR(__xludf.DUMMYFUNCTION("""COMPUTED_VALUE""")," BALERO 6201 ZKL/ZVL")</f>
        <v>BALERO 6201 ZKL/ZVL</v>
      </c>
      <c r="AT68" s="71">
        <f>IFERROR(__xludf.DUMMYFUNCTION("""COMPUTED_VALUE"""),19.0)</f>
        <v>19</v>
      </c>
      <c r="AU68" s="71"/>
      <c r="AV68" s="71"/>
      <c r="AW68" s="71"/>
      <c r="AX68" s="71"/>
      <c r="AY68" s="71">
        <f>IFERROR(__xludf.DUMMYFUNCTION("""COMPUTED_VALUE"""),32.0)</f>
        <v>32</v>
      </c>
      <c r="AZ68" s="71">
        <f>IFERROR(__xludf.DUMMYFUNCTION("""COMPUTED_VALUE"""),34.0)</f>
        <v>34</v>
      </c>
      <c r="BA68" s="71">
        <f>IFERROR(__xludf.DUMMYFUNCTION("""COMPUTED_VALUE"""),36.72)</f>
        <v>36.72</v>
      </c>
      <c r="BB68" s="71">
        <f>IFERROR(__xludf.DUMMYFUNCTION("""COMPUTED_VALUE"""),36.72)</f>
        <v>36.72</v>
      </c>
      <c r="BC68" s="71">
        <f>IFERROR(__xludf.DUMMYFUNCTION("""COMPUTED_VALUE"""),39.0)</f>
        <v>39</v>
      </c>
      <c r="BD68" s="71">
        <f>IFERROR(__xludf.DUMMYFUNCTION("""COMPUTED_VALUE"""),41.0)</f>
        <v>41</v>
      </c>
      <c r="BE68" s="71">
        <f>IFERROR(__xludf.DUMMYFUNCTION("""COMPUTED_VALUE"""),6.5600000000000005)</f>
        <v>6.56</v>
      </c>
      <c r="BF68" s="71">
        <f>IFERROR(__xludf.DUMMYFUNCTION("""COMPUTED_VALUE"""),47.56)</f>
        <v>47.56</v>
      </c>
      <c r="BG68" s="71">
        <f>IFERROR(__xludf.DUMMYFUNCTION("""COMPUTED_VALUE"""),0.05128205128205128)</f>
        <v>0.05128205128</v>
      </c>
      <c r="BH68" s="71">
        <f>IFERROR(__xludf.DUMMYFUNCTION("""COMPUTED_VALUE"""),38.949999999999996)</f>
        <v>38.95</v>
      </c>
      <c r="BI68" s="71">
        <f>IFERROR(__xludf.DUMMYFUNCTION("""COMPUTED_VALUE"""),6.231999999999999)</f>
        <v>6.232</v>
      </c>
      <c r="BJ68" s="71">
        <f>IFERROR(__xludf.DUMMYFUNCTION("""COMPUTED_VALUE"""),45.181999999999995)</f>
        <v>45.182</v>
      </c>
      <c r="BK68" s="71">
        <f>IFERROR(__xludf.DUMMYFUNCTION("""COMPUTED_VALUE"""),36.9)</f>
        <v>36.9</v>
      </c>
      <c r="BL68" s="71">
        <f>IFERROR(__xludf.DUMMYFUNCTION("""COMPUTED_VALUE"""),5.904)</f>
        <v>5.904</v>
      </c>
      <c r="BM68" s="71">
        <f>IFERROR(__xludf.DUMMYFUNCTION("""COMPUTED_VALUE"""),42.804)</f>
        <v>42.804</v>
      </c>
      <c r="BN68" s="71">
        <f>IFERROR(__xludf.DUMMYFUNCTION("""COMPUTED_VALUE"""),34.85)</f>
        <v>34.85</v>
      </c>
      <c r="BO68" s="71">
        <f>IFERROR(__xludf.DUMMYFUNCTION("""COMPUTED_VALUE"""),5.5760000000000005)</f>
        <v>5.576</v>
      </c>
      <c r="BP68" s="71">
        <f>IFERROR(__xludf.DUMMYFUNCTION("""COMPUTED_VALUE"""),40.426)</f>
        <v>40.426</v>
      </c>
      <c r="BQ68" s="71">
        <f>IFERROR(__xludf.DUMMYFUNCTION("""COMPUTED_VALUE"""),34.03)</f>
        <v>34.03</v>
      </c>
      <c r="BR68" s="71">
        <f>IFERROR(__xludf.DUMMYFUNCTION("""COMPUTED_VALUE"""),5.4448)</f>
        <v>5.4448</v>
      </c>
      <c r="BS68" s="71">
        <f>IFERROR(__xludf.DUMMYFUNCTION("""COMPUTED_VALUE"""),39.4748)</f>
        <v>39.4748</v>
      </c>
      <c r="BT68" s="71">
        <f>IFERROR(__xludf.DUMMYFUNCTION("""COMPUTED_VALUE"""),32.800000000000004)</f>
        <v>32.8</v>
      </c>
      <c r="BU68" s="71">
        <f>IFERROR(__xludf.DUMMYFUNCTION("""COMPUTED_VALUE"""),5.248000000000001)</f>
        <v>5.248</v>
      </c>
      <c r="BV68" s="71">
        <f>IFERROR(__xludf.DUMMYFUNCTION("""COMPUTED_VALUE"""),38.048)</f>
        <v>38.048</v>
      </c>
    </row>
    <row r="69">
      <c r="A69" s="53"/>
      <c r="B69" s="53">
        <v>3.0</v>
      </c>
      <c r="C69" s="53" t="s">
        <v>36</v>
      </c>
      <c r="D69" s="98" t="s">
        <v>201</v>
      </c>
      <c r="E69" s="54" t="s">
        <v>38</v>
      </c>
      <c r="F69" s="55" t="s">
        <v>61</v>
      </c>
      <c r="G69" s="101" t="s">
        <v>202</v>
      </c>
      <c r="H69" s="55"/>
      <c r="I69" s="54">
        <f t="shared" si="1"/>
        <v>0</v>
      </c>
      <c r="J69" s="56"/>
      <c r="K69" s="57"/>
      <c r="L69" s="76"/>
      <c r="M69" s="59"/>
      <c r="N69" s="60"/>
      <c r="O69" s="61">
        <v>25816.0</v>
      </c>
      <c r="P69" s="62">
        <v>27881.280000000002</v>
      </c>
      <c r="Q69" s="63">
        <v>27881.280000000002</v>
      </c>
      <c r="R69" s="64">
        <v>30739.0</v>
      </c>
      <c r="S69" s="107">
        <v>32276.0</v>
      </c>
      <c r="T69" s="65">
        <f t="shared" si="2"/>
        <v>5164.16</v>
      </c>
      <c r="U69" s="65">
        <f t="shared" si="3"/>
        <v>37440.16</v>
      </c>
      <c r="V69" s="66">
        <f t="shared" si="4"/>
        <v>0.0500016266</v>
      </c>
      <c r="W69" s="67">
        <f t="shared" si="5"/>
        <v>30662.2</v>
      </c>
      <c r="X69" s="67">
        <f t="shared" si="6"/>
        <v>4905.952</v>
      </c>
      <c r="Y69" s="67">
        <f t="shared" si="7"/>
        <v>35568.152</v>
      </c>
      <c r="Z69" s="67">
        <f t="shared" si="8"/>
        <v>29048.4</v>
      </c>
      <c r="AA69" s="67">
        <f t="shared" si="9"/>
        <v>4647.744</v>
      </c>
      <c r="AB69" s="67">
        <f t="shared" si="10"/>
        <v>33696.144</v>
      </c>
      <c r="AC69" s="67">
        <f t="shared" si="11"/>
        <v>29048.4</v>
      </c>
      <c r="AD69" s="67">
        <f t="shared" si="12"/>
        <v>4647.744</v>
      </c>
      <c r="AE69" s="67">
        <f t="shared" si="13"/>
        <v>33696.144</v>
      </c>
      <c r="AF69" s="67">
        <f t="shared" si="14"/>
        <v>29048.4</v>
      </c>
      <c r="AG69" s="67">
        <f t="shared" si="15"/>
        <v>4647.744</v>
      </c>
      <c r="AH69" s="67">
        <f t="shared" si="16"/>
        <v>33696.144</v>
      </c>
      <c r="AI69" s="67">
        <f t="shared" si="17"/>
        <v>29048.4</v>
      </c>
      <c r="AJ69" s="68">
        <f t="shared" si="20"/>
        <v>4647.744</v>
      </c>
      <c r="AK69" s="68">
        <f t="shared" si="21"/>
        <v>33696.144</v>
      </c>
      <c r="AL69" s="70">
        <f>IFERROR(__xludf.DUMMYFUNCTION("""COMPUTED_VALUE"""),1.0)</f>
        <v>1</v>
      </c>
      <c r="AM69" s="70"/>
      <c r="AN69" s="71" t="str">
        <f>IFERROR(__xludf.DUMMYFUNCTION("""COMPUTED_VALUE""")," C")</f>
        <v>C</v>
      </c>
      <c r="AO69" s="71" t="str">
        <f>IFERROR(__xludf.DUMMYFUNCTION("""COMPUTED_VALUE""")," BA07")</f>
        <v>BA07</v>
      </c>
      <c r="AP69" s="71" t="str">
        <f>IFERROR(__xludf.DUMMYFUNCTION("""COMPUTED_VALUE""")," PZA")</f>
        <v>PZA</v>
      </c>
      <c r="AQ69" s="71" t="str">
        <f>IFERROR(__xludf.DUMMYFUNCTION("""COMPUTED_VALUE""")," REF")</f>
        <v>REF</v>
      </c>
      <c r="AR69" s="71" t="str">
        <f>IFERROR(__xludf.DUMMYFUNCTION("""COMPUTED_VALUE""")," BALERO 6202 ZKL/ZVL")</f>
        <v>BALERO 6202 ZKL/ZVL</v>
      </c>
      <c r="AS69" s="71" t="str">
        <f>IFERROR(__xludf.DUMMYFUNCTION("""COMPUTED_VALUE""")," BALERO 6202 ZKL/ZVL")</f>
        <v>BALERO 6202 ZKL/ZVL</v>
      </c>
      <c r="AT69" s="71">
        <f>IFERROR(__xludf.DUMMYFUNCTION("""COMPUTED_VALUE"""),19.0)</f>
        <v>19</v>
      </c>
      <c r="AU69" s="71"/>
      <c r="AV69" s="71"/>
      <c r="AW69" s="71"/>
      <c r="AX69" s="71"/>
      <c r="AY69" s="71">
        <f>IFERROR(__xludf.DUMMYFUNCTION("""COMPUTED_VALUE"""),48.0)</f>
        <v>48</v>
      </c>
      <c r="AZ69" s="71">
        <f>IFERROR(__xludf.DUMMYFUNCTION("""COMPUTED_VALUE"""),51.0)</f>
        <v>51</v>
      </c>
      <c r="BA69" s="71">
        <f>IFERROR(__xludf.DUMMYFUNCTION("""COMPUTED_VALUE"""),55.080000000000005)</f>
        <v>55.08</v>
      </c>
      <c r="BB69" s="71">
        <f>IFERROR(__xludf.DUMMYFUNCTION("""COMPUTED_VALUE"""),55.080000000000005)</f>
        <v>55.08</v>
      </c>
      <c r="BC69" s="71">
        <f>IFERROR(__xludf.DUMMYFUNCTION("""COMPUTED_VALUE"""),61.0)</f>
        <v>61</v>
      </c>
      <c r="BD69" s="71">
        <f>IFERROR(__xludf.DUMMYFUNCTION("""COMPUTED_VALUE"""),64.0)</f>
        <v>64</v>
      </c>
      <c r="BE69" s="71">
        <f>IFERROR(__xludf.DUMMYFUNCTION("""COMPUTED_VALUE"""),10.24)</f>
        <v>10.24</v>
      </c>
      <c r="BF69" s="71">
        <f>IFERROR(__xludf.DUMMYFUNCTION("""COMPUTED_VALUE"""),74.24)</f>
        <v>74.24</v>
      </c>
      <c r="BG69" s="71">
        <f>IFERROR(__xludf.DUMMYFUNCTION("""COMPUTED_VALUE"""),0.04918032786885246)</f>
        <v>0.04918032787</v>
      </c>
      <c r="BH69" s="71">
        <f>IFERROR(__xludf.DUMMYFUNCTION("""COMPUTED_VALUE"""),60.8)</f>
        <v>60.8</v>
      </c>
      <c r="BI69" s="71">
        <f>IFERROR(__xludf.DUMMYFUNCTION("""COMPUTED_VALUE"""),9.728)</f>
        <v>9.728</v>
      </c>
      <c r="BJ69" s="71">
        <f>IFERROR(__xludf.DUMMYFUNCTION("""COMPUTED_VALUE"""),70.52799999999999)</f>
        <v>70.528</v>
      </c>
      <c r="BK69" s="71">
        <f>IFERROR(__xludf.DUMMYFUNCTION("""COMPUTED_VALUE"""),57.6)</f>
        <v>57.6</v>
      </c>
      <c r="BL69" s="71">
        <f>IFERROR(__xludf.DUMMYFUNCTION("""COMPUTED_VALUE"""),9.216000000000001)</f>
        <v>9.216</v>
      </c>
      <c r="BM69" s="71">
        <f>IFERROR(__xludf.DUMMYFUNCTION("""COMPUTED_VALUE"""),66.816)</f>
        <v>66.816</v>
      </c>
      <c r="BN69" s="71">
        <f>IFERROR(__xludf.DUMMYFUNCTION("""COMPUTED_VALUE"""),54.4)</f>
        <v>54.4</v>
      </c>
      <c r="BO69" s="71">
        <f>IFERROR(__xludf.DUMMYFUNCTION("""COMPUTED_VALUE"""),8.704)</f>
        <v>8.704</v>
      </c>
      <c r="BP69" s="71">
        <f>IFERROR(__xludf.DUMMYFUNCTION("""COMPUTED_VALUE"""),63.104)</f>
        <v>63.104</v>
      </c>
      <c r="BQ69" s="71">
        <f>IFERROR(__xludf.DUMMYFUNCTION("""COMPUTED_VALUE"""),53.12)</f>
        <v>53.12</v>
      </c>
      <c r="BR69" s="71">
        <f>IFERROR(__xludf.DUMMYFUNCTION("""COMPUTED_VALUE"""),8.4992)</f>
        <v>8.4992</v>
      </c>
      <c r="BS69" s="71">
        <f>IFERROR(__xludf.DUMMYFUNCTION("""COMPUTED_VALUE"""),61.6192)</f>
        <v>61.6192</v>
      </c>
      <c r="BT69" s="71">
        <f>IFERROR(__xludf.DUMMYFUNCTION("""COMPUTED_VALUE"""),51.2)</f>
        <v>51.2</v>
      </c>
      <c r="BU69" s="71">
        <f>IFERROR(__xludf.DUMMYFUNCTION("""COMPUTED_VALUE"""),8.192)</f>
        <v>8.192</v>
      </c>
      <c r="BV69" s="71">
        <f>IFERROR(__xludf.DUMMYFUNCTION("""COMPUTED_VALUE"""),59.392)</f>
        <v>59.392</v>
      </c>
    </row>
    <row r="70">
      <c r="A70" s="53"/>
      <c r="B70" s="53">
        <v>3.0</v>
      </c>
      <c r="C70" s="53" t="s">
        <v>36</v>
      </c>
      <c r="D70" s="98" t="s">
        <v>203</v>
      </c>
      <c r="E70" s="54" t="s">
        <v>38</v>
      </c>
      <c r="F70" s="55" t="s">
        <v>61</v>
      </c>
      <c r="G70" s="101" t="s">
        <v>204</v>
      </c>
      <c r="H70" s="55"/>
      <c r="I70" s="54">
        <f t="shared" si="1"/>
        <v>0</v>
      </c>
      <c r="J70" s="56"/>
      <c r="K70" s="57"/>
      <c r="L70" s="76"/>
      <c r="M70" s="59"/>
      <c r="N70" s="60"/>
      <c r="O70" s="61">
        <v>16096.0</v>
      </c>
      <c r="P70" s="62">
        <v>17383.68</v>
      </c>
      <c r="Q70" s="63">
        <v>17383.68</v>
      </c>
      <c r="R70" s="64">
        <v>19166.0</v>
      </c>
      <c r="S70" s="107">
        <v>20124.0</v>
      </c>
      <c r="T70" s="65">
        <f t="shared" si="2"/>
        <v>3219.84</v>
      </c>
      <c r="U70" s="65">
        <f t="shared" si="3"/>
        <v>23343.84</v>
      </c>
      <c r="V70" s="66">
        <f t="shared" si="4"/>
        <v>0.04998434728</v>
      </c>
      <c r="W70" s="67">
        <f t="shared" si="5"/>
        <v>19117.8</v>
      </c>
      <c r="X70" s="67">
        <f t="shared" si="6"/>
        <v>3058.848</v>
      </c>
      <c r="Y70" s="67">
        <f t="shared" si="7"/>
        <v>22176.648</v>
      </c>
      <c r="Z70" s="67">
        <f t="shared" si="8"/>
        <v>18111.6</v>
      </c>
      <c r="AA70" s="67">
        <f t="shared" si="9"/>
        <v>2897.856</v>
      </c>
      <c r="AB70" s="67">
        <f t="shared" si="10"/>
        <v>21009.456</v>
      </c>
      <c r="AC70" s="67">
        <f t="shared" si="11"/>
        <v>18111.6</v>
      </c>
      <c r="AD70" s="67">
        <f t="shared" si="12"/>
        <v>2897.856</v>
      </c>
      <c r="AE70" s="67">
        <f t="shared" si="13"/>
        <v>21009.456</v>
      </c>
      <c r="AF70" s="67">
        <f t="shared" si="14"/>
        <v>18111.6</v>
      </c>
      <c r="AG70" s="67">
        <f t="shared" si="15"/>
        <v>2897.856</v>
      </c>
      <c r="AH70" s="67">
        <f t="shared" si="16"/>
        <v>21009.456</v>
      </c>
      <c r="AI70" s="67">
        <f t="shared" si="17"/>
        <v>18111.6</v>
      </c>
      <c r="AJ70" s="68">
        <f t="shared" si="20"/>
        <v>2897.856</v>
      </c>
      <c r="AK70" s="68">
        <f t="shared" si="21"/>
        <v>21009.456</v>
      </c>
      <c r="AL70" s="70">
        <f>IFERROR(__xludf.DUMMYFUNCTION("""COMPUTED_VALUE"""),1.0)</f>
        <v>1</v>
      </c>
      <c r="AM70" s="70"/>
      <c r="AN70" s="71" t="str">
        <f>IFERROR(__xludf.DUMMYFUNCTION("""COMPUTED_VALUE""")," C")</f>
        <v>C</v>
      </c>
      <c r="AO70" s="71" t="str">
        <f>IFERROR(__xludf.DUMMYFUNCTION("""COMPUTED_VALUE""")," BA08")</f>
        <v>BA08</v>
      </c>
      <c r="AP70" s="71" t="str">
        <f>IFERROR(__xludf.DUMMYFUNCTION("""COMPUTED_VALUE""")," PZA")</f>
        <v>PZA</v>
      </c>
      <c r="AQ70" s="71" t="str">
        <f>IFERROR(__xludf.DUMMYFUNCTION("""COMPUTED_VALUE""")," REF")</f>
        <v>REF</v>
      </c>
      <c r="AR70" s="71" t="str">
        <f>IFERROR(__xludf.DUMMYFUNCTION("""COMPUTED_VALUE""")," BALERO 6203 ZKL/ZVL")</f>
        <v>BALERO 6203 ZKL/ZVL</v>
      </c>
      <c r="AS70" s="71" t="str">
        <f>IFERROR(__xludf.DUMMYFUNCTION("""COMPUTED_VALUE""")," BALERO 6203 ZKL/ZVL")</f>
        <v>BALERO 6203 ZKL/ZVL</v>
      </c>
      <c r="AT70" s="71">
        <f>IFERROR(__xludf.DUMMYFUNCTION("""COMPUTED_VALUE"""),19.0)</f>
        <v>19</v>
      </c>
      <c r="AU70" s="71"/>
      <c r="AV70" s="71"/>
      <c r="AW70" s="71"/>
      <c r="AX70" s="71"/>
      <c r="AY70" s="71">
        <f>IFERROR(__xludf.DUMMYFUNCTION("""COMPUTED_VALUE"""),54.0)</f>
        <v>54</v>
      </c>
      <c r="AZ70" s="71">
        <f>IFERROR(__xludf.DUMMYFUNCTION("""COMPUTED_VALUE"""),58.0)</f>
        <v>58</v>
      </c>
      <c r="BA70" s="71">
        <f>IFERROR(__xludf.DUMMYFUNCTION("""COMPUTED_VALUE"""),62.64)</f>
        <v>62.64</v>
      </c>
      <c r="BB70" s="71">
        <f>IFERROR(__xludf.DUMMYFUNCTION("""COMPUTED_VALUE"""),62.64)</f>
        <v>62.64</v>
      </c>
      <c r="BC70" s="71">
        <f>IFERROR(__xludf.DUMMYFUNCTION("""COMPUTED_VALUE"""),71.0)</f>
        <v>71</v>
      </c>
      <c r="BD70" s="71">
        <f>IFERROR(__xludf.DUMMYFUNCTION("""COMPUTED_VALUE"""),75.0)</f>
        <v>75</v>
      </c>
      <c r="BE70" s="71">
        <f>IFERROR(__xludf.DUMMYFUNCTION("""COMPUTED_VALUE"""),12.0)</f>
        <v>12</v>
      </c>
      <c r="BF70" s="71">
        <f>IFERROR(__xludf.DUMMYFUNCTION("""COMPUTED_VALUE"""),87.0)</f>
        <v>87</v>
      </c>
      <c r="BG70" s="71">
        <f>IFERROR(__xludf.DUMMYFUNCTION("""COMPUTED_VALUE"""),0.056338028169014086)</f>
        <v>0.05633802817</v>
      </c>
      <c r="BH70" s="71">
        <f>IFERROR(__xludf.DUMMYFUNCTION("""COMPUTED_VALUE"""),71.25)</f>
        <v>71.25</v>
      </c>
      <c r="BI70" s="71">
        <f>IFERROR(__xludf.DUMMYFUNCTION("""COMPUTED_VALUE"""),11.4)</f>
        <v>11.4</v>
      </c>
      <c r="BJ70" s="71">
        <f>IFERROR(__xludf.DUMMYFUNCTION("""COMPUTED_VALUE"""),82.65)</f>
        <v>82.65</v>
      </c>
      <c r="BK70" s="71">
        <f>IFERROR(__xludf.DUMMYFUNCTION("""COMPUTED_VALUE"""),67.5)</f>
        <v>67.5</v>
      </c>
      <c r="BL70" s="71">
        <f>IFERROR(__xludf.DUMMYFUNCTION("""COMPUTED_VALUE"""),10.8)</f>
        <v>10.8</v>
      </c>
      <c r="BM70" s="71">
        <f>IFERROR(__xludf.DUMMYFUNCTION("""COMPUTED_VALUE"""),78.3)</f>
        <v>78.3</v>
      </c>
      <c r="BN70" s="71">
        <f>IFERROR(__xludf.DUMMYFUNCTION("""COMPUTED_VALUE"""),63.75)</f>
        <v>63.75</v>
      </c>
      <c r="BO70" s="71">
        <f>IFERROR(__xludf.DUMMYFUNCTION("""COMPUTED_VALUE"""),10.200000000000001)</f>
        <v>10.2</v>
      </c>
      <c r="BP70" s="71">
        <f>IFERROR(__xludf.DUMMYFUNCTION("""COMPUTED_VALUE"""),73.95)</f>
        <v>73.95</v>
      </c>
      <c r="BQ70" s="71">
        <f>IFERROR(__xludf.DUMMYFUNCTION("""COMPUTED_VALUE"""),62.25)</f>
        <v>62.25</v>
      </c>
      <c r="BR70" s="71">
        <f>IFERROR(__xludf.DUMMYFUNCTION("""COMPUTED_VALUE"""),9.96)</f>
        <v>9.96</v>
      </c>
      <c r="BS70" s="71">
        <f>IFERROR(__xludf.DUMMYFUNCTION("""COMPUTED_VALUE"""),72.21000000000001)</f>
        <v>72.21</v>
      </c>
      <c r="BT70" s="71">
        <f>IFERROR(__xludf.DUMMYFUNCTION("""COMPUTED_VALUE"""),60.0)</f>
        <v>60</v>
      </c>
      <c r="BU70" s="71">
        <f>IFERROR(__xludf.DUMMYFUNCTION("""COMPUTED_VALUE"""),9.6)</f>
        <v>9.6</v>
      </c>
      <c r="BV70" s="71">
        <f>IFERROR(__xludf.DUMMYFUNCTION("""COMPUTED_VALUE"""),69.6)</f>
        <v>69.6</v>
      </c>
    </row>
    <row r="71">
      <c r="A71" s="53"/>
      <c r="B71" s="53">
        <v>3.0</v>
      </c>
      <c r="C71" s="53" t="s">
        <v>36</v>
      </c>
      <c r="D71" s="98" t="s">
        <v>205</v>
      </c>
      <c r="E71" s="54" t="s">
        <v>38</v>
      </c>
      <c r="F71" s="55" t="s">
        <v>61</v>
      </c>
      <c r="G71" s="101" t="s">
        <v>206</v>
      </c>
      <c r="H71" s="55"/>
      <c r="I71" s="54">
        <f t="shared" si="1"/>
        <v>0</v>
      </c>
      <c r="J71" s="56"/>
      <c r="K71" s="57"/>
      <c r="L71" s="76"/>
      <c r="M71" s="59"/>
      <c r="N71" s="60"/>
      <c r="O71" s="61">
        <v>21423.0</v>
      </c>
      <c r="P71" s="62">
        <v>23136.84</v>
      </c>
      <c r="Q71" s="63">
        <v>23136.84</v>
      </c>
      <c r="R71" s="64">
        <v>25509.0</v>
      </c>
      <c r="S71" s="107">
        <v>26784.0</v>
      </c>
      <c r="T71" s="65">
        <f t="shared" si="2"/>
        <v>4285.44</v>
      </c>
      <c r="U71" s="65">
        <f t="shared" si="3"/>
        <v>31069.44</v>
      </c>
      <c r="V71" s="66">
        <f t="shared" si="4"/>
        <v>0.04998235917</v>
      </c>
      <c r="W71" s="67">
        <f t="shared" si="5"/>
        <v>25444.8</v>
      </c>
      <c r="X71" s="67">
        <f t="shared" si="6"/>
        <v>4071.168</v>
      </c>
      <c r="Y71" s="67">
        <f t="shared" si="7"/>
        <v>29515.968</v>
      </c>
      <c r="Z71" s="67">
        <f t="shared" si="8"/>
        <v>24105.6</v>
      </c>
      <c r="AA71" s="67">
        <f t="shared" si="9"/>
        <v>3856.896</v>
      </c>
      <c r="AB71" s="67">
        <f t="shared" si="10"/>
        <v>27962.496</v>
      </c>
      <c r="AC71" s="67">
        <f t="shared" si="11"/>
        <v>24105.6</v>
      </c>
      <c r="AD71" s="67">
        <f t="shared" si="12"/>
        <v>3856.896</v>
      </c>
      <c r="AE71" s="67">
        <f t="shared" si="13"/>
        <v>27962.496</v>
      </c>
      <c r="AF71" s="67">
        <f t="shared" si="14"/>
        <v>24105.6</v>
      </c>
      <c r="AG71" s="67">
        <f t="shared" si="15"/>
        <v>3856.896</v>
      </c>
      <c r="AH71" s="67">
        <f t="shared" si="16"/>
        <v>27962.496</v>
      </c>
      <c r="AI71" s="67">
        <f t="shared" si="17"/>
        <v>24105.6</v>
      </c>
      <c r="AJ71" s="68">
        <f t="shared" si="20"/>
        <v>3856.896</v>
      </c>
      <c r="AK71" s="68">
        <f t="shared" si="21"/>
        <v>27962.496</v>
      </c>
      <c r="AL71" s="70">
        <f>IFERROR(__xludf.DUMMYFUNCTION("""COMPUTED_VALUE"""),1.0)</f>
        <v>1</v>
      </c>
      <c r="AM71" s="70"/>
      <c r="AN71" s="71" t="str">
        <f>IFERROR(__xludf.DUMMYFUNCTION("""COMPUTED_VALUE""")," C")</f>
        <v>C</v>
      </c>
      <c r="AO71" s="71" t="str">
        <f>IFERROR(__xludf.DUMMYFUNCTION("""COMPUTED_VALUE""")," BA72")</f>
        <v>BA72</v>
      </c>
      <c r="AP71" s="71" t="str">
        <f>IFERROR(__xludf.DUMMYFUNCTION("""COMPUTED_VALUE""")," PZA")</f>
        <v>PZA</v>
      </c>
      <c r="AQ71" s="71" t="str">
        <f>IFERROR(__xludf.DUMMYFUNCTION("""COMPUTED_VALUE""")," REF")</f>
        <v>REF</v>
      </c>
      <c r="AR71" s="71" t="str">
        <f>IFERROR(__xludf.DUMMYFUNCTION("""COMPUTED_VALUE""")," BALERO 6203 ZZ MULTIMARCA")</f>
        <v>BALERO 6203 ZZ MULTIMARCA</v>
      </c>
      <c r="AS71" s="71" t="str">
        <f>IFERROR(__xludf.DUMMYFUNCTION("""COMPUTED_VALUE""")," BALERO 6203 ZZ MULTIMARCA")</f>
        <v>BALERO 6203 ZZ MULTIMARCA</v>
      </c>
      <c r="AT71" s="71">
        <f>IFERROR(__xludf.DUMMYFUNCTION("""COMPUTED_VALUE"""),25.0)</f>
        <v>25</v>
      </c>
      <c r="AU71" s="71"/>
      <c r="AV71" s="71"/>
      <c r="AW71" s="71"/>
      <c r="AX71" s="71"/>
      <c r="AY71" s="71"/>
      <c r="AZ71" s="71">
        <f>IFERROR(__xludf.DUMMYFUNCTION("""COMPUTED_VALUE"""),29.0)</f>
        <v>29</v>
      </c>
      <c r="BA71" s="71">
        <f>IFERROR(__xludf.DUMMYFUNCTION("""COMPUTED_VALUE"""),31.32)</f>
        <v>31.32</v>
      </c>
      <c r="BB71" s="71">
        <f>IFERROR(__xludf.DUMMYFUNCTION("""COMPUTED_VALUE"""),31.32)</f>
        <v>31.32</v>
      </c>
      <c r="BC71" s="71">
        <f>IFERROR(__xludf.DUMMYFUNCTION("""COMPUTED_VALUE"""),34.0)</f>
        <v>34</v>
      </c>
      <c r="BD71" s="71">
        <f>IFERROR(__xludf.DUMMYFUNCTION("""COMPUTED_VALUE"""),36.0)</f>
        <v>36</v>
      </c>
      <c r="BE71" s="71">
        <f>IFERROR(__xludf.DUMMYFUNCTION("""COMPUTED_VALUE"""),5.76)</f>
        <v>5.76</v>
      </c>
      <c r="BF71" s="71">
        <f>IFERROR(__xludf.DUMMYFUNCTION("""COMPUTED_VALUE"""),41.76)</f>
        <v>41.76</v>
      </c>
      <c r="BG71" s="71">
        <f>IFERROR(__xludf.DUMMYFUNCTION("""COMPUTED_VALUE"""),0.058823529411764705)</f>
        <v>0.05882352941</v>
      </c>
      <c r="BH71" s="71">
        <f>IFERROR(__xludf.DUMMYFUNCTION("""COMPUTED_VALUE"""),34.199999999999996)</f>
        <v>34.2</v>
      </c>
      <c r="BI71" s="71">
        <f>IFERROR(__xludf.DUMMYFUNCTION("""COMPUTED_VALUE"""),5.4719999999999995)</f>
        <v>5.472</v>
      </c>
      <c r="BJ71" s="71">
        <f>IFERROR(__xludf.DUMMYFUNCTION("""COMPUTED_VALUE"""),39.672)</f>
        <v>39.672</v>
      </c>
      <c r="BK71" s="71">
        <f>IFERROR(__xludf.DUMMYFUNCTION("""COMPUTED_VALUE"""),32.4)</f>
        <v>32.4</v>
      </c>
      <c r="BL71" s="71">
        <f>IFERROR(__xludf.DUMMYFUNCTION("""COMPUTED_VALUE"""),5.184)</f>
        <v>5.184</v>
      </c>
      <c r="BM71" s="71">
        <f>IFERROR(__xludf.DUMMYFUNCTION("""COMPUTED_VALUE"""),37.583999999999996)</f>
        <v>37.584</v>
      </c>
      <c r="BN71" s="71">
        <f>IFERROR(__xludf.DUMMYFUNCTION("""COMPUTED_VALUE"""),30.599999999999998)</f>
        <v>30.6</v>
      </c>
      <c r="BO71" s="71">
        <f>IFERROR(__xludf.DUMMYFUNCTION("""COMPUTED_VALUE"""),4.896)</f>
        <v>4.896</v>
      </c>
      <c r="BP71" s="71">
        <f>IFERROR(__xludf.DUMMYFUNCTION("""COMPUTED_VALUE"""),35.495999999999995)</f>
        <v>35.496</v>
      </c>
      <c r="BQ71" s="71">
        <f>IFERROR(__xludf.DUMMYFUNCTION("""COMPUTED_VALUE"""),29.88)</f>
        <v>29.88</v>
      </c>
      <c r="BR71" s="71">
        <f>IFERROR(__xludf.DUMMYFUNCTION("""COMPUTED_VALUE"""),4.7808)</f>
        <v>4.7808</v>
      </c>
      <c r="BS71" s="71">
        <f>IFERROR(__xludf.DUMMYFUNCTION("""COMPUTED_VALUE"""),34.6608)</f>
        <v>34.6608</v>
      </c>
      <c r="BT71" s="71">
        <f>IFERROR(__xludf.DUMMYFUNCTION("""COMPUTED_VALUE"""),28.8)</f>
        <v>28.8</v>
      </c>
      <c r="BU71" s="71">
        <f>IFERROR(__xludf.DUMMYFUNCTION("""COMPUTED_VALUE"""),4.6080000000000005)</f>
        <v>4.608</v>
      </c>
      <c r="BV71" s="71">
        <f>IFERROR(__xludf.DUMMYFUNCTION("""COMPUTED_VALUE"""),33.408)</f>
        <v>33.408</v>
      </c>
    </row>
    <row r="72">
      <c r="A72" s="53"/>
      <c r="B72" s="53"/>
      <c r="C72" s="53" t="s">
        <v>36</v>
      </c>
      <c r="D72" s="85" t="s">
        <v>207</v>
      </c>
      <c r="E72" s="54" t="s">
        <v>38</v>
      </c>
      <c r="F72" s="55" t="s">
        <v>39</v>
      </c>
      <c r="G72" s="86" t="s">
        <v>208</v>
      </c>
      <c r="H72" s="55"/>
      <c r="I72" s="54">
        <f t="shared" si="1"/>
        <v>0</v>
      </c>
      <c r="J72" s="56"/>
      <c r="K72" s="57"/>
      <c r="L72" s="76"/>
      <c r="M72" s="59"/>
      <c r="N72" s="60"/>
      <c r="O72" s="61">
        <v>188.16</v>
      </c>
      <c r="P72" s="62">
        <v>203.21280000000002</v>
      </c>
      <c r="Q72" s="63">
        <v>203.21280000000002</v>
      </c>
      <c r="R72" s="64">
        <v>214.0</v>
      </c>
      <c r="S72" s="107">
        <v>225.0</v>
      </c>
      <c r="T72" s="65">
        <f t="shared" si="2"/>
        <v>36</v>
      </c>
      <c r="U72" s="65">
        <f t="shared" si="3"/>
        <v>261</v>
      </c>
      <c r="V72" s="66">
        <f t="shared" si="4"/>
        <v>0.05140186916</v>
      </c>
      <c r="W72" s="67">
        <f t="shared" si="5"/>
        <v>213.75</v>
      </c>
      <c r="X72" s="67">
        <f t="shared" si="6"/>
        <v>34.2</v>
      </c>
      <c r="Y72" s="67">
        <f t="shared" si="7"/>
        <v>247.95</v>
      </c>
      <c r="Z72" s="67">
        <f t="shared" si="8"/>
        <v>202.5</v>
      </c>
      <c r="AA72" s="67">
        <f t="shared" si="9"/>
        <v>32.4</v>
      </c>
      <c r="AB72" s="67">
        <f t="shared" si="10"/>
        <v>234.9</v>
      </c>
      <c r="AC72" s="67">
        <f t="shared" si="11"/>
        <v>191.25</v>
      </c>
      <c r="AD72" s="67">
        <f t="shared" si="12"/>
        <v>30.6</v>
      </c>
      <c r="AE72" s="67">
        <f t="shared" si="13"/>
        <v>221.85</v>
      </c>
      <c r="AF72" s="67">
        <f t="shared" si="14"/>
        <v>186.75</v>
      </c>
      <c r="AG72" s="67">
        <f t="shared" si="15"/>
        <v>29.88</v>
      </c>
      <c r="AH72" s="67">
        <f t="shared" si="16"/>
        <v>216.63</v>
      </c>
      <c r="AI72" s="67">
        <f t="shared" si="17"/>
        <v>180</v>
      </c>
      <c r="AJ72" s="68">
        <f t="shared" si="20"/>
        <v>28.8</v>
      </c>
      <c r="AK72" s="68">
        <f t="shared" si="21"/>
        <v>208.8</v>
      </c>
      <c r="AL72" s="70">
        <f>IFERROR(__xludf.DUMMYFUNCTION("""COMPUTED_VALUE"""),1.0)</f>
        <v>1</v>
      </c>
      <c r="AM72" s="70"/>
      <c r="AN72" s="71" t="str">
        <f>IFERROR(__xludf.DUMMYFUNCTION("""COMPUTED_VALUE""")," C")</f>
        <v>C</v>
      </c>
      <c r="AO72" s="71" t="str">
        <f>IFERROR(__xludf.DUMMYFUNCTION("""COMPUTED_VALUE""")," BA53")</f>
        <v>BA53</v>
      </c>
      <c r="AP72" s="71" t="str">
        <f>IFERROR(__xludf.DUMMYFUNCTION("""COMPUTED_VALUE""")," PZA")</f>
        <v>PZA</v>
      </c>
      <c r="AQ72" s="71" t="str">
        <f>IFERROR(__xludf.DUMMYFUNCTION("""COMPUTED_VALUE""")," REF")</f>
        <v>REF</v>
      </c>
      <c r="AR72" s="71" t="str">
        <f>IFERROR(__xludf.DUMMYFUNCTION("""COMPUTED_VALUE""")," BALERO 6204 MULTIMARCA")</f>
        <v>BALERO 6204 MULTIMARCA</v>
      </c>
      <c r="AS72" s="71" t="str">
        <f>IFERROR(__xludf.DUMMYFUNCTION("""COMPUTED_VALUE""")," BALERO 6204 MULTIMARCA")</f>
        <v>BALERO 6204 MULTIMARCA</v>
      </c>
      <c r="AT72" s="71">
        <f>IFERROR(__xludf.DUMMYFUNCTION("""COMPUTED_VALUE"""),22.0)</f>
        <v>22</v>
      </c>
      <c r="AU72" s="71"/>
      <c r="AV72" s="71"/>
      <c r="AW72" s="71"/>
      <c r="AX72" s="71"/>
      <c r="AY72" s="71">
        <f>IFERROR(__xludf.DUMMYFUNCTION("""COMPUTED_VALUE"""),37.0)</f>
        <v>37</v>
      </c>
      <c r="AZ72" s="71">
        <f>IFERROR(__xludf.DUMMYFUNCTION("""COMPUTED_VALUE"""),39.0)</f>
        <v>39</v>
      </c>
      <c r="BA72" s="71">
        <f>IFERROR(__xludf.DUMMYFUNCTION("""COMPUTED_VALUE"""),42.120000000000005)</f>
        <v>42.12</v>
      </c>
      <c r="BB72" s="71">
        <f>IFERROR(__xludf.DUMMYFUNCTION("""COMPUTED_VALUE"""),42.120000000000005)</f>
        <v>42.12</v>
      </c>
      <c r="BC72" s="71">
        <f>IFERROR(__xludf.DUMMYFUNCTION("""COMPUTED_VALUE"""),45.0)</f>
        <v>45</v>
      </c>
      <c r="BD72" s="71">
        <f>IFERROR(__xludf.DUMMYFUNCTION("""COMPUTED_VALUE"""),47.0)</f>
        <v>47</v>
      </c>
      <c r="BE72" s="71">
        <f>IFERROR(__xludf.DUMMYFUNCTION("""COMPUTED_VALUE"""),7.5200000000000005)</f>
        <v>7.52</v>
      </c>
      <c r="BF72" s="71">
        <f>IFERROR(__xludf.DUMMYFUNCTION("""COMPUTED_VALUE"""),54.52)</f>
        <v>54.52</v>
      </c>
      <c r="BG72" s="71">
        <f>IFERROR(__xludf.DUMMYFUNCTION("""COMPUTED_VALUE"""),0.044444444444444446)</f>
        <v>0.04444444444</v>
      </c>
      <c r="BH72" s="71">
        <f>IFERROR(__xludf.DUMMYFUNCTION("""COMPUTED_VALUE"""),44.65)</f>
        <v>44.65</v>
      </c>
      <c r="BI72" s="71">
        <f>IFERROR(__xludf.DUMMYFUNCTION("""COMPUTED_VALUE"""),7.144)</f>
        <v>7.144</v>
      </c>
      <c r="BJ72" s="71">
        <f>IFERROR(__xludf.DUMMYFUNCTION("""COMPUTED_VALUE"""),51.794)</f>
        <v>51.794</v>
      </c>
      <c r="BK72" s="71">
        <f>IFERROR(__xludf.DUMMYFUNCTION("""COMPUTED_VALUE"""),42.300000000000004)</f>
        <v>42.3</v>
      </c>
      <c r="BL72" s="71">
        <f>IFERROR(__xludf.DUMMYFUNCTION("""COMPUTED_VALUE"""),6.768000000000001)</f>
        <v>6.768</v>
      </c>
      <c r="BM72" s="71">
        <f>IFERROR(__xludf.DUMMYFUNCTION("""COMPUTED_VALUE"""),49.068000000000005)</f>
        <v>49.068</v>
      </c>
      <c r="BN72" s="71">
        <f>IFERROR(__xludf.DUMMYFUNCTION("""COMPUTED_VALUE"""),39.949999999999996)</f>
        <v>39.95</v>
      </c>
      <c r="BO72" s="71">
        <f>IFERROR(__xludf.DUMMYFUNCTION("""COMPUTED_VALUE"""),6.3919999999999995)</f>
        <v>6.392</v>
      </c>
      <c r="BP72" s="71">
        <f>IFERROR(__xludf.DUMMYFUNCTION("""COMPUTED_VALUE"""),46.342)</f>
        <v>46.342</v>
      </c>
      <c r="BQ72" s="71">
        <f>IFERROR(__xludf.DUMMYFUNCTION("""COMPUTED_VALUE"""),39.01)</f>
        <v>39.01</v>
      </c>
      <c r="BR72" s="71">
        <f>IFERROR(__xludf.DUMMYFUNCTION("""COMPUTED_VALUE"""),6.2416)</f>
        <v>6.2416</v>
      </c>
      <c r="BS72" s="71">
        <f>IFERROR(__xludf.DUMMYFUNCTION("""COMPUTED_VALUE"""),45.251599999999996)</f>
        <v>45.2516</v>
      </c>
      <c r="BT72" s="71">
        <f>IFERROR(__xludf.DUMMYFUNCTION("""COMPUTED_VALUE"""),37.6)</f>
        <v>37.6</v>
      </c>
      <c r="BU72" s="71">
        <f>IFERROR(__xludf.DUMMYFUNCTION("""COMPUTED_VALUE"""),6.016)</f>
        <v>6.016</v>
      </c>
      <c r="BV72" s="71">
        <f>IFERROR(__xludf.DUMMYFUNCTION("""COMPUTED_VALUE"""),43.616)</f>
        <v>43.616</v>
      </c>
    </row>
    <row r="73">
      <c r="A73" s="53"/>
      <c r="B73" s="53"/>
      <c r="C73" s="53" t="s">
        <v>36</v>
      </c>
      <c r="D73" s="85" t="s">
        <v>209</v>
      </c>
      <c r="E73" s="54" t="s">
        <v>38</v>
      </c>
      <c r="F73" s="55" t="s">
        <v>39</v>
      </c>
      <c r="G73" s="86" t="s">
        <v>210</v>
      </c>
      <c r="H73" s="55"/>
      <c r="I73" s="54">
        <f t="shared" si="1"/>
        <v>0</v>
      </c>
      <c r="J73" s="56"/>
      <c r="K73" s="57"/>
      <c r="L73" s="76"/>
      <c r="M73" s="59"/>
      <c r="N73" s="60"/>
      <c r="O73" s="61">
        <v>552.96</v>
      </c>
      <c r="P73" s="62">
        <v>597.1968</v>
      </c>
      <c r="Q73" s="63">
        <v>597.1968</v>
      </c>
      <c r="R73" s="64">
        <v>627.0</v>
      </c>
      <c r="S73" s="107">
        <v>658.0</v>
      </c>
      <c r="T73" s="65">
        <f t="shared" si="2"/>
        <v>105.28</v>
      </c>
      <c r="U73" s="65">
        <f t="shared" si="3"/>
        <v>763.28</v>
      </c>
      <c r="V73" s="66">
        <f t="shared" si="4"/>
        <v>0.04944178628</v>
      </c>
      <c r="W73" s="67">
        <f t="shared" si="5"/>
        <v>625.1</v>
      </c>
      <c r="X73" s="67">
        <f t="shared" si="6"/>
        <v>100.016</v>
      </c>
      <c r="Y73" s="67">
        <f t="shared" si="7"/>
        <v>725.116</v>
      </c>
      <c r="Z73" s="67">
        <f t="shared" si="8"/>
        <v>592.2</v>
      </c>
      <c r="AA73" s="67">
        <f t="shared" si="9"/>
        <v>94.752</v>
      </c>
      <c r="AB73" s="67">
        <f t="shared" si="10"/>
        <v>686.952</v>
      </c>
      <c r="AC73" s="67">
        <f t="shared" si="11"/>
        <v>559.3</v>
      </c>
      <c r="AD73" s="67">
        <f t="shared" si="12"/>
        <v>89.488</v>
      </c>
      <c r="AE73" s="67">
        <f t="shared" si="13"/>
        <v>648.788</v>
      </c>
      <c r="AF73" s="67">
        <f t="shared" si="14"/>
        <v>546.14</v>
      </c>
      <c r="AG73" s="67">
        <f t="shared" si="15"/>
        <v>87.3824</v>
      </c>
      <c r="AH73" s="67">
        <f t="shared" si="16"/>
        <v>633.5224</v>
      </c>
      <c r="AI73" s="67">
        <f t="shared" si="17"/>
        <v>526.4</v>
      </c>
      <c r="AJ73" s="68">
        <f t="shared" si="20"/>
        <v>84.224</v>
      </c>
      <c r="AK73" s="68">
        <f t="shared" si="21"/>
        <v>610.624</v>
      </c>
      <c r="AL73" s="70">
        <f>IFERROR(__xludf.DUMMYFUNCTION("""COMPUTED_VALUE"""),1.0)</f>
        <v>1</v>
      </c>
      <c r="AM73" s="70"/>
      <c r="AN73" s="71" t="str">
        <f>IFERROR(__xludf.DUMMYFUNCTION("""COMPUTED_VALUE""")," C")</f>
        <v>C</v>
      </c>
      <c r="AO73" s="71" t="str">
        <f>IFERROR(__xludf.DUMMYFUNCTION("""COMPUTED_VALUE""")," BA09")</f>
        <v>BA09</v>
      </c>
      <c r="AP73" s="71" t="str">
        <f>IFERROR(__xludf.DUMMYFUNCTION("""COMPUTED_VALUE""")," PZA")</f>
        <v>PZA</v>
      </c>
      <c r="AQ73" s="71" t="str">
        <f>IFERROR(__xludf.DUMMYFUNCTION("""COMPUTED_VALUE""")," REF")</f>
        <v>REF</v>
      </c>
      <c r="AR73" s="71" t="str">
        <f>IFERROR(__xludf.DUMMYFUNCTION("""COMPUTED_VALUE""")," BALERO 6204 ZKL/ZVL")</f>
        <v>BALERO 6204 ZKL/ZVL</v>
      </c>
      <c r="AS73" s="71" t="str">
        <f>IFERROR(__xludf.DUMMYFUNCTION("""COMPUTED_VALUE""")," BALERO 6204 ZKL/ZVL")</f>
        <v>BALERO 6204 ZKL/ZVL</v>
      </c>
      <c r="AT73" s="71">
        <f>IFERROR(__xludf.DUMMYFUNCTION("""COMPUTED_VALUE"""),19.0)</f>
        <v>19</v>
      </c>
      <c r="AU73" s="71"/>
      <c r="AV73" s="71"/>
      <c r="AW73" s="71"/>
      <c r="AX73" s="71"/>
      <c r="AY73" s="71">
        <f>IFERROR(__xludf.DUMMYFUNCTION("""COMPUTED_VALUE"""),61.0)</f>
        <v>61</v>
      </c>
      <c r="AZ73" s="71">
        <f>IFERROR(__xludf.DUMMYFUNCTION("""COMPUTED_VALUE"""),65.0)</f>
        <v>65</v>
      </c>
      <c r="BA73" s="71">
        <f>IFERROR(__xludf.DUMMYFUNCTION("""COMPUTED_VALUE"""),70.2)</f>
        <v>70.2</v>
      </c>
      <c r="BB73" s="71">
        <f>IFERROR(__xludf.DUMMYFUNCTION("""COMPUTED_VALUE"""),70.2)</f>
        <v>70.2</v>
      </c>
      <c r="BC73" s="71">
        <f>IFERROR(__xludf.DUMMYFUNCTION("""COMPUTED_VALUE"""),79.0)</f>
        <v>79</v>
      </c>
      <c r="BD73" s="71">
        <f>IFERROR(__xludf.DUMMYFUNCTION("""COMPUTED_VALUE"""),83.0)</f>
        <v>83</v>
      </c>
      <c r="BE73" s="71">
        <f>IFERROR(__xludf.DUMMYFUNCTION("""COMPUTED_VALUE"""),13.280000000000001)</f>
        <v>13.28</v>
      </c>
      <c r="BF73" s="71">
        <f>IFERROR(__xludf.DUMMYFUNCTION("""COMPUTED_VALUE"""),96.28)</f>
        <v>96.28</v>
      </c>
      <c r="BG73" s="71">
        <f>IFERROR(__xludf.DUMMYFUNCTION("""COMPUTED_VALUE"""),0.05063291139240506)</f>
        <v>0.05063291139</v>
      </c>
      <c r="BH73" s="71">
        <f>IFERROR(__xludf.DUMMYFUNCTION("""COMPUTED_VALUE"""),78.85)</f>
        <v>78.85</v>
      </c>
      <c r="BI73" s="71">
        <f>IFERROR(__xludf.DUMMYFUNCTION("""COMPUTED_VALUE"""),12.616)</f>
        <v>12.616</v>
      </c>
      <c r="BJ73" s="71">
        <f>IFERROR(__xludf.DUMMYFUNCTION("""COMPUTED_VALUE"""),91.466)</f>
        <v>91.466</v>
      </c>
      <c r="BK73" s="71">
        <f>IFERROR(__xludf.DUMMYFUNCTION("""COMPUTED_VALUE"""),74.7)</f>
        <v>74.7</v>
      </c>
      <c r="BL73" s="71">
        <f>IFERROR(__xludf.DUMMYFUNCTION("""COMPUTED_VALUE"""),11.952)</f>
        <v>11.952</v>
      </c>
      <c r="BM73" s="71">
        <f>IFERROR(__xludf.DUMMYFUNCTION("""COMPUTED_VALUE"""),86.652)</f>
        <v>86.652</v>
      </c>
      <c r="BN73" s="71">
        <f>IFERROR(__xludf.DUMMYFUNCTION("""COMPUTED_VALUE"""),70.55)</f>
        <v>70.55</v>
      </c>
      <c r="BO73" s="71">
        <f>IFERROR(__xludf.DUMMYFUNCTION("""COMPUTED_VALUE"""),11.288)</f>
        <v>11.288</v>
      </c>
      <c r="BP73" s="71">
        <f>IFERROR(__xludf.DUMMYFUNCTION("""COMPUTED_VALUE"""),81.838)</f>
        <v>81.838</v>
      </c>
      <c r="BQ73" s="71">
        <f>IFERROR(__xludf.DUMMYFUNCTION("""COMPUTED_VALUE"""),68.89)</f>
        <v>68.89</v>
      </c>
      <c r="BR73" s="71">
        <f>IFERROR(__xludf.DUMMYFUNCTION("""COMPUTED_VALUE"""),11.022400000000001)</f>
        <v>11.0224</v>
      </c>
      <c r="BS73" s="71">
        <f>IFERROR(__xludf.DUMMYFUNCTION("""COMPUTED_VALUE"""),79.9124)</f>
        <v>79.9124</v>
      </c>
      <c r="BT73" s="71">
        <f>IFERROR(__xludf.DUMMYFUNCTION("""COMPUTED_VALUE"""),66.4)</f>
        <v>66.4</v>
      </c>
      <c r="BU73" s="71">
        <f>IFERROR(__xludf.DUMMYFUNCTION("""COMPUTED_VALUE"""),10.624)</f>
        <v>10.624</v>
      </c>
      <c r="BV73" s="71">
        <f>IFERROR(__xludf.DUMMYFUNCTION("""COMPUTED_VALUE"""),77.024)</f>
        <v>77.024</v>
      </c>
    </row>
    <row r="74">
      <c r="A74" s="53"/>
      <c r="B74" s="53"/>
      <c r="C74" s="53" t="s">
        <v>36</v>
      </c>
      <c r="D74" s="85" t="s">
        <v>211</v>
      </c>
      <c r="E74" s="54" t="s">
        <v>38</v>
      </c>
      <c r="F74" s="55" t="s">
        <v>39</v>
      </c>
      <c r="G74" s="86" t="s">
        <v>212</v>
      </c>
      <c r="H74" s="55"/>
      <c r="I74" s="54">
        <f t="shared" si="1"/>
        <v>0</v>
      </c>
      <c r="J74" s="56"/>
      <c r="K74" s="57"/>
      <c r="L74" s="76"/>
      <c r="M74" s="59"/>
      <c r="N74" s="60"/>
      <c r="O74" s="61">
        <v>384.0</v>
      </c>
      <c r="P74" s="62">
        <v>414.72</v>
      </c>
      <c r="Q74" s="63">
        <v>414.72</v>
      </c>
      <c r="R74" s="64">
        <v>436.0</v>
      </c>
      <c r="S74" s="107">
        <v>458.0</v>
      </c>
      <c r="T74" s="65">
        <f t="shared" si="2"/>
        <v>73.28</v>
      </c>
      <c r="U74" s="65">
        <f t="shared" si="3"/>
        <v>531.28</v>
      </c>
      <c r="V74" s="66">
        <f t="shared" si="4"/>
        <v>0.0504587156</v>
      </c>
      <c r="W74" s="67">
        <f t="shared" si="5"/>
        <v>435.1</v>
      </c>
      <c r="X74" s="67">
        <f t="shared" si="6"/>
        <v>69.616</v>
      </c>
      <c r="Y74" s="67">
        <f t="shared" si="7"/>
        <v>504.716</v>
      </c>
      <c r="Z74" s="67">
        <f t="shared" si="8"/>
        <v>412.2</v>
      </c>
      <c r="AA74" s="67">
        <f t="shared" si="9"/>
        <v>65.952</v>
      </c>
      <c r="AB74" s="67">
        <f t="shared" si="10"/>
        <v>478.152</v>
      </c>
      <c r="AC74" s="67">
        <f t="shared" si="11"/>
        <v>389.3</v>
      </c>
      <c r="AD74" s="67">
        <f t="shared" si="12"/>
        <v>62.288</v>
      </c>
      <c r="AE74" s="67">
        <f t="shared" si="13"/>
        <v>451.588</v>
      </c>
      <c r="AF74" s="67">
        <f t="shared" si="14"/>
        <v>380.14</v>
      </c>
      <c r="AG74" s="67">
        <f t="shared" si="15"/>
        <v>60.8224</v>
      </c>
      <c r="AH74" s="67">
        <f t="shared" si="16"/>
        <v>440.9624</v>
      </c>
      <c r="AI74" s="67">
        <f t="shared" si="17"/>
        <v>366.4</v>
      </c>
      <c r="AJ74" s="68">
        <f t="shared" si="20"/>
        <v>58.624</v>
      </c>
      <c r="AK74" s="68">
        <f t="shared" si="21"/>
        <v>425.024</v>
      </c>
      <c r="AL74" s="70">
        <f>IFERROR(__xludf.DUMMYFUNCTION("""COMPUTED_VALUE"""),1.0)</f>
        <v>1</v>
      </c>
      <c r="AM74" s="70"/>
      <c r="AN74" s="71" t="str">
        <f>IFERROR(__xludf.DUMMYFUNCTION("""COMPUTED_VALUE""")," C")</f>
        <v>C</v>
      </c>
      <c r="AO74" s="71" t="str">
        <f>IFERROR(__xludf.DUMMYFUNCTION("""COMPUTED_VALUE""")," BA10")</f>
        <v>BA10</v>
      </c>
      <c r="AP74" s="71" t="str">
        <f>IFERROR(__xludf.DUMMYFUNCTION("""COMPUTED_VALUE""")," PZA")</f>
        <v>PZA</v>
      </c>
      <c r="AQ74" s="71" t="str">
        <f>IFERROR(__xludf.DUMMYFUNCTION("""COMPUTED_VALUE""")," REF")</f>
        <v>REF</v>
      </c>
      <c r="AR74" s="71" t="str">
        <f>IFERROR(__xludf.DUMMYFUNCTION("""COMPUTED_VALUE""")," BALERO 6205 ZKL/ZVL")</f>
        <v>BALERO 6205 ZKL/ZVL</v>
      </c>
      <c r="AS74" s="71" t="str">
        <f>IFERROR(__xludf.DUMMYFUNCTION("""COMPUTED_VALUE""")," BALERO 6205 ZKL/ZVL")</f>
        <v>BALERO 6205 ZKL/ZVL</v>
      </c>
      <c r="AT74" s="71">
        <f>IFERROR(__xludf.DUMMYFUNCTION("""COMPUTED_VALUE"""),19.0)</f>
        <v>19</v>
      </c>
      <c r="AU74" s="71"/>
      <c r="AV74" s="71"/>
      <c r="AW74" s="71"/>
      <c r="AX74" s="71"/>
      <c r="AY74" s="71">
        <f>IFERROR(__xludf.DUMMYFUNCTION("""COMPUTED_VALUE"""),76.0)</f>
        <v>76</v>
      </c>
      <c r="AZ74" s="71">
        <f>IFERROR(__xludf.DUMMYFUNCTION("""COMPUTED_VALUE"""),82.0)</f>
        <v>82</v>
      </c>
      <c r="BA74" s="71">
        <f>IFERROR(__xludf.DUMMYFUNCTION("""COMPUTED_VALUE"""),88.56)</f>
        <v>88.56</v>
      </c>
      <c r="BB74" s="71">
        <f>IFERROR(__xludf.DUMMYFUNCTION("""COMPUTED_VALUE"""),88.56)</f>
        <v>88.56</v>
      </c>
      <c r="BC74" s="71">
        <f>IFERROR(__xludf.DUMMYFUNCTION("""COMPUTED_VALUE"""),94.0)</f>
        <v>94</v>
      </c>
      <c r="BD74" s="71">
        <f>IFERROR(__xludf.DUMMYFUNCTION("""COMPUTED_VALUE"""),99.0)</f>
        <v>99</v>
      </c>
      <c r="BE74" s="71">
        <f>IFERROR(__xludf.DUMMYFUNCTION("""COMPUTED_VALUE"""),15.84)</f>
        <v>15.84</v>
      </c>
      <c r="BF74" s="71">
        <f>IFERROR(__xludf.DUMMYFUNCTION("""COMPUTED_VALUE"""),114.84)</f>
        <v>114.84</v>
      </c>
      <c r="BG74" s="71">
        <f>IFERROR(__xludf.DUMMYFUNCTION("""COMPUTED_VALUE"""),0.05319148936170213)</f>
        <v>0.05319148936</v>
      </c>
      <c r="BH74" s="71">
        <f>IFERROR(__xludf.DUMMYFUNCTION("""COMPUTED_VALUE"""),94.05)</f>
        <v>94.05</v>
      </c>
      <c r="BI74" s="71">
        <f>IFERROR(__xludf.DUMMYFUNCTION("""COMPUTED_VALUE"""),15.048)</f>
        <v>15.048</v>
      </c>
      <c r="BJ74" s="71">
        <f>IFERROR(__xludf.DUMMYFUNCTION("""COMPUTED_VALUE"""),109.098)</f>
        <v>109.098</v>
      </c>
      <c r="BK74" s="71">
        <f>IFERROR(__xludf.DUMMYFUNCTION("""COMPUTED_VALUE"""),89.10000000000001)</f>
        <v>89.1</v>
      </c>
      <c r="BL74" s="71">
        <f>IFERROR(__xludf.DUMMYFUNCTION("""COMPUTED_VALUE"""),14.256000000000002)</f>
        <v>14.256</v>
      </c>
      <c r="BM74" s="71">
        <f>IFERROR(__xludf.DUMMYFUNCTION("""COMPUTED_VALUE"""),103.35600000000001)</f>
        <v>103.356</v>
      </c>
      <c r="BN74" s="71">
        <f>IFERROR(__xludf.DUMMYFUNCTION("""COMPUTED_VALUE"""),84.14999999999999)</f>
        <v>84.15</v>
      </c>
      <c r="BO74" s="71">
        <f>IFERROR(__xludf.DUMMYFUNCTION("""COMPUTED_VALUE"""),13.463999999999999)</f>
        <v>13.464</v>
      </c>
      <c r="BP74" s="71">
        <f>IFERROR(__xludf.DUMMYFUNCTION("""COMPUTED_VALUE"""),97.61399999999999)</f>
        <v>97.614</v>
      </c>
      <c r="BQ74" s="71">
        <f>IFERROR(__xludf.DUMMYFUNCTION("""COMPUTED_VALUE"""),82.17)</f>
        <v>82.17</v>
      </c>
      <c r="BR74" s="71">
        <f>IFERROR(__xludf.DUMMYFUNCTION("""COMPUTED_VALUE"""),13.1472)</f>
        <v>13.1472</v>
      </c>
      <c r="BS74" s="71">
        <f>IFERROR(__xludf.DUMMYFUNCTION("""COMPUTED_VALUE"""),95.3172)</f>
        <v>95.3172</v>
      </c>
      <c r="BT74" s="71">
        <f>IFERROR(__xludf.DUMMYFUNCTION("""COMPUTED_VALUE"""),79.2)</f>
        <v>79.2</v>
      </c>
      <c r="BU74" s="71">
        <f>IFERROR(__xludf.DUMMYFUNCTION("""COMPUTED_VALUE"""),12.672)</f>
        <v>12.672</v>
      </c>
      <c r="BV74" s="71">
        <f>IFERROR(__xludf.DUMMYFUNCTION("""COMPUTED_VALUE"""),91.872)</f>
        <v>91.872</v>
      </c>
    </row>
    <row r="75">
      <c r="A75" s="53"/>
      <c r="B75" s="53"/>
      <c r="C75" s="53" t="s">
        <v>36</v>
      </c>
      <c r="D75" s="85" t="s">
        <v>213</v>
      </c>
      <c r="E75" s="54" t="s">
        <v>38</v>
      </c>
      <c r="F75" s="55" t="s">
        <v>39</v>
      </c>
      <c r="G75" s="86" t="s">
        <v>214</v>
      </c>
      <c r="H75" s="55"/>
      <c r="I75" s="54">
        <f t="shared" si="1"/>
        <v>0</v>
      </c>
      <c r="J75" s="56"/>
      <c r="K75" s="57"/>
      <c r="L75" s="76"/>
      <c r="M75" s="59"/>
      <c r="N75" s="60"/>
      <c r="O75" s="61">
        <v>230.4</v>
      </c>
      <c r="P75" s="62">
        <v>248.83200000000002</v>
      </c>
      <c r="Q75" s="63">
        <v>248.83200000000002</v>
      </c>
      <c r="R75" s="64">
        <v>262.0</v>
      </c>
      <c r="S75" s="107">
        <v>275.0</v>
      </c>
      <c r="T75" s="65">
        <f t="shared" si="2"/>
        <v>44</v>
      </c>
      <c r="U75" s="65">
        <f t="shared" si="3"/>
        <v>319</v>
      </c>
      <c r="V75" s="66">
        <f t="shared" si="4"/>
        <v>0.04961832061</v>
      </c>
      <c r="W75" s="67">
        <f t="shared" si="5"/>
        <v>261.25</v>
      </c>
      <c r="X75" s="67">
        <f t="shared" si="6"/>
        <v>41.8</v>
      </c>
      <c r="Y75" s="67">
        <f t="shared" si="7"/>
        <v>303.05</v>
      </c>
      <c r="Z75" s="67">
        <f t="shared" si="8"/>
        <v>247.5</v>
      </c>
      <c r="AA75" s="67">
        <f t="shared" si="9"/>
        <v>39.6</v>
      </c>
      <c r="AB75" s="67">
        <f t="shared" si="10"/>
        <v>287.1</v>
      </c>
      <c r="AC75" s="67">
        <f t="shared" si="11"/>
        <v>233.75</v>
      </c>
      <c r="AD75" s="67">
        <f t="shared" si="12"/>
        <v>37.4</v>
      </c>
      <c r="AE75" s="67">
        <f t="shared" si="13"/>
        <v>271.15</v>
      </c>
      <c r="AF75" s="67">
        <f t="shared" si="14"/>
        <v>228.25</v>
      </c>
      <c r="AG75" s="67">
        <f t="shared" si="15"/>
        <v>36.52</v>
      </c>
      <c r="AH75" s="67">
        <f t="shared" si="16"/>
        <v>264.77</v>
      </c>
      <c r="AI75" s="67">
        <f t="shared" si="17"/>
        <v>220</v>
      </c>
      <c r="AJ75" s="68">
        <f t="shared" si="20"/>
        <v>35.2</v>
      </c>
      <c r="AK75" s="68">
        <f t="shared" si="21"/>
        <v>255.2</v>
      </c>
      <c r="AL75" s="70">
        <f>IFERROR(__xludf.DUMMYFUNCTION("""COMPUTED_VALUE"""),1.0)</f>
        <v>1</v>
      </c>
      <c r="AM75" s="70"/>
      <c r="AN75" s="71" t="str">
        <f>IFERROR(__xludf.DUMMYFUNCTION("""COMPUTED_VALUE""")," C")</f>
        <v>C</v>
      </c>
      <c r="AO75" s="71" t="str">
        <f>IFERROR(__xludf.DUMMYFUNCTION("""COMPUTED_VALUE""")," BA54")</f>
        <v>BA54</v>
      </c>
      <c r="AP75" s="71" t="str">
        <f>IFERROR(__xludf.DUMMYFUNCTION("""COMPUTED_VALUE""")," PZA")</f>
        <v>PZA</v>
      </c>
      <c r="AQ75" s="71" t="str">
        <f>IFERROR(__xludf.DUMMYFUNCTION("""COMPUTED_VALUE""")," REF")</f>
        <v>REF</v>
      </c>
      <c r="AR75" s="71" t="str">
        <f>IFERROR(__xludf.DUMMYFUNCTION("""COMPUTED_VALUE""")," BALERO 6205 ZZ MULTIMARCA")</f>
        <v>BALERO 6205 ZZ MULTIMARCA</v>
      </c>
      <c r="AS75" s="71" t="str">
        <f>IFERROR(__xludf.DUMMYFUNCTION("""COMPUTED_VALUE""")," BALERO 6205 ZZ MULTIMARCA")</f>
        <v>BALERO 6205 ZZ MULTIMARCA</v>
      </c>
      <c r="AT75" s="71">
        <f>IFERROR(__xludf.DUMMYFUNCTION("""COMPUTED_VALUE"""),25.0)</f>
        <v>25</v>
      </c>
      <c r="AU75" s="71"/>
      <c r="AV75" s="71"/>
      <c r="AW75" s="71"/>
      <c r="AX75" s="71"/>
      <c r="AY75" s="71">
        <f>IFERROR(__xludf.DUMMYFUNCTION("""COMPUTED_VALUE"""),580.0)</f>
        <v>580</v>
      </c>
      <c r="AZ75" s="71">
        <f>IFERROR(__xludf.DUMMYFUNCTION("""COMPUTED_VALUE"""),626.0)</f>
        <v>626</v>
      </c>
      <c r="BA75" s="71">
        <f>IFERROR(__xludf.DUMMYFUNCTION("""COMPUTED_VALUE"""),676.08)</f>
        <v>676.08</v>
      </c>
      <c r="BB75" s="71">
        <f>IFERROR(__xludf.DUMMYFUNCTION("""COMPUTED_VALUE"""),676.08)</f>
        <v>676.08</v>
      </c>
      <c r="BC75" s="71">
        <f>IFERROR(__xludf.DUMMYFUNCTION("""COMPUTED_VALUE"""),731.0)</f>
        <v>731</v>
      </c>
      <c r="BD75" s="71">
        <f>IFERROR(__xludf.DUMMYFUNCTION("""COMPUTED_VALUE"""),27.0)</f>
        <v>27</v>
      </c>
      <c r="BE75" s="71">
        <f>IFERROR(__xludf.DUMMYFUNCTION("""COMPUTED_VALUE"""),4.32)</f>
        <v>4.32</v>
      </c>
      <c r="BF75" s="71">
        <f>IFERROR(__xludf.DUMMYFUNCTION("""COMPUTED_VALUE"""),31.32)</f>
        <v>31.32</v>
      </c>
      <c r="BG75" s="71">
        <f>IFERROR(__xludf.DUMMYFUNCTION("""COMPUTED_VALUE"""),-0.9630642954856361)</f>
        <v>-0.9630642955</v>
      </c>
      <c r="BH75" s="71">
        <f>IFERROR(__xludf.DUMMYFUNCTION("""COMPUTED_VALUE"""),25.65)</f>
        <v>25.65</v>
      </c>
      <c r="BI75" s="71">
        <f>IFERROR(__xludf.DUMMYFUNCTION("""COMPUTED_VALUE"""),4.104)</f>
        <v>4.104</v>
      </c>
      <c r="BJ75" s="71">
        <f>IFERROR(__xludf.DUMMYFUNCTION("""COMPUTED_VALUE"""),29.753999999999998)</f>
        <v>29.754</v>
      </c>
      <c r="BK75" s="71">
        <f>IFERROR(__xludf.DUMMYFUNCTION("""COMPUTED_VALUE"""),24.3)</f>
        <v>24.3</v>
      </c>
      <c r="BL75" s="71">
        <f>IFERROR(__xludf.DUMMYFUNCTION("""COMPUTED_VALUE"""),3.8880000000000003)</f>
        <v>3.888</v>
      </c>
      <c r="BM75" s="71">
        <f>IFERROR(__xludf.DUMMYFUNCTION("""COMPUTED_VALUE"""),28.188000000000002)</f>
        <v>28.188</v>
      </c>
      <c r="BN75" s="71">
        <f>IFERROR(__xludf.DUMMYFUNCTION("""COMPUTED_VALUE"""),22.95)</f>
        <v>22.95</v>
      </c>
      <c r="BO75" s="71">
        <f>IFERROR(__xludf.DUMMYFUNCTION("""COMPUTED_VALUE"""),3.672)</f>
        <v>3.672</v>
      </c>
      <c r="BP75" s="71">
        <f>IFERROR(__xludf.DUMMYFUNCTION("""COMPUTED_VALUE"""),26.622)</f>
        <v>26.622</v>
      </c>
      <c r="BQ75" s="71">
        <f>IFERROR(__xludf.DUMMYFUNCTION("""COMPUTED_VALUE"""),22.41)</f>
        <v>22.41</v>
      </c>
      <c r="BR75" s="71">
        <f>IFERROR(__xludf.DUMMYFUNCTION("""COMPUTED_VALUE"""),3.5856)</f>
        <v>3.5856</v>
      </c>
      <c r="BS75" s="71">
        <f>IFERROR(__xludf.DUMMYFUNCTION("""COMPUTED_VALUE"""),25.9956)</f>
        <v>25.9956</v>
      </c>
      <c r="BT75" s="71">
        <f>IFERROR(__xludf.DUMMYFUNCTION("""COMPUTED_VALUE"""),21.6)</f>
        <v>21.6</v>
      </c>
      <c r="BU75" s="71">
        <f>IFERROR(__xludf.DUMMYFUNCTION("""COMPUTED_VALUE"""),3.4560000000000004)</f>
        <v>3.456</v>
      </c>
      <c r="BV75" s="71">
        <f>IFERROR(__xludf.DUMMYFUNCTION("""COMPUTED_VALUE"""),25.056)</f>
        <v>25.056</v>
      </c>
    </row>
    <row r="76">
      <c r="A76" s="53">
        <v>1.0</v>
      </c>
      <c r="B76" s="72"/>
      <c r="C76" s="73" t="s">
        <v>12</v>
      </c>
      <c r="D76" s="74" t="s">
        <v>215</v>
      </c>
      <c r="E76" s="54" t="s">
        <v>216</v>
      </c>
      <c r="F76" s="54" t="s">
        <v>42</v>
      </c>
      <c r="G76" s="88" t="s">
        <v>217</v>
      </c>
      <c r="H76" s="54" t="s">
        <v>218</v>
      </c>
      <c r="I76" s="54">
        <f t="shared" si="1"/>
        <v>25</v>
      </c>
      <c r="J76" s="56"/>
      <c r="K76" s="75"/>
      <c r="L76" s="77"/>
      <c r="M76" s="59"/>
      <c r="N76" s="79">
        <v>3537.0</v>
      </c>
      <c r="O76" s="61">
        <v>2554.0</v>
      </c>
      <c r="P76" s="62">
        <v>2291.4</v>
      </c>
      <c r="Q76" s="63">
        <v>2291.4</v>
      </c>
      <c r="R76" s="64">
        <v>2551.0</v>
      </c>
      <c r="S76" s="111">
        <v>2679.0</v>
      </c>
      <c r="T76" s="65">
        <f t="shared" si="2"/>
        <v>428.64</v>
      </c>
      <c r="U76" s="65">
        <f t="shared" si="3"/>
        <v>3107.64</v>
      </c>
      <c r="V76" s="66">
        <f t="shared" si="4"/>
        <v>0.05017640141</v>
      </c>
      <c r="W76" s="67">
        <f t="shared" si="5"/>
        <v>2545.05</v>
      </c>
      <c r="X76" s="67">
        <f t="shared" si="6"/>
        <v>407.208</v>
      </c>
      <c r="Y76" s="67">
        <f t="shared" si="7"/>
        <v>2952.258</v>
      </c>
      <c r="Z76" s="67">
        <f t="shared" si="8"/>
        <v>2411.1</v>
      </c>
      <c r="AA76" s="67">
        <f t="shared" si="9"/>
        <v>385.776</v>
      </c>
      <c r="AB76" s="67">
        <f t="shared" si="10"/>
        <v>2796.876</v>
      </c>
      <c r="AC76" s="67">
        <f t="shared" si="11"/>
        <v>2277.15</v>
      </c>
      <c r="AD76" s="67">
        <f t="shared" si="12"/>
        <v>364.344</v>
      </c>
      <c r="AE76" s="67">
        <f t="shared" si="13"/>
        <v>2641.494</v>
      </c>
      <c r="AF76" s="67">
        <f t="shared" si="14"/>
        <v>2223.57</v>
      </c>
      <c r="AG76" s="67">
        <f t="shared" si="15"/>
        <v>355.7712</v>
      </c>
      <c r="AH76" s="67">
        <f t="shared" si="16"/>
        <v>2579.3412</v>
      </c>
      <c r="AI76" s="67">
        <f t="shared" si="17"/>
        <v>2143.2</v>
      </c>
      <c r="AJ76" s="68">
        <f t="shared" si="20"/>
        <v>342.912</v>
      </c>
      <c r="AK76" s="68">
        <f t="shared" si="21"/>
        <v>2486.112</v>
      </c>
      <c r="AL76" s="70">
        <f>IFERROR(__xludf.DUMMYFUNCTION("""COMPUTED_VALUE"""),1.0)</f>
        <v>1</v>
      </c>
      <c r="AM76" s="70"/>
      <c r="AN76" s="71" t="str">
        <f>IFERROR(__xludf.DUMMYFUNCTION("""COMPUTED_VALUE""")," R")</f>
        <v>R</v>
      </c>
      <c r="AO76" s="71" t="str">
        <f>IFERROR(__xludf.DUMMYFUNCTION("""COMPUTED_VALUE""")," BA31")</f>
        <v>BA31</v>
      </c>
      <c r="AP76" s="71" t="str">
        <f>IFERROR(__xludf.DUMMYFUNCTION("""COMPUTED_VALUE""")," PZA")</f>
        <v>PZA</v>
      </c>
      <c r="AQ76" s="71" t="str">
        <f>IFERROR(__xludf.DUMMYFUNCTION("""COMPUTED_VALUE""")," REF")</f>
        <v>REF</v>
      </c>
      <c r="AR76" s="71" t="str">
        <f>IFERROR(__xludf.DUMMYFUNCTION("""COMPUTED_VALUE""")," BALERO 6205 ZZ MULTIMARCA")</f>
        <v>BALERO 6205 ZZ MULTIMARCA</v>
      </c>
      <c r="AS76" s="71" t="str">
        <f>IFERROR(__xludf.DUMMYFUNCTION("""COMPUTED_VALUE""")," BALERO 6205 ZZ MULTIMARCA")</f>
        <v>BALERO 6205 ZZ MULTIMARCA</v>
      </c>
      <c r="AT76" s="71">
        <f>IFERROR(__xludf.DUMMYFUNCTION("""COMPUTED_VALUE"""),25.0)</f>
        <v>25</v>
      </c>
      <c r="AU76" s="71"/>
      <c r="AV76" s="71"/>
      <c r="AW76" s="71"/>
      <c r="AX76" s="71"/>
      <c r="AY76" s="71"/>
      <c r="AZ76" s="71"/>
      <c r="BA76" s="71"/>
      <c r="BB76" s="71"/>
      <c r="BC76" s="71"/>
      <c r="BD76" s="71">
        <f>IFERROR(__xludf.DUMMYFUNCTION("""COMPUTED_VALUE"""),27.0)</f>
        <v>27</v>
      </c>
      <c r="BE76" s="71">
        <f>IFERROR(__xludf.DUMMYFUNCTION("""COMPUTED_VALUE"""),4.32)</f>
        <v>4.32</v>
      </c>
      <c r="BF76" s="71">
        <f>IFERROR(__xludf.DUMMYFUNCTION("""COMPUTED_VALUE"""),31.32)</f>
        <v>31.32</v>
      </c>
      <c r="BG76" s="71" t="str">
        <f>IFERROR(__xludf.DUMMYFUNCTION("""COMPUTED_VALUE"""),"#DIV/0!")</f>
        <v>#DIV/0!</v>
      </c>
      <c r="BH76" s="71">
        <f>IFERROR(__xludf.DUMMYFUNCTION("""COMPUTED_VALUE"""),25.65)</f>
        <v>25.65</v>
      </c>
      <c r="BI76" s="71">
        <f>IFERROR(__xludf.DUMMYFUNCTION("""COMPUTED_VALUE"""),4.104)</f>
        <v>4.104</v>
      </c>
      <c r="BJ76" s="71">
        <f>IFERROR(__xludf.DUMMYFUNCTION("""COMPUTED_VALUE"""),29.753999999999998)</f>
        <v>29.754</v>
      </c>
      <c r="BK76" s="71">
        <f>IFERROR(__xludf.DUMMYFUNCTION("""COMPUTED_VALUE"""),24.3)</f>
        <v>24.3</v>
      </c>
      <c r="BL76" s="71">
        <f>IFERROR(__xludf.DUMMYFUNCTION("""COMPUTED_VALUE"""),3.8880000000000003)</f>
        <v>3.888</v>
      </c>
      <c r="BM76" s="71">
        <f>IFERROR(__xludf.DUMMYFUNCTION("""COMPUTED_VALUE"""),28.188000000000002)</f>
        <v>28.188</v>
      </c>
      <c r="BN76" s="71">
        <f>IFERROR(__xludf.DUMMYFUNCTION("""COMPUTED_VALUE"""),22.95)</f>
        <v>22.95</v>
      </c>
      <c r="BO76" s="71">
        <f>IFERROR(__xludf.DUMMYFUNCTION("""COMPUTED_VALUE"""),3.672)</f>
        <v>3.672</v>
      </c>
      <c r="BP76" s="71">
        <f>IFERROR(__xludf.DUMMYFUNCTION("""COMPUTED_VALUE"""),26.622)</f>
        <v>26.622</v>
      </c>
      <c r="BQ76" s="71">
        <f>IFERROR(__xludf.DUMMYFUNCTION("""COMPUTED_VALUE"""),22.41)</f>
        <v>22.41</v>
      </c>
      <c r="BR76" s="71">
        <f>IFERROR(__xludf.DUMMYFUNCTION("""COMPUTED_VALUE"""),3.5856)</f>
        <v>3.5856</v>
      </c>
      <c r="BS76" s="71">
        <f>IFERROR(__xludf.DUMMYFUNCTION("""COMPUTED_VALUE"""),25.9956)</f>
        <v>25.9956</v>
      </c>
      <c r="BT76" s="71">
        <f>IFERROR(__xludf.DUMMYFUNCTION("""COMPUTED_VALUE"""),21.6)</f>
        <v>21.6</v>
      </c>
      <c r="BU76" s="71">
        <f>IFERROR(__xludf.DUMMYFUNCTION("""COMPUTED_VALUE"""),3.4560000000000004)</f>
        <v>3.456</v>
      </c>
      <c r="BV76" s="71">
        <f>IFERROR(__xludf.DUMMYFUNCTION("""COMPUTED_VALUE"""),25.056)</f>
        <v>25.056</v>
      </c>
    </row>
    <row r="77">
      <c r="A77" s="53">
        <v>1.0</v>
      </c>
      <c r="B77" s="72"/>
      <c r="C77" s="73" t="s">
        <v>12</v>
      </c>
      <c r="D77" s="74" t="s">
        <v>219</v>
      </c>
      <c r="E77" s="54" t="s">
        <v>220</v>
      </c>
      <c r="F77" s="54" t="s">
        <v>42</v>
      </c>
      <c r="G77" s="88" t="s">
        <v>221</v>
      </c>
      <c r="H77" s="54" t="s">
        <v>222</v>
      </c>
      <c r="I77" s="54">
        <f t="shared" si="1"/>
        <v>21</v>
      </c>
      <c r="J77" s="56"/>
      <c r="K77" s="75"/>
      <c r="L77" s="77"/>
      <c r="M77" s="59"/>
      <c r="N77" s="79">
        <v>744.0</v>
      </c>
      <c r="O77" s="61">
        <v>538.0</v>
      </c>
      <c r="P77" s="62">
        <v>482.4</v>
      </c>
      <c r="Q77" s="63">
        <v>482.4</v>
      </c>
      <c r="R77" s="64">
        <v>538.0</v>
      </c>
      <c r="S77" s="111">
        <v>565.0</v>
      </c>
      <c r="T77" s="65">
        <f t="shared" si="2"/>
        <v>90.4</v>
      </c>
      <c r="U77" s="65">
        <f t="shared" si="3"/>
        <v>655.4</v>
      </c>
      <c r="V77" s="66">
        <f t="shared" si="4"/>
        <v>0.05018587361</v>
      </c>
      <c r="W77" s="67">
        <f t="shared" si="5"/>
        <v>536.75</v>
      </c>
      <c r="X77" s="67">
        <f t="shared" si="6"/>
        <v>85.88</v>
      </c>
      <c r="Y77" s="67">
        <f t="shared" si="7"/>
        <v>622.63</v>
      </c>
      <c r="Z77" s="67">
        <f t="shared" si="8"/>
        <v>508.5</v>
      </c>
      <c r="AA77" s="67">
        <f t="shared" si="9"/>
        <v>81.36</v>
      </c>
      <c r="AB77" s="67">
        <f t="shared" si="10"/>
        <v>589.86</v>
      </c>
      <c r="AC77" s="67">
        <f t="shared" si="11"/>
        <v>480.25</v>
      </c>
      <c r="AD77" s="67">
        <f t="shared" si="12"/>
        <v>76.84</v>
      </c>
      <c r="AE77" s="67">
        <f t="shared" si="13"/>
        <v>557.09</v>
      </c>
      <c r="AF77" s="67">
        <f t="shared" si="14"/>
        <v>468.95</v>
      </c>
      <c r="AG77" s="67">
        <f t="shared" si="15"/>
        <v>75.032</v>
      </c>
      <c r="AH77" s="67">
        <f t="shared" si="16"/>
        <v>543.982</v>
      </c>
      <c r="AI77" s="67">
        <f t="shared" si="17"/>
        <v>452</v>
      </c>
      <c r="AJ77" s="68">
        <f t="shared" si="20"/>
        <v>72.32</v>
      </c>
      <c r="AK77" s="68">
        <f t="shared" si="21"/>
        <v>524.32</v>
      </c>
      <c r="AL77" s="70">
        <f>IFERROR(__xludf.DUMMYFUNCTION("""COMPUTED_VALUE"""),1.0)</f>
        <v>1</v>
      </c>
      <c r="AM77" s="70"/>
      <c r="AN77" s="71" t="str">
        <f>IFERROR(__xludf.DUMMYFUNCTION("""COMPUTED_VALUE""")," C")</f>
        <v>C</v>
      </c>
      <c r="AO77" s="71" t="str">
        <f>IFERROR(__xludf.DUMMYFUNCTION("""COMPUTED_VALUE""")," BA55")</f>
        <v>BA55</v>
      </c>
      <c r="AP77" s="71" t="str">
        <f>IFERROR(__xludf.DUMMYFUNCTION("""COMPUTED_VALUE""")," PZA")</f>
        <v>PZA</v>
      </c>
      <c r="AQ77" s="71" t="str">
        <f>IFERROR(__xludf.DUMMYFUNCTION("""COMPUTED_VALUE""")," REF")</f>
        <v>REF</v>
      </c>
      <c r="AR77" s="71" t="str">
        <f>IFERROR(__xludf.DUMMYFUNCTION("""COMPUTED_VALUE""")," BALERO 6206 Z MULTIMARCA")</f>
        <v>BALERO 6206 Z MULTIMARCA</v>
      </c>
      <c r="AS77" s="71" t="str">
        <f>IFERROR(__xludf.DUMMYFUNCTION("""COMPUTED_VALUE""")," BALERO 6206 Z MULTIMARCA")</f>
        <v>BALERO 6206 Z MULTIMARCA</v>
      </c>
      <c r="AT77" s="71">
        <f>IFERROR(__xludf.DUMMYFUNCTION("""COMPUTED_VALUE"""),24.0)</f>
        <v>24</v>
      </c>
      <c r="AU77" s="71"/>
      <c r="AV77" s="71"/>
      <c r="AW77" s="71"/>
      <c r="AX77" s="71"/>
      <c r="AY77" s="71">
        <f>IFERROR(__xludf.DUMMYFUNCTION("""COMPUTED_VALUE"""),840.0)</f>
        <v>840</v>
      </c>
      <c r="AZ77" s="71">
        <f>IFERROR(__xludf.DUMMYFUNCTION("""COMPUTED_VALUE"""),907.0)</f>
        <v>907</v>
      </c>
      <c r="BA77" s="71">
        <f>IFERROR(__xludf.DUMMYFUNCTION("""COMPUTED_VALUE"""),979.5600000000001)</f>
        <v>979.56</v>
      </c>
      <c r="BB77" s="71">
        <f>IFERROR(__xludf.DUMMYFUNCTION("""COMPUTED_VALUE"""),979.5600000000001)</f>
        <v>979.56</v>
      </c>
      <c r="BC77" s="71">
        <f>IFERROR(__xludf.DUMMYFUNCTION("""COMPUTED_VALUE"""),1029.0)</f>
        <v>1029</v>
      </c>
      <c r="BD77" s="71">
        <f>IFERROR(__xludf.DUMMYFUNCTION("""COMPUTED_VALUE"""),98.0)</f>
        <v>98</v>
      </c>
      <c r="BE77" s="71">
        <f>IFERROR(__xludf.DUMMYFUNCTION("""COMPUTED_VALUE"""),15.68)</f>
        <v>15.68</v>
      </c>
      <c r="BF77" s="71">
        <f>IFERROR(__xludf.DUMMYFUNCTION("""COMPUTED_VALUE"""),113.68)</f>
        <v>113.68</v>
      </c>
      <c r="BG77" s="71">
        <f>IFERROR(__xludf.DUMMYFUNCTION("""COMPUTED_VALUE"""),-0.9047619047619048)</f>
        <v>-0.9047619048</v>
      </c>
      <c r="BH77" s="71">
        <f>IFERROR(__xludf.DUMMYFUNCTION("""COMPUTED_VALUE"""),93.1)</f>
        <v>93.1</v>
      </c>
      <c r="BI77" s="71">
        <f>IFERROR(__xludf.DUMMYFUNCTION("""COMPUTED_VALUE"""),14.895999999999999)</f>
        <v>14.896</v>
      </c>
      <c r="BJ77" s="71">
        <f>IFERROR(__xludf.DUMMYFUNCTION("""COMPUTED_VALUE"""),107.996)</f>
        <v>107.996</v>
      </c>
      <c r="BK77" s="71">
        <f>IFERROR(__xludf.DUMMYFUNCTION("""COMPUTED_VALUE"""),88.2)</f>
        <v>88.2</v>
      </c>
      <c r="BL77" s="71">
        <f>IFERROR(__xludf.DUMMYFUNCTION("""COMPUTED_VALUE"""),14.112)</f>
        <v>14.112</v>
      </c>
      <c r="BM77" s="71">
        <f>IFERROR(__xludf.DUMMYFUNCTION("""COMPUTED_VALUE"""),102.312)</f>
        <v>102.312</v>
      </c>
      <c r="BN77" s="71">
        <f>IFERROR(__xludf.DUMMYFUNCTION("""COMPUTED_VALUE"""),83.3)</f>
        <v>83.3</v>
      </c>
      <c r="BO77" s="71">
        <f>IFERROR(__xludf.DUMMYFUNCTION("""COMPUTED_VALUE"""),13.328)</f>
        <v>13.328</v>
      </c>
      <c r="BP77" s="71">
        <f>IFERROR(__xludf.DUMMYFUNCTION("""COMPUTED_VALUE"""),96.628)</f>
        <v>96.628</v>
      </c>
      <c r="BQ77" s="71">
        <f>IFERROR(__xludf.DUMMYFUNCTION("""COMPUTED_VALUE"""),81.33999999999999)</f>
        <v>81.34</v>
      </c>
      <c r="BR77" s="71">
        <f>IFERROR(__xludf.DUMMYFUNCTION("""COMPUTED_VALUE"""),13.014399999999998)</f>
        <v>13.0144</v>
      </c>
      <c r="BS77" s="71">
        <f>IFERROR(__xludf.DUMMYFUNCTION("""COMPUTED_VALUE"""),94.35439999999998)</f>
        <v>94.3544</v>
      </c>
      <c r="BT77" s="71">
        <f>IFERROR(__xludf.DUMMYFUNCTION("""COMPUTED_VALUE"""),78.4)</f>
        <v>78.4</v>
      </c>
      <c r="BU77" s="71">
        <f>IFERROR(__xludf.DUMMYFUNCTION("""COMPUTED_VALUE"""),12.544)</f>
        <v>12.544</v>
      </c>
      <c r="BV77" s="71">
        <f>IFERROR(__xludf.DUMMYFUNCTION("""COMPUTED_VALUE"""),90.944)</f>
        <v>90.944</v>
      </c>
    </row>
    <row r="78">
      <c r="A78" s="53">
        <v>1.0</v>
      </c>
      <c r="B78" s="72"/>
      <c r="C78" s="73" t="s">
        <v>12</v>
      </c>
      <c r="D78" s="74" t="s">
        <v>223</v>
      </c>
      <c r="E78" s="54" t="s">
        <v>224</v>
      </c>
      <c r="F78" s="54" t="s">
        <v>42</v>
      </c>
      <c r="G78" s="88" t="s">
        <v>225</v>
      </c>
      <c r="H78" s="54" t="s">
        <v>226</v>
      </c>
      <c r="I78" s="54">
        <f t="shared" si="1"/>
        <v>21</v>
      </c>
      <c r="J78" s="56"/>
      <c r="K78" s="75"/>
      <c r="L78" s="77"/>
      <c r="M78" s="59"/>
      <c r="N78" s="79">
        <v>182.0</v>
      </c>
      <c r="O78" s="61">
        <v>134.0</v>
      </c>
      <c r="P78" s="62">
        <v>120.6</v>
      </c>
      <c r="Q78" s="63">
        <v>120.6</v>
      </c>
      <c r="R78" s="64">
        <v>134.0</v>
      </c>
      <c r="S78" s="111">
        <v>141.0</v>
      </c>
      <c r="T78" s="65">
        <f t="shared" si="2"/>
        <v>22.56</v>
      </c>
      <c r="U78" s="65">
        <f t="shared" si="3"/>
        <v>163.56</v>
      </c>
      <c r="V78" s="66">
        <f t="shared" si="4"/>
        <v>0.05223880597</v>
      </c>
      <c r="W78" s="67">
        <f t="shared" si="5"/>
        <v>133.95</v>
      </c>
      <c r="X78" s="67">
        <f t="shared" si="6"/>
        <v>21.432</v>
      </c>
      <c r="Y78" s="67">
        <f t="shared" si="7"/>
        <v>155.382</v>
      </c>
      <c r="Z78" s="67">
        <f t="shared" si="8"/>
        <v>126.9</v>
      </c>
      <c r="AA78" s="67">
        <f t="shared" si="9"/>
        <v>20.304</v>
      </c>
      <c r="AB78" s="67">
        <f t="shared" si="10"/>
        <v>147.204</v>
      </c>
      <c r="AC78" s="67">
        <f t="shared" si="11"/>
        <v>119.85</v>
      </c>
      <c r="AD78" s="67">
        <f t="shared" si="12"/>
        <v>19.176</v>
      </c>
      <c r="AE78" s="67">
        <f t="shared" si="13"/>
        <v>139.026</v>
      </c>
      <c r="AF78" s="67">
        <f t="shared" si="14"/>
        <v>117.03</v>
      </c>
      <c r="AG78" s="67">
        <f t="shared" si="15"/>
        <v>18.7248</v>
      </c>
      <c r="AH78" s="67">
        <f t="shared" si="16"/>
        <v>135.7548</v>
      </c>
      <c r="AI78" s="67">
        <f t="shared" si="17"/>
        <v>112.8</v>
      </c>
      <c r="AJ78" s="68">
        <f t="shared" si="20"/>
        <v>18.048</v>
      </c>
      <c r="AK78" s="68">
        <f t="shared" si="21"/>
        <v>130.848</v>
      </c>
      <c r="AL78" s="70">
        <f>IFERROR(__xludf.DUMMYFUNCTION("""COMPUTED_VALUE"""),1.0)</f>
        <v>1</v>
      </c>
      <c r="AM78" s="70"/>
      <c r="AN78" s="71" t="str">
        <f>IFERROR(__xludf.DUMMYFUNCTION("""COMPUTED_VALUE""")," C")</f>
        <v>C</v>
      </c>
      <c r="AO78" s="71" t="str">
        <f>IFERROR(__xludf.DUMMYFUNCTION("""COMPUTED_VALUE""")," BA11")</f>
        <v>BA11</v>
      </c>
      <c r="AP78" s="71" t="str">
        <f>IFERROR(__xludf.DUMMYFUNCTION("""COMPUTED_VALUE""")," PZA")</f>
        <v>PZA</v>
      </c>
      <c r="AQ78" s="71" t="str">
        <f>IFERROR(__xludf.DUMMYFUNCTION("""COMPUTED_VALUE""")," REF")</f>
        <v>REF</v>
      </c>
      <c r="AR78" s="71" t="str">
        <f>IFERROR(__xludf.DUMMYFUNCTION("""COMPUTED_VALUE""")," BALERO 6206 Z ZKL/ZVL")</f>
        <v>BALERO 6206 Z ZKL/ZVL</v>
      </c>
      <c r="AS78" s="71" t="str">
        <f>IFERROR(__xludf.DUMMYFUNCTION("""COMPUTED_VALUE""")," BALERO 6206 Z ZKL/ZVL")</f>
        <v>BALERO 6206 Z ZKL/ZVL</v>
      </c>
      <c r="AT78" s="71">
        <f>IFERROR(__xludf.DUMMYFUNCTION("""COMPUTED_VALUE"""),21.0)</f>
        <v>21</v>
      </c>
      <c r="AU78" s="71"/>
      <c r="AV78" s="71"/>
      <c r="AW78" s="71"/>
      <c r="AX78" s="71"/>
      <c r="AY78" s="71">
        <f>IFERROR(__xludf.DUMMYFUNCTION("""COMPUTED_VALUE"""),100.0)</f>
        <v>100</v>
      </c>
      <c r="AZ78" s="71">
        <f>IFERROR(__xludf.DUMMYFUNCTION("""COMPUTED_VALUE"""),108.0)</f>
        <v>108</v>
      </c>
      <c r="BA78" s="71">
        <f>IFERROR(__xludf.DUMMYFUNCTION("""COMPUTED_VALUE"""),116.64000000000001)</f>
        <v>116.64</v>
      </c>
      <c r="BB78" s="71">
        <f>IFERROR(__xludf.DUMMYFUNCTION("""COMPUTED_VALUE"""),116.64000000000001)</f>
        <v>116.64</v>
      </c>
      <c r="BC78" s="71">
        <f>IFERROR(__xludf.DUMMYFUNCTION("""COMPUTED_VALUE"""),123.0)</f>
        <v>123</v>
      </c>
      <c r="BD78" s="71">
        <f>IFERROR(__xludf.DUMMYFUNCTION("""COMPUTED_VALUE"""),129.0)</f>
        <v>129</v>
      </c>
      <c r="BE78" s="71">
        <f>IFERROR(__xludf.DUMMYFUNCTION("""COMPUTED_VALUE"""),20.64)</f>
        <v>20.64</v>
      </c>
      <c r="BF78" s="71">
        <f>IFERROR(__xludf.DUMMYFUNCTION("""COMPUTED_VALUE"""),149.64)</f>
        <v>149.64</v>
      </c>
      <c r="BG78" s="71">
        <f>IFERROR(__xludf.DUMMYFUNCTION("""COMPUTED_VALUE"""),0.04878048780487805)</f>
        <v>0.0487804878</v>
      </c>
      <c r="BH78" s="71">
        <f>IFERROR(__xludf.DUMMYFUNCTION("""COMPUTED_VALUE"""),122.55)</f>
        <v>122.55</v>
      </c>
      <c r="BI78" s="71">
        <f>IFERROR(__xludf.DUMMYFUNCTION("""COMPUTED_VALUE"""),19.608)</f>
        <v>19.608</v>
      </c>
      <c r="BJ78" s="71">
        <f>IFERROR(__xludf.DUMMYFUNCTION("""COMPUTED_VALUE"""),142.158)</f>
        <v>142.158</v>
      </c>
      <c r="BK78" s="71">
        <f>IFERROR(__xludf.DUMMYFUNCTION("""COMPUTED_VALUE"""),116.10000000000001)</f>
        <v>116.1</v>
      </c>
      <c r="BL78" s="71">
        <f>IFERROR(__xludf.DUMMYFUNCTION("""COMPUTED_VALUE"""),18.576)</f>
        <v>18.576</v>
      </c>
      <c r="BM78" s="71">
        <f>IFERROR(__xludf.DUMMYFUNCTION("""COMPUTED_VALUE"""),134.67600000000002)</f>
        <v>134.676</v>
      </c>
      <c r="BN78" s="71">
        <f>IFERROR(__xludf.DUMMYFUNCTION("""COMPUTED_VALUE"""),109.64999999999999)</f>
        <v>109.65</v>
      </c>
      <c r="BO78" s="71">
        <f>IFERROR(__xludf.DUMMYFUNCTION("""COMPUTED_VALUE"""),17.544)</f>
        <v>17.544</v>
      </c>
      <c r="BP78" s="71">
        <f>IFERROR(__xludf.DUMMYFUNCTION("""COMPUTED_VALUE"""),127.19399999999999)</f>
        <v>127.194</v>
      </c>
      <c r="BQ78" s="71">
        <f>IFERROR(__xludf.DUMMYFUNCTION("""COMPUTED_VALUE"""),107.07)</f>
        <v>107.07</v>
      </c>
      <c r="BR78" s="71">
        <f>IFERROR(__xludf.DUMMYFUNCTION("""COMPUTED_VALUE"""),17.1312)</f>
        <v>17.1312</v>
      </c>
      <c r="BS78" s="71">
        <f>IFERROR(__xludf.DUMMYFUNCTION("""COMPUTED_VALUE"""),124.2012)</f>
        <v>124.2012</v>
      </c>
      <c r="BT78" s="71">
        <f>IFERROR(__xludf.DUMMYFUNCTION("""COMPUTED_VALUE"""),103.2)</f>
        <v>103.2</v>
      </c>
      <c r="BU78" s="71">
        <f>IFERROR(__xludf.DUMMYFUNCTION("""COMPUTED_VALUE"""),16.512)</f>
        <v>16.512</v>
      </c>
      <c r="BV78" s="71">
        <f>IFERROR(__xludf.DUMMYFUNCTION("""COMPUTED_VALUE"""),119.712)</f>
        <v>119.712</v>
      </c>
    </row>
    <row r="79">
      <c r="A79" s="53">
        <v>1.0</v>
      </c>
      <c r="B79" s="72"/>
      <c r="C79" s="73" t="s">
        <v>12</v>
      </c>
      <c r="D79" s="74" t="s">
        <v>227</v>
      </c>
      <c r="E79" s="54" t="s">
        <v>216</v>
      </c>
      <c r="F79" s="54" t="s">
        <v>42</v>
      </c>
      <c r="G79" s="88" t="s">
        <v>228</v>
      </c>
      <c r="H79" s="54" t="s">
        <v>229</v>
      </c>
      <c r="I79" s="54">
        <f t="shared" si="1"/>
        <v>25</v>
      </c>
      <c r="J79" s="56"/>
      <c r="K79" s="75"/>
      <c r="L79" s="77"/>
      <c r="M79" s="59"/>
      <c r="N79" s="79">
        <v>2567.0</v>
      </c>
      <c r="O79" s="61">
        <v>1763.0</v>
      </c>
      <c r="P79" s="62">
        <v>1675.8</v>
      </c>
      <c r="Q79" s="63">
        <v>1675.8</v>
      </c>
      <c r="R79" s="64">
        <v>1866.0</v>
      </c>
      <c r="S79" s="111">
        <v>1959.0</v>
      </c>
      <c r="T79" s="65">
        <f t="shared" si="2"/>
        <v>313.44</v>
      </c>
      <c r="U79" s="65">
        <f t="shared" si="3"/>
        <v>2272.44</v>
      </c>
      <c r="V79" s="66">
        <f t="shared" si="4"/>
        <v>0.0498392283</v>
      </c>
      <c r="W79" s="67">
        <f t="shared" si="5"/>
        <v>1861.05</v>
      </c>
      <c r="X79" s="67">
        <f t="shared" si="6"/>
        <v>297.768</v>
      </c>
      <c r="Y79" s="67">
        <f t="shared" si="7"/>
        <v>2158.818</v>
      </c>
      <c r="Z79" s="67">
        <f t="shared" si="8"/>
        <v>1763.1</v>
      </c>
      <c r="AA79" s="67">
        <f t="shared" si="9"/>
        <v>282.096</v>
      </c>
      <c r="AB79" s="67">
        <f t="shared" si="10"/>
        <v>2045.196</v>
      </c>
      <c r="AC79" s="67">
        <f t="shared" si="11"/>
        <v>1665.15</v>
      </c>
      <c r="AD79" s="67">
        <f t="shared" si="12"/>
        <v>266.424</v>
      </c>
      <c r="AE79" s="67">
        <f t="shared" si="13"/>
        <v>1931.574</v>
      </c>
      <c r="AF79" s="67">
        <f t="shared" si="14"/>
        <v>1625.97</v>
      </c>
      <c r="AG79" s="67">
        <f t="shared" si="15"/>
        <v>260.1552</v>
      </c>
      <c r="AH79" s="67">
        <f t="shared" si="16"/>
        <v>1886.1252</v>
      </c>
      <c r="AI79" s="67">
        <f t="shared" si="17"/>
        <v>1567.2</v>
      </c>
      <c r="AJ79" s="68">
        <f t="shared" si="20"/>
        <v>250.752</v>
      </c>
      <c r="AK79" s="68">
        <f t="shared" si="21"/>
        <v>1817.952</v>
      </c>
      <c r="AL79" s="70">
        <f>IFERROR(__xludf.DUMMYFUNCTION("""COMPUTED_VALUE"""),1.0)</f>
        <v>1</v>
      </c>
      <c r="AM79" s="70"/>
      <c r="AN79" s="71" t="str">
        <f>IFERROR(__xludf.DUMMYFUNCTION("""COMPUTED_VALUE""")," C")</f>
        <v>C</v>
      </c>
      <c r="AO79" s="71" t="str">
        <f>IFERROR(__xludf.DUMMYFUNCTION("""COMPUTED_VALUE""")," BA35")</f>
        <v>BA35</v>
      </c>
      <c r="AP79" s="71" t="str">
        <f>IFERROR(__xludf.DUMMYFUNCTION("""COMPUTED_VALUE""")," PZA")</f>
        <v>PZA</v>
      </c>
      <c r="AQ79" s="71" t="str">
        <f>IFERROR(__xludf.DUMMYFUNCTION("""COMPUTED_VALUE""")," REF")</f>
        <v>REF</v>
      </c>
      <c r="AR79" s="71" t="str">
        <f>IFERROR(__xludf.DUMMYFUNCTION("""COMPUTED_VALUE""")," BALERO 6207 ZKL/ZVL")</f>
        <v>BALERO 6207 ZKL/ZVL</v>
      </c>
      <c r="AS79" s="71" t="str">
        <f>IFERROR(__xludf.DUMMYFUNCTION("""COMPUTED_VALUE""")," BALERO 6207 ZKL/ZVL")</f>
        <v>BALERO 6207 ZKL/ZVL</v>
      </c>
      <c r="AT79" s="71">
        <f>IFERROR(__xludf.DUMMYFUNCTION("""COMPUTED_VALUE"""),19.0)</f>
        <v>19</v>
      </c>
      <c r="AU79" s="71"/>
      <c r="AV79" s="71"/>
      <c r="AW79" s="71"/>
      <c r="AX79" s="71"/>
      <c r="AY79" s="71">
        <f>IFERROR(__xludf.DUMMYFUNCTION("""COMPUTED_VALUE"""),100.0)</f>
        <v>100</v>
      </c>
      <c r="AZ79" s="71">
        <f>IFERROR(__xludf.DUMMYFUNCTION("""COMPUTED_VALUE"""),108.0)</f>
        <v>108</v>
      </c>
      <c r="BA79" s="71">
        <f>IFERROR(__xludf.DUMMYFUNCTION("""COMPUTED_VALUE"""),116.64000000000001)</f>
        <v>116.64</v>
      </c>
      <c r="BB79" s="71">
        <f>IFERROR(__xludf.DUMMYFUNCTION("""COMPUTED_VALUE"""),116.64000000000001)</f>
        <v>116.64</v>
      </c>
      <c r="BC79" s="71">
        <f>IFERROR(__xludf.DUMMYFUNCTION("""COMPUTED_VALUE"""),123.0)</f>
        <v>123</v>
      </c>
      <c r="BD79" s="71">
        <f>IFERROR(__xludf.DUMMYFUNCTION("""COMPUTED_VALUE"""),129.0)</f>
        <v>129</v>
      </c>
      <c r="BE79" s="71">
        <f>IFERROR(__xludf.DUMMYFUNCTION("""COMPUTED_VALUE"""),20.64)</f>
        <v>20.64</v>
      </c>
      <c r="BF79" s="71">
        <f>IFERROR(__xludf.DUMMYFUNCTION("""COMPUTED_VALUE"""),149.64)</f>
        <v>149.64</v>
      </c>
      <c r="BG79" s="71">
        <f>IFERROR(__xludf.DUMMYFUNCTION("""COMPUTED_VALUE"""),0.04878048780487805)</f>
        <v>0.0487804878</v>
      </c>
      <c r="BH79" s="71">
        <f>IFERROR(__xludf.DUMMYFUNCTION("""COMPUTED_VALUE"""),122.55)</f>
        <v>122.55</v>
      </c>
      <c r="BI79" s="71">
        <f>IFERROR(__xludf.DUMMYFUNCTION("""COMPUTED_VALUE"""),19.608)</f>
        <v>19.608</v>
      </c>
      <c r="BJ79" s="71">
        <f>IFERROR(__xludf.DUMMYFUNCTION("""COMPUTED_VALUE"""),142.158)</f>
        <v>142.158</v>
      </c>
      <c r="BK79" s="71">
        <f>IFERROR(__xludf.DUMMYFUNCTION("""COMPUTED_VALUE"""),116.10000000000001)</f>
        <v>116.1</v>
      </c>
      <c r="BL79" s="71">
        <f>IFERROR(__xludf.DUMMYFUNCTION("""COMPUTED_VALUE"""),18.576)</f>
        <v>18.576</v>
      </c>
      <c r="BM79" s="71">
        <f>IFERROR(__xludf.DUMMYFUNCTION("""COMPUTED_VALUE"""),134.67600000000002)</f>
        <v>134.676</v>
      </c>
      <c r="BN79" s="71">
        <f>IFERROR(__xludf.DUMMYFUNCTION("""COMPUTED_VALUE"""),109.64999999999999)</f>
        <v>109.65</v>
      </c>
      <c r="BO79" s="71">
        <f>IFERROR(__xludf.DUMMYFUNCTION("""COMPUTED_VALUE"""),17.544)</f>
        <v>17.544</v>
      </c>
      <c r="BP79" s="71">
        <f>IFERROR(__xludf.DUMMYFUNCTION("""COMPUTED_VALUE"""),127.19399999999999)</f>
        <v>127.194</v>
      </c>
      <c r="BQ79" s="71">
        <f>IFERROR(__xludf.DUMMYFUNCTION("""COMPUTED_VALUE"""),107.07)</f>
        <v>107.07</v>
      </c>
      <c r="BR79" s="71">
        <f>IFERROR(__xludf.DUMMYFUNCTION("""COMPUTED_VALUE"""),17.1312)</f>
        <v>17.1312</v>
      </c>
      <c r="BS79" s="71">
        <f>IFERROR(__xludf.DUMMYFUNCTION("""COMPUTED_VALUE"""),124.2012)</f>
        <v>124.2012</v>
      </c>
      <c r="BT79" s="71">
        <f>IFERROR(__xludf.DUMMYFUNCTION("""COMPUTED_VALUE"""),103.2)</f>
        <v>103.2</v>
      </c>
      <c r="BU79" s="71">
        <f>IFERROR(__xludf.DUMMYFUNCTION("""COMPUTED_VALUE"""),16.512)</f>
        <v>16.512</v>
      </c>
      <c r="BV79" s="71">
        <f>IFERROR(__xludf.DUMMYFUNCTION("""COMPUTED_VALUE"""),119.712)</f>
        <v>119.712</v>
      </c>
    </row>
    <row r="80">
      <c r="A80" s="53">
        <v>1.0</v>
      </c>
      <c r="B80" s="72"/>
      <c r="C80" s="73" t="s">
        <v>12</v>
      </c>
      <c r="D80" s="74" t="s">
        <v>230</v>
      </c>
      <c r="E80" s="54" t="s">
        <v>220</v>
      </c>
      <c r="F80" s="54" t="s">
        <v>42</v>
      </c>
      <c r="G80" s="88" t="s">
        <v>231</v>
      </c>
      <c r="H80" s="54" t="s">
        <v>232</v>
      </c>
      <c r="I80" s="54">
        <f t="shared" si="1"/>
        <v>21</v>
      </c>
      <c r="J80" s="56"/>
      <c r="K80" s="75"/>
      <c r="L80" s="77"/>
      <c r="M80" s="59"/>
      <c r="N80" s="79">
        <v>540.0</v>
      </c>
      <c r="O80" s="61">
        <v>371.0</v>
      </c>
      <c r="P80" s="62">
        <v>352.8</v>
      </c>
      <c r="Q80" s="63">
        <v>352.8</v>
      </c>
      <c r="R80" s="64">
        <v>393.0</v>
      </c>
      <c r="S80" s="111">
        <v>413.0</v>
      </c>
      <c r="T80" s="65">
        <f t="shared" si="2"/>
        <v>66.08</v>
      </c>
      <c r="U80" s="65">
        <f t="shared" si="3"/>
        <v>479.08</v>
      </c>
      <c r="V80" s="66">
        <f t="shared" si="4"/>
        <v>0.05089058524</v>
      </c>
      <c r="W80" s="67">
        <f t="shared" si="5"/>
        <v>392.35</v>
      </c>
      <c r="X80" s="67">
        <f t="shared" si="6"/>
        <v>62.776</v>
      </c>
      <c r="Y80" s="67">
        <f t="shared" si="7"/>
        <v>455.126</v>
      </c>
      <c r="Z80" s="67">
        <f t="shared" si="8"/>
        <v>371.7</v>
      </c>
      <c r="AA80" s="67">
        <f t="shared" si="9"/>
        <v>59.472</v>
      </c>
      <c r="AB80" s="67">
        <f t="shared" si="10"/>
        <v>431.172</v>
      </c>
      <c r="AC80" s="67">
        <f t="shared" si="11"/>
        <v>351.05</v>
      </c>
      <c r="AD80" s="67">
        <f t="shared" si="12"/>
        <v>56.168</v>
      </c>
      <c r="AE80" s="67">
        <f t="shared" si="13"/>
        <v>407.218</v>
      </c>
      <c r="AF80" s="67">
        <f t="shared" si="14"/>
        <v>342.79</v>
      </c>
      <c r="AG80" s="67">
        <f t="shared" si="15"/>
        <v>54.8464</v>
      </c>
      <c r="AH80" s="67">
        <f t="shared" si="16"/>
        <v>397.6364</v>
      </c>
      <c r="AI80" s="67">
        <f t="shared" si="17"/>
        <v>330.4</v>
      </c>
      <c r="AJ80" s="68">
        <f t="shared" si="20"/>
        <v>52.864</v>
      </c>
      <c r="AK80" s="68">
        <f t="shared" si="21"/>
        <v>383.264</v>
      </c>
      <c r="AL80" s="70">
        <f>IFERROR(__xludf.DUMMYFUNCTION("""COMPUTED_VALUE"""),1.0)</f>
        <v>1</v>
      </c>
      <c r="AM80" s="70"/>
      <c r="AN80" s="71" t="str">
        <f>IFERROR(__xludf.DUMMYFUNCTION("""COMPUTED_VALUE""")," C")</f>
        <v>C</v>
      </c>
      <c r="AO80" s="71" t="str">
        <f>IFERROR(__xludf.DUMMYFUNCTION("""COMPUTED_VALUE""")," BA45")</f>
        <v>BA45</v>
      </c>
      <c r="AP80" s="71" t="str">
        <f>IFERROR(__xludf.DUMMYFUNCTION("""COMPUTED_VALUE""")," PZA")</f>
        <v>PZA</v>
      </c>
      <c r="AQ80" s="71" t="str">
        <f>IFERROR(__xludf.DUMMYFUNCTION("""COMPUTED_VALUE""")," REF")</f>
        <v>REF</v>
      </c>
      <c r="AR80" s="71" t="str">
        <f>IFERROR(__xludf.DUMMYFUNCTION("""COMPUTED_VALUE""")," BALERO 6207 ZZ ZKL/ZVL")</f>
        <v>BALERO 6207 ZZ ZKL/ZVL</v>
      </c>
      <c r="AS80" s="71" t="str">
        <f>IFERROR(__xludf.DUMMYFUNCTION("""COMPUTED_VALUE""")," BALERO 6207 ZZ ZKL/ZVL")</f>
        <v>BALERO 6207 ZZ ZKL/ZVL</v>
      </c>
      <c r="AT80" s="71">
        <f>IFERROR(__xludf.DUMMYFUNCTION("""COMPUTED_VALUE"""),22.0)</f>
        <v>22</v>
      </c>
      <c r="AU80" s="71"/>
      <c r="AV80" s="71"/>
      <c r="AW80" s="71"/>
      <c r="AX80" s="71"/>
      <c r="AY80" s="71">
        <f>IFERROR(__xludf.DUMMYFUNCTION("""COMPUTED_VALUE"""),192.0)</f>
        <v>192</v>
      </c>
      <c r="AZ80" s="71">
        <f>IFERROR(__xludf.DUMMYFUNCTION("""COMPUTED_VALUE"""),207.0)</f>
        <v>207</v>
      </c>
      <c r="BA80" s="71">
        <f>IFERROR(__xludf.DUMMYFUNCTION("""COMPUTED_VALUE"""),223.56)</f>
        <v>223.56</v>
      </c>
      <c r="BB80" s="71">
        <f>IFERROR(__xludf.DUMMYFUNCTION("""COMPUTED_VALUE"""),223.56)</f>
        <v>223.56</v>
      </c>
      <c r="BC80" s="71">
        <f>IFERROR(__xludf.DUMMYFUNCTION("""COMPUTED_VALUE"""),236.0)</f>
        <v>236</v>
      </c>
      <c r="BD80" s="71">
        <f>IFERROR(__xludf.DUMMYFUNCTION("""COMPUTED_VALUE"""),248.0)</f>
        <v>248</v>
      </c>
      <c r="BE80" s="71">
        <f>IFERROR(__xludf.DUMMYFUNCTION("""COMPUTED_VALUE"""),39.68)</f>
        <v>39.68</v>
      </c>
      <c r="BF80" s="71">
        <f>IFERROR(__xludf.DUMMYFUNCTION("""COMPUTED_VALUE"""),287.68)</f>
        <v>287.68</v>
      </c>
      <c r="BG80" s="71">
        <f>IFERROR(__xludf.DUMMYFUNCTION("""COMPUTED_VALUE"""),0.05084745762711865)</f>
        <v>0.05084745763</v>
      </c>
      <c r="BH80" s="71">
        <f>IFERROR(__xludf.DUMMYFUNCTION("""COMPUTED_VALUE"""),235.6)</f>
        <v>235.6</v>
      </c>
      <c r="BI80" s="71">
        <f>IFERROR(__xludf.DUMMYFUNCTION("""COMPUTED_VALUE"""),37.696)</f>
        <v>37.696</v>
      </c>
      <c r="BJ80" s="71">
        <f>IFERROR(__xludf.DUMMYFUNCTION("""COMPUTED_VALUE"""),273.296)</f>
        <v>273.296</v>
      </c>
      <c r="BK80" s="71">
        <f>IFERROR(__xludf.DUMMYFUNCTION("""COMPUTED_VALUE"""),223.20000000000002)</f>
        <v>223.2</v>
      </c>
      <c r="BL80" s="71">
        <f>IFERROR(__xludf.DUMMYFUNCTION("""COMPUTED_VALUE"""),35.712)</f>
        <v>35.712</v>
      </c>
      <c r="BM80" s="71">
        <f>IFERROR(__xludf.DUMMYFUNCTION("""COMPUTED_VALUE"""),258.91200000000003)</f>
        <v>258.912</v>
      </c>
      <c r="BN80" s="71">
        <f>IFERROR(__xludf.DUMMYFUNCTION("""COMPUTED_VALUE"""),210.79999999999998)</f>
        <v>210.8</v>
      </c>
      <c r="BO80" s="71">
        <f>IFERROR(__xludf.DUMMYFUNCTION("""COMPUTED_VALUE"""),33.727999999999994)</f>
        <v>33.728</v>
      </c>
      <c r="BP80" s="71">
        <f>IFERROR(__xludf.DUMMYFUNCTION("""COMPUTED_VALUE"""),244.52799999999996)</f>
        <v>244.528</v>
      </c>
      <c r="BQ80" s="71">
        <f>IFERROR(__xludf.DUMMYFUNCTION("""COMPUTED_VALUE"""),205.84)</f>
        <v>205.84</v>
      </c>
      <c r="BR80" s="71">
        <f>IFERROR(__xludf.DUMMYFUNCTION("""COMPUTED_VALUE"""),32.934400000000004)</f>
        <v>32.9344</v>
      </c>
      <c r="BS80" s="71">
        <f>IFERROR(__xludf.DUMMYFUNCTION("""COMPUTED_VALUE"""),238.7744)</f>
        <v>238.7744</v>
      </c>
      <c r="BT80" s="71">
        <f>IFERROR(__xludf.DUMMYFUNCTION("""COMPUTED_VALUE"""),198.4)</f>
        <v>198.4</v>
      </c>
      <c r="BU80" s="71">
        <f>IFERROR(__xludf.DUMMYFUNCTION("""COMPUTED_VALUE"""),31.744000000000003)</f>
        <v>31.744</v>
      </c>
      <c r="BV80" s="71">
        <f>IFERROR(__xludf.DUMMYFUNCTION("""COMPUTED_VALUE"""),230.144)</f>
        <v>230.144</v>
      </c>
    </row>
    <row r="81">
      <c r="A81" s="53">
        <v>1.0</v>
      </c>
      <c r="B81" s="72"/>
      <c r="C81" s="73" t="s">
        <v>12</v>
      </c>
      <c r="D81" s="74" t="s">
        <v>233</v>
      </c>
      <c r="E81" s="54" t="s">
        <v>224</v>
      </c>
      <c r="F81" s="54" t="s">
        <v>42</v>
      </c>
      <c r="G81" s="88" t="s">
        <v>234</v>
      </c>
      <c r="H81" s="54" t="s">
        <v>235</v>
      </c>
      <c r="I81" s="54">
        <f t="shared" si="1"/>
        <v>21</v>
      </c>
      <c r="J81" s="56"/>
      <c r="K81" s="75"/>
      <c r="L81" s="77"/>
      <c r="M81" s="59"/>
      <c r="N81" s="79">
        <v>144.0</v>
      </c>
      <c r="O81" s="61">
        <v>93.0</v>
      </c>
      <c r="P81" s="62">
        <v>88.2</v>
      </c>
      <c r="Q81" s="63">
        <v>88.2</v>
      </c>
      <c r="R81" s="64">
        <v>99.0</v>
      </c>
      <c r="S81" s="111">
        <v>104.0</v>
      </c>
      <c r="T81" s="65">
        <f t="shared" si="2"/>
        <v>16.64</v>
      </c>
      <c r="U81" s="65">
        <f t="shared" si="3"/>
        <v>120.64</v>
      </c>
      <c r="V81" s="66">
        <f t="shared" si="4"/>
        <v>0.05050505051</v>
      </c>
      <c r="W81" s="67">
        <f t="shared" si="5"/>
        <v>98.8</v>
      </c>
      <c r="X81" s="67">
        <f t="shared" si="6"/>
        <v>15.808</v>
      </c>
      <c r="Y81" s="67">
        <f t="shared" si="7"/>
        <v>114.608</v>
      </c>
      <c r="Z81" s="67">
        <f t="shared" si="8"/>
        <v>93.6</v>
      </c>
      <c r="AA81" s="67">
        <f t="shared" si="9"/>
        <v>14.976</v>
      </c>
      <c r="AB81" s="67">
        <f t="shared" si="10"/>
        <v>108.576</v>
      </c>
      <c r="AC81" s="67">
        <f t="shared" si="11"/>
        <v>88.4</v>
      </c>
      <c r="AD81" s="67">
        <f t="shared" si="12"/>
        <v>14.144</v>
      </c>
      <c r="AE81" s="67">
        <f t="shared" si="13"/>
        <v>102.544</v>
      </c>
      <c r="AF81" s="67">
        <f t="shared" si="14"/>
        <v>86.32</v>
      </c>
      <c r="AG81" s="67">
        <f t="shared" si="15"/>
        <v>13.8112</v>
      </c>
      <c r="AH81" s="67">
        <f t="shared" si="16"/>
        <v>100.1312</v>
      </c>
      <c r="AI81" s="67">
        <f t="shared" si="17"/>
        <v>83.2</v>
      </c>
      <c r="AJ81" s="68">
        <f t="shared" si="20"/>
        <v>13.312</v>
      </c>
      <c r="AK81" s="68">
        <f t="shared" si="21"/>
        <v>96.512</v>
      </c>
      <c r="AL81" s="70">
        <f>IFERROR(__xludf.DUMMYFUNCTION("""COMPUTED_VALUE"""),1.0)</f>
        <v>1</v>
      </c>
      <c r="AM81" s="70"/>
      <c r="AN81" s="71" t="str">
        <f>IFERROR(__xludf.DUMMYFUNCTION("""COMPUTED_VALUE""")," C")</f>
        <v>C</v>
      </c>
      <c r="AO81" s="71" t="str">
        <f>IFERROR(__xludf.DUMMYFUNCTION("""COMPUTED_VALUE""")," BA56")</f>
        <v>BA56</v>
      </c>
      <c r="AP81" s="71" t="str">
        <f>IFERROR(__xludf.DUMMYFUNCTION("""COMPUTED_VALUE""")," PZA")</f>
        <v>PZA</v>
      </c>
      <c r="AQ81" s="71" t="str">
        <f>IFERROR(__xludf.DUMMYFUNCTION("""COMPUTED_VALUE""")," REF")</f>
        <v>REF</v>
      </c>
      <c r="AR81" s="71" t="str">
        <f>IFERROR(__xludf.DUMMYFUNCTION("""COMPUTED_VALUE""")," BALERO 6210 MULTIMARCA")</f>
        <v>BALERO 6210 MULTIMARCA</v>
      </c>
      <c r="AS81" s="71" t="str">
        <f>IFERROR(__xludf.DUMMYFUNCTION("""COMPUTED_VALUE""")," BALERO 6210 MULTIMARCA")</f>
        <v>BALERO 6210 MULTIMARCA</v>
      </c>
      <c r="AT81" s="71">
        <f>IFERROR(__xludf.DUMMYFUNCTION("""COMPUTED_VALUE"""),22.0)</f>
        <v>22</v>
      </c>
      <c r="AU81" s="71"/>
      <c r="AV81" s="71"/>
      <c r="AW81" s="71"/>
      <c r="AX81" s="71"/>
      <c r="AY81" s="71">
        <f>IFERROR(__xludf.DUMMYFUNCTION("""COMPUTED_VALUE"""),134.0)</f>
        <v>134</v>
      </c>
      <c r="AZ81" s="71">
        <f>IFERROR(__xludf.DUMMYFUNCTION("""COMPUTED_VALUE"""),144.0)</f>
        <v>144</v>
      </c>
      <c r="BA81" s="71">
        <f>IFERROR(__xludf.DUMMYFUNCTION("""COMPUTED_VALUE"""),155.52)</f>
        <v>155.52</v>
      </c>
      <c r="BB81" s="71">
        <f>IFERROR(__xludf.DUMMYFUNCTION("""COMPUTED_VALUE"""),155.52)</f>
        <v>155.52</v>
      </c>
      <c r="BC81" s="71">
        <f>IFERROR(__xludf.DUMMYFUNCTION("""COMPUTED_VALUE"""),164.0)</f>
        <v>164</v>
      </c>
      <c r="BD81" s="71">
        <f>IFERROR(__xludf.DUMMYFUNCTION("""COMPUTED_VALUE"""),172.0)</f>
        <v>172</v>
      </c>
      <c r="BE81" s="71">
        <f>IFERROR(__xludf.DUMMYFUNCTION("""COMPUTED_VALUE"""),27.52)</f>
        <v>27.52</v>
      </c>
      <c r="BF81" s="71">
        <f>IFERROR(__xludf.DUMMYFUNCTION("""COMPUTED_VALUE"""),199.52)</f>
        <v>199.52</v>
      </c>
      <c r="BG81" s="71">
        <f>IFERROR(__xludf.DUMMYFUNCTION("""COMPUTED_VALUE"""),0.04878048780487805)</f>
        <v>0.0487804878</v>
      </c>
      <c r="BH81" s="71">
        <f>IFERROR(__xludf.DUMMYFUNCTION("""COMPUTED_VALUE"""),163.4)</f>
        <v>163.4</v>
      </c>
      <c r="BI81" s="71">
        <f>IFERROR(__xludf.DUMMYFUNCTION("""COMPUTED_VALUE"""),26.144000000000002)</f>
        <v>26.144</v>
      </c>
      <c r="BJ81" s="71">
        <f>IFERROR(__xludf.DUMMYFUNCTION("""COMPUTED_VALUE"""),189.544)</f>
        <v>189.544</v>
      </c>
      <c r="BK81" s="71">
        <f>IFERROR(__xludf.DUMMYFUNCTION("""COMPUTED_VALUE"""),154.8)</f>
        <v>154.8</v>
      </c>
      <c r="BL81" s="71">
        <f>IFERROR(__xludf.DUMMYFUNCTION("""COMPUTED_VALUE"""),24.768)</f>
        <v>24.768</v>
      </c>
      <c r="BM81" s="71">
        <f>IFERROR(__xludf.DUMMYFUNCTION("""COMPUTED_VALUE"""),179.568)</f>
        <v>179.568</v>
      </c>
      <c r="BN81" s="71">
        <f>IFERROR(__xludf.DUMMYFUNCTION("""COMPUTED_VALUE"""),146.2)</f>
        <v>146.2</v>
      </c>
      <c r="BO81" s="71">
        <f>IFERROR(__xludf.DUMMYFUNCTION("""COMPUTED_VALUE"""),23.392)</f>
        <v>23.392</v>
      </c>
      <c r="BP81" s="71">
        <f>IFERROR(__xludf.DUMMYFUNCTION("""COMPUTED_VALUE"""),169.59199999999998)</f>
        <v>169.592</v>
      </c>
      <c r="BQ81" s="71">
        <f>IFERROR(__xludf.DUMMYFUNCTION("""COMPUTED_VALUE"""),142.76)</f>
        <v>142.76</v>
      </c>
      <c r="BR81" s="71">
        <f>IFERROR(__xludf.DUMMYFUNCTION("""COMPUTED_VALUE"""),22.8416)</f>
        <v>22.8416</v>
      </c>
      <c r="BS81" s="71">
        <f>IFERROR(__xludf.DUMMYFUNCTION("""COMPUTED_VALUE"""),165.6016)</f>
        <v>165.6016</v>
      </c>
      <c r="BT81" s="71">
        <f>IFERROR(__xludf.DUMMYFUNCTION("""COMPUTED_VALUE"""),137.6)</f>
        <v>137.6</v>
      </c>
      <c r="BU81" s="71">
        <f>IFERROR(__xludf.DUMMYFUNCTION("""COMPUTED_VALUE"""),22.016)</f>
        <v>22.016</v>
      </c>
      <c r="BV81" s="71">
        <f>IFERROR(__xludf.DUMMYFUNCTION("""COMPUTED_VALUE"""),159.61599999999999)</f>
        <v>159.616</v>
      </c>
    </row>
    <row r="82">
      <c r="A82" s="53">
        <v>1.0</v>
      </c>
      <c r="B82" s="72"/>
      <c r="C82" s="73" t="s">
        <v>12</v>
      </c>
      <c r="D82" s="74" t="s">
        <v>236</v>
      </c>
      <c r="E82" s="54" t="s">
        <v>216</v>
      </c>
      <c r="F82" s="54" t="s">
        <v>42</v>
      </c>
      <c r="G82" s="88" t="s">
        <v>237</v>
      </c>
      <c r="H82" s="54" t="s">
        <v>238</v>
      </c>
      <c r="I82" s="54">
        <f t="shared" si="1"/>
        <v>36</v>
      </c>
      <c r="J82" s="56"/>
      <c r="K82" s="75"/>
      <c r="L82" s="77"/>
      <c r="M82" s="59"/>
      <c r="N82" s="79">
        <v>4820.0</v>
      </c>
      <c r="O82" s="61">
        <v>3739.0</v>
      </c>
      <c r="P82" s="62">
        <v>2907.0</v>
      </c>
      <c r="Q82" s="63">
        <v>2907.0</v>
      </c>
      <c r="R82" s="64">
        <v>3237.0</v>
      </c>
      <c r="S82" s="111">
        <v>3399.0</v>
      </c>
      <c r="T82" s="65">
        <f t="shared" si="2"/>
        <v>543.84</v>
      </c>
      <c r="U82" s="65">
        <f t="shared" si="3"/>
        <v>3942.84</v>
      </c>
      <c r="V82" s="66">
        <f t="shared" si="4"/>
        <v>0.0500463392</v>
      </c>
      <c r="W82" s="67">
        <f t="shared" si="5"/>
        <v>3229.05</v>
      </c>
      <c r="X82" s="67">
        <f t="shared" si="6"/>
        <v>516.648</v>
      </c>
      <c r="Y82" s="67">
        <f t="shared" si="7"/>
        <v>3745.698</v>
      </c>
      <c r="Z82" s="67">
        <f t="shared" si="8"/>
        <v>3059.1</v>
      </c>
      <c r="AA82" s="67">
        <f t="shared" si="9"/>
        <v>489.456</v>
      </c>
      <c r="AB82" s="67">
        <f t="shared" si="10"/>
        <v>3548.556</v>
      </c>
      <c r="AC82" s="67">
        <f t="shared" si="11"/>
        <v>2889.15</v>
      </c>
      <c r="AD82" s="67">
        <f t="shared" si="12"/>
        <v>462.264</v>
      </c>
      <c r="AE82" s="67">
        <f t="shared" si="13"/>
        <v>3351.414</v>
      </c>
      <c r="AF82" s="67">
        <f t="shared" si="14"/>
        <v>2821.17</v>
      </c>
      <c r="AG82" s="67">
        <f t="shared" si="15"/>
        <v>451.3872</v>
      </c>
      <c r="AH82" s="67">
        <f t="shared" si="16"/>
        <v>3272.5572</v>
      </c>
      <c r="AI82" s="67">
        <f t="shared" si="17"/>
        <v>2719.2</v>
      </c>
      <c r="AJ82" s="68">
        <f t="shared" si="20"/>
        <v>435.072</v>
      </c>
      <c r="AK82" s="68">
        <f t="shared" si="21"/>
        <v>3154.272</v>
      </c>
      <c r="AL82" s="70">
        <f>IFERROR(__xludf.DUMMYFUNCTION("""COMPUTED_VALUE"""),1.0)</f>
        <v>1</v>
      </c>
      <c r="AM82" s="70"/>
      <c r="AN82" s="71" t="str">
        <f>IFERROR(__xludf.DUMMYFUNCTION("""COMPUTED_VALUE""")," C")</f>
        <v>C</v>
      </c>
      <c r="AO82" s="71" t="str">
        <f>IFERROR(__xludf.DUMMYFUNCTION("""COMPUTED_VALUE""")," BA12")</f>
        <v>BA12</v>
      </c>
      <c r="AP82" s="71" t="str">
        <f>IFERROR(__xludf.DUMMYFUNCTION("""COMPUTED_VALUE""")," PZA")</f>
        <v>PZA</v>
      </c>
      <c r="AQ82" s="71" t="str">
        <f>IFERROR(__xludf.DUMMYFUNCTION("""COMPUTED_VALUE""")," REF")</f>
        <v>REF</v>
      </c>
      <c r="AR82" s="71" t="str">
        <f>IFERROR(__xludf.DUMMYFUNCTION("""COMPUTED_VALUE""")," BALERO 6210 ZKL/ZVL")</f>
        <v>BALERO 6210 ZKL/ZVL</v>
      </c>
      <c r="AS82" s="71" t="str">
        <f>IFERROR(__xludf.DUMMYFUNCTION("""COMPUTED_VALUE""")," BALERO 6210 ZKL/ZVL")</f>
        <v>BALERO 6210 ZKL/ZVL</v>
      </c>
      <c r="AT82" s="71">
        <f>IFERROR(__xludf.DUMMYFUNCTION("""COMPUTED_VALUE"""),19.0)</f>
        <v>19</v>
      </c>
      <c r="AU82" s="71"/>
      <c r="AV82" s="71"/>
      <c r="AW82" s="71"/>
      <c r="AX82" s="71"/>
      <c r="AY82" s="71">
        <f>IFERROR(__xludf.DUMMYFUNCTION("""COMPUTED_VALUE"""),215.0)</f>
        <v>215</v>
      </c>
      <c r="AZ82" s="71">
        <f>IFERROR(__xludf.DUMMYFUNCTION("""COMPUTED_VALUE"""),232.0)</f>
        <v>232</v>
      </c>
      <c r="BA82" s="71">
        <f>IFERROR(__xludf.DUMMYFUNCTION("""COMPUTED_VALUE"""),250.56)</f>
        <v>250.56</v>
      </c>
      <c r="BB82" s="71">
        <f>IFERROR(__xludf.DUMMYFUNCTION("""COMPUTED_VALUE"""),250.56)</f>
        <v>250.56</v>
      </c>
      <c r="BC82" s="71">
        <f>IFERROR(__xludf.DUMMYFUNCTION("""COMPUTED_VALUE"""),280.0)</f>
        <v>280</v>
      </c>
      <c r="BD82" s="71">
        <f>IFERROR(__xludf.DUMMYFUNCTION("""COMPUTED_VALUE"""),294.0)</f>
        <v>294</v>
      </c>
      <c r="BE82" s="71">
        <f>IFERROR(__xludf.DUMMYFUNCTION("""COMPUTED_VALUE"""),47.04)</f>
        <v>47.04</v>
      </c>
      <c r="BF82" s="71">
        <f>IFERROR(__xludf.DUMMYFUNCTION("""COMPUTED_VALUE"""),341.04)</f>
        <v>341.04</v>
      </c>
      <c r="BG82" s="71">
        <f>IFERROR(__xludf.DUMMYFUNCTION("""COMPUTED_VALUE"""),0.05)</f>
        <v>0.05</v>
      </c>
      <c r="BH82" s="71">
        <f>IFERROR(__xludf.DUMMYFUNCTION("""COMPUTED_VALUE"""),279.3)</f>
        <v>279.3</v>
      </c>
      <c r="BI82" s="71">
        <f>IFERROR(__xludf.DUMMYFUNCTION("""COMPUTED_VALUE"""),44.688)</f>
        <v>44.688</v>
      </c>
      <c r="BJ82" s="71">
        <f>IFERROR(__xludf.DUMMYFUNCTION("""COMPUTED_VALUE"""),323.988)</f>
        <v>323.988</v>
      </c>
      <c r="BK82" s="71">
        <f>IFERROR(__xludf.DUMMYFUNCTION("""COMPUTED_VALUE"""),264.6)</f>
        <v>264.6</v>
      </c>
      <c r="BL82" s="71">
        <f>IFERROR(__xludf.DUMMYFUNCTION("""COMPUTED_VALUE"""),42.336000000000006)</f>
        <v>42.336</v>
      </c>
      <c r="BM82" s="71">
        <f>IFERROR(__xludf.DUMMYFUNCTION("""COMPUTED_VALUE"""),306.93600000000004)</f>
        <v>306.936</v>
      </c>
      <c r="BN82" s="71">
        <f>IFERROR(__xludf.DUMMYFUNCTION("""COMPUTED_VALUE"""),249.9)</f>
        <v>249.9</v>
      </c>
      <c r="BO82" s="71">
        <f>IFERROR(__xludf.DUMMYFUNCTION("""COMPUTED_VALUE"""),39.984)</f>
        <v>39.984</v>
      </c>
      <c r="BP82" s="71">
        <f>IFERROR(__xludf.DUMMYFUNCTION("""COMPUTED_VALUE"""),289.884)</f>
        <v>289.884</v>
      </c>
      <c r="BQ82" s="71">
        <f>IFERROR(__xludf.DUMMYFUNCTION("""COMPUTED_VALUE"""),244.01999999999998)</f>
        <v>244.02</v>
      </c>
      <c r="BR82" s="71">
        <f>IFERROR(__xludf.DUMMYFUNCTION("""COMPUTED_VALUE"""),39.0432)</f>
        <v>39.0432</v>
      </c>
      <c r="BS82" s="71">
        <f>IFERROR(__xludf.DUMMYFUNCTION("""COMPUTED_VALUE"""),283.0632)</f>
        <v>283.0632</v>
      </c>
      <c r="BT82" s="71">
        <f>IFERROR(__xludf.DUMMYFUNCTION("""COMPUTED_VALUE"""),235.20000000000002)</f>
        <v>235.2</v>
      </c>
      <c r="BU82" s="71">
        <f>IFERROR(__xludf.DUMMYFUNCTION("""COMPUTED_VALUE"""),37.632000000000005)</f>
        <v>37.632</v>
      </c>
      <c r="BV82" s="71">
        <f>IFERROR(__xludf.DUMMYFUNCTION("""COMPUTED_VALUE"""),272.832)</f>
        <v>272.832</v>
      </c>
    </row>
    <row r="83">
      <c r="A83" s="53">
        <v>1.0</v>
      </c>
      <c r="B83" s="72"/>
      <c r="C83" s="73" t="s">
        <v>12</v>
      </c>
      <c r="D83" s="74" t="s">
        <v>239</v>
      </c>
      <c r="E83" s="54" t="s">
        <v>220</v>
      </c>
      <c r="F83" s="54" t="s">
        <v>42</v>
      </c>
      <c r="G83" s="88" t="s">
        <v>240</v>
      </c>
      <c r="H83" s="54" t="s">
        <v>241</v>
      </c>
      <c r="I83" s="54">
        <f t="shared" si="1"/>
        <v>32</v>
      </c>
      <c r="J83" s="56"/>
      <c r="K83" s="75"/>
      <c r="L83" s="77"/>
      <c r="M83" s="59"/>
      <c r="N83" s="79">
        <v>1055.0</v>
      </c>
      <c r="O83" s="61">
        <v>787.0</v>
      </c>
      <c r="P83" s="62">
        <v>612.0</v>
      </c>
      <c r="Q83" s="63">
        <v>612.0</v>
      </c>
      <c r="R83" s="64">
        <v>682.0</v>
      </c>
      <c r="S83" s="111">
        <v>716.0</v>
      </c>
      <c r="T83" s="65">
        <f t="shared" si="2"/>
        <v>114.56</v>
      </c>
      <c r="U83" s="65">
        <f t="shared" si="3"/>
        <v>830.56</v>
      </c>
      <c r="V83" s="66">
        <f t="shared" si="4"/>
        <v>0.04985337243</v>
      </c>
      <c r="W83" s="67">
        <f t="shared" si="5"/>
        <v>680.2</v>
      </c>
      <c r="X83" s="67">
        <f t="shared" si="6"/>
        <v>108.832</v>
      </c>
      <c r="Y83" s="67">
        <f t="shared" si="7"/>
        <v>789.032</v>
      </c>
      <c r="Z83" s="67">
        <f t="shared" si="8"/>
        <v>644.4</v>
      </c>
      <c r="AA83" s="67">
        <f t="shared" si="9"/>
        <v>103.104</v>
      </c>
      <c r="AB83" s="67">
        <f t="shared" si="10"/>
        <v>747.504</v>
      </c>
      <c r="AC83" s="67">
        <f t="shared" si="11"/>
        <v>608.6</v>
      </c>
      <c r="AD83" s="67">
        <f t="shared" si="12"/>
        <v>97.376</v>
      </c>
      <c r="AE83" s="67">
        <f t="shared" si="13"/>
        <v>705.976</v>
      </c>
      <c r="AF83" s="67">
        <f t="shared" si="14"/>
        <v>594.28</v>
      </c>
      <c r="AG83" s="67">
        <f t="shared" si="15"/>
        <v>95.0848</v>
      </c>
      <c r="AH83" s="67">
        <f t="shared" si="16"/>
        <v>689.3648</v>
      </c>
      <c r="AI83" s="67">
        <f t="shared" si="17"/>
        <v>572.8</v>
      </c>
      <c r="AJ83" s="68">
        <f t="shared" si="20"/>
        <v>91.648</v>
      </c>
      <c r="AK83" s="68">
        <f t="shared" si="21"/>
        <v>664.448</v>
      </c>
      <c r="AL83" s="70">
        <f>IFERROR(__xludf.DUMMYFUNCTION("""COMPUTED_VALUE"""),1.0)</f>
        <v>1</v>
      </c>
      <c r="AM83" s="70"/>
      <c r="AN83" s="71" t="str">
        <f>IFERROR(__xludf.DUMMYFUNCTION("""COMPUTED_VALUE""")," C")</f>
        <v>C</v>
      </c>
      <c r="AO83" s="71" t="str">
        <f>IFERROR(__xludf.DUMMYFUNCTION("""COMPUTED_VALUE""")," BA13")</f>
        <v>BA13</v>
      </c>
      <c r="AP83" s="71" t="str">
        <f>IFERROR(__xludf.DUMMYFUNCTION("""COMPUTED_VALUE""")," PZA")</f>
        <v>PZA</v>
      </c>
      <c r="AQ83" s="71" t="str">
        <f>IFERROR(__xludf.DUMMYFUNCTION("""COMPUTED_VALUE""")," REF")</f>
        <v>REF</v>
      </c>
      <c r="AR83" s="71" t="str">
        <f>IFERROR(__xludf.DUMMYFUNCTION("""COMPUTED_VALUE""")," BALERO 6303 ZKL/ZVL")</f>
        <v>BALERO 6303 ZKL/ZVL</v>
      </c>
      <c r="AS83" s="71" t="str">
        <f>IFERROR(__xludf.DUMMYFUNCTION("""COMPUTED_VALUE""")," BALERO 6303 ZKL/ZVL")</f>
        <v>BALERO 6303 ZKL/ZVL</v>
      </c>
      <c r="AT83" s="71">
        <f>IFERROR(__xludf.DUMMYFUNCTION("""COMPUTED_VALUE"""),19.0)</f>
        <v>19</v>
      </c>
      <c r="AU83" s="71"/>
      <c r="AV83" s="71"/>
      <c r="AW83" s="71"/>
      <c r="AX83" s="71"/>
      <c r="AY83" s="71">
        <f>IFERROR(__xludf.DUMMYFUNCTION("""COMPUTED_VALUE"""),69.0)</f>
        <v>69</v>
      </c>
      <c r="AZ83" s="71">
        <f>IFERROR(__xludf.DUMMYFUNCTION("""COMPUTED_VALUE"""),74.0)</f>
        <v>74</v>
      </c>
      <c r="BA83" s="71">
        <f>IFERROR(__xludf.DUMMYFUNCTION("""COMPUTED_VALUE"""),79.92)</f>
        <v>79.92</v>
      </c>
      <c r="BB83" s="71">
        <f>IFERROR(__xludf.DUMMYFUNCTION("""COMPUTED_VALUE"""),79.92)</f>
        <v>79.92</v>
      </c>
      <c r="BC83" s="71">
        <f>IFERROR(__xludf.DUMMYFUNCTION("""COMPUTED_VALUE"""),90.0)</f>
        <v>90</v>
      </c>
      <c r="BD83" s="71">
        <f>IFERROR(__xludf.DUMMYFUNCTION("""COMPUTED_VALUE"""),95.0)</f>
        <v>95</v>
      </c>
      <c r="BE83" s="71">
        <f>IFERROR(__xludf.DUMMYFUNCTION("""COMPUTED_VALUE"""),15.200000000000001)</f>
        <v>15.2</v>
      </c>
      <c r="BF83" s="71">
        <f>IFERROR(__xludf.DUMMYFUNCTION("""COMPUTED_VALUE"""),110.2)</f>
        <v>110.2</v>
      </c>
      <c r="BG83" s="71">
        <f>IFERROR(__xludf.DUMMYFUNCTION("""COMPUTED_VALUE"""),0.05555555555555555)</f>
        <v>0.05555555556</v>
      </c>
      <c r="BH83" s="71">
        <f>IFERROR(__xludf.DUMMYFUNCTION("""COMPUTED_VALUE"""),90.25)</f>
        <v>90.25</v>
      </c>
      <c r="BI83" s="71">
        <f>IFERROR(__xludf.DUMMYFUNCTION("""COMPUTED_VALUE"""),14.44)</f>
        <v>14.44</v>
      </c>
      <c r="BJ83" s="71">
        <f>IFERROR(__xludf.DUMMYFUNCTION("""COMPUTED_VALUE"""),104.69)</f>
        <v>104.69</v>
      </c>
      <c r="BK83" s="71">
        <f>IFERROR(__xludf.DUMMYFUNCTION("""COMPUTED_VALUE"""),85.5)</f>
        <v>85.5</v>
      </c>
      <c r="BL83" s="71">
        <f>IFERROR(__xludf.DUMMYFUNCTION("""COMPUTED_VALUE"""),13.68)</f>
        <v>13.68</v>
      </c>
      <c r="BM83" s="71">
        <f>IFERROR(__xludf.DUMMYFUNCTION("""COMPUTED_VALUE"""),99.18)</f>
        <v>99.18</v>
      </c>
      <c r="BN83" s="71">
        <f>IFERROR(__xludf.DUMMYFUNCTION("""COMPUTED_VALUE"""),80.75)</f>
        <v>80.75</v>
      </c>
      <c r="BO83" s="71">
        <f>IFERROR(__xludf.DUMMYFUNCTION("""COMPUTED_VALUE"""),12.92)</f>
        <v>12.92</v>
      </c>
      <c r="BP83" s="71">
        <f>IFERROR(__xludf.DUMMYFUNCTION("""COMPUTED_VALUE"""),93.67)</f>
        <v>93.67</v>
      </c>
      <c r="BQ83" s="71">
        <f>IFERROR(__xludf.DUMMYFUNCTION("""COMPUTED_VALUE"""),78.85)</f>
        <v>78.85</v>
      </c>
      <c r="BR83" s="71">
        <f>IFERROR(__xludf.DUMMYFUNCTION("""COMPUTED_VALUE"""),12.616)</f>
        <v>12.616</v>
      </c>
      <c r="BS83" s="71">
        <f>IFERROR(__xludf.DUMMYFUNCTION("""COMPUTED_VALUE"""),91.466)</f>
        <v>91.466</v>
      </c>
      <c r="BT83" s="71">
        <f>IFERROR(__xludf.DUMMYFUNCTION("""COMPUTED_VALUE"""),76.0)</f>
        <v>76</v>
      </c>
      <c r="BU83" s="71">
        <f>IFERROR(__xludf.DUMMYFUNCTION("""COMPUTED_VALUE"""),12.16)</f>
        <v>12.16</v>
      </c>
      <c r="BV83" s="71">
        <f>IFERROR(__xludf.DUMMYFUNCTION("""COMPUTED_VALUE"""),88.16)</f>
        <v>88.16</v>
      </c>
    </row>
    <row r="84">
      <c r="A84" s="53">
        <v>1.0</v>
      </c>
      <c r="B84" s="72"/>
      <c r="C84" s="73" t="s">
        <v>12</v>
      </c>
      <c r="D84" s="74" t="s">
        <v>242</v>
      </c>
      <c r="E84" s="54" t="s">
        <v>224</v>
      </c>
      <c r="F84" s="54" t="s">
        <v>42</v>
      </c>
      <c r="G84" s="88" t="s">
        <v>243</v>
      </c>
      <c r="H84" s="54" t="s">
        <v>244</v>
      </c>
      <c r="I84" s="54">
        <f t="shared" si="1"/>
        <v>32</v>
      </c>
      <c r="J84" s="56"/>
      <c r="K84" s="75"/>
      <c r="L84" s="77"/>
      <c r="M84" s="59"/>
      <c r="N84" s="79">
        <v>254.0</v>
      </c>
      <c r="O84" s="61">
        <v>197.0</v>
      </c>
      <c r="P84" s="62">
        <v>153.0</v>
      </c>
      <c r="Q84" s="63">
        <v>153.0</v>
      </c>
      <c r="R84" s="64">
        <v>172.0</v>
      </c>
      <c r="S84" s="111">
        <v>181.0</v>
      </c>
      <c r="T84" s="65">
        <f t="shared" si="2"/>
        <v>28.96</v>
      </c>
      <c r="U84" s="65">
        <f t="shared" si="3"/>
        <v>209.96</v>
      </c>
      <c r="V84" s="66">
        <f t="shared" si="4"/>
        <v>0.0523255814</v>
      </c>
      <c r="W84" s="67">
        <f t="shared" si="5"/>
        <v>171.95</v>
      </c>
      <c r="X84" s="67">
        <f t="shared" si="6"/>
        <v>27.512</v>
      </c>
      <c r="Y84" s="67">
        <f t="shared" si="7"/>
        <v>199.462</v>
      </c>
      <c r="Z84" s="67">
        <f t="shared" si="8"/>
        <v>162.9</v>
      </c>
      <c r="AA84" s="67">
        <f t="shared" si="9"/>
        <v>26.064</v>
      </c>
      <c r="AB84" s="67">
        <f t="shared" si="10"/>
        <v>188.964</v>
      </c>
      <c r="AC84" s="67">
        <f t="shared" si="11"/>
        <v>153.85</v>
      </c>
      <c r="AD84" s="67">
        <f t="shared" si="12"/>
        <v>24.616</v>
      </c>
      <c r="AE84" s="67">
        <f t="shared" si="13"/>
        <v>178.466</v>
      </c>
      <c r="AF84" s="67">
        <f t="shared" si="14"/>
        <v>150.23</v>
      </c>
      <c r="AG84" s="67">
        <f t="shared" si="15"/>
        <v>24.0368</v>
      </c>
      <c r="AH84" s="67">
        <f t="shared" si="16"/>
        <v>174.2668</v>
      </c>
      <c r="AI84" s="67">
        <f t="shared" si="17"/>
        <v>144.8</v>
      </c>
      <c r="AJ84" s="68">
        <f t="shared" si="20"/>
        <v>23.168</v>
      </c>
      <c r="AK84" s="68">
        <f t="shared" si="21"/>
        <v>167.968</v>
      </c>
      <c r="AL84" s="70">
        <f>IFERROR(__xludf.DUMMYFUNCTION("""COMPUTED_VALUE"""),1.0)</f>
        <v>1</v>
      </c>
      <c r="AM84" s="70"/>
      <c r="AN84" s="71" t="str">
        <f>IFERROR(__xludf.DUMMYFUNCTION("""COMPUTED_VALUE""")," C")</f>
        <v>C</v>
      </c>
      <c r="AO84" s="71" t="str">
        <f>IFERROR(__xludf.DUMMYFUNCTION("""COMPUTED_VALUE""")," BA76")</f>
        <v>BA76</v>
      </c>
      <c r="AP84" s="71" t="str">
        <f>IFERROR(__xludf.DUMMYFUNCTION("""COMPUTED_VALUE""")," PZA")</f>
        <v>PZA</v>
      </c>
      <c r="AQ84" s="71" t="str">
        <f>IFERROR(__xludf.DUMMYFUNCTION("""COMPUTED_VALUE""")," REF")</f>
        <v>REF</v>
      </c>
      <c r="AR84" s="71" t="str">
        <f>IFERROR(__xludf.DUMMYFUNCTION("""COMPUTED_VALUE""")," BALERO 6304 ZZ ZKL")</f>
        <v>BALERO 6304 ZZ ZKL</v>
      </c>
      <c r="AS84" s="71" t="str">
        <f>IFERROR(__xludf.DUMMYFUNCTION("""COMPUTED_VALUE""")," BALERO 6304 ZZ ZKL")</f>
        <v>BALERO 6304 ZZ ZKL</v>
      </c>
      <c r="AT84" s="71">
        <f>IFERROR(__xludf.DUMMYFUNCTION("""COMPUTED_VALUE"""),18.0)</f>
        <v>18</v>
      </c>
      <c r="AU84" s="71"/>
      <c r="AV84" s="71"/>
      <c r="AW84" s="71"/>
      <c r="AX84" s="71"/>
      <c r="AY84" s="71"/>
      <c r="AZ84" s="71"/>
      <c r="BA84" s="71">
        <f>IFERROR(__xludf.DUMMYFUNCTION("""COMPUTED_VALUE"""),110.0)</f>
        <v>110</v>
      </c>
      <c r="BB84" s="71">
        <f>IFERROR(__xludf.DUMMYFUNCTION("""COMPUTED_VALUE"""),110.0)</f>
        <v>110</v>
      </c>
      <c r="BC84" s="71">
        <f>IFERROR(__xludf.DUMMYFUNCTION("""COMPUTED_VALUE"""),116.0)</f>
        <v>116</v>
      </c>
      <c r="BD84" s="71">
        <f>IFERROR(__xludf.DUMMYFUNCTION("""COMPUTED_VALUE"""),122.0)</f>
        <v>122</v>
      </c>
      <c r="BE84" s="71">
        <f>IFERROR(__xludf.DUMMYFUNCTION("""COMPUTED_VALUE"""),19.52)</f>
        <v>19.52</v>
      </c>
      <c r="BF84" s="71">
        <f>IFERROR(__xludf.DUMMYFUNCTION("""COMPUTED_VALUE"""),141.52)</f>
        <v>141.52</v>
      </c>
      <c r="BG84" s="71">
        <f>IFERROR(__xludf.DUMMYFUNCTION("""COMPUTED_VALUE"""),0.05172413793103448)</f>
        <v>0.05172413793</v>
      </c>
      <c r="BH84" s="71">
        <f>IFERROR(__xludf.DUMMYFUNCTION("""COMPUTED_VALUE"""),115.89999999999999)</f>
        <v>115.9</v>
      </c>
      <c r="BI84" s="71">
        <f>IFERROR(__xludf.DUMMYFUNCTION("""COMPUTED_VALUE"""),18.544)</f>
        <v>18.544</v>
      </c>
      <c r="BJ84" s="71">
        <f>IFERROR(__xludf.DUMMYFUNCTION("""COMPUTED_VALUE"""),134.444)</f>
        <v>134.444</v>
      </c>
      <c r="BK84" s="71">
        <f>IFERROR(__xludf.DUMMYFUNCTION("""COMPUTED_VALUE"""),109.8)</f>
        <v>109.8</v>
      </c>
      <c r="BL84" s="71">
        <f>IFERROR(__xludf.DUMMYFUNCTION("""COMPUTED_VALUE"""),17.568)</f>
        <v>17.568</v>
      </c>
      <c r="BM84" s="71">
        <f>IFERROR(__xludf.DUMMYFUNCTION("""COMPUTED_VALUE"""),127.368)</f>
        <v>127.368</v>
      </c>
      <c r="BN84" s="71">
        <f>IFERROR(__xludf.DUMMYFUNCTION("""COMPUTED_VALUE"""),103.7)</f>
        <v>103.7</v>
      </c>
      <c r="BO84" s="71">
        <f>IFERROR(__xludf.DUMMYFUNCTION("""COMPUTED_VALUE"""),16.592000000000002)</f>
        <v>16.592</v>
      </c>
      <c r="BP84" s="71">
        <f>IFERROR(__xludf.DUMMYFUNCTION("""COMPUTED_VALUE"""),120.292)</f>
        <v>120.292</v>
      </c>
      <c r="BQ84" s="71">
        <f>IFERROR(__xludf.DUMMYFUNCTION("""COMPUTED_VALUE"""),101.25999999999999)</f>
        <v>101.26</v>
      </c>
      <c r="BR84" s="71">
        <f>IFERROR(__xludf.DUMMYFUNCTION("""COMPUTED_VALUE"""),16.2016)</f>
        <v>16.2016</v>
      </c>
      <c r="BS84" s="71">
        <f>IFERROR(__xludf.DUMMYFUNCTION("""COMPUTED_VALUE"""),117.46159999999999)</f>
        <v>117.4616</v>
      </c>
      <c r="BT84" s="71">
        <f>IFERROR(__xludf.DUMMYFUNCTION("""COMPUTED_VALUE"""),97.60000000000001)</f>
        <v>97.6</v>
      </c>
      <c r="BU84" s="71">
        <f>IFERROR(__xludf.DUMMYFUNCTION("""COMPUTED_VALUE"""),15.616000000000001)</f>
        <v>15.616</v>
      </c>
      <c r="BV84" s="71">
        <f>IFERROR(__xludf.DUMMYFUNCTION("""COMPUTED_VALUE"""),113.21600000000001)</f>
        <v>113.216</v>
      </c>
    </row>
    <row r="85">
      <c r="A85" s="53">
        <v>1.0</v>
      </c>
      <c r="B85" s="53"/>
      <c r="C85" s="73" t="s">
        <v>12</v>
      </c>
      <c r="D85" s="53" t="s">
        <v>245</v>
      </c>
      <c r="E85" s="54" t="s">
        <v>224</v>
      </c>
      <c r="F85" s="54" t="s">
        <v>42</v>
      </c>
      <c r="G85" s="54" t="s">
        <v>246</v>
      </c>
      <c r="H85" s="54" t="s">
        <v>247</v>
      </c>
      <c r="I85" s="54">
        <f t="shared" si="1"/>
        <v>37</v>
      </c>
      <c r="J85" s="56"/>
      <c r="K85" s="75"/>
      <c r="L85" s="77"/>
      <c r="M85" s="59"/>
      <c r="N85" s="79">
        <v>297.0</v>
      </c>
      <c r="O85" s="61">
        <v>200.0</v>
      </c>
      <c r="P85" s="62">
        <v>149.4</v>
      </c>
      <c r="Q85" s="63">
        <v>149.4</v>
      </c>
      <c r="R85" s="64">
        <v>167.0</v>
      </c>
      <c r="S85" s="111">
        <v>175.0</v>
      </c>
      <c r="T85" s="65">
        <f t="shared" si="2"/>
        <v>28</v>
      </c>
      <c r="U85" s="65">
        <f t="shared" si="3"/>
        <v>203</v>
      </c>
      <c r="V85" s="66">
        <f t="shared" si="4"/>
        <v>0.04790419162</v>
      </c>
      <c r="W85" s="67">
        <f t="shared" si="5"/>
        <v>166.25</v>
      </c>
      <c r="X85" s="67">
        <f t="shared" si="6"/>
        <v>26.6</v>
      </c>
      <c r="Y85" s="67">
        <f t="shared" si="7"/>
        <v>192.85</v>
      </c>
      <c r="Z85" s="67">
        <f t="shared" si="8"/>
        <v>157.5</v>
      </c>
      <c r="AA85" s="67">
        <f t="shared" si="9"/>
        <v>25.2</v>
      </c>
      <c r="AB85" s="67">
        <f t="shared" si="10"/>
        <v>182.7</v>
      </c>
      <c r="AC85" s="67">
        <f t="shared" si="11"/>
        <v>148.75</v>
      </c>
      <c r="AD85" s="67">
        <f t="shared" si="12"/>
        <v>23.8</v>
      </c>
      <c r="AE85" s="67">
        <f t="shared" si="13"/>
        <v>172.55</v>
      </c>
      <c r="AF85" s="67">
        <f t="shared" si="14"/>
        <v>145.25</v>
      </c>
      <c r="AG85" s="67">
        <f t="shared" si="15"/>
        <v>23.24</v>
      </c>
      <c r="AH85" s="67">
        <f t="shared" si="16"/>
        <v>168.49</v>
      </c>
      <c r="AI85" s="67">
        <f t="shared" si="17"/>
        <v>140</v>
      </c>
      <c r="AJ85" s="68">
        <f t="shared" si="20"/>
        <v>22.4</v>
      </c>
      <c r="AK85" s="68">
        <f t="shared" si="21"/>
        <v>162.4</v>
      </c>
      <c r="AL85" s="70">
        <f>IFERROR(__xludf.DUMMYFUNCTION("""COMPUTED_VALUE"""),1.0)</f>
        <v>1</v>
      </c>
      <c r="AM85" s="70"/>
      <c r="AN85" s="71" t="str">
        <f>IFERROR(__xludf.DUMMYFUNCTION("""COMPUTED_VALUE""")," C")</f>
        <v>C</v>
      </c>
      <c r="AO85" s="71" t="str">
        <f>IFERROR(__xludf.DUMMYFUNCTION("""COMPUTED_VALUE""")," BA14")</f>
        <v>BA14</v>
      </c>
      <c r="AP85" s="71" t="str">
        <f>IFERROR(__xludf.DUMMYFUNCTION("""COMPUTED_VALUE""")," PZA")</f>
        <v>PZA</v>
      </c>
      <c r="AQ85" s="71" t="str">
        <f>IFERROR(__xludf.DUMMYFUNCTION("""COMPUTED_VALUE""")," REF")</f>
        <v>REF</v>
      </c>
      <c r="AR85" s="71" t="str">
        <f>IFERROR(__xludf.DUMMYFUNCTION("""COMPUTED_VALUE""")," BALERO 6305 ZKL/ZVL")</f>
        <v>BALERO 6305 ZKL/ZVL</v>
      </c>
      <c r="AS85" s="71" t="str">
        <f>IFERROR(__xludf.DUMMYFUNCTION("""COMPUTED_VALUE""")," BALERO 6305 ZKL/ZVL")</f>
        <v>BALERO 6305 ZKL/ZVL</v>
      </c>
      <c r="AT85" s="71">
        <f>IFERROR(__xludf.DUMMYFUNCTION("""COMPUTED_VALUE"""),19.0)</f>
        <v>19</v>
      </c>
      <c r="AU85" s="71"/>
      <c r="AV85" s="71"/>
      <c r="AW85" s="71"/>
      <c r="AX85" s="71"/>
      <c r="AY85" s="71">
        <f>IFERROR(__xludf.DUMMYFUNCTION("""COMPUTED_VALUE"""),105.0)</f>
        <v>105</v>
      </c>
      <c r="AZ85" s="71">
        <f>IFERROR(__xludf.DUMMYFUNCTION("""COMPUTED_VALUE"""),113.0)</f>
        <v>113</v>
      </c>
      <c r="BA85" s="71">
        <f>IFERROR(__xludf.DUMMYFUNCTION("""COMPUTED_VALUE"""),122.04)</f>
        <v>122.04</v>
      </c>
      <c r="BB85" s="71">
        <f>IFERROR(__xludf.DUMMYFUNCTION("""COMPUTED_VALUE"""),122.04)</f>
        <v>122.04</v>
      </c>
      <c r="BC85" s="71">
        <f>IFERROR(__xludf.DUMMYFUNCTION("""COMPUTED_VALUE"""),137.0)</f>
        <v>137</v>
      </c>
      <c r="BD85" s="71">
        <f>IFERROR(__xludf.DUMMYFUNCTION("""COMPUTED_VALUE"""),144.0)</f>
        <v>144</v>
      </c>
      <c r="BE85" s="71">
        <f>IFERROR(__xludf.DUMMYFUNCTION("""COMPUTED_VALUE"""),23.04)</f>
        <v>23.04</v>
      </c>
      <c r="BF85" s="71">
        <f>IFERROR(__xludf.DUMMYFUNCTION("""COMPUTED_VALUE"""),167.04)</f>
        <v>167.04</v>
      </c>
      <c r="BG85" s="71">
        <f>IFERROR(__xludf.DUMMYFUNCTION("""COMPUTED_VALUE"""),0.051094890510948905)</f>
        <v>0.05109489051</v>
      </c>
      <c r="BH85" s="71">
        <f>IFERROR(__xludf.DUMMYFUNCTION("""COMPUTED_VALUE"""),136.79999999999998)</f>
        <v>136.8</v>
      </c>
      <c r="BI85" s="71">
        <f>IFERROR(__xludf.DUMMYFUNCTION("""COMPUTED_VALUE"""),21.887999999999998)</f>
        <v>21.888</v>
      </c>
      <c r="BJ85" s="71">
        <f>IFERROR(__xludf.DUMMYFUNCTION("""COMPUTED_VALUE"""),158.688)</f>
        <v>158.688</v>
      </c>
      <c r="BK85" s="71">
        <f>IFERROR(__xludf.DUMMYFUNCTION("""COMPUTED_VALUE"""),129.6)</f>
        <v>129.6</v>
      </c>
      <c r="BL85" s="71">
        <f>IFERROR(__xludf.DUMMYFUNCTION("""COMPUTED_VALUE"""),20.736)</f>
        <v>20.736</v>
      </c>
      <c r="BM85" s="71">
        <f>IFERROR(__xludf.DUMMYFUNCTION("""COMPUTED_VALUE"""),150.33599999999998)</f>
        <v>150.336</v>
      </c>
      <c r="BN85" s="71">
        <f>IFERROR(__xludf.DUMMYFUNCTION("""COMPUTED_VALUE"""),122.39999999999999)</f>
        <v>122.4</v>
      </c>
      <c r="BO85" s="71">
        <f>IFERROR(__xludf.DUMMYFUNCTION("""COMPUTED_VALUE"""),19.584)</f>
        <v>19.584</v>
      </c>
      <c r="BP85" s="71">
        <f>IFERROR(__xludf.DUMMYFUNCTION("""COMPUTED_VALUE"""),141.98399999999998)</f>
        <v>141.984</v>
      </c>
      <c r="BQ85" s="71">
        <f>IFERROR(__xludf.DUMMYFUNCTION("""COMPUTED_VALUE"""),119.52)</f>
        <v>119.52</v>
      </c>
      <c r="BR85" s="71">
        <f>IFERROR(__xludf.DUMMYFUNCTION("""COMPUTED_VALUE"""),19.1232)</f>
        <v>19.1232</v>
      </c>
      <c r="BS85" s="71">
        <f>IFERROR(__xludf.DUMMYFUNCTION("""COMPUTED_VALUE"""),138.6432)</f>
        <v>138.6432</v>
      </c>
      <c r="BT85" s="71">
        <f>IFERROR(__xludf.DUMMYFUNCTION("""COMPUTED_VALUE"""),115.2)</f>
        <v>115.2</v>
      </c>
      <c r="BU85" s="71">
        <f>IFERROR(__xludf.DUMMYFUNCTION("""COMPUTED_VALUE"""),18.432000000000002)</f>
        <v>18.432</v>
      </c>
      <c r="BV85" s="71">
        <f>IFERROR(__xludf.DUMMYFUNCTION("""COMPUTED_VALUE"""),133.632)</f>
        <v>133.632</v>
      </c>
    </row>
    <row r="86">
      <c r="A86" s="53"/>
      <c r="B86" s="53"/>
      <c r="C86" s="73" t="s">
        <v>12</v>
      </c>
      <c r="D86" s="53" t="s">
        <v>248</v>
      </c>
      <c r="E86" s="54" t="s">
        <v>38</v>
      </c>
      <c r="F86" s="54" t="s">
        <v>42</v>
      </c>
      <c r="G86" s="55" t="s">
        <v>249</v>
      </c>
      <c r="H86" s="54" t="s">
        <v>249</v>
      </c>
      <c r="I86" s="54">
        <f t="shared" si="1"/>
        <v>30</v>
      </c>
      <c r="J86" s="56"/>
      <c r="K86" s="57"/>
      <c r="L86" s="76"/>
      <c r="M86" s="59"/>
      <c r="N86" s="79">
        <v>2784.0</v>
      </c>
      <c r="O86" s="61">
        <v>3006.0</v>
      </c>
      <c r="P86" s="62">
        <v>3246.48</v>
      </c>
      <c r="Q86" s="63">
        <v>3246.48</v>
      </c>
      <c r="R86" s="64">
        <v>3409.0</v>
      </c>
      <c r="S86" s="111">
        <v>3579.0</v>
      </c>
      <c r="T86" s="65">
        <f t="shared" si="2"/>
        <v>572.64</v>
      </c>
      <c r="U86" s="65">
        <f t="shared" si="3"/>
        <v>4151.64</v>
      </c>
      <c r="V86" s="66">
        <f t="shared" si="4"/>
        <v>0.04986799648</v>
      </c>
      <c r="W86" s="67">
        <f t="shared" si="5"/>
        <v>3400.05</v>
      </c>
      <c r="X86" s="67">
        <f t="shared" si="6"/>
        <v>544.008</v>
      </c>
      <c r="Y86" s="67">
        <f t="shared" si="7"/>
        <v>3944.058</v>
      </c>
      <c r="Z86" s="67">
        <f t="shared" si="8"/>
        <v>3221.1</v>
      </c>
      <c r="AA86" s="67">
        <f t="shared" si="9"/>
        <v>515.376</v>
      </c>
      <c r="AB86" s="67">
        <f t="shared" si="10"/>
        <v>3736.476</v>
      </c>
      <c r="AC86" s="67">
        <f t="shared" si="11"/>
        <v>3042.15</v>
      </c>
      <c r="AD86" s="67">
        <f t="shared" si="12"/>
        <v>486.744</v>
      </c>
      <c r="AE86" s="67">
        <f t="shared" si="13"/>
        <v>3528.894</v>
      </c>
      <c r="AF86" s="67">
        <f t="shared" si="14"/>
        <v>2970.57</v>
      </c>
      <c r="AG86" s="67">
        <f t="shared" si="15"/>
        <v>475.2912</v>
      </c>
      <c r="AH86" s="67">
        <f t="shared" si="16"/>
        <v>3445.8612</v>
      </c>
      <c r="AI86" s="67">
        <f t="shared" si="17"/>
        <v>2863.2</v>
      </c>
      <c r="AJ86" s="68">
        <f t="shared" si="20"/>
        <v>458.112</v>
      </c>
      <c r="AK86" s="68">
        <f t="shared" si="21"/>
        <v>3321.312</v>
      </c>
      <c r="AL86" s="70">
        <f>IFERROR(__xludf.DUMMYFUNCTION("""COMPUTED_VALUE"""),1.0)</f>
        <v>1</v>
      </c>
      <c r="AM86" s="70"/>
      <c r="AN86" s="71" t="str">
        <f>IFERROR(__xludf.DUMMYFUNCTION("""COMPUTED_VALUE""")," C")</f>
        <v>C</v>
      </c>
      <c r="AO86" s="71" t="str">
        <f>IFERROR(__xludf.DUMMYFUNCTION("""COMPUTED_VALUE""")," BA67")</f>
        <v>BA67</v>
      </c>
      <c r="AP86" s="71" t="str">
        <f>IFERROR(__xludf.DUMMYFUNCTION("""COMPUTED_VALUE""")," PZA")</f>
        <v>PZA</v>
      </c>
      <c r="AQ86" s="71" t="str">
        <f>IFERROR(__xludf.DUMMYFUNCTION("""COMPUTED_VALUE""")," REF")</f>
        <v>REF</v>
      </c>
      <c r="AR86" s="71" t="str">
        <f>IFERROR(__xludf.DUMMYFUNCTION("""COMPUTED_VALUE""")," BALERO 7205 MULTIMARCA")</f>
        <v>BALERO 7205 MULTIMARCA</v>
      </c>
      <c r="AS86" s="71" t="str">
        <f>IFERROR(__xludf.DUMMYFUNCTION("""COMPUTED_VALUE""")," BALERO 7205 MULTIMARCA")</f>
        <v>BALERO 7205 MULTIMARCA</v>
      </c>
      <c r="AT86" s="71">
        <f>IFERROR(__xludf.DUMMYFUNCTION("""COMPUTED_VALUE"""),22.0)</f>
        <v>22</v>
      </c>
      <c r="AU86" s="71"/>
      <c r="AV86" s="71"/>
      <c r="AW86" s="71"/>
      <c r="AX86" s="71"/>
      <c r="AY86" s="71">
        <f>IFERROR(__xludf.DUMMYFUNCTION("""COMPUTED_VALUE"""),161.0)</f>
        <v>161</v>
      </c>
      <c r="AZ86" s="71">
        <f>IFERROR(__xludf.DUMMYFUNCTION("""COMPUTED_VALUE"""),173.0)</f>
        <v>173</v>
      </c>
      <c r="BA86" s="71">
        <f>IFERROR(__xludf.DUMMYFUNCTION("""COMPUTED_VALUE"""),186.84)</f>
        <v>186.84</v>
      </c>
      <c r="BB86" s="71">
        <f>IFERROR(__xludf.DUMMYFUNCTION("""COMPUTED_VALUE"""),186.84)</f>
        <v>186.84</v>
      </c>
      <c r="BC86" s="71">
        <f>IFERROR(__xludf.DUMMYFUNCTION("""COMPUTED_VALUE"""),197.0)</f>
        <v>197</v>
      </c>
      <c r="BD86" s="71">
        <f>IFERROR(__xludf.DUMMYFUNCTION("""COMPUTED_VALUE"""),207.0)</f>
        <v>207</v>
      </c>
      <c r="BE86" s="71">
        <f>IFERROR(__xludf.DUMMYFUNCTION("""COMPUTED_VALUE"""),33.12)</f>
        <v>33.12</v>
      </c>
      <c r="BF86" s="71">
        <f>IFERROR(__xludf.DUMMYFUNCTION("""COMPUTED_VALUE"""),240.12)</f>
        <v>240.12</v>
      </c>
      <c r="BG86" s="71">
        <f>IFERROR(__xludf.DUMMYFUNCTION("""COMPUTED_VALUE"""),0.050761421319796954)</f>
        <v>0.05076142132</v>
      </c>
      <c r="BH86" s="71">
        <f>IFERROR(__xludf.DUMMYFUNCTION("""COMPUTED_VALUE"""),196.64999999999998)</f>
        <v>196.65</v>
      </c>
      <c r="BI86" s="71">
        <f>IFERROR(__xludf.DUMMYFUNCTION("""COMPUTED_VALUE"""),31.464)</f>
        <v>31.464</v>
      </c>
      <c r="BJ86" s="71">
        <f>IFERROR(__xludf.DUMMYFUNCTION("""COMPUTED_VALUE"""),228.11399999999998)</f>
        <v>228.114</v>
      </c>
      <c r="BK86" s="71">
        <f>IFERROR(__xludf.DUMMYFUNCTION("""COMPUTED_VALUE"""),186.3)</f>
        <v>186.3</v>
      </c>
      <c r="BL86" s="71">
        <f>IFERROR(__xludf.DUMMYFUNCTION("""COMPUTED_VALUE"""),29.808000000000003)</f>
        <v>29.808</v>
      </c>
      <c r="BM86" s="71">
        <f>IFERROR(__xludf.DUMMYFUNCTION("""COMPUTED_VALUE"""),216.108)</f>
        <v>216.108</v>
      </c>
      <c r="BN86" s="71">
        <f>IFERROR(__xludf.DUMMYFUNCTION("""COMPUTED_VALUE"""),175.95)</f>
        <v>175.95</v>
      </c>
      <c r="BO86" s="71">
        <f>IFERROR(__xludf.DUMMYFUNCTION("""COMPUTED_VALUE"""),28.151999999999997)</f>
        <v>28.152</v>
      </c>
      <c r="BP86" s="71">
        <f>IFERROR(__xludf.DUMMYFUNCTION("""COMPUTED_VALUE"""),204.10199999999998)</f>
        <v>204.102</v>
      </c>
      <c r="BQ86" s="71">
        <f>IFERROR(__xludf.DUMMYFUNCTION("""COMPUTED_VALUE"""),171.81)</f>
        <v>171.81</v>
      </c>
      <c r="BR86" s="71">
        <f>IFERROR(__xludf.DUMMYFUNCTION("""COMPUTED_VALUE"""),27.4896)</f>
        <v>27.4896</v>
      </c>
      <c r="BS86" s="71">
        <f>IFERROR(__xludf.DUMMYFUNCTION("""COMPUTED_VALUE"""),199.2996)</f>
        <v>199.2996</v>
      </c>
      <c r="BT86" s="71">
        <f>IFERROR(__xludf.DUMMYFUNCTION("""COMPUTED_VALUE"""),165.60000000000002)</f>
        <v>165.6</v>
      </c>
      <c r="BU86" s="71">
        <f>IFERROR(__xludf.DUMMYFUNCTION("""COMPUTED_VALUE"""),26.496000000000006)</f>
        <v>26.496</v>
      </c>
      <c r="BV86" s="71">
        <f>IFERROR(__xludf.DUMMYFUNCTION("""COMPUTED_VALUE"""),192.09600000000003)</f>
        <v>192.096</v>
      </c>
    </row>
    <row r="87">
      <c r="A87" s="53">
        <v>1.0</v>
      </c>
      <c r="B87" s="53"/>
      <c r="C87" s="73" t="s">
        <v>12</v>
      </c>
      <c r="D87" s="53" t="s">
        <v>250</v>
      </c>
      <c r="E87" s="54" t="s">
        <v>38</v>
      </c>
      <c r="F87" s="54" t="s">
        <v>42</v>
      </c>
      <c r="G87" s="88" t="s">
        <v>251</v>
      </c>
      <c r="H87" s="54" t="s">
        <v>252</v>
      </c>
      <c r="I87" s="54">
        <f t="shared" si="1"/>
        <v>40</v>
      </c>
      <c r="J87" s="56"/>
      <c r="K87" s="57"/>
      <c r="L87" s="76"/>
      <c r="M87" s="59"/>
      <c r="N87" s="60">
        <v>6858.0</v>
      </c>
      <c r="O87" s="61">
        <v>7406.0</v>
      </c>
      <c r="P87" s="62">
        <v>7998.4800000000005</v>
      </c>
      <c r="Q87" s="63">
        <v>7998.4800000000005</v>
      </c>
      <c r="R87" s="64">
        <v>8903.0</v>
      </c>
      <c r="S87" s="65">
        <v>5251.0</v>
      </c>
      <c r="T87" s="65">
        <f t="shared" si="2"/>
        <v>840.16</v>
      </c>
      <c r="U87" s="65">
        <f t="shared" si="3"/>
        <v>6091.16</v>
      </c>
      <c r="V87" s="66">
        <f t="shared" si="4"/>
        <v>-0.4101988094</v>
      </c>
      <c r="W87" s="67">
        <f t="shared" si="5"/>
        <v>4988.45</v>
      </c>
      <c r="X87" s="67">
        <f t="shared" si="6"/>
        <v>798.152</v>
      </c>
      <c r="Y87" s="67">
        <f t="shared" si="7"/>
        <v>5786.602</v>
      </c>
      <c r="Z87" s="67">
        <f t="shared" si="8"/>
        <v>4725.9</v>
      </c>
      <c r="AA87" s="67">
        <f t="shared" si="9"/>
        <v>756.144</v>
      </c>
      <c r="AB87" s="67">
        <f t="shared" si="10"/>
        <v>5482.044</v>
      </c>
      <c r="AC87" s="67">
        <f t="shared" si="11"/>
        <v>4463.35</v>
      </c>
      <c r="AD87" s="67">
        <f t="shared" si="12"/>
        <v>714.136</v>
      </c>
      <c r="AE87" s="67">
        <f t="shared" si="13"/>
        <v>5177.486</v>
      </c>
      <c r="AF87" s="67">
        <f t="shared" si="14"/>
        <v>4358.33</v>
      </c>
      <c r="AG87" s="67">
        <f t="shared" si="15"/>
        <v>697.3328</v>
      </c>
      <c r="AH87" s="67">
        <f t="shared" si="16"/>
        <v>5055.6628</v>
      </c>
      <c r="AI87" s="67">
        <f t="shared" si="17"/>
        <v>4200.8</v>
      </c>
      <c r="AJ87" s="68">
        <f t="shared" si="20"/>
        <v>672.128</v>
      </c>
      <c r="AK87" s="68">
        <f t="shared" si="21"/>
        <v>4872.928</v>
      </c>
      <c r="AL87" s="70">
        <f>IFERROR(__xludf.DUMMYFUNCTION("""COMPUTED_VALUE"""),1.0)</f>
        <v>1</v>
      </c>
      <c r="AM87" s="70"/>
      <c r="AN87" s="71" t="str">
        <f>IFERROR(__xludf.DUMMYFUNCTION("""COMPUTED_VALUE""")," C")</f>
        <v>C</v>
      </c>
      <c r="AO87" s="71" t="str">
        <f>IFERROR(__xludf.DUMMYFUNCTION("""COMPUTED_VALUE""")," BA15")</f>
        <v>BA15</v>
      </c>
      <c r="AP87" s="71" t="str">
        <f>IFERROR(__xludf.DUMMYFUNCTION("""COMPUTED_VALUE""")," PZA")</f>
        <v>PZA</v>
      </c>
      <c r="AQ87" s="71" t="str">
        <f>IFERROR(__xludf.DUMMYFUNCTION("""COMPUTED_VALUE""")," REF")</f>
        <v>REF</v>
      </c>
      <c r="AR87" s="71" t="str">
        <f>IFERROR(__xludf.DUMMYFUNCTION("""COMPUTED_VALUE""")," BALERO 7205 ZKL/ZVL")</f>
        <v>BALERO 7205 ZKL/ZVL</v>
      </c>
      <c r="AS87" s="71" t="str">
        <f>IFERROR(__xludf.DUMMYFUNCTION("""COMPUTED_VALUE""")," BALERO 7205 ZKL/ZVL")</f>
        <v>BALERO 7205 ZKL/ZVL</v>
      </c>
      <c r="AT87" s="71">
        <f>IFERROR(__xludf.DUMMYFUNCTION("""COMPUTED_VALUE"""),19.0)</f>
        <v>19</v>
      </c>
      <c r="AU87" s="71"/>
      <c r="AV87" s="71"/>
      <c r="AW87" s="71"/>
      <c r="AX87" s="71"/>
      <c r="AY87" s="71">
        <f>IFERROR(__xludf.DUMMYFUNCTION("""COMPUTED_VALUE"""),200.0)</f>
        <v>200</v>
      </c>
      <c r="AZ87" s="71">
        <f>IFERROR(__xludf.DUMMYFUNCTION("""COMPUTED_VALUE"""),216.0)</f>
        <v>216</v>
      </c>
      <c r="BA87" s="71">
        <f>IFERROR(__xludf.DUMMYFUNCTION("""COMPUTED_VALUE"""),233.28000000000003)</f>
        <v>233.28</v>
      </c>
      <c r="BB87" s="71">
        <f>IFERROR(__xludf.DUMMYFUNCTION("""COMPUTED_VALUE"""),233.28000000000003)</f>
        <v>233.28</v>
      </c>
      <c r="BC87" s="71">
        <f>IFERROR(__xludf.DUMMYFUNCTION("""COMPUTED_VALUE"""),261.0)</f>
        <v>261</v>
      </c>
      <c r="BD87" s="71">
        <f>IFERROR(__xludf.DUMMYFUNCTION("""COMPUTED_VALUE"""),274.0)</f>
        <v>274</v>
      </c>
      <c r="BE87" s="71">
        <f>IFERROR(__xludf.DUMMYFUNCTION("""COMPUTED_VALUE"""),43.84)</f>
        <v>43.84</v>
      </c>
      <c r="BF87" s="71">
        <f>IFERROR(__xludf.DUMMYFUNCTION("""COMPUTED_VALUE"""),317.84000000000003)</f>
        <v>317.84</v>
      </c>
      <c r="BG87" s="71">
        <f>IFERROR(__xludf.DUMMYFUNCTION("""COMPUTED_VALUE"""),0.04980842911877394)</f>
        <v>0.04980842912</v>
      </c>
      <c r="BH87" s="71">
        <f>IFERROR(__xludf.DUMMYFUNCTION("""COMPUTED_VALUE"""),260.3)</f>
        <v>260.3</v>
      </c>
      <c r="BI87" s="71">
        <f>IFERROR(__xludf.DUMMYFUNCTION("""COMPUTED_VALUE"""),41.648)</f>
        <v>41.648</v>
      </c>
      <c r="BJ87" s="71">
        <f>IFERROR(__xludf.DUMMYFUNCTION("""COMPUTED_VALUE"""),301.94800000000004)</f>
        <v>301.948</v>
      </c>
      <c r="BK87" s="71">
        <f>IFERROR(__xludf.DUMMYFUNCTION("""COMPUTED_VALUE"""),246.6)</f>
        <v>246.6</v>
      </c>
      <c r="BL87" s="71">
        <f>IFERROR(__xludf.DUMMYFUNCTION("""COMPUTED_VALUE"""),39.456)</f>
        <v>39.456</v>
      </c>
      <c r="BM87" s="71">
        <f>IFERROR(__xludf.DUMMYFUNCTION("""COMPUTED_VALUE"""),286.056)</f>
        <v>286.056</v>
      </c>
      <c r="BN87" s="71">
        <f>IFERROR(__xludf.DUMMYFUNCTION("""COMPUTED_VALUE"""),232.9)</f>
        <v>232.9</v>
      </c>
      <c r="BO87" s="71">
        <f>IFERROR(__xludf.DUMMYFUNCTION("""COMPUTED_VALUE"""),37.264)</f>
        <v>37.264</v>
      </c>
      <c r="BP87" s="71">
        <f>IFERROR(__xludf.DUMMYFUNCTION("""COMPUTED_VALUE"""),270.164)</f>
        <v>270.164</v>
      </c>
      <c r="BQ87" s="71">
        <f>IFERROR(__xludf.DUMMYFUNCTION("""COMPUTED_VALUE"""),227.42)</f>
        <v>227.42</v>
      </c>
      <c r="BR87" s="71">
        <f>IFERROR(__xludf.DUMMYFUNCTION("""COMPUTED_VALUE"""),36.3872)</f>
        <v>36.3872</v>
      </c>
      <c r="BS87" s="71">
        <f>IFERROR(__xludf.DUMMYFUNCTION("""COMPUTED_VALUE"""),263.80719999999997)</f>
        <v>263.8072</v>
      </c>
      <c r="BT87" s="71">
        <f>IFERROR(__xludf.DUMMYFUNCTION("""COMPUTED_VALUE"""),219.20000000000002)</f>
        <v>219.2</v>
      </c>
      <c r="BU87" s="71">
        <f>IFERROR(__xludf.DUMMYFUNCTION("""COMPUTED_VALUE"""),35.072)</f>
        <v>35.072</v>
      </c>
      <c r="BV87" s="71">
        <f>IFERROR(__xludf.DUMMYFUNCTION("""COMPUTED_VALUE"""),254.27200000000002)</f>
        <v>254.272</v>
      </c>
    </row>
    <row r="88">
      <c r="A88" s="53">
        <v>1.0</v>
      </c>
      <c r="B88" s="53"/>
      <c r="C88" s="73" t="s">
        <v>12</v>
      </c>
      <c r="D88" s="53" t="s">
        <v>253</v>
      </c>
      <c r="E88" s="54" t="s">
        <v>38</v>
      </c>
      <c r="F88" s="54" t="s">
        <v>42</v>
      </c>
      <c r="G88" s="88" t="s">
        <v>254</v>
      </c>
      <c r="H88" s="54" t="s">
        <v>255</v>
      </c>
      <c r="I88" s="54">
        <f t="shared" si="1"/>
        <v>40</v>
      </c>
      <c r="J88" s="56"/>
      <c r="K88" s="57"/>
      <c r="L88" s="76"/>
      <c r="M88" s="59"/>
      <c r="N88" s="60">
        <v>5184.0</v>
      </c>
      <c r="O88" s="61">
        <v>2686.0</v>
      </c>
      <c r="P88" s="62">
        <v>2900.88</v>
      </c>
      <c r="Q88" s="63">
        <v>2900.88</v>
      </c>
      <c r="R88" s="64">
        <v>3229.0</v>
      </c>
      <c r="S88" s="111">
        <v>3390.0</v>
      </c>
      <c r="T88" s="65">
        <f t="shared" si="2"/>
        <v>542.4</v>
      </c>
      <c r="U88" s="65">
        <f t="shared" si="3"/>
        <v>3932.4</v>
      </c>
      <c r="V88" s="66">
        <f t="shared" si="4"/>
        <v>0.04986063797</v>
      </c>
      <c r="W88" s="67">
        <f t="shared" si="5"/>
        <v>3220.5</v>
      </c>
      <c r="X88" s="67">
        <f t="shared" si="6"/>
        <v>515.28</v>
      </c>
      <c r="Y88" s="67">
        <f t="shared" si="7"/>
        <v>3735.78</v>
      </c>
      <c r="Z88" s="67">
        <f t="shared" si="8"/>
        <v>3051</v>
      </c>
      <c r="AA88" s="67">
        <f t="shared" si="9"/>
        <v>488.16</v>
      </c>
      <c r="AB88" s="67">
        <f t="shared" si="10"/>
        <v>3539.16</v>
      </c>
      <c r="AC88" s="67">
        <f t="shared" si="11"/>
        <v>2881.5</v>
      </c>
      <c r="AD88" s="67">
        <f t="shared" si="12"/>
        <v>461.04</v>
      </c>
      <c r="AE88" s="67">
        <f t="shared" si="13"/>
        <v>3342.54</v>
      </c>
      <c r="AF88" s="67">
        <f t="shared" si="14"/>
        <v>2813.7</v>
      </c>
      <c r="AG88" s="67">
        <f t="shared" si="15"/>
        <v>450.192</v>
      </c>
      <c r="AH88" s="67">
        <f t="shared" si="16"/>
        <v>3263.892</v>
      </c>
      <c r="AI88" s="67">
        <f t="shared" si="17"/>
        <v>2712</v>
      </c>
      <c r="AJ88" s="68">
        <f t="shared" si="20"/>
        <v>433.92</v>
      </c>
      <c r="AK88" s="68">
        <f t="shared" si="21"/>
        <v>3145.92</v>
      </c>
      <c r="AL88" s="70">
        <f>IFERROR(__xludf.DUMMYFUNCTION("""COMPUTED_VALUE"""),1.0)</f>
        <v>1</v>
      </c>
      <c r="AM88" s="70"/>
      <c r="AN88" s="71" t="str">
        <f>IFERROR(__xludf.DUMMYFUNCTION("""COMPUTED_VALUE""")," C")</f>
        <v>C</v>
      </c>
      <c r="AO88" s="71" t="str">
        <f>IFERROR(__xludf.DUMMYFUNCTION("""COMPUTED_VALUE""")," BA17")</f>
        <v>BA17</v>
      </c>
      <c r="AP88" s="71" t="str">
        <f>IFERROR(__xludf.DUMMYFUNCTION("""COMPUTED_VALUE""")," PZA")</f>
        <v>PZA</v>
      </c>
      <c r="AQ88" s="71" t="str">
        <f>IFERROR(__xludf.DUMMYFUNCTION("""COMPUTED_VALUE""")," REF")</f>
        <v>REF</v>
      </c>
      <c r="AR88" s="71" t="str">
        <f>IFERROR(__xludf.DUMMYFUNCTION("""COMPUTED_VALUE""")," BALERO 7206 MULTIMARCA")</f>
        <v>BALERO 7206 MULTIMARCA</v>
      </c>
      <c r="AS88" s="71" t="str">
        <f>IFERROR(__xludf.DUMMYFUNCTION("""COMPUTED_VALUE""")," BALERO 7206 MULTIMARCA")</f>
        <v>BALERO 7206 MULTIMARCA</v>
      </c>
      <c r="AT88" s="71">
        <f>IFERROR(__xludf.DUMMYFUNCTION("""COMPUTED_VALUE"""),22.0)</f>
        <v>22</v>
      </c>
      <c r="AU88" s="71"/>
      <c r="AV88" s="71"/>
      <c r="AW88" s="71"/>
      <c r="AX88" s="71"/>
      <c r="AY88" s="71">
        <f>IFERROR(__xludf.DUMMYFUNCTION("""COMPUTED_VALUE"""),143.0)</f>
        <v>143</v>
      </c>
      <c r="AZ88" s="71">
        <f>IFERROR(__xludf.DUMMYFUNCTION("""COMPUTED_VALUE"""),154.0)</f>
        <v>154</v>
      </c>
      <c r="BA88" s="71">
        <f>IFERROR(__xludf.DUMMYFUNCTION("""COMPUTED_VALUE"""),166.32000000000002)</f>
        <v>166.32</v>
      </c>
      <c r="BB88" s="71">
        <f>IFERROR(__xludf.DUMMYFUNCTION("""COMPUTED_VALUE"""),166.32000000000002)</f>
        <v>166.32</v>
      </c>
      <c r="BC88" s="71">
        <f>IFERROR(__xludf.DUMMYFUNCTION("""COMPUTED_VALUE"""),189.0)</f>
        <v>189</v>
      </c>
      <c r="BD88" s="71">
        <f>IFERROR(__xludf.DUMMYFUNCTION("""COMPUTED_VALUE"""),198.0)</f>
        <v>198</v>
      </c>
      <c r="BE88" s="71">
        <f>IFERROR(__xludf.DUMMYFUNCTION("""COMPUTED_VALUE"""),31.68)</f>
        <v>31.68</v>
      </c>
      <c r="BF88" s="71">
        <f>IFERROR(__xludf.DUMMYFUNCTION("""COMPUTED_VALUE"""),229.68)</f>
        <v>229.68</v>
      </c>
      <c r="BG88" s="71">
        <f>IFERROR(__xludf.DUMMYFUNCTION("""COMPUTED_VALUE"""),0.047619047619047616)</f>
        <v>0.04761904762</v>
      </c>
      <c r="BH88" s="71">
        <f>IFERROR(__xludf.DUMMYFUNCTION("""COMPUTED_VALUE"""),188.1)</f>
        <v>188.1</v>
      </c>
      <c r="BI88" s="71">
        <f>IFERROR(__xludf.DUMMYFUNCTION("""COMPUTED_VALUE"""),30.096)</f>
        <v>30.096</v>
      </c>
      <c r="BJ88" s="71">
        <f>IFERROR(__xludf.DUMMYFUNCTION("""COMPUTED_VALUE"""),218.196)</f>
        <v>218.196</v>
      </c>
      <c r="BK88" s="71">
        <f>IFERROR(__xludf.DUMMYFUNCTION("""COMPUTED_VALUE"""),178.20000000000002)</f>
        <v>178.2</v>
      </c>
      <c r="BL88" s="71">
        <f>IFERROR(__xludf.DUMMYFUNCTION("""COMPUTED_VALUE"""),28.512000000000004)</f>
        <v>28.512</v>
      </c>
      <c r="BM88" s="71">
        <f>IFERROR(__xludf.DUMMYFUNCTION("""COMPUTED_VALUE"""),206.71200000000002)</f>
        <v>206.712</v>
      </c>
      <c r="BN88" s="71">
        <f>IFERROR(__xludf.DUMMYFUNCTION("""COMPUTED_VALUE"""),168.29999999999998)</f>
        <v>168.3</v>
      </c>
      <c r="BO88" s="71">
        <f>IFERROR(__xludf.DUMMYFUNCTION("""COMPUTED_VALUE"""),26.927999999999997)</f>
        <v>26.928</v>
      </c>
      <c r="BP88" s="71">
        <f>IFERROR(__xludf.DUMMYFUNCTION("""COMPUTED_VALUE"""),195.22799999999998)</f>
        <v>195.228</v>
      </c>
      <c r="BQ88" s="71">
        <f>IFERROR(__xludf.DUMMYFUNCTION("""COMPUTED_VALUE"""),164.34)</f>
        <v>164.34</v>
      </c>
      <c r="BR88" s="71">
        <f>IFERROR(__xludf.DUMMYFUNCTION("""COMPUTED_VALUE"""),26.2944)</f>
        <v>26.2944</v>
      </c>
      <c r="BS88" s="71">
        <f>IFERROR(__xludf.DUMMYFUNCTION("""COMPUTED_VALUE"""),190.6344)</f>
        <v>190.6344</v>
      </c>
      <c r="BT88" s="71">
        <f>IFERROR(__xludf.DUMMYFUNCTION("""COMPUTED_VALUE"""),158.4)</f>
        <v>158.4</v>
      </c>
      <c r="BU88" s="71">
        <f>IFERROR(__xludf.DUMMYFUNCTION("""COMPUTED_VALUE"""),25.344)</f>
        <v>25.344</v>
      </c>
      <c r="BV88" s="71">
        <f>IFERROR(__xludf.DUMMYFUNCTION("""COMPUTED_VALUE"""),183.744)</f>
        <v>183.744</v>
      </c>
    </row>
    <row r="89">
      <c r="A89" s="53">
        <v>1.0</v>
      </c>
      <c r="B89" s="53"/>
      <c r="C89" s="73" t="s">
        <v>12</v>
      </c>
      <c r="D89" s="53" t="s">
        <v>256</v>
      </c>
      <c r="E89" s="54" t="s">
        <v>38</v>
      </c>
      <c r="F89" s="54" t="s">
        <v>42</v>
      </c>
      <c r="G89" s="88" t="s">
        <v>257</v>
      </c>
      <c r="H89" s="54" t="s">
        <v>258</v>
      </c>
      <c r="I89" s="54">
        <f t="shared" si="1"/>
        <v>40</v>
      </c>
      <c r="J89" s="56"/>
      <c r="K89" s="57"/>
      <c r="L89" s="87"/>
      <c r="M89" s="59"/>
      <c r="N89" s="60">
        <v>6858.0</v>
      </c>
      <c r="O89" s="61">
        <v>3553.0</v>
      </c>
      <c r="P89" s="62">
        <v>3837.2400000000002</v>
      </c>
      <c r="Q89" s="63">
        <v>3837.2400000000002</v>
      </c>
      <c r="R89" s="64">
        <v>4272.0</v>
      </c>
      <c r="S89" s="111">
        <v>4486.0</v>
      </c>
      <c r="T89" s="65">
        <f t="shared" si="2"/>
        <v>717.76</v>
      </c>
      <c r="U89" s="65">
        <f t="shared" si="3"/>
        <v>5203.76</v>
      </c>
      <c r="V89" s="66">
        <f t="shared" si="4"/>
        <v>0.05009363296</v>
      </c>
      <c r="W89" s="67">
        <f t="shared" si="5"/>
        <v>4261.7</v>
      </c>
      <c r="X89" s="67">
        <f t="shared" si="6"/>
        <v>681.872</v>
      </c>
      <c r="Y89" s="67">
        <f t="shared" si="7"/>
        <v>4943.572</v>
      </c>
      <c r="Z89" s="67">
        <f t="shared" si="8"/>
        <v>4037.4</v>
      </c>
      <c r="AA89" s="67">
        <f t="shared" si="9"/>
        <v>645.984</v>
      </c>
      <c r="AB89" s="67">
        <f t="shared" si="10"/>
        <v>4683.384</v>
      </c>
      <c r="AC89" s="67">
        <f t="shared" si="11"/>
        <v>3813.1</v>
      </c>
      <c r="AD89" s="67">
        <f t="shared" si="12"/>
        <v>610.096</v>
      </c>
      <c r="AE89" s="67">
        <f t="shared" si="13"/>
        <v>4423.196</v>
      </c>
      <c r="AF89" s="67">
        <f t="shared" si="14"/>
        <v>3723.38</v>
      </c>
      <c r="AG89" s="67">
        <f t="shared" si="15"/>
        <v>595.7408</v>
      </c>
      <c r="AH89" s="67">
        <f t="shared" si="16"/>
        <v>4319.1208</v>
      </c>
      <c r="AI89" s="67">
        <f t="shared" si="17"/>
        <v>3588.8</v>
      </c>
      <c r="AJ89" s="68">
        <f t="shared" si="20"/>
        <v>574.208</v>
      </c>
      <c r="AK89" s="68">
        <f t="shared" si="21"/>
        <v>4163.008</v>
      </c>
      <c r="AL89" s="70">
        <f>IFERROR(__xludf.DUMMYFUNCTION("""COMPUTED_VALUE"""),1.0)</f>
        <v>1</v>
      </c>
      <c r="AM89" s="70">
        <f>IFERROR(__xludf.DUMMYFUNCTION("""COMPUTED_VALUE"""),3.0)</f>
        <v>3</v>
      </c>
      <c r="AN89" s="71" t="str">
        <f>IFERROR(__xludf.DUMMYFUNCTION("""COMPUTED_VALUE""")," C")</f>
        <v>C</v>
      </c>
      <c r="AO89" s="71" t="str">
        <f>IFERROR(__xludf.DUMMYFUNCTION("""COMPUTED_VALUE""")," BA16")</f>
        <v>BA16</v>
      </c>
      <c r="AP89" s="71" t="str">
        <f>IFERROR(__xludf.DUMMYFUNCTION("""COMPUTED_VALUE""")," PZA")</f>
        <v>PZA</v>
      </c>
      <c r="AQ89" s="71" t="str">
        <f>IFERROR(__xludf.DUMMYFUNCTION("""COMPUTED_VALUE""")," REF")</f>
        <v>REF</v>
      </c>
      <c r="AR89" s="71" t="str">
        <f>IFERROR(__xludf.DUMMYFUNCTION("""COMPUTED_VALUE""")," BALERO 7206 ZKL/ZVL")</f>
        <v>BALERO 7206 ZKL/ZVL</v>
      </c>
      <c r="AS89" s="71" t="str">
        <f>IFERROR(__xludf.DUMMYFUNCTION("""COMPUTED_VALUE""")," BALERO 7206 ZKL/ZVL")</f>
        <v>BALERO 7206 ZKL/ZVL</v>
      </c>
      <c r="AT89" s="71">
        <f>IFERROR(__xludf.DUMMYFUNCTION("""COMPUTED_VALUE"""),19.0)</f>
        <v>19</v>
      </c>
      <c r="AU89" s="71"/>
      <c r="AV89" s="71"/>
      <c r="AW89" s="71"/>
      <c r="AX89" s="71"/>
      <c r="AY89" s="71">
        <f>IFERROR(__xludf.DUMMYFUNCTION("""COMPUTED_VALUE"""),274.0)</f>
        <v>274</v>
      </c>
      <c r="AZ89" s="71">
        <f>IFERROR(__xludf.DUMMYFUNCTION("""COMPUTED_VALUE"""),295.0)</f>
        <v>295</v>
      </c>
      <c r="BA89" s="71">
        <f>IFERROR(__xludf.DUMMYFUNCTION("""COMPUTED_VALUE"""),318.6)</f>
        <v>318.6</v>
      </c>
      <c r="BB89" s="71">
        <f>IFERROR(__xludf.DUMMYFUNCTION("""COMPUTED_VALUE"""),318.6)</f>
        <v>318.6</v>
      </c>
      <c r="BC89" s="71">
        <f>IFERROR(__xludf.DUMMYFUNCTION("""COMPUTED_VALUE"""),355.0)</f>
        <v>355</v>
      </c>
      <c r="BD89" s="71">
        <f>IFERROR(__xludf.DUMMYFUNCTION("""COMPUTED_VALUE"""),373.0)</f>
        <v>373</v>
      </c>
      <c r="BE89" s="71">
        <f>IFERROR(__xludf.DUMMYFUNCTION("""COMPUTED_VALUE"""),59.68)</f>
        <v>59.68</v>
      </c>
      <c r="BF89" s="71">
        <f>IFERROR(__xludf.DUMMYFUNCTION("""COMPUTED_VALUE"""),432.68)</f>
        <v>432.68</v>
      </c>
      <c r="BG89" s="71">
        <f>IFERROR(__xludf.DUMMYFUNCTION("""COMPUTED_VALUE"""),0.05070422535211268)</f>
        <v>0.05070422535</v>
      </c>
      <c r="BH89" s="71">
        <f>IFERROR(__xludf.DUMMYFUNCTION("""COMPUTED_VALUE"""),354.34999999999997)</f>
        <v>354.35</v>
      </c>
      <c r="BI89" s="71">
        <f>IFERROR(__xludf.DUMMYFUNCTION("""COMPUTED_VALUE"""),56.696)</f>
        <v>56.696</v>
      </c>
      <c r="BJ89" s="71">
        <f>IFERROR(__xludf.DUMMYFUNCTION("""COMPUTED_VALUE"""),411.04599999999994)</f>
        <v>411.046</v>
      </c>
      <c r="BK89" s="71">
        <f>IFERROR(__xludf.DUMMYFUNCTION("""COMPUTED_VALUE"""),335.7)</f>
        <v>335.7</v>
      </c>
      <c r="BL89" s="71">
        <f>IFERROR(__xludf.DUMMYFUNCTION("""COMPUTED_VALUE"""),53.711999999999996)</f>
        <v>53.712</v>
      </c>
      <c r="BM89" s="71">
        <f>IFERROR(__xludf.DUMMYFUNCTION("""COMPUTED_VALUE"""),389.412)</f>
        <v>389.412</v>
      </c>
      <c r="BN89" s="71">
        <f>IFERROR(__xludf.DUMMYFUNCTION("""COMPUTED_VALUE"""),335.7)</f>
        <v>335.7</v>
      </c>
      <c r="BO89" s="71">
        <f>IFERROR(__xludf.DUMMYFUNCTION("""COMPUTED_VALUE"""),53.711999999999996)</f>
        <v>53.712</v>
      </c>
      <c r="BP89" s="71">
        <f>IFERROR(__xludf.DUMMYFUNCTION("""COMPUTED_VALUE"""),389.412)</f>
        <v>389.412</v>
      </c>
      <c r="BQ89" s="71">
        <f>IFERROR(__xludf.DUMMYFUNCTION("""COMPUTED_VALUE"""),335.7)</f>
        <v>335.7</v>
      </c>
      <c r="BR89" s="71">
        <f>IFERROR(__xludf.DUMMYFUNCTION("""COMPUTED_VALUE"""),53.711999999999996)</f>
        <v>53.712</v>
      </c>
      <c r="BS89" s="71">
        <f>IFERROR(__xludf.DUMMYFUNCTION("""COMPUTED_VALUE"""),389.412)</f>
        <v>389.412</v>
      </c>
      <c r="BT89" s="71">
        <f>IFERROR(__xludf.DUMMYFUNCTION("""COMPUTED_VALUE"""),335.7)</f>
        <v>335.7</v>
      </c>
      <c r="BU89" s="71">
        <f>IFERROR(__xludf.DUMMYFUNCTION("""COMPUTED_VALUE"""),53.711999999999996)</f>
        <v>53.712</v>
      </c>
      <c r="BV89" s="71">
        <f>IFERROR(__xludf.DUMMYFUNCTION("""COMPUTED_VALUE"""),389.412)</f>
        <v>389.412</v>
      </c>
    </row>
    <row r="90">
      <c r="A90" s="53">
        <v>1.0</v>
      </c>
      <c r="B90" s="53"/>
      <c r="C90" s="73" t="s">
        <v>12</v>
      </c>
      <c r="D90" s="53" t="s">
        <v>259</v>
      </c>
      <c r="E90" s="54" t="s">
        <v>38</v>
      </c>
      <c r="F90" s="54" t="s">
        <v>42</v>
      </c>
      <c r="G90" s="88" t="s">
        <v>260</v>
      </c>
      <c r="H90" s="54" t="s">
        <v>261</v>
      </c>
      <c r="I90" s="54">
        <f t="shared" si="1"/>
        <v>40</v>
      </c>
      <c r="J90" s="56"/>
      <c r="K90" s="57"/>
      <c r="L90" s="76"/>
      <c r="M90" s="59"/>
      <c r="N90" s="60">
        <v>3341.0</v>
      </c>
      <c r="O90" s="61">
        <v>3608.0</v>
      </c>
      <c r="P90" s="62">
        <v>3896.6400000000003</v>
      </c>
      <c r="Q90" s="63">
        <v>3896.6400000000003</v>
      </c>
      <c r="R90" s="64">
        <v>4092.0</v>
      </c>
      <c r="S90" s="65">
        <v>2443.0</v>
      </c>
      <c r="T90" s="65">
        <f t="shared" si="2"/>
        <v>390.88</v>
      </c>
      <c r="U90" s="65">
        <f t="shared" si="3"/>
        <v>2833.88</v>
      </c>
      <c r="V90" s="66">
        <f t="shared" si="4"/>
        <v>-0.4029814272</v>
      </c>
      <c r="W90" s="67">
        <f t="shared" si="5"/>
        <v>2320.85</v>
      </c>
      <c r="X90" s="67">
        <f t="shared" si="6"/>
        <v>371.336</v>
      </c>
      <c r="Y90" s="67">
        <f t="shared" si="7"/>
        <v>2692.186</v>
      </c>
      <c r="Z90" s="67">
        <f t="shared" si="8"/>
        <v>2198.7</v>
      </c>
      <c r="AA90" s="67">
        <f t="shared" si="9"/>
        <v>351.792</v>
      </c>
      <c r="AB90" s="67">
        <f t="shared" si="10"/>
        <v>2550.492</v>
      </c>
      <c r="AC90" s="67">
        <f t="shared" si="11"/>
        <v>2076.55</v>
      </c>
      <c r="AD90" s="67">
        <f t="shared" si="12"/>
        <v>332.248</v>
      </c>
      <c r="AE90" s="67">
        <f t="shared" si="13"/>
        <v>2408.798</v>
      </c>
      <c r="AF90" s="67">
        <f t="shared" si="14"/>
        <v>2027.69</v>
      </c>
      <c r="AG90" s="67">
        <f t="shared" si="15"/>
        <v>324.4304</v>
      </c>
      <c r="AH90" s="67">
        <f t="shared" si="16"/>
        <v>2352.1204</v>
      </c>
      <c r="AI90" s="67">
        <f t="shared" si="17"/>
        <v>1954.4</v>
      </c>
      <c r="AJ90" s="68">
        <f t="shared" si="20"/>
        <v>312.704</v>
      </c>
      <c r="AK90" s="68">
        <f t="shared" si="21"/>
        <v>2267.104</v>
      </c>
      <c r="AL90" s="70">
        <f>IFERROR(__xludf.DUMMYFUNCTION("""COMPUTED_VALUE"""),1.0)</f>
        <v>1</v>
      </c>
      <c r="AM90" s="70"/>
      <c r="AN90" s="71" t="str">
        <f>IFERROR(__xludf.DUMMYFUNCTION("""COMPUTED_VALUE""")," C")</f>
        <v>C</v>
      </c>
      <c r="AO90" s="71" t="str">
        <f>IFERROR(__xludf.DUMMYFUNCTION("""COMPUTED_VALUE""")," BA18")</f>
        <v>BA18</v>
      </c>
      <c r="AP90" s="71" t="str">
        <f>IFERROR(__xludf.DUMMYFUNCTION("""COMPUTED_VALUE""")," PZA")</f>
        <v>PZA</v>
      </c>
      <c r="AQ90" s="71" t="str">
        <f>IFERROR(__xludf.DUMMYFUNCTION("""COMPUTED_VALUE""")," REF")</f>
        <v>REF</v>
      </c>
      <c r="AR90" s="71" t="str">
        <f>IFERROR(__xludf.DUMMYFUNCTION("""COMPUTED_VALUE""")," BALERO 7210 MULTIMARCA")</f>
        <v>BALERO 7210 MULTIMARCA</v>
      </c>
      <c r="AS90" s="71" t="str">
        <f>IFERROR(__xludf.DUMMYFUNCTION("""COMPUTED_VALUE""")," BALERO 7210 MULTIMARCA")</f>
        <v>BALERO 7210 MULTIMARCA</v>
      </c>
      <c r="AT90" s="71">
        <f>IFERROR(__xludf.DUMMYFUNCTION("""COMPUTED_VALUE"""),22.0)</f>
        <v>22</v>
      </c>
      <c r="AU90" s="71"/>
      <c r="AV90" s="71"/>
      <c r="AW90" s="71"/>
      <c r="AX90" s="71"/>
      <c r="AY90" s="71">
        <f>IFERROR(__xludf.DUMMYFUNCTION("""COMPUTED_VALUE"""),260.0)</f>
        <v>260</v>
      </c>
      <c r="AZ90" s="71">
        <f>IFERROR(__xludf.DUMMYFUNCTION("""COMPUTED_VALUE"""),280.0)</f>
        <v>280</v>
      </c>
      <c r="BA90" s="71">
        <f>IFERROR(__xludf.DUMMYFUNCTION("""COMPUTED_VALUE"""),302.40000000000003)</f>
        <v>302.4</v>
      </c>
      <c r="BB90" s="71">
        <f>IFERROR(__xludf.DUMMYFUNCTION("""COMPUTED_VALUE"""),302.40000000000003)</f>
        <v>302.4</v>
      </c>
      <c r="BC90" s="71">
        <f>IFERROR(__xludf.DUMMYFUNCTION("""COMPUTED_VALUE"""),344.0)</f>
        <v>344</v>
      </c>
      <c r="BD90" s="71">
        <f>IFERROR(__xludf.DUMMYFUNCTION("""COMPUTED_VALUE"""),361.0)</f>
        <v>361</v>
      </c>
      <c r="BE90" s="71">
        <f>IFERROR(__xludf.DUMMYFUNCTION("""COMPUTED_VALUE"""),57.76)</f>
        <v>57.76</v>
      </c>
      <c r="BF90" s="71">
        <f>IFERROR(__xludf.DUMMYFUNCTION("""COMPUTED_VALUE"""),418.76)</f>
        <v>418.76</v>
      </c>
      <c r="BG90" s="71">
        <f>IFERROR(__xludf.DUMMYFUNCTION("""COMPUTED_VALUE"""),0.04941860465116279)</f>
        <v>0.04941860465</v>
      </c>
      <c r="BH90" s="71">
        <f>IFERROR(__xludf.DUMMYFUNCTION("""COMPUTED_VALUE"""),342.95)</f>
        <v>342.95</v>
      </c>
      <c r="BI90" s="71">
        <f>IFERROR(__xludf.DUMMYFUNCTION("""COMPUTED_VALUE"""),54.872)</f>
        <v>54.872</v>
      </c>
      <c r="BJ90" s="71">
        <f>IFERROR(__xludf.DUMMYFUNCTION("""COMPUTED_VALUE"""),397.822)</f>
        <v>397.822</v>
      </c>
      <c r="BK90" s="71">
        <f>IFERROR(__xludf.DUMMYFUNCTION("""COMPUTED_VALUE"""),324.90000000000003)</f>
        <v>324.9</v>
      </c>
      <c r="BL90" s="71">
        <f>IFERROR(__xludf.DUMMYFUNCTION("""COMPUTED_VALUE"""),51.98400000000001)</f>
        <v>51.984</v>
      </c>
      <c r="BM90" s="71">
        <f>IFERROR(__xludf.DUMMYFUNCTION("""COMPUTED_VALUE"""),376.884)</f>
        <v>376.884</v>
      </c>
      <c r="BN90" s="71">
        <f>IFERROR(__xludf.DUMMYFUNCTION("""COMPUTED_VALUE"""),306.84999999999997)</f>
        <v>306.85</v>
      </c>
      <c r="BO90" s="71">
        <f>IFERROR(__xludf.DUMMYFUNCTION("""COMPUTED_VALUE"""),49.096)</f>
        <v>49.096</v>
      </c>
      <c r="BP90" s="71">
        <f>IFERROR(__xludf.DUMMYFUNCTION("""COMPUTED_VALUE"""),355.94599999999997)</f>
        <v>355.946</v>
      </c>
      <c r="BQ90" s="71">
        <f>IFERROR(__xludf.DUMMYFUNCTION("""COMPUTED_VALUE"""),299.63)</f>
        <v>299.63</v>
      </c>
      <c r="BR90" s="71">
        <f>IFERROR(__xludf.DUMMYFUNCTION("""COMPUTED_VALUE"""),47.9408)</f>
        <v>47.9408</v>
      </c>
      <c r="BS90" s="71">
        <f>IFERROR(__xludf.DUMMYFUNCTION("""COMPUTED_VALUE"""),347.5708)</f>
        <v>347.5708</v>
      </c>
      <c r="BT90" s="71">
        <f>IFERROR(__xludf.DUMMYFUNCTION("""COMPUTED_VALUE"""),288.8)</f>
        <v>288.8</v>
      </c>
      <c r="BU90" s="71">
        <f>IFERROR(__xludf.DUMMYFUNCTION("""COMPUTED_VALUE"""),46.208000000000006)</f>
        <v>46.208</v>
      </c>
      <c r="BV90" s="71">
        <f>IFERROR(__xludf.DUMMYFUNCTION("""COMPUTED_VALUE"""),335.00800000000004)</f>
        <v>335.008</v>
      </c>
    </row>
    <row r="91">
      <c r="A91" s="53">
        <v>1.0</v>
      </c>
      <c r="B91" s="53"/>
      <c r="C91" s="73" t="s">
        <v>12</v>
      </c>
      <c r="D91" s="53" t="s">
        <v>262</v>
      </c>
      <c r="E91" s="54" t="s">
        <v>38</v>
      </c>
      <c r="F91" s="54" t="s">
        <v>42</v>
      </c>
      <c r="G91" s="88" t="s">
        <v>263</v>
      </c>
      <c r="H91" s="54" t="s">
        <v>264</v>
      </c>
      <c r="I91" s="54">
        <f t="shared" si="1"/>
        <v>40</v>
      </c>
      <c r="J91" s="56"/>
      <c r="K91" s="57"/>
      <c r="L91" s="76"/>
      <c r="M91" s="59"/>
      <c r="N91" s="60">
        <v>3341.0</v>
      </c>
      <c r="O91" s="61">
        <v>3608.0</v>
      </c>
      <c r="P91" s="62">
        <v>3896.6400000000003</v>
      </c>
      <c r="Q91" s="63">
        <v>3896.6400000000003</v>
      </c>
      <c r="R91" s="64">
        <v>4338.0</v>
      </c>
      <c r="S91" s="65">
        <v>2443.0</v>
      </c>
      <c r="T91" s="65">
        <f t="shared" si="2"/>
        <v>390.88</v>
      </c>
      <c r="U91" s="65">
        <f t="shared" si="3"/>
        <v>2833.88</v>
      </c>
      <c r="V91" s="66">
        <f t="shared" si="4"/>
        <v>-0.4368372522</v>
      </c>
      <c r="W91" s="67">
        <f t="shared" si="5"/>
        <v>2320.85</v>
      </c>
      <c r="X91" s="67">
        <f t="shared" si="6"/>
        <v>371.336</v>
      </c>
      <c r="Y91" s="67">
        <f t="shared" si="7"/>
        <v>2692.186</v>
      </c>
      <c r="Z91" s="67">
        <f t="shared" si="8"/>
        <v>2198.7</v>
      </c>
      <c r="AA91" s="67">
        <f t="shared" si="9"/>
        <v>351.792</v>
      </c>
      <c r="AB91" s="67">
        <f t="shared" si="10"/>
        <v>2550.492</v>
      </c>
      <c r="AC91" s="67">
        <f t="shared" si="11"/>
        <v>2076.55</v>
      </c>
      <c r="AD91" s="67">
        <f t="shared" si="12"/>
        <v>332.248</v>
      </c>
      <c r="AE91" s="67">
        <f t="shared" si="13"/>
        <v>2408.798</v>
      </c>
      <c r="AF91" s="67">
        <f t="shared" si="14"/>
        <v>2027.69</v>
      </c>
      <c r="AG91" s="67">
        <f t="shared" si="15"/>
        <v>324.4304</v>
      </c>
      <c r="AH91" s="67">
        <f t="shared" si="16"/>
        <v>2352.1204</v>
      </c>
      <c r="AI91" s="67">
        <f t="shared" si="17"/>
        <v>1954.4</v>
      </c>
      <c r="AJ91" s="68">
        <f t="shared" si="20"/>
        <v>312.704</v>
      </c>
      <c r="AK91" s="68">
        <f t="shared" si="21"/>
        <v>2267.104</v>
      </c>
      <c r="AL91" s="70">
        <f>IFERROR(__xludf.DUMMYFUNCTION("""COMPUTED_VALUE"""),1.0)</f>
        <v>1</v>
      </c>
      <c r="AM91" s="70">
        <f>IFERROR(__xludf.DUMMYFUNCTION("""COMPUTED_VALUE"""),3.0)</f>
        <v>3</v>
      </c>
      <c r="AN91" s="71" t="str">
        <f>IFERROR(__xludf.DUMMYFUNCTION("""COMPUTED_VALUE""")," C")</f>
        <v>C</v>
      </c>
      <c r="AO91" s="71" t="str">
        <f>IFERROR(__xludf.DUMMYFUNCTION("""COMPUTED_VALUE""")," BA19")</f>
        <v>BA19</v>
      </c>
      <c r="AP91" s="71" t="str">
        <f>IFERROR(__xludf.DUMMYFUNCTION("""COMPUTED_VALUE""")," PZA")</f>
        <v>PZA</v>
      </c>
      <c r="AQ91" s="71" t="str">
        <f>IFERROR(__xludf.DUMMYFUNCTION("""COMPUTED_VALUE""")," REF")</f>
        <v>REF</v>
      </c>
      <c r="AR91" s="71" t="str">
        <f>IFERROR(__xludf.DUMMYFUNCTION("""COMPUTED_VALUE""")," BALERO 7210 ZKL/ZVL")</f>
        <v>BALERO 7210 ZKL/ZVL</v>
      </c>
      <c r="AS91" s="71" t="str">
        <f>IFERROR(__xludf.DUMMYFUNCTION("""COMPUTED_VALUE""")," BALERO 7210 ZKL/ZVL")</f>
        <v>BALERO 7210 ZKL/ZVL</v>
      </c>
      <c r="AT91" s="71">
        <f>IFERROR(__xludf.DUMMYFUNCTION("""COMPUTED_VALUE"""),19.0)</f>
        <v>19</v>
      </c>
      <c r="AU91" s="71"/>
      <c r="AV91" s="71"/>
      <c r="AW91" s="71"/>
      <c r="AX91" s="71"/>
      <c r="AY91" s="71">
        <f>IFERROR(__xludf.DUMMYFUNCTION("""COMPUTED_VALUE"""),410.0)</f>
        <v>410</v>
      </c>
      <c r="AZ91" s="71">
        <f>IFERROR(__xludf.DUMMYFUNCTION("""COMPUTED_VALUE"""),442.0)</f>
        <v>442</v>
      </c>
      <c r="BA91" s="71">
        <f>IFERROR(__xludf.DUMMYFUNCTION("""COMPUTED_VALUE"""),477.36)</f>
        <v>477.36</v>
      </c>
      <c r="BB91" s="71">
        <f>IFERROR(__xludf.DUMMYFUNCTION("""COMPUTED_VALUE"""),477.36)</f>
        <v>477.36</v>
      </c>
      <c r="BC91" s="71">
        <f>IFERROR(__xludf.DUMMYFUNCTION("""COMPUTED_VALUE"""),532.0)</f>
        <v>532</v>
      </c>
      <c r="BD91" s="71">
        <f>IFERROR(__xludf.DUMMYFUNCTION("""COMPUTED_VALUE"""),559.0)</f>
        <v>559</v>
      </c>
      <c r="BE91" s="71">
        <f>IFERROR(__xludf.DUMMYFUNCTION("""COMPUTED_VALUE"""),89.44)</f>
        <v>89.44</v>
      </c>
      <c r="BF91" s="71">
        <f>IFERROR(__xludf.DUMMYFUNCTION("""COMPUTED_VALUE"""),648.44)</f>
        <v>648.44</v>
      </c>
      <c r="BG91" s="71">
        <f>IFERROR(__xludf.DUMMYFUNCTION("""COMPUTED_VALUE"""),0.05075187969924812)</f>
        <v>0.0507518797</v>
      </c>
      <c r="BH91" s="71">
        <f>IFERROR(__xludf.DUMMYFUNCTION("""COMPUTED_VALUE"""),531.05)</f>
        <v>531.05</v>
      </c>
      <c r="BI91" s="71">
        <f>IFERROR(__xludf.DUMMYFUNCTION("""COMPUTED_VALUE"""),84.96799999999999)</f>
        <v>84.968</v>
      </c>
      <c r="BJ91" s="71">
        <f>IFERROR(__xludf.DUMMYFUNCTION("""COMPUTED_VALUE"""),616.0179999999999)</f>
        <v>616.018</v>
      </c>
      <c r="BK91" s="71">
        <f>IFERROR(__xludf.DUMMYFUNCTION("""COMPUTED_VALUE"""),503.1)</f>
        <v>503.1</v>
      </c>
      <c r="BL91" s="71">
        <f>IFERROR(__xludf.DUMMYFUNCTION("""COMPUTED_VALUE"""),80.49600000000001)</f>
        <v>80.496</v>
      </c>
      <c r="BM91" s="71">
        <f>IFERROR(__xludf.DUMMYFUNCTION("""COMPUTED_VALUE"""),583.596)</f>
        <v>583.596</v>
      </c>
      <c r="BN91" s="71">
        <f>IFERROR(__xludf.DUMMYFUNCTION("""COMPUTED_VALUE"""),503.1)</f>
        <v>503.1</v>
      </c>
      <c r="BO91" s="71">
        <f>IFERROR(__xludf.DUMMYFUNCTION("""COMPUTED_VALUE"""),80.49600000000001)</f>
        <v>80.496</v>
      </c>
      <c r="BP91" s="71">
        <f>IFERROR(__xludf.DUMMYFUNCTION("""COMPUTED_VALUE"""),583.596)</f>
        <v>583.596</v>
      </c>
      <c r="BQ91" s="71">
        <f>IFERROR(__xludf.DUMMYFUNCTION("""COMPUTED_VALUE"""),503.1)</f>
        <v>503.1</v>
      </c>
      <c r="BR91" s="71">
        <f>IFERROR(__xludf.DUMMYFUNCTION("""COMPUTED_VALUE"""),80.49600000000001)</f>
        <v>80.496</v>
      </c>
      <c r="BS91" s="71">
        <f>IFERROR(__xludf.DUMMYFUNCTION("""COMPUTED_VALUE"""),583.596)</f>
        <v>583.596</v>
      </c>
      <c r="BT91" s="71">
        <f>IFERROR(__xludf.DUMMYFUNCTION("""COMPUTED_VALUE"""),503.1)</f>
        <v>503.1</v>
      </c>
      <c r="BU91" s="71">
        <f>IFERROR(__xludf.DUMMYFUNCTION("""COMPUTED_VALUE"""),80.49600000000001)</f>
        <v>80.496</v>
      </c>
      <c r="BV91" s="71">
        <f>IFERROR(__xludf.DUMMYFUNCTION("""COMPUTED_VALUE"""),583.596)</f>
        <v>583.596</v>
      </c>
    </row>
    <row r="92">
      <c r="A92" s="53">
        <v>1.0</v>
      </c>
      <c r="B92" s="53"/>
      <c r="C92" s="73" t="s">
        <v>12</v>
      </c>
      <c r="D92" s="53" t="s">
        <v>265</v>
      </c>
      <c r="E92" s="54" t="s">
        <v>38</v>
      </c>
      <c r="F92" s="54" t="s">
        <v>42</v>
      </c>
      <c r="G92" s="88" t="s">
        <v>266</v>
      </c>
      <c r="H92" s="54" t="s">
        <v>267</v>
      </c>
      <c r="I92" s="54">
        <f t="shared" si="1"/>
        <v>37</v>
      </c>
      <c r="J92" s="56"/>
      <c r="K92" s="57"/>
      <c r="L92" s="87"/>
      <c r="M92" s="59"/>
      <c r="N92" s="60">
        <v>2400.0</v>
      </c>
      <c r="O92" s="61">
        <v>1243.0</v>
      </c>
      <c r="P92" s="62">
        <v>1342.44</v>
      </c>
      <c r="Q92" s="63">
        <v>1342.44</v>
      </c>
      <c r="R92" s="64">
        <v>1411.0</v>
      </c>
      <c r="S92" s="111">
        <v>1482.0</v>
      </c>
      <c r="T92" s="65">
        <f t="shared" si="2"/>
        <v>237.12</v>
      </c>
      <c r="U92" s="65">
        <f t="shared" si="3"/>
        <v>1719.12</v>
      </c>
      <c r="V92" s="66">
        <f t="shared" si="4"/>
        <v>0.05031892275</v>
      </c>
      <c r="W92" s="67">
        <f t="shared" si="5"/>
        <v>1407.9</v>
      </c>
      <c r="X92" s="67">
        <f t="shared" si="6"/>
        <v>225.264</v>
      </c>
      <c r="Y92" s="67">
        <f t="shared" si="7"/>
        <v>1633.164</v>
      </c>
      <c r="Z92" s="67">
        <f t="shared" si="8"/>
        <v>1333.8</v>
      </c>
      <c r="AA92" s="67">
        <f t="shared" si="9"/>
        <v>213.408</v>
      </c>
      <c r="AB92" s="67">
        <f t="shared" si="10"/>
        <v>1547.208</v>
      </c>
      <c r="AC92" s="67">
        <f t="shared" si="11"/>
        <v>1259.7</v>
      </c>
      <c r="AD92" s="67">
        <f t="shared" si="12"/>
        <v>201.552</v>
      </c>
      <c r="AE92" s="67">
        <f t="shared" si="13"/>
        <v>1461.252</v>
      </c>
      <c r="AF92" s="67">
        <f t="shared" si="14"/>
        <v>1230.06</v>
      </c>
      <c r="AG92" s="67">
        <f t="shared" si="15"/>
        <v>196.8096</v>
      </c>
      <c r="AH92" s="67">
        <f t="shared" si="16"/>
        <v>1426.8696</v>
      </c>
      <c r="AI92" s="67">
        <f t="shared" si="17"/>
        <v>1185.6</v>
      </c>
      <c r="AJ92" s="68">
        <f t="shared" si="20"/>
        <v>189.696</v>
      </c>
      <c r="AK92" s="68">
        <f t="shared" si="21"/>
        <v>1375.296</v>
      </c>
      <c r="AL92" s="70">
        <f>IFERROR(__xludf.DUMMYFUNCTION("""COMPUTED_VALUE"""),1.0)</f>
        <v>1</v>
      </c>
      <c r="AM92" s="70"/>
      <c r="AN92" s="71" t="str">
        <f>IFERROR(__xludf.DUMMYFUNCTION("""COMPUTED_VALUE""")," C")</f>
        <v>C</v>
      </c>
      <c r="AO92" s="71" t="str">
        <f>IFERROR(__xludf.DUMMYFUNCTION("""COMPUTED_VALUE""")," BA46")</f>
        <v>BA46</v>
      </c>
      <c r="AP92" s="71" t="str">
        <f>IFERROR(__xludf.DUMMYFUNCTION("""COMPUTED_VALUE""")," PZA")</f>
        <v>PZA</v>
      </c>
      <c r="AQ92" s="71" t="str">
        <f>IFERROR(__xludf.DUMMYFUNCTION("""COMPUTED_VALUE""")," REF")</f>
        <v>REF</v>
      </c>
      <c r="AR92" s="71" t="str">
        <f>IFERROR(__xludf.DUMMYFUNCTION("""COMPUTED_VALUE""")," BALERO R10ZZ MULTIMARCA")</f>
        <v>BALERO R10ZZ MULTIMARCA</v>
      </c>
      <c r="AS92" s="71" t="str">
        <f>IFERROR(__xludf.DUMMYFUNCTION("""COMPUTED_VALUE""")," BALERO R10ZZ MULTIMARCA")</f>
        <v>BALERO R10ZZ MULTIMARCA</v>
      </c>
      <c r="AT92" s="71">
        <f>IFERROR(__xludf.DUMMYFUNCTION("""COMPUTED_VALUE"""),23.0)</f>
        <v>23</v>
      </c>
      <c r="AU92" s="71"/>
      <c r="AV92" s="71"/>
      <c r="AW92" s="71"/>
      <c r="AX92" s="71"/>
      <c r="AY92" s="71">
        <f>IFERROR(__xludf.DUMMYFUNCTION("""COMPUTED_VALUE"""),18.0)</f>
        <v>18</v>
      </c>
      <c r="AZ92" s="71">
        <f>IFERROR(__xludf.DUMMYFUNCTION("""COMPUTED_VALUE"""),19.0)</f>
        <v>19</v>
      </c>
      <c r="BA92" s="71">
        <f>IFERROR(__xludf.DUMMYFUNCTION("""COMPUTED_VALUE"""),20.520000000000003)</f>
        <v>20.52</v>
      </c>
      <c r="BB92" s="71">
        <f>IFERROR(__xludf.DUMMYFUNCTION("""COMPUTED_VALUE"""),20.520000000000003)</f>
        <v>20.52</v>
      </c>
      <c r="BC92" s="71">
        <f>IFERROR(__xludf.DUMMYFUNCTION("""COMPUTED_VALUE"""),23.0)</f>
        <v>23</v>
      </c>
      <c r="BD92" s="71">
        <f>IFERROR(__xludf.DUMMYFUNCTION("""COMPUTED_VALUE"""),24.0)</f>
        <v>24</v>
      </c>
      <c r="BE92" s="71">
        <f>IFERROR(__xludf.DUMMYFUNCTION("""COMPUTED_VALUE"""),3.84)</f>
        <v>3.84</v>
      </c>
      <c r="BF92" s="71">
        <f>IFERROR(__xludf.DUMMYFUNCTION("""COMPUTED_VALUE"""),27.84)</f>
        <v>27.84</v>
      </c>
      <c r="BG92" s="71">
        <f>IFERROR(__xludf.DUMMYFUNCTION("""COMPUTED_VALUE"""),0.043478260869565216)</f>
        <v>0.04347826087</v>
      </c>
      <c r="BH92" s="71">
        <f>IFERROR(__xludf.DUMMYFUNCTION("""COMPUTED_VALUE"""),22.799999999999997)</f>
        <v>22.8</v>
      </c>
      <c r="BI92" s="71">
        <f>IFERROR(__xludf.DUMMYFUNCTION("""COMPUTED_VALUE"""),3.6479999999999997)</f>
        <v>3.648</v>
      </c>
      <c r="BJ92" s="71">
        <f>IFERROR(__xludf.DUMMYFUNCTION("""COMPUTED_VALUE"""),26.447999999999997)</f>
        <v>26.448</v>
      </c>
      <c r="BK92" s="71">
        <f>IFERROR(__xludf.DUMMYFUNCTION("""COMPUTED_VALUE"""),21.6)</f>
        <v>21.6</v>
      </c>
      <c r="BL92" s="71">
        <f>IFERROR(__xludf.DUMMYFUNCTION("""COMPUTED_VALUE"""),3.4560000000000004)</f>
        <v>3.456</v>
      </c>
      <c r="BM92" s="71">
        <f>IFERROR(__xludf.DUMMYFUNCTION("""COMPUTED_VALUE"""),25.056)</f>
        <v>25.056</v>
      </c>
      <c r="BN92" s="71">
        <f>IFERROR(__xludf.DUMMYFUNCTION("""COMPUTED_VALUE"""),20.4)</f>
        <v>20.4</v>
      </c>
      <c r="BO92" s="71">
        <f>IFERROR(__xludf.DUMMYFUNCTION("""COMPUTED_VALUE"""),3.264)</f>
        <v>3.264</v>
      </c>
      <c r="BP92" s="71">
        <f>IFERROR(__xludf.DUMMYFUNCTION("""COMPUTED_VALUE"""),23.663999999999998)</f>
        <v>23.664</v>
      </c>
      <c r="BQ92" s="71">
        <f>IFERROR(__xludf.DUMMYFUNCTION("""COMPUTED_VALUE"""),19.919999999999998)</f>
        <v>19.92</v>
      </c>
      <c r="BR92" s="71">
        <f>IFERROR(__xludf.DUMMYFUNCTION("""COMPUTED_VALUE"""),3.1872)</f>
        <v>3.1872</v>
      </c>
      <c r="BS92" s="71">
        <f>IFERROR(__xludf.DUMMYFUNCTION("""COMPUTED_VALUE"""),23.1072)</f>
        <v>23.1072</v>
      </c>
      <c r="BT92" s="71">
        <f>IFERROR(__xludf.DUMMYFUNCTION("""COMPUTED_VALUE"""),19.200000000000003)</f>
        <v>19.2</v>
      </c>
      <c r="BU92" s="71">
        <f>IFERROR(__xludf.DUMMYFUNCTION("""COMPUTED_VALUE"""),3.0720000000000005)</f>
        <v>3.072</v>
      </c>
      <c r="BV92" s="71">
        <f>IFERROR(__xludf.DUMMYFUNCTION("""COMPUTED_VALUE"""),22.272000000000002)</f>
        <v>22.272</v>
      </c>
    </row>
    <row r="93">
      <c r="A93" s="53">
        <v>1.0</v>
      </c>
      <c r="B93" s="53"/>
      <c r="C93" s="73" t="s">
        <v>12</v>
      </c>
      <c r="D93" s="53" t="s">
        <v>268</v>
      </c>
      <c r="E93" s="54" t="s">
        <v>38</v>
      </c>
      <c r="F93" s="54" t="s">
        <v>42</v>
      </c>
      <c r="G93" s="88" t="s">
        <v>269</v>
      </c>
      <c r="H93" s="54" t="s">
        <v>270</v>
      </c>
      <c r="I93" s="54">
        <f t="shared" si="1"/>
        <v>40</v>
      </c>
      <c r="J93" s="56"/>
      <c r="K93" s="57"/>
      <c r="L93" s="87"/>
      <c r="M93" s="59"/>
      <c r="N93" s="60">
        <v>7733.0</v>
      </c>
      <c r="O93" s="61">
        <v>4159.0</v>
      </c>
      <c r="P93" s="62">
        <v>4491.72</v>
      </c>
      <c r="Q93" s="63">
        <v>4491.72</v>
      </c>
      <c r="R93" s="64">
        <v>5001.0</v>
      </c>
      <c r="S93" s="111">
        <v>5251.0</v>
      </c>
      <c r="T93" s="65">
        <f t="shared" si="2"/>
        <v>840.16</v>
      </c>
      <c r="U93" s="65">
        <f t="shared" si="3"/>
        <v>6091.16</v>
      </c>
      <c r="V93" s="66">
        <f t="shared" si="4"/>
        <v>0.049990002</v>
      </c>
      <c r="W93" s="67">
        <f t="shared" si="5"/>
        <v>4988.45</v>
      </c>
      <c r="X93" s="67">
        <f t="shared" si="6"/>
        <v>798.152</v>
      </c>
      <c r="Y93" s="67">
        <f t="shared" si="7"/>
        <v>5786.602</v>
      </c>
      <c r="Z93" s="67">
        <f t="shared" si="8"/>
        <v>4725.9</v>
      </c>
      <c r="AA93" s="67">
        <f t="shared" si="9"/>
        <v>756.144</v>
      </c>
      <c r="AB93" s="67">
        <f t="shared" si="10"/>
        <v>5482.044</v>
      </c>
      <c r="AC93" s="67">
        <f t="shared" si="11"/>
        <v>4463.35</v>
      </c>
      <c r="AD93" s="67">
        <f t="shared" si="12"/>
        <v>714.136</v>
      </c>
      <c r="AE93" s="67">
        <f t="shared" si="13"/>
        <v>5177.486</v>
      </c>
      <c r="AF93" s="67">
        <f t="shared" si="14"/>
        <v>4358.33</v>
      </c>
      <c r="AG93" s="67">
        <f t="shared" si="15"/>
        <v>697.3328</v>
      </c>
      <c r="AH93" s="67">
        <f t="shared" si="16"/>
        <v>5055.6628</v>
      </c>
      <c r="AI93" s="67">
        <f t="shared" si="17"/>
        <v>4200.8</v>
      </c>
      <c r="AJ93" s="68">
        <f t="shared" si="20"/>
        <v>672.128</v>
      </c>
      <c r="AK93" s="68">
        <f t="shared" si="21"/>
        <v>4872.928</v>
      </c>
      <c r="AL93" s="70">
        <f>IFERROR(__xludf.DUMMYFUNCTION("""COMPUTED_VALUE"""),1.0)</f>
        <v>1</v>
      </c>
      <c r="AM93" s="70"/>
      <c r="AN93" s="71" t="str">
        <f>IFERROR(__xludf.DUMMYFUNCTION("""COMPUTED_VALUE""")," C")</f>
        <v>C</v>
      </c>
      <c r="AO93" s="71" t="str">
        <f>IFERROR(__xludf.DUMMYFUNCTION("""COMPUTED_VALUE""")," BH01")</f>
        <v>BH01</v>
      </c>
      <c r="AP93" s="71" t="str">
        <f>IFERROR(__xludf.DUMMYFUNCTION("""COMPUTED_VALUE""")," PZA")</f>
        <v>PZA</v>
      </c>
      <c r="AQ93" s="71" t="str">
        <f>IFERROR(__xludf.DUMMYFUNCTION("""COMPUTED_VALUE""")," REF")</f>
        <v>REF</v>
      </c>
      <c r="AR93" s="71" t="str">
        <f>IFERROR(__xludf.DUMMYFUNCTION("""COMPUTED_VALUE""")," BANDA DE HULE A-18 (BLACKGOLD)")</f>
        <v>BANDA DE HULE A-18 (BLACKGOLD)</v>
      </c>
      <c r="AS93" s="71" t="str">
        <f>IFERROR(__xludf.DUMMYFUNCTION("""COMPUTED_VALUE""")," BANDA DE HULE A-18 (BLACKGOLD)")</f>
        <v>BANDA DE HULE A-18 (BLACKGOLD)</v>
      </c>
      <c r="AT93" s="71">
        <f>IFERROR(__xludf.DUMMYFUNCTION("""COMPUTED_VALUE"""),30.0)</f>
        <v>30</v>
      </c>
      <c r="AU93" s="71"/>
      <c r="AV93" s="71"/>
      <c r="AW93" s="71"/>
      <c r="AX93" s="71"/>
      <c r="AY93" s="71">
        <f>IFERROR(__xludf.DUMMYFUNCTION("""COMPUTED_VALUE"""),29.0)</f>
        <v>29</v>
      </c>
      <c r="AZ93" s="71">
        <f>IFERROR(__xludf.DUMMYFUNCTION("""COMPUTED_VALUE"""),45.0)</f>
        <v>45</v>
      </c>
      <c r="BA93" s="71">
        <f>IFERROR(__xludf.DUMMYFUNCTION("""COMPUTED_VALUE"""),48.6)</f>
        <v>48.6</v>
      </c>
      <c r="BB93" s="71">
        <f>IFERROR(__xludf.DUMMYFUNCTION("""COMPUTED_VALUE"""),48.6)</f>
        <v>48.6</v>
      </c>
      <c r="BC93" s="71">
        <f>IFERROR(__xludf.DUMMYFUNCTION("""COMPUTED_VALUE"""),55.0)</f>
        <v>55</v>
      </c>
      <c r="BD93" s="71">
        <f>IFERROR(__xludf.DUMMYFUNCTION("""COMPUTED_VALUE"""),58.0)</f>
        <v>58</v>
      </c>
      <c r="BE93" s="71">
        <f>IFERROR(__xludf.DUMMYFUNCTION("""COMPUTED_VALUE"""),9.28)</f>
        <v>9.28</v>
      </c>
      <c r="BF93" s="71">
        <f>IFERROR(__xludf.DUMMYFUNCTION("""COMPUTED_VALUE"""),67.28)</f>
        <v>67.28</v>
      </c>
      <c r="BG93" s="71">
        <f>IFERROR(__xludf.DUMMYFUNCTION("""COMPUTED_VALUE"""),0.05454545454545454)</f>
        <v>0.05454545455</v>
      </c>
      <c r="BH93" s="71">
        <f>IFERROR(__xludf.DUMMYFUNCTION("""COMPUTED_VALUE"""),55.099999999999994)</f>
        <v>55.1</v>
      </c>
      <c r="BI93" s="71">
        <f>IFERROR(__xludf.DUMMYFUNCTION("""COMPUTED_VALUE"""),8.815999999999999)</f>
        <v>8.816</v>
      </c>
      <c r="BJ93" s="71">
        <f>IFERROR(__xludf.DUMMYFUNCTION("""COMPUTED_VALUE"""),63.916)</f>
        <v>63.916</v>
      </c>
      <c r="BK93" s="71">
        <f>IFERROR(__xludf.DUMMYFUNCTION("""COMPUTED_VALUE"""),52.2)</f>
        <v>52.2</v>
      </c>
      <c r="BL93" s="71">
        <f>IFERROR(__xludf.DUMMYFUNCTION("""COMPUTED_VALUE"""),8.352)</f>
        <v>8.352</v>
      </c>
      <c r="BM93" s="71">
        <f>IFERROR(__xludf.DUMMYFUNCTION("""COMPUTED_VALUE"""),60.55200000000001)</f>
        <v>60.552</v>
      </c>
      <c r="BN93" s="71">
        <f>IFERROR(__xludf.DUMMYFUNCTION("""COMPUTED_VALUE"""),49.3)</f>
        <v>49.3</v>
      </c>
      <c r="BO93" s="71">
        <f>IFERROR(__xludf.DUMMYFUNCTION("""COMPUTED_VALUE"""),7.888)</f>
        <v>7.888</v>
      </c>
      <c r="BP93" s="71">
        <f>IFERROR(__xludf.DUMMYFUNCTION("""COMPUTED_VALUE"""),57.187999999999995)</f>
        <v>57.188</v>
      </c>
      <c r="BQ93" s="71">
        <f>IFERROR(__xludf.DUMMYFUNCTION("""COMPUTED_VALUE"""),48.14)</f>
        <v>48.14</v>
      </c>
      <c r="BR93" s="71">
        <f>IFERROR(__xludf.DUMMYFUNCTION("""COMPUTED_VALUE"""),7.7024)</f>
        <v>7.7024</v>
      </c>
      <c r="BS93" s="71">
        <f>IFERROR(__xludf.DUMMYFUNCTION("""COMPUTED_VALUE"""),55.8424)</f>
        <v>55.8424</v>
      </c>
      <c r="BT93" s="71">
        <f>IFERROR(__xludf.DUMMYFUNCTION("""COMPUTED_VALUE"""),46.400000000000006)</f>
        <v>46.4</v>
      </c>
      <c r="BU93" s="71">
        <f>IFERROR(__xludf.DUMMYFUNCTION("""COMPUTED_VALUE"""),7.424000000000001)</f>
        <v>7.424</v>
      </c>
      <c r="BV93" s="71">
        <f>IFERROR(__xludf.DUMMYFUNCTION("""COMPUTED_VALUE"""),53.824000000000005)</f>
        <v>53.824</v>
      </c>
    </row>
    <row r="94">
      <c r="A94" s="53">
        <v>1.0</v>
      </c>
      <c r="B94" s="53"/>
      <c r="C94" s="73" t="s">
        <v>12</v>
      </c>
      <c r="D94" s="53" t="s">
        <v>271</v>
      </c>
      <c r="E94" s="54" t="s">
        <v>38</v>
      </c>
      <c r="F94" s="54" t="s">
        <v>42</v>
      </c>
      <c r="G94" s="88" t="s">
        <v>272</v>
      </c>
      <c r="H94" s="54" t="s">
        <v>273</v>
      </c>
      <c r="I94" s="54">
        <f t="shared" si="1"/>
        <v>40</v>
      </c>
      <c r="J94" s="56"/>
      <c r="K94" s="57"/>
      <c r="L94" s="87"/>
      <c r="M94" s="59"/>
      <c r="N94" s="60">
        <v>10642.0</v>
      </c>
      <c r="O94" s="61">
        <v>6209.0</v>
      </c>
      <c r="P94" s="62">
        <v>6705.72</v>
      </c>
      <c r="Q94" s="63">
        <v>6705.72</v>
      </c>
      <c r="R94" s="64">
        <v>7465.0</v>
      </c>
      <c r="S94" s="111">
        <v>7838.0</v>
      </c>
      <c r="T94" s="65">
        <f t="shared" si="2"/>
        <v>1254.08</v>
      </c>
      <c r="U94" s="65">
        <f t="shared" si="3"/>
        <v>9092.08</v>
      </c>
      <c r="V94" s="66">
        <f t="shared" si="4"/>
        <v>0.04996651038</v>
      </c>
      <c r="W94" s="67">
        <f t="shared" si="5"/>
        <v>7446.1</v>
      </c>
      <c r="X94" s="67">
        <f t="shared" si="6"/>
        <v>1191.376</v>
      </c>
      <c r="Y94" s="67">
        <f t="shared" si="7"/>
        <v>8637.476</v>
      </c>
      <c r="Z94" s="67">
        <f t="shared" si="8"/>
        <v>7054.2</v>
      </c>
      <c r="AA94" s="67">
        <f t="shared" si="9"/>
        <v>1128.672</v>
      </c>
      <c r="AB94" s="67">
        <f t="shared" si="10"/>
        <v>8182.872</v>
      </c>
      <c r="AC94" s="67">
        <f t="shared" si="11"/>
        <v>6662.3</v>
      </c>
      <c r="AD94" s="67">
        <f t="shared" si="12"/>
        <v>1065.968</v>
      </c>
      <c r="AE94" s="67">
        <f t="shared" si="13"/>
        <v>7728.268</v>
      </c>
      <c r="AF94" s="67">
        <f t="shared" si="14"/>
        <v>6505.54</v>
      </c>
      <c r="AG94" s="67">
        <f t="shared" si="15"/>
        <v>1040.8864</v>
      </c>
      <c r="AH94" s="67">
        <f t="shared" si="16"/>
        <v>7546.4264</v>
      </c>
      <c r="AI94" s="67">
        <f t="shared" si="17"/>
        <v>6270.4</v>
      </c>
      <c r="AJ94" s="68">
        <f t="shared" si="20"/>
        <v>1003.264</v>
      </c>
      <c r="AK94" s="68">
        <f t="shared" si="21"/>
        <v>7273.664</v>
      </c>
      <c r="AL94" s="70">
        <f>IFERROR(__xludf.DUMMYFUNCTION("""COMPUTED_VALUE"""),1.0)</f>
        <v>1</v>
      </c>
      <c r="AM94" s="70"/>
      <c r="AN94" s="71" t="str">
        <f>IFERROR(__xludf.DUMMYFUNCTION("""COMPUTED_VALUE""")," C")</f>
        <v>C</v>
      </c>
      <c r="AO94" s="71" t="str">
        <f>IFERROR(__xludf.DUMMYFUNCTION("""COMPUTED_VALUE""")," BH26")</f>
        <v>BH26</v>
      </c>
      <c r="AP94" s="71" t="str">
        <f>IFERROR(__xludf.DUMMYFUNCTION("""COMPUTED_VALUE""")," PZA")</f>
        <v>PZA</v>
      </c>
      <c r="AQ94" s="71" t="str">
        <f>IFERROR(__xludf.DUMMYFUNCTION("""COMPUTED_VALUE""")," REF")</f>
        <v>REF</v>
      </c>
      <c r="AR94" s="71" t="str">
        <f>IFERROR(__xludf.DUMMYFUNCTION("""COMPUTED_VALUE""")," BANDA DE HULE A-18 (GATES)")</f>
        <v>BANDA DE HULE A-18 (GATES)</v>
      </c>
      <c r="AS94" s="71" t="str">
        <f>IFERROR(__xludf.DUMMYFUNCTION("""COMPUTED_VALUE""")," BANDA DE HULE A-18 (GATES)")</f>
        <v>BANDA DE HULE A-18 (GATES)</v>
      </c>
      <c r="AT94" s="71">
        <f>IFERROR(__xludf.DUMMYFUNCTION("""COMPUTED_VALUE"""),26.0)</f>
        <v>26</v>
      </c>
      <c r="AU94" s="71"/>
      <c r="AV94" s="71"/>
      <c r="AW94" s="71"/>
      <c r="AX94" s="71"/>
      <c r="AY94" s="71">
        <f>IFERROR(__xludf.DUMMYFUNCTION("""COMPUTED_VALUE"""),82.0)</f>
        <v>82</v>
      </c>
      <c r="AZ94" s="71">
        <f>IFERROR(__xludf.DUMMYFUNCTION("""COMPUTED_VALUE"""),88.0)</f>
        <v>88</v>
      </c>
      <c r="BA94" s="71">
        <f>IFERROR(__xludf.DUMMYFUNCTION("""COMPUTED_VALUE"""),95.04)</f>
        <v>95.04</v>
      </c>
      <c r="BB94" s="71">
        <f>IFERROR(__xludf.DUMMYFUNCTION("""COMPUTED_VALUE"""),95.04)</f>
        <v>95.04</v>
      </c>
      <c r="BC94" s="71">
        <f>IFERROR(__xludf.DUMMYFUNCTION("""COMPUTED_VALUE"""),107.0)</f>
        <v>107</v>
      </c>
      <c r="BD94" s="71">
        <f>IFERROR(__xludf.DUMMYFUNCTION("""COMPUTED_VALUE"""),112.0)</f>
        <v>112</v>
      </c>
      <c r="BE94" s="71">
        <f>IFERROR(__xludf.DUMMYFUNCTION("""COMPUTED_VALUE"""),17.92)</f>
        <v>17.92</v>
      </c>
      <c r="BF94" s="71">
        <f>IFERROR(__xludf.DUMMYFUNCTION("""COMPUTED_VALUE"""),129.92000000000002)</f>
        <v>129.92</v>
      </c>
      <c r="BG94" s="71">
        <f>IFERROR(__xludf.DUMMYFUNCTION("""COMPUTED_VALUE"""),0.04672897196261682)</f>
        <v>0.04672897196</v>
      </c>
      <c r="BH94" s="71">
        <f>IFERROR(__xludf.DUMMYFUNCTION("""COMPUTED_VALUE"""),106.39999999999999)</f>
        <v>106.4</v>
      </c>
      <c r="BI94" s="71">
        <f>IFERROR(__xludf.DUMMYFUNCTION("""COMPUTED_VALUE"""),17.023999999999997)</f>
        <v>17.024</v>
      </c>
      <c r="BJ94" s="71">
        <f>IFERROR(__xludf.DUMMYFUNCTION("""COMPUTED_VALUE"""),123.42399999999999)</f>
        <v>123.424</v>
      </c>
      <c r="BK94" s="71">
        <f>IFERROR(__xludf.DUMMYFUNCTION("""COMPUTED_VALUE"""),100.8)</f>
        <v>100.8</v>
      </c>
      <c r="BL94" s="71">
        <f>IFERROR(__xludf.DUMMYFUNCTION("""COMPUTED_VALUE"""),16.128)</f>
        <v>16.128</v>
      </c>
      <c r="BM94" s="71">
        <f>IFERROR(__xludf.DUMMYFUNCTION("""COMPUTED_VALUE"""),116.928)</f>
        <v>116.928</v>
      </c>
      <c r="BN94" s="71">
        <f>IFERROR(__xludf.DUMMYFUNCTION("""COMPUTED_VALUE"""),95.2)</f>
        <v>95.2</v>
      </c>
      <c r="BO94" s="71">
        <f>IFERROR(__xludf.DUMMYFUNCTION("""COMPUTED_VALUE"""),15.232000000000001)</f>
        <v>15.232</v>
      </c>
      <c r="BP94" s="71">
        <f>IFERROR(__xludf.DUMMYFUNCTION("""COMPUTED_VALUE"""),110.432)</f>
        <v>110.432</v>
      </c>
      <c r="BQ94" s="71">
        <f>IFERROR(__xludf.DUMMYFUNCTION("""COMPUTED_VALUE"""),92.96)</f>
        <v>92.96</v>
      </c>
      <c r="BR94" s="71">
        <f>IFERROR(__xludf.DUMMYFUNCTION("""COMPUTED_VALUE"""),14.8736)</f>
        <v>14.8736</v>
      </c>
      <c r="BS94" s="71">
        <f>IFERROR(__xludf.DUMMYFUNCTION("""COMPUTED_VALUE"""),107.83359999999999)</f>
        <v>107.8336</v>
      </c>
      <c r="BT94" s="71">
        <f>IFERROR(__xludf.DUMMYFUNCTION("""COMPUTED_VALUE"""),89.60000000000001)</f>
        <v>89.6</v>
      </c>
      <c r="BU94" s="71">
        <f>IFERROR(__xludf.DUMMYFUNCTION("""COMPUTED_VALUE"""),14.336000000000002)</f>
        <v>14.336</v>
      </c>
      <c r="BV94" s="71">
        <f>IFERROR(__xludf.DUMMYFUNCTION("""COMPUTED_VALUE"""),103.936)</f>
        <v>103.936</v>
      </c>
    </row>
    <row r="95">
      <c r="A95" s="53">
        <v>1.0</v>
      </c>
      <c r="B95" s="53"/>
      <c r="C95" s="73" t="s">
        <v>12</v>
      </c>
      <c r="D95" s="53" t="s">
        <v>274</v>
      </c>
      <c r="E95" s="54" t="s">
        <v>38</v>
      </c>
      <c r="F95" s="54" t="s">
        <v>42</v>
      </c>
      <c r="G95" s="88" t="s">
        <v>275</v>
      </c>
      <c r="H95" s="54" t="s">
        <v>276</v>
      </c>
      <c r="I95" s="54">
        <f t="shared" si="1"/>
        <v>39</v>
      </c>
      <c r="J95" s="56"/>
      <c r="K95" s="57"/>
      <c r="L95" s="87"/>
      <c r="M95" s="59"/>
      <c r="N95" s="60">
        <v>3512.0</v>
      </c>
      <c r="O95" s="61">
        <v>3792.0</v>
      </c>
      <c r="P95" s="62">
        <v>4095.36</v>
      </c>
      <c r="Q95" s="63">
        <v>4095.36</v>
      </c>
      <c r="R95" s="64">
        <v>4560.0</v>
      </c>
      <c r="S95" s="111">
        <v>4788.0</v>
      </c>
      <c r="T95" s="65">
        <f t="shared" si="2"/>
        <v>766.08</v>
      </c>
      <c r="U95" s="65">
        <f t="shared" si="3"/>
        <v>5554.08</v>
      </c>
      <c r="V95" s="66">
        <f t="shared" si="4"/>
        <v>0.05</v>
      </c>
      <c r="W95" s="67">
        <f t="shared" si="5"/>
        <v>4548.6</v>
      </c>
      <c r="X95" s="67">
        <f t="shared" si="6"/>
        <v>727.776</v>
      </c>
      <c r="Y95" s="67">
        <f t="shared" si="7"/>
        <v>5276.376</v>
      </c>
      <c r="Z95" s="67">
        <f t="shared" si="8"/>
        <v>4309.2</v>
      </c>
      <c r="AA95" s="67">
        <f t="shared" si="9"/>
        <v>689.472</v>
      </c>
      <c r="AB95" s="67">
        <f t="shared" si="10"/>
        <v>4998.672</v>
      </c>
      <c r="AC95" s="67">
        <f t="shared" si="11"/>
        <v>4069.8</v>
      </c>
      <c r="AD95" s="67">
        <f t="shared" si="12"/>
        <v>651.168</v>
      </c>
      <c r="AE95" s="67">
        <f t="shared" si="13"/>
        <v>4720.968</v>
      </c>
      <c r="AF95" s="67">
        <f t="shared" si="14"/>
        <v>3974.04</v>
      </c>
      <c r="AG95" s="67">
        <f t="shared" si="15"/>
        <v>635.8464</v>
      </c>
      <c r="AH95" s="67">
        <f t="shared" si="16"/>
        <v>4609.8864</v>
      </c>
      <c r="AI95" s="67">
        <f t="shared" si="17"/>
        <v>3830.4</v>
      </c>
      <c r="AJ95" s="68">
        <f t="shared" si="20"/>
        <v>612.864</v>
      </c>
      <c r="AK95" s="68">
        <f t="shared" si="21"/>
        <v>4443.264</v>
      </c>
      <c r="AL95" s="70">
        <f>IFERROR(__xludf.DUMMYFUNCTION("""COMPUTED_VALUE"""),1.0)</f>
        <v>1</v>
      </c>
      <c r="AM95" s="70"/>
      <c r="AN95" s="71" t="str">
        <f>IFERROR(__xludf.DUMMYFUNCTION("""COMPUTED_VALUE""")," C")</f>
        <v>C</v>
      </c>
      <c r="AO95" s="71" t="str">
        <f>IFERROR(__xludf.DUMMYFUNCTION("""COMPUTED_VALUE""")," BH02")</f>
        <v>BH02</v>
      </c>
      <c r="AP95" s="71" t="str">
        <f>IFERROR(__xludf.DUMMYFUNCTION("""COMPUTED_VALUE""")," PZA")</f>
        <v>PZA</v>
      </c>
      <c r="AQ95" s="71" t="str">
        <f>IFERROR(__xludf.DUMMYFUNCTION("""COMPUTED_VALUE""")," REF")</f>
        <v>REF</v>
      </c>
      <c r="AR95" s="71" t="str">
        <f>IFERROR(__xludf.DUMMYFUNCTION("""COMPUTED_VALUE""")," BANDA DE HULE A-19 (BLACKGOLD)")</f>
        <v>BANDA DE HULE A-19 (BLACKGOLD)</v>
      </c>
      <c r="AS95" s="71" t="str">
        <f>IFERROR(__xludf.DUMMYFUNCTION("""COMPUTED_VALUE""")," BANDA DE HULE A-19 (BLACKGOLD)")</f>
        <v>BANDA DE HULE A-19 (BLACKGOLD)</v>
      </c>
      <c r="AT95" s="71">
        <f>IFERROR(__xludf.DUMMYFUNCTION("""COMPUTED_VALUE"""),30.0)</f>
        <v>30</v>
      </c>
      <c r="AU95" s="71"/>
      <c r="AV95" s="71"/>
      <c r="AW95" s="71"/>
      <c r="AX95" s="71"/>
      <c r="AY95" s="71">
        <f>IFERROR(__xludf.DUMMYFUNCTION("""COMPUTED_VALUE"""),31.0)</f>
        <v>31</v>
      </c>
      <c r="AZ95" s="71">
        <f>IFERROR(__xludf.DUMMYFUNCTION("""COMPUTED_VALUE"""),45.0)</f>
        <v>45</v>
      </c>
      <c r="BA95" s="71">
        <f>IFERROR(__xludf.DUMMYFUNCTION("""COMPUTED_VALUE"""),48.6)</f>
        <v>48.6</v>
      </c>
      <c r="BB95" s="71">
        <f>IFERROR(__xludf.DUMMYFUNCTION("""COMPUTED_VALUE"""),48.6)</f>
        <v>48.6</v>
      </c>
      <c r="BC95" s="71">
        <f>IFERROR(__xludf.DUMMYFUNCTION("""COMPUTED_VALUE"""),55.0)</f>
        <v>55</v>
      </c>
      <c r="BD95" s="71">
        <f>IFERROR(__xludf.DUMMYFUNCTION("""COMPUTED_VALUE"""),58.0)</f>
        <v>58</v>
      </c>
      <c r="BE95" s="71">
        <f>IFERROR(__xludf.DUMMYFUNCTION("""COMPUTED_VALUE"""),9.28)</f>
        <v>9.28</v>
      </c>
      <c r="BF95" s="71">
        <f>IFERROR(__xludf.DUMMYFUNCTION("""COMPUTED_VALUE"""),67.28)</f>
        <v>67.28</v>
      </c>
      <c r="BG95" s="71">
        <f>IFERROR(__xludf.DUMMYFUNCTION("""COMPUTED_VALUE"""),0.05454545454545454)</f>
        <v>0.05454545455</v>
      </c>
      <c r="BH95" s="71">
        <f>IFERROR(__xludf.DUMMYFUNCTION("""COMPUTED_VALUE"""),55.099999999999994)</f>
        <v>55.1</v>
      </c>
      <c r="BI95" s="71">
        <f>IFERROR(__xludf.DUMMYFUNCTION("""COMPUTED_VALUE"""),8.815999999999999)</f>
        <v>8.816</v>
      </c>
      <c r="BJ95" s="71">
        <f>IFERROR(__xludf.DUMMYFUNCTION("""COMPUTED_VALUE"""),63.916)</f>
        <v>63.916</v>
      </c>
      <c r="BK95" s="71">
        <f>IFERROR(__xludf.DUMMYFUNCTION("""COMPUTED_VALUE"""),52.2)</f>
        <v>52.2</v>
      </c>
      <c r="BL95" s="71">
        <f>IFERROR(__xludf.DUMMYFUNCTION("""COMPUTED_VALUE"""),8.352)</f>
        <v>8.352</v>
      </c>
      <c r="BM95" s="71">
        <f>IFERROR(__xludf.DUMMYFUNCTION("""COMPUTED_VALUE"""),60.55200000000001)</f>
        <v>60.552</v>
      </c>
      <c r="BN95" s="71">
        <f>IFERROR(__xludf.DUMMYFUNCTION("""COMPUTED_VALUE"""),49.3)</f>
        <v>49.3</v>
      </c>
      <c r="BO95" s="71">
        <f>IFERROR(__xludf.DUMMYFUNCTION("""COMPUTED_VALUE"""),7.888)</f>
        <v>7.888</v>
      </c>
      <c r="BP95" s="71">
        <f>IFERROR(__xludf.DUMMYFUNCTION("""COMPUTED_VALUE"""),57.187999999999995)</f>
        <v>57.188</v>
      </c>
      <c r="BQ95" s="71">
        <f>IFERROR(__xludf.DUMMYFUNCTION("""COMPUTED_VALUE"""),48.14)</f>
        <v>48.14</v>
      </c>
      <c r="BR95" s="71">
        <f>IFERROR(__xludf.DUMMYFUNCTION("""COMPUTED_VALUE"""),7.7024)</f>
        <v>7.7024</v>
      </c>
      <c r="BS95" s="71">
        <f>IFERROR(__xludf.DUMMYFUNCTION("""COMPUTED_VALUE"""),55.8424)</f>
        <v>55.8424</v>
      </c>
      <c r="BT95" s="71">
        <f>IFERROR(__xludf.DUMMYFUNCTION("""COMPUTED_VALUE"""),46.400000000000006)</f>
        <v>46.4</v>
      </c>
      <c r="BU95" s="71">
        <f>IFERROR(__xludf.DUMMYFUNCTION("""COMPUTED_VALUE"""),7.424000000000001)</f>
        <v>7.424</v>
      </c>
      <c r="BV95" s="71">
        <f>IFERROR(__xludf.DUMMYFUNCTION("""COMPUTED_VALUE"""),53.824000000000005)</f>
        <v>53.824</v>
      </c>
    </row>
    <row r="96">
      <c r="A96" s="53">
        <v>1.0</v>
      </c>
      <c r="B96" s="53"/>
      <c r="C96" s="73" t="s">
        <v>12</v>
      </c>
      <c r="D96" s="53" t="s">
        <v>277</v>
      </c>
      <c r="E96" s="54" t="s">
        <v>38</v>
      </c>
      <c r="F96" s="54" t="s">
        <v>42</v>
      </c>
      <c r="G96" s="88" t="s">
        <v>278</v>
      </c>
      <c r="H96" s="54" t="s">
        <v>279</v>
      </c>
      <c r="I96" s="54">
        <f t="shared" si="1"/>
        <v>39</v>
      </c>
      <c r="J96" s="56"/>
      <c r="K96" s="57"/>
      <c r="L96" s="76"/>
      <c r="M96" s="59"/>
      <c r="N96" s="60">
        <v>3512.0</v>
      </c>
      <c r="O96" s="61">
        <v>3792.0</v>
      </c>
      <c r="P96" s="62">
        <v>4095.36</v>
      </c>
      <c r="Q96" s="63">
        <v>4095.36</v>
      </c>
      <c r="R96" s="64">
        <v>4560.0</v>
      </c>
      <c r="S96" s="65">
        <v>2443.0</v>
      </c>
      <c r="T96" s="65">
        <f t="shared" si="2"/>
        <v>390.88</v>
      </c>
      <c r="U96" s="65">
        <f t="shared" si="3"/>
        <v>2833.88</v>
      </c>
      <c r="V96" s="66">
        <f t="shared" si="4"/>
        <v>-0.464254386</v>
      </c>
      <c r="W96" s="67">
        <f t="shared" si="5"/>
        <v>2320.85</v>
      </c>
      <c r="X96" s="67">
        <f t="shared" si="6"/>
        <v>371.336</v>
      </c>
      <c r="Y96" s="67">
        <f t="shared" si="7"/>
        <v>2692.186</v>
      </c>
      <c r="Z96" s="67">
        <f t="shared" si="8"/>
        <v>2198.7</v>
      </c>
      <c r="AA96" s="67">
        <f t="shared" si="9"/>
        <v>351.792</v>
      </c>
      <c r="AB96" s="67">
        <f t="shared" si="10"/>
        <v>2550.492</v>
      </c>
      <c r="AC96" s="67">
        <f t="shared" si="11"/>
        <v>2076.55</v>
      </c>
      <c r="AD96" s="67">
        <f t="shared" si="12"/>
        <v>332.248</v>
      </c>
      <c r="AE96" s="67">
        <f t="shared" si="13"/>
        <v>2408.798</v>
      </c>
      <c r="AF96" s="67">
        <f t="shared" si="14"/>
        <v>2027.69</v>
      </c>
      <c r="AG96" s="67">
        <f t="shared" si="15"/>
        <v>324.4304</v>
      </c>
      <c r="AH96" s="67">
        <f t="shared" si="16"/>
        <v>2352.1204</v>
      </c>
      <c r="AI96" s="67">
        <f t="shared" si="17"/>
        <v>1954.4</v>
      </c>
      <c r="AJ96" s="68">
        <f t="shared" si="20"/>
        <v>312.704</v>
      </c>
      <c r="AK96" s="68">
        <f t="shared" si="21"/>
        <v>2267.104</v>
      </c>
      <c r="AL96" s="70">
        <f>IFERROR(__xludf.DUMMYFUNCTION("""COMPUTED_VALUE"""),1.0)</f>
        <v>1</v>
      </c>
      <c r="AM96" s="70"/>
      <c r="AN96" s="71" t="str">
        <f>IFERROR(__xludf.DUMMYFUNCTION("""COMPUTED_VALUE""")," C")</f>
        <v>C</v>
      </c>
      <c r="AO96" s="71" t="str">
        <f>IFERROR(__xludf.DUMMYFUNCTION("""COMPUTED_VALUE""")," BH27")</f>
        <v>BH27</v>
      </c>
      <c r="AP96" s="71" t="str">
        <f>IFERROR(__xludf.DUMMYFUNCTION("""COMPUTED_VALUE""")," PZA")</f>
        <v>PZA</v>
      </c>
      <c r="AQ96" s="71" t="str">
        <f>IFERROR(__xludf.DUMMYFUNCTION("""COMPUTED_VALUE""")," REF")</f>
        <v>REF</v>
      </c>
      <c r="AR96" s="71" t="str">
        <f>IFERROR(__xludf.DUMMYFUNCTION("""COMPUTED_VALUE""")," BANDA DE HULE A-19 (GATES)")</f>
        <v>BANDA DE HULE A-19 (GATES)</v>
      </c>
      <c r="AS96" s="71" t="str">
        <f>IFERROR(__xludf.DUMMYFUNCTION("""COMPUTED_VALUE""")," BANDA DE HULE A-19 (GATES)")</f>
        <v>BANDA DE HULE A-19 (GATES)</v>
      </c>
      <c r="AT96" s="71">
        <f>IFERROR(__xludf.DUMMYFUNCTION("""COMPUTED_VALUE"""),26.0)</f>
        <v>26</v>
      </c>
      <c r="AU96" s="71"/>
      <c r="AV96" s="71"/>
      <c r="AW96" s="71"/>
      <c r="AX96" s="71"/>
      <c r="AY96" s="71">
        <f>IFERROR(__xludf.DUMMYFUNCTION("""COMPUTED_VALUE"""),84.0)</f>
        <v>84</v>
      </c>
      <c r="AZ96" s="71">
        <f>IFERROR(__xludf.DUMMYFUNCTION("""COMPUTED_VALUE"""),90.0)</f>
        <v>90</v>
      </c>
      <c r="BA96" s="71">
        <f>IFERROR(__xludf.DUMMYFUNCTION("""COMPUTED_VALUE"""),97.2)</f>
        <v>97.2</v>
      </c>
      <c r="BB96" s="71">
        <f>IFERROR(__xludf.DUMMYFUNCTION("""COMPUTED_VALUE"""),97.2)</f>
        <v>97.2</v>
      </c>
      <c r="BC96" s="71">
        <f>IFERROR(__xludf.DUMMYFUNCTION("""COMPUTED_VALUE"""),110.0)</f>
        <v>110</v>
      </c>
      <c r="BD96" s="71">
        <f>IFERROR(__xludf.DUMMYFUNCTION("""COMPUTED_VALUE"""),116.0)</f>
        <v>116</v>
      </c>
      <c r="BE96" s="71">
        <f>IFERROR(__xludf.DUMMYFUNCTION("""COMPUTED_VALUE"""),18.56)</f>
        <v>18.56</v>
      </c>
      <c r="BF96" s="71">
        <f>IFERROR(__xludf.DUMMYFUNCTION("""COMPUTED_VALUE"""),134.56)</f>
        <v>134.56</v>
      </c>
      <c r="BG96" s="71">
        <f>IFERROR(__xludf.DUMMYFUNCTION("""COMPUTED_VALUE"""),0.05454545454545454)</f>
        <v>0.05454545455</v>
      </c>
      <c r="BH96" s="71">
        <f>IFERROR(__xludf.DUMMYFUNCTION("""COMPUTED_VALUE"""),110.19999999999999)</f>
        <v>110.2</v>
      </c>
      <c r="BI96" s="71">
        <f>IFERROR(__xludf.DUMMYFUNCTION("""COMPUTED_VALUE"""),17.631999999999998)</f>
        <v>17.632</v>
      </c>
      <c r="BJ96" s="71">
        <f>IFERROR(__xludf.DUMMYFUNCTION("""COMPUTED_VALUE"""),127.832)</f>
        <v>127.832</v>
      </c>
      <c r="BK96" s="71">
        <f>IFERROR(__xludf.DUMMYFUNCTION("""COMPUTED_VALUE"""),104.4)</f>
        <v>104.4</v>
      </c>
      <c r="BL96" s="71">
        <f>IFERROR(__xludf.DUMMYFUNCTION("""COMPUTED_VALUE"""),16.704)</f>
        <v>16.704</v>
      </c>
      <c r="BM96" s="71">
        <f>IFERROR(__xludf.DUMMYFUNCTION("""COMPUTED_VALUE"""),121.10400000000001)</f>
        <v>121.104</v>
      </c>
      <c r="BN96" s="71">
        <f>IFERROR(__xludf.DUMMYFUNCTION("""COMPUTED_VALUE"""),98.6)</f>
        <v>98.6</v>
      </c>
      <c r="BO96" s="71">
        <f>IFERROR(__xludf.DUMMYFUNCTION("""COMPUTED_VALUE"""),15.776)</f>
        <v>15.776</v>
      </c>
      <c r="BP96" s="71">
        <f>IFERROR(__xludf.DUMMYFUNCTION("""COMPUTED_VALUE"""),114.37599999999999)</f>
        <v>114.376</v>
      </c>
      <c r="BQ96" s="71">
        <f>IFERROR(__xludf.DUMMYFUNCTION("""COMPUTED_VALUE"""),96.28)</f>
        <v>96.28</v>
      </c>
      <c r="BR96" s="71">
        <f>IFERROR(__xludf.DUMMYFUNCTION("""COMPUTED_VALUE"""),15.4048)</f>
        <v>15.4048</v>
      </c>
      <c r="BS96" s="71">
        <f>IFERROR(__xludf.DUMMYFUNCTION("""COMPUTED_VALUE"""),111.6848)</f>
        <v>111.6848</v>
      </c>
      <c r="BT96" s="71">
        <f>IFERROR(__xludf.DUMMYFUNCTION("""COMPUTED_VALUE"""),92.80000000000001)</f>
        <v>92.8</v>
      </c>
      <c r="BU96" s="71">
        <f>IFERROR(__xludf.DUMMYFUNCTION("""COMPUTED_VALUE"""),14.848000000000003)</f>
        <v>14.848</v>
      </c>
      <c r="BV96" s="71">
        <f>IFERROR(__xludf.DUMMYFUNCTION("""COMPUTED_VALUE"""),107.64800000000001)</f>
        <v>107.648</v>
      </c>
    </row>
    <row r="97">
      <c r="A97" s="53">
        <v>1.0</v>
      </c>
      <c r="B97" s="53"/>
      <c r="C97" s="73" t="s">
        <v>12</v>
      </c>
      <c r="D97" s="53" t="s">
        <v>280</v>
      </c>
      <c r="E97" s="54" t="s">
        <v>38</v>
      </c>
      <c r="F97" s="54" t="s">
        <v>42</v>
      </c>
      <c r="G97" s="54" t="s">
        <v>281</v>
      </c>
      <c r="H97" s="54" t="s">
        <v>282</v>
      </c>
      <c r="I97" s="54">
        <f t="shared" si="1"/>
        <v>38</v>
      </c>
      <c r="J97" s="56"/>
      <c r="K97" s="57"/>
      <c r="L97" s="87"/>
      <c r="M97" s="59"/>
      <c r="N97" s="60">
        <v>3143.0</v>
      </c>
      <c r="O97" s="61">
        <v>1628.0</v>
      </c>
      <c r="P97" s="62">
        <v>1758.24</v>
      </c>
      <c r="Q97" s="63">
        <v>1758.24</v>
      </c>
      <c r="R97" s="64">
        <v>1958.0</v>
      </c>
      <c r="S97" s="111">
        <v>2056.0</v>
      </c>
      <c r="T97" s="65">
        <f t="shared" si="2"/>
        <v>328.96</v>
      </c>
      <c r="U97" s="65">
        <f t="shared" si="3"/>
        <v>2384.96</v>
      </c>
      <c r="V97" s="66">
        <f t="shared" si="4"/>
        <v>0.05005107252</v>
      </c>
      <c r="W97" s="67">
        <f t="shared" si="5"/>
        <v>1953.2</v>
      </c>
      <c r="X97" s="67">
        <f t="shared" si="6"/>
        <v>312.512</v>
      </c>
      <c r="Y97" s="67">
        <f t="shared" si="7"/>
        <v>2265.712</v>
      </c>
      <c r="Z97" s="67">
        <f t="shared" si="8"/>
        <v>1850.4</v>
      </c>
      <c r="AA97" s="67">
        <f t="shared" si="9"/>
        <v>296.064</v>
      </c>
      <c r="AB97" s="67">
        <f t="shared" si="10"/>
        <v>2146.464</v>
      </c>
      <c r="AC97" s="67">
        <f t="shared" si="11"/>
        <v>1747.6</v>
      </c>
      <c r="AD97" s="67">
        <f t="shared" si="12"/>
        <v>279.616</v>
      </c>
      <c r="AE97" s="67">
        <f t="shared" si="13"/>
        <v>2027.216</v>
      </c>
      <c r="AF97" s="67">
        <f t="shared" si="14"/>
        <v>1706.48</v>
      </c>
      <c r="AG97" s="67">
        <f t="shared" si="15"/>
        <v>273.0368</v>
      </c>
      <c r="AH97" s="67">
        <f t="shared" si="16"/>
        <v>1979.5168</v>
      </c>
      <c r="AI97" s="67">
        <f t="shared" si="17"/>
        <v>1644.8</v>
      </c>
      <c r="AJ97" s="68">
        <f t="shared" si="20"/>
        <v>263.168</v>
      </c>
      <c r="AK97" s="68">
        <f t="shared" si="21"/>
        <v>1907.968</v>
      </c>
      <c r="AL97" s="70">
        <f>IFERROR(__xludf.DUMMYFUNCTION("""COMPUTED_VALUE"""),1.0)</f>
        <v>1</v>
      </c>
      <c r="AM97" s="70"/>
      <c r="AN97" s="71" t="str">
        <f>IFERROR(__xludf.DUMMYFUNCTION("""COMPUTED_VALUE""")," C")</f>
        <v>C</v>
      </c>
      <c r="AO97" s="71" t="str">
        <f>IFERROR(__xludf.DUMMYFUNCTION("""COMPUTED_VALUE""")," BH03")</f>
        <v>BH03</v>
      </c>
      <c r="AP97" s="71" t="str">
        <f>IFERROR(__xludf.DUMMYFUNCTION("""COMPUTED_VALUE""")," PZA")</f>
        <v>PZA</v>
      </c>
      <c r="AQ97" s="71" t="str">
        <f>IFERROR(__xludf.DUMMYFUNCTION("""COMPUTED_VALUE""")," REF")</f>
        <v>REF</v>
      </c>
      <c r="AR97" s="71" t="str">
        <f>IFERROR(__xludf.DUMMYFUNCTION("""COMPUTED_VALUE""")," BANDA DE HULE A-20 (BLACKGOLD)")</f>
        <v>BANDA DE HULE A-20 (BLACKGOLD)</v>
      </c>
      <c r="AS97" s="71" t="str">
        <f>IFERROR(__xludf.DUMMYFUNCTION("""COMPUTED_VALUE""")," BANDA DE HULE A-20 (BLACKGOLD)")</f>
        <v>BANDA DE HULE A-20 (BLACKGOLD)</v>
      </c>
      <c r="AT97" s="71">
        <f>IFERROR(__xludf.DUMMYFUNCTION("""COMPUTED_VALUE"""),30.0)</f>
        <v>30</v>
      </c>
      <c r="AU97" s="71"/>
      <c r="AV97" s="71"/>
      <c r="AW97" s="71"/>
      <c r="AX97" s="71"/>
      <c r="AY97" s="71">
        <f>IFERROR(__xludf.DUMMYFUNCTION("""COMPUTED_VALUE"""),31.0)</f>
        <v>31</v>
      </c>
      <c r="AZ97" s="71">
        <f>IFERROR(__xludf.DUMMYFUNCTION("""COMPUTED_VALUE"""),45.0)</f>
        <v>45</v>
      </c>
      <c r="BA97" s="71">
        <f>IFERROR(__xludf.DUMMYFUNCTION("""COMPUTED_VALUE"""),48.6)</f>
        <v>48.6</v>
      </c>
      <c r="BB97" s="71">
        <f>IFERROR(__xludf.DUMMYFUNCTION("""COMPUTED_VALUE"""),48.6)</f>
        <v>48.6</v>
      </c>
      <c r="BC97" s="71">
        <f>IFERROR(__xludf.DUMMYFUNCTION("""COMPUTED_VALUE"""),55.0)</f>
        <v>55</v>
      </c>
      <c r="BD97" s="71">
        <f>IFERROR(__xludf.DUMMYFUNCTION("""COMPUTED_VALUE"""),58.0)</f>
        <v>58</v>
      </c>
      <c r="BE97" s="71">
        <f>IFERROR(__xludf.DUMMYFUNCTION("""COMPUTED_VALUE"""),9.28)</f>
        <v>9.28</v>
      </c>
      <c r="BF97" s="71">
        <f>IFERROR(__xludf.DUMMYFUNCTION("""COMPUTED_VALUE"""),67.28)</f>
        <v>67.28</v>
      </c>
      <c r="BG97" s="71">
        <f>IFERROR(__xludf.DUMMYFUNCTION("""COMPUTED_VALUE"""),0.05454545454545454)</f>
        <v>0.05454545455</v>
      </c>
      <c r="BH97" s="71">
        <f>IFERROR(__xludf.DUMMYFUNCTION("""COMPUTED_VALUE"""),55.099999999999994)</f>
        <v>55.1</v>
      </c>
      <c r="BI97" s="71">
        <f>IFERROR(__xludf.DUMMYFUNCTION("""COMPUTED_VALUE"""),8.815999999999999)</f>
        <v>8.816</v>
      </c>
      <c r="BJ97" s="71">
        <f>IFERROR(__xludf.DUMMYFUNCTION("""COMPUTED_VALUE"""),63.916)</f>
        <v>63.916</v>
      </c>
      <c r="BK97" s="71">
        <f>IFERROR(__xludf.DUMMYFUNCTION("""COMPUTED_VALUE"""),52.2)</f>
        <v>52.2</v>
      </c>
      <c r="BL97" s="71">
        <f>IFERROR(__xludf.DUMMYFUNCTION("""COMPUTED_VALUE"""),8.352)</f>
        <v>8.352</v>
      </c>
      <c r="BM97" s="71">
        <f>IFERROR(__xludf.DUMMYFUNCTION("""COMPUTED_VALUE"""),60.55200000000001)</f>
        <v>60.552</v>
      </c>
      <c r="BN97" s="71">
        <f>IFERROR(__xludf.DUMMYFUNCTION("""COMPUTED_VALUE"""),49.3)</f>
        <v>49.3</v>
      </c>
      <c r="BO97" s="71">
        <f>IFERROR(__xludf.DUMMYFUNCTION("""COMPUTED_VALUE"""),7.888)</f>
        <v>7.888</v>
      </c>
      <c r="BP97" s="71">
        <f>IFERROR(__xludf.DUMMYFUNCTION("""COMPUTED_VALUE"""),57.187999999999995)</f>
        <v>57.188</v>
      </c>
      <c r="BQ97" s="71">
        <f>IFERROR(__xludf.DUMMYFUNCTION("""COMPUTED_VALUE"""),48.14)</f>
        <v>48.14</v>
      </c>
      <c r="BR97" s="71">
        <f>IFERROR(__xludf.DUMMYFUNCTION("""COMPUTED_VALUE"""),7.7024)</f>
        <v>7.7024</v>
      </c>
      <c r="BS97" s="71">
        <f>IFERROR(__xludf.DUMMYFUNCTION("""COMPUTED_VALUE"""),55.8424)</f>
        <v>55.8424</v>
      </c>
      <c r="BT97" s="71">
        <f>IFERROR(__xludf.DUMMYFUNCTION("""COMPUTED_VALUE"""),46.400000000000006)</f>
        <v>46.4</v>
      </c>
      <c r="BU97" s="71">
        <f>IFERROR(__xludf.DUMMYFUNCTION("""COMPUTED_VALUE"""),7.424000000000001)</f>
        <v>7.424</v>
      </c>
      <c r="BV97" s="71">
        <f>IFERROR(__xludf.DUMMYFUNCTION("""COMPUTED_VALUE"""),53.824000000000005)</f>
        <v>53.824</v>
      </c>
    </row>
    <row r="98">
      <c r="A98" s="53">
        <v>1.0</v>
      </c>
      <c r="B98" s="53"/>
      <c r="C98" s="73" t="s">
        <v>12</v>
      </c>
      <c r="D98" s="53" t="s">
        <v>283</v>
      </c>
      <c r="E98" s="54" t="s">
        <v>38</v>
      </c>
      <c r="F98" s="54" t="s">
        <v>42</v>
      </c>
      <c r="G98" s="88" t="s">
        <v>284</v>
      </c>
      <c r="H98" s="54" t="s">
        <v>285</v>
      </c>
      <c r="I98" s="54">
        <f t="shared" si="1"/>
        <v>39</v>
      </c>
      <c r="J98" s="56"/>
      <c r="K98" s="57"/>
      <c r="L98" s="118"/>
      <c r="M98" s="59"/>
      <c r="N98" s="60">
        <v>5184.0</v>
      </c>
      <c r="O98" s="61">
        <v>5598.0</v>
      </c>
      <c r="P98" s="62">
        <v>6045.84</v>
      </c>
      <c r="Q98" s="63">
        <v>6045.84</v>
      </c>
      <c r="R98" s="64">
        <v>6730.0</v>
      </c>
      <c r="S98" s="65">
        <v>3390.0</v>
      </c>
      <c r="T98" s="65">
        <f t="shared" si="2"/>
        <v>542.4</v>
      </c>
      <c r="U98" s="65">
        <f t="shared" si="3"/>
        <v>3932.4</v>
      </c>
      <c r="V98" s="66">
        <f t="shared" si="4"/>
        <v>-0.4962852897</v>
      </c>
      <c r="W98" s="67">
        <f t="shared" si="5"/>
        <v>3220.5</v>
      </c>
      <c r="X98" s="67">
        <f t="shared" si="6"/>
        <v>515.28</v>
      </c>
      <c r="Y98" s="67">
        <f t="shared" si="7"/>
        <v>3735.78</v>
      </c>
      <c r="Z98" s="67">
        <f t="shared" si="8"/>
        <v>3051</v>
      </c>
      <c r="AA98" s="67">
        <f t="shared" si="9"/>
        <v>488.16</v>
      </c>
      <c r="AB98" s="67">
        <f t="shared" si="10"/>
        <v>3539.16</v>
      </c>
      <c r="AC98" s="67">
        <f t="shared" si="11"/>
        <v>2881.5</v>
      </c>
      <c r="AD98" s="67">
        <f t="shared" si="12"/>
        <v>461.04</v>
      </c>
      <c r="AE98" s="67">
        <f t="shared" si="13"/>
        <v>3342.54</v>
      </c>
      <c r="AF98" s="67">
        <f t="shared" si="14"/>
        <v>2813.7</v>
      </c>
      <c r="AG98" s="67">
        <f t="shared" si="15"/>
        <v>450.192</v>
      </c>
      <c r="AH98" s="67">
        <f t="shared" si="16"/>
        <v>3263.892</v>
      </c>
      <c r="AI98" s="67">
        <f t="shared" si="17"/>
        <v>2712</v>
      </c>
      <c r="AJ98" s="68">
        <f t="shared" si="20"/>
        <v>433.92</v>
      </c>
      <c r="AK98" s="68">
        <f t="shared" si="21"/>
        <v>3145.92</v>
      </c>
      <c r="AL98" s="70">
        <f>IFERROR(__xludf.DUMMYFUNCTION("""COMPUTED_VALUE"""),1.0)</f>
        <v>1</v>
      </c>
      <c r="AM98" s="70"/>
      <c r="AN98" s="71" t="str">
        <f>IFERROR(__xludf.DUMMYFUNCTION("""COMPUTED_VALUE""")," C")</f>
        <v>C</v>
      </c>
      <c r="AO98" s="71" t="str">
        <f>IFERROR(__xludf.DUMMYFUNCTION("""COMPUTED_VALUE""")," BH28")</f>
        <v>BH28</v>
      </c>
      <c r="AP98" s="71" t="str">
        <f>IFERROR(__xludf.DUMMYFUNCTION("""COMPUTED_VALUE""")," PZA")</f>
        <v>PZA</v>
      </c>
      <c r="AQ98" s="71" t="str">
        <f>IFERROR(__xludf.DUMMYFUNCTION("""COMPUTED_VALUE""")," REF")</f>
        <v>REF</v>
      </c>
      <c r="AR98" s="71" t="str">
        <f>IFERROR(__xludf.DUMMYFUNCTION("""COMPUTED_VALUE""")," BANDA DE HULE A-20 (GATES)")</f>
        <v>BANDA DE HULE A-20 (GATES)</v>
      </c>
      <c r="AS98" s="71" t="str">
        <f>IFERROR(__xludf.DUMMYFUNCTION("""COMPUTED_VALUE""")," BANDA DE HULE A-20 (GATES)")</f>
        <v>BANDA DE HULE A-20 (GATES)</v>
      </c>
      <c r="AT98" s="71">
        <f>IFERROR(__xludf.DUMMYFUNCTION("""COMPUTED_VALUE"""),26.0)</f>
        <v>26</v>
      </c>
      <c r="AU98" s="71"/>
      <c r="AV98" s="71"/>
      <c r="AW98" s="71"/>
      <c r="AX98" s="71"/>
      <c r="AY98" s="71">
        <f>IFERROR(__xludf.DUMMYFUNCTION("""COMPUTED_VALUE"""),86.0)</f>
        <v>86</v>
      </c>
      <c r="AZ98" s="71">
        <f>IFERROR(__xludf.DUMMYFUNCTION("""COMPUTED_VALUE"""),92.0)</f>
        <v>92</v>
      </c>
      <c r="BA98" s="71">
        <f>IFERROR(__xludf.DUMMYFUNCTION("""COMPUTED_VALUE"""),99.36000000000001)</f>
        <v>99.36</v>
      </c>
      <c r="BB98" s="71">
        <f>IFERROR(__xludf.DUMMYFUNCTION("""COMPUTED_VALUE"""),99.36000000000001)</f>
        <v>99.36</v>
      </c>
      <c r="BC98" s="71">
        <f>IFERROR(__xludf.DUMMYFUNCTION("""COMPUTED_VALUE"""),112.0)</f>
        <v>112</v>
      </c>
      <c r="BD98" s="71">
        <f>IFERROR(__xludf.DUMMYFUNCTION("""COMPUTED_VALUE"""),118.0)</f>
        <v>118</v>
      </c>
      <c r="BE98" s="71">
        <f>IFERROR(__xludf.DUMMYFUNCTION("""COMPUTED_VALUE"""),18.88)</f>
        <v>18.88</v>
      </c>
      <c r="BF98" s="71">
        <f>IFERROR(__xludf.DUMMYFUNCTION("""COMPUTED_VALUE"""),136.88)</f>
        <v>136.88</v>
      </c>
      <c r="BG98" s="71">
        <f>IFERROR(__xludf.DUMMYFUNCTION("""COMPUTED_VALUE"""),0.05357142857142857)</f>
        <v>0.05357142857</v>
      </c>
      <c r="BH98" s="71">
        <f>IFERROR(__xludf.DUMMYFUNCTION("""COMPUTED_VALUE"""),112.1)</f>
        <v>112.1</v>
      </c>
      <c r="BI98" s="71">
        <f>IFERROR(__xludf.DUMMYFUNCTION("""COMPUTED_VALUE"""),17.936)</f>
        <v>17.936</v>
      </c>
      <c r="BJ98" s="71">
        <f>IFERROR(__xludf.DUMMYFUNCTION("""COMPUTED_VALUE"""),130.036)</f>
        <v>130.036</v>
      </c>
      <c r="BK98" s="71">
        <f>IFERROR(__xludf.DUMMYFUNCTION("""COMPUTED_VALUE"""),106.2)</f>
        <v>106.2</v>
      </c>
      <c r="BL98" s="71">
        <f>IFERROR(__xludf.DUMMYFUNCTION("""COMPUTED_VALUE"""),16.992)</f>
        <v>16.992</v>
      </c>
      <c r="BM98" s="71">
        <f>IFERROR(__xludf.DUMMYFUNCTION("""COMPUTED_VALUE"""),123.19200000000001)</f>
        <v>123.192</v>
      </c>
      <c r="BN98" s="71">
        <f>IFERROR(__xludf.DUMMYFUNCTION("""COMPUTED_VALUE"""),100.3)</f>
        <v>100.3</v>
      </c>
      <c r="BO98" s="71">
        <f>IFERROR(__xludf.DUMMYFUNCTION("""COMPUTED_VALUE"""),16.048)</f>
        <v>16.048</v>
      </c>
      <c r="BP98" s="71">
        <f>IFERROR(__xludf.DUMMYFUNCTION("""COMPUTED_VALUE"""),116.348)</f>
        <v>116.348</v>
      </c>
      <c r="BQ98" s="71">
        <f>IFERROR(__xludf.DUMMYFUNCTION("""COMPUTED_VALUE"""),97.94)</f>
        <v>97.94</v>
      </c>
      <c r="BR98" s="71">
        <f>IFERROR(__xludf.DUMMYFUNCTION("""COMPUTED_VALUE"""),15.6704)</f>
        <v>15.6704</v>
      </c>
      <c r="BS98" s="71">
        <f>IFERROR(__xludf.DUMMYFUNCTION("""COMPUTED_VALUE"""),113.6104)</f>
        <v>113.6104</v>
      </c>
      <c r="BT98" s="71">
        <f>IFERROR(__xludf.DUMMYFUNCTION("""COMPUTED_VALUE"""),94.4)</f>
        <v>94.4</v>
      </c>
      <c r="BU98" s="71">
        <f>IFERROR(__xludf.DUMMYFUNCTION("""COMPUTED_VALUE"""),15.104000000000001)</f>
        <v>15.104</v>
      </c>
      <c r="BV98" s="71">
        <f>IFERROR(__xludf.DUMMYFUNCTION("""COMPUTED_VALUE"""),109.504)</f>
        <v>109.504</v>
      </c>
    </row>
    <row r="99">
      <c r="A99" s="53">
        <v>1.0</v>
      </c>
      <c r="B99" s="53"/>
      <c r="C99" s="73" t="s">
        <v>12</v>
      </c>
      <c r="D99" s="53" t="s">
        <v>286</v>
      </c>
      <c r="E99" s="54" t="s">
        <v>38</v>
      </c>
      <c r="F99" s="54" t="s">
        <v>42</v>
      </c>
      <c r="G99" s="88" t="s">
        <v>287</v>
      </c>
      <c r="H99" s="54" t="s">
        <v>288</v>
      </c>
      <c r="I99" s="54">
        <f t="shared" si="1"/>
        <v>39</v>
      </c>
      <c r="J99" s="56"/>
      <c r="K99" s="57"/>
      <c r="L99" s="87"/>
      <c r="M99" s="59"/>
      <c r="N99" s="60">
        <v>3512.0</v>
      </c>
      <c r="O99" s="61">
        <v>1935.0</v>
      </c>
      <c r="P99" s="62">
        <v>2089.8</v>
      </c>
      <c r="Q99" s="63">
        <v>2089.8</v>
      </c>
      <c r="R99" s="64">
        <v>2327.0</v>
      </c>
      <c r="S99" s="111">
        <v>2443.0</v>
      </c>
      <c r="T99" s="65">
        <f t="shared" si="2"/>
        <v>390.88</v>
      </c>
      <c r="U99" s="65">
        <f t="shared" si="3"/>
        <v>2833.88</v>
      </c>
      <c r="V99" s="66">
        <f t="shared" si="4"/>
        <v>0.04984959175</v>
      </c>
      <c r="W99" s="67">
        <f t="shared" si="5"/>
        <v>2320.85</v>
      </c>
      <c r="X99" s="67">
        <f t="shared" si="6"/>
        <v>371.336</v>
      </c>
      <c r="Y99" s="67">
        <f t="shared" si="7"/>
        <v>2692.186</v>
      </c>
      <c r="Z99" s="67">
        <f t="shared" si="8"/>
        <v>2198.7</v>
      </c>
      <c r="AA99" s="67">
        <f t="shared" si="9"/>
        <v>351.792</v>
      </c>
      <c r="AB99" s="67">
        <f t="shared" si="10"/>
        <v>2550.492</v>
      </c>
      <c r="AC99" s="67">
        <f t="shared" si="11"/>
        <v>2076.55</v>
      </c>
      <c r="AD99" s="67">
        <f t="shared" si="12"/>
        <v>332.248</v>
      </c>
      <c r="AE99" s="67">
        <f t="shared" si="13"/>
        <v>2408.798</v>
      </c>
      <c r="AF99" s="67">
        <f t="shared" si="14"/>
        <v>2027.69</v>
      </c>
      <c r="AG99" s="67">
        <f t="shared" si="15"/>
        <v>324.4304</v>
      </c>
      <c r="AH99" s="67">
        <f t="shared" si="16"/>
        <v>2352.1204</v>
      </c>
      <c r="AI99" s="67">
        <f t="shared" si="17"/>
        <v>1954.4</v>
      </c>
      <c r="AJ99" s="68">
        <f t="shared" si="20"/>
        <v>312.704</v>
      </c>
      <c r="AK99" s="68">
        <f t="shared" si="21"/>
        <v>2267.104</v>
      </c>
      <c r="AL99" s="70">
        <f>IFERROR(__xludf.DUMMYFUNCTION("""COMPUTED_VALUE"""),1.0)</f>
        <v>1</v>
      </c>
      <c r="AM99" s="70"/>
      <c r="AN99" s="71" t="str">
        <f>IFERROR(__xludf.DUMMYFUNCTION("""COMPUTED_VALUE""")," C")</f>
        <v>C</v>
      </c>
      <c r="AO99" s="71" t="str">
        <f>IFERROR(__xludf.DUMMYFUNCTION("""COMPUTED_VALUE""")," BH04")</f>
        <v>BH04</v>
      </c>
      <c r="AP99" s="71" t="str">
        <f>IFERROR(__xludf.DUMMYFUNCTION("""COMPUTED_VALUE""")," PZA")</f>
        <v>PZA</v>
      </c>
      <c r="AQ99" s="71" t="str">
        <f>IFERROR(__xludf.DUMMYFUNCTION("""COMPUTED_VALUE""")," REF")</f>
        <v>REF</v>
      </c>
      <c r="AR99" s="71" t="str">
        <f>IFERROR(__xludf.DUMMYFUNCTION("""COMPUTED_VALUE""")," BANDA DE HULE A-21 (BLACKGOLD)")</f>
        <v>BANDA DE HULE A-21 (BLACKGOLD)</v>
      </c>
      <c r="AS99" s="71" t="str">
        <f>IFERROR(__xludf.DUMMYFUNCTION("""COMPUTED_VALUE""")," BANDA DE HULE A-21 (BLACKGOLD)")</f>
        <v>BANDA DE HULE A-21 (BLACKGOLD)</v>
      </c>
      <c r="AT99" s="71">
        <f>IFERROR(__xludf.DUMMYFUNCTION("""COMPUTED_VALUE"""),30.0)</f>
        <v>30</v>
      </c>
      <c r="AU99" s="71"/>
      <c r="AV99" s="71"/>
      <c r="AW99" s="71"/>
      <c r="AX99" s="71"/>
      <c r="AY99" s="71">
        <f>IFERROR(__xludf.DUMMYFUNCTION("""COMPUTED_VALUE"""),31.0)</f>
        <v>31</v>
      </c>
      <c r="AZ99" s="71">
        <f>IFERROR(__xludf.DUMMYFUNCTION("""COMPUTED_VALUE"""),45.0)</f>
        <v>45</v>
      </c>
      <c r="BA99" s="71">
        <f>IFERROR(__xludf.DUMMYFUNCTION("""COMPUTED_VALUE"""),48.6)</f>
        <v>48.6</v>
      </c>
      <c r="BB99" s="71">
        <f>IFERROR(__xludf.DUMMYFUNCTION("""COMPUTED_VALUE"""),48.6)</f>
        <v>48.6</v>
      </c>
      <c r="BC99" s="71">
        <f>IFERROR(__xludf.DUMMYFUNCTION("""COMPUTED_VALUE"""),55.0)</f>
        <v>55</v>
      </c>
      <c r="BD99" s="71">
        <f>IFERROR(__xludf.DUMMYFUNCTION("""COMPUTED_VALUE"""),58.0)</f>
        <v>58</v>
      </c>
      <c r="BE99" s="71">
        <f>IFERROR(__xludf.DUMMYFUNCTION("""COMPUTED_VALUE"""),9.28)</f>
        <v>9.28</v>
      </c>
      <c r="BF99" s="71">
        <f>IFERROR(__xludf.DUMMYFUNCTION("""COMPUTED_VALUE"""),67.28)</f>
        <v>67.28</v>
      </c>
      <c r="BG99" s="71">
        <f>IFERROR(__xludf.DUMMYFUNCTION("""COMPUTED_VALUE"""),0.05454545454545454)</f>
        <v>0.05454545455</v>
      </c>
      <c r="BH99" s="71">
        <f>IFERROR(__xludf.DUMMYFUNCTION("""COMPUTED_VALUE"""),55.099999999999994)</f>
        <v>55.1</v>
      </c>
      <c r="BI99" s="71">
        <f>IFERROR(__xludf.DUMMYFUNCTION("""COMPUTED_VALUE"""),8.815999999999999)</f>
        <v>8.816</v>
      </c>
      <c r="BJ99" s="71">
        <f>IFERROR(__xludf.DUMMYFUNCTION("""COMPUTED_VALUE"""),63.916)</f>
        <v>63.916</v>
      </c>
      <c r="BK99" s="71">
        <f>IFERROR(__xludf.DUMMYFUNCTION("""COMPUTED_VALUE"""),52.2)</f>
        <v>52.2</v>
      </c>
      <c r="BL99" s="71">
        <f>IFERROR(__xludf.DUMMYFUNCTION("""COMPUTED_VALUE"""),8.352)</f>
        <v>8.352</v>
      </c>
      <c r="BM99" s="71">
        <f>IFERROR(__xludf.DUMMYFUNCTION("""COMPUTED_VALUE"""),60.55200000000001)</f>
        <v>60.552</v>
      </c>
      <c r="BN99" s="71">
        <f>IFERROR(__xludf.DUMMYFUNCTION("""COMPUTED_VALUE"""),49.3)</f>
        <v>49.3</v>
      </c>
      <c r="BO99" s="71">
        <f>IFERROR(__xludf.DUMMYFUNCTION("""COMPUTED_VALUE"""),7.888)</f>
        <v>7.888</v>
      </c>
      <c r="BP99" s="71">
        <f>IFERROR(__xludf.DUMMYFUNCTION("""COMPUTED_VALUE"""),57.187999999999995)</f>
        <v>57.188</v>
      </c>
      <c r="BQ99" s="71">
        <f>IFERROR(__xludf.DUMMYFUNCTION("""COMPUTED_VALUE"""),48.14)</f>
        <v>48.14</v>
      </c>
      <c r="BR99" s="71">
        <f>IFERROR(__xludf.DUMMYFUNCTION("""COMPUTED_VALUE"""),7.7024)</f>
        <v>7.7024</v>
      </c>
      <c r="BS99" s="71">
        <f>IFERROR(__xludf.DUMMYFUNCTION("""COMPUTED_VALUE"""),55.8424)</f>
        <v>55.8424</v>
      </c>
      <c r="BT99" s="71">
        <f>IFERROR(__xludf.DUMMYFUNCTION("""COMPUTED_VALUE"""),46.400000000000006)</f>
        <v>46.4</v>
      </c>
      <c r="BU99" s="71">
        <f>IFERROR(__xludf.DUMMYFUNCTION("""COMPUTED_VALUE"""),7.424000000000001)</f>
        <v>7.424</v>
      </c>
      <c r="BV99" s="71">
        <f>IFERROR(__xludf.DUMMYFUNCTION("""COMPUTED_VALUE"""),53.824000000000005)</f>
        <v>53.824</v>
      </c>
    </row>
    <row r="100">
      <c r="A100" s="53"/>
      <c r="B100" s="53"/>
      <c r="C100" s="73" t="s">
        <v>12</v>
      </c>
      <c r="D100" s="53" t="s">
        <v>289</v>
      </c>
      <c r="E100" s="54" t="s">
        <v>38</v>
      </c>
      <c r="F100" s="54" t="s">
        <v>42</v>
      </c>
      <c r="G100" s="55" t="s">
        <v>290</v>
      </c>
      <c r="H100" s="54" t="s">
        <v>291</v>
      </c>
      <c r="I100" s="54">
        <f t="shared" si="1"/>
        <v>33</v>
      </c>
      <c r="J100" s="56"/>
      <c r="K100" s="57"/>
      <c r="L100" s="76"/>
      <c r="M100" s="59"/>
      <c r="N100" s="79">
        <v>39360.0</v>
      </c>
      <c r="O100" s="61">
        <v>42508.0</v>
      </c>
      <c r="P100" s="62">
        <v>45908.64</v>
      </c>
      <c r="Q100" s="63">
        <v>45908.64</v>
      </c>
      <c r="R100" s="64">
        <v>48205.0</v>
      </c>
      <c r="S100" s="111">
        <v>50615.0</v>
      </c>
      <c r="T100" s="65">
        <f t="shared" si="2"/>
        <v>8098.4</v>
      </c>
      <c r="U100" s="65">
        <f t="shared" si="3"/>
        <v>58713.4</v>
      </c>
      <c r="V100" s="66">
        <f t="shared" si="4"/>
        <v>0.04999481382</v>
      </c>
      <c r="W100" s="67">
        <f t="shared" si="5"/>
        <v>48084.25</v>
      </c>
      <c r="X100" s="67">
        <f t="shared" si="6"/>
        <v>7693.48</v>
      </c>
      <c r="Y100" s="67">
        <f t="shared" si="7"/>
        <v>55777.73</v>
      </c>
      <c r="Z100" s="67">
        <f t="shared" si="8"/>
        <v>45553.5</v>
      </c>
      <c r="AA100" s="67">
        <f t="shared" si="9"/>
        <v>7288.56</v>
      </c>
      <c r="AB100" s="67">
        <f t="shared" si="10"/>
        <v>52842.06</v>
      </c>
      <c r="AC100" s="67">
        <f t="shared" si="11"/>
        <v>43022.75</v>
      </c>
      <c r="AD100" s="67">
        <f t="shared" si="12"/>
        <v>6883.64</v>
      </c>
      <c r="AE100" s="67">
        <f t="shared" si="13"/>
        <v>49906.39</v>
      </c>
      <c r="AF100" s="67">
        <f t="shared" si="14"/>
        <v>42010.45</v>
      </c>
      <c r="AG100" s="67">
        <f t="shared" si="15"/>
        <v>6721.672</v>
      </c>
      <c r="AH100" s="67">
        <f t="shared" si="16"/>
        <v>48732.122</v>
      </c>
      <c r="AI100" s="67">
        <f t="shared" si="17"/>
        <v>40492</v>
      </c>
      <c r="AJ100" s="68">
        <f t="shared" si="20"/>
        <v>6478.72</v>
      </c>
      <c r="AK100" s="68">
        <f t="shared" si="21"/>
        <v>46970.72</v>
      </c>
      <c r="AL100" s="70">
        <f>IFERROR(__xludf.DUMMYFUNCTION("""COMPUTED_VALUE"""),1.0)</f>
        <v>1</v>
      </c>
      <c r="AM100" s="70"/>
      <c r="AN100" s="71" t="str">
        <f>IFERROR(__xludf.DUMMYFUNCTION("""COMPUTED_VALUE""")," C")</f>
        <v>C</v>
      </c>
      <c r="AO100" s="71" t="str">
        <f>IFERROR(__xludf.DUMMYFUNCTION("""COMPUTED_VALUE""")," BH29")</f>
        <v>BH29</v>
      </c>
      <c r="AP100" s="71" t="str">
        <f>IFERROR(__xludf.DUMMYFUNCTION("""COMPUTED_VALUE""")," PZA")</f>
        <v>PZA</v>
      </c>
      <c r="AQ100" s="71" t="str">
        <f>IFERROR(__xludf.DUMMYFUNCTION("""COMPUTED_VALUE""")," REF")</f>
        <v>REF</v>
      </c>
      <c r="AR100" s="71" t="str">
        <f>IFERROR(__xludf.DUMMYFUNCTION("""COMPUTED_VALUE""")," BANDA DE HULE A-21 (GATES)")</f>
        <v>BANDA DE HULE A-21 (GATES)</v>
      </c>
      <c r="AS100" s="71" t="str">
        <f>IFERROR(__xludf.DUMMYFUNCTION("""COMPUTED_VALUE""")," BANDA DE HULE A-21 (GATES)")</f>
        <v>BANDA DE HULE A-21 (GATES)</v>
      </c>
      <c r="AT100" s="71">
        <f>IFERROR(__xludf.DUMMYFUNCTION("""COMPUTED_VALUE"""),26.0)</f>
        <v>26</v>
      </c>
      <c r="AU100" s="71"/>
      <c r="AV100" s="71"/>
      <c r="AW100" s="71"/>
      <c r="AX100" s="71"/>
      <c r="AY100" s="71">
        <f>IFERROR(__xludf.DUMMYFUNCTION("""COMPUTED_VALUE"""),88.0)</f>
        <v>88</v>
      </c>
      <c r="AZ100" s="71">
        <f>IFERROR(__xludf.DUMMYFUNCTION("""COMPUTED_VALUE"""),95.0)</f>
        <v>95</v>
      </c>
      <c r="BA100" s="71">
        <f>IFERROR(__xludf.DUMMYFUNCTION("""COMPUTED_VALUE"""),102.60000000000001)</f>
        <v>102.6</v>
      </c>
      <c r="BB100" s="71">
        <f>IFERROR(__xludf.DUMMYFUNCTION("""COMPUTED_VALUE"""),102.60000000000001)</f>
        <v>102.6</v>
      </c>
      <c r="BC100" s="71">
        <f>IFERROR(__xludf.DUMMYFUNCTION("""COMPUTED_VALUE"""),115.0)</f>
        <v>115</v>
      </c>
      <c r="BD100" s="71">
        <f>IFERROR(__xludf.DUMMYFUNCTION("""COMPUTED_VALUE"""),121.0)</f>
        <v>121</v>
      </c>
      <c r="BE100" s="71">
        <f>IFERROR(__xludf.DUMMYFUNCTION("""COMPUTED_VALUE"""),19.36)</f>
        <v>19.36</v>
      </c>
      <c r="BF100" s="71">
        <f>IFERROR(__xludf.DUMMYFUNCTION("""COMPUTED_VALUE"""),140.36)</f>
        <v>140.36</v>
      </c>
      <c r="BG100" s="71">
        <f>IFERROR(__xludf.DUMMYFUNCTION("""COMPUTED_VALUE"""),0.05217391304347826)</f>
        <v>0.05217391304</v>
      </c>
      <c r="BH100" s="71">
        <f>IFERROR(__xludf.DUMMYFUNCTION("""COMPUTED_VALUE"""),114.94999999999999)</f>
        <v>114.95</v>
      </c>
      <c r="BI100" s="71">
        <f>IFERROR(__xludf.DUMMYFUNCTION("""COMPUTED_VALUE"""),18.392)</f>
        <v>18.392</v>
      </c>
      <c r="BJ100" s="71">
        <f>IFERROR(__xludf.DUMMYFUNCTION("""COMPUTED_VALUE"""),133.34199999999998)</f>
        <v>133.342</v>
      </c>
      <c r="BK100" s="71">
        <f>IFERROR(__xludf.DUMMYFUNCTION("""COMPUTED_VALUE"""),108.9)</f>
        <v>108.9</v>
      </c>
      <c r="BL100" s="71">
        <f>IFERROR(__xludf.DUMMYFUNCTION("""COMPUTED_VALUE"""),17.424000000000003)</f>
        <v>17.424</v>
      </c>
      <c r="BM100" s="71">
        <f>IFERROR(__xludf.DUMMYFUNCTION("""COMPUTED_VALUE"""),126.32400000000001)</f>
        <v>126.324</v>
      </c>
      <c r="BN100" s="71">
        <f>IFERROR(__xludf.DUMMYFUNCTION("""COMPUTED_VALUE"""),102.85)</f>
        <v>102.85</v>
      </c>
      <c r="BO100" s="71">
        <f>IFERROR(__xludf.DUMMYFUNCTION("""COMPUTED_VALUE"""),16.456)</f>
        <v>16.456</v>
      </c>
      <c r="BP100" s="71">
        <f>IFERROR(__xludf.DUMMYFUNCTION("""COMPUTED_VALUE"""),119.306)</f>
        <v>119.306</v>
      </c>
      <c r="BQ100" s="71">
        <f>IFERROR(__xludf.DUMMYFUNCTION("""COMPUTED_VALUE"""),100.42999999999999)</f>
        <v>100.43</v>
      </c>
      <c r="BR100" s="71">
        <f>IFERROR(__xludf.DUMMYFUNCTION("""COMPUTED_VALUE"""),16.0688)</f>
        <v>16.0688</v>
      </c>
      <c r="BS100" s="71">
        <f>IFERROR(__xludf.DUMMYFUNCTION("""COMPUTED_VALUE"""),116.49879999999999)</f>
        <v>116.4988</v>
      </c>
      <c r="BT100" s="71">
        <f>IFERROR(__xludf.DUMMYFUNCTION("""COMPUTED_VALUE"""),96.80000000000001)</f>
        <v>96.8</v>
      </c>
      <c r="BU100" s="71">
        <f>IFERROR(__xludf.DUMMYFUNCTION("""COMPUTED_VALUE"""),15.488000000000001)</f>
        <v>15.488</v>
      </c>
      <c r="BV100" s="71">
        <f>IFERROR(__xludf.DUMMYFUNCTION("""COMPUTED_VALUE"""),112.28800000000001)</f>
        <v>112.288</v>
      </c>
    </row>
    <row r="101">
      <c r="A101" s="53">
        <v>1.0</v>
      </c>
      <c r="B101" s="53"/>
      <c r="C101" s="73" t="s">
        <v>12</v>
      </c>
      <c r="D101" s="53" t="s">
        <v>292</v>
      </c>
      <c r="E101" s="54" t="s">
        <v>38</v>
      </c>
      <c r="F101" s="54" t="s">
        <v>42</v>
      </c>
      <c r="G101" s="88" t="s">
        <v>293</v>
      </c>
      <c r="H101" s="54" t="s">
        <v>294</v>
      </c>
      <c r="I101" s="54">
        <f t="shared" si="1"/>
        <v>40</v>
      </c>
      <c r="J101" s="56"/>
      <c r="K101" s="57"/>
      <c r="L101" s="76"/>
      <c r="M101" s="59"/>
      <c r="N101" s="60">
        <v>6858.0</v>
      </c>
      <c r="O101" s="61">
        <v>7406.0</v>
      </c>
      <c r="P101" s="62">
        <v>7998.4800000000005</v>
      </c>
      <c r="Q101" s="63">
        <v>7998.4800000000005</v>
      </c>
      <c r="R101" s="64">
        <v>8903.0</v>
      </c>
      <c r="S101" s="65">
        <v>4486.0</v>
      </c>
      <c r="T101" s="65">
        <f t="shared" si="2"/>
        <v>717.76</v>
      </c>
      <c r="U101" s="65">
        <f t="shared" si="3"/>
        <v>5203.76</v>
      </c>
      <c r="V101" s="66">
        <f t="shared" si="4"/>
        <v>-0.4961249017</v>
      </c>
      <c r="W101" s="67">
        <f t="shared" si="5"/>
        <v>4261.7</v>
      </c>
      <c r="X101" s="67">
        <f t="shared" si="6"/>
        <v>681.872</v>
      </c>
      <c r="Y101" s="67">
        <f t="shared" si="7"/>
        <v>4943.572</v>
      </c>
      <c r="Z101" s="67">
        <f t="shared" si="8"/>
        <v>4037.4</v>
      </c>
      <c r="AA101" s="67">
        <f t="shared" si="9"/>
        <v>645.984</v>
      </c>
      <c r="AB101" s="67">
        <f t="shared" si="10"/>
        <v>4683.384</v>
      </c>
      <c r="AC101" s="67">
        <f t="shared" si="11"/>
        <v>3813.1</v>
      </c>
      <c r="AD101" s="67">
        <f t="shared" si="12"/>
        <v>610.096</v>
      </c>
      <c r="AE101" s="67">
        <f t="shared" si="13"/>
        <v>4423.196</v>
      </c>
      <c r="AF101" s="67">
        <f t="shared" si="14"/>
        <v>3723.38</v>
      </c>
      <c r="AG101" s="67">
        <f t="shared" si="15"/>
        <v>595.7408</v>
      </c>
      <c r="AH101" s="67">
        <f t="shared" si="16"/>
        <v>4319.1208</v>
      </c>
      <c r="AI101" s="67">
        <f t="shared" si="17"/>
        <v>3588.8</v>
      </c>
      <c r="AJ101" s="68">
        <f t="shared" si="20"/>
        <v>574.208</v>
      </c>
      <c r="AK101" s="68">
        <f t="shared" si="21"/>
        <v>4163.008</v>
      </c>
      <c r="AL101" s="70">
        <f>IFERROR(__xludf.DUMMYFUNCTION("""COMPUTED_VALUE"""),1.0)</f>
        <v>1</v>
      </c>
      <c r="AM101" s="70"/>
      <c r="AN101" s="71" t="str">
        <f>IFERROR(__xludf.DUMMYFUNCTION("""COMPUTED_VALUE""")," C")</f>
        <v>C</v>
      </c>
      <c r="AO101" s="71" t="str">
        <f>IFERROR(__xludf.DUMMYFUNCTION("""COMPUTED_VALUE""")," BH05")</f>
        <v>BH05</v>
      </c>
      <c r="AP101" s="71" t="str">
        <f>IFERROR(__xludf.DUMMYFUNCTION("""COMPUTED_VALUE""")," PZA")</f>
        <v>PZA</v>
      </c>
      <c r="AQ101" s="71" t="str">
        <f>IFERROR(__xludf.DUMMYFUNCTION("""COMPUTED_VALUE""")," REF")</f>
        <v>REF</v>
      </c>
      <c r="AR101" s="71" t="str">
        <f>IFERROR(__xludf.DUMMYFUNCTION("""COMPUTED_VALUE""")," BANDA DE HULE A-22 (BLACKGOLD)")</f>
        <v>BANDA DE HULE A-22 (BLACKGOLD)</v>
      </c>
      <c r="AS101" s="71" t="str">
        <f>IFERROR(__xludf.DUMMYFUNCTION("""COMPUTED_VALUE""")," BANDA DE HULE A-22 (BLACKGOLD)")</f>
        <v>BANDA DE HULE A-22 (BLACKGOLD)</v>
      </c>
      <c r="AT101" s="71">
        <f>IFERROR(__xludf.DUMMYFUNCTION("""COMPUTED_VALUE"""),30.0)</f>
        <v>30</v>
      </c>
      <c r="AU101" s="71"/>
      <c r="AV101" s="71"/>
      <c r="AW101" s="71"/>
      <c r="AX101" s="71"/>
      <c r="AY101" s="71">
        <f>IFERROR(__xludf.DUMMYFUNCTION("""COMPUTED_VALUE"""),35.0)</f>
        <v>35</v>
      </c>
      <c r="AZ101" s="71">
        <f>IFERROR(__xludf.DUMMYFUNCTION("""COMPUTED_VALUE"""),45.0)</f>
        <v>45</v>
      </c>
      <c r="BA101" s="71">
        <f>IFERROR(__xludf.DUMMYFUNCTION("""COMPUTED_VALUE"""),48.6)</f>
        <v>48.6</v>
      </c>
      <c r="BB101" s="71">
        <f>IFERROR(__xludf.DUMMYFUNCTION("""COMPUTED_VALUE"""),48.6)</f>
        <v>48.6</v>
      </c>
      <c r="BC101" s="71">
        <f>IFERROR(__xludf.DUMMYFUNCTION("""COMPUTED_VALUE"""),55.0)</f>
        <v>55</v>
      </c>
      <c r="BD101" s="71">
        <f>IFERROR(__xludf.DUMMYFUNCTION("""COMPUTED_VALUE"""),58.0)</f>
        <v>58</v>
      </c>
      <c r="BE101" s="71">
        <f>IFERROR(__xludf.DUMMYFUNCTION("""COMPUTED_VALUE"""),9.28)</f>
        <v>9.28</v>
      </c>
      <c r="BF101" s="71">
        <f>IFERROR(__xludf.DUMMYFUNCTION("""COMPUTED_VALUE"""),67.28)</f>
        <v>67.28</v>
      </c>
      <c r="BG101" s="71">
        <f>IFERROR(__xludf.DUMMYFUNCTION("""COMPUTED_VALUE"""),0.05454545454545454)</f>
        <v>0.05454545455</v>
      </c>
      <c r="BH101" s="71">
        <f>IFERROR(__xludf.DUMMYFUNCTION("""COMPUTED_VALUE"""),55.099999999999994)</f>
        <v>55.1</v>
      </c>
      <c r="BI101" s="71">
        <f>IFERROR(__xludf.DUMMYFUNCTION("""COMPUTED_VALUE"""),8.815999999999999)</f>
        <v>8.816</v>
      </c>
      <c r="BJ101" s="71">
        <f>IFERROR(__xludf.DUMMYFUNCTION("""COMPUTED_VALUE"""),63.916)</f>
        <v>63.916</v>
      </c>
      <c r="BK101" s="71">
        <f>IFERROR(__xludf.DUMMYFUNCTION("""COMPUTED_VALUE"""),52.2)</f>
        <v>52.2</v>
      </c>
      <c r="BL101" s="71">
        <f>IFERROR(__xludf.DUMMYFUNCTION("""COMPUTED_VALUE"""),8.352)</f>
        <v>8.352</v>
      </c>
      <c r="BM101" s="71">
        <f>IFERROR(__xludf.DUMMYFUNCTION("""COMPUTED_VALUE"""),60.55200000000001)</f>
        <v>60.552</v>
      </c>
      <c r="BN101" s="71">
        <f>IFERROR(__xludf.DUMMYFUNCTION("""COMPUTED_VALUE"""),49.3)</f>
        <v>49.3</v>
      </c>
      <c r="BO101" s="71">
        <f>IFERROR(__xludf.DUMMYFUNCTION("""COMPUTED_VALUE"""),7.888)</f>
        <v>7.888</v>
      </c>
      <c r="BP101" s="71">
        <f>IFERROR(__xludf.DUMMYFUNCTION("""COMPUTED_VALUE"""),57.187999999999995)</f>
        <v>57.188</v>
      </c>
      <c r="BQ101" s="71">
        <f>IFERROR(__xludf.DUMMYFUNCTION("""COMPUTED_VALUE"""),48.14)</f>
        <v>48.14</v>
      </c>
      <c r="BR101" s="71">
        <f>IFERROR(__xludf.DUMMYFUNCTION("""COMPUTED_VALUE"""),7.7024)</f>
        <v>7.7024</v>
      </c>
      <c r="BS101" s="71">
        <f>IFERROR(__xludf.DUMMYFUNCTION("""COMPUTED_VALUE"""),55.8424)</f>
        <v>55.8424</v>
      </c>
      <c r="BT101" s="71">
        <f>IFERROR(__xludf.DUMMYFUNCTION("""COMPUTED_VALUE"""),46.400000000000006)</f>
        <v>46.4</v>
      </c>
      <c r="BU101" s="71">
        <f>IFERROR(__xludf.DUMMYFUNCTION("""COMPUTED_VALUE"""),7.424000000000001)</f>
        <v>7.424</v>
      </c>
      <c r="BV101" s="71">
        <f>IFERROR(__xludf.DUMMYFUNCTION("""COMPUTED_VALUE"""),53.824000000000005)</f>
        <v>53.824</v>
      </c>
    </row>
    <row r="102">
      <c r="A102" s="53">
        <v>1.0</v>
      </c>
      <c r="B102" s="53"/>
      <c r="C102" s="73" t="s">
        <v>12</v>
      </c>
      <c r="D102" s="53" t="s">
        <v>295</v>
      </c>
      <c r="E102" s="54" t="s">
        <v>38</v>
      </c>
      <c r="F102" s="54" t="s">
        <v>42</v>
      </c>
      <c r="G102" s="88" t="s">
        <v>296</v>
      </c>
      <c r="H102" s="54" t="s">
        <v>297</v>
      </c>
      <c r="I102" s="54">
        <f t="shared" si="1"/>
        <v>40</v>
      </c>
      <c r="J102" s="56"/>
      <c r="K102" s="57"/>
      <c r="L102" s="87"/>
      <c r="M102" s="59"/>
      <c r="N102" s="60">
        <v>3512.0</v>
      </c>
      <c r="O102" s="61">
        <v>1935.0</v>
      </c>
      <c r="P102" s="62">
        <v>2089.8</v>
      </c>
      <c r="Q102" s="63">
        <v>2089.8</v>
      </c>
      <c r="R102" s="64">
        <v>2327.0</v>
      </c>
      <c r="S102" s="111">
        <v>2443.0</v>
      </c>
      <c r="T102" s="65">
        <f t="shared" si="2"/>
        <v>390.88</v>
      </c>
      <c r="U102" s="65">
        <f t="shared" si="3"/>
        <v>2833.88</v>
      </c>
      <c r="V102" s="66">
        <f t="shared" si="4"/>
        <v>0.04984959175</v>
      </c>
      <c r="W102" s="67">
        <f t="shared" si="5"/>
        <v>2320.85</v>
      </c>
      <c r="X102" s="67">
        <f t="shared" si="6"/>
        <v>371.336</v>
      </c>
      <c r="Y102" s="67">
        <f t="shared" si="7"/>
        <v>2692.186</v>
      </c>
      <c r="Z102" s="67">
        <f t="shared" si="8"/>
        <v>2198.7</v>
      </c>
      <c r="AA102" s="67">
        <f t="shared" si="9"/>
        <v>351.792</v>
      </c>
      <c r="AB102" s="67">
        <f t="shared" si="10"/>
        <v>2550.492</v>
      </c>
      <c r="AC102" s="67">
        <f t="shared" si="11"/>
        <v>2076.55</v>
      </c>
      <c r="AD102" s="67">
        <f t="shared" si="12"/>
        <v>332.248</v>
      </c>
      <c r="AE102" s="67">
        <f t="shared" si="13"/>
        <v>2408.798</v>
      </c>
      <c r="AF102" s="67">
        <f t="shared" si="14"/>
        <v>2027.69</v>
      </c>
      <c r="AG102" s="67">
        <f t="shared" si="15"/>
        <v>324.4304</v>
      </c>
      <c r="AH102" s="67">
        <f t="shared" si="16"/>
        <v>2352.1204</v>
      </c>
      <c r="AI102" s="67">
        <f t="shared" si="17"/>
        <v>1954.4</v>
      </c>
      <c r="AJ102" s="68">
        <f t="shared" si="20"/>
        <v>312.704</v>
      </c>
      <c r="AK102" s="68">
        <f t="shared" si="21"/>
        <v>2267.104</v>
      </c>
      <c r="AL102" s="70">
        <f>IFERROR(__xludf.DUMMYFUNCTION("""COMPUTED_VALUE"""),1.0)</f>
        <v>1</v>
      </c>
      <c r="AM102" s="70"/>
      <c r="AN102" s="71" t="str">
        <f>IFERROR(__xludf.DUMMYFUNCTION("""COMPUTED_VALUE""")," C")</f>
        <v>C</v>
      </c>
      <c r="AO102" s="71" t="str">
        <f>IFERROR(__xludf.DUMMYFUNCTION("""COMPUTED_VALUE""")," BH30")</f>
        <v>BH30</v>
      </c>
      <c r="AP102" s="71" t="str">
        <f>IFERROR(__xludf.DUMMYFUNCTION("""COMPUTED_VALUE""")," PZA")</f>
        <v>PZA</v>
      </c>
      <c r="AQ102" s="71" t="str">
        <f>IFERROR(__xludf.DUMMYFUNCTION("""COMPUTED_VALUE""")," REF")</f>
        <v>REF</v>
      </c>
      <c r="AR102" s="71" t="str">
        <f>IFERROR(__xludf.DUMMYFUNCTION("""COMPUTED_VALUE""")," BANDA DE HULE A-22 (GATES)")</f>
        <v>BANDA DE HULE A-22 (GATES)</v>
      </c>
      <c r="AS102" s="71" t="str">
        <f>IFERROR(__xludf.DUMMYFUNCTION("""COMPUTED_VALUE""")," BANDA DE HULE A-22 (GATES)")</f>
        <v>BANDA DE HULE A-22 (GATES)</v>
      </c>
      <c r="AT102" s="71">
        <f>IFERROR(__xludf.DUMMYFUNCTION("""COMPUTED_VALUE"""),26.0)</f>
        <v>26</v>
      </c>
      <c r="AU102" s="71"/>
      <c r="AV102" s="71"/>
      <c r="AW102" s="71"/>
      <c r="AX102" s="71"/>
      <c r="AY102" s="71">
        <f>IFERROR(__xludf.DUMMYFUNCTION("""COMPUTED_VALUE"""),100.0)</f>
        <v>100</v>
      </c>
      <c r="AZ102" s="71">
        <f>IFERROR(__xludf.DUMMYFUNCTION("""COMPUTED_VALUE"""),108.0)</f>
        <v>108</v>
      </c>
      <c r="BA102" s="71">
        <f>IFERROR(__xludf.DUMMYFUNCTION("""COMPUTED_VALUE"""),116.64000000000001)</f>
        <v>116.64</v>
      </c>
      <c r="BB102" s="71">
        <f>IFERROR(__xludf.DUMMYFUNCTION("""COMPUTED_VALUE"""),116.64000000000001)</f>
        <v>116.64</v>
      </c>
      <c r="BC102" s="71">
        <f>IFERROR(__xludf.DUMMYFUNCTION("""COMPUTED_VALUE"""),131.0)</f>
        <v>131</v>
      </c>
      <c r="BD102" s="71">
        <f>IFERROR(__xludf.DUMMYFUNCTION("""COMPUTED_VALUE"""),138.0)</f>
        <v>138</v>
      </c>
      <c r="BE102" s="71">
        <f>IFERROR(__xludf.DUMMYFUNCTION("""COMPUTED_VALUE"""),22.080000000000002)</f>
        <v>22.08</v>
      </c>
      <c r="BF102" s="71">
        <f>IFERROR(__xludf.DUMMYFUNCTION("""COMPUTED_VALUE"""),160.08)</f>
        <v>160.08</v>
      </c>
      <c r="BG102" s="71">
        <f>IFERROR(__xludf.DUMMYFUNCTION("""COMPUTED_VALUE"""),0.05343511450381679)</f>
        <v>0.0534351145</v>
      </c>
      <c r="BH102" s="71">
        <f>IFERROR(__xludf.DUMMYFUNCTION("""COMPUTED_VALUE"""),131.1)</f>
        <v>131.1</v>
      </c>
      <c r="BI102" s="71">
        <f>IFERROR(__xludf.DUMMYFUNCTION("""COMPUTED_VALUE"""),20.976)</f>
        <v>20.976</v>
      </c>
      <c r="BJ102" s="71">
        <f>IFERROR(__xludf.DUMMYFUNCTION("""COMPUTED_VALUE"""),152.076)</f>
        <v>152.076</v>
      </c>
      <c r="BK102" s="71">
        <f>IFERROR(__xludf.DUMMYFUNCTION("""COMPUTED_VALUE"""),124.2)</f>
        <v>124.2</v>
      </c>
      <c r="BL102" s="71">
        <f>IFERROR(__xludf.DUMMYFUNCTION("""COMPUTED_VALUE"""),19.872)</f>
        <v>19.872</v>
      </c>
      <c r="BM102" s="71">
        <f>IFERROR(__xludf.DUMMYFUNCTION("""COMPUTED_VALUE"""),144.072)</f>
        <v>144.072</v>
      </c>
      <c r="BN102" s="71">
        <f>IFERROR(__xludf.DUMMYFUNCTION("""COMPUTED_VALUE"""),117.3)</f>
        <v>117.3</v>
      </c>
      <c r="BO102" s="71">
        <f>IFERROR(__xludf.DUMMYFUNCTION("""COMPUTED_VALUE"""),18.768)</f>
        <v>18.768</v>
      </c>
      <c r="BP102" s="71">
        <f>IFERROR(__xludf.DUMMYFUNCTION("""COMPUTED_VALUE"""),136.06799999999998)</f>
        <v>136.068</v>
      </c>
      <c r="BQ102" s="71">
        <f>IFERROR(__xludf.DUMMYFUNCTION("""COMPUTED_VALUE"""),114.53999999999999)</f>
        <v>114.54</v>
      </c>
      <c r="BR102" s="71">
        <f>IFERROR(__xludf.DUMMYFUNCTION("""COMPUTED_VALUE"""),18.3264)</f>
        <v>18.3264</v>
      </c>
      <c r="BS102" s="71">
        <f>IFERROR(__xludf.DUMMYFUNCTION("""COMPUTED_VALUE"""),132.8664)</f>
        <v>132.8664</v>
      </c>
      <c r="BT102" s="71">
        <f>IFERROR(__xludf.DUMMYFUNCTION("""COMPUTED_VALUE"""),110.4)</f>
        <v>110.4</v>
      </c>
      <c r="BU102" s="71">
        <f>IFERROR(__xludf.DUMMYFUNCTION("""COMPUTED_VALUE"""),17.664)</f>
        <v>17.664</v>
      </c>
      <c r="BV102" s="71">
        <f>IFERROR(__xludf.DUMMYFUNCTION("""COMPUTED_VALUE"""),128.06400000000002)</f>
        <v>128.064</v>
      </c>
    </row>
    <row r="103">
      <c r="A103" s="53">
        <v>1.0</v>
      </c>
      <c r="B103" s="72"/>
      <c r="C103" s="73" t="s">
        <v>53</v>
      </c>
      <c r="D103" s="74" t="s">
        <v>298</v>
      </c>
      <c r="E103" s="54" t="s">
        <v>38</v>
      </c>
      <c r="F103" s="54" t="s">
        <v>42</v>
      </c>
      <c r="G103" s="54" t="s">
        <v>299</v>
      </c>
      <c r="H103" s="54" t="s">
        <v>299</v>
      </c>
      <c r="I103" s="54">
        <f t="shared" si="1"/>
        <v>32</v>
      </c>
      <c r="J103" s="56"/>
      <c r="K103" s="75"/>
      <c r="L103" s="77"/>
      <c r="M103" s="59"/>
      <c r="N103" s="60">
        <v>100.0</v>
      </c>
      <c r="O103" s="61">
        <v>108.0</v>
      </c>
      <c r="P103" s="62">
        <v>116.64000000000001</v>
      </c>
      <c r="Q103" s="63">
        <v>116.64000000000001</v>
      </c>
      <c r="R103" s="64">
        <v>131.0</v>
      </c>
      <c r="S103" s="111">
        <v>138.0</v>
      </c>
      <c r="T103" s="65">
        <f t="shared" si="2"/>
        <v>22.08</v>
      </c>
      <c r="U103" s="65">
        <f t="shared" si="3"/>
        <v>160.08</v>
      </c>
      <c r="V103" s="66">
        <f t="shared" si="4"/>
        <v>0.0534351145</v>
      </c>
      <c r="W103" s="67">
        <f t="shared" si="5"/>
        <v>131.1</v>
      </c>
      <c r="X103" s="67">
        <f t="shared" si="6"/>
        <v>20.976</v>
      </c>
      <c r="Y103" s="67">
        <f t="shared" si="7"/>
        <v>152.076</v>
      </c>
      <c r="Z103" s="67">
        <f t="shared" si="8"/>
        <v>124.2</v>
      </c>
      <c r="AA103" s="67">
        <f t="shared" si="9"/>
        <v>19.872</v>
      </c>
      <c r="AB103" s="67">
        <f t="shared" si="10"/>
        <v>144.072</v>
      </c>
      <c r="AC103" s="67">
        <f t="shared" si="11"/>
        <v>117.3</v>
      </c>
      <c r="AD103" s="67">
        <f t="shared" si="12"/>
        <v>18.768</v>
      </c>
      <c r="AE103" s="67">
        <f t="shared" si="13"/>
        <v>136.068</v>
      </c>
      <c r="AF103" s="67">
        <f t="shared" si="14"/>
        <v>114.54</v>
      </c>
      <c r="AG103" s="67">
        <f t="shared" si="15"/>
        <v>18.3264</v>
      </c>
      <c r="AH103" s="67">
        <f t="shared" si="16"/>
        <v>132.8664</v>
      </c>
      <c r="AI103" s="67">
        <f t="shared" si="17"/>
        <v>110.4</v>
      </c>
      <c r="AJ103" s="68">
        <f t="shared" si="20"/>
        <v>17.664</v>
      </c>
      <c r="AK103" s="68">
        <f t="shared" si="21"/>
        <v>128.064</v>
      </c>
      <c r="AL103" s="70">
        <f>IFERROR(__xludf.DUMMYFUNCTION("""COMPUTED_VALUE"""),1.0)</f>
        <v>1</v>
      </c>
      <c r="AM103" s="70"/>
      <c r="AN103" s="71" t="str">
        <f>IFERROR(__xludf.DUMMYFUNCTION("""COMPUTED_VALUE""")," C")</f>
        <v>C</v>
      </c>
      <c r="AO103" s="71" t="str">
        <f>IFERROR(__xludf.DUMMYFUNCTION("""COMPUTED_VALUE""")," BH06")</f>
        <v>BH06</v>
      </c>
      <c r="AP103" s="71" t="str">
        <f>IFERROR(__xludf.DUMMYFUNCTION("""COMPUTED_VALUE""")," PZA")</f>
        <v>PZA</v>
      </c>
      <c r="AQ103" s="71" t="str">
        <f>IFERROR(__xludf.DUMMYFUNCTION("""COMPUTED_VALUE""")," REF")</f>
        <v>REF</v>
      </c>
      <c r="AR103" s="71" t="str">
        <f>IFERROR(__xludf.DUMMYFUNCTION("""COMPUTED_VALUE""")," BANDA DE HULE A-23 (BLACKGOLD)")</f>
        <v>BANDA DE HULE A-23 (BLACKGOLD)</v>
      </c>
      <c r="AS103" s="71" t="str">
        <f>IFERROR(__xludf.DUMMYFUNCTION("""COMPUTED_VALUE""")," BANDA DE HULE A-23 (BLACKGOLD)")</f>
        <v>BANDA DE HULE A-23 (BLACKGOLD)</v>
      </c>
      <c r="AT103" s="71">
        <f>IFERROR(__xludf.DUMMYFUNCTION("""COMPUTED_VALUE"""),30.0)</f>
        <v>30</v>
      </c>
      <c r="AU103" s="71"/>
      <c r="AV103" s="71"/>
      <c r="AW103" s="71"/>
      <c r="AX103" s="71"/>
      <c r="AY103" s="71">
        <f>IFERROR(__xludf.DUMMYFUNCTION("""COMPUTED_VALUE"""),35.0)</f>
        <v>35</v>
      </c>
      <c r="AZ103" s="71">
        <f>IFERROR(__xludf.DUMMYFUNCTION("""COMPUTED_VALUE"""),45.0)</f>
        <v>45</v>
      </c>
      <c r="BA103" s="71">
        <f>IFERROR(__xludf.DUMMYFUNCTION("""COMPUTED_VALUE"""),48.6)</f>
        <v>48.6</v>
      </c>
      <c r="BB103" s="71">
        <f>IFERROR(__xludf.DUMMYFUNCTION("""COMPUTED_VALUE"""),48.6)</f>
        <v>48.6</v>
      </c>
      <c r="BC103" s="71">
        <f>IFERROR(__xludf.DUMMYFUNCTION("""COMPUTED_VALUE"""),55.0)</f>
        <v>55</v>
      </c>
      <c r="BD103" s="71">
        <f>IFERROR(__xludf.DUMMYFUNCTION("""COMPUTED_VALUE"""),58.0)</f>
        <v>58</v>
      </c>
      <c r="BE103" s="71">
        <f>IFERROR(__xludf.DUMMYFUNCTION("""COMPUTED_VALUE"""),9.28)</f>
        <v>9.28</v>
      </c>
      <c r="BF103" s="71">
        <f>IFERROR(__xludf.DUMMYFUNCTION("""COMPUTED_VALUE"""),67.28)</f>
        <v>67.28</v>
      </c>
      <c r="BG103" s="71">
        <f>IFERROR(__xludf.DUMMYFUNCTION("""COMPUTED_VALUE"""),0.05454545454545454)</f>
        <v>0.05454545455</v>
      </c>
      <c r="BH103" s="71">
        <f>IFERROR(__xludf.DUMMYFUNCTION("""COMPUTED_VALUE"""),55.099999999999994)</f>
        <v>55.1</v>
      </c>
      <c r="BI103" s="71">
        <f>IFERROR(__xludf.DUMMYFUNCTION("""COMPUTED_VALUE"""),8.815999999999999)</f>
        <v>8.816</v>
      </c>
      <c r="BJ103" s="71">
        <f>IFERROR(__xludf.DUMMYFUNCTION("""COMPUTED_VALUE"""),63.916)</f>
        <v>63.916</v>
      </c>
      <c r="BK103" s="71">
        <f>IFERROR(__xludf.DUMMYFUNCTION("""COMPUTED_VALUE"""),52.2)</f>
        <v>52.2</v>
      </c>
      <c r="BL103" s="71">
        <f>IFERROR(__xludf.DUMMYFUNCTION("""COMPUTED_VALUE"""),8.352)</f>
        <v>8.352</v>
      </c>
      <c r="BM103" s="71">
        <f>IFERROR(__xludf.DUMMYFUNCTION("""COMPUTED_VALUE"""),60.55200000000001)</f>
        <v>60.552</v>
      </c>
      <c r="BN103" s="71">
        <f>IFERROR(__xludf.DUMMYFUNCTION("""COMPUTED_VALUE"""),49.3)</f>
        <v>49.3</v>
      </c>
      <c r="BO103" s="71">
        <f>IFERROR(__xludf.DUMMYFUNCTION("""COMPUTED_VALUE"""),7.888)</f>
        <v>7.888</v>
      </c>
      <c r="BP103" s="71">
        <f>IFERROR(__xludf.DUMMYFUNCTION("""COMPUTED_VALUE"""),57.187999999999995)</f>
        <v>57.188</v>
      </c>
      <c r="BQ103" s="71">
        <f>IFERROR(__xludf.DUMMYFUNCTION("""COMPUTED_VALUE"""),48.14)</f>
        <v>48.14</v>
      </c>
      <c r="BR103" s="71">
        <f>IFERROR(__xludf.DUMMYFUNCTION("""COMPUTED_VALUE"""),7.7024)</f>
        <v>7.7024</v>
      </c>
      <c r="BS103" s="71">
        <f>IFERROR(__xludf.DUMMYFUNCTION("""COMPUTED_VALUE"""),55.8424)</f>
        <v>55.8424</v>
      </c>
      <c r="BT103" s="71">
        <f>IFERROR(__xludf.DUMMYFUNCTION("""COMPUTED_VALUE"""),46.400000000000006)</f>
        <v>46.4</v>
      </c>
      <c r="BU103" s="71">
        <f>IFERROR(__xludf.DUMMYFUNCTION("""COMPUTED_VALUE"""),7.424000000000001)</f>
        <v>7.424</v>
      </c>
      <c r="BV103" s="71">
        <f>IFERROR(__xludf.DUMMYFUNCTION("""COMPUTED_VALUE"""),53.824000000000005)</f>
        <v>53.824</v>
      </c>
    </row>
    <row r="104">
      <c r="A104" s="53">
        <v>1.0</v>
      </c>
      <c r="B104" s="72"/>
      <c r="C104" s="73" t="s">
        <v>53</v>
      </c>
      <c r="D104" s="74" t="s">
        <v>300</v>
      </c>
      <c r="E104" s="54" t="s">
        <v>38</v>
      </c>
      <c r="F104" s="54" t="s">
        <v>42</v>
      </c>
      <c r="G104" s="54" t="s">
        <v>301</v>
      </c>
      <c r="H104" s="54" t="s">
        <v>301</v>
      </c>
      <c r="I104" s="54">
        <f t="shared" si="1"/>
        <v>32</v>
      </c>
      <c r="J104" s="56"/>
      <c r="K104" s="75"/>
      <c r="L104" s="77"/>
      <c r="M104" s="59"/>
      <c r="N104" s="60">
        <v>151.0</v>
      </c>
      <c r="O104" s="61">
        <v>163.0</v>
      </c>
      <c r="P104" s="62">
        <v>176.04000000000002</v>
      </c>
      <c r="Q104" s="63">
        <v>176.04000000000002</v>
      </c>
      <c r="R104" s="64">
        <v>197.0</v>
      </c>
      <c r="S104" s="111">
        <v>207.0</v>
      </c>
      <c r="T104" s="65">
        <f t="shared" si="2"/>
        <v>33.12</v>
      </c>
      <c r="U104" s="65">
        <f t="shared" si="3"/>
        <v>240.12</v>
      </c>
      <c r="V104" s="66">
        <f t="shared" si="4"/>
        <v>0.05076142132</v>
      </c>
      <c r="W104" s="67">
        <f t="shared" si="5"/>
        <v>196.65</v>
      </c>
      <c r="X104" s="67">
        <f t="shared" si="6"/>
        <v>31.464</v>
      </c>
      <c r="Y104" s="67">
        <f t="shared" si="7"/>
        <v>228.114</v>
      </c>
      <c r="Z104" s="67">
        <f t="shared" si="8"/>
        <v>186.3</v>
      </c>
      <c r="AA104" s="67">
        <f t="shared" si="9"/>
        <v>29.808</v>
      </c>
      <c r="AB104" s="67">
        <f t="shared" si="10"/>
        <v>216.108</v>
      </c>
      <c r="AC104" s="67">
        <f t="shared" si="11"/>
        <v>175.95</v>
      </c>
      <c r="AD104" s="67">
        <f t="shared" si="12"/>
        <v>28.152</v>
      </c>
      <c r="AE104" s="67">
        <f t="shared" si="13"/>
        <v>204.102</v>
      </c>
      <c r="AF104" s="67">
        <f t="shared" si="14"/>
        <v>171.81</v>
      </c>
      <c r="AG104" s="67">
        <f t="shared" si="15"/>
        <v>27.4896</v>
      </c>
      <c r="AH104" s="67">
        <f t="shared" si="16"/>
        <v>199.2996</v>
      </c>
      <c r="AI104" s="67">
        <f t="shared" si="17"/>
        <v>165.6</v>
      </c>
      <c r="AJ104" s="68">
        <f t="shared" si="20"/>
        <v>26.496</v>
      </c>
      <c r="AK104" s="68">
        <f t="shared" si="21"/>
        <v>192.096</v>
      </c>
      <c r="AL104" s="70">
        <f>IFERROR(__xludf.DUMMYFUNCTION("""COMPUTED_VALUE"""),1.0)</f>
        <v>1</v>
      </c>
      <c r="AM104" s="70"/>
      <c r="AN104" s="71" t="str">
        <f>IFERROR(__xludf.DUMMYFUNCTION("""COMPUTED_VALUE""")," C")</f>
        <v>C</v>
      </c>
      <c r="AO104" s="71" t="str">
        <f>IFERROR(__xludf.DUMMYFUNCTION("""COMPUTED_VALUE""")," BH31")</f>
        <v>BH31</v>
      </c>
      <c r="AP104" s="71" t="str">
        <f>IFERROR(__xludf.DUMMYFUNCTION("""COMPUTED_VALUE""")," PZA")</f>
        <v>PZA</v>
      </c>
      <c r="AQ104" s="71" t="str">
        <f>IFERROR(__xludf.DUMMYFUNCTION("""COMPUTED_VALUE""")," REF")</f>
        <v>REF</v>
      </c>
      <c r="AR104" s="71" t="str">
        <f>IFERROR(__xludf.DUMMYFUNCTION("""COMPUTED_VALUE""")," BANDA DE HULE A-23 (GATES)")</f>
        <v>BANDA DE HULE A-23 (GATES)</v>
      </c>
      <c r="AS104" s="71" t="str">
        <f>IFERROR(__xludf.DUMMYFUNCTION("""COMPUTED_VALUE""")," BANDA DE HULE A-23 (GATES)")</f>
        <v>BANDA DE HULE A-23 (GATES)</v>
      </c>
      <c r="AT104" s="71">
        <f>IFERROR(__xludf.DUMMYFUNCTION("""COMPUTED_VALUE"""),26.0)</f>
        <v>26</v>
      </c>
      <c r="AU104" s="71"/>
      <c r="AV104" s="71"/>
      <c r="AW104" s="71"/>
      <c r="AX104" s="71"/>
      <c r="AY104" s="71">
        <f>IFERROR(__xludf.DUMMYFUNCTION("""COMPUTED_VALUE"""),93.0)</f>
        <v>93</v>
      </c>
      <c r="AZ104" s="71">
        <f>IFERROR(__xludf.DUMMYFUNCTION("""COMPUTED_VALUE"""),100.0)</f>
        <v>100</v>
      </c>
      <c r="BA104" s="71">
        <f>IFERROR(__xludf.DUMMYFUNCTION("""COMPUTED_VALUE"""),108.0)</f>
        <v>108</v>
      </c>
      <c r="BB104" s="71">
        <f>IFERROR(__xludf.DUMMYFUNCTION("""COMPUTED_VALUE"""),108.0)</f>
        <v>108</v>
      </c>
      <c r="BC104" s="71">
        <f>IFERROR(__xludf.DUMMYFUNCTION("""COMPUTED_VALUE"""),121.0)</f>
        <v>121</v>
      </c>
      <c r="BD104" s="71">
        <f>IFERROR(__xludf.DUMMYFUNCTION("""COMPUTED_VALUE"""),127.0)</f>
        <v>127</v>
      </c>
      <c r="BE104" s="71">
        <f>IFERROR(__xludf.DUMMYFUNCTION("""COMPUTED_VALUE"""),20.32)</f>
        <v>20.32</v>
      </c>
      <c r="BF104" s="71">
        <f>IFERROR(__xludf.DUMMYFUNCTION("""COMPUTED_VALUE"""),147.32)</f>
        <v>147.32</v>
      </c>
      <c r="BG104" s="71">
        <f>IFERROR(__xludf.DUMMYFUNCTION("""COMPUTED_VALUE"""),0.049586776859504134)</f>
        <v>0.04958677686</v>
      </c>
      <c r="BH104" s="71">
        <f>IFERROR(__xludf.DUMMYFUNCTION("""COMPUTED_VALUE"""),120.64999999999999)</f>
        <v>120.65</v>
      </c>
      <c r="BI104" s="71">
        <f>IFERROR(__xludf.DUMMYFUNCTION("""COMPUTED_VALUE"""),19.304)</f>
        <v>19.304</v>
      </c>
      <c r="BJ104" s="71">
        <f>IFERROR(__xludf.DUMMYFUNCTION("""COMPUTED_VALUE"""),139.95399999999998)</f>
        <v>139.954</v>
      </c>
      <c r="BK104" s="71">
        <f>IFERROR(__xludf.DUMMYFUNCTION("""COMPUTED_VALUE"""),114.3)</f>
        <v>114.3</v>
      </c>
      <c r="BL104" s="71">
        <f>IFERROR(__xludf.DUMMYFUNCTION("""COMPUTED_VALUE"""),18.288)</f>
        <v>18.288</v>
      </c>
      <c r="BM104" s="71">
        <f>IFERROR(__xludf.DUMMYFUNCTION("""COMPUTED_VALUE"""),132.588)</f>
        <v>132.588</v>
      </c>
      <c r="BN104" s="71">
        <f>IFERROR(__xludf.DUMMYFUNCTION("""COMPUTED_VALUE"""),107.95)</f>
        <v>107.95</v>
      </c>
      <c r="BO104" s="71">
        <f>IFERROR(__xludf.DUMMYFUNCTION("""COMPUTED_VALUE"""),17.272000000000002)</f>
        <v>17.272</v>
      </c>
      <c r="BP104" s="71">
        <f>IFERROR(__xludf.DUMMYFUNCTION("""COMPUTED_VALUE"""),125.22200000000001)</f>
        <v>125.222</v>
      </c>
      <c r="BQ104" s="71">
        <f>IFERROR(__xludf.DUMMYFUNCTION("""COMPUTED_VALUE"""),105.41)</f>
        <v>105.41</v>
      </c>
      <c r="BR104" s="71">
        <f>IFERROR(__xludf.DUMMYFUNCTION("""COMPUTED_VALUE"""),16.8656)</f>
        <v>16.8656</v>
      </c>
      <c r="BS104" s="71">
        <f>IFERROR(__xludf.DUMMYFUNCTION("""COMPUTED_VALUE"""),122.2756)</f>
        <v>122.2756</v>
      </c>
      <c r="BT104" s="71">
        <f>IFERROR(__xludf.DUMMYFUNCTION("""COMPUTED_VALUE"""),101.60000000000001)</f>
        <v>101.6</v>
      </c>
      <c r="BU104" s="71">
        <f>IFERROR(__xludf.DUMMYFUNCTION("""COMPUTED_VALUE"""),16.256)</f>
        <v>16.256</v>
      </c>
      <c r="BV104" s="71">
        <f>IFERROR(__xludf.DUMMYFUNCTION("""COMPUTED_VALUE"""),117.85600000000001)</f>
        <v>117.856</v>
      </c>
    </row>
    <row r="105">
      <c r="A105" s="53"/>
      <c r="B105" s="53"/>
      <c r="C105" s="73" t="s">
        <v>53</v>
      </c>
      <c r="D105" s="53" t="s">
        <v>302</v>
      </c>
      <c r="E105" s="54" t="s">
        <v>38</v>
      </c>
      <c r="F105" s="54" t="s">
        <v>42</v>
      </c>
      <c r="G105" s="55" t="s">
        <v>303</v>
      </c>
      <c r="H105" s="54" t="s">
        <v>304</v>
      </c>
      <c r="I105" s="54">
        <f t="shared" si="1"/>
        <v>32</v>
      </c>
      <c r="J105" s="56"/>
      <c r="K105" s="57"/>
      <c r="L105" s="76"/>
      <c r="M105" s="59"/>
      <c r="N105" s="79">
        <v>5358.0</v>
      </c>
      <c r="O105" s="61">
        <v>5786.0</v>
      </c>
      <c r="P105" s="62">
        <v>6248.88</v>
      </c>
      <c r="Q105" s="63">
        <v>6248.88</v>
      </c>
      <c r="R105" s="64">
        <v>6562.0</v>
      </c>
      <c r="S105" s="111">
        <v>6890.0</v>
      </c>
      <c r="T105" s="65">
        <f t="shared" si="2"/>
        <v>1102.4</v>
      </c>
      <c r="U105" s="65">
        <f t="shared" si="3"/>
        <v>7992.4</v>
      </c>
      <c r="V105" s="66">
        <f t="shared" si="4"/>
        <v>0.04998476074</v>
      </c>
      <c r="W105" s="67">
        <f t="shared" si="5"/>
        <v>6545.5</v>
      </c>
      <c r="X105" s="67">
        <f t="shared" si="6"/>
        <v>1047.28</v>
      </c>
      <c r="Y105" s="67">
        <f t="shared" si="7"/>
        <v>7592.78</v>
      </c>
      <c r="Z105" s="67">
        <f t="shared" si="8"/>
        <v>6201</v>
      </c>
      <c r="AA105" s="67">
        <f t="shared" si="9"/>
        <v>992.16</v>
      </c>
      <c r="AB105" s="67">
        <f t="shared" si="10"/>
        <v>7193.16</v>
      </c>
      <c r="AC105" s="67">
        <f t="shared" si="11"/>
        <v>5856.5</v>
      </c>
      <c r="AD105" s="67">
        <f t="shared" si="12"/>
        <v>937.04</v>
      </c>
      <c r="AE105" s="67">
        <f t="shared" si="13"/>
        <v>6793.54</v>
      </c>
      <c r="AF105" s="67">
        <f t="shared" si="14"/>
        <v>5718.7</v>
      </c>
      <c r="AG105" s="67">
        <f t="shared" si="15"/>
        <v>914.992</v>
      </c>
      <c r="AH105" s="67">
        <f t="shared" si="16"/>
        <v>6633.692</v>
      </c>
      <c r="AI105" s="67">
        <f t="shared" si="17"/>
        <v>5512</v>
      </c>
      <c r="AJ105" s="68">
        <f t="shared" si="20"/>
        <v>881.92</v>
      </c>
      <c r="AK105" s="68">
        <f t="shared" si="21"/>
        <v>6393.92</v>
      </c>
      <c r="AL105" s="70">
        <f>IFERROR(__xludf.DUMMYFUNCTION("""COMPUTED_VALUE"""),1.0)</f>
        <v>1</v>
      </c>
      <c r="AM105" s="70"/>
      <c r="AN105" s="71" t="str">
        <f>IFERROR(__xludf.DUMMYFUNCTION("""COMPUTED_VALUE""")," C")</f>
        <v>C</v>
      </c>
      <c r="AO105" s="71" t="str">
        <f>IFERROR(__xludf.DUMMYFUNCTION("""COMPUTED_VALUE""")," BH07")</f>
        <v>BH07</v>
      </c>
      <c r="AP105" s="71" t="str">
        <f>IFERROR(__xludf.DUMMYFUNCTION("""COMPUTED_VALUE""")," PZA")</f>
        <v>PZA</v>
      </c>
      <c r="AQ105" s="71" t="str">
        <f>IFERROR(__xludf.DUMMYFUNCTION("""COMPUTED_VALUE""")," REF")</f>
        <v>REF</v>
      </c>
      <c r="AR105" s="71" t="str">
        <f>IFERROR(__xludf.DUMMYFUNCTION("""COMPUTED_VALUE""")," BANDA DE HULE A-24 (BLACKGOLD)")</f>
        <v>BANDA DE HULE A-24 (BLACKGOLD)</v>
      </c>
      <c r="AS105" s="71" t="str">
        <f>IFERROR(__xludf.DUMMYFUNCTION("""COMPUTED_VALUE""")," BANDA DE HULE A-24 (BLACKGOLD)")</f>
        <v>BANDA DE HULE A-24 (BLACKGOLD)</v>
      </c>
      <c r="AT105" s="71">
        <f>IFERROR(__xludf.DUMMYFUNCTION("""COMPUTED_VALUE"""),30.0)</f>
        <v>30</v>
      </c>
      <c r="AU105" s="71"/>
      <c r="AV105" s="71"/>
      <c r="AW105" s="71"/>
      <c r="AX105" s="71"/>
      <c r="AY105" s="71">
        <f>IFERROR(__xludf.DUMMYFUNCTION("""COMPUTED_VALUE"""),38.0)</f>
        <v>38</v>
      </c>
      <c r="AZ105" s="71">
        <f>IFERROR(__xludf.DUMMYFUNCTION("""COMPUTED_VALUE"""),45.0)</f>
        <v>45</v>
      </c>
      <c r="BA105" s="71">
        <f>IFERROR(__xludf.DUMMYFUNCTION("""COMPUTED_VALUE"""),48.6)</f>
        <v>48.6</v>
      </c>
      <c r="BB105" s="71">
        <f>IFERROR(__xludf.DUMMYFUNCTION("""COMPUTED_VALUE"""),48.6)</f>
        <v>48.6</v>
      </c>
      <c r="BC105" s="71">
        <f>IFERROR(__xludf.DUMMYFUNCTION("""COMPUTED_VALUE"""),55.0)</f>
        <v>55</v>
      </c>
      <c r="BD105" s="71">
        <f>IFERROR(__xludf.DUMMYFUNCTION("""COMPUTED_VALUE"""),58.0)</f>
        <v>58</v>
      </c>
      <c r="BE105" s="71">
        <f>IFERROR(__xludf.DUMMYFUNCTION("""COMPUTED_VALUE"""),9.28)</f>
        <v>9.28</v>
      </c>
      <c r="BF105" s="71">
        <f>IFERROR(__xludf.DUMMYFUNCTION("""COMPUTED_VALUE"""),67.28)</f>
        <v>67.28</v>
      </c>
      <c r="BG105" s="71">
        <f>IFERROR(__xludf.DUMMYFUNCTION("""COMPUTED_VALUE"""),0.05454545454545454)</f>
        <v>0.05454545455</v>
      </c>
      <c r="BH105" s="71">
        <f>IFERROR(__xludf.DUMMYFUNCTION("""COMPUTED_VALUE"""),55.099999999999994)</f>
        <v>55.1</v>
      </c>
      <c r="BI105" s="71">
        <f>IFERROR(__xludf.DUMMYFUNCTION("""COMPUTED_VALUE"""),8.815999999999999)</f>
        <v>8.816</v>
      </c>
      <c r="BJ105" s="71">
        <f>IFERROR(__xludf.DUMMYFUNCTION("""COMPUTED_VALUE"""),63.916)</f>
        <v>63.916</v>
      </c>
      <c r="BK105" s="71">
        <f>IFERROR(__xludf.DUMMYFUNCTION("""COMPUTED_VALUE"""),52.2)</f>
        <v>52.2</v>
      </c>
      <c r="BL105" s="71">
        <f>IFERROR(__xludf.DUMMYFUNCTION("""COMPUTED_VALUE"""),8.352)</f>
        <v>8.352</v>
      </c>
      <c r="BM105" s="71">
        <f>IFERROR(__xludf.DUMMYFUNCTION("""COMPUTED_VALUE"""),60.55200000000001)</f>
        <v>60.552</v>
      </c>
      <c r="BN105" s="71">
        <f>IFERROR(__xludf.DUMMYFUNCTION("""COMPUTED_VALUE"""),49.3)</f>
        <v>49.3</v>
      </c>
      <c r="BO105" s="71">
        <f>IFERROR(__xludf.DUMMYFUNCTION("""COMPUTED_VALUE"""),7.888)</f>
        <v>7.888</v>
      </c>
      <c r="BP105" s="71">
        <f>IFERROR(__xludf.DUMMYFUNCTION("""COMPUTED_VALUE"""),57.187999999999995)</f>
        <v>57.188</v>
      </c>
      <c r="BQ105" s="71">
        <f>IFERROR(__xludf.DUMMYFUNCTION("""COMPUTED_VALUE"""),48.14)</f>
        <v>48.14</v>
      </c>
      <c r="BR105" s="71">
        <f>IFERROR(__xludf.DUMMYFUNCTION("""COMPUTED_VALUE"""),7.7024)</f>
        <v>7.7024</v>
      </c>
      <c r="BS105" s="71">
        <f>IFERROR(__xludf.DUMMYFUNCTION("""COMPUTED_VALUE"""),55.8424)</f>
        <v>55.8424</v>
      </c>
      <c r="BT105" s="71">
        <f>IFERROR(__xludf.DUMMYFUNCTION("""COMPUTED_VALUE"""),46.400000000000006)</f>
        <v>46.4</v>
      </c>
      <c r="BU105" s="71">
        <f>IFERROR(__xludf.DUMMYFUNCTION("""COMPUTED_VALUE"""),7.424000000000001)</f>
        <v>7.424</v>
      </c>
      <c r="BV105" s="71">
        <f>IFERROR(__xludf.DUMMYFUNCTION("""COMPUTED_VALUE"""),53.824000000000005)</f>
        <v>53.824</v>
      </c>
    </row>
    <row r="106">
      <c r="A106" s="53">
        <v>1.0</v>
      </c>
      <c r="B106" s="72"/>
      <c r="C106" s="73" t="s">
        <v>53</v>
      </c>
      <c r="D106" s="74" t="s">
        <v>305</v>
      </c>
      <c r="E106" s="54" t="s">
        <v>38</v>
      </c>
      <c r="F106" s="54" t="s">
        <v>42</v>
      </c>
      <c r="G106" s="54" t="s">
        <v>306</v>
      </c>
      <c r="H106" s="54" t="s">
        <v>307</v>
      </c>
      <c r="I106" s="54">
        <f t="shared" si="1"/>
        <v>23</v>
      </c>
      <c r="J106" s="56"/>
      <c r="K106" s="75"/>
      <c r="L106" s="77"/>
      <c r="M106" s="59"/>
      <c r="N106" s="60">
        <v>772.0</v>
      </c>
      <c r="O106" s="61">
        <v>833.0</v>
      </c>
      <c r="P106" s="62">
        <v>899.6400000000001</v>
      </c>
      <c r="Q106" s="63">
        <v>899.6400000000001</v>
      </c>
      <c r="R106" s="64">
        <v>1002.0</v>
      </c>
      <c r="S106" s="111">
        <v>1052.0</v>
      </c>
      <c r="T106" s="65">
        <f t="shared" si="2"/>
        <v>168.32</v>
      </c>
      <c r="U106" s="65">
        <f t="shared" si="3"/>
        <v>1220.32</v>
      </c>
      <c r="V106" s="66">
        <f t="shared" si="4"/>
        <v>0.0499001996</v>
      </c>
      <c r="W106" s="67">
        <f t="shared" si="5"/>
        <v>999.4</v>
      </c>
      <c r="X106" s="67">
        <f t="shared" si="6"/>
        <v>159.904</v>
      </c>
      <c r="Y106" s="67">
        <f t="shared" si="7"/>
        <v>1159.304</v>
      </c>
      <c r="Z106" s="67">
        <f t="shared" si="8"/>
        <v>946.8</v>
      </c>
      <c r="AA106" s="67">
        <f t="shared" si="9"/>
        <v>151.488</v>
      </c>
      <c r="AB106" s="67">
        <f t="shared" si="10"/>
        <v>1098.288</v>
      </c>
      <c r="AC106" s="67">
        <f t="shared" si="11"/>
        <v>894.2</v>
      </c>
      <c r="AD106" s="67">
        <f t="shared" si="12"/>
        <v>143.072</v>
      </c>
      <c r="AE106" s="67">
        <f t="shared" si="13"/>
        <v>1037.272</v>
      </c>
      <c r="AF106" s="67">
        <f t="shared" si="14"/>
        <v>873.16</v>
      </c>
      <c r="AG106" s="67">
        <f t="shared" si="15"/>
        <v>139.7056</v>
      </c>
      <c r="AH106" s="67">
        <f t="shared" si="16"/>
        <v>1012.8656</v>
      </c>
      <c r="AI106" s="67">
        <f t="shared" si="17"/>
        <v>841.6</v>
      </c>
      <c r="AJ106" s="68">
        <f t="shared" si="20"/>
        <v>134.656</v>
      </c>
      <c r="AK106" s="68">
        <f t="shared" si="21"/>
        <v>976.256</v>
      </c>
      <c r="AL106" s="70">
        <f>IFERROR(__xludf.DUMMYFUNCTION("""COMPUTED_VALUE"""),1.0)</f>
        <v>1</v>
      </c>
      <c r="AM106" s="70"/>
      <c r="AN106" s="71" t="str">
        <f>IFERROR(__xludf.DUMMYFUNCTION("""COMPUTED_VALUE""")," C")</f>
        <v>C</v>
      </c>
      <c r="AO106" s="71" t="str">
        <f>IFERROR(__xludf.DUMMYFUNCTION("""COMPUTED_VALUE""")," BH32")</f>
        <v>BH32</v>
      </c>
      <c r="AP106" s="71" t="str">
        <f>IFERROR(__xludf.DUMMYFUNCTION("""COMPUTED_VALUE""")," PZA")</f>
        <v>PZA</v>
      </c>
      <c r="AQ106" s="71" t="str">
        <f>IFERROR(__xludf.DUMMYFUNCTION("""COMPUTED_VALUE""")," REF")</f>
        <v>REF</v>
      </c>
      <c r="AR106" s="71" t="str">
        <f>IFERROR(__xludf.DUMMYFUNCTION("""COMPUTED_VALUE""")," BANDA DE HULE A-24 (GATES)")</f>
        <v>BANDA DE HULE A-24 (GATES)</v>
      </c>
      <c r="AS106" s="71" t="str">
        <f>IFERROR(__xludf.DUMMYFUNCTION("""COMPUTED_VALUE""")," BANDA DE HULE A-24 (GATES)")</f>
        <v>BANDA DE HULE A-24 (GATES)</v>
      </c>
      <c r="AT106" s="71">
        <f>IFERROR(__xludf.DUMMYFUNCTION("""COMPUTED_VALUE"""),26.0)</f>
        <v>26</v>
      </c>
      <c r="AU106" s="71"/>
      <c r="AV106" s="71"/>
      <c r="AW106" s="71"/>
      <c r="AX106" s="71"/>
      <c r="AY106" s="71">
        <f>IFERROR(__xludf.DUMMYFUNCTION("""COMPUTED_VALUE"""),95.0)</f>
        <v>95</v>
      </c>
      <c r="AZ106" s="71">
        <f>IFERROR(__xludf.DUMMYFUNCTION("""COMPUTED_VALUE"""),102.0)</f>
        <v>102</v>
      </c>
      <c r="BA106" s="71">
        <f>IFERROR(__xludf.DUMMYFUNCTION("""COMPUTED_VALUE"""),110.16000000000001)</f>
        <v>110.16</v>
      </c>
      <c r="BB106" s="71">
        <f>IFERROR(__xludf.DUMMYFUNCTION("""COMPUTED_VALUE"""),110.16000000000001)</f>
        <v>110.16</v>
      </c>
      <c r="BC106" s="71">
        <f>IFERROR(__xludf.DUMMYFUNCTION("""COMPUTED_VALUE"""),123.0)</f>
        <v>123</v>
      </c>
      <c r="BD106" s="71">
        <f>IFERROR(__xludf.DUMMYFUNCTION("""COMPUTED_VALUE"""),129.0)</f>
        <v>129</v>
      </c>
      <c r="BE106" s="71">
        <f>IFERROR(__xludf.DUMMYFUNCTION("""COMPUTED_VALUE"""),20.64)</f>
        <v>20.64</v>
      </c>
      <c r="BF106" s="71">
        <f>IFERROR(__xludf.DUMMYFUNCTION("""COMPUTED_VALUE"""),149.64)</f>
        <v>149.64</v>
      </c>
      <c r="BG106" s="71">
        <f>IFERROR(__xludf.DUMMYFUNCTION("""COMPUTED_VALUE"""),0.04878048780487805)</f>
        <v>0.0487804878</v>
      </c>
      <c r="BH106" s="71">
        <f>IFERROR(__xludf.DUMMYFUNCTION("""COMPUTED_VALUE"""),122.55)</f>
        <v>122.55</v>
      </c>
      <c r="BI106" s="71">
        <f>IFERROR(__xludf.DUMMYFUNCTION("""COMPUTED_VALUE"""),19.608)</f>
        <v>19.608</v>
      </c>
      <c r="BJ106" s="71">
        <f>IFERROR(__xludf.DUMMYFUNCTION("""COMPUTED_VALUE"""),142.158)</f>
        <v>142.158</v>
      </c>
      <c r="BK106" s="71">
        <f>IFERROR(__xludf.DUMMYFUNCTION("""COMPUTED_VALUE"""),116.10000000000001)</f>
        <v>116.1</v>
      </c>
      <c r="BL106" s="71">
        <f>IFERROR(__xludf.DUMMYFUNCTION("""COMPUTED_VALUE"""),18.576)</f>
        <v>18.576</v>
      </c>
      <c r="BM106" s="71">
        <f>IFERROR(__xludf.DUMMYFUNCTION("""COMPUTED_VALUE"""),134.67600000000002)</f>
        <v>134.676</v>
      </c>
      <c r="BN106" s="71">
        <f>IFERROR(__xludf.DUMMYFUNCTION("""COMPUTED_VALUE"""),109.64999999999999)</f>
        <v>109.65</v>
      </c>
      <c r="BO106" s="71">
        <f>IFERROR(__xludf.DUMMYFUNCTION("""COMPUTED_VALUE"""),17.544)</f>
        <v>17.544</v>
      </c>
      <c r="BP106" s="71">
        <f>IFERROR(__xludf.DUMMYFUNCTION("""COMPUTED_VALUE"""),127.19399999999999)</f>
        <v>127.194</v>
      </c>
      <c r="BQ106" s="71">
        <f>IFERROR(__xludf.DUMMYFUNCTION("""COMPUTED_VALUE"""),107.07)</f>
        <v>107.07</v>
      </c>
      <c r="BR106" s="71">
        <f>IFERROR(__xludf.DUMMYFUNCTION("""COMPUTED_VALUE"""),17.1312)</f>
        <v>17.1312</v>
      </c>
      <c r="BS106" s="71">
        <f>IFERROR(__xludf.DUMMYFUNCTION("""COMPUTED_VALUE"""),124.2012)</f>
        <v>124.2012</v>
      </c>
      <c r="BT106" s="71">
        <f>IFERROR(__xludf.DUMMYFUNCTION("""COMPUTED_VALUE"""),103.2)</f>
        <v>103.2</v>
      </c>
      <c r="BU106" s="71">
        <f>IFERROR(__xludf.DUMMYFUNCTION("""COMPUTED_VALUE"""),16.512)</f>
        <v>16.512</v>
      </c>
      <c r="BV106" s="71">
        <f>IFERROR(__xludf.DUMMYFUNCTION("""COMPUTED_VALUE"""),119.712)</f>
        <v>119.712</v>
      </c>
    </row>
    <row r="107">
      <c r="A107" s="53"/>
      <c r="B107" s="53"/>
      <c r="C107" s="73" t="s">
        <v>53</v>
      </c>
      <c r="D107" s="53" t="s">
        <v>308</v>
      </c>
      <c r="E107" s="54" t="s">
        <v>38</v>
      </c>
      <c r="F107" s="55" t="s">
        <v>309</v>
      </c>
      <c r="G107" s="54" t="s">
        <v>310</v>
      </c>
      <c r="H107" s="55"/>
      <c r="I107" s="54">
        <f t="shared" si="1"/>
        <v>0</v>
      </c>
      <c r="J107" s="56"/>
      <c r="K107" s="57"/>
      <c r="L107" s="76"/>
      <c r="M107" s="59"/>
      <c r="N107" s="60"/>
      <c r="O107" s="90">
        <v>793.0</v>
      </c>
      <c r="P107" s="62">
        <v>856.44</v>
      </c>
      <c r="Q107" s="63">
        <v>856.44</v>
      </c>
      <c r="R107" s="64">
        <v>1002.0</v>
      </c>
      <c r="S107" s="111">
        <v>1052.0</v>
      </c>
      <c r="T107" s="65">
        <f t="shared" si="2"/>
        <v>168.32</v>
      </c>
      <c r="U107" s="65">
        <f t="shared" si="3"/>
        <v>1220.32</v>
      </c>
      <c r="V107" s="66">
        <f t="shared" si="4"/>
        <v>0.0499001996</v>
      </c>
      <c r="W107" s="67">
        <f t="shared" si="5"/>
        <v>999.4</v>
      </c>
      <c r="X107" s="67">
        <f t="shared" si="6"/>
        <v>159.904</v>
      </c>
      <c r="Y107" s="67">
        <f t="shared" si="7"/>
        <v>1159.304</v>
      </c>
      <c r="Z107" s="67">
        <f t="shared" si="8"/>
        <v>946.8</v>
      </c>
      <c r="AA107" s="67">
        <f t="shared" si="9"/>
        <v>151.488</v>
      </c>
      <c r="AB107" s="67">
        <f t="shared" si="10"/>
        <v>1098.288</v>
      </c>
      <c r="AC107" s="67">
        <f t="shared" si="11"/>
        <v>894.2</v>
      </c>
      <c r="AD107" s="67">
        <f t="shared" si="12"/>
        <v>143.072</v>
      </c>
      <c r="AE107" s="67">
        <f t="shared" si="13"/>
        <v>1037.272</v>
      </c>
      <c r="AF107" s="67">
        <f t="shared" si="14"/>
        <v>873.16</v>
      </c>
      <c r="AG107" s="67">
        <f t="shared" si="15"/>
        <v>139.7056</v>
      </c>
      <c r="AH107" s="67">
        <f t="shared" si="16"/>
        <v>1012.8656</v>
      </c>
      <c r="AI107" s="67">
        <f t="shared" si="17"/>
        <v>841.6</v>
      </c>
      <c r="AJ107" s="68">
        <f t="shared" si="20"/>
        <v>134.656</v>
      </c>
      <c r="AK107" s="68">
        <f t="shared" si="21"/>
        <v>976.256</v>
      </c>
      <c r="AL107" s="70">
        <f>IFERROR(__xludf.DUMMYFUNCTION("""COMPUTED_VALUE"""),1.0)</f>
        <v>1</v>
      </c>
      <c r="AM107" s="70"/>
      <c r="AN107" s="71" t="str">
        <f>IFERROR(__xludf.DUMMYFUNCTION("""COMPUTED_VALUE""")," C")</f>
        <v>C</v>
      </c>
      <c r="AO107" s="71" t="str">
        <f>IFERROR(__xludf.DUMMYFUNCTION("""COMPUTED_VALUE""")," BH08")</f>
        <v>BH08</v>
      </c>
      <c r="AP107" s="71" t="str">
        <f>IFERROR(__xludf.DUMMYFUNCTION("""COMPUTED_VALUE""")," PZA")</f>
        <v>PZA</v>
      </c>
      <c r="AQ107" s="71" t="str">
        <f>IFERROR(__xludf.DUMMYFUNCTION("""COMPUTED_VALUE""")," REF")</f>
        <v>REF</v>
      </c>
      <c r="AR107" s="71" t="str">
        <f>IFERROR(__xludf.DUMMYFUNCTION("""COMPUTED_VALUE""")," BANDA DE HULE A-25 (BLACKGOLD)")</f>
        <v>BANDA DE HULE A-25 (BLACKGOLD)</v>
      </c>
      <c r="AS107" s="71" t="str">
        <f>IFERROR(__xludf.DUMMYFUNCTION("""COMPUTED_VALUE""")," BANDA DE HULE A-25 (BLACKGOLD)")</f>
        <v>BANDA DE HULE A-25 (BLACKGOLD)</v>
      </c>
      <c r="AT107" s="71">
        <f>IFERROR(__xludf.DUMMYFUNCTION("""COMPUTED_VALUE"""),30.0)</f>
        <v>30</v>
      </c>
      <c r="AU107" s="71"/>
      <c r="AV107" s="71"/>
      <c r="AW107" s="71"/>
      <c r="AX107" s="71"/>
      <c r="AY107" s="71">
        <f>IFERROR(__xludf.DUMMYFUNCTION("""COMPUTED_VALUE"""),40.0)</f>
        <v>40</v>
      </c>
      <c r="AZ107" s="71">
        <f>IFERROR(__xludf.DUMMYFUNCTION("""COMPUTED_VALUE"""),45.0)</f>
        <v>45</v>
      </c>
      <c r="BA107" s="71">
        <f>IFERROR(__xludf.DUMMYFUNCTION("""COMPUTED_VALUE"""),48.6)</f>
        <v>48.6</v>
      </c>
      <c r="BB107" s="71">
        <f>IFERROR(__xludf.DUMMYFUNCTION("""COMPUTED_VALUE"""),48.6)</f>
        <v>48.6</v>
      </c>
      <c r="BC107" s="71">
        <f>IFERROR(__xludf.DUMMYFUNCTION("""COMPUTED_VALUE"""),55.0)</f>
        <v>55</v>
      </c>
      <c r="BD107" s="71">
        <f>IFERROR(__xludf.DUMMYFUNCTION("""COMPUTED_VALUE"""),58.0)</f>
        <v>58</v>
      </c>
      <c r="BE107" s="71">
        <f>IFERROR(__xludf.DUMMYFUNCTION("""COMPUTED_VALUE"""),9.28)</f>
        <v>9.28</v>
      </c>
      <c r="BF107" s="71">
        <f>IFERROR(__xludf.DUMMYFUNCTION("""COMPUTED_VALUE"""),67.28)</f>
        <v>67.28</v>
      </c>
      <c r="BG107" s="71">
        <f>IFERROR(__xludf.DUMMYFUNCTION("""COMPUTED_VALUE"""),0.05454545454545454)</f>
        <v>0.05454545455</v>
      </c>
      <c r="BH107" s="71">
        <f>IFERROR(__xludf.DUMMYFUNCTION("""COMPUTED_VALUE"""),55.099999999999994)</f>
        <v>55.1</v>
      </c>
      <c r="BI107" s="71">
        <f>IFERROR(__xludf.DUMMYFUNCTION("""COMPUTED_VALUE"""),8.815999999999999)</f>
        <v>8.816</v>
      </c>
      <c r="BJ107" s="71">
        <f>IFERROR(__xludf.DUMMYFUNCTION("""COMPUTED_VALUE"""),63.916)</f>
        <v>63.916</v>
      </c>
      <c r="BK107" s="71">
        <f>IFERROR(__xludf.DUMMYFUNCTION("""COMPUTED_VALUE"""),52.2)</f>
        <v>52.2</v>
      </c>
      <c r="BL107" s="71">
        <f>IFERROR(__xludf.DUMMYFUNCTION("""COMPUTED_VALUE"""),8.352)</f>
        <v>8.352</v>
      </c>
      <c r="BM107" s="71">
        <f>IFERROR(__xludf.DUMMYFUNCTION("""COMPUTED_VALUE"""),60.55200000000001)</f>
        <v>60.552</v>
      </c>
      <c r="BN107" s="71">
        <f>IFERROR(__xludf.DUMMYFUNCTION("""COMPUTED_VALUE"""),49.3)</f>
        <v>49.3</v>
      </c>
      <c r="BO107" s="71">
        <f>IFERROR(__xludf.DUMMYFUNCTION("""COMPUTED_VALUE"""),7.888)</f>
        <v>7.888</v>
      </c>
      <c r="BP107" s="71">
        <f>IFERROR(__xludf.DUMMYFUNCTION("""COMPUTED_VALUE"""),57.187999999999995)</f>
        <v>57.188</v>
      </c>
      <c r="BQ107" s="71">
        <f>IFERROR(__xludf.DUMMYFUNCTION("""COMPUTED_VALUE"""),48.14)</f>
        <v>48.14</v>
      </c>
      <c r="BR107" s="71">
        <f>IFERROR(__xludf.DUMMYFUNCTION("""COMPUTED_VALUE"""),7.7024)</f>
        <v>7.7024</v>
      </c>
      <c r="BS107" s="71">
        <f>IFERROR(__xludf.DUMMYFUNCTION("""COMPUTED_VALUE"""),55.8424)</f>
        <v>55.8424</v>
      </c>
      <c r="BT107" s="71">
        <f>IFERROR(__xludf.DUMMYFUNCTION("""COMPUTED_VALUE"""),46.400000000000006)</f>
        <v>46.4</v>
      </c>
      <c r="BU107" s="71">
        <f>IFERROR(__xludf.DUMMYFUNCTION("""COMPUTED_VALUE"""),7.424000000000001)</f>
        <v>7.424</v>
      </c>
      <c r="BV107" s="71">
        <f>IFERROR(__xludf.DUMMYFUNCTION("""COMPUTED_VALUE"""),53.824000000000005)</f>
        <v>53.824</v>
      </c>
    </row>
    <row r="108">
      <c r="A108" s="53">
        <v>1.0</v>
      </c>
      <c r="B108" s="72"/>
      <c r="C108" s="73" t="s">
        <v>53</v>
      </c>
      <c r="D108" s="74" t="s">
        <v>311</v>
      </c>
      <c r="E108" s="54" t="s">
        <v>38</v>
      </c>
      <c r="F108" s="54" t="s">
        <v>42</v>
      </c>
      <c r="G108" s="88" t="s">
        <v>312</v>
      </c>
      <c r="H108" s="54" t="s">
        <v>313</v>
      </c>
      <c r="I108" s="54">
        <f t="shared" si="1"/>
        <v>40</v>
      </c>
      <c r="J108" s="56"/>
      <c r="K108" s="75"/>
      <c r="L108" s="77"/>
      <c r="M108" s="59"/>
      <c r="N108" s="60">
        <v>821.0</v>
      </c>
      <c r="O108" s="61">
        <v>886.0</v>
      </c>
      <c r="P108" s="62">
        <v>956.8800000000001</v>
      </c>
      <c r="Q108" s="63">
        <v>956.8800000000001</v>
      </c>
      <c r="R108" s="64">
        <v>1066.0</v>
      </c>
      <c r="S108" s="111">
        <v>1119.0</v>
      </c>
      <c r="T108" s="65">
        <f t="shared" si="2"/>
        <v>179.04</v>
      </c>
      <c r="U108" s="65">
        <f t="shared" si="3"/>
        <v>1298.04</v>
      </c>
      <c r="V108" s="66">
        <f t="shared" si="4"/>
        <v>0.04971857411</v>
      </c>
      <c r="W108" s="67">
        <f t="shared" si="5"/>
        <v>1063.05</v>
      </c>
      <c r="X108" s="67">
        <f t="shared" si="6"/>
        <v>170.088</v>
      </c>
      <c r="Y108" s="67">
        <f t="shared" si="7"/>
        <v>1233.138</v>
      </c>
      <c r="Z108" s="67">
        <f t="shared" si="8"/>
        <v>1007.1</v>
      </c>
      <c r="AA108" s="67">
        <f t="shared" si="9"/>
        <v>161.136</v>
      </c>
      <c r="AB108" s="67">
        <f t="shared" si="10"/>
        <v>1168.236</v>
      </c>
      <c r="AC108" s="67">
        <f t="shared" si="11"/>
        <v>951.15</v>
      </c>
      <c r="AD108" s="67">
        <f t="shared" si="12"/>
        <v>152.184</v>
      </c>
      <c r="AE108" s="67">
        <f t="shared" si="13"/>
        <v>1103.334</v>
      </c>
      <c r="AF108" s="67">
        <f t="shared" si="14"/>
        <v>928.77</v>
      </c>
      <c r="AG108" s="67">
        <f t="shared" si="15"/>
        <v>148.6032</v>
      </c>
      <c r="AH108" s="67">
        <f t="shared" si="16"/>
        <v>1077.3732</v>
      </c>
      <c r="AI108" s="67">
        <f t="shared" si="17"/>
        <v>895.2</v>
      </c>
      <c r="AJ108" s="68">
        <f t="shared" si="20"/>
        <v>143.232</v>
      </c>
      <c r="AK108" s="68">
        <f t="shared" si="21"/>
        <v>1038.432</v>
      </c>
      <c r="AL108" s="70">
        <f>IFERROR(__xludf.DUMMYFUNCTION("""COMPUTED_VALUE"""),1.0)</f>
        <v>1</v>
      </c>
      <c r="AM108" s="70"/>
      <c r="AN108" s="71" t="str">
        <f>IFERROR(__xludf.DUMMYFUNCTION("""COMPUTED_VALUE""")," C")</f>
        <v>C</v>
      </c>
      <c r="AO108" s="71" t="str">
        <f>IFERROR(__xludf.DUMMYFUNCTION("""COMPUTED_VALUE""")," BH33")</f>
        <v>BH33</v>
      </c>
      <c r="AP108" s="71" t="str">
        <f>IFERROR(__xludf.DUMMYFUNCTION("""COMPUTED_VALUE""")," PZA")</f>
        <v>PZA</v>
      </c>
      <c r="AQ108" s="71" t="str">
        <f>IFERROR(__xludf.DUMMYFUNCTION("""COMPUTED_VALUE""")," REF")</f>
        <v>REF</v>
      </c>
      <c r="AR108" s="71" t="str">
        <f>IFERROR(__xludf.DUMMYFUNCTION("""COMPUTED_VALUE""")," BANDA DE HULE A-25 (GATES)")</f>
        <v>BANDA DE HULE A-25 (GATES)</v>
      </c>
      <c r="AS108" s="71" t="str">
        <f>IFERROR(__xludf.DUMMYFUNCTION("""COMPUTED_VALUE""")," BANDA DE HULE A-25 (GATES)")</f>
        <v>BANDA DE HULE A-25 (GATES)</v>
      </c>
      <c r="AT108" s="71">
        <f>IFERROR(__xludf.DUMMYFUNCTION("""COMPUTED_VALUE"""),26.0)</f>
        <v>26</v>
      </c>
      <c r="AU108" s="71"/>
      <c r="AV108" s="71"/>
      <c r="AW108" s="71"/>
      <c r="AX108" s="71"/>
      <c r="AY108" s="71">
        <f>IFERROR(__xludf.DUMMYFUNCTION("""COMPUTED_VALUE"""),98.0)</f>
        <v>98</v>
      </c>
      <c r="AZ108" s="71">
        <f>IFERROR(__xludf.DUMMYFUNCTION("""COMPUTED_VALUE"""),105.0)</f>
        <v>105</v>
      </c>
      <c r="BA108" s="71">
        <f>IFERROR(__xludf.DUMMYFUNCTION("""COMPUTED_VALUE"""),113.4)</f>
        <v>113.4</v>
      </c>
      <c r="BB108" s="71">
        <f>IFERROR(__xludf.DUMMYFUNCTION("""COMPUTED_VALUE"""),113.4)</f>
        <v>113.4</v>
      </c>
      <c r="BC108" s="71">
        <f>IFERROR(__xludf.DUMMYFUNCTION("""COMPUTED_VALUE"""),128.0)</f>
        <v>128</v>
      </c>
      <c r="BD108" s="71">
        <f>IFERROR(__xludf.DUMMYFUNCTION("""COMPUTED_VALUE"""),134.0)</f>
        <v>134</v>
      </c>
      <c r="BE108" s="71">
        <f>IFERROR(__xludf.DUMMYFUNCTION("""COMPUTED_VALUE"""),21.44)</f>
        <v>21.44</v>
      </c>
      <c r="BF108" s="71">
        <f>IFERROR(__xludf.DUMMYFUNCTION("""COMPUTED_VALUE"""),155.44)</f>
        <v>155.44</v>
      </c>
      <c r="BG108" s="71">
        <f>IFERROR(__xludf.DUMMYFUNCTION("""COMPUTED_VALUE"""),0.046875)</f>
        <v>0.046875</v>
      </c>
      <c r="BH108" s="71">
        <f>IFERROR(__xludf.DUMMYFUNCTION("""COMPUTED_VALUE"""),127.3)</f>
        <v>127.3</v>
      </c>
      <c r="BI108" s="71">
        <f>IFERROR(__xludf.DUMMYFUNCTION("""COMPUTED_VALUE"""),20.368)</f>
        <v>20.368</v>
      </c>
      <c r="BJ108" s="71">
        <f>IFERROR(__xludf.DUMMYFUNCTION("""COMPUTED_VALUE"""),147.668)</f>
        <v>147.668</v>
      </c>
      <c r="BK108" s="71">
        <f>IFERROR(__xludf.DUMMYFUNCTION("""COMPUTED_VALUE"""),120.60000000000001)</f>
        <v>120.6</v>
      </c>
      <c r="BL108" s="71">
        <f>IFERROR(__xludf.DUMMYFUNCTION("""COMPUTED_VALUE"""),19.296000000000003)</f>
        <v>19.296</v>
      </c>
      <c r="BM108" s="71">
        <f>IFERROR(__xludf.DUMMYFUNCTION("""COMPUTED_VALUE"""),139.89600000000002)</f>
        <v>139.896</v>
      </c>
      <c r="BN108" s="71">
        <f>IFERROR(__xludf.DUMMYFUNCTION("""COMPUTED_VALUE"""),113.89999999999999)</f>
        <v>113.9</v>
      </c>
      <c r="BO108" s="71">
        <f>IFERROR(__xludf.DUMMYFUNCTION("""COMPUTED_VALUE"""),18.224)</f>
        <v>18.224</v>
      </c>
      <c r="BP108" s="71">
        <f>IFERROR(__xludf.DUMMYFUNCTION("""COMPUTED_VALUE"""),132.124)</f>
        <v>132.124</v>
      </c>
      <c r="BQ108" s="71">
        <f>IFERROR(__xludf.DUMMYFUNCTION("""COMPUTED_VALUE"""),111.22)</f>
        <v>111.22</v>
      </c>
      <c r="BR108" s="71">
        <f>IFERROR(__xludf.DUMMYFUNCTION("""COMPUTED_VALUE"""),17.7952)</f>
        <v>17.7952</v>
      </c>
      <c r="BS108" s="71">
        <f>IFERROR(__xludf.DUMMYFUNCTION("""COMPUTED_VALUE"""),129.0152)</f>
        <v>129.0152</v>
      </c>
      <c r="BT108" s="71">
        <f>IFERROR(__xludf.DUMMYFUNCTION("""COMPUTED_VALUE"""),107.2)</f>
        <v>107.2</v>
      </c>
      <c r="BU108" s="71">
        <f>IFERROR(__xludf.DUMMYFUNCTION("""COMPUTED_VALUE"""),17.152)</f>
        <v>17.152</v>
      </c>
      <c r="BV108" s="71">
        <f>IFERROR(__xludf.DUMMYFUNCTION("""COMPUTED_VALUE"""),124.352)</f>
        <v>124.352</v>
      </c>
    </row>
    <row r="109">
      <c r="A109" s="53">
        <v>1.0</v>
      </c>
      <c r="B109" s="72"/>
      <c r="C109" s="73" t="s">
        <v>53</v>
      </c>
      <c r="D109" s="74" t="s">
        <v>314</v>
      </c>
      <c r="E109" s="54" t="s">
        <v>38</v>
      </c>
      <c r="F109" s="54" t="s">
        <v>42</v>
      </c>
      <c r="G109" s="54" t="s">
        <v>315</v>
      </c>
      <c r="H109" s="54" t="s">
        <v>315</v>
      </c>
      <c r="I109" s="54">
        <f t="shared" si="1"/>
        <v>25</v>
      </c>
      <c r="J109" s="56"/>
      <c r="K109" s="75"/>
      <c r="L109" s="77"/>
      <c r="M109" s="59"/>
      <c r="N109" s="60">
        <v>590.0</v>
      </c>
      <c r="O109" s="61">
        <v>637.0</v>
      </c>
      <c r="P109" s="62">
        <v>687.96</v>
      </c>
      <c r="Q109" s="63">
        <v>687.96</v>
      </c>
      <c r="R109" s="64">
        <v>767.0</v>
      </c>
      <c r="S109" s="111">
        <v>805.0</v>
      </c>
      <c r="T109" s="65">
        <f t="shared" si="2"/>
        <v>128.8</v>
      </c>
      <c r="U109" s="65">
        <f t="shared" si="3"/>
        <v>933.8</v>
      </c>
      <c r="V109" s="66">
        <f t="shared" si="4"/>
        <v>0.04954367666</v>
      </c>
      <c r="W109" s="67">
        <f t="shared" si="5"/>
        <v>764.75</v>
      </c>
      <c r="X109" s="67">
        <f t="shared" si="6"/>
        <v>122.36</v>
      </c>
      <c r="Y109" s="67">
        <f t="shared" si="7"/>
        <v>887.11</v>
      </c>
      <c r="Z109" s="67">
        <f t="shared" si="8"/>
        <v>724.5</v>
      </c>
      <c r="AA109" s="67">
        <f t="shared" si="9"/>
        <v>115.92</v>
      </c>
      <c r="AB109" s="67">
        <f t="shared" si="10"/>
        <v>840.42</v>
      </c>
      <c r="AC109" s="67">
        <f t="shared" si="11"/>
        <v>684.25</v>
      </c>
      <c r="AD109" s="67">
        <f t="shared" si="12"/>
        <v>109.48</v>
      </c>
      <c r="AE109" s="67">
        <f t="shared" si="13"/>
        <v>793.73</v>
      </c>
      <c r="AF109" s="67">
        <f t="shared" si="14"/>
        <v>668.15</v>
      </c>
      <c r="AG109" s="67">
        <f t="shared" si="15"/>
        <v>106.904</v>
      </c>
      <c r="AH109" s="67">
        <f t="shared" si="16"/>
        <v>775.054</v>
      </c>
      <c r="AI109" s="67">
        <f t="shared" si="17"/>
        <v>644</v>
      </c>
      <c r="AJ109" s="68">
        <f t="shared" si="20"/>
        <v>103.04</v>
      </c>
      <c r="AK109" s="68">
        <f t="shared" si="21"/>
        <v>747.04</v>
      </c>
      <c r="AL109" s="70">
        <f>IFERROR(__xludf.DUMMYFUNCTION("""COMPUTED_VALUE"""),1.0)</f>
        <v>1</v>
      </c>
      <c r="AM109" s="70"/>
      <c r="AN109" s="71" t="str">
        <f>IFERROR(__xludf.DUMMYFUNCTION("""COMPUTED_VALUE""")," C")</f>
        <v>C</v>
      </c>
      <c r="AO109" s="71" t="str">
        <f>IFERROR(__xludf.DUMMYFUNCTION("""COMPUTED_VALUE""")," BH09")</f>
        <v>BH09</v>
      </c>
      <c r="AP109" s="71" t="str">
        <f>IFERROR(__xludf.DUMMYFUNCTION("""COMPUTED_VALUE""")," PZA")</f>
        <v>PZA</v>
      </c>
      <c r="AQ109" s="71" t="str">
        <f>IFERROR(__xludf.DUMMYFUNCTION("""COMPUTED_VALUE""")," REF")</f>
        <v>REF</v>
      </c>
      <c r="AR109" s="71" t="str">
        <f>IFERROR(__xludf.DUMMYFUNCTION("""COMPUTED_VALUE""")," BANDA DE HULE A-26 (BLACKGOLD)")</f>
        <v>BANDA DE HULE A-26 (BLACKGOLD)</v>
      </c>
      <c r="AS109" s="71" t="str">
        <f>IFERROR(__xludf.DUMMYFUNCTION("""COMPUTED_VALUE""")," BANDA DE HULE A-26 (BLACKGOLD)")</f>
        <v>BANDA DE HULE A-26 (BLACKGOLD)</v>
      </c>
      <c r="AT109" s="71">
        <f>IFERROR(__xludf.DUMMYFUNCTION("""COMPUTED_VALUE"""),30.0)</f>
        <v>30</v>
      </c>
      <c r="AU109" s="71"/>
      <c r="AV109" s="71"/>
      <c r="AW109" s="71"/>
      <c r="AX109" s="71"/>
      <c r="AY109" s="71">
        <f>IFERROR(__xludf.DUMMYFUNCTION("""COMPUTED_VALUE"""),37.0)</f>
        <v>37</v>
      </c>
      <c r="AZ109" s="71">
        <f>IFERROR(__xludf.DUMMYFUNCTION("""COMPUTED_VALUE"""),50.0)</f>
        <v>50</v>
      </c>
      <c r="BA109" s="71">
        <f>IFERROR(__xludf.DUMMYFUNCTION("""COMPUTED_VALUE"""),54.0)</f>
        <v>54</v>
      </c>
      <c r="BB109" s="71">
        <f>IFERROR(__xludf.DUMMYFUNCTION("""COMPUTED_VALUE"""),54.0)</f>
        <v>54</v>
      </c>
      <c r="BC109" s="71">
        <f>IFERROR(__xludf.DUMMYFUNCTION("""COMPUTED_VALUE"""),61.0)</f>
        <v>61</v>
      </c>
      <c r="BD109" s="71">
        <f>IFERROR(__xludf.DUMMYFUNCTION("""COMPUTED_VALUE"""),64.0)</f>
        <v>64</v>
      </c>
      <c r="BE109" s="71">
        <f>IFERROR(__xludf.DUMMYFUNCTION("""COMPUTED_VALUE"""),10.24)</f>
        <v>10.24</v>
      </c>
      <c r="BF109" s="71">
        <f>IFERROR(__xludf.DUMMYFUNCTION("""COMPUTED_VALUE"""),74.24)</f>
        <v>74.24</v>
      </c>
      <c r="BG109" s="71">
        <f>IFERROR(__xludf.DUMMYFUNCTION("""COMPUTED_VALUE"""),0.04918032786885246)</f>
        <v>0.04918032787</v>
      </c>
      <c r="BH109" s="71">
        <f>IFERROR(__xludf.DUMMYFUNCTION("""COMPUTED_VALUE"""),60.8)</f>
        <v>60.8</v>
      </c>
      <c r="BI109" s="71">
        <f>IFERROR(__xludf.DUMMYFUNCTION("""COMPUTED_VALUE"""),9.728)</f>
        <v>9.728</v>
      </c>
      <c r="BJ109" s="71">
        <f>IFERROR(__xludf.DUMMYFUNCTION("""COMPUTED_VALUE"""),70.52799999999999)</f>
        <v>70.528</v>
      </c>
      <c r="BK109" s="71">
        <f>IFERROR(__xludf.DUMMYFUNCTION("""COMPUTED_VALUE"""),57.6)</f>
        <v>57.6</v>
      </c>
      <c r="BL109" s="71">
        <f>IFERROR(__xludf.DUMMYFUNCTION("""COMPUTED_VALUE"""),9.216000000000001)</f>
        <v>9.216</v>
      </c>
      <c r="BM109" s="71">
        <f>IFERROR(__xludf.DUMMYFUNCTION("""COMPUTED_VALUE"""),66.816)</f>
        <v>66.816</v>
      </c>
      <c r="BN109" s="71">
        <f>IFERROR(__xludf.DUMMYFUNCTION("""COMPUTED_VALUE"""),54.4)</f>
        <v>54.4</v>
      </c>
      <c r="BO109" s="71">
        <f>IFERROR(__xludf.DUMMYFUNCTION("""COMPUTED_VALUE"""),8.704)</f>
        <v>8.704</v>
      </c>
      <c r="BP109" s="71">
        <f>IFERROR(__xludf.DUMMYFUNCTION("""COMPUTED_VALUE"""),63.104)</f>
        <v>63.104</v>
      </c>
      <c r="BQ109" s="71">
        <f>IFERROR(__xludf.DUMMYFUNCTION("""COMPUTED_VALUE"""),53.12)</f>
        <v>53.12</v>
      </c>
      <c r="BR109" s="71">
        <f>IFERROR(__xludf.DUMMYFUNCTION("""COMPUTED_VALUE"""),8.4992)</f>
        <v>8.4992</v>
      </c>
      <c r="BS109" s="71">
        <f>IFERROR(__xludf.DUMMYFUNCTION("""COMPUTED_VALUE"""),61.6192)</f>
        <v>61.6192</v>
      </c>
      <c r="BT109" s="71">
        <f>IFERROR(__xludf.DUMMYFUNCTION("""COMPUTED_VALUE"""),51.2)</f>
        <v>51.2</v>
      </c>
      <c r="BU109" s="71">
        <f>IFERROR(__xludf.DUMMYFUNCTION("""COMPUTED_VALUE"""),8.192)</f>
        <v>8.192</v>
      </c>
      <c r="BV109" s="71">
        <f>IFERROR(__xludf.DUMMYFUNCTION("""COMPUTED_VALUE"""),59.392)</f>
        <v>59.392</v>
      </c>
    </row>
    <row r="110">
      <c r="A110" s="53"/>
      <c r="B110" s="53"/>
      <c r="C110" s="53" t="s">
        <v>53</v>
      </c>
      <c r="D110" s="53" t="s">
        <v>316</v>
      </c>
      <c r="E110" s="54" t="s">
        <v>38</v>
      </c>
      <c r="F110" s="54" t="s">
        <v>42</v>
      </c>
      <c r="G110" s="55" t="s">
        <v>317</v>
      </c>
      <c r="H110" s="54" t="s">
        <v>318</v>
      </c>
      <c r="I110" s="54">
        <f t="shared" si="1"/>
        <v>33</v>
      </c>
      <c r="J110" s="56"/>
      <c r="K110" s="57"/>
      <c r="L110" s="76"/>
      <c r="M110" s="59"/>
      <c r="N110" s="79">
        <v>7990.0</v>
      </c>
      <c r="O110" s="61">
        <v>8629.0</v>
      </c>
      <c r="P110" s="63">
        <v>9319.32</v>
      </c>
      <c r="Q110" s="63">
        <v>9319.32</v>
      </c>
      <c r="R110" s="64">
        <v>9785.0</v>
      </c>
      <c r="S110" s="111">
        <v>10274.0</v>
      </c>
      <c r="T110" s="65">
        <f t="shared" si="2"/>
        <v>1643.84</v>
      </c>
      <c r="U110" s="65">
        <f t="shared" si="3"/>
        <v>11917.84</v>
      </c>
      <c r="V110" s="66">
        <f t="shared" si="4"/>
        <v>0.04997445069</v>
      </c>
      <c r="W110" s="67">
        <f t="shared" si="5"/>
        <v>9760.3</v>
      </c>
      <c r="X110" s="67">
        <f t="shared" si="6"/>
        <v>1561.648</v>
      </c>
      <c r="Y110" s="67">
        <f t="shared" si="7"/>
        <v>11321.948</v>
      </c>
      <c r="Z110" s="67">
        <f t="shared" si="8"/>
        <v>9246.6</v>
      </c>
      <c r="AA110" s="67">
        <f t="shared" si="9"/>
        <v>1479.456</v>
      </c>
      <c r="AB110" s="67">
        <f t="shared" si="10"/>
        <v>10726.056</v>
      </c>
      <c r="AC110" s="67">
        <f t="shared" si="11"/>
        <v>8732.9</v>
      </c>
      <c r="AD110" s="67">
        <f t="shared" si="12"/>
        <v>1397.264</v>
      </c>
      <c r="AE110" s="67">
        <f t="shared" si="13"/>
        <v>10130.164</v>
      </c>
      <c r="AF110" s="67">
        <f t="shared" si="14"/>
        <v>8527.42</v>
      </c>
      <c r="AG110" s="67">
        <f t="shared" si="15"/>
        <v>1364.3872</v>
      </c>
      <c r="AH110" s="67">
        <f t="shared" si="16"/>
        <v>9891.8072</v>
      </c>
      <c r="AI110" s="67">
        <f t="shared" si="17"/>
        <v>8219.2</v>
      </c>
      <c r="AJ110" s="68">
        <f t="shared" si="20"/>
        <v>1315.072</v>
      </c>
      <c r="AK110" s="68">
        <f t="shared" si="21"/>
        <v>9534.272</v>
      </c>
      <c r="AL110" s="70">
        <f>IFERROR(__xludf.DUMMYFUNCTION("""COMPUTED_VALUE"""),1.0)</f>
        <v>1</v>
      </c>
      <c r="AM110" s="70"/>
      <c r="AN110" s="71" t="str">
        <f>IFERROR(__xludf.DUMMYFUNCTION("""COMPUTED_VALUE""")," C")</f>
        <v>C</v>
      </c>
      <c r="AO110" s="71" t="str">
        <f>IFERROR(__xludf.DUMMYFUNCTION("""COMPUTED_VALUE""")," BH34")</f>
        <v>BH34</v>
      </c>
      <c r="AP110" s="71" t="str">
        <f>IFERROR(__xludf.DUMMYFUNCTION("""COMPUTED_VALUE""")," PZA")</f>
        <v>PZA</v>
      </c>
      <c r="AQ110" s="71" t="str">
        <f>IFERROR(__xludf.DUMMYFUNCTION("""COMPUTED_VALUE""")," REF")</f>
        <v>REF</v>
      </c>
      <c r="AR110" s="71" t="str">
        <f>IFERROR(__xludf.DUMMYFUNCTION("""COMPUTED_VALUE""")," BANDA DE HULE A-26 (GATES)")</f>
        <v>BANDA DE HULE A-26 (GATES)</v>
      </c>
      <c r="AS110" s="71" t="str">
        <f>IFERROR(__xludf.DUMMYFUNCTION("""COMPUTED_VALUE""")," BANDA DE HULE A-26 (GATES)")</f>
        <v>BANDA DE HULE A-26 (GATES)</v>
      </c>
      <c r="AT110" s="71">
        <f>IFERROR(__xludf.DUMMYFUNCTION("""COMPUTED_VALUE"""),26.0)</f>
        <v>26</v>
      </c>
      <c r="AU110" s="71"/>
      <c r="AV110" s="71"/>
      <c r="AW110" s="71"/>
      <c r="AX110" s="71"/>
      <c r="AY110" s="71">
        <f>IFERROR(__xludf.DUMMYFUNCTION("""COMPUTED_VALUE"""),99.0)</f>
        <v>99</v>
      </c>
      <c r="AZ110" s="71">
        <f>IFERROR(__xludf.DUMMYFUNCTION("""COMPUTED_VALUE"""),106.0)</f>
        <v>106</v>
      </c>
      <c r="BA110" s="71">
        <f>IFERROR(__xludf.DUMMYFUNCTION("""COMPUTED_VALUE"""),114.48)</f>
        <v>114.48</v>
      </c>
      <c r="BB110" s="71">
        <f>IFERROR(__xludf.DUMMYFUNCTION("""COMPUTED_VALUE"""),114.48)</f>
        <v>114.48</v>
      </c>
      <c r="BC110" s="71">
        <f>IFERROR(__xludf.DUMMYFUNCTION("""COMPUTED_VALUE"""),129.0)</f>
        <v>129</v>
      </c>
      <c r="BD110" s="71">
        <f>IFERROR(__xludf.DUMMYFUNCTION("""COMPUTED_VALUE"""),135.0)</f>
        <v>135</v>
      </c>
      <c r="BE110" s="71">
        <f>IFERROR(__xludf.DUMMYFUNCTION("""COMPUTED_VALUE"""),21.6)</f>
        <v>21.6</v>
      </c>
      <c r="BF110" s="71">
        <f>IFERROR(__xludf.DUMMYFUNCTION("""COMPUTED_VALUE"""),156.6)</f>
        <v>156.6</v>
      </c>
      <c r="BG110" s="71">
        <f>IFERROR(__xludf.DUMMYFUNCTION("""COMPUTED_VALUE"""),0.046511627906976744)</f>
        <v>0.04651162791</v>
      </c>
      <c r="BH110" s="71">
        <f>IFERROR(__xludf.DUMMYFUNCTION("""COMPUTED_VALUE"""),128.25)</f>
        <v>128.25</v>
      </c>
      <c r="BI110" s="71">
        <f>IFERROR(__xludf.DUMMYFUNCTION("""COMPUTED_VALUE"""),20.52)</f>
        <v>20.52</v>
      </c>
      <c r="BJ110" s="71">
        <f>IFERROR(__xludf.DUMMYFUNCTION("""COMPUTED_VALUE"""),148.77)</f>
        <v>148.77</v>
      </c>
      <c r="BK110" s="71">
        <f>IFERROR(__xludf.DUMMYFUNCTION("""COMPUTED_VALUE"""),121.5)</f>
        <v>121.5</v>
      </c>
      <c r="BL110" s="71">
        <f>IFERROR(__xludf.DUMMYFUNCTION("""COMPUTED_VALUE"""),19.44)</f>
        <v>19.44</v>
      </c>
      <c r="BM110" s="71">
        <f>IFERROR(__xludf.DUMMYFUNCTION("""COMPUTED_VALUE"""),140.94)</f>
        <v>140.94</v>
      </c>
      <c r="BN110" s="71">
        <f>IFERROR(__xludf.DUMMYFUNCTION("""COMPUTED_VALUE"""),114.75)</f>
        <v>114.75</v>
      </c>
      <c r="BO110" s="71">
        <f>IFERROR(__xludf.DUMMYFUNCTION("""COMPUTED_VALUE"""),18.36)</f>
        <v>18.36</v>
      </c>
      <c r="BP110" s="71">
        <f>IFERROR(__xludf.DUMMYFUNCTION("""COMPUTED_VALUE"""),133.11)</f>
        <v>133.11</v>
      </c>
      <c r="BQ110" s="71">
        <f>IFERROR(__xludf.DUMMYFUNCTION("""COMPUTED_VALUE"""),112.05)</f>
        <v>112.05</v>
      </c>
      <c r="BR110" s="71">
        <f>IFERROR(__xludf.DUMMYFUNCTION("""COMPUTED_VALUE"""),17.928)</f>
        <v>17.928</v>
      </c>
      <c r="BS110" s="71">
        <f>IFERROR(__xludf.DUMMYFUNCTION("""COMPUTED_VALUE"""),129.978)</f>
        <v>129.978</v>
      </c>
      <c r="BT110" s="71">
        <f>IFERROR(__xludf.DUMMYFUNCTION("""COMPUTED_VALUE"""),108.0)</f>
        <v>108</v>
      </c>
      <c r="BU110" s="71">
        <f>IFERROR(__xludf.DUMMYFUNCTION("""COMPUTED_VALUE"""),17.28)</f>
        <v>17.28</v>
      </c>
      <c r="BV110" s="71">
        <f>IFERROR(__xludf.DUMMYFUNCTION("""COMPUTED_VALUE"""),125.28)</f>
        <v>125.28</v>
      </c>
    </row>
    <row r="111">
      <c r="A111" s="53"/>
      <c r="B111" s="53"/>
      <c r="C111" s="73" t="s">
        <v>53</v>
      </c>
      <c r="D111" s="53" t="s">
        <v>319</v>
      </c>
      <c r="E111" s="54" t="s">
        <v>38</v>
      </c>
      <c r="F111" s="54" t="s">
        <v>42</v>
      </c>
      <c r="G111" s="55" t="s">
        <v>320</v>
      </c>
      <c r="H111" s="54" t="s">
        <v>321</v>
      </c>
      <c r="I111" s="54">
        <f t="shared" si="1"/>
        <v>32</v>
      </c>
      <c r="J111" s="56"/>
      <c r="K111" s="57"/>
      <c r="L111" s="76"/>
      <c r="M111" s="59"/>
      <c r="N111" s="79">
        <v>4220.0</v>
      </c>
      <c r="O111" s="61">
        <v>4557.0</v>
      </c>
      <c r="P111" s="62">
        <v>4921.56</v>
      </c>
      <c r="Q111" s="63">
        <v>4921.56</v>
      </c>
      <c r="R111" s="64">
        <v>5169.0</v>
      </c>
      <c r="S111" s="111">
        <v>5427.0</v>
      </c>
      <c r="T111" s="65">
        <f t="shared" si="2"/>
        <v>868.32</v>
      </c>
      <c r="U111" s="65">
        <f t="shared" si="3"/>
        <v>6295.32</v>
      </c>
      <c r="V111" s="66">
        <f t="shared" si="4"/>
        <v>0.04991294254</v>
      </c>
      <c r="W111" s="67">
        <f t="shared" si="5"/>
        <v>5155.65</v>
      </c>
      <c r="X111" s="67">
        <f t="shared" si="6"/>
        <v>824.904</v>
      </c>
      <c r="Y111" s="67">
        <f t="shared" si="7"/>
        <v>5980.554</v>
      </c>
      <c r="Z111" s="67">
        <f t="shared" si="8"/>
        <v>4884.3</v>
      </c>
      <c r="AA111" s="67">
        <f t="shared" si="9"/>
        <v>781.488</v>
      </c>
      <c r="AB111" s="67">
        <f t="shared" si="10"/>
        <v>5665.788</v>
      </c>
      <c r="AC111" s="67">
        <f t="shared" si="11"/>
        <v>4612.95</v>
      </c>
      <c r="AD111" s="67">
        <f t="shared" si="12"/>
        <v>738.072</v>
      </c>
      <c r="AE111" s="67">
        <f t="shared" si="13"/>
        <v>5351.022</v>
      </c>
      <c r="AF111" s="67">
        <f t="shared" si="14"/>
        <v>4504.41</v>
      </c>
      <c r="AG111" s="67">
        <f t="shared" si="15"/>
        <v>720.7056</v>
      </c>
      <c r="AH111" s="67">
        <f t="shared" si="16"/>
        <v>5225.1156</v>
      </c>
      <c r="AI111" s="67">
        <f t="shared" si="17"/>
        <v>4341.6</v>
      </c>
      <c r="AJ111" s="68">
        <f t="shared" si="20"/>
        <v>694.656</v>
      </c>
      <c r="AK111" s="68">
        <f t="shared" si="21"/>
        <v>5036.256</v>
      </c>
      <c r="AL111" s="70">
        <f>IFERROR(__xludf.DUMMYFUNCTION("""COMPUTED_VALUE"""),1.0)</f>
        <v>1</v>
      </c>
      <c r="AM111" s="70"/>
      <c r="AN111" s="71" t="str">
        <f>IFERROR(__xludf.DUMMYFUNCTION("""COMPUTED_VALUE""")," C")</f>
        <v>C</v>
      </c>
      <c r="AO111" s="71" t="str">
        <f>IFERROR(__xludf.DUMMYFUNCTION("""COMPUTED_VALUE""")," BH10")</f>
        <v>BH10</v>
      </c>
      <c r="AP111" s="71" t="str">
        <f>IFERROR(__xludf.DUMMYFUNCTION("""COMPUTED_VALUE""")," PZA")</f>
        <v>PZA</v>
      </c>
      <c r="AQ111" s="71" t="str">
        <f>IFERROR(__xludf.DUMMYFUNCTION("""COMPUTED_VALUE""")," REF")</f>
        <v>REF</v>
      </c>
      <c r="AR111" s="71" t="str">
        <f>IFERROR(__xludf.DUMMYFUNCTION("""COMPUTED_VALUE""")," BANDA DE HULE A-27 (BLACKGOLD)")</f>
        <v>BANDA DE HULE A-27 (BLACKGOLD)</v>
      </c>
      <c r="AS111" s="71" t="str">
        <f>IFERROR(__xludf.DUMMYFUNCTION("""COMPUTED_VALUE""")," BANDA DE HULE A-27 (BLACKGOLD)")</f>
        <v>BANDA DE HULE A-27 (BLACKGOLD)</v>
      </c>
      <c r="AT111" s="71">
        <f>IFERROR(__xludf.DUMMYFUNCTION("""COMPUTED_VALUE"""),30.0)</f>
        <v>30</v>
      </c>
      <c r="AU111" s="71"/>
      <c r="AV111" s="71"/>
      <c r="AW111" s="71"/>
      <c r="AX111" s="71"/>
      <c r="AY111" s="71">
        <f>IFERROR(__xludf.DUMMYFUNCTION("""COMPUTED_VALUE"""),40.0)</f>
        <v>40</v>
      </c>
      <c r="AZ111" s="71">
        <f>IFERROR(__xludf.DUMMYFUNCTION("""COMPUTED_VALUE"""),52.0)</f>
        <v>52</v>
      </c>
      <c r="BA111" s="71">
        <f>IFERROR(__xludf.DUMMYFUNCTION("""COMPUTED_VALUE"""),56.160000000000004)</f>
        <v>56.16</v>
      </c>
      <c r="BB111" s="71">
        <f>IFERROR(__xludf.DUMMYFUNCTION("""COMPUTED_VALUE"""),56.160000000000004)</f>
        <v>56.16</v>
      </c>
      <c r="BC111" s="71">
        <f>IFERROR(__xludf.DUMMYFUNCTION("""COMPUTED_VALUE"""),63.0)</f>
        <v>63</v>
      </c>
      <c r="BD111" s="71">
        <f>IFERROR(__xludf.DUMMYFUNCTION("""COMPUTED_VALUE"""),66.0)</f>
        <v>66</v>
      </c>
      <c r="BE111" s="71">
        <f>IFERROR(__xludf.DUMMYFUNCTION("""COMPUTED_VALUE"""),10.56)</f>
        <v>10.56</v>
      </c>
      <c r="BF111" s="71">
        <f>IFERROR(__xludf.DUMMYFUNCTION("""COMPUTED_VALUE"""),76.56)</f>
        <v>76.56</v>
      </c>
      <c r="BG111" s="71">
        <f>IFERROR(__xludf.DUMMYFUNCTION("""COMPUTED_VALUE"""),0.047619047619047616)</f>
        <v>0.04761904762</v>
      </c>
      <c r="BH111" s="71">
        <f>IFERROR(__xludf.DUMMYFUNCTION("""COMPUTED_VALUE"""),62.699999999999996)</f>
        <v>62.7</v>
      </c>
      <c r="BI111" s="71">
        <f>IFERROR(__xludf.DUMMYFUNCTION("""COMPUTED_VALUE"""),10.032)</f>
        <v>10.032</v>
      </c>
      <c r="BJ111" s="71">
        <f>IFERROR(__xludf.DUMMYFUNCTION("""COMPUTED_VALUE"""),72.732)</f>
        <v>72.732</v>
      </c>
      <c r="BK111" s="71">
        <f>IFERROR(__xludf.DUMMYFUNCTION("""COMPUTED_VALUE"""),59.4)</f>
        <v>59.4</v>
      </c>
      <c r="BL111" s="71">
        <f>IFERROR(__xludf.DUMMYFUNCTION("""COMPUTED_VALUE"""),9.504)</f>
        <v>9.504</v>
      </c>
      <c r="BM111" s="71">
        <f>IFERROR(__xludf.DUMMYFUNCTION("""COMPUTED_VALUE"""),68.904)</f>
        <v>68.904</v>
      </c>
      <c r="BN111" s="71">
        <f>IFERROR(__xludf.DUMMYFUNCTION("""COMPUTED_VALUE"""),56.1)</f>
        <v>56.1</v>
      </c>
      <c r="BO111" s="71">
        <f>IFERROR(__xludf.DUMMYFUNCTION("""COMPUTED_VALUE"""),8.976)</f>
        <v>8.976</v>
      </c>
      <c r="BP111" s="71">
        <f>IFERROR(__xludf.DUMMYFUNCTION("""COMPUTED_VALUE"""),65.07600000000001)</f>
        <v>65.076</v>
      </c>
      <c r="BQ111" s="71">
        <f>IFERROR(__xludf.DUMMYFUNCTION("""COMPUTED_VALUE"""),54.779999999999994)</f>
        <v>54.78</v>
      </c>
      <c r="BR111" s="71">
        <f>IFERROR(__xludf.DUMMYFUNCTION("""COMPUTED_VALUE"""),8.7648)</f>
        <v>8.7648</v>
      </c>
      <c r="BS111" s="71">
        <f>IFERROR(__xludf.DUMMYFUNCTION("""COMPUTED_VALUE"""),63.544799999999995)</f>
        <v>63.5448</v>
      </c>
      <c r="BT111" s="71">
        <f>IFERROR(__xludf.DUMMYFUNCTION("""COMPUTED_VALUE"""),52.800000000000004)</f>
        <v>52.8</v>
      </c>
      <c r="BU111" s="71">
        <f>IFERROR(__xludf.DUMMYFUNCTION("""COMPUTED_VALUE"""),8.448)</f>
        <v>8.448</v>
      </c>
      <c r="BV111" s="71">
        <f>IFERROR(__xludf.DUMMYFUNCTION("""COMPUTED_VALUE"""),61.248000000000005)</f>
        <v>61.248</v>
      </c>
    </row>
    <row r="112">
      <c r="A112" s="53"/>
      <c r="B112" s="53"/>
      <c r="C112" s="73" t="s">
        <v>53</v>
      </c>
      <c r="D112" s="53" t="s">
        <v>322</v>
      </c>
      <c r="E112" s="54" t="s">
        <v>38</v>
      </c>
      <c r="F112" s="54" t="s">
        <v>42</v>
      </c>
      <c r="G112" s="55" t="s">
        <v>323</v>
      </c>
      <c r="H112" s="54" t="s">
        <v>324</v>
      </c>
      <c r="I112" s="54">
        <f t="shared" si="1"/>
        <v>33</v>
      </c>
      <c r="J112" s="56"/>
      <c r="K112" s="57"/>
      <c r="L112" s="76"/>
      <c r="M112" s="59"/>
      <c r="N112" s="79">
        <v>6747.0</v>
      </c>
      <c r="O112" s="61">
        <v>7286.0</v>
      </c>
      <c r="P112" s="62">
        <v>7868.88</v>
      </c>
      <c r="Q112" s="63">
        <v>7868.88</v>
      </c>
      <c r="R112" s="64">
        <v>8263.0</v>
      </c>
      <c r="S112" s="111">
        <v>8676.0</v>
      </c>
      <c r="T112" s="65">
        <f t="shared" si="2"/>
        <v>1388.16</v>
      </c>
      <c r="U112" s="65">
        <f t="shared" si="3"/>
        <v>10064.16</v>
      </c>
      <c r="V112" s="66">
        <f t="shared" si="4"/>
        <v>0.04998184679</v>
      </c>
      <c r="W112" s="67">
        <f t="shared" si="5"/>
        <v>8242.2</v>
      </c>
      <c r="X112" s="67">
        <f t="shared" si="6"/>
        <v>1318.752</v>
      </c>
      <c r="Y112" s="67">
        <f t="shared" si="7"/>
        <v>9560.952</v>
      </c>
      <c r="Z112" s="67">
        <f t="shared" si="8"/>
        <v>7808.4</v>
      </c>
      <c r="AA112" s="67">
        <f t="shared" si="9"/>
        <v>1249.344</v>
      </c>
      <c r="AB112" s="67">
        <f t="shared" si="10"/>
        <v>9057.744</v>
      </c>
      <c r="AC112" s="67">
        <f t="shared" si="11"/>
        <v>7374.6</v>
      </c>
      <c r="AD112" s="67">
        <f t="shared" si="12"/>
        <v>1179.936</v>
      </c>
      <c r="AE112" s="67">
        <f t="shared" si="13"/>
        <v>8554.536</v>
      </c>
      <c r="AF112" s="67">
        <f t="shared" si="14"/>
        <v>7201.08</v>
      </c>
      <c r="AG112" s="67">
        <f t="shared" si="15"/>
        <v>1152.1728</v>
      </c>
      <c r="AH112" s="67">
        <f t="shared" si="16"/>
        <v>8353.2528</v>
      </c>
      <c r="AI112" s="67">
        <f t="shared" si="17"/>
        <v>6940.8</v>
      </c>
      <c r="AJ112" s="68">
        <f t="shared" si="20"/>
        <v>1110.528</v>
      </c>
      <c r="AK112" s="68">
        <f t="shared" si="21"/>
        <v>8051.328</v>
      </c>
      <c r="AL112" s="70">
        <f>IFERROR(__xludf.DUMMYFUNCTION("""COMPUTED_VALUE"""),1.0)</f>
        <v>1</v>
      </c>
      <c r="AM112" s="70"/>
      <c r="AN112" s="71" t="str">
        <f>IFERROR(__xludf.DUMMYFUNCTION("""COMPUTED_VALUE""")," C")</f>
        <v>C</v>
      </c>
      <c r="AO112" s="71" t="str">
        <f>IFERROR(__xludf.DUMMYFUNCTION("""COMPUTED_VALUE""")," BH35")</f>
        <v>BH35</v>
      </c>
      <c r="AP112" s="71" t="str">
        <f>IFERROR(__xludf.DUMMYFUNCTION("""COMPUTED_VALUE""")," PZA")</f>
        <v>PZA</v>
      </c>
      <c r="AQ112" s="71" t="str">
        <f>IFERROR(__xludf.DUMMYFUNCTION("""COMPUTED_VALUE""")," REF")</f>
        <v>REF</v>
      </c>
      <c r="AR112" s="71" t="str">
        <f>IFERROR(__xludf.DUMMYFUNCTION("""COMPUTED_VALUE""")," BANDA DE HULE A-27 (GATES)")</f>
        <v>BANDA DE HULE A-27 (GATES)</v>
      </c>
      <c r="AS112" s="71" t="str">
        <f>IFERROR(__xludf.DUMMYFUNCTION("""COMPUTED_VALUE""")," BANDA DE HULE A-27 (GATES)")</f>
        <v>BANDA DE HULE A-27 (GATES)</v>
      </c>
      <c r="AT112" s="71">
        <f>IFERROR(__xludf.DUMMYFUNCTION("""COMPUTED_VALUE"""),26.0)</f>
        <v>26</v>
      </c>
      <c r="AU112" s="71"/>
      <c r="AV112" s="71"/>
      <c r="AW112" s="71"/>
      <c r="AX112" s="71"/>
      <c r="AY112" s="71">
        <f>IFERROR(__xludf.DUMMYFUNCTION("""COMPUTED_VALUE"""),101.0)</f>
        <v>101</v>
      </c>
      <c r="AZ112" s="71">
        <f>IFERROR(__xludf.DUMMYFUNCTION("""COMPUTED_VALUE"""),109.0)</f>
        <v>109</v>
      </c>
      <c r="BA112" s="71">
        <f>IFERROR(__xludf.DUMMYFUNCTION("""COMPUTED_VALUE"""),117.72000000000001)</f>
        <v>117.72</v>
      </c>
      <c r="BB112" s="71">
        <f>IFERROR(__xludf.DUMMYFUNCTION("""COMPUTED_VALUE"""),117.72000000000001)</f>
        <v>117.72</v>
      </c>
      <c r="BC112" s="71">
        <f>IFERROR(__xludf.DUMMYFUNCTION("""COMPUTED_VALUE"""),132.0)</f>
        <v>132</v>
      </c>
      <c r="BD112" s="71">
        <f>IFERROR(__xludf.DUMMYFUNCTION("""COMPUTED_VALUE"""),139.0)</f>
        <v>139</v>
      </c>
      <c r="BE112" s="71">
        <f>IFERROR(__xludf.DUMMYFUNCTION("""COMPUTED_VALUE"""),22.240000000000002)</f>
        <v>22.24</v>
      </c>
      <c r="BF112" s="71">
        <f>IFERROR(__xludf.DUMMYFUNCTION("""COMPUTED_VALUE"""),161.24)</f>
        <v>161.24</v>
      </c>
      <c r="BG112" s="71">
        <f>IFERROR(__xludf.DUMMYFUNCTION("""COMPUTED_VALUE"""),0.05303030303030303)</f>
        <v>0.05303030303</v>
      </c>
      <c r="BH112" s="71">
        <f>IFERROR(__xludf.DUMMYFUNCTION("""COMPUTED_VALUE"""),132.04999999999998)</f>
        <v>132.05</v>
      </c>
      <c r="BI112" s="71">
        <f>IFERROR(__xludf.DUMMYFUNCTION("""COMPUTED_VALUE"""),21.127999999999997)</f>
        <v>21.128</v>
      </c>
      <c r="BJ112" s="71">
        <f>IFERROR(__xludf.DUMMYFUNCTION("""COMPUTED_VALUE"""),153.17799999999997)</f>
        <v>153.178</v>
      </c>
      <c r="BK112" s="71">
        <f>IFERROR(__xludf.DUMMYFUNCTION("""COMPUTED_VALUE"""),125.10000000000001)</f>
        <v>125.1</v>
      </c>
      <c r="BL112" s="71">
        <f>IFERROR(__xludf.DUMMYFUNCTION("""COMPUTED_VALUE"""),20.016000000000002)</f>
        <v>20.016</v>
      </c>
      <c r="BM112" s="71">
        <f>IFERROR(__xludf.DUMMYFUNCTION("""COMPUTED_VALUE"""),145.116)</f>
        <v>145.116</v>
      </c>
      <c r="BN112" s="71">
        <f>IFERROR(__xludf.DUMMYFUNCTION("""COMPUTED_VALUE"""),118.14999999999999)</f>
        <v>118.15</v>
      </c>
      <c r="BO112" s="71">
        <f>IFERROR(__xludf.DUMMYFUNCTION("""COMPUTED_VALUE"""),18.904)</f>
        <v>18.904</v>
      </c>
      <c r="BP112" s="71">
        <f>IFERROR(__xludf.DUMMYFUNCTION("""COMPUTED_VALUE"""),137.054)</f>
        <v>137.054</v>
      </c>
      <c r="BQ112" s="71">
        <f>IFERROR(__xludf.DUMMYFUNCTION("""COMPUTED_VALUE"""),115.36999999999999)</f>
        <v>115.37</v>
      </c>
      <c r="BR112" s="71">
        <f>IFERROR(__xludf.DUMMYFUNCTION("""COMPUTED_VALUE"""),18.4592)</f>
        <v>18.4592</v>
      </c>
      <c r="BS112" s="71">
        <f>IFERROR(__xludf.DUMMYFUNCTION("""COMPUTED_VALUE"""),133.8292)</f>
        <v>133.8292</v>
      </c>
      <c r="BT112" s="71">
        <f>IFERROR(__xludf.DUMMYFUNCTION("""COMPUTED_VALUE"""),111.2)</f>
        <v>111.2</v>
      </c>
      <c r="BU112" s="71">
        <f>IFERROR(__xludf.DUMMYFUNCTION("""COMPUTED_VALUE"""),17.792)</f>
        <v>17.792</v>
      </c>
      <c r="BV112" s="71">
        <f>IFERROR(__xludf.DUMMYFUNCTION("""COMPUTED_VALUE"""),128.99200000000002)</f>
        <v>128.992</v>
      </c>
    </row>
    <row r="113">
      <c r="A113" s="53">
        <v>1.0</v>
      </c>
      <c r="B113" s="53"/>
      <c r="C113" s="53" t="s">
        <v>12</v>
      </c>
      <c r="D113" s="53" t="s">
        <v>325</v>
      </c>
      <c r="E113" s="54" t="s">
        <v>38</v>
      </c>
      <c r="F113" s="54" t="s">
        <v>42</v>
      </c>
      <c r="G113" s="55" t="s">
        <v>326</v>
      </c>
      <c r="H113" s="55" t="s">
        <v>326</v>
      </c>
      <c r="I113" s="54">
        <f t="shared" si="1"/>
        <v>23</v>
      </c>
      <c r="J113" s="56"/>
      <c r="K113" s="57"/>
      <c r="L113" s="76"/>
      <c r="M113" s="59"/>
      <c r="N113" s="79">
        <v>74.0</v>
      </c>
      <c r="O113" s="61">
        <v>79.0</v>
      </c>
      <c r="P113" s="63">
        <v>85.32000000000001</v>
      </c>
      <c r="Q113" s="63">
        <v>85.32000000000001</v>
      </c>
      <c r="R113" s="64">
        <v>90.0</v>
      </c>
      <c r="S113" s="111">
        <v>95.0</v>
      </c>
      <c r="T113" s="65">
        <f t="shared" si="2"/>
        <v>15.2</v>
      </c>
      <c r="U113" s="65">
        <f t="shared" si="3"/>
        <v>110.2</v>
      </c>
      <c r="V113" s="66">
        <f t="shared" si="4"/>
        <v>0.05555555556</v>
      </c>
      <c r="W113" s="67">
        <f t="shared" si="5"/>
        <v>90.25</v>
      </c>
      <c r="X113" s="67">
        <f t="shared" si="6"/>
        <v>14.44</v>
      </c>
      <c r="Y113" s="67">
        <f t="shared" si="7"/>
        <v>104.69</v>
      </c>
      <c r="Z113" s="67">
        <f t="shared" si="8"/>
        <v>85.5</v>
      </c>
      <c r="AA113" s="67">
        <f t="shared" si="9"/>
        <v>13.68</v>
      </c>
      <c r="AB113" s="67">
        <f t="shared" si="10"/>
        <v>99.18</v>
      </c>
      <c r="AC113" s="67">
        <f t="shared" si="11"/>
        <v>80.75</v>
      </c>
      <c r="AD113" s="67">
        <f t="shared" si="12"/>
        <v>12.92</v>
      </c>
      <c r="AE113" s="67">
        <f t="shared" si="13"/>
        <v>93.67</v>
      </c>
      <c r="AF113" s="67">
        <f t="shared" si="14"/>
        <v>78.85</v>
      </c>
      <c r="AG113" s="67">
        <f t="shared" si="15"/>
        <v>12.616</v>
      </c>
      <c r="AH113" s="67">
        <f t="shared" si="16"/>
        <v>91.466</v>
      </c>
      <c r="AI113" s="67">
        <f t="shared" si="17"/>
        <v>76</v>
      </c>
      <c r="AJ113" s="68">
        <f t="shared" si="20"/>
        <v>12.16</v>
      </c>
      <c r="AK113" s="68">
        <f t="shared" si="21"/>
        <v>88.16</v>
      </c>
      <c r="AL113" s="70">
        <f>IFERROR(__xludf.DUMMYFUNCTION("""COMPUTED_VALUE"""),1.0)</f>
        <v>1</v>
      </c>
      <c r="AM113" s="70"/>
      <c r="AN113" s="71" t="str">
        <f>IFERROR(__xludf.DUMMYFUNCTION("""COMPUTED_VALUE""")," C")</f>
        <v>C</v>
      </c>
      <c r="AO113" s="71" t="str">
        <f>IFERROR(__xludf.DUMMYFUNCTION("""COMPUTED_VALUE""")," BH11")</f>
        <v>BH11</v>
      </c>
      <c r="AP113" s="71" t="str">
        <f>IFERROR(__xludf.DUMMYFUNCTION("""COMPUTED_VALUE""")," PZA")</f>
        <v>PZA</v>
      </c>
      <c r="AQ113" s="71" t="str">
        <f>IFERROR(__xludf.DUMMYFUNCTION("""COMPUTED_VALUE""")," REF")</f>
        <v>REF</v>
      </c>
      <c r="AR113" s="71" t="str">
        <f>IFERROR(__xludf.DUMMYFUNCTION("""COMPUTED_VALUE""")," BANDA DE HULE A-28 (BLACKGOLD)")</f>
        <v>BANDA DE HULE A-28 (BLACKGOLD)</v>
      </c>
      <c r="AS113" s="71" t="str">
        <f>IFERROR(__xludf.DUMMYFUNCTION("""COMPUTED_VALUE""")," BANDA DE HULE A-28 (BLACKGOLD)")</f>
        <v>BANDA DE HULE A-28 (BLACKGOLD)</v>
      </c>
      <c r="AT113" s="71">
        <f>IFERROR(__xludf.DUMMYFUNCTION("""COMPUTED_VALUE"""),30.0)</f>
        <v>30</v>
      </c>
      <c r="AU113" s="71"/>
      <c r="AV113" s="71"/>
      <c r="AW113" s="71"/>
      <c r="AX113" s="71"/>
      <c r="AY113" s="71">
        <f>IFERROR(__xludf.DUMMYFUNCTION("""COMPUTED_VALUE"""),44.0)</f>
        <v>44</v>
      </c>
      <c r="AZ113" s="71">
        <f>IFERROR(__xludf.DUMMYFUNCTION("""COMPUTED_VALUE"""),55.0)</f>
        <v>55</v>
      </c>
      <c r="BA113" s="71">
        <f>IFERROR(__xludf.DUMMYFUNCTION("""COMPUTED_VALUE"""),59.400000000000006)</f>
        <v>59.4</v>
      </c>
      <c r="BB113" s="71">
        <f>IFERROR(__xludf.DUMMYFUNCTION("""COMPUTED_VALUE"""),59.400000000000006)</f>
        <v>59.4</v>
      </c>
      <c r="BC113" s="71">
        <f>IFERROR(__xludf.DUMMYFUNCTION("""COMPUTED_VALUE"""),67.0)</f>
        <v>67</v>
      </c>
      <c r="BD113" s="71">
        <f>IFERROR(__xludf.DUMMYFUNCTION("""COMPUTED_VALUE"""),70.0)</f>
        <v>70</v>
      </c>
      <c r="BE113" s="71">
        <f>IFERROR(__xludf.DUMMYFUNCTION("""COMPUTED_VALUE"""),11.200000000000001)</f>
        <v>11.2</v>
      </c>
      <c r="BF113" s="71">
        <f>IFERROR(__xludf.DUMMYFUNCTION("""COMPUTED_VALUE"""),81.2)</f>
        <v>81.2</v>
      </c>
      <c r="BG113" s="71">
        <f>IFERROR(__xludf.DUMMYFUNCTION("""COMPUTED_VALUE"""),0.04477611940298507)</f>
        <v>0.0447761194</v>
      </c>
      <c r="BH113" s="71">
        <f>IFERROR(__xludf.DUMMYFUNCTION("""COMPUTED_VALUE"""),66.5)</f>
        <v>66.5</v>
      </c>
      <c r="BI113" s="71">
        <f>IFERROR(__xludf.DUMMYFUNCTION("""COMPUTED_VALUE"""),10.64)</f>
        <v>10.64</v>
      </c>
      <c r="BJ113" s="71">
        <f>IFERROR(__xludf.DUMMYFUNCTION("""COMPUTED_VALUE"""),77.14)</f>
        <v>77.14</v>
      </c>
      <c r="BK113" s="71">
        <f>IFERROR(__xludf.DUMMYFUNCTION("""COMPUTED_VALUE"""),63.0)</f>
        <v>63</v>
      </c>
      <c r="BL113" s="71">
        <f>IFERROR(__xludf.DUMMYFUNCTION("""COMPUTED_VALUE"""),10.08)</f>
        <v>10.08</v>
      </c>
      <c r="BM113" s="71">
        <f>IFERROR(__xludf.DUMMYFUNCTION("""COMPUTED_VALUE"""),73.08)</f>
        <v>73.08</v>
      </c>
      <c r="BN113" s="71">
        <f>IFERROR(__xludf.DUMMYFUNCTION("""COMPUTED_VALUE"""),59.5)</f>
        <v>59.5</v>
      </c>
      <c r="BO113" s="71">
        <f>IFERROR(__xludf.DUMMYFUNCTION("""COMPUTED_VALUE"""),9.52)</f>
        <v>9.52</v>
      </c>
      <c r="BP113" s="71">
        <f>IFERROR(__xludf.DUMMYFUNCTION("""COMPUTED_VALUE"""),69.02)</f>
        <v>69.02</v>
      </c>
      <c r="BQ113" s="71">
        <f>IFERROR(__xludf.DUMMYFUNCTION("""COMPUTED_VALUE"""),58.099999999999994)</f>
        <v>58.1</v>
      </c>
      <c r="BR113" s="71">
        <f>IFERROR(__xludf.DUMMYFUNCTION("""COMPUTED_VALUE"""),9.296)</f>
        <v>9.296</v>
      </c>
      <c r="BS113" s="71">
        <f>IFERROR(__xludf.DUMMYFUNCTION("""COMPUTED_VALUE"""),67.39599999999999)</f>
        <v>67.396</v>
      </c>
      <c r="BT113" s="71">
        <f>IFERROR(__xludf.DUMMYFUNCTION("""COMPUTED_VALUE"""),56.0)</f>
        <v>56</v>
      </c>
      <c r="BU113" s="71">
        <f>IFERROR(__xludf.DUMMYFUNCTION("""COMPUTED_VALUE"""),8.96)</f>
        <v>8.96</v>
      </c>
      <c r="BV113" s="71">
        <f>IFERROR(__xludf.DUMMYFUNCTION("""COMPUTED_VALUE"""),64.96000000000001)</f>
        <v>64.96</v>
      </c>
    </row>
    <row r="114">
      <c r="A114" s="53">
        <v>1.0</v>
      </c>
      <c r="B114" s="72"/>
      <c r="C114" s="73" t="s">
        <v>12</v>
      </c>
      <c r="D114" s="74" t="s">
        <v>327</v>
      </c>
      <c r="E114" s="54" t="s">
        <v>38</v>
      </c>
      <c r="F114" s="54" t="s">
        <v>42</v>
      </c>
      <c r="G114" s="54" t="s">
        <v>328</v>
      </c>
      <c r="H114" s="54" t="s">
        <v>328</v>
      </c>
      <c r="I114" s="54">
        <f t="shared" si="1"/>
        <v>23</v>
      </c>
      <c r="J114" s="56"/>
      <c r="K114" s="75"/>
      <c r="L114" s="76"/>
      <c r="M114" s="59"/>
      <c r="N114" s="60">
        <v>130.0</v>
      </c>
      <c r="O114" s="61">
        <v>140.0</v>
      </c>
      <c r="P114" s="62">
        <v>151.20000000000002</v>
      </c>
      <c r="Q114" s="63">
        <v>151.20000000000002</v>
      </c>
      <c r="R114" s="64">
        <v>174.0</v>
      </c>
      <c r="S114" s="111">
        <v>183.0</v>
      </c>
      <c r="T114" s="65">
        <f t="shared" si="2"/>
        <v>29.28</v>
      </c>
      <c r="U114" s="65">
        <f t="shared" si="3"/>
        <v>212.28</v>
      </c>
      <c r="V114" s="66">
        <f t="shared" si="4"/>
        <v>0.05172413793</v>
      </c>
      <c r="W114" s="67">
        <f t="shared" si="5"/>
        <v>173.85</v>
      </c>
      <c r="X114" s="67">
        <f t="shared" si="6"/>
        <v>27.816</v>
      </c>
      <c r="Y114" s="67">
        <f t="shared" si="7"/>
        <v>201.666</v>
      </c>
      <c r="Z114" s="67">
        <f t="shared" si="8"/>
        <v>164.7</v>
      </c>
      <c r="AA114" s="67">
        <f t="shared" si="9"/>
        <v>26.352</v>
      </c>
      <c r="AB114" s="67">
        <f t="shared" si="10"/>
        <v>191.052</v>
      </c>
      <c r="AC114" s="67">
        <f t="shared" si="11"/>
        <v>155.55</v>
      </c>
      <c r="AD114" s="67">
        <f t="shared" si="12"/>
        <v>24.888</v>
      </c>
      <c r="AE114" s="67">
        <f t="shared" si="13"/>
        <v>180.438</v>
      </c>
      <c r="AF114" s="67">
        <f t="shared" si="14"/>
        <v>151.89</v>
      </c>
      <c r="AG114" s="67">
        <f t="shared" si="15"/>
        <v>24.3024</v>
      </c>
      <c r="AH114" s="67">
        <f t="shared" si="16"/>
        <v>176.1924</v>
      </c>
      <c r="AI114" s="67">
        <f t="shared" si="17"/>
        <v>146.4</v>
      </c>
      <c r="AJ114" s="68">
        <f t="shared" si="20"/>
        <v>23.424</v>
      </c>
      <c r="AK114" s="68">
        <f t="shared" si="21"/>
        <v>169.824</v>
      </c>
      <c r="AL114" s="70">
        <f>IFERROR(__xludf.DUMMYFUNCTION("""COMPUTED_VALUE"""),1.0)</f>
        <v>1</v>
      </c>
      <c r="AM114" s="70"/>
      <c r="AN114" s="71" t="str">
        <f>IFERROR(__xludf.DUMMYFUNCTION("""COMPUTED_VALUE""")," C")</f>
        <v>C</v>
      </c>
      <c r="AO114" s="71" t="str">
        <f>IFERROR(__xludf.DUMMYFUNCTION("""COMPUTED_VALUE""")," BH36")</f>
        <v>BH36</v>
      </c>
      <c r="AP114" s="71" t="str">
        <f>IFERROR(__xludf.DUMMYFUNCTION("""COMPUTED_VALUE""")," PZA")</f>
        <v>PZA</v>
      </c>
      <c r="AQ114" s="71" t="str">
        <f>IFERROR(__xludf.DUMMYFUNCTION("""COMPUTED_VALUE""")," REF")</f>
        <v>REF</v>
      </c>
      <c r="AR114" s="71" t="str">
        <f>IFERROR(__xludf.DUMMYFUNCTION("""COMPUTED_VALUE""")," BANDA DE HULE A-28 (GATES)")</f>
        <v>BANDA DE HULE A-28 (GATES)</v>
      </c>
      <c r="AS114" s="71" t="str">
        <f>IFERROR(__xludf.DUMMYFUNCTION("""COMPUTED_VALUE""")," BANDA DE HULE A-28 (GATES)")</f>
        <v>BANDA DE HULE A-28 (GATES)</v>
      </c>
      <c r="AT114" s="71">
        <f>IFERROR(__xludf.DUMMYFUNCTION("""COMPUTED_VALUE"""),26.0)</f>
        <v>26</v>
      </c>
      <c r="AU114" s="71"/>
      <c r="AV114" s="71"/>
      <c r="AW114" s="71"/>
      <c r="AX114" s="71"/>
      <c r="AY114" s="71">
        <f>IFERROR(__xludf.DUMMYFUNCTION("""COMPUTED_VALUE"""),103.0)</f>
        <v>103</v>
      </c>
      <c r="AZ114" s="71">
        <f>IFERROR(__xludf.DUMMYFUNCTION("""COMPUTED_VALUE"""),111.0)</f>
        <v>111</v>
      </c>
      <c r="BA114" s="71">
        <f>IFERROR(__xludf.DUMMYFUNCTION("""COMPUTED_VALUE"""),119.88000000000001)</f>
        <v>119.88</v>
      </c>
      <c r="BB114" s="71">
        <f>IFERROR(__xludf.DUMMYFUNCTION("""COMPUTED_VALUE"""),119.88000000000001)</f>
        <v>119.88</v>
      </c>
      <c r="BC114" s="71">
        <f>IFERROR(__xludf.DUMMYFUNCTION("""COMPUTED_VALUE"""),135.0)</f>
        <v>135</v>
      </c>
      <c r="BD114" s="71">
        <f>IFERROR(__xludf.DUMMYFUNCTION("""COMPUTED_VALUE"""),142.0)</f>
        <v>142</v>
      </c>
      <c r="BE114" s="71">
        <f>IFERROR(__xludf.DUMMYFUNCTION("""COMPUTED_VALUE"""),22.72)</f>
        <v>22.72</v>
      </c>
      <c r="BF114" s="71">
        <f>IFERROR(__xludf.DUMMYFUNCTION("""COMPUTED_VALUE"""),164.72)</f>
        <v>164.72</v>
      </c>
      <c r="BG114" s="71">
        <f>IFERROR(__xludf.DUMMYFUNCTION("""COMPUTED_VALUE"""),0.05185185185185185)</f>
        <v>0.05185185185</v>
      </c>
      <c r="BH114" s="71">
        <f>IFERROR(__xludf.DUMMYFUNCTION("""COMPUTED_VALUE"""),134.9)</f>
        <v>134.9</v>
      </c>
      <c r="BI114" s="71">
        <f>IFERROR(__xludf.DUMMYFUNCTION("""COMPUTED_VALUE"""),21.584)</f>
        <v>21.584</v>
      </c>
      <c r="BJ114" s="71">
        <f>IFERROR(__xludf.DUMMYFUNCTION("""COMPUTED_VALUE"""),156.484)</f>
        <v>156.484</v>
      </c>
      <c r="BK114" s="71">
        <f>IFERROR(__xludf.DUMMYFUNCTION("""COMPUTED_VALUE"""),127.8)</f>
        <v>127.8</v>
      </c>
      <c r="BL114" s="71">
        <f>IFERROR(__xludf.DUMMYFUNCTION("""COMPUTED_VALUE"""),20.448)</f>
        <v>20.448</v>
      </c>
      <c r="BM114" s="71">
        <f>IFERROR(__xludf.DUMMYFUNCTION("""COMPUTED_VALUE"""),148.248)</f>
        <v>148.248</v>
      </c>
      <c r="BN114" s="71">
        <f>IFERROR(__xludf.DUMMYFUNCTION("""COMPUTED_VALUE"""),120.7)</f>
        <v>120.7</v>
      </c>
      <c r="BO114" s="71">
        <f>IFERROR(__xludf.DUMMYFUNCTION("""COMPUTED_VALUE"""),19.312)</f>
        <v>19.312</v>
      </c>
      <c r="BP114" s="71">
        <f>IFERROR(__xludf.DUMMYFUNCTION("""COMPUTED_VALUE"""),140.012)</f>
        <v>140.012</v>
      </c>
      <c r="BQ114" s="71">
        <f>IFERROR(__xludf.DUMMYFUNCTION("""COMPUTED_VALUE"""),117.86)</f>
        <v>117.86</v>
      </c>
      <c r="BR114" s="71">
        <f>IFERROR(__xludf.DUMMYFUNCTION("""COMPUTED_VALUE"""),18.8576)</f>
        <v>18.8576</v>
      </c>
      <c r="BS114" s="71">
        <f>IFERROR(__xludf.DUMMYFUNCTION("""COMPUTED_VALUE"""),136.7176)</f>
        <v>136.7176</v>
      </c>
      <c r="BT114" s="71">
        <f>IFERROR(__xludf.DUMMYFUNCTION("""COMPUTED_VALUE"""),113.60000000000001)</f>
        <v>113.6</v>
      </c>
      <c r="BU114" s="71">
        <f>IFERROR(__xludf.DUMMYFUNCTION("""COMPUTED_VALUE"""),18.176000000000002)</f>
        <v>18.176</v>
      </c>
      <c r="BV114" s="71">
        <f>IFERROR(__xludf.DUMMYFUNCTION("""COMPUTED_VALUE"""),131.776)</f>
        <v>131.776</v>
      </c>
    </row>
    <row r="115">
      <c r="A115" s="53">
        <v>1.0</v>
      </c>
      <c r="B115" s="53"/>
      <c r="C115" s="53" t="s">
        <v>12</v>
      </c>
      <c r="D115" s="53" t="s">
        <v>329</v>
      </c>
      <c r="E115" s="54" t="s">
        <v>38</v>
      </c>
      <c r="F115" s="54" t="s">
        <v>42</v>
      </c>
      <c r="G115" s="55" t="s">
        <v>330</v>
      </c>
      <c r="H115" s="55" t="s">
        <v>330</v>
      </c>
      <c r="I115" s="54">
        <f t="shared" si="1"/>
        <v>26</v>
      </c>
      <c r="J115" s="56"/>
      <c r="K115" s="57"/>
      <c r="L115" s="76"/>
      <c r="M115" s="59"/>
      <c r="N115" s="79">
        <v>1131.0</v>
      </c>
      <c r="O115" s="61">
        <v>1221.0</v>
      </c>
      <c r="P115" s="63">
        <v>1318.68</v>
      </c>
      <c r="Q115" s="63">
        <v>1318.68</v>
      </c>
      <c r="R115" s="64">
        <v>1425.0</v>
      </c>
      <c r="S115" s="111">
        <v>1496.0</v>
      </c>
      <c r="T115" s="65">
        <f t="shared" si="2"/>
        <v>239.36</v>
      </c>
      <c r="U115" s="65">
        <f t="shared" si="3"/>
        <v>1735.36</v>
      </c>
      <c r="V115" s="66">
        <f t="shared" si="4"/>
        <v>0.0498245614</v>
      </c>
      <c r="W115" s="67">
        <f t="shared" si="5"/>
        <v>1421.2</v>
      </c>
      <c r="X115" s="67">
        <f t="shared" si="6"/>
        <v>227.392</v>
      </c>
      <c r="Y115" s="67">
        <f t="shared" si="7"/>
        <v>1648.592</v>
      </c>
      <c r="Z115" s="67">
        <f t="shared" si="8"/>
        <v>1346.4</v>
      </c>
      <c r="AA115" s="67">
        <f t="shared" si="9"/>
        <v>215.424</v>
      </c>
      <c r="AB115" s="67">
        <f t="shared" si="10"/>
        <v>1561.824</v>
      </c>
      <c r="AC115" s="67">
        <f t="shared" si="11"/>
        <v>1271.6</v>
      </c>
      <c r="AD115" s="67">
        <f t="shared" si="12"/>
        <v>203.456</v>
      </c>
      <c r="AE115" s="67">
        <f t="shared" si="13"/>
        <v>1475.056</v>
      </c>
      <c r="AF115" s="67">
        <f t="shared" si="14"/>
        <v>1241.68</v>
      </c>
      <c r="AG115" s="67">
        <f t="shared" si="15"/>
        <v>198.6688</v>
      </c>
      <c r="AH115" s="67">
        <f t="shared" si="16"/>
        <v>1440.3488</v>
      </c>
      <c r="AI115" s="67">
        <f t="shared" si="17"/>
        <v>1196.8</v>
      </c>
      <c r="AJ115" s="68">
        <f t="shared" si="20"/>
        <v>191.488</v>
      </c>
      <c r="AK115" s="68">
        <f t="shared" si="21"/>
        <v>1388.288</v>
      </c>
      <c r="AL115" s="70">
        <f>IFERROR(__xludf.DUMMYFUNCTION("""COMPUTED_VALUE"""),1.0)</f>
        <v>1</v>
      </c>
      <c r="AM115" s="70"/>
      <c r="AN115" s="71" t="str">
        <f>IFERROR(__xludf.DUMMYFUNCTION("""COMPUTED_VALUE""")," C")</f>
        <v>C</v>
      </c>
      <c r="AO115" s="71" t="str">
        <f>IFERROR(__xludf.DUMMYFUNCTION("""COMPUTED_VALUE""")," BH12")</f>
        <v>BH12</v>
      </c>
      <c r="AP115" s="71" t="str">
        <f>IFERROR(__xludf.DUMMYFUNCTION("""COMPUTED_VALUE""")," PZA")</f>
        <v>PZA</v>
      </c>
      <c r="AQ115" s="71" t="str">
        <f>IFERROR(__xludf.DUMMYFUNCTION("""COMPUTED_VALUE""")," REF")</f>
        <v>REF</v>
      </c>
      <c r="AR115" s="71" t="str">
        <f>IFERROR(__xludf.DUMMYFUNCTION("""COMPUTED_VALUE""")," BANDA DE HULE A-29 (BLACKGOLD)")</f>
        <v>BANDA DE HULE A-29 (BLACKGOLD)</v>
      </c>
      <c r="AS115" s="71" t="str">
        <f>IFERROR(__xludf.DUMMYFUNCTION("""COMPUTED_VALUE""")," BANDA DE HULE A-29 (BLACKGOLD)")</f>
        <v>BANDA DE HULE A-29 (BLACKGOLD)</v>
      </c>
      <c r="AT115" s="71">
        <f>IFERROR(__xludf.DUMMYFUNCTION("""COMPUTED_VALUE"""),30.0)</f>
        <v>30</v>
      </c>
      <c r="AU115" s="71"/>
      <c r="AV115" s="71"/>
      <c r="AW115" s="71"/>
      <c r="AX115" s="71"/>
      <c r="AY115" s="71">
        <f>IFERROR(__xludf.DUMMYFUNCTION("""COMPUTED_VALUE"""),49.0)</f>
        <v>49</v>
      </c>
      <c r="AZ115" s="71">
        <f>IFERROR(__xludf.DUMMYFUNCTION("""COMPUTED_VALUE"""),55.0)</f>
        <v>55</v>
      </c>
      <c r="BA115" s="71">
        <f>IFERROR(__xludf.DUMMYFUNCTION("""COMPUTED_VALUE"""),59.400000000000006)</f>
        <v>59.4</v>
      </c>
      <c r="BB115" s="71">
        <f>IFERROR(__xludf.DUMMYFUNCTION("""COMPUTED_VALUE"""),59.400000000000006)</f>
        <v>59.4</v>
      </c>
      <c r="BC115" s="71">
        <f>IFERROR(__xludf.DUMMYFUNCTION("""COMPUTED_VALUE"""),67.0)</f>
        <v>67</v>
      </c>
      <c r="BD115" s="71">
        <f>IFERROR(__xludf.DUMMYFUNCTION("""COMPUTED_VALUE"""),70.0)</f>
        <v>70</v>
      </c>
      <c r="BE115" s="71">
        <f>IFERROR(__xludf.DUMMYFUNCTION("""COMPUTED_VALUE"""),11.200000000000001)</f>
        <v>11.2</v>
      </c>
      <c r="BF115" s="71">
        <f>IFERROR(__xludf.DUMMYFUNCTION("""COMPUTED_VALUE"""),81.2)</f>
        <v>81.2</v>
      </c>
      <c r="BG115" s="71">
        <f>IFERROR(__xludf.DUMMYFUNCTION("""COMPUTED_VALUE"""),0.04477611940298507)</f>
        <v>0.0447761194</v>
      </c>
      <c r="BH115" s="71">
        <f>IFERROR(__xludf.DUMMYFUNCTION("""COMPUTED_VALUE"""),66.5)</f>
        <v>66.5</v>
      </c>
      <c r="BI115" s="71">
        <f>IFERROR(__xludf.DUMMYFUNCTION("""COMPUTED_VALUE"""),10.64)</f>
        <v>10.64</v>
      </c>
      <c r="BJ115" s="71">
        <f>IFERROR(__xludf.DUMMYFUNCTION("""COMPUTED_VALUE"""),77.14)</f>
        <v>77.14</v>
      </c>
      <c r="BK115" s="71">
        <f>IFERROR(__xludf.DUMMYFUNCTION("""COMPUTED_VALUE"""),63.0)</f>
        <v>63</v>
      </c>
      <c r="BL115" s="71">
        <f>IFERROR(__xludf.DUMMYFUNCTION("""COMPUTED_VALUE"""),10.08)</f>
        <v>10.08</v>
      </c>
      <c r="BM115" s="71">
        <f>IFERROR(__xludf.DUMMYFUNCTION("""COMPUTED_VALUE"""),73.08)</f>
        <v>73.08</v>
      </c>
      <c r="BN115" s="71">
        <f>IFERROR(__xludf.DUMMYFUNCTION("""COMPUTED_VALUE"""),59.5)</f>
        <v>59.5</v>
      </c>
      <c r="BO115" s="71">
        <f>IFERROR(__xludf.DUMMYFUNCTION("""COMPUTED_VALUE"""),9.52)</f>
        <v>9.52</v>
      </c>
      <c r="BP115" s="71">
        <f>IFERROR(__xludf.DUMMYFUNCTION("""COMPUTED_VALUE"""),69.02)</f>
        <v>69.02</v>
      </c>
      <c r="BQ115" s="71">
        <f>IFERROR(__xludf.DUMMYFUNCTION("""COMPUTED_VALUE"""),58.099999999999994)</f>
        <v>58.1</v>
      </c>
      <c r="BR115" s="71">
        <f>IFERROR(__xludf.DUMMYFUNCTION("""COMPUTED_VALUE"""),9.296)</f>
        <v>9.296</v>
      </c>
      <c r="BS115" s="71">
        <f>IFERROR(__xludf.DUMMYFUNCTION("""COMPUTED_VALUE"""),67.39599999999999)</f>
        <v>67.396</v>
      </c>
      <c r="BT115" s="71">
        <f>IFERROR(__xludf.DUMMYFUNCTION("""COMPUTED_VALUE"""),56.0)</f>
        <v>56</v>
      </c>
      <c r="BU115" s="71">
        <f>IFERROR(__xludf.DUMMYFUNCTION("""COMPUTED_VALUE"""),8.96)</f>
        <v>8.96</v>
      </c>
      <c r="BV115" s="71">
        <f>IFERROR(__xludf.DUMMYFUNCTION("""COMPUTED_VALUE"""),64.96000000000001)</f>
        <v>64.96</v>
      </c>
    </row>
    <row r="116">
      <c r="A116" s="53">
        <v>1.0</v>
      </c>
      <c r="B116" s="72"/>
      <c r="C116" s="73" t="s">
        <v>12</v>
      </c>
      <c r="D116" s="53" t="s">
        <v>331</v>
      </c>
      <c r="E116" s="54" t="s">
        <v>38</v>
      </c>
      <c r="F116" s="54" t="s">
        <v>42</v>
      </c>
      <c r="G116" s="54" t="s">
        <v>332</v>
      </c>
      <c r="H116" s="54" t="s">
        <v>332</v>
      </c>
      <c r="I116" s="54">
        <f t="shared" si="1"/>
        <v>21</v>
      </c>
      <c r="J116" s="56"/>
      <c r="K116" s="75"/>
      <c r="L116" s="77"/>
      <c r="M116" s="59"/>
      <c r="N116" s="60"/>
      <c r="O116" s="61">
        <v>125.0</v>
      </c>
      <c r="P116" s="62">
        <v>135.0</v>
      </c>
      <c r="Q116" s="63">
        <v>135.0</v>
      </c>
      <c r="R116" s="64">
        <v>142.0</v>
      </c>
      <c r="S116" s="111">
        <v>149.0</v>
      </c>
      <c r="T116" s="65">
        <f t="shared" si="2"/>
        <v>23.84</v>
      </c>
      <c r="U116" s="65">
        <f t="shared" si="3"/>
        <v>172.84</v>
      </c>
      <c r="V116" s="66">
        <f t="shared" si="4"/>
        <v>0.04929577465</v>
      </c>
      <c r="W116" s="67">
        <f t="shared" si="5"/>
        <v>141.55</v>
      </c>
      <c r="X116" s="67">
        <f t="shared" si="6"/>
        <v>22.648</v>
      </c>
      <c r="Y116" s="67">
        <f t="shared" si="7"/>
        <v>164.198</v>
      </c>
      <c r="Z116" s="67">
        <f t="shared" si="8"/>
        <v>134.1</v>
      </c>
      <c r="AA116" s="67">
        <f t="shared" si="9"/>
        <v>21.456</v>
      </c>
      <c r="AB116" s="67">
        <f t="shared" si="10"/>
        <v>155.556</v>
      </c>
      <c r="AC116" s="67">
        <f t="shared" si="11"/>
        <v>126.65</v>
      </c>
      <c r="AD116" s="67">
        <f t="shared" si="12"/>
        <v>20.264</v>
      </c>
      <c r="AE116" s="67">
        <f t="shared" si="13"/>
        <v>146.914</v>
      </c>
      <c r="AF116" s="67">
        <f t="shared" si="14"/>
        <v>123.67</v>
      </c>
      <c r="AG116" s="67">
        <f t="shared" si="15"/>
        <v>19.7872</v>
      </c>
      <c r="AH116" s="67">
        <f t="shared" si="16"/>
        <v>143.4572</v>
      </c>
      <c r="AI116" s="67">
        <f t="shared" si="17"/>
        <v>119.2</v>
      </c>
      <c r="AJ116" s="68">
        <f t="shared" si="20"/>
        <v>19.072</v>
      </c>
      <c r="AK116" s="68">
        <f t="shared" si="21"/>
        <v>138.272</v>
      </c>
      <c r="AL116" s="70">
        <f>IFERROR(__xludf.DUMMYFUNCTION("""COMPUTED_VALUE"""),1.0)</f>
        <v>1</v>
      </c>
      <c r="AM116" s="70"/>
      <c r="AN116" s="71" t="str">
        <f>IFERROR(__xludf.DUMMYFUNCTION("""COMPUTED_VALUE""")," C")</f>
        <v>C</v>
      </c>
      <c r="AO116" s="71" t="str">
        <f>IFERROR(__xludf.DUMMYFUNCTION("""COMPUTED_VALUE""")," BH37")</f>
        <v>BH37</v>
      </c>
      <c r="AP116" s="71" t="str">
        <f>IFERROR(__xludf.DUMMYFUNCTION("""COMPUTED_VALUE""")," PZA")</f>
        <v>PZA</v>
      </c>
      <c r="AQ116" s="71" t="str">
        <f>IFERROR(__xludf.DUMMYFUNCTION("""COMPUTED_VALUE""")," REF")</f>
        <v>REF</v>
      </c>
      <c r="AR116" s="71" t="str">
        <f>IFERROR(__xludf.DUMMYFUNCTION("""COMPUTED_VALUE""")," BANDA DE HULE A-29 (GATES)")</f>
        <v>BANDA DE HULE A-29 (GATES)</v>
      </c>
      <c r="AS116" s="71" t="str">
        <f>IFERROR(__xludf.DUMMYFUNCTION("""COMPUTED_VALUE""")," BANDA DE HULE A-29 (GATES)")</f>
        <v>BANDA DE HULE A-29 (GATES)</v>
      </c>
      <c r="AT116" s="71">
        <f>IFERROR(__xludf.DUMMYFUNCTION("""COMPUTED_VALUE"""),26.0)</f>
        <v>26</v>
      </c>
      <c r="AU116" s="71"/>
      <c r="AV116" s="71"/>
      <c r="AW116" s="71"/>
      <c r="AX116" s="71"/>
      <c r="AY116" s="71">
        <f>IFERROR(__xludf.DUMMYFUNCTION("""COMPUTED_VALUE"""),113.0)</f>
        <v>113</v>
      </c>
      <c r="AZ116" s="71">
        <f>IFERROR(__xludf.DUMMYFUNCTION("""COMPUTED_VALUE"""),122.0)</f>
        <v>122</v>
      </c>
      <c r="BA116" s="71">
        <f>IFERROR(__xludf.DUMMYFUNCTION("""COMPUTED_VALUE"""),131.76000000000002)</f>
        <v>131.76</v>
      </c>
      <c r="BB116" s="71">
        <f>IFERROR(__xludf.DUMMYFUNCTION("""COMPUTED_VALUE"""),131.76000000000002)</f>
        <v>131.76</v>
      </c>
      <c r="BC116" s="71">
        <f>IFERROR(__xludf.DUMMYFUNCTION("""COMPUTED_VALUE"""),147.0)</f>
        <v>147</v>
      </c>
      <c r="BD116" s="71">
        <f>IFERROR(__xludf.DUMMYFUNCTION("""COMPUTED_VALUE"""),144.0)</f>
        <v>144</v>
      </c>
      <c r="BE116" s="71">
        <f>IFERROR(__xludf.DUMMYFUNCTION("""COMPUTED_VALUE"""),23.04)</f>
        <v>23.04</v>
      </c>
      <c r="BF116" s="71">
        <f>IFERROR(__xludf.DUMMYFUNCTION("""COMPUTED_VALUE"""),167.04)</f>
        <v>167.04</v>
      </c>
      <c r="BG116" s="71">
        <f>IFERROR(__xludf.DUMMYFUNCTION("""COMPUTED_VALUE"""),-0.02040816326530612)</f>
        <v>-0.02040816327</v>
      </c>
      <c r="BH116" s="71">
        <f>IFERROR(__xludf.DUMMYFUNCTION("""COMPUTED_VALUE"""),136.79999999999998)</f>
        <v>136.8</v>
      </c>
      <c r="BI116" s="71">
        <f>IFERROR(__xludf.DUMMYFUNCTION("""COMPUTED_VALUE"""),21.887999999999998)</f>
        <v>21.888</v>
      </c>
      <c r="BJ116" s="71">
        <f>IFERROR(__xludf.DUMMYFUNCTION("""COMPUTED_VALUE"""),158.688)</f>
        <v>158.688</v>
      </c>
      <c r="BK116" s="71">
        <f>IFERROR(__xludf.DUMMYFUNCTION("""COMPUTED_VALUE"""),129.6)</f>
        <v>129.6</v>
      </c>
      <c r="BL116" s="71">
        <f>IFERROR(__xludf.DUMMYFUNCTION("""COMPUTED_VALUE"""),20.736)</f>
        <v>20.736</v>
      </c>
      <c r="BM116" s="71">
        <f>IFERROR(__xludf.DUMMYFUNCTION("""COMPUTED_VALUE"""),150.33599999999998)</f>
        <v>150.336</v>
      </c>
      <c r="BN116" s="71">
        <f>IFERROR(__xludf.DUMMYFUNCTION("""COMPUTED_VALUE"""),122.39999999999999)</f>
        <v>122.4</v>
      </c>
      <c r="BO116" s="71">
        <f>IFERROR(__xludf.DUMMYFUNCTION("""COMPUTED_VALUE"""),19.584)</f>
        <v>19.584</v>
      </c>
      <c r="BP116" s="71">
        <f>IFERROR(__xludf.DUMMYFUNCTION("""COMPUTED_VALUE"""),141.98399999999998)</f>
        <v>141.984</v>
      </c>
      <c r="BQ116" s="71">
        <f>IFERROR(__xludf.DUMMYFUNCTION("""COMPUTED_VALUE"""),119.52)</f>
        <v>119.52</v>
      </c>
      <c r="BR116" s="71">
        <f>IFERROR(__xludf.DUMMYFUNCTION("""COMPUTED_VALUE"""),19.1232)</f>
        <v>19.1232</v>
      </c>
      <c r="BS116" s="71">
        <f>IFERROR(__xludf.DUMMYFUNCTION("""COMPUTED_VALUE"""),138.6432)</f>
        <v>138.6432</v>
      </c>
      <c r="BT116" s="71">
        <f>IFERROR(__xludf.DUMMYFUNCTION("""COMPUTED_VALUE"""),115.2)</f>
        <v>115.2</v>
      </c>
      <c r="BU116" s="71">
        <f>IFERROR(__xludf.DUMMYFUNCTION("""COMPUTED_VALUE"""),18.432000000000002)</f>
        <v>18.432</v>
      </c>
      <c r="BV116" s="71">
        <f>IFERROR(__xludf.DUMMYFUNCTION("""COMPUTED_VALUE"""),133.632)</f>
        <v>133.632</v>
      </c>
    </row>
    <row r="117">
      <c r="A117" s="53">
        <v>1.0</v>
      </c>
      <c r="B117" s="72"/>
      <c r="C117" s="73" t="s">
        <v>12</v>
      </c>
      <c r="D117" s="74" t="s">
        <v>333</v>
      </c>
      <c r="E117" s="54" t="s">
        <v>38</v>
      </c>
      <c r="F117" s="54" t="s">
        <v>42</v>
      </c>
      <c r="G117" s="54" t="s">
        <v>334</v>
      </c>
      <c r="H117" s="54" t="s">
        <v>334</v>
      </c>
      <c r="I117" s="54">
        <f t="shared" si="1"/>
        <v>20</v>
      </c>
      <c r="J117" s="56"/>
      <c r="K117" s="75"/>
      <c r="L117" s="76"/>
      <c r="M117" s="59"/>
      <c r="N117" s="60">
        <v>155.0</v>
      </c>
      <c r="O117" s="61">
        <v>167.0</v>
      </c>
      <c r="P117" s="62">
        <v>180.36</v>
      </c>
      <c r="Q117" s="63">
        <v>180.36</v>
      </c>
      <c r="R117" s="64">
        <v>202.0</v>
      </c>
      <c r="S117" s="111">
        <v>212.0</v>
      </c>
      <c r="T117" s="65">
        <f t="shared" si="2"/>
        <v>33.92</v>
      </c>
      <c r="U117" s="65">
        <f t="shared" si="3"/>
        <v>245.92</v>
      </c>
      <c r="V117" s="66">
        <f t="shared" si="4"/>
        <v>0.0495049505</v>
      </c>
      <c r="W117" s="67">
        <f t="shared" si="5"/>
        <v>201.4</v>
      </c>
      <c r="X117" s="67">
        <f t="shared" si="6"/>
        <v>32.224</v>
      </c>
      <c r="Y117" s="67">
        <f t="shared" si="7"/>
        <v>233.624</v>
      </c>
      <c r="Z117" s="67">
        <f t="shared" si="8"/>
        <v>190.8</v>
      </c>
      <c r="AA117" s="67">
        <f t="shared" si="9"/>
        <v>30.528</v>
      </c>
      <c r="AB117" s="67">
        <f t="shared" si="10"/>
        <v>221.328</v>
      </c>
      <c r="AC117" s="67">
        <f t="shared" si="11"/>
        <v>180.2</v>
      </c>
      <c r="AD117" s="67">
        <f t="shared" si="12"/>
        <v>28.832</v>
      </c>
      <c r="AE117" s="67">
        <f t="shared" si="13"/>
        <v>209.032</v>
      </c>
      <c r="AF117" s="67">
        <f t="shared" si="14"/>
        <v>175.96</v>
      </c>
      <c r="AG117" s="67">
        <f t="shared" si="15"/>
        <v>28.1536</v>
      </c>
      <c r="AH117" s="67">
        <f t="shared" si="16"/>
        <v>204.1136</v>
      </c>
      <c r="AI117" s="67">
        <f t="shared" si="17"/>
        <v>169.6</v>
      </c>
      <c r="AJ117" s="68">
        <f t="shared" si="20"/>
        <v>27.136</v>
      </c>
      <c r="AK117" s="68">
        <f t="shared" si="21"/>
        <v>196.736</v>
      </c>
      <c r="AL117" s="70">
        <f>IFERROR(__xludf.DUMMYFUNCTION("""COMPUTED_VALUE"""),1.0)</f>
        <v>1</v>
      </c>
      <c r="AM117" s="70"/>
      <c r="AN117" s="71" t="str">
        <f>IFERROR(__xludf.DUMMYFUNCTION("""COMPUTED_VALUE""")," C")</f>
        <v>C</v>
      </c>
      <c r="AO117" s="71" t="str">
        <f>IFERROR(__xludf.DUMMYFUNCTION("""COMPUTED_VALUE""")," BH56")</f>
        <v>BH56</v>
      </c>
      <c r="AP117" s="71" t="str">
        <f>IFERROR(__xludf.DUMMYFUNCTION("""COMPUTED_VALUE""")," PZA")</f>
        <v>PZA</v>
      </c>
      <c r="AQ117" s="71" t="str">
        <f>IFERROR(__xludf.DUMMYFUNCTION("""COMPUTED_VALUE""")," REF")</f>
        <v>REF</v>
      </c>
      <c r="AR117" s="71" t="str">
        <f>IFERROR(__xludf.DUMMYFUNCTION("""COMPUTED_VALUE""")," BANDA DE HULE A-30 (GATES)")</f>
        <v>BANDA DE HULE A-30 (GATES)</v>
      </c>
      <c r="AS117" s="71" t="str">
        <f>IFERROR(__xludf.DUMMYFUNCTION("""COMPUTED_VALUE""")," BANDA DE HULE A-30 (GATES)")</f>
        <v>BANDA DE HULE A-30 (GATES)</v>
      </c>
      <c r="AT117" s="71">
        <f>IFERROR(__xludf.DUMMYFUNCTION("""COMPUTED_VALUE"""),26.0)</f>
        <v>26</v>
      </c>
      <c r="AU117" s="71"/>
      <c r="AV117" s="71"/>
      <c r="AW117" s="71"/>
      <c r="AX117" s="71"/>
      <c r="AY117" s="71"/>
      <c r="AZ117" s="71"/>
      <c r="BA117" s="71"/>
      <c r="BB117" s="71"/>
      <c r="BC117" s="71"/>
      <c r="BD117" s="71">
        <f>IFERROR(__xludf.DUMMYFUNCTION("""COMPUTED_VALUE"""),144.0)</f>
        <v>144</v>
      </c>
      <c r="BE117" s="71">
        <f>IFERROR(__xludf.DUMMYFUNCTION("""COMPUTED_VALUE"""),23.04)</f>
        <v>23.04</v>
      </c>
      <c r="BF117" s="71">
        <f>IFERROR(__xludf.DUMMYFUNCTION("""COMPUTED_VALUE"""),167.04)</f>
        <v>167.04</v>
      </c>
      <c r="BG117" s="71" t="str">
        <f>IFERROR(__xludf.DUMMYFUNCTION("""COMPUTED_VALUE"""),"#DIV/0!")</f>
        <v>#DIV/0!</v>
      </c>
      <c r="BH117" s="71">
        <f>IFERROR(__xludf.DUMMYFUNCTION("""COMPUTED_VALUE"""),136.79999999999998)</f>
        <v>136.8</v>
      </c>
      <c r="BI117" s="71">
        <f>IFERROR(__xludf.DUMMYFUNCTION("""COMPUTED_VALUE"""),21.887999999999998)</f>
        <v>21.888</v>
      </c>
      <c r="BJ117" s="71">
        <f>IFERROR(__xludf.DUMMYFUNCTION("""COMPUTED_VALUE"""),158.688)</f>
        <v>158.688</v>
      </c>
      <c r="BK117" s="71">
        <f>IFERROR(__xludf.DUMMYFUNCTION("""COMPUTED_VALUE"""),129.6)</f>
        <v>129.6</v>
      </c>
      <c r="BL117" s="71">
        <f>IFERROR(__xludf.DUMMYFUNCTION("""COMPUTED_VALUE"""),20.736)</f>
        <v>20.736</v>
      </c>
      <c r="BM117" s="71">
        <f>IFERROR(__xludf.DUMMYFUNCTION("""COMPUTED_VALUE"""),150.33599999999998)</f>
        <v>150.336</v>
      </c>
      <c r="BN117" s="71">
        <f>IFERROR(__xludf.DUMMYFUNCTION("""COMPUTED_VALUE"""),122.39999999999999)</f>
        <v>122.4</v>
      </c>
      <c r="BO117" s="71">
        <f>IFERROR(__xludf.DUMMYFUNCTION("""COMPUTED_VALUE"""),19.584)</f>
        <v>19.584</v>
      </c>
      <c r="BP117" s="71">
        <f>IFERROR(__xludf.DUMMYFUNCTION("""COMPUTED_VALUE"""),141.98399999999998)</f>
        <v>141.984</v>
      </c>
      <c r="BQ117" s="71">
        <f>IFERROR(__xludf.DUMMYFUNCTION("""COMPUTED_VALUE"""),119.52)</f>
        <v>119.52</v>
      </c>
      <c r="BR117" s="71">
        <f>IFERROR(__xludf.DUMMYFUNCTION("""COMPUTED_VALUE"""),19.1232)</f>
        <v>19.1232</v>
      </c>
      <c r="BS117" s="71">
        <f>IFERROR(__xludf.DUMMYFUNCTION("""COMPUTED_VALUE"""),138.6432)</f>
        <v>138.6432</v>
      </c>
      <c r="BT117" s="71">
        <f>IFERROR(__xludf.DUMMYFUNCTION("""COMPUTED_VALUE"""),115.2)</f>
        <v>115.2</v>
      </c>
      <c r="BU117" s="71">
        <f>IFERROR(__xludf.DUMMYFUNCTION("""COMPUTED_VALUE"""),18.432000000000002)</f>
        <v>18.432</v>
      </c>
      <c r="BV117" s="71">
        <f>IFERROR(__xludf.DUMMYFUNCTION("""COMPUTED_VALUE"""),133.632)</f>
        <v>133.632</v>
      </c>
    </row>
    <row r="118">
      <c r="A118" s="53">
        <v>1.0</v>
      </c>
      <c r="B118" s="72"/>
      <c r="C118" s="73" t="s">
        <v>12</v>
      </c>
      <c r="D118" s="74" t="s">
        <v>335</v>
      </c>
      <c r="E118" s="54" t="s">
        <v>38</v>
      </c>
      <c r="F118" s="54" t="s">
        <v>42</v>
      </c>
      <c r="G118" s="54" t="s">
        <v>336</v>
      </c>
      <c r="H118" s="54" t="s">
        <v>336</v>
      </c>
      <c r="I118" s="54">
        <f t="shared" si="1"/>
        <v>20</v>
      </c>
      <c r="J118" s="56"/>
      <c r="K118" s="75"/>
      <c r="L118" s="76"/>
      <c r="M118" s="59"/>
      <c r="N118" s="60">
        <v>179.0</v>
      </c>
      <c r="O118" s="61">
        <v>193.0</v>
      </c>
      <c r="P118" s="62">
        <v>208.44000000000003</v>
      </c>
      <c r="Q118" s="63">
        <v>208.44000000000003</v>
      </c>
      <c r="R118" s="64">
        <v>233.0</v>
      </c>
      <c r="S118" s="111">
        <v>245.0</v>
      </c>
      <c r="T118" s="65">
        <f t="shared" si="2"/>
        <v>39.2</v>
      </c>
      <c r="U118" s="65">
        <f t="shared" si="3"/>
        <v>284.2</v>
      </c>
      <c r="V118" s="66">
        <f t="shared" si="4"/>
        <v>0.05150214592</v>
      </c>
      <c r="W118" s="67">
        <f t="shared" si="5"/>
        <v>232.75</v>
      </c>
      <c r="X118" s="67">
        <f t="shared" si="6"/>
        <v>37.24</v>
      </c>
      <c r="Y118" s="67">
        <f t="shared" si="7"/>
        <v>269.99</v>
      </c>
      <c r="Z118" s="67">
        <f t="shared" si="8"/>
        <v>220.5</v>
      </c>
      <c r="AA118" s="67">
        <f t="shared" si="9"/>
        <v>35.28</v>
      </c>
      <c r="AB118" s="67">
        <f t="shared" si="10"/>
        <v>255.78</v>
      </c>
      <c r="AC118" s="67">
        <f t="shared" si="11"/>
        <v>208.25</v>
      </c>
      <c r="AD118" s="67">
        <f t="shared" si="12"/>
        <v>33.32</v>
      </c>
      <c r="AE118" s="67">
        <f t="shared" si="13"/>
        <v>241.57</v>
      </c>
      <c r="AF118" s="67">
        <f t="shared" si="14"/>
        <v>203.35</v>
      </c>
      <c r="AG118" s="67">
        <f t="shared" si="15"/>
        <v>32.536</v>
      </c>
      <c r="AH118" s="67">
        <f t="shared" si="16"/>
        <v>235.886</v>
      </c>
      <c r="AI118" s="67">
        <f t="shared" si="17"/>
        <v>196</v>
      </c>
      <c r="AJ118" s="68">
        <f t="shared" si="20"/>
        <v>31.36</v>
      </c>
      <c r="AK118" s="68">
        <f t="shared" si="21"/>
        <v>227.36</v>
      </c>
      <c r="AL118" s="70">
        <f>IFERROR(__xludf.DUMMYFUNCTION("""COMPUTED_VALUE"""),1.0)</f>
        <v>1</v>
      </c>
      <c r="AM118" s="70"/>
      <c r="AN118" s="71" t="str">
        <f>IFERROR(__xludf.DUMMYFUNCTION("""COMPUTED_VALUE""")," C")</f>
        <v>C</v>
      </c>
      <c r="AO118" s="71" t="str">
        <f>IFERROR(__xludf.DUMMYFUNCTION("""COMPUTED_VALUE""")," BH62")</f>
        <v>BH62</v>
      </c>
      <c r="AP118" s="71" t="str">
        <f>IFERROR(__xludf.DUMMYFUNCTION("""COMPUTED_VALUE""")," PZA")</f>
        <v>PZA</v>
      </c>
      <c r="AQ118" s="71" t="str">
        <f>IFERROR(__xludf.DUMMYFUNCTION("""COMPUTED_VALUE""")," REF")</f>
        <v>REF</v>
      </c>
      <c r="AR118" s="71" t="str">
        <f>IFERROR(__xludf.DUMMYFUNCTION("""COMPUTED_VALUE""")," BANDA DE HULE A-43 (GATES)")</f>
        <v>BANDA DE HULE A-43 (GATES)</v>
      </c>
      <c r="AS118" s="71" t="str">
        <f>IFERROR(__xludf.DUMMYFUNCTION("""COMPUTED_VALUE""")," BANDA DE HULE A-43 (GATES)")</f>
        <v>BANDA DE HULE A-43 (GATES)</v>
      </c>
      <c r="AT118" s="71">
        <f>IFERROR(__xludf.DUMMYFUNCTION("""COMPUTED_VALUE"""),26.0)</f>
        <v>26</v>
      </c>
      <c r="AU118" s="71"/>
      <c r="AV118" s="71"/>
      <c r="AW118" s="71"/>
      <c r="AX118" s="71"/>
      <c r="AY118" s="71">
        <f>IFERROR(__xludf.DUMMYFUNCTION("""COMPUTED_VALUE"""),161.0)</f>
        <v>161</v>
      </c>
      <c r="AZ118" s="71">
        <f>IFERROR(__xludf.DUMMYFUNCTION("""COMPUTED_VALUE"""),173.0)</f>
        <v>173</v>
      </c>
      <c r="BA118" s="71">
        <f>IFERROR(__xludf.DUMMYFUNCTION("""COMPUTED_VALUE"""),186.84)</f>
        <v>186.84</v>
      </c>
      <c r="BB118" s="71">
        <f>IFERROR(__xludf.DUMMYFUNCTION("""COMPUTED_VALUE"""),186.84)</f>
        <v>186.84</v>
      </c>
      <c r="BC118" s="71">
        <f>IFERROR(__xludf.DUMMYFUNCTION("""COMPUTED_VALUE"""),209.0)</f>
        <v>209</v>
      </c>
      <c r="BD118" s="71">
        <f>IFERROR(__xludf.DUMMYFUNCTION("""COMPUTED_VALUE"""),219.0)</f>
        <v>219</v>
      </c>
      <c r="BE118" s="71">
        <f>IFERROR(__xludf.DUMMYFUNCTION("""COMPUTED_VALUE"""),35.04)</f>
        <v>35.04</v>
      </c>
      <c r="BF118" s="71">
        <f>IFERROR(__xludf.DUMMYFUNCTION("""COMPUTED_VALUE"""),254.04)</f>
        <v>254.04</v>
      </c>
      <c r="BG118" s="71">
        <f>IFERROR(__xludf.DUMMYFUNCTION("""COMPUTED_VALUE"""),0.04784688995215311)</f>
        <v>0.04784688995</v>
      </c>
      <c r="BH118" s="71">
        <f>IFERROR(__xludf.DUMMYFUNCTION("""COMPUTED_VALUE"""),208.04999999999998)</f>
        <v>208.05</v>
      </c>
      <c r="BI118" s="71">
        <f>IFERROR(__xludf.DUMMYFUNCTION("""COMPUTED_VALUE"""),33.288)</f>
        <v>33.288</v>
      </c>
      <c r="BJ118" s="71">
        <f>IFERROR(__xludf.DUMMYFUNCTION("""COMPUTED_VALUE"""),241.33799999999997)</f>
        <v>241.338</v>
      </c>
      <c r="BK118" s="71">
        <f>IFERROR(__xludf.DUMMYFUNCTION("""COMPUTED_VALUE"""),197.1)</f>
        <v>197.1</v>
      </c>
      <c r="BL118" s="71">
        <f>IFERROR(__xludf.DUMMYFUNCTION("""COMPUTED_VALUE"""),31.536)</f>
        <v>31.536</v>
      </c>
      <c r="BM118" s="71">
        <f>IFERROR(__xludf.DUMMYFUNCTION("""COMPUTED_VALUE"""),228.636)</f>
        <v>228.636</v>
      </c>
      <c r="BN118" s="71">
        <f>IFERROR(__xludf.DUMMYFUNCTION("""COMPUTED_VALUE"""),186.15)</f>
        <v>186.15</v>
      </c>
      <c r="BO118" s="71">
        <f>IFERROR(__xludf.DUMMYFUNCTION("""COMPUTED_VALUE"""),29.784000000000002)</f>
        <v>29.784</v>
      </c>
      <c r="BP118" s="71">
        <f>IFERROR(__xludf.DUMMYFUNCTION("""COMPUTED_VALUE"""),215.934)</f>
        <v>215.934</v>
      </c>
      <c r="BQ118" s="71">
        <f>IFERROR(__xludf.DUMMYFUNCTION("""COMPUTED_VALUE"""),181.76999999999998)</f>
        <v>181.77</v>
      </c>
      <c r="BR118" s="71">
        <f>IFERROR(__xludf.DUMMYFUNCTION("""COMPUTED_VALUE"""),29.083199999999998)</f>
        <v>29.0832</v>
      </c>
      <c r="BS118" s="71">
        <f>IFERROR(__xludf.DUMMYFUNCTION("""COMPUTED_VALUE"""),210.8532)</f>
        <v>210.8532</v>
      </c>
      <c r="BT118" s="71">
        <f>IFERROR(__xludf.DUMMYFUNCTION("""COMPUTED_VALUE"""),175.20000000000002)</f>
        <v>175.2</v>
      </c>
      <c r="BU118" s="71">
        <f>IFERROR(__xludf.DUMMYFUNCTION("""COMPUTED_VALUE"""),28.032000000000004)</f>
        <v>28.032</v>
      </c>
      <c r="BV118" s="71">
        <f>IFERROR(__xludf.DUMMYFUNCTION("""COMPUTED_VALUE"""),203.23200000000003)</f>
        <v>203.232</v>
      </c>
    </row>
    <row r="119">
      <c r="A119" s="53">
        <v>1.0</v>
      </c>
      <c r="B119" s="72"/>
      <c r="C119" s="73" t="s">
        <v>12</v>
      </c>
      <c r="D119" s="74" t="s">
        <v>337</v>
      </c>
      <c r="E119" s="54" t="s">
        <v>38</v>
      </c>
      <c r="F119" s="54" t="s">
        <v>42</v>
      </c>
      <c r="G119" s="54" t="s">
        <v>338</v>
      </c>
      <c r="H119" s="54" t="s">
        <v>338</v>
      </c>
      <c r="I119" s="54">
        <f t="shared" si="1"/>
        <v>19</v>
      </c>
      <c r="J119" s="56"/>
      <c r="K119" s="57"/>
      <c r="L119" s="76"/>
      <c r="M119" s="59"/>
      <c r="N119" s="79">
        <v>288.0</v>
      </c>
      <c r="O119" s="61">
        <v>311.0</v>
      </c>
      <c r="P119" s="62">
        <v>335.88</v>
      </c>
      <c r="Q119" s="63">
        <v>335.88</v>
      </c>
      <c r="R119" s="64">
        <v>386.0</v>
      </c>
      <c r="S119" s="111">
        <v>405.0</v>
      </c>
      <c r="T119" s="65">
        <f t="shared" si="2"/>
        <v>64.8</v>
      </c>
      <c r="U119" s="65">
        <f t="shared" si="3"/>
        <v>469.8</v>
      </c>
      <c r="V119" s="66">
        <f t="shared" si="4"/>
        <v>0.04922279793</v>
      </c>
      <c r="W119" s="67">
        <f t="shared" si="5"/>
        <v>384.75</v>
      </c>
      <c r="X119" s="67">
        <f t="shared" si="6"/>
        <v>61.56</v>
      </c>
      <c r="Y119" s="67">
        <f t="shared" si="7"/>
        <v>446.31</v>
      </c>
      <c r="Z119" s="67">
        <f t="shared" si="8"/>
        <v>364.5</v>
      </c>
      <c r="AA119" s="67">
        <f t="shared" si="9"/>
        <v>58.32</v>
      </c>
      <c r="AB119" s="67">
        <f t="shared" si="10"/>
        <v>422.82</v>
      </c>
      <c r="AC119" s="67">
        <f t="shared" si="11"/>
        <v>344.25</v>
      </c>
      <c r="AD119" s="67">
        <f t="shared" si="12"/>
        <v>55.08</v>
      </c>
      <c r="AE119" s="67">
        <f t="shared" si="13"/>
        <v>399.33</v>
      </c>
      <c r="AF119" s="67">
        <f t="shared" si="14"/>
        <v>336.15</v>
      </c>
      <c r="AG119" s="67">
        <f t="shared" si="15"/>
        <v>53.784</v>
      </c>
      <c r="AH119" s="67">
        <f t="shared" si="16"/>
        <v>389.934</v>
      </c>
      <c r="AI119" s="67">
        <f t="shared" si="17"/>
        <v>324</v>
      </c>
      <c r="AJ119" s="68">
        <f t="shared" si="20"/>
        <v>51.84</v>
      </c>
      <c r="AK119" s="68">
        <f t="shared" si="21"/>
        <v>375.84</v>
      </c>
      <c r="AL119" s="70">
        <f>IFERROR(__xludf.DUMMYFUNCTION("""COMPUTED_VALUE"""),1.0)</f>
        <v>1</v>
      </c>
      <c r="AM119" s="70"/>
      <c r="AN119" s="71" t="str">
        <f>IFERROR(__xludf.DUMMYFUNCTION("""COMPUTED_VALUE""")," C")</f>
        <v>C</v>
      </c>
      <c r="AO119" s="71" t="str">
        <f>IFERROR(__xludf.DUMMYFUNCTION("""COMPUTED_VALUE""")," BH58")</f>
        <v>BH58</v>
      </c>
      <c r="AP119" s="71" t="str">
        <f>IFERROR(__xludf.DUMMYFUNCTION("""COMPUTED_VALUE""")," PZA")</f>
        <v>PZA</v>
      </c>
      <c r="AQ119" s="71" t="str">
        <f>IFERROR(__xludf.DUMMYFUNCTION("""COMPUTED_VALUE""")," REF")</f>
        <v>REF</v>
      </c>
      <c r="AR119" s="71" t="str">
        <f>IFERROR(__xludf.DUMMYFUNCTION("""COMPUTED_VALUE""")," BANDA DE HULE A-48 (GATES)")</f>
        <v>BANDA DE HULE A-48 (GATES)</v>
      </c>
      <c r="AS119" s="71" t="str">
        <f>IFERROR(__xludf.DUMMYFUNCTION("""COMPUTED_VALUE""")," BANDA DE HULE A-48 (GATES)")</f>
        <v>BANDA DE HULE A-48 (GATES)</v>
      </c>
      <c r="AT119" s="71">
        <f>IFERROR(__xludf.DUMMYFUNCTION("""COMPUTED_VALUE"""),26.0)</f>
        <v>26</v>
      </c>
      <c r="AU119" s="71"/>
      <c r="AV119" s="71"/>
      <c r="AW119" s="71"/>
      <c r="AX119" s="71"/>
      <c r="AY119" s="71"/>
      <c r="AZ119" s="71"/>
      <c r="BA119" s="71"/>
      <c r="BB119" s="71"/>
      <c r="BC119" s="71"/>
      <c r="BD119" s="71">
        <f>IFERROR(__xludf.DUMMYFUNCTION("""COMPUTED_VALUE"""),270.0)</f>
        <v>270</v>
      </c>
      <c r="BE119" s="71">
        <f>IFERROR(__xludf.DUMMYFUNCTION("""COMPUTED_VALUE"""),43.2)</f>
        <v>43.2</v>
      </c>
      <c r="BF119" s="71">
        <f>IFERROR(__xludf.DUMMYFUNCTION("""COMPUTED_VALUE"""),313.2)</f>
        <v>313.2</v>
      </c>
      <c r="BG119" s="71" t="str">
        <f>IFERROR(__xludf.DUMMYFUNCTION("""COMPUTED_VALUE"""),"#DIV/0!")</f>
        <v>#DIV/0!</v>
      </c>
      <c r="BH119" s="71">
        <f>IFERROR(__xludf.DUMMYFUNCTION("""COMPUTED_VALUE"""),256.5)</f>
        <v>256.5</v>
      </c>
      <c r="BI119" s="71">
        <f>IFERROR(__xludf.DUMMYFUNCTION("""COMPUTED_VALUE"""),41.04)</f>
        <v>41.04</v>
      </c>
      <c r="BJ119" s="71">
        <f>IFERROR(__xludf.DUMMYFUNCTION("""COMPUTED_VALUE"""),297.54)</f>
        <v>297.54</v>
      </c>
      <c r="BK119" s="71">
        <f>IFERROR(__xludf.DUMMYFUNCTION("""COMPUTED_VALUE"""),243.0)</f>
        <v>243</v>
      </c>
      <c r="BL119" s="71">
        <f>IFERROR(__xludf.DUMMYFUNCTION("""COMPUTED_VALUE"""),38.88)</f>
        <v>38.88</v>
      </c>
      <c r="BM119" s="71">
        <f>IFERROR(__xludf.DUMMYFUNCTION("""COMPUTED_VALUE"""),281.88)</f>
        <v>281.88</v>
      </c>
      <c r="BN119" s="71">
        <f>IFERROR(__xludf.DUMMYFUNCTION("""COMPUTED_VALUE"""),229.5)</f>
        <v>229.5</v>
      </c>
      <c r="BO119" s="71">
        <f>IFERROR(__xludf.DUMMYFUNCTION("""COMPUTED_VALUE"""),36.72)</f>
        <v>36.72</v>
      </c>
      <c r="BP119" s="71">
        <f>IFERROR(__xludf.DUMMYFUNCTION("""COMPUTED_VALUE"""),266.22)</f>
        <v>266.22</v>
      </c>
      <c r="BQ119" s="71">
        <f>IFERROR(__xludf.DUMMYFUNCTION("""COMPUTED_VALUE"""),224.1)</f>
        <v>224.1</v>
      </c>
      <c r="BR119" s="71">
        <f>IFERROR(__xludf.DUMMYFUNCTION("""COMPUTED_VALUE"""),35.856)</f>
        <v>35.856</v>
      </c>
      <c r="BS119" s="71">
        <f>IFERROR(__xludf.DUMMYFUNCTION("""COMPUTED_VALUE"""),259.956)</f>
        <v>259.956</v>
      </c>
      <c r="BT119" s="71">
        <f>IFERROR(__xludf.DUMMYFUNCTION("""COMPUTED_VALUE"""),216.0)</f>
        <v>216</v>
      </c>
      <c r="BU119" s="71">
        <f>IFERROR(__xludf.DUMMYFUNCTION("""COMPUTED_VALUE"""),34.56)</f>
        <v>34.56</v>
      </c>
      <c r="BV119" s="71">
        <f>IFERROR(__xludf.DUMMYFUNCTION("""COMPUTED_VALUE"""),250.56)</f>
        <v>250.56</v>
      </c>
    </row>
    <row r="120">
      <c r="A120" s="53">
        <v>1.0</v>
      </c>
      <c r="B120" s="72"/>
      <c r="C120" s="73" t="s">
        <v>12</v>
      </c>
      <c r="D120" s="74" t="s">
        <v>339</v>
      </c>
      <c r="E120" s="54" t="s">
        <v>38</v>
      </c>
      <c r="F120" s="54" t="s">
        <v>42</v>
      </c>
      <c r="G120" s="54" t="s">
        <v>340</v>
      </c>
      <c r="H120" s="54" t="s">
        <v>340</v>
      </c>
      <c r="I120" s="54">
        <f t="shared" si="1"/>
        <v>23</v>
      </c>
      <c r="J120" s="56"/>
      <c r="K120" s="75"/>
      <c r="L120" s="76"/>
      <c r="M120" s="59"/>
      <c r="N120" s="60">
        <v>150.0</v>
      </c>
      <c r="O120" s="61">
        <v>162.0</v>
      </c>
      <c r="P120" s="62">
        <v>174.96</v>
      </c>
      <c r="Q120" s="63">
        <v>174.96</v>
      </c>
      <c r="R120" s="64">
        <v>201.0</v>
      </c>
      <c r="S120" s="111">
        <v>211.0</v>
      </c>
      <c r="T120" s="65">
        <f t="shared" si="2"/>
        <v>33.76</v>
      </c>
      <c r="U120" s="65">
        <f t="shared" si="3"/>
        <v>244.76</v>
      </c>
      <c r="V120" s="66">
        <f t="shared" si="4"/>
        <v>0.04975124378</v>
      </c>
      <c r="W120" s="67">
        <f t="shared" si="5"/>
        <v>200.45</v>
      </c>
      <c r="X120" s="67">
        <f t="shared" si="6"/>
        <v>32.072</v>
      </c>
      <c r="Y120" s="67">
        <f t="shared" si="7"/>
        <v>232.522</v>
      </c>
      <c r="Z120" s="67">
        <f t="shared" si="8"/>
        <v>189.9</v>
      </c>
      <c r="AA120" s="67">
        <f t="shared" si="9"/>
        <v>30.384</v>
      </c>
      <c r="AB120" s="67">
        <f t="shared" si="10"/>
        <v>220.284</v>
      </c>
      <c r="AC120" s="67">
        <f t="shared" si="11"/>
        <v>179.35</v>
      </c>
      <c r="AD120" s="67">
        <f t="shared" si="12"/>
        <v>28.696</v>
      </c>
      <c r="AE120" s="67">
        <f t="shared" si="13"/>
        <v>208.046</v>
      </c>
      <c r="AF120" s="67">
        <f t="shared" si="14"/>
        <v>175.13</v>
      </c>
      <c r="AG120" s="67">
        <f t="shared" si="15"/>
        <v>28.0208</v>
      </c>
      <c r="AH120" s="67">
        <f t="shared" si="16"/>
        <v>203.1508</v>
      </c>
      <c r="AI120" s="67">
        <f t="shared" si="17"/>
        <v>168.8</v>
      </c>
      <c r="AJ120" s="68">
        <f t="shared" si="20"/>
        <v>27.008</v>
      </c>
      <c r="AK120" s="68">
        <f t="shared" si="21"/>
        <v>195.808</v>
      </c>
      <c r="AL120" s="70">
        <f>IFERROR(__xludf.DUMMYFUNCTION("""COMPUTED_VALUE"""),1.0)</f>
        <v>1</v>
      </c>
      <c r="AM120" s="70"/>
      <c r="AN120" s="71" t="str">
        <f>IFERROR(__xludf.DUMMYFUNCTION("""COMPUTED_VALUE""")," C")</f>
        <v>C</v>
      </c>
      <c r="AO120" s="71" t="str">
        <f>IFERROR(__xludf.DUMMYFUNCTION("""COMPUTED_VALUE""")," BH13")</f>
        <v>BH13</v>
      </c>
      <c r="AP120" s="71" t="str">
        <f>IFERROR(__xludf.DUMMYFUNCTION("""COMPUTED_VALUE""")," PZA")</f>
        <v>PZA</v>
      </c>
      <c r="AQ120" s="71" t="str">
        <f>IFERROR(__xludf.DUMMYFUNCTION("""COMPUTED_VALUE""")," REF")</f>
        <v>REF</v>
      </c>
      <c r="AR120" s="71" t="str">
        <f>IFERROR(__xludf.DUMMYFUNCTION("""COMPUTED_VALUE""")," BANDA DE HULE B-27 (BLACKGOLD)")</f>
        <v>BANDA DE HULE B-27 (BLACKGOLD)</v>
      </c>
      <c r="AS120" s="71" t="str">
        <f>IFERROR(__xludf.DUMMYFUNCTION("""COMPUTED_VALUE""")," BANDA DE HULE B-27 (BLACKGOLD)")</f>
        <v>BANDA DE HULE B-27 (BLACKGOLD)</v>
      </c>
      <c r="AT120" s="71">
        <f>IFERROR(__xludf.DUMMYFUNCTION("""COMPUTED_VALUE"""),30.0)</f>
        <v>30</v>
      </c>
      <c r="AU120" s="71"/>
      <c r="AV120" s="71"/>
      <c r="AW120" s="71"/>
      <c r="AX120" s="71"/>
      <c r="AY120" s="71">
        <f>IFERROR(__xludf.DUMMYFUNCTION("""COMPUTED_VALUE"""),59.0)</f>
        <v>59</v>
      </c>
      <c r="AZ120" s="71">
        <f>IFERROR(__xludf.DUMMYFUNCTION("""COMPUTED_VALUE"""),80.0)</f>
        <v>80</v>
      </c>
      <c r="BA120" s="71">
        <f>IFERROR(__xludf.DUMMYFUNCTION("""COMPUTED_VALUE"""),86.4)</f>
        <v>86.4</v>
      </c>
      <c r="BB120" s="71">
        <f>IFERROR(__xludf.DUMMYFUNCTION("""COMPUTED_VALUE"""),86.4)</f>
        <v>86.4</v>
      </c>
      <c r="BC120" s="71">
        <f>IFERROR(__xludf.DUMMYFUNCTION("""COMPUTED_VALUE"""),97.0)</f>
        <v>97</v>
      </c>
      <c r="BD120" s="71">
        <f>IFERROR(__xludf.DUMMYFUNCTION("""COMPUTED_VALUE"""),102.0)</f>
        <v>102</v>
      </c>
      <c r="BE120" s="71">
        <f>IFERROR(__xludf.DUMMYFUNCTION("""COMPUTED_VALUE"""),16.32)</f>
        <v>16.32</v>
      </c>
      <c r="BF120" s="71">
        <f>IFERROR(__xludf.DUMMYFUNCTION("""COMPUTED_VALUE"""),118.32)</f>
        <v>118.32</v>
      </c>
      <c r="BG120" s="71">
        <f>IFERROR(__xludf.DUMMYFUNCTION("""COMPUTED_VALUE"""),0.05154639175257732)</f>
        <v>0.05154639175</v>
      </c>
      <c r="BH120" s="71">
        <f>IFERROR(__xludf.DUMMYFUNCTION("""COMPUTED_VALUE"""),96.89999999999999)</f>
        <v>96.9</v>
      </c>
      <c r="BI120" s="71">
        <f>IFERROR(__xludf.DUMMYFUNCTION("""COMPUTED_VALUE"""),15.504)</f>
        <v>15.504</v>
      </c>
      <c r="BJ120" s="71">
        <f>IFERROR(__xludf.DUMMYFUNCTION("""COMPUTED_VALUE"""),112.404)</f>
        <v>112.404</v>
      </c>
      <c r="BK120" s="71">
        <f>IFERROR(__xludf.DUMMYFUNCTION("""COMPUTED_VALUE"""),91.8)</f>
        <v>91.8</v>
      </c>
      <c r="BL120" s="71">
        <f>IFERROR(__xludf.DUMMYFUNCTION("""COMPUTED_VALUE"""),14.688)</f>
        <v>14.688</v>
      </c>
      <c r="BM120" s="71">
        <f>IFERROR(__xludf.DUMMYFUNCTION("""COMPUTED_VALUE"""),106.488)</f>
        <v>106.488</v>
      </c>
      <c r="BN120" s="71">
        <f>IFERROR(__xludf.DUMMYFUNCTION("""COMPUTED_VALUE"""),86.7)</f>
        <v>86.7</v>
      </c>
      <c r="BO120" s="71">
        <f>IFERROR(__xludf.DUMMYFUNCTION("""COMPUTED_VALUE"""),13.872)</f>
        <v>13.872</v>
      </c>
      <c r="BP120" s="71">
        <f>IFERROR(__xludf.DUMMYFUNCTION("""COMPUTED_VALUE"""),100.572)</f>
        <v>100.572</v>
      </c>
      <c r="BQ120" s="71">
        <f>IFERROR(__xludf.DUMMYFUNCTION("""COMPUTED_VALUE"""),84.66)</f>
        <v>84.66</v>
      </c>
      <c r="BR120" s="71">
        <f>IFERROR(__xludf.DUMMYFUNCTION("""COMPUTED_VALUE"""),13.5456)</f>
        <v>13.5456</v>
      </c>
      <c r="BS120" s="71">
        <f>IFERROR(__xludf.DUMMYFUNCTION("""COMPUTED_VALUE"""),98.2056)</f>
        <v>98.2056</v>
      </c>
      <c r="BT120" s="71">
        <f>IFERROR(__xludf.DUMMYFUNCTION("""COMPUTED_VALUE"""),81.60000000000001)</f>
        <v>81.6</v>
      </c>
      <c r="BU120" s="71">
        <f>IFERROR(__xludf.DUMMYFUNCTION("""COMPUTED_VALUE"""),13.056000000000001)</f>
        <v>13.056</v>
      </c>
      <c r="BV120" s="71">
        <f>IFERROR(__xludf.DUMMYFUNCTION("""COMPUTED_VALUE"""),94.656)</f>
        <v>94.656</v>
      </c>
    </row>
    <row r="121">
      <c r="A121" s="53">
        <v>1.0</v>
      </c>
      <c r="B121" s="72"/>
      <c r="C121" s="73" t="s">
        <v>12</v>
      </c>
      <c r="D121" s="74" t="s">
        <v>341</v>
      </c>
      <c r="E121" s="54" t="s">
        <v>38</v>
      </c>
      <c r="F121" s="54" t="s">
        <v>42</v>
      </c>
      <c r="G121" s="54" t="s">
        <v>342</v>
      </c>
      <c r="H121" s="54" t="s">
        <v>342</v>
      </c>
      <c r="I121" s="54">
        <f t="shared" si="1"/>
        <v>20</v>
      </c>
      <c r="J121" s="56"/>
      <c r="K121" s="75"/>
      <c r="L121" s="76"/>
      <c r="M121" s="59"/>
      <c r="N121" s="60">
        <v>268.0</v>
      </c>
      <c r="O121" s="61">
        <v>289.0</v>
      </c>
      <c r="P121" s="62">
        <v>312.12</v>
      </c>
      <c r="Q121" s="63">
        <v>312.12</v>
      </c>
      <c r="R121" s="64">
        <v>348.0</v>
      </c>
      <c r="S121" s="111">
        <v>365.0</v>
      </c>
      <c r="T121" s="65">
        <f t="shared" si="2"/>
        <v>58.4</v>
      </c>
      <c r="U121" s="65">
        <f t="shared" si="3"/>
        <v>423.4</v>
      </c>
      <c r="V121" s="66">
        <f t="shared" si="4"/>
        <v>0.04885057471</v>
      </c>
      <c r="W121" s="67">
        <f t="shared" si="5"/>
        <v>346.75</v>
      </c>
      <c r="X121" s="67">
        <f t="shared" si="6"/>
        <v>55.48</v>
      </c>
      <c r="Y121" s="67">
        <f t="shared" si="7"/>
        <v>402.23</v>
      </c>
      <c r="Z121" s="67">
        <f t="shared" si="8"/>
        <v>328.5</v>
      </c>
      <c r="AA121" s="67">
        <f t="shared" si="9"/>
        <v>52.56</v>
      </c>
      <c r="AB121" s="67">
        <f t="shared" si="10"/>
        <v>381.06</v>
      </c>
      <c r="AC121" s="67">
        <f t="shared" si="11"/>
        <v>310.25</v>
      </c>
      <c r="AD121" s="67">
        <f t="shared" si="12"/>
        <v>49.64</v>
      </c>
      <c r="AE121" s="67">
        <f t="shared" si="13"/>
        <v>359.89</v>
      </c>
      <c r="AF121" s="67">
        <f t="shared" si="14"/>
        <v>302.95</v>
      </c>
      <c r="AG121" s="67">
        <f t="shared" si="15"/>
        <v>48.472</v>
      </c>
      <c r="AH121" s="67">
        <f t="shared" si="16"/>
        <v>351.422</v>
      </c>
      <c r="AI121" s="67">
        <f t="shared" si="17"/>
        <v>292</v>
      </c>
      <c r="AJ121" s="68">
        <f t="shared" si="20"/>
        <v>46.72</v>
      </c>
      <c r="AK121" s="68">
        <f t="shared" si="21"/>
        <v>338.72</v>
      </c>
      <c r="AL121" s="70">
        <f>IFERROR(__xludf.DUMMYFUNCTION("""COMPUTED_VALUE"""),1.0)</f>
        <v>1</v>
      </c>
      <c r="AM121" s="70"/>
      <c r="AN121" s="71" t="str">
        <f>IFERROR(__xludf.DUMMYFUNCTION("""COMPUTED_VALUE""")," C")</f>
        <v>C</v>
      </c>
      <c r="AO121" s="71" t="str">
        <f>IFERROR(__xludf.DUMMYFUNCTION("""COMPUTED_VALUE""")," BH38")</f>
        <v>BH38</v>
      </c>
      <c r="AP121" s="71" t="str">
        <f>IFERROR(__xludf.DUMMYFUNCTION("""COMPUTED_VALUE""")," PZA")</f>
        <v>PZA</v>
      </c>
      <c r="AQ121" s="71" t="str">
        <f>IFERROR(__xludf.DUMMYFUNCTION("""COMPUTED_VALUE""")," REF")</f>
        <v>REF</v>
      </c>
      <c r="AR121" s="71" t="str">
        <f>IFERROR(__xludf.DUMMYFUNCTION("""COMPUTED_VALUE""")," BANDA DE HULE B-27 (GATES)")</f>
        <v>BANDA DE HULE B-27 (GATES)</v>
      </c>
      <c r="AS121" s="71" t="str">
        <f>IFERROR(__xludf.DUMMYFUNCTION("""COMPUTED_VALUE""")," BANDA DE HULE B-27 (GATES)")</f>
        <v>BANDA DE HULE B-27 (GATES)</v>
      </c>
      <c r="AT121" s="71">
        <f>IFERROR(__xludf.DUMMYFUNCTION("""COMPUTED_VALUE"""),26.0)</f>
        <v>26</v>
      </c>
      <c r="AU121" s="71"/>
      <c r="AV121" s="71"/>
      <c r="AW121" s="71"/>
      <c r="AX121" s="71"/>
      <c r="AY121" s="71">
        <f>IFERROR(__xludf.DUMMYFUNCTION("""COMPUTED_VALUE"""),117.0)</f>
        <v>117</v>
      </c>
      <c r="AZ121" s="71">
        <f>IFERROR(__xludf.DUMMYFUNCTION("""COMPUTED_VALUE"""),126.0)</f>
        <v>126</v>
      </c>
      <c r="BA121" s="71">
        <f>IFERROR(__xludf.DUMMYFUNCTION("""COMPUTED_VALUE"""),136.08)</f>
        <v>136.08</v>
      </c>
      <c r="BB121" s="71">
        <f>IFERROR(__xludf.DUMMYFUNCTION("""COMPUTED_VALUE"""),136.08)</f>
        <v>136.08</v>
      </c>
      <c r="BC121" s="71">
        <f>IFERROR(__xludf.DUMMYFUNCTION("""COMPUTED_VALUE"""),153.0)</f>
        <v>153</v>
      </c>
      <c r="BD121" s="71">
        <f>IFERROR(__xludf.DUMMYFUNCTION("""COMPUTED_VALUE"""),161.0)</f>
        <v>161</v>
      </c>
      <c r="BE121" s="71">
        <f>IFERROR(__xludf.DUMMYFUNCTION("""COMPUTED_VALUE"""),25.76)</f>
        <v>25.76</v>
      </c>
      <c r="BF121" s="71">
        <f>IFERROR(__xludf.DUMMYFUNCTION("""COMPUTED_VALUE"""),186.76)</f>
        <v>186.76</v>
      </c>
      <c r="BG121" s="71">
        <f>IFERROR(__xludf.DUMMYFUNCTION("""COMPUTED_VALUE"""),0.05228758169934641)</f>
        <v>0.0522875817</v>
      </c>
      <c r="BH121" s="71">
        <f>IFERROR(__xludf.DUMMYFUNCTION("""COMPUTED_VALUE"""),152.95)</f>
        <v>152.95</v>
      </c>
      <c r="BI121" s="71">
        <f>IFERROR(__xludf.DUMMYFUNCTION("""COMPUTED_VALUE"""),24.471999999999998)</f>
        <v>24.472</v>
      </c>
      <c r="BJ121" s="71">
        <f>IFERROR(__xludf.DUMMYFUNCTION("""COMPUTED_VALUE"""),177.422)</f>
        <v>177.422</v>
      </c>
      <c r="BK121" s="71">
        <f>IFERROR(__xludf.DUMMYFUNCTION("""COMPUTED_VALUE"""),144.9)</f>
        <v>144.9</v>
      </c>
      <c r="BL121" s="71">
        <f>IFERROR(__xludf.DUMMYFUNCTION("""COMPUTED_VALUE"""),23.184)</f>
        <v>23.184</v>
      </c>
      <c r="BM121" s="71">
        <f>IFERROR(__xludf.DUMMYFUNCTION("""COMPUTED_VALUE"""),168.084)</f>
        <v>168.084</v>
      </c>
      <c r="BN121" s="71">
        <f>IFERROR(__xludf.DUMMYFUNCTION("""COMPUTED_VALUE"""),136.85)</f>
        <v>136.85</v>
      </c>
      <c r="BO121" s="71">
        <f>IFERROR(__xludf.DUMMYFUNCTION("""COMPUTED_VALUE"""),21.896)</f>
        <v>21.896</v>
      </c>
      <c r="BP121" s="71">
        <f>IFERROR(__xludf.DUMMYFUNCTION("""COMPUTED_VALUE"""),158.74599999999998)</f>
        <v>158.746</v>
      </c>
      <c r="BQ121" s="71">
        <f>IFERROR(__xludf.DUMMYFUNCTION("""COMPUTED_VALUE"""),133.63)</f>
        <v>133.63</v>
      </c>
      <c r="BR121" s="71">
        <f>IFERROR(__xludf.DUMMYFUNCTION("""COMPUTED_VALUE"""),21.3808)</f>
        <v>21.3808</v>
      </c>
      <c r="BS121" s="71">
        <f>IFERROR(__xludf.DUMMYFUNCTION("""COMPUTED_VALUE"""),155.0108)</f>
        <v>155.0108</v>
      </c>
      <c r="BT121" s="71">
        <f>IFERROR(__xludf.DUMMYFUNCTION("""COMPUTED_VALUE"""),128.8)</f>
        <v>128.8</v>
      </c>
      <c r="BU121" s="71">
        <f>IFERROR(__xludf.DUMMYFUNCTION("""COMPUTED_VALUE"""),20.608)</f>
        <v>20.608</v>
      </c>
      <c r="BV121" s="71">
        <f>IFERROR(__xludf.DUMMYFUNCTION("""COMPUTED_VALUE"""),149.40800000000002)</f>
        <v>149.408</v>
      </c>
    </row>
    <row r="122">
      <c r="A122" s="53">
        <v>1.0</v>
      </c>
      <c r="B122" s="53"/>
      <c r="C122" s="73" t="s">
        <v>12</v>
      </c>
      <c r="D122" s="53" t="s">
        <v>343</v>
      </c>
      <c r="E122" s="54" t="s">
        <v>38</v>
      </c>
      <c r="F122" s="54" t="s">
        <v>42</v>
      </c>
      <c r="G122" s="55" t="s">
        <v>344</v>
      </c>
      <c r="H122" s="55" t="s">
        <v>344</v>
      </c>
      <c r="I122" s="54">
        <f t="shared" si="1"/>
        <v>23</v>
      </c>
      <c r="J122" s="56"/>
      <c r="K122" s="57"/>
      <c r="L122" s="76"/>
      <c r="M122" s="59"/>
      <c r="N122" s="60"/>
      <c r="O122" s="90"/>
      <c r="P122" s="62">
        <v>225.0</v>
      </c>
      <c r="Q122" s="63">
        <v>225.0</v>
      </c>
      <c r="R122" s="64">
        <v>237.0</v>
      </c>
      <c r="S122" s="111">
        <v>249.0</v>
      </c>
      <c r="T122" s="65">
        <f t="shared" si="2"/>
        <v>39.84</v>
      </c>
      <c r="U122" s="65">
        <f t="shared" si="3"/>
        <v>288.84</v>
      </c>
      <c r="V122" s="66">
        <f t="shared" si="4"/>
        <v>0.05063291139</v>
      </c>
      <c r="W122" s="67">
        <f t="shared" si="5"/>
        <v>236.55</v>
      </c>
      <c r="X122" s="67">
        <f t="shared" si="6"/>
        <v>37.848</v>
      </c>
      <c r="Y122" s="67">
        <f t="shared" si="7"/>
        <v>274.398</v>
      </c>
      <c r="Z122" s="67">
        <f t="shared" si="8"/>
        <v>224.1</v>
      </c>
      <c r="AA122" s="67">
        <f t="shared" si="9"/>
        <v>35.856</v>
      </c>
      <c r="AB122" s="67">
        <f t="shared" si="10"/>
        <v>259.956</v>
      </c>
      <c r="AC122" s="67">
        <f t="shared" si="11"/>
        <v>211.65</v>
      </c>
      <c r="AD122" s="67">
        <f t="shared" si="12"/>
        <v>33.864</v>
      </c>
      <c r="AE122" s="67">
        <f t="shared" si="13"/>
        <v>245.514</v>
      </c>
      <c r="AF122" s="67">
        <f t="shared" si="14"/>
        <v>206.67</v>
      </c>
      <c r="AG122" s="67">
        <f t="shared" si="15"/>
        <v>33.0672</v>
      </c>
      <c r="AH122" s="67">
        <f t="shared" si="16"/>
        <v>239.7372</v>
      </c>
      <c r="AI122" s="67">
        <f t="shared" si="17"/>
        <v>199.2</v>
      </c>
      <c r="AJ122" s="68">
        <f t="shared" si="20"/>
        <v>31.872</v>
      </c>
      <c r="AK122" s="68">
        <f t="shared" si="21"/>
        <v>231.072</v>
      </c>
      <c r="AL122" s="70">
        <f>IFERROR(__xludf.DUMMYFUNCTION("""COMPUTED_VALUE"""),1.0)</f>
        <v>1</v>
      </c>
      <c r="AM122" s="70"/>
      <c r="AN122" s="71" t="str">
        <f>IFERROR(__xludf.DUMMYFUNCTION("""COMPUTED_VALUE""")," C")</f>
        <v>C</v>
      </c>
      <c r="AO122" s="71" t="str">
        <f>IFERROR(__xludf.DUMMYFUNCTION("""COMPUTED_VALUE""")," BH14")</f>
        <v>BH14</v>
      </c>
      <c r="AP122" s="71" t="str">
        <f>IFERROR(__xludf.DUMMYFUNCTION("""COMPUTED_VALUE""")," PZA")</f>
        <v>PZA</v>
      </c>
      <c r="AQ122" s="71" t="str">
        <f>IFERROR(__xludf.DUMMYFUNCTION("""COMPUTED_VALUE""")," REF")</f>
        <v>REF</v>
      </c>
      <c r="AR122" s="71" t="str">
        <f>IFERROR(__xludf.DUMMYFUNCTION("""COMPUTED_VALUE""")," BANDA DE HULE B-28 (BLACKGOLD)")</f>
        <v>BANDA DE HULE B-28 (BLACKGOLD)</v>
      </c>
      <c r="AS122" s="71" t="str">
        <f>IFERROR(__xludf.DUMMYFUNCTION("""COMPUTED_VALUE""")," BANDA DE HULE B-28 (BLACKGOLD)")</f>
        <v>BANDA DE HULE B-28 (BLACKGOLD)</v>
      </c>
      <c r="AT122" s="71">
        <f>IFERROR(__xludf.DUMMYFUNCTION("""COMPUTED_VALUE"""),30.0)</f>
        <v>30</v>
      </c>
      <c r="AU122" s="71"/>
      <c r="AV122" s="71"/>
      <c r="AW122" s="71"/>
      <c r="AX122" s="71"/>
      <c r="AY122" s="71">
        <f>IFERROR(__xludf.DUMMYFUNCTION("""COMPUTED_VALUE"""),62.0)</f>
        <v>62</v>
      </c>
      <c r="AZ122" s="71">
        <f>IFERROR(__xludf.DUMMYFUNCTION("""COMPUTED_VALUE"""),80.0)</f>
        <v>80</v>
      </c>
      <c r="BA122" s="71">
        <f>IFERROR(__xludf.DUMMYFUNCTION("""COMPUTED_VALUE"""),86.4)</f>
        <v>86.4</v>
      </c>
      <c r="BB122" s="71">
        <f>IFERROR(__xludf.DUMMYFUNCTION("""COMPUTED_VALUE"""),86.4)</f>
        <v>86.4</v>
      </c>
      <c r="BC122" s="71">
        <f>IFERROR(__xludf.DUMMYFUNCTION("""COMPUTED_VALUE"""),97.0)</f>
        <v>97</v>
      </c>
      <c r="BD122" s="71">
        <f>IFERROR(__xludf.DUMMYFUNCTION("""COMPUTED_VALUE"""),102.0)</f>
        <v>102</v>
      </c>
      <c r="BE122" s="71">
        <f>IFERROR(__xludf.DUMMYFUNCTION("""COMPUTED_VALUE"""),16.32)</f>
        <v>16.32</v>
      </c>
      <c r="BF122" s="71">
        <f>IFERROR(__xludf.DUMMYFUNCTION("""COMPUTED_VALUE"""),118.32)</f>
        <v>118.32</v>
      </c>
      <c r="BG122" s="71">
        <f>IFERROR(__xludf.DUMMYFUNCTION("""COMPUTED_VALUE"""),0.05154639175257732)</f>
        <v>0.05154639175</v>
      </c>
      <c r="BH122" s="71">
        <f>IFERROR(__xludf.DUMMYFUNCTION("""COMPUTED_VALUE"""),96.89999999999999)</f>
        <v>96.9</v>
      </c>
      <c r="BI122" s="71">
        <f>IFERROR(__xludf.DUMMYFUNCTION("""COMPUTED_VALUE"""),15.504)</f>
        <v>15.504</v>
      </c>
      <c r="BJ122" s="71">
        <f>IFERROR(__xludf.DUMMYFUNCTION("""COMPUTED_VALUE"""),112.404)</f>
        <v>112.404</v>
      </c>
      <c r="BK122" s="71">
        <f>IFERROR(__xludf.DUMMYFUNCTION("""COMPUTED_VALUE"""),91.8)</f>
        <v>91.8</v>
      </c>
      <c r="BL122" s="71">
        <f>IFERROR(__xludf.DUMMYFUNCTION("""COMPUTED_VALUE"""),14.688)</f>
        <v>14.688</v>
      </c>
      <c r="BM122" s="71">
        <f>IFERROR(__xludf.DUMMYFUNCTION("""COMPUTED_VALUE"""),106.488)</f>
        <v>106.488</v>
      </c>
      <c r="BN122" s="71">
        <f>IFERROR(__xludf.DUMMYFUNCTION("""COMPUTED_VALUE"""),86.7)</f>
        <v>86.7</v>
      </c>
      <c r="BO122" s="71">
        <f>IFERROR(__xludf.DUMMYFUNCTION("""COMPUTED_VALUE"""),13.872)</f>
        <v>13.872</v>
      </c>
      <c r="BP122" s="71">
        <f>IFERROR(__xludf.DUMMYFUNCTION("""COMPUTED_VALUE"""),100.572)</f>
        <v>100.572</v>
      </c>
      <c r="BQ122" s="71">
        <f>IFERROR(__xludf.DUMMYFUNCTION("""COMPUTED_VALUE"""),84.66)</f>
        <v>84.66</v>
      </c>
      <c r="BR122" s="71">
        <f>IFERROR(__xludf.DUMMYFUNCTION("""COMPUTED_VALUE"""),13.5456)</f>
        <v>13.5456</v>
      </c>
      <c r="BS122" s="71">
        <f>IFERROR(__xludf.DUMMYFUNCTION("""COMPUTED_VALUE"""),98.2056)</f>
        <v>98.2056</v>
      </c>
      <c r="BT122" s="71">
        <f>IFERROR(__xludf.DUMMYFUNCTION("""COMPUTED_VALUE"""),81.60000000000001)</f>
        <v>81.6</v>
      </c>
      <c r="BU122" s="71">
        <f>IFERROR(__xludf.DUMMYFUNCTION("""COMPUTED_VALUE"""),13.056000000000001)</f>
        <v>13.056</v>
      </c>
      <c r="BV122" s="71">
        <f>IFERROR(__xludf.DUMMYFUNCTION("""COMPUTED_VALUE"""),94.656)</f>
        <v>94.656</v>
      </c>
    </row>
    <row r="123">
      <c r="A123" s="53">
        <v>1.0</v>
      </c>
      <c r="B123" s="53"/>
      <c r="C123" s="53" t="s">
        <v>12</v>
      </c>
      <c r="D123" s="53" t="s">
        <v>345</v>
      </c>
      <c r="E123" s="54" t="s">
        <v>38</v>
      </c>
      <c r="F123" s="54" t="s">
        <v>42</v>
      </c>
      <c r="G123" s="55" t="s">
        <v>346</v>
      </c>
      <c r="H123" s="55" t="s">
        <v>346</v>
      </c>
      <c r="I123" s="54">
        <f t="shared" si="1"/>
        <v>20</v>
      </c>
      <c r="J123" s="56"/>
      <c r="K123" s="75"/>
      <c r="L123" s="76"/>
      <c r="M123" s="59"/>
      <c r="N123" s="79">
        <v>495.0</v>
      </c>
      <c r="O123" s="61">
        <v>534.0</v>
      </c>
      <c r="P123" s="63">
        <v>576.72</v>
      </c>
      <c r="Q123" s="63">
        <v>576.72</v>
      </c>
      <c r="R123" s="64">
        <v>606.0</v>
      </c>
      <c r="S123" s="111">
        <v>636.0</v>
      </c>
      <c r="T123" s="65">
        <f t="shared" si="2"/>
        <v>101.76</v>
      </c>
      <c r="U123" s="65">
        <f t="shared" si="3"/>
        <v>737.76</v>
      </c>
      <c r="V123" s="66">
        <f t="shared" si="4"/>
        <v>0.0495049505</v>
      </c>
      <c r="W123" s="67">
        <f t="shared" si="5"/>
        <v>604.2</v>
      </c>
      <c r="X123" s="67">
        <f t="shared" si="6"/>
        <v>96.672</v>
      </c>
      <c r="Y123" s="67">
        <f t="shared" si="7"/>
        <v>700.872</v>
      </c>
      <c r="Z123" s="67">
        <f t="shared" si="8"/>
        <v>572.4</v>
      </c>
      <c r="AA123" s="67">
        <f t="shared" si="9"/>
        <v>91.584</v>
      </c>
      <c r="AB123" s="67">
        <f t="shared" si="10"/>
        <v>663.984</v>
      </c>
      <c r="AC123" s="67">
        <f t="shared" si="11"/>
        <v>540.6</v>
      </c>
      <c r="AD123" s="67">
        <f t="shared" si="12"/>
        <v>86.496</v>
      </c>
      <c r="AE123" s="67">
        <f t="shared" si="13"/>
        <v>627.096</v>
      </c>
      <c r="AF123" s="67">
        <f t="shared" si="14"/>
        <v>527.88</v>
      </c>
      <c r="AG123" s="67">
        <f t="shared" si="15"/>
        <v>84.4608</v>
      </c>
      <c r="AH123" s="67">
        <f t="shared" si="16"/>
        <v>612.3408</v>
      </c>
      <c r="AI123" s="67">
        <f t="shared" si="17"/>
        <v>508.8</v>
      </c>
      <c r="AJ123" s="68">
        <f t="shared" si="20"/>
        <v>81.408</v>
      </c>
      <c r="AK123" s="68">
        <f t="shared" si="21"/>
        <v>590.208</v>
      </c>
      <c r="AL123" s="70">
        <f>IFERROR(__xludf.DUMMYFUNCTION("""COMPUTED_VALUE"""),1.0)</f>
        <v>1</v>
      </c>
      <c r="AM123" s="70"/>
      <c r="AN123" s="71" t="str">
        <f>IFERROR(__xludf.DUMMYFUNCTION("""COMPUTED_VALUE""")," C")</f>
        <v>C</v>
      </c>
      <c r="AO123" s="71" t="str">
        <f>IFERROR(__xludf.DUMMYFUNCTION("""COMPUTED_VALUE""")," BH39")</f>
        <v>BH39</v>
      </c>
      <c r="AP123" s="71" t="str">
        <f>IFERROR(__xludf.DUMMYFUNCTION("""COMPUTED_VALUE""")," PZA")</f>
        <v>PZA</v>
      </c>
      <c r="AQ123" s="71" t="str">
        <f>IFERROR(__xludf.DUMMYFUNCTION("""COMPUTED_VALUE""")," REF")</f>
        <v>REF</v>
      </c>
      <c r="AR123" s="71" t="str">
        <f>IFERROR(__xludf.DUMMYFUNCTION("""COMPUTED_VALUE""")," BANDA DE HULE B-28 (GATES)")</f>
        <v>BANDA DE HULE B-28 (GATES)</v>
      </c>
      <c r="AS123" s="71" t="str">
        <f>IFERROR(__xludf.DUMMYFUNCTION("""COMPUTED_VALUE""")," BANDA DE HULE B-28 (GATES)")</f>
        <v>BANDA DE HULE B-28 (GATES)</v>
      </c>
      <c r="AT123" s="71">
        <f>IFERROR(__xludf.DUMMYFUNCTION("""COMPUTED_VALUE"""),26.0)</f>
        <v>26</v>
      </c>
      <c r="AU123" s="71"/>
      <c r="AV123" s="71"/>
      <c r="AW123" s="71"/>
      <c r="AX123" s="71"/>
      <c r="AY123" s="71">
        <f>IFERROR(__xludf.DUMMYFUNCTION("""COMPUTED_VALUE"""),122.0)</f>
        <v>122</v>
      </c>
      <c r="AZ123" s="71">
        <f>IFERROR(__xludf.DUMMYFUNCTION("""COMPUTED_VALUE"""),131.0)</f>
        <v>131</v>
      </c>
      <c r="BA123" s="71">
        <f>IFERROR(__xludf.DUMMYFUNCTION("""COMPUTED_VALUE"""),141.48000000000002)</f>
        <v>141.48</v>
      </c>
      <c r="BB123" s="71">
        <f>IFERROR(__xludf.DUMMYFUNCTION("""COMPUTED_VALUE"""),141.48000000000002)</f>
        <v>141.48</v>
      </c>
      <c r="BC123" s="71">
        <f>IFERROR(__xludf.DUMMYFUNCTION("""COMPUTED_VALUE"""),158.0)</f>
        <v>158</v>
      </c>
      <c r="BD123" s="71">
        <f>IFERROR(__xludf.DUMMYFUNCTION("""COMPUTED_VALUE"""),166.0)</f>
        <v>166</v>
      </c>
      <c r="BE123" s="71">
        <f>IFERROR(__xludf.DUMMYFUNCTION("""COMPUTED_VALUE"""),26.560000000000002)</f>
        <v>26.56</v>
      </c>
      <c r="BF123" s="71">
        <f>IFERROR(__xludf.DUMMYFUNCTION("""COMPUTED_VALUE"""),192.56)</f>
        <v>192.56</v>
      </c>
      <c r="BG123" s="71">
        <f>IFERROR(__xludf.DUMMYFUNCTION("""COMPUTED_VALUE"""),0.05063291139240506)</f>
        <v>0.05063291139</v>
      </c>
      <c r="BH123" s="71">
        <f>IFERROR(__xludf.DUMMYFUNCTION("""COMPUTED_VALUE"""),157.7)</f>
        <v>157.7</v>
      </c>
      <c r="BI123" s="71">
        <f>IFERROR(__xludf.DUMMYFUNCTION("""COMPUTED_VALUE"""),25.232)</f>
        <v>25.232</v>
      </c>
      <c r="BJ123" s="71">
        <f>IFERROR(__xludf.DUMMYFUNCTION("""COMPUTED_VALUE"""),182.932)</f>
        <v>182.932</v>
      </c>
      <c r="BK123" s="71">
        <f>IFERROR(__xludf.DUMMYFUNCTION("""COMPUTED_VALUE"""),149.4)</f>
        <v>149.4</v>
      </c>
      <c r="BL123" s="71">
        <f>IFERROR(__xludf.DUMMYFUNCTION("""COMPUTED_VALUE"""),23.904)</f>
        <v>23.904</v>
      </c>
      <c r="BM123" s="71">
        <f>IFERROR(__xludf.DUMMYFUNCTION("""COMPUTED_VALUE"""),173.304)</f>
        <v>173.304</v>
      </c>
      <c r="BN123" s="71">
        <f>IFERROR(__xludf.DUMMYFUNCTION("""COMPUTED_VALUE"""),141.1)</f>
        <v>141.1</v>
      </c>
      <c r="BO123" s="71">
        <f>IFERROR(__xludf.DUMMYFUNCTION("""COMPUTED_VALUE"""),22.576)</f>
        <v>22.576</v>
      </c>
      <c r="BP123" s="71">
        <f>IFERROR(__xludf.DUMMYFUNCTION("""COMPUTED_VALUE"""),163.676)</f>
        <v>163.676</v>
      </c>
      <c r="BQ123" s="71">
        <f>IFERROR(__xludf.DUMMYFUNCTION("""COMPUTED_VALUE"""),137.78)</f>
        <v>137.78</v>
      </c>
      <c r="BR123" s="71">
        <f>IFERROR(__xludf.DUMMYFUNCTION("""COMPUTED_VALUE"""),22.044800000000002)</f>
        <v>22.0448</v>
      </c>
      <c r="BS123" s="71">
        <f>IFERROR(__xludf.DUMMYFUNCTION("""COMPUTED_VALUE"""),159.8248)</f>
        <v>159.8248</v>
      </c>
      <c r="BT123" s="71">
        <f>IFERROR(__xludf.DUMMYFUNCTION("""COMPUTED_VALUE"""),132.8)</f>
        <v>132.8</v>
      </c>
      <c r="BU123" s="71">
        <f>IFERROR(__xludf.DUMMYFUNCTION("""COMPUTED_VALUE"""),21.248)</f>
        <v>21.248</v>
      </c>
      <c r="BV123" s="71">
        <f>IFERROR(__xludf.DUMMYFUNCTION("""COMPUTED_VALUE"""),154.048)</f>
        <v>154.048</v>
      </c>
    </row>
    <row r="124">
      <c r="A124" s="53">
        <v>1.0</v>
      </c>
      <c r="B124" s="53"/>
      <c r="C124" s="53" t="s">
        <v>12</v>
      </c>
      <c r="D124" s="53" t="s">
        <v>347</v>
      </c>
      <c r="E124" s="54" t="s">
        <v>38</v>
      </c>
      <c r="F124" s="54" t="s">
        <v>42</v>
      </c>
      <c r="G124" s="55" t="s">
        <v>348</v>
      </c>
      <c r="H124" s="55" t="s">
        <v>348</v>
      </c>
      <c r="I124" s="54">
        <f t="shared" si="1"/>
        <v>20</v>
      </c>
      <c r="J124" s="56"/>
      <c r="K124" s="57"/>
      <c r="L124" s="76"/>
      <c r="M124" s="59"/>
      <c r="N124" s="79">
        <v>325.0</v>
      </c>
      <c r="O124" s="61">
        <v>351.0</v>
      </c>
      <c r="P124" s="63">
        <v>379.08000000000004</v>
      </c>
      <c r="Q124" s="63">
        <v>379.08000000000004</v>
      </c>
      <c r="R124" s="64">
        <v>398.0</v>
      </c>
      <c r="S124" s="111">
        <v>418.0</v>
      </c>
      <c r="T124" s="65">
        <f t="shared" si="2"/>
        <v>66.88</v>
      </c>
      <c r="U124" s="65">
        <f t="shared" si="3"/>
        <v>484.88</v>
      </c>
      <c r="V124" s="66">
        <f t="shared" si="4"/>
        <v>0.05025125628</v>
      </c>
      <c r="W124" s="67">
        <f t="shared" si="5"/>
        <v>397.1</v>
      </c>
      <c r="X124" s="67">
        <f t="shared" si="6"/>
        <v>63.536</v>
      </c>
      <c r="Y124" s="67">
        <f t="shared" si="7"/>
        <v>460.636</v>
      </c>
      <c r="Z124" s="67">
        <f t="shared" si="8"/>
        <v>376.2</v>
      </c>
      <c r="AA124" s="67">
        <f t="shared" si="9"/>
        <v>60.192</v>
      </c>
      <c r="AB124" s="67">
        <f t="shared" si="10"/>
        <v>436.392</v>
      </c>
      <c r="AC124" s="67">
        <f t="shared" si="11"/>
        <v>355.3</v>
      </c>
      <c r="AD124" s="67">
        <f t="shared" si="12"/>
        <v>56.848</v>
      </c>
      <c r="AE124" s="67">
        <f t="shared" si="13"/>
        <v>412.148</v>
      </c>
      <c r="AF124" s="67">
        <f t="shared" si="14"/>
        <v>346.94</v>
      </c>
      <c r="AG124" s="67">
        <f t="shared" si="15"/>
        <v>55.5104</v>
      </c>
      <c r="AH124" s="67">
        <f t="shared" si="16"/>
        <v>402.4504</v>
      </c>
      <c r="AI124" s="67">
        <f t="shared" si="17"/>
        <v>334.4</v>
      </c>
      <c r="AJ124" s="68">
        <f t="shared" si="20"/>
        <v>53.504</v>
      </c>
      <c r="AK124" s="68">
        <f t="shared" si="21"/>
        <v>387.904</v>
      </c>
      <c r="AL124" s="70">
        <f>IFERROR(__xludf.DUMMYFUNCTION("""COMPUTED_VALUE"""),1.0)</f>
        <v>1</v>
      </c>
      <c r="AM124" s="70"/>
      <c r="AN124" s="71" t="str">
        <f>IFERROR(__xludf.DUMMYFUNCTION("""COMPUTED_VALUE""")," C")</f>
        <v>C</v>
      </c>
      <c r="AO124" s="71" t="str">
        <f>IFERROR(__xludf.DUMMYFUNCTION("""COMPUTED_VALUE""")," BH15")</f>
        <v>BH15</v>
      </c>
      <c r="AP124" s="71" t="str">
        <f>IFERROR(__xludf.DUMMYFUNCTION("""COMPUTED_VALUE""")," PZA")</f>
        <v>PZA</v>
      </c>
      <c r="AQ124" s="71" t="str">
        <f>IFERROR(__xludf.DUMMYFUNCTION("""COMPUTED_VALUE""")," REF")</f>
        <v>REF</v>
      </c>
      <c r="AR124" s="71" t="str">
        <f>IFERROR(__xludf.DUMMYFUNCTION("""COMPUTED_VALUE""")," BANDA DE HULE B-29 (BLACKGOLD)")</f>
        <v>BANDA DE HULE B-29 (BLACKGOLD)</v>
      </c>
      <c r="AS124" s="71" t="str">
        <f>IFERROR(__xludf.DUMMYFUNCTION("""COMPUTED_VALUE""")," BANDA DE HULE B-29 (BLACKGOLD)")</f>
        <v>BANDA DE HULE B-29 (BLACKGOLD)</v>
      </c>
      <c r="AT124" s="71">
        <f>IFERROR(__xludf.DUMMYFUNCTION("""COMPUTED_VALUE"""),30.0)</f>
        <v>30</v>
      </c>
      <c r="AU124" s="71"/>
      <c r="AV124" s="71"/>
      <c r="AW124" s="71"/>
      <c r="AX124" s="71"/>
      <c r="AY124" s="71">
        <f>IFERROR(__xludf.DUMMYFUNCTION("""COMPUTED_VALUE"""),62.0)</f>
        <v>62</v>
      </c>
      <c r="AZ124" s="71">
        <f>IFERROR(__xludf.DUMMYFUNCTION("""COMPUTED_VALUE"""),80.0)</f>
        <v>80</v>
      </c>
      <c r="BA124" s="71">
        <f>IFERROR(__xludf.DUMMYFUNCTION("""COMPUTED_VALUE"""),86.4)</f>
        <v>86.4</v>
      </c>
      <c r="BB124" s="71">
        <f>IFERROR(__xludf.DUMMYFUNCTION("""COMPUTED_VALUE"""),86.4)</f>
        <v>86.4</v>
      </c>
      <c r="BC124" s="71">
        <f>IFERROR(__xludf.DUMMYFUNCTION("""COMPUTED_VALUE"""),97.0)</f>
        <v>97</v>
      </c>
      <c r="BD124" s="71">
        <f>IFERROR(__xludf.DUMMYFUNCTION("""COMPUTED_VALUE"""),102.0)</f>
        <v>102</v>
      </c>
      <c r="BE124" s="71">
        <f>IFERROR(__xludf.DUMMYFUNCTION("""COMPUTED_VALUE"""),16.32)</f>
        <v>16.32</v>
      </c>
      <c r="BF124" s="71">
        <f>IFERROR(__xludf.DUMMYFUNCTION("""COMPUTED_VALUE"""),118.32)</f>
        <v>118.32</v>
      </c>
      <c r="BG124" s="71">
        <f>IFERROR(__xludf.DUMMYFUNCTION("""COMPUTED_VALUE"""),0.05154639175257732)</f>
        <v>0.05154639175</v>
      </c>
      <c r="BH124" s="71">
        <f>IFERROR(__xludf.DUMMYFUNCTION("""COMPUTED_VALUE"""),96.89999999999999)</f>
        <v>96.9</v>
      </c>
      <c r="BI124" s="71">
        <f>IFERROR(__xludf.DUMMYFUNCTION("""COMPUTED_VALUE"""),15.504)</f>
        <v>15.504</v>
      </c>
      <c r="BJ124" s="71">
        <f>IFERROR(__xludf.DUMMYFUNCTION("""COMPUTED_VALUE"""),112.404)</f>
        <v>112.404</v>
      </c>
      <c r="BK124" s="71">
        <f>IFERROR(__xludf.DUMMYFUNCTION("""COMPUTED_VALUE"""),91.8)</f>
        <v>91.8</v>
      </c>
      <c r="BL124" s="71">
        <f>IFERROR(__xludf.DUMMYFUNCTION("""COMPUTED_VALUE"""),14.688)</f>
        <v>14.688</v>
      </c>
      <c r="BM124" s="71">
        <f>IFERROR(__xludf.DUMMYFUNCTION("""COMPUTED_VALUE"""),106.488)</f>
        <v>106.488</v>
      </c>
      <c r="BN124" s="71">
        <f>IFERROR(__xludf.DUMMYFUNCTION("""COMPUTED_VALUE"""),86.7)</f>
        <v>86.7</v>
      </c>
      <c r="BO124" s="71">
        <f>IFERROR(__xludf.DUMMYFUNCTION("""COMPUTED_VALUE"""),13.872)</f>
        <v>13.872</v>
      </c>
      <c r="BP124" s="71">
        <f>IFERROR(__xludf.DUMMYFUNCTION("""COMPUTED_VALUE"""),100.572)</f>
        <v>100.572</v>
      </c>
      <c r="BQ124" s="71">
        <f>IFERROR(__xludf.DUMMYFUNCTION("""COMPUTED_VALUE"""),84.66)</f>
        <v>84.66</v>
      </c>
      <c r="BR124" s="71">
        <f>IFERROR(__xludf.DUMMYFUNCTION("""COMPUTED_VALUE"""),13.5456)</f>
        <v>13.5456</v>
      </c>
      <c r="BS124" s="71">
        <f>IFERROR(__xludf.DUMMYFUNCTION("""COMPUTED_VALUE"""),98.2056)</f>
        <v>98.2056</v>
      </c>
      <c r="BT124" s="71">
        <f>IFERROR(__xludf.DUMMYFUNCTION("""COMPUTED_VALUE"""),81.60000000000001)</f>
        <v>81.6</v>
      </c>
      <c r="BU124" s="71">
        <f>IFERROR(__xludf.DUMMYFUNCTION("""COMPUTED_VALUE"""),13.056000000000001)</f>
        <v>13.056</v>
      </c>
      <c r="BV124" s="71">
        <f>IFERROR(__xludf.DUMMYFUNCTION("""COMPUTED_VALUE"""),94.656)</f>
        <v>94.656</v>
      </c>
    </row>
    <row r="125">
      <c r="A125" s="53">
        <v>1.0</v>
      </c>
      <c r="B125" s="72"/>
      <c r="C125" s="73" t="s">
        <v>12</v>
      </c>
      <c r="D125" s="74" t="s">
        <v>349</v>
      </c>
      <c r="E125" s="54" t="s">
        <v>38</v>
      </c>
      <c r="F125" s="54" t="s">
        <v>42</v>
      </c>
      <c r="G125" s="54" t="s">
        <v>350</v>
      </c>
      <c r="H125" s="54" t="s">
        <v>350</v>
      </c>
      <c r="I125" s="54">
        <f t="shared" si="1"/>
        <v>23</v>
      </c>
      <c r="J125" s="56"/>
      <c r="K125" s="75"/>
      <c r="L125" s="76"/>
      <c r="M125" s="59"/>
      <c r="N125" s="60">
        <v>185.0</v>
      </c>
      <c r="O125" s="61">
        <v>199.0</v>
      </c>
      <c r="P125" s="62">
        <v>214.92000000000002</v>
      </c>
      <c r="Q125" s="63">
        <v>214.92000000000002</v>
      </c>
      <c r="R125" s="64">
        <v>247.0</v>
      </c>
      <c r="S125" s="111">
        <v>259.0</v>
      </c>
      <c r="T125" s="65">
        <f t="shared" si="2"/>
        <v>41.44</v>
      </c>
      <c r="U125" s="65">
        <f t="shared" si="3"/>
        <v>300.44</v>
      </c>
      <c r="V125" s="66">
        <f t="shared" si="4"/>
        <v>0.04858299595</v>
      </c>
      <c r="W125" s="67">
        <f t="shared" si="5"/>
        <v>246.05</v>
      </c>
      <c r="X125" s="67">
        <f t="shared" si="6"/>
        <v>39.368</v>
      </c>
      <c r="Y125" s="67">
        <f t="shared" si="7"/>
        <v>285.418</v>
      </c>
      <c r="Z125" s="67">
        <f t="shared" si="8"/>
        <v>233.1</v>
      </c>
      <c r="AA125" s="67">
        <f t="shared" si="9"/>
        <v>37.296</v>
      </c>
      <c r="AB125" s="67">
        <f t="shared" si="10"/>
        <v>270.396</v>
      </c>
      <c r="AC125" s="67">
        <f t="shared" si="11"/>
        <v>220.15</v>
      </c>
      <c r="AD125" s="67">
        <f t="shared" si="12"/>
        <v>35.224</v>
      </c>
      <c r="AE125" s="67">
        <f t="shared" si="13"/>
        <v>255.374</v>
      </c>
      <c r="AF125" s="67">
        <f t="shared" si="14"/>
        <v>214.97</v>
      </c>
      <c r="AG125" s="67">
        <f t="shared" si="15"/>
        <v>34.3952</v>
      </c>
      <c r="AH125" s="67">
        <f t="shared" si="16"/>
        <v>249.3652</v>
      </c>
      <c r="AI125" s="67">
        <f t="shared" si="17"/>
        <v>207.2</v>
      </c>
      <c r="AJ125" s="68">
        <f t="shared" si="20"/>
        <v>33.152</v>
      </c>
      <c r="AK125" s="68">
        <f t="shared" si="21"/>
        <v>240.352</v>
      </c>
      <c r="AL125" s="70">
        <f>IFERROR(__xludf.DUMMYFUNCTION("""COMPUTED_VALUE"""),1.0)</f>
        <v>1</v>
      </c>
      <c r="AM125" s="70"/>
      <c r="AN125" s="71" t="str">
        <f>IFERROR(__xludf.DUMMYFUNCTION("""COMPUTED_VALUE""")," C")</f>
        <v>C</v>
      </c>
      <c r="AO125" s="71" t="str">
        <f>IFERROR(__xludf.DUMMYFUNCTION("""COMPUTED_VALUE""")," BH40")</f>
        <v>BH40</v>
      </c>
      <c r="AP125" s="71" t="str">
        <f>IFERROR(__xludf.DUMMYFUNCTION("""COMPUTED_VALUE""")," PZA")</f>
        <v>PZA</v>
      </c>
      <c r="AQ125" s="71" t="str">
        <f>IFERROR(__xludf.DUMMYFUNCTION("""COMPUTED_VALUE""")," REF")</f>
        <v>REF</v>
      </c>
      <c r="AR125" s="71" t="str">
        <f>IFERROR(__xludf.DUMMYFUNCTION("""COMPUTED_VALUE""")," BANDA DE HULE B-29 (GATES)")</f>
        <v>BANDA DE HULE B-29 (GATES)</v>
      </c>
      <c r="AS125" s="71" t="str">
        <f>IFERROR(__xludf.DUMMYFUNCTION("""COMPUTED_VALUE""")," BANDA DE HULE B-29 (GATES)")</f>
        <v>BANDA DE HULE B-29 (GATES)</v>
      </c>
      <c r="AT125" s="71">
        <f>IFERROR(__xludf.DUMMYFUNCTION("""COMPUTED_VALUE"""),26.0)</f>
        <v>26</v>
      </c>
      <c r="AU125" s="71"/>
      <c r="AV125" s="71"/>
      <c r="AW125" s="71"/>
      <c r="AX125" s="71"/>
      <c r="AY125" s="71">
        <f>IFERROR(__xludf.DUMMYFUNCTION("""COMPUTED_VALUE"""),128.0)</f>
        <v>128</v>
      </c>
      <c r="AZ125" s="71">
        <f>IFERROR(__xludf.DUMMYFUNCTION("""COMPUTED_VALUE"""),138.0)</f>
        <v>138</v>
      </c>
      <c r="BA125" s="71">
        <f>IFERROR(__xludf.DUMMYFUNCTION("""COMPUTED_VALUE"""),149.04000000000002)</f>
        <v>149.04</v>
      </c>
      <c r="BB125" s="71">
        <f>IFERROR(__xludf.DUMMYFUNCTION("""COMPUTED_VALUE"""),149.04000000000002)</f>
        <v>149.04</v>
      </c>
      <c r="BC125" s="71">
        <f>IFERROR(__xludf.DUMMYFUNCTION("""COMPUTED_VALUE"""),166.0)</f>
        <v>166</v>
      </c>
      <c r="BD125" s="71">
        <f>IFERROR(__xludf.DUMMYFUNCTION("""COMPUTED_VALUE"""),174.0)</f>
        <v>174</v>
      </c>
      <c r="BE125" s="71">
        <f>IFERROR(__xludf.DUMMYFUNCTION("""COMPUTED_VALUE"""),27.84)</f>
        <v>27.84</v>
      </c>
      <c r="BF125" s="71">
        <f>IFERROR(__xludf.DUMMYFUNCTION("""COMPUTED_VALUE"""),201.84)</f>
        <v>201.84</v>
      </c>
      <c r="BG125" s="71">
        <f>IFERROR(__xludf.DUMMYFUNCTION("""COMPUTED_VALUE"""),0.04819277108433735)</f>
        <v>0.04819277108</v>
      </c>
      <c r="BH125" s="71">
        <f>IFERROR(__xludf.DUMMYFUNCTION("""COMPUTED_VALUE"""),165.29999999999998)</f>
        <v>165.3</v>
      </c>
      <c r="BI125" s="71">
        <f>IFERROR(__xludf.DUMMYFUNCTION("""COMPUTED_VALUE"""),26.447999999999997)</f>
        <v>26.448</v>
      </c>
      <c r="BJ125" s="71">
        <f>IFERROR(__xludf.DUMMYFUNCTION("""COMPUTED_VALUE"""),191.748)</f>
        <v>191.748</v>
      </c>
      <c r="BK125" s="71">
        <f>IFERROR(__xludf.DUMMYFUNCTION("""COMPUTED_VALUE"""),156.6)</f>
        <v>156.6</v>
      </c>
      <c r="BL125" s="71">
        <f>IFERROR(__xludf.DUMMYFUNCTION("""COMPUTED_VALUE"""),25.056)</f>
        <v>25.056</v>
      </c>
      <c r="BM125" s="71">
        <f>IFERROR(__xludf.DUMMYFUNCTION("""COMPUTED_VALUE"""),181.656)</f>
        <v>181.656</v>
      </c>
      <c r="BN125" s="71">
        <f>IFERROR(__xludf.DUMMYFUNCTION("""COMPUTED_VALUE"""),147.9)</f>
        <v>147.9</v>
      </c>
      <c r="BO125" s="71">
        <f>IFERROR(__xludf.DUMMYFUNCTION("""COMPUTED_VALUE"""),23.664)</f>
        <v>23.664</v>
      </c>
      <c r="BP125" s="71">
        <f>IFERROR(__xludf.DUMMYFUNCTION("""COMPUTED_VALUE"""),171.56400000000002)</f>
        <v>171.564</v>
      </c>
      <c r="BQ125" s="71">
        <f>IFERROR(__xludf.DUMMYFUNCTION("""COMPUTED_VALUE"""),144.42)</f>
        <v>144.42</v>
      </c>
      <c r="BR125" s="71">
        <f>IFERROR(__xludf.DUMMYFUNCTION("""COMPUTED_VALUE"""),23.1072)</f>
        <v>23.1072</v>
      </c>
      <c r="BS125" s="71">
        <f>IFERROR(__xludf.DUMMYFUNCTION("""COMPUTED_VALUE"""),167.5272)</f>
        <v>167.5272</v>
      </c>
      <c r="BT125" s="71">
        <f>IFERROR(__xludf.DUMMYFUNCTION("""COMPUTED_VALUE"""),139.20000000000002)</f>
        <v>139.2</v>
      </c>
      <c r="BU125" s="71">
        <f>IFERROR(__xludf.DUMMYFUNCTION("""COMPUTED_VALUE"""),22.272000000000002)</f>
        <v>22.272</v>
      </c>
      <c r="BV125" s="71">
        <f>IFERROR(__xludf.DUMMYFUNCTION("""COMPUTED_VALUE"""),161.472)</f>
        <v>161.472</v>
      </c>
    </row>
    <row r="126">
      <c r="A126" s="53">
        <v>1.0</v>
      </c>
      <c r="B126" s="72"/>
      <c r="C126" s="73" t="s">
        <v>12</v>
      </c>
      <c r="D126" s="74" t="s">
        <v>351</v>
      </c>
      <c r="E126" s="54" t="s">
        <v>38</v>
      </c>
      <c r="F126" s="54" t="s">
        <v>42</v>
      </c>
      <c r="G126" s="54" t="s">
        <v>352</v>
      </c>
      <c r="H126" s="54" t="s">
        <v>352</v>
      </c>
      <c r="I126" s="54">
        <f t="shared" si="1"/>
        <v>20</v>
      </c>
      <c r="J126" s="56"/>
      <c r="K126" s="75"/>
      <c r="L126" s="76"/>
      <c r="M126" s="59"/>
      <c r="N126" s="60">
        <v>242.0</v>
      </c>
      <c r="O126" s="61">
        <v>261.0</v>
      </c>
      <c r="P126" s="62">
        <v>281.88</v>
      </c>
      <c r="Q126" s="63">
        <v>281.88</v>
      </c>
      <c r="R126" s="64">
        <v>314.0</v>
      </c>
      <c r="S126" s="111">
        <v>330.0</v>
      </c>
      <c r="T126" s="65">
        <f t="shared" si="2"/>
        <v>52.8</v>
      </c>
      <c r="U126" s="65">
        <f t="shared" si="3"/>
        <v>382.8</v>
      </c>
      <c r="V126" s="66">
        <f t="shared" si="4"/>
        <v>0.05095541401</v>
      </c>
      <c r="W126" s="67">
        <f t="shared" si="5"/>
        <v>313.5</v>
      </c>
      <c r="X126" s="67">
        <f t="shared" si="6"/>
        <v>50.16</v>
      </c>
      <c r="Y126" s="67">
        <f t="shared" si="7"/>
        <v>363.66</v>
      </c>
      <c r="Z126" s="67">
        <f t="shared" si="8"/>
        <v>297</v>
      </c>
      <c r="AA126" s="67">
        <f t="shared" si="9"/>
        <v>47.52</v>
      </c>
      <c r="AB126" s="67">
        <f t="shared" si="10"/>
        <v>344.52</v>
      </c>
      <c r="AC126" s="67">
        <f t="shared" si="11"/>
        <v>280.5</v>
      </c>
      <c r="AD126" s="67">
        <f t="shared" si="12"/>
        <v>44.88</v>
      </c>
      <c r="AE126" s="67">
        <f t="shared" si="13"/>
        <v>325.38</v>
      </c>
      <c r="AF126" s="67">
        <f t="shared" si="14"/>
        <v>273.9</v>
      </c>
      <c r="AG126" s="67">
        <f t="shared" si="15"/>
        <v>43.824</v>
      </c>
      <c r="AH126" s="67">
        <f t="shared" si="16"/>
        <v>317.724</v>
      </c>
      <c r="AI126" s="67">
        <f t="shared" si="17"/>
        <v>264</v>
      </c>
      <c r="AJ126" s="68">
        <f t="shared" si="20"/>
        <v>42.24</v>
      </c>
      <c r="AK126" s="68">
        <f t="shared" si="21"/>
        <v>306.24</v>
      </c>
      <c r="AL126" s="70">
        <f>IFERROR(__xludf.DUMMYFUNCTION("""COMPUTED_VALUE"""),1.0)</f>
        <v>1</v>
      </c>
      <c r="AM126" s="70"/>
      <c r="AN126" s="71" t="str">
        <f>IFERROR(__xludf.DUMMYFUNCTION("""COMPUTED_VALUE""")," C")</f>
        <v>C</v>
      </c>
      <c r="AO126" s="71" t="str">
        <f>IFERROR(__xludf.DUMMYFUNCTION("""COMPUTED_VALUE""")," BH16")</f>
        <v>BH16</v>
      </c>
      <c r="AP126" s="71" t="str">
        <f>IFERROR(__xludf.DUMMYFUNCTION("""COMPUTED_VALUE""")," PZA")</f>
        <v>PZA</v>
      </c>
      <c r="AQ126" s="71" t="str">
        <f>IFERROR(__xludf.DUMMYFUNCTION("""COMPUTED_VALUE""")," REF")</f>
        <v>REF</v>
      </c>
      <c r="AR126" s="71" t="str">
        <f>IFERROR(__xludf.DUMMYFUNCTION("""COMPUTED_VALUE""")," BANDA DE HULE B-30 (BLACKGOLD)")</f>
        <v>BANDA DE HULE B-30 (BLACKGOLD)</v>
      </c>
      <c r="AS126" s="71" t="str">
        <f>IFERROR(__xludf.DUMMYFUNCTION("""COMPUTED_VALUE""")," BANDA DE HULE B-30 (BLACKGOLD)")</f>
        <v>BANDA DE HULE B-30 (BLACKGOLD)</v>
      </c>
      <c r="AT126" s="71">
        <f>IFERROR(__xludf.DUMMYFUNCTION("""COMPUTED_VALUE"""),30.0)</f>
        <v>30</v>
      </c>
      <c r="AU126" s="71"/>
      <c r="AV126" s="71"/>
      <c r="AW126" s="71"/>
      <c r="AX126" s="71"/>
      <c r="AY126" s="71">
        <f>IFERROR(__xludf.DUMMYFUNCTION("""COMPUTED_VALUE"""),68.0)</f>
        <v>68</v>
      </c>
      <c r="AZ126" s="71">
        <f>IFERROR(__xludf.DUMMYFUNCTION("""COMPUTED_VALUE"""),80.0)</f>
        <v>80</v>
      </c>
      <c r="BA126" s="71">
        <f>IFERROR(__xludf.DUMMYFUNCTION("""COMPUTED_VALUE"""),86.4)</f>
        <v>86.4</v>
      </c>
      <c r="BB126" s="71">
        <f>IFERROR(__xludf.DUMMYFUNCTION("""COMPUTED_VALUE"""),86.4)</f>
        <v>86.4</v>
      </c>
      <c r="BC126" s="71">
        <f>IFERROR(__xludf.DUMMYFUNCTION("""COMPUTED_VALUE"""),97.0)</f>
        <v>97</v>
      </c>
      <c r="BD126" s="71">
        <f>IFERROR(__xludf.DUMMYFUNCTION("""COMPUTED_VALUE"""),102.0)</f>
        <v>102</v>
      </c>
      <c r="BE126" s="71">
        <f>IFERROR(__xludf.DUMMYFUNCTION("""COMPUTED_VALUE"""),16.32)</f>
        <v>16.32</v>
      </c>
      <c r="BF126" s="71">
        <f>IFERROR(__xludf.DUMMYFUNCTION("""COMPUTED_VALUE"""),118.32)</f>
        <v>118.32</v>
      </c>
      <c r="BG126" s="71">
        <f>IFERROR(__xludf.DUMMYFUNCTION("""COMPUTED_VALUE"""),0.05154639175257732)</f>
        <v>0.05154639175</v>
      </c>
      <c r="BH126" s="71">
        <f>IFERROR(__xludf.DUMMYFUNCTION("""COMPUTED_VALUE"""),96.89999999999999)</f>
        <v>96.9</v>
      </c>
      <c r="BI126" s="71">
        <f>IFERROR(__xludf.DUMMYFUNCTION("""COMPUTED_VALUE"""),15.504)</f>
        <v>15.504</v>
      </c>
      <c r="BJ126" s="71">
        <f>IFERROR(__xludf.DUMMYFUNCTION("""COMPUTED_VALUE"""),112.404)</f>
        <v>112.404</v>
      </c>
      <c r="BK126" s="71">
        <f>IFERROR(__xludf.DUMMYFUNCTION("""COMPUTED_VALUE"""),91.8)</f>
        <v>91.8</v>
      </c>
      <c r="BL126" s="71">
        <f>IFERROR(__xludf.DUMMYFUNCTION("""COMPUTED_VALUE"""),14.688)</f>
        <v>14.688</v>
      </c>
      <c r="BM126" s="71">
        <f>IFERROR(__xludf.DUMMYFUNCTION("""COMPUTED_VALUE"""),106.488)</f>
        <v>106.488</v>
      </c>
      <c r="BN126" s="71">
        <f>IFERROR(__xludf.DUMMYFUNCTION("""COMPUTED_VALUE"""),86.7)</f>
        <v>86.7</v>
      </c>
      <c r="BO126" s="71">
        <f>IFERROR(__xludf.DUMMYFUNCTION("""COMPUTED_VALUE"""),13.872)</f>
        <v>13.872</v>
      </c>
      <c r="BP126" s="71">
        <f>IFERROR(__xludf.DUMMYFUNCTION("""COMPUTED_VALUE"""),100.572)</f>
        <v>100.572</v>
      </c>
      <c r="BQ126" s="71">
        <f>IFERROR(__xludf.DUMMYFUNCTION("""COMPUTED_VALUE"""),84.66)</f>
        <v>84.66</v>
      </c>
      <c r="BR126" s="71">
        <f>IFERROR(__xludf.DUMMYFUNCTION("""COMPUTED_VALUE"""),13.5456)</f>
        <v>13.5456</v>
      </c>
      <c r="BS126" s="71">
        <f>IFERROR(__xludf.DUMMYFUNCTION("""COMPUTED_VALUE"""),98.2056)</f>
        <v>98.2056</v>
      </c>
      <c r="BT126" s="71">
        <f>IFERROR(__xludf.DUMMYFUNCTION("""COMPUTED_VALUE"""),81.60000000000001)</f>
        <v>81.6</v>
      </c>
      <c r="BU126" s="71">
        <f>IFERROR(__xludf.DUMMYFUNCTION("""COMPUTED_VALUE"""),13.056000000000001)</f>
        <v>13.056</v>
      </c>
      <c r="BV126" s="71">
        <f>IFERROR(__xludf.DUMMYFUNCTION("""COMPUTED_VALUE"""),94.656)</f>
        <v>94.656</v>
      </c>
    </row>
    <row r="127">
      <c r="A127" s="53">
        <v>1.0</v>
      </c>
      <c r="B127" s="53"/>
      <c r="C127" s="53" t="s">
        <v>12</v>
      </c>
      <c r="D127" s="53" t="s">
        <v>353</v>
      </c>
      <c r="E127" s="54" t="s">
        <v>38</v>
      </c>
      <c r="F127" s="54" t="s">
        <v>42</v>
      </c>
      <c r="G127" s="55" t="s">
        <v>354</v>
      </c>
      <c r="H127" s="55" t="s">
        <v>354</v>
      </c>
      <c r="I127" s="54">
        <f t="shared" si="1"/>
        <v>31</v>
      </c>
      <c r="J127" s="56"/>
      <c r="K127" s="75"/>
      <c r="L127" s="76"/>
      <c r="M127" s="59"/>
      <c r="N127" s="79">
        <v>150.0</v>
      </c>
      <c r="O127" s="61">
        <v>162.0</v>
      </c>
      <c r="P127" s="63">
        <v>174.96</v>
      </c>
      <c r="Q127" s="63">
        <v>174.96</v>
      </c>
      <c r="R127" s="64">
        <v>189.0</v>
      </c>
      <c r="S127" s="111">
        <v>198.0</v>
      </c>
      <c r="T127" s="65">
        <f t="shared" si="2"/>
        <v>31.68</v>
      </c>
      <c r="U127" s="65">
        <f t="shared" si="3"/>
        <v>229.68</v>
      </c>
      <c r="V127" s="66">
        <f t="shared" si="4"/>
        <v>0.04761904762</v>
      </c>
      <c r="W127" s="67">
        <f t="shared" si="5"/>
        <v>188.1</v>
      </c>
      <c r="X127" s="67">
        <f t="shared" si="6"/>
        <v>30.096</v>
      </c>
      <c r="Y127" s="67">
        <f t="shared" si="7"/>
        <v>218.196</v>
      </c>
      <c r="Z127" s="67">
        <f t="shared" si="8"/>
        <v>178.2</v>
      </c>
      <c r="AA127" s="67">
        <f t="shared" si="9"/>
        <v>28.512</v>
      </c>
      <c r="AB127" s="67">
        <f t="shared" si="10"/>
        <v>206.712</v>
      </c>
      <c r="AC127" s="67">
        <f t="shared" si="11"/>
        <v>168.3</v>
      </c>
      <c r="AD127" s="67">
        <f t="shared" si="12"/>
        <v>26.928</v>
      </c>
      <c r="AE127" s="67">
        <f t="shared" si="13"/>
        <v>195.228</v>
      </c>
      <c r="AF127" s="67">
        <f t="shared" si="14"/>
        <v>164.34</v>
      </c>
      <c r="AG127" s="67">
        <f t="shared" si="15"/>
        <v>26.2944</v>
      </c>
      <c r="AH127" s="67">
        <f t="shared" si="16"/>
        <v>190.6344</v>
      </c>
      <c r="AI127" s="67">
        <f t="shared" si="17"/>
        <v>158.4</v>
      </c>
      <c r="AJ127" s="68">
        <f t="shared" si="20"/>
        <v>25.344</v>
      </c>
      <c r="AK127" s="68">
        <f t="shared" si="21"/>
        <v>183.744</v>
      </c>
      <c r="AL127" s="70">
        <f>IFERROR(__xludf.DUMMYFUNCTION("""COMPUTED_VALUE"""),1.0)</f>
        <v>1</v>
      </c>
      <c r="AM127" s="70"/>
      <c r="AN127" s="71" t="str">
        <f>IFERROR(__xludf.DUMMYFUNCTION("""COMPUTED_VALUE""")," C")</f>
        <v>C</v>
      </c>
      <c r="AO127" s="71" t="str">
        <f>IFERROR(__xludf.DUMMYFUNCTION("""COMPUTED_VALUE""")," BH41")</f>
        <v>BH41</v>
      </c>
      <c r="AP127" s="71" t="str">
        <f>IFERROR(__xludf.DUMMYFUNCTION("""COMPUTED_VALUE""")," PZA")</f>
        <v>PZA</v>
      </c>
      <c r="AQ127" s="71" t="str">
        <f>IFERROR(__xludf.DUMMYFUNCTION("""COMPUTED_VALUE""")," REF")</f>
        <v>REF</v>
      </c>
      <c r="AR127" s="71" t="str">
        <f>IFERROR(__xludf.DUMMYFUNCTION("""COMPUTED_VALUE""")," BANDA DE HULE B-30 (GATES)")</f>
        <v>BANDA DE HULE B-30 (GATES)</v>
      </c>
      <c r="AS127" s="71" t="str">
        <f>IFERROR(__xludf.DUMMYFUNCTION("""COMPUTED_VALUE""")," BANDA DE HULE B-30 (GATES)")</f>
        <v>BANDA DE HULE B-30 (GATES)</v>
      </c>
      <c r="AT127" s="71">
        <f>IFERROR(__xludf.DUMMYFUNCTION("""COMPUTED_VALUE"""),26.0)</f>
        <v>26</v>
      </c>
      <c r="AU127" s="71"/>
      <c r="AV127" s="71"/>
      <c r="AW127" s="71"/>
      <c r="AX127" s="71"/>
      <c r="AY127" s="71">
        <f>IFERROR(__xludf.DUMMYFUNCTION("""COMPUTED_VALUE"""),132.0)</f>
        <v>132</v>
      </c>
      <c r="AZ127" s="71">
        <f>IFERROR(__xludf.DUMMYFUNCTION("""COMPUTED_VALUE"""),142.0)</f>
        <v>142</v>
      </c>
      <c r="BA127" s="71">
        <f>IFERROR(__xludf.DUMMYFUNCTION("""COMPUTED_VALUE"""),153.36)</f>
        <v>153.36</v>
      </c>
      <c r="BB127" s="71">
        <f>IFERROR(__xludf.DUMMYFUNCTION("""COMPUTED_VALUE"""),153.36)</f>
        <v>153.36</v>
      </c>
      <c r="BC127" s="71">
        <f>IFERROR(__xludf.DUMMYFUNCTION("""COMPUTED_VALUE"""),172.0)</f>
        <v>172</v>
      </c>
      <c r="BD127" s="71">
        <f>IFERROR(__xludf.DUMMYFUNCTION("""COMPUTED_VALUE"""),181.0)</f>
        <v>181</v>
      </c>
      <c r="BE127" s="71">
        <f>IFERROR(__xludf.DUMMYFUNCTION("""COMPUTED_VALUE"""),28.96)</f>
        <v>28.96</v>
      </c>
      <c r="BF127" s="71">
        <f>IFERROR(__xludf.DUMMYFUNCTION("""COMPUTED_VALUE"""),209.96)</f>
        <v>209.96</v>
      </c>
      <c r="BG127" s="71">
        <f>IFERROR(__xludf.DUMMYFUNCTION("""COMPUTED_VALUE"""),0.05232558139534884)</f>
        <v>0.0523255814</v>
      </c>
      <c r="BH127" s="71">
        <f>IFERROR(__xludf.DUMMYFUNCTION("""COMPUTED_VALUE"""),171.95)</f>
        <v>171.95</v>
      </c>
      <c r="BI127" s="71">
        <f>IFERROR(__xludf.DUMMYFUNCTION("""COMPUTED_VALUE"""),27.512)</f>
        <v>27.512</v>
      </c>
      <c r="BJ127" s="71">
        <f>IFERROR(__xludf.DUMMYFUNCTION("""COMPUTED_VALUE"""),199.462)</f>
        <v>199.462</v>
      </c>
      <c r="BK127" s="71">
        <f>IFERROR(__xludf.DUMMYFUNCTION("""COMPUTED_VALUE"""),162.9)</f>
        <v>162.9</v>
      </c>
      <c r="BL127" s="71">
        <f>IFERROR(__xludf.DUMMYFUNCTION("""COMPUTED_VALUE"""),26.064)</f>
        <v>26.064</v>
      </c>
      <c r="BM127" s="71">
        <f>IFERROR(__xludf.DUMMYFUNCTION("""COMPUTED_VALUE"""),188.964)</f>
        <v>188.964</v>
      </c>
      <c r="BN127" s="71">
        <f>IFERROR(__xludf.DUMMYFUNCTION("""COMPUTED_VALUE"""),153.85)</f>
        <v>153.85</v>
      </c>
      <c r="BO127" s="71">
        <f>IFERROR(__xludf.DUMMYFUNCTION("""COMPUTED_VALUE"""),24.616)</f>
        <v>24.616</v>
      </c>
      <c r="BP127" s="71">
        <f>IFERROR(__xludf.DUMMYFUNCTION("""COMPUTED_VALUE"""),178.466)</f>
        <v>178.466</v>
      </c>
      <c r="BQ127" s="71">
        <f>IFERROR(__xludf.DUMMYFUNCTION("""COMPUTED_VALUE"""),150.23)</f>
        <v>150.23</v>
      </c>
      <c r="BR127" s="71">
        <f>IFERROR(__xludf.DUMMYFUNCTION("""COMPUTED_VALUE"""),24.0368)</f>
        <v>24.0368</v>
      </c>
      <c r="BS127" s="71">
        <f>IFERROR(__xludf.DUMMYFUNCTION("""COMPUTED_VALUE"""),174.2668)</f>
        <v>174.2668</v>
      </c>
      <c r="BT127" s="71">
        <f>IFERROR(__xludf.DUMMYFUNCTION("""COMPUTED_VALUE"""),144.8)</f>
        <v>144.8</v>
      </c>
      <c r="BU127" s="71">
        <f>IFERROR(__xludf.DUMMYFUNCTION("""COMPUTED_VALUE"""),23.168000000000003)</f>
        <v>23.168</v>
      </c>
      <c r="BV127" s="71">
        <f>IFERROR(__xludf.DUMMYFUNCTION("""COMPUTED_VALUE"""),167.96800000000002)</f>
        <v>167.968</v>
      </c>
    </row>
    <row r="128">
      <c r="A128" s="53">
        <v>1.0</v>
      </c>
      <c r="B128" s="72"/>
      <c r="C128" s="73" t="s">
        <v>12</v>
      </c>
      <c r="D128" s="74" t="s">
        <v>355</v>
      </c>
      <c r="E128" s="54" t="s">
        <v>38</v>
      </c>
      <c r="F128" s="54" t="s">
        <v>42</v>
      </c>
      <c r="G128" s="54" t="s">
        <v>356</v>
      </c>
      <c r="H128" s="54" t="s">
        <v>356</v>
      </c>
      <c r="I128" s="54">
        <f t="shared" si="1"/>
        <v>31</v>
      </c>
      <c r="J128" s="56"/>
      <c r="K128" s="75"/>
      <c r="L128" s="76"/>
      <c r="M128" s="59"/>
      <c r="N128" s="60">
        <v>232.0</v>
      </c>
      <c r="O128" s="61">
        <v>250.0</v>
      </c>
      <c r="P128" s="62">
        <v>270.0</v>
      </c>
      <c r="Q128" s="63">
        <v>270.0</v>
      </c>
      <c r="R128" s="64">
        <v>310.0</v>
      </c>
      <c r="S128" s="111">
        <v>326.0</v>
      </c>
      <c r="T128" s="65">
        <f t="shared" si="2"/>
        <v>52.16</v>
      </c>
      <c r="U128" s="65">
        <f t="shared" si="3"/>
        <v>378.16</v>
      </c>
      <c r="V128" s="66">
        <f t="shared" si="4"/>
        <v>0.05161290323</v>
      </c>
      <c r="W128" s="67">
        <f t="shared" si="5"/>
        <v>309.7</v>
      </c>
      <c r="X128" s="67">
        <f t="shared" si="6"/>
        <v>49.552</v>
      </c>
      <c r="Y128" s="67">
        <f t="shared" si="7"/>
        <v>359.252</v>
      </c>
      <c r="Z128" s="67">
        <f t="shared" si="8"/>
        <v>293.4</v>
      </c>
      <c r="AA128" s="67">
        <f t="shared" si="9"/>
        <v>46.944</v>
      </c>
      <c r="AB128" s="67">
        <f t="shared" si="10"/>
        <v>340.344</v>
      </c>
      <c r="AC128" s="67">
        <f t="shared" si="11"/>
        <v>277.1</v>
      </c>
      <c r="AD128" s="67">
        <f t="shared" si="12"/>
        <v>44.336</v>
      </c>
      <c r="AE128" s="67">
        <f t="shared" si="13"/>
        <v>321.436</v>
      </c>
      <c r="AF128" s="67">
        <f t="shared" si="14"/>
        <v>270.58</v>
      </c>
      <c r="AG128" s="67">
        <f t="shared" si="15"/>
        <v>43.2928</v>
      </c>
      <c r="AH128" s="67">
        <f t="shared" si="16"/>
        <v>313.8728</v>
      </c>
      <c r="AI128" s="67">
        <f t="shared" si="17"/>
        <v>260.8</v>
      </c>
      <c r="AJ128" s="68">
        <f t="shared" si="20"/>
        <v>41.728</v>
      </c>
      <c r="AK128" s="68">
        <f t="shared" si="21"/>
        <v>302.528</v>
      </c>
      <c r="AL128" s="70">
        <f>IFERROR(__xludf.DUMMYFUNCTION("""COMPUTED_VALUE"""),1.0)</f>
        <v>1</v>
      </c>
      <c r="AM128" s="70"/>
      <c r="AN128" s="71" t="str">
        <f>IFERROR(__xludf.DUMMYFUNCTION("""COMPUTED_VALUE""")," C")</f>
        <v>C</v>
      </c>
      <c r="AO128" s="71" t="str">
        <f>IFERROR(__xludf.DUMMYFUNCTION("""COMPUTED_VALUE""")," BH17")</f>
        <v>BH17</v>
      </c>
      <c r="AP128" s="71" t="str">
        <f>IFERROR(__xludf.DUMMYFUNCTION("""COMPUTED_VALUE""")," PZA")</f>
        <v>PZA</v>
      </c>
      <c r="AQ128" s="71" t="str">
        <f>IFERROR(__xludf.DUMMYFUNCTION("""COMPUTED_VALUE""")," REF")</f>
        <v>REF</v>
      </c>
      <c r="AR128" s="71" t="str">
        <f>IFERROR(__xludf.DUMMYFUNCTION("""COMPUTED_VALUE""")," BANDA DE HULE B-31 (BLACKGOLD)")</f>
        <v>BANDA DE HULE B-31 (BLACKGOLD)</v>
      </c>
      <c r="AS128" s="71" t="str">
        <f>IFERROR(__xludf.DUMMYFUNCTION("""COMPUTED_VALUE""")," BANDA DE HULE B-31 (BLACKGOLD)")</f>
        <v>BANDA DE HULE B-31 (BLACKGOLD)</v>
      </c>
      <c r="AT128" s="71">
        <f>IFERROR(__xludf.DUMMYFUNCTION("""COMPUTED_VALUE"""),30.0)</f>
        <v>30</v>
      </c>
      <c r="AU128" s="71"/>
      <c r="AV128" s="71"/>
      <c r="AW128" s="71"/>
      <c r="AX128" s="71"/>
      <c r="AY128" s="71">
        <f>IFERROR(__xludf.DUMMYFUNCTION("""COMPUTED_VALUE"""),72.0)</f>
        <v>72</v>
      </c>
      <c r="AZ128" s="71">
        <f>IFERROR(__xludf.DUMMYFUNCTION("""COMPUTED_VALUE"""),82.0)</f>
        <v>82</v>
      </c>
      <c r="BA128" s="71">
        <f>IFERROR(__xludf.DUMMYFUNCTION("""COMPUTED_VALUE"""),88.56)</f>
        <v>88.56</v>
      </c>
      <c r="BB128" s="71">
        <f>IFERROR(__xludf.DUMMYFUNCTION("""COMPUTED_VALUE"""),88.56)</f>
        <v>88.56</v>
      </c>
      <c r="BC128" s="71">
        <f>IFERROR(__xludf.DUMMYFUNCTION("""COMPUTED_VALUE"""),99.0)</f>
        <v>99</v>
      </c>
      <c r="BD128" s="71">
        <f>IFERROR(__xludf.DUMMYFUNCTION("""COMPUTED_VALUE"""),104.0)</f>
        <v>104</v>
      </c>
      <c r="BE128" s="71">
        <f>IFERROR(__xludf.DUMMYFUNCTION("""COMPUTED_VALUE"""),16.64)</f>
        <v>16.64</v>
      </c>
      <c r="BF128" s="71">
        <f>IFERROR(__xludf.DUMMYFUNCTION("""COMPUTED_VALUE"""),120.64)</f>
        <v>120.64</v>
      </c>
      <c r="BG128" s="71">
        <f>IFERROR(__xludf.DUMMYFUNCTION("""COMPUTED_VALUE"""),0.050505050505050504)</f>
        <v>0.05050505051</v>
      </c>
      <c r="BH128" s="71">
        <f>IFERROR(__xludf.DUMMYFUNCTION("""COMPUTED_VALUE"""),98.8)</f>
        <v>98.8</v>
      </c>
      <c r="BI128" s="71">
        <f>IFERROR(__xludf.DUMMYFUNCTION("""COMPUTED_VALUE"""),15.808)</f>
        <v>15.808</v>
      </c>
      <c r="BJ128" s="71">
        <f>IFERROR(__xludf.DUMMYFUNCTION("""COMPUTED_VALUE"""),114.608)</f>
        <v>114.608</v>
      </c>
      <c r="BK128" s="71">
        <f>IFERROR(__xludf.DUMMYFUNCTION("""COMPUTED_VALUE"""),93.60000000000001)</f>
        <v>93.6</v>
      </c>
      <c r="BL128" s="71">
        <f>IFERROR(__xludf.DUMMYFUNCTION("""COMPUTED_VALUE"""),14.976)</f>
        <v>14.976</v>
      </c>
      <c r="BM128" s="71">
        <f>IFERROR(__xludf.DUMMYFUNCTION("""COMPUTED_VALUE"""),108.57600000000001)</f>
        <v>108.576</v>
      </c>
      <c r="BN128" s="71">
        <f>IFERROR(__xludf.DUMMYFUNCTION("""COMPUTED_VALUE"""),88.39999999999999)</f>
        <v>88.4</v>
      </c>
      <c r="BO128" s="71">
        <f>IFERROR(__xludf.DUMMYFUNCTION("""COMPUTED_VALUE"""),14.143999999999998)</f>
        <v>14.144</v>
      </c>
      <c r="BP128" s="71">
        <f>IFERROR(__xludf.DUMMYFUNCTION("""COMPUTED_VALUE"""),102.54399999999998)</f>
        <v>102.544</v>
      </c>
      <c r="BQ128" s="71">
        <f>IFERROR(__xludf.DUMMYFUNCTION("""COMPUTED_VALUE"""),86.32)</f>
        <v>86.32</v>
      </c>
      <c r="BR128" s="71">
        <f>IFERROR(__xludf.DUMMYFUNCTION("""COMPUTED_VALUE"""),13.8112)</f>
        <v>13.8112</v>
      </c>
      <c r="BS128" s="71">
        <f>IFERROR(__xludf.DUMMYFUNCTION("""COMPUTED_VALUE"""),100.13119999999999)</f>
        <v>100.1312</v>
      </c>
      <c r="BT128" s="71">
        <f>IFERROR(__xludf.DUMMYFUNCTION("""COMPUTED_VALUE"""),83.2)</f>
        <v>83.2</v>
      </c>
      <c r="BU128" s="71">
        <f>IFERROR(__xludf.DUMMYFUNCTION("""COMPUTED_VALUE"""),13.312000000000001)</f>
        <v>13.312</v>
      </c>
      <c r="BV128" s="71">
        <f>IFERROR(__xludf.DUMMYFUNCTION("""COMPUTED_VALUE"""),96.512)</f>
        <v>96.512</v>
      </c>
    </row>
    <row r="129">
      <c r="A129" s="53"/>
      <c r="B129" s="72"/>
      <c r="C129" s="53" t="s">
        <v>12</v>
      </c>
      <c r="D129" s="53" t="s">
        <v>357</v>
      </c>
      <c r="E129" s="54" t="s">
        <v>38</v>
      </c>
      <c r="F129" s="54" t="s">
        <v>42</v>
      </c>
      <c r="G129" s="55" t="s">
        <v>358</v>
      </c>
      <c r="H129" s="55" t="s">
        <v>358</v>
      </c>
      <c r="I129" s="54">
        <f t="shared" si="1"/>
        <v>24</v>
      </c>
      <c r="J129" s="56"/>
      <c r="K129" s="57"/>
      <c r="L129" s="76"/>
      <c r="M129" s="59"/>
      <c r="N129" s="79">
        <v>390.0</v>
      </c>
      <c r="O129" s="61">
        <v>320.0</v>
      </c>
      <c r="P129" s="63">
        <v>345.6</v>
      </c>
      <c r="Q129" s="63">
        <v>345.6</v>
      </c>
      <c r="R129" s="64">
        <v>364.0</v>
      </c>
      <c r="S129" s="111">
        <v>382.0</v>
      </c>
      <c r="T129" s="65">
        <f t="shared" si="2"/>
        <v>61.12</v>
      </c>
      <c r="U129" s="65">
        <f t="shared" si="3"/>
        <v>443.12</v>
      </c>
      <c r="V129" s="66">
        <f t="shared" si="4"/>
        <v>0.04945054945</v>
      </c>
      <c r="W129" s="67">
        <f t="shared" si="5"/>
        <v>362.9</v>
      </c>
      <c r="X129" s="67">
        <f t="shared" si="6"/>
        <v>58.064</v>
      </c>
      <c r="Y129" s="67">
        <f t="shared" si="7"/>
        <v>420.964</v>
      </c>
      <c r="Z129" s="67">
        <f t="shared" si="8"/>
        <v>343.8</v>
      </c>
      <c r="AA129" s="67">
        <f t="shared" si="9"/>
        <v>55.008</v>
      </c>
      <c r="AB129" s="67">
        <f t="shared" si="10"/>
        <v>398.808</v>
      </c>
      <c r="AC129" s="67">
        <f t="shared" si="11"/>
        <v>324.7</v>
      </c>
      <c r="AD129" s="67">
        <f t="shared" si="12"/>
        <v>51.952</v>
      </c>
      <c r="AE129" s="67">
        <f t="shared" si="13"/>
        <v>376.652</v>
      </c>
      <c r="AF129" s="67">
        <f t="shared" si="14"/>
        <v>317.06</v>
      </c>
      <c r="AG129" s="67">
        <f t="shared" si="15"/>
        <v>50.7296</v>
      </c>
      <c r="AH129" s="67">
        <f t="shared" si="16"/>
        <v>367.7896</v>
      </c>
      <c r="AI129" s="67">
        <f t="shared" si="17"/>
        <v>305.6</v>
      </c>
      <c r="AJ129" s="68">
        <f t="shared" si="20"/>
        <v>48.896</v>
      </c>
      <c r="AK129" s="68">
        <f t="shared" si="21"/>
        <v>354.496</v>
      </c>
      <c r="AL129" s="70">
        <f>IFERROR(__xludf.DUMMYFUNCTION("""COMPUTED_VALUE"""),1.0)</f>
        <v>1</v>
      </c>
      <c r="AM129" s="70"/>
      <c r="AN129" s="71" t="str">
        <f>IFERROR(__xludf.DUMMYFUNCTION("""COMPUTED_VALUE""")," C")</f>
        <v>C</v>
      </c>
      <c r="AO129" s="71" t="str">
        <f>IFERROR(__xludf.DUMMYFUNCTION("""COMPUTED_VALUE""")," BH42")</f>
        <v>BH42</v>
      </c>
      <c r="AP129" s="71" t="str">
        <f>IFERROR(__xludf.DUMMYFUNCTION("""COMPUTED_VALUE""")," PZA")</f>
        <v>PZA</v>
      </c>
      <c r="AQ129" s="71" t="str">
        <f>IFERROR(__xludf.DUMMYFUNCTION("""COMPUTED_VALUE""")," REF")</f>
        <v>REF</v>
      </c>
      <c r="AR129" s="71" t="str">
        <f>IFERROR(__xludf.DUMMYFUNCTION("""COMPUTED_VALUE""")," BANDA DE HULE B-31 (GATES)")</f>
        <v>BANDA DE HULE B-31 (GATES)</v>
      </c>
      <c r="AS129" s="71" t="str">
        <f>IFERROR(__xludf.DUMMYFUNCTION("""COMPUTED_VALUE""")," BANDA DE HULE B-31 (GATES)")</f>
        <v>BANDA DE HULE B-31 (GATES)</v>
      </c>
      <c r="AT129" s="71">
        <f>IFERROR(__xludf.DUMMYFUNCTION("""COMPUTED_VALUE"""),26.0)</f>
        <v>26</v>
      </c>
      <c r="AU129" s="71"/>
      <c r="AV129" s="71"/>
      <c r="AW129" s="71"/>
      <c r="AX129" s="71"/>
      <c r="AY129" s="71">
        <f>IFERROR(__xludf.DUMMYFUNCTION("""COMPUTED_VALUE"""),140.0)</f>
        <v>140</v>
      </c>
      <c r="AZ129" s="71">
        <f>IFERROR(__xludf.DUMMYFUNCTION("""COMPUTED_VALUE"""),151.0)</f>
        <v>151</v>
      </c>
      <c r="BA129" s="71">
        <f>IFERROR(__xludf.DUMMYFUNCTION("""COMPUTED_VALUE"""),163.08)</f>
        <v>163.08</v>
      </c>
      <c r="BB129" s="71">
        <f>IFERROR(__xludf.DUMMYFUNCTION("""COMPUTED_VALUE"""),163.08)</f>
        <v>163.08</v>
      </c>
      <c r="BC129" s="71">
        <f>IFERROR(__xludf.DUMMYFUNCTION("""COMPUTED_VALUE"""),182.0)</f>
        <v>182</v>
      </c>
      <c r="BD129" s="71">
        <f>IFERROR(__xludf.DUMMYFUNCTION("""COMPUTED_VALUE"""),191.0)</f>
        <v>191</v>
      </c>
      <c r="BE129" s="71">
        <f>IFERROR(__xludf.DUMMYFUNCTION("""COMPUTED_VALUE"""),30.560000000000002)</f>
        <v>30.56</v>
      </c>
      <c r="BF129" s="71">
        <f>IFERROR(__xludf.DUMMYFUNCTION("""COMPUTED_VALUE"""),221.56)</f>
        <v>221.56</v>
      </c>
      <c r="BG129" s="71">
        <f>IFERROR(__xludf.DUMMYFUNCTION("""COMPUTED_VALUE"""),0.04945054945054945)</f>
        <v>0.04945054945</v>
      </c>
      <c r="BH129" s="71">
        <f>IFERROR(__xludf.DUMMYFUNCTION("""COMPUTED_VALUE"""),181.45)</f>
        <v>181.45</v>
      </c>
      <c r="BI129" s="71">
        <f>IFERROR(__xludf.DUMMYFUNCTION("""COMPUTED_VALUE"""),29.032)</f>
        <v>29.032</v>
      </c>
      <c r="BJ129" s="71">
        <f>IFERROR(__xludf.DUMMYFUNCTION("""COMPUTED_VALUE"""),210.482)</f>
        <v>210.482</v>
      </c>
      <c r="BK129" s="71">
        <f>IFERROR(__xludf.DUMMYFUNCTION("""COMPUTED_VALUE"""),171.9)</f>
        <v>171.9</v>
      </c>
      <c r="BL129" s="71">
        <f>IFERROR(__xludf.DUMMYFUNCTION("""COMPUTED_VALUE"""),27.504)</f>
        <v>27.504</v>
      </c>
      <c r="BM129" s="71">
        <f>IFERROR(__xludf.DUMMYFUNCTION("""COMPUTED_VALUE"""),199.404)</f>
        <v>199.404</v>
      </c>
      <c r="BN129" s="71">
        <f>IFERROR(__xludf.DUMMYFUNCTION("""COMPUTED_VALUE"""),162.35)</f>
        <v>162.35</v>
      </c>
      <c r="BO129" s="71">
        <f>IFERROR(__xludf.DUMMYFUNCTION("""COMPUTED_VALUE"""),25.976)</f>
        <v>25.976</v>
      </c>
      <c r="BP129" s="71">
        <f>IFERROR(__xludf.DUMMYFUNCTION("""COMPUTED_VALUE"""),188.326)</f>
        <v>188.326</v>
      </c>
      <c r="BQ129" s="71">
        <f>IFERROR(__xludf.DUMMYFUNCTION("""COMPUTED_VALUE"""),158.53)</f>
        <v>158.53</v>
      </c>
      <c r="BR129" s="71">
        <f>IFERROR(__xludf.DUMMYFUNCTION("""COMPUTED_VALUE"""),25.364800000000002)</f>
        <v>25.3648</v>
      </c>
      <c r="BS129" s="71">
        <f>IFERROR(__xludf.DUMMYFUNCTION("""COMPUTED_VALUE"""),183.8948)</f>
        <v>183.8948</v>
      </c>
      <c r="BT129" s="71">
        <f>IFERROR(__xludf.DUMMYFUNCTION("""COMPUTED_VALUE"""),152.8)</f>
        <v>152.8</v>
      </c>
      <c r="BU129" s="71">
        <f>IFERROR(__xludf.DUMMYFUNCTION("""COMPUTED_VALUE"""),24.448000000000004)</f>
        <v>24.448</v>
      </c>
      <c r="BV129" s="71">
        <f>IFERROR(__xludf.DUMMYFUNCTION("""COMPUTED_VALUE"""),177.24800000000002)</f>
        <v>177.248</v>
      </c>
    </row>
    <row r="130">
      <c r="A130" s="53">
        <v>1.0</v>
      </c>
      <c r="B130" s="72">
        <v>3.0</v>
      </c>
      <c r="C130" s="73" t="s">
        <v>12</v>
      </c>
      <c r="D130" s="74" t="s">
        <v>359</v>
      </c>
      <c r="E130" s="54" t="s">
        <v>38</v>
      </c>
      <c r="F130" s="54" t="s">
        <v>42</v>
      </c>
      <c r="G130" s="54" t="s">
        <v>360</v>
      </c>
      <c r="H130" s="54" t="s">
        <v>360</v>
      </c>
      <c r="I130" s="54">
        <f t="shared" si="1"/>
        <v>28</v>
      </c>
      <c r="J130" s="56"/>
      <c r="K130" s="75"/>
      <c r="L130" s="76"/>
      <c r="M130" s="59"/>
      <c r="N130" s="60">
        <v>388.0</v>
      </c>
      <c r="O130" s="61">
        <v>419.0</v>
      </c>
      <c r="P130" s="62">
        <v>452.52000000000004</v>
      </c>
      <c r="Q130" s="63">
        <v>452.52000000000004</v>
      </c>
      <c r="R130" s="64">
        <v>504.0</v>
      </c>
      <c r="S130" s="111">
        <v>529.0</v>
      </c>
      <c r="T130" s="65">
        <f t="shared" si="2"/>
        <v>84.64</v>
      </c>
      <c r="U130" s="65">
        <f t="shared" si="3"/>
        <v>613.64</v>
      </c>
      <c r="V130" s="66">
        <f t="shared" si="4"/>
        <v>0.0496031746</v>
      </c>
      <c r="W130" s="67">
        <f t="shared" si="5"/>
        <v>502.55</v>
      </c>
      <c r="X130" s="67">
        <f t="shared" si="6"/>
        <v>80.408</v>
      </c>
      <c r="Y130" s="67">
        <f t="shared" si="7"/>
        <v>582.958</v>
      </c>
      <c r="Z130" s="67">
        <f t="shared" si="8"/>
        <v>476.1</v>
      </c>
      <c r="AA130" s="67">
        <f t="shared" si="9"/>
        <v>76.176</v>
      </c>
      <c r="AB130" s="67">
        <f t="shared" si="10"/>
        <v>552.276</v>
      </c>
      <c r="AC130" s="67">
        <f t="shared" si="11"/>
        <v>476.1</v>
      </c>
      <c r="AD130" s="67">
        <f t="shared" si="12"/>
        <v>76.176</v>
      </c>
      <c r="AE130" s="67">
        <f t="shared" si="13"/>
        <v>552.276</v>
      </c>
      <c r="AF130" s="67">
        <f t="shared" si="14"/>
        <v>476.1</v>
      </c>
      <c r="AG130" s="67">
        <f t="shared" si="15"/>
        <v>76.176</v>
      </c>
      <c r="AH130" s="67">
        <f t="shared" si="16"/>
        <v>552.276</v>
      </c>
      <c r="AI130" s="67">
        <f t="shared" si="17"/>
        <v>476.1</v>
      </c>
      <c r="AJ130" s="68">
        <f t="shared" si="20"/>
        <v>76.176</v>
      </c>
      <c r="AK130" s="68">
        <f t="shared" si="21"/>
        <v>552.276</v>
      </c>
      <c r="AL130" s="70">
        <f>IFERROR(__xludf.DUMMYFUNCTION("""COMPUTED_VALUE"""),1.0)</f>
        <v>1</v>
      </c>
      <c r="AM130" s="70"/>
      <c r="AN130" s="71" t="str">
        <f>IFERROR(__xludf.DUMMYFUNCTION("""COMPUTED_VALUE""")," C")</f>
        <v>C</v>
      </c>
      <c r="AO130" s="71" t="str">
        <f>IFERROR(__xludf.DUMMYFUNCTION("""COMPUTED_VALUE""")," BH18")</f>
        <v>BH18</v>
      </c>
      <c r="AP130" s="71" t="str">
        <f>IFERROR(__xludf.DUMMYFUNCTION("""COMPUTED_VALUE""")," PZA")</f>
        <v>PZA</v>
      </c>
      <c r="AQ130" s="71" t="str">
        <f>IFERROR(__xludf.DUMMYFUNCTION("""COMPUTED_VALUE""")," REF")</f>
        <v>REF</v>
      </c>
      <c r="AR130" s="71" t="str">
        <f>IFERROR(__xludf.DUMMYFUNCTION("""COMPUTED_VALUE""")," BANDA DE HULE B-32 (BLACKGOLD)")</f>
        <v>BANDA DE HULE B-32 (BLACKGOLD)</v>
      </c>
      <c r="AS130" s="71" t="str">
        <f>IFERROR(__xludf.DUMMYFUNCTION("""COMPUTED_VALUE""")," BANDA DE HULE B-32 (BLACKGOLD)")</f>
        <v>BANDA DE HULE B-32 (BLACKGOLD)</v>
      </c>
      <c r="AT130" s="71">
        <f>IFERROR(__xludf.DUMMYFUNCTION("""COMPUTED_VALUE"""),30.0)</f>
        <v>30</v>
      </c>
      <c r="AU130" s="71"/>
      <c r="AV130" s="71"/>
      <c r="AW130" s="71"/>
      <c r="AX130" s="71"/>
      <c r="AY130" s="71">
        <f>IFERROR(__xludf.DUMMYFUNCTION("""COMPUTED_VALUE"""),73.0)</f>
        <v>73</v>
      </c>
      <c r="AZ130" s="71">
        <f>IFERROR(__xludf.DUMMYFUNCTION("""COMPUTED_VALUE"""),84.0)</f>
        <v>84</v>
      </c>
      <c r="BA130" s="71">
        <f>IFERROR(__xludf.DUMMYFUNCTION("""COMPUTED_VALUE"""),90.72)</f>
        <v>90.72</v>
      </c>
      <c r="BB130" s="71">
        <f>IFERROR(__xludf.DUMMYFUNCTION("""COMPUTED_VALUE"""),90.72)</f>
        <v>90.72</v>
      </c>
      <c r="BC130" s="71">
        <f>IFERROR(__xludf.DUMMYFUNCTION("""COMPUTED_VALUE"""),102.0)</f>
        <v>102</v>
      </c>
      <c r="BD130" s="71">
        <f>IFERROR(__xludf.DUMMYFUNCTION("""COMPUTED_VALUE"""),107.0)</f>
        <v>107</v>
      </c>
      <c r="BE130" s="71">
        <f>IFERROR(__xludf.DUMMYFUNCTION("""COMPUTED_VALUE"""),17.12)</f>
        <v>17.12</v>
      </c>
      <c r="BF130" s="71">
        <f>IFERROR(__xludf.DUMMYFUNCTION("""COMPUTED_VALUE"""),124.12)</f>
        <v>124.12</v>
      </c>
      <c r="BG130" s="71">
        <f>IFERROR(__xludf.DUMMYFUNCTION("""COMPUTED_VALUE"""),0.049019607843137254)</f>
        <v>0.04901960784</v>
      </c>
      <c r="BH130" s="71">
        <f>IFERROR(__xludf.DUMMYFUNCTION("""COMPUTED_VALUE"""),101.64999999999999)</f>
        <v>101.65</v>
      </c>
      <c r="BI130" s="71">
        <f>IFERROR(__xludf.DUMMYFUNCTION("""COMPUTED_VALUE"""),16.264)</f>
        <v>16.264</v>
      </c>
      <c r="BJ130" s="71">
        <f>IFERROR(__xludf.DUMMYFUNCTION("""COMPUTED_VALUE"""),117.91399999999999)</f>
        <v>117.914</v>
      </c>
      <c r="BK130" s="71">
        <f>IFERROR(__xludf.DUMMYFUNCTION("""COMPUTED_VALUE"""),96.3)</f>
        <v>96.3</v>
      </c>
      <c r="BL130" s="71">
        <f>IFERROR(__xludf.DUMMYFUNCTION("""COMPUTED_VALUE"""),15.408)</f>
        <v>15.408</v>
      </c>
      <c r="BM130" s="71">
        <f>IFERROR(__xludf.DUMMYFUNCTION("""COMPUTED_VALUE"""),111.708)</f>
        <v>111.708</v>
      </c>
      <c r="BN130" s="71">
        <f>IFERROR(__xludf.DUMMYFUNCTION("""COMPUTED_VALUE"""),90.95)</f>
        <v>90.95</v>
      </c>
      <c r="BO130" s="71">
        <f>IFERROR(__xludf.DUMMYFUNCTION("""COMPUTED_VALUE"""),14.552000000000001)</f>
        <v>14.552</v>
      </c>
      <c r="BP130" s="71">
        <f>IFERROR(__xludf.DUMMYFUNCTION("""COMPUTED_VALUE"""),105.50200000000001)</f>
        <v>105.502</v>
      </c>
      <c r="BQ130" s="71">
        <f>IFERROR(__xludf.DUMMYFUNCTION("""COMPUTED_VALUE"""),88.81)</f>
        <v>88.81</v>
      </c>
      <c r="BR130" s="71">
        <f>IFERROR(__xludf.DUMMYFUNCTION("""COMPUTED_VALUE"""),14.2096)</f>
        <v>14.2096</v>
      </c>
      <c r="BS130" s="71">
        <f>IFERROR(__xludf.DUMMYFUNCTION("""COMPUTED_VALUE"""),103.0196)</f>
        <v>103.0196</v>
      </c>
      <c r="BT130" s="71">
        <f>IFERROR(__xludf.DUMMYFUNCTION("""COMPUTED_VALUE"""),85.60000000000001)</f>
        <v>85.6</v>
      </c>
      <c r="BU130" s="71">
        <f>IFERROR(__xludf.DUMMYFUNCTION("""COMPUTED_VALUE"""),13.696000000000002)</f>
        <v>13.696</v>
      </c>
      <c r="BV130" s="71">
        <f>IFERROR(__xludf.DUMMYFUNCTION("""COMPUTED_VALUE"""),99.296)</f>
        <v>99.296</v>
      </c>
    </row>
    <row r="131">
      <c r="A131" s="53">
        <v>1.0</v>
      </c>
      <c r="B131" s="53"/>
      <c r="C131" s="53" t="s">
        <v>12</v>
      </c>
      <c r="D131" s="53" t="s">
        <v>361</v>
      </c>
      <c r="E131" s="54" t="s">
        <v>38</v>
      </c>
      <c r="F131" s="54" t="s">
        <v>42</v>
      </c>
      <c r="G131" s="55" t="s">
        <v>362</v>
      </c>
      <c r="H131" s="55" t="s">
        <v>362</v>
      </c>
      <c r="I131" s="54">
        <f t="shared" si="1"/>
        <v>23</v>
      </c>
      <c r="J131" s="56"/>
      <c r="K131" s="57"/>
      <c r="L131" s="76"/>
      <c r="M131" s="59"/>
      <c r="N131" s="79">
        <v>64.0</v>
      </c>
      <c r="O131" s="61">
        <v>69.0</v>
      </c>
      <c r="P131" s="63">
        <v>74.52000000000001</v>
      </c>
      <c r="Q131" s="63">
        <v>74.52000000000001</v>
      </c>
      <c r="R131" s="64">
        <v>79.0</v>
      </c>
      <c r="S131" s="111">
        <v>83.0</v>
      </c>
      <c r="T131" s="65">
        <f t="shared" si="2"/>
        <v>13.28</v>
      </c>
      <c r="U131" s="65">
        <f t="shared" si="3"/>
        <v>96.28</v>
      </c>
      <c r="V131" s="66">
        <f t="shared" si="4"/>
        <v>0.05063291139</v>
      </c>
      <c r="W131" s="67">
        <f t="shared" si="5"/>
        <v>78.85</v>
      </c>
      <c r="X131" s="67">
        <f t="shared" si="6"/>
        <v>12.616</v>
      </c>
      <c r="Y131" s="67">
        <f t="shared" si="7"/>
        <v>91.466</v>
      </c>
      <c r="Z131" s="67">
        <f t="shared" si="8"/>
        <v>74.7</v>
      </c>
      <c r="AA131" s="67">
        <f t="shared" si="9"/>
        <v>11.952</v>
      </c>
      <c r="AB131" s="67">
        <f t="shared" si="10"/>
        <v>86.652</v>
      </c>
      <c r="AC131" s="67">
        <f t="shared" si="11"/>
        <v>70.55</v>
      </c>
      <c r="AD131" s="67">
        <f t="shared" si="12"/>
        <v>11.288</v>
      </c>
      <c r="AE131" s="67">
        <f t="shared" si="13"/>
        <v>81.838</v>
      </c>
      <c r="AF131" s="67">
        <f t="shared" si="14"/>
        <v>68.89</v>
      </c>
      <c r="AG131" s="67">
        <f t="shared" si="15"/>
        <v>11.0224</v>
      </c>
      <c r="AH131" s="67">
        <f t="shared" si="16"/>
        <v>79.9124</v>
      </c>
      <c r="AI131" s="67">
        <f t="shared" si="17"/>
        <v>66.4</v>
      </c>
      <c r="AJ131" s="68">
        <f t="shared" si="20"/>
        <v>10.624</v>
      </c>
      <c r="AK131" s="68">
        <f t="shared" si="21"/>
        <v>77.024</v>
      </c>
      <c r="AL131" s="70">
        <f>IFERROR(__xludf.DUMMYFUNCTION("""COMPUTED_VALUE"""),1.0)</f>
        <v>1</v>
      </c>
      <c r="AM131" s="70"/>
      <c r="AN131" s="71" t="str">
        <f>IFERROR(__xludf.DUMMYFUNCTION("""COMPUTED_VALUE""")," C")</f>
        <v>C</v>
      </c>
      <c r="AO131" s="71" t="str">
        <f>IFERROR(__xludf.DUMMYFUNCTION("""COMPUTED_VALUE""")," BH43")</f>
        <v>BH43</v>
      </c>
      <c r="AP131" s="71" t="str">
        <f>IFERROR(__xludf.DUMMYFUNCTION("""COMPUTED_VALUE""")," PZA")</f>
        <v>PZA</v>
      </c>
      <c r="AQ131" s="71" t="str">
        <f>IFERROR(__xludf.DUMMYFUNCTION("""COMPUTED_VALUE""")," REF")</f>
        <v>REF</v>
      </c>
      <c r="AR131" s="71" t="str">
        <f>IFERROR(__xludf.DUMMYFUNCTION("""COMPUTED_VALUE""")," BANDA DE HULE B-32 (GATES)")</f>
        <v>BANDA DE HULE B-32 (GATES)</v>
      </c>
      <c r="AS131" s="71" t="str">
        <f>IFERROR(__xludf.DUMMYFUNCTION("""COMPUTED_VALUE""")," BANDA DE HULE B-32 (GATES)")</f>
        <v>BANDA DE HULE B-32 (GATES)</v>
      </c>
      <c r="AT131" s="71">
        <f>IFERROR(__xludf.DUMMYFUNCTION("""COMPUTED_VALUE"""),26.0)</f>
        <v>26</v>
      </c>
      <c r="AU131" s="71"/>
      <c r="AV131" s="71"/>
      <c r="AW131" s="71"/>
      <c r="AX131" s="71"/>
      <c r="AY131" s="71">
        <f>IFERROR(__xludf.DUMMYFUNCTION("""COMPUTED_VALUE"""),145.0)</f>
        <v>145</v>
      </c>
      <c r="AZ131" s="71">
        <f>IFERROR(__xludf.DUMMYFUNCTION("""COMPUTED_VALUE"""),156.0)</f>
        <v>156</v>
      </c>
      <c r="BA131" s="71">
        <f>IFERROR(__xludf.DUMMYFUNCTION("""COMPUTED_VALUE"""),168.48000000000002)</f>
        <v>168.48</v>
      </c>
      <c r="BB131" s="71">
        <f>IFERROR(__xludf.DUMMYFUNCTION("""COMPUTED_VALUE"""),168.48000000000002)</f>
        <v>168.48</v>
      </c>
      <c r="BC131" s="71">
        <f>IFERROR(__xludf.DUMMYFUNCTION("""COMPUTED_VALUE"""),188.0)</f>
        <v>188</v>
      </c>
      <c r="BD131" s="71">
        <f>IFERROR(__xludf.DUMMYFUNCTION("""COMPUTED_VALUE"""),197.0)</f>
        <v>197</v>
      </c>
      <c r="BE131" s="71">
        <f>IFERROR(__xludf.DUMMYFUNCTION("""COMPUTED_VALUE"""),31.52)</f>
        <v>31.52</v>
      </c>
      <c r="BF131" s="71">
        <f>IFERROR(__xludf.DUMMYFUNCTION("""COMPUTED_VALUE"""),228.52)</f>
        <v>228.52</v>
      </c>
      <c r="BG131" s="71">
        <f>IFERROR(__xludf.DUMMYFUNCTION("""COMPUTED_VALUE"""),0.047872340425531915)</f>
        <v>0.04787234043</v>
      </c>
      <c r="BH131" s="71">
        <f>IFERROR(__xludf.DUMMYFUNCTION("""COMPUTED_VALUE"""),187.14999999999998)</f>
        <v>187.15</v>
      </c>
      <c r="BI131" s="71">
        <f>IFERROR(__xludf.DUMMYFUNCTION("""COMPUTED_VALUE"""),29.943999999999996)</f>
        <v>29.944</v>
      </c>
      <c r="BJ131" s="71">
        <f>IFERROR(__xludf.DUMMYFUNCTION("""COMPUTED_VALUE"""),217.09399999999997)</f>
        <v>217.094</v>
      </c>
      <c r="BK131" s="71">
        <f>IFERROR(__xludf.DUMMYFUNCTION("""COMPUTED_VALUE"""),177.3)</f>
        <v>177.3</v>
      </c>
      <c r="BL131" s="71">
        <f>IFERROR(__xludf.DUMMYFUNCTION("""COMPUTED_VALUE"""),28.368000000000002)</f>
        <v>28.368</v>
      </c>
      <c r="BM131" s="71">
        <f>IFERROR(__xludf.DUMMYFUNCTION("""COMPUTED_VALUE"""),205.668)</f>
        <v>205.668</v>
      </c>
      <c r="BN131" s="71">
        <f>IFERROR(__xludf.DUMMYFUNCTION("""COMPUTED_VALUE"""),167.45)</f>
        <v>167.45</v>
      </c>
      <c r="BO131" s="71">
        <f>IFERROR(__xludf.DUMMYFUNCTION("""COMPUTED_VALUE"""),26.791999999999998)</f>
        <v>26.792</v>
      </c>
      <c r="BP131" s="71">
        <f>IFERROR(__xludf.DUMMYFUNCTION("""COMPUTED_VALUE"""),194.242)</f>
        <v>194.242</v>
      </c>
      <c r="BQ131" s="71">
        <f>IFERROR(__xludf.DUMMYFUNCTION("""COMPUTED_VALUE"""),163.51)</f>
        <v>163.51</v>
      </c>
      <c r="BR131" s="71">
        <f>IFERROR(__xludf.DUMMYFUNCTION("""COMPUTED_VALUE"""),26.1616)</f>
        <v>26.1616</v>
      </c>
      <c r="BS131" s="71">
        <f>IFERROR(__xludf.DUMMYFUNCTION("""COMPUTED_VALUE"""),189.67159999999998)</f>
        <v>189.6716</v>
      </c>
      <c r="BT131" s="71">
        <f>IFERROR(__xludf.DUMMYFUNCTION("""COMPUTED_VALUE"""),157.60000000000002)</f>
        <v>157.6</v>
      </c>
      <c r="BU131" s="71">
        <f>IFERROR(__xludf.DUMMYFUNCTION("""COMPUTED_VALUE"""),25.216000000000005)</f>
        <v>25.216</v>
      </c>
      <c r="BV131" s="71">
        <f>IFERROR(__xludf.DUMMYFUNCTION("""COMPUTED_VALUE"""),182.81600000000003)</f>
        <v>182.816</v>
      </c>
    </row>
    <row r="132">
      <c r="A132" s="53">
        <v>1.0</v>
      </c>
      <c r="B132" s="53"/>
      <c r="C132" s="53" t="s">
        <v>12</v>
      </c>
      <c r="D132" s="53" t="s">
        <v>363</v>
      </c>
      <c r="E132" s="54" t="s">
        <v>38</v>
      </c>
      <c r="F132" s="54" t="s">
        <v>42</v>
      </c>
      <c r="G132" s="55" t="s">
        <v>364</v>
      </c>
      <c r="H132" s="55" t="s">
        <v>364</v>
      </c>
      <c r="I132" s="54">
        <f t="shared" si="1"/>
        <v>23</v>
      </c>
      <c r="J132" s="56"/>
      <c r="K132" s="75"/>
      <c r="L132" s="76"/>
      <c r="M132" s="59"/>
      <c r="N132" s="79">
        <v>48.0</v>
      </c>
      <c r="O132" s="61">
        <v>51.0</v>
      </c>
      <c r="P132" s="63">
        <v>55.080000000000005</v>
      </c>
      <c r="Q132" s="63">
        <v>55.080000000000005</v>
      </c>
      <c r="R132" s="64">
        <v>64.0</v>
      </c>
      <c r="S132" s="111">
        <v>67.0</v>
      </c>
      <c r="T132" s="65">
        <f t="shared" si="2"/>
        <v>10.72</v>
      </c>
      <c r="U132" s="65">
        <f t="shared" si="3"/>
        <v>77.72</v>
      </c>
      <c r="V132" s="66">
        <f t="shared" si="4"/>
        <v>0.046875</v>
      </c>
      <c r="W132" s="67">
        <f t="shared" si="5"/>
        <v>63.65</v>
      </c>
      <c r="X132" s="67">
        <f t="shared" si="6"/>
        <v>10.184</v>
      </c>
      <c r="Y132" s="67">
        <f t="shared" si="7"/>
        <v>73.834</v>
      </c>
      <c r="Z132" s="67">
        <f t="shared" si="8"/>
        <v>60.3</v>
      </c>
      <c r="AA132" s="67">
        <f t="shared" si="9"/>
        <v>9.648</v>
      </c>
      <c r="AB132" s="67">
        <f t="shared" si="10"/>
        <v>69.948</v>
      </c>
      <c r="AC132" s="67">
        <f t="shared" si="11"/>
        <v>56.95</v>
      </c>
      <c r="AD132" s="67">
        <f t="shared" si="12"/>
        <v>9.112</v>
      </c>
      <c r="AE132" s="67">
        <f t="shared" si="13"/>
        <v>66.062</v>
      </c>
      <c r="AF132" s="67">
        <f t="shared" si="14"/>
        <v>55.61</v>
      </c>
      <c r="AG132" s="67">
        <f t="shared" si="15"/>
        <v>8.8976</v>
      </c>
      <c r="AH132" s="67">
        <f t="shared" si="16"/>
        <v>64.5076</v>
      </c>
      <c r="AI132" s="67">
        <f t="shared" si="17"/>
        <v>53.6</v>
      </c>
      <c r="AJ132" s="68">
        <f t="shared" si="20"/>
        <v>8.576</v>
      </c>
      <c r="AK132" s="68">
        <f t="shared" si="21"/>
        <v>62.176</v>
      </c>
      <c r="AL132" s="70">
        <f>IFERROR(__xludf.DUMMYFUNCTION("""COMPUTED_VALUE"""),1.0)</f>
        <v>1</v>
      </c>
      <c r="AM132" s="70"/>
      <c r="AN132" s="71" t="str">
        <f>IFERROR(__xludf.DUMMYFUNCTION("""COMPUTED_VALUE""")," C")</f>
        <v>C</v>
      </c>
      <c r="AO132" s="71" t="str">
        <f>IFERROR(__xludf.DUMMYFUNCTION("""COMPUTED_VALUE""")," BH19")</f>
        <v>BH19</v>
      </c>
      <c r="AP132" s="71" t="str">
        <f>IFERROR(__xludf.DUMMYFUNCTION("""COMPUTED_VALUE""")," PZA")</f>
        <v>PZA</v>
      </c>
      <c r="AQ132" s="71" t="str">
        <f>IFERROR(__xludf.DUMMYFUNCTION("""COMPUTED_VALUE""")," REF")</f>
        <v>REF</v>
      </c>
      <c r="AR132" s="71" t="str">
        <f>IFERROR(__xludf.DUMMYFUNCTION("""COMPUTED_VALUE""")," BANDA DE HULE B-34 (BLACKGOLD)")</f>
        <v>BANDA DE HULE B-34 (BLACKGOLD)</v>
      </c>
      <c r="AS132" s="71" t="str">
        <f>IFERROR(__xludf.DUMMYFUNCTION("""COMPUTED_VALUE""")," BANDA DE HULE B-34 (BLACKGOLD)")</f>
        <v>BANDA DE HULE B-34 (BLACKGOLD)</v>
      </c>
      <c r="AT132" s="71">
        <f>IFERROR(__xludf.DUMMYFUNCTION("""COMPUTED_VALUE"""),30.0)</f>
        <v>30</v>
      </c>
      <c r="AU132" s="71"/>
      <c r="AV132" s="71"/>
      <c r="AW132" s="71"/>
      <c r="AX132" s="71"/>
      <c r="AY132" s="71">
        <f>IFERROR(__xludf.DUMMYFUNCTION("""COMPUTED_VALUE"""),77.0)</f>
        <v>77</v>
      </c>
      <c r="AZ132" s="71">
        <f>IFERROR(__xludf.DUMMYFUNCTION("""COMPUTED_VALUE"""),91.0)</f>
        <v>91</v>
      </c>
      <c r="BA132" s="71">
        <f>IFERROR(__xludf.DUMMYFUNCTION("""COMPUTED_VALUE"""),98.28)</f>
        <v>98.28</v>
      </c>
      <c r="BB132" s="71">
        <f>IFERROR(__xludf.DUMMYFUNCTION("""COMPUTED_VALUE"""),98.28)</f>
        <v>98.28</v>
      </c>
      <c r="BC132" s="71">
        <f>IFERROR(__xludf.DUMMYFUNCTION("""COMPUTED_VALUE"""),111.0)</f>
        <v>111</v>
      </c>
      <c r="BD132" s="71">
        <f>IFERROR(__xludf.DUMMYFUNCTION("""COMPUTED_VALUE"""),117.0)</f>
        <v>117</v>
      </c>
      <c r="BE132" s="71">
        <f>IFERROR(__xludf.DUMMYFUNCTION("""COMPUTED_VALUE"""),18.72)</f>
        <v>18.72</v>
      </c>
      <c r="BF132" s="71">
        <f>IFERROR(__xludf.DUMMYFUNCTION("""COMPUTED_VALUE"""),135.72)</f>
        <v>135.72</v>
      </c>
      <c r="BG132" s="71">
        <f>IFERROR(__xludf.DUMMYFUNCTION("""COMPUTED_VALUE"""),0.05405405405405406)</f>
        <v>0.05405405405</v>
      </c>
      <c r="BH132" s="71">
        <f>IFERROR(__xludf.DUMMYFUNCTION("""COMPUTED_VALUE"""),111.14999999999999)</f>
        <v>111.15</v>
      </c>
      <c r="BI132" s="71">
        <f>IFERROR(__xludf.DUMMYFUNCTION("""COMPUTED_VALUE"""),17.784)</f>
        <v>17.784</v>
      </c>
      <c r="BJ132" s="71">
        <f>IFERROR(__xludf.DUMMYFUNCTION("""COMPUTED_VALUE"""),128.934)</f>
        <v>128.934</v>
      </c>
      <c r="BK132" s="71">
        <f>IFERROR(__xludf.DUMMYFUNCTION("""COMPUTED_VALUE"""),105.3)</f>
        <v>105.3</v>
      </c>
      <c r="BL132" s="71">
        <f>IFERROR(__xludf.DUMMYFUNCTION("""COMPUTED_VALUE"""),16.848)</f>
        <v>16.848</v>
      </c>
      <c r="BM132" s="71">
        <f>IFERROR(__xludf.DUMMYFUNCTION("""COMPUTED_VALUE"""),122.148)</f>
        <v>122.148</v>
      </c>
      <c r="BN132" s="71">
        <f>IFERROR(__xludf.DUMMYFUNCTION("""COMPUTED_VALUE"""),99.45)</f>
        <v>99.45</v>
      </c>
      <c r="BO132" s="71">
        <f>IFERROR(__xludf.DUMMYFUNCTION("""COMPUTED_VALUE"""),15.912)</f>
        <v>15.912</v>
      </c>
      <c r="BP132" s="71">
        <f>IFERROR(__xludf.DUMMYFUNCTION("""COMPUTED_VALUE"""),115.36200000000001)</f>
        <v>115.362</v>
      </c>
      <c r="BQ132" s="71">
        <f>IFERROR(__xludf.DUMMYFUNCTION("""COMPUTED_VALUE"""),97.11)</f>
        <v>97.11</v>
      </c>
      <c r="BR132" s="71">
        <f>IFERROR(__xludf.DUMMYFUNCTION("""COMPUTED_VALUE"""),15.5376)</f>
        <v>15.5376</v>
      </c>
      <c r="BS132" s="71">
        <f>IFERROR(__xludf.DUMMYFUNCTION("""COMPUTED_VALUE"""),112.6476)</f>
        <v>112.6476</v>
      </c>
      <c r="BT132" s="71">
        <f>IFERROR(__xludf.DUMMYFUNCTION("""COMPUTED_VALUE"""),93.60000000000001)</f>
        <v>93.6</v>
      </c>
      <c r="BU132" s="71">
        <f>IFERROR(__xludf.DUMMYFUNCTION("""COMPUTED_VALUE"""),14.976)</f>
        <v>14.976</v>
      </c>
      <c r="BV132" s="71">
        <f>IFERROR(__xludf.DUMMYFUNCTION("""COMPUTED_VALUE"""),108.57600000000001)</f>
        <v>108.576</v>
      </c>
    </row>
    <row r="133">
      <c r="A133" s="53">
        <v>1.0</v>
      </c>
      <c r="B133" s="53"/>
      <c r="C133" s="53" t="s">
        <v>12</v>
      </c>
      <c r="D133" s="53" t="s">
        <v>365</v>
      </c>
      <c r="E133" s="54" t="s">
        <v>38</v>
      </c>
      <c r="F133" s="54" t="s">
        <v>42</v>
      </c>
      <c r="G133" s="55" t="s">
        <v>366</v>
      </c>
      <c r="H133" s="55" t="s">
        <v>366</v>
      </c>
      <c r="I133" s="54">
        <f t="shared" si="1"/>
        <v>20</v>
      </c>
      <c r="J133" s="56"/>
      <c r="K133" s="57"/>
      <c r="L133" s="76"/>
      <c r="M133" s="59"/>
      <c r="N133" s="79">
        <v>66.0</v>
      </c>
      <c r="O133" s="61">
        <v>71.0</v>
      </c>
      <c r="P133" s="63">
        <v>76.68</v>
      </c>
      <c r="Q133" s="63">
        <v>76.68</v>
      </c>
      <c r="R133" s="64">
        <v>81.0</v>
      </c>
      <c r="S133" s="111">
        <v>85.0</v>
      </c>
      <c r="T133" s="65">
        <f t="shared" si="2"/>
        <v>13.6</v>
      </c>
      <c r="U133" s="65">
        <f t="shared" si="3"/>
        <v>98.6</v>
      </c>
      <c r="V133" s="66">
        <f t="shared" si="4"/>
        <v>0.04938271605</v>
      </c>
      <c r="W133" s="67">
        <f t="shared" si="5"/>
        <v>80.75</v>
      </c>
      <c r="X133" s="67">
        <f t="shared" si="6"/>
        <v>12.92</v>
      </c>
      <c r="Y133" s="67">
        <f t="shared" si="7"/>
        <v>93.67</v>
      </c>
      <c r="Z133" s="67">
        <f t="shared" si="8"/>
        <v>76.5</v>
      </c>
      <c r="AA133" s="67">
        <f t="shared" si="9"/>
        <v>12.24</v>
      </c>
      <c r="AB133" s="67">
        <f t="shared" si="10"/>
        <v>88.74</v>
      </c>
      <c r="AC133" s="67">
        <f t="shared" si="11"/>
        <v>72.25</v>
      </c>
      <c r="AD133" s="67">
        <f t="shared" si="12"/>
        <v>11.56</v>
      </c>
      <c r="AE133" s="67">
        <f t="shared" si="13"/>
        <v>83.81</v>
      </c>
      <c r="AF133" s="67">
        <f t="shared" si="14"/>
        <v>70.55</v>
      </c>
      <c r="AG133" s="67">
        <f t="shared" si="15"/>
        <v>11.288</v>
      </c>
      <c r="AH133" s="67">
        <f t="shared" si="16"/>
        <v>81.838</v>
      </c>
      <c r="AI133" s="67">
        <f t="shared" si="17"/>
        <v>68</v>
      </c>
      <c r="AJ133" s="68">
        <f t="shared" si="20"/>
        <v>10.88</v>
      </c>
      <c r="AK133" s="68">
        <f t="shared" si="21"/>
        <v>78.88</v>
      </c>
      <c r="AL133" s="70">
        <f>IFERROR(__xludf.DUMMYFUNCTION("""COMPUTED_VALUE"""),1.0)</f>
        <v>1</v>
      </c>
      <c r="AM133" s="70"/>
      <c r="AN133" s="71" t="str">
        <f>IFERROR(__xludf.DUMMYFUNCTION("""COMPUTED_VALUE""")," C")</f>
        <v>C</v>
      </c>
      <c r="AO133" s="71" t="str">
        <f>IFERROR(__xludf.DUMMYFUNCTION("""COMPUTED_VALUE""")," BH44")</f>
        <v>BH44</v>
      </c>
      <c r="AP133" s="71" t="str">
        <f>IFERROR(__xludf.DUMMYFUNCTION("""COMPUTED_VALUE""")," PZA")</f>
        <v>PZA</v>
      </c>
      <c r="AQ133" s="71" t="str">
        <f>IFERROR(__xludf.DUMMYFUNCTION("""COMPUTED_VALUE""")," REF")</f>
        <v>REF</v>
      </c>
      <c r="AR133" s="71" t="str">
        <f>IFERROR(__xludf.DUMMYFUNCTION("""COMPUTED_VALUE""")," BANDA DE HULE B-34 (GATES)")</f>
        <v>BANDA DE HULE B-34 (GATES)</v>
      </c>
      <c r="AS133" s="71" t="str">
        <f>IFERROR(__xludf.DUMMYFUNCTION("""COMPUTED_VALUE""")," BANDA DE HULE B-34 (GATES)")</f>
        <v>BANDA DE HULE B-34 (GATES)</v>
      </c>
      <c r="AT133" s="71">
        <f>IFERROR(__xludf.DUMMYFUNCTION("""COMPUTED_VALUE"""),26.0)</f>
        <v>26</v>
      </c>
      <c r="AU133" s="71"/>
      <c r="AV133" s="71"/>
      <c r="AW133" s="71"/>
      <c r="AX133" s="71"/>
      <c r="AY133" s="71">
        <f>IFERROR(__xludf.DUMMYFUNCTION("""COMPUTED_VALUE"""),152.0)</f>
        <v>152</v>
      </c>
      <c r="AZ133" s="71">
        <f>IFERROR(__xludf.DUMMYFUNCTION("""COMPUTED_VALUE"""),164.0)</f>
        <v>164</v>
      </c>
      <c r="BA133" s="71">
        <f>IFERROR(__xludf.DUMMYFUNCTION("""COMPUTED_VALUE"""),177.12)</f>
        <v>177.12</v>
      </c>
      <c r="BB133" s="71">
        <f>IFERROR(__xludf.DUMMYFUNCTION("""COMPUTED_VALUE"""),177.12)</f>
        <v>177.12</v>
      </c>
      <c r="BC133" s="71">
        <f>IFERROR(__xludf.DUMMYFUNCTION("""COMPUTED_VALUE"""),198.0)</f>
        <v>198</v>
      </c>
      <c r="BD133" s="71">
        <f>IFERROR(__xludf.DUMMYFUNCTION("""COMPUTED_VALUE"""),208.0)</f>
        <v>208</v>
      </c>
      <c r="BE133" s="71">
        <f>IFERROR(__xludf.DUMMYFUNCTION("""COMPUTED_VALUE"""),33.28)</f>
        <v>33.28</v>
      </c>
      <c r="BF133" s="71">
        <f>IFERROR(__xludf.DUMMYFUNCTION("""COMPUTED_VALUE"""),241.28)</f>
        <v>241.28</v>
      </c>
      <c r="BG133" s="71">
        <f>IFERROR(__xludf.DUMMYFUNCTION("""COMPUTED_VALUE"""),0.050505050505050504)</f>
        <v>0.05050505051</v>
      </c>
      <c r="BH133" s="71">
        <f>IFERROR(__xludf.DUMMYFUNCTION("""COMPUTED_VALUE"""),197.6)</f>
        <v>197.6</v>
      </c>
      <c r="BI133" s="71">
        <f>IFERROR(__xludf.DUMMYFUNCTION("""COMPUTED_VALUE"""),31.616)</f>
        <v>31.616</v>
      </c>
      <c r="BJ133" s="71">
        <f>IFERROR(__xludf.DUMMYFUNCTION("""COMPUTED_VALUE"""),229.216)</f>
        <v>229.216</v>
      </c>
      <c r="BK133" s="71">
        <f>IFERROR(__xludf.DUMMYFUNCTION("""COMPUTED_VALUE"""),187.20000000000002)</f>
        <v>187.2</v>
      </c>
      <c r="BL133" s="71">
        <f>IFERROR(__xludf.DUMMYFUNCTION("""COMPUTED_VALUE"""),29.952)</f>
        <v>29.952</v>
      </c>
      <c r="BM133" s="71">
        <f>IFERROR(__xludf.DUMMYFUNCTION("""COMPUTED_VALUE"""),217.15200000000002)</f>
        <v>217.152</v>
      </c>
      <c r="BN133" s="71">
        <f>IFERROR(__xludf.DUMMYFUNCTION("""COMPUTED_VALUE"""),176.79999999999998)</f>
        <v>176.8</v>
      </c>
      <c r="BO133" s="71">
        <f>IFERROR(__xludf.DUMMYFUNCTION("""COMPUTED_VALUE"""),28.287999999999997)</f>
        <v>28.288</v>
      </c>
      <c r="BP133" s="71">
        <f>IFERROR(__xludf.DUMMYFUNCTION("""COMPUTED_VALUE"""),205.08799999999997)</f>
        <v>205.088</v>
      </c>
      <c r="BQ133" s="71">
        <f>IFERROR(__xludf.DUMMYFUNCTION("""COMPUTED_VALUE"""),172.64)</f>
        <v>172.64</v>
      </c>
      <c r="BR133" s="71">
        <f>IFERROR(__xludf.DUMMYFUNCTION("""COMPUTED_VALUE"""),27.6224)</f>
        <v>27.6224</v>
      </c>
      <c r="BS133" s="71">
        <f>IFERROR(__xludf.DUMMYFUNCTION("""COMPUTED_VALUE"""),200.26239999999999)</f>
        <v>200.2624</v>
      </c>
      <c r="BT133" s="71">
        <f>IFERROR(__xludf.DUMMYFUNCTION("""COMPUTED_VALUE"""),166.4)</f>
        <v>166.4</v>
      </c>
      <c r="BU133" s="71">
        <f>IFERROR(__xludf.DUMMYFUNCTION("""COMPUTED_VALUE"""),26.624000000000002)</f>
        <v>26.624</v>
      </c>
      <c r="BV133" s="71">
        <f>IFERROR(__xludf.DUMMYFUNCTION("""COMPUTED_VALUE"""),193.024)</f>
        <v>193.024</v>
      </c>
    </row>
    <row r="134">
      <c r="A134" s="53">
        <v>1.0</v>
      </c>
      <c r="B134" s="53"/>
      <c r="C134" s="53" t="s">
        <v>12</v>
      </c>
      <c r="D134" s="53" t="s">
        <v>367</v>
      </c>
      <c r="E134" s="54" t="s">
        <v>38</v>
      </c>
      <c r="F134" s="54" t="s">
        <v>42</v>
      </c>
      <c r="G134" s="55" t="s">
        <v>368</v>
      </c>
      <c r="H134" s="55" t="s">
        <v>368</v>
      </c>
      <c r="I134" s="54">
        <f t="shared" si="1"/>
        <v>20</v>
      </c>
      <c r="J134" s="56"/>
      <c r="K134" s="75"/>
      <c r="L134" s="76"/>
      <c r="M134" s="59"/>
      <c r="N134" s="79">
        <v>98.0</v>
      </c>
      <c r="O134" s="61">
        <v>105.0</v>
      </c>
      <c r="P134" s="63">
        <v>113.4</v>
      </c>
      <c r="Q134" s="63">
        <v>113.4</v>
      </c>
      <c r="R134" s="64">
        <v>119.0</v>
      </c>
      <c r="S134" s="111">
        <v>125.0</v>
      </c>
      <c r="T134" s="65">
        <f t="shared" si="2"/>
        <v>20</v>
      </c>
      <c r="U134" s="65">
        <f t="shared" si="3"/>
        <v>145</v>
      </c>
      <c r="V134" s="66">
        <f t="shared" si="4"/>
        <v>0.05042016807</v>
      </c>
      <c r="W134" s="67">
        <f t="shared" si="5"/>
        <v>118.75</v>
      </c>
      <c r="X134" s="67">
        <f t="shared" si="6"/>
        <v>19</v>
      </c>
      <c r="Y134" s="67">
        <f t="shared" si="7"/>
        <v>137.75</v>
      </c>
      <c r="Z134" s="67">
        <f t="shared" si="8"/>
        <v>112.5</v>
      </c>
      <c r="AA134" s="67">
        <f t="shared" si="9"/>
        <v>18</v>
      </c>
      <c r="AB134" s="67">
        <f t="shared" si="10"/>
        <v>130.5</v>
      </c>
      <c r="AC134" s="67">
        <f t="shared" si="11"/>
        <v>106.25</v>
      </c>
      <c r="AD134" s="67">
        <f t="shared" si="12"/>
        <v>17</v>
      </c>
      <c r="AE134" s="67">
        <f t="shared" si="13"/>
        <v>123.25</v>
      </c>
      <c r="AF134" s="67">
        <f t="shared" si="14"/>
        <v>103.75</v>
      </c>
      <c r="AG134" s="67">
        <f t="shared" si="15"/>
        <v>16.6</v>
      </c>
      <c r="AH134" s="67">
        <f t="shared" si="16"/>
        <v>120.35</v>
      </c>
      <c r="AI134" s="67">
        <f t="shared" si="17"/>
        <v>100</v>
      </c>
      <c r="AJ134" s="68">
        <f t="shared" si="20"/>
        <v>16</v>
      </c>
      <c r="AK134" s="68">
        <f t="shared" si="21"/>
        <v>116</v>
      </c>
      <c r="AL134" s="70">
        <f>IFERROR(__xludf.DUMMYFUNCTION("""COMPUTED_VALUE"""),1.0)</f>
        <v>1</v>
      </c>
      <c r="AM134" s="70"/>
      <c r="AN134" s="71" t="str">
        <f>IFERROR(__xludf.DUMMYFUNCTION("""COMPUTED_VALUE""")," C")</f>
        <v>C</v>
      </c>
      <c r="AO134" s="71" t="str">
        <f>IFERROR(__xludf.DUMMYFUNCTION("""COMPUTED_VALUE""")," BH96")</f>
        <v>BH96</v>
      </c>
      <c r="AP134" s="71" t="str">
        <f>IFERROR(__xludf.DUMMYFUNCTION("""COMPUTED_VALUE""")," PZA")</f>
        <v>PZA</v>
      </c>
      <c r="AQ134" s="71" t="str">
        <f>IFERROR(__xludf.DUMMYFUNCTION("""COMPUTED_VALUE""")," REF")</f>
        <v>REF</v>
      </c>
      <c r="AR134" s="71" t="str">
        <f>IFERROR(__xludf.DUMMYFUNCTION("""COMPUTED_VALUE""")," BANDA DE HULE B-41 (GATES)")</f>
        <v>BANDA DE HULE B-41 (GATES)</v>
      </c>
      <c r="AS134" s="71" t="str">
        <f>IFERROR(__xludf.DUMMYFUNCTION("""COMPUTED_VALUE""")," BANDA DE HULE B-41 (GATES)")</f>
        <v>BANDA DE HULE B-41 (GATES)</v>
      </c>
      <c r="AT134" s="71">
        <f>IFERROR(__xludf.DUMMYFUNCTION("""COMPUTED_VALUE"""),26.0)</f>
        <v>26</v>
      </c>
      <c r="AU134" s="71"/>
      <c r="AV134" s="71"/>
      <c r="AW134" s="71"/>
      <c r="AX134" s="71"/>
      <c r="AY134" s="71">
        <f>IFERROR(__xludf.DUMMYFUNCTION("""COMPUTED_VALUE"""),185.0)</f>
        <v>185</v>
      </c>
      <c r="AZ134" s="71">
        <f>IFERROR(__xludf.DUMMYFUNCTION("""COMPUTED_VALUE"""),199.0)</f>
        <v>199</v>
      </c>
      <c r="BA134" s="71">
        <f>IFERROR(__xludf.DUMMYFUNCTION("""COMPUTED_VALUE"""),214.92000000000002)</f>
        <v>214.92</v>
      </c>
      <c r="BB134" s="71">
        <f>IFERROR(__xludf.DUMMYFUNCTION("""COMPUTED_VALUE"""),214.92000000000002)</f>
        <v>214.92</v>
      </c>
      <c r="BC134" s="71">
        <f>IFERROR(__xludf.DUMMYFUNCTION("""COMPUTED_VALUE"""),226.0)</f>
        <v>226</v>
      </c>
      <c r="BD134" s="71">
        <f>IFERROR(__xludf.DUMMYFUNCTION("""COMPUTED_VALUE"""),237.0)</f>
        <v>237</v>
      </c>
      <c r="BE134" s="71">
        <f>IFERROR(__xludf.DUMMYFUNCTION("""COMPUTED_VALUE"""),37.92)</f>
        <v>37.92</v>
      </c>
      <c r="BF134" s="71">
        <f>IFERROR(__xludf.DUMMYFUNCTION("""COMPUTED_VALUE"""),274.92)</f>
        <v>274.92</v>
      </c>
      <c r="BG134" s="71">
        <f>IFERROR(__xludf.DUMMYFUNCTION("""COMPUTED_VALUE"""),0.048672566371681415)</f>
        <v>0.04867256637</v>
      </c>
      <c r="BH134" s="71">
        <f>IFERROR(__xludf.DUMMYFUNCTION("""COMPUTED_VALUE"""),225.14999999999998)</f>
        <v>225.15</v>
      </c>
      <c r="BI134" s="71">
        <f>IFERROR(__xludf.DUMMYFUNCTION("""COMPUTED_VALUE"""),36.023999999999994)</f>
        <v>36.024</v>
      </c>
      <c r="BJ134" s="71">
        <f>IFERROR(__xludf.DUMMYFUNCTION("""COMPUTED_VALUE"""),261.174)</f>
        <v>261.174</v>
      </c>
      <c r="BK134" s="71">
        <f>IFERROR(__xludf.DUMMYFUNCTION("""COMPUTED_VALUE"""),213.3)</f>
        <v>213.3</v>
      </c>
      <c r="BL134" s="71">
        <f>IFERROR(__xludf.DUMMYFUNCTION("""COMPUTED_VALUE"""),34.128)</f>
        <v>34.128</v>
      </c>
      <c r="BM134" s="71">
        <f>IFERROR(__xludf.DUMMYFUNCTION("""COMPUTED_VALUE"""),247.428)</f>
        <v>247.428</v>
      </c>
      <c r="BN134" s="71">
        <f>IFERROR(__xludf.DUMMYFUNCTION("""COMPUTED_VALUE"""),201.45)</f>
        <v>201.45</v>
      </c>
      <c r="BO134" s="71">
        <f>IFERROR(__xludf.DUMMYFUNCTION("""COMPUTED_VALUE"""),32.232)</f>
        <v>32.232</v>
      </c>
      <c r="BP134" s="71">
        <f>IFERROR(__xludf.DUMMYFUNCTION("""COMPUTED_VALUE"""),233.682)</f>
        <v>233.682</v>
      </c>
      <c r="BQ134" s="71">
        <f>IFERROR(__xludf.DUMMYFUNCTION("""COMPUTED_VALUE"""),196.70999999999998)</f>
        <v>196.71</v>
      </c>
      <c r="BR134" s="71">
        <f>IFERROR(__xludf.DUMMYFUNCTION("""COMPUTED_VALUE"""),31.473599999999998)</f>
        <v>31.4736</v>
      </c>
      <c r="BS134" s="71">
        <f>IFERROR(__xludf.DUMMYFUNCTION("""COMPUTED_VALUE"""),228.18359999999998)</f>
        <v>228.1836</v>
      </c>
      <c r="BT134" s="71">
        <f>IFERROR(__xludf.DUMMYFUNCTION("""COMPUTED_VALUE"""),189.60000000000002)</f>
        <v>189.6</v>
      </c>
      <c r="BU134" s="71">
        <f>IFERROR(__xludf.DUMMYFUNCTION("""COMPUTED_VALUE"""),30.336000000000006)</f>
        <v>30.336</v>
      </c>
      <c r="BV134" s="71">
        <f>IFERROR(__xludf.DUMMYFUNCTION("""COMPUTED_VALUE"""),219.93600000000004)</f>
        <v>219.936</v>
      </c>
    </row>
    <row r="135">
      <c r="A135" s="53">
        <v>1.0</v>
      </c>
      <c r="B135" s="72"/>
      <c r="C135" s="73" t="s">
        <v>12</v>
      </c>
      <c r="D135" s="74" t="s">
        <v>369</v>
      </c>
      <c r="E135" s="54" t="s">
        <v>38</v>
      </c>
      <c r="F135" s="54" t="s">
        <v>42</v>
      </c>
      <c r="G135" s="54" t="s">
        <v>370</v>
      </c>
      <c r="H135" s="54" t="s">
        <v>370</v>
      </c>
      <c r="I135" s="54">
        <f t="shared" si="1"/>
        <v>23</v>
      </c>
      <c r="J135" s="56"/>
      <c r="K135" s="75"/>
      <c r="L135" s="76"/>
      <c r="M135" s="59"/>
      <c r="N135" s="60">
        <v>75.0</v>
      </c>
      <c r="O135" s="61">
        <v>81.0</v>
      </c>
      <c r="P135" s="62">
        <v>87.48</v>
      </c>
      <c r="Q135" s="63">
        <v>87.48</v>
      </c>
      <c r="R135" s="64">
        <v>101.0</v>
      </c>
      <c r="S135" s="111">
        <v>106.0</v>
      </c>
      <c r="T135" s="65">
        <f t="shared" si="2"/>
        <v>16.96</v>
      </c>
      <c r="U135" s="65">
        <f t="shared" si="3"/>
        <v>122.96</v>
      </c>
      <c r="V135" s="66">
        <f t="shared" si="4"/>
        <v>0.0495049505</v>
      </c>
      <c r="W135" s="67">
        <f t="shared" si="5"/>
        <v>100.7</v>
      </c>
      <c r="X135" s="67">
        <f t="shared" si="6"/>
        <v>16.112</v>
      </c>
      <c r="Y135" s="67">
        <f t="shared" si="7"/>
        <v>116.812</v>
      </c>
      <c r="Z135" s="67">
        <f t="shared" si="8"/>
        <v>95.4</v>
      </c>
      <c r="AA135" s="67">
        <f t="shared" si="9"/>
        <v>15.264</v>
      </c>
      <c r="AB135" s="67">
        <f t="shared" si="10"/>
        <v>110.664</v>
      </c>
      <c r="AC135" s="67">
        <f t="shared" si="11"/>
        <v>90.1</v>
      </c>
      <c r="AD135" s="67">
        <f t="shared" si="12"/>
        <v>14.416</v>
      </c>
      <c r="AE135" s="67">
        <f t="shared" si="13"/>
        <v>104.516</v>
      </c>
      <c r="AF135" s="67">
        <f t="shared" si="14"/>
        <v>87.98</v>
      </c>
      <c r="AG135" s="67">
        <f t="shared" si="15"/>
        <v>14.0768</v>
      </c>
      <c r="AH135" s="67">
        <f t="shared" si="16"/>
        <v>102.0568</v>
      </c>
      <c r="AI135" s="67">
        <f t="shared" si="17"/>
        <v>84.8</v>
      </c>
      <c r="AJ135" s="68">
        <f t="shared" si="20"/>
        <v>13.568</v>
      </c>
      <c r="AK135" s="68">
        <f t="shared" si="21"/>
        <v>98.368</v>
      </c>
      <c r="AL135" s="70">
        <f>IFERROR(__xludf.DUMMYFUNCTION("""COMPUTED_VALUE"""),1.0)</f>
        <v>1</v>
      </c>
      <c r="AM135" s="70"/>
      <c r="AN135" s="71" t="str">
        <f>IFERROR(__xludf.DUMMYFUNCTION("""COMPUTED_VALUE""")," C")</f>
        <v>C</v>
      </c>
      <c r="AO135" s="71" t="str">
        <f>IFERROR(__xludf.DUMMYFUNCTION("""COMPUTED_VALUE""")," BH80")</f>
        <v>BH80</v>
      </c>
      <c r="AP135" s="71" t="str">
        <f>IFERROR(__xludf.DUMMYFUNCTION("""COMPUTED_VALUE""")," PZA")</f>
        <v>PZA</v>
      </c>
      <c r="AQ135" s="71" t="str">
        <f>IFERROR(__xludf.DUMMYFUNCTION("""COMPUTED_VALUE""")," REF")</f>
        <v>REF</v>
      </c>
      <c r="AR135" s="71" t="str">
        <f>IFERROR(__xludf.DUMMYFUNCTION("""COMPUTED_VALUE""")," BANDA DE HULE B-46 (GATES)")</f>
        <v>BANDA DE HULE B-46 (GATES)</v>
      </c>
      <c r="AS135" s="71" t="str">
        <f>IFERROR(__xludf.DUMMYFUNCTION("""COMPUTED_VALUE""")," BANDA DE HULE B-46 (GATES)")</f>
        <v>BANDA DE HULE B-46 (GATES)</v>
      </c>
      <c r="AT135" s="71">
        <f>IFERROR(__xludf.DUMMYFUNCTION("""COMPUTED_VALUE"""),26.0)</f>
        <v>26</v>
      </c>
      <c r="AU135" s="71"/>
      <c r="AV135" s="71"/>
      <c r="AW135" s="71"/>
      <c r="AX135" s="71"/>
      <c r="AY135" s="71"/>
      <c r="AZ135" s="71"/>
      <c r="BA135" s="71"/>
      <c r="BB135" s="71"/>
      <c r="BC135" s="71"/>
      <c r="BD135" s="71">
        <f>IFERROR(__xludf.DUMMYFUNCTION("""COMPUTED_VALUE"""),150.25)</f>
        <v>150.25</v>
      </c>
      <c r="BE135" s="71">
        <f>IFERROR(__xludf.DUMMYFUNCTION("""COMPUTED_VALUE"""),24.04)</f>
        <v>24.04</v>
      </c>
      <c r="BF135" s="71">
        <f>IFERROR(__xludf.DUMMYFUNCTION("""COMPUTED_VALUE"""),174.29)</f>
        <v>174.29</v>
      </c>
      <c r="BG135" s="71" t="str">
        <f>IFERROR(__xludf.DUMMYFUNCTION("""COMPUTED_VALUE"""),"#DIV/0!")</f>
        <v>#DIV/0!</v>
      </c>
      <c r="BH135" s="71">
        <f>IFERROR(__xludf.DUMMYFUNCTION("""COMPUTED_VALUE"""),142.73749999999998)</f>
        <v>142.7375</v>
      </c>
      <c r="BI135" s="71">
        <f>IFERROR(__xludf.DUMMYFUNCTION("""COMPUTED_VALUE"""),22.837999999999997)</f>
        <v>22.838</v>
      </c>
      <c r="BJ135" s="71">
        <f>IFERROR(__xludf.DUMMYFUNCTION("""COMPUTED_VALUE"""),165.57549999999998)</f>
        <v>165.5755</v>
      </c>
      <c r="BK135" s="71">
        <f>IFERROR(__xludf.DUMMYFUNCTION("""COMPUTED_VALUE"""),135.225)</f>
        <v>135.225</v>
      </c>
      <c r="BL135" s="71">
        <f>IFERROR(__xludf.DUMMYFUNCTION("""COMPUTED_VALUE"""),21.636)</f>
        <v>21.636</v>
      </c>
      <c r="BM135" s="71">
        <f>IFERROR(__xludf.DUMMYFUNCTION("""COMPUTED_VALUE"""),156.861)</f>
        <v>156.861</v>
      </c>
      <c r="BN135" s="71">
        <f>IFERROR(__xludf.DUMMYFUNCTION("""COMPUTED_VALUE"""),127.71249999999999)</f>
        <v>127.7125</v>
      </c>
      <c r="BO135" s="71">
        <f>IFERROR(__xludf.DUMMYFUNCTION("""COMPUTED_VALUE"""),20.433999999999997)</f>
        <v>20.434</v>
      </c>
      <c r="BP135" s="71">
        <f>IFERROR(__xludf.DUMMYFUNCTION("""COMPUTED_VALUE"""),148.1465)</f>
        <v>148.1465</v>
      </c>
      <c r="BQ135" s="71">
        <f>IFERROR(__xludf.DUMMYFUNCTION("""COMPUTED_VALUE"""),124.7075)</f>
        <v>124.7075</v>
      </c>
      <c r="BR135" s="71">
        <f>IFERROR(__xludf.DUMMYFUNCTION("""COMPUTED_VALUE"""),19.9532)</f>
        <v>19.9532</v>
      </c>
      <c r="BS135" s="71">
        <f>IFERROR(__xludf.DUMMYFUNCTION("""COMPUTED_VALUE"""),144.6607)</f>
        <v>144.6607</v>
      </c>
      <c r="BT135" s="71">
        <f>IFERROR(__xludf.DUMMYFUNCTION("""COMPUTED_VALUE"""),120.2)</f>
        <v>120.2</v>
      </c>
      <c r="BU135" s="71">
        <f>IFERROR(__xludf.DUMMYFUNCTION("""COMPUTED_VALUE"""),19.232)</f>
        <v>19.232</v>
      </c>
      <c r="BV135" s="71">
        <f>IFERROR(__xludf.DUMMYFUNCTION("""COMPUTED_VALUE"""),139.43200000000002)</f>
        <v>139.432</v>
      </c>
    </row>
    <row r="136">
      <c r="A136" s="53">
        <v>1.0</v>
      </c>
      <c r="B136" s="53"/>
      <c r="C136" s="73" t="s">
        <v>12</v>
      </c>
      <c r="D136" s="53" t="s">
        <v>371</v>
      </c>
      <c r="E136" s="54" t="s">
        <v>38</v>
      </c>
      <c r="F136" s="54" t="s">
        <v>42</v>
      </c>
      <c r="G136" s="55" t="s">
        <v>372</v>
      </c>
      <c r="H136" s="55" t="s">
        <v>372</v>
      </c>
      <c r="I136" s="54">
        <f t="shared" si="1"/>
        <v>22</v>
      </c>
      <c r="J136" s="56"/>
      <c r="K136" s="57"/>
      <c r="L136" s="76"/>
      <c r="M136" s="59"/>
      <c r="N136" s="79">
        <v>21.0</v>
      </c>
      <c r="O136" s="61">
        <v>22.0</v>
      </c>
      <c r="P136" s="62">
        <v>23.76</v>
      </c>
      <c r="Q136" s="63">
        <v>23.76</v>
      </c>
      <c r="R136" s="64">
        <v>26.0</v>
      </c>
      <c r="S136" s="111">
        <v>27.0</v>
      </c>
      <c r="T136" s="65">
        <f t="shared" si="2"/>
        <v>4.32</v>
      </c>
      <c r="U136" s="65">
        <f t="shared" si="3"/>
        <v>31.32</v>
      </c>
      <c r="V136" s="66">
        <f t="shared" si="4"/>
        <v>0.03846153846</v>
      </c>
      <c r="W136" s="67">
        <f t="shared" si="5"/>
        <v>25.65</v>
      </c>
      <c r="X136" s="67">
        <f t="shared" si="6"/>
        <v>4.104</v>
      </c>
      <c r="Y136" s="67">
        <f t="shared" si="7"/>
        <v>29.754</v>
      </c>
      <c r="Z136" s="67">
        <f t="shared" si="8"/>
        <v>24.3</v>
      </c>
      <c r="AA136" s="67">
        <f t="shared" si="9"/>
        <v>3.888</v>
      </c>
      <c r="AB136" s="67">
        <f t="shared" si="10"/>
        <v>28.188</v>
      </c>
      <c r="AC136" s="67">
        <f t="shared" si="11"/>
        <v>22.95</v>
      </c>
      <c r="AD136" s="67">
        <f t="shared" si="12"/>
        <v>3.672</v>
      </c>
      <c r="AE136" s="67">
        <f t="shared" si="13"/>
        <v>26.622</v>
      </c>
      <c r="AF136" s="67">
        <f t="shared" si="14"/>
        <v>22.41</v>
      </c>
      <c r="AG136" s="67">
        <f t="shared" si="15"/>
        <v>3.5856</v>
      </c>
      <c r="AH136" s="67">
        <f t="shared" si="16"/>
        <v>25.9956</v>
      </c>
      <c r="AI136" s="67">
        <f t="shared" si="17"/>
        <v>21.6</v>
      </c>
      <c r="AJ136" s="68">
        <f t="shared" si="20"/>
        <v>3.456</v>
      </c>
      <c r="AK136" s="68">
        <f t="shared" si="21"/>
        <v>25.056</v>
      </c>
      <c r="AL136" s="70">
        <f>IFERROR(__xludf.DUMMYFUNCTION("""COMPUTED_VALUE"""),1.0)</f>
        <v>1</v>
      </c>
      <c r="AM136" s="70"/>
      <c r="AN136" s="71" t="str">
        <f>IFERROR(__xludf.DUMMYFUNCTION("""COMPUTED_VALUE""")," C")</f>
        <v>C</v>
      </c>
      <c r="AO136" s="71" t="str">
        <f>IFERROR(__xludf.DUMMYFUNCTION("""COMPUTED_VALUE""")," BH20")</f>
        <v>BH20</v>
      </c>
      <c r="AP136" s="71" t="str">
        <f>IFERROR(__xludf.DUMMYFUNCTION("""COMPUTED_VALUE""")," PZA")</f>
        <v>PZA</v>
      </c>
      <c r="AQ136" s="71" t="str">
        <f>IFERROR(__xludf.DUMMYFUNCTION("""COMPUTED_VALUE""")," REF")</f>
        <v>REF</v>
      </c>
      <c r="AR136" s="71" t="str">
        <f>IFERROR(__xludf.DUMMYFUNCTION("""COMPUTED_VALUE""")," BANDA DE HULE B-48 (BLACKGOLD)")</f>
        <v>BANDA DE HULE B-48 (BLACKGOLD)</v>
      </c>
      <c r="AS136" s="71" t="str">
        <f>IFERROR(__xludf.DUMMYFUNCTION("""COMPUTED_VALUE""")," BANDA DE HULE B-48 (BLACKGOLD)")</f>
        <v>BANDA DE HULE B-48 (BLACKGOLD)</v>
      </c>
      <c r="AT136" s="71">
        <f>IFERROR(__xludf.DUMMYFUNCTION("""COMPUTED_VALUE"""),30.0)</f>
        <v>30</v>
      </c>
      <c r="AU136" s="71"/>
      <c r="AV136" s="71"/>
      <c r="AW136" s="71"/>
      <c r="AX136" s="71"/>
      <c r="AY136" s="71">
        <f>IFERROR(__xludf.DUMMYFUNCTION("""COMPUTED_VALUE"""),104.0)</f>
        <v>104</v>
      </c>
      <c r="AZ136" s="71">
        <f>IFERROR(__xludf.DUMMYFUNCTION("""COMPUTED_VALUE"""),129.0)</f>
        <v>129</v>
      </c>
      <c r="BA136" s="71">
        <f>IFERROR(__xludf.DUMMYFUNCTION("""COMPUTED_VALUE"""),139.32000000000002)</f>
        <v>139.32</v>
      </c>
      <c r="BB136" s="71">
        <f>IFERROR(__xludf.DUMMYFUNCTION("""COMPUTED_VALUE"""),139.32000000000002)</f>
        <v>139.32</v>
      </c>
      <c r="BC136" s="71">
        <f>IFERROR(__xludf.DUMMYFUNCTION("""COMPUTED_VALUE"""),156.0)</f>
        <v>156</v>
      </c>
      <c r="BD136" s="71">
        <f>IFERROR(__xludf.DUMMYFUNCTION("""COMPUTED_VALUE"""),164.0)</f>
        <v>164</v>
      </c>
      <c r="BE136" s="71">
        <f>IFERROR(__xludf.DUMMYFUNCTION("""COMPUTED_VALUE"""),26.240000000000002)</f>
        <v>26.24</v>
      </c>
      <c r="BF136" s="71">
        <f>IFERROR(__xludf.DUMMYFUNCTION("""COMPUTED_VALUE"""),190.24)</f>
        <v>190.24</v>
      </c>
      <c r="BG136" s="71">
        <f>IFERROR(__xludf.DUMMYFUNCTION("""COMPUTED_VALUE"""),0.05128205128205128)</f>
        <v>0.05128205128</v>
      </c>
      <c r="BH136" s="71">
        <f>IFERROR(__xludf.DUMMYFUNCTION("""COMPUTED_VALUE"""),155.79999999999998)</f>
        <v>155.8</v>
      </c>
      <c r="BI136" s="71">
        <f>IFERROR(__xludf.DUMMYFUNCTION("""COMPUTED_VALUE"""),24.927999999999997)</f>
        <v>24.928</v>
      </c>
      <c r="BJ136" s="71">
        <f>IFERROR(__xludf.DUMMYFUNCTION("""COMPUTED_VALUE"""),180.72799999999998)</f>
        <v>180.728</v>
      </c>
      <c r="BK136" s="71">
        <f>IFERROR(__xludf.DUMMYFUNCTION("""COMPUTED_VALUE"""),147.6)</f>
        <v>147.6</v>
      </c>
      <c r="BL136" s="71">
        <f>IFERROR(__xludf.DUMMYFUNCTION("""COMPUTED_VALUE"""),23.616)</f>
        <v>23.616</v>
      </c>
      <c r="BM136" s="71">
        <f>IFERROR(__xludf.DUMMYFUNCTION("""COMPUTED_VALUE"""),171.216)</f>
        <v>171.216</v>
      </c>
      <c r="BN136" s="71">
        <f>IFERROR(__xludf.DUMMYFUNCTION("""COMPUTED_VALUE"""),139.4)</f>
        <v>139.4</v>
      </c>
      <c r="BO136" s="71">
        <f>IFERROR(__xludf.DUMMYFUNCTION("""COMPUTED_VALUE"""),22.304000000000002)</f>
        <v>22.304</v>
      </c>
      <c r="BP136" s="71">
        <f>IFERROR(__xludf.DUMMYFUNCTION("""COMPUTED_VALUE"""),161.704)</f>
        <v>161.704</v>
      </c>
      <c r="BQ136" s="71">
        <f>IFERROR(__xludf.DUMMYFUNCTION("""COMPUTED_VALUE"""),136.12)</f>
        <v>136.12</v>
      </c>
      <c r="BR136" s="71">
        <f>IFERROR(__xludf.DUMMYFUNCTION("""COMPUTED_VALUE"""),21.7792)</f>
        <v>21.7792</v>
      </c>
      <c r="BS136" s="71">
        <f>IFERROR(__xludf.DUMMYFUNCTION("""COMPUTED_VALUE"""),157.8992)</f>
        <v>157.8992</v>
      </c>
      <c r="BT136" s="71">
        <f>IFERROR(__xludf.DUMMYFUNCTION("""COMPUTED_VALUE"""),131.20000000000002)</f>
        <v>131.2</v>
      </c>
      <c r="BU136" s="71">
        <f>IFERROR(__xludf.DUMMYFUNCTION("""COMPUTED_VALUE"""),20.992000000000004)</f>
        <v>20.992</v>
      </c>
      <c r="BV136" s="71">
        <f>IFERROR(__xludf.DUMMYFUNCTION("""COMPUTED_VALUE"""),152.192)</f>
        <v>152.192</v>
      </c>
    </row>
    <row r="137">
      <c r="A137" s="53">
        <v>1.0</v>
      </c>
      <c r="B137" s="53"/>
      <c r="C137" s="73" t="s">
        <v>12</v>
      </c>
      <c r="D137" s="53" t="s">
        <v>373</v>
      </c>
      <c r="E137" s="54" t="s">
        <v>38</v>
      </c>
      <c r="F137" s="54" t="s">
        <v>42</v>
      </c>
      <c r="G137" s="55" t="s">
        <v>374</v>
      </c>
      <c r="H137" s="55" t="s">
        <v>374</v>
      </c>
      <c r="I137" s="54">
        <f t="shared" si="1"/>
        <v>19</v>
      </c>
      <c r="J137" s="56"/>
      <c r="K137" s="75"/>
      <c r="L137" s="76"/>
      <c r="M137" s="59"/>
      <c r="N137" s="79">
        <v>48.0</v>
      </c>
      <c r="O137" s="61">
        <v>51.0</v>
      </c>
      <c r="P137" s="62">
        <v>55.080000000000005</v>
      </c>
      <c r="Q137" s="63">
        <v>55.080000000000005</v>
      </c>
      <c r="R137" s="64">
        <v>58.0</v>
      </c>
      <c r="S137" s="111">
        <v>61.0</v>
      </c>
      <c r="T137" s="65">
        <f t="shared" si="2"/>
        <v>9.76</v>
      </c>
      <c r="U137" s="65">
        <f t="shared" si="3"/>
        <v>70.76</v>
      </c>
      <c r="V137" s="66">
        <f t="shared" si="4"/>
        <v>0.05172413793</v>
      </c>
      <c r="W137" s="67">
        <f t="shared" si="5"/>
        <v>57.95</v>
      </c>
      <c r="X137" s="67">
        <f t="shared" si="6"/>
        <v>9.272</v>
      </c>
      <c r="Y137" s="67">
        <f t="shared" si="7"/>
        <v>67.222</v>
      </c>
      <c r="Z137" s="67">
        <f t="shared" si="8"/>
        <v>54.9</v>
      </c>
      <c r="AA137" s="67">
        <f t="shared" si="9"/>
        <v>8.784</v>
      </c>
      <c r="AB137" s="67">
        <f t="shared" si="10"/>
        <v>63.684</v>
      </c>
      <c r="AC137" s="67">
        <f t="shared" si="11"/>
        <v>51.85</v>
      </c>
      <c r="AD137" s="67">
        <f t="shared" si="12"/>
        <v>8.296</v>
      </c>
      <c r="AE137" s="67">
        <f t="shared" si="13"/>
        <v>60.146</v>
      </c>
      <c r="AF137" s="67">
        <f t="shared" si="14"/>
        <v>50.63</v>
      </c>
      <c r="AG137" s="67">
        <f t="shared" si="15"/>
        <v>8.1008</v>
      </c>
      <c r="AH137" s="67">
        <f t="shared" si="16"/>
        <v>58.7308</v>
      </c>
      <c r="AI137" s="67">
        <f t="shared" si="17"/>
        <v>48.8</v>
      </c>
      <c r="AJ137" s="68">
        <f t="shared" si="20"/>
        <v>7.808</v>
      </c>
      <c r="AK137" s="68">
        <f t="shared" si="21"/>
        <v>56.608</v>
      </c>
      <c r="AL137" s="70">
        <f>IFERROR(__xludf.DUMMYFUNCTION("""COMPUTED_VALUE"""),1.0)</f>
        <v>1</v>
      </c>
      <c r="AM137" s="70"/>
      <c r="AN137" s="71" t="str">
        <f>IFERROR(__xludf.DUMMYFUNCTION("""COMPUTED_VALUE""")," C")</f>
        <v>C</v>
      </c>
      <c r="AO137" s="71" t="str">
        <f>IFERROR(__xludf.DUMMYFUNCTION("""COMPUTED_VALUE""")," BH45")</f>
        <v>BH45</v>
      </c>
      <c r="AP137" s="71" t="str">
        <f>IFERROR(__xludf.DUMMYFUNCTION("""COMPUTED_VALUE""")," PZA")</f>
        <v>PZA</v>
      </c>
      <c r="AQ137" s="71" t="str">
        <f>IFERROR(__xludf.DUMMYFUNCTION("""COMPUTED_VALUE""")," REF")</f>
        <v>REF</v>
      </c>
      <c r="AR137" s="71" t="str">
        <f>IFERROR(__xludf.DUMMYFUNCTION("""COMPUTED_VALUE""")," BANDA DE HULE B-48 (GATES)")</f>
        <v>BANDA DE HULE B-48 (GATES)</v>
      </c>
      <c r="AS137" s="71" t="str">
        <f>IFERROR(__xludf.DUMMYFUNCTION("""COMPUTED_VALUE""")," BANDA DE HULE B-48 (GATES)")</f>
        <v>BANDA DE HULE B-48 (GATES)</v>
      </c>
      <c r="AT137" s="71">
        <f>IFERROR(__xludf.DUMMYFUNCTION("""COMPUTED_VALUE"""),26.0)</f>
        <v>26</v>
      </c>
      <c r="AU137" s="71"/>
      <c r="AV137" s="71"/>
      <c r="AW137" s="71"/>
      <c r="AX137" s="71"/>
      <c r="AY137" s="71">
        <f>IFERROR(__xludf.DUMMYFUNCTION("""COMPUTED_VALUE"""),224.0)</f>
        <v>224</v>
      </c>
      <c r="AZ137" s="71">
        <f>IFERROR(__xludf.DUMMYFUNCTION("""COMPUTED_VALUE"""),241.0)</f>
        <v>241</v>
      </c>
      <c r="BA137" s="71">
        <f>IFERROR(__xludf.DUMMYFUNCTION("""COMPUTED_VALUE"""),260.28000000000003)</f>
        <v>260.28</v>
      </c>
      <c r="BB137" s="71">
        <f>IFERROR(__xludf.DUMMYFUNCTION("""COMPUTED_VALUE"""),260.28000000000003)</f>
        <v>260.28</v>
      </c>
      <c r="BC137" s="71">
        <f>IFERROR(__xludf.DUMMYFUNCTION("""COMPUTED_VALUE"""),290.0)</f>
        <v>290</v>
      </c>
      <c r="BD137" s="71">
        <f>IFERROR(__xludf.DUMMYFUNCTION("""COMPUTED_VALUE"""),305.0)</f>
        <v>305</v>
      </c>
      <c r="BE137" s="71">
        <f>IFERROR(__xludf.DUMMYFUNCTION("""COMPUTED_VALUE"""),48.800000000000004)</f>
        <v>48.8</v>
      </c>
      <c r="BF137" s="71">
        <f>IFERROR(__xludf.DUMMYFUNCTION("""COMPUTED_VALUE"""),353.8)</f>
        <v>353.8</v>
      </c>
      <c r="BG137" s="71">
        <f>IFERROR(__xludf.DUMMYFUNCTION("""COMPUTED_VALUE"""),0.05172413793103448)</f>
        <v>0.05172413793</v>
      </c>
      <c r="BH137" s="71">
        <f>IFERROR(__xludf.DUMMYFUNCTION("""COMPUTED_VALUE"""),289.75)</f>
        <v>289.75</v>
      </c>
      <c r="BI137" s="71">
        <f>IFERROR(__xludf.DUMMYFUNCTION("""COMPUTED_VALUE"""),46.36)</f>
        <v>46.36</v>
      </c>
      <c r="BJ137" s="71">
        <f>IFERROR(__xludf.DUMMYFUNCTION("""COMPUTED_VALUE"""),336.11)</f>
        <v>336.11</v>
      </c>
      <c r="BK137" s="71">
        <f>IFERROR(__xludf.DUMMYFUNCTION("""COMPUTED_VALUE"""),274.5)</f>
        <v>274.5</v>
      </c>
      <c r="BL137" s="71">
        <f>IFERROR(__xludf.DUMMYFUNCTION("""COMPUTED_VALUE"""),43.92)</f>
        <v>43.92</v>
      </c>
      <c r="BM137" s="71">
        <f>IFERROR(__xludf.DUMMYFUNCTION("""COMPUTED_VALUE"""),318.42)</f>
        <v>318.42</v>
      </c>
      <c r="BN137" s="71">
        <f>IFERROR(__xludf.DUMMYFUNCTION("""COMPUTED_VALUE"""),259.25)</f>
        <v>259.25</v>
      </c>
      <c r="BO137" s="71">
        <f>IFERROR(__xludf.DUMMYFUNCTION("""COMPUTED_VALUE"""),41.480000000000004)</f>
        <v>41.48</v>
      </c>
      <c r="BP137" s="71">
        <f>IFERROR(__xludf.DUMMYFUNCTION("""COMPUTED_VALUE"""),300.73)</f>
        <v>300.73</v>
      </c>
      <c r="BQ137" s="71">
        <f>IFERROR(__xludf.DUMMYFUNCTION("""COMPUTED_VALUE"""),253.14999999999998)</f>
        <v>253.15</v>
      </c>
      <c r="BR137" s="71">
        <f>IFERROR(__xludf.DUMMYFUNCTION("""COMPUTED_VALUE"""),40.504)</f>
        <v>40.504</v>
      </c>
      <c r="BS137" s="71">
        <f>IFERROR(__xludf.DUMMYFUNCTION("""COMPUTED_VALUE"""),293.654)</f>
        <v>293.654</v>
      </c>
      <c r="BT137" s="71">
        <f>IFERROR(__xludf.DUMMYFUNCTION("""COMPUTED_VALUE"""),244.0)</f>
        <v>244</v>
      </c>
      <c r="BU137" s="71">
        <f>IFERROR(__xludf.DUMMYFUNCTION("""COMPUTED_VALUE"""),39.04)</f>
        <v>39.04</v>
      </c>
      <c r="BV137" s="71">
        <f>IFERROR(__xludf.DUMMYFUNCTION("""COMPUTED_VALUE"""),283.04)</f>
        <v>283.04</v>
      </c>
    </row>
    <row r="138">
      <c r="A138" s="53">
        <v>1.0</v>
      </c>
      <c r="B138" s="72"/>
      <c r="C138" s="73" t="s">
        <v>12</v>
      </c>
      <c r="D138" s="74" t="s">
        <v>375</v>
      </c>
      <c r="E138" s="54" t="s">
        <v>38</v>
      </c>
      <c r="F138" s="54" t="s">
        <v>42</v>
      </c>
      <c r="G138" s="54" t="s">
        <v>376</v>
      </c>
      <c r="H138" s="54" t="s">
        <v>376</v>
      </c>
      <c r="I138" s="54">
        <f t="shared" si="1"/>
        <v>19</v>
      </c>
      <c r="J138" s="56"/>
      <c r="K138" s="75"/>
      <c r="L138" s="76"/>
      <c r="M138" s="59"/>
      <c r="N138" s="60">
        <v>52.0</v>
      </c>
      <c r="O138" s="61">
        <v>56.0</v>
      </c>
      <c r="P138" s="62">
        <v>60.480000000000004</v>
      </c>
      <c r="Q138" s="63">
        <v>60.480000000000004</v>
      </c>
      <c r="R138" s="64">
        <v>69.0</v>
      </c>
      <c r="S138" s="111">
        <v>72.0</v>
      </c>
      <c r="T138" s="65">
        <f t="shared" si="2"/>
        <v>11.52</v>
      </c>
      <c r="U138" s="65">
        <f t="shared" si="3"/>
        <v>83.52</v>
      </c>
      <c r="V138" s="66">
        <f t="shared" si="4"/>
        <v>0.04347826087</v>
      </c>
      <c r="W138" s="67">
        <f t="shared" si="5"/>
        <v>68.4</v>
      </c>
      <c r="X138" s="67">
        <f t="shared" si="6"/>
        <v>10.944</v>
      </c>
      <c r="Y138" s="67">
        <f t="shared" si="7"/>
        <v>79.344</v>
      </c>
      <c r="Z138" s="67">
        <f t="shared" si="8"/>
        <v>64.8</v>
      </c>
      <c r="AA138" s="67">
        <f t="shared" si="9"/>
        <v>10.368</v>
      </c>
      <c r="AB138" s="67">
        <f t="shared" si="10"/>
        <v>75.168</v>
      </c>
      <c r="AC138" s="67">
        <f t="shared" si="11"/>
        <v>61.2</v>
      </c>
      <c r="AD138" s="67">
        <f t="shared" si="12"/>
        <v>9.792</v>
      </c>
      <c r="AE138" s="67">
        <f t="shared" si="13"/>
        <v>70.992</v>
      </c>
      <c r="AF138" s="67">
        <f t="shared" si="14"/>
        <v>59.76</v>
      </c>
      <c r="AG138" s="67">
        <f t="shared" si="15"/>
        <v>9.5616</v>
      </c>
      <c r="AH138" s="67">
        <f t="shared" si="16"/>
        <v>69.3216</v>
      </c>
      <c r="AI138" s="67">
        <f t="shared" si="17"/>
        <v>57.6</v>
      </c>
      <c r="AJ138" s="68">
        <f t="shared" si="20"/>
        <v>9.216</v>
      </c>
      <c r="AK138" s="68">
        <f t="shared" si="21"/>
        <v>66.816</v>
      </c>
      <c r="AL138" s="70">
        <f>IFERROR(__xludf.DUMMYFUNCTION("""COMPUTED_VALUE"""),1.0)</f>
        <v>1</v>
      </c>
      <c r="AM138" s="70"/>
      <c r="AN138" s="71" t="str">
        <f>IFERROR(__xludf.DUMMYFUNCTION("""COMPUTED_VALUE""")," C")</f>
        <v>C</v>
      </c>
      <c r="AO138" s="71" t="str">
        <f>IFERROR(__xludf.DUMMYFUNCTION("""COMPUTED_VALUE""")," BH53")</f>
        <v>BH53</v>
      </c>
      <c r="AP138" s="71" t="str">
        <f>IFERROR(__xludf.DUMMYFUNCTION("""COMPUTED_VALUE""")," PZA")</f>
        <v>PZA</v>
      </c>
      <c r="AQ138" s="71" t="str">
        <f>IFERROR(__xludf.DUMMYFUNCTION("""COMPUTED_VALUE""")," REF")</f>
        <v>REF</v>
      </c>
      <c r="AR138" s="71" t="str">
        <f>IFERROR(__xludf.DUMMYFUNCTION("""COMPUTED_VALUE""")," BANDA DE HULE B-50 (BLACKGOLD)")</f>
        <v>BANDA DE HULE B-50 (BLACKGOLD)</v>
      </c>
      <c r="AS138" s="71" t="str">
        <f>IFERROR(__xludf.DUMMYFUNCTION("""COMPUTED_VALUE""")," BANDA DE HULE B-50 (BLACKGOLD)")</f>
        <v>BANDA DE HULE B-50 (BLACKGOLD)</v>
      </c>
      <c r="AT138" s="71">
        <f>IFERROR(__xludf.DUMMYFUNCTION("""COMPUTED_VALUE"""),30.0)</f>
        <v>30</v>
      </c>
      <c r="AU138" s="71"/>
      <c r="AV138" s="71"/>
      <c r="AW138" s="71" t="str">
        <f>IFERROR(__xludf.DUMMYFUNCTION("""COMPUTED_VALUE""")," activar para venta")</f>
        <v>activar para venta</v>
      </c>
      <c r="AX138" s="71"/>
      <c r="AY138" s="71"/>
      <c r="AZ138" s="71"/>
      <c r="BA138" s="71">
        <f>IFERROR(__xludf.DUMMYFUNCTION("""COMPUTED_VALUE"""),135.0)</f>
        <v>135</v>
      </c>
      <c r="BB138" s="71">
        <f>IFERROR(__xludf.DUMMYFUNCTION("""COMPUTED_VALUE"""),135.0)</f>
        <v>135</v>
      </c>
      <c r="BC138" s="71">
        <f>IFERROR(__xludf.DUMMYFUNCTION("""COMPUTED_VALUE"""),142.0)</f>
        <v>142</v>
      </c>
      <c r="BD138" s="71">
        <f>IFERROR(__xludf.DUMMYFUNCTION("""COMPUTED_VALUE"""),149.0)</f>
        <v>149</v>
      </c>
      <c r="BE138" s="71">
        <f>IFERROR(__xludf.DUMMYFUNCTION("""COMPUTED_VALUE"""),23.84)</f>
        <v>23.84</v>
      </c>
      <c r="BF138" s="71">
        <f>IFERROR(__xludf.DUMMYFUNCTION("""COMPUTED_VALUE"""),172.84)</f>
        <v>172.84</v>
      </c>
      <c r="BG138" s="71">
        <f>IFERROR(__xludf.DUMMYFUNCTION("""COMPUTED_VALUE"""),0.04929577464788732)</f>
        <v>0.04929577465</v>
      </c>
      <c r="BH138" s="71">
        <f>IFERROR(__xludf.DUMMYFUNCTION("""COMPUTED_VALUE"""),141.54999999999998)</f>
        <v>141.55</v>
      </c>
      <c r="BI138" s="71">
        <f>IFERROR(__xludf.DUMMYFUNCTION("""COMPUTED_VALUE"""),22.647999999999996)</f>
        <v>22.648</v>
      </c>
      <c r="BJ138" s="71">
        <f>IFERROR(__xludf.DUMMYFUNCTION("""COMPUTED_VALUE"""),164.19799999999998)</f>
        <v>164.198</v>
      </c>
      <c r="BK138" s="71">
        <f>IFERROR(__xludf.DUMMYFUNCTION("""COMPUTED_VALUE"""),134.1)</f>
        <v>134.1</v>
      </c>
      <c r="BL138" s="71">
        <f>IFERROR(__xludf.DUMMYFUNCTION("""COMPUTED_VALUE"""),21.456)</f>
        <v>21.456</v>
      </c>
      <c r="BM138" s="71">
        <f>IFERROR(__xludf.DUMMYFUNCTION("""COMPUTED_VALUE"""),155.55599999999998)</f>
        <v>155.556</v>
      </c>
      <c r="BN138" s="71">
        <f>IFERROR(__xludf.DUMMYFUNCTION("""COMPUTED_VALUE"""),126.64999999999999)</f>
        <v>126.65</v>
      </c>
      <c r="BO138" s="71">
        <f>IFERROR(__xludf.DUMMYFUNCTION("""COMPUTED_VALUE"""),20.264)</f>
        <v>20.264</v>
      </c>
      <c r="BP138" s="71">
        <f>IFERROR(__xludf.DUMMYFUNCTION("""COMPUTED_VALUE"""),146.914)</f>
        <v>146.914</v>
      </c>
      <c r="BQ138" s="71">
        <f>IFERROR(__xludf.DUMMYFUNCTION("""COMPUTED_VALUE"""),123.66999999999999)</f>
        <v>123.67</v>
      </c>
      <c r="BR138" s="71">
        <f>IFERROR(__xludf.DUMMYFUNCTION("""COMPUTED_VALUE"""),19.7872)</f>
        <v>19.7872</v>
      </c>
      <c r="BS138" s="71">
        <f>IFERROR(__xludf.DUMMYFUNCTION("""COMPUTED_VALUE"""),143.4572)</f>
        <v>143.4572</v>
      </c>
      <c r="BT138" s="71">
        <f>IFERROR(__xludf.DUMMYFUNCTION("""COMPUTED_VALUE"""),119.2)</f>
        <v>119.2</v>
      </c>
      <c r="BU138" s="71">
        <f>IFERROR(__xludf.DUMMYFUNCTION("""COMPUTED_VALUE"""),19.072)</f>
        <v>19.072</v>
      </c>
      <c r="BV138" s="71">
        <f>IFERROR(__xludf.DUMMYFUNCTION("""COMPUTED_VALUE"""),138.272)</f>
        <v>138.272</v>
      </c>
    </row>
    <row r="139">
      <c r="A139" s="53">
        <v>1.0</v>
      </c>
      <c r="B139" s="53"/>
      <c r="C139" s="53" t="s">
        <v>12</v>
      </c>
      <c r="D139" s="53" t="s">
        <v>377</v>
      </c>
      <c r="E139" s="54" t="s">
        <v>38</v>
      </c>
      <c r="F139" s="54" t="s">
        <v>42</v>
      </c>
      <c r="G139" s="55" t="s">
        <v>378</v>
      </c>
      <c r="H139" s="55" t="s">
        <v>378</v>
      </c>
      <c r="I139" s="54">
        <f t="shared" si="1"/>
        <v>19</v>
      </c>
      <c r="J139" s="56"/>
      <c r="K139" s="75"/>
      <c r="L139" s="76"/>
      <c r="M139" s="59"/>
      <c r="N139" s="79">
        <v>41.0</v>
      </c>
      <c r="O139" s="61">
        <v>44.0</v>
      </c>
      <c r="P139" s="63">
        <v>47.52</v>
      </c>
      <c r="Q139" s="63">
        <v>47.52</v>
      </c>
      <c r="R139" s="64">
        <v>51.0</v>
      </c>
      <c r="S139" s="111">
        <v>54.0</v>
      </c>
      <c r="T139" s="65">
        <f t="shared" si="2"/>
        <v>8.64</v>
      </c>
      <c r="U139" s="65">
        <f t="shared" si="3"/>
        <v>62.64</v>
      </c>
      <c r="V139" s="66">
        <f t="shared" si="4"/>
        <v>0.05882352941</v>
      </c>
      <c r="W139" s="67">
        <f t="shared" si="5"/>
        <v>51.3</v>
      </c>
      <c r="X139" s="67">
        <f t="shared" si="6"/>
        <v>8.208</v>
      </c>
      <c r="Y139" s="67">
        <f t="shared" si="7"/>
        <v>59.508</v>
      </c>
      <c r="Z139" s="67">
        <f t="shared" si="8"/>
        <v>48.6</v>
      </c>
      <c r="AA139" s="67">
        <f t="shared" si="9"/>
        <v>7.776</v>
      </c>
      <c r="AB139" s="67">
        <f t="shared" si="10"/>
        <v>56.376</v>
      </c>
      <c r="AC139" s="67">
        <f t="shared" si="11"/>
        <v>45.9</v>
      </c>
      <c r="AD139" s="67">
        <f t="shared" si="12"/>
        <v>7.344</v>
      </c>
      <c r="AE139" s="67">
        <f t="shared" si="13"/>
        <v>53.244</v>
      </c>
      <c r="AF139" s="67">
        <f t="shared" si="14"/>
        <v>44.82</v>
      </c>
      <c r="AG139" s="67">
        <f t="shared" si="15"/>
        <v>7.1712</v>
      </c>
      <c r="AH139" s="67">
        <f t="shared" si="16"/>
        <v>51.9912</v>
      </c>
      <c r="AI139" s="67">
        <f t="shared" si="17"/>
        <v>43.2</v>
      </c>
      <c r="AJ139" s="68">
        <f t="shared" si="20"/>
        <v>6.912</v>
      </c>
      <c r="AK139" s="68">
        <f t="shared" si="21"/>
        <v>50.112</v>
      </c>
      <c r="AL139" s="70">
        <f>IFERROR(__xludf.DUMMYFUNCTION("""COMPUTED_VALUE"""),1.0)</f>
        <v>1</v>
      </c>
      <c r="AM139" s="70"/>
      <c r="AN139" s="71" t="str">
        <f>IFERROR(__xludf.DUMMYFUNCTION("""COMPUTED_VALUE""")," C")</f>
        <v>C</v>
      </c>
      <c r="AO139" s="71" t="str">
        <f>IFERROR(__xludf.DUMMYFUNCTION("""COMPUTED_VALUE""")," BH81")</f>
        <v>BH81</v>
      </c>
      <c r="AP139" s="71" t="str">
        <f>IFERROR(__xludf.DUMMYFUNCTION("""COMPUTED_VALUE""")," PZA")</f>
        <v>PZA</v>
      </c>
      <c r="AQ139" s="71" t="str">
        <f>IFERROR(__xludf.DUMMYFUNCTION("""COMPUTED_VALUE""")," REF")</f>
        <v>REF</v>
      </c>
      <c r="AR139" s="71" t="str">
        <f>IFERROR(__xludf.DUMMYFUNCTION("""COMPUTED_VALUE""")," BANDA DE HULE B-51 (GATES)")</f>
        <v>BANDA DE HULE B-51 (GATES)</v>
      </c>
      <c r="AS139" s="71" t="str">
        <f>IFERROR(__xludf.DUMMYFUNCTION("""COMPUTED_VALUE""")," BANDA DE HULE B-51 (GATES)")</f>
        <v>BANDA DE HULE B-51 (GATES)</v>
      </c>
      <c r="AT139" s="71">
        <f>IFERROR(__xludf.DUMMYFUNCTION("""COMPUTED_VALUE"""),26.0)</f>
        <v>26</v>
      </c>
      <c r="AU139" s="71"/>
      <c r="AV139" s="71"/>
      <c r="AW139" s="71"/>
      <c r="AX139" s="71"/>
      <c r="AY139" s="71"/>
      <c r="AZ139" s="71"/>
      <c r="BA139" s="71"/>
      <c r="BB139" s="71"/>
      <c r="BC139" s="71"/>
      <c r="BD139" s="71">
        <f>IFERROR(__xludf.DUMMYFUNCTION("""COMPUTED_VALUE"""),162.2)</f>
        <v>162.2</v>
      </c>
      <c r="BE139" s="71">
        <f>IFERROR(__xludf.DUMMYFUNCTION("""COMPUTED_VALUE"""),25.951999999999998)</f>
        <v>25.952</v>
      </c>
      <c r="BF139" s="71">
        <f>IFERROR(__xludf.DUMMYFUNCTION("""COMPUTED_VALUE"""),188.152)</f>
        <v>188.152</v>
      </c>
      <c r="BG139" s="71" t="str">
        <f>IFERROR(__xludf.DUMMYFUNCTION("""COMPUTED_VALUE"""),"#DIV/0!")</f>
        <v>#DIV/0!</v>
      </c>
      <c r="BH139" s="71">
        <f>IFERROR(__xludf.DUMMYFUNCTION("""COMPUTED_VALUE"""),154.08999999999997)</f>
        <v>154.09</v>
      </c>
      <c r="BI139" s="71">
        <f>IFERROR(__xludf.DUMMYFUNCTION("""COMPUTED_VALUE"""),24.654399999999995)</f>
        <v>24.6544</v>
      </c>
      <c r="BJ139" s="71">
        <f>IFERROR(__xludf.DUMMYFUNCTION("""COMPUTED_VALUE"""),178.74439999999998)</f>
        <v>178.7444</v>
      </c>
      <c r="BK139" s="71">
        <f>IFERROR(__xludf.DUMMYFUNCTION("""COMPUTED_VALUE"""),145.98)</f>
        <v>145.98</v>
      </c>
      <c r="BL139" s="71">
        <f>IFERROR(__xludf.DUMMYFUNCTION("""COMPUTED_VALUE"""),23.3568)</f>
        <v>23.3568</v>
      </c>
      <c r="BM139" s="71">
        <f>IFERROR(__xludf.DUMMYFUNCTION("""COMPUTED_VALUE"""),169.33679999999998)</f>
        <v>169.3368</v>
      </c>
      <c r="BN139" s="71">
        <f>IFERROR(__xludf.DUMMYFUNCTION("""COMPUTED_VALUE"""),137.86999999999998)</f>
        <v>137.87</v>
      </c>
      <c r="BO139" s="71">
        <f>IFERROR(__xludf.DUMMYFUNCTION("""COMPUTED_VALUE"""),22.059199999999997)</f>
        <v>22.0592</v>
      </c>
      <c r="BP139" s="71">
        <f>IFERROR(__xludf.DUMMYFUNCTION("""COMPUTED_VALUE"""),159.92919999999998)</f>
        <v>159.9292</v>
      </c>
      <c r="BQ139" s="71">
        <f>IFERROR(__xludf.DUMMYFUNCTION("""COMPUTED_VALUE"""),134.62599999999998)</f>
        <v>134.626</v>
      </c>
      <c r="BR139" s="71">
        <f>IFERROR(__xludf.DUMMYFUNCTION("""COMPUTED_VALUE"""),21.540159999999997)</f>
        <v>21.54016</v>
      </c>
      <c r="BS139" s="71">
        <f>IFERROR(__xludf.DUMMYFUNCTION("""COMPUTED_VALUE"""),156.16615999999996)</f>
        <v>156.16616</v>
      </c>
      <c r="BT139" s="71">
        <f>IFERROR(__xludf.DUMMYFUNCTION("""COMPUTED_VALUE"""),129.76)</f>
        <v>129.76</v>
      </c>
      <c r="BU139" s="71">
        <f>IFERROR(__xludf.DUMMYFUNCTION("""COMPUTED_VALUE"""),20.761599999999998)</f>
        <v>20.7616</v>
      </c>
      <c r="BV139" s="71">
        <f>IFERROR(__xludf.DUMMYFUNCTION("""COMPUTED_VALUE"""),150.52159999999998)</f>
        <v>150.5216</v>
      </c>
    </row>
    <row r="140">
      <c r="A140" s="53">
        <v>1.0</v>
      </c>
      <c r="B140" s="53"/>
      <c r="C140" s="53" t="s">
        <v>12</v>
      </c>
      <c r="D140" s="53" t="s">
        <v>379</v>
      </c>
      <c r="E140" s="54" t="s">
        <v>38</v>
      </c>
      <c r="F140" s="54" t="s">
        <v>42</v>
      </c>
      <c r="G140" s="55" t="s">
        <v>380</v>
      </c>
      <c r="H140" s="55" t="s">
        <v>380</v>
      </c>
      <c r="I140" s="54">
        <f t="shared" si="1"/>
        <v>19</v>
      </c>
      <c r="J140" s="56"/>
      <c r="K140" s="57"/>
      <c r="L140" s="76"/>
      <c r="M140" s="59"/>
      <c r="N140" s="79">
        <v>32.0</v>
      </c>
      <c r="O140" s="61">
        <v>34.0</v>
      </c>
      <c r="P140" s="63">
        <v>36.72</v>
      </c>
      <c r="Q140" s="63">
        <v>36.72</v>
      </c>
      <c r="R140" s="64">
        <v>39.0</v>
      </c>
      <c r="S140" s="111">
        <v>41.0</v>
      </c>
      <c r="T140" s="65">
        <f t="shared" si="2"/>
        <v>6.56</v>
      </c>
      <c r="U140" s="65">
        <f t="shared" si="3"/>
        <v>47.56</v>
      </c>
      <c r="V140" s="66">
        <f t="shared" si="4"/>
        <v>0.05128205128</v>
      </c>
      <c r="W140" s="67">
        <f t="shared" si="5"/>
        <v>38.95</v>
      </c>
      <c r="X140" s="67">
        <f t="shared" si="6"/>
        <v>6.232</v>
      </c>
      <c r="Y140" s="67">
        <f t="shared" si="7"/>
        <v>45.182</v>
      </c>
      <c r="Z140" s="67">
        <f t="shared" si="8"/>
        <v>36.9</v>
      </c>
      <c r="AA140" s="67">
        <f t="shared" si="9"/>
        <v>5.904</v>
      </c>
      <c r="AB140" s="67">
        <f t="shared" si="10"/>
        <v>42.804</v>
      </c>
      <c r="AC140" s="67">
        <f t="shared" si="11"/>
        <v>34.85</v>
      </c>
      <c r="AD140" s="67">
        <f t="shared" si="12"/>
        <v>5.576</v>
      </c>
      <c r="AE140" s="67">
        <f t="shared" si="13"/>
        <v>40.426</v>
      </c>
      <c r="AF140" s="67">
        <f t="shared" si="14"/>
        <v>34.03</v>
      </c>
      <c r="AG140" s="67">
        <f t="shared" si="15"/>
        <v>5.4448</v>
      </c>
      <c r="AH140" s="67">
        <f t="shared" si="16"/>
        <v>39.4748</v>
      </c>
      <c r="AI140" s="67">
        <f t="shared" si="17"/>
        <v>32.8</v>
      </c>
      <c r="AJ140" s="68">
        <f t="shared" si="20"/>
        <v>5.248</v>
      </c>
      <c r="AK140" s="68">
        <f t="shared" si="21"/>
        <v>38.048</v>
      </c>
      <c r="AL140" s="70">
        <f>IFERROR(__xludf.DUMMYFUNCTION("""COMPUTED_VALUE"""),1.0)</f>
        <v>1</v>
      </c>
      <c r="AM140" s="70"/>
      <c r="AN140" s="71" t="str">
        <f>IFERROR(__xludf.DUMMYFUNCTION("""COMPUTED_VALUE""")," C")</f>
        <v>C</v>
      </c>
      <c r="AO140" s="71" t="str">
        <f>IFERROR(__xludf.DUMMYFUNCTION("""COMPUTED_VALUE""")," BH51")</f>
        <v>BH51</v>
      </c>
      <c r="AP140" s="71" t="str">
        <f>IFERROR(__xludf.DUMMYFUNCTION("""COMPUTED_VALUE""")," PZA")</f>
        <v>PZA</v>
      </c>
      <c r="AQ140" s="71" t="str">
        <f>IFERROR(__xludf.DUMMYFUNCTION("""COMPUTED_VALUE""")," REF")</f>
        <v>REF</v>
      </c>
      <c r="AR140" s="71" t="str">
        <f>IFERROR(__xludf.DUMMYFUNCTION("""COMPUTED_VALUE""")," BANDA DE HULE B-52 (GATES)")</f>
        <v>BANDA DE HULE B-52 (GATES)</v>
      </c>
      <c r="AS140" s="71" t="str">
        <f>IFERROR(__xludf.DUMMYFUNCTION("""COMPUTED_VALUE""")," BANDA DE HULE B-52 (GATES)")</f>
        <v>BANDA DE HULE B-52 (GATES)</v>
      </c>
      <c r="AT140" s="71">
        <f>IFERROR(__xludf.DUMMYFUNCTION("""COMPUTED_VALUE"""),26.0)</f>
        <v>26</v>
      </c>
      <c r="AU140" s="71"/>
      <c r="AV140" s="71"/>
      <c r="AW140" s="71"/>
      <c r="AX140" s="71"/>
      <c r="AY140" s="71">
        <f>IFERROR(__xludf.DUMMYFUNCTION("""COMPUTED_VALUE"""),231.0)</f>
        <v>231</v>
      </c>
      <c r="AZ140" s="71">
        <f>IFERROR(__xludf.DUMMYFUNCTION("""COMPUTED_VALUE"""),249.0)</f>
        <v>249</v>
      </c>
      <c r="BA140" s="71">
        <f>IFERROR(__xludf.DUMMYFUNCTION("""COMPUTED_VALUE"""),268.92)</f>
        <v>268.92</v>
      </c>
      <c r="BB140" s="71">
        <f>IFERROR(__xludf.DUMMYFUNCTION("""COMPUTED_VALUE"""),268.92)</f>
        <v>268.92</v>
      </c>
      <c r="BC140" s="71">
        <f>IFERROR(__xludf.DUMMYFUNCTION("""COMPUTED_VALUE"""),301.0)</f>
        <v>301</v>
      </c>
      <c r="BD140" s="71">
        <f>IFERROR(__xludf.DUMMYFUNCTION("""COMPUTED_VALUE"""),316.0)</f>
        <v>316</v>
      </c>
      <c r="BE140" s="71">
        <f>IFERROR(__xludf.DUMMYFUNCTION("""COMPUTED_VALUE"""),50.56)</f>
        <v>50.56</v>
      </c>
      <c r="BF140" s="71">
        <f>IFERROR(__xludf.DUMMYFUNCTION("""COMPUTED_VALUE"""),366.56)</f>
        <v>366.56</v>
      </c>
      <c r="BG140" s="71">
        <f>IFERROR(__xludf.DUMMYFUNCTION("""COMPUTED_VALUE"""),0.04983388704318937)</f>
        <v>0.04983388704</v>
      </c>
      <c r="BH140" s="71">
        <f>IFERROR(__xludf.DUMMYFUNCTION("""COMPUTED_VALUE"""),300.2)</f>
        <v>300.2</v>
      </c>
      <c r="BI140" s="71">
        <f>IFERROR(__xludf.DUMMYFUNCTION("""COMPUTED_VALUE"""),48.032)</f>
        <v>48.032</v>
      </c>
      <c r="BJ140" s="71">
        <f>IFERROR(__xludf.DUMMYFUNCTION("""COMPUTED_VALUE"""),348.23199999999997)</f>
        <v>348.232</v>
      </c>
      <c r="BK140" s="71">
        <f>IFERROR(__xludf.DUMMYFUNCTION("""COMPUTED_VALUE"""),284.40000000000003)</f>
        <v>284.4</v>
      </c>
      <c r="BL140" s="71">
        <f>IFERROR(__xludf.DUMMYFUNCTION("""COMPUTED_VALUE"""),45.504000000000005)</f>
        <v>45.504</v>
      </c>
      <c r="BM140" s="71">
        <f>IFERROR(__xludf.DUMMYFUNCTION("""COMPUTED_VALUE"""),329.90400000000005)</f>
        <v>329.904</v>
      </c>
      <c r="BN140" s="71">
        <f>IFERROR(__xludf.DUMMYFUNCTION("""COMPUTED_VALUE"""),268.59999999999997)</f>
        <v>268.6</v>
      </c>
      <c r="BO140" s="71">
        <f>IFERROR(__xludf.DUMMYFUNCTION("""COMPUTED_VALUE"""),42.97599999999999)</f>
        <v>42.976</v>
      </c>
      <c r="BP140" s="71">
        <f>IFERROR(__xludf.DUMMYFUNCTION("""COMPUTED_VALUE"""),311.57599999999996)</f>
        <v>311.576</v>
      </c>
      <c r="BQ140" s="71">
        <f>IFERROR(__xludf.DUMMYFUNCTION("""COMPUTED_VALUE"""),262.28)</f>
        <v>262.28</v>
      </c>
      <c r="BR140" s="71">
        <f>IFERROR(__xludf.DUMMYFUNCTION("""COMPUTED_VALUE"""),41.9648)</f>
        <v>41.9648</v>
      </c>
      <c r="BS140" s="71">
        <f>IFERROR(__xludf.DUMMYFUNCTION("""COMPUTED_VALUE"""),304.24479999999994)</f>
        <v>304.2448</v>
      </c>
      <c r="BT140" s="71">
        <f>IFERROR(__xludf.DUMMYFUNCTION("""COMPUTED_VALUE"""),252.8)</f>
        <v>252.8</v>
      </c>
      <c r="BU140" s="71">
        <f>IFERROR(__xludf.DUMMYFUNCTION("""COMPUTED_VALUE"""),40.448)</f>
        <v>40.448</v>
      </c>
      <c r="BV140" s="71">
        <f>IFERROR(__xludf.DUMMYFUNCTION("""COMPUTED_VALUE"""),293.248)</f>
        <v>293.248</v>
      </c>
    </row>
    <row r="141">
      <c r="A141" s="53">
        <v>1.0</v>
      </c>
      <c r="B141" s="72"/>
      <c r="C141" s="73" t="s">
        <v>12</v>
      </c>
      <c r="D141" s="74" t="s">
        <v>381</v>
      </c>
      <c r="E141" s="54" t="s">
        <v>38</v>
      </c>
      <c r="F141" s="54" t="s">
        <v>42</v>
      </c>
      <c r="G141" s="54" t="s">
        <v>382</v>
      </c>
      <c r="H141" s="54" t="s">
        <v>382</v>
      </c>
      <c r="I141" s="54">
        <f t="shared" si="1"/>
        <v>19</v>
      </c>
      <c r="J141" s="56"/>
      <c r="K141" s="75"/>
      <c r="L141" s="76"/>
      <c r="M141" s="59"/>
      <c r="N141" s="60">
        <v>48.0</v>
      </c>
      <c r="O141" s="61">
        <v>51.0</v>
      </c>
      <c r="P141" s="62">
        <v>55.080000000000005</v>
      </c>
      <c r="Q141" s="63">
        <v>55.080000000000005</v>
      </c>
      <c r="R141" s="64">
        <v>61.0</v>
      </c>
      <c r="S141" s="111">
        <v>64.0</v>
      </c>
      <c r="T141" s="65">
        <f t="shared" si="2"/>
        <v>10.24</v>
      </c>
      <c r="U141" s="65">
        <f t="shared" si="3"/>
        <v>74.24</v>
      </c>
      <c r="V141" s="66">
        <f t="shared" si="4"/>
        <v>0.04918032787</v>
      </c>
      <c r="W141" s="67">
        <f t="shared" si="5"/>
        <v>60.8</v>
      </c>
      <c r="X141" s="67">
        <f t="shared" si="6"/>
        <v>9.728</v>
      </c>
      <c r="Y141" s="67">
        <f t="shared" si="7"/>
        <v>70.528</v>
      </c>
      <c r="Z141" s="67">
        <f t="shared" si="8"/>
        <v>57.6</v>
      </c>
      <c r="AA141" s="67">
        <f t="shared" si="9"/>
        <v>9.216</v>
      </c>
      <c r="AB141" s="67">
        <f t="shared" si="10"/>
        <v>66.816</v>
      </c>
      <c r="AC141" s="67">
        <f t="shared" si="11"/>
        <v>54.4</v>
      </c>
      <c r="AD141" s="67">
        <f t="shared" si="12"/>
        <v>8.704</v>
      </c>
      <c r="AE141" s="67">
        <f t="shared" si="13"/>
        <v>63.104</v>
      </c>
      <c r="AF141" s="67">
        <f t="shared" si="14"/>
        <v>53.12</v>
      </c>
      <c r="AG141" s="67">
        <f t="shared" si="15"/>
        <v>8.4992</v>
      </c>
      <c r="AH141" s="67">
        <f t="shared" si="16"/>
        <v>61.6192</v>
      </c>
      <c r="AI141" s="67">
        <f t="shared" si="17"/>
        <v>51.2</v>
      </c>
      <c r="AJ141" s="68">
        <f t="shared" si="20"/>
        <v>8.192</v>
      </c>
      <c r="AK141" s="68">
        <f t="shared" si="21"/>
        <v>59.392</v>
      </c>
      <c r="AL141" s="70">
        <f>IFERROR(__xludf.DUMMYFUNCTION("""COMPUTED_VALUE"""),1.0)</f>
        <v>1</v>
      </c>
      <c r="AM141" s="70"/>
      <c r="AN141" s="71" t="str">
        <f>IFERROR(__xludf.DUMMYFUNCTION("""COMPUTED_VALUE""")," C")</f>
        <v>C</v>
      </c>
      <c r="AO141" s="71" t="str">
        <f>IFERROR(__xludf.DUMMYFUNCTION("""COMPUTED_VALUE""")," BH21")</f>
        <v>BH21</v>
      </c>
      <c r="AP141" s="71" t="str">
        <f>IFERROR(__xludf.DUMMYFUNCTION("""COMPUTED_VALUE""")," PZA")</f>
        <v>PZA</v>
      </c>
      <c r="AQ141" s="71" t="str">
        <f>IFERROR(__xludf.DUMMYFUNCTION("""COMPUTED_VALUE""")," REF")</f>
        <v>REF</v>
      </c>
      <c r="AR141" s="71" t="str">
        <f>IFERROR(__xludf.DUMMYFUNCTION("""COMPUTED_VALUE""")," BANDA DE HULE B-53 (BLACKGOLD)")</f>
        <v>BANDA DE HULE B-53 (BLACKGOLD)</v>
      </c>
      <c r="AS141" s="71" t="str">
        <f>IFERROR(__xludf.DUMMYFUNCTION("""COMPUTED_VALUE""")," BANDA DE HULE B-53 (BLACKGOLD)")</f>
        <v>BANDA DE HULE B-53 (BLACKGOLD)</v>
      </c>
      <c r="AT141" s="71">
        <f>IFERROR(__xludf.DUMMYFUNCTION("""COMPUTED_VALUE"""),30.0)</f>
        <v>30</v>
      </c>
      <c r="AU141" s="71"/>
      <c r="AV141" s="71"/>
      <c r="AW141" s="71"/>
      <c r="AX141" s="71"/>
      <c r="AY141" s="71">
        <f>IFERROR(__xludf.DUMMYFUNCTION("""COMPUTED_VALUE"""),119.0)</f>
        <v>119</v>
      </c>
      <c r="AZ141" s="71">
        <f>IFERROR(__xludf.DUMMYFUNCTION("""COMPUTED_VALUE"""),143.0)</f>
        <v>143</v>
      </c>
      <c r="BA141" s="71">
        <f>IFERROR(__xludf.DUMMYFUNCTION("""COMPUTED_VALUE"""),154.44)</f>
        <v>154.44</v>
      </c>
      <c r="BB141" s="71">
        <f>IFERROR(__xludf.DUMMYFUNCTION("""COMPUTED_VALUE"""),154.44)</f>
        <v>154.44</v>
      </c>
      <c r="BC141" s="71">
        <f>IFERROR(__xludf.DUMMYFUNCTION("""COMPUTED_VALUE"""),173.0)</f>
        <v>173</v>
      </c>
      <c r="BD141" s="71">
        <f>IFERROR(__xludf.DUMMYFUNCTION("""COMPUTED_VALUE"""),182.0)</f>
        <v>182</v>
      </c>
      <c r="BE141" s="71">
        <f>IFERROR(__xludf.DUMMYFUNCTION("""COMPUTED_VALUE"""),29.12)</f>
        <v>29.12</v>
      </c>
      <c r="BF141" s="71">
        <f>IFERROR(__xludf.DUMMYFUNCTION("""COMPUTED_VALUE"""),211.12)</f>
        <v>211.12</v>
      </c>
      <c r="BG141" s="71">
        <f>IFERROR(__xludf.DUMMYFUNCTION("""COMPUTED_VALUE"""),0.05202312138728324)</f>
        <v>0.05202312139</v>
      </c>
      <c r="BH141" s="71">
        <f>IFERROR(__xludf.DUMMYFUNCTION("""COMPUTED_VALUE"""),172.9)</f>
        <v>172.9</v>
      </c>
      <c r="BI141" s="71">
        <f>IFERROR(__xludf.DUMMYFUNCTION("""COMPUTED_VALUE"""),27.664)</f>
        <v>27.664</v>
      </c>
      <c r="BJ141" s="71">
        <f>IFERROR(__xludf.DUMMYFUNCTION("""COMPUTED_VALUE"""),200.56400000000002)</f>
        <v>200.564</v>
      </c>
      <c r="BK141" s="71">
        <f>IFERROR(__xludf.DUMMYFUNCTION("""COMPUTED_VALUE"""),163.8)</f>
        <v>163.8</v>
      </c>
      <c r="BL141" s="71">
        <f>IFERROR(__xludf.DUMMYFUNCTION("""COMPUTED_VALUE"""),26.208000000000002)</f>
        <v>26.208</v>
      </c>
      <c r="BM141" s="71">
        <f>IFERROR(__xludf.DUMMYFUNCTION("""COMPUTED_VALUE"""),190.008)</f>
        <v>190.008</v>
      </c>
      <c r="BN141" s="71">
        <f>IFERROR(__xludf.DUMMYFUNCTION("""COMPUTED_VALUE"""),154.7)</f>
        <v>154.7</v>
      </c>
      <c r="BO141" s="71">
        <f>IFERROR(__xludf.DUMMYFUNCTION("""COMPUTED_VALUE"""),24.752)</f>
        <v>24.752</v>
      </c>
      <c r="BP141" s="71">
        <f>IFERROR(__xludf.DUMMYFUNCTION("""COMPUTED_VALUE"""),179.452)</f>
        <v>179.452</v>
      </c>
      <c r="BQ141" s="71">
        <f>IFERROR(__xludf.DUMMYFUNCTION("""COMPUTED_VALUE"""),151.06)</f>
        <v>151.06</v>
      </c>
      <c r="BR141" s="71">
        <f>IFERROR(__xludf.DUMMYFUNCTION("""COMPUTED_VALUE"""),24.169600000000003)</f>
        <v>24.1696</v>
      </c>
      <c r="BS141" s="71">
        <f>IFERROR(__xludf.DUMMYFUNCTION("""COMPUTED_VALUE"""),175.2296)</f>
        <v>175.2296</v>
      </c>
      <c r="BT141" s="71">
        <f>IFERROR(__xludf.DUMMYFUNCTION("""COMPUTED_VALUE"""),145.6)</f>
        <v>145.6</v>
      </c>
      <c r="BU141" s="71">
        <f>IFERROR(__xludf.DUMMYFUNCTION("""COMPUTED_VALUE"""),23.296)</f>
        <v>23.296</v>
      </c>
      <c r="BV141" s="71">
        <f>IFERROR(__xludf.DUMMYFUNCTION("""COMPUTED_VALUE"""),168.896)</f>
        <v>168.896</v>
      </c>
    </row>
    <row r="142">
      <c r="A142" s="53">
        <v>1.0</v>
      </c>
      <c r="B142" s="72"/>
      <c r="C142" s="73" t="s">
        <v>12</v>
      </c>
      <c r="D142" s="74" t="s">
        <v>383</v>
      </c>
      <c r="E142" s="54" t="s">
        <v>38</v>
      </c>
      <c r="F142" s="54" t="s">
        <v>42</v>
      </c>
      <c r="G142" s="54" t="s">
        <v>384</v>
      </c>
      <c r="H142" s="54" t="s">
        <v>384</v>
      </c>
      <c r="I142" s="54">
        <f t="shared" si="1"/>
        <v>19</v>
      </c>
      <c r="J142" s="56"/>
      <c r="K142" s="75"/>
      <c r="L142" s="76"/>
      <c r="M142" s="59"/>
      <c r="N142" s="60">
        <v>54.0</v>
      </c>
      <c r="O142" s="61">
        <v>58.0</v>
      </c>
      <c r="P142" s="62">
        <v>62.64</v>
      </c>
      <c r="Q142" s="63">
        <v>62.64</v>
      </c>
      <c r="R142" s="64">
        <v>71.0</v>
      </c>
      <c r="S142" s="111">
        <v>75.0</v>
      </c>
      <c r="T142" s="65">
        <f t="shared" si="2"/>
        <v>12</v>
      </c>
      <c r="U142" s="65">
        <f t="shared" si="3"/>
        <v>87</v>
      </c>
      <c r="V142" s="66">
        <f t="shared" si="4"/>
        <v>0.05633802817</v>
      </c>
      <c r="W142" s="67">
        <f t="shared" si="5"/>
        <v>71.25</v>
      </c>
      <c r="X142" s="67">
        <f t="shared" si="6"/>
        <v>11.4</v>
      </c>
      <c r="Y142" s="67">
        <f t="shared" si="7"/>
        <v>82.65</v>
      </c>
      <c r="Z142" s="67">
        <f t="shared" si="8"/>
        <v>67.5</v>
      </c>
      <c r="AA142" s="67">
        <f t="shared" si="9"/>
        <v>10.8</v>
      </c>
      <c r="AB142" s="67">
        <f t="shared" si="10"/>
        <v>78.3</v>
      </c>
      <c r="AC142" s="67">
        <f t="shared" si="11"/>
        <v>63.75</v>
      </c>
      <c r="AD142" s="67">
        <f t="shared" si="12"/>
        <v>10.2</v>
      </c>
      <c r="AE142" s="67">
        <f t="shared" si="13"/>
        <v>73.95</v>
      </c>
      <c r="AF142" s="67">
        <f t="shared" si="14"/>
        <v>62.25</v>
      </c>
      <c r="AG142" s="67">
        <f t="shared" si="15"/>
        <v>9.96</v>
      </c>
      <c r="AH142" s="67">
        <f t="shared" si="16"/>
        <v>72.21</v>
      </c>
      <c r="AI142" s="67">
        <f t="shared" si="17"/>
        <v>60</v>
      </c>
      <c r="AJ142" s="68">
        <f t="shared" si="20"/>
        <v>9.6</v>
      </c>
      <c r="AK142" s="68">
        <f t="shared" si="21"/>
        <v>69.6</v>
      </c>
      <c r="AL142" s="70">
        <f>IFERROR(__xludf.DUMMYFUNCTION("""COMPUTED_VALUE"""),1.0)</f>
        <v>1</v>
      </c>
      <c r="AM142" s="70"/>
      <c r="AN142" s="71" t="str">
        <f>IFERROR(__xludf.DUMMYFUNCTION("""COMPUTED_VALUE""")," C")</f>
        <v>C</v>
      </c>
      <c r="AO142" s="71" t="str">
        <f>IFERROR(__xludf.DUMMYFUNCTION("""COMPUTED_VALUE""")," BH46")</f>
        <v>BH46</v>
      </c>
      <c r="AP142" s="71" t="str">
        <f>IFERROR(__xludf.DUMMYFUNCTION("""COMPUTED_VALUE""")," PZA")</f>
        <v>PZA</v>
      </c>
      <c r="AQ142" s="71" t="str">
        <f>IFERROR(__xludf.DUMMYFUNCTION("""COMPUTED_VALUE""")," REF")</f>
        <v>REF</v>
      </c>
      <c r="AR142" s="71" t="str">
        <f>IFERROR(__xludf.DUMMYFUNCTION("""COMPUTED_VALUE""")," BANDA DE HULE B-53 (GATES)")</f>
        <v>BANDA DE HULE B-53 (GATES)</v>
      </c>
      <c r="AS142" s="71" t="str">
        <f>IFERROR(__xludf.DUMMYFUNCTION("""COMPUTED_VALUE""")," BANDA DE HULE B-53 (GATES)")</f>
        <v>BANDA DE HULE B-53 (GATES)</v>
      </c>
      <c r="AT142" s="71">
        <f>IFERROR(__xludf.DUMMYFUNCTION("""COMPUTED_VALUE"""),26.0)</f>
        <v>26</v>
      </c>
      <c r="AU142" s="71"/>
      <c r="AV142" s="71"/>
      <c r="AW142" s="71"/>
      <c r="AX142" s="71"/>
      <c r="AY142" s="71">
        <f>IFERROR(__xludf.DUMMYFUNCTION("""COMPUTED_VALUE"""),231.0)</f>
        <v>231</v>
      </c>
      <c r="AZ142" s="71">
        <f>IFERROR(__xludf.DUMMYFUNCTION("""COMPUTED_VALUE"""),249.0)</f>
        <v>249</v>
      </c>
      <c r="BA142" s="71">
        <f>IFERROR(__xludf.DUMMYFUNCTION("""COMPUTED_VALUE"""),268.92)</f>
        <v>268.92</v>
      </c>
      <c r="BB142" s="71">
        <f>IFERROR(__xludf.DUMMYFUNCTION("""COMPUTED_VALUE"""),268.92)</f>
        <v>268.92</v>
      </c>
      <c r="BC142" s="71">
        <f>IFERROR(__xludf.DUMMYFUNCTION("""COMPUTED_VALUE"""),301.0)</f>
        <v>301</v>
      </c>
      <c r="BD142" s="71">
        <f>IFERROR(__xludf.DUMMYFUNCTION("""COMPUTED_VALUE"""),316.0)</f>
        <v>316</v>
      </c>
      <c r="BE142" s="71">
        <f>IFERROR(__xludf.DUMMYFUNCTION("""COMPUTED_VALUE"""),50.56)</f>
        <v>50.56</v>
      </c>
      <c r="BF142" s="71">
        <f>IFERROR(__xludf.DUMMYFUNCTION("""COMPUTED_VALUE"""),366.56)</f>
        <v>366.56</v>
      </c>
      <c r="BG142" s="71">
        <f>IFERROR(__xludf.DUMMYFUNCTION("""COMPUTED_VALUE"""),0.04983388704318937)</f>
        <v>0.04983388704</v>
      </c>
      <c r="BH142" s="71">
        <f>IFERROR(__xludf.DUMMYFUNCTION("""COMPUTED_VALUE"""),300.2)</f>
        <v>300.2</v>
      </c>
      <c r="BI142" s="71">
        <f>IFERROR(__xludf.DUMMYFUNCTION("""COMPUTED_VALUE"""),48.032)</f>
        <v>48.032</v>
      </c>
      <c r="BJ142" s="71">
        <f>IFERROR(__xludf.DUMMYFUNCTION("""COMPUTED_VALUE"""),348.23199999999997)</f>
        <v>348.232</v>
      </c>
      <c r="BK142" s="71">
        <f>IFERROR(__xludf.DUMMYFUNCTION("""COMPUTED_VALUE"""),284.40000000000003)</f>
        <v>284.4</v>
      </c>
      <c r="BL142" s="71">
        <f>IFERROR(__xludf.DUMMYFUNCTION("""COMPUTED_VALUE"""),45.504000000000005)</f>
        <v>45.504</v>
      </c>
      <c r="BM142" s="71">
        <f>IFERROR(__xludf.DUMMYFUNCTION("""COMPUTED_VALUE"""),329.90400000000005)</f>
        <v>329.904</v>
      </c>
      <c r="BN142" s="71">
        <f>IFERROR(__xludf.DUMMYFUNCTION("""COMPUTED_VALUE"""),268.59999999999997)</f>
        <v>268.6</v>
      </c>
      <c r="BO142" s="71">
        <f>IFERROR(__xludf.DUMMYFUNCTION("""COMPUTED_VALUE"""),42.97599999999999)</f>
        <v>42.976</v>
      </c>
      <c r="BP142" s="71">
        <f>IFERROR(__xludf.DUMMYFUNCTION("""COMPUTED_VALUE"""),311.57599999999996)</f>
        <v>311.576</v>
      </c>
      <c r="BQ142" s="71">
        <f>IFERROR(__xludf.DUMMYFUNCTION("""COMPUTED_VALUE"""),262.28)</f>
        <v>262.28</v>
      </c>
      <c r="BR142" s="71">
        <f>IFERROR(__xludf.DUMMYFUNCTION("""COMPUTED_VALUE"""),41.9648)</f>
        <v>41.9648</v>
      </c>
      <c r="BS142" s="71">
        <f>IFERROR(__xludf.DUMMYFUNCTION("""COMPUTED_VALUE"""),304.24479999999994)</f>
        <v>304.2448</v>
      </c>
      <c r="BT142" s="71">
        <f>IFERROR(__xludf.DUMMYFUNCTION("""COMPUTED_VALUE"""),252.8)</f>
        <v>252.8</v>
      </c>
      <c r="BU142" s="71">
        <f>IFERROR(__xludf.DUMMYFUNCTION("""COMPUTED_VALUE"""),40.448)</f>
        <v>40.448</v>
      </c>
      <c r="BV142" s="71">
        <f>IFERROR(__xludf.DUMMYFUNCTION("""COMPUTED_VALUE"""),293.248)</f>
        <v>293.248</v>
      </c>
    </row>
    <row r="143">
      <c r="A143" s="53">
        <v>1.0</v>
      </c>
      <c r="B143" s="72"/>
      <c r="C143" s="73" t="s">
        <v>12</v>
      </c>
      <c r="D143" s="53" t="s">
        <v>385</v>
      </c>
      <c r="E143" s="54" t="s">
        <v>38</v>
      </c>
      <c r="F143" s="54" t="s">
        <v>42</v>
      </c>
      <c r="G143" s="54" t="s">
        <v>386</v>
      </c>
      <c r="H143" s="54" t="s">
        <v>386</v>
      </c>
      <c r="I143" s="54">
        <f t="shared" si="1"/>
        <v>25</v>
      </c>
      <c r="J143" s="56"/>
      <c r="K143" s="75"/>
      <c r="L143" s="76"/>
      <c r="M143" s="59"/>
      <c r="N143" s="60"/>
      <c r="O143" s="61">
        <v>29.0</v>
      </c>
      <c r="P143" s="62">
        <v>31.32</v>
      </c>
      <c r="Q143" s="63">
        <v>31.32</v>
      </c>
      <c r="R143" s="64">
        <v>34.0</v>
      </c>
      <c r="S143" s="111">
        <v>36.0</v>
      </c>
      <c r="T143" s="65">
        <f t="shared" si="2"/>
        <v>5.76</v>
      </c>
      <c r="U143" s="65">
        <f t="shared" si="3"/>
        <v>41.76</v>
      </c>
      <c r="V143" s="66">
        <f t="shared" si="4"/>
        <v>0.05882352941</v>
      </c>
      <c r="W143" s="67">
        <f t="shared" si="5"/>
        <v>34.2</v>
      </c>
      <c r="X143" s="67">
        <f t="shared" si="6"/>
        <v>5.472</v>
      </c>
      <c r="Y143" s="67">
        <f t="shared" si="7"/>
        <v>39.672</v>
      </c>
      <c r="Z143" s="67">
        <f t="shared" si="8"/>
        <v>32.4</v>
      </c>
      <c r="AA143" s="67">
        <f t="shared" si="9"/>
        <v>5.184</v>
      </c>
      <c r="AB143" s="67">
        <f t="shared" si="10"/>
        <v>37.584</v>
      </c>
      <c r="AC143" s="67">
        <f t="shared" si="11"/>
        <v>30.6</v>
      </c>
      <c r="AD143" s="67">
        <f t="shared" si="12"/>
        <v>4.896</v>
      </c>
      <c r="AE143" s="67">
        <f t="shared" si="13"/>
        <v>35.496</v>
      </c>
      <c r="AF143" s="67">
        <f t="shared" si="14"/>
        <v>29.88</v>
      </c>
      <c r="AG143" s="67">
        <f t="shared" si="15"/>
        <v>4.7808</v>
      </c>
      <c r="AH143" s="67">
        <f t="shared" si="16"/>
        <v>34.6608</v>
      </c>
      <c r="AI143" s="67">
        <f t="shared" si="17"/>
        <v>28.8</v>
      </c>
      <c r="AJ143" s="68">
        <f t="shared" si="20"/>
        <v>4.608</v>
      </c>
      <c r="AK143" s="68">
        <f t="shared" si="21"/>
        <v>33.408</v>
      </c>
      <c r="AL143" s="70">
        <f>IFERROR(__xludf.DUMMYFUNCTION("""COMPUTED_VALUE"""),1.0)</f>
        <v>1</v>
      </c>
      <c r="AM143" s="70"/>
      <c r="AN143" s="71" t="str">
        <f>IFERROR(__xludf.DUMMYFUNCTION("""COMPUTED_VALUE""")," C")</f>
        <v>C</v>
      </c>
      <c r="AO143" s="71" t="str">
        <f>IFERROR(__xludf.DUMMYFUNCTION("""COMPUTED_VALUE""")," BH57")</f>
        <v>BH57</v>
      </c>
      <c r="AP143" s="71" t="str">
        <f>IFERROR(__xludf.DUMMYFUNCTION("""COMPUTED_VALUE""")," PZA")</f>
        <v>PZA</v>
      </c>
      <c r="AQ143" s="71" t="str">
        <f>IFERROR(__xludf.DUMMYFUNCTION("""COMPUTED_VALUE""")," REF")</f>
        <v>REF</v>
      </c>
      <c r="AR143" s="71" t="str">
        <f>IFERROR(__xludf.DUMMYFUNCTION("""COMPUTED_VALUE""")," BANDA DE HULE B-55 (GATES)")</f>
        <v>BANDA DE HULE B-55 (GATES)</v>
      </c>
      <c r="AS143" s="71" t="str">
        <f>IFERROR(__xludf.DUMMYFUNCTION("""COMPUTED_VALUE""")," BANDA DE HULE B-55 (GATES)")</f>
        <v>BANDA DE HULE B-55 (GATES)</v>
      </c>
      <c r="AT143" s="71">
        <f>IFERROR(__xludf.DUMMYFUNCTION("""COMPUTED_VALUE"""),26.0)</f>
        <v>26</v>
      </c>
      <c r="AU143" s="71"/>
      <c r="AV143" s="71"/>
      <c r="AW143" s="71"/>
      <c r="AX143" s="71"/>
      <c r="AY143" s="71">
        <f>IFERROR(__xludf.DUMMYFUNCTION("""COMPUTED_VALUE"""),231.0)</f>
        <v>231</v>
      </c>
      <c r="AZ143" s="71">
        <f>IFERROR(__xludf.DUMMYFUNCTION("""COMPUTED_VALUE"""),249.0)</f>
        <v>249</v>
      </c>
      <c r="BA143" s="71">
        <f>IFERROR(__xludf.DUMMYFUNCTION("""COMPUTED_VALUE"""),268.92)</f>
        <v>268.92</v>
      </c>
      <c r="BB143" s="71">
        <f>IFERROR(__xludf.DUMMYFUNCTION("""COMPUTED_VALUE"""),268.92)</f>
        <v>268.92</v>
      </c>
      <c r="BC143" s="71">
        <f>IFERROR(__xludf.DUMMYFUNCTION("""COMPUTED_VALUE"""),301.0)</f>
        <v>301</v>
      </c>
      <c r="BD143" s="71">
        <f>IFERROR(__xludf.DUMMYFUNCTION("""COMPUTED_VALUE"""),316.0)</f>
        <v>316</v>
      </c>
      <c r="BE143" s="71">
        <f>IFERROR(__xludf.DUMMYFUNCTION("""COMPUTED_VALUE"""),50.56)</f>
        <v>50.56</v>
      </c>
      <c r="BF143" s="71">
        <f>IFERROR(__xludf.DUMMYFUNCTION("""COMPUTED_VALUE"""),366.56)</f>
        <v>366.56</v>
      </c>
      <c r="BG143" s="71">
        <f>IFERROR(__xludf.DUMMYFUNCTION("""COMPUTED_VALUE"""),0.04983388704318937)</f>
        <v>0.04983388704</v>
      </c>
      <c r="BH143" s="71">
        <f>IFERROR(__xludf.DUMMYFUNCTION("""COMPUTED_VALUE"""),300.2)</f>
        <v>300.2</v>
      </c>
      <c r="BI143" s="71">
        <f>IFERROR(__xludf.DUMMYFUNCTION("""COMPUTED_VALUE"""),48.032)</f>
        <v>48.032</v>
      </c>
      <c r="BJ143" s="71">
        <f>IFERROR(__xludf.DUMMYFUNCTION("""COMPUTED_VALUE"""),348.23199999999997)</f>
        <v>348.232</v>
      </c>
      <c r="BK143" s="71">
        <f>IFERROR(__xludf.DUMMYFUNCTION("""COMPUTED_VALUE"""),284.40000000000003)</f>
        <v>284.4</v>
      </c>
      <c r="BL143" s="71">
        <f>IFERROR(__xludf.DUMMYFUNCTION("""COMPUTED_VALUE"""),45.504000000000005)</f>
        <v>45.504</v>
      </c>
      <c r="BM143" s="71">
        <f>IFERROR(__xludf.DUMMYFUNCTION("""COMPUTED_VALUE"""),329.90400000000005)</f>
        <v>329.904</v>
      </c>
      <c r="BN143" s="71">
        <f>IFERROR(__xludf.DUMMYFUNCTION("""COMPUTED_VALUE"""),268.59999999999997)</f>
        <v>268.6</v>
      </c>
      <c r="BO143" s="71">
        <f>IFERROR(__xludf.DUMMYFUNCTION("""COMPUTED_VALUE"""),42.97599999999999)</f>
        <v>42.976</v>
      </c>
      <c r="BP143" s="71">
        <f>IFERROR(__xludf.DUMMYFUNCTION("""COMPUTED_VALUE"""),311.57599999999996)</f>
        <v>311.576</v>
      </c>
      <c r="BQ143" s="71">
        <f>IFERROR(__xludf.DUMMYFUNCTION("""COMPUTED_VALUE"""),262.28)</f>
        <v>262.28</v>
      </c>
      <c r="BR143" s="71">
        <f>IFERROR(__xludf.DUMMYFUNCTION("""COMPUTED_VALUE"""),41.9648)</f>
        <v>41.9648</v>
      </c>
      <c r="BS143" s="71">
        <f>IFERROR(__xludf.DUMMYFUNCTION("""COMPUTED_VALUE"""),304.24479999999994)</f>
        <v>304.2448</v>
      </c>
      <c r="BT143" s="71">
        <f>IFERROR(__xludf.DUMMYFUNCTION("""COMPUTED_VALUE"""),252.8)</f>
        <v>252.8</v>
      </c>
      <c r="BU143" s="71">
        <f>IFERROR(__xludf.DUMMYFUNCTION("""COMPUTED_VALUE"""),40.448)</f>
        <v>40.448</v>
      </c>
      <c r="BV143" s="71">
        <f>IFERROR(__xludf.DUMMYFUNCTION("""COMPUTED_VALUE"""),293.248)</f>
        <v>293.248</v>
      </c>
    </row>
    <row r="144">
      <c r="A144" s="53">
        <v>1.0</v>
      </c>
      <c r="B144" s="53"/>
      <c r="C144" s="53" t="s">
        <v>12</v>
      </c>
      <c r="D144" s="53" t="s">
        <v>387</v>
      </c>
      <c r="E144" s="54" t="s">
        <v>38</v>
      </c>
      <c r="F144" s="54" t="s">
        <v>42</v>
      </c>
      <c r="G144" s="55" t="s">
        <v>388</v>
      </c>
      <c r="H144" s="55" t="s">
        <v>388</v>
      </c>
      <c r="I144" s="54">
        <f t="shared" si="1"/>
        <v>22</v>
      </c>
      <c r="J144" s="56"/>
      <c r="K144" s="57"/>
      <c r="L144" s="76"/>
      <c r="M144" s="59"/>
      <c r="N144" s="79">
        <v>37.0</v>
      </c>
      <c r="O144" s="61">
        <v>39.0</v>
      </c>
      <c r="P144" s="63">
        <v>42.120000000000005</v>
      </c>
      <c r="Q144" s="63">
        <v>42.120000000000005</v>
      </c>
      <c r="R144" s="64">
        <v>45.0</v>
      </c>
      <c r="S144" s="111">
        <v>47.0</v>
      </c>
      <c r="T144" s="65">
        <f t="shared" si="2"/>
        <v>7.52</v>
      </c>
      <c r="U144" s="65">
        <f t="shared" si="3"/>
        <v>54.52</v>
      </c>
      <c r="V144" s="66">
        <f t="shared" si="4"/>
        <v>0.04444444444</v>
      </c>
      <c r="W144" s="67">
        <f t="shared" si="5"/>
        <v>44.65</v>
      </c>
      <c r="X144" s="67">
        <f t="shared" si="6"/>
        <v>7.144</v>
      </c>
      <c r="Y144" s="67">
        <f t="shared" si="7"/>
        <v>51.794</v>
      </c>
      <c r="Z144" s="67">
        <f t="shared" si="8"/>
        <v>42.3</v>
      </c>
      <c r="AA144" s="67">
        <f t="shared" si="9"/>
        <v>6.768</v>
      </c>
      <c r="AB144" s="67">
        <f t="shared" si="10"/>
        <v>49.068</v>
      </c>
      <c r="AC144" s="67">
        <f t="shared" si="11"/>
        <v>39.95</v>
      </c>
      <c r="AD144" s="67">
        <f t="shared" si="12"/>
        <v>6.392</v>
      </c>
      <c r="AE144" s="67">
        <f t="shared" si="13"/>
        <v>46.342</v>
      </c>
      <c r="AF144" s="67">
        <f t="shared" si="14"/>
        <v>39.01</v>
      </c>
      <c r="AG144" s="67">
        <f t="shared" si="15"/>
        <v>6.2416</v>
      </c>
      <c r="AH144" s="67">
        <f t="shared" si="16"/>
        <v>45.2516</v>
      </c>
      <c r="AI144" s="67">
        <f t="shared" si="17"/>
        <v>37.6</v>
      </c>
      <c r="AJ144" s="68">
        <f t="shared" si="20"/>
        <v>6.016</v>
      </c>
      <c r="AK144" s="68">
        <f t="shared" si="21"/>
        <v>43.616</v>
      </c>
      <c r="AL144" s="70">
        <f>IFERROR(__xludf.DUMMYFUNCTION("""COMPUTED_VALUE"""),1.0)</f>
        <v>1</v>
      </c>
      <c r="AM144" s="70"/>
      <c r="AN144" s="71" t="str">
        <f>IFERROR(__xludf.DUMMYFUNCTION("""COMPUTED_VALUE""")," C")</f>
        <v>C</v>
      </c>
      <c r="AO144" s="71" t="str">
        <f>IFERROR(__xludf.DUMMYFUNCTION("""COMPUTED_VALUE""")," BH22")</f>
        <v>BH22</v>
      </c>
      <c r="AP144" s="71" t="str">
        <f>IFERROR(__xludf.DUMMYFUNCTION("""COMPUTED_VALUE""")," PZA")</f>
        <v>PZA</v>
      </c>
      <c r="AQ144" s="71" t="str">
        <f>IFERROR(__xludf.DUMMYFUNCTION("""COMPUTED_VALUE""")," REF")</f>
        <v>REF</v>
      </c>
      <c r="AR144" s="71" t="str">
        <f>IFERROR(__xludf.DUMMYFUNCTION("""COMPUTED_VALUE""")," BANDA DE HULE B-57 (BLACKGOLD)")</f>
        <v>BANDA DE HULE B-57 (BLACKGOLD)</v>
      </c>
      <c r="AS144" s="71" t="str">
        <f>IFERROR(__xludf.DUMMYFUNCTION("""COMPUTED_VALUE""")," BANDA DE HULE B-57 (BLACKGOLD)")</f>
        <v>BANDA DE HULE B-57 (BLACKGOLD)</v>
      </c>
      <c r="AT144" s="71">
        <f>IFERROR(__xludf.DUMMYFUNCTION("""COMPUTED_VALUE"""),30.0)</f>
        <v>30</v>
      </c>
      <c r="AU144" s="71"/>
      <c r="AV144" s="71"/>
      <c r="AW144" s="71"/>
      <c r="AX144" s="71"/>
      <c r="AY144" s="71">
        <f>IFERROR(__xludf.DUMMYFUNCTION("""COMPUTED_VALUE"""),128.0)</f>
        <v>128</v>
      </c>
      <c r="AZ144" s="71">
        <f>IFERROR(__xludf.DUMMYFUNCTION("""COMPUTED_VALUE"""),154.0)</f>
        <v>154</v>
      </c>
      <c r="BA144" s="71">
        <f>IFERROR(__xludf.DUMMYFUNCTION("""COMPUTED_VALUE"""),166.32000000000002)</f>
        <v>166.32</v>
      </c>
      <c r="BB144" s="71">
        <f>IFERROR(__xludf.DUMMYFUNCTION("""COMPUTED_VALUE"""),166.32000000000002)</f>
        <v>166.32</v>
      </c>
      <c r="BC144" s="71">
        <f>IFERROR(__xludf.DUMMYFUNCTION("""COMPUTED_VALUE"""),186.0)</f>
        <v>186</v>
      </c>
      <c r="BD144" s="71">
        <f>IFERROR(__xludf.DUMMYFUNCTION("""COMPUTED_VALUE"""),195.0)</f>
        <v>195</v>
      </c>
      <c r="BE144" s="71">
        <f>IFERROR(__xludf.DUMMYFUNCTION("""COMPUTED_VALUE"""),31.2)</f>
        <v>31.2</v>
      </c>
      <c r="BF144" s="71">
        <f>IFERROR(__xludf.DUMMYFUNCTION("""COMPUTED_VALUE"""),226.2)</f>
        <v>226.2</v>
      </c>
      <c r="BG144" s="71">
        <f>IFERROR(__xludf.DUMMYFUNCTION("""COMPUTED_VALUE"""),0.04838709677419355)</f>
        <v>0.04838709677</v>
      </c>
      <c r="BH144" s="71">
        <f>IFERROR(__xludf.DUMMYFUNCTION("""COMPUTED_VALUE"""),185.25)</f>
        <v>185.25</v>
      </c>
      <c r="BI144" s="71">
        <f>IFERROR(__xludf.DUMMYFUNCTION("""COMPUTED_VALUE"""),29.64)</f>
        <v>29.64</v>
      </c>
      <c r="BJ144" s="71">
        <f>IFERROR(__xludf.DUMMYFUNCTION("""COMPUTED_VALUE"""),214.89)</f>
        <v>214.89</v>
      </c>
      <c r="BK144" s="71">
        <f>IFERROR(__xludf.DUMMYFUNCTION("""COMPUTED_VALUE"""),175.5)</f>
        <v>175.5</v>
      </c>
      <c r="BL144" s="71">
        <f>IFERROR(__xludf.DUMMYFUNCTION("""COMPUTED_VALUE"""),28.080000000000002)</f>
        <v>28.08</v>
      </c>
      <c r="BM144" s="71">
        <f>IFERROR(__xludf.DUMMYFUNCTION("""COMPUTED_VALUE"""),203.58)</f>
        <v>203.58</v>
      </c>
      <c r="BN144" s="71">
        <f>IFERROR(__xludf.DUMMYFUNCTION("""COMPUTED_VALUE"""),165.75)</f>
        <v>165.75</v>
      </c>
      <c r="BO144" s="71">
        <f>IFERROR(__xludf.DUMMYFUNCTION("""COMPUTED_VALUE"""),26.52)</f>
        <v>26.52</v>
      </c>
      <c r="BP144" s="71">
        <f>IFERROR(__xludf.DUMMYFUNCTION("""COMPUTED_VALUE"""),192.27)</f>
        <v>192.27</v>
      </c>
      <c r="BQ144" s="71">
        <f>IFERROR(__xludf.DUMMYFUNCTION("""COMPUTED_VALUE"""),161.85)</f>
        <v>161.85</v>
      </c>
      <c r="BR144" s="71">
        <f>IFERROR(__xludf.DUMMYFUNCTION("""COMPUTED_VALUE"""),25.896)</f>
        <v>25.896</v>
      </c>
      <c r="BS144" s="71">
        <f>IFERROR(__xludf.DUMMYFUNCTION("""COMPUTED_VALUE"""),187.74599999999998)</f>
        <v>187.746</v>
      </c>
      <c r="BT144" s="71">
        <f>IFERROR(__xludf.DUMMYFUNCTION("""COMPUTED_VALUE"""),156.0)</f>
        <v>156</v>
      </c>
      <c r="BU144" s="71">
        <f>IFERROR(__xludf.DUMMYFUNCTION("""COMPUTED_VALUE"""),24.96)</f>
        <v>24.96</v>
      </c>
      <c r="BV144" s="71">
        <f>IFERROR(__xludf.DUMMYFUNCTION("""COMPUTED_VALUE"""),180.96)</f>
        <v>180.96</v>
      </c>
    </row>
    <row r="145">
      <c r="A145" s="53">
        <v>1.0</v>
      </c>
      <c r="B145" s="72"/>
      <c r="C145" s="73" t="s">
        <v>12</v>
      </c>
      <c r="D145" s="74" t="s">
        <v>389</v>
      </c>
      <c r="E145" s="54" t="s">
        <v>38</v>
      </c>
      <c r="F145" s="54" t="s">
        <v>42</v>
      </c>
      <c r="G145" s="54" t="s">
        <v>390</v>
      </c>
      <c r="H145" s="54" t="s">
        <v>390</v>
      </c>
      <c r="I145" s="54">
        <f t="shared" si="1"/>
        <v>19</v>
      </c>
      <c r="J145" s="56"/>
      <c r="K145" s="75"/>
      <c r="L145" s="76"/>
      <c r="M145" s="59"/>
      <c r="N145" s="60">
        <v>61.0</v>
      </c>
      <c r="O145" s="61">
        <v>65.0</v>
      </c>
      <c r="P145" s="62">
        <v>70.2</v>
      </c>
      <c r="Q145" s="63">
        <v>70.2</v>
      </c>
      <c r="R145" s="64">
        <v>79.0</v>
      </c>
      <c r="S145" s="111">
        <v>83.0</v>
      </c>
      <c r="T145" s="65">
        <f t="shared" si="2"/>
        <v>13.28</v>
      </c>
      <c r="U145" s="65">
        <f t="shared" si="3"/>
        <v>96.28</v>
      </c>
      <c r="V145" s="66">
        <f t="shared" si="4"/>
        <v>0.05063291139</v>
      </c>
      <c r="W145" s="67">
        <f t="shared" si="5"/>
        <v>78.85</v>
      </c>
      <c r="X145" s="67">
        <f t="shared" si="6"/>
        <v>12.616</v>
      </c>
      <c r="Y145" s="67">
        <f t="shared" si="7"/>
        <v>91.466</v>
      </c>
      <c r="Z145" s="67">
        <f t="shared" si="8"/>
        <v>74.7</v>
      </c>
      <c r="AA145" s="67">
        <f t="shared" si="9"/>
        <v>11.952</v>
      </c>
      <c r="AB145" s="67">
        <f t="shared" si="10"/>
        <v>86.652</v>
      </c>
      <c r="AC145" s="67">
        <f t="shared" si="11"/>
        <v>70.55</v>
      </c>
      <c r="AD145" s="67">
        <f t="shared" si="12"/>
        <v>11.288</v>
      </c>
      <c r="AE145" s="67">
        <f t="shared" si="13"/>
        <v>81.838</v>
      </c>
      <c r="AF145" s="67">
        <f t="shared" si="14"/>
        <v>68.89</v>
      </c>
      <c r="AG145" s="67">
        <f t="shared" si="15"/>
        <v>11.0224</v>
      </c>
      <c r="AH145" s="67">
        <f t="shared" si="16"/>
        <v>79.9124</v>
      </c>
      <c r="AI145" s="67">
        <f t="shared" si="17"/>
        <v>66.4</v>
      </c>
      <c r="AJ145" s="68">
        <f t="shared" si="20"/>
        <v>10.624</v>
      </c>
      <c r="AK145" s="68">
        <f t="shared" si="21"/>
        <v>77.024</v>
      </c>
      <c r="AL145" s="70">
        <f>IFERROR(__xludf.DUMMYFUNCTION("""COMPUTED_VALUE"""),1.0)</f>
        <v>1</v>
      </c>
      <c r="AM145" s="70"/>
      <c r="AN145" s="71" t="str">
        <f>IFERROR(__xludf.DUMMYFUNCTION("""COMPUTED_VALUE""")," C")</f>
        <v>C</v>
      </c>
      <c r="AO145" s="71" t="str">
        <f>IFERROR(__xludf.DUMMYFUNCTION("""COMPUTED_VALUE""")," BH47")</f>
        <v>BH47</v>
      </c>
      <c r="AP145" s="71" t="str">
        <f>IFERROR(__xludf.DUMMYFUNCTION("""COMPUTED_VALUE""")," PZA")</f>
        <v>PZA</v>
      </c>
      <c r="AQ145" s="71" t="str">
        <f>IFERROR(__xludf.DUMMYFUNCTION("""COMPUTED_VALUE""")," REF")</f>
        <v>REF</v>
      </c>
      <c r="AR145" s="71" t="str">
        <f>IFERROR(__xludf.DUMMYFUNCTION("""COMPUTED_VALUE""")," BANDA DE HULE B-57 (GATES)")</f>
        <v>BANDA DE HULE B-57 (GATES)</v>
      </c>
      <c r="AS145" s="71" t="str">
        <f>IFERROR(__xludf.DUMMYFUNCTION("""COMPUTED_VALUE""")," BANDA DE HULE B-57 (GATES)")</f>
        <v>BANDA DE HULE B-57 (GATES)</v>
      </c>
      <c r="AT145" s="71">
        <f>IFERROR(__xludf.DUMMYFUNCTION("""COMPUTED_VALUE"""),26.0)</f>
        <v>26</v>
      </c>
      <c r="AU145" s="71"/>
      <c r="AV145" s="71"/>
      <c r="AW145" s="71"/>
      <c r="AX145" s="71"/>
      <c r="AY145" s="71">
        <f>IFERROR(__xludf.DUMMYFUNCTION("""COMPUTED_VALUE"""),243.0)</f>
        <v>243</v>
      </c>
      <c r="AZ145" s="71">
        <f>IFERROR(__xludf.DUMMYFUNCTION("""COMPUTED_VALUE"""),262.0)</f>
        <v>262</v>
      </c>
      <c r="BA145" s="71">
        <f>IFERROR(__xludf.DUMMYFUNCTION("""COMPUTED_VALUE"""),282.96000000000004)</f>
        <v>282.96</v>
      </c>
      <c r="BB145" s="71">
        <f>IFERROR(__xludf.DUMMYFUNCTION("""COMPUTED_VALUE"""),282.96000000000004)</f>
        <v>282.96</v>
      </c>
      <c r="BC145" s="71">
        <f>IFERROR(__xludf.DUMMYFUNCTION("""COMPUTED_VALUE"""),315.0)</f>
        <v>315</v>
      </c>
      <c r="BD145" s="71">
        <f>IFERROR(__xludf.DUMMYFUNCTION("""COMPUTED_VALUE"""),331.0)</f>
        <v>331</v>
      </c>
      <c r="BE145" s="71">
        <f>IFERROR(__xludf.DUMMYFUNCTION("""COMPUTED_VALUE"""),52.96)</f>
        <v>52.96</v>
      </c>
      <c r="BF145" s="71">
        <f>IFERROR(__xludf.DUMMYFUNCTION("""COMPUTED_VALUE"""),383.96)</f>
        <v>383.96</v>
      </c>
      <c r="BG145" s="71">
        <f>IFERROR(__xludf.DUMMYFUNCTION("""COMPUTED_VALUE"""),0.050793650793650794)</f>
        <v>0.05079365079</v>
      </c>
      <c r="BH145" s="71">
        <f>IFERROR(__xludf.DUMMYFUNCTION("""COMPUTED_VALUE"""),314.45)</f>
        <v>314.45</v>
      </c>
      <c r="BI145" s="71">
        <f>IFERROR(__xludf.DUMMYFUNCTION("""COMPUTED_VALUE"""),50.312)</f>
        <v>50.312</v>
      </c>
      <c r="BJ145" s="71">
        <f>IFERROR(__xludf.DUMMYFUNCTION("""COMPUTED_VALUE"""),364.762)</f>
        <v>364.762</v>
      </c>
      <c r="BK145" s="71">
        <f>IFERROR(__xludf.DUMMYFUNCTION("""COMPUTED_VALUE"""),297.90000000000003)</f>
        <v>297.9</v>
      </c>
      <c r="BL145" s="71">
        <f>IFERROR(__xludf.DUMMYFUNCTION("""COMPUTED_VALUE"""),47.66400000000001)</f>
        <v>47.664</v>
      </c>
      <c r="BM145" s="71">
        <f>IFERROR(__xludf.DUMMYFUNCTION("""COMPUTED_VALUE"""),345.564)</f>
        <v>345.564</v>
      </c>
      <c r="BN145" s="71">
        <f>IFERROR(__xludf.DUMMYFUNCTION("""COMPUTED_VALUE"""),281.34999999999997)</f>
        <v>281.35</v>
      </c>
      <c r="BO145" s="71">
        <f>IFERROR(__xludf.DUMMYFUNCTION("""COMPUTED_VALUE"""),45.016)</f>
        <v>45.016</v>
      </c>
      <c r="BP145" s="71">
        <f>IFERROR(__xludf.DUMMYFUNCTION("""COMPUTED_VALUE"""),326.366)</f>
        <v>326.366</v>
      </c>
      <c r="BQ145" s="71">
        <f>IFERROR(__xludf.DUMMYFUNCTION("""COMPUTED_VALUE"""),274.72999999999996)</f>
        <v>274.73</v>
      </c>
      <c r="BR145" s="71">
        <f>IFERROR(__xludf.DUMMYFUNCTION("""COMPUTED_VALUE"""),43.956799999999994)</f>
        <v>43.9568</v>
      </c>
      <c r="BS145" s="71">
        <f>IFERROR(__xludf.DUMMYFUNCTION("""COMPUTED_VALUE"""),318.68679999999995)</f>
        <v>318.6868</v>
      </c>
      <c r="BT145" s="71">
        <f>IFERROR(__xludf.DUMMYFUNCTION("""COMPUTED_VALUE"""),264.8)</f>
        <v>264.8</v>
      </c>
      <c r="BU145" s="71">
        <f>IFERROR(__xludf.DUMMYFUNCTION("""COMPUTED_VALUE"""),42.368)</f>
        <v>42.368</v>
      </c>
      <c r="BV145" s="71">
        <f>IFERROR(__xludf.DUMMYFUNCTION("""COMPUTED_VALUE"""),307.168)</f>
        <v>307.168</v>
      </c>
    </row>
    <row r="146">
      <c r="A146" s="53">
        <v>1.0</v>
      </c>
      <c r="B146" s="72"/>
      <c r="C146" s="73" t="s">
        <v>12</v>
      </c>
      <c r="D146" s="74" t="s">
        <v>391</v>
      </c>
      <c r="E146" s="54" t="s">
        <v>38</v>
      </c>
      <c r="F146" s="54" t="s">
        <v>42</v>
      </c>
      <c r="G146" s="54" t="s">
        <v>392</v>
      </c>
      <c r="H146" s="54" t="s">
        <v>392</v>
      </c>
      <c r="I146" s="54">
        <f t="shared" si="1"/>
        <v>19</v>
      </c>
      <c r="J146" s="56"/>
      <c r="K146" s="75"/>
      <c r="L146" s="76"/>
      <c r="M146" s="59"/>
      <c r="N146" s="60">
        <v>76.0</v>
      </c>
      <c r="O146" s="61">
        <v>82.0</v>
      </c>
      <c r="P146" s="62">
        <v>88.56</v>
      </c>
      <c r="Q146" s="63">
        <v>88.56</v>
      </c>
      <c r="R146" s="64">
        <v>94.0</v>
      </c>
      <c r="S146" s="111">
        <v>99.0</v>
      </c>
      <c r="T146" s="65">
        <f t="shared" si="2"/>
        <v>15.84</v>
      </c>
      <c r="U146" s="65">
        <f t="shared" si="3"/>
        <v>114.84</v>
      </c>
      <c r="V146" s="66">
        <f t="shared" si="4"/>
        <v>0.05319148936</v>
      </c>
      <c r="W146" s="67">
        <f t="shared" si="5"/>
        <v>94.05</v>
      </c>
      <c r="X146" s="67">
        <f t="shared" si="6"/>
        <v>15.048</v>
      </c>
      <c r="Y146" s="67">
        <f t="shared" si="7"/>
        <v>109.098</v>
      </c>
      <c r="Z146" s="67">
        <f t="shared" si="8"/>
        <v>89.1</v>
      </c>
      <c r="AA146" s="67">
        <f t="shared" si="9"/>
        <v>14.256</v>
      </c>
      <c r="AB146" s="67">
        <f t="shared" si="10"/>
        <v>103.356</v>
      </c>
      <c r="AC146" s="67">
        <f t="shared" si="11"/>
        <v>84.15</v>
      </c>
      <c r="AD146" s="67">
        <f t="shared" si="12"/>
        <v>13.464</v>
      </c>
      <c r="AE146" s="67">
        <f t="shared" si="13"/>
        <v>97.614</v>
      </c>
      <c r="AF146" s="67">
        <f t="shared" si="14"/>
        <v>82.17</v>
      </c>
      <c r="AG146" s="67">
        <f t="shared" si="15"/>
        <v>13.1472</v>
      </c>
      <c r="AH146" s="67">
        <f t="shared" si="16"/>
        <v>95.3172</v>
      </c>
      <c r="AI146" s="67">
        <f t="shared" si="17"/>
        <v>79.2</v>
      </c>
      <c r="AJ146" s="68">
        <f t="shared" si="20"/>
        <v>12.672</v>
      </c>
      <c r="AK146" s="68">
        <f t="shared" si="21"/>
        <v>91.872</v>
      </c>
      <c r="AL146" s="70">
        <f>IFERROR(__xludf.DUMMYFUNCTION("""COMPUTED_VALUE"""),1.0)</f>
        <v>1</v>
      </c>
      <c r="AM146" s="70"/>
      <c r="AN146" s="71" t="str">
        <f>IFERROR(__xludf.DUMMYFUNCTION("""COMPUTED_VALUE""")," C")</f>
        <v>C</v>
      </c>
      <c r="AO146" s="71" t="str">
        <f>IFERROR(__xludf.DUMMYFUNCTION("""COMPUTED_VALUE""")," BH23")</f>
        <v>BH23</v>
      </c>
      <c r="AP146" s="71" t="str">
        <f>IFERROR(__xludf.DUMMYFUNCTION("""COMPUTED_VALUE""")," PZA")</f>
        <v>PZA</v>
      </c>
      <c r="AQ146" s="71" t="str">
        <f>IFERROR(__xludf.DUMMYFUNCTION("""COMPUTED_VALUE""")," REF")</f>
        <v>REF</v>
      </c>
      <c r="AR146" s="71" t="str">
        <f>IFERROR(__xludf.DUMMYFUNCTION("""COMPUTED_VALUE""")," BANDA DE HULE B-58 (BLACKGOLD)")</f>
        <v>BANDA DE HULE B-58 (BLACKGOLD)</v>
      </c>
      <c r="AS146" s="71" t="str">
        <f>IFERROR(__xludf.DUMMYFUNCTION("""COMPUTED_VALUE""")," BANDA DE HULE B-58 (BLACKGOLD)")</f>
        <v>BANDA DE HULE B-58 (BLACKGOLD)</v>
      </c>
      <c r="AT146" s="71">
        <f>IFERROR(__xludf.DUMMYFUNCTION("""COMPUTED_VALUE"""),30.0)</f>
        <v>30</v>
      </c>
      <c r="AU146" s="71"/>
      <c r="AV146" s="71"/>
      <c r="AW146" s="71"/>
      <c r="AX146" s="71"/>
      <c r="AY146" s="71">
        <f>IFERROR(__xludf.DUMMYFUNCTION("""COMPUTED_VALUE"""),130.0)</f>
        <v>130</v>
      </c>
      <c r="AZ146" s="71">
        <f>IFERROR(__xludf.DUMMYFUNCTION("""COMPUTED_VALUE"""),155.0)</f>
        <v>155</v>
      </c>
      <c r="BA146" s="71">
        <f>IFERROR(__xludf.DUMMYFUNCTION("""COMPUTED_VALUE"""),167.4)</f>
        <v>167.4</v>
      </c>
      <c r="BB146" s="71">
        <f>IFERROR(__xludf.DUMMYFUNCTION("""COMPUTED_VALUE"""),167.4)</f>
        <v>167.4</v>
      </c>
      <c r="BC146" s="71">
        <f>IFERROR(__xludf.DUMMYFUNCTION("""COMPUTED_VALUE"""),187.0)</f>
        <v>187</v>
      </c>
      <c r="BD146" s="71">
        <f>IFERROR(__xludf.DUMMYFUNCTION("""COMPUTED_VALUE"""),196.0)</f>
        <v>196</v>
      </c>
      <c r="BE146" s="71">
        <f>IFERROR(__xludf.DUMMYFUNCTION("""COMPUTED_VALUE"""),31.36)</f>
        <v>31.36</v>
      </c>
      <c r="BF146" s="71">
        <f>IFERROR(__xludf.DUMMYFUNCTION("""COMPUTED_VALUE"""),227.36)</f>
        <v>227.36</v>
      </c>
      <c r="BG146" s="71">
        <f>IFERROR(__xludf.DUMMYFUNCTION("""COMPUTED_VALUE"""),0.0481283422459893)</f>
        <v>0.04812834225</v>
      </c>
      <c r="BH146" s="71">
        <f>IFERROR(__xludf.DUMMYFUNCTION("""COMPUTED_VALUE"""),186.2)</f>
        <v>186.2</v>
      </c>
      <c r="BI146" s="71">
        <f>IFERROR(__xludf.DUMMYFUNCTION("""COMPUTED_VALUE"""),29.791999999999998)</f>
        <v>29.792</v>
      </c>
      <c r="BJ146" s="71">
        <f>IFERROR(__xludf.DUMMYFUNCTION("""COMPUTED_VALUE"""),215.992)</f>
        <v>215.992</v>
      </c>
      <c r="BK146" s="71">
        <f>IFERROR(__xludf.DUMMYFUNCTION("""COMPUTED_VALUE"""),176.4)</f>
        <v>176.4</v>
      </c>
      <c r="BL146" s="71">
        <f>IFERROR(__xludf.DUMMYFUNCTION("""COMPUTED_VALUE"""),28.224)</f>
        <v>28.224</v>
      </c>
      <c r="BM146" s="71">
        <f>IFERROR(__xludf.DUMMYFUNCTION("""COMPUTED_VALUE"""),204.624)</f>
        <v>204.624</v>
      </c>
      <c r="BN146" s="71">
        <f>IFERROR(__xludf.DUMMYFUNCTION("""COMPUTED_VALUE"""),166.6)</f>
        <v>166.6</v>
      </c>
      <c r="BO146" s="71">
        <f>IFERROR(__xludf.DUMMYFUNCTION("""COMPUTED_VALUE"""),26.656)</f>
        <v>26.656</v>
      </c>
      <c r="BP146" s="71">
        <f>IFERROR(__xludf.DUMMYFUNCTION("""COMPUTED_VALUE"""),193.256)</f>
        <v>193.256</v>
      </c>
      <c r="BQ146" s="71">
        <f>IFERROR(__xludf.DUMMYFUNCTION("""COMPUTED_VALUE"""),162.67999999999998)</f>
        <v>162.68</v>
      </c>
      <c r="BR146" s="71">
        <f>IFERROR(__xludf.DUMMYFUNCTION("""COMPUTED_VALUE"""),26.028799999999997)</f>
        <v>26.0288</v>
      </c>
      <c r="BS146" s="71">
        <f>IFERROR(__xludf.DUMMYFUNCTION("""COMPUTED_VALUE"""),188.70879999999997)</f>
        <v>188.7088</v>
      </c>
      <c r="BT146" s="71">
        <f>IFERROR(__xludf.DUMMYFUNCTION("""COMPUTED_VALUE"""),156.8)</f>
        <v>156.8</v>
      </c>
      <c r="BU146" s="71">
        <f>IFERROR(__xludf.DUMMYFUNCTION("""COMPUTED_VALUE"""),25.088)</f>
        <v>25.088</v>
      </c>
      <c r="BV146" s="71">
        <f>IFERROR(__xludf.DUMMYFUNCTION("""COMPUTED_VALUE"""),181.888)</f>
        <v>181.888</v>
      </c>
    </row>
    <row r="147">
      <c r="A147" s="53">
        <v>1.0</v>
      </c>
      <c r="B147" s="53"/>
      <c r="C147" s="53" t="s">
        <v>12</v>
      </c>
      <c r="D147" s="53" t="s">
        <v>393</v>
      </c>
      <c r="E147" s="54" t="s">
        <v>38</v>
      </c>
      <c r="F147" s="54" t="s">
        <v>42</v>
      </c>
      <c r="G147" s="55" t="s">
        <v>394</v>
      </c>
      <c r="H147" s="55" t="s">
        <v>394</v>
      </c>
      <c r="I147" s="54">
        <f t="shared" si="1"/>
        <v>25</v>
      </c>
      <c r="J147" s="56"/>
      <c r="K147" s="75"/>
      <c r="L147" s="76"/>
      <c r="M147" s="59"/>
      <c r="N147" s="79">
        <v>580.0</v>
      </c>
      <c r="O147" s="61">
        <v>626.0</v>
      </c>
      <c r="P147" s="63">
        <v>676.08</v>
      </c>
      <c r="Q147" s="63">
        <v>676.08</v>
      </c>
      <c r="R147" s="64">
        <v>731.0</v>
      </c>
      <c r="S147" s="65">
        <v>27.0</v>
      </c>
      <c r="T147" s="65">
        <f t="shared" si="2"/>
        <v>4.32</v>
      </c>
      <c r="U147" s="65">
        <f t="shared" si="3"/>
        <v>31.32</v>
      </c>
      <c r="V147" s="66">
        <f t="shared" si="4"/>
        <v>-0.9630642955</v>
      </c>
      <c r="W147" s="67">
        <f t="shared" si="5"/>
        <v>25.65</v>
      </c>
      <c r="X147" s="67">
        <f t="shared" si="6"/>
        <v>4.104</v>
      </c>
      <c r="Y147" s="67">
        <f t="shared" si="7"/>
        <v>29.754</v>
      </c>
      <c r="Z147" s="67">
        <f t="shared" si="8"/>
        <v>24.3</v>
      </c>
      <c r="AA147" s="67">
        <f t="shared" si="9"/>
        <v>3.888</v>
      </c>
      <c r="AB147" s="67">
        <f t="shared" si="10"/>
        <v>28.188</v>
      </c>
      <c r="AC147" s="67">
        <f t="shared" si="11"/>
        <v>22.95</v>
      </c>
      <c r="AD147" s="67">
        <f t="shared" si="12"/>
        <v>3.672</v>
      </c>
      <c r="AE147" s="67">
        <f t="shared" si="13"/>
        <v>26.622</v>
      </c>
      <c r="AF147" s="67">
        <f t="shared" si="14"/>
        <v>22.41</v>
      </c>
      <c r="AG147" s="67">
        <f t="shared" si="15"/>
        <v>3.5856</v>
      </c>
      <c r="AH147" s="67">
        <f t="shared" si="16"/>
        <v>25.9956</v>
      </c>
      <c r="AI147" s="67">
        <f t="shared" si="17"/>
        <v>21.6</v>
      </c>
      <c r="AJ147" s="68">
        <f t="shared" si="20"/>
        <v>3.456</v>
      </c>
      <c r="AK147" s="68">
        <f t="shared" si="21"/>
        <v>25.056</v>
      </c>
      <c r="AL147" s="70">
        <f>IFERROR(__xludf.DUMMYFUNCTION("""COMPUTED_VALUE"""),1.0)</f>
        <v>1</v>
      </c>
      <c r="AM147" s="70"/>
      <c r="AN147" s="71" t="str">
        <f>IFERROR(__xludf.DUMMYFUNCTION("""COMPUTED_VALUE""")," C")</f>
        <v>C</v>
      </c>
      <c r="AO147" s="71" t="str">
        <f>IFERROR(__xludf.DUMMYFUNCTION("""COMPUTED_VALUE""")," BH48")</f>
        <v>BH48</v>
      </c>
      <c r="AP147" s="71" t="str">
        <f>IFERROR(__xludf.DUMMYFUNCTION("""COMPUTED_VALUE""")," PZA")</f>
        <v>PZA</v>
      </c>
      <c r="AQ147" s="71" t="str">
        <f>IFERROR(__xludf.DUMMYFUNCTION("""COMPUTED_VALUE""")," REF")</f>
        <v>REF</v>
      </c>
      <c r="AR147" s="71" t="str">
        <f>IFERROR(__xludf.DUMMYFUNCTION("""COMPUTED_VALUE""")," BANDA DE HULE B-58 (GATES)")</f>
        <v>BANDA DE HULE B-58 (GATES)</v>
      </c>
      <c r="AS147" s="71" t="str">
        <f>IFERROR(__xludf.DUMMYFUNCTION("""COMPUTED_VALUE""")," BANDA DE HULE B-58 (GATES)")</f>
        <v>BANDA DE HULE B-58 (GATES)</v>
      </c>
      <c r="AT147" s="71">
        <f>IFERROR(__xludf.DUMMYFUNCTION("""COMPUTED_VALUE"""),26.0)</f>
        <v>26</v>
      </c>
      <c r="AU147" s="71"/>
      <c r="AV147" s="71"/>
      <c r="AW147" s="71"/>
      <c r="AX147" s="71"/>
      <c r="AY147" s="71">
        <f>IFERROR(__xludf.DUMMYFUNCTION("""COMPUTED_VALUE"""),235.0)</f>
        <v>235</v>
      </c>
      <c r="AZ147" s="71">
        <f>IFERROR(__xludf.DUMMYFUNCTION("""COMPUTED_VALUE"""),253.0)</f>
        <v>253</v>
      </c>
      <c r="BA147" s="71">
        <f>IFERROR(__xludf.DUMMYFUNCTION("""COMPUTED_VALUE"""),273.24)</f>
        <v>273.24</v>
      </c>
      <c r="BB147" s="71">
        <f>IFERROR(__xludf.DUMMYFUNCTION("""COMPUTED_VALUE"""),273.24)</f>
        <v>273.24</v>
      </c>
      <c r="BC147" s="71">
        <f>IFERROR(__xludf.DUMMYFUNCTION("""COMPUTED_VALUE"""),305.0)</f>
        <v>305</v>
      </c>
      <c r="BD147" s="71">
        <f>IFERROR(__xludf.DUMMYFUNCTION("""COMPUTED_VALUE"""),320.0)</f>
        <v>320</v>
      </c>
      <c r="BE147" s="71">
        <f>IFERROR(__xludf.DUMMYFUNCTION("""COMPUTED_VALUE"""),51.2)</f>
        <v>51.2</v>
      </c>
      <c r="BF147" s="71">
        <f>IFERROR(__xludf.DUMMYFUNCTION("""COMPUTED_VALUE"""),371.2)</f>
        <v>371.2</v>
      </c>
      <c r="BG147" s="71">
        <f>IFERROR(__xludf.DUMMYFUNCTION("""COMPUTED_VALUE"""),0.04918032786885246)</f>
        <v>0.04918032787</v>
      </c>
      <c r="BH147" s="71">
        <f>IFERROR(__xludf.DUMMYFUNCTION("""COMPUTED_VALUE"""),304.0)</f>
        <v>304</v>
      </c>
      <c r="BI147" s="71">
        <f>IFERROR(__xludf.DUMMYFUNCTION("""COMPUTED_VALUE"""),48.64)</f>
        <v>48.64</v>
      </c>
      <c r="BJ147" s="71">
        <f>IFERROR(__xludf.DUMMYFUNCTION("""COMPUTED_VALUE"""),352.64)</f>
        <v>352.64</v>
      </c>
      <c r="BK147" s="71">
        <f>IFERROR(__xludf.DUMMYFUNCTION("""COMPUTED_VALUE"""),288.0)</f>
        <v>288</v>
      </c>
      <c r="BL147" s="71">
        <f>IFERROR(__xludf.DUMMYFUNCTION("""COMPUTED_VALUE"""),46.08)</f>
        <v>46.08</v>
      </c>
      <c r="BM147" s="71">
        <f>IFERROR(__xludf.DUMMYFUNCTION("""COMPUTED_VALUE"""),334.08)</f>
        <v>334.08</v>
      </c>
      <c r="BN147" s="71">
        <f>IFERROR(__xludf.DUMMYFUNCTION("""COMPUTED_VALUE"""),272.0)</f>
        <v>272</v>
      </c>
      <c r="BO147" s="71">
        <f>IFERROR(__xludf.DUMMYFUNCTION("""COMPUTED_VALUE"""),43.52)</f>
        <v>43.52</v>
      </c>
      <c r="BP147" s="71">
        <f>IFERROR(__xludf.DUMMYFUNCTION("""COMPUTED_VALUE"""),315.52)</f>
        <v>315.52</v>
      </c>
      <c r="BQ147" s="71">
        <f>IFERROR(__xludf.DUMMYFUNCTION("""COMPUTED_VALUE"""),265.59999999999997)</f>
        <v>265.6</v>
      </c>
      <c r="BR147" s="71">
        <f>IFERROR(__xludf.DUMMYFUNCTION("""COMPUTED_VALUE"""),42.495999999999995)</f>
        <v>42.496</v>
      </c>
      <c r="BS147" s="71">
        <f>IFERROR(__xludf.DUMMYFUNCTION("""COMPUTED_VALUE"""),308.09599999999995)</f>
        <v>308.096</v>
      </c>
      <c r="BT147" s="71">
        <f>IFERROR(__xludf.DUMMYFUNCTION("""COMPUTED_VALUE"""),256.0)</f>
        <v>256</v>
      </c>
      <c r="BU147" s="71">
        <f>IFERROR(__xludf.DUMMYFUNCTION("""COMPUTED_VALUE"""),40.96)</f>
        <v>40.96</v>
      </c>
      <c r="BV147" s="71">
        <f>IFERROR(__xludf.DUMMYFUNCTION("""COMPUTED_VALUE"""),296.96)</f>
        <v>296.96</v>
      </c>
    </row>
    <row r="148">
      <c r="A148" s="53">
        <v>1.0</v>
      </c>
      <c r="B148" s="53"/>
      <c r="C148" s="53" t="s">
        <v>395</v>
      </c>
      <c r="D148" s="53" t="s">
        <v>396</v>
      </c>
      <c r="E148" s="86" t="s">
        <v>38</v>
      </c>
      <c r="F148" s="91" t="s">
        <v>42</v>
      </c>
      <c r="G148" s="84" t="s">
        <v>394</v>
      </c>
      <c r="H148" s="84" t="s">
        <v>394</v>
      </c>
      <c r="I148" s="54">
        <f t="shared" si="1"/>
        <v>25</v>
      </c>
      <c r="J148" s="56"/>
      <c r="K148" s="57"/>
      <c r="L148" s="119"/>
      <c r="M148" s="59"/>
      <c r="N148" s="93"/>
      <c r="O148" s="61"/>
      <c r="P148" s="90"/>
      <c r="Q148" s="94"/>
      <c r="R148" s="95"/>
      <c r="S148" s="65">
        <v>27.0</v>
      </c>
      <c r="T148" s="65">
        <f t="shared" si="2"/>
        <v>4.32</v>
      </c>
      <c r="U148" s="65">
        <f t="shared" si="3"/>
        <v>31.32</v>
      </c>
      <c r="V148" s="66" t="str">
        <f t="shared" si="4"/>
        <v>#DIV/0!</v>
      </c>
      <c r="W148" s="67">
        <f t="shared" si="5"/>
        <v>25.65</v>
      </c>
      <c r="X148" s="67">
        <f t="shared" si="6"/>
        <v>4.104</v>
      </c>
      <c r="Y148" s="67">
        <f t="shared" si="7"/>
        <v>29.754</v>
      </c>
      <c r="Z148" s="67">
        <f t="shared" si="8"/>
        <v>24.3</v>
      </c>
      <c r="AA148" s="67">
        <f t="shared" si="9"/>
        <v>3.888</v>
      </c>
      <c r="AB148" s="67">
        <f t="shared" si="10"/>
        <v>28.188</v>
      </c>
      <c r="AC148" s="67">
        <f t="shared" si="11"/>
        <v>22.95</v>
      </c>
      <c r="AD148" s="67">
        <f t="shared" si="12"/>
        <v>3.672</v>
      </c>
      <c r="AE148" s="67">
        <f t="shared" si="13"/>
        <v>26.622</v>
      </c>
      <c r="AF148" s="67">
        <f t="shared" si="14"/>
        <v>22.41</v>
      </c>
      <c r="AG148" s="67">
        <f t="shared" si="15"/>
        <v>3.5856</v>
      </c>
      <c r="AH148" s="67">
        <f t="shared" si="16"/>
        <v>25.9956</v>
      </c>
      <c r="AI148" s="67">
        <f t="shared" si="17"/>
        <v>21.6</v>
      </c>
      <c r="AJ148" s="68">
        <f t="shared" si="20"/>
        <v>3.456</v>
      </c>
      <c r="AK148" s="68">
        <f t="shared" si="21"/>
        <v>25.056</v>
      </c>
      <c r="AL148" s="70">
        <f>IFERROR(__xludf.DUMMYFUNCTION("""COMPUTED_VALUE"""),1.0)</f>
        <v>1</v>
      </c>
      <c r="AM148" s="70"/>
      <c r="AN148" s="71" t="str">
        <f>IFERROR(__xludf.DUMMYFUNCTION("""COMPUTED_VALUE""")," C")</f>
        <v>C</v>
      </c>
      <c r="AO148" s="71" t="str">
        <f>IFERROR(__xludf.DUMMYFUNCTION("""COMPUTED_VALUE""")," BH114")</f>
        <v>BH114</v>
      </c>
      <c r="AP148" s="71" t="str">
        <f>IFERROR(__xludf.DUMMYFUNCTION("""COMPUTED_VALUE""")," PZA")</f>
        <v>PZA</v>
      </c>
      <c r="AQ148" s="71" t="str">
        <f>IFERROR(__xludf.DUMMYFUNCTION("""COMPUTED_VALUE""")," REF")</f>
        <v>REF</v>
      </c>
      <c r="AR148" s="71" t="str">
        <f>IFERROR(__xludf.DUMMYFUNCTION("""COMPUTED_VALUE""")," BANDA DE HULE B-60 (GATES)")</f>
        <v>BANDA DE HULE B-60 (GATES)</v>
      </c>
      <c r="AS148" s="71" t="str">
        <f>IFERROR(__xludf.DUMMYFUNCTION("""COMPUTED_VALUE""")," BANDA DE HULE B-60 (GATES)")</f>
        <v>BANDA DE HULE B-60 (GATES)</v>
      </c>
      <c r="AT148" s="71">
        <f>IFERROR(__xludf.DUMMYFUNCTION("""COMPUTED_VALUE"""),26.0)</f>
        <v>26</v>
      </c>
      <c r="AU148" s="71"/>
      <c r="AV148" s="71"/>
      <c r="AW148" s="71" t="str">
        <f>IFERROR(__xludf.DUMMYFUNCTION("""COMPUTED_VALUE""")," activar para venta")</f>
        <v>activar para venta</v>
      </c>
      <c r="AX148" s="71"/>
      <c r="AY148" s="71">
        <f>IFERROR(__xludf.DUMMYFUNCTION("""COMPUTED_VALUE"""),263.0)</f>
        <v>263</v>
      </c>
      <c r="AZ148" s="71">
        <f>IFERROR(__xludf.DUMMYFUNCTION("""COMPUTED_VALUE"""),284.0)</f>
        <v>284</v>
      </c>
      <c r="BA148" s="71">
        <f>IFERROR(__xludf.DUMMYFUNCTION("""COMPUTED_VALUE"""),306.72)</f>
        <v>306.72</v>
      </c>
      <c r="BB148" s="71">
        <f>IFERROR(__xludf.DUMMYFUNCTION("""COMPUTED_VALUE"""),306.72)</f>
        <v>306.72</v>
      </c>
      <c r="BC148" s="71">
        <f>IFERROR(__xludf.DUMMYFUNCTION("""COMPUTED_VALUE"""),323.0)</f>
        <v>323</v>
      </c>
      <c r="BD148" s="71">
        <f>IFERROR(__xludf.DUMMYFUNCTION("""COMPUTED_VALUE"""),339.0)</f>
        <v>339</v>
      </c>
      <c r="BE148" s="71">
        <f>IFERROR(__xludf.DUMMYFUNCTION("""COMPUTED_VALUE"""),54.24)</f>
        <v>54.24</v>
      </c>
      <c r="BF148" s="71">
        <f>IFERROR(__xludf.DUMMYFUNCTION("""COMPUTED_VALUE"""),393.24)</f>
        <v>393.24</v>
      </c>
      <c r="BG148" s="71">
        <f>IFERROR(__xludf.DUMMYFUNCTION("""COMPUTED_VALUE"""),0.04953560371517028)</f>
        <v>0.04953560372</v>
      </c>
      <c r="BH148" s="71">
        <f>IFERROR(__xludf.DUMMYFUNCTION("""COMPUTED_VALUE"""),322.05)</f>
        <v>322.05</v>
      </c>
      <c r="BI148" s="71">
        <f>IFERROR(__xludf.DUMMYFUNCTION("""COMPUTED_VALUE"""),51.528000000000006)</f>
        <v>51.528</v>
      </c>
      <c r="BJ148" s="71">
        <f>IFERROR(__xludf.DUMMYFUNCTION("""COMPUTED_VALUE"""),373.57800000000003)</f>
        <v>373.578</v>
      </c>
      <c r="BK148" s="71">
        <f>IFERROR(__xludf.DUMMYFUNCTION("""COMPUTED_VALUE"""),305.1)</f>
        <v>305.1</v>
      </c>
      <c r="BL148" s="71">
        <f>IFERROR(__xludf.DUMMYFUNCTION("""COMPUTED_VALUE"""),48.816)</f>
        <v>48.816</v>
      </c>
      <c r="BM148" s="71">
        <f>IFERROR(__xludf.DUMMYFUNCTION("""COMPUTED_VALUE"""),353.91600000000005)</f>
        <v>353.916</v>
      </c>
      <c r="BN148" s="71">
        <f>IFERROR(__xludf.DUMMYFUNCTION("""COMPUTED_VALUE"""),288.15)</f>
        <v>288.15</v>
      </c>
      <c r="BO148" s="71">
        <f>IFERROR(__xludf.DUMMYFUNCTION("""COMPUTED_VALUE"""),46.104)</f>
        <v>46.104</v>
      </c>
      <c r="BP148" s="71">
        <f>IFERROR(__xludf.DUMMYFUNCTION("""COMPUTED_VALUE"""),334.25399999999996)</f>
        <v>334.254</v>
      </c>
      <c r="BQ148" s="71">
        <f>IFERROR(__xludf.DUMMYFUNCTION("""COMPUTED_VALUE"""),281.37)</f>
        <v>281.37</v>
      </c>
      <c r="BR148" s="71">
        <f>IFERROR(__xludf.DUMMYFUNCTION("""COMPUTED_VALUE"""),45.019200000000005)</f>
        <v>45.0192</v>
      </c>
      <c r="BS148" s="71">
        <f>IFERROR(__xludf.DUMMYFUNCTION("""COMPUTED_VALUE"""),326.3892)</f>
        <v>326.3892</v>
      </c>
      <c r="BT148" s="71">
        <f>IFERROR(__xludf.DUMMYFUNCTION("""COMPUTED_VALUE"""),271.2)</f>
        <v>271.2</v>
      </c>
      <c r="BU148" s="71">
        <f>IFERROR(__xludf.DUMMYFUNCTION("""COMPUTED_VALUE"""),43.391999999999996)</f>
        <v>43.392</v>
      </c>
      <c r="BV148" s="71">
        <f>IFERROR(__xludf.DUMMYFUNCTION("""COMPUTED_VALUE"""),314.592)</f>
        <v>314.592</v>
      </c>
    </row>
    <row r="149">
      <c r="A149" s="53">
        <v>1.0</v>
      </c>
      <c r="B149" s="53"/>
      <c r="C149" s="53" t="s">
        <v>12</v>
      </c>
      <c r="D149" s="53" t="s">
        <v>397</v>
      </c>
      <c r="E149" s="54" t="s">
        <v>38</v>
      </c>
      <c r="F149" s="54" t="s">
        <v>42</v>
      </c>
      <c r="G149" s="55" t="s">
        <v>398</v>
      </c>
      <c r="H149" s="55" t="s">
        <v>398</v>
      </c>
      <c r="I149" s="54">
        <f t="shared" si="1"/>
        <v>24</v>
      </c>
      <c r="J149" s="56"/>
      <c r="K149" s="57"/>
      <c r="L149" s="76"/>
      <c r="M149" s="59"/>
      <c r="N149" s="79">
        <v>840.0</v>
      </c>
      <c r="O149" s="61">
        <v>907.0</v>
      </c>
      <c r="P149" s="63">
        <v>979.5600000000001</v>
      </c>
      <c r="Q149" s="63">
        <v>979.5600000000001</v>
      </c>
      <c r="R149" s="64">
        <v>1029.0</v>
      </c>
      <c r="S149" s="65">
        <v>98.0</v>
      </c>
      <c r="T149" s="65">
        <f t="shared" si="2"/>
        <v>15.68</v>
      </c>
      <c r="U149" s="65">
        <f t="shared" si="3"/>
        <v>113.68</v>
      </c>
      <c r="V149" s="66">
        <f t="shared" si="4"/>
        <v>-0.9047619048</v>
      </c>
      <c r="W149" s="67">
        <f t="shared" si="5"/>
        <v>93.1</v>
      </c>
      <c r="X149" s="67">
        <f t="shared" si="6"/>
        <v>14.896</v>
      </c>
      <c r="Y149" s="67">
        <f t="shared" si="7"/>
        <v>107.996</v>
      </c>
      <c r="Z149" s="67">
        <f t="shared" si="8"/>
        <v>88.2</v>
      </c>
      <c r="AA149" s="67">
        <f t="shared" si="9"/>
        <v>14.112</v>
      </c>
      <c r="AB149" s="67">
        <f t="shared" si="10"/>
        <v>102.312</v>
      </c>
      <c r="AC149" s="67">
        <f t="shared" si="11"/>
        <v>83.3</v>
      </c>
      <c r="AD149" s="67">
        <f t="shared" si="12"/>
        <v>13.328</v>
      </c>
      <c r="AE149" s="67">
        <f t="shared" si="13"/>
        <v>96.628</v>
      </c>
      <c r="AF149" s="67">
        <f t="shared" si="14"/>
        <v>81.34</v>
      </c>
      <c r="AG149" s="67">
        <f t="shared" si="15"/>
        <v>13.0144</v>
      </c>
      <c r="AH149" s="67">
        <f t="shared" si="16"/>
        <v>94.3544</v>
      </c>
      <c r="AI149" s="67">
        <f t="shared" si="17"/>
        <v>78.4</v>
      </c>
      <c r="AJ149" s="68">
        <f t="shared" si="20"/>
        <v>12.544</v>
      </c>
      <c r="AK149" s="68">
        <f t="shared" si="21"/>
        <v>90.944</v>
      </c>
      <c r="AL149" s="70">
        <f>IFERROR(__xludf.DUMMYFUNCTION("""COMPUTED_VALUE"""),1.0)</f>
        <v>1</v>
      </c>
      <c r="AM149" s="70"/>
      <c r="AN149" s="71" t="str">
        <f>IFERROR(__xludf.DUMMYFUNCTION("""COMPUTED_VALUE""")," C")</f>
        <v>C</v>
      </c>
      <c r="AO149" s="71" t="str">
        <f>IFERROR(__xludf.DUMMYFUNCTION("""COMPUTED_VALUE""")," BH24")</f>
        <v>BH24</v>
      </c>
      <c r="AP149" s="71" t="str">
        <f>IFERROR(__xludf.DUMMYFUNCTION("""COMPUTED_VALUE""")," PZA")</f>
        <v>PZA</v>
      </c>
      <c r="AQ149" s="71" t="str">
        <f>IFERROR(__xludf.DUMMYFUNCTION("""COMPUTED_VALUE""")," REF")</f>
        <v>REF</v>
      </c>
      <c r="AR149" s="71" t="str">
        <f>IFERROR(__xludf.DUMMYFUNCTION("""COMPUTED_VALUE""")," BANDA DE HULE B-62 (BLACKGOLD)")</f>
        <v>BANDA DE HULE B-62 (BLACKGOLD)</v>
      </c>
      <c r="AS149" s="71" t="str">
        <f>IFERROR(__xludf.DUMMYFUNCTION("""COMPUTED_VALUE""")," BANDA DE HULE B-62 (BLACKGOLD)")</f>
        <v>BANDA DE HULE B-62 (BLACKGOLD)</v>
      </c>
      <c r="AT149" s="71">
        <f>IFERROR(__xludf.DUMMYFUNCTION("""COMPUTED_VALUE"""),30.0)</f>
        <v>30</v>
      </c>
      <c r="AU149" s="71"/>
      <c r="AV149" s="71"/>
      <c r="AW149" s="71"/>
      <c r="AX149" s="71"/>
      <c r="AY149" s="71">
        <f>IFERROR(__xludf.DUMMYFUNCTION("""COMPUTED_VALUE"""),138.0)</f>
        <v>138</v>
      </c>
      <c r="AZ149" s="71">
        <f>IFERROR(__xludf.DUMMYFUNCTION("""COMPUTED_VALUE"""),167.0)</f>
        <v>167</v>
      </c>
      <c r="BA149" s="71">
        <f>IFERROR(__xludf.DUMMYFUNCTION("""COMPUTED_VALUE"""),180.36)</f>
        <v>180.36</v>
      </c>
      <c r="BB149" s="71">
        <f>IFERROR(__xludf.DUMMYFUNCTION("""COMPUTED_VALUE"""),180.36)</f>
        <v>180.36</v>
      </c>
      <c r="BC149" s="71">
        <f>IFERROR(__xludf.DUMMYFUNCTION("""COMPUTED_VALUE"""),202.0)</f>
        <v>202</v>
      </c>
      <c r="BD149" s="71">
        <f>IFERROR(__xludf.DUMMYFUNCTION("""COMPUTED_VALUE"""),212.0)</f>
        <v>212</v>
      </c>
      <c r="BE149" s="71">
        <f>IFERROR(__xludf.DUMMYFUNCTION("""COMPUTED_VALUE"""),33.92)</f>
        <v>33.92</v>
      </c>
      <c r="BF149" s="71">
        <f>IFERROR(__xludf.DUMMYFUNCTION("""COMPUTED_VALUE"""),245.92000000000002)</f>
        <v>245.92</v>
      </c>
      <c r="BG149" s="71">
        <f>IFERROR(__xludf.DUMMYFUNCTION("""COMPUTED_VALUE"""),0.04950495049504951)</f>
        <v>0.0495049505</v>
      </c>
      <c r="BH149" s="71">
        <f>IFERROR(__xludf.DUMMYFUNCTION("""COMPUTED_VALUE"""),201.39999999999998)</f>
        <v>201.4</v>
      </c>
      <c r="BI149" s="71">
        <f>IFERROR(__xludf.DUMMYFUNCTION("""COMPUTED_VALUE"""),32.224)</f>
        <v>32.224</v>
      </c>
      <c r="BJ149" s="71">
        <f>IFERROR(__xludf.DUMMYFUNCTION("""COMPUTED_VALUE"""),233.62399999999997)</f>
        <v>233.624</v>
      </c>
      <c r="BK149" s="71">
        <f>IFERROR(__xludf.DUMMYFUNCTION("""COMPUTED_VALUE"""),190.8)</f>
        <v>190.8</v>
      </c>
      <c r="BL149" s="71">
        <f>IFERROR(__xludf.DUMMYFUNCTION("""COMPUTED_VALUE"""),30.528000000000002)</f>
        <v>30.528</v>
      </c>
      <c r="BM149" s="71">
        <f>IFERROR(__xludf.DUMMYFUNCTION("""COMPUTED_VALUE"""),221.328)</f>
        <v>221.328</v>
      </c>
      <c r="BN149" s="71">
        <f>IFERROR(__xludf.DUMMYFUNCTION("""COMPUTED_VALUE"""),180.2)</f>
        <v>180.2</v>
      </c>
      <c r="BO149" s="71">
        <f>IFERROR(__xludf.DUMMYFUNCTION("""COMPUTED_VALUE"""),28.831999999999997)</f>
        <v>28.832</v>
      </c>
      <c r="BP149" s="71">
        <f>IFERROR(__xludf.DUMMYFUNCTION("""COMPUTED_VALUE"""),209.03199999999998)</f>
        <v>209.032</v>
      </c>
      <c r="BQ149" s="71">
        <f>IFERROR(__xludf.DUMMYFUNCTION("""COMPUTED_VALUE"""),175.95999999999998)</f>
        <v>175.96</v>
      </c>
      <c r="BR149" s="71">
        <f>IFERROR(__xludf.DUMMYFUNCTION("""COMPUTED_VALUE"""),28.153599999999997)</f>
        <v>28.1536</v>
      </c>
      <c r="BS149" s="71">
        <f>IFERROR(__xludf.DUMMYFUNCTION("""COMPUTED_VALUE"""),204.11359999999996)</f>
        <v>204.1136</v>
      </c>
      <c r="BT149" s="71">
        <f>IFERROR(__xludf.DUMMYFUNCTION("""COMPUTED_VALUE"""),169.60000000000002)</f>
        <v>169.6</v>
      </c>
      <c r="BU149" s="71">
        <f>IFERROR(__xludf.DUMMYFUNCTION("""COMPUTED_VALUE"""),27.136000000000003)</f>
        <v>27.136</v>
      </c>
      <c r="BV149" s="71">
        <f>IFERROR(__xludf.DUMMYFUNCTION("""COMPUTED_VALUE"""),196.73600000000002)</f>
        <v>196.736</v>
      </c>
    </row>
    <row r="150">
      <c r="A150" s="53">
        <v>1.0</v>
      </c>
      <c r="B150" s="72"/>
      <c r="C150" s="73" t="s">
        <v>12</v>
      </c>
      <c r="D150" s="74" t="s">
        <v>399</v>
      </c>
      <c r="E150" s="54" t="s">
        <v>38</v>
      </c>
      <c r="F150" s="54" t="s">
        <v>42</v>
      </c>
      <c r="G150" s="54" t="s">
        <v>400</v>
      </c>
      <c r="H150" s="54" t="s">
        <v>400</v>
      </c>
      <c r="I150" s="54">
        <f t="shared" si="1"/>
        <v>21</v>
      </c>
      <c r="J150" s="56"/>
      <c r="K150" s="75"/>
      <c r="L150" s="76"/>
      <c r="M150" s="59"/>
      <c r="N150" s="60">
        <v>100.0</v>
      </c>
      <c r="O150" s="61">
        <v>108.0</v>
      </c>
      <c r="P150" s="62">
        <v>116.64000000000001</v>
      </c>
      <c r="Q150" s="63">
        <v>116.64000000000001</v>
      </c>
      <c r="R150" s="64">
        <v>123.0</v>
      </c>
      <c r="S150" s="111">
        <v>129.0</v>
      </c>
      <c r="T150" s="65">
        <f t="shared" si="2"/>
        <v>20.64</v>
      </c>
      <c r="U150" s="65">
        <f t="shared" si="3"/>
        <v>149.64</v>
      </c>
      <c r="V150" s="66">
        <f t="shared" si="4"/>
        <v>0.0487804878</v>
      </c>
      <c r="W150" s="67">
        <f t="shared" si="5"/>
        <v>122.55</v>
      </c>
      <c r="X150" s="67">
        <f t="shared" si="6"/>
        <v>19.608</v>
      </c>
      <c r="Y150" s="67">
        <f t="shared" si="7"/>
        <v>142.158</v>
      </c>
      <c r="Z150" s="67">
        <f t="shared" si="8"/>
        <v>116.1</v>
      </c>
      <c r="AA150" s="67">
        <f t="shared" si="9"/>
        <v>18.576</v>
      </c>
      <c r="AB150" s="67">
        <f t="shared" si="10"/>
        <v>134.676</v>
      </c>
      <c r="AC150" s="67">
        <f t="shared" si="11"/>
        <v>109.65</v>
      </c>
      <c r="AD150" s="67">
        <f t="shared" si="12"/>
        <v>17.544</v>
      </c>
      <c r="AE150" s="67">
        <f t="shared" si="13"/>
        <v>127.194</v>
      </c>
      <c r="AF150" s="67">
        <f t="shared" si="14"/>
        <v>107.07</v>
      </c>
      <c r="AG150" s="67">
        <f t="shared" si="15"/>
        <v>17.1312</v>
      </c>
      <c r="AH150" s="67">
        <f t="shared" si="16"/>
        <v>124.2012</v>
      </c>
      <c r="AI150" s="67">
        <f t="shared" si="17"/>
        <v>103.2</v>
      </c>
      <c r="AJ150" s="68">
        <f t="shared" si="20"/>
        <v>16.512</v>
      </c>
      <c r="AK150" s="68">
        <f t="shared" si="21"/>
        <v>119.712</v>
      </c>
      <c r="AL150" s="70">
        <f>IFERROR(__xludf.DUMMYFUNCTION("""COMPUTED_VALUE"""),1.0)</f>
        <v>1</v>
      </c>
      <c r="AM150" s="70"/>
      <c r="AN150" s="71" t="str">
        <f>IFERROR(__xludf.DUMMYFUNCTION("""COMPUTED_VALUE""")," C")</f>
        <v>C</v>
      </c>
      <c r="AO150" s="71" t="str">
        <f>IFERROR(__xludf.DUMMYFUNCTION("""COMPUTED_VALUE""")," BH49")</f>
        <v>BH49</v>
      </c>
      <c r="AP150" s="71" t="str">
        <f>IFERROR(__xludf.DUMMYFUNCTION("""COMPUTED_VALUE""")," PZA")</f>
        <v>PZA</v>
      </c>
      <c r="AQ150" s="71" t="str">
        <f>IFERROR(__xludf.DUMMYFUNCTION("""COMPUTED_VALUE""")," REF")</f>
        <v>REF</v>
      </c>
      <c r="AR150" s="71" t="str">
        <f>IFERROR(__xludf.DUMMYFUNCTION("""COMPUTED_VALUE""")," BANDA DE HULE B-62 (GATES)")</f>
        <v>BANDA DE HULE B-62 (GATES)</v>
      </c>
      <c r="AS150" s="71" t="str">
        <f>IFERROR(__xludf.DUMMYFUNCTION("""COMPUTED_VALUE""")," BANDA DE HULE B-62 (GATES)")</f>
        <v>BANDA DE HULE B-62 (GATES)</v>
      </c>
      <c r="AT150" s="71">
        <f>IFERROR(__xludf.DUMMYFUNCTION("""COMPUTED_VALUE"""),26.0)</f>
        <v>26</v>
      </c>
      <c r="AU150" s="71"/>
      <c r="AV150" s="71"/>
      <c r="AW150" s="71"/>
      <c r="AX150" s="71"/>
      <c r="AY150" s="71">
        <f>IFERROR(__xludf.DUMMYFUNCTION("""COMPUTED_VALUE"""),257.0)</f>
        <v>257</v>
      </c>
      <c r="AZ150" s="71">
        <f>IFERROR(__xludf.DUMMYFUNCTION("""COMPUTED_VALUE"""),277.0)</f>
        <v>277</v>
      </c>
      <c r="BA150" s="71">
        <f>IFERROR(__xludf.DUMMYFUNCTION("""COMPUTED_VALUE"""),299.16)</f>
        <v>299.16</v>
      </c>
      <c r="BB150" s="71">
        <f>IFERROR(__xludf.DUMMYFUNCTION("""COMPUTED_VALUE"""),299.16)</f>
        <v>299.16</v>
      </c>
      <c r="BC150" s="71">
        <f>IFERROR(__xludf.DUMMYFUNCTION("""COMPUTED_VALUE"""),334.0)</f>
        <v>334</v>
      </c>
      <c r="BD150" s="71">
        <f>IFERROR(__xludf.DUMMYFUNCTION("""COMPUTED_VALUE"""),351.0)</f>
        <v>351</v>
      </c>
      <c r="BE150" s="71">
        <f>IFERROR(__xludf.DUMMYFUNCTION("""COMPUTED_VALUE"""),56.160000000000004)</f>
        <v>56.16</v>
      </c>
      <c r="BF150" s="71">
        <f>IFERROR(__xludf.DUMMYFUNCTION("""COMPUTED_VALUE"""),407.16)</f>
        <v>407.16</v>
      </c>
      <c r="BG150" s="71">
        <f>IFERROR(__xludf.DUMMYFUNCTION("""COMPUTED_VALUE"""),0.05089820359281437)</f>
        <v>0.05089820359</v>
      </c>
      <c r="BH150" s="71">
        <f>IFERROR(__xludf.DUMMYFUNCTION("""COMPUTED_VALUE"""),333.45)</f>
        <v>333.45</v>
      </c>
      <c r="BI150" s="71">
        <f>IFERROR(__xludf.DUMMYFUNCTION("""COMPUTED_VALUE"""),53.352)</f>
        <v>53.352</v>
      </c>
      <c r="BJ150" s="71">
        <f>IFERROR(__xludf.DUMMYFUNCTION("""COMPUTED_VALUE"""),386.80199999999996)</f>
        <v>386.802</v>
      </c>
      <c r="BK150" s="71">
        <f>IFERROR(__xludf.DUMMYFUNCTION("""COMPUTED_VALUE"""),315.90000000000003)</f>
        <v>315.9</v>
      </c>
      <c r="BL150" s="71">
        <f>IFERROR(__xludf.DUMMYFUNCTION("""COMPUTED_VALUE"""),50.544000000000004)</f>
        <v>50.544</v>
      </c>
      <c r="BM150" s="71">
        <f>IFERROR(__xludf.DUMMYFUNCTION("""COMPUTED_VALUE"""),366.444)</f>
        <v>366.444</v>
      </c>
      <c r="BN150" s="71">
        <f>IFERROR(__xludf.DUMMYFUNCTION("""COMPUTED_VALUE"""),298.34999999999997)</f>
        <v>298.35</v>
      </c>
      <c r="BO150" s="71">
        <f>IFERROR(__xludf.DUMMYFUNCTION("""COMPUTED_VALUE"""),47.736)</f>
        <v>47.736</v>
      </c>
      <c r="BP150" s="71">
        <f>IFERROR(__xludf.DUMMYFUNCTION("""COMPUTED_VALUE"""),346.08599999999996)</f>
        <v>346.086</v>
      </c>
      <c r="BQ150" s="71">
        <f>IFERROR(__xludf.DUMMYFUNCTION("""COMPUTED_VALUE"""),291.33)</f>
        <v>291.33</v>
      </c>
      <c r="BR150" s="71">
        <f>IFERROR(__xludf.DUMMYFUNCTION("""COMPUTED_VALUE"""),46.6128)</f>
        <v>46.6128</v>
      </c>
      <c r="BS150" s="71">
        <f>IFERROR(__xludf.DUMMYFUNCTION("""COMPUTED_VALUE"""),337.9428)</f>
        <v>337.9428</v>
      </c>
      <c r="BT150" s="71">
        <f>IFERROR(__xludf.DUMMYFUNCTION("""COMPUTED_VALUE"""),280.8)</f>
        <v>280.8</v>
      </c>
      <c r="BU150" s="71">
        <f>IFERROR(__xludf.DUMMYFUNCTION("""COMPUTED_VALUE"""),44.928000000000004)</f>
        <v>44.928</v>
      </c>
      <c r="BV150" s="71">
        <f>IFERROR(__xludf.DUMMYFUNCTION("""COMPUTED_VALUE"""),325.728)</f>
        <v>325.728</v>
      </c>
    </row>
    <row r="151">
      <c r="A151" s="53">
        <v>1.0</v>
      </c>
      <c r="B151" s="53"/>
      <c r="C151" s="53" t="s">
        <v>12</v>
      </c>
      <c r="D151" s="53" t="s">
        <v>401</v>
      </c>
      <c r="E151" s="54" t="s">
        <v>38</v>
      </c>
      <c r="F151" s="54" t="s">
        <v>42</v>
      </c>
      <c r="G151" s="55" t="s">
        <v>402</v>
      </c>
      <c r="H151" s="55" t="s">
        <v>402</v>
      </c>
      <c r="I151" s="54">
        <f t="shared" si="1"/>
        <v>19</v>
      </c>
      <c r="J151" s="56"/>
      <c r="K151" s="57"/>
      <c r="L151" s="76"/>
      <c r="M151" s="59"/>
      <c r="N151" s="79">
        <v>100.0</v>
      </c>
      <c r="O151" s="61">
        <v>108.0</v>
      </c>
      <c r="P151" s="63">
        <v>116.64000000000001</v>
      </c>
      <c r="Q151" s="63">
        <v>116.64000000000001</v>
      </c>
      <c r="R151" s="64">
        <v>123.0</v>
      </c>
      <c r="S151" s="111">
        <v>129.0</v>
      </c>
      <c r="T151" s="65">
        <f t="shared" si="2"/>
        <v>20.64</v>
      </c>
      <c r="U151" s="65">
        <f t="shared" si="3"/>
        <v>149.64</v>
      </c>
      <c r="V151" s="66">
        <f t="shared" si="4"/>
        <v>0.0487804878</v>
      </c>
      <c r="W151" s="67">
        <f t="shared" si="5"/>
        <v>122.55</v>
      </c>
      <c r="X151" s="67">
        <f t="shared" si="6"/>
        <v>19.608</v>
      </c>
      <c r="Y151" s="67">
        <f t="shared" si="7"/>
        <v>142.158</v>
      </c>
      <c r="Z151" s="67">
        <f t="shared" si="8"/>
        <v>116.1</v>
      </c>
      <c r="AA151" s="67">
        <f t="shared" si="9"/>
        <v>18.576</v>
      </c>
      <c r="AB151" s="67">
        <f t="shared" si="10"/>
        <v>134.676</v>
      </c>
      <c r="AC151" s="67">
        <f t="shared" si="11"/>
        <v>109.65</v>
      </c>
      <c r="AD151" s="67">
        <f t="shared" si="12"/>
        <v>17.544</v>
      </c>
      <c r="AE151" s="67">
        <f t="shared" si="13"/>
        <v>127.194</v>
      </c>
      <c r="AF151" s="67">
        <f t="shared" si="14"/>
        <v>107.07</v>
      </c>
      <c r="AG151" s="67">
        <f t="shared" si="15"/>
        <v>17.1312</v>
      </c>
      <c r="AH151" s="67">
        <f t="shared" si="16"/>
        <v>124.2012</v>
      </c>
      <c r="AI151" s="67">
        <f t="shared" si="17"/>
        <v>103.2</v>
      </c>
      <c r="AJ151" s="68">
        <f t="shared" si="20"/>
        <v>16.512</v>
      </c>
      <c r="AK151" s="68">
        <f t="shared" si="21"/>
        <v>119.712</v>
      </c>
      <c r="AL151" s="70">
        <f>IFERROR(__xludf.DUMMYFUNCTION("""COMPUTED_VALUE"""),1.0)</f>
        <v>1</v>
      </c>
      <c r="AM151" s="70"/>
      <c r="AN151" s="71" t="str">
        <f>IFERROR(__xludf.DUMMYFUNCTION("""COMPUTED_VALUE""")," C")</f>
        <v>C</v>
      </c>
      <c r="AO151" s="71" t="str">
        <f>IFERROR(__xludf.DUMMYFUNCTION("""COMPUTED_VALUE""")," BH25")</f>
        <v>BH25</v>
      </c>
      <c r="AP151" s="71" t="str">
        <f>IFERROR(__xludf.DUMMYFUNCTION("""COMPUTED_VALUE""")," PZA")</f>
        <v>PZA</v>
      </c>
      <c r="AQ151" s="71" t="str">
        <f>IFERROR(__xludf.DUMMYFUNCTION("""COMPUTED_VALUE""")," REF")</f>
        <v>REF</v>
      </c>
      <c r="AR151" s="71" t="str">
        <f>IFERROR(__xludf.DUMMYFUNCTION("""COMPUTED_VALUE""")," BANDA DE HULE B-64 (BLACKGOLD)")</f>
        <v>BANDA DE HULE B-64 (BLACKGOLD)</v>
      </c>
      <c r="AS151" s="71" t="str">
        <f>IFERROR(__xludf.DUMMYFUNCTION("""COMPUTED_VALUE""")," BANDA DE HULE B-64 (BLACKGOLD)")</f>
        <v>BANDA DE HULE B-64 (BLACKGOLD)</v>
      </c>
      <c r="AT151" s="71">
        <f>IFERROR(__xludf.DUMMYFUNCTION("""COMPUTED_VALUE"""),30.0)</f>
        <v>30</v>
      </c>
      <c r="AU151" s="71"/>
      <c r="AV151" s="71"/>
      <c r="AW151" s="71"/>
      <c r="AX151" s="71"/>
      <c r="AY151" s="71">
        <f>IFERROR(__xludf.DUMMYFUNCTION("""COMPUTED_VALUE"""),209.0)</f>
        <v>209</v>
      </c>
      <c r="AZ151" s="71">
        <f>IFERROR(__xludf.DUMMYFUNCTION("""COMPUTED_VALUE"""),171.0)</f>
        <v>171</v>
      </c>
      <c r="BA151" s="71">
        <f>IFERROR(__xludf.DUMMYFUNCTION("""COMPUTED_VALUE"""),184.68)</f>
        <v>184.68</v>
      </c>
      <c r="BB151" s="71">
        <f>IFERROR(__xludf.DUMMYFUNCTION("""COMPUTED_VALUE"""),184.68)</f>
        <v>184.68</v>
      </c>
      <c r="BC151" s="71">
        <f>IFERROR(__xludf.DUMMYFUNCTION("""COMPUTED_VALUE"""),206.0)</f>
        <v>206</v>
      </c>
      <c r="BD151" s="71">
        <f>IFERROR(__xludf.DUMMYFUNCTION("""COMPUTED_VALUE"""),216.0)</f>
        <v>216</v>
      </c>
      <c r="BE151" s="71">
        <f>IFERROR(__xludf.DUMMYFUNCTION("""COMPUTED_VALUE"""),34.56)</f>
        <v>34.56</v>
      </c>
      <c r="BF151" s="71">
        <f>IFERROR(__xludf.DUMMYFUNCTION("""COMPUTED_VALUE"""),250.56)</f>
        <v>250.56</v>
      </c>
      <c r="BG151" s="71">
        <f>IFERROR(__xludf.DUMMYFUNCTION("""COMPUTED_VALUE"""),0.04854368932038835)</f>
        <v>0.04854368932</v>
      </c>
      <c r="BH151" s="71">
        <f>IFERROR(__xludf.DUMMYFUNCTION("""COMPUTED_VALUE"""),205.2)</f>
        <v>205.2</v>
      </c>
      <c r="BI151" s="71">
        <f>IFERROR(__xludf.DUMMYFUNCTION("""COMPUTED_VALUE"""),32.832)</f>
        <v>32.832</v>
      </c>
      <c r="BJ151" s="71">
        <f>IFERROR(__xludf.DUMMYFUNCTION("""COMPUTED_VALUE"""),238.03199999999998)</f>
        <v>238.032</v>
      </c>
      <c r="BK151" s="71">
        <f>IFERROR(__xludf.DUMMYFUNCTION("""COMPUTED_VALUE"""),194.4)</f>
        <v>194.4</v>
      </c>
      <c r="BL151" s="71">
        <f>IFERROR(__xludf.DUMMYFUNCTION("""COMPUTED_VALUE"""),31.104000000000003)</f>
        <v>31.104</v>
      </c>
      <c r="BM151" s="71">
        <f>IFERROR(__xludf.DUMMYFUNCTION("""COMPUTED_VALUE"""),225.50400000000002)</f>
        <v>225.504</v>
      </c>
      <c r="BN151" s="71">
        <f>IFERROR(__xludf.DUMMYFUNCTION("""COMPUTED_VALUE"""),183.6)</f>
        <v>183.6</v>
      </c>
      <c r="BO151" s="71">
        <f>IFERROR(__xludf.DUMMYFUNCTION("""COMPUTED_VALUE"""),29.376)</f>
        <v>29.376</v>
      </c>
      <c r="BP151" s="71">
        <f>IFERROR(__xludf.DUMMYFUNCTION("""COMPUTED_VALUE"""),212.976)</f>
        <v>212.976</v>
      </c>
      <c r="BQ151" s="71">
        <f>IFERROR(__xludf.DUMMYFUNCTION("""COMPUTED_VALUE"""),179.28)</f>
        <v>179.28</v>
      </c>
      <c r="BR151" s="71">
        <f>IFERROR(__xludf.DUMMYFUNCTION("""COMPUTED_VALUE"""),28.6848)</f>
        <v>28.6848</v>
      </c>
      <c r="BS151" s="71">
        <f>IFERROR(__xludf.DUMMYFUNCTION("""COMPUTED_VALUE"""),207.9648)</f>
        <v>207.9648</v>
      </c>
      <c r="BT151" s="71">
        <f>IFERROR(__xludf.DUMMYFUNCTION("""COMPUTED_VALUE"""),172.8)</f>
        <v>172.8</v>
      </c>
      <c r="BU151" s="71">
        <f>IFERROR(__xludf.DUMMYFUNCTION("""COMPUTED_VALUE"""),27.648000000000003)</f>
        <v>27.648</v>
      </c>
      <c r="BV151" s="71">
        <f>IFERROR(__xludf.DUMMYFUNCTION("""COMPUTED_VALUE"""),200.448)</f>
        <v>200.448</v>
      </c>
    </row>
    <row r="152">
      <c r="A152" s="53">
        <v>1.0</v>
      </c>
      <c r="B152" s="53"/>
      <c r="C152" s="53" t="s">
        <v>12</v>
      </c>
      <c r="D152" s="53" t="s">
        <v>403</v>
      </c>
      <c r="E152" s="54" t="s">
        <v>38</v>
      </c>
      <c r="F152" s="54" t="s">
        <v>42</v>
      </c>
      <c r="G152" s="55" t="s">
        <v>404</v>
      </c>
      <c r="H152" s="55" t="s">
        <v>404</v>
      </c>
      <c r="I152" s="54">
        <f t="shared" si="1"/>
        <v>22</v>
      </c>
      <c r="J152" s="56"/>
      <c r="K152" s="75"/>
      <c r="L152" s="76"/>
      <c r="M152" s="59"/>
      <c r="N152" s="79">
        <v>192.0</v>
      </c>
      <c r="O152" s="61">
        <v>207.0</v>
      </c>
      <c r="P152" s="63">
        <v>223.56</v>
      </c>
      <c r="Q152" s="63">
        <v>223.56</v>
      </c>
      <c r="R152" s="64">
        <v>236.0</v>
      </c>
      <c r="S152" s="111">
        <v>248.0</v>
      </c>
      <c r="T152" s="65">
        <f t="shared" si="2"/>
        <v>39.68</v>
      </c>
      <c r="U152" s="65">
        <f t="shared" si="3"/>
        <v>287.68</v>
      </c>
      <c r="V152" s="66">
        <f t="shared" si="4"/>
        <v>0.05084745763</v>
      </c>
      <c r="W152" s="67">
        <f t="shared" si="5"/>
        <v>235.6</v>
      </c>
      <c r="X152" s="67">
        <f t="shared" si="6"/>
        <v>37.696</v>
      </c>
      <c r="Y152" s="67">
        <f t="shared" si="7"/>
        <v>273.296</v>
      </c>
      <c r="Z152" s="67">
        <f t="shared" si="8"/>
        <v>223.2</v>
      </c>
      <c r="AA152" s="67">
        <f t="shared" si="9"/>
        <v>35.712</v>
      </c>
      <c r="AB152" s="67">
        <f t="shared" si="10"/>
        <v>258.912</v>
      </c>
      <c r="AC152" s="67">
        <f t="shared" si="11"/>
        <v>210.8</v>
      </c>
      <c r="AD152" s="67">
        <f t="shared" si="12"/>
        <v>33.728</v>
      </c>
      <c r="AE152" s="67">
        <f t="shared" si="13"/>
        <v>244.528</v>
      </c>
      <c r="AF152" s="67">
        <f t="shared" si="14"/>
        <v>205.84</v>
      </c>
      <c r="AG152" s="67">
        <f t="shared" si="15"/>
        <v>32.9344</v>
      </c>
      <c r="AH152" s="67">
        <f t="shared" si="16"/>
        <v>238.7744</v>
      </c>
      <c r="AI152" s="67">
        <f t="shared" si="17"/>
        <v>198.4</v>
      </c>
      <c r="AJ152" s="68">
        <f t="shared" si="20"/>
        <v>31.744</v>
      </c>
      <c r="AK152" s="68">
        <f t="shared" si="21"/>
        <v>230.144</v>
      </c>
      <c r="AL152" s="70">
        <f>IFERROR(__xludf.DUMMYFUNCTION("""COMPUTED_VALUE"""),1.0)</f>
        <v>1</v>
      </c>
      <c r="AM152" s="70"/>
      <c r="AN152" s="71" t="str">
        <f>IFERROR(__xludf.DUMMYFUNCTION("""COMPUTED_VALUE""")," C")</f>
        <v>C</v>
      </c>
      <c r="AO152" s="71" t="str">
        <f>IFERROR(__xludf.DUMMYFUNCTION("""COMPUTED_VALUE""")," BH50")</f>
        <v>BH50</v>
      </c>
      <c r="AP152" s="71" t="str">
        <f>IFERROR(__xludf.DUMMYFUNCTION("""COMPUTED_VALUE""")," PZA")</f>
        <v>PZA</v>
      </c>
      <c r="AQ152" s="71" t="str">
        <f>IFERROR(__xludf.DUMMYFUNCTION("""COMPUTED_VALUE""")," REF")</f>
        <v>REF</v>
      </c>
      <c r="AR152" s="71" t="str">
        <f>IFERROR(__xludf.DUMMYFUNCTION("""COMPUTED_VALUE""")," BANDA DE HULE B-64 (GATES)")</f>
        <v>BANDA DE HULE B-64 (GATES)</v>
      </c>
      <c r="AS152" s="71" t="str">
        <f>IFERROR(__xludf.DUMMYFUNCTION("""COMPUTED_VALUE""")," BANDA DE HULE B-64 (GATES)")</f>
        <v>BANDA DE HULE B-64 (GATES)</v>
      </c>
      <c r="AT152" s="71">
        <f>IFERROR(__xludf.DUMMYFUNCTION("""COMPUTED_VALUE"""),26.0)</f>
        <v>26</v>
      </c>
      <c r="AU152" s="71"/>
      <c r="AV152" s="71"/>
      <c r="AW152" s="71"/>
      <c r="AX152" s="71"/>
      <c r="AY152" s="71">
        <f>IFERROR(__xludf.DUMMYFUNCTION("""COMPUTED_VALUE"""),368.0)</f>
        <v>368</v>
      </c>
      <c r="AZ152" s="71">
        <f>IFERROR(__xludf.DUMMYFUNCTION("""COMPUTED_VALUE"""),397.0)</f>
        <v>397</v>
      </c>
      <c r="BA152" s="71">
        <f>IFERROR(__xludf.DUMMYFUNCTION("""COMPUTED_VALUE"""),428.76000000000005)</f>
        <v>428.76</v>
      </c>
      <c r="BB152" s="71">
        <f>IFERROR(__xludf.DUMMYFUNCTION("""COMPUTED_VALUE"""),428.76000000000005)</f>
        <v>428.76</v>
      </c>
      <c r="BC152" s="71">
        <f>IFERROR(__xludf.DUMMYFUNCTION("""COMPUTED_VALUE"""),478.0)</f>
        <v>478</v>
      </c>
      <c r="BD152" s="71">
        <f>IFERROR(__xludf.DUMMYFUNCTION("""COMPUTED_VALUE"""),502.0)</f>
        <v>502</v>
      </c>
      <c r="BE152" s="71">
        <f>IFERROR(__xludf.DUMMYFUNCTION("""COMPUTED_VALUE"""),80.32000000000001)</f>
        <v>80.32</v>
      </c>
      <c r="BF152" s="71">
        <f>IFERROR(__xludf.DUMMYFUNCTION("""COMPUTED_VALUE"""),582.32)</f>
        <v>582.32</v>
      </c>
      <c r="BG152" s="71">
        <f>IFERROR(__xludf.DUMMYFUNCTION("""COMPUTED_VALUE"""),0.0502092050209205)</f>
        <v>0.05020920502</v>
      </c>
      <c r="BH152" s="71">
        <f>IFERROR(__xludf.DUMMYFUNCTION("""COMPUTED_VALUE"""),476.9)</f>
        <v>476.9</v>
      </c>
      <c r="BI152" s="71">
        <f>IFERROR(__xludf.DUMMYFUNCTION("""COMPUTED_VALUE"""),76.304)</f>
        <v>76.304</v>
      </c>
      <c r="BJ152" s="71">
        <f>IFERROR(__xludf.DUMMYFUNCTION("""COMPUTED_VALUE"""),553.204)</f>
        <v>553.204</v>
      </c>
      <c r="BK152" s="71">
        <f>IFERROR(__xludf.DUMMYFUNCTION("""COMPUTED_VALUE"""),451.8)</f>
        <v>451.8</v>
      </c>
      <c r="BL152" s="71">
        <f>IFERROR(__xludf.DUMMYFUNCTION("""COMPUTED_VALUE"""),72.288)</f>
        <v>72.288</v>
      </c>
      <c r="BM152" s="71">
        <f>IFERROR(__xludf.DUMMYFUNCTION("""COMPUTED_VALUE"""),524.088)</f>
        <v>524.088</v>
      </c>
      <c r="BN152" s="71">
        <f>IFERROR(__xludf.DUMMYFUNCTION("""COMPUTED_VALUE"""),426.7)</f>
        <v>426.7</v>
      </c>
      <c r="BO152" s="71">
        <f>IFERROR(__xludf.DUMMYFUNCTION("""COMPUTED_VALUE"""),68.272)</f>
        <v>68.272</v>
      </c>
      <c r="BP152" s="71">
        <f>IFERROR(__xludf.DUMMYFUNCTION("""COMPUTED_VALUE"""),494.972)</f>
        <v>494.972</v>
      </c>
      <c r="BQ152" s="71">
        <f>IFERROR(__xludf.DUMMYFUNCTION("""COMPUTED_VALUE"""),416.65999999999997)</f>
        <v>416.66</v>
      </c>
      <c r="BR152" s="71">
        <f>IFERROR(__xludf.DUMMYFUNCTION("""COMPUTED_VALUE"""),66.6656)</f>
        <v>66.6656</v>
      </c>
      <c r="BS152" s="71">
        <f>IFERROR(__xludf.DUMMYFUNCTION("""COMPUTED_VALUE"""),483.32559999999995)</f>
        <v>483.3256</v>
      </c>
      <c r="BT152" s="71">
        <f>IFERROR(__xludf.DUMMYFUNCTION("""COMPUTED_VALUE"""),401.6)</f>
        <v>401.6</v>
      </c>
      <c r="BU152" s="71">
        <f>IFERROR(__xludf.DUMMYFUNCTION("""COMPUTED_VALUE"""),64.256)</f>
        <v>64.256</v>
      </c>
      <c r="BV152" s="71">
        <f>IFERROR(__xludf.DUMMYFUNCTION("""COMPUTED_VALUE"""),465.856)</f>
        <v>465.856</v>
      </c>
    </row>
    <row r="153">
      <c r="A153" s="53">
        <v>1.0</v>
      </c>
      <c r="B153" s="53"/>
      <c r="C153" s="53" t="s">
        <v>12</v>
      </c>
      <c r="D153" s="53" t="s">
        <v>405</v>
      </c>
      <c r="E153" s="54" t="s">
        <v>38</v>
      </c>
      <c r="F153" s="54" t="s">
        <v>42</v>
      </c>
      <c r="G153" s="55" t="s">
        <v>406</v>
      </c>
      <c r="H153" s="55" t="s">
        <v>406</v>
      </c>
      <c r="I153" s="54">
        <f t="shared" si="1"/>
        <v>22</v>
      </c>
      <c r="J153" s="56"/>
      <c r="K153" s="57"/>
      <c r="L153" s="76"/>
      <c r="M153" s="59"/>
      <c r="N153" s="79">
        <v>134.0</v>
      </c>
      <c r="O153" s="61">
        <v>144.0</v>
      </c>
      <c r="P153" s="63">
        <v>155.52</v>
      </c>
      <c r="Q153" s="63">
        <v>155.52</v>
      </c>
      <c r="R153" s="64">
        <v>164.0</v>
      </c>
      <c r="S153" s="111">
        <v>172.0</v>
      </c>
      <c r="T153" s="65">
        <f t="shared" si="2"/>
        <v>27.52</v>
      </c>
      <c r="U153" s="65">
        <f t="shared" si="3"/>
        <v>199.52</v>
      </c>
      <c r="V153" s="66">
        <f t="shared" si="4"/>
        <v>0.0487804878</v>
      </c>
      <c r="W153" s="67">
        <f t="shared" si="5"/>
        <v>163.4</v>
      </c>
      <c r="X153" s="67">
        <f t="shared" si="6"/>
        <v>26.144</v>
      </c>
      <c r="Y153" s="67">
        <f t="shared" si="7"/>
        <v>189.544</v>
      </c>
      <c r="Z153" s="67">
        <f t="shared" si="8"/>
        <v>154.8</v>
      </c>
      <c r="AA153" s="67">
        <f t="shared" si="9"/>
        <v>24.768</v>
      </c>
      <c r="AB153" s="67">
        <f t="shared" si="10"/>
        <v>179.568</v>
      </c>
      <c r="AC153" s="67">
        <f t="shared" si="11"/>
        <v>146.2</v>
      </c>
      <c r="AD153" s="67">
        <f t="shared" si="12"/>
        <v>23.392</v>
      </c>
      <c r="AE153" s="67">
        <f t="shared" si="13"/>
        <v>169.592</v>
      </c>
      <c r="AF153" s="67">
        <f t="shared" si="14"/>
        <v>142.76</v>
      </c>
      <c r="AG153" s="67">
        <f t="shared" si="15"/>
        <v>22.8416</v>
      </c>
      <c r="AH153" s="67">
        <f t="shared" si="16"/>
        <v>165.6016</v>
      </c>
      <c r="AI153" s="67">
        <f t="shared" si="17"/>
        <v>137.6</v>
      </c>
      <c r="AJ153" s="68">
        <f t="shared" si="20"/>
        <v>22.016</v>
      </c>
      <c r="AK153" s="68">
        <f t="shared" si="21"/>
        <v>159.616</v>
      </c>
      <c r="AL153" s="70">
        <f>IFERROR(__xludf.DUMMYFUNCTION("""COMPUTED_VALUE"""),1.0)</f>
        <v>1</v>
      </c>
      <c r="AM153" s="70"/>
      <c r="AN153" s="71" t="str">
        <f>IFERROR(__xludf.DUMMYFUNCTION("""COMPUTED_VALUE""")," C")</f>
        <v>C</v>
      </c>
      <c r="AO153" s="71" t="str">
        <f>IFERROR(__xludf.DUMMYFUNCTION("""COMPUTED_VALUE""")," BH55")</f>
        <v>BH55</v>
      </c>
      <c r="AP153" s="71" t="str">
        <f>IFERROR(__xludf.DUMMYFUNCTION("""COMPUTED_VALUE""")," PZA")</f>
        <v>PZA</v>
      </c>
      <c r="AQ153" s="71" t="str">
        <f>IFERROR(__xludf.DUMMYFUNCTION("""COMPUTED_VALUE""")," REF")</f>
        <v>REF</v>
      </c>
      <c r="AR153" s="71" t="str">
        <f>IFERROR(__xludf.DUMMYFUNCTION("""COMPUTED_VALUE""")," BANDA DE HULE B-79 (GATES)")</f>
        <v>BANDA DE HULE B-79 (GATES)</v>
      </c>
      <c r="AS153" s="71" t="str">
        <f>IFERROR(__xludf.DUMMYFUNCTION("""COMPUTED_VALUE""")," BANDA DE HULE B-79 (GATES)")</f>
        <v>BANDA DE HULE B-79 (GATES)</v>
      </c>
      <c r="AT153" s="71">
        <f>IFERROR(__xludf.DUMMYFUNCTION("""COMPUTED_VALUE"""),26.0)</f>
        <v>26</v>
      </c>
      <c r="AU153" s="71"/>
      <c r="AV153" s="71"/>
      <c r="AW153" s="71"/>
      <c r="AX153" s="71"/>
      <c r="AY153" s="71"/>
      <c r="AZ153" s="71"/>
      <c r="BA153" s="71"/>
      <c r="BB153" s="71"/>
      <c r="BC153" s="71"/>
      <c r="BD153" s="71">
        <f>IFERROR(__xludf.DUMMYFUNCTION("""COMPUTED_VALUE"""),230.0)</f>
        <v>230</v>
      </c>
      <c r="BE153" s="71">
        <f>IFERROR(__xludf.DUMMYFUNCTION("""COMPUTED_VALUE"""),36.800000000000004)</f>
        <v>36.8</v>
      </c>
      <c r="BF153" s="71">
        <f>IFERROR(__xludf.DUMMYFUNCTION("""COMPUTED_VALUE"""),266.8)</f>
        <v>266.8</v>
      </c>
      <c r="BG153" s="71" t="str">
        <f>IFERROR(__xludf.DUMMYFUNCTION("""COMPUTED_VALUE"""),"#DIV/0!")</f>
        <v>#DIV/0!</v>
      </c>
      <c r="BH153" s="71">
        <f>IFERROR(__xludf.DUMMYFUNCTION("""COMPUTED_VALUE"""),218.5)</f>
        <v>218.5</v>
      </c>
      <c r="BI153" s="71">
        <f>IFERROR(__xludf.DUMMYFUNCTION("""COMPUTED_VALUE"""),34.96)</f>
        <v>34.96</v>
      </c>
      <c r="BJ153" s="71">
        <f>IFERROR(__xludf.DUMMYFUNCTION("""COMPUTED_VALUE"""),253.46)</f>
        <v>253.46</v>
      </c>
      <c r="BK153" s="71">
        <f>IFERROR(__xludf.DUMMYFUNCTION("""COMPUTED_VALUE"""),207.0)</f>
        <v>207</v>
      </c>
      <c r="BL153" s="71">
        <f>IFERROR(__xludf.DUMMYFUNCTION("""COMPUTED_VALUE"""),33.12)</f>
        <v>33.12</v>
      </c>
      <c r="BM153" s="71">
        <f>IFERROR(__xludf.DUMMYFUNCTION("""COMPUTED_VALUE"""),240.12)</f>
        <v>240.12</v>
      </c>
      <c r="BN153" s="71">
        <f>IFERROR(__xludf.DUMMYFUNCTION("""COMPUTED_VALUE"""),195.5)</f>
        <v>195.5</v>
      </c>
      <c r="BO153" s="71">
        <f>IFERROR(__xludf.DUMMYFUNCTION("""COMPUTED_VALUE"""),31.28)</f>
        <v>31.28</v>
      </c>
      <c r="BP153" s="71">
        <f>IFERROR(__xludf.DUMMYFUNCTION("""COMPUTED_VALUE"""),226.78)</f>
        <v>226.78</v>
      </c>
      <c r="BQ153" s="71">
        <f>IFERROR(__xludf.DUMMYFUNCTION("""COMPUTED_VALUE"""),190.89999999999998)</f>
        <v>190.9</v>
      </c>
      <c r="BR153" s="71">
        <f>IFERROR(__xludf.DUMMYFUNCTION("""COMPUTED_VALUE"""),30.543999999999997)</f>
        <v>30.544</v>
      </c>
      <c r="BS153" s="71">
        <f>IFERROR(__xludf.DUMMYFUNCTION("""COMPUTED_VALUE"""),221.44399999999996)</f>
        <v>221.444</v>
      </c>
      <c r="BT153" s="71">
        <f>IFERROR(__xludf.DUMMYFUNCTION("""COMPUTED_VALUE"""),184.0)</f>
        <v>184</v>
      </c>
      <c r="BU153" s="71">
        <f>IFERROR(__xludf.DUMMYFUNCTION("""COMPUTED_VALUE"""),29.44)</f>
        <v>29.44</v>
      </c>
      <c r="BV153" s="71">
        <f>IFERROR(__xludf.DUMMYFUNCTION("""COMPUTED_VALUE"""),213.44)</f>
        <v>213.44</v>
      </c>
    </row>
    <row r="154">
      <c r="A154" s="53">
        <v>1.0</v>
      </c>
      <c r="B154" s="72"/>
      <c r="C154" s="73" t="s">
        <v>12</v>
      </c>
      <c r="D154" s="74" t="s">
        <v>407</v>
      </c>
      <c r="E154" s="54" t="s">
        <v>38</v>
      </c>
      <c r="F154" s="54" t="s">
        <v>42</v>
      </c>
      <c r="G154" s="54" t="s">
        <v>408</v>
      </c>
      <c r="H154" s="54" t="s">
        <v>408</v>
      </c>
      <c r="I154" s="54">
        <f t="shared" si="1"/>
        <v>19</v>
      </c>
      <c r="J154" s="56"/>
      <c r="K154" s="75"/>
      <c r="L154" s="76"/>
      <c r="M154" s="59"/>
      <c r="N154" s="60">
        <v>215.0</v>
      </c>
      <c r="O154" s="61">
        <v>232.0</v>
      </c>
      <c r="P154" s="62">
        <v>250.56</v>
      </c>
      <c r="Q154" s="63">
        <v>250.56</v>
      </c>
      <c r="R154" s="64">
        <v>280.0</v>
      </c>
      <c r="S154" s="111">
        <v>294.0</v>
      </c>
      <c r="T154" s="65">
        <f t="shared" si="2"/>
        <v>47.04</v>
      </c>
      <c r="U154" s="65">
        <f t="shared" si="3"/>
        <v>341.04</v>
      </c>
      <c r="V154" s="66">
        <f t="shared" si="4"/>
        <v>0.05</v>
      </c>
      <c r="W154" s="67">
        <f t="shared" si="5"/>
        <v>279.3</v>
      </c>
      <c r="X154" s="67">
        <f t="shared" si="6"/>
        <v>44.688</v>
      </c>
      <c r="Y154" s="67">
        <f t="shared" si="7"/>
        <v>323.988</v>
      </c>
      <c r="Z154" s="67">
        <f t="shared" si="8"/>
        <v>264.6</v>
      </c>
      <c r="AA154" s="67">
        <f t="shared" si="9"/>
        <v>42.336</v>
      </c>
      <c r="AB154" s="67">
        <f t="shared" si="10"/>
        <v>306.936</v>
      </c>
      <c r="AC154" s="67">
        <f t="shared" si="11"/>
        <v>249.9</v>
      </c>
      <c r="AD154" s="67">
        <f t="shared" si="12"/>
        <v>39.984</v>
      </c>
      <c r="AE154" s="67">
        <f t="shared" si="13"/>
        <v>289.884</v>
      </c>
      <c r="AF154" s="67">
        <f t="shared" si="14"/>
        <v>244.02</v>
      </c>
      <c r="AG154" s="67">
        <f t="shared" si="15"/>
        <v>39.0432</v>
      </c>
      <c r="AH154" s="67">
        <f t="shared" si="16"/>
        <v>283.0632</v>
      </c>
      <c r="AI154" s="67">
        <f t="shared" si="17"/>
        <v>235.2</v>
      </c>
      <c r="AJ154" s="68">
        <f t="shared" si="20"/>
        <v>37.632</v>
      </c>
      <c r="AK154" s="68">
        <f t="shared" si="21"/>
        <v>272.832</v>
      </c>
      <c r="AL154" s="70">
        <f>IFERROR(__xludf.DUMMYFUNCTION("""COMPUTED_VALUE"""),1.0)</f>
        <v>1</v>
      </c>
      <c r="AM154" s="70"/>
      <c r="AN154" s="71" t="str">
        <f>IFERROR(__xludf.DUMMYFUNCTION("""COMPUTED_VALUE""")," C")</f>
        <v>C</v>
      </c>
      <c r="AO154" s="71" t="str">
        <f>IFERROR(__xludf.DUMMYFUNCTION("""COMPUTED_VALUE""")," BH82")</f>
        <v>BH82</v>
      </c>
      <c r="AP154" s="71" t="str">
        <f>IFERROR(__xludf.DUMMYFUNCTION("""COMPUTED_VALUE""")," PZA")</f>
        <v>PZA</v>
      </c>
      <c r="AQ154" s="71" t="str">
        <f>IFERROR(__xludf.DUMMYFUNCTION("""COMPUTED_VALUE""")," REF")</f>
        <v>REF</v>
      </c>
      <c r="AR154" s="71" t="str">
        <f>IFERROR(__xludf.DUMMYFUNCTION("""COMPUTED_VALUE""")," BANDA DE HULE B-90 (GATES)")</f>
        <v>BANDA DE HULE B-90 (GATES)</v>
      </c>
      <c r="AS154" s="71" t="str">
        <f>IFERROR(__xludf.DUMMYFUNCTION("""COMPUTED_VALUE""")," BANDA DE HULE B-90 (GATES)")</f>
        <v>BANDA DE HULE B-90 (GATES)</v>
      </c>
      <c r="AT154" s="71">
        <f>IFERROR(__xludf.DUMMYFUNCTION("""COMPUTED_VALUE"""),26.0)</f>
        <v>26</v>
      </c>
      <c r="AU154" s="71"/>
      <c r="AV154" s="71"/>
      <c r="AW154" s="71"/>
      <c r="AX154" s="71"/>
      <c r="AY154" s="71"/>
      <c r="AZ154" s="71"/>
      <c r="BA154" s="71"/>
      <c r="BB154" s="71"/>
      <c r="BC154" s="71"/>
      <c r="BD154" s="71">
        <f>IFERROR(__xludf.DUMMYFUNCTION("""COMPUTED_VALUE"""),248.7)</f>
        <v>248.7</v>
      </c>
      <c r="BE154" s="71">
        <f>IFERROR(__xludf.DUMMYFUNCTION("""COMPUTED_VALUE"""),39.792)</f>
        <v>39.792</v>
      </c>
      <c r="BF154" s="71">
        <f>IFERROR(__xludf.DUMMYFUNCTION("""COMPUTED_VALUE"""),288.49199999999996)</f>
        <v>288.492</v>
      </c>
      <c r="BG154" s="71" t="str">
        <f>IFERROR(__xludf.DUMMYFUNCTION("""COMPUTED_VALUE"""),"#DIV/0!")</f>
        <v>#DIV/0!</v>
      </c>
      <c r="BH154" s="71">
        <f>IFERROR(__xludf.DUMMYFUNCTION("""COMPUTED_VALUE"""),236.265)</f>
        <v>236.265</v>
      </c>
      <c r="BI154" s="71">
        <f>IFERROR(__xludf.DUMMYFUNCTION("""COMPUTED_VALUE"""),37.8024)</f>
        <v>37.8024</v>
      </c>
      <c r="BJ154" s="71">
        <f>IFERROR(__xludf.DUMMYFUNCTION("""COMPUTED_VALUE"""),274.06739999999996)</f>
        <v>274.0674</v>
      </c>
      <c r="BK154" s="71">
        <f>IFERROR(__xludf.DUMMYFUNCTION("""COMPUTED_VALUE"""),223.82999999999998)</f>
        <v>223.83</v>
      </c>
      <c r="BL154" s="71">
        <f>IFERROR(__xludf.DUMMYFUNCTION("""COMPUTED_VALUE"""),35.812799999999996)</f>
        <v>35.8128</v>
      </c>
      <c r="BM154" s="71">
        <f>IFERROR(__xludf.DUMMYFUNCTION("""COMPUTED_VALUE"""),259.64279999999997)</f>
        <v>259.6428</v>
      </c>
      <c r="BN154" s="71">
        <f>IFERROR(__xludf.DUMMYFUNCTION("""COMPUTED_VALUE"""),211.39499999999998)</f>
        <v>211.395</v>
      </c>
      <c r="BO154" s="71">
        <f>IFERROR(__xludf.DUMMYFUNCTION("""COMPUTED_VALUE"""),33.8232)</f>
        <v>33.8232</v>
      </c>
      <c r="BP154" s="71">
        <f>IFERROR(__xludf.DUMMYFUNCTION("""COMPUTED_VALUE"""),245.21819999999997)</f>
        <v>245.2182</v>
      </c>
      <c r="BQ154" s="71">
        <f>IFERROR(__xludf.DUMMYFUNCTION("""COMPUTED_VALUE"""),206.421)</f>
        <v>206.421</v>
      </c>
      <c r="BR154" s="71">
        <f>IFERROR(__xludf.DUMMYFUNCTION("""COMPUTED_VALUE"""),33.02736)</f>
        <v>33.02736</v>
      </c>
      <c r="BS154" s="71">
        <f>IFERROR(__xludf.DUMMYFUNCTION("""COMPUTED_VALUE"""),239.44835999999998)</f>
        <v>239.44836</v>
      </c>
      <c r="BT154" s="71">
        <f>IFERROR(__xludf.DUMMYFUNCTION("""COMPUTED_VALUE"""),198.96)</f>
        <v>198.96</v>
      </c>
      <c r="BU154" s="71">
        <f>IFERROR(__xludf.DUMMYFUNCTION("""COMPUTED_VALUE"""),31.8336)</f>
        <v>31.8336</v>
      </c>
      <c r="BV154" s="71">
        <f>IFERROR(__xludf.DUMMYFUNCTION("""COMPUTED_VALUE"""),230.7936)</f>
        <v>230.7936</v>
      </c>
    </row>
    <row r="155">
      <c r="A155" s="53">
        <v>1.0</v>
      </c>
      <c r="B155" s="72"/>
      <c r="C155" s="73" t="s">
        <v>12</v>
      </c>
      <c r="D155" s="74" t="s">
        <v>409</v>
      </c>
      <c r="E155" s="54" t="s">
        <v>38</v>
      </c>
      <c r="F155" s="54" t="s">
        <v>42</v>
      </c>
      <c r="G155" s="54" t="s">
        <v>410</v>
      </c>
      <c r="H155" s="54" t="s">
        <v>410</v>
      </c>
      <c r="I155" s="54">
        <f t="shared" si="1"/>
        <v>19</v>
      </c>
      <c r="J155" s="56"/>
      <c r="K155" s="75"/>
      <c r="L155" s="76"/>
      <c r="M155" s="59"/>
      <c r="N155" s="60">
        <v>69.0</v>
      </c>
      <c r="O155" s="61">
        <v>74.0</v>
      </c>
      <c r="P155" s="62">
        <v>79.92</v>
      </c>
      <c r="Q155" s="63">
        <v>79.92</v>
      </c>
      <c r="R155" s="64">
        <v>90.0</v>
      </c>
      <c r="S155" s="111">
        <v>95.0</v>
      </c>
      <c r="T155" s="65">
        <f t="shared" si="2"/>
        <v>15.2</v>
      </c>
      <c r="U155" s="65">
        <f t="shared" si="3"/>
        <v>110.2</v>
      </c>
      <c r="V155" s="66">
        <f t="shared" si="4"/>
        <v>0.05555555556</v>
      </c>
      <c r="W155" s="67">
        <f t="shared" si="5"/>
        <v>90.25</v>
      </c>
      <c r="X155" s="67">
        <f t="shared" si="6"/>
        <v>14.44</v>
      </c>
      <c r="Y155" s="67">
        <f t="shared" si="7"/>
        <v>104.69</v>
      </c>
      <c r="Z155" s="67">
        <f t="shared" si="8"/>
        <v>85.5</v>
      </c>
      <c r="AA155" s="67">
        <f t="shared" si="9"/>
        <v>13.68</v>
      </c>
      <c r="AB155" s="67">
        <f t="shared" si="10"/>
        <v>99.18</v>
      </c>
      <c r="AC155" s="67">
        <f t="shared" si="11"/>
        <v>80.75</v>
      </c>
      <c r="AD155" s="67">
        <f t="shared" si="12"/>
        <v>12.92</v>
      </c>
      <c r="AE155" s="67">
        <f t="shared" si="13"/>
        <v>93.67</v>
      </c>
      <c r="AF155" s="67">
        <f t="shared" si="14"/>
        <v>78.85</v>
      </c>
      <c r="AG155" s="67">
        <f t="shared" si="15"/>
        <v>12.616</v>
      </c>
      <c r="AH155" s="67">
        <f t="shared" si="16"/>
        <v>91.466</v>
      </c>
      <c r="AI155" s="67">
        <f t="shared" si="17"/>
        <v>76</v>
      </c>
      <c r="AJ155" s="68">
        <f t="shared" si="20"/>
        <v>12.16</v>
      </c>
      <c r="AK155" s="68">
        <f t="shared" si="21"/>
        <v>88.16</v>
      </c>
      <c r="AL155" s="70">
        <f>IFERROR(__xludf.DUMMYFUNCTION("""COMPUTED_VALUE"""),1.0)</f>
        <v>1</v>
      </c>
      <c r="AM155" s="70"/>
      <c r="AN155" s="71" t="str">
        <f>IFERROR(__xludf.DUMMYFUNCTION("""COMPUTED_VALUE""")," CP")</f>
        <v>CP</v>
      </c>
      <c r="AO155" s="71" t="str">
        <f>IFERROR(__xludf.DUMMYFUNCTION("""COMPUTED_VALUE""")," BM01")</f>
        <v>BM01</v>
      </c>
      <c r="AP155" s="71" t="str">
        <f>IFERROR(__xludf.DUMMYFUNCTION("""COMPUTED_VALUE""")," PZA")</f>
        <v>PZA</v>
      </c>
      <c r="AQ155" s="71" t="str">
        <f>IFERROR(__xludf.DUMMYFUNCTION("""COMPUTED_VALUE""")," REF")</f>
        <v>REF</v>
      </c>
      <c r="AR155" s="71" t="str">
        <f>IFERROR(__xludf.DUMMYFUNCTION("""COMPUTED_VALUE""")," BANDA METÁLICA DÚPLEX (B.C.) 102 TABLETA (SUPERIOR)")</f>
        <v>BANDA METÁLICA DÚPLEX (B.C.) 102 TABLETA (SUPERIOR)</v>
      </c>
      <c r="AS155" s="71" t="str">
        <f>IFERROR(__xludf.DUMMYFUNCTION("""COMPUTED_VALUE""")," BANDA METALICA DUPLEX BC 102 TABL SUP")</f>
        <v>BANDA METALICA DUPLEX BC 102 TABL SUP</v>
      </c>
      <c r="AT155" s="71">
        <f>IFERROR(__xludf.DUMMYFUNCTION("""COMPUTED_VALUE"""),37.0)</f>
        <v>37</v>
      </c>
      <c r="AU155" s="71"/>
      <c r="AV155" s="71"/>
      <c r="AW155" s="71"/>
      <c r="AX155" s="71"/>
      <c r="AY155" s="71">
        <f>IFERROR(__xludf.DUMMYFUNCTION("""COMPUTED_VALUE"""),3873.0)</f>
        <v>3873</v>
      </c>
      <c r="AZ155" s="71">
        <f>IFERROR(__xludf.DUMMYFUNCTION("""COMPUTED_VALUE"""),3495.0)</f>
        <v>3495</v>
      </c>
      <c r="BA155" s="71">
        <f>IFERROR(__xludf.DUMMYFUNCTION("""COMPUTED_VALUE"""),3774.6000000000004)</f>
        <v>3774.6</v>
      </c>
      <c r="BB155" s="71">
        <f>IFERROR(__xludf.DUMMYFUNCTION("""COMPUTED_VALUE"""),3774.6000000000004)</f>
        <v>3774.6</v>
      </c>
      <c r="BC155" s="71">
        <f>IFERROR(__xludf.DUMMYFUNCTION("""COMPUTED_VALUE"""),4203.0)</f>
        <v>4203</v>
      </c>
      <c r="BD155" s="71">
        <f>IFERROR(__xludf.DUMMYFUNCTION("""COMPUTED_VALUE"""),4413.0)</f>
        <v>4413</v>
      </c>
      <c r="BE155" s="71">
        <f>IFERROR(__xludf.DUMMYFUNCTION("""COMPUTED_VALUE"""),706.08)</f>
        <v>706.08</v>
      </c>
      <c r="BF155" s="71">
        <f>IFERROR(__xludf.DUMMYFUNCTION("""COMPUTED_VALUE"""),5119.08)</f>
        <v>5119.08</v>
      </c>
      <c r="BG155" s="71">
        <f>IFERROR(__xludf.DUMMYFUNCTION("""COMPUTED_VALUE"""),0.049964311206281226)</f>
        <v>0.04996431121</v>
      </c>
      <c r="BH155" s="71">
        <f>IFERROR(__xludf.DUMMYFUNCTION("""COMPUTED_VALUE"""),4192.349999999999)</f>
        <v>4192.35</v>
      </c>
      <c r="BI155" s="71">
        <f>IFERROR(__xludf.DUMMYFUNCTION("""COMPUTED_VALUE"""),670.776)</f>
        <v>670.776</v>
      </c>
      <c r="BJ155" s="71">
        <f>IFERROR(__xludf.DUMMYFUNCTION("""COMPUTED_VALUE"""),4863.125999999999)</f>
        <v>4863.126</v>
      </c>
      <c r="BK155" s="71">
        <f>IFERROR(__xludf.DUMMYFUNCTION("""COMPUTED_VALUE"""),3971.7000000000003)</f>
        <v>3971.7</v>
      </c>
      <c r="BL155" s="71">
        <f>IFERROR(__xludf.DUMMYFUNCTION("""COMPUTED_VALUE"""),635.4720000000001)</f>
        <v>635.472</v>
      </c>
      <c r="BM155" s="71">
        <f>IFERROR(__xludf.DUMMYFUNCTION("""COMPUTED_VALUE"""),4607.1720000000005)</f>
        <v>4607.172</v>
      </c>
      <c r="BN155" s="71">
        <f>IFERROR(__xludf.DUMMYFUNCTION("""COMPUTED_VALUE"""),3751.0499999999997)</f>
        <v>3751.05</v>
      </c>
      <c r="BO155" s="71">
        <f>IFERROR(__xludf.DUMMYFUNCTION("""COMPUTED_VALUE"""),600.168)</f>
        <v>600.168</v>
      </c>
      <c r="BP155" s="71">
        <f>IFERROR(__xludf.DUMMYFUNCTION("""COMPUTED_VALUE"""),4351.218)</f>
        <v>4351.218</v>
      </c>
      <c r="BQ155" s="71">
        <f>IFERROR(__xludf.DUMMYFUNCTION("""COMPUTED_VALUE"""),3662.79)</f>
        <v>3662.79</v>
      </c>
      <c r="BR155" s="71">
        <f>IFERROR(__xludf.DUMMYFUNCTION("""COMPUTED_VALUE"""),586.0464000000001)</f>
        <v>586.0464</v>
      </c>
      <c r="BS155" s="71">
        <f>IFERROR(__xludf.DUMMYFUNCTION("""COMPUTED_VALUE"""),4248.8364)</f>
        <v>4248.8364</v>
      </c>
      <c r="BT155" s="71">
        <f>IFERROR(__xludf.DUMMYFUNCTION("""COMPUTED_VALUE"""),3530.4)</f>
        <v>3530.4</v>
      </c>
      <c r="BU155" s="71">
        <f>IFERROR(__xludf.DUMMYFUNCTION("""COMPUTED_VALUE"""),564.864)</f>
        <v>564.864</v>
      </c>
      <c r="BV155" s="71">
        <f>IFERROR(__xludf.DUMMYFUNCTION("""COMPUTED_VALUE"""),4095.264)</f>
        <v>4095.264</v>
      </c>
    </row>
    <row r="156">
      <c r="A156" s="53">
        <v>1.0</v>
      </c>
      <c r="B156" s="53"/>
      <c r="C156" s="73" t="s">
        <v>12</v>
      </c>
      <c r="D156" s="53" t="s">
        <v>411</v>
      </c>
      <c r="E156" s="54" t="s">
        <v>38</v>
      </c>
      <c r="F156" s="54" t="s">
        <v>42</v>
      </c>
      <c r="G156" s="55" t="s">
        <v>412</v>
      </c>
      <c r="H156" s="55" t="s">
        <v>412</v>
      </c>
      <c r="I156" s="54">
        <f t="shared" si="1"/>
        <v>18</v>
      </c>
      <c r="J156" s="56"/>
      <c r="K156" s="57"/>
      <c r="L156" s="76"/>
      <c r="M156" s="59"/>
      <c r="N156" s="60"/>
      <c r="O156" s="90"/>
      <c r="P156" s="62">
        <v>110.0</v>
      </c>
      <c r="Q156" s="63">
        <v>110.0</v>
      </c>
      <c r="R156" s="64">
        <v>116.0</v>
      </c>
      <c r="S156" s="111">
        <v>122.0</v>
      </c>
      <c r="T156" s="65">
        <f t="shared" si="2"/>
        <v>19.52</v>
      </c>
      <c r="U156" s="65">
        <f t="shared" si="3"/>
        <v>141.52</v>
      </c>
      <c r="V156" s="66">
        <f t="shared" si="4"/>
        <v>0.05172413793</v>
      </c>
      <c r="W156" s="67">
        <f t="shared" si="5"/>
        <v>115.9</v>
      </c>
      <c r="X156" s="67">
        <f t="shared" si="6"/>
        <v>18.544</v>
      </c>
      <c r="Y156" s="67">
        <f t="shared" si="7"/>
        <v>134.444</v>
      </c>
      <c r="Z156" s="67">
        <f t="shared" si="8"/>
        <v>109.8</v>
      </c>
      <c r="AA156" s="67">
        <f t="shared" si="9"/>
        <v>17.568</v>
      </c>
      <c r="AB156" s="67">
        <f t="shared" si="10"/>
        <v>127.368</v>
      </c>
      <c r="AC156" s="67">
        <f t="shared" si="11"/>
        <v>103.7</v>
      </c>
      <c r="AD156" s="67">
        <f t="shared" si="12"/>
        <v>16.592</v>
      </c>
      <c r="AE156" s="67">
        <f t="shared" si="13"/>
        <v>120.292</v>
      </c>
      <c r="AF156" s="67">
        <f t="shared" si="14"/>
        <v>101.26</v>
      </c>
      <c r="AG156" s="67">
        <f t="shared" si="15"/>
        <v>16.2016</v>
      </c>
      <c r="AH156" s="67">
        <f t="shared" si="16"/>
        <v>117.4616</v>
      </c>
      <c r="AI156" s="67">
        <f t="shared" si="17"/>
        <v>97.6</v>
      </c>
      <c r="AJ156" s="68">
        <f t="shared" si="20"/>
        <v>15.616</v>
      </c>
      <c r="AK156" s="68">
        <f t="shared" si="21"/>
        <v>113.216</v>
      </c>
      <c r="AL156" s="70">
        <f>IFERROR(__xludf.DUMMYFUNCTION("""COMPUTED_VALUE"""),1.0)</f>
        <v>1</v>
      </c>
      <c r="AM156" s="70"/>
      <c r="AN156" s="71" t="str">
        <f>IFERROR(__xludf.DUMMYFUNCTION("""COMPUTED_VALUE""")," CP")</f>
        <v>CP</v>
      </c>
      <c r="AO156" s="71" t="str">
        <f>IFERROR(__xludf.DUMMYFUNCTION("""COMPUTED_VALUE""")," BM02")</f>
        <v>BM02</v>
      </c>
      <c r="AP156" s="71" t="str">
        <f>IFERROR(__xludf.DUMMYFUNCTION("""COMPUTED_VALUE""")," PZA")</f>
        <v>PZA</v>
      </c>
      <c r="AQ156" s="71" t="str">
        <f>IFERROR(__xludf.DUMMYFUNCTION("""COMPUTED_VALUE""")," REF")</f>
        <v>REF</v>
      </c>
      <c r="AR156" s="71" t="str">
        <f>IFERROR(__xludf.DUMMYFUNCTION("""COMPUTED_VALUE""")," BANDA METÁLICA DÚPLEX (B.C.) 103 TABLETA (CENTRAL)")</f>
        <v>BANDA METÁLICA DÚPLEX (B.C.) 103 TABLETA (CENTRAL)</v>
      </c>
      <c r="AS156" s="71" t="str">
        <f>IFERROR(__xludf.DUMMYFUNCTION("""COMPUTED_VALUE""")," BANDA METALICA DUPLEX BC 103 TABL CENTR")</f>
        <v>BANDA METALICA DUPLEX BC 103 TABL CENTR</v>
      </c>
      <c r="AT156" s="71">
        <f>IFERROR(__xludf.DUMMYFUNCTION("""COMPUTED_VALUE"""),39.0)</f>
        <v>39</v>
      </c>
      <c r="AU156" s="71"/>
      <c r="AV156" s="71"/>
      <c r="AW156" s="71"/>
      <c r="AX156" s="71"/>
      <c r="AY156" s="71">
        <f>IFERROR(__xludf.DUMMYFUNCTION("""COMPUTED_VALUE"""),3908.0)</f>
        <v>3908</v>
      </c>
      <c r="AZ156" s="71">
        <f>IFERROR(__xludf.DUMMYFUNCTION("""COMPUTED_VALUE"""),3527.0)</f>
        <v>3527</v>
      </c>
      <c r="BA156" s="71">
        <f>IFERROR(__xludf.DUMMYFUNCTION("""COMPUTED_VALUE"""),3809.1600000000003)</f>
        <v>3809.16</v>
      </c>
      <c r="BB156" s="71">
        <f>IFERROR(__xludf.DUMMYFUNCTION("""COMPUTED_VALUE"""),3809.1600000000003)</f>
        <v>3809.16</v>
      </c>
      <c r="BC156" s="71">
        <f>IFERROR(__xludf.DUMMYFUNCTION("""COMPUTED_VALUE"""),4240.0)</f>
        <v>4240</v>
      </c>
      <c r="BD156" s="71">
        <f>IFERROR(__xludf.DUMMYFUNCTION("""COMPUTED_VALUE"""),4452.0)</f>
        <v>4452</v>
      </c>
      <c r="BE156" s="71">
        <f>IFERROR(__xludf.DUMMYFUNCTION("""COMPUTED_VALUE"""),712.32)</f>
        <v>712.32</v>
      </c>
      <c r="BF156" s="71">
        <f>IFERROR(__xludf.DUMMYFUNCTION("""COMPUTED_VALUE"""),5164.32)</f>
        <v>5164.32</v>
      </c>
      <c r="BG156" s="71">
        <f>IFERROR(__xludf.DUMMYFUNCTION("""COMPUTED_VALUE"""),0.05)</f>
        <v>0.05</v>
      </c>
      <c r="BH156" s="71">
        <f>IFERROR(__xludf.DUMMYFUNCTION("""COMPUTED_VALUE"""),4229.4)</f>
        <v>4229.4</v>
      </c>
      <c r="BI156" s="71">
        <f>IFERROR(__xludf.DUMMYFUNCTION("""COMPUTED_VALUE"""),676.704)</f>
        <v>676.704</v>
      </c>
      <c r="BJ156" s="71">
        <f>IFERROR(__xludf.DUMMYFUNCTION("""COMPUTED_VALUE"""),4906.103999999999)</f>
        <v>4906.104</v>
      </c>
      <c r="BK156" s="71">
        <f>IFERROR(__xludf.DUMMYFUNCTION("""COMPUTED_VALUE"""),4006.8)</f>
        <v>4006.8</v>
      </c>
      <c r="BL156" s="71">
        <f>IFERROR(__xludf.DUMMYFUNCTION("""COMPUTED_VALUE"""),641.0880000000001)</f>
        <v>641.088</v>
      </c>
      <c r="BM156" s="71">
        <f>IFERROR(__xludf.DUMMYFUNCTION("""COMPUTED_VALUE"""),4647.888)</f>
        <v>4647.888</v>
      </c>
      <c r="BN156" s="71">
        <f>IFERROR(__xludf.DUMMYFUNCTION("""COMPUTED_VALUE"""),3784.2)</f>
        <v>3784.2</v>
      </c>
      <c r="BO156" s="71">
        <f>IFERROR(__xludf.DUMMYFUNCTION("""COMPUTED_VALUE"""),605.472)</f>
        <v>605.472</v>
      </c>
      <c r="BP156" s="71">
        <f>IFERROR(__xludf.DUMMYFUNCTION("""COMPUTED_VALUE"""),4389.672)</f>
        <v>4389.672</v>
      </c>
      <c r="BQ156" s="71">
        <f>IFERROR(__xludf.DUMMYFUNCTION("""COMPUTED_VALUE"""),3695.16)</f>
        <v>3695.16</v>
      </c>
      <c r="BR156" s="71">
        <f>IFERROR(__xludf.DUMMYFUNCTION("""COMPUTED_VALUE"""),591.2256)</f>
        <v>591.2256</v>
      </c>
      <c r="BS156" s="71">
        <f>IFERROR(__xludf.DUMMYFUNCTION("""COMPUTED_VALUE"""),4286.3856)</f>
        <v>4286.3856</v>
      </c>
      <c r="BT156" s="71">
        <f>IFERROR(__xludf.DUMMYFUNCTION("""COMPUTED_VALUE"""),3561.6000000000004)</f>
        <v>3561.6</v>
      </c>
      <c r="BU156" s="71">
        <f>IFERROR(__xludf.DUMMYFUNCTION("""COMPUTED_VALUE"""),569.8560000000001)</f>
        <v>569.856</v>
      </c>
      <c r="BV156" s="71">
        <f>IFERROR(__xludf.DUMMYFUNCTION("""COMPUTED_VALUE"""),4131.456)</f>
        <v>4131.456</v>
      </c>
    </row>
    <row r="157">
      <c r="A157" s="53">
        <v>1.0</v>
      </c>
      <c r="B157" s="72"/>
      <c r="C157" s="73" t="s">
        <v>12</v>
      </c>
      <c r="D157" s="74" t="s">
        <v>413</v>
      </c>
      <c r="E157" s="54" t="s">
        <v>38</v>
      </c>
      <c r="F157" s="54" t="s">
        <v>42</v>
      </c>
      <c r="G157" s="54" t="s">
        <v>414</v>
      </c>
      <c r="H157" s="54" t="s">
        <v>414</v>
      </c>
      <c r="I157" s="54">
        <f t="shared" si="1"/>
        <v>19</v>
      </c>
      <c r="J157" s="56"/>
      <c r="K157" s="57"/>
      <c r="L157" s="76"/>
      <c r="M157" s="59"/>
      <c r="N157" s="60">
        <v>105.0</v>
      </c>
      <c r="O157" s="61">
        <v>113.0</v>
      </c>
      <c r="P157" s="62">
        <v>122.04</v>
      </c>
      <c r="Q157" s="63">
        <v>122.04</v>
      </c>
      <c r="R157" s="64">
        <v>137.0</v>
      </c>
      <c r="S157" s="111">
        <v>144.0</v>
      </c>
      <c r="T157" s="65">
        <f t="shared" si="2"/>
        <v>23.04</v>
      </c>
      <c r="U157" s="65">
        <f t="shared" si="3"/>
        <v>167.04</v>
      </c>
      <c r="V157" s="66">
        <f t="shared" si="4"/>
        <v>0.05109489051</v>
      </c>
      <c r="W157" s="67">
        <f t="shared" si="5"/>
        <v>136.8</v>
      </c>
      <c r="X157" s="67">
        <f t="shared" si="6"/>
        <v>21.888</v>
      </c>
      <c r="Y157" s="67">
        <f t="shared" si="7"/>
        <v>158.688</v>
      </c>
      <c r="Z157" s="67">
        <f t="shared" si="8"/>
        <v>129.6</v>
      </c>
      <c r="AA157" s="67">
        <f t="shared" si="9"/>
        <v>20.736</v>
      </c>
      <c r="AB157" s="67">
        <f t="shared" si="10"/>
        <v>150.336</v>
      </c>
      <c r="AC157" s="67">
        <f t="shared" si="11"/>
        <v>122.4</v>
      </c>
      <c r="AD157" s="67">
        <f t="shared" si="12"/>
        <v>19.584</v>
      </c>
      <c r="AE157" s="67">
        <f t="shared" si="13"/>
        <v>141.984</v>
      </c>
      <c r="AF157" s="67">
        <f t="shared" si="14"/>
        <v>119.52</v>
      </c>
      <c r="AG157" s="67">
        <f t="shared" si="15"/>
        <v>19.1232</v>
      </c>
      <c r="AH157" s="67">
        <f t="shared" si="16"/>
        <v>138.6432</v>
      </c>
      <c r="AI157" s="67">
        <f t="shared" si="17"/>
        <v>115.2</v>
      </c>
      <c r="AJ157" s="68">
        <f t="shared" si="20"/>
        <v>18.432</v>
      </c>
      <c r="AK157" s="68">
        <f t="shared" si="21"/>
        <v>133.632</v>
      </c>
      <c r="AL157" s="70">
        <f>IFERROR(__xludf.DUMMYFUNCTION("""COMPUTED_VALUE"""),1.0)</f>
        <v>1</v>
      </c>
      <c r="AM157" s="70"/>
      <c r="AN157" s="71" t="str">
        <f>IFERROR(__xludf.DUMMYFUNCTION("""COMPUTED_VALUE""")," CP")</f>
        <v>CP</v>
      </c>
      <c r="AO157" s="71" t="str">
        <f>IFERROR(__xludf.DUMMYFUNCTION("""COMPUTED_VALUE""")," BM04")</f>
        <v>BM04</v>
      </c>
      <c r="AP157" s="71" t="str">
        <f>IFERROR(__xludf.DUMMYFUNCTION("""COMPUTED_VALUE""")," PZA")</f>
        <v>PZA</v>
      </c>
      <c r="AQ157" s="71" t="str">
        <f>IFERROR(__xludf.DUMMYFUNCTION("""COMPUTED_VALUE""")," REF")</f>
        <v>REF</v>
      </c>
      <c r="AR157" s="71" t="str">
        <f>IFERROR(__xludf.DUMMYFUNCTION("""COMPUTED_VALUE""")," BANDA METÁLICA DÚPLEX (B.C.) 110 TABLETA")</f>
        <v>BANDA METÁLICA DÚPLEX (B.C.) 110 TABLETA</v>
      </c>
      <c r="AS157" s="71" t="str">
        <f>IFERROR(__xludf.DUMMYFUNCTION("""COMPUTED_VALUE""")," BANDA METALICA DUPLEX BC 110 TABLETA")</f>
        <v>BANDA METALICA DUPLEX BC 110 TABLETA</v>
      </c>
      <c r="AT157" s="71">
        <f>IFERROR(__xludf.DUMMYFUNCTION("""COMPUTED_VALUE"""),36.0)</f>
        <v>36</v>
      </c>
      <c r="AU157" s="71"/>
      <c r="AV157" s="71"/>
      <c r="AW157" s="71"/>
      <c r="AX157" s="71"/>
      <c r="AY157" s="71">
        <f>IFERROR(__xludf.DUMMYFUNCTION("""COMPUTED_VALUE"""),4386.0)</f>
        <v>4386</v>
      </c>
      <c r="AZ157" s="71">
        <f>IFERROR(__xludf.DUMMYFUNCTION("""COMPUTED_VALUE"""),3959.0)</f>
        <v>3959</v>
      </c>
      <c r="BA157" s="71">
        <f>IFERROR(__xludf.DUMMYFUNCTION("""COMPUTED_VALUE"""),4275.72)</f>
        <v>4275.72</v>
      </c>
      <c r="BB157" s="71">
        <f>IFERROR(__xludf.DUMMYFUNCTION("""COMPUTED_VALUE"""),4275.72)</f>
        <v>4275.72</v>
      </c>
      <c r="BC157" s="71">
        <f>IFERROR(__xludf.DUMMYFUNCTION("""COMPUTED_VALUE"""),4760.0)</f>
        <v>4760</v>
      </c>
      <c r="BD157" s="71">
        <f>IFERROR(__xludf.DUMMYFUNCTION("""COMPUTED_VALUE"""),4998.0)</f>
        <v>4998</v>
      </c>
      <c r="BE157" s="71">
        <f>IFERROR(__xludf.DUMMYFUNCTION("""COMPUTED_VALUE"""),799.6800000000001)</f>
        <v>799.68</v>
      </c>
      <c r="BF157" s="71">
        <f>IFERROR(__xludf.DUMMYFUNCTION("""COMPUTED_VALUE"""),5797.68)</f>
        <v>5797.68</v>
      </c>
      <c r="BG157" s="71">
        <f>IFERROR(__xludf.DUMMYFUNCTION("""COMPUTED_VALUE"""),0.05)</f>
        <v>0.05</v>
      </c>
      <c r="BH157" s="71">
        <f>IFERROR(__xludf.DUMMYFUNCTION("""COMPUTED_VALUE"""),4748.099999999999)</f>
        <v>4748.1</v>
      </c>
      <c r="BI157" s="71">
        <f>IFERROR(__xludf.DUMMYFUNCTION("""COMPUTED_VALUE"""),759.6959999999999)</f>
        <v>759.696</v>
      </c>
      <c r="BJ157" s="71">
        <f>IFERROR(__xludf.DUMMYFUNCTION("""COMPUTED_VALUE"""),5507.795999999999)</f>
        <v>5507.796</v>
      </c>
      <c r="BK157" s="71">
        <f>IFERROR(__xludf.DUMMYFUNCTION("""COMPUTED_VALUE"""),4498.2)</f>
        <v>4498.2</v>
      </c>
      <c r="BL157" s="71">
        <f>IFERROR(__xludf.DUMMYFUNCTION("""COMPUTED_VALUE"""),719.712)</f>
        <v>719.712</v>
      </c>
      <c r="BM157" s="71">
        <f>IFERROR(__xludf.DUMMYFUNCTION("""COMPUTED_VALUE"""),5217.912)</f>
        <v>5217.912</v>
      </c>
      <c r="BN157" s="71">
        <f>IFERROR(__xludf.DUMMYFUNCTION("""COMPUTED_VALUE"""),4248.3)</f>
        <v>4248.3</v>
      </c>
      <c r="BO157" s="71">
        <f>IFERROR(__xludf.DUMMYFUNCTION("""COMPUTED_VALUE"""),679.7280000000001)</f>
        <v>679.728</v>
      </c>
      <c r="BP157" s="71">
        <f>IFERROR(__xludf.DUMMYFUNCTION("""COMPUTED_VALUE"""),4928.028)</f>
        <v>4928.028</v>
      </c>
      <c r="BQ157" s="71">
        <f>IFERROR(__xludf.DUMMYFUNCTION("""COMPUTED_VALUE"""),4148.34)</f>
        <v>4148.34</v>
      </c>
      <c r="BR157" s="71">
        <f>IFERROR(__xludf.DUMMYFUNCTION("""COMPUTED_VALUE"""),663.7344)</f>
        <v>663.7344</v>
      </c>
      <c r="BS157" s="71">
        <f>IFERROR(__xludf.DUMMYFUNCTION("""COMPUTED_VALUE"""),4812.0744)</f>
        <v>4812.0744</v>
      </c>
      <c r="BT157" s="71">
        <f>IFERROR(__xludf.DUMMYFUNCTION("""COMPUTED_VALUE"""),3998.4)</f>
        <v>3998.4</v>
      </c>
      <c r="BU157" s="71">
        <f>IFERROR(__xludf.DUMMYFUNCTION("""COMPUTED_VALUE"""),639.744)</f>
        <v>639.744</v>
      </c>
      <c r="BV157" s="71">
        <f>IFERROR(__xludf.DUMMYFUNCTION("""COMPUTED_VALUE"""),4638.144)</f>
        <v>4638.144</v>
      </c>
    </row>
    <row r="158">
      <c r="A158" s="53">
        <v>1.0</v>
      </c>
      <c r="B158" s="53"/>
      <c r="C158" s="53" t="s">
        <v>12</v>
      </c>
      <c r="D158" s="53" t="s">
        <v>415</v>
      </c>
      <c r="E158" s="54" t="s">
        <v>38</v>
      </c>
      <c r="F158" s="54" t="s">
        <v>42</v>
      </c>
      <c r="G158" s="55" t="s">
        <v>416</v>
      </c>
      <c r="H158" s="55" t="s">
        <v>416</v>
      </c>
      <c r="I158" s="54">
        <f t="shared" si="1"/>
        <v>22</v>
      </c>
      <c r="J158" s="56"/>
      <c r="K158" s="57"/>
      <c r="L158" s="76"/>
      <c r="M158" s="59"/>
      <c r="N158" s="79">
        <v>161.0</v>
      </c>
      <c r="O158" s="61">
        <v>173.0</v>
      </c>
      <c r="P158" s="63">
        <v>186.84</v>
      </c>
      <c r="Q158" s="63">
        <v>186.84</v>
      </c>
      <c r="R158" s="64">
        <v>197.0</v>
      </c>
      <c r="S158" s="111">
        <v>207.0</v>
      </c>
      <c r="T158" s="65">
        <f t="shared" si="2"/>
        <v>33.12</v>
      </c>
      <c r="U158" s="65">
        <f t="shared" si="3"/>
        <v>240.12</v>
      </c>
      <c r="V158" s="66">
        <f t="shared" si="4"/>
        <v>0.05076142132</v>
      </c>
      <c r="W158" s="67">
        <f t="shared" si="5"/>
        <v>196.65</v>
      </c>
      <c r="X158" s="67">
        <f t="shared" si="6"/>
        <v>31.464</v>
      </c>
      <c r="Y158" s="67">
        <f t="shared" si="7"/>
        <v>228.114</v>
      </c>
      <c r="Z158" s="67">
        <f t="shared" si="8"/>
        <v>186.3</v>
      </c>
      <c r="AA158" s="67">
        <f t="shared" si="9"/>
        <v>29.808</v>
      </c>
      <c r="AB158" s="67">
        <f t="shared" si="10"/>
        <v>216.108</v>
      </c>
      <c r="AC158" s="67">
        <f t="shared" si="11"/>
        <v>175.95</v>
      </c>
      <c r="AD158" s="67">
        <f t="shared" si="12"/>
        <v>28.152</v>
      </c>
      <c r="AE158" s="67">
        <f t="shared" si="13"/>
        <v>204.102</v>
      </c>
      <c r="AF158" s="67">
        <f t="shared" si="14"/>
        <v>171.81</v>
      </c>
      <c r="AG158" s="67">
        <f t="shared" si="15"/>
        <v>27.4896</v>
      </c>
      <c r="AH158" s="67">
        <f t="shared" si="16"/>
        <v>199.2996</v>
      </c>
      <c r="AI158" s="67">
        <f t="shared" si="17"/>
        <v>165.6</v>
      </c>
      <c r="AJ158" s="68">
        <f t="shared" si="20"/>
        <v>26.496</v>
      </c>
      <c r="AK158" s="68">
        <f t="shared" si="21"/>
        <v>192.096</v>
      </c>
      <c r="AL158" s="70">
        <f>IFERROR(__xludf.DUMMYFUNCTION("""COMPUTED_VALUE"""),1.0)</f>
        <v>1</v>
      </c>
      <c r="AM158" s="70"/>
      <c r="AN158" s="71" t="str">
        <f>IFERROR(__xludf.DUMMYFUNCTION("""COMPUTED_VALUE""")," CP")</f>
        <v>CP</v>
      </c>
      <c r="AO158" s="71" t="str">
        <f>IFERROR(__xludf.DUMMYFUNCTION("""COMPUTED_VALUE""")," BM03")</f>
        <v>BM03</v>
      </c>
      <c r="AP158" s="71" t="str">
        <f>IFERROR(__xludf.DUMMYFUNCTION("""COMPUTED_VALUE""")," PZA")</f>
        <v>PZA</v>
      </c>
      <c r="AQ158" s="71" t="str">
        <f>IFERROR(__xludf.DUMMYFUNCTION("""COMPUTED_VALUE""")," REF")</f>
        <v>REF</v>
      </c>
      <c r="AR158" s="71" t="str">
        <f>IFERROR(__xludf.DUMMYFUNCTION("""COMPUTED_VALUE""")," BANDA METÁLICA DÚPLEX (B.C.) 92 TABLETA (INFERIOR)")</f>
        <v>BANDA METÁLICA DÚPLEX (B.C.) 92 TABLETA (INFERIOR)</v>
      </c>
      <c r="AS158" s="71" t="str">
        <f>IFERROR(__xludf.DUMMYFUNCTION("""COMPUTED_VALUE""")," BANDA METALICA DUPLEX BC 92 TABL INF")</f>
        <v>BANDA METALICA DUPLEX BC 92 TABL INF</v>
      </c>
      <c r="AT158" s="71">
        <f>IFERROR(__xludf.DUMMYFUNCTION("""COMPUTED_VALUE"""),36.0)</f>
        <v>36</v>
      </c>
      <c r="AU158" s="71"/>
      <c r="AV158" s="71"/>
      <c r="AW158" s="71"/>
      <c r="AX158" s="71"/>
      <c r="AY158" s="71">
        <f>IFERROR(__xludf.DUMMYFUNCTION("""COMPUTED_VALUE"""),3495.0)</f>
        <v>3495</v>
      </c>
      <c r="AZ158" s="71">
        <f>IFERROR(__xludf.DUMMYFUNCTION("""COMPUTED_VALUE"""),3154.0)</f>
        <v>3154</v>
      </c>
      <c r="BA158" s="71">
        <f>IFERROR(__xludf.DUMMYFUNCTION("""COMPUTED_VALUE"""),3406.32)</f>
        <v>3406.32</v>
      </c>
      <c r="BB158" s="71">
        <f>IFERROR(__xludf.DUMMYFUNCTION("""COMPUTED_VALUE"""),3406.32)</f>
        <v>3406.32</v>
      </c>
      <c r="BC158" s="71">
        <f>IFERROR(__xludf.DUMMYFUNCTION("""COMPUTED_VALUE"""),3792.0)</f>
        <v>3792</v>
      </c>
      <c r="BD158" s="71">
        <f>IFERROR(__xludf.DUMMYFUNCTION("""COMPUTED_VALUE"""),3982.0)</f>
        <v>3982</v>
      </c>
      <c r="BE158" s="71">
        <f>IFERROR(__xludf.DUMMYFUNCTION("""COMPUTED_VALUE"""),637.12)</f>
        <v>637.12</v>
      </c>
      <c r="BF158" s="71">
        <f>IFERROR(__xludf.DUMMYFUNCTION("""COMPUTED_VALUE"""),4619.12)</f>
        <v>4619.12</v>
      </c>
      <c r="BG158" s="71">
        <f>IFERROR(__xludf.DUMMYFUNCTION("""COMPUTED_VALUE"""),0.05010548523206751)</f>
        <v>0.05010548523</v>
      </c>
      <c r="BH158" s="71">
        <f>IFERROR(__xludf.DUMMYFUNCTION("""COMPUTED_VALUE"""),3782.8999999999996)</f>
        <v>3782.9</v>
      </c>
      <c r="BI158" s="71">
        <f>IFERROR(__xludf.DUMMYFUNCTION("""COMPUTED_VALUE"""),605.264)</f>
        <v>605.264</v>
      </c>
      <c r="BJ158" s="71">
        <f>IFERROR(__xludf.DUMMYFUNCTION("""COMPUTED_VALUE"""),4388.164)</f>
        <v>4388.164</v>
      </c>
      <c r="BK158" s="71">
        <f>IFERROR(__xludf.DUMMYFUNCTION("""COMPUTED_VALUE"""),3583.8)</f>
        <v>3583.8</v>
      </c>
      <c r="BL158" s="71">
        <f>IFERROR(__xludf.DUMMYFUNCTION("""COMPUTED_VALUE"""),573.408)</f>
        <v>573.408</v>
      </c>
      <c r="BM158" s="71">
        <f>IFERROR(__xludf.DUMMYFUNCTION("""COMPUTED_VALUE"""),4157.2080000000005)</f>
        <v>4157.208</v>
      </c>
      <c r="BN158" s="71">
        <f>IFERROR(__xludf.DUMMYFUNCTION("""COMPUTED_VALUE"""),3384.7)</f>
        <v>3384.7</v>
      </c>
      <c r="BO158" s="71">
        <f>IFERROR(__xludf.DUMMYFUNCTION("""COMPUTED_VALUE"""),541.552)</f>
        <v>541.552</v>
      </c>
      <c r="BP158" s="71">
        <f>IFERROR(__xludf.DUMMYFUNCTION("""COMPUTED_VALUE"""),3926.252)</f>
        <v>3926.252</v>
      </c>
      <c r="BQ158" s="71">
        <f>IFERROR(__xludf.DUMMYFUNCTION("""COMPUTED_VALUE"""),3305.06)</f>
        <v>3305.06</v>
      </c>
      <c r="BR158" s="71">
        <f>IFERROR(__xludf.DUMMYFUNCTION("""COMPUTED_VALUE"""),528.8096)</f>
        <v>528.8096</v>
      </c>
      <c r="BS158" s="71">
        <f>IFERROR(__xludf.DUMMYFUNCTION("""COMPUTED_VALUE"""),3833.8696)</f>
        <v>3833.8696</v>
      </c>
      <c r="BT158" s="71">
        <f>IFERROR(__xludf.DUMMYFUNCTION("""COMPUTED_VALUE"""),3185.6000000000004)</f>
        <v>3185.6</v>
      </c>
      <c r="BU158" s="71">
        <f>IFERROR(__xludf.DUMMYFUNCTION("""COMPUTED_VALUE"""),509.6960000000001)</f>
        <v>509.696</v>
      </c>
      <c r="BV158" s="71">
        <f>IFERROR(__xludf.DUMMYFUNCTION("""COMPUTED_VALUE"""),3695.2960000000003)</f>
        <v>3695.296</v>
      </c>
    </row>
    <row r="159">
      <c r="A159" s="53">
        <v>1.0</v>
      </c>
      <c r="B159" s="72"/>
      <c r="C159" s="73" t="s">
        <v>12</v>
      </c>
      <c r="D159" s="74" t="s">
        <v>417</v>
      </c>
      <c r="E159" s="54" t="s">
        <v>38</v>
      </c>
      <c r="F159" s="54" t="s">
        <v>42</v>
      </c>
      <c r="G159" s="54" t="s">
        <v>418</v>
      </c>
      <c r="H159" s="54" t="s">
        <v>418</v>
      </c>
      <c r="I159" s="54">
        <f t="shared" si="1"/>
        <v>19</v>
      </c>
      <c r="J159" s="56"/>
      <c r="K159" s="75"/>
      <c r="L159" s="76"/>
      <c r="M159" s="59"/>
      <c r="N159" s="60">
        <v>200.0</v>
      </c>
      <c r="O159" s="61">
        <v>216.0</v>
      </c>
      <c r="P159" s="62">
        <v>233.28000000000003</v>
      </c>
      <c r="Q159" s="63">
        <v>233.28000000000003</v>
      </c>
      <c r="R159" s="64">
        <v>261.0</v>
      </c>
      <c r="S159" s="111">
        <v>274.0</v>
      </c>
      <c r="T159" s="65">
        <f t="shared" si="2"/>
        <v>43.84</v>
      </c>
      <c r="U159" s="65">
        <f t="shared" si="3"/>
        <v>317.84</v>
      </c>
      <c r="V159" s="66">
        <f t="shared" si="4"/>
        <v>0.04980842912</v>
      </c>
      <c r="W159" s="67">
        <f t="shared" si="5"/>
        <v>260.3</v>
      </c>
      <c r="X159" s="67">
        <f t="shared" si="6"/>
        <v>41.648</v>
      </c>
      <c r="Y159" s="67">
        <f t="shared" si="7"/>
        <v>301.948</v>
      </c>
      <c r="Z159" s="67">
        <f t="shared" si="8"/>
        <v>246.6</v>
      </c>
      <c r="AA159" s="67">
        <f t="shared" si="9"/>
        <v>39.456</v>
      </c>
      <c r="AB159" s="67">
        <f t="shared" si="10"/>
        <v>286.056</v>
      </c>
      <c r="AC159" s="67">
        <f t="shared" si="11"/>
        <v>232.9</v>
      </c>
      <c r="AD159" s="67">
        <f t="shared" si="12"/>
        <v>37.264</v>
      </c>
      <c r="AE159" s="67">
        <f t="shared" si="13"/>
        <v>270.164</v>
      </c>
      <c r="AF159" s="67">
        <f t="shared" si="14"/>
        <v>227.42</v>
      </c>
      <c r="AG159" s="67">
        <f t="shared" si="15"/>
        <v>36.3872</v>
      </c>
      <c r="AH159" s="67">
        <f t="shared" si="16"/>
        <v>263.8072</v>
      </c>
      <c r="AI159" s="67">
        <f t="shared" si="17"/>
        <v>219.2</v>
      </c>
      <c r="AJ159" s="68">
        <f t="shared" si="20"/>
        <v>35.072</v>
      </c>
      <c r="AK159" s="68">
        <f t="shared" si="21"/>
        <v>254.272</v>
      </c>
      <c r="AL159" s="70">
        <f>IFERROR(__xludf.DUMMYFUNCTION("""COMPUTED_VALUE"""),1.0)</f>
        <v>1</v>
      </c>
      <c r="AM159" s="70"/>
      <c r="AN159" s="71" t="str">
        <f>IFERROR(__xludf.DUMMYFUNCTION("""COMPUTED_VALUE""")," CP")</f>
        <v>CP</v>
      </c>
      <c r="AO159" s="71" t="str">
        <f>IFERROR(__xludf.DUMMYFUNCTION("""COMPUTED_VALUE""")," BM06")</f>
        <v>BM06</v>
      </c>
      <c r="AP159" s="71" t="str">
        <f>IFERROR(__xludf.DUMMYFUNCTION("""COMPUTED_VALUE""")," PZA")</f>
        <v>PZA</v>
      </c>
      <c r="AQ159" s="71" t="str">
        <f>IFERROR(__xludf.DUMMYFUNCTION("""COMPUTED_VALUE""")," REF")</f>
        <v>REF</v>
      </c>
      <c r="AR159" s="71" t="str">
        <f>IFERROR(__xludf.DUMMYFUNCTION("""COMPUTED_VALUE""")," BANDA METÁLICA DÚPLEX MODELO ANTERIOR 102 TABLETA GRANDE (CENTRAL)")</f>
        <v>BANDA METÁLICA DÚPLEX MODELO ANTERIOR 102 TABLETA GRANDE (CENTRAL)</v>
      </c>
      <c r="AS159" s="71" t="str">
        <f>IFERROR(__xludf.DUMMYFUNCTION("""COMPUTED_VALUE""")," BANDA METALICA DPLX MA 102 TABL GDE CEN")</f>
        <v>BANDA METALICA DPLX MA 102 TABL GDE CEN</v>
      </c>
      <c r="AT159" s="71">
        <f>IFERROR(__xludf.DUMMYFUNCTION("""COMPUTED_VALUE"""),39.0)</f>
        <v>39</v>
      </c>
      <c r="AU159" s="71"/>
      <c r="AV159" s="71"/>
      <c r="AW159" s="71"/>
      <c r="AX159" s="71"/>
      <c r="AY159" s="71">
        <f>IFERROR(__xludf.DUMMYFUNCTION("""COMPUTED_VALUE"""),3701.0)</f>
        <v>3701</v>
      </c>
      <c r="AZ159" s="71">
        <f>IFERROR(__xludf.DUMMYFUNCTION("""COMPUTED_VALUE"""),3340.0)</f>
        <v>3340</v>
      </c>
      <c r="BA159" s="71">
        <f>IFERROR(__xludf.DUMMYFUNCTION("""COMPUTED_VALUE"""),3607.2000000000003)</f>
        <v>3607.2</v>
      </c>
      <c r="BB159" s="71">
        <f>IFERROR(__xludf.DUMMYFUNCTION("""COMPUTED_VALUE"""),3607.2000000000003)</f>
        <v>3607.2</v>
      </c>
      <c r="BC159" s="71">
        <f>IFERROR(__xludf.DUMMYFUNCTION("""COMPUTED_VALUE"""),4016.0)</f>
        <v>4016</v>
      </c>
      <c r="BD159" s="71">
        <f>IFERROR(__xludf.DUMMYFUNCTION("""COMPUTED_VALUE"""),4217.0)</f>
        <v>4217</v>
      </c>
      <c r="BE159" s="71">
        <f>IFERROR(__xludf.DUMMYFUNCTION("""COMPUTED_VALUE"""),674.72)</f>
        <v>674.72</v>
      </c>
      <c r="BF159" s="71">
        <f>IFERROR(__xludf.DUMMYFUNCTION("""COMPUTED_VALUE"""),4891.72)</f>
        <v>4891.72</v>
      </c>
      <c r="BG159" s="71">
        <f>IFERROR(__xludf.DUMMYFUNCTION("""COMPUTED_VALUE"""),0.050049800796812746)</f>
        <v>0.0500498008</v>
      </c>
      <c r="BH159" s="71">
        <f>IFERROR(__xludf.DUMMYFUNCTION("""COMPUTED_VALUE"""),4006.1499999999996)</f>
        <v>4006.15</v>
      </c>
      <c r="BI159" s="71">
        <f>IFERROR(__xludf.DUMMYFUNCTION("""COMPUTED_VALUE"""),640.9839999999999)</f>
        <v>640.984</v>
      </c>
      <c r="BJ159" s="71">
        <f>IFERROR(__xludf.DUMMYFUNCTION("""COMPUTED_VALUE"""),4647.134)</f>
        <v>4647.134</v>
      </c>
      <c r="BK159" s="71">
        <f>IFERROR(__xludf.DUMMYFUNCTION("""COMPUTED_VALUE"""),3795.3)</f>
        <v>3795.3</v>
      </c>
      <c r="BL159" s="71">
        <f>IFERROR(__xludf.DUMMYFUNCTION("""COMPUTED_VALUE"""),607.248)</f>
        <v>607.248</v>
      </c>
      <c r="BM159" s="71">
        <f>IFERROR(__xludf.DUMMYFUNCTION("""COMPUTED_VALUE"""),4402.548000000001)</f>
        <v>4402.548</v>
      </c>
      <c r="BN159" s="71">
        <f>IFERROR(__xludf.DUMMYFUNCTION("""COMPUTED_VALUE"""),3584.45)</f>
        <v>3584.45</v>
      </c>
      <c r="BO159" s="71">
        <f>IFERROR(__xludf.DUMMYFUNCTION("""COMPUTED_VALUE"""),573.512)</f>
        <v>573.512</v>
      </c>
      <c r="BP159" s="71">
        <f>IFERROR(__xludf.DUMMYFUNCTION("""COMPUTED_VALUE"""),4157.9619999999995)</f>
        <v>4157.962</v>
      </c>
      <c r="BQ159" s="71">
        <f>IFERROR(__xludf.DUMMYFUNCTION("""COMPUTED_VALUE"""),3500.1099999999997)</f>
        <v>3500.11</v>
      </c>
      <c r="BR159" s="71">
        <f>IFERROR(__xludf.DUMMYFUNCTION("""COMPUTED_VALUE"""),560.0176)</f>
        <v>560.0176</v>
      </c>
      <c r="BS159" s="71">
        <f>IFERROR(__xludf.DUMMYFUNCTION("""COMPUTED_VALUE"""),4060.1276)</f>
        <v>4060.1276</v>
      </c>
      <c r="BT159" s="71">
        <f>IFERROR(__xludf.DUMMYFUNCTION("""COMPUTED_VALUE"""),3373.6000000000004)</f>
        <v>3373.6</v>
      </c>
      <c r="BU159" s="71">
        <f>IFERROR(__xludf.DUMMYFUNCTION("""COMPUTED_VALUE"""),539.7760000000001)</f>
        <v>539.776</v>
      </c>
      <c r="BV159" s="71">
        <f>IFERROR(__xludf.DUMMYFUNCTION("""COMPUTED_VALUE"""),3913.376)</f>
        <v>3913.376</v>
      </c>
    </row>
    <row r="160">
      <c r="A160" s="53">
        <v>1.0</v>
      </c>
      <c r="B160" s="72"/>
      <c r="C160" s="73" t="s">
        <v>12</v>
      </c>
      <c r="D160" s="74" t="s">
        <v>419</v>
      </c>
      <c r="E160" s="54" t="s">
        <v>38</v>
      </c>
      <c r="F160" s="54" t="s">
        <v>42</v>
      </c>
      <c r="G160" s="54" t="s">
        <v>420</v>
      </c>
      <c r="H160" s="54" t="s">
        <v>420</v>
      </c>
      <c r="I160" s="54">
        <f t="shared" si="1"/>
        <v>22</v>
      </c>
      <c r="J160" s="56"/>
      <c r="K160" s="75"/>
      <c r="L160" s="76"/>
      <c r="M160" s="59"/>
      <c r="N160" s="60">
        <v>143.0</v>
      </c>
      <c r="O160" s="61">
        <v>154.0</v>
      </c>
      <c r="P160" s="62">
        <v>166.32000000000002</v>
      </c>
      <c r="Q160" s="63">
        <v>166.32000000000002</v>
      </c>
      <c r="R160" s="64">
        <v>189.0</v>
      </c>
      <c r="S160" s="111">
        <v>198.0</v>
      </c>
      <c r="T160" s="65">
        <f t="shared" si="2"/>
        <v>31.68</v>
      </c>
      <c r="U160" s="65">
        <f t="shared" si="3"/>
        <v>229.68</v>
      </c>
      <c r="V160" s="66">
        <f t="shared" si="4"/>
        <v>0.04761904762</v>
      </c>
      <c r="W160" s="67">
        <f t="shared" si="5"/>
        <v>188.1</v>
      </c>
      <c r="X160" s="67">
        <f t="shared" si="6"/>
        <v>30.096</v>
      </c>
      <c r="Y160" s="67">
        <f t="shared" si="7"/>
        <v>218.196</v>
      </c>
      <c r="Z160" s="67">
        <f t="shared" si="8"/>
        <v>178.2</v>
      </c>
      <c r="AA160" s="67">
        <f t="shared" si="9"/>
        <v>28.512</v>
      </c>
      <c r="AB160" s="67">
        <f t="shared" si="10"/>
        <v>206.712</v>
      </c>
      <c r="AC160" s="67">
        <f t="shared" si="11"/>
        <v>168.3</v>
      </c>
      <c r="AD160" s="67">
        <f t="shared" si="12"/>
        <v>26.928</v>
      </c>
      <c r="AE160" s="67">
        <f t="shared" si="13"/>
        <v>195.228</v>
      </c>
      <c r="AF160" s="67">
        <f t="shared" si="14"/>
        <v>164.34</v>
      </c>
      <c r="AG160" s="67">
        <f t="shared" si="15"/>
        <v>26.2944</v>
      </c>
      <c r="AH160" s="67">
        <f t="shared" si="16"/>
        <v>190.6344</v>
      </c>
      <c r="AI160" s="67">
        <f t="shared" si="17"/>
        <v>158.4</v>
      </c>
      <c r="AJ160" s="68">
        <f t="shared" si="20"/>
        <v>25.344</v>
      </c>
      <c r="AK160" s="68">
        <f t="shared" si="21"/>
        <v>183.744</v>
      </c>
      <c r="AL160" s="70">
        <f>IFERROR(__xludf.DUMMYFUNCTION("""COMPUTED_VALUE"""),1.0)</f>
        <v>1</v>
      </c>
      <c r="AM160" s="70"/>
      <c r="AN160" s="71" t="str">
        <f>IFERROR(__xludf.DUMMYFUNCTION("""COMPUTED_VALUE""")," CP")</f>
        <v>CP</v>
      </c>
      <c r="AO160" s="71" t="str">
        <f>IFERROR(__xludf.DUMMYFUNCTION("""COMPUTED_VALUE""")," BM05")</f>
        <v>BM05</v>
      </c>
      <c r="AP160" s="71" t="str">
        <f>IFERROR(__xludf.DUMMYFUNCTION("""COMPUTED_VALUE""")," PZA")</f>
        <v>PZA</v>
      </c>
      <c r="AQ160" s="71" t="str">
        <f>IFERROR(__xludf.DUMMYFUNCTION("""COMPUTED_VALUE""")," REF")</f>
        <v>REF</v>
      </c>
      <c r="AR160" s="71" t="str">
        <f>IFERROR(__xludf.DUMMYFUNCTION("""COMPUTED_VALUE""")," BANDA METÁLICA DÚPLEX MODELO ANTERIOR 92 TABLETA CHICA (SUPERIOR)")</f>
        <v>BANDA METÁLICA DÚPLEX MODELO ANTERIOR 92 TABLETA CHICA (SUPERIOR)</v>
      </c>
      <c r="AS160" s="71" t="str">
        <f>IFERROR(__xludf.DUMMYFUNCTION("""COMPUTED_VALUE""")," BANDA METALICA DPLX MA 92 TABL CHIC SUP")</f>
        <v>BANDA METALICA DPLX MA 92 TABL CHIC SUP</v>
      </c>
      <c r="AT160" s="71">
        <f>IFERROR(__xludf.DUMMYFUNCTION("""COMPUTED_VALUE"""),39.0)</f>
        <v>39</v>
      </c>
      <c r="AU160" s="71"/>
      <c r="AV160" s="71"/>
      <c r="AW160" s="71"/>
      <c r="AX160" s="71"/>
      <c r="AY160" s="71">
        <f>IFERROR(__xludf.DUMMYFUNCTION("""COMPUTED_VALUE"""),3216.0)</f>
        <v>3216</v>
      </c>
      <c r="AZ160" s="71">
        <f>IFERROR(__xludf.DUMMYFUNCTION("""COMPUTED_VALUE"""),2902.0)</f>
        <v>2902</v>
      </c>
      <c r="BA160" s="71">
        <f>IFERROR(__xludf.DUMMYFUNCTION("""COMPUTED_VALUE"""),3134.1600000000003)</f>
        <v>3134.16</v>
      </c>
      <c r="BB160" s="71">
        <f>IFERROR(__xludf.DUMMYFUNCTION("""COMPUTED_VALUE"""),3134.1600000000003)</f>
        <v>3134.16</v>
      </c>
      <c r="BC160" s="71">
        <f>IFERROR(__xludf.DUMMYFUNCTION("""COMPUTED_VALUE"""),3490.0)</f>
        <v>3490</v>
      </c>
      <c r="BD160" s="71">
        <f>IFERROR(__xludf.DUMMYFUNCTION("""COMPUTED_VALUE"""),3665.0)</f>
        <v>3665</v>
      </c>
      <c r="BE160" s="71">
        <f>IFERROR(__xludf.DUMMYFUNCTION("""COMPUTED_VALUE"""),586.4)</f>
        <v>586.4</v>
      </c>
      <c r="BF160" s="71">
        <f>IFERROR(__xludf.DUMMYFUNCTION("""COMPUTED_VALUE"""),4251.4)</f>
        <v>4251.4</v>
      </c>
      <c r="BG160" s="71">
        <f>IFERROR(__xludf.DUMMYFUNCTION("""COMPUTED_VALUE"""),0.050143266475644696)</f>
        <v>0.05014326648</v>
      </c>
      <c r="BH160" s="71">
        <f>IFERROR(__xludf.DUMMYFUNCTION("""COMPUTED_VALUE"""),3481.75)</f>
        <v>3481.75</v>
      </c>
      <c r="BI160" s="71">
        <f>IFERROR(__xludf.DUMMYFUNCTION("""COMPUTED_VALUE"""),557.08)</f>
        <v>557.08</v>
      </c>
      <c r="BJ160" s="71">
        <f>IFERROR(__xludf.DUMMYFUNCTION("""COMPUTED_VALUE"""),4038.83)</f>
        <v>4038.83</v>
      </c>
      <c r="BK160" s="71">
        <f>IFERROR(__xludf.DUMMYFUNCTION("""COMPUTED_VALUE"""),3298.5)</f>
        <v>3298.5</v>
      </c>
      <c r="BL160" s="71">
        <f>IFERROR(__xludf.DUMMYFUNCTION("""COMPUTED_VALUE"""),527.76)</f>
        <v>527.76</v>
      </c>
      <c r="BM160" s="71">
        <f>IFERROR(__xludf.DUMMYFUNCTION("""COMPUTED_VALUE"""),3826.26)</f>
        <v>3826.26</v>
      </c>
      <c r="BN160" s="71">
        <f>IFERROR(__xludf.DUMMYFUNCTION("""COMPUTED_VALUE"""),3115.25)</f>
        <v>3115.25</v>
      </c>
      <c r="BO160" s="71">
        <f>IFERROR(__xludf.DUMMYFUNCTION("""COMPUTED_VALUE"""),498.44)</f>
        <v>498.44</v>
      </c>
      <c r="BP160" s="71">
        <f>IFERROR(__xludf.DUMMYFUNCTION("""COMPUTED_VALUE"""),3613.69)</f>
        <v>3613.69</v>
      </c>
      <c r="BQ160" s="71">
        <f>IFERROR(__xludf.DUMMYFUNCTION("""COMPUTED_VALUE"""),3041.95)</f>
        <v>3041.95</v>
      </c>
      <c r="BR160" s="71">
        <f>IFERROR(__xludf.DUMMYFUNCTION("""COMPUTED_VALUE"""),486.712)</f>
        <v>486.712</v>
      </c>
      <c r="BS160" s="71">
        <f>IFERROR(__xludf.DUMMYFUNCTION("""COMPUTED_VALUE"""),3528.662)</f>
        <v>3528.662</v>
      </c>
      <c r="BT160" s="71">
        <f>IFERROR(__xludf.DUMMYFUNCTION("""COMPUTED_VALUE"""),2932.0)</f>
        <v>2932</v>
      </c>
      <c r="BU160" s="71">
        <f>IFERROR(__xludf.DUMMYFUNCTION("""COMPUTED_VALUE"""),469.12)</f>
        <v>469.12</v>
      </c>
      <c r="BV160" s="71">
        <f>IFERROR(__xludf.DUMMYFUNCTION("""COMPUTED_VALUE"""),3401.12)</f>
        <v>3401.12</v>
      </c>
    </row>
    <row r="161">
      <c r="A161" s="53">
        <v>1.0</v>
      </c>
      <c r="B161" s="72">
        <v>3.0</v>
      </c>
      <c r="C161" s="73" t="s">
        <v>12</v>
      </c>
      <c r="D161" s="74" t="s">
        <v>421</v>
      </c>
      <c r="E161" s="54" t="s">
        <v>38</v>
      </c>
      <c r="F161" s="54" t="s">
        <v>42</v>
      </c>
      <c r="G161" s="54" t="s">
        <v>422</v>
      </c>
      <c r="H161" s="54" t="s">
        <v>422</v>
      </c>
      <c r="I161" s="54">
        <f t="shared" si="1"/>
        <v>19</v>
      </c>
      <c r="J161" s="56"/>
      <c r="K161" s="75"/>
      <c r="L161" s="76"/>
      <c r="M161" s="59"/>
      <c r="N161" s="60">
        <v>274.0</v>
      </c>
      <c r="O161" s="61">
        <v>295.0</v>
      </c>
      <c r="P161" s="62">
        <v>318.6</v>
      </c>
      <c r="Q161" s="63">
        <v>318.6</v>
      </c>
      <c r="R161" s="64">
        <v>355.0</v>
      </c>
      <c r="S161" s="111">
        <v>373.0</v>
      </c>
      <c r="T161" s="65">
        <f t="shared" si="2"/>
        <v>59.68</v>
      </c>
      <c r="U161" s="65">
        <f t="shared" si="3"/>
        <v>432.68</v>
      </c>
      <c r="V161" s="66">
        <f t="shared" si="4"/>
        <v>0.05070422535</v>
      </c>
      <c r="W161" s="67">
        <f t="shared" si="5"/>
        <v>354.35</v>
      </c>
      <c r="X161" s="67">
        <f t="shared" si="6"/>
        <v>56.696</v>
      </c>
      <c r="Y161" s="67">
        <f t="shared" si="7"/>
        <v>411.046</v>
      </c>
      <c r="Z161" s="67">
        <f t="shared" si="8"/>
        <v>335.7</v>
      </c>
      <c r="AA161" s="67">
        <f t="shared" si="9"/>
        <v>53.712</v>
      </c>
      <c r="AB161" s="67">
        <f t="shared" si="10"/>
        <v>389.412</v>
      </c>
      <c r="AC161" s="67">
        <f t="shared" si="11"/>
        <v>335.7</v>
      </c>
      <c r="AD161" s="67">
        <f t="shared" si="12"/>
        <v>53.712</v>
      </c>
      <c r="AE161" s="67">
        <f t="shared" si="13"/>
        <v>389.412</v>
      </c>
      <c r="AF161" s="67">
        <f t="shared" si="14"/>
        <v>335.7</v>
      </c>
      <c r="AG161" s="67">
        <f t="shared" si="15"/>
        <v>53.712</v>
      </c>
      <c r="AH161" s="67">
        <f t="shared" si="16"/>
        <v>389.412</v>
      </c>
      <c r="AI161" s="67">
        <f t="shared" si="17"/>
        <v>335.7</v>
      </c>
      <c r="AJ161" s="68">
        <f t="shared" si="20"/>
        <v>53.712</v>
      </c>
      <c r="AK161" s="68">
        <f t="shared" si="21"/>
        <v>389.412</v>
      </c>
      <c r="AL161" s="70">
        <f>IFERROR(__xludf.DUMMYFUNCTION("""COMPUTED_VALUE"""),1.0)</f>
        <v>1</v>
      </c>
      <c r="AM161" s="70"/>
      <c r="AN161" s="71" t="str">
        <f>IFERROR(__xludf.DUMMYFUNCTION("""COMPUTED_VALUE""")," CP")</f>
        <v>CP</v>
      </c>
      <c r="AO161" s="71" t="str">
        <f>IFERROR(__xludf.DUMMYFUNCTION("""COMPUTED_VALUE""")," BM07")</f>
        <v>BM07</v>
      </c>
      <c r="AP161" s="71" t="str">
        <f>IFERROR(__xludf.DUMMYFUNCTION("""COMPUTED_VALUE""")," PZA")</f>
        <v>PZA</v>
      </c>
      <c r="AQ161" s="71" t="str">
        <f>IFERROR(__xludf.DUMMYFUNCTION("""COMPUTED_VALUE""")," REF")</f>
        <v>REF</v>
      </c>
      <c r="AR161" s="71" t="str">
        <f>IFERROR(__xludf.DUMMYFUNCTION("""COMPUTED_VALUE""")," BANDA METÁLICA DÚPLEX MODELO ANTERIOR 92 TABLETA GRANDE (INFERIOR)")</f>
        <v>BANDA METÁLICA DÚPLEX MODELO ANTERIOR 92 TABLETA GRANDE (INFERIOR)</v>
      </c>
      <c r="AS161" s="71" t="str">
        <f>IFERROR(__xludf.DUMMYFUNCTION("""COMPUTED_VALUE""")," BANDA METALICA DPLX MA 92 TABL GDE INF")</f>
        <v>BANDA METALICA DPLX MA 92 TABL GDE INF</v>
      </c>
      <c r="AT161" s="71">
        <f>IFERROR(__xludf.DUMMYFUNCTION("""COMPUTED_VALUE"""),38.0)</f>
        <v>38</v>
      </c>
      <c r="AU161" s="71"/>
      <c r="AV161" s="71"/>
      <c r="AW161" s="71"/>
      <c r="AX161" s="71"/>
      <c r="AY161" s="71">
        <f>IFERROR(__xludf.DUMMYFUNCTION("""COMPUTED_VALUE"""),3338.0)</f>
        <v>3338</v>
      </c>
      <c r="AZ161" s="71">
        <f>IFERROR(__xludf.DUMMYFUNCTION("""COMPUTED_VALUE"""),3012.0)</f>
        <v>3012</v>
      </c>
      <c r="BA161" s="71">
        <f>IFERROR(__xludf.DUMMYFUNCTION("""COMPUTED_VALUE"""),3252.96)</f>
        <v>3252.96</v>
      </c>
      <c r="BB161" s="71">
        <f>IFERROR(__xludf.DUMMYFUNCTION("""COMPUTED_VALUE"""),3252.96)</f>
        <v>3252.96</v>
      </c>
      <c r="BC161" s="71">
        <f>IFERROR(__xludf.DUMMYFUNCTION("""COMPUTED_VALUE"""),3622.0)</f>
        <v>3622</v>
      </c>
      <c r="BD161" s="71">
        <f>IFERROR(__xludf.DUMMYFUNCTION("""COMPUTED_VALUE"""),3803.0)</f>
        <v>3803</v>
      </c>
      <c r="BE161" s="71">
        <f>IFERROR(__xludf.DUMMYFUNCTION("""COMPUTED_VALUE"""),608.48)</f>
        <v>608.48</v>
      </c>
      <c r="BF161" s="71">
        <f>IFERROR(__xludf.DUMMYFUNCTION("""COMPUTED_VALUE"""),4411.48)</f>
        <v>4411.48</v>
      </c>
      <c r="BG161" s="71">
        <f>IFERROR(__xludf.DUMMYFUNCTION("""COMPUTED_VALUE"""),0.04997239094422971)</f>
        <v>0.04997239094</v>
      </c>
      <c r="BH161" s="71">
        <f>IFERROR(__xludf.DUMMYFUNCTION("""COMPUTED_VALUE"""),3612.85)</f>
        <v>3612.85</v>
      </c>
      <c r="BI161" s="71">
        <f>IFERROR(__xludf.DUMMYFUNCTION("""COMPUTED_VALUE"""),578.056)</f>
        <v>578.056</v>
      </c>
      <c r="BJ161" s="71">
        <f>IFERROR(__xludf.DUMMYFUNCTION("""COMPUTED_VALUE"""),4190.906)</f>
        <v>4190.906</v>
      </c>
      <c r="BK161" s="71">
        <f>IFERROR(__xludf.DUMMYFUNCTION("""COMPUTED_VALUE"""),3422.7000000000003)</f>
        <v>3422.7</v>
      </c>
      <c r="BL161" s="71">
        <f>IFERROR(__xludf.DUMMYFUNCTION("""COMPUTED_VALUE"""),547.6320000000001)</f>
        <v>547.632</v>
      </c>
      <c r="BM161" s="71">
        <f>IFERROR(__xludf.DUMMYFUNCTION("""COMPUTED_VALUE"""),3970.3320000000003)</f>
        <v>3970.332</v>
      </c>
      <c r="BN161" s="71">
        <f>IFERROR(__xludf.DUMMYFUNCTION("""COMPUTED_VALUE"""),3232.5499999999997)</f>
        <v>3232.55</v>
      </c>
      <c r="BO161" s="71">
        <f>IFERROR(__xludf.DUMMYFUNCTION("""COMPUTED_VALUE"""),517.208)</f>
        <v>517.208</v>
      </c>
      <c r="BP161" s="71">
        <f>IFERROR(__xludf.DUMMYFUNCTION("""COMPUTED_VALUE"""),3749.758)</f>
        <v>3749.758</v>
      </c>
      <c r="BQ161" s="71">
        <f>IFERROR(__xludf.DUMMYFUNCTION("""COMPUTED_VALUE"""),3156.49)</f>
        <v>3156.49</v>
      </c>
      <c r="BR161" s="71">
        <f>IFERROR(__xludf.DUMMYFUNCTION("""COMPUTED_VALUE"""),505.03839999999997)</f>
        <v>505.0384</v>
      </c>
      <c r="BS161" s="71">
        <f>IFERROR(__xludf.DUMMYFUNCTION("""COMPUTED_VALUE"""),3661.5283999999997)</f>
        <v>3661.5284</v>
      </c>
      <c r="BT161" s="71">
        <f>IFERROR(__xludf.DUMMYFUNCTION("""COMPUTED_VALUE"""),3042.4)</f>
        <v>3042.4</v>
      </c>
      <c r="BU161" s="71">
        <f>IFERROR(__xludf.DUMMYFUNCTION("""COMPUTED_VALUE"""),486.78400000000005)</f>
        <v>486.784</v>
      </c>
      <c r="BV161" s="71">
        <f>IFERROR(__xludf.DUMMYFUNCTION("""COMPUTED_VALUE"""),3529.184)</f>
        <v>3529.184</v>
      </c>
    </row>
    <row r="162">
      <c r="A162" s="53">
        <v>1.0</v>
      </c>
      <c r="B162" s="72"/>
      <c r="C162" s="73" t="s">
        <v>12</v>
      </c>
      <c r="D162" s="74" t="s">
        <v>423</v>
      </c>
      <c r="E162" s="54" t="s">
        <v>38</v>
      </c>
      <c r="F162" s="54" t="s">
        <v>42</v>
      </c>
      <c r="G162" s="54" t="s">
        <v>424</v>
      </c>
      <c r="H162" s="54" t="s">
        <v>424</v>
      </c>
      <c r="I162" s="54">
        <f t="shared" si="1"/>
        <v>22</v>
      </c>
      <c r="J162" s="56"/>
      <c r="K162" s="75"/>
      <c r="L162" s="76"/>
      <c r="M162" s="59"/>
      <c r="N162" s="60">
        <v>260.0</v>
      </c>
      <c r="O162" s="61">
        <v>280.0</v>
      </c>
      <c r="P162" s="62">
        <v>302.40000000000003</v>
      </c>
      <c r="Q162" s="63">
        <v>302.40000000000003</v>
      </c>
      <c r="R162" s="64">
        <v>344.0</v>
      </c>
      <c r="S162" s="111">
        <v>361.0</v>
      </c>
      <c r="T162" s="65">
        <f t="shared" si="2"/>
        <v>57.76</v>
      </c>
      <c r="U162" s="65">
        <f t="shared" si="3"/>
        <v>418.76</v>
      </c>
      <c r="V162" s="66">
        <f t="shared" si="4"/>
        <v>0.04941860465</v>
      </c>
      <c r="W162" s="67">
        <f t="shared" si="5"/>
        <v>342.95</v>
      </c>
      <c r="X162" s="67">
        <f t="shared" si="6"/>
        <v>54.872</v>
      </c>
      <c r="Y162" s="67">
        <f t="shared" si="7"/>
        <v>397.822</v>
      </c>
      <c r="Z162" s="67">
        <f t="shared" si="8"/>
        <v>324.9</v>
      </c>
      <c r="AA162" s="67">
        <f t="shared" si="9"/>
        <v>51.984</v>
      </c>
      <c r="AB162" s="67">
        <f t="shared" si="10"/>
        <v>376.884</v>
      </c>
      <c r="AC162" s="67">
        <f t="shared" si="11"/>
        <v>306.85</v>
      </c>
      <c r="AD162" s="67">
        <f t="shared" si="12"/>
        <v>49.096</v>
      </c>
      <c r="AE162" s="67">
        <f t="shared" si="13"/>
        <v>355.946</v>
      </c>
      <c r="AF162" s="67">
        <f t="shared" si="14"/>
        <v>299.63</v>
      </c>
      <c r="AG162" s="67">
        <f t="shared" si="15"/>
        <v>47.9408</v>
      </c>
      <c r="AH162" s="67">
        <f t="shared" si="16"/>
        <v>347.5708</v>
      </c>
      <c r="AI162" s="67">
        <f t="shared" si="17"/>
        <v>288.8</v>
      </c>
      <c r="AJ162" s="68">
        <f t="shared" si="20"/>
        <v>46.208</v>
      </c>
      <c r="AK162" s="68">
        <f t="shared" si="21"/>
        <v>335.008</v>
      </c>
      <c r="AL162" s="70">
        <f>IFERROR(__xludf.DUMMYFUNCTION("""COMPUTED_VALUE"""),1.0)</f>
        <v>1</v>
      </c>
      <c r="AM162" s="70"/>
      <c r="AN162" s="71" t="str">
        <f>IFERROR(__xludf.DUMMYFUNCTION("""COMPUTED_VALUE""")," CP")</f>
        <v>CP</v>
      </c>
      <c r="AO162" s="71" t="str">
        <f>IFERROR(__xludf.DUMMYFUNCTION("""COMPUTED_VALUE""")," BM08")</f>
        <v>BM08</v>
      </c>
      <c r="AP162" s="71" t="str">
        <f>IFERROR(__xludf.DUMMYFUNCTION("""COMPUTED_VALUE""")," PZA")</f>
        <v>PZA</v>
      </c>
      <c r="AQ162" s="71" t="str">
        <f>IFERROR(__xludf.DUMMYFUNCTION("""COMPUTED_VALUE""")," REF")</f>
        <v>REF</v>
      </c>
      <c r="AR162" s="71" t="str">
        <f>IFERROR(__xludf.DUMMYFUNCTION("""COMPUTED_VALUE""")," BANDA METÁLICA SENCILLA 102 TABLETA")</f>
        <v>BANDA METÁLICA SENCILLA 102 TABLETA</v>
      </c>
      <c r="AS162" s="71" t="str">
        <f>IFERROR(__xludf.DUMMYFUNCTION("""COMPUTED_VALUE""")," BANDA METALICA SENC 102 TABLETA")</f>
        <v>BANDA METALICA SENC 102 TABLETA</v>
      </c>
      <c r="AT162" s="71">
        <f>IFERROR(__xludf.DUMMYFUNCTION("""COMPUTED_VALUE"""),31.0)</f>
        <v>31</v>
      </c>
      <c r="AU162" s="71"/>
      <c r="AV162" s="71"/>
      <c r="AW162" s="71"/>
      <c r="AX162" s="71"/>
      <c r="AY162" s="71">
        <f>IFERROR(__xludf.DUMMYFUNCTION("""COMPUTED_VALUE"""),2873.0)</f>
        <v>2873</v>
      </c>
      <c r="AZ162" s="71">
        <f>IFERROR(__xludf.DUMMYFUNCTION("""COMPUTED_VALUE"""),2593.0)</f>
        <v>2593</v>
      </c>
      <c r="BA162" s="71">
        <f>IFERROR(__xludf.DUMMYFUNCTION("""COMPUTED_VALUE"""),2800.44)</f>
        <v>2800.44</v>
      </c>
      <c r="BB162" s="71">
        <f>IFERROR(__xludf.DUMMYFUNCTION("""COMPUTED_VALUE"""),2800.44)</f>
        <v>2800.44</v>
      </c>
      <c r="BC162" s="71">
        <f>IFERROR(__xludf.DUMMYFUNCTION("""COMPUTED_VALUE"""),3118.0)</f>
        <v>3118</v>
      </c>
      <c r="BD162" s="71">
        <f>IFERROR(__xludf.DUMMYFUNCTION("""COMPUTED_VALUE"""),2448.0)</f>
        <v>2448</v>
      </c>
      <c r="BE162" s="71">
        <f>IFERROR(__xludf.DUMMYFUNCTION("""COMPUTED_VALUE"""),391.68)</f>
        <v>391.68</v>
      </c>
      <c r="BF162" s="71">
        <f>IFERROR(__xludf.DUMMYFUNCTION("""COMPUTED_VALUE"""),2839.68)</f>
        <v>2839.68</v>
      </c>
      <c r="BG162" s="71">
        <f>IFERROR(__xludf.DUMMYFUNCTION("""COMPUTED_VALUE"""),-0.21488133418858243)</f>
        <v>-0.2148813342</v>
      </c>
      <c r="BH162" s="71">
        <f>IFERROR(__xludf.DUMMYFUNCTION("""COMPUTED_VALUE"""),2325.6)</f>
        <v>2325.6</v>
      </c>
      <c r="BI162" s="71">
        <f>IFERROR(__xludf.DUMMYFUNCTION("""COMPUTED_VALUE"""),372.096)</f>
        <v>372.096</v>
      </c>
      <c r="BJ162" s="71">
        <f>IFERROR(__xludf.DUMMYFUNCTION("""COMPUTED_VALUE"""),2697.696)</f>
        <v>2697.696</v>
      </c>
      <c r="BK162" s="71">
        <f>IFERROR(__xludf.DUMMYFUNCTION("""COMPUTED_VALUE"""),2203.2000000000003)</f>
        <v>2203.2</v>
      </c>
      <c r="BL162" s="71">
        <f>IFERROR(__xludf.DUMMYFUNCTION("""COMPUTED_VALUE"""),352.51200000000006)</f>
        <v>352.512</v>
      </c>
      <c r="BM162" s="71">
        <f>IFERROR(__xludf.DUMMYFUNCTION("""COMPUTED_VALUE"""),2555.7120000000004)</f>
        <v>2555.712</v>
      </c>
      <c r="BN162" s="71">
        <f>IFERROR(__xludf.DUMMYFUNCTION("""COMPUTED_VALUE"""),2080.7999999999997)</f>
        <v>2080.8</v>
      </c>
      <c r="BO162" s="71">
        <f>IFERROR(__xludf.DUMMYFUNCTION("""COMPUTED_VALUE"""),332.92799999999994)</f>
        <v>332.928</v>
      </c>
      <c r="BP162" s="71">
        <f>IFERROR(__xludf.DUMMYFUNCTION("""COMPUTED_VALUE"""),2413.7279999999996)</f>
        <v>2413.728</v>
      </c>
      <c r="BQ162" s="71">
        <f>IFERROR(__xludf.DUMMYFUNCTION("""COMPUTED_VALUE"""),2031.84)</f>
        <v>2031.84</v>
      </c>
      <c r="BR162" s="71">
        <f>IFERROR(__xludf.DUMMYFUNCTION("""COMPUTED_VALUE"""),325.0944)</f>
        <v>325.0944</v>
      </c>
      <c r="BS162" s="71">
        <f>IFERROR(__xludf.DUMMYFUNCTION("""COMPUTED_VALUE"""),2356.9344)</f>
        <v>2356.9344</v>
      </c>
      <c r="BT162" s="71">
        <f>IFERROR(__xludf.DUMMYFUNCTION("""COMPUTED_VALUE"""),1958.4)</f>
        <v>1958.4</v>
      </c>
      <c r="BU162" s="71">
        <f>IFERROR(__xludf.DUMMYFUNCTION("""COMPUTED_VALUE"""),313.344)</f>
        <v>313.344</v>
      </c>
      <c r="BV162" s="71">
        <f>IFERROR(__xludf.DUMMYFUNCTION("""COMPUTED_VALUE"""),2271.744)</f>
        <v>2271.744</v>
      </c>
    </row>
    <row r="163">
      <c r="A163" s="53"/>
      <c r="B163" s="53"/>
      <c r="C163" s="53" t="s">
        <v>12</v>
      </c>
      <c r="D163" s="53" t="s">
        <v>425</v>
      </c>
      <c r="E163" s="54" t="s">
        <v>38</v>
      </c>
      <c r="F163" s="54" t="s">
        <v>42</v>
      </c>
      <c r="G163" s="55" t="s">
        <v>426</v>
      </c>
      <c r="H163" s="55" t="s">
        <v>426</v>
      </c>
      <c r="I163" s="54">
        <f t="shared" si="1"/>
        <v>15</v>
      </c>
      <c r="J163" s="56"/>
      <c r="K163" s="57"/>
      <c r="L163" s="76"/>
      <c r="M163" s="59"/>
      <c r="N163" s="79">
        <v>143.0</v>
      </c>
      <c r="O163" s="61">
        <v>154.0</v>
      </c>
      <c r="P163" s="63">
        <v>166.32000000000002</v>
      </c>
      <c r="Q163" s="63">
        <v>166.32000000000002</v>
      </c>
      <c r="R163" s="64">
        <v>175.0</v>
      </c>
      <c r="S163" s="111">
        <v>184.0</v>
      </c>
      <c r="T163" s="65">
        <f t="shared" si="2"/>
        <v>29.44</v>
      </c>
      <c r="U163" s="65">
        <f t="shared" si="3"/>
        <v>213.44</v>
      </c>
      <c r="V163" s="66">
        <f t="shared" si="4"/>
        <v>0.05142857143</v>
      </c>
      <c r="W163" s="67">
        <f t="shared" si="5"/>
        <v>174.8</v>
      </c>
      <c r="X163" s="67">
        <f t="shared" si="6"/>
        <v>27.968</v>
      </c>
      <c r="Y163" s="67">
        <f t="shared" si="7"/>
        <v>202.768</v>
      </c>
      <c r="Z163" s="67">
        <f t="shared" si="8"/>
        <v>165.6</v>
      </c>
      <c r="AA163" s="67">
        <f t="shared" si="9"/>
        <v>26.496</v>
      </c>
      <c r="AB163" s="67">
        <f t="shared" si="10"/>
        <v>192.096</v>
      </c>
      <c r="AC163" s="67">
        <f t="shared" si="11"/>
        <v>156.4</v>
      </c>
      <c r="AD163" s="67">
        <f t="shared" si="12"/>
        <v>25.024</v>
      </c>
      <c r="AE163" s="67">
        <f t="shared" si="13"/>
        <v>181.424</v>
      </c>
      <c r="AF163" s="67">
        <f t="shared" si="14"/>
        <v>152.72</v>
      </c>
      <c r="AG163" s="67">
        <f t="shared" si="15"/>
        <v>24.4352</v>
      </c>
      <c r="AH163" s="67">
        <f t="shared" si="16"/>
        <v>177.1552</v>
      </c>
      <c r="AI163" s="67">
        <f t="shared" si="17"/>
        <v>147.2</v>
      </c>
      <c r="AJ163" s="68">
        <f t="shared" si="20"/>
        <v>23.552</v>
      </c>
      <c r="AK163" s="68">
        <f t="shared" si="21"/>
        <v>170.752</v>
      </c>
      <c r="AL163" s="70">
        <f>IFERROR(__xludf.DUMMYFUNCTION("""COMPUTED_VALUE"""),1.0)</f>
        <v>1</v>
      </c>
      <c r="AM163" s="70"/>
      <c r="AN163" s="71" t="str">
        <f>IFERROR(__xludf.DUMMYFUNCTION("""COMPUTED_VALUE""")," CP")</f>
        <v>CP</v>
      </c>
      <c r="AO163" s="71" t="str">
        <f>IFERROR(__xludf.DUMMYFUNCTION("""COMPUTED_VALUE""")," BM09")</f>
        <v>BM09</v>
      </c>
      <c r="AP163" s="71" t="str">
        <f>IFERROR(__xludf.DUMMYFUNCTION("""COMPUTED_VALUE""")," PZA")</f>
        <v>PZA</v>
      </c>
      <c r="AQ163" s="71" t="str">
        <f>IFERROR(__xludf.DUMMYFUNCTION("""COMPUTED_VALUE""")," REF")</f>
        <v>REF</v>
      </c>
      <c r="AR163" s="71" t="str">
        <f>IFERROR(__xludf.DUMMYFUNCTION("""COMPUTED_VALUE""")," BANDA METÁLICA SENCILLA 103 TABLETA")</f>
        <v>BANDA METÁLICA SENCILLA 103 TABLETA</v>
      </c>
      <c r="AS163" s="71" t="str">
        <f>IFERROR(__xludf.DUMMYFUNCTION("""COMPUTED_VALUE""")," BANDA METALICA SENC 103 TABLETA")</f>
        <v>BANDA METALICA SENC 103 TABLETA</v>
      </c>
      <c r="AT163" s="71">
        <f>IFERROR(__xludf.DUMMYFUNCTION("""COMPUTED_VALUE"""),31.0)</f>
        <v>31</v>
      </c>
      <c r="AU163" s="71"/>
      <c r="AV163" s="71"/>
      <c r="AW163" s="71"/>
      <c r="AX163" s="71"/>
      <c r="AY163" s="71">
        <f>IFERROR(__xludf.DUMMYFUNCTION("""COMPUTED_VALUE"""),2902.0)</f>
        <v>2902</v>
      </c>
      <c r="AZ163" s="71">
        <f>IFERROR(__xludf.DUMMYFUNCTION("""COMPUTED_VALUE"""),2619.0)</f>
        <v>2619</v>
      </c>
      <c r="BA163" s="71">
        <f>IFERROR(__xludf.DUMMYFUNCTION("""COMPUTED_VALUE"""),2828.52)</f>
        <v>2828.52</v>
      </c>
      <c r="BB163" s="71">
        <f>IFERROR(__xludf.DUMMYFUNCTION("""COMPUTED_VALUE"""),2828.52)</f>
        <v>2828.52</v>
      </c>
      <c r="BC163" s="71">
        <f>IFERROR(__xludf.DUMMYFUNCTION("""COMPUTED_VALUE"""),3149.0)</f>
        <v>3149</v>
      </c>
      <c r="BD163" s="71">
        <f>IFERROR(__xludf.DUMMYFUNCTION("""COMPUTED_VALUE"""),2472.0)</f>
        <v>2472</v>
      </c>
      <c r="BE163" s="71">
        <f>IFERROR(__xludf.DUMMYFUNCTION("""COMPUTED_VALUE"""),395.52)</f>
        <v>395.52</v>
      </c>
      <c r="BF163" s="71">
        <f>IFERROR(__xludf.DUMMYFUNCTION("""COMPUTED_VALUE"""),2867.52)</f>
        <v>2867.52</v>
      </c>
      <c r="BG163" s="71">
        <f>IFERROR(__xludf.DUMMYFUNCTION("""COMPUTED_VALUE"""),-0.21498888536043187)</f>
        <v>-0.2149888854</v>
      </c>
      <c r="BH163" s="71">
        <f>IFERROR(__xludf.DUMMYFUNCTION("""COMPUTED_VALUE"""),2348.4)</f>
        <v>2348.4</v>
      </c>
      <c r="BI163" s="71">
        <f>IFERROR(__xludf.DUMMYFUNCTION("""COMPUTED_VALUE"""),375.744)</f>
        <v>375.744</v>
      </c>
      <c r="BJ163" s="71">
        <f>IFERROR(__xludf.DUMMYFUNCTION("""COMPUTED_VALUE"""),2724.1440000000002)</f>
        <v>2724.144</v>
      </c>
      <c r="BK163" s="71">
        <f>IFERROR(__xludf.DUMMYFUNCTION("""COMPUTED_VALUE"""),2224.8)</f>
        <v>2224.8</v>
      </c>
      <c r="BL163" s="71">
        <f>IFERROR(__xludf.DUMMYFUNCTION("""COMPUTED_VALUE"""),355.968)</f>
        <v>355.968</v>
      </c>
      <c r="BM163" s="71">
        <f>IFERROR(__xludf.DUMMYFUNCTION("""COMPUTED_VALUE"""),2580.768)</f>
        <v>2580.768</v>
      </c>
      <c r="BN163" s="71">
        <f>IFERROR(__xludf.DUMMYFUNCTION("""COMPUTED_VALUE"""),2101.2)</f>
        <v>2101.2</v>
      </c>
      <c r="BO163" s="71">
        <f>IFERROR(__xludf.DUMMYFUNCTION("""COMPUTED_VALUE"""),336.19199999999995)</f>
        <v>336.192</v>
      </c>
      <c r="BP163" s="71">
        <f>IFERROR(__xludf.DUMMYFUNCTION("""COMPUTED_VALUE"""),2437.392)</f>
        <v>2437.392</v>
      </c>
      <c r="BQ163" s="71">
        <f>IFERROR(__xludf.DUMMYFUNCTION("""COMPUTED_VALUE"""),2051.7599999999998)</f>
        <v>2051.76</v>
      </c>
      <c r="BR163" s="71">
        <f>IFERROR(__xludf.DUMMYFUNCTION("""COMPUTED_VALUE"""),328.28159999999997)</f>
        <v>328.2816</v>
      </c>
      <c r="BS163" s="71">
        <f>IFERROR(__xludf.DUMMYFUNCTION("""COMPUTED_VALUE"""),2380.0415999999996)</f>
        <v>2380.0416</v>
      </c>
      <c r="BT163" s="71">
        <f>IFERROR(__xludf.DUMMYFUNCTION("""COMPUTED_VALUE"""),1977.6000000000001)</f>
        <v>1977.6</v>
      </c>
      <c r="BU163" s="71">
        <f>IFERROR(__xludf.DUMMYFUNCTION("""COMPUTED_VALUE"""),316.41600000000005)</f>
        <v>316.416</v>
      </c>
      <c r="BV163" s="71">
        <f>IFERROR(__xludf.DUMMYFUNCTION("""COMPUTED_VALUE"""),2294.016)</f>
        <v>2294.016</v>
      </c>
    </row>
    <row r="164">
      <c r="A164" s="53">
        <v>1.0</v>
      </c>
      <c r="B164" s="72">
        <v>3.0</v>
      </c>
      <c r="C164" s="73" t="s">
        <v>12</v>
      </c>
      <c r="D164" s="74" t="s">
        <v>427</v>
      </c>
      <c r="E164" s="54" t="s">
        <v>38</v>
      </c>
      <c r="F164" s="54" t="s">
        <v>42</v>
      </c>
      <c r="G164" s="54" t="s">
        <v>428</v>
      </c>
      <c r="H164" s="54" t="s">
        <v>428</v>
      </c>
      <c r="I164" s="54">
        <f t="shared" si="1"/>
        <v>19</v>
      </c>
      <c r="J164" s="56"/>
      <c r="K164" s="75"/>
      <c r="L164" s="76"/>
      <c r="M164" s="59"/>
      <c r="N164" s="60">
        <v>410.0</v>
      </c>
      <c r="O164" s="61">
        <v>442.0</v>
      </c>
      <c r="P164" s="62">
        <v>477.36</v>
      </c>
      <c r="Q164" s="63">
        <v>477.36</v>
      </c>
      <c r="R164" s="64">
        <v>532.0</v>
      </c>
      <c r="S164" s="111">
        <v>559.0</v>
      </c>
      <c r="T164" s="65">
        <f t="shared" si="2"/>
        <v>89.44</v>
      </c>
      <c r="U164" s="65">
        <f t="shared" si="3"/>
        <v>648.44</v>
      </c>
      <c r="V164" s="66">
        <f t="shared" si="4"/>
        <v>0.0507518797</v>
      </c>
      <c r="W164" s="67">
        <f t="shared" si="5"/>
        <v>531.05</v>
      </c>
      <c r="X164" s="67">
        <f t="shared" si="6"/>
        <v>84.968</v>
      </c>
      <c r="Y164" s="67">
        <f t="shared" si="7"/>
        <v>616.018</v>
      </c>
      <c r="Z164" s="67">
        <f t="shared" si="8"/>
        <v>503.1</v>
      </c>
      <c r="AA164" s="67">
        <f t="shared" si="9"/>
        <v>80.496</v>
      </c>
      <c r="AB164" s="67">
        <f t="shared" si="10"/>
        <v>583.596</v>
      </c>
      <c r="AC164" s="67">
        <f t="shared" si="11"/>
        <v>503.1</v>
      </c>
      <c r="AD164" s="67">
        <f t="shared" si="12"/>
        <v>80.496</v>
      </c>
      <c r="AE164" s="67">
        <f t="shared" si="13"/>
        <v>583.596</v>
      </c>
      <c r="AF164" s="67">
        <f t="shared" si="14"/>
        <v>503.1</v>
      </c>
      <c r="AG164" s="67">
        <f t="shared" si="15"/>
        <v>80.496</v>
      </c>
      <c r="AH164" s="67">
        <f t="shared" si="16"/>
        <v>583.596</v>
      </c>
      <c r="AI164" s="67">
        <f t="shared" si="17"/>
        <v>503.1</v>
      </c>
      <c r="AJ164" s="68">
        <f t="shared" si="20"/>
        <v>80.496</v>
      </c>
      <c r="AK164" s="68">
        <f t="shared" si="21"/>
        <v>583.596</v>
      </c>
      <c r="AL164" s="70">
        <f>IFERROR(__xludf.DUMMYFUNCTION("""COMPUTED_VALUE"""),1.0)</f>
        <v>1</v>
      </c>
      <c r="AM164" s="70"/>
      <c r="AN164" s="71" t="str">
        <f>IFERROR(__xludf.DUMMYFUNCTION("""COMPUTED_VALUE""")," CP")</f>
        <v>CP</v>
      </c>
      <c r="AO164" s="71" t="str">
        <f>IFERROR(__xludf.DUMMYFUNCTION("""COMPUTED_VALUE""")," BM18")</f>
        <v>BM18</v>
      </c>
      <c r="AP164" s="71" t="str">
        <f>IFERROR(__xludf.DUMMYFUNCTION("""COMPUTED_VALUE""")," PZA")</f>
        <v>PZA</v>
      </c>
      <c r="AQ164" s="71" t="str">
        <f>IFERROR(__xludf.DUMMYFUNCTION("""COMPUTED_VALUE""")," REF")</f>
        <v>REF</v>
      </c>
      <c r="AR164" s="71" t="str">
        <f>IFERROR(__xludf.DUMMYFUNCTION("""COMPUTED_VALUE""")," BANDA METÁLICA SENCILLA 72 TABLETA")</f>
        <v>BANDA METÁLICA SENCILLA 72 TABLETA</v>
      </c>
      <c r="AS164" s="71" t="str">
        <f>IFERROR(__xludf.DUMMYFUNCTION("""COMPUTED_VALUE""")," BANDA METALICA SENC 72 TABLETA")</f>
        <v>BANDA METALICA SENC 72 TABLETA</v>
      </c>
      <c r="AT164" s="71">
        <f>IFERROR(__xludf.DUMMYFUNCTION("""COMPUTED_VALUE"""),30.0)</f>
        <v>30</v>
      </c>
      <c r="AU164" s="71"/>
      <c r="AV164" s="71"/>
      <c r="AW164" s="71"/>
      <c r="AX164" s="71"/>
      <c r="AY164" s="71">
        <f>IFERROR(__xludf.DUMMYFUNCTION("""COMPUTED_VALUE"""),2029.0)</f>
        <v>2029</v>
      </c>
      <c r="AZ164" s="71">
        <f>IFERROR(__xludf.DUMMYFUNCTION("""COMPUTED_VALUE"""),1832.0)</f>
        <v>1832</v>
      </c>
      <c r="BA164" s="71">
        <f>IFERROR(__xludf.DUMMYFUNCTION("""COMPUTED_VALUE"""),1978.5600000000002)</f>
        <v>1978.56</v>
      </c>
      <c r="BB164" s="71">
        <f>IFERROR(__xludf.DUMMYFUNCTION("""COMPUTED_VALUE"""),1978.5600000000002)</f>
        <v>1978.56</v>
      </c>
      <c r="BC164" s="71">
        <f>IFERROR(__xludf.DUMMYFUNCTION("""COMPUTED_VALUE"""),2203.0)</f>
        <v>2203</v>
      </c>
      <c r="BD164" s="71">
        <f>IFERROR(__xludf.DUMMYFUNCTION("""COMPUTED_VALUE"""),1728.0)</f>
        <v>1728</v>
      </c>
      <c r="BE164" s="71">
        <f>IFERROR(__xludf.DUMMYFUNCTION("""COMPUTED_VALUE"""),276.48)</f>
        <v>276.48</v>
      </c>
      <c r="BF164" s="71">
        <f>IFERROR(__xludf.DUMMYFUNCTION("""COMPUTED_VALUE"""),2004.48)</f>
        <v>2004.48</v>
      </c>
      <c r="BG164" s="71">
        <f>IFERROR(__xludf.DUMMYFUNCTION("""COMPUTED_VALUE"""),-0.21561507035860192)</f>
        <v>-0.2156150704</v>
      </c>
      <c r="BH164" s="71">
        <f>IFERROR(__xludf.DUMMYFUNCTION("""COMPUTED_VALUE"""),1641.6)</f>
        <v>1641.6</v>
      </c>
      <c r="BI164" s="71">
        <f>IFERROR(__xludf.DUMMYFUNCTION("""COMPUTED_VALUE"""),262.656)</f>
        <v>262.656</v>
      </c>
      <c r="BJ164" s="71">
        <f>IFERROR(__xludf.DUMMYFUNCTION("""COMPUTED_VALUE"""),1904.2559999999999)</f>
        <v>1904.256</v>
      </c>
      <c r="BK164" s="71">
        <f>IFERROR(__xludf.DUMMYFUNCTION("""COMPUTED_VALUE"""),1555.2)</f>
        <v>1555.2</v>
      </c>
      <c r="BL164" s="71">
        <f>IFERROR(__xludf.DUMMYFUNCTION("""COMPUTED_VALUE"""),248.83200000000002)</f>
        <v>248.832</v>
      </c>
      <c r="BM164" s="71">
        <f>IFERROR(__xludf.DUMMYFUNCTION("""COMPUTED_VALUE"""),1804.0320000000002)</f>
        <v>1804.032</v>
      </c>
      <c r="BN164" s="71">
        <f>IFERROR(__xludf.DUMMYFUNCTION("""COMPUTED_VALUE"""),1468.8)</f>
        <v>1468.8</v>
      </c>
      <c r="BO164" s="71">
        <f>IFERROR(__xludf.DUMMYFUNCTION("""COMPUTED_VALUE"""),235.008)</f>
        <v>235.008</v>
      </c>
      <c r="BP164" s="71">
        <f>IFERROR(__xludf.DUMMYFUNCTION("""COMPUTED_VALUE"""),1703.808)</f>
        <v>1703.808</v>
      </c>
      <c r="BQ164" s="71">
        <f>IFERROR(__xludf.DUMMYFUNCTION("""COMPUTED_VALUE"""),1434.24)</f>
        <v>1434.24</v>
      </c>
      <c r="BR164" s="71">
        <f>IFERROR(__xludf.DUMMYFUNCTION("""COMPUTED_VALUE"""),229.4784)</f>
        <v>229.4784</v>
      </c>
      <c r="BS164" s="71">
        <f>IFERROR(__xludf.DUMMYFUNCTION("""COMPUTED_VALUE"""),1663.7184)</f>
        <v>1663.7184</v>
      </c>
      <c r="BT164" s="71">
        <f>IFERROR(__xludf.DUMMYFUNCTION("""COMPUTED_VALUE"""),1382.4)</f>
        <v>1382.4</v>
      </c>
      <c r="BU164" s="71">
        <f>IFERROR(__xludf.DUMMYFUNCTION("""COMPUTED_VALUE"""),221.18400000000003)</f>
        <v>221.184</v>
      </c>
      <c r="BV164" s="71">
        <f>IFERROR(__xludf.DUMMYFUNCTION("""COMPUTED_VALUE"""),1603.584)</f>
        <v>1603.584</v>
      </c>
    </row>
    <row r="165">
      <c r="A165" s="53">
        <v>1.0</v>
      </c>
      <c r="B165" s="53"/>
      <c r="C165" s="53" t="s">
        <v>12</v>
      </c>
      <c r="D165" s="53" t="s">
        <v>429</v>
      </c>
      <c r="E165" s="54" t="s">
        <v>38</v>
      </c>
      <c r="F165" s="54" t="s">
        <v>42</v>
      </c>
      <c r="G165" s="55" t="s">
        <v>430</v>
      </c>
      <c r="H165" s="55" t="s">
        <v>430</v>
      </c>
      <c r="I165" s="54">
        <f t="shared" si="1"/>
        <v>23</v>
      </c>
      <c r="J165" s="56"/>
      <c r="K165" s="75"/>
      <c r="L165" s="76"/>
      <c r="M165" s="59"/>
      <c r="N165" s="79">
        <v>18.0</v>
      </c>
      <c r="O165" s="61">
        <v>19.0</v>
      </c>
      <c r="P165" s="63">
        <v>20.520000000000003</v>
      </c>
      <c r="Q165" s="63">
        <v>20.520000000000003</v>
      </c>
      <c r="R165" s="64">
        <v>23.0</v>
      </c>
      <c r="S165" s="111">
        <v>24.0</v>
      </c>
      <c r="T165" s="65">
        <f t="shared" si="2"/>
        <v>3.84</v>
      </c>
      <c r="U165" s="65">
        <f t="shared" si="3"/>
        <v>27.84</v>
      </c>
      <c r="V165" s="66">
        <f t="shared" si="4"/>
        <v>0.04347826087</v>
      </c>
      <c r="W165" s="67">
        <f t="shared" si="5"/>
        <v>22.8</v>
      </c>
      <c r="X165" s="67">
        <f t="shared" si="6"/>
        <v>3.648</v>
      </c>
      <c r="Y165" s="67">
        <f t="shared" si="7"/>
        <v>26.448</v>
      </c>
      <c r="Z165" s="67">
        <f t="shared" si="8"/>
        <v>21.6</v>
      </c>
      <c r="AA165" s="67">
        <f t="shared" si="9"/>
        <v>3.456</v>
      </c>
      <c r="AB165" s="67">
        <f t="shared" si="10"/>
        <v>25.056</v>
      </c>
      <c r="AC165" s="67">
        <f t="shared" si="11"/>
        <v>20.4</v>
      </c>
      <c r="AD165" s="67">
        <f t="shared" si="12"/>
        <v>3.264</v>
      </c>
      <c r="AE165" s="67">
        <f t="shared" si="13"/>
        <v>23.664</v>
      </c>
      <c r="AF165" s="67">
        <f t="shared" si="14"/>
        <v>19.92</v>
      </c>
      <c r="AG165" s="67">
        <f t="shared" si="15"/>
        <v>3.1872</v>
      </c>
      <c r="AH165" s="67">
        <f t="shared" si="16"/>
        <v>23.1072</v>
      </c>
      <c r="AI165" s="67">
        <f t="shared" si="17"/>
        <v>19.2</v>
      </c>
      <c r="AJ165" s="68">
        <f t="shared" si="20"/>
        <v>3.072</v>
      </c>
      <c r="AK165" s="68">
        <f t="shared" si="21"/>
        <v>22.272</v>
      </c>
      <c r="AL165" s="70">
        <f>IFERROR(__xludf.DUMMYFUNCTION("""COMPUTED_VALUE"""),1.0)</f>
        <v>1</v>
      </c>
      <c r="AM165" s="70"/>
      <c r="AN165" s="71" t="str">
        <f>IFERROR(__xludf.DUMMYFUNCTION("""COMPUTED_VALUE""")," CP")</f>
        <v>CP</v>
      </c>
      <c r="AO165" s="71" t="str">
        <f>IFERROR(__xludf.DUMMYFUNCTION("""COMPUTED_VALUE""")," BM16")</f>
        <v>BM16</v>
      </c>
      <c r="AP165" s="71" t="str">
        <f>IFERROR(__xludf.DUMMYFUNCTION("""COMPUTED_VALUE""")," PZA")</f>
        <v>PZA</v>
      </c>
      <c r="AQ165" s="71" t="str">
        <f>IFERROR(__xludf.DUMMYFUNCTION("""COMPUTED_VALUE""")," REF")</f>
        <v>REF</v>
      </c>
      <c r="AR165" s="71" t="str">
        <f>IFERROR(__xludf.DUMMYFUNCTION("""COMPUTED_VALUE""")," BANDA METÁLICA SENCILLA 82 TABLETA")</f>
        <v>BANDA METÁLICA SENCILLA 82 TABLETA</v>
      </c>
      <c r="AS165" s="71" t="str">
        <f>IFERROR(__xludf.DUMMYFUNCTION("""COMPUTED_VALUE""")," BANDA METALICA SENC 82 TABLETA")</f>
        <v>BANDA METALICA SENC 82 TABLETA</v>
      </c>
      <c r="AT165" s="71">
        <f>IFERROR(__xludf.DUMMYFUNCTION("""COMPUTED_VALUE"""),30.0)</f>
        <v>30</v>
      </c>
      <c r="AU165" s="71"/>
      <c r="AV165" s="71"/>
      <c r="AW165" s="71"/>
      <c r="AX165" s="71"/>
      <c r="AY165" s="71">
        <f>IFERROR(__xludf.DUMMYFUNCTION("""COMPUTED_VALUE"""),2308.0)</f>
        <v>2308</v>
      </c>
      <c r="AZ165" s="71">
        <f>IFERROR(__xludf.DUMMYFUNCTION("""COMPUTED_VALUE"""),2083.0)</f>
        <v>2083</v>
      </c>
      <c r="BA165" s="71">
        <f>IFERROR(__xludf.DUMMYFUNCTION("""COMPUTED_VALUE"""),2249.6400000000003)</f>
        <v>2249.64</v>
      </c>
      <c r="BB165" s="71">
        <f>IFERROR(__xludf.DUMMYFUNCTION("""COMPUTED_VALUE"""),2249.6400000000003)</f>
        <v>2249.64</v>
      </c>
      <c r="BC165" s="71">
        <f>IFERROR(__xludf.DUMMYFUNCTION("""COMPUTED_VALUE"""),2505.0)</f>
        <v>2505</v>
      </c>
      <c r="BD165" s="71">
        <f>IFERROR(__xludf.DUMMYFUNCTION("""COMPUTED_VALUE"""),1968.0)</f>
        <v>1968</v>
      </c>
      <c r="BE165" s="71">
        <f>IFERROR(__xludf.DUMMYFUNCTION("""COMPUTED_VALUE"""),314.88)</f>
        <v>314.88</v>
      </c>
      <c r="BF165" s="71">
        <f>IFERROR(__xludf.DUMMYFUNCTION("""COMPUTED_VALUE"""),2282.88)</f>
        <v>2282.88</v>
      </c>
      <c r="BG165" s="71">
        <f>IFERROR(__xludf.DUMMYFUNCTION("""COMPUTED_VALUE"""),-0.21437125748502994)</f>
        <v>-0.2143712575</v>
      </c>
      <c r="BH165" s="71">
        <f>IFERROR(__xludf.DUMMYFUNCTION("""COMPUTED_VALUE"""),1869.6)</f>
        <v>1869.6</v>
      </c>
      <c r="BI165" s="71">
        <f>IFERROR(__xludf.DUMMYFUNCTION("""COMPUTED_VALUE"""),299.13599999999997)</f>
        <v>299.136</v>
      </c>
      <c r="BJ165" s="71">
        <f>IFERROR(__xludf.DUMMYFUNCTION("""COMPUTED_VALUE"""),2168.736)</f>
        <v>2168.736</v>
      </c>
      <c r="BK165" s="71">
        <f>IFERROR(__xludf.DUMMYFUNCTION("""COMPUTED_VALUE"""),1771.2)</f>
        <v>1771.2</v>
      </c>
      <c r="BL165" s="71">
        <f>IFERROR(__xludf.DUMMYFUNCTION("""COMPUTED_VALUE"""),283.392)</f>
        <v>283.392</v>
      </c>
      <c r="BM165" s="71">
        <f>IFERROR(__xludf.DUMMYFUNCTION("""COMPUTED_VALUE"""),2054.592)</f>
        <v>2054.592</v>
      </c>
      <c r="BN165" s="71">
        <f>IFERROR(__xludf.DUMMYFUNCTION("""COMPUTED_VALUE"""),1672.8)</f>
        <v>1672.8</v>
      </c>
      <c r="BO165" s="71">
        <f>IFERROR(__xludf.DUMMYFUNCTION("""COMPUTED_VALUE"""),267.648)</f>
        <v>267.648</v>
      </c>
      <c r="BP165" s="71">
        <f>IFERROR(__xludf.DUMMYFUNCTION("""COMPUTED_VALUE"""),1940.4479999999999)</f>
        <v>1940.448</v>
      </c>
      <c r="BQ165" s="71">
        <f>IFERROR(__xludf.DUMMYFUNCTION("""COMPUTED_VALUE"""),1633.4399999999998)</f>
        <v>1633.44</v>
      </c>
      <c r="BR165" s="71">
        <f>IFERROR(__xludf.DUMMYFUNCTION("""COMPUTED_VALUE"""),261.3504)</f>
        <v>261.3504</v>
      </c>
      <c r="BS165" s="71">
        <f>IFERROR(__xludf.DUMMYFUNCTION("""COMPUTED_VALUE"""),1894.7903999999999)</f>
        <v>1894.7904</v>
      </c>
      <c r="BT165" s="71">
        <f>IFERROR(__xludf.DUMMYFUNCTION("""COMPUTED_VALUE"""),1574.4)</f>
        <v>1574.4</v>
      </c>
      <c r="BU165" s="71">
        <f>IFERROR(__xludf.DUMMYFUNCTION("""COMPUTED_VALUE"""),251.90400000000002)</f>
        <v>251.904</v>
      </c>
      <c r="BV165" s="71">
        <f>IFERROR(__xludf.DUMMYFUNCTION("""COMPUTED_VALUE"""),1826.304)</f>
        <v>1826.304</v>
      </c>
    </row>
    <row r="166">
      <c r="A166" s="53"/>
      <c r="B166" s="53">
        <v>3.0</v>
      </c>
      <c r="C166" s="53" t="s">
        <v>36</v>
      </c>
      <c r="D166" s="120" t="s">
        <v>431</v>
      </c>
      <c r="E166" s="54" t="s">
        <v>38</v>
      </c>
      <c r="F166" s="55" t="s">
        <v>61</v>
      </c>
      <c r="G166" s="86" t="s">
        <v>432</v>
      </c>
      <c r="H166" s="55"/>
      <c r="I166" s="54">
        <f t="shared" si="1"/>
        <v>0</v>
      </c>
      <c r="J166" s="56"/>
      <c r="K166" s="57"/>
      <c r="L166" s="76"/>
      <c r="M166" s="59"/>
      <c r="N166" s="60"/>
      <c r="O166" s="61">
        <v>39500.0</v>
      </c>
      <c r="P166" s="62">
        <v>42660.0</v>
      </c>
      <c r="Q166" s="63">
        <v>42660.0</v>
      </c>
      <c r="R166" s="64">
        <v>47033.0</v>
      </c>
      <c r="S166" s="107">
        <v>49385.0</v>
      </c>
      <c r="T166" s="65">
        <f t="shared" si="2"/>
        <v>7901.6</v>
      </c>
      <c r="U166" s="65">
        <f t="shared" si="3"/>
        <v>57286.6</v>
      </c>
      <c r="V166" s="66">
        <f t="shared" si="4"/>
        <v>0.05000744158</v>
      </c>
      <c r="W166" s="67">
        <f t="shared" si="5"/>
        <v>46915.75</v>
      </c>
      <c r="X166" s="67">
        <f t="shared" si="6"/>
        <v>7506.52</v>
      </c>
      <c r="Y166" s="67">
        <f t="shared" si="7"/>
        <v>54422.27</v>
      </c>
      <c r="Z166" s="67">
        <f t="shared" si="8"/>
        <v>44446.5</v>
      </c>
      <c r="AA166" s="67">
        <f t="shared" si="9"/>
        <v>7111.44</v>
      </c>
      <c r="AB166" s="67">
        <f t="shared" si="10"/>
        <v>51557.94</v>
      </c>
      <c r="AC166" s="67">
        <f t="shared" si="11"/>
        <v>44446.5</v>
      </c>
      <c r="AD166" s="67">
        <f t="shared" si="12"/>
        <v>7111.44</v>
      </c>
      <c r="AE166" s="67">
        <f t="shared" si="13"/>
        <v>51557.94</v>
      </c>
      <c r="AF166" s="67">
        <f t="shared" si="14"/>
        <v>44446.5</v>
      </c>
      <c r="AG166" s="67">
        <f t="shared" si="15"/>
        <v>7111.44</v>
      </c>
      <c r="AH166" s="67">
        <f t="shared" si="16"/>
        <v>51557.94</v>
      </c>
      <c r="AI166" s="67">
        <f t="shared" si="17"/>
        <v>44446.5</v>
      </c>
      <c r="AJ166" s="68">
        <f t="shared" si="20"/>
        <v>7111.44</v>
      </c>
      <c r="AK166" s="68">
        <f t="shared" si="21"/>
        <v>51557.94</v>
      </c>
      <c r="AL166" s="70">
        <f>IFERROR(__xludf.DUMMYFUNCTION("""COMPUTED_VALUE"""),1.0)</f>
        <v>1</v>
      </c>
      <c r="AM166" s="70"/>
      <c r="AN166" s="71" t="str">
        <f>IFERROR(__xludf.DUMMYFUNCTION("""COMPUTED_VALUE""")," CP")</f>
        <v>CP</v>
      </c>
      <c r="AO166" s="71" t="str">
        <f>IFERROR(__xludf.DUMMYFUNCTION("""COMPUTED_VALUE""")," BM17")</f>
        <v>BM17</v>
      </c>
      <c r="AP166" s="71" t="str">
        <f>IFERROR(__xludf.DUMMYFUNCTION("""COMPUTED_VALUE""")," PZA")</f>
        <v>PZA</v>
      </c>
      <c r="AQ166" s="71" t="str">
        <f>IFERROR(__xludf.DUMMYFUNCTION("""COMPUTED_VALUE""")," REF")</f>
        <v>REF</v>
      </c>
      <c r="AR166" s="71" t="str">
        <f>IFERROR(__xludf.DUMMYFUNCTION("""COMPUTED_VALUE""")," BANDA METÁLICA SENCILLA 83 TABLETA")</f>
        <v>BANDA METÁLICA SENCILLA 83 TABLETA</v>
      </c>
      <c r="AS166" s="71" t="str">
        <f>IFERROR(__xludf.DUMMYFUNCTION("""COMPUTED_VALUE""")," BANDA METALICA SENC 83 TABLETA")</f>
        <v>BANDA METALICA SENC 83 TABLETA</v>
      </c>
      <c r="AT166" s="71">
        <f>IFERROR(__xludf.DUMMYFUNCTION("""COMPUTED_VALUE"""),30.0)</f>
        <v>30</v>
      </c>
      <c r="AU166" s="71"/>
      <c r="AV166" s="71"/>
      <c r="AW166" s="71"/>
      <c r="AX166" s="71"/>
      <c r="AY166" s="71">
        <f>IFERROR(__xludf.DUMMYFUNCTION("""COMPUTED_VALUE"""),2338.0)</f>
        <v>2338</v>
      </c>
      <c r="AZ166" s="71">
        <f>IFERROR(__xludf.DUMMYFUNCTION("""COMPUTED_VALUE"""),2110.0)</f>
        <v>2110</v>
      </c>
      <c r="BA166" s="71">
        <f>IFERROR(__xludf.DUMMYFUNCTION("""COMPUTED_VALUE"""),2278.8)</f>
        <v>2278.8</v>
      </c>
      <c r="BB166" s="71">
        <f>IFERROR(__xludf.DUMMYFUNCTION("""COMPUTED_VALUE"""),2278.8)</f>
        <v>2278.8</v>
      </c>
      <c r="BC166" s="71">
        <f>IFERROR(__xludf.DUMMYFUNCTION("""COMPUTED_VALUE"""),2537.0)</f>
        <v>2537</v>
      </c>
      <c r="BD166" s="71">
        <f>IFERROR(__xludf.DUMMYFUNCTION("""COMPUTED_VALUE"""),1992.0)</f>
        <v>1992</v>
      </c>
      <c r="BE166" s="71">
        <f>IFERROR(__xludf.DUMMYFUNCTION("""COMPUTED_VALUE"""),318.72)</f>
        <v>318.72</v>
      </c>
      <c r="BF166" s="71">
        <f>IFERROR(__xludf.DUMMYFUNCTION("""COMPUTED_VALUE"""),2310.7200000000003)</f>
        <v>2310.72</v>
      </c>
      <c r="BG166" s="71">
        <f>IFERROR(__xludf.DUMMYFUNCTION("""COMPUTED_VALUE"""),-0.2148206543161214)</f>
        <v>-0.2148206543</v>
      </c>
      <c r="BH166" s="71">
        <f>IFERROR(__xludf.DUMMYFUNCTION("""COMPUTED_VALUE"""),1892.3999999999999)</f>
        <v>1892.4</v>
      </c>
      <c r="BI166" s="71">
        <f>IFERROR(__xludf.DUMMYFUNCTION("""COMPUTED_VALUE"""),302.784)</f>
        <v>302.784</v>
      </c>
      <c r="BJ166" s="71">
        <f>IFERROR(__xludf.DUMMYFUNCTION("""COMPUTED_VALUE"""),2195.1839999999997)</f>
        <v>2195.184</v>
      </c>
      <c r="BK166" s="71">
        <f>IFERROR(__xludf.DUMMYFUNCTION("""COMPUTED_VALUE"""),1792.8)</f>
        <v>1792.8</v>
      </c>
      <c r="BL166" s="71">
        <f>IFERROR(__xludf.DUMMYFUNCTION("""COMPUTED_VALUE"""),286.848)</f>
        <v>286.848</v>
      </c>
      <c r="BM166" s="71">
        <f>IFERROR(__xludf.DUMMYFUNCTION("""COMPUTED_VALUE"""),2079.648)</f>
        <v>2079.648</v>
      </c>
      <c r="BN166" s="71">
        <f>IFERROR(__xludf.DUMMYFUNCTION("""COMPUTED_VALUE"""),1693.2)</f>
        <v>1693.2</v>
      </c>
      <c r="BO166" s="71">
        <f>IFERROR(__xludf.DUMMYFUNCTION("""COMPUTED_VALUE"""),270.91200000000003)</f>
        <v>270.912</v>
      </c>
      <c r="BP166" s="71">
        <f>IFERROR(__xludf.DUMMYFUNCTION("""COMPUTED_VALUE"""),1964.112)</f>
        <v>1964.112</v>
      </c>
      <c r="BQ166" s="71">
        <f>IFERROR(__xludf.DUMMYFUNCTION("""COMPUTED_VALUE"""),1653.36)</f>
        <v>1653.36</v>
      </c>
      <c r="BR166" s="71">
        <f>IFERROR(__xludf.DUMMYFUNCTION("""COMPUTED_VALUE"""),264.5376)</f>
        <v>264.5376</v>
      </c>
      <c r="BS166" s="71">
        <f>IFERROR(__xludf.DUMMYFUNCTION("""COMPUTED_VALUE"""),1917.8975999999998)</f>
        <v>1917.8976</v>
      </c>
      <c r="BT166" s="71">
        <f>IFERROR(__xludf.DUMMYFUNCTION("""COMPUTED_VALUE"""),1593.6000000000001)</f>
        <v>1593.6</v>
      </c>
      <c r="BU166" s="71">
        <f>IFERROR(__xludf.DUMMYFUNCTION("""COMPUTED_VALUE"""),254.97600000000003)</f>
        <v>254.976</v>
      </c>
      <c r="BV166" s="71">
        <f>IFERROR(__xludf.DUMMYFUNCTION("""COMPUTED_VALUE"""),1848.5760000000002)</f>
        <v>1848.576</v>
      </c>
    </row>
    <row r="167">
      <c r="A167" s="53"/>
      <c r="B167" s="53">
        <v>3.0</v>
      </c>
      <c r="C167" s="53" t="s">
        <v>36</v>
      </c>
      <c r="D167" s="121" t="s">
        <v>433</v>
      </c>
      <c r="E167" s="54" t="s">
        <v>38</v>
      </c>
      <c r="F167" s="55" t="s">
        <v>61</v>
      </c>
      <c r="G167" s="101" t="s">
        <v>434</v>
      </c>
      <c r="H167" s="55"/>
      <c r="I167" s="54">
        <f t="shared" si="1"/>
        <v>0</v>
      </c>
      <c r="J167" s="56"/>
      <c r="K167" s="57"/>
      <c r="L167" s="76"/>
      <c r="M167" s="59"/>
      <c r="N167" s="60"/>
      <c r="O167" s="61">
        <v>38058.0</v>
      </c>
      <c r="P167" s="62">
        <v>41102.64</v>
      </c>
      <c r="Q167" s="63">
        <v>41102.64</v>
      </c>
      <c r="R167" s="64">
        <v>45316.0</v>
      </c>
      <c r="S167" s="107">
        <v>47582.0</v>
      </c>
      <c r="T167" s="65">
        <f t="shared" si="2"/>
        <v>7613.12</v>
      </c>
      <c r="U167" s="65">
        <f t="shared" si="3"/>
        <v>55195.12</v>
      </c>
      <c r="V167" s="66">
        <f t="shared" si="4"/>
        <v>0.05000441345</v>
      </c>
      <c r="W167" s="67">
        <f t="shared" si="5"/>
        <v>45202.9</v>
      </c>
      <c r="X167" s="67">
        <f t="shared" si="6"/>
        <v>7232.464</v>
      </c>
      <c r="Y167" s="67">
        <f t="shared" si="7"/>
        <v>52435.364</v>
      </c>
      <c r="Z167" s="67">
        <f t="shared" si="8"/>
        <v>42823.8</v>
      </c>
      <c r="AA167" s="67">
        <f t="shared" si="9"/>
        <v>6851.808</v>
      </c>
      <c r="AB167" s="67">
        <f t="shared" si="10"/>
        <v>49675.608</v>
      </c>
      <c r="AC167" s="67">
        <f t="shared" si="11"/>
        <v>42823.8</v>
      </c>
      <c r="AD167" s="67">
        <f t="shared" si="12"/>
        <v>6851.808</v>
      </c>
      <c r="AE167" s="67">
        <f t="shared" si="13"/>
        <v>49675.608</v>
      </c>
      <c r="AF167" s="67">
        <f t="shared" si="14"/>
        <v>42823.8</v>
      </c>
      <c r="AG167" s="67">
        <f t="shared" si="15"/>
        <v>6851.808</v>
      </c>
      <c r="AH167" s="67">
        <f t="shared" si="16"/>
        <v>49675.608</v>
      </c>
      <c r="AI167" s="67">
        <f t="shared" si="17"/>
        <v>42823.8</v>
      </c>
      <c r="AJ167" s="68">
        <f t="shared" si="20"/>
        <v>6851.808</v>
      </c>
      <c r="AK167" s="68">
        <f t="shared" si="21"/>
        <v>49675.608</v>
      </c>
      <c r="AL167" s="70">
        <f>IFERROR(__xludf.DUMMYFUNCTION("""COMPUTED_VALUE"""),1.0)</f>
        <v>1</v>
      </c>
      <c r="AM167" s="70"/>
      <c r="AN167" s="71" t="str">
        <f>IFERROR(__xludf.DUMMYFUNCTION("""COMPUTED_VALUE""")," CP")</f>
        <v>CP</v>
      </c>
      <c r="AO167" s="71" t="str">
        <f>IFERROR(__xludf.DUMMYFUNCTION("""COMPUTED_VALUE""")," BM10")</f>
        <v>BM10</v>
      </c>
      <c r="AP167" s="71" t="str">
        <f>IFERROR(__xludf.DUMMYFUNCTION("""COMPUTED_VALUE""")," PZA")</f>
        <v>PZA</v>
      </c>
      <c r="AQ167" s="71" t="str">
        <f>IFERROR(__xludf.DUMMYFUNCTION("""COMPUTED_VALUE""")," REF")</f>
        <v>REF</v>
      </c>
      <c r="AR167" s="71" t="str">
        <f>IFERROR(__xludf.DUMMYFUNCTION("""COMPUTED_VALUE""")," BANDA METÁLICA SENCILLA 92 TABLETA")</f>
        <v>BANDA METÁLICA SENCILLA 92 TABLETA</v>
      </c>
      <c r="AS167" s="71" t="str">
        <f>IFERROR(__xludf.DUMMYFUNCTION("""COMPUTED_VALUE""")," BANDA METALICA SENC 92 TABLETA")</f>
        <v>BANDA METALICA SENC 92 TABLETA</v>
      </c>
      <c r="AT167" s="71">
        <f>IFERROR(__xludf.DUMMYFUNCTION("""COMPUTED_VALUE"""),30.0)</f>
        <v>30</v>
      </c>
      <c r="AU167" s="71"/>
      <c r="AV167" s="71"/>
      <c r="AW167" s="71"/>
      <c r="AX167" s="71"/>
      <c r="AY167" s="71">
        <f>IFERROR(__xludf.DUMMYFUNCTION("""COMPUTED_VALUE"""),2591.0)</f>
        <v>2591</v>
      </c>
      <c r="AZ167" s="71">
        <f>IFERROR(__xludf.DUMMYFUNCTION("""COMPUTED_VALUE"""),2338.0)</f>
        <v>2338</v>
      </c>
      <c r="BA167" s="71">
        <f>IFERROR(__xludf.DUMMYFUNCTION("""COMPUTED_VALUE"""),2525.04)</f>
        <v>2525.04</v>
      </c>
      <c r="BB167" s="71">
        <f>IFERROR(__xludf.DUMMYFUNCTION("""COMPUTED_VALUE"""),2525.04)</f>
        <v>2525.04</v>
      </c>
      <c r="BC167" s="71">
        <f>IFERROR(__xludf.DUMMYFUNCTION("""COMPUTED_VALUE"""),2811.0)</f>
        <v>2811</v>
      </c>
      <c r="BD167" s="71">
        <f>IFERROR(__xludf.DUMMYFUNCTION("""COMPUTED_VALUE"""),2208.0)</f>
        <v>2208</v>
      </c>
      <c r="BE167" s="71">
        <f>IFERROR(__xludf.DUMMYFUNCTION("""COMPUTED_VALUE"""),353.28000000000003)</f>
        <v>353.28</v>
      </c>
      <c r="BF167" s="71">
        <f>IFERROR(__xludf.DUMMYFUNCTION("""COMPUTED_VALUE"""),2561.28)</f>
        <v>2561.28</v>
      </c>
      <c r="BG167" s="71">
        <f>IFERROR(__xludf.DUMMYFUNCTION("""COMPUTED_VALUE"""),-0.21451440768409819)</f>
        <v>-0.2145144077</v>
      </c>
      <c r="BH167" s="71">
        <f>IFERROR(__xludf.DUMMYFUNCTION("""COMPUTED_VALUE"""),2097.6)</f>
        <v>2097.6</v>
      </c>
      <c r="BI167" s="71">
        <f>IFERROR(__xludf.DUMMYFUNCTION("""COMPUTED_VALUE"""),335.616)</f>
        <v>335.616</v>
      </c>
      <c r="BJ167" s="71">
        <f>IFERROR(__xludf.DUMMYFUNCTION("""COMPUTED_VALUE"""),2433.216)</f>
        <v>2433.216</v>
      </c>
      <c r="BK167" s="71">
        <f>IFERROR(__xludf.DUMMYFUNCTION("""COMPUTED_VALUE"""),1987.2)</f>
        <v>1987.2</v>
      </c>
      <c r="BL167" s="71">
        <f>IFERROR(__xludf.DUMMYFUNCTION("""COMPUTED_VALUE"""),317.952)</f>
        <v>317.952</v>
      </c>
      <c r="BM167" s="71">
        <f>IFERROR(__xludf.DUMMYFUNCTION("""COMPUTED_VALUE"""),2305.152)</f>
        <v>2305.152</v>
      </c>
      <c r="BN167" s="71">
        <f>IFERROR(__xludf.DUMMYFUNCTION("""COMPUTED_VALUE"""),1876.8)</f>
        <v>1876.8</v>
      </c>
      <c r="BO167" s="71">
        <f>IFERROR(__xludf.DUMMYFUNCTION("""COMPUTED_VALUE"""),300.288)</f>
        <v>300.288</v>
      </c>
      <c r="BP167" s="71">
        <f>IFERROR(__xludf.DUMMYFUNCTION("""COMPUTED_VALUE"""),2177.0879999999997)</f>
        <v>2177.088</v>
      </c>
      <c r="BQ167" s="71">
        <f>IFERROR(__xludf.DUMMYFUNCTION("""COMPUTED_VALUE"""),1832.6399999999999)</f>
        <v>1832.64</v>
      </c>
      <c r="BR167" s="71">
        <f>IFERROR(__xludf.DUMMYFUNCTION("""COMPUTED_VALUE"""),293.2224)</f>
        <v>293.2224</v>
      </c>
      <c r="BS167" s="71">
        <f>IFERROR(__xludf.DUMMYFUNCTION("""COMPUTED_VALUE"""),2125.8624)</f>
        <v>2125.8624</v>
      </c>
      <c r="BT167" s="71">
        <f>IFERROR(__xludf.DUMMYFUNCTION("""COMPUTED_VALUE"""),1766.4)</f>
        <v>1766.4</v>
      </c>
      <c r="BU167" s="71">
        <f>IFERROR(__xludf.DUMMYFUNCTION("""COMPUTED_VALUE"""),282.624)</f>
        <v>282.624</v>
      </c>
      <c r="BV167" s="71">
        <f>IFERROR(__xludf.DUMMYFUNCTION("""COMPUTED_VALUE"""),2049.0240000000003)</f>
        <v>2049.024</v>
      </c>
    </row>
    <row r="168">
      <c r="A168" s="53"/>
      <c r="B168" s="53">
        <v>3.0</v>
      </c>
      <c r="C168" s="53" t="s">
        <v>36</v>
      </c>
      <c r="D168" s="121" t="s">
        <v>435</v>
      </c>
      <c r="E168" s="54" t="s">
        <v>38</v>
      </c>
      <c r="F168" s="55" t="s">
        <v>61</v>
      </c>
      <c r="G168" s="101" t="s">
        <v>436</v>
      </c>
      <c r="H168" s="55"/>
      <c r="I168" s="54">
        <f t="shared" si="1"/>
        <v>0</v>
      </c>
      <c r="J168" s="56"/>
      <c r="K168" s="57"/>
      <c r="L168" s="76"/>
      <c r="M168" s="59"/>
      <c r="N168" s="60"/>
      <c r="O168" s="61">
        <v>24796.0</v>
      </c>
      <c r="P168" s="62">
        <v>26779.68</v>
      </c>
      <c r="Q168" s="63">
        <v>26779.68</v>
      </c>
      <c r="R168" s="64">
        <v>29525.0</v>
      </c>
      <c r="S168" s="107">
        <v>31001.0</v>
      </c>
      <c r="T168" s="65">
        <f t="shared" si="2"/>
        <v>4960.16</v>
      </c>
      <c r="U168" s="65">
        <f t="shared" si="3"/>
        <v>35961.16</v>
      </c>
      <c r="V168" s="66">
        <f t="shared" si="4"/>
        <v>0.0499915326</v>
      </c>
      <c r="W168" s="67">
        <f t="shared" si="5"/>
        <v>29450.95</v>
      </c>
      <c r="X168" s="67">
        <f t="shared" si="6"/>
        <v>4712.152</v>
      </c>
      <c r="Y168" s="67">
        <f t="shared" si="7"/>
        <v>34163.102</v>
      </c>
      <c r="Z168" s="67">
        <f t="shared" si="8"/>
        <v>27900.9</v>
      </c>
      <c r="AA168" s="67">
        <f t="shared" si="9"/>
        <v>4464.144</v>
      </c>
      <c r="AB168" s="67">
        <f t="shared" si="10"/>
        <v>32365.044</v>
      </c>
      <c r="AC168" s="67">
        <f t="shared" si="11"/>
        <v>27900.9</v>
      </c>
      <c r="AD168" s="67">
        <f t="shared" si="12"/>
        <v>4464.144</v>
      </c>
      <c r="AE168" s="67">
        <f t="shared" si="13"/>
        <v>32365.044</v>
      </c>
      <c r="AF168" s="67">
        <f t="shared" si="14"/>
        <v>27900.9</v>
      </c>
      <c r="AG168" s="67">
        <f t="shared" si="15"/>
        <v>4464.144</v>
      </c>
      <c r="AH168" s="67">
        <f t="shared" si="16"/>
        <v>32365.044</v>
      </c>
      <c r="AI168" s="67">
        <f t="shared" si="17"/>
        <v>27900.9</v>
      </c>
      <c r="AJ168" s="68">
        <f t="shared" si="20"/>
        <v>4464.144</v>
      </c>
      <c r="AK168" s="68">
        <f t="shared" si="21"/>
        <v>32365.044</v>
      </c>
      <c r="AL168" s="70">
        <f>IFERROR(__xludf.DUMMYFUNCTION("""COMPUTED_VALUE"""),1.0)</f>
        <v>1</v>
      </c>
      <c r="AM168" s="70"/>
      <c r="AN168" s="71" t="str">
        <f>IFERROR(__xludf.DUMMYFUNCTION("""COMPUTED_VALUE""")," CP")</f>
        <v>CP</v>
      </c>
      <c r="AO168" s="71" t="str">
        <f>IFERROR(__xludf.DUMMYFUNCTION("""COMPUTED_VALUE""")," BM20")</f>
        <v>BM20</v>
      </c>
      <c r="AP168" s="71" t="str">
        <f>IFERROR(__xludf.DUMMYFUNCTION("""COMPUTED_VALUE""")," PZA")</f>
        <v>PZA</v>
      </c>
      <c r="AQ168" s="71" t="str">
        <f>IFERROR(__xludf.DUMMYFUNCTION("""COMPUTED_VALUE""")," REF")</f>
        <v>REF</v>
      </c>
      <c r="AR168" s="71" t="str">
        <f>IFERROR(__xludf.DUMMYFUNCTION("""COMPUTED_VALUE""")," BANDA METÁLICA SENCILLA 93 TABLETA")</f>
        <v>BANDA METÁLICA SENCILLA 93 TABLETA</v>
      </c>
      <c r="AS168" s="71" t="str">
        <f>IFERROR(__xludf.DUMMYFUNCTION("""COMPUTED_VALUE""")," BANDA METALICA SENC 93 TABLETA")</f>
        <v>BANDA METALICA SENC 93 TABLETA</v>
      </c>
      <c r="AT168" s="71">
        <f>IFERROR(__xludf.DUMMYFUNCTION("""COMPUTED_VALUE"""),30.0)</f>
        <v>30</v>
      </c>
      <c r="AU168" s="71"/>
      <c r="AV168" s="71"/>
      <c r="AW168" s="71"/>
      <c r="AX168" s="71"/>
      <c r="AY168" s="71">
        <f>IFERROR(__xludf.DUMMYFUNCTION("""COMPUTED_VALUE"""),2615.0)</f>
        <v>2615</v>
      </c>
      <c r="AZ168" s="71">
        <f>IFERROR(__xludf.DUMMYFUNCTION("""COMPUTED_VALUE"""),2360.0)</f>
        <v>2360</v>
      </c>
      <c r="BA168" s="71">
        <f>IFERROR(__xludf.DUMMYFUNCTION("""COMPUTED_VALUE"""),2548.8)</f>
        <v>2548.8</v>
      </c>
      <c r="BB168" s="71">
        <f>IFERROR(__xludf.DUMMYFUNCTION("""COMPUTED_VALUE"""),2548.8)</f>
        <v>2548.8</v>
      </c>
      <c r="BC168" s="71">
        <f>IFERROR(__xludf.DUMMYFUNCTION("""COMPUTED_VALUE"""),2838.0)</f>
        <v>2838</v>
      </c>
      <c r="BD168" s="71">
        <f>IFERROR(__xludf.DUMMYFUNCTION("""COMPUTED_VALUE"""),2232.0)</f>
        <v>2232</v>
      </c>
      <c r="BE168" s="71">
        <f>IFERROR(__xludf.DUMMYFUNCTION("""COMPUTED_VALUE"""),357.12)</f>
        <v>357.12</v>
      </c>
      <c r="BF168" s="71">
        <f>IFERROR(__xludf.DUMMYFUNCTION("""COMPUTED_VALUE"""),2589.12)</f>
        <v>2589.12</v>
      </c>
      <c r="BG168" s="71">
        <f>IFERROR(__xludf.DUMMYFUNCTION("""COMPUTED_VALUE"""),-0.2135306553911205)</f>
        <v>-0.2135306554</v>
      </c>
      <c r="BH168" s="71">
        <f>IFERROR(__xludf.DUMMYFUNCTION("""COMPUTED_VALUE"""),2120.4)</f>
        <v>2120.4</v>
      </c>
      <c r="BI168" s="71">
        <f>IFERROR(__xludf.DUMMYFUNCTION("""COMPUTED_VALUE"""),339.264)</f>
        <v>339.264</v>
      </c>
      <c r="BJ168" s="71">
        <f>IFERROR(__xludf.DUMMYFUNCTION("""COMPUTED_VALUE"""),2459.664)</f>
        <v>2459.664</v>
      </c>
      <c r="BK168" s="71">
        <f>IFERROR(__xludf.DUMMYFUNCTION("""COMPUTED_VALUE"""),2008.8)</f>
        <v>2008.8</v>
      </c>
      <c r="BL168" s="71">
        <f>IFERROR(__xludf.DUMMYFUNCTION("""COMPUTED_VALUE"""),321.408)</f>
        <v>321.408</v>
      </c>
      <c r="BM168" s="71">
        <f>IFERROR(__xludf.DUMMYFUNCTION("""COMPUTED_VALUE"""),2330.208)</f>
        <v>2330.208</v>
      </c>
      <c r="BN168" s="71">
        <f>IFERROR(__xludf.DUMMYFUNCTION("""COMPUTED_VALUE"""),1897.2)</f>
        <v>1897.2</v>
      </c>
      <c r="BO168" s="71">
        <f>IFERROR(__xludf.DUMMYFUNCTION("""COMPUTED_VALUE"""),303.552)</f>
        <v>303.552</v>
      </c>
      <c r="BP168" s="71">
        <f>IFERROR(__xludf.DUMMYFUNCTION("""COMPUTED_VALUE"""),2200.752)</f>
        <v>2200.752</v>
      </c>
      <c r="BQ168" s="71">
        <f>IFERROR(__xludf.DUMMYFUNCTION("""COMPUTED_VALUE"""),1852.56)</f>
        <v>1852.56</v>
      </c>
      <c r="BR168" s="71">
        <f>IFERROR(__xludf.DUMMYFUNCTION("""COMPUTED_VALUE"""),296.4096)</f>
        <v>296.4096</v>
      </c>
      <c r="BS168" s="71">
        <f>IFERROR(__xludf.DUMMYFUNCTION("""COMPUTED_VALUE"""),2148.9696)</f>
        <v>2148.9696</v>
      </c>
      <c r="BT168" s="71">
        <f>IFERROR(__xludf.DUMMYFUNCTION("""COMPUTED_VALUE"""),1785.6000000000001)</f>
        <v>1785.6</v>
      </c>
      <c r="BU168" s="71">
        <f>IFERROR(__xludf.DUMMYFUNCTION("""COMPUTED_VALUE"""),285.696)</f>
        <v>285.696</v>
      </c>
      <c r="BV168" s="71">
        <f>IFERROR(__xludf.DUMMYFUNCTION("""COMPUTED_VALUE"""),2071.2960000000003)</f>
        <v>2071.296</v>
      </c>
    </row>
    <row r="169">
      <c r="A169" s="53"/>
      <c r="B169" s="53">
        <v>3.0</v>
      </c>
      <c r="C169" s="53" t="s">
        <v>36</v>
      </c>
      <c r="D169" s="98" t="s">
        <v>437</v>
      </c>
      <c r="E169" s="54" t="s">
        <v>38</v>
      </c>
      <c r="F169" s="55" t="s">
        <v>61</v>
      </c>
      <c r="G169" s="81" t="s">
        <v>438</v>
      </c>
      <c r="H169" s="55"/>
      <c r="I169" s="54">
        <f t="shared" si="1"/>
        <v>0</v>
      </c>
      <c r="J169" s="56"/>
      <c r="K169" s="57"/>
      <c r="L169" s="76"/>
      <c r="M169" s="59"/>
      <c r="N169" s="60"/>
      <c r="O169" s="61">
        <v>25642.0</v>
      </c>
      <c r="P169" s="62">
        <v>27693.36</v>
      </c>
      <c r="Q169" s="63">
        <v>27693.36</v>
      </c>
      <c r="R169" s="64">
        <v>30532.0</v>
      </c>
      <c r="S169" s="107">
        <v>32059.0</v>
      </c>
      <c r="T169" s="65">
        <f t="shared" si="2"/>
        <v>5129.44</v>
      </c>
      <c r="U169" s="65">
        <f t="shared" si="3"/>
        <v>37188.44</v>
      </c>
      <c r="V169" s="66">
        <f t="shared" si="4"/>
        <v>0.05001310101</v>
      </c>
      <c r="W169" s="67">
        <f t="shared" si="5"/>
        <v>30456.05</v>
      </c>
      <c r="X169" s="67">
        <f t="shared" si="6"/>
        <v>4872.968</v>
      </c>
      <c r="Y169" s="67">
        <f t="shared" si="7"/>
        <v>35329.018</v>
      </c>
      <c r="Z169" s="67">
        <f t="shared" si="8"/>
        <v>28853.1</v>
      </c>
      <c r="AA169" s="67">
        <f t="shared" si="9"/>
        <v>4616.496</v>
      </c>
      <c r="AB169" s="67">
        <f t="shared" si="10"/>
        <v>33469.596</v>
      </c>
      <c r="AC169" s="67">
        <f t="shared" si="11"/>
        <v>28853.1</v>
      </c>
      <c r="AD169" s="67">
        <f t="shared" si="12"/>
        <v>4616.496</v>
      </c>
      <c r="AE169" s="67">
        <f t="shared" si="13"/>
        <v>33469.596</v>
      </c>
      <c r="AF169" s="67">
        <f t="shared" si="14"/>
        <v>28853.1</v>
      </c>
      <c r="AG169" s="67">
        <f t="shared" si="15"/>
        <v>4616.496</v>
      </c>
      <c r="AH169" s="67">
        <f t="shared" si="16"/>
        <v>33469.596</v>
      </c>
      <c r="AI169" s="67">
        <f t="shared" si="17"/>
        <v>28853.1</v>
      </c>
      <c r="AJ169" s="68">
        <f t="shared" si="20"/>
        <v>4616.496</v>
      </c>
      <c r="AK169" s="68">
        <f t="shared" si="21"/>
        <v>33469.596</v>
      </c>
      <c r="AL169" s="70">
        <f>IFERROR(__xludf.DUMMYFUNCTION("""COMPUTED_VALUE"""),1.0)</f>
        <v>1</v>
      </c>
      <c r="AM169" s="70"/>
      <c r="AN169" s="71" t="str">
        <f>IFERROR(__xludf.DUMMYFUNCTION("""COMPUTED_VALUE""")," CP")</f>
        <v>CP</v>
      </c>
      <c r="AO169" s="71" t="str">
        <f>IFERROR(__xludf.DUMMYFUNCTION("""COMPUTED_VALUE""")," BM11")</f>
        <v>BM11</v>
      </c>
      <c r="AP169" s="71" t="str">
        <f>IFERROR(__xludf.DUMMYFUNCTION("""COMPUTED_VALUE""")," PZA")</f>
        <v>PZA</v>
      </c>
      <c r="AQ169" s="71" t="str">
        <f>IFERROR(__xludf.DUMMYFUNCTION("""COMPUTED_VALUE""")," REF")</f>
        <v>REF</v>
      </c>
      <c r="AR169" s="71" t="str">
        <f>IFERROR(__xludf.DUMMYFUNCTION("""COMPUTED_VALUE""")," BANDA METÁLICA SENCILLA ESPECIAL 100 TABLETA CHICA (SUPERIOR, INFERIOR Y CENTRAL)")</f>
        <v>BANDA METÁLICA SENCILLA ESPECIAL 100 TABLETA CHICA (SUPERIOR, INFERIOR Y CENTRAL)</v>
      </c>
      <c r="AS169" s="71" t="str">
        <f>IFERROR(__xludf.DUMMYFUNCTION("""COMPUTED_VALUE""")," BANDA METALIC SEN ESP 100 TAB CHIC S-C-I")</f>
        <v>BANDA METALIC SEN ESP 100 TAB CHIC S-C-I</v>
      </c>
      <c r="AT169" s="71">
        <f>IFERROR(__xludf.DUMMYFUNCTION("""COMPUTED_VALUE"""),40.0)</f>
        <v>40</v>
      </c>
      <c r="AU169" s="71"/>
      <c r="AV169" s="71"/>
      <c r="AW169" s="71"/>
      <c r="AX169" s="71"/>
      <c r="AY169" s="71">
        <f>IFERROR(__xludf.DUMMYFUNCTION("""COMPUTED_VALUE"""),2711.0)</f>
        <v>2711</v>
      </c>
      <c r="AZ169" s="71">
        <f>IFERROR(__xludf.DUMMYFUNCTION("""COMPUTED_VALUE"""),2446.0)</f>
        <v>2446</v>
      </c>
      <c r="BA169" s="71">
        <f>IFERROR(__xludf.DUMMYFUNCTION("""COMPUTED_VALUE"""),2641.6800000000003)</f>
        <v>2641.68</v>
      </c>
      <c r="BB169" s="71">
        <f>IFERROR(__xludf.DUMMYFUNCTION("""COMPUTED_VALUE"""),2641.6800000000003)</f>
        <v>2641.68</v>
      </c>
      <c r="BC169" s="71">
        <f>IFERROR(__xludf.DUMMYFUNCTION("""COMPUTED_VALUE"""),2942.0)</f>
        <v>2942</v>
      </c>
      <c r="BD169" s="71">
        <f>IFERROR(__xludf.DUMMYFUNCTION("""COMPUTED_VALUE"""),3089.0)</f>
        <v>3089</v>
      </c>
      <c r="BE169" s="71">
        <f>IFERROR(__xludf.DUMMYFUNCTION("""COMPUTED_VALUE"""),494.24)</f>
        <v>494.24</v>
      </c>
      <c r="BF169" s="71">
        <f>IFERROR(__xludf.DUMMYFUNCTION("""COMPUTED_VALUE"""),3583.24)</f>
        <v>3583.24</v>
      </c>
      <c r="BG169" s="71">
        <f>IFERROR(__xludf.DUMMYFUNCTION("""COMPUTED_VALUE"""),0.049966009517335146)</f>
        <v>0.04996600952</v>
      </c>
      <c r="BH169" s="71">
        <f>IFERROR(__xludf.DUMMYFUNCTION("""COMPUTED_VALUE"""),2934.5499999999997)</f>
        <v>2934.55</v>
      </c>
      <c r="BI169" s="71">
        <f>IFERROR(__xludf.DUMMYFUNCTION("""COMPUTED_VALUE"""),469.52799999999996)</f>
        <v>469.528</v>
      </c>
      <c r="BJ169" s="71">
        <f>IFERROR(__xludf.DUMMYFUNCTION("""COMPUTED_VALUE"""),3404.0779999999995)</f>
        <v>3404.078</v>
      </c>
      <c r="BK169" s="71">
        <f>IFERROR(__xludf.DUMMYFUNCTION("""COMPUTED_VALUE"""),2780.1)</f>
        <v>2780.1</v>
      </c>
      <c r="BL169" s="71">
        <f>IFERROR(__xludf.DUMMYFUNCTION("""COMPUTED_VALUE"""),444.816)</f>
        <v>444.816</v>
      </c>
      <c r="BM169" s="71">
        <f>IFERROR(__xludf.DUMMYFUNCTION("""COMPUTED_VALUE"""),3224.9159999999997)</f>
        <v>3224.916</v>
      </c>
      <c r="BN169" s="71">
        <f>IFERROR(__xludf.DUMMYFUNCTION("""COMPUTED_VALUE"""),2625.65)</f>
        <v>2625.65</v>
      </c>
      <c r="BO169" s="71">
        <f>IFERROR(__xludf.DUMMYFUNCTION("""COMPUTED_VALUE"""),420.10400000000004)</f>
        <v>420.104</v>
      </c>
      <c r="BP169" s="71">
        <f>IFERROR(__xludf.DUMMYFUNCTION("""COMPUTED_VALUE"""),3045.754)</f>
        <v>3045.754</v>
      </c>
      <c r="BQ169" s="71">
        <f>IFERROR(__xludf.DUMMYFUNCTION("""COMPUTED_VALUE"""),2563.87)</f>
        <v>2563.87</v>
      </c>
      <c r="BR169" s="71">
        <f>IFERROR(__xludf.DUMMYFUNCTION("""COMPUTED_VALUE"""),410.2192)</f>
        <v>410.2192</v>
      </c>
      <c r="BS169" s="71">
        <f>IFERROR(__xludf.DUMMYFUNCTION("""COMPUTED_VALUE"""),2974.0892)</f>
        <v>2974.0892</v>
      </c>
      <c r="BT169" s="71">
        <f>IFERROR(__xludf.DUMMYFUNCTION("""COMPUTED_VALUE"""),2471.2000000000003)</f>
        <v>2471.2</v>
      </c>
      <c r="BU169" s="71">
        <f>IFERROR(__xludf.DUMMYFUNCTION("""COMPUTED_VALUE"""),395.39200000000005)</f>
        <v>395.392</v>
      </c>
      <c r="BV169" s="71">
        <f>IFERROR(__xludf.DUMMYFUNCTION("""COMPUTED_VALUE"""),2866.5920000000006)</f>
        <v>2866.592</v>
      </c>
    </row>
    <row r="170">
      <c r="A170" s="53"/>
      <c r="B170" s="53"/>
      <c r="C170" s="53" t="s">
        <v>36</v>
      </c>
      <c r="D170" s="85" t="s">
        <v>439</v>
      </c>
      <c r="E170" s="54" t="s">
        <v>38</v>
      </c>
      <c r="F170" s="55" t="s">
        <v>39</v>
      </c>
      <c r="G170" s="86" t="s">
        <v>440</v>
      </c>
      <c r="H170" s="55"/>
      <c r="I170" s="54">
        <f t="shared" si="1"/>
        <v>0</v>
      </c>
      <c r="J170" s="56"/>
      <c r="K170" s="57"/>
      <c r="L170" s="76"/>
      <c r="M170" s="59"/>
      <c r="N170" s="60"/>
      <c r="O170" s="61">
        <v>9024.0</v>
      </c>
      <c r="P170" s="62">
        <v>9745.92</v>
      </c>
      <c r="Q170" s="63">
        <v>9745.92</v>
      </c>
      <c r="R170" s="64">
        <v>10234.0</v>
      </c>
      <c r="S170" s="107">
        <v>10746.0</v>
      </c>
      <c r="T170" s="65">
        <f t="shared" si="2"/>
        <v>1719.36</v>
      </c>
      <c r="U170" s="65">
        <f t="shared" si="3"/>
        <v>12465.36</v>
      </c>
      <c r="V170" s="66">
        <f t="shared" si="4"/>
        <v>0.05002931405</v>
      </c>
      <c r="W170" s="67">
        <f t="shared" si="5"/>
        <v>10208.7</v>
      </c>
      <c r="X170" s="67">
        <f t="shared" si="6"/>
        <v>1633.392</v>
      </c>
      <c r="Y170" s="67">
        <f t="shared" si="7"/>
        <v>11842.092</v>
      </c>
      <c r="Z170" s="67">
        <f t="shared" si="8"/>
        <v>9671.4</v>
      </c>
      <c r="AA170" s="67">
        <f t="shared" si="9"/>
        <v>1547.424</v>
      </c>
      <c r="AB170" s="67">
        <f t="shared" si="10"/>
        <v>11218.824</v>
      </c>
      <c r="AC170" s="67">
        <f t="shared" si="11"/>
        <v>9134.1</v>
      </c>
      <c r="AD170" s="67">
        <f t="shared" si="12"/>
        <v>1461.456</v>
      </c>
      <c r="AE170" s="67">
        <f t="shared" si="13"/>
        <v>10595.556</v>
      </c>
      <c r="AF170" s="67">
        <f t="shared" si="14"/>
        <v>8919.18</v>
      </c>
      <c r="AG170" s="67">
        <f t="shared" si="15"/>
        <v>1427.0688</v>
      </c>
      <c r="AH170" s="67">
        <f t="shared" si="16"/>
        <v>10346.2488</v>
      </c>
      <c r="AI170" s="67">
        <f t="shared" si="17"/>
        <v>8596.8</v>
      </c>
      <c r="AJ170" s="68">
        <f t="shared" si="20"/>
        <v>1375.488</v>
      </c>
      <c r="AK170" s="68">
        <f t="shared" si="21"/>
        <v>9972.288</v>
      </c>
      <c r="AL170" s="70">
        <f>IFERROR(__xludf.DUMMYFUNCTION("""COMPUTED_VALUE"""),1.0)</f>
        <v>1</v>
      </c>
      <c r="AM170" s="70"/>
      <c r="AN170" s="71" t="str">
        <f>IFERROR(__xludf.DUMMYFUNCTION("""COMPUTED_VALUE""")," CP")</f>
        <v>CP</v>
      </c>
      <c r="AO170" s="71" t="str">
        <f>IFERROR(__xludf.DUMMYFUNCTION("""COMPUTED_VALUE""")," BM12")</f>
        <v>BM12</v>
      </c>
      <c r="AP170" s="71" t="str">
        <f>IFERROR(__xludf.DUMMYFUNCTION("""COMPUTED_VALUE""")," PZA")</f>
        <v>PZA</v>
      </c>
      <c r="AQ170" s="71" t="str">
        <f>IFERROR(__xludf.DUMMYFUNCTION("""COMPUTED_VALUE""")," REF")</f>
        <v>REF</v>
      </c>
      <c r="AR170" s="71" t="str">
        <f>IFERROR(__xludf.DUMMYFUNCTION("""COMPUTED_VALUE""")," BANDA METÁLICA SENCILLA ESPECIAL 92 TABLETA CHICA (SUPERIOR, INFERIOR Y CENTRAL)")</f>
        <v>BANDA METÁLICA SENCILLA ESPECIAL 92 TABLETA CHICA (SUPERIOR, INFERIOR Y CENTRAL)</v>
      </c>
      <c r="AS170" s="71" t="str">
        <f>IFERROR(__xludf.DUMMYFUNCTION("""COMPUTED_VALUE""")," BANDA METALICA SEN ESP 92 TAB CHIC S-C-I")</f>
        <v>BANDA METALICA SEN ESP 92 TAB CHIC S-C-I</v>
      </c>
      <c r="AT170" s="71">
        <f>IFERROR(__xludf.DUMMYFUNCTION("""COMPUTED_VALUE"""),40.0)</f>
        <v>40</v>
      </c>
      <c r="AU170" s="71"/>
      <c r="AV170" s="71"/>
      <c r="AW170" s="71"/>
      <c r="AX170" s="71"/>
      <c r="AY170" s="71">
        <f>IFERROR(__xludf.DUMMYFUNCTION("""COMPUTED_VALUE"""),2470.0)</f>
        <v>2470</v>
      </c>
      <c r="AZ170" s="71">
        <f>IFERROR(__xludf.DUMMYFUNCTION("""COMPUTED_VALUE"""),2230.0)</f>
        <v>2230</v>
      </c>
      <c r="BA170" s="71">
        <f>IFERROR(__xludf.DUMMYFUNCTION("""COMPUTED_VALUE"""),2408.4)</f>
        <v>2408.4</v>
      </c>
      <c r="BB170" s="71">
        <f>IFERROR(__xludf.DUMMYFUNCTION("""COMPUTED_VALUE"""),2408.4)</f>
        <v>2408.4</v>
      </c>
      <c r="BC170" s="71">
        <f>IFERROR(__xludf.DUMMYFUNCTION("""COMPUTED_VALUE"""),2681.0)</f>
        <v>2681</v>
      </c>
      <c r="BD170" s="71">
        <f>IFERROR(__xludf.DUMMYFUNCTION("""COMPUTED_VALUE"""),2815.0)</f>
        <v>2815</v>
      </c>
      <c r="BE170" s="71">
        <f>IFERROR(__xludf.DUMMYFUNCTION("""COMPUTED_VALUE"""),450.40000000000003)</f>
        <v>450.4</v>
      </c>
      <c r="BF170" s="71">
        <f>IFERROR(__xludf.DUMMYFUNCTION("""COMPUTED_VALUE"""),3265.4)</f>
        <v>3265.4</v>
      </c>
      <c r="BG170" s="71">
        <f>IFERROR(__xludf.DUMMYFUNCTION("""COMPUTED_VALUE"""),0.04998135024244685)</f>
        <v>0.04998135024</v>
      </c>
      <c r="BH170" s="71">
        <f>IFERROR(__xludf.DUMMYFUNCTION("""COMPUTED_VALUE"""),2674.25)</f>
        <v>2674.25</v>
      </c>
      <c r="BI170" s="71">
        <f>IFERROR(__xludf.DUMMYFUNCTION("""COMPUTED_VALUE"""),427.88)</f>
        <v>427.88</v>
      </c>
      <c r="BJ170" s="71">
        <f>IFERROR(__xludf.DUMMYFUNCTION("""COMPUTED_VALUE"""),3102.13)</f>
        <v>3102.13</v>
      </c>
      <c r="BK170" s="71">
        <f>IFERROR(__xludf.DUMMYFUNCTION("""COMPUTED_VALUE"""),2533.5)</f>
        <v>2533.5</v>
      </c>
      <c r="BL170" s="71">
        <f>IFERROR(__xludf.DUMMYFUNCTION("""COMPUTED_VALUE"""),405.36)</f>
        <v>405.36</v>
      </c>
      <c r="BM170" s="71">
        <f>IFERROR(__xludf.DUMMYFUNCTION("""COMPUTED_VALUE"""),2938.86)</f>
        <v>2938.86</v>
      </c>
      <c r="BN170" s="71">
        <f>IFERROR(__xludf.DUMMYFUNCTION("""COMPUTED_VALUE"""),2392.75)</f>
        <v>2392.75</v>
      </c>
      <c r="BO170" s="71">
        <f>IFERROR(__xludf.DUMMYFUNCTION("""COMPUTED_VALUE"""),382.84000000000003)</f>
        <v>382.84</v>
      </c>
      <c r="BP170" s="71">
        <f>IFERROR(__xludf.DUMMYFUNCTION("""COMPUTED_VALUE"""),2775.59)</f>
        <v>2775.59</v>
      </c>
      <c r="BQ170" s="71">
        <f>IFERROR(__xludf.DUMMYFUNCTION("""COMPUTED_VALUE"""),2336.45)</f>
        <v>2336.45</v>
      </c>
      <c r="BR170" s="71">
        <f>IFERROR(__xludf.DUMMYFUNCTION("""COMPUTED_VALUE"""),373.832)</f>
        <v>373.832</v>
      </c>
      <c r="BS170" s="71">
        <f>IFERROR(__xludf.DUMMYFUNCTION("""COMPUTED_VALUE"""),2710.2819999999997)</f>
        <v>2710.282</v>
      </c>
      <c r="BT170" s="71">
        <f>IFERROR(__xludf.DUMMYFUNCTION("""COMPUTED_VALUE"""),2252.0)</f>
        <v>2252</v>
      </c>
      <c r="BU170" s="71">
        <f>IFERROR(__xludf.DUMMYFUNCTION("""COMPUTED_VALUE"""),360.32)</f>
        <v>360.32</v>
      </c>
      <c r="BV170" s="71">
        <f>IFERROR(__xludf.DUMMYFUNCTION("""COMPUTED_VALUE"""),2612.32)</f>
        <v>2612.32</v>
      </c>
    </row>
    <row r="171">
      <c r="A171" s="53"/>
      <c r="B171" s="53">
        <v>3.0</v>
      </c>
      <c r="C171" s="53" t="s">
        <v>36</v>
      </c>
      <c r="D171" s="53" t="s">
        <v>441</v>
      </c>
      <c r="E171" s="54" t="s">
        <v>38</v>
      </c>
      <c r="F171" s="55" t="s">
        <v>96</v>
      </c>
      <c r="G171" s="81" t="s">
        <v>442</v>
      </c>
      <c r="H171" s="81"/>
      <c r="I171" s="54">
        <f t="shared" si="1"/>
        <v>0</v>
      </c>
      <c r="J171" s="99"/>
      <c r="K171" s="99"/>
      <c r="L171" s="76"/>
      <c r="M171" s="59"/>
      <c r="N171" s="60"/>
      <c r="O171" s="100">
        <v>8048.0</v>
      </c>
      <c r="P171" s="62">
        <v>8691.84</v>
      </c>
      <c r="Q171" s="63">
        <v>8691.84</v>
      </c>
      <c r="R171" s="64">
        <v>9584.0</v>
      </c>
      <c r="S171" s="107">
        <v>10063.0</v>
      </c>
      <c r="T171" s="65">
        <f t="shared" si="2"/>
        <v>1610.08</v>
      </c>
      <c r="U171" s="65">
        <f t="shared" si="3"/>
        <v>11673.08</v>
      </c>
      <c r="V171" s="66">
        <f t="shared" si="4"/>
        <v>0.04997913189</v>
      </c>
      <c r="W171" s="67">
        <f t="shared" si="5"/>
        <v>9559.85</v>
      </c>
      <c r="X171" s="67">
        <f t="shared" si="6"/>
        <v>1529.576</v>
      </c>
      <c r="Y171" s="67">
        <f t="shared" si="7"/>
        <v>11089.426</v>
      </c>
      <c r="Z171" s="67">
        <f t="shared" si="8"/>
        <v>9056.7</v>
      </c>
      <c r="AA171" s="67">
        <f t="shared" si="9"/>
        <v>1449.072</v>
      </c>
      <c r="AB171" s="67">
        <f t="shared" si="10"/>
        <v>10505.772</v>
      </c>
      <c r="AC171" s="67">
        <f t="shared" si="11"/>
        <v>9056.7</v>
      </c>
      <c r="AD171" s="67">
        <f t="shared" si="12"/>
        <v>1449.072</v>
      </c>
      <c r="AE171" s="67">
        <f t="shared" si="13"/>
        <v>10505.772</v>
      </c>
      <c r="AF171" s="67">
        <f t="shared" si="14"/>
        <v>9056.7</v>
      </c>
      <c r="AG171" s="67">
        <f t="shared" si="15"/>
        <v>1449.072</v>
      </c>
      <c r="AH171" s="67">
        <f t="shared" si="16"/>
        <v>10505.772</v>
      </c>
      <c r="AI171" s="67">
        <f t="shared" si="17"/>
        <v>9056.7</v>
      </c>
      <c r="AJ171" s="68">
        <f t="shared" si="20"/>
        <v>1449.072</v>
      </c>
      <c r="AK171" s="68">
        <f t="shared" si="21"/>
        <v>10505.772</v>
      </c>
      <c r="AL171" s="70">
        <f>IFERROR(__xludf.DUMMYFUNCTION("""COMPUTED_VALUE"""),1.0)</f>
        <v>1</v>
      </c>
      <c r="AM171" s="70"/>
      <c r="AN171" s="71" t="str">
        <f>IFERROR(__xludf.DUMMYFUNCTION("""COMPUTED_VALUE""")," CP")</f>
        <v>CP</v>
      </c>
      <c r="AO171" s="71" t="str">
        <f>IFERROR(__xludf.DUMMYFUNCTION("""COMPUTED_VALUE""")," BM14")</f>
        <v>BM14</v>
      </c>
      <c r="AP171" s="71" t="str">
        <f>IFERROR(__xludf.DUMMYFUNCTION("""COMPUTED_VALUE""")," PZA")</f>
        <v>PZA</v>
      </c>
      <c r="AQ171" s="71" t="str">
        <f>IFERROR(__xludf.DUMMYFUNCTION("""COMPUTED_VALUE""")," REF")</f>
        <v>REF</v>
      </c>
      <c r="AR171" s="71" t="str">
        <f>IFERROR(__xludf.DUMMYFUNCTION("""COMPUTED_VALUE""")," BANDA METÁLICA SENCILLA MODELO ANTERIOR 102 TABLETA GRANDE (CENTRAL)")</f>
        <v>BANDA METÁLICA SENCILLA MODELO ANTERIOR 102 TABLETA GRANDE (CENTRAL)</v>
      </c>
      <c r="AS171" s="71" t="str">
        <f>IFERROR(__xludf.DUMMYFUNCTION("""COMPUTED_VALUE""")," BANDA METALICA SENC MA 102 TABL GDE CEN")</f>
        <v>BANDA METALICA SENC MA 102 TABL GDE CEN</v>
      </c>
      <c r="AT171" s="71">
        <f>IFERROR(__xludf.DUMMYFUNCTION("""COMPUTED_VALUE"""),39.0)</f>
        <v>39</v>
      </c>
      <c r="AU171" s="71"/>
      <c r="AV171" s="71"/>
      <c r="AW171" s="71"/>
      <c r="AX171" s="71"/>
      <c r="AY171" s="71">
        <f>IFERROR(__xludf.DUMMYFUNCTION("""COMPUTED_VALUE"""),2615.0)</f>
        <v>2615</v>
      </c>
      <c r="AZ171" s="71">
        <f>IFERROR(__xludf.DUMMYFUNCTION("""COMPUTED_VALUE"""),2360.0)</f>
        <v>2360</v>
      </c>
      <c r="BA171" s="71">
        <f>IFERROR(__xludf.DUMMYFUNCTION("""COMPUTED_VALUE"""),2548.8)</f>
        <v>2548.8</v>
      </c>
      <c r="BB171" s="71">
        <f>IFERROR(__xludf.DUMMYFUNCTION("""COMPUTED_VALUE"""),2548.8)</f>
        <v>2548.8</v>
      </c>
      <c r="BC171" s="71">
        <f>IFERROR(__xludf.DUMMYFUNCTION("""COMPUTED_VALUE"""),2838.0)</f>
        <v>2838</v>
      </c>
      <c r="BD171" s="71">
        <f>IFERROR(__xludf.DUMMYFUNCTION("""COMPUTED_VALUE"""),2448.0)</f>
        <v>2448</v>
      </c>
      <c r="BE171" s="71">
        <f>IFERROR(__xludf.DUMMYFUNCTION("""COMPUTED_VALUE"""),391.68)</f>
        <v>391.68</v>
      </c>
      <c r="BF171" s="71">
        <f>IFERROR(__xludf.DUMMYFUNCTION("""COMPUTED_VALUE"""),2839.68)</f>
        <v>2839.68</v>
      </c>
      <c r="BG171" s="71">
        <f>IFERROR(__xludf.DUMMYFUNCTION("""COMPUTED_VALUE"""),-0.13742071881606766)</f>
        <v>-0.1374207188</v>
      </c>
      <c r="BH171" s="71">
        <f>IFERROR(__xludf.DUMMYFUNCTION("""COMPUTED_VALUE"""),2325.6)</f>
        <v>2325.6</v>
      </c>
      <c r="BI171" s="71">
        <f>IFERROR(__xludf.DUMMYFUNCTION("""COMPUTED_VALUE"""),372.096)</f>
        <v>372.096</v>
      </c>
      <c r="BJ171" s="71">
        <f>IFERROR(__xludf.DUMMYFUNCTION("""COMPUTED_VALUE"""),2697.696)</f>
        <v>2697.696</v>
      </c>
      <c r="BK171" s="71">
        <f>IFERROR(__xludf.DUMMYFUNCTION("""COMPUTED_VALUE"""),2203.2000000000003)</f>
        <v>2203.2</v>
      </c>
      <c r="BL171" s="71">
        <f>IFERROR(__xludf.DUMMYFUNCTION("""COMPUTED_VALUE"""),352.51200000000006)</f>
        <v>352.512</v>
      </c>
      <c r="BM171" s="71">
        <f>IFERROR(__xludf.DUMMYFUNCTION("""COMPUTED_VALUE"""),2555.7120000000004)</f>
        <v>2555.712</v>
      </c>
      <c r="BN171" s="71">
        <f>IFERROR(__xludf.DUMMYFUNCTION("""COMPUTED_VALUE"""),2080.7999999999997)</f>
        <v>2080.8</v>
      </c>
      <c r="BO171" s="71">
        <f>IFERROR(__xludf.DUMMYFUNCTION("""COMPUTED_VALUE"""),332.92799999999994)</f>
        <v>332.928</v>
      </c>
      <c r="BP171" s="71">
        <f>IFERROR(__xludf.DUMMYFUNCTION("""COMPUTED_VALUE"""),2413.7279999999996)</f>
        <v>2413.728</v>
      </c>
      <c r="BQ171" s="71">
        <f>IFERROR(__xludf.DUMMYFUNCTION("""COMPUTED_VALUE"""),2031.84)</f>
        <v>2031.84</v>
      </c>
      <c r="BR171" s="71">
        <f>IFERROR(__xludf.DUMMYFUNCTION("""COMPUTED_VALUE"""),325.0944)</f>
        <v>325.0944</v>
      </c>
      <c r="BS171" s="71">
        <f>IFERROR(__xludf.DUMMYFUNCTION("""COMPUTED_VALUE"""),2356.9344)</f>
        <v>2356.9344</v>
      </c>
      <c r="BT171" s="71">
        <f>IFERROR(__xludf.DUMMYFUNCTION("""COMPUTED_VALUE"""),1958.4)</f>
        <v>1958.4</v>
      </c>
      <c r="BU171" s="71">
        <f>IFERROR(__xludf.DUMMYFUNCTION("""COMPUTED_VALUE"""),313.344)</f>
        <v>313.344</v>
      </c>
      <c r="BV171" s="71">
        <f>IFERROR(__xludf.DUMMYFUNCTION("""COMPUTED_VALUE"""),2271.744)</f>
        <v>2271.744</v>
      </c>
    </row>
    <row r="172">
      <c r="A172" s="53"/>
      <c r="B172" s="53"/>
      <c r="C172" s="53" t="s">
        <v>36</v>
      </c>
      <c r="D172" s="53" t="s">
        <v>443</v>
      </c>
      <c r="E172" s="86" t="s">
        <v>38</v>
      </c>
      <c r="F172" s="91" t="s">
        <v>96</v>
      </c>
      <c r="G172" s="84" t="s">
        <v>444</v>
      </c>
      <c r="H172" s="86" t="s">
        <v>445</v>
      </c>
      <c r="I172" s="54">
        <f t="shared" si="1"/>
        <v>36</v>
      </c>
      <c r="J172" s="56"/>
      <c r="K172" s="57"/>
      <c r="L172" s="119"/>
      <c r="M172" s="59"/>
      <c r="N172" s="93"/>
      <c r="O172" s="61"/>
      <c r="P172" s="90"/>
      <c r="Q172" s="94"/>
      <c r="R172" s="95"/>
      <c r="S172" s="65">
        <v>5980.0</v>
      </c>
      <c r="T172" s="65">
        <f t="shared" si="2"/>
        <v>956.8</v>
      </c>
      <c r="U172" s="65">
        <f t="shared" si="3"/>
        <v>6936.8</v>
      </c>
      <c r="V172" s="66" t="str">
        <f t="shared" si="4"/>
        <v>#DIV/0!</v>
      </c>
      <c r="W172" s="67">
        <f t="shared" si="5"/>
        <v>5681</v>
      </c>
      <c r="X172" s="67">
        <f t="shared" si="6"/>
        <v>908.96</v>
      </c>
      <c r="Y172" s="67">
        <f t="shared" si="7"/>
        <v>6589.96</v>
      </c>
      <c r="Z172" s="67">
        <f t="shared" si="8"/>
        <v>5382</v>
      </c>
      <c r="AA172" s="67">
        <f t="shared" si="9"/>
        <v>861.12</v>
      </c>
      <c r="AB172" s="67">
        <f t="shared" si="10"/>
        <v>6243.12</v>
      </c>
      <c r="AC172" s="67">
        <f t="shared" si="11"/>
        <v>5083</v>
      </c>
      <c r="AD172" s="67">
        <f t="shared" si="12"/>
        <v>813.28</v>
      </c>
      <c r="AE172" s="67">
        <f t="shared" si="13"/>
        <v>5896.28</v>
      </c>
      <c r="AF172" s="67">
        <f t="shared" si="14"/>
        <v>4963.4</v>
      </c>
      <c r="AG172" s="67">
        <f t="shared" si="15"/>
        <v>794.144</v>
      </c>
      <c r="AH172" s="67">
        <f t="shared" si="16"/>
        <v>5757.544</v>
      </c>
      <c r="AI172" s="67">
        <f t="shared" si="17"/>
        <v>4784</v>
      </c>
      <c r="AJ172" s="68">
        <f t="shared" si="20"/>
        <v>765.44</v>
      </c>
      <c r="AK172" s="68">
        <f t="shared" si="21"/>
        <v>5549.44</v>
      </c>
      <c r="AL172" s="70">
        <f>IFERROR(__xludf.DUMMYFUNCTION("""COMPUTED_VALUE"""),1.0)</f>
        <v>1</v>
      </c>
      <c r="AM172" s="70"/>
      <c r="AN172" s="71" t="str">
        <f>IFERROR(__xludf.DUMMYFUNCTION("""COMPUTED_VALUE""")," CP")</f>
        <v>CP</v>
      </c>
      <c r="AO172" s="71" t="str">
        <f>IFERROR(__xludf.DUMMYFUNCTION("""COMPUTED_VALUE""")," BM13")</f>
        <v>BM13</v>
      </c>
      <c r="AP172" s="71" t="str">
        <f>IFERROR(__xludf.DUMMYFUNCTION("""COMPUTED_VALUE""")," PZA")</f>
        <v>PZA</v>
      </c>
      <c r="AQ172" s="71" t="str">
        <f>IFERROR(__xludf.DUMMYFUNCTION("""COMPUTED_VALUE""")," REF")</f>
        <v>REF</v>
      </c>
      <c r="AR172" s="71" t="str">
        <f>IFERROR(__xludf.DUMMYFUNCTION("""COMPUTED_VALUE""")," BANDA METÁLICA SENCILLA MODELO ANTERIOR 92 TABLETA CHICA (SUPERIOR)")</f>
        <v>BANDA METÁLICA SENCILLA MODELO ANTERIOR 92 TABLETA CHICA (SUPERIOR)</v>
      </c>
      <c r="AS172" s="71" t="str">
        <f>IFERROR(__xludf.DUMMYFUNCTION("""COMPUTED_VALUE""")," BANDA METALICA SENC MA 92 TABL CHICA SUP")</f>
        <v>BANDA METALICA SENC MA 92 TABL CHICA SUP</v>
      </c>
      <c r="AT172" s="71">
        <f>IFERROR(__xludf.DUMMYFUNCTION("""COMPUTED_VALUE"""),40.0)</f>
        <v>40</v>
      </c>
      <c r="AU172" s="71"/>
      <c r="AV172" s="71"/>
      <c r="AW172" s="71"/>
      <c r="AX172" s="71"/>
      <c r="AY172" s="71">
        <f>IFERROR(__xludf.DUMMYFUNCTION("""COMPUTED_VALUE"""),2244.0)</f>
        <v>2244</v>
      </c>
      <c r="AZ172" s="71">
        <f>IFERROR(__xludf.DUMMYFUNCTION("""COMPUTED_VALUE"""),2132.0)</f>
        <v>2132</v>
      </c>
      <c r="BA172" s="71">
        <f>IFERROR(__xludf.DUMMYFUNCTION("""COMPUTED_VALUE"""),2302.56)</f>
        <v>2302.56</v>
      </c>
      <c r="BB172" s="71">
        <f>IFERROR(__xludf.DUMMYFUNCTION("""COMPUTED_VALUE"""),2302.56)</f>
        <v>2302.56</v>
      </c>
      <c r="BC172" s="71">
        <f>IFERROR(__xludf.DUMMYFUNCTION("""COMPUTED_VALUE"""),2564.0)</f>
        <v>2564</v>
      </c>
      <c r="BD172" s="71">
        <f>IFERROR(__xludf.DUMMYFUNCTION("""COMPUTED_VALUE"""),2208.0)</f>
        <v>2208</v>
      </c>
      <c r="BE172" s="71">
        <f>IFERROR(__xludf.DUMMYFUNCTION("""COMPUTED_VALUE"""),353.28000000000003)</f>
        <v>353.28</v>
      </c>
      <c r="BF172" s="71">
        <f>IFERROR(__xludf.DUMMYFUNCTION("""COMPUTED_VALUE"""),2561.28)</f>
        <v>2561.28</v>
      </c>
      <c r="BG172" s="71">
        <f>IFERROR(__xludf.DUMMYFUNCTION("""COMPUTED_VALUE"""),-0.13884555382215288)</f>
        <v>-0.1388455538</v>
      </c>
      <c r="BH172" s="71">
        <f>IFERROR(__xludf.DUMMYFUNCTION("""COMPUTED_VALUE"""),2097.6)</f>
        <v>2097.6</v>
      </c>
      <c r="BI172" s="71">
        <f>IFERROR(__xludf.DUMMYFUNCTION("""COMPUTED_VALUE"""),335.616)</f>
        <v>335.616</v>
      </c>
      <c r="BJ172" s="71">
        <f>IFERROR(__xludf.DUMMYFUNCTION("""COMPUTED_VALUE"""),2433.216)</f>
        <v>2433.216</v>
      </c>
      <c r="BK172" s="71">
        <f>IFERROR(__xludf.DUMMYFUNCTION("""COMPUTED_VALUE"""),1987.2)</f>
        <v>1987.2</v>
      </c>
      <c r="BL172" s="71">
        <f>IFERROR(__xludf.DUMMYFUNCTION("""COMPUTED_VALUE"""),317.952)</f>
        <v>317.952</v>
      </c>
      <c r="BM172" s="71">
        <f>IFERROR(__xludf.DUMMYFUNCTION("""COMPUTED_VALUE"""),2305.152)</f>
        <v>2305.152</v>
      </c>
      <c r="BN172" s="71">
        <f>IFERROR(__xludf.DUMMYFUNCTION("""COMPUTED_VALUE"""),1876.8)</f>
        <v>1876.8</v>
      </c>
      <c r="BO172" s="71">
        <f>IFERROR(__xludf.DUMMYFUNCTION("""COMPUTED_VALUE"""),300.288)</f>
        <v>300.288</v>
      </c>
      <c r="BP172" s="71">
        <f>IFERROR(__xludf.DUMMYFUNCTION("""COMPUTED_VALUE"""),2177.0879999999997)</f>
        <v>2177.088</v>
      </c>
      <c r="BQ172" s="71">
        <f>IFERROR(__xludf.DUMMYFUNCTION("""COMPUTED_VALUE"""),1832.6399999999999)</f>
        <v>1832.64</v>
      </c>
      <c r="BR172" s="71">
        <f>IFERROR(__xludf.DUMMYFUNCTION("""COMPUTED_VALUE"""),293.2224)</f>
        <v>293.2224</v>
      </c>
      <c r="BS172" s="71">
        <f>IFERROR(__xludf.DUMMYFUNCTION("""COMPUTED_VALUE"""),2125.8624)</f>
        <v>2125.8624</v>
      </c>
      <c r="BT172" s="71">
        <f>IFERROR(__xludf.DUMMYFUNCTION("""COMPUTED_VALUE"""),1766.4)</f>
        <v>1766.4</v>
      </c>
      <c r="BU172" s="71">
        <f>IFERROR(__xludf.DUMMYFUNCTION("""COMPUTED_VALUE"""),282.624)</f>
        <v>282.624</v>
      </c>
      <c r="BV172" s="71">
        <f>IFERROR(__xludf.DUMMYFUNCTION("""COMPUTED_VALUE"""),2049.0240000000003)</f>
        <v>2049.024</v>
      </c>
    </row>
    <row r="173">
      <c r="A173" s="53"/>
      <c r="B173" s="53"/>
      <c r="C173" s="53" t="s">
        <v>53</v>
      </c>
      <c r="D173" s="53" t="s">
        <v>446</v>
      </c>
      <c r="E173" s="54" t="s">
        <v>38</v>
      </c>
      <c r="F173" s="54" t="s">
        <v>42</v>
      </c>
      <c r="G173" s="55" t="s">
        <v>447</v>
      </c>
      <c r="H173" s="55" t="s">
        <v>447</v>
      </c>
      <c r="I173" s="54">
        <f t="shared" si="1"/>
        <v>28</v>
      </c>
      <c r="J173" s="56"/>
      <c r="K173" s="57"/>
      <c r="L173" s="76"/>
      <c r="M173" s="59"/>
      <c r="N173" s="79"/>
      <c r="O173" s="61">
        <v>3966.0</v>
      </c>
      <c r="P173" s="63">
        <v>4283.280000000001</v>
      </c>
      <c r="Q173" s="63">
        <v>4283.280000000001</v>
      </c>
      <c r="R173" s="64">
        <v>4498.0</v>
      </c>
      <c r="S173" s="111">
        <v>4723.0</v>
      </c>
      <c r="T173" s="65">
        <f t="shared" si="2"/>
        <v>755.68</v>
      </c>
      <c r="U173" s="65">
        <f t="shared" si="3"/>
        <v>5478.68</v>
      </c>
      <c r="V173" s="66">
        <f t="shared" si="4"/>
        <v>0.0500222321</v>
      </c>
      <c r="W173" s="67">
        <f t="shared" si="5"/>
        <v>4486.85</v>
      </c>
      <c r="X173" s="67">
        <f t="shared" si="6"/>
        <v>717.896</v>
      </c>
      <c r="Y173" s="67">
        <f t="shared" si="7"/>
        <v>5204.746</v>
      </c>
      <c r="Z173" s="67">
        <f t="shared" si="8"/>
        <v>4250.7</v>
      </c>
      <c r="AA173" s="67">
        <f t="shared" si="9"/>
        <v>680.112</v>
      </c>
      <c r="AB173" s="67">
        <f t="shared" si="10"/>
        <v>4930.812</v>
      </c>
      <c r="AC173" s="67">
        <f t="shared" si="11"/>
        <v>4014.55</v>
      </c>
      <c r="AD173" s="67">
        <f t="shared" si="12"/>
        <v>642.328</v>
      </c>
      <c r="AE173" s="67">
        <f t="shared" si="13"/>
        <v>4656.878</v>
      </c>
      <c r="AF173" s="67">
        <f t="shared" si="14"/>
        <v>3920.09</v>
      </c>
      <c r="AG173" s="67">
        <f t="shared" si="15"/>
        <v>627.2144</v>
      </c>
      <c r="AH173" s="67">
        <f t="shared" si="16"/>
        <v>4547.3044</v>
      </c>
      <c r="AI173" s="67">
        <f t="shared" si="17"/>
        <v>3778.4</v>
      </c>
      <c r="AJ173" s="68">
        <f t="shared" si="20"/>
        <v>604.544</v>
      </c>
      <c r="AK173" s="68">
        <f t="shared" si="21"/>
        <v>4382.944</v>
      </c>
      <c r="AL173" s="70">
        <f>IFERROR(__xludf.DUMMYFUNCTION("""COMPUTED_VALUE"""),1.0)</f>
        <v>1</v>
      </c>
      <c r="AM173" s="70"/>
      <c r="AN173" s="71" t="str">
        <f>IFERROR(__xludf.DUMMYFUNCTION("""COMPUTED_VALUE""")," CP")</f>
        <v>CP</v>
      </c>
      <c r="AO173" s="71" t="str">
        <f>IFERROR(__xludf.DUMMYFUNCTION("""COMPUTED_VALUE""")," BM15")</f>
        <v>BM15</v>
      </c>
      <c r="AP173" s="71" t="str">
        <f>IFERROR(__xludf.DUMMYFUNCTION("""COMPUTED_VALUE""")," PZA")</f>
        <v>PZA</v>
      </c>
      <c r="AQ173" s="71" t="str">
        <f>IFERROR(__xludf.DUMMYFUNCTION("""COMPUTED_VALUE""")," REF")</f>
        <v>REF</v>
      </c>
      <c r="AR173" s="71" t="str">
        <f>IFERROR(__xludf.DUMMYFUNCTION("""COMPUTED_VALUE""")," BANDA METÁLICA SENCILLA MODELO ANTERIOR 92 TABLETA GRANDE (INFERIOR)")</f>
        <v>BANDA METÁLICA SENCILLA MODELO ANTERIOR 92 TABLETA GRANDE (INFERIOR)</v>
      </c>
      <c r="AS173" s="71" t="str">
        <f>IFERROR(__xludf.DUMMYFUNCTION("""COMPUTED_VALUE""")," BANDA METALICA SENC MA 92 TABL GDE INF")</f>
        <v>BANDA METALICA SENC MA 92 TABL GDE INF</v>
      </c>
      <c r="AT173" s="71">
        <f>IFERROR(__xludf.DUMMYFUNCTION("""COMPUTED_VALUE"""),38.0)</f>
        <v>38</v>
      </c>
      <c r="AU173" s="71"/>
      <c r="AV173" s="71"/>
      <c r="AW173" s="71"/>
      <c r="AX173" s="71"/>
      <c r="AY173" s="71">
        <f>IFERROR(__xludf.DUMMYFUNCTION("""COMPUTED_VALUE"""),2363.0)</f>
        <v>2363</v>
      </c>
      <c r="AZ173" s="71">
        <f>IFERROR(__xludf.DUMMYFUNCTION("""COMPUTED_VALUE"""),2133.0)</f>
        <v>2133</v>
      </c>
      <c r="BA173" s="71">
        <f>IFERROR(__xludf.DUMMYFUNCTION("""COMPUTED_VALUE"""),2303.6400000000003)</f>
        <v>2303.64</v>
      </c>
      <c r="BB173" s="71">
        <f>IFERROR(__xludf.DUMMYFUNCTION("""COMPUTED_VALUE"""),2303.6400000000003)</f>
        <v>2303.64</v>
      </c>
      <c r="BC173" s="71">
        <f>IFERROR(__xludf.DUMMYFUNCTION("""COMPUTED_VALUE"""),2565.0)</f>
        <v>2565</v>
      </c>
      <c r="BD173" s="71">
        <f>IFERROR(__xludf.DUMMYFUNCTION("""COMPUTED_VALUE"""),2208.0)</f>
        <v>2208</v>
      </c>
      <c r="BE173" s="71">
        <f>IFERROR(__xludf.DUMMYFUNCTION("""COMPUTED_VALUE"""),353.28000000000003)</f>
        <v>353.28</v>
      </c>
      <c r="BF173" s="71">
        <f>IFERROR(__xludf.DUMMYFUNCTION("""COMPUTED_VALUE"""),2561.28)</f>
        <v>2561.28</v>
      </c>
      <c r="BG173" s="71">
        <f>IFERROR(__xludf.DUMMYFUNCTION("""COMPUTED_VALUE"""),-0.1391812865497076)</f>
        <v>-0.1391812865</v>
      </c>
      <c r="BH173" s="71">
        <f>IFERROR(__xludf.DUMMYFUNCTION("""COMPUTED_VALUE"""),2097.6)</f>
        <v>2097.6</v>
      </c>
      <c r="BI173" s="71">
        <f>IFERROR(__xludf.DUMMYFUNCTION("""COMPUTED_VALUE"""),335.616)</f>
        <v>335.616</v>
      </c>
      <c r="BJ173" s="71">
        <f>IFERROR(__xludf.DUMMYFUNCTION("""COMPUTED_VALUE"""),2433.216)</f>
        <v>2433.216</v>
      </c>
      <c r="BK173" s="71">
        <f>IFERROR(__xludf.DUMMYFUNCTION("""COMPUTED_VALUE"""),1987.2)</f>
        <v>1987.2</v>
      </c>
      <c r="BL173" s="71">
        <f>IFERROR(__xludf.DUMMYFUNCTION("""COMPUTED_VALUE"""),317.952)</f>
        <v>317.952</v>
      </c>
      <c r="BM173" s="71">
        <f>IFERROR(__xludf.DUMMYFUNCTION("""COMPUTED_VALUE"""),2305.152)</f>
        <v>2305.152</v>
      </c>
      <c r="BN173" s="71">
        <f>IFERROR(__xludf.DUMMYFUNCTION("""COMPUTED_VALUE"""),1876.8)</f>
        <v>1876.8</v>
      </c>
      <c r="BO173" s="71">
        <f>IFERROR(__xludf.DUMMYFUNCTION("""COMPUTED_VALUE"""),300.288)</f>
        <v>300.288</v>
      </c>
      <c r="BP173" s="71">
        <f>IFERROR(__xludf.DUMMYFUNCTION("""COMPUTED_VALUE"""),2177.0879999999997)</f>
        <v>2177.088</v>
      </c>
      <c r="BQ173" s="71">
        <f>IFERROR(__xludf.DUMMYFUNCTION("""COMPUTED_VALUE"""),1832.6399999999999)</f>
        <v>1832.64</v>
      </c>
      <c r="BR173" s="71">
        <f>IFERROR(__xludf.DUMMYFUNCTION("""COMPUTED_VALUE"""),293.2224)</f>
        <v>293.2224</v>
      </c>
      <c r="BS173" s="71">
        <f>IFERROR(__xludf.DUMMYFUNCTION("""COMPUTED_VALUE"""),2125.8624)</f>
        <v>2125.8624</v>
      </c>
      <c r="BT173" s="71">
        <f>IFERROR(__xludf.DUMMYFUNCTION("""COMPUTED_VALUE"""),1766.4)</f>
        <v>1766.4</v>
      </c>
      <c r="BU173" s="71">
        <f>IFERROR(__xludf.DUMMYFUNCTION("""COMPUTED_VALUE"""),282.624)</f>
        <v>282.624</v>
      </c>
      <c r="BV173" s="71">
        <f>IFERROR(__xludf.DUMMYFUNCTION("""COMPUTED_VALUE"""),2049.0240000000003)</f>
        <v>2049.024</v>
      </c>
    </row>
    <row r="174">
      <c r="A174" s="53"/>
      <c r="B174" s="53"/>
      <c r="C174" s="53" t="s">
        <v>36</v>
      </c>
      <c r="D174" s="85" t="s">
        <v>448</v>
      </c>
      <c r="E174" s="54" t="s">
        <v>38</v>
      </c>
      <c r="F174" s="55" t="s">
        <v>39</v>
      </c>
      <c r="G174" s="86" t="s">
        <v>449</v>
      </c>
      <c r="H174" s="55"/>
      <c r="I174" s="54">
        <f t="shared" si="1"/>
        <v>0</v>
      </c>
      <c r="J174" s="56"/>
      <c r="K174" s="57"/>
      <c r="L174" s="76"/>
      <c r="M174" s="59"/>
      <c r="N174" s="60"/>
      <c r="O174" s="61">
        <v>6720.0</v>
      </c>
      <c r="P174" s="62">
        <v>7257.6</v>
      </c>
      <c r="Q174" s="63">
        <v>7257.6</v>
      </c>
      <c r="R174" s="64">
        <v>7621.0</v>
      </c>
      <c r="S174" s="107">
        <v>8002.0</v>
      </c>
      <c r="T174" s="65">
        <f t="shared" si="2"/>
        <v>1280.32</v>
      </c>
      <c r="U174" s="65">
        <f t="shared" si="3"/>
        <v>9282.32</v>
      </c>
      <c r="V174" s="66">
        <f t="shared" si="4"/>
        <v>0.04999343918</v>
      </c>
      <c r="W174" s="67">
        <f t="shared" si="5"/>
        <v>7601.9</v>
      </c>
      <c r="X174" s="67">
        <f t="shared" si="6"/>
        <v>1216.304</v>
      </c>
      <c r="Y174" s="67">
        <f t="shared" si="7"/>
        <v>8818.204</v>
      </c>
      <c r="Z174" s="67">
        <f t="shared" si="8"/>
        <v>7201.8</v>
      </c>
      <c r="AA174" s="67">
        <f t="shared" si="9"/>
        <v>1152.288</v>
      </c>
      <c r="AB174" s="67">
        <f t="shared" si="10"/>
        <v>8354.088</v>
      </c>
      <c r="AC174" s="67">
        <f t="shared" si="11"/>
        <v>6801.7</v>
      </c>
      <c r="AD174" s="67">
        <f t="shared" si="12"/>
        <v>1088.272</v>
      </c>
      <c r="AE174" s="67">
        <f t="shared" si="13"/>
        <v>7889.972</v>
      </c>
      <c r="AF174" s="67">
        <f t="shared" si="14"/>
        <v>6641.66</v>
      </c>
      <c r="AG174" s="67">
        <f t="shared" si="15"/>
        <v>1062.6656</v>
      </c>
      <c r="AH174" s="67">
        <f t="shared" si="16"/>
        <v>7704.3256</v>
      </c>
      <c r="AI174" s="67">
        <f t="shared" si="17"/>
        <v>6401.6</v>
      </c>
      <c r="AJ174" s="68">
        <f t="shared" si="20"/>
        <v>1024.256</v>
      </c>
      <c r="AK174" s="68">
        <f t="shared" si="21"/>
        <v>7425.856</v>
      </c>
      <c r="AL174" s="70">
        <f>IFERROR(__xludf.DUMMYFUNCTION("""COMPUTED_VALUE"""),1.0)</f>
        <v>1</v>
      </c>
      <c r="AM174" s="70"/>
      <c r="AN174" s="71" t="str">
        <f>IFERROR(__xludf.DUMMYFUNCTION("""COMPUTED_VALUE""")," C")</f>
        <v>C</v>
      </c>
      <c r="AO174" s="71" t="str">
        <f>IFERROR(__xludf.DUMMYFUNCTION("""COMPUTED_VALUE""")," BL01")</f>
        <v>BL01</v>
      </c>
      <c r="AP174" s="71" t="str">
        <f>IFERROR(__xludf.DUMMYFUNCTION("""COMPUTED_VALUE""")," PZA")</f>
        <v>PZA</v>
      </c>
      <c r="AQ174" s="71" t="str">
        <f>IFERROR(__xludf.DUMMYFUNCTION("""COMPUTED_VALUE""")," REF")</f>
        <v>REF</v>
      </c>
      <c r="AR174" s="71" t="str">
        <f>IFERROR(__xludf.DUMMYFUNCTION("""COMPUTED_VALUE""")," BÁSCULA DIGITAL 40KG.X5GR CON CUBIERTA DE ACERO INOXIDABLE GRADO ALIMENTICIO (REMO)")</f>
        <v>BÁSCULA DIGITAL 40KG.X5GR CON CUBIERTA DE ACERO INOXIDABLE GRADO ALIMENTICIO (REMO)</v>
      </c>
      <c r="AS174" s="71" t="str">
        <f>IFERROR(__xludf.DUMMYFUNCTION("""COMPUTED_VALUE""")," BASCULA DIGITAL 40KGX5GR CUB ACERO INOX")</f>
        <v>BASCULA DIGITAL 40KGX5GR CUB ACERO INOX</v>
      </c>
      <c r="AT174" s="71">
        <f>IFERROR(__xludf.DUMMYFUNCTION("""COMPUTED_VALUE"""),39.0)</f>
        <v>39</v>
      </c>
      <c r="AU174" s="71"/>
      <c r="AV174" s="71"/>
      <c r="AW174" s="71"/>
      <c r="AX174" s="71"/>
      <c r="AY174" s="71">
        <f>IFERROR(__xludf.DUMMYFUNCTION("""COMPUTED_VALUE"""),1746.0)</f>
        <v>1746</v>
      </c>
      <c r="AZ174" s="71">
        <f>IFERROR(__xludf.DUMMYFUNCTION("""COMPUTED_VALUE"""),1885.0)</f>
        <v>1885</v>
      </c>
      <c r="BA174" s="71">
        <f>IFERROR(__xludf.DUMMYFUNCTION("""COMPUTED_VALUE"""),2035.8000000000002)</f>
        <v>2035.8</v>
      </c>
      <c r="BB174" s="71">
        <f>IFERROR(__xludf.DUMMYFUNCTION("""COMPUTED_VALUE"""),2035.8000000000002)</f>
        <v>2035.8</v>
      </c>
      <c r="BC174" s="71">
        <f>IFERROR(__xludf.DUMMYFUNCTION("""COMPUTED_VALUE"""),1365.0)</f>
        <v>1365</v>
      </c>
      <c r="BD174" s="71">
        <f>IFERROR(__xludf.DUMMYFUNCTION("""COMPUTED_VALUE"""),1433.0)</f>
        <v>1433</v>
      </c>
      <c r="BE174" s="71">
        <f>IFERROR(__xludf.DUMMYFUNCTION("""COMPUTED_VALUE"""),229.28)</f>
        <v>229.28</v>
      </c>
      <c r="BF174" s="71">
        <f>IFERROR(__xludf.DUMMYFUNCTION("""COMPUTED_VALUE"""),1662.28)</f>
        <v>1662.28</v>
      </c>
      <c r="BG174" s="71">
        <f>IFERROR(__xludf.DUMMYFUNCTION("""COMPUTED_VALUE"""),0.04981684981684982)</f>
        <v>0.04981684982</v>
      </c>
      <c r="BH174" s="71">
        <f>IFERROR(__xludf.DUMMYFUNCTION("""COMPUTED_VALUE"""),1361.35)</f>
        <v>1361.35</v>
      </c>
      <c r="BI174" s="71">
        <f>IFERROR(__xludf.DUMMYFUNCTION("""COMPUTED_VALUE"""),217.816)</f>
        <v>217.816</v>
      </c>
      <c r="BJ174" s="71">
        <f>IFERROR(__xludf.DUMMYFUNCTION("""COMPUTED_VALUE"""),1579.166)</f>
        <v>1579.166</v>
      </c>
      <c r="BK174" s="71">
        <f>IFERROR(__xludf.DUMMYFUNCTION("""COMPUTED_VALUE"""),1289.7)</f>
        <v>1289.7</v>
      </c>
      <c r="BL174" s="71">
        <f>IFERROR(__xludf.DUMMYFUNCTION("""COMPUTED_VALUE"""),206.352)</f>
        <v>206.352</v>
      </c>
      <c r="BM174" s="71">
        <f>IFERROR(__xludf.DUMMYFUNCTION("""COMPUTED_VALUE"""),1496.0520000000001)</f>
        <v>1496.052</v>
      </c>
      <c r="BN174" s="71">
        <f>IFERROR(__xludf.DUMMYFUNCTION("""COMPUTED_VALUE"""),1218.05)</f>
        <v>1218.05</v>
      </c>
      <c r="BO174" s="71">
        <f>IFERROR(__xludf.DUMMYFUNCTION("""COMPUTED_VALUE"""),194.888)</f>
        <v>194.888</v>
      </c>
      <c r="BP174" s="71">
        <f>IFERROR(__xludf.DUMMYFUNCTION("""COMPUTED_VALUE"""),1412.9379999999999)</f>
        <v>1412.938</v>
      </c>
      <c r="BQ174" s="71">
        <f>IFERROR(__xludf.DUMMYFUNCTION("""COMPUTED_VALUE"""),1189.3899999999999)</f>
        <v>1189.39</v>
      </c>
      <c r="BR174" s="71">
        <f>IFERROR(__xludf.DUMMYFUNCTION("""COMPUTED_VALUE"""),190.30239999999998)</f>
        <v>190.3024</v>
      </c>
      <c r="BS174" s="71">
        <f>IFERROR(__xludf.DUMMYFUNCTION("""COMPUTED_VALUE"""),1379.6924)</f>
        <v>1379.6924</v>
      </c>
      <c r="BT174" s="71">
        <f>IFERROR(__xludf.DUMMYFUNCTION("""COMPUTED_VALUE"""),1146.4)</f>
        <v>1146.4</v>
      </c>
      <c r="BU174" s="71">
        <f>IFERROR(__xludf.DUMMYFUNCTION("""COMPUTED_VALUE"""),183.424)</f>
        <v>183.424</v>
      </c>
      <c r="BV174" s="71">
        <f>IFERROR(__xludf.DUMMYFUNCTION("""COMPUTED_VALUE"""),1329.824)</f>
        <v>1329.824</v>
      </c>
    </row>
    <row r="175">
      <c r="A175" s="53"/>
      <c r="B175" s="53"/>
      <c r="C175" s="53" t="s">
        <v>36</v>
      </c>
      <c r="D175" s="85" t="s">
        <v>450</v>
      </c>
      <c r="E175" s="54" t="s">
        <v>38</v>
      </c>
      <c r="F175" s="55" t="s">
        <v>39</v>
      </c>
      <c r="G175" s="86" t="s">
        <v>451</v>
      </c>
      <c r="H175" s="55"/>
      <c r="I175" s="54">
        <f t="shared" si="1"/>
        <v>0</v>
      </c>
      <c r="J175" s="56"/>
      <c r="K175" s="57"/>
      <c r="L175" s="76"/>
      <c r="M175" s="59"/>
      <c r="N175" s="60"/>
      <c r="O175" s="61">
        <v>7680.0</v>
      </c>
      <c r="P175" s="62">
        <v>8294.400000000001</v>
      </c>
      <c r="Q175" s="63">
        <v>8294.400000000001</v>
      </c>
      <c r="R175" s="64">
        <v>8709.0</v>
      </c>
      <c r="S175" s="107">
        <v>9144.0</v>
      </c>
      <c r="T175" s="65">
        <f t="shared" si="2"/>
        <v>1463.04</v>
      </c>
      <c r="U175" s="65">
        <f t="shared" si="3"/>
        <v>10607.04</v>
      </c>
      <c r="V175" s="66">
        <f t="shared" si="4"/>
        <v>0.04994832931</v>
      </c>
      <c r="W175" s="67">
        <f t="shared" si="5"/>
        <v>8686.8</v>
      </c>
      <c r="X175" s="67">
        <f t="shared" si="6"/>
        <v>1389.888</v>
      </c>
      <c r="Y175" s="67">
        <f t="shared" si="7"/>
        <v>10076.688</v>
      </c>
      <c r="Z175" s="67">
        <f t="shared" si="8"/>
        <v>8229.6</v>
      </c>
      <c r="AA175" s="67">
        <f t="shared" si="9"/>
        <v>1316.736</v>
      </c>
      <c r="AB175" s="67">
        <f t="shared" si="10"/>
        <v>9546.336</v>
      </c>
      <c r="AC175" s="67">
        <f t="shared" si="11"/>
        <v>7772.4</v>
      </c>
      <c r="AD175" s="67">
        <f t="shared" si="12"/>
        <v>1243.584</v>
      </c>
      <c r="AE175" s="67">
        <f t="shared" si="13"/>
        <v>9015.984</v>
      </c>
      <c r="AF175" s="67">
        <f t="shared" si="14"/>
        <v>7589.52</v>
      </c>
      <c r="AG175" s="67">
        <f t="shared" si="15"/>
        <v>1214.3232</v>
      </c>
      <c r="AH175" s="67">
        <f t="shared" si="16"/>
        <v>8803.8432</v>
      </c>
      <c r="AI175" s="67">
        <f t="shared" si="17"/>
        <v>7315.2</v>
      </c>
      <c r="AJ175" s="68">
        <f t="shared" si="20"/>
        <v>1170.432</v>
      </c>
      <c r="AK175" s="68">
        <f t="shared" si="21"/>
        <v>8485.632</v>
      </c>
      <c r="AL175" s="70">
        <f>IFERROR(__xludf.DUMMYFUNCTION("""COMPUTED_VALUE"""),1.0)</f>
        <v>1</v>
      </c>
      <c r="AM175" s="70"/>
      <c r="AN175" s="71" t="str">
        <f>IFERROR(__xludf.DUMMYFUNCTION("""COMPUTED_VALUE""")," P")</f>
        <v>P</v>
      </c>
      <c r="AO175" s="71" t="str">
        <f>IFERROR(__xludf.DUMMYFUNCTION("""COMPUTED_VALUE""")," BS02")</f>
        <v>BS02</v>
      </c>
      <c r="AP175" s="71" t="str">
        <f>IFERROR(__xludf.DUMMYFUNCTION("""COMPUTED_VALUE""")," PZA")</f>
        <v>PZA</v>
      </c>
      <c r="AQ175" s="71" t="str">
        <f>IFERROR(__xludf.DUMMYFUNCTION("""COMPUTED_VALUE""")," REF")</f>
        <v>REF</v>
      </c>
      <c r="AR175" s="71" t="str">
        <f>IFERROR(__xludf.DUMMYFUNCTION("""COMPUTED_VALUE""")," BASE INFERIOR DÚPLEX ARMADA (B.C.)")</f>
        <v>BASE INFERIOR DÚPLEX ARMADA (B.C.)</v>
      </c>
      <c r="AS175" s="71" t="str">
        <f>IFERROR(__xludf.DUMMYFUNCTION("""COMPUTED_VALUE""")," BASE INFERIOR DUPLEX ARMADA BC")</f>
        <v>BASE INFERIOR DUPLEX ARMADA BC</v>
      </c>
      <c r="AT175" s="71">
        <f>IFERROR(__xludf.DUMMYFUNCTION("""COMPUTED_VALUE"""),30.0)</f>
        <v>30</v>
      </c>
      <c r="AU175" s="71"/>
      <c r="AV175" s="71"/>
      <c r="AW175" s="71"/>
      <c r="AX175" s="71"/>
      <c r="AY175" s="71">
        <f>IFERROR(__xludf.DUMMYFUNCTION("""COMPUTED_VALUE"""),28825.0)</f>
        <v>28825</v>
      </c>
      <c r="AZ175" s="71">
        <f>IFERROR(__xludf.DUMMYFUNCTION("""COMPUTED_VALUE"""),31131.0)</f>
        <v>31131</v>
      </c>
      <c r="BA175" s="71">
        <f>IFERROR(__xludf.DUMMYFUNCTION("""COMPUTED_VALUE"""),39278.08)</f>
        <v>39278.08</v>
      </c>
      <c r="BB175" s="71">
        <f>IFERROR(__xludf.DUMMYFUNCTION("""COMPUTED_VALUE"""),39278.08)</f>
        <v>39278.08</v>
      </c>
      <c r="BC175" s="71">
        <f>IFERROR(__xludf.DUMMYFUNCTION("""COMPUTED_VALUE"""),43717.0)</f>
        <v>43717</v>
      </c>
      <c r="BD175" s="71">
        <f>IFERROR(__xludf.DUMMYFUNCTION("""COMPUTED_VALUE"""),45903.0)</f>
        <v>45903</v>
      </c>
      <c r="BE175" s="71">
        <f>IFERROR(__xludf.DUMMYFUNCTION("""COMPUTED_VALUE"""),7344.4800000000005)</f>
        <v>7344.48</v>
      </c>
      <c r="BF175" s="71">
        <f>IFERROR(__xludf.DUMMYFUNCTION("""COMPUTED_VALUE"""),53247.48)</f>
        <v>53247.48</v>
      </c>
      <c r="BG175" s="71">
        <f>IFERROR(__xludf.DUMMYFUNCTION("""COMPUTED_VALUE"""),0.05000343115950317)</f>
        <v>0.05000343116</v>
      </c>
      <c r="BH175" s="71">
        <f>IFERROR(__xludf.DUMMYFUNCTION("""COMPUTED_VALUE"""),43607.85)</f>
        <v>43607.85</v>
      </c>
      <c r="BI175" s="71">
        <f>IFERROR(__xludf.DUMMYFUNCTION("""COMPUTED_VALUE"""),6977.256)</f>
        <v>6977.256</v>
      </c>
      <c r="BJ175" s="71">
        <f>IFERROR(__xludf.DUMMYFUNCTION("""COMPUTED_VALUE"""),50585.106)</f>
        <v>50585.106</v>
      </c>
      <c r="BK175" s="71">
        <f>IFERROR(__xludf.DUMMYFUNCTION("""COMPUTED_VALUE"""),41312.700000000004)</f>
        <v>41312.7</v>
      </c>
      <c r="BL175" s="71">
        <f>IFERROR(__xludf.DUMMYFUNCTION("""COMPUTED_VALUE"""),6610.032000000001)</f>
        <v>6610.032</v>
      </c>
      <c r="BM175" s="71">
        <f>IFERROR(__xludf.DUMMYFUNCTION("""COMPUTED_VALUE"""),47922.732)</f>
        <v>47922.732</v>
      </c>
      <c r="BN175" s="71">
        <f>IFERROR(__xludf.DUMMYFUNCTION("""COMPUTED_VALUE"""),39017.549999999996)</f>
        <v>39017.55</v>
      </c>
      <c r="BO175" s="71">
        <f>IFERROR(__xludf.DUMMYFUNCTION("""COMPUTED_VALUE"""),6242.807999999999)</f>
        <v>6242.808</v>
      </c>
      <c r="BP175" s="71">
        <f>IFERROR(__xludf.DUMMYFUNCTION("""COMPUTED_VALUE"""),45260.35799999999)</f>
        <v>45260.358</v>
      </c>
      <c r="BQ175" s="71">
        <f>IFERROR(__xludf.DUMMYFUNCTION("""COMPUTED_VALUE"""),38099.49)</f>
        <v>38099.49</v>
      </c>
      <c r="BR175" s="71">
        <f>IFERROR(__xludf.DUMMYFUNCTION("""COMPUTED_VALUE"""),6095.9184)</f>
        <v>6095.9184</v>
      </c>
      <c r="BS175" s="71">
        <f>IFERROR(__xludf.DUMMYFUNCTION("""COMPUTED_VALUE"""),44195.4084)</f>
        <v>44195.4084</v>
      </c>
      <c r="BT175" s="71">
        <f>IFERROR(__xludf.DUMMYFUNCTION("""COMPUTED_VALUE"""),36722.4)</f>
        <v>36722.4</v>
      </c>
      <c r="BU175" s="71">
        <f>IFERROR(__xludf.DUMMYFUNCTION("""COMPUTED_VALUE"""),5875.584000000001)</f>
        <v>5875.584</v>
      </c>
      <c r="BV175" s="71">
        <f>IFERROR(__xludf.DUMMYFUNCTION("""COMPUTED_VALUE"""),42597.984000000004)</f>
        <v>42597.984</v>
      </c>
    </row>
    <row r="176">
      <c r="A176" s="53"/>
      <c r="B176" s="53">
        <v>3.0</v>
      </c>
      <c r="C176" s="53" t="s">
        <v>36</v>
      </c>
      <c r="D176" s="53" t="s">
        <v>452</v>
      </c>
      <c r="E176" s="54" t="s">
        <v>38</v>
      </c>
      <c r="F176" s="55" t="s">
        <v>61</v>
      </c>
      <c r="G176" s="55" t="s">
        <v>453</v>
      </c>
      <c r="H176" s="55"/>
      <c r="I176" s="54">
        <f t="shared" si="1"/>
        <v>0</v>
      </c>
      <c r="J176" s="56"/>
      <c r="K176" s="57"/>
      <c r="L176" s="76"/>
      <c r="M176" s="59"/>
      <c r="N176" s="60"/>
      <c r="O176" s="61">
        <v>4104.0</v>
      </c>
      <c r="P176" s="62">
        <v>4432.320000000001</v>
      </c>
      <c r="Q176" s="63">
        <v>4432.320000000001</v>
      </c>
      <c r="R176" s="64">
        <v>4887.0</v>
      </c>
      <c r="S176" s="111">
        <v>5131.0</v>
      </c>
      <c r="T176" s="65">
        <f t="shared" si="2"/>
        <v>820.96</v>
      </c>
      <c r="U176" s="65">
        <f t="shared" si="3"/>
        <v>5951.96</v>
      </c>
      <c r="V176" s="66">
        <f t="shared" si="4"/>
        <v>0.04992838142</v>
      </c>
      <c r="W176" s="67">
        <f t="shared" si="5"/>
        <v>4874.45</v>
      </c>
      <c r="X176" s="67">
        <f t="shared" si="6"/>
        <v>779.912</v>
      </c>
      <c r="Y176" s="67">
        <f t="shared" si="7"/>
        <v>5654.362</v>
      </c>
      <c r="Z176" s="67">
        <f t="shared" si="8"/>
        <v>4617.9</v>
      </c>
      <c r="AA176" s="67">
        <f t="shared" si="9"/>
        <v>738.864</v>
      </c>
      <c r="AB176" s="67">
        <f t="shared" si="10"/>
        <v>5356.764</v>
      </c>
      <c r="AC176" s="67">
        <f t="shared" si="11"/>
        <v>4617.9</v>
      </c>
      <c r="AD176" s="67">
        <f t="shared" si="12"/>
        <v>738.864</v>
      </c>
      <c r="AE176" s="67">
        <f t="shared" si="13"/>
        <v>5356.764</v>
      </c>
      <c r="AF176" s="67">
        <f t="shared" si="14"/>
        <v>4617.9</v>
      </c>
      <c r="AG176" s="67">
        <f t="shared" si="15"/>
        <v>738.864</v>
      </c>
      <c r="AH176" s="67">
        <f t="shared" si="16"/>
        <v>5356.764</v>
      </c>
      <c r="AI176" s="67">
        <f t="shared" si="17"/>
        <v>4617.9</v>
      </c>
      <c r="AJ176" s="68">
        <f t="shared" si="20"/>
        <v>738.864</v>
      </c>
      <c r="AK176" s="68">
        <f t="shared" si="21"/>
        <v>5356.764</v>
      </c>
      <c r="AL176" s="70">
        <f>IFERROR(__xludf.DUMMYFUNCTION("""COMPUTED_VALUE"""),1.0)</f>
        <v>1</v>
      </c>
      <c r="AM176" s="70"/>
      <c r="AN176" s="71" t="str">
        <f>IFERROR(__xludf.DUMMYFUNCTION("""COMPUTED_VALUE""")," P")</f>
        <v>P</v>
      </c>
      <c r="AO176" s="71" t="str">
        <f>IFERROR(__xludf.DUMMYFUNCTION("""COMPUTED_VALUE""")," BS03")</f>
        <v>BS03</v>
      </c>
      <c r="AP176" s="71" t="str">
        <f>IFERROR(__xludf.DUMMYFUNCTION("""COMPUTED_VALUE""")," PZA")</f>
        <v>PZA</v>
      </c>
      <c r="AQ176" s="71" t="str">
        <f>IFERROR(__xludf.DUMMYFUNCTION("""COMPUTED_VALUE""")," REF")</f>
        <v>REF</v>
      </c>
      <c r="AR176" s="71" t="str">
        <f>IFERROR(__xludf.DUMMYFUNCTION("""COMPUTED_VALUE""")," BASE INFERIOR DÚPLEX ARMADA MODELO ANTERIOR")</f>
        <v>BASE INFERIOR DÚPLEX ARMADA MODELO ANTERIOR</v>
      </c>
      <c r="AS176" s="71" t="str">
        <f>IFERROR(__xludf.DUMMYFUNCTION("""COMPUTED_VALUE""")," BASE INFERIOR DUPLEX ARMADA MA")</f>
        <v>BASE INFERIOR DUPLEX ARMADA MA</v>
      </c>
      <c r="AT176" s="71">
        <f>IFERROR(__xludf.DUMMYFUNCTION("""COMPUTED_VALUE"""),30.0)</f>
        <v>30</v>
      </c>
      <c r="AU176" s="71"/>
      <c r="AV176" s="71"/>
      <c r="AW176" s="71"/>
      <c r="AX176" s="71"/>
      <c r="AY176" s="71">
        <f>IFERROR(__xludf.DUMMYFUNCTION("""COMPUTED_VALUE"""),27451.0)</f>
        <v>27451</v>
      </c>
      <c r="AZ176" s="71">
        <f>IFERROR(__xludf.DUMMYFUNCTION("""COMPUTED_VALUE"""),29647.0)</f>
        <v>29647</v>
      </c>
      <c r="BA176" s="71">
        <f>IFERROR(__xludf.DUMMYFUNCTION("""COMPUTED_VALUE"""),37675.36)</f>
        <v>37675.36</v>
      </c>
      <c r="BB176" s="71">
        <f>IFERROR(__xludf.DUMMYFUNCTION("""COMPUTED_VALUE"""),37675.36)</f>
        <v>37675.36</v>
      </c>
      <c r="BC176" s="71">
        <f>IFERROR(__xludf.DUMMYFUNCTION("""COMPUTED_VALUE"""),41933.0)</f>
        <v>41933</v>
      </c>
      <c r="BD176" s="71">
        <f>IFERROR(__xludf.DUMMYFUNCTION("""COMPUTED_VALUE"""),44030.0)</f>
        <v>44030</v>
      </c>
      <c r="BE176" s="71">
        <f>IFERROR(__xludf.DUMMYFUNCTION("""COMPUTED_VALUE"""),7044.8)</f>
        <v>7044.8</v>
      </c>
      <c r="BF176" s="71">
        <f>IFERROR(__xludf.DUMMYFUNCTION("""COMPUTED_VALUE"""),51074.8)</f>
        <v>51074.8</v>
      </c>
      <c r="BG176" s="71">
        <f>IFERROR(__xludf.DUMMYFUNCTION("""COMPUTED_VALUE"""),0.050008346648224546)</f>
        <v>0.05000834665</v>
      </c>
      <c r="BH176" s="71">
        <f>IFERROR(__xludf.DUMMYFUNCTION("""COMPUTED_VALUE"""),41828.5)</f>
        <v>41828.5</v>
      </c>
      <c r="BI176" s="71">
        <f>IFERROR(__xludf.DUMMYFUNCTION("""COMPUTED_VALUE"""),6692.56)</f>
        <v>6692.56</v>
      </c>
      <c r="BJ176" s="71">
        <f>IFERROR(__xludf.DUMMYFUNCTION("""COMPUTED_VALUE"""),48521.06)</f>
        <v>48521.06</v>
      </c>
      <c r="BK176" s="71">
        <f>IFERROR(__xludf.DUMMYFUNCTION("""COMPUTED_VALUE"""),39627.0)</f>
        <v>39627</v>
      </c>
      <c r="BL176" s="71">
        <f>IFERROR(__xludf.DUMMYFUNCTION("""COMPUTED_VALUE"""),6340.32)</f>
        <v>6340.32</v>
      </c>
      <c r="BM176" s="71">
        <f>IFERROR(__xludf.DUMMYFUNCTION("""COMPUTED_VALUE"""),45967.32)</f>
        <v>45967.32</v>
      </c>
      <c r="BN176" s="71">
        <f>IFERROR(__xludf.DUMMYFUNCTION("""COMPUTED_VALUE"""),37425.5)</f>
        <v>37425.5</v>
      </c>
      <c r="BO176" s="71">
        <f>IFERROR(__xludf.DUMMYFUNCTION("""COMPUTED_VALUE"""),5988.08)</f>
        <v>5988.08</v>
      </c>
      <c r="BP176" s="71">
        <f>IFERROR(__xludf.DUMMYFUNCTION("""COMPUTED_VALUE"""),43413.58)</f>
        <v>43413.58</v>
      </c>
      <c r="BQ176" s="71">
        <f>IFERROR(__xludf.DUMMYFUNCTION("""COMPUTED_VALUE"""),36544.9)</f>
        <v>36544.9</v>
      </c>
      <c r="BR176" s="71">
        <f>IFERROR(__xludf.DUMMYFUNCTION("""COMPUTED_VALUE"""),5847.184)</f>
        <v>5847.184</v>
      </c>
      <c r="BS176" s="71">
        <f>IFERROR(__xludf.DUMMYFUNCTION("""COMPUTED_VALUE"""),42392.084)</f>
        <v>42392.084</v>
      </c>
      <c r="BT176" s="71">
        <f>IFERROR(__xludf.DUMMYFUNCTION("""COMPUTED_VALUE"""),35224.0)</f>
        <v>35224</v>
      </c>
      <c r="BU176" s="71">
        <f>IFERROR(__xludf.DUMMYFUNCTION("""COMPUTED_VALUE"""),5635.84)</f>
        <v>5635.84</v>
      </c>
      <c r="BV176" s="71">
        <f>IFERROR(__xludf.DUMMYFUNCTION("""COMPUTED_VALUE"""),40859.84)</f>
        <v>40859.84</v>
      </c>
    </row>
    <row r="177">
      <c r="A177" s="53"/>
      <c r="B177" s="53"/>
      <c r="C177" s="73" t="s">
        <v>12</v>
      </c>
      <c r="D177" s="53" t="s">
        <v>454</v>
      </c>
      <c r="E177" s="54" t="s">
        <v>38</v>
      </c>
      <c r="F177" s="54" t="s">
        <v>42</v>
      </c>
      <c r="G177" s="55" t="s">
        <v>455</v>
      </c>
      <c r="H177" s="54" t="s">
        <v>456</v>
      </c>
      <c r="I177" s="54">
        <f t="shared" si="1"/>
        <v>34</v>
      </c>
      <c r="J177" s="56"/>
      <c r="K177" s="57"/>
      <c r="L177" s="76"/>
      <c r="M177" s="59"/>
      <c r="N177" s="79">
        <v>2904.0</v>
      </c>
      <c r="O177" s="61">
        <v>3136.0</v>
      </c>
      <c r="P177" s="62">
        <v>3386.88</v>
      </c>
      <c r="Q177" s="63">
        <v>3386.88</v>
      </c>
      <c r="R177" s="64">
        <v>3557.0</v>
      </c>
      <c r="S177" s="111">
        <v>3735.0</v>
      </c>
      <c r="T177" s="65">
        <f t="shared" si="2"/>
        <v>597.6</v>
      </c>
      <c r="U177" s="65">
        <f t="shared" si="3"/>
        <v>4332.6</v>
      </c>
      <c r="V177" s="66">
        <f t="shared" si="4"/>
        <v>0.05004217037</v>
      </c>
      <c r="W177" s="67">
        <f t="shared" si="5"/>
        <v>3548.25</v>
      </c>
      <c r="X177" s="67">
        <f t="shared" si="6"/>
        <v>567.72</v>
      </c>
      <c r="Y177" s="67">
        <f t="shared" si="7"/>
        <v>4115.97</v>
      </c>
      <c r="Z177" s="67">
        <f t="shared" si="8"/>
        <v>3361.5</v>
      </c>
      <c r="AA177" s="67">
        <f t="shared" si="9"/>
        <v>537.84</v>
      </c>
      <c r="AB177" s="67">
        <f t="shared" si="10"/>
        <v>3899.34</v>
      </c>
      <c r="AC177" s="67">
        <f t="shared" si="11"/>
        <v>3174.75</v>
      </c>
      <c r="AD177" s="67">
        <f t="shared" si="12"/>
        <v>507.96</v>
      </c>
      <c r="AE177" s="67">
        <f t="shared" si="13"/>
        <v>3682.71</v>
      </c>
      <c r="AF177" s="67">
        <f t="shared" si="14"/>
        <v>3100.05</v>
      </c>
      <c r="AG177" s="67">
        <f t="shared" si="15"/>
        <v>496.008</v>
      </c>
      <c r="AH177" s="67">
        <f t="shared" si="16"/>
        <v>3596.058</v>
      </c>
      <c r="AI177" s="67">
        <f t="shared" si="17"/>
        <v>2988</v>
      </c>
      <c r="AJ177" s="68">
        <f t="shared" si="20"/>
        <v>478.08</v>
      </c>
      <c r="AK177" s="68">
        <f t="shared" si="21"/>
        <v>3466.08</v>
      </c>
      <c r="AL177" s="70">
        <f>IFERROR(__xludf.DUMMYFUNCTION("""COMPUTED_VALUE"""),1.0)</f>
        <v>1</v>
      </c>
      <c r="AM177" s="70"/>
      <c r="AN177" s="71" t="str">
        <f>IFERROR(__xludf.DUMMYFUNCTION("""COMPUTED_VALUE""")," P")</f>
        <v>P</v>
      </c>
      <c r="AO177" s="71" t="str">
        <f>IFERROR(__xludf.DUMMYFUNCTION("""COMPUTED_VALUE""")," BS04")</f>
        <v>BS04</v>
      </c>
      <c r="AP177" s="71" t="str">
        <f>IFERROR(__xludf.DUMMYFUNCTION("""COMPUTED_VALUE""")," PZA")</f>
        <v>PZA</v>
      </c>
      <c r="AQ177" s="71" t="str">
        <f>IFERROR(__xludf.DUMMYFUNCTION("""COMPUTED_VALUE""")," REF")</f>
        <v>REF</v>
      </c>
      <c r="AR177" s="71" t="str">
        <f>IFERROR(__xludf.DUMMYFUNCTION("""COMPUTED_VALUE""")," BASE INFERIOR DÚPLEX CON BRONCES, BUJES Y BIRLOS")</f>
        <v>BASE INFERIOR DÚPLEX CON BRONCES, BUJES Y BIRLOS</v>
      </c>
      <c r="AS177" s="71" t="str">
        <f>IFERROR(__xludf.DUMMYFUNCTION("""COMPUTED_VALUE""")," BASE INFERIOR DPLX BRONCES BUJES BIRLOS")</f>
        <v>BASE INFERIOR DPLX BRONCES BUJES BIRLOS</v>
      </c>
      <c r="AT177" s="71">
        <f>IFERROR(__xludf.DUMMYFUNCTION("""COMPUTED_VALUE"""),39.0)</f>
        <v>39</v>
      </c>
      <c r="AU177" s="71"/>
      <c r="AV177" s="71"/>
      <c r="AW177" s="71"/>
      <c r="AX177" s="71"/>
      <c r="AY177" s="71">
        <f>IFERROR(__xludf.DUMMYFUNCTION("""COMPUTED_VALUE"""),23636.0)</f>
        <v>23636</v>
      </c>
      <c r="AZ177" s="71">
        <f>IFERROR(__xludf.DUMMYFUNCTION("""COMPUTED_VALUE"""),25526.0)</f>
        <v>25526</v>
      </c>
      <c r="BA177" s="71">
        <f>IFERROR(__xludf.DUMMYFUNCTION("""COMPUTED_VALUE"""),33224.68)</f>
        <v>33224.68</v>
      </c>
      <c r="BB177" s="71">
        <f>IFERROR(__xludf.DUMMYFUNCTION("""COMPUTED_VALUE"""),33224.68)</f>
        <v>33224.68</v>
      </c>
      <c r="BC177" s="71">
        <f>IFERROR(__xludf.DUMMYFUNCTION("""COMPUTED_VALUE"""),36980.0)</f>
        <v>36980</v>
      </c>
      <c r="BD177" s="71">
        <f>IFERROR(__xludf.DUMMYFUNCTION("""COMPUTED_VALUE"""),38829.0)</f>
        <v>38829</v>
      </c>
      <c r="BE177" s="71">
        <f>IFERROR(__xludf.DUMMYFUNCTION("""COMPUTED_VALUE"""),6212.64)</f>
        <v>6212.64</v>
      </c>
      <c r="BF177" s="71">
        <f>IFERROR(__xludf.DUMMYFUNCTION("""COMPUTED_VALUE"""),45041.64)</f>
        <v>45041.64</v>
      </c>
      <c r="BG177" s="71">
        <f>IFERROR(__xludf.DUMMYFUNCTION("""COMPUTED_VALUE"""),0.05)</f>
        <v>0.05</v>
      </c>
      <c r="BH177" s="71">
        <f>IFERROR(__xludf.DUMMYFUNCTION("""COMPUTED_VALUE"""),36887.549999999996)</f>
        <v>36887.55</v>
      </c>
      <c r="BI177" s="71">
        <f>IFERROR(__xludf.DUMMYFUNCTION("""COMPUTED_VALUE"""),5902.008)</f>
        <v>5902.008</v>
      </c>
      <c r="BJ177" s="71">
        <f>IFERROR(__xludf.DUMMYFUNCTION("""COMPUTED_VALUE"""),42789.558)</f>
        <v>42789.558</v>
      </c>
      <c r="BK177" s="71">
        <f>IFERROR(__xludf.DUMMYFUNCTION("""COMPUTED_VALUE"""),34946.1)</f>
        <v>34946.1</v>
      </c>
      <c r="BL177" s="71">
        <f>IFERROR(__xludf.DUMMYFUNCTION("""COMPUTED_VALUE"""),5591.376)</f>
        <v>5591.376</v>
      </c>
      <c r="BM177" s="71">
        <f>IFERROR(__xludf.DUMMYFUNCTION("""COMPUTED_VALUE"""),40537.475999999995)</f>
        <v>40537.476</v>
      </c>
      <c r="BN177" s="71">
        <f>IFERROR(__xludf.DUMMYFUNCTION("""COMPUTED_VALUE"""),33004.65)</f>
        <v>33004.65</v>
      </c>
      <c r="BO177" s="71">
        <f>IFERROR(__xludf.DUMMYFUNCTION("""COMPUTED_VALUE"""),5280.744000000001)</f>
        <v>5280.744</v>
      </c>
      <c r="BP177" s="71">
        <f>IFERROR(__xludf.DUMMYFUNCTION("""COMPUTED_VALUE"""),38285.394)</f>
        <v>38285.394</v>
      </c>
      <c r="BQ177" s="71">
        <f>IFERROR(__xludf.DUMMYFUNCTION("""COMPUTED_VALUE"""),32228.07)</f>
        <v>32228.07</v>
      </c>
      <c r="BR177" s="71">
        <f>IFERROR(__xludf.DUMMYFUNCTION("""COMPUTED_VALUE"""),5156.4912)</f>
        <v>5156.4912</v>
      </c>
      <c r="BS177" s="71">
        <f>IFERROR(__xludf.DUMMYFUNCTION("""COMPUTED_VALUE"""),37384.5612)</f>
        <v>37384.5612</v>
      </c>
      <c r="BT177" s="71">
        <f>IFERROR(__xludf.DUMMYFUNCTION("""COMPUTED_VALUE"""),31063.2)</f>
        <v>31063.2</v>
      </c>
      <c r="BU177" s="71">
        <f>IFERROR(__xludf.DUMMYFUNCTION("""COMPUTED_VALUE"""),4970.112)</f>
        <v>4970.112</v>
      </c>
      <c r="BV177" s="71">
        <f>IFERROR(__xludf.DUMMYFUNCTION("""COMPUTED_VALUE"""),36033.312)</f>
        <v>36033.312</v>
      </c>
    </row>
    <row r="178">
      <c r="A178" s="53">
        <v>1.0</v>
      </c>
      <c r="B178" s="72"/>
      <c r="C178" s="73" t="s">
        <v>12</v>
      </c>
      <c r="D178" s="74" t="s">
        <v>457</v>
      </c>
      <c r="E178" s="54" t="s">
        <v>38</v>
      </c>
      <c r="F178" s="54" t="s">
        <v>42</v>
      </c>
      <c r="G178" s="88" t="s">
        <v>458</v>
      </c>
      <c r="H178" s="54" t="s">
        <v>458</v>
      </c>
      <c r="I178" s="54">
        <f t="shared" si="1"/>
        <v>30</v>
      </c>
      <c r="J178" s="56"/>
      <c r="K178" s="75"/>
      <c r="L178" s="76"/>
      <c r="M178" s="59"/>
      <c r="N178" s="60">
        <v>29.0</v>
      </c>
      <c r="O178" s="61">
        <v>45.0</v>
      </c>
      <c r="P178" s="62">
        <v>48.6</v>
      </c>
      <c r="Q178" s="63">
        <v>48.6</v>
      </c>
      <c r="R178" s="64">
        <v>55.0</v>
      </c>
      <c r="S178" s="111">
        <v>58.0</v>
      </c>
      <c r="T178" s="65">
        <f t="shared" si="2"/>
        <v>9.28</v>
      </c>
      <c r="U178" s="65">
        <f t="shared" si="3"/>
        <v>67.28</v>
      </c>
      <c r="V178" s="66">
        <f t="shared" si="4"/>
        <v>0.05454545455</v>
      </c>
      <c r="W178" s="67">
        <f t="shared" si="5"/>
        <v>55.1</v>
      </c>
      <c r="X178" s="67">
        <f t="shared" si="6"/>
        <v>8.816</v>
      </c>
      <c r="Y178" s="67">
        <f t="shared" si="7"/>
        <v>63.916</v>
      </c>
      <c r="Z178" s="67">
        <f t="shared" si="8"/>
        <v>52.2</v>
      </c>
      <c r="AA178" s="67">
        <f t="shared" si="9"/>
        <v>8.352</v>
      </c>
      <c r="AB178" s="67">
        <f t="shared" si="10"/>
        <v>60.552</v>
      </c>
      <c r="AC178" s="67">
        <f t="shared" si="11"/>
        <v>49.3</v>
      </c>
      <c r="AD178" s="67">
        <f t="shared" si="12"/>
        <v>7.888</v>
      </c>
      <c r="AE178" s="67">
        <f t="shared" si="13"/>
        <v>57.188</v>
      </c>
      <c r="AF178" s="67">
        <f t="shared" si="14"/>
        <v>48.14</v>
      </c>
      <c r="AG178" s="67">
        <f t="shared" si="15"/>
        <v>7.7024</v>
      </c>
      <c r="AH178" s="67">
        <f t="shared" si="16"/>
        <v>55.8424</v>
      </c>
      <c r="AI178" s="67">
        <f t="shared" si="17"/>
        <v>46.4</v>
      </c>
      <c r="AJ178" s="68">
        <f t="shared" si="20"/>
        <v>7.424</v>
      </c>
      <c r="AK178" s="68">
        <f t="shared" si="21"/>
        <v>53.824</v>
      </c>
      <c r="AL178" s="70">
        <f>IFERROR(__xludf.DUMMYFUNCTION("""COMPUTED_VALUE"""),1.0)</f>
        <v>1</v>
      </c>
      <c r="AM178" s="70"/>
      <c r="AN178" s="71" t="str">
        <f>IFERROR(__xludf.DUMMYFUNCTION("""COMPUTED_VALUE""")," P")</f>
        <v>P</v>
      </c>
      <c r="AO178" s="71" t="str">
        <f>IFERROR(__xludf.DUMMYFUNCTION("""COMPUTED_VALUE""")," BS01")</f>
        <v>BS01</v>
      </c>
      <c r="AP178" s="71" t="str">
        <f>IFERROR(__xludf.DUMMYFUNCTION("""COMPUTED_VALUE""")," PZA")</f>
        <v>PZA</v>
      </c>
      <c r="AQ178" s="71" t="str">
        <f>IFERROR(__xludf.DUMMYFUNCTION("""COMPUTED_VALUE""")," REF")</f>
        <v>REF</v>
      </c>
      <c r="AR178" s="71" t="str">
        <f>IFERROR(__xludf.DUMMYFUNCTION("""COMPUTED_VALUE""")," BASE INFERIOR DÚPLEX SOLA")</f>
        <v>BASE INFERIOR DÚPLEX SOLA</v>
      </c>
      <c r="AS178" s="71" t="str">
        <f>IFERROR(__xludf.DUMMYFUNCTION("""COMPUTED_VALUE""")," BASE INFERIOR DUPLEX SOLA")</f>
        <v>BASE INFERIOR DUPLEX SOLA</v>
      </c>
      <c r="AT178" s="71">
        <f>IFERROR(__xludf.DUMMYFUNCTION("""COMPUTED_VALUE"""),25.0)</f>
        <v>25</v>
      </c>
      <c r="AU178" s="71"/>
      <c r="AV178" s="71"/>
      <c r="AW178" s="71"/>
      <c r="AX178" s="71"/>
      <c r="AY178" s="71">
        <f>IFERROR(__xludf.DUMMYFUNCTION("""COMPUTED_VALUE"""),8719.0)</f>
        <v>8719</v>
      </c>
      <c r="AZ178" s="71">
        <f>IFERROR(__xludf.DUMMYFUNCTION("""COMPUTED_VALUE"""),11065.0)</f>
        <v>11065</v>
      </c>
      <c r="BA178" s="71">
        <f>IFERROR(__xludf.DUMMYFUNCTION("""COMPUTED_VALUE"""),11950.2)</f>
        <v>11950.2</v>
      </c>
      <c r="BB178" s="71">
        <f>IFERROR(__xludf.DUMMYFUNCTION("""COMPUTED_VALUE"""),11950.2)</f>
        <v>11950.2</v>
      </c>
      <c r="BC178" s="71">
        <f>IFERROR(__xludf.DUMMYFUNCTION("""COMPUTED_VALUE"""),13302.0)</f>
        <v>13302</v>
      </c>
      <c r="BD178" s="71">
        <f>IFERROR(__xludf.DUMMYFUNCTION("""COMPUTED_VALUE"""),13967.0)</f>
        <v>13967</v>
      </c>
      <c r="BE178" s="71">
        <f>IFERROR(__xludf.DUMMYFUNCTION("""COMPUTED_VALUE"""),2234.7200000000003)</f>
        <v>2234.72</v>
      </c>
      <c r="BF178" s="71">
        <f>IFERROR(__xludf.DUMMYFUNCTION("""COMPUTED_VALUE"""),16201.720000000001)</f>
        <v>16201.72</v>
      </c>
      <c r="BG178" s="71">
        <f>IFERROR(__xludf.DUMMYFUNCTION("""COMPUTED_VALUE"""),0.04999248233348369)</f>
        <v>0.04999248233</v>
      </c>
      <c r="BH178" s="71">
        <f>IFERROR(__xludf.DUMMYFUNCTION("""COMPUTED_VALUE"""),13268.65)</f>
        <v>13268.65</v>
      </c>
      <c r="BI178" s="71">
        <f>IFERROR(__xludf.DUMMYFUNCTION("""COMPUTED_VALUE"""),2122.984)</f>
        <v>2122.984</v>
      </c>
      <c r="BJ178" s="71">
        <f>IFERROR(__xludf.DUMMYFUNCTION("""COMPUTED_VALUE"""),15391.634)</f>
        <v>15391.634</v>
      </c>
      <c r="BK178" s="71">
        <f>IFERROR(__xludf.DUMMYFUNCTION("""COMPUTED_VALUE"""),12570.300000000001)</f>
        <v>12570.3</v>
      </c>
      <c r="BL178" s="71">
        <f>IFERROR(__xludf.DUMMYFUNCTION("""COMPUTED_VALUE"""),2011.2480000000003)</f>
        <v>2011.248</v>
      </c>
      <c r="BM178" s="71">
        <f>IFERROR(__xludf.DUMMYFUNCTION("""COMPUTED_VALUE"""),14581.548)</f>
        <v>14581.548</v>
      </c>
      <c r="BN178" s="71">
        <f>IFERROR(__xludf.DUMMYFUNCTION("""COMPUTED_VALUE"""),11871.949999999999)</f>
        <v>11871.95</v>
      </c>
      <c r="BO178" s="71">
        <f>IFERROR(__xludf.DUMMYFUNCTION("""COMPUTED_VALUE"""),1899.512)</f>
        <v>1899.512</v>
      </c>
      <c r="BP178" s="71">
        <f>IFERROR(__xludf.DUMMYFUNCTION("""COMPUTED_VALUE"""),13771.462)</f>
        <v>13771.462</v>
      </c>
      <c r="BQ178" s="71">
        <f>IFERROR(__xludf.DUMMYFUNCTION("""COMPUTED_VALUE"""),11592.609999999999)</f>
        <v>11592.61</v>
      </c>
      <c r="BR178" s="71">
        <f>IFERROR(__xludf.DUMMYFUNCTION("""COMPUTED_VALUE"""),1854.8175999999999)</f>
        <v>1854.8176</v>
      </c>
      <c r="BS178" s="71">
        <f>IFERROR(__xludf.DUMMYFUNCTION("""COMPUTED_VALUE"""),13447.427599999999)</f>
        <v>13447.4276</v>
      </c>
      <c r="BT178" s="71">
        <f>IFERROR(__xludf.DUMMYFUNCTION("""COMPUTED_VALUE"""),11173.6)</f>
        <v>11173.6</v>
      </c>
      <c r="BU178" s="71">
        <f>IFERROR(__xludf.DUMMYFUNCTION("""COMPUTED_VALUE"""),1787.776)</f>
        <v>1787.776</v>
      </c>
      <c r="BV178" s="71">
        <f>IFERROR(__xludf.DUMMYFUNCTION("""COMPUTED_VALUE"""),12961.376)</f>
        <v>12961.376</v>
      </c>
    </row>
    <row r="179">
      <c r="A179" s="53">
        <v>1.0</v>
      </c>
      <c r="B179" s="72"/>
      <c r="C179" s="73" t="s">
        <v>12</v>
      </c>
      <c r="D179" s="74" t="s">
        <v>459</v>
      </c>
      <c r="E179" s="54" t="s">
        <v>38</v>
      </c>
      <c r="F179" s="54" t="s">
        <v>42</v>
      </c>
      <c r="G179" s="88" t="s">
        <v>460</v>
      </c>
      <c r="H179" s="54" t="s">
        <v>460</v>
      </c>
      <c r="I179" s="54">
        <f t="shared" si="1"/>
        <v>26</v>
      </c>
      <c r="J179" s="56"/>
      <c r="K179" s="75"/>
      <c r="L179" s="76"/>
      <c r="M179" s="59"/>
      <c r="N179" s="60">
        <v>82.0</v>
      </c>
      <c r="O179" s="61">
        <v>88.0</v>
      </c>
      <c r="P179" s="62">
        <v>95.04</v>
      </c>
      <c r="Q179" s="63">
        <v>95.04</v>
      </c>
      <c r="R179" s="64">
        <v>107.0</v>
      </c>
      <c r="S179" s="111">
        <v>112.0</v>
      </c>
      <c r="T179" s="65">
        <f t="shared" si="2"/>
        <v>17.92</v>
      </c>
      <c r="U179" s="65">
        <f t="shared" si="3"/>
        <v>129.92</v>
      </c>
      <c r="V179" s="66">
        <f t="shared" si="4"/>
        <v>0.04672897196</v>
      </c>
      <c r="W179" s="67">
        <f t="shared" si="5"/>
        <v>106.4</v>
      </c>
      <c r="X179" s="67">
        <f t="shared" si="6"/>
        <v>17.024</v>
      </c>
      <c r="Y179" s="67">
        <f t="shared" si="7"/>
        <v>123.424</v>
      </c>
      <c r="Z179" s="67">
        <f t="shared" si="8"/>
        <v>100.8</v>
      </c>
      <c r="AA179" s="67">
        <f t="shared" si="9"/>
        <v>16.128</v>
      </c>
      <c r="AB179" s="67">
        <f t="shared" si="10"/>
        <v>116.928</v>
      </c>
      <c r="AC179" s="67">
        <f t="shared" si="11"/>
        <v>95.2</v>
      </c>
      <c r="AD179" s="67">
        <f t="shared" si="12"/>
        <v>15.232</v>
      </c>
      <c r="AE179" s="67">
        <f t="shared" si="13"/>
        <v>110.432</v>
      </c>
      <c r="AF179" s="67">
        <f t="shared" si="14"/>
        <v>92.96</v>
      </c>
      <c r="AG179" s="67">
        <f t="shared" si="15"/>
        <v>14.8736</v>
      </c>
      <c r="AH179" s="67">
        <f t="shared" si="16"/>
        <v>107.8336</v>
      </c>
      <c r="AI179" s="67">
        <f t="shared" si="17"/>
        <v>89.6</v>
      </c>
      <c r="AJ179" s="68">
        <f t="shared" si="20"/>
        <v>14.336</v>
      </c>
      <c r="AK179" s="68">
        <f t="shared" si="21"/>
        <v>103.936</v>
      </c>
      <c r="AL179" s="70">
        <f>IFERROR(__xludf.DUMMYFUNCTION("""COMPUTED_VALUE"""),1.0)</f>
        <v>1</v>
      </c>
      <c r="AM179" s="70"/>
      <c r="AN179" s="71" t="str">
        <f>IFERROR(__xludf.DUMMYFUNCTION("""COMPUTED_VALUE""")," P")</f>
        <v>P</v>
      </c>
      <c r="AO179" s="71" t="str">
        <f>IFERROR(__xludf.DUMMYFUNCTION("""COMPUTED_VALUE""")," BS07")</f>
        <v>BS07</v>
      </c>
      <c r="AP179" s="71" t="str">
        <f>IFERROR(__xludf.DUMMYFUNCTION("""COMPUTED_VALUE""")," PZA")</f>
        <v>PZA</v>
      </c>
      <c r="AQ179" s="71" t="str">
        <f>IFERROR(__xludf.DUMMYFUNCTION("""COMPUTED_VALUE""")," REF")</f>
        <v>REF</v>
      </c>
      <c r="AR179" s="71" t="str">
        <f>IFERROR(__xludf.DUMMYFUNCTION("""COMPUTED_VALUE""")," BASE INFERIOR SENCILLA ARMADA MODELO ANTERIOR,TV-30 Y TV-40")</f>
        <v>BASE INFERIOR SENCILLA ARMADA MODELO ANTERIOR,TV-30 Y TV-40</v>
      </c>
      <c r="AS179" s="71" t="str">
        <f>IFERROR(__xludf.DUMMYFUNCTION("""COMPUTED_VALUE""")," BASE INFERIOR SENCILLA ARMADA MA TV30/40")</f>
        <v>BASE INFERIOR SENCILLA ARMADA MA TV30/40</v>
      </c>
      <c r="AT179" s="71">
        <f>IFERROR(__xludf.DUMMYFUNCTION("""COMPUTED_VALUE"""),40.0)</f>
        <v>40</v>
      </c>
      <c r="AU179" s="71"/>
      <c r="AV179" s="71"/>
      <c r="AW179" s="71"/>
      <c r="AX179" s="71"/>
      <c r="AY179" s="71">
        <f>IFERROR(__xludf.DUMMYFUNCTION("""COMPUTED_VALUE"""),17547.0)</f>
        <v>17547</v>
      </c>
      <c r="AZ179" s="71">
        <f>IFERROR(__xludf.DUMMYFUNCTION("""COMPUTED_VALUE"""),18950.0)</f>
        <v>18950</v>
      </c>
      <c r="BA179" s="71">
        <f>IFERROR(__xludf.DUMMYFUNCTION("""COMPUTED_VALUE"""),23234.28)</f>
        <v>23234.28</v>
      </c>
      <c r="BB179" s="71">
        <f>IFERROR(__xludf.DUMMYFUNCTION("""COMPUTED_VALUE"""),23234.28)</f>
        <v>23234.28</v>
      </c>
      <c r="BC179" s="71">
        <f>IFERROR(__xludf.DUMMYFUNCTION("""COMPUTED_VALUE"""),25861.0)</f>
        <v>25861</v>
      </c>
      <c r="BD179" s="71">
        <f>IFERROR(__xludf.DUMMYFUNCTION("""COMPUTED_VALUE"""),27154.0)</f>
        <v>27154</v>
      </c>
      <c r="BE179" s="71">
        <f>IFERROR(__xludf.DUMMYFUNCTION("""COMPUTED_VALUE"""),4344.64)</f>
        <v>4344.64</v>
      </c>
      <c r="BF179" s="71">
        <f>IFERROR(__xludf.DUMMYFUNCTION("""COMPUTED_VALUE"""),31498.64)</f>
        <v>31498.64</v>
      </c>
      <c r="BG179" s="71">
        <f>IFERROR(__xludf.DUMMYFUNCTION("""COMPUTED_VALUE"""),0.04999806658675225)</f>
        <v>0.04999806659</v>
      </c>
      <c r="BH179" s="71">
        <f>IFERROR(__xludf.DUMMYFUNCTION("""COMPUTED_VALUE"""),25796.3)</f>
        <v>25796.3</v>
      </c>
      <c r="BI179" s="71">
        <f>IFERROR(__xludf.DUMMYFUNCTION("""COMPUTED_VALUE"""),4127.408)</f>
        <v>4127.408</v>
      </c>
      <c r="BJ179" s="71">
        <f>IFERROR(__xludf.DUMMYFUNCTION("""COMPUTED_VALUE"""),29923.708)</f>
        <v>29923.708</v>
      </c>
      <c r="BK179" s="71">
        <f>IFERROR(__xludf.DUMMYFUNCTION("""COMPUTED_VALUE"""),24438.600000000002)</f>
        <v>24438.6</v>
      </c>
      <c r="BL179" s="71">
        <f>IFERROR(__xludf.DUMMYFUNCTION("""COMPUTED_VALUE"""),3910.1760000000004)</f>
        <v>3910.176</v>
      </c>
      <c r="BM179" s="71">
        <f>IFERROR(__xludf.DUMMYFUNCTION("""COMPUTED_VALUE"""),28348.776)</f>
        <v>28348.776</v>
      </c>
      <c r="BN179" s="71">
        <f>IFERROR(__xludf.DUMMYFUNCTION("""COMPUTED_VALUE"""),23080.899999999998)</f>
        <v>23080.9</v>
      </c>
      <c r="BO179" s="71">
        <f>IFERROR(__xludf.DUMMYFUNCTION("""COMPUTED_VALUE"""),3692.9439999999995)</f>
        <v>3692.944</v>
      </c>
      <c r="BP179" s="71">
        <f>IFERROR(__xludf.DUMMYFUNCTION("""COMPUTED_VALUE"""),26773.843999999997)</f>
        <v>26773.844</v>
      </c>
      <c r="BQ179" s="71">
        <f>IFERROR(__xludf.DUMMYFUNCTION("""COMPUTED_VALUE"""),22537.82)</f>
        <v>22537.82</v>
      </c>
      <c r="BR179" s="71">
        <f>IFERROR(__xludf.DUMMYFUNCTION("""COMPUTED_VALUE"""),3606.0512)</f>
        <v>3606.0512</v>
      </c>
      <c r="BS179" s="71">
        <f>IFERROR(__xludf.DUMMYFUNCTION("""COMPUTED_VALUE"""),26143.8712)</f>
        <v>26143.8712</v>
      </c>
      <c r="BT179" s="71">
        <f>IFERROR(__xludf.DUMMYFUNCTION("""COMPUTED_VALUE"""),21723.2)</f>
        <v>21723.2</v>
      </c>
      <c r="BU179" s="71">
        <f>IFERROR(__xludf.DUMMYFUNCTION("""COMPUTED_VALUE"""),3475.712)</f>
        <v>3475.712</v>
      </c>
      <c r="BV179" s="71">
        <f>IFERROR(__xludf.DUMMYFUNCTION("""COMPUTED_VALUE"""),25198.912)</f>
        <v>25198.912</v>
      </c>
    </row>
    <row r="180">
      <c r="A180" s="53">
        <v>1.0</v>
      </c>
      <c r="B180" s="72"/>
      <c r="C180" s="73" t="s">
        <v>12</v>
      </c>
      <c r="D180" s="74" t="s">
        <v>461</v>
      </c>
      <c r="E180" s="54" t="s">
        <v>38</v>
      </c>
      <c r="F180" s="54" t="s">
        <v>42</v>
      </c>
      <c r="G180" s="88" t="s">
        <v>462</v>
      </c>
      <c r="H180" s="54" t="s">
        <v>462</v>
      </c>
      <c r="I180" s="54">
        <f t="shared" si="1"/>
        <v>30</v>
      </c>
      <c r="J180" s="56"/>
      <c r="K180" s="75"/>
      <c r="L180" s="76"/>
      <c r="M180" s="59"/>
      <c r="N180" s="60">
        <v>31.0</v>
      </c>
      <c r="O180" s="61">
        <v>45.0</v>
      </c>
      <c r="P180" s="62">
        <v>48.6</v>
      </c>
      <c r="Q180" s="63">
        <v>48.6</v>
      </c>
      <c r="R180" s="64">
        <v>55.0</v>
      </c>
      <c r="S180" s="111">
        <v>58.0</v>
      </c>
      <c r="T180" s="65">
        <f t="shared" si="2"/>
        <v>9.28</v>
      </c>
      <c r="U180" s="65">
        <f t="shared" si="3"/>
        <v>67.28</v>
      </c>
      <c r="V180" s="66">
        <f t="shared" si="4"/>
        <v>0.05454545455</v>
      </c>
      <c r="W180" s="67">
        <f t="shared" si="5"/>
        <v>55.1</v>
      </c>
      <c r="X180" s="67">
        <f t="shared" si="6"/>
        <v>8.816</v>
      </c>
      <c r="Y180" s="67">
        <f t="shared" si="7"/>
        <v>63.916</v>
      </c>
      <c r="Z180" s="67">
        <f t="shared" si="8"/>
        <v>52.2</v>
      </c>
      <c r="AA180" s="67">
        <f t="shared" si="9"/>
        <v>8.352</v>
      </c>
      <c r="AB180" s="67">
        <f t="shared" si="10"/>
        <v>60.552</v>
      </c>
      <c r="AC180" s="67">
        <f t="shared" si="11"/>
        <v>49.3</v>
      </c>
      <c r="AD180" s="67">
        <f t="shared" si="12"/>
        <v>7.888</v>
      </c>
      <c r="AE180" s="67">
        <f t="shared" si="13"/>
        <v>57.188</v>
      </c>
      <c r="AF180" s="67">
        <f t="shared" si="14"/>
        <v>48.14</v>
      </c>
      <c r="AG180" s="67">
        <f t="shared" si="15"/>
        <v>7.7024</v>
      </c>
      <c r="AH180" s="67">
        <f t="shared" si="16"/>
        <v>55.8424</v>
      </c>
      <c r="AI180" s="67">
        <f t="shared" si="17"/>
        <v>46.4</v>
      </c>
      <c r="AJ180" s="68">
        <f t="shared" si="20"/>
        <v>7.424</v>
      </c>
      <c r="AK180" s="68">
        <f t="shared" si="21"/>
        <v>53.824</v>
      </c>
      <c r="AL180" s="70">
        <f>IFERROR(__xludf.DUMMYFUNCTION("""COMPUTED_VALUE"""),1.0)</f>
        <v>1</v>
      </c>
      <c r="AM180" s="70"/>
      <c r="AN180" s="71" t="str">
        <f>IFERROR(__xludf.DUMMYFUNCTION("""COMPUTED_VALUE""")," P")</f>
        <v>P</v>
      </c>
      <c r="AO180" s="71" t="str">
        <f>IFERROR(__xludf.DUMMYFUNCTION("""COMPUTED_VALUE""")," BS06")</f>
        <v>BS06</v>
      </c>
      <c r="AP180" s="71" t="str">
        <f>IFERROR(__xludf.DUMMYFUNCTION("""COMPUTED_VALUE""")," PZA")</f>
        <v>PZA</v>
      </c>
      <c r="AQ180" s="71" t="str">
        <f>IFERROR(__xludf.DUMMYFUNCTION("""COMPUTED_VALUE""")," REF")</f>
        <v>REF</v>
      </c>
      <c r="AR180" s="71" t="str">
        <f>IFERROR(__xludf.DUMMYFUNCTION("""COMPUTED_VALUE""")," BASE INFERIOR SENCILLA ARMADA TV-50 (B.C.)")</f>
        <v>BASE INFERIOR SENCILLA ARMADA TV-50 (B.C.)</v>
      </c>
      <c r="AS180" s="71" t="str">
        <f>IFERROR(__xludf.DUMMYFUNCTION("""COMPUTED_VALUE""")," BASE INFERIOR SENCILLA ARMADA TV50 BC")</f>
        <v>BASE INFERIOR SENCILLA ARMADA TV50 BC</v>
      </c>
      <c r="AT180" s="71">
        <f>IFERROR(__xludf.DUMMYFUNCTION("""COMPUTED_VALUE"""),37.0)</f>
        <v>37</v>
      </c>
      <c r="AU180" s="71"/>
      <c r="AV180" s="71"/>
      <c r="AW180" s="71"/>
      <c r="AX180" s="71"/>
      <c r="AY180" s="71">
        <f>IFERROR(__xludf.DUMMYFUNCTION("""COMPUTED_VALUE"""),17547.0)</f>
        <v>17547</v>
      </c>
      <c r="AZ180" s="71">
        <f>IFERROR(__xludf.DUMMYFUNCTION("""COMPUTED_VALUE"""),18950.0)</f>
        <v>18950</v>
      </c>
      <c r="BA180" s="71">
        <f>IFERROR(__xludf.DUMMYFUNCTION("""COMPUTED_VALUE"""),23234.28)</f>
        <v>23234.28</v>
      </c>
      <c r="BB180" s="71">
        <f>IFERROR(__xludf.DUMMYFUNCTION("""COMPUTED_VALUE"""),23234.28)</f>
        <v>23234.28</v>
      </c>
      <c r="BC180" s="71">
        <f>IFERROR(__xludf.DUMMYFUNCTION("""COMPUTED_VALUE"""),25861.0)</f>
        <v>25861</v>
      </c>
      <c r="BD180" s="71">
        <f>IFERROR(__xludf.DUMMYFUNCTION("""COMPUTED_VALUE"""),27154.0)</f>
        <v>27154</v>
      </c>
      <c r="BE180" s="71">
        <f>IFERROR(__xludf.DUMMYFUNCTION("""COMPUTED_VALUE"""),4344.64)</f>
        <v>4344.64</v>
      </c>
      <c r="BF180" s="71">
        <f>IFERROR(__xludf.DUMMYFUNCTION("""COMPUTED_VALUE"""),31498.64)</f>
        <v>31498.64</v>
      </c>
      <c r="BG180" s="71">
        <f>IFERROR(__xludf.DUMMYFUNCTION("""COMPUTED_VALUE"""),0.04999806658675225)</f>
        <v>0.04999806659</v>
      </c>
      <c r="BH180" s="71">
        <f>IFERROR(__xludf.DUMMYFUNCTION("""COMPUTED_VALUE"""),25796.3)</f>
        <v>25796.3</v>
      </c>
      <c r="BI180" s="71">
        <f>IFERROR(__xludf.DUMMYFUNCTION("""COMPUTED_VALUE"""),4127.408)</f>
        <v>4127.408</v>
      </c>
      <c r="BJ180" s="71">
        <f>IFERROR(__xludf.DUMMYFUNCTION("""COMPUTED_VALUE"""),29923.708)</f>
        <v>29923.708</v>
      </c>
      <c r="BK180" s="71">
        <f>IFERROR(__xludf.DUMMYFUNCTION("""COMPUTED_VALUE"""),24438.600000000002)</f>
        <v>24438.6</v>
      </c>
      <c r="BL180" s="71">
        <f>IFERROR(__xludf.DUMMYFUNCTION("""COMPUTED_VALUE"""),3910.1760000000004)</f>
        <v>3910.176</v>
      </c>
      <c r="BM180" s="71">
        <f>IFERROR(__xludf.DUMMYFUNCTION("""COMPUTED_VALUE"""),28348.776)</f>
        <v>28348.776</v>
      </c>
      <c r="BN180" s="71">
        <f>IFERROR(__xludf.DUMMYFUNCTION("""COMPUTED_VALUE"""),23080.899999999998)</f>
        <v>23080.9</v>
      </c>
      <c r="BO180" s="71">
        <f>IFERROR(__xludf.DUMMYFUNCTION("""COMPUTED_VALUE"""),3692.9439999999995)</f>
        <v>3692.944</v>
      </c>
      <c r="BP180" s="71">
        <f>IFERROR(__xludf.DUMMYFUNCTION("""COMPUTED_VALUE"""),26773.843999999997)</f>
        <v>26773.844</v>
      </c>
      <c r="BQ180" s="71">
        <f>IFERROR(__xludf.DUMMYFUNCTION("""COMPUTED_VALUE"""),22537.82)</f>
        <v>22537.82</v>
      </c>
      <c r="BR180" s="71">
        <f>IFERROR(__xludf.DUMMYFUNCTION("""COMPUTED_VALUE"""),3606.0512)</f>
        <v>3606.0512</v>
      </c>
      <c r="BS180" s="71">
        <f>IFERROR(__xludf.DUMMYFUNCTION("""COMPUTED_VALUE"""),26143.8712)</f>
        <v>26143.8712</v>
      </c>
      <c r="BT180" s="71">
        <f>IFERROR(__xludf.DUMMYFUNCTION("""COMPUTED_VALUE"""),21723.2)</f>
        <v>21723.2</v>
      </c>
      <c r="BU180" s="71">
        <f>IFERROR(__xludf.DUMMYFUNCTION("""COMPUTED_VALUE"""),3475.712)</f>
        <v>3475.712</v>
      </c>
      <c r="BV180" s="71">
        <f>IFERROR(__xludf.DUMMYFUNCTION("""COMPUTED_VALUE"""),25198.912)</f>
        <v>25198.912</v>
      </c>
    </row>
    <row r="181">
      <c r="A181" s="53">
        <v>1.0</v>
      </c>
      <c r="B181" s="72"/>
      <c r="C181" s="73" t="s">
        <v>12</v>
      </c>
      <c r="D181" s="74" t="s">
        <v>463</v>
      </c>
      <c r="E181" s="54" t="s">
        <v>38</v>
      </c>
      <c r="F181" s="54" t="s">
        <v>42</v>
      </c>
      <c r="G181" s="88" t="s">
        <v>464</v>
      </c>
      <c r="H181" s="54" t="s">
        <v>464</v>
      </c>
      <c r="I181" s="54">
        <f t="shared" si="1"/>
        <v>26</v>
      </c>
      <c r="J181" s="56"/>
      <c r="K181" s="75"/>
      <c r="L181" s="76"/>
      <c r="M181" s="59"/>
      <c r="N181" s="60">
        <v>84.0</v>
      </c>
      <c r="O181" s="61">
        <v>90.0</v>
      </c>
      <c r="P181" s="62">
        <v>97.2</v>
      </c>
      <c r="Q181" s="63">
        <v>97.2</v>
      </c>
      <c r="R181" s="64">
        <v>110.0</v>
      </c>
      <c r="S181" s="111">
        <v>116.0</v>
      </c>
      <c r="T181" s="65">
        <f t="shared" si="2"/>
        <v>18.56</v>
      </c>
      <c r="U181" s="65">
        <f t="shared" si="3"/>
        <v>134.56</v>
      </c>
      <c r="V181" s="66">
        <f t="shared" si="4"/>
        <v>0.05454545455</v>
      </c>
      <c r="W181" s="67">
        <f t="shared" si="5"/>
        <v>110.2</v>
      </c>
      <c r="X181" s="67">
        <f t="shared" si="6"/>
        <v>17.632</v>
      </c>
      <c r="Y181" s="67">
        <f t="shared" si="7"/>
        <v>127.832</v>
      </c>
      <c r="Z181" s="67">
        <f t="shared" si="8"/>
        <v>104.4</v>
      </c>
      <c r="AA181" s="67">
        <f t="shared" si="9"/>
        <v>16.704</v>
      </c>
      <c r="AB181" s="67">
        <f t="shared" si="10"/>
        <v>121.104</v>
      </c>
      <c r="AC181" s="67">
        <f t="shared" si="11"/>
        <v>98.6</v>
      </c>
      <c r="AD181" s="67">
        <f t="shared" si="12"/>
        <v>15.776</v>
      </c>
      <c r="AE181" s="67">
        <f t="shared" si="13"/>
        <v>114.376</v>
      </c>
      <c r="AF181" s="67">
        <f t="shared" si="14"/>
        <v>96.28</v>
      </c>
      <c r="AG181" s="67">
        <f t="shared" si="15"/>
        <v>15.4048</v>
      </c>
      <c r="AH181" s="67">
        <f t="shared" si="16"/>
        <v>111.6848</v>
      </c>
      <c r="AI181" s="67">
        <f t="shared" si="17"/>
        <v>92.8</v>
      </c>
      <c r="AJ181" s="68">
        <f t="shared" si="20"/>
        <v>14.848</v>
      </c>
      <c r="AK181" s="68">
        <f t="shared" si="21"/>
        <v>107.648</v>
      </c>
      <c r="AL181" s="70">
        <f>IFERROR(__xludf.DUMMYFUNCTION("""COMPUTED_VALUE"""),1.0)</f>
        <v>1</v>
      </c>
      <c r="AM181" s="70"/>
      <c r="AN181" s="71" t="str">
        <f>IFERROR(__xludf.DUMMYFUNCTION("""COMPUTED_VALUE""")," P")</f>
        <v>P</v>
      </c>
      <c r="AO181" s="71" t="str">
        <f>IFERROR(__xludf.DUMMYFUNCTION("""COMPUTED_VALUE""")," BS08")</f>
        <v>BS08</v>
      </c>
      <c r="AP181" s="71" t="str">
        <f>IFERROR(__xludf.DUMMYFUNCTION("""COMPUTED_VALUE""")," PZA")</f>
        <v>PZA</v>
      </c>
      <c r="AQ181" s="71" t="str">
        <f>IFERROR(__xludf.DUMMYFUNCTION("""COMPUTED_VALUE""")," REF")</f>
        <v>REF</v>
      </c>
      <c r="AR181" s="71" t="str">
        <f>IFERROR(__xludf.DUMMYFUNCTION("""COMPUTED_VALUE""")," BASE INFERIOR SENCILLA CON BRONCES, BUJES Y BIRLOS")</f>
        <v>BASE INFERIOR SENCILLA CON BRONCES, BUJES Y BIRLOS</v>
      </c>
      <c r="AS181" s="71" t="str">
        <f>IFERROR(__xludf.DUMMYFUNCTION("""COMPUTED_VALUE""")," BASE INFERIOR SENC BRONCES BUJES BIRLOS")</f>
        <v>BASE INFERIOR SENC BRONCES BUJES BIRLOS</v>
      </c>
      <c r="AT181" s="71">
        <f>IFERROR(__xludf.DUMMYFUNCTION("""COMPUTED_VALUE"""),39.0)</f>
        <v>39</v>
      </c>
      <c r="AU181" s="71"/>
      <c r="AV181" s="71"/>
      <c r="AW181" s="71"/>
      <c r="AX181" s="71"/>
      <c r="AY181" s="71">
        <f>IFERROR(__xludf.DUMMYFUNCTION("""COMPUTED_VALUE"""),13176.0)</f>
        <v>13176</v>
      </c>
      <c r="AZ181" s="71">
        <f>IFERROR(__xludf.DUMMYFUNCTION("""COMPUTED_VALUE"""),14230.0)</f>
        <v>14230</v>
      </c>
      <c r="BA181" s="71">
        <f>IFERROR(__xludf.DUMMYFUNCTION("""COMPUTED_VALUE"""),18136.68)</f>
        <v>18136.68</v>
      </c>
      <c r="BB181" s="71">
        <f>IFERROR(__xludf.DUMMYFUNCTION("""COMPUTED_VALUE"""),18136.68)</f>
        <v>18136.68</v>
      </c>
      <c r="BC181" s="71">
        <f>IFERROR(__xludf.DUMMYFUNCTION("""COMPUTED_VALUE"""),20187.0)</f>
        <v>20187</v>
      </c>
      <c r="BD181" s="71">
        <f>IFERROR(__xludf.DUMMYFUNCTION("""COMPUTED_VALUE"""),21196.0)</f>
        <v>21196</v>
      </c>
      <c r="BE181" s="71">
        <f>IFERROR(__xludf.DUMMYFUNCTION("""COMPUTED_VALUE"""),3391.36)</f>
        <v>3391.36</v>
      </c>
      <c r="BF181" s="71">
        <f>IFERROR(__xludf.DUMMYFUNCTION("""COMPUTED_VALUE"""),24587.36)</f>
        <v>24587.36</v>
      </c>
      <c r="BG181" s="71">
        <f>IFERROR(__xludf.DUMMYFUNCTION("""COMPUTED_VALUE"""),0.04998266210927825)</f>
        <v>0.04998266211</v>
      </c>
      <c r="BH181" s="71">
        <f>IFERROR(__xludf.DUMMYFUNCTION("""COMPUTED_VALUE"""),20136.2)</f>
        <v>20136.2</v>
      </c>
      <c r="BI181" s="71">
        <f>IFERROR(__xludf.DUMMYFUNCTION("""COMPUTED_VALUE"""),3221.7920000000004)</f>
        <v>3221.792</v>
      </c>
      <c r="BJ181" s="71">
        <f>IFERROR(__xludf.DUMMYFUNCTION("""COMPUTED_VALUE"""),23357.992000000002)</f>
        <v>23357.992</v>
      </c>
      <c r="BK181" s="71">
        <f>IFERROR(__xludf.DUMMYFUNCTION("""COMPUTED_VALUE"""),19076.4)</f>
        <v>19076.4</v>
      </c>
      <c r="BL181" s="71">
        <f>IFERROR(__xludf.DUMMYFUNCTION("""COMPUTED_VALUE"""),3052.224)</f>
        <v>3052.224</v>
      </c>
      <c r="BM181" s="71">
        <f>IFERROR(__xludf.DUMMYFUNCTION("""COMPUTED_VALUE"""),22128.624000000003)</f>
        <v>22128.624</v>
      </c>
      <c r="BN181" s="71">
        <f>IFERROR(__xludf.DUMMYFUNCTION("""COMPUTED_VALUE"""),18016.6)</f>
        <v>18016.6</v>
      </c>
      <c r="BO181" s="71">
        <f>IFERROR(__xludf.DUMMYFUNCTION("""COMPUTED_VALUE"""),2882.656)</f>
        <v>2882.656</v>
      </c>
      <c r="BP181" s="71">
        <f>IFERROR(__xludf.DUMMYFUNCTION("""COMPUTED_VALUE"""),20899.255999999998)</f>
        <v>20899.256</v>
      </c>
      <c r="BQ181" s="71">
        <f>IFERROR(__xludf.DUMMYFUNCTION("""COMPUTED_VALUE"""),17592.68)</f>
        <v>17592.68</v>
      </c>
      <c r="BR181" s="71">
        <f>IFERROR(__xludf.DUMMYFUNCTION("""COMPUTED_VALUE"""),2814.8288000000002)</f>
        <v>2814.8288</v>
      </c>
      <c r="BS181" s="71">
        <f>IFERROR(__xludf.DUMMYFUNCTION("""COMPUTED_VALUE"""),20407.5088)</f>
        <v>20407.5088</v>
      </c>
      <c r="BT181" s="71">
        <f>IFERROR(__xludf.DUMMYFUNCTION("""COMPUTED_VALUE"""),16956.8)</f>
        <v>16956.8</v>
      </c>
      <c r="BU181" s="71">
        <f>IFERROR(__xludf.DUMMYFUNCTION("""COMPUTED_VALUE"""),2713.0879999999997)</f>
        <v>2713.088</v>
      </c>
      <c r="BV181" s="71">
        <f>IFERROR(__xludf.DUMMYFUNCTION("""COMPUTED_VALUE"""),19669.888)</f>
        <v>19669.888</v>
      </c>
    </row>
    <row r="182">
      <c r="A182" s="53">
        <v>1.0</v>
      </c>
      <c r="B182" s="72"/>
      <c r="C182" s="73" t="s">
        <v>12</v>
      </c>
      <c r="D182" s="74" t="s">
        <v>465</v>
      </c>
      <c r="E182" s="54" t="s">
        <v>38</v>
      </c>
      <c r="F182" s="54" t="s">
        <v>42</v>
      </c>
      <c r="G182" s="88" t="s">
        <v>466</v>
      </c>
      <c r="H182" s="54" t="s">
        <v>466</v>
      </c>
      <c r="I182" s="54">
        <f t="shared" si="1"/>
        <v>30</v>
      </c>
      <c r="J182" s="56"/>
      <c r="K182" s="75"/>
      <c r="L182" s="76"/>
      <c r="M182" s="59"/>
      <c r="N182" s="60">
        <v>31.0</v>
      </c>
      <c r="O182" s="61">
        <v>45.0</v>
      </c>
      <c r="P182" s="62">
        <v>48.6</v>
      </c>
      <c r="Q182" s="63">
        <v>48.6</v>
      </c>
      <c r="R182" s="64">
        <v>55.0</v>
      </c>
      <c r="S182" s="111">
        <v>58.0</v>
      </c>
      <c r="T182" s="65">
        <f t="shared" si="2"/>
        <v>9.28</v>
      </c>
      <c r="U182" s="65">
        <f t="shared" si="3"/>
        <v>67.28</v>
      </c>
      <c r="V182" s="66">
        <f t="shared" si="4"/>
        <v>0.05454545455</v>
      </c>
      <c r="W182" s="67">
        <f t="shared" si="5"/>
        <v>55.1</v>
      </c>
      <c r="X182" s="67">
        <f t="shared" si="6"/>
        <v>8.816</v>
      </c>
      <c r="Y182" s="67">
        <f t="shared" si="7"/>
        <v>63.916</v>
      </c>
      <c r="Z182" s="67">
        <f t="shared" si="8"/>
        <v>52.2</v>
      </c>
      <c r="AA182" s="67">
        <f t="shared" si="9"/>
        <v>8.352</v>
      </c>
      <c r="AB182" s="67">
        <f t="shared" si="10"/>
        <v>60.552</v>
      </c>
      <c r="AC182" s="67">
        <f t="shared" si="11"/>
        <v>49.3</v>
      </c>
      <c r="AD182" s="67">
        <f t="shared" si="12"/>
        <v>7.888</v>
      </c>
      <c r="AE182" s="67">
        <f t="shared" si="13"/>
        <v>57.188</v>
      </c>
      <c r="AF182" s="67">
        <f t="shared" si="14"/>
        <v>48.14</v>
      </c>
      <c r="AG182" s="67">
        <f t="shared" si="15"/>
        <v>7.7024</v>
      </c>
      <c r="AH182" s="67">
        <f t="shared" si="16"/>
        <v>55.8424</v>
      </c>
      <c r="AI182" s="67">
        <f t="shared" si="17"/>
        <v>46.4</v>
      </c>
      <c r="AJ182" s="68">
        <f t="shared" si="20"/>
        <v>7.424</v>
      </c>
      <c r="AK182" s="68">
        <f t="shared" si="21"/>
        <v>53.824</v>
      </c>
      <c r="AL182" s="70">
        <f>IFERROR(__xludf.DUMMYFUNCTION("""COMPUTED_VALUE"""),1.0)</f>
        <v>1</v>
      </c>
      <c r="AM182" s="70"/>
      <c r="AN182" s="71" t="str">
        <f>IFERROR(__xludf.DUMMYFUNCTION("""COMPUTED_VALUE""")," P")</f>
        <v>P</v>
      </c>
      <c r="AO182" s="71" t="str">
        <f>IFERROR(__xludf.DUMMYFUNCTION("""COMPUTED_VALUE""")," BS97")</f>
        <v>BS97</v>
      </c>
      <c r="AP182" s="71" t="str">
        <f>IFERROR(__xludf.DUMMYFUNCTION("""COMPUTED_VALUE""")," PZA")</f>
        <v>PZA</v>
      </c>
      <c r="AQ182" s="71" t="str">
        <f>IFERROR(__xludf.DUMMYFUNCTION("""COMPUTED_VALUE""")," REF")</f>
        <v>REF</v>
      </c>
      <c r="AR182" s="71" t="str">
        <f>IFERROR(__xludf.DUMMYFUNCTION("""COMPUTED_VALUE""")," BASE INFERIOR SENCILLA EN ACERO INOX. T-304-L GRADO ALIMENTICIO CON BRONCES, BUJES Y BIRLOS")</f>
        <v>BASE INFERIOR SENCILLA EN ACERO INOX. T-304-L GRADO ALIMENTICIO CON BRONCES, BUJES Y BIRLOS</v>
      </c>
      <c r="AS182" s="71" t="str">
        <f>IFERROR(__xludf.DUMMYFUNCTION("""COMPUTED_VALUE""")," BASE INF SENC INOX BRONCES BUJES BIRLOS")</f>
        <v>BASE INF SENC INOX BRONCES BUJES BIRLOS</v>
      </c>
      <c r="AT182" s="71">
        <f>IFERROR(__xludf.DUMMYFUNCTION("""COMPUTED_VALUE"""),39.0)</f>
        <v>39</v>
      </c>
      <c r="AU182" s="71"/>
      <c r="AV182" s="71"/>
      <c r="AW182" s="71"/>
      <c r="AX182" s="71"/>
      <c r="AY182" s="71">
        <f>IFERROR(__xludf.DUMMYFUNCTION("""COMPUTED_VALUE"""),19504.0)</f>
        <v>19504</v>
      </c>
      <c r="AZ182" s="71">
        <f>IFERROR(__xludf.DUMMYFUNCTION("""COMPUTED_VALUE"""),21064.0)</f>
        <v>21064</v>
      </c>
      <c r="BA182" s="71">
        <f>IFERROR(__xludf.DUMMYFUNCTION("""COMPUTED_VALUE"""),25517.399999999998)</f>
        <v>25517.4</v>
      </c>
      <c r="BB182" s="71">
        <f>IFERROR(__xludf.DUMMYFUNCTION("""COMPUTED_VALUE"""),25517.399999999998)</f>
        <v>25517.4</v>
      </c>
      <c r="BC182" s="71">
        <f>IFERROR(__xludf.DUMMYFUNCTION("""COMPUTED_VALUE"""),28402.0)</f>
        <v>28402</v>
      </c>
      <c r="BD182" s="71">
        <f>IFERROR(__xludf.DUMMYFUNCTION("""COMPUTED_VALUE"""),29822.0)</f>
        <v>29822</v>
      </c>
      <c r="BE182" s="71">
        <f>IFERROR(__xludf.DUMMYFUNCTION("""COMPUTED_VALUE"""),4771.52)</f>
        <v>4771.52</v>
      </c>
      <c r="BF182" s="71">
        <f>IFERROR(__xludf.DUMMYFUNCTION("""COMPUTED_VALUE"""),34593.520000000004)</f>
        <v>34593.52</v>
      </c>
      <c r="BG182" s="71">
        <f>IFERROR(__xludf.DUMMYFUNCTION("""COMPUTED_VALUE"""),0.049996479121188646)</f>
        <v>0.04999647912</v>
      </c>
      <c r="BH182" s="71">
        <f>IFERROR(__xludf.DUMMYFUNCTION("""COMPUTED_VALUE"""),28330.899999999998)</f>
        <v>28330.9</v>
      </c>
      <c r="BI182" s="71">
        <f>IFERROR(__xludf.DUMMYFUNCTION("""COMPUTED_VALUE"""),4532.9439999999995)</f>
        <v>4532.944</v>
      </c>
      <c r="BJ182" s="71">
        <f>IFERROR(__xludf.DUMMYFUNCTION("""COMPUTED_VALUE"""),32863.844)</f>
        <v>32863.844</v>
      </c>
      <c r="BK182" s="71">
        <f>IFERROR(__xludf.DUMMYFUNCTION("""COMPUTED_VALUE"""),26839.8)</f>
        <v>26839.8</v>
      </c>
      <c r="BL182" s="71">
        <f>IFERROR(__xludf.DUMMYFUNCTION("""COMPUTED_VALUE"""),4294.368)</f>
        <v>4294.368</v>
      </c>
      <c r="BM182" s="71">
        <f>IFERROR(__xludf.DUMMYFUNCTION("""COMPUTED_VALUE"""),31134.167999999998)</f>
        <v>31134.168</v>
      </c>
      <c r="BN182" s="71">
        <f>IFERROR(__xludf.DUMMYFUNCTION("""COMPUTED_VALUE"""),25348.7)</f>
        <v>25348.7</v>
      </c>
      <c r="BO182" s="71">
        <f>IFERROR(__xludf.DUMMYFUNCTION("""COMPUTED_VALUE"""),4055.7920000000004)</f>
        <v>4055.792</v>
      </c>
      <c r="BP182" s="71">
        <f>IFERROR(__xludf.DUMMYFUNCTION("""COMPUTED_VALUE"""),29404.492000000002)</f>
        <v>29404.492</v>
      </c>
      <c r="BQ182" s="71">
        <f>IFERROR(__xludf.DUMMYFUNCTION("""COMPUTED_VALUE"""),24752.26)</f>
        <v>24752.26</v>
      </c>
      <c r="BR182" s="71">
        <f>IFERROR(__xludf.DUMMYFUNCTION("""COMPUTED_VALUE"""),3960.3615999999997)</f>
        <v>3960.3616</v>
      </c>
      <c r="BS182" s="71">
        <f>IFERROR(__xludf.DUMMYFUNCTION("""COMPUTED_VALUE"""),28712.6216)</f>
        <v>28712.6216</v>
      </c>
      <c r="BT182" s="71">
        <f>IFERROR(__xludf.DUMMYFUNCTION("""COMPUTED_VALUE"""),23857.600000000002)</f>
        <v>23857.6</v>
      </c>
      <c r="BU182" s="71">
        <f>IFERROR(__xludf.DUMMYFUNCTION("""COMPUTED_VALUE"""),3817.2160000000003)</f>
        <v>3817.216</v>
      </c>
      <c r="BV182" s="71">
        <f>IFERROR(__xludf.DUMMYFUNCTION("""COMPUTED_VALUE"""),27674.816000000003)</f>
        <v>27674.816</v>
      </c>
    </row>
    <row r="183">
      <c r="A183" s="53">
        <v>1.0</v>
      </c>
      <c r="B183" s="72"/>
      <c r="C183" s="73" t="s">
        <v>12</v>
      </c>
      <c r="D183" s="74" t="s">
        <v>467</v>
      </c>
      <c r="E183" s="54" t="s">
        <v>38</v>
      </c>
      <c r="F183" s="54" t="s">
        <v>42</v>
      </c>
      <c r="G183" s="88" t="s">
        <v>468</v>
      </c>
      <c r="H183" s="54" t="s">
        <v>468</v>
      </c>
      <c r="I183" s="54">
        <f t="shared" si="1"/>
        <v>26</v>
      </c>
      <c r="J183" s="56"/>
      <c r="K183" s="75"/>
      <c r="L183" s="76"/>
      <c r="M183" s="59"/>
      <c r="N183" s="60">
        <v>86.0</v>
      </c>
      <c r="O183" s="61">
        <v>92.0</v>
      </c>
      <c r="P183" s="62">
        <v>99.36000000000001</v>
      </c>
      <c r="Q183" s="63">
        <v>99.36000000000001</v>
      </c>
      <c r="R183" s="64">
        <v>112.0</v>
      </c>
      <c r="S183" s="111">
        <v>118.0</v>
      </c>
      <c r="T183" s="65">
        <f t="shared" si="2"/>
        <v>18.88</v>
      </c>
      <c r="U183" s="65">
        <f t="shared" si="3"/>
        <v>136.88</v>
      </c>
      <c r="V183" s="66">
        <f t="shared" si="4"/>
        <v>0.05357142857</v>
      </c>
      <c r="W183" s="67">
        <f t="shared" si="5"/>
        <v>112.1</v>
      </c>
      <c r="X183" s="67">
        <f t="shared" si="6"/>
        <v>17.936</v>
      </c>
      <c r="Y183" s="67">
        <f t="shared" si="7"/>
        <v>130.036</v>
      </c>
      <c r="Z183" s="67">
        <f t="shared" si="8"/>
        <v>106.2</v>
      </c>
      <c r="AA183" s="67">
        <f t="shared" si="9"/>
        <v>16.992</v>
      </c>
      <c r="AB183" s="67">
        <f t="shared" si="10"/>
        <v>123.192</v>
      </c>
      <c r="AC183" s="67">
        <f t="shared" si="11"/>
        <v>100.3</v>
      </c>
      <c r="AD183" s="67">
        <f t="shared" si="12"/>
        <v>16.048</v>
      </c>
      <c r="AE183" s="67">
        <f t="shared" si="13"/>
        <v>116.348</v>
      </c>
      <c r="AF183" s="67">
        <f t="shared" si="14"/>
        <v>97.94</v>
      </c>
      <c r="AG183" s="67">
        <f t="shared" si="15"/>
        <v>15.6704</v>
      </c>
      <c r="AH183" s="67">
        <f t="shared" si="16"/>
        <v>113.6104</v>
      </c>
      <c r="AI183" s="67">
        <f t="shared" si="17"/>
        <v>94.4</v>
      </c>
      <c r="AJ183" s="68">
        <f t="shared" si="20"/>
        <v>15.104</v>
      </c>
      <c r="AK183" s="68">
        <f t="shared" si="21"/>
        <v>109.504</v>
      </c>
      <c r="AL183" s="70">
        <f>IFERROR(__xludf.DUMMYFUNCTION("""COMPUTED_VALUE"""),1.0)</f>
        <v>1</v>
      </c>
      <c r="AM183" s="70"/>
      <c r="AN183" s="71" t="str">
        <f>IFERROR(__xludf.DUMMYFUNCTION("""COMPUTED_VALUE""")," P")</f>
        <v>P</v>
      </c>
      <c r="AO183" s="71" t="str">
        <f>IFERROR(__xludf.DUMMYFUNCTION("""COMPUTED_VALUE""")," BS05")</f>
        <v>BS05</v>
      </c>
      <c r="AP183" s="71" t="str">
        <f>IFERROR(__xludf.DUMMYFUNCTION("""COMPUTED_VALUE""")," PZA")</f>
        <v>PZA</v>
      </c>
      <c r="AQ183" s="71" t="str">
        <f>IFERROR(__xludf.DUMMYFUNCTION("""COMPUTED_VALUE""")," REF")</f>
        <v>REF</v>
      </c>
      <c r="AR183" s="71" t="str">
        <f>IFERROR(__xludf.DUMMYFUNCTION("""COMPUTED_VALUE""")," BASE INFERIOR SENCILLA SOLA")</f>
        <v>BASE INFERIOR SENCILLA SOLA</v>
      </c>
      <c r="AS183" s="71" t="str">
        <f>IFERROR(__xludf.DUMMYFUNCTION("""COMPUTED_VALUE""")," BASE INFERIOR SENCILLA SOLA")</f>
        <v>BASE INFERIOR SENCILLA SOLA</v>
      </c>
      <c r="AT183" s="71">
        <f>IFERROR(__xludf.DUMMYFUNCTION("""COMPUTED_VALUE"""),27.0)</f>
        <v>27</v>
      </c>
      <c r="AU183" s="71"/>
      <c r="AV183" s="71"/>
      <c r="AW183" s="71"/>
      <c r="AX183" s="71"/>
      <c r="AY183" s="71">
        <f>IFERROR(__xludf.DUMMYFUNCTION("""COMPUTED_VALUE"""),4479.0)</f>
        <v>4479</v>
      </c>
      <c r="AZ183" s="71">
        <f>IFERROR(__xludf.DUMMYFUNCTION("""COMPUTED_VALUE"""),4837.0)</f>
        <v>4837</v>
      </c>
      <c r="BA183" s="71">
        <f>IFERROR(__xludf.DUMMYFUNCTION("""COMPUTED_VALUE"""),5223.96)</f>
        <v>5223.96</v>
      </c>
      <c r="BB183" s="71">
        <f>IFERROR(__xludf.DUMMYFUNCTION("""COMPUTED_VALUE"""),5223.96)</f>
        <v>5223.96</v>
      </c>
      <c r="BC183" s="71">
        <f>IFERROR(__xludf.DUMMYFUNCTION("""COMPUTED_VALUE"""),5815.0)</f>
        <v>5815</v>
      </c>
      <c r="BD183" s="71">
        <f>IFERROR(__xludf.DUMMYFUNCTION("""COMPUTED_VALUE"""),6106.0)</f>
        <v>6106</v>
      </c>
      <c r="BE183" s="71">
        <f>IFERROR(__xludf.DUMMYFUNCTION("""COMPUTED_VALUE"""),976.96)</f>
        <v>976.96</v>
      </c>
      <c r="BF183" s="71">
        <f>IFERROR(__xludf.DUMMYFUNCTION("""COMPUTED_VALUE"""),7082.96)</f>
        <v>7082.96</v>
      </c>
      <c r="BG183" s="71">
        <f>IFERROR(__xludf.DUMMYFUNCTION("""COMPUTED_VALUE"""),0.05004299226139295)</f>
        <v>0.05004299226</v>
      </c>
      <c r="BH183" s="71">
        <f>IFERROR(__xludf.DUMMYFUNCTION("""COMPUTED_VALUE"""),5800.7)</f>
        <v>5800.7</v>
      </c>
      <c r="BI183" s="71">
        <f>IFERROR(__xludf.DUMMYFUNCTION("""COMPUTED_VALUE"""),928.112)</f>
        <v>928.112</v>
      </c>
      <c r="BJ183" s="71">
        <f>IFERROR(__xludf.DUMMYFUNCTION("""COMPUTED_VALUE"""),6728.812)</f>
        <v>6728.812</v>
      </c>
      <c r="BK183" s="71">
        <f>IFERROR(__xludf.DUMMYFUNCTION("""COMPUTED_VALUE"""),5495.400000000001)</f>
        <v>5495.4</v>
      </c>
      <c r="BL183" s="71">
        <f>IFERROR(__xludf.DUMMYFUNCTION("""COMPUTED_VALUE"""),879.2640000000001)</f>
        <v>879.264</v>
      </c>
      <c r="BM183" s="71">
        <f>IFERROR(__xludf.DUMMYFUNCTION("""COMPUTED_VALUE"""),6374.664000000001)</f>
        <v>6374.664</v>
      </c>
      <c r="BN183" s="71">
        <f>IFERROR(__xludf.DUMMYFUNCTION("""COMPUTED_VALUE"""),5190.099999999999)</f>
        <v>5190.1</v>
      </c>
      <c r="BO183" s="71">
        <f>IFERROR(__xludf.DUMMYFUNCTION("""COMPUTED_VALUE"""),830.4159999999999)</f>
        <v>830.416</v>
      </c>
      <c r="BP183" s="71">
        <f>IFERROR(__xludf.DUMMYFUNCTION("""COMPUTED_VALUE"""),6020.516)</f>
        <v>6020.516</v>
      </c>
      <c r="BQ183" s="71">
        <f>IFERROR(__xludf.DUMMYFUNCTION("""COMPUTED_VALUE"""),5067.98)</f>
        <v>5067.98</v>
      </c>
      <c r="BR183" s="71">
        <f>IFERROR(__xludf.DUMMYFUNCTION("""COMPUTED_VALUE"""),810.8768)</f>
        <v>810.8768</v>
      </c>
      <c r="BS183" s="71">
        <f>IFERROR(__xludf.DUMMYFUNCTION("""COMPUTED_VALUE"""),5878.8568)</f>
        <v>5878.8568</v>
      </c>
      <c r="BT183" s="71">
        <f>IFERROR(__xludf.DUMMYFUNCTION("""COMPUTED_VALUE"""),4884.8)</f>
        <v>4884.8</v>
      </c>
      <c r="BU183" s="71">
        <f>IFERROR(__xludf.DUMMYFUNCTION("""COMPUTED_VALUE"""),781.5680000000001)</f>
        <v>781.568</v>
      </c>
      <c r="BV183" s="71">
        <f>IFERROR(__xludf.DUMMYFUNCTION("""COMPUTED_VALUE"""),5666.368)</f>
        <v>5666.368</v>
      </c>
    </row>
    <row r="184">
      <c r="A184" s="53">
        <v>1.0</v>
      </c>
      <c r="B184" s="72"/>
      <c r="C184" s="73" t="s">
        <v>12</v>
      </c>
      <c r="D184" s="74" t="s">
        <v>469</v>
      </c>
      <c r="E184" s="54" t="s">
        <v>38</v>
      </c>
      <c r="F184" s="54" t="s">
        <v>42</v>
      </c>
      <c r="G184" s="88" t="s">
        <v>470</v>
      </c>
      <c r="H184" s="54" t="s">
        <v>470</v>
      </c>
      <c r="I184" s="54">
        <f t="shared" si="1"/>
        <v>30</v>
      </c>
      <c r="J184" s="56"/>
      <c r="K184" s="75"/>
      <c r="L184" s="76"/>
      <c r="M184" s="59"/>
      <c r="N184" s="60">
        <v>31.0</v>
      </c>
      <c r="O184" s="61">
        <v>45.0</v>
      </c>
      <c r="P184" s="62">
        <v>48.6</v>
      </c>
      <c r="Q184" s="63">
        <v>48.6</v>
      </c>
      <c r="R184" s="64">
        <v>55.0</v>
      </c>
      <c r="S184" s="111">
        <v>58.0</v>
      </c>
      <c r="T184" s="65">
        <f t="shared" si="2"/>
        <v>9.28</v>
      </c>
      <c r="U184" s="65">
        <f t="shared" si="3"/>
        <v>67.28</v>
      </c>
      <c r="V184" s="66">
        <f t="shared" si="4"/>
        <v>0.05454545455</v>
      </c>
      <c r="W184" s="67">
        <f t="shared" si="5"/>
        <v>55.1</v>
      </c>
      <c r="X184" s="67">
        <f t="shared" si="6"/>
        <v>8.816</v>
      </c>
      <c r="Y184" s="67">
        <f t="shared" si="7"/>
        <v>63.916</v>
      </c>
      <c r="Z184" s="67">
        <f t="shared" si="8"/>
        <v>52.2</v>
      </c>
      <c r="AA184" s="67">
        <f t="shared" si="9"/>
        <v>8.352</v>
      </c>
      <c r="AB184" s="67">
        <f t="shared" si="10"/>
        <v>60.552</v>
      </c>
      <c r="AC184" s="67">
        <f t="shared" si="11"/>
        <v>49.3</v>
      </c>
      <c r="AD184" s="67">
        <f t="shared" si="12"/>
        <v>7.888</v>
      </c>
      <c r="AE184" s="67">
        <f t="shared" si="13"/>
        <v>57.188</v>
      </c>
      <c r="AF184" s="67">
        <f t="shared" si="14"/>
        <v>48.14</v>
      </c>
      <c r="AG184" s="67">
        <f t="shared" si="15"/>
        <v>7.7024</v>
      </c>
      <c r="AH184" s="67">
        <f t="shared" si="16"/>
        <v>55.8424</v>
      </c>
      <c r="AI184" s="67">
        <f t="shared" si="17"/>
        <v>46.4</v>
      </c>
      <c r="AJ184" s="68">
        <f t="shared" si="20"/>
        <v>7.424</v>
      </c>
      <c r="AK184" s="68">
        <f t="shared" si="21"/>
        <v>53.824</v>
      </c>
      <c r="AL184" s="70">
        <f>IFERROR(__xludf.DUMMYFUNCTION("""COMPUTED_VALUE"""),1.0)</f>
        <v>1</v>
      </c>
      <c r="AM184" s="70"/>
      <c r="AN184" s="71" t="str">
        <f>IFERROR(__xludf.DUMMYFUNCTION("""COMPUTED_VALUE""")," P")</f>
        <v>P</v>
      </c>
      <c r="AO184" s="71" t="str">
        <f>IFERROR(__xludf.DUMMYFUNCTION("""COMPUTED_VALUE""")," BS96")</f>
        <v>BS96</v>
      </c>
      <c r="AP184" s="71" t="str">
        <f>IFERROR(__xludf.DUMMYFUNCTION("""COMPUTED_VALUE""")," PZA")</f>
        <v>PZA</v>
      </c>
      <c r="AQ184" s="71" t="str">
        <f>IFERROR(__xludf.DUMMYFUNCTION("""COMPUTED_VALUE""")," REF")</f>
        <v>REF</v>
      </c>
      <c r="AR184" s="71" t="str">
        <f>IFERROR(__xludf.DUMMYFUNCTION("""COMPUTED_VALUE""")," BASE INFERIOR SENCILLA SOLA EN ACERO INOX. T-304-L GRADO ALIMENTICIO")</f>
        <v>BASE INFERIOR SENCILLA SOLA EN ACERO INOX. T-304-L GRADO ALIMENTICIO</v>
      </c>
      <c r="AS184" s="71" t="str">
        <f>IFERROR(__xludf.DUMMYFUNCTION("""COMPUTED_VALUE""")," BASE INFERIOR SENCILLA SOLA INOX")</f>
        <v>BASE INFERIOR SENCILLA SOLA INOX</v>
      </c>
      <c r="AT184" s="71">
        <f>IFERROR(__xludf.DUMMYFUNCTION("""COMPUTED_VALUE"""),32.0)</f>
        <v>32</v>
      </c>
      <c r="AU184" s="71"/>
      <c r="AV184" s="71"/>
      <c r="AW184" s="71"/>
      <c r="AX184" s="71"/>
      <c r="AY184" s="71">
        <f>IFERROR(__xludf.DUMMYFUNCTION("""COMPUTED_VALUE"""),12729.0)</f>
        <v>12729</v>
      </c>
      <c r="AZ184" s="71">
        <f>IFERROR(__xludf.DUMMYFUNCTION("""COMPUTED_VALUE"""),13747.0)</f>
        <v>13747</v>
      </c>
      <c r="BA184" s="71">
        <f>IFERROR(__xludf.DUMMYFUNCTION("""COMPUTED_VALUE"""),14846.76)</f>
        <v>14846.76</v>
      </c>
      <c r="BB184" s="71">
        <f>IFERROR(__xludf.DUMMYFUNCTION("""COMPUTED_VALUE"""),14846.76)</f>
        <v>14846.76</v>
      </c>
      <c r="BC184" s="71">
        <f>IFERROR(__xludf.DUMMYFUNCTION("""COMPUTED_VALUE"""),16525.0)</f>
        <v>16525</v>
      </c>
      <c r="BD184" s="71">
        <f>IFERROR(__xludf.DUMMYFUNCTION("""COMPUTED_VALUE"""),17351.0)</f>
        <v>17351</v>
      </c>
      <c r="BE184" s="71">
        <f>IFERROR(__xludf.DUMMYFUNCTION("""COMPUTED_VALUE"""),2776.16)</f>
        <v>2776.16</v>
      </c>
      <c r="BF184" s="71">
        <f>IFERROR(__xludf.DUMMYFUNCTION("""COMPUTED_VALUE"""),20127.16)</f>
        <v>20127.16</v>
      </c>
      <c r="BG184" s="71">
        <f>IFERROR(__xludf.DUMMYFUNCTION("""COMPUTED_VALUE"""),0.049984871406959154)</f>
        <v>0.04998487141</v>
      </c>
      <c r="BH184" s="71">
        <f>IFERROR(__xludf.DUMMYFUNCTION("""COMPUTED_VALUE"""),16483.45)</f>
        <v>16483.45</v>
      </c>
      <c r="BI184" s="71">
        <f>IFERROR(__xludf.DUMMYFUNCTION("""COMPUTED_VALUE"""),2637.3520000000003)</f>
        <v>2637.352</v>
      </c>
      <c r="BJ184" s="71">
        <f>IFERROR(__xludf.DUMMYFUNCTION("""COMPUTED_VALUE"""),19120.802)</f>
        <v>19120.802</v>
      </c>
      <c r="BK184" s="71">
        <f>IFERROR(__xludf.DUMMYFUNCTION("""COMPUTED_VALUE"""),15615.9)</f>
        <v>15615.9</v>
      </c>
      <c r="BL184" s="71">
        <f>IFERROR(__xludf.DUMMYFUNCTION("""COMPUTED_VALUE"""),2498.544)</f>
        <v>2498.544</v>
      </c>
      <c r="BM184" s="71">
        <f>IFERROR(__xludf.DUMMYFUNCTION("""COMPUTED_VALUE"""),18114.444)</f>
        <v>18114.444</v>
      </c>
      <c r="BN184" s="71">
        <f>IFERROR(__xludf.DUMMYFUNCTION("""COMPUTED_VALUE"""),14748.35)</f>
        <v>14748.35</v>
      </c>
      <c r="BO184" s="71">
        <f>IFERROR(__xludf.DUMMYFUNCTION("""COMPUTED_VALUE"""),2359.7360000000003)</f>
        <v>2359.736</v>
      </c>
      <c r="BP184" s="71">
        <f>IFERROR(__xludf.DUMMYFUNCTION("""COMPUTED_VALUE"""),17108.086)</f>
        <v>17108.086</v>
      </c>
      <c r="BQ184" s="71">
        <f>IFERROR(__xludf.DUMMYFUNCTION("""COMPUTED_VALUE"""),14401.33)</f>
        <v>14401.33</v>
      </c>
      <c r="BR184" s="71">
        <f>IFERROR(__xludf.DUMMYFUNCTION("""COMPUTED_VALUE"""),2304.2128000000002)</f>
        <v>2304.2128</v>
      </c>
      <c r="BS184" s="71">
        <f>IFERROR(__xludf.DUMMYFUNCTION("""COMPUTED_VALUE"""),16705.5428)</f>
        <v>16705.5428</v>
      </c>
      <c r="BT184" s="71">
        <f>IFERROR(__xludf.DUMMYFUNCTION("""COMPUTED_VALUE"""),13880.800000000001)</f>
        <v>13880.8</v>
      </c>
      <c r="BU184" s="71">
        <f>IFERROR(__xludf.DUMMYFUNCTION("""COMPUTED_VALUE"""),2220.9280000000003)</f>
        <v>2220.928</v>
      </c>
      <c r="BV184" s="71">
        <f>IFERROR(__xludf.DUMMYFUNCTION("""COMPUTED_VALUE"""),16101.728000000001)</f>
        <v>16101.728</v>
      </c>
    </row>
    <row r="185">
      <c r="A185" s="53">
        <v>1.0</v>
      </c>
      <c r="B185" s="72"/>
      <c r="C185" s="73" t="s">
        <v>12</v>
      </c>
      <c r="D185" s="74" t="s">
        <v>471</v>
      </c>
      <c r="E185" s="54" t="s">
        <v>38</v>
      </c>
      <c r="F185" s="54" t="s">
        <v>42</v>
      </c>
      <c r="G185" s="88" t="s">
        <v>472</v>
      </c>
      <c r="H185" s="54" t="s">
        <v>472</v>
      </c>
      <c r="I185" s="54">
        <f t="shared" si="1"/>
        <v>26</v>
      </c>
      <c r="J185" s="56"/>
      <c r="K185" s="75"/>
      <c r="L185" s="76"/>
      <c r="M185" s="59"/>
      <c r="N185" s="60">
        <v>88.0</v>
      </c>
      <c r="O185" s="61">
        <v>95.0</v>
      </c>
      <c r="P185" s="62">
        <v>102.60000000000001</v>
      </c>
      <c r="Q185" s="63">
        <v>102.60000000000001</v>
      </c>
      <c r="R185" s="64">
        <v>115.0</v>
      </c>
      <c r="S185" s="111">
        <v>121.0</v>
      </c>
      <c r="T185" s="65">
        <f t="shared" si="2"/>
        <v>19.36</v>
      </c>
      <c r="U185" s="65">
        <f t="shared" si="3"/>
        <v>140.36</v>
      </c>
      <c r="V185" s="66">
        <f t="shared" si="4"/>
        <v>0.05217391304</v>
      </c>
      <c r="W185" s="67">
        <f t="shared" si="5"/>
        <v>114.95</v>
      </c>
      <c r="X185" s="67">
        <f t="shared" si="6"/>
        <v>18.392</v>
      </c>
      <c r="Y185" s="67">
        <f t="shared" si="7"/>
        <v>133.342</v>
      </c>
      <c r="Z185" s="67">
        <f t="shared" si="8"/>
        <v>108.9</v>
      </c>
      <c r="AA185" s="67">
        <f t="shared" si="9"/>
        <v>17.424</v>
      </c>
      <c r="AB185" s="67">
        <f t="shared" si="10"/>
        <v>126.324</v>
      </c>
      <c r="AC185" s="67">
        <f t="shared" si="11"/>
        <v>102.85</v>
      </c>
      <c r="AD185" s="67">
        <f t="shared" si="12"/>
        <v>16.456</v>
      </c>
      <c r="AE185" s="67">
        <f t="shared" si="13"/>
        <v>119.306</v>
      </c>
      <c r="AF185" s="67">
        <f t="shared" si="14"/>
        <v>100.43</v>
      </c>
      <c r="AG185" s="67">
        <f t="shared" si="15"/>
        <v>16.0688</v>
      </c>
      <c r="AH185" s="67">
        <f t="shared" si="16"/>
        <v>116.4988</v>
      </c>
      <c r="AI185" s="67">
        <f t="shared" si="17"/>
        <v>96.8</v>
      </c>
      <c r="AJ185" s="68">
        <f t="shared" si="20"/>
        <v>15.488</v>
      </c>
      <c r="AK185" s="68">
        <f t="shared" si="21"/>
        <v>112.288</v>
      </c>
      <c r="AL185" s="70">
        <f>IFERROR(__xludf.DUMMYFUNCTION("""COMPUTED_VALUE"""),1.0)</f>
        <v>1</v>
      </c>
      <c r="AM185" s="70"/>
      <c r="AN185" s="71" t="str">
        <f>IFERROR(__xludf.DUMMYFUNCTION("""COMPUTED_VALUE""")," P")</f>
        <v>P</v>
      </c>
      <c r="AO185" s="71" t="str">
        <f>IFERROR(__xludf.DUMMYFUNCTION("""COMPUTED_VALUE""")," BS09")</f>
        <v>BS09</v>
      </c>
      <c r="AP185" s="71" t="str">
        <f>IFERROR(__xludf.DUMMYFUNCTION("""COMPUTED_VALUE""")," PZA")</f>
        <v>PZA</v>
      </c>
      <c r="AQ185" s="71" t="str">
        <f>IFERROR(__xludf.DUMMYFUNCTION("""COMPUTED_VALUE""")," REF")</f>
        <v>REF</v>
      </c>
      <c r="AR185" s="71" t="str">
        <f>IFERROR(__xludf.DUMMYFUNCTION("""COMPUTED_VALUE""")," BASE PARA DESLIZADOR TRASERO DÚPLEX (B.C.)")</f>
        <v>BASE PARA DESLIZADOR TRASERO DÚPLEX (B.C.)</v>
      </c>
      <c r="AS185" s="71" t="str">
        <f>IFERROR(__xludf.DUMMYFUNCTION("""COMPUTED_VALUE""")," BASE P/ DESLIZADOR TRASERO DPLX BC")</f>
        <v>BASE P/ DESLIZADOR TRASERO DPLX BC</v>
      </c>
      <c r="AT185" s="71">
        <f>IFERROR(__xludf.DUMMYFUNCTION("""COMPUTED_VALUE"""),34.0)</f>
        <v>34</v>
      </c>
      <c r="AU185" s="71"/>
      <c r="AV185" s="71"/>
      <c r="AW185" s="71"/>
      <c r="AX185" s="71"/>
      <c r="AY185" s="71">
        <f>IFERROR(__xludf.DUMMYFUNCTION("""COMPUTED_VALUE"""),135.0)</f>
        <v>135</v>
      </c>
      <c r="AZ185" s="71">
        <f>IFERROR(__xludf.DUMMYFUNCTION("""COMPUTED_VALUE"""),145.0)</f>
        <v>145</v>
      </c>
      <c r="BA185" s="71">
        <f>IFERROR(__xludf.DUMMYFUNCTION("""COMPUTED_VALUE"""),156.60000000000002)</f>
        <v>156.6</v>
      </c>
      <c r="BB185" s="71">
        <f>IFERROR(__xludf.DUMMYFUNCTION("""COMPUTED_VALUE"""),156.60000000000002)</f>
        <v>156.6</v>
      </c>
      <c r="BC185" s="71">
        <f>IFERROR(__xludf.DUMMYFUNCTION("""COMPUTED_VALUE"""),175.0)</f>
        <v>175</v>
      </c>
      <c r="BD185" s="71">
        <f>IFERROR(__xludf.DUMMYFUNCTION("""COMPUTED_VALUE"""),184.0)</f>
        <v>184</v>
      </c>
      <c r="BE185" s="71">
        <f>IFERROR(__xludf.DUMMYFUNCTION("""COMPUTED_VALUE"""),29.44)</f>
        <v>29.44</v>
      </c>
      <c r="BF185" s="71">
        <f>IFERROR(__xludf.DUMMYFUNCTION("""COMPUTED_VALUE"""),213.44)</f>
        <v>213.44</v>
      </c>
      <c r="BG185" s="71">
        <f>IFERROR(__xludf.DUMMYFUNCTION("""COMPUTED_VALUE"""),0.05142857142857143)</f>
        <v>0.05142857143</v>
      </c>
      <c r="BH185" s="71">
        <f>IFERROR(__xludf.DUMMYFUNCTION("""COMPUTED_VALUE"""),174.79999999999998)</f>
        <v>174.8</v>
      </c>
      <c r="BI185" s="71">
        <f>IFERROR(__xludf.DUMMYFUNCTION("""COMPUTED_VALUE"""),27.967999999999996)</f>
        <v>27.968</v>
      </c>
      <c r="BJ185" s="71">
        <f>IFERROR(__xludf.DUMMYFUNCTION("""COMPUTED_VALUE"""),202.76799999999997)</f>
        <v>202.768</v>
      </c>
      <c r="BK185" s="71">
        <f>IFERROR(__xludf.DUMMYFUNCTION("""COMPUTED_VALUE"""),165.6)</f>
        <v>165.6</v>
      </c>
      <c r="BL185" s="71">
        <f>IFERROR(__xludf.DUMMYFUNCTION("""COMPUTED_VALUE"""),26.496)</f>
        <v>26.496</v>
      </c>
      <c r="BM185" s="71">
        <f>IFERROR(__xludf.DUMMYFUNCTION("""COMPUTED_VALUE"""),192.096)</f>
        <v>192.096</v>
      </c>
      <c r="BN185" s="71">
        <f>IFERROR(__xludf.DUMMYFUNCTION("""COMPUTED_VALUE"""),156.4)</f>
        <v>156.4</v>
      </c>
      <c r="BO185" s="71">
        <f>IFERROR(__xludf.DUMMYFUNCTION("""COMPUTED_VALUE"""),25.024)</f>
        <v>25.024</v>
      </c>
      <c r="BP185" s="71">
        <f>IFERROR(__xludf.DUMMYFUNCTION("""COMPUTED_VALUE"""),181.424)</f>
        <v>181.424</v>
      </c>
      <c r="BQ185" s="71">
        <f>IFERROR(__xludf.DUMMYFUNCTION("""COMPUTED_VALUE"""),152.72)</f>
        <v>152.72</v>
      </c>
      <c r="BR185" s="71">
        <f>IFERROR(__xludf.DUMMYFUNCTION("""COMPUTED_VALUE"""),24.435200000000002)</f>
        <v>24.4352</v>
      </c>
      <c r="BS185" s="71">
        <f>IFERROR(__xludf.DUMMYFUNCTION("""COMPUTED_VALUE"""),177.1552)</f>
        <v>177.1552</v>
      </c>
      <c r="BT185" s="71">
        <f>IFERROR(__xludf.DUMMYFUNCTION("""COMPUTED_VALUE"""),147.20000000000002)</f>
        <v>147.2</v>
      </c>
      <c r="BU185" s="71">
        <f>IFERROR(__xludf.DUMMYFUNCTION("""COMPUTED_VALUE"""),23.552000000000003)</f>
        <v>23.552</v>
      </c>
      <c r="BV185" s="71">
        <f>IFERROR(__xludf.DUMMYFUNCTION("""COMPUTED_VALUE"""),170.752)</f>
        <v>170.752</v>
      </c>
    </row>
    <row r="186">
      <c r="A186" s="53">
        <v>1.0</v>
      </c>
      <c r="B186" s="72"/>
      <c r="C186" s="73" t="s">
        <v>12</v>
      </c>
      <c r="D186" s="74" t="s">
        <v>473</v>
      </c>
      <c r="E186" s="54" t="s">
        <v>38</v>
      </c>
      <c r="F186" s="54" t="s">
        <v>42</v>
      </c>
      <c r="G186" s="88" t="s">
        <v>474</v>
      </c>
      <c r="H186" s="54" t="s">
        <v>474</v>
      </c>
      <c r="I186" s="54">
        <f t="shared" si="1"/>
        <v>30</v>
      </c>
      <c r="J186" s="56"/>
      <c r="K186" s="75"/>
      <c r="L186" s="76"/>
      <c r="M186" s="59"/>
      <c r="N186" s="60">
        <v>35.0</v>
      </c>
      <c r="O186" s="61">
        <v>45.0</v>
      </c>
      <c r="P186" s="62">
        <v>48.6</v>
      </c>
      <c r="Q186" s="63">
        <v>48.6</v>
      </c>
      <c r="R186" s="64">
        <v>55.0</v>
      </c>
      <c r="S186" s="111">
        <v>58.0</v>
      </c>
      <c r="T186" s="65">
        <f t="shared" si="2"/>
        <v>9.28</v>
      </c>
      <c r="U186" s="65">
        <f t="shared" si="3"/>
        <v>67.28</v>
      </c>
      <c r="V186" s="66">
        <f t="shared" si="4"/>
        <v>0.05454545455</v>
      </c>
      <c r="W186" s="67">
        <f t="shared" si="5"/>
        <v>55.1</v>
      </c>
      <c r="X186" s="67">
        <f t="shared" si="6"/>
        <v>8.816</v>
      </c>
      <c r="Y186" s="67">
        <f t="shared" si="7"/>
        <v>63.916</v>
      </c>
      <c r="Z186" s="67">
        <f t="shared" si="8"/>
        <v>52.2</v>
      </c>
      <c r="AA186" s="67">
        <f t="shared" si="9"/>
        <v>8.352</v>
      </c>
      <c r="AB186" s="67">
        <f t="shared" si="10"/>
        <v>60.552</v>
      </c>
      <c r="AC186" s="67">
        <f t="shared" si="11"/>
        <v>49.3</v>
      </c>
      <c r="AD186" s="67">
        <f t="shared" si="12"/>
        <v>7.888</v>
      </c>
      <c r="AE186" s="67">
        <f t="shared" si="13"/>
        <v>57.188</v>
      </c>
      <c r="AF186" s="67">
        <f t="shared" si="14"/>
        <v>48.14</v>
      </c>
      <c r="AG186" s="67">
        <f t="shared" si="15"/>
        <v>7.7024</v>
      </c>
      <c r="AH186" s="67">
        <f t="shared" si="16"/>
        <v>55.8424</v>
      </c>
      <c r="AI186" s="67">
        <f t="shared" si="17"/>
        <v>46.4</v>
      </c>
      <c r="AJ186" s="68">
        <f t="shared" si="20"/>
        <v>7.424</v>
      </c>
      <c r="AK186" s="68">
        <f t="shared" si="21"/>
        <v>53.824</v>
      </c>
      <c r="AL186" s="70">
        <f>IFERROR(__xludf.DUMMYFUNCTION("""COMPUTED_VALUE"""),1.0)</f>
        <v>1</v>
      </c>
      <c r="AM186" s="70"/>
      <c r="AN186" s="71" t="str">
        <f>IFERROR(__xludf.DUMMYFUNCTION("""COMPUTED_VALUE""")," P")</f>
        <v>P</v>
      </c>
      <c r="AO186" s="71" t="str">
        <f>IFERROR(__xludf.DUMMYFUNCTION("""COMPUTED_VALUE""")," BS10")</f>
        <v>BS10</v>
      </c>
      <c r="AP186" s="71" t="str">
        <f>IFERROR(__xludf.DUMMYFUNCTION("""COMPUTED_VALUE""")," PZA")</f>
        <v>PZA</v>
      </c>
      <c r="AQ186" s="71" t="str">
        <f>IFERROR(__xludf.DUMMYFUNCTION("""COMPUTED_VALUE""")," REF")</f>
        <v>REF</v>
      </c>
      <c r="AR186" s="71" t="str">
        <f>IFERROR(__xludf.DUMMYFUNCTION("""COMPUTED_VALUE""")," BASE PARA DESLIZADOR TRASERO SENCILLO TV-50 (B.C.)")</f>
        <v>BASE PARA DESLIZADOR TRASERO SENCILLO TV-50 (B.C.)</v>
      </c>
      <c r="AS186" s="71" t="str">
        <f>IFERROR(__xludf.DUMMYFUNCTION("""COMPUTED_VALUE""")," BASE P/ DESLIZADOR TRASERO SENC TV50 BC")</f>
        <v>BASE P/ DESLIZADOR TRASERO SENC TV50 BC</v>
      </c>
      <c r="AT186" s="71">
        <f>IFERROR(__xludf.DUMMYFUNCTION("""COMPUTED_VALUE"""),39.0)</f>
        <v>39</v>
      </c>
      <c r="AU186" s="71"/>
      <c r="AV186" s="71"/>
      <c r="AW186" s="71"/>
      <c r="AX186" s="71"/>
      <c r="AY186" s="71">
        <f>IFERROR(__xludf.DUMMYFUNCTION("""COMPUTED_VALUE"""),93.0)</f>
        <v>93</v>
      </c>
      <c r="AZ186" s="71">
        <f>IFERROR(__xludf.DUMMYFUNCTION("""COMPUTED_VALUE"""),100.0)</f>
        <v>100</v>
      </c>
      <c r="BA186" s="71">
        <f>IFERROR(__xludf.DUMMYFUNCTION("""COMPUTED_VALUE"""),108.0)</f>
        <v>108</v>
      </c>
      <c r="BB186" s="71">
        <f>IFERROR(__xludf.DUMMYFUNCTION("""COMPUTED_VALUE"""),108.0)</f>
        <v>108</v>
      </c>
      <c r="BC186" s="71">
        <f>IFERROR(__xludf.DUMMYFUNCTION("""COMPUTED_VALUE"""),121.0)</f>
        <v>121</v>
      </c>
      <c r="BD186" s="71">
        <f>IFERROR(__xludf.DUMMYFUNCTION("""COMPUTED_VALUE"""),127.0)</f>
        <v>127</v>
      </c>
      <c r="BE186" s="71">
        <f>IFERROR(__xludf.DUMMYFUNCTION("""COMPUTED_VALUE"""),20.32)</f>
        <v>20.32</v>
      </c>
      <c r="BF186" s="71">
        <f>IFERROR(__xludf.DUMMYFUNCTION("""COMPUTED_VALUE"""),147.32)</f>
        <v>147.32</v>
      </c>
      <c r="BG186" s="71">
        <f>IFERROR(__xludf.DUMMYFUNCTION("""COMPUTED_VALUE"""),0.049586776859504134)</f>
        <v>0.04958677686</v>
      </c>
      <c r="BH186" s="71">
        <f>IFERROR(__xludf.DUMMYFUNCTION("""COMPUTED_VALUE"""),120.64999999999999)</f>
        <v>120.65</v>
      </c>
      <c r="BI186" s="71">
        <f>IFERROR(__xludf.DUMMYFUNCTION("""COMPUTED_VALUE"""),19.304)</f>
        <v>19.304</v>
      </c>
      <c r="BJ186" s="71">
        <f>IFERROR(__xludf.DUMMYFUNCTION("""COMPUTED_VALUE"""),139.95399999999998)</f>
        <v>139.954</v>
      </c>
      <c r="BK186" s="71">
        <f>IFERROR(__xludf.DUMMYFUNCTION("""COMPUTED_VALUE"""),114.3)</f>
        <v>114.3</v>
      </c>
      <c r="BL186" s="71">
        <f>IFERROR(__xludf.DUMMYFUNCTION("""COMPUTED_VALUE"""),18.288)</f>
        <v>18.288</v>
      </c>
      <c r="BM186" s="71">
        <f>IFERROR(__xludf.DUMMYFUNCTION("""COMPUTED_VALUE"""),132.588)</f>
        <v>132.588</v>
      </c>
      <c r="BN186" s="71">
        <f>IFERROR(__xludf.DUMMYFUNCTION("""COMPUTED_VALUE"""),107.95)</f>
        <v>107.95</v>
      </c>
      <c r="BO186" s="71">
        <f>IFERROR(__xludf.DUMMYFUNCTION("""COMPUTED_VALUE"""),17.272000000000002)</f>
        <v>17.272</v>
      </c>
      <c r="BP186" s="71">
        <f>IFERROR(__xludf.DUMMYFUNCTION("""COMPUTED_VALUE"""),125.22200000000001)</f>
        <v>125.222</v>
      </c>
      <c r="BQ186" s="71">
        <f>IFERROR(__xludf.DUMMYFUNCTION("""COMPUTED_VALUE"""),105.41)</f>
        <v>105.41</v>
      </c>
      <c r="BR186" s="71">
        <f>IFERROR(__xludf.DUMMYFUNCTION("""COMPUTED_VALUE"""),16.8656)</f>
        <v>16.8656</v>
      </c>
      <c r="BS186" s="71">
        <f>IFERROR(__xludf.DUMMYFUNCTION("""COMPUTED_VALUE"""),122.2756)</f>
        <v>122.2756</v>
      </c>
      <c r="BT186" s="71">
        <f>IFERROR(__xludf.DUMMYFUNCTION("""COMPUTED_VALUE"""),101.60000000000001)</f>
        <v>101.6</v>
      </c>
      <c r="BU186" s="71">
        <f>IFERROR(__xludf.DUMMYFUNCTION("""COMPUTED_VALUE"""),16.256)</f>
        <v>16.256</v>
      </c>
      <c r="BV186" s="71">
        <f>IFERROR(__xludf.DUMMYFUNCTION("""COMPUTED_VALUE"""),117.85600000000001)</f>
        <v>117.856</v>
      </c>
    </row>
    <row r="187">
      <c r="A187" s="53">
        <v>1.0</v>
      </c>
      <c r="B187" s="72"/>
      <c r="C187" s="73" t="s">
        <v>12</v>
      </c>
      <c r="D187" s="74" t="s">
        <v>475</v>
      </c>
      <c r="E187" s="54" t="s">
        <v>38</v>
      </c>
      <c r="F187" s="54" t="s">
        <v>42</v>
      </c>
      <c r="G187" s="88" t="s">
        <v>476</v>
      </c>
      <c r="H187" s="54" t="s">
        <v>476</v>
      </c>
      <c r="I187" s="54">
        <f t="shared" si="1"/>
        <v>26</v>
      </c>
      <c r="J187" s="56"/>
      <c r="K187" s="75"/>
      <c r="L187" s="76"/>
      <c r="M187" s="59"/>
      <c r="N187" s="60">
        <v>100.0</v>
      </c>
      <c r="O187" s="61">
        <v>108.0</v>
      </c>
      <c r="P187" s="62">
        <v>116.64000000000001</v>
      </c>
      <c r="Q187" s="63">
        <v>116.64000000000001</v>
      </c>
      <c r="R187" s="64">
        <v>131.0</v>
      </c>
      <c r="S187" s="111">
        <v>138.0</v>
      </c>
      <c r="T187" s="65">
        <f t="shared" si="2"/>
        <v>22.08</v>
      </c>
      <c r="U187" s="65">
        <f t="shared" si="3"/>
        <v>160.08</v>
      </c>
      <c r="V187" s="66">
        <f t="shared" si="4"/>
        <v>0.0534351145</v>
      </c>
      <c r="W187" s="67">
        <f t="shared" si="5"/>
        <v>131.1</v>
      </c>
      <c r="X187" s="67">
        <f t="shared" si="6"/>
        <v>20.976</v>
      </c>
      <c r="Y187" s="67">
        <f t="shared" si="7"/>
        <v>152.076</v>
      </c>
      <c r="Z187" s="67">
        <f t="shared" si="8"/>
        <v>124.2</v>
      </c>
      <c r="AA187" s="67">
        <f t="shared" si="9"/>
        <v>19.872</v>
      </c>
      <c r="AB187" s="67">
        <f t="shared" si="10"/>
        <v>144.072</v>
      </c>
      <c r="AC187" s="67">
        <f t="shared" si="11"/>
        <v>117.3</v>
      </c>
      <c r="AD187" s="67">
        <f t="shared" si="12"/>
        <v>18.768</v>
      </c>
      <c r="AE187" s="67">
        <f t="shared" si="13"/>
        <v>136.068</v>
      </c>
      <c r="AF187" s="67">
        <f t="shared" si="14"/>
        <v>114.54</v>
      </c>
      <c r="AG187" s="67">
        <f t="shared" si="15"/>
        <v>18.3264</v>
      </c>
      <c r="AH187" s="67">
        <f t="shared" si="16"/>
        <v>132.8664</v>
      </c>
      <c r="AI187" s="67">
        <f t="shared" si="17"/>
        <v>110.4</v>
      </c>
      <c r="AJ187" s="68">
        <f t="shared" si="20"/>
        <v>17.664</v>
      </c>
      <c r="AK187" s="68">
        <f t="shared" si="21"/>
        <v>128.064</v>
      </c>
      <c r="AL187" s="70">
        <f>IFERROR(__xludf.DUMMYFUNCTION("""COMPUTED_VALUE"""),1.0)</f>
        <v>1</v>
      </c>
      <c r="AM187" s="70"/>
      <c r="AN187" s="71" t="str">
        <f>IFERROR(__xludf.DUMMYFUNCTION("""COMPUTED_VALUE""")," P")</f>
        <v>P</v>
      </c>
      <c r="AO187" s="71" t="str">
        <f>IFERROR(__xludf.DUMMYFUNCTION("""COMPUTED_VALUE""")," BS11")</f>
        <v>BS11</v>
      </c>
      <c r="AP187" s="71" t="str">
        <f>IFERROR(__xludf.DUMMYFUNCTION("""COMPUTED_VALUE""")," PZA")</f>
        <v>PZA</v>
      </c>
      <c r="AQ187" s="71" t="str">
        <f>IFERROR(__xludf.DUMMYFUNCTION("""COMPUTED_VALUE""")," REF")</f>
        <v>REF</v>
      </c>
      <c r="AR187" s="71" t="str">
        <f>IFERROR(__xludf.DUMMYFUNCTION("""COMPUTED_VALUE""")," BASE PARA DESLIZADOR TRASERO TV-30 Y TV-40")</f>
        <v>BASE PARA DESLIZADOR TRASERO TV-30 Y TV-40</v>
      </c>
      <c r="AS187" s="71" t="str">
        <f>IFERROR(__xludf.DUMMYFUNCTION("""COMPUTED_VALUE""")," BASE P/ DESLIZADOR TRASERO TV30/40")</f>
        <v>BASE P/ DESLIZADOR TRASERO TV30/40</v>
      </c>
      <c r="AT187" s="71">
        <f>IFERROR(__xludf.DUMMYFUNCTION("""COMPUTED_VALUE"""),34.0)</f>
        <v>34</v>
      </c>
      <c r="AU187" s="71"/>
      <c r="AV187" s="71"/>
      <c r="AW187" s="71"/>
      <c r="AX187" s="71"/>
      <c r="AY187" s="71">
        <f>IFERROR(__xludf.DUMMYFUNCTION("""COMPUTED_VALUE"""),93.0)</f>
        <v>93</v>
      </c>
      <c r="AZ187" s="71">
        <f>IFERROR(__xludf.DUMMYFUNCTION("""COMPUTED_VALUE"""),100.0)</f>
        <v>100</v>
      </c>
      <c r="BA187" s="71">
        <f>IFERROR(__xludf.DUMMYFUNCTION("""COMPUTED_VALUE"""),108.0)</f>
        <v>108</v>
      </c>
      <c r="BB187" s="71">
        <f>IFERROR(__xludf.DUMMYFUNCTION("""COMPUTED_VALUE"""),108.0)</f>
        <v>108</v>
      </c>
      <c r="BC187" s="71">
        <f>IFERROR(__xludf.DUMMYFUNCTION("""COMPUTED_VALUE"""),121.0)</f>
        <v>121</v>
      </c>
      <c r="BD187" s="71">
        <f>IFERROR(__xludf.DUMMYFUNCTION("""COMPUTED_VALUE"""),127.0)</f>
        <v>127</v>
      </c>
      <c r="BE187" s="71">
        <f>IFERROR(__xludf.DUMMYFUNCTION("""COMPUTED_VALUE"""),20.32)</f>
        <v>20.32</v>
      </c>
      <c r="BF187" s="71">
        <f>IFERROR(__xludf.DUMMYFUNCTION("""COMPUTED_VALUE"""),147.32)</f>
        <v>147.32</v>
      </c>
      <c r="BG187" s="71">
        <f>IFERROR(__xludf.DUMMYFUNCTION("""COMPUTED_VALUE"""),0.049586776859504134)</f>
        <v>0.04958677686</v>
      </c>
      <c r="BH187" s="71">
        <f>IFERROR(__xludf.DUMMYFUNCTION("""COMPUTED_VALUE"""),120.64999999999999)</f>
        <v>120.65</v>
      </c>
      <c r="BI187" s="71">
        <f>IFERROR(__xludf.DUMMYFUNCTION("""COMPUTED_VALUE"""),19.304)</f>
        <v>19.304</v>
      </c>
      <c r="BJ187" s="71">
        <f>IFERROR(__xludf.DUMMYFUNCTION("""COMPUTED_VALUE"""),139.95399999999998)</f>
        <v>139.954</v>
      </c>
      <c r="BK187" s="71">
        <f>IFERROR(__xludf.DUMMYFUNCTION("""COMPUTED_VALUE"""),114.3)</f>
        <v>114.3</v>
      </c>
      <c r="BL187" s="71">
        <f>IFERROR(__xludf.DUMMYFUNCTION("""COMPUTED_VALUE"""),18.288)</f>
        <v>18.288</v>
      </c>
      <c r="BM187" s="71">
        <f>IFERROR(__xludf.DUMMYFUNCTION("""COMPUTED_VALUE"""),132.588)</f>
        <v>132.588</v>
      </c>
      <c r="BN187" s="71">
        <f>IFERROR(__xludf.DUMMYFUNCTION("""COMPUTED_VALUE"""),107.95)</f>
        <v>107.95</v>
      </c>
      <c r="BO187" s="71">
        <f>IFERROR(__xludf.DUMMYFUNCTION("""COMPUTED_VALUE"""),17.272000000000002)</f>
        <v>17.272</v>
      </c>
      <c r="BP187" s="71">
        <f>IFERROR(__xludf.DUMMYFUNCTION("""COMPUTED_VALUE"""),125.22200000000001)</f>
        <v>125.222</v>
      </c>
      <c r="BQ187" s="71">
        <f>IFERROR(__xludf.DUMMYFUNCTION("""COMPUTED_VALUE"""),105.41)</f>
        <v>105.41</v>
      </c>
      <c r="BR187" s="71">
        <f>IFERROR(__xludf.DUMMYFUNCTION("""COMPUTED_VALUE"""),16.8656)</f>
        <v>16.8656</v>
      </c>
      <c r="BS187" s="71">
        <f>IFERROR(__xludf.DUMMYFUNCTION("""COMPUTED_VALUE"""),122.2756)</f>
        <v>122.2756</v>
      </c>
      <c r="BT187" s="71">
        <f>IFERROR(__xludf.DUMMYFUNCTION("""COMPUTED_VALUE"""),101.60000000000001)</f>
        <v>101.6</v>
      </c>
      <c r="BU187" s="71">
        <f>IFERROR(__xludf.DUMMYFUNCTION("""COMPUTED_VALUE"""),16.256)</f>
        <v>16.256</v>
      </c>
      <c r="BV187" s="71">
        <f>IFERROR(__xludf.DUMMYFUNCTION("""COMPUTED_VALUE"""),117.85600000000001)</f>
        <v>117.856</v>
      </c>
    </row>
    <row r="188">
      <c r="A188" s="53">
        <v>1.0</v>
      </c>
      <c r="B188" s="72"/>
      <c r="C188" s="73" t="s">
        <v>12</v>
      </c>
      <c r="D188" s="74" t="s">
        <v>477</v>
      </c>
      <c r="E188" s="54" t="s">
        <v>38</v>
      </c>
      <c r="F188" s="54" t="s">
        <v>42</v>
      </c>
      <c r="G188" s="88" t="s">
        <v>478</v>
      </c>
      <c r="H188" s="54" t="s">
        <v>478</v>
      </c>
      <c r="I188" s="54">
        <f t="shared" si="1"/>
        <v>30</v>
      </c>
      <c r="J188" s="56"/>
      <c r="K188" s="75"/>
      <c r="L188" s="76"/>
      <c r="M188" s="59"/>
      <c r="N188" s="60">
        <v>35.0</v>
      </c>
      <c r="O188" s="61">
        <v>45.0</v>
      </c>
      <c r="P188" s="62">
        <v>48.6</v>
      </c>
      <c r="Q188" s="63">
        <v>48.6</v>
      </c>
      <c r="R188" s="64">
        <v>55.0</v>
      </c>
      <c r="S188" s="111">
        <v>58.0</v>
      </c>
      <c r="T188" s="65">
        <f t="shared" si="2"/>
        <v>9.28</v>
      </c>
      <c r="U188" s="65">
        <f t="shared" si="3"/>
        <v>67.28</v>
      </c>
      <c r="V188" s="66">
        <f t="shared" si="4"/>
        <v>0.05454545455</v>
      </c>
      <c r="W188" s="67">
        <f t="shared" si="5"/>
        <v>55.1</v>
      </c>
      <c r="X188" s="67">
        <f t="shared" si="6"/>
        <v>8.816</v>
      </c>
      <c r="Y188" s="67">
        <f t="shared" si="7"/>
        <v>63.916</v>
      </c>
      <c r="Z188" s="67">
        <f t="shared" si="8"/>
        <v>52.2</v>
      </c>
      <c r="AA188" s="67">
        <f t="shared" si="9"/>
        <v>8.352</v>
      </c>
      <c r="AB188" s="67">
        <f t="shared" si="10"/>
        <v>60.552</v>
      </c>
      <c r="AC188" s="67">
        <f t="shared" si="11"/>
        <v>49.3</v>
      </c>
      <c r="AD188" s="67">
        <f t="shared" si="12"/>
        <v>7.888</v>
      </c>
      <c r="AE188" s="67">
        <f t="shared" si="13"/>
        <v>57.188</v>
      </c>
      <c r="AF188" s="67">
        <f t="shared" si="14"/>
        <v>48.14</v>
      </c>
      <c r="AG188" s="67">
        <f t="shared" si="15"/>
        <v>7.7024</v>
      </c>
      <c r="AH188" s="67">
        <f t="shared" si="16"/>
        <v>55.8424</v>
      </c>
      <c r="AI188" s="67">
        <f t="shared" si="17"/>
        <v>46.4</v>
      </c>
      <c r="AJ188" s="68">
        <f t="shared" si="20"/>
        <v>7.424</v>
      </c>
      <c r="AK188" s="68">
        <f t="shared" si="21"/>
        <v>53.824</v>
      </c>
      <c r="AL188" s="70">
        <f>IFERROR(__xludf.DUMMYFUNCTION("""COMPUTED_VALUE"""),1.0)</f>
        <v>1</v>
      </c>
      <c r="AM188" s="70">
        <f>IFERROR(__xludf.DUMMYFUNCTION("""COMPUTED_VALUE"""),4.0)</f>
        <v>4</v>
      </c>
      <c r="AN188" s="71" t="str">
        <f>IFERROR(__xludf.DUMMYFUNCTION("""COMPUTED_VALUE""")," P")</f>
        <v>P</v>
      </c>
      <c r="AO188" s="71" t="str">
        <f>IFERROR(__xludf.DUMMYFUNCTION("""COMPUTED_VALUE""")," BS12")</f>
        <v>BS12</v>
      </c>
      <c r="AP188" s="71" t="str">
        <f>IFERROR(__xludf.DUMMYFUNCTION("""COMPUTED_VALUE""")," PZA")</f>
        <v>PZA</v>
      </c>
      <c r="AQ188" s="71" t="str">
        <f>IFERROR(__xludf.DUMMYFUNCTION("""COMPUTED_VALUE""")," REF")</f>
        <v>REF</v>
      </c>
      <c r="AR188" s="71" t="str">
        <f>IFERROR(__xludf.DUMMYFUNCTION("""COMPUTED_VALUE""")," BASE SUPERIOR DÚPLEX DE ALUMINIO CON OREJAS")</f>
        <v>BASE SUPERIOR DÚPLEX DE ALUMINIO CON OREJAS</v>
      </c>
      <c r="AS188" s="71" t="str">
        <f>IFERROR(__xludf.DUMMYFUNCTION("""COMPUTED_VALUE""")," BASE SUPERIOR DPLX  ALUMINIO C/OREJAS")</f>
        <v>BASE SUPERIOR DPLX  ALUMINIO C/OREJAS</v>
      </c>
      <c r="AT188" s="71">
        <f>IFERROR(__xludf.DUMMYFUNCTION("""COMPUTED_VALUE"""),37.0)</f>
        <v>37</v>
      </c>
      <c r="AU188" s="71"/>
      <c r="AV188" s="71"/>
      <c r="AW188" s="71"/>
      <c r="AX188" s="71"/>
      <c r="AY188" s="71">
        <f>IFERROR(__xludf.DUMMYFUNCTION("""COMPUTED_VALUE"""),6380.0)</f>
        <v>6380</v>
      </c>
      <c r="AZ188" s="71">
        <f>IFERROR(__xludf.DUMMYFUNCTION("""COMPUTED_VALUE"""),6890.0)</f>
        <v>6890</v>
      </c>
      <c r="BA188" s="71">
        <f>IFERROR(__xludf.DUMMYFUNCTION("""COMPUTED_VALUE"""),11161.5)</f>
        <v>11161.5</v>
      </c>
      <c r="BB188" s="71">
        <f>IFERROR(__xludf.DUMMYFUNCTION("""COMPUTED_VALUE"""),11161.5)</f>
        <v>11161.5</v>
      </c>
      <c r="BC188" s="71">
        <f>IFERROR(__xludf.DUMMYFUNCTION("""COMPUTED_VALUE"""),11721.0)</f>
        <v>11721</v>
      </c>
      <c r="BD188" s="71">
        <f>IFERROR(__xludf.DUMMYFUNCTION("""COMPUTED_VALUE"""),12307.0)</f>
        <v>12307</v>
      </c>
      <c r="BE188" s="71">
        <f>IFERROR(__xludf.DUMMYFUNCTION("""COMPUTED_VALUE"""),1969.1200000000001)</f>
        <v>1969.12</v>
      </c>
      <c r="BF188" s="71">
        <f>IFERROR(__xludf.DUMMYFUNCTION("""COMPUTED_VALUE"""),14276.12)</f>
        <v>14276.12</v>
      </c>
      <c r="BG188" s="71">
        <f>IFERROR(__xludf.DUMMYFUNCTION("""COMPUTED_VALUE"""),0.04999573415237608)</f>
        <v>0.04999573415</v>
      </c>
      <c r="BH188" s="71">
        <f>IFERROR(__xludf.DUMMYFUNCTION("""COMPUTED_VALUE"""),12307.0)</f>
        <v>12307</v>
      </c>
      <c r="BI188" s="71">
        <f>IFERROR(__xludf.DUMMYFUNCTION("""COMPUTED_VALUE"""),1969.1200000000001)</f>
        <v>1969.12</v>
      </c>
      <c r="BJ188" s="71">
        <f>IFERROR(__xludf.DUMMYFUNCTION("""COMPUTED_VALUE"""),14276.12)</f>
        <v>14276.12</v>
      </c>
      <c r="BK188" s="71">
        <f>IFERROR(__xludf.DUMMYFUNCTION("""COMPUTED_VALUE"""),12307.0)</f>
        <v>12307</v>
      </c>
      <c r="BL188" s="71">
        <f>IFERROR(__xludf.DUMMYFUNCTION("""COMPUTED_VALUE"""),1969.1200000000001)</f>
        <v>1969.12</v>
      </c>
      <c r="BM188" s="71">
        <f>IFERROR(__xludf.DUMMYFUNCTION("""COMPUTED_VALUE"""),14276.12)</f>
        <v>14276.12</v>
      </c>
      <c r="BN188" s="71">
        <f>IFERROR(__xludf.DUMMYFUNCTION("""COMPUTED_VALUE"""),12307.0)</f>
        <v>12307</v>
      </c>
      <c r="BO188" s="71">
        <f>IFERROR(__xludf.DUMMYFUNCTION("""COMPUTED_VALUE"""),1969.1200000000001)</f>
        <v>1969.12</v>
      </c>
      <c r="BP188" s="71">
        <f>IFERROR(__xludf.DUMMYFUNCTION("""COMPUTED_VALUE"""),14276.12)</f>
        <v>14276.12</v>
      </c>
      <c r="BQ188" s="71">
        <f>IFERROR(__xludf.DUMMYFUNCTION("""COMPUTED_VALUE"""),12307.0)</f>
        <v>12307</v>
      </c>
      <c r="BR188" s="71">
        <f>IFERROR(__xludf.DUMMYFUNCTION("""COMPUTED_VALUE"""),1969.1200000000001)</f>
        <v>1969.12</v>
      </c>
      <c r="BS188" s="71">
        <f>IFERROR(__xludf.DUMMYFUNCTION("""COMPUTED_VALUE"""),14276.12)</f>
        <v>14276.12</v>
      </c>
      <c r="BT188" s="71">
        <f>IFERROR(__xludf.DUMMYFUNCTION("""COMPUTED_VALUE"""),12307.0)</f>
        <v>12307</v>
      </c>
      <c r="BU188" s="71">
        <f>IFERROR(__xludf.DUMMYFUNCTION("""COMPUTED_VALUE"""),1969.1200000000001)</f>
        <v>1969.12</v>
      </c>
      <c r="BV188" s="71">
        <f>IFERROR(__xludf.DUMMYFUNCTION("""COMPUTED_VALUE"""),14276.12)</f>
        <v>14276.12</v>
      </c>
    </row>
    <row r="189">
      <c r="A189" s="53">
        <v>1.0</v>
      </c>
      <c r="B189" s="72"/>
      <c r="C189" s="73" t="s">
        <v>12</v>
      </c>
      <c r="D189" s="74" t="s">
        <v>479</v>
      </c>
      <c r="E189" s="54" t="s">
        <v>38</v>
      </c>
      <c r="F189" s="54" t="s">
        <v>42</v>
      </c>
      <c r="G189" s="88" t="s">
        <v>480</v>
      </c>
      <c r="H189" s="54" t="s">
        <v>480</v>
      </c>
      <c r="I189" s="54">
        <f t="shared" si="1"/>
        <v>26</v>
      </c>
      <c r="J189" s="56"/>
      <c r="K189" s="75"/>
      <c r="L189" s="76"/>
      <c r="M189" s="59"/>
      <c r="N189" s="60">
        <v>93.0</v>
      </c>
      <c r="O189" s="61">
        <v>100.0</v>
      </c>
      <c r="P189" s="62">
        <v>108.0</v>
      </c>
      <c r="Q189" s="63">
        <v>108.0</v>
      </c>
      <c r="R189" s="64">
        <v>121.0</v>
      </c>
      <c r="S189" s="111">
        <v>127.0</v>
      </c>
      <c r="T189" s="65">
        <f t="shared" si="2"/>
        <v>20.32</v>
      </c>
      <c r="U189" s="65">
        <f t="shared" si="3"/>
        <v>147.32</v>
      </c>
      <c r="V189" s="66">
        <f t="shared" si="4"/>
        <v>0.04958677686</v>
      </c>
      <c r="W189" s="67">
        <f t="shared" si="5"/>
        <v>120.65</v>
      </c>
      <c r="X189" s="67">
        <f t="shared" si="6"/>
        <v>19.304</v>
      </c>
      <c r="Y189" s="67">
        <f t="shared" si="7"/>
        <v>139.954</v>
      </c>
      <c r="Z189" s="67">
        <f t="shared" si="8"/>
        <v>114.3</v>
      </c>
      <c r="AA189" s="67">
        <f t="shared" si="9"/>
        <v>18.288</v>
      </c>
      <c r="AB189" s="67">
        <f t="shared" si="10"/>
        <v>132.588</v>
      </c>
      <c r="AC189" s="67">
        <f t="shared" si="11"/>
        <v>107.95</v>
      </c>
      <c r="AD189" s="67">
        <f t="shared" si="12"/>
        <v>17.272</v>
      </c>
      <c r="AE189" s="67">
        <f t="shared" si="13"/>
        <v>125.222</v>
      </c>
      <c r="AF189" s="67">
        <f t="shared" si="14"/>
        <v>105.41</v>
      </c>
      <c r="AG189" s="67">
        <f t="shared" si="15"/>
        <v>16.8656</v>
      </c>
      <c r="AH189" s="67">
        <f t="shared" si="16"/>
        <v>122.2756</v>
      </c>
      <c r="AI189" s="67">
        <f t="shared" si="17"/>
        <v>101.6</v>
      </c>
      <c r="AJ189" s="68">
        <f t="shared" si="20"/>
        <v>16.256</v>
      </c>
      <c r="AK189" s="68">
        <f t="shared" si="21"/>
        <v>117.856</v>
      </c>
      <c r="AL189" s="70">
        <f>IFERROR(__xludf.DUMMYFUNCTION("""COMPUTED_VALUE"""),1.0)</f>
        <v>1</v>
      </c>
      <c r="AM189" s="70"/>
      <c r="AN189" s="71" t="str">
        <f>IFERROR(__xludf.DUMMYFUNCTION("""COMPUTED_VALUE""")," P")</f>
        <v>P</v>
      </c>
      <c r="AO189" s="71" t="str">
        <f>IFERROR(__xludf.DUMMYFUNCTION("""COMPUTED_VALUE""")," BS14")</f>
        <v>BS14</v>
      </c>
      <c r="AP189" s="71" t="str">
        <f>IFERROR(__xludf.DUMMYFUNCTION("""COMPUTED_VALUE""")," PZA")</f>
        <v>PZA</v>
      </c>
      <c r="AQ189" s="71" t="str">
        <f>IFERROR(__xludf.DUMMYFUNCTION("""COMPUTED_VALUE""")," REF")</f>
        <v>REF</v>
      </c>
      <c r="AR189" s="71" t="str">
        <f>IFERROR(__xludf.DUMMYFUNCTION("""COMPUTED_VALUE""")," BASE SUPERIOR PARA JUEGO DE ALUMINIO ESPECIAL CHICO")</f>
        <v>BASE SUPERIOR PARA JUEGO DE ALUMINIO ESPECIAL CHICO</v>
      </c>
      <c r="AS189" s="71" t="str">
        <f>IFERROR(__xludf.DUMMYFUNCTION("""COMPUTED_VALUE""")," BASE SUPERIOR P/JGO ALUMINIO ESP CHIC")</f>
        <v>BASE SUPERIOR P/JGO ALUMINIO ESP CHIC</v>
      </c>
      <c r="AT189" s="71">
        <f>IFERROR(__xludf.DUMMYFUNCTION("""COMPUTED_VALUE"""),37.0)</f>
        <v>37</v>
      </c>
      <c r="AU189" s="71"/>
      <c r="AV189" s="71"/>
      <c r="AW189" s="71"/>
      <c r="AX189" s="71"/>
      <c r="AY189" s="71">
        <f>IFERROR(__xludf.DUMMYFUNCTION("""COMPUTED_VALUE"""),5603.0)</f>
        <v>5603</v>
      </c>
      <c r="AZ189" s="71">
        <f>IFERROR(__xludf.DUMMYFUNCTION("""COMPUTED_VALUE"""),6051.0)</f>
        <v>6051</v>
      </c>
      <c r="BA189" s="71">
        <f>IFERROR(__xludf.DUMMYFUNCTION("""COMPUTED_VALUE"""),6535.080000000001)</f>
        <v>6535.08</v>
      </c>
      <c r="BB189" s="71">
        <f>IFERROR(__xludf.DUMMYFUNCTION("""COMPUTED_VALUE"""),6535.080000000001)</f>
        <v>6535.08</v>
      </c>
      <c r="BC189" s="71">
        <f>IFERROR(__xludf.DUMMYFUNCTION("""COMPUTED_VALUE"""),7275.0)</f>
        <v>7275</v>
      </c>
      <c r="BD189" s="71">
        <f>IFERROR(__xludf.DUMMYFUNCTION("""COMPUTED_VALUE"""),7639.0)</f>
        <v>7639</v>
      </c>
      <c r="BE189" s="71">
        <f>IFERROR(__xludf.DUMMYFUNCTION("""COMPUTED_VALUE"""),1222.24)</f>
        <v>1222.24</v>
      </c>
      <c r="BF189" s="71">
        <f>IFERROR(__xludf.DUMMYFUNCTION("""COMPUTED_VALUE"""),8861.24)</f>
        <v>8861.24</v>
      </c>
      <c r="BG189" s="71">
        <f>IFERROR(__xludf.DUMMYFUNCTION("""COMPUTED_VALUE"""),0.05003436426116838)</f>
        <v>0.05003436426</v>
      </c>
      <c r="BH189" s="71">
        <f>IFERROR(__xludf.DUMMYFUNCTION("""COMPUTED_VALUE"""),7257.049999999999)</f>
        <v>7257.05</v>
      </c>
      <c r="BI189" s="71">
        <f>IFERROR(__xludf.DUMMYFUNCTION("""COMPUTED_VALUE"""),1161.128)</f>
        <v>1161.128</v>
      </c>
      <c r="BJ189" s="71">
        <f>IFERROR(__xludf.DUMMYFUNCTION("""COMPUTED_VALUE"""),8418.178)</f>
        <v>8418.178</v>
      </c>
      <c r="BK189" s="71">
        <f>IFERROR(__xludf.DUMMYFUNCTION("""COMPUTED_VALUE"""),6875.1)</f>
        <v>6875.1</v>
      </c>
      <c r="BL189" s="71">
        <f>IFERROR(__xludf.DUMMYFUNCTION("""COMPUTED_VALUE"""),1100.016)</f>
        <v>1100.016</v>
      </c>
      <c r="BM189" s="71">
        <f>IFERROR(__xludf.DUMMYFUNCTION("""COMPUTED_VALUE"""),7975.116)</f>
        <v>7975.116</v>
      </c>
      <c r="BN189" s="71">
        <f>IFERROR(__xludf.DUMMYFUNCTION("""COMPUTED_VALUE"""),6493.15)</f>
        <v>6493.15</v>
      </c>
      <c r="BO189" s="71">
        <f>IFERROR(__xludf.DUMMYFUNCTION("""COMPUTED_VALUE"""),1038.904)</f>
        <v>1038.904</v>
      </c>
      <c r="BP189" s="71">
        <f>IFERROR(__xludf.DUMMYFUNCTION("""COMPUTED_VALUE"""),7532.054)</f>
        <v>7532.054</v>
      </c>
      <c r="BQ189" s="71">
        <f>IFERROR(__xludf.DUMMYFUNCTION("""COMPUTED_VALUE"""),6340.37)</f>
        <v>6340.37</v>
      </c>
      <c r="BR189" s="71">
        <f>IFERROR(__xludf.DUMMYFUNCTION("""COMPUTED_VALUE"""),1014.4592)</f>
        <v>1014.4592</v>
      </c>
      <c r="BS189" s="71">
        <f>IFERROR(__xludf.DUMMYFUNCTION("""COMPUTED_VALUE"""),7354.8292)</f>
        <v>7354.8292</v>
      </c>
      <c r="BT189" s="71">
        <f>IFERROR(__xludf.DUMMYFUNCTION("""COMPUTED_VALUE"""),6111.200000000001)</f>
        <v>6111.2</v>
      </c>
      <c r="BU189" s="71">
        <f>IFERROR(__xludf.DUMMYFUNCTION("""COMPUTED_VALUE"""),977.7920000000001)</f>
        <v>977.792</v>
      </c>
      <c r="BV189" s="71">
        <f>IFERROR(__xludf.DUMMYFUNCTION("""COMPUTED_VALUE"""),7088.992000000001)</f>
        <v>7088.992</v>
      </c>
    </row>
    <row r="190">
      <c r="A190" s="53">
        <v>1.0</v>
      </c>
      <c r="B190" s="72"/>
      <c r="C190" s="73" t="s">
        <v>12</v>
      </c>
      <c r="D190" s="74" t="s">
        <v>481</v>
      </c>
      <c r="E190" s="54" t="s">
        <v>38</v>
      </c>
      <c r="F190" s="54" t="s">
        <v>42</v>
      </c>
      <c r="G190" s="88" t="s">
        <v>482</v>
      </c>
      <c r="H190" s="54" t="s">
        <v>482</v>
      </c>
      <c r="I190" s="54">
        <f t="shared" si="1"/>
        <v>30</v>
      </c>
      <c r="J190" s="56"/>
      <c r="K190" s="75"/>
      <c r="L190" s="76"/>
      <c r="M190" s="59"/>
      <c r="N190" s="60">
        <v>38.0</v>
      </c>
      <c r="O190" s="61">
        <v>45.0</v>
      </c>
      <c r="P190" s="62">
        <v>48.6</v>
      </c>
      <c r="Q190" s="63">
        <v>48.6</v>
      </c>
      <c r="R190" s="64">
        <v>55.0</v>
      </c>
      <c r="S190" s="111">
        <v>58.0</v>
      </c>
      <c r="T190" s="65">
        <f t="shared" si="2"/>
        <v>9.28</v>
      </c>
      <c r="U190" s="65">
        <f t="shared" si="3"/>
        <v>67.28</v>
      </c>
      <c r="V190" s="66">
        <f t="shared" si="4"/>
        <v>0.05454545455</v>
      </c>
      <c r="W190" s="67">
        <f t="shared" si="5"/>
        <v>55.1</v>
      </c>
      <c r="X190" s="67">
        <f t="shared" si="6"/>
        <v>8.816</v>
      </c>
      <c r="Y190" s="67">
        <f t="shared" si="7"/>
        <v>63.916</v>
      </c>
      <c r="Z190" s="67">
        <f t="shared" si="8"/>
        <v>52.2</v>
      </c>
      <c r="AA190" s="67">
        <f t="shared" si="9"/>
        <v>8.352</v>
      </c>
      <c r="AB190" s="67">
        <f t="shared" si="10"/>
        <v>60.552</v>
      </c>
      <c r="AC190" s="67">
        <f t="shared" si="11"/>
        <v>49.3</v>
      </c>
      <c r="AD190" s="67">
        <f t="shared" si="12"/>
        <v>7.888</v>
      </c>
      <c r="AE190" s="67">
        <f t="shared" si="13"/>
        <v>57.188</v>
      </c>
      <c r="AF190" s="67">
        <f t="shared" si="14"/>
        <v>48.14</v>
      </c>
      <c r="AG190" s="67">
        <f t="shared" si="15"/>
        <v>7.7024</v>
      </c>
      <c r="AH190" s="67">
        <f t="shared" si="16"/>
        <v>55.8424</v>
      </c>
      <c r="AI190" s="67">
        <f t="shared" si="17"/>
        <v>46.4</v>
      </c>
      <c r="AJ190" s="68">
        <f t="shared" si="20"/>
        <v>7.424</v>
      </c>
      <c r="AK190" s="68">
        <f t="shared" si="21"/>
        <v>53.824</v>
      </c>
      <c r="AL190" s="70">
        <f>IFERROR(__xludf.DUMMYFUNCTION("""COMPUTED_VALUE"""),1.0)</f>
        <v>1</v>
      </c>
      <c r="AM190" s="70"/>
      <c r="AN190" s="71" t="str">
        <f>IFERROR(__xludf.DUMMYFUNCTION("""COMPUTED_VALUE""")," P")</f>
        <v>P</v>
      </c>
      <c r="AO190" s="71" t="str">
        <f>IFERROR(__xludf.DUMMYFUNCTION("""COMPUTED_VALUE""")," BS93")</f>
        <v>BS93</v>
      </c>
      <c r="AP190" s="71" t="str">
        <f>IFERROR(__xludf.DUMMYFUNCTION("""COMPUTED_VALUE""")," PZA")</f>
        <v>PZA</v>
      </c>
      <c r="AQ190" s="71" t="str">
        <f>IFERROR(__xludf.DUMMYFUNCTION("""COMPUTED_VALUE""")," REF")</f>
        <v>REF</v>
      </c>
      <c r="AR190" s="71" t="str">
        <f>IFERROR(__xludf.DUMMYFUNCTION("""COMPUTED_VALUE""")," BASE SUPERIOR SENC., INOX. T-304-L")</f>
        <v>BASE SUPERIOR SENC., INOX. T-304-L</v>
      </c>
      <c r="AS190" s="71" t="str">
        <f>IFERROR(__xludf.DUMMYFUNCTION("""COMPUTED_VALUE""")," BASE SUPERIOR SENC INOX")</f>
        <v>BASE SUPERIOR SENC INOX</v>
      </c>
      <c r="AT190" s="71">
        <f>IFERROR(__xludf.DUMMYFUNCTION("""COMPUTED_VALUE"""),23.0)</f>
        <v>23</v>
      </c>
      <c r="AU190" s="71"/>
      <c r="AV190" s="71"/>
      <c r="AW190" s="71"/>
      <c r="AX190" s="71"/>
      <c r="AY190" s="71">
        <f>IFERROR(__xludf.DUMMYFUNCTION("""COMPUTED_VALUE"""),5557.0)</f>
        <v>5557</v>
      </c>
      <c r="AZ190" s="71">
        <f>IFERROR(__xludf.DUMMYFUNCTION("""COMPUTED_VALUE"""),6001.0)</f>
        <v>6001</v>
      </c>
      <c r="BA190" s="71">
        <f>IFERROR(__xludf.DUMMYFUNCTION("""COMPUTED_VALUE"""),6481.080000000001)</f>
        <v>6481.08</v>
      </c>
      <c r="BB190" s="71">
        <f>IFERROR(__xludf.DUMMYFUNCTION("""COMPUTED_VALUE"""),6481.080000000001)</f>
        <v>6481.08</v>
      </c>
      <c r="BC190" s="71">
        <f>IFERROR(__xludf.DUMMYFUNCTION("""COMPUTED_VALUE"""),7214.0)</f>
        <v>7214</v>
      </c>
      <c r="BD190" s="71">
        <f>IFERROR(__xludf.DUMMYFUNCTION("""COMPUTED_VALUE"""),7575.0)</f>
        <v>7575</v>
      </c>
      <c r="BE190" s="71">
        <f>IFERROR(__xludf.DUMMYFUNCTION("""COMPUTED_VALUE"""),1212.0)</f>
        <v>1212</v>
      </c>
      <c r="BF190" s="71">
        <f>IFERROR(__xludf.DUMMYFUNCTION("""COMPUTED_VALUE"""),8787.0)</f>
        <v>8787</v>
      </c>
      <c r="BG190" s="71">
        <f>IFERROR(__xludf.DUMMYFUNCTION("""COMPUTED_VALUE"""),0.05004158580537843)</f>
        <v>0.05004158581</v>
      </c>
      <c r="BH190" s="71">
        <f>IFERROR(__xludf.DUMMYFUNCTION("""COMPUTED_VALUE"""),7196.25)</f>
        <v>7196.25</v>
      </c>
      <c r="BI190" s="71">
        <f>IFERROR(__xludf.DUMMYFUNCTION("""COMPUTED_VALUE"""),1151.4)</f>
        <v>1151.4</v>
      </c>
      <c r="BJ190" s="71">
        <f>IFERROR(__xludf.DUMMYFUNCTION("""COMPUTED_VALUE"""),8347.65)</f>
        <v>8347.65</v>
      </c>
      <c r="BK190" s="71">
        <f>IFERROR(__xludf.DUMMYFUNCTION("""COMPUTED_VALUE"""),6817.5)</f>
        <v>6817.5</v>
      </c>
      <c r="BL190" s="71">
        <f>IFERROR(__xludf.DUMMYFUNCTION("""COMPUTED_VALUE"""),1090.8)</f>
        <v>1090.8</v>
      </c>
      <c r="BM190" s="71">
        <f>IFERROR(__xludf.DUMMYFUNCTION("""COMPUTED_VALUE"""),7908.3)</f>
        <v>7908.3</v>
      </c>
      <c r="BN190" s="71">
        <f>IFERROR(__xludf.DUMMYFUNCTION("""COMPUTED_VALUE"""),6438.75)</f>
        <v>6438.75</v>
      </c>
      <c r="BO190" s="71">
        <f>IFERROR(__xludf.DUMMYFUNCTION("""COMPUTED_VALUE"""),1030.2)</f>
        <v>1030.2</v>
      </c>
      <c r="BP190" s="71">
        <f>IFERROR(__xludf.DUMMYFUNCTION("""COMPUTED_VALUE"""),7468.95)</f>
        <v>7468.95</v>
      </c>
      <c r="BQ190" s="71">
        <f>IFERROR(__xludf.DUMMYFUNCTION("""COMPUTED_VALUE"""),6287.25)</f>
        <v>6287.25</v>
      </c>
      <c r="BR190" s="71">
        <f>IFERROR(__xludf.DUMMYFUNCTION("""COMPUTED_VALUE"""),1005.96)</f>
        <v>1005.96</v>
      </c>
      <c r="BS190" s="71">
        <f>IFERROR(__xludf.DUMMYFUNCTION("""COMPUTED_VALUE"""),7293.21)</f>
        <v>7293.21</v>
      </c>
      <c r="BT190" s="71">
        <f>IFERROR(__xludf.DUMMYFUNCTION("""COMPUTED_VALUE"""),6060.0)</f>
        <v>6060</v>
      </c>
      <c r="BU190" s="71">
        <f>IFERROR(__xludf.DUMMYFUNCTION("""COMPUTED_VALUE"""),969.6)</f>
        <v>969.6</v>
      </c>
      <c r="BV190" s="71">
        <f>IFERROR(__xludf.DUMMYFUNCTION("""COMPUTED_VALUE"""),7029.6)</f>
        <v>7029.6</v>
      </c>
    </row>
    <row r="191">
      <c r="A191" s="53">
        <v>1.0</v>
      </c>
      <c r="B191" s="72"/>
      <c r="C191" s="73" t="s">
        <v>12</v>
      </c>
      <c r="D191" s="74" t="s">
        <v>483</v>
      </c>
      <c r="E191" s="54" t="s">
        <v>38</v>
      </c>
      <c r="F191" s="54" t="s">
        <v>42</v>
      </c>
      <c r="G191" s="88" t="s">
        <v>484</v>
      </c>
      <c r="H191" s="54" t="s">
        <v>484</v>
      </c>
      <c r="I191" s="54">
        <f t="shared" si="1"/>
        <v>26</v>
      </c>
      <c r="J191" s="56"/>
      <c r="K191" s="75"/>
      <c r="L191" s="76"/>
      <c r="M191" s="59"/>
      <c r="N191" s="60">
        <v>95.0</v>
      </c>
      <c r="O191" s="61">
        <v>102.0</v>
      </c>
      <c r="P191" s="62">
        <v>110.16000000000001</v>
      </c>
      <c r="Q191" s="63">
        <v>110.16000000000001</v>
      </c>
      <c r="R191" s="64">
        <v>123.0</v>
      </c>
      <c r="S191" s="111">
        <v>129.0</v>
      </c>
      <c r="T191" s="65">
        <f t="shared" si="2"/>
        <v>20.64</v>
      </c>
      <c r="U191" s="65">
        <f t="shared" si="3"/>
        <v>149.64</v>
      </c>
      <c r="V191" s="66">
        <f t="shared" si="4"/>
        <v>0.0487804878</v>
      </c>
      <c r="W191" s="67">
        <f t="shared" si="5"/>
        <v>122.55</v>
      </c>
      <c r="X191" s="67">
        <f t="shared" si="6"/>
        <v>19.608</v>
      </c>
      <c r="Y191" s="67">
        <f t="shared" si="7"/>
        <v>142.158</v>
      </c>
      <c r="Z191" s="67">
        <f t="shared" si="8"/>
        <v>116.1</v>
      </c>
      <c r="AA191" s="67">
        <f t="shared" si="9"/>
        <v>18.576</v>
      </c>
      <c r="AB191" s="67">
        <f t="shared" si="10"/>
        <v>134.676</v>
      </c>
      <c r="AC191" s="67">
        <f t="shared" si="11"/>
        <v>109.65</v>
      </c>
      <c r="AD191" s="67">
        <f t="shared" si="12"/>
        <v>17.544</v>
      </c>
      <c r="AE191" s="67">
        <f t="shared" si="13"/>
        <v>127.194</v>
      </c>
      <c r="AF191" s="67">
        <f t="shared" si="14"/>
        <v>107.07</v>
      </c>
      <c r="AG191" s="67">
        <f t="shared" si="15"/>
        <v>17.1312</v>
      </c>
      <c r="AH191" s="67">
        <f t="shared" si="16"/>
        <v>124.2012</v>
      </c>
      <c r="AI191" s="67">
        <f t="shared" si="17"/>
        <v>103.2</v>
      </c>
      <c r="AJ191" s="68">
        <f t="shared" si="20"/>
        <v>16.512</v>
      </c>
      <c r="AK191" s="68">
        <f t="shared" si="21"/>
        <v>119.712</v>
      </c>
      <c r="AL191" s="70">
        <f>IFERROR(__xludf.DUMMYFUNCTION("""COMPUTED_VALUE"""),1.0)</f>
        <v>1</v>
      </c>
      <c r="AM191" s="70"/>
      <c r="AN191" s="71" t="str">
        <f>IFERROR(__xludf.DUMMYFUNCTION("""COMPUTED_VALUE""")," P")</f>
        <v>P</v>
      </c>
      <c r="AO191" s="71" t="str">
        <f>IFERROR(__xludf.DUMMYFUNCTION("""COMPUTED_VALUE""")," BS13")</f>
        <v>BS13</v>
      </c>
      <c r="AP191" s="71" t="str">
        <f>IFERROR(__xludf.DUMMYFUNCTION("""COMPUTED_VALUE""")," PZA")</f>
        <v>PZA</v>
      </c>
      <c r="AQ191" s="71" t="str">
        <f>IFERROR(__xludf.DUMMYFUNCTION("""COMPUTED_VALUE""")," REF")</f>
        <v>REF</v>
      </c>
      <c r="AR191" s="71" t="str">
        <f>IFERROR(__xludf.DUMMYFUNCTION("""COMPUTED_VALUE""")," BASE SUPERIOR SENCILLA DE ALUMINIO CON OREJAS")</f>
        <v>BASE SUPERIOR SENCILLA DE ALUMINIO CON OREJAS</v>
      </c>
      <c r="AS191" s="71" t="str">
        <f>IFERROR(__xludf.DUMMYFUNCTION("""COMPUTED_VALUE""")," BASE SUPERIOR SENC ALUMINIO C/OREJAS")</f>
        <v>BASE SUPERIOR SENC ALUMINIO C/OREJAS</v>
      </c>
      <c r="AT191" s="71">
        <f>IFERROR(__xludf.DUMMYFUNCTION("""COMPUTED_VALUE"""),36.0)</f>
        <v>36</v>
      </c>
      <c r="AU191" s="71"/>
      <c r="AV191" s="71"/>
      <c r="AW191" s="71"/>
      <c r="AX191" s="71"/>
      <c r="AY191" s="71">
        <f>IFERROR(__xludf.DUMMYFUNCTION("""COMPUTED_VALUE"""),3973.0)</f>
        <v>3973</v>
      </c>
      <c r="AZ191" s="71">
        <f>IFERROR(__xludf.DUMMYFUNCTION("""COMPUTED_VALUE"""),4290.0)</f>
        <v>4290</v>
      </c>
      <c r="BA191" s="71">
        <f>IFERROR(__xludf.DUMMYFUNCTION("""COMPUTED_VALUE"""),4633.200000000001)</f>
        <v>4633.2</v>
      </c>
      <c r="BB191" s="71">
        <f>IFERROR(__xludf.DUMMYFUNCTION("""COMPUTED_VALUE"""),4633.200000000001)</f>
        <v>4633.2</v>
      </c>
      <c r="BC191" s="71">
        <f>IFERROR(__xludf.DUMMYFUNCTION("""COMPUTED_VALUE"""),5109.0)</f>
        <v>5109</v>
      </c>
      <c r="BD191" s="71">
        <f>IFERROR(__xludf.DUMMYFUNCTION("""COMPUTED_VALUE"""),5364.0)</f>
        <v>5364</v>
      </c>
      <c r="BE191" s="71">
        <f>IFERROR(__xludf.DUMMYFUNCTION("""COMPUTED_VALUE"""),858.24)</f>
        <v>858.24</v>
      </c>
      <c r="BF191" s="71">
        <f>IFERROR(__xludf.DUMMYFUNCTION("""COMPUTED_VALUE"""),6222.24)</f>
        <v>6222.24</v>
      </c>
      <c r="BG191" s="71">
        <f>IFERROR(__xludf.DUMMYFUNCTION("""COMPUTED_VALUE"""),0.049911920140927775)</f>
        <v>0.04991192014</v>
      </c>
      <c r="BH191" s="71">
        <f>IFERROR(__xludf.DUMMYFUNCTION("""COMPUTED_VALUE"""),5095.8)</f>
        <v>5095.8</v>
      </c>
      <c r="BI191" s="71">
        <f>IFERROR(__xludf.DUMMYFUNCTION("""COMPUTED_VALUE"""),815.3280000000001)</f>
        <v>815.328</v>
      </c>
      <c r="BJ191" s="71">
        <f>IFERROR(__xludf.DUMMYFUNCTION("""COMPUTED_VALUE"""),5911.128000000001)</f>
        <v>5911.128</v>
      </c>
      <c r="BK191" s="71">
        <f>IFERROR(__xludf.DUMMYFUNCTION("""COMPUTED_VALUE"""),4827.6)</f>
        <v>4827.6</v>
      </c>
      <c r="BL191" s="71">
        <f>IFERROR(__xludf.DUMMYFUNCTION("""COMPUTED_VALUE"""),772.416)</f>
        <v>772.416</v>
      </c>
      <c r="BM191" s="71">
        <f>IFERROR(__xludf.DUMMYFUNCTION("""COMPUTED_VALUE"""),5600.0160000000005)</f>
        <v>5600.016</v>
      </c>
      <c r="BN191" s="71">
        <f>IFERROR(__xludf.DUMMYFUNCTION("""COMPUTED_VALUE"""),4559.4)</f>
        <v>4559.4</v>
      </c>
      <c r="BO191" s="71">
        <f>IFERROR(__xludf.DUMMYFUNCTION("""COMPUTED_VALUE"""),729.5039999999999)</f>
        <v>729.504</v>
      </c>
      <c r="BP191" s="71">
        <f>IFERROR(__xludf.DUMMYFUNCTION("""COMPUTED_VALUE"""),5288.9039999999995)</f>
        <v>5288.904</v>
      </c>
      <c r="BQ191" s="71">
        <f>IFERROR(__xludf.DUMMYFUNCTION("""COMPUTED_VALUE"""),4452.12)</f>
        <v>4452.12</v>
      </c>
      <c r="BR191" s="71">
        <f>IFERROR(__xludf.DUMMYFUNCTION("""COMPUTED_VALUE"""),712.3392)</f>
        <v>712.3392</v>
      </c>
      <c r="BS191" s="71">
        <f>IFERROR(__xludf.DUMMYFUNCTION("""COMPUTED_VALUE"""),5164.4592)</f>
        <v>5164.4592</v>
      </c>
      <c r="BT191" s="71">
        <f>IFERROR(__xludf.DUMMYFUNCTION("""COMPUTED_VALUE"""),4291.2)</f>
        <v>4291.2</v>
      </c>
      <c r="BU191" s="71">
        <f>IFERROR(__xludf.DUMMYFUNCTION("""COMPUTED_VALUE"""),686.592)</f>
        <v>686.592</v>
      </c>
      <c r="BV191" s="71">
        <f>IFERROR(__xludf.DUMMYFUNCTION("""COMPUTED_VALUE"""),4977.7919999999995)</f>
        <v>4977.792</v>
      </c>
    </row>
    <row r="192">
      <c r="A192" s="53">
        <v>1.0</v>
      </c>
      <c r="B192" s="72"/>
      <c r="C192" s="73" t="s">
        <v>12</v>
      </c>
      <c r="D192" s="74" t="s">
        <v>485</v>
      </c>
      <c r="E192" s="54" t="s">
        <v>38</v>
      </c>
      <c r="F192" s="54" t="s">
        <v>42</v>
      </c>
      <c r="G192" s="88" t="s">
        <v>486</v>
      </c>
      <c r="H192" s="54" t="s">
        <v>486</v>
      </c>
      <c r="I192" s="54">
        <f t="shared" si="1"/>
        <v>30</v>
      </c>
      <c r="J192" s="56"/>
      <c r="K192" s="75"/>
      <c r="L192" s="76"/>
      <c r="M192" s="59"/>
      <c r="N192" s="60">
        <v>40.0</v>
      </c>
      <c r="O192" s="61">
        <v>45.0</v>
      </c>
      <c r="P192" s="62">
        <v>48.6</v>
      </c>
      <c r="Q192" s="63">
        <v>48.6</v>
      </c>
      <c r="R192" s="64">
        <v>55.0</v>
      </c>
      <c r="S192" s="111">
        <v>58.0</v>
      </c>
      <c r="T192" s="65">
        <f t="shared" si="2"/>
        <v>9.28</v>
      </c>
      <c r="U192" s="65">
        <f t="shared" si="3"/>
        <v>67.28</v>
      </c>
      <c r="V192" s="66">
        <f t="shared" si="4"/>
        <v>0.05454545455</v>
      </c>
      <c r="W192" s="67">
        <f t="shared" si="5"/>
        <v>55.1</v>
      </c>
      <c r="X192" s="67">
        <f t="shared" si="6"/>
        <v>8.816</v>
      </c>
      <c r="Y192" s="67">
        <f t="shared" si="7"/>
        <v>63.916</v>
      </c>
      <c r="Z192" s="67">
        <f t="shared" si="8"/>
        <v>52.2</v>
      </c>
      <c r="AA192" s="67">
        <f t="shared" si="9"/>
        <v>8.352</v>
      </c>
      <c r="AB192" s="67">
        <f t="shared" si="10"/>
        <v>60.552</v>
      </c>
      <c r="AC192" s="67">
        <f t="shared" si="11"/>
        <v>49.3</v>
      </c>
      <c r="AD192" s="67">
        <f t="shared" si="12"/>
        <v>7.888</v>
      </c>
      <c r="AE192" s="67">
        <f t="shared" si="13"/>
        <v>57.188</v>
      </c>
      <c r="AF192" s="67">
        <f t="shared" si="14"/>
        <v>48.14</v>
      </c>
      <c r="AG192" s="67">
        <f t="shared" si="15"/>
        <v>7.7024</v>
      </c>
      <c r="AH192" s="67">
        <f t="shared" si="16"/>
        <v>55.8424</v>
      </c>
      <c r="AI192" s="67">
        <f t="shared" si="17"/>
        <v>46.4</v>
      </c>
      <c r="AJ192" s="68">
        <f t="shared" si="20"/>
        <v>7.424</v>
      </c>
      <c r="AK192" s="68">
        <f t="shared" si="21"/>
        <v>53.824</v>
      </c>
      <c r="AL192" s="70">
        <f>IFERROR(__xludf.DUMMYFUNCTION("""COMPUTED_VALUE"""),1.0)</f>
        <v>1</v>
      </c>
      <c r="AM192" s="70"/>
      <c r="AN192" s="71" t="str">
        <f>IFERROR(__xludf.DUMMYFUNCTION("""COMPUTED_VALUE""")," P")</f>
        <v>P</v>
      </c>
      <c r="AO192" s="71" t="str">
        <f>IFERROR(__xludf.DUMMYFUNCTION("""COMPUTED_VALUE""")," BS100")</f>
        <v>BS100</v>
      </c>
      <c r="AP192" s="71" t="str">
        <f>IFERROR(__xludf.DUMMYFUNCTION("""COMPUTED_VALUE""")," PZA")</f>
        <v>PZA</v>
      </c>
      <c r="AQ192" s="71" t="str">
        <f>IFERROR(__xludf.DUMMYFUNCTION("""COMPUTED_VALUE""")," REF")</f>
        <v>REF</v>
      </c>
      <c r="AR192" s="71" t="str">
        <f>IFERROR(__xludf.DUMMYFUNCTION("""COMPUTED_VALUE""")," BASE SUPERIOR, TOLVA ROLADA, TUBO DE RECIRCULACIÓN, CÁMARA DE PRESIÓN INOX. T-304-L GRADO ALIMENTICIO")</f>
        <v>BASE SUPERIOR, TOLVA ROLADA, TUBO DE RECIRCULACIÓN, CÁMARA DE PRESIÓN INOX. T-304-L GRADO ALIMENTICIO</v>
      </c>
      <c r="AS192" s="71" t="str">
        <f>IFERROR(__xludf.DUMMYFUNCTION("""COMPUTED_VALUE""")," BASE SUP TOLV ROL TUB RECIR CAMPRES INOX")</f>
        <v>BASE SUP TOLV ROL TUB RECIR CAMPRES INOX</v>
      </c>
      <c r="AT192" s="71">
        <f>IFERROR(__xludf.DUMMYFUNCTION("""COMPUTED_VALUE"""),40.0)</f>
        <v>40</v>
      </c>
      <c r="AU192" s="71"/>
      <c r="AV192" s="71"/>
      <c r="AW192" s="71"/>
      <c r="AX192" s="71"/>
      <c r="AY192" s="71">
        <f>IFERROR(__xludf.DUMMYFUNCTION("""COMPUTED_VALUE"""),26659.5)</f>
        <v>26659.5</v>
      </c>
      <c r="AZ192" s="71">
        <f>IFERROR(__xludf.DUMMYFUNCTION("""COMPUTED_VALUE"""),28792.0)</f>
        <v>28792</v>
      </c>
      <c r="BA192" s="71">
        <f>IFERROR(__xludf.DUMMYFUNCTION("""COMPUTED_VALUE"""),31095.36)</f>
        <v>31095.36</v>
      </c>
      <c r="BB192" s="71">
        <f>IFERROR(__xludf.DUMMYFUNCTION("""COMPUTED_VALUE"""),31095.36)</f>
        <v>31095.36</v>
      </c>
      <c r="BC192" s="71">
        <f>IFERROR(__xludf.DUMMYFUNCTION("""COMPUTED_VALUE"""),32650.0)</f>
        <v>32650</v>
      </c>
      <c r="BD192" s="71">
        <f>IFERROR(__xludf.DUMMYFUNCTION("""COMPUTED_VALUE"""),34283.0)</f>
        <v>34283</v>
      </c>
      <c r="BE192" s="71">
        <f>IFERROR(__xludf.DUMMYFUNCTION("""COMPUTED_VALUE"""),5485.28)</f>
        <v>5485.28</v>
      </c>
      <c r="BF192" s="71">
        <f>IFERROR(__xludf.DUMMYFUNCTION("""COMPUTED_VALUE"""),39768.28)</f>
        <v>39768.28</v>
      </c>
      <c r="BG192" s="71">
        <f>IFERROR(__xludf.DUMMYFUNCTION("""COMPUTED_VALUE"""),0.05001531393568147)</f>
        <v>0.05001531394</v>
      </c>
      <c r="BH192" s="71">
        <f>IFERROR(__xludf.DUMMYFUNCTION("""COMPUTED_VALUE"""),32568.85)</f>
        <v>32568.85</v>
      </c>
      <c r="BI192" s="71">
        <f>IFERROR(__xludf.DUMMYFUNCTION("""COMPUTED_VALUE"""),5211.016)</f>
        <v>5211.016</v>
      </c>
      <c r="BJ192" s="71">
        <f>IFERROR(__xludf.DUMMYFUNCTION("""COMPUTED_VALUE"""),37779.865999999995)</f>
        <v>37779.866</v>
      </c>
      <c r="BK192" s="71">
        <f>IFERROR(__xludf.DUMMYFUNCTION("""COMPUTED_VALUE"""),30854.7)</f>
        <v>30854.7</v>
      </c>
      <c r="BL192" s="71">
        <f>IFERROR(__xludf.DUMMYFUNCTION("""COMPUTED_VALUE"""),4936.752)</f>
        <v>4936.752</v>
      </c>
      <c r="BM192" s="71">
        <f>IFERROR(__xludf.DUMMYFUNCTION("""COMPUTED_VALUE"""),35791.452000000005)</f>
        <v>35791.452</v>
      </c>
      <c r="BN192" s="71">
        <f>IFERROR(__xludf.DUMMYFUNCTION("""COMPUTED_VALUE"""),29140.55)</f>
        <v>29140.55</v>
      </c>
      <c r="BO192" s="71">
        <f>IFERROR(__xludf.DUMMYFUNCTION("""COMPUTED_VALUE"""),4662.488)</f>
        <v>4662.488</v>
      </c>
      <c r="BP192" s="71">
        <f>IFERROR(__xludf.DUMMYFUNCTION("""COMPUTED_VALUE"""),33803.038)</f>
        <v>33803.038</v>
      </c>
      <c r="BQ192" s="71">
        <f>IFERROR(__xludf.DUMMYFUNCTION("""COMPUTED_VALUE"""),28454.89)</f>
        <v>28454.89</v>
      </c>
      <c r="BR192" s="71">
        <f>IFERROR(__xludf.DUMMYFUNCTION("""COMPUTED_VALUE"""),4552.7824)</f>
        <v>4552.7824</v>
      </c>
      <c r="BS192" s="71">
        <f>IFERROR(__xludf.DUMMYFUNCTION("""COMPUTED_VALUE"""),33007.672399999996)</f>
        <v>33007.6724</v>
      </c>
      <c r="BT192" s="71">
        <f>IFERROR(__xludf.DUMMYFUNCTION("""COMPUTED_VALUE"""),27426.4)</f>
        <v>27426.4</v>
      </c>
      <c r="BU192" s="71">
        <f>IFERROR(__xludf.DUMMYFUNCTION("""COMPUTED_VALUE"""),4388.224)</f>
        <v>4388.224</v>
      </c>
      <c r="BV192" s="71">
        <f>IFERROR(__xludf.DUMMYFUNCTION("""COMPUTED_VALUE"""),31814.624000000003)</f>
        <v>31814.624</v>
      </c>
    </row>
    <row r="193">
      <c r="A193" s="53">
        <v>1.0</v>
      </c>
      <c r="B193" s="72"/>
      <c r="C193" s="73" t="s">
        <v>12</v>
      </c>
      <c r="D193" s="74" t="s">
        <v>487</v>
      </c>
      <c r="E193" s="54" t="s">
        <v>38</v>
      </c>
      <c r="F193" s="54" t="s">
        <v>42</v>
      </c>
      <c r="G193" s="88" t="s">
        <v>488</v>
      </c>
      <c r="H193" s="54" t="s">
        <v>488</v>
      </c>
      <c r="I193" s="54">
        <f t="shared" si="1"/>
        <v>26</v>
      </c>
      <c r="J193" s="56"/>
      <c r="K193" s="75"/>
      <c r="L193" s="76"/>
      <c r="M193" s="59"/>
      <c r="N193" s="60">
        <v>98.0</v>
      </c>
      <c r="O193" s="61">
        <v>105.0</v>
      </c>
      <c r="P193" s="62">
        <v>113.4</v>
      </c>
      <c r="Q193" s="63">
        <v>113.4</v>
      </c>
      <c r="R193" s="64">
        <v>128.0</v>
      </c>
      <c r="S193" s="111">
        <v>134.0</v>
      </c>
      <c r="T193" s="65">
        <f t="shared" si="2"/>
        <v>21.44</v>
      </c>
      <c r="U193" s="65">
        <f t="shared" si="3"/>
        <v>155.44</v>
      </c>
      <c r="V193" s="66">
        <f t="shared" si="4"/>
        <v>0.046875</v>
      </c>
      <c r="W193" s="67">
        <f t="shared" si="5"/>
        <v>127.3</v>
      </c>
      <c r="X193" s="67">
        <f t="shared" si="6"/>
        <v>20.368</v>
      </c>
      <c r="Y193" s="67">
        <f t="shared" si="7"/>
        <v>147.668</v>
      </c>
      <c r="Z193" s="67">
        <f t="shared" si="8"/>
        <v>120.6</v>
      </c>
      <c r="AA193" s="67">
        <f t="shared" si="9"/>
        <v>19.296</v>
      </c>
      <c r="AB193" s="67">
        <f t="shared" si="10"/>
        <v>139.896</v>
      </c>
      <c r="AC193" s="67">
        <f t="shared" si="11"/>
        <v>113.9</v>
      </c>
      <c r="AD193" s="67">
        <f t="shared" si="12"/>
        <v>18.224</v>
      </c>
      <c r="AE193" s="67">
        <f t="shared" si="13"/>
        <v>132.124</v>
      </c>
      <c r="AF193" s="67">
        <f t="shared" si="14"/>
        <v>111.22</v>
      </c>
      <c r="AG193" s="67">
        <f t="shared" si="15"/>
        <v>17.7952</v>
      </c>
      <c r="AH193" s="67">
        <f t="shared" si="16"/>
        <v>129.0152</v>
      </c>
      <c r="AI193" s="67">
        <f t="shared" si="17"/>
        <v>107.2</v>
      </c>
      <c r="AJ193" s="68">
        <f t="shared" si="20"/>
        <v>17.152</v>
      </c>
      <c r="AK193" s="68">
        <f t="shared" si="21"/>
        <v>124.352</v>
      </c>
      <c r="AL193" s="70">
        <f>IFERROR(__xludf.DUMMYFUNCTION("""COMPUTED_VALUE"""),1.0)</f>
        <v>1</v>
      </c>
      <c r="AM193" s="70"/>
      <c r="AN193" s="71" t="str">
        <f>IFERROR(__xludf.DUMMYFUNCTION("""COMPUTED_VALUE""")," P")</f>
        <v>P</v>
      </c>
      <c r="AO193" s="71" t="str">
        <f>IFERROR(__xludf.DUMMYFUNCTION("""COMPUTED_VALUE""")," BS98")</f>
        <v>BS98</v>
      </c>
      <c r="AP193" s="71" t="str">
        <f>IFERROR(__xludf.DUMMYFUNCTION("""COMPUTED_VALUE""")," PZA")</f>
        <v>PZA</v>
      </c>
      <c r="AQ193" s="71" t="str">
        <f>IFERROR(__xludf.DUMMYFUNCTION("""COMPUTED_VALUE""")," REF")</f>
        <v>REF</v>
      </c>
      <c r="AR193" s="71" t="str">
        <f>IFERROR(__xludf.DUMMYFUNCTION("""COMPUTED_VALUE""")," BASE SUPERIOR, TOLVA ROLADA, TUBO DE RECIRCULACIÓN, CÁMARA DE PRESIÓN Y SINFÍN EN ACERO INOX. T-304-L GRADO ALIMENTICIO")</f>
        <v>BASE SUPERIOR, TOLVA ROLADA, TUBO DE RECIRCULACIÓN, CÁMARA DE PRESIÓN Y SINFÍN EN ACERO INOX. T-304-L GRADO ALIMENTICIO</v>
      </c>
      <c r="AS193" s="71" t="str">
        <f>IFERROR(__xludf.DUMMYFUNCTION("""COMPUTED_VALUE""")," BASE SUP TOLVRL TUBRECI CAMPRE SNFN INOX")</f>
        <v>BASE SUP TOLVRL TUBRECI CAMPRE SNFN INOX</v>
      </c>
      <c r="AT193" s="71">
        <f>IFERROR(__xludf.DUMMYFUNCTION("""COMPUTED_VALUE"""),40.0)</f>
        <v>40</v>
      </c>
      <c r="AU193" s="71"/>
      <c r="AV193" s="71"/>
      <c r="AW193" s="71"/>
      <c r="AX193" s="71"/>
      <c r="AY193" s="71">
        <f>IFERROR(__xludf.DUMMYFUNCTION("""COMPUTED_VALUE"""),35790.0)</f>
        <v>35790</v>
      </c>
      <c r="AZ193" s="71">
        <f>IFERROR(__xludf.DUMMYFUNCTION("""COMPUTED_VALUE"""),38653.0)</f>
        <v>38653</v>
      </c>
      <c r="BA193" s="71">
        <f>IFERROR(__xludf.DUMMYFUNCTION("""COMPUTED_VALUE"""),41745.240000000005)</f>
        <v>41745.24</v>
      </c>
      <c r="BB193" s="71">
        <f>IFERROR(__xludf.DUMMYFUNCTION("""COMPUTED_VALUE"""),41745.240000000005)</f>
        <v>41745.24</v>
      </c>
      <c r="BC193" s="71">
        <f>IFERROR(__xludf.DUMMYFUNCTION("""COMPUTED_VALUE"""),46463.0)</f>
        <v>46463</v>
      </c>
      <c r="BD193" s="71">
        <f>IFERROR(__xludf.DUMMYFUNCTION("""COMPUTED_VALUE"""),48786.0)</f>
        <v>48786</v>
      </c>
      <c r="BE193" s="71">
        <f>IFERROR(__xludf.DUMMYFUNCTION("""COMPUTED_VALUE"""),7805.76)</f>
        <v>7805.76</v>
      </c>
      <c r="BF193" s="71">
        <f>IFERROR(__xludf.DUMMYFUNCTION("""COMPUTED_VALUE"""),56591.76)</f>
        <v>56591.76</v>
      </c>
      <c r="BG193" s="71">
        <f>IFERROR(__xludf.DUMMYFUNCTION("""COMPUTED_VALUE"""),0.049996771624733656)</f>
        <v>0.04999677162</v>
      </c>
      <c r="BH193" s="71">
        <f>IFERROR(__xludf.DUMMYFUNCTION("""COMPUTED_VALUE"""),46346.7)</f>
        <v>46346.7</v>
      </c>
      <c r="BI193" s="71">
        <f>IFERROR(__xludf.DUMMYFUNCTION("""COMPUTED_VALUE"""),7415.472)</f>
        <v>7415.472</v>
      </c>
      <c r="BJ193" s="71">
        <f>IFERROR(__xludf.DUMMYFUNCTION("""COMPUTED_VALUE"""),53762.172)</f>
        <v>53762.172</v>
      </c>
      <c r="BK193" s="71">
        <f>IFERROR(__xludf.DUMMYFUNCTION("""COMPUTED_VALUE"""),43907.4)</f>
        <v>43907.4</v>
      </c>
      <c r="BL193" s="71">
        <f>IFERROR(__xludf.DUMMYFUNCTION("""COMPUTED_VALUE"""),7025.184)</f>
        <v>7025.184</v>
      </c>
      <c r="BM193" s="71">
        <f>IFERROR(__xludf.DUMMYFUNCTION("""COMPUTED_VALUE"""),50932.584)</f>
        <v>50932.584</v>
      </c>
      <c r="BN193" s="71">
        <f>IFERROR(__xludf.DUMMYFUNCTION("""COMPUTED_VALUE"""),41468.1)</f>
        <v>41468.1</v>
      </c>
      <c r="BO193" s="71">
        <f>IFERROR(__xludf.DUMMYFUNCTION("""COMPUTED_VALUE"""),6634.896)</f>
        <v>6634.896</v>
      </c>
      <c r="BP193" s="71">
        <f>IFERROR(__xludf.DUMMYFUNCTION("""COMPUTED_VALUE"""),48102.996)</f>
        <v>48102.996</v>
      </c>
      <c r="BQ193" s="71">
        <f>IFERROR(__xludf.DUMMYFUNCTION("""COMPUTED_VALUE"""),40492.38)</f>
        <v>40492.38</v>
      </c>
      <c r="BR193" s="71">
        <f>IFERROR(__xludf.DUMMYFUNCTION("""COMPUTED_VALUE"""),6478.7807999999995)</f>
        <v>6478.7808</v>
      </c>
      <c r="BS193" s="71">
        <f>IFERROR(__xludf.DUMMYFUNCTION("""COMPUTED_VALUE"""),46971.1608)</f>
        <v>46971.1608</v>
      </c>
      <c r="BT193" s="71">
        <f>IFERROR(__xludf.DUMMYFUNCTION("""COMPUTED_VALUE"""),39028.8)</f>
        <v>39028.8</v>
      </c>
      <c r="BU193" s="71">
        <f>IFERROR(__xludf.DUMMYFUNCTION("""COMPUTED_VALUE"""),6244.608)</f>
        <v>6244.608</v>
      </c>
      <c r="BV193" s="71">
        <f>IFERROR(__xludf.DUMMYFUNCTION("""COMPUTED_VALUE"""),45273.408)</f>
        <v>45273.408</v>
      </c>
    </row>
    <row r="194">
      <c r="A194" s="53">
        <v>1.0</v>
      </c>
      <c r="B194" s="72"/>
      <c r="C194" s="73" t="s">
        <v>12</v>
      </c>
      <c r="D194" s="74" t="s">
        <v>489</v>
      </c>
      <c r="E194" s="54" t="s">
        <v>38</v>
      </c>
      <c r="F194" s="54" t="s">
        <v>42</v>
      </c>
      <c r="G194" s="88" t="s">
        <v>490</v>
      </c>
      <c r="H194" s="54" t="s">
        <v>490</v>
      </c>
      <c r="I194" s="54">
        <f t="shared" si="1"/>
        <v>30</v>
      </c>
      <c r="J194" s="56"/>
      <c r="K194" s="75"/>
      <c r="L194" s="76"/>
      <c r="M194" s="59"/>
      <c r="N194" s="60">
        <v>37.0</v>
      </c>
      <c r="O194" s="61">
        <v>50.0</v>
      </c>
      <c r="P194" s="62">
        <v>54.0</v>
      </c>
      <c r="Q194" s="63">
        <v>54.0</v>
      </c>
      <c r="R194" s="64">
        <v>61.0</v>
      </c>
      <c r="S194" s="111">
        <v>64.0</v>
      </c>
      <c r="T194" s="65">
        <f t="shared" si="2"/>
        <v>10.24</v>
      </c>
      <c r="U194" s="65">
        <f t="shared" si="3"/>
        <v>74.24</v>
      </c>
      <c r="V194" s="66">
        <f t="shared" si="4"/>
        <v>0.04918032787</v>
      </c>
      <c r="W194" s="67">
        <f t="shared" si="5"/>
        <v>60.8</v>
      </c>
      <c r="X194" s="67">
        <f t="shared" si="6"/>
        <v>9.728</v>
      </c>
      <c r="Y194" s="67">
        <f t="shared" si="7"/>
        <v>70.528</v>
      </c>
      <c r="Z194" s="67">
        <f t="shared" si="8"/>
        <v>57.6</v>
      </c>
      <c r="AA194" s="67">
        <f t="shared" si="9"/>
        <v>9.216</v>
      </c>
      <c r="AB194" s="67">
        <f t="shared" si="10"/>
        <v>66.816</v>
      </c>
      <c r="AC194" s="67">
        <f t="shared" si="11"/>
        <v>54.4</v>
      </c>
      <c r="AD194" s="67">
        <f t="shared" si="12"/>
        <v>8.704</v>
      </c>
      <c r="AE194" s="67">
        <f t="shared" si="13"/>
        <v>63.104</v>
      </c>
      <c r="AF194" s="67">
        <f t="shared" si="14"/>
        <v>53.12</v>
      </c>
      <c r="AG194" s="67">
        <f t="shared" si="15"/>
        <v>8.4992</v>
      </c>
      <c r="AH194" s="67">
        <f t="shared" si="16"/>
        <v>61.6192</v>
      </c>
      <c r="AI194" s="67">
        <f t="shared" si="17"/>
        <v>51.2</v>
      </c>
      <c r="AJ194" s="68">
        <f t="shared" si="20"/>
        <v>8.192</v>
      </c>
      <c r="AK194" s="68">
        <f t="shared" si="21"/>
        <v>59.392</v>
      </c>
      <c r="AL194" s="70">
        <f>IFERROR(__xludf.DUMMYFUNCTION("""COMPUTED_VALUE"""),1.0)</f>
        <v>1</v>
      </c>
      <c r="AM194" s="70"/>
      <c r="AN194" s="71" t="str">
        <f>IFERROR(__xludf.DUMMYFUNCTION("""COMPUTED_VALUE""")," P")</f>
        <v>P</v>
      </c>
      <c r="AO194" s="71" t="str">
        <f>IFERROR(__xludf.DUMMYFUNCTION("""COMPUTED_VALUE""")," BY01")</f>
        <v>BY01</v>
      </c>
      <c r="AP194" s="71" t="str">
        <f>IFERROR(__xludf.DUMMYFUNCTION("""COMPUTED_VALUE""")," PZA")</f>
        <v>PZA</v>
      </c>
      <c r="AQ194" s="71" t="str">
        <f>IFERROR(__xludf.DUMMYFUNCTION("""COMPUTED_VALUE""")," REF")</f>
        <v>REF</v>
      </c>
      <c r="AR194" s="71" t="str">
        <f>IFERROR(__xludf.DUMMYFUNCTION("""COMPUTED_VALUE""")," BAYONETA CHICA DÚPLEX (B.C.) ""TIPO J""")</f>
        <v>BAYONETA CHICA DÚPLEX (B.C.) "TIPO J"</v>
      </c>
      <c r="AS194" s="71" t="str">
        <f>IFERROR(__xludf.DUMMYFUNCTION("""COMPUTED_VALUE""")," BAYONETA CHICA DPLX BC TIPO J")</f>
        <v>BAYONETA CHICA DPLX BC TIPO J</v>
      </c>
      <c r="AT194" s="71">
        <f>IFERROR(__xludf.DUMMYFUNCTION("""COMPUTED_VALUE"""),29.0)</f>
        <v>29</v>
      </c>
      <c r="AU194" s="71"/>
      <c r="AV194" s="71"/>
      <c r="AW194" s="71"/>
      <c r="AX194" s="71"/>
      <c r="AY194" s="71">
        <f>IFERROR(__xludf.DUMMYFUNCTION("""COMPUTED_VALUE"""),85.0)</f>
        <v>85</v>
      </c>
      <c r="AZ194" s="71">
        <f>IFERROR(__xludf.DUMMYFUNCTION("""COMPUTED_VALUE"""),116.0)</f>
        <v>116</v>
      </c>
      <c r="BA194" s="71">
        <f>IFERROR(__xludf.DUMMYFUNCTION("""COMPUTED_VALUE"""),125.28)</f>
        <v>125.28</v>
      </c>
      <c r="BB194" s="71">
        <f>IFERROR(__xludf.DUMMYFUNCTION("""COMPUTED_VALUE"""),125.28)</f>
        <v>125.28</v>
      </c>
      <c r="BC194" s="71">
        <f>IFERROR(__xludf.DUMMYFUNCTION("""COMPUTED_VALUE"""),135.0)</f>
        <v>135</v>
      </c>
      <c r="BD194" s="71">
        <f>IFERROR(__xludf.DUMMYFUNCTION("""COMPUTED_VALUE"""),142.0)</f>
        <v>142</v>
      </c>
      <c r="BE194" s="71">
        <f>IFERROR(__xludf.DUMMYFUNCTION("""COMPUTED_VALUE"""),22.72)</f>
        <v>22.72</v>
      </c>
      <c r="BF194" s="71">
        <f>IFERROR(__xludf.DUMMYFUNCTION("""COMPUTED_VALUE"""),164.72)</f>
        <v>164.72</v>
      </c>
      <c r="BG194" s="71">
        <f>IFERROR(__xludf.DUMMYFUNCTION("""COMPUTED_VALUE"""),0.05185185185185185)</f>
        <v>0.05185185185</v>
      </c>
      <c r="BH194" s="71">
        <f>IFERROR(__xludf.DUMMYFUNCTION("""COMPUTED_VALUE"""),134.9)</f>
        <v>134.9</v>
      </c>
      <c r="BI194" s="71">
        <f>IFERROR(__xludf.DUMMYFUNCTION("""COMPUTED_VALUE"""),21.584)</f>
        <v>21.584</v>
      </c>
      <c r="BJ194" s="71">
        <f>IFERROR(__xludf.DUMMYFUNCTION("""COMPUTED_VALUE"""),156.484)</f>
        <v>156.484</v>
      </c>
      <c r="BK194" s="71">
        <f>IFERROR(__xludf.DUMMYFUNCTION("""COMPUTED_VALUE"""),127.8)</f>
        <v>127.8</v>
      </c>
      <c r="BL194" s="71">
        <f>IFERROR(__xludf.DUMMYFUNCTION("""COMPUTED_VALUE"""),20.448)</f>
        <v>20.448</v>
      </c>
      <c r="BM194" s="71">
        <f>IFERROR(__xludf.DUMMYFUNCTION("""COMPUTED_VALUE"""),148.248)</f>
        <v>148.248</v>
      </c>
      <c r="BN194" s="71">
        <f>IFERROR(__xludf.DUMMYFUNCTION("""COMPUTED_VALUE"""),120.7)</f>
        <v>120.7</v>
      </c>
      <c r="BO194" s="71">
        <f>IFERROR(__xludf.DUMMYFUNCTION("""COMPUTED_VALUE"""),19.312)</f>
        <v>19.312</v>
      </c>
      <c r="BP194" s="71">
        <f>IFERROR(__xludf.DUMMYFUNCTION("""COMPUTED_VALUE"""),140.012)</f>
        <v>140.012</v>
      </c>
      <c r="BQ194" s="71">
        <f>IFERROR(__xludf.DUMMYFUNCTION("""COMPUTED_VALUE"""),117.86)</f>
        <v>117.86</v>
      </c>
      <c r="BR194" s="71">
        <f>IFERROR(__xludf.DUMMYFUNCTION("""COMPUTED_VALUE"""),18.8576)</f>
        <v>18.8576</v>
      </c>
      <c r="BS194" s="71">
        <f>IFERROR(__xludf.DUMMYFUNCTION("""COMPUTED_VALUE"""),136.7176)</f>
        <v>136.7176</v>
      </c>
      <c r="BT194" s="71">
        <f>IFERROR(__xludf.DUMMYFUNCTION("""COMPUTED_VALUE"""),113.60000000000001)</f>
        <v>113.6</v>
      </c>
      <c r="BU194" s="71">
        <f>IFERROR(__xludf.DUMMYFUNCTION("""COMPUTED_VALUE"""),18.176000000000002)</f>
        <v>18.176</v>
      </c>
      <c r="BV194" s="71">
        <f>IFERROR(__xludf.DUMMYFUNCTION("""COMPUTED_VALUE"""),131.776)</f>
        <v>131.776</v>
      </c>
    </row>
    <row r="195">
      <c r="A195" s="53">
        <v>1.0</v>
      </c>
      <c r="B195" s="72"/>
      <c r="C195" s="73" t="s">
        <v>12</v>
      </c>
      <c r="D195" s="74" t="s">
        <v>491</v>
      </c>
      <c r="E195" s="54" t="s">
        <v>38</v>
      </c>
      <c r="F195" s="54" t="s">
        <v>42</v>
      </c>
      <c r="G195" s="88" t="s">
        <v>492</v>
      </c>
      <c r="H195" s="54" t="s">
        <v>492</v>
      </c>
      <c r="I195" s="54">
        <f t="shared" si="1"/>
        <v>26</v>
      </c>
      <c r="J195" s="56"/>
      <c r="K195" s="75"/>
      <c r="L195" s="76"/>
      <c r="M195" s="59"/>
      <c r="N195" s="60">
        <v>99.0</v>
      </c>
      <c r="O195" s="61">
        <v>106.0</v>
      </c>
      <c r="P195" s="62">
        <v>114.48</v>
      </c>
      <c r="Q195" s="63">
        <v>114.48</v>
      </c>
      <c r="R195" s="64">
        <v>129.0</v>
      </c>
      <c r="S195" s="111">
        <v>135.0</v>
      </c>
      <c r="T195" s="65">
        <f t="shared" si="2"/>
        <v>21.6</v>
      </c>
      <c r="U195" s="65">
        <f t="shared" si="3"/>
        <v>156.6</v>
      </c>
      <c r="V195" s="66">
        <f t="shared" si="4"/>
        <v>0.04651162791</v>
      </c>
      <c r="W195" s="67">
        <f t="shared" si="5"/>
        <v>128.25</v>
      </c>
      <c r="X195" s="67">
        <f t="shared" si="6"/>
        <v>20.52</v>
      </c>
      <c r="Y195" s="67">
        <f t="shared" si="7"/>
        <v>148.77</v>
      </c>
      <c r="Z195" s="67">
        <f t="shared" si="8"/>
        <v>121.5</v>
      </c>
      <c r="AA195" s="67">
        <f t="shared" si="9"/>
        <v>19.44</v>
      </c>
      <c r="AB195" s="67">
        <f t="shared" si="10"/>
        <v>140.94</v>
      </c>
      <c r="AC195" s="67">
        <f t="shared" si="11"/>
        <v>114.75</v>
      </c>
      <c r="AD195" s="67">
        <f t="shared" si="12"/>
        <v>18.36</v>
      </c>
      <c r="AE195" s="67">
        <f t="shared" si="13"/>
        <v>133.11</v>
      </c>
      <c r="AF195" s="67">
        <f t="shared" si="14"/>
        <v>112.05</v>
      </c>
      <c r="AG195" s="67">
        <f t="shared" si="15"/>
        <v>17.928</v>
      </c>
      <c r="AH195" s="67">
        <f t="shared" si="16"/>
        <v>129.978</v>
      </c>
      <c r="AI195" s="67">
        <f t="shared" si="17"/>
        <v>108</v>
      </c>
      <c r="AJ195" s="68">
        <f t="shared" si="20"/>
        <v>17.28</v>
      </c>
      <c r="AK195" s="68">
        <f t="shared" si="21"/>
        <v>125.28</v>
      </c>
      <c r="AL195" s="70">
        <f>IFERROR(__xludf.DUMMYFUNCTION("""COMPUTED_VALUE"""),1.0)</f>
        <v>1</v>
      </c>
      <c r="AM195" s="70"/>
      <c r="AN195" s="71" t="str">
        <f>IFERROR(__xludf.DUMMYFUNCTION("""COMPUTED_VALUE""")," P")</f>
        <v>P</v>
      </c>
      <c r="AO195" s="71" t="str">
        <f>IFERROR(__xludf.DUMMYFUNCTION("""COMPUTED_VALUE""")," BY91")</f>
        <v>BY91</v>
      </c>
      <c r="AP195" s="71" t="str">
        <f>IFERROR(__xludf.DUMMYFUNCTION("""COMPUTED_VALUE""")," PZA")</f>
        <v>PZA</v>
      </c>
      <c r="AQ195" s="71" t="str">
        <f>IFERROR(__xludf.DUMMYFUNCTION("""COMPUTED_VALUE""")," REF")</f>
        <v>REF</v>
      </c>
      <c r="AR195" s="71" t="str">
        <f>IFERROR(__xludf.DUMMYFUNCTION("""COMPUTED_VALUE""")," BAYONETA CHICA DÚPLEX (B.C.) ""TIPO J"" EN ACERO INOX. T-304 GRADO ALIMENTICIO")</f>
        <v>BAYONETA CHICA DÚPLEX (B.C.) "TIPO J" EN ACERO INOX. T-304 GRADO ALIMENTICIO</v>
      </c>
      <c r="AS195" s="71" t="str">
        <f>IFERROR(__xludf.DUMMYFUNCTION("""COMPUTED_VALUE""")," BAYONETA CHICA DPLX BC TIPO J INOX T304")</f>
        <v>BAYONETA CHICA DPLX BC TIPO J INOX T304</v>
      </c>
      <c r="AT195" s="71">
        <f>IFERROR(__xludf.DUMMYFUNCTION("""COMPUTED_VALUE"""),39.0)</f>
        <v>39</v>
      </c>
      <c r="AU195" s="71"/>
      <c r="AV195" s="71"/>
      <c r="AW195" s="71"/>
      <c r="AX195" s="71"/>
      <c r="AY195" s="71">
        <f>IFERROR(__xludf.DUMMYFUNCTION("""COMPUTED_VALUE"""),201.0)</f>
        <v>201</v>
      </c>
      <c r="AZ195" s="71">
        <f>IFERROR(__xludf.DUMMYFUNCTION("""COMPUTED_VALUE"""),217.0)</f>
        <v>217</v>
      </c>
      <c r="BA195" s="71">
        <f>IFERROR(__xludf.DUMMYFUNCTION("""COMPUTED_VALUE"""),375.84)</f>
        <v>375.84</v>
      </c>
      <c r="BB195" s="71">
        <f>IFERROR(__xludf.DUMMYFUNCTION("""COMPUTED_VALUE"""),375.84)</f>
        <v>375.84</v>
      </c>
      <c r="BC195" s="71">
        <f>IFERROR(__xludf.DUMMYFUNCTION("""COMPUTED_VALUE"""),395.0)</f>
        <v>395</v>
      </c>
      <c r="BD195" s="71">
        <f>IFERROR(__xludf.DUMMYFUNCTION("""COMPUTED_VALUE"""),415.0)</f>
        <v>415</v>
      </c>
      <c r="BE195" s="71">
        <f>IFERROR(__xludf.DUMMYFUNCTION("""COMPUTED_VALUE"""),66.4)</f>
        <v>66.4</v>
      </c>
      <c r="BF195" s="71">
        <f>IFERROR(__xludf.DUMMYFUNCTION("""COMPUTED_VALUE"""),481.4)</f>
        <v>481.4</v>
      </c>
      <c r="BG195" s="71">
        <f>IFERROR(__xludf.DUMMYFUNCTION("""COMPUTED_VALUE"""),0.05063291139240506)</f>
        <v>0.05063291139</v>
      </c>
      <c r="BH195" s="71">
        <f>IFERROR(__xludf.DUMMYFUNCTION("""COMPUTED_VALUE"""),394.25)</f>
        <v>394.25</v>
      </c>
      <c r="BI195" s="71">
        <f>IFERROR(__xludf.DUMMYFUNCTION("""COMPUTED_VALUE"""),63.08)</f>
        <v>63.08</v>
      </c>
      <c r="BJ195" s="71">
        <f>IFERROR(__xludf.DUMMYFUNCTION("""COMPUTED_VALUE"""),457.33)</f>
        <v>457.33</v>
      </c>
      <c r="BK195" s="71">
        <f>IFERROR(__xludf.DUMMYFUNCTION("""COMPUTED_VALUE"""),373.5)</f>
        <v>373.5</v>
      </c>
      <c r="BL195" s="71">
        <f>IFERROR(__xludf.DUMMYFUNCTION("""COMPUTED_VALUE"""),59.76)</f>
        <v>59.76</v>
      </c>
      <c r="BM195" s="71">
        <f>IFERROR(__xludf.DUMMYFUNCTION("""COMPUTED_VALUE"""),433.26)</f>
        <v>433.26</v>
      </c>
      <c r="BN195" s="71">
        <f>IFERROR(__xludf.DUMMYFUNCTION("""COMPUTED_VALUE"""),352.75)</f>
        <v>352.75</v>
      </c>
      <c r="BO195" s="71">
        <f>IFERROR(__xludf.DUMMYFUNCTION("""COMPUTED_VALUE"""),56.44)</f>
        <v>56.44</v>
      </c>
      <c r="BP195" s="71">
        <f>IFERROR(__xludf.DUMMYFUNCTION("""COMPUTED_VALUE"""),409.19)</f>
        <v>409.19</v>
      </c>
      <c r="BQ195" s="71">
        <f>IFERROR(__xludf.DUMMYFUNCTION("""COMPUTED_VALUE"""),344.45)</f>
        <v>344.45</v>
      </c>
      <c r="BR195" s="71">
        <f>IFERROR(__xludf.DUMMYFUNCTION("""COMPUTED_VALUE"""),55.112)</f>
        <v>55.112</v>
      </c>
      <c r="BS195" s="71">
        <f>IFERROR(__xludf.DUMMYFUNCTION("""COMPUTED_VALUE"""),399.562)</f>
        <v>399.562</v>
      </c>
      <c r="BT195" s="71">
        <f>IFERROR(__xludf.DUMMYFUNCTION("""COMPUTED_VALUE"""),332.0)</f>
        <v>332</v>
      </c>
      <c r="BU195" s="71">
        <f>IFERROR(__xludf.DUMMYFUNCTION("""COMPUTED_VALUE"""),53.120000000000005)</f>
        <v>53.12</v>
      </c>
      <c r="BV195" s="71">
        <f>IFERROR(__xludf.DUMMYFUNCTION("""COMPUTED_VALUE"""),385.12)</f>
        <v>385.12</v>
      </c>
    </row>
    <row r="196">
      <c r="A196" s="53">
        <v>1.0</v>
      </c>
      <c r="B196" s="72"/>
      <c r="C196" s="73" t="s">
        <v>12</v>
      </c>
      <c r="D196" s="74" t="s">
        <v>493</v>
      </c>
      <c r="E196" s="54" t="s">
        <v>38</v>
      </c>
      <c r="F196" s="54" t="s">
        <v>42</v>
      </c>
      <c r="G196" s="88" t="s">
        <v>494</v>
      </c>
      <c r="H196" s="54" t="s">
        <v>494</v>
      </c>
      <c r="I196" s="54">
        <f t="shared" si="1"/>
        <v>30</v>
      </c>
      <c r="J196" s="56"/>
      <c r="K196" s="75"/>
      <c r="L196" s="76"/>
      <c r="M196" s="59"/>
      <c r="N196" s="60">
        <v>40.0</v>
      </c>
      <c r="O196" s="61">
        <v>52.0</v>
      </c>
      <c r="P196" s="62">
        <v>56.160000000000004</v>
      </c>
      <c r="Q196" s="63">
        <v>56.160000000000004</v>
      </c>
      <c r="R196" s="64">
        <v>63.0</v>
      </c>
      <c r="S196" s="111">
        <v>66.0</v>
      </c>
      <c r="T196" s="65">
        <f t="shared" si="2"/>
        <v>10.56</v>
      </c>
      <c r="U196" s="65">
        <f t="shared" si="3"/>
        <v>76.56</v>
      </c>
      <c r="V196" s="66">
        <f t="shared" si="4"/>
        <v>0.04761904762</v>
      </c>
      <c r="W196" s="67">
        <f t="shared" si="5"/>
        <v>62.7</v>
      </c>
      <c r="X196" s="67">
        <f t="shared" si="6"/>
        <v>10.032</v>
      </c>
      <c r="Y196" s="67">
        <f t="shared" si="7"/>
        <v>72.732</v>
      </c>
      <c r="Z196" s="67">
        <f t="shared" si="8"/>
        <v>59.4</v>
      </c>
      <c r="AA196" s="67">
        <f t="shared" si="9"/>
        <v>9.504</v>
      </c>
      <c r="AB196" s="67">
        <f t="shared" si="10"/>
        <v>68.904</v>
      </c>
      <c r="AC196" s="67">
        <f t="shared" si="11"/>
        <v>56.1</v>
      </c>
      <c r="AD196" s="67">
        <f t="shared" si="12"/>
        <v>8.976</v>
      </c>
      <c r="AE196" s="67">
        <f t="shared" si="13"/>
        <v>65.076</v>
      </c>
      <c r="AF196" s="67">
        <f t="shared" si="14"/>
        <v>54.78</v>
      </c>
      <c r="AG196" s="67">
        <f t="shared" si="15"/>
        <v>8.7648</v>
      </c>
      <c r="AH196" s="67">
        <f t="shared" si="16"/>
        <v>63.5448</v>
      </c>
      <c r="AI196" s="67">
        <f t="shared" si="17"/>
        <v>52.8</v>
      </c>
      <c r="AJ196" s="68">
        <f t="shared" si="20"/>
        <v>8.448</v>
      </c>
      <c r="AK196" s="68">
        <f t="shared" si="21"/>
        <v>61.248</v>
      </c>
      <c r="AL196" s="70">
        <f>IFERROR(__xludf.DUMMYFUNCTION("""COMPUTED_VALUE"""),1.0)</f>
        <v>1</v>
      </c>
      <c r="AM196" s="70"/>
      <c r="AN196" s="71" t="str">
        <f>IFERROR(__xludf.DUMMYFUNCTION("""COMPUTED_VALUE""")," P")</f>
        <v>P</v>
      </c>
      <c r="AO196" s="71" t="str">
        <f>IFERROR(__xludf.DUMMYFUNCTION("""COMPUTED_VALUE""")," BY02")</f>
        <v>BY02</v>
      </c>
      <c r="AP196" s="71" t="str">
        <f>IFERROR(__xludf.DUMMYFUNCTION("""COMPUTED_VALUE""")," PZA")</f>
        <v>PZA</v>
      </c>
      <c r="AQ196" s="71" t="str">
        <f>IFERROR(__xludf.DUMMYFUNCTION("""COMPUTED_VALUE""")," REF")</f>
        <v>REF</v>
      </c>
      <c r="AR196" s="71" t="str">
        <f>IFERROR(__xludf.DUMMYFUNCTION("""COMPUTED_VALUE""")," BAYONETA CHICA DÚPLEX (B.C.) ""TIPO L""")</f>
        <v>BAYONETA CHICA DÚPLEX (B.C.) "TIPO L"</v>
      </c>
      <c r="AS196" s="71" t="str">
        <f>IFERROR(__xludf.DUMMYFUNCTION("""COMPUTED_VALUE""")," BAYONETA CHICA DPLX BC TIPO L")</f>
        <v>BAYONETA CHICA DPLX BC TIPO L</v>
      </c>
      <c r="AT196" s="71">
        <f>IFERROR(__xludf.DUMMYFUNCTION("""COMPUTED_VALUE"""),29.0)</f>
        <v>29</v>
      </c>
      <c r="AU196" s="71"/>
      <c r="AV196" s="71"/>
      <c r="AW196" s="71"/>
      <c r="AX196" s="71"/>
      <c r="AY196" s="71">
        <f>IFERROR(__xludf.DUMMYFUNCTION("""COMPUTED_VALUE"""),85.0)</f>
        <v>85</v>
      </c>
      <c r="AZ196" s="71">
        <f>IFERROR(__xludf.DUMMYFUNCTION("""COMPUTED_VALUE"""),116.0)</f>
        <v>116</v>
      </c>
      <c r="BA196" s="71">
        <f>IFERROR(__xludf.DUMMYFUNCTION("""COMPUTED_VALUE"""),125.28)</f>
        <v>125.28</v>
      </c>
      <c r="BB196" s="71">
        <f>IFERROR(__xludf.DUMMYFUNCTION("""COMPUTED_VALUE"""),125.28)</f>
        <v>125.28</v>
      </c>
      <c r="BC196" s="71">
        <f>IFERROR(__xludf.DUMMYFUNCTION("""COMPUTED_VALUE"""),139.0)</f>
        <v>139</v>
      </c>
      <c r="BD196" s="71">
        <f>IFERROR(__xludf.DUMMYFUNCTION("""COMPUTED_VALUE"""),146.0)</f>
        <v>146</v>
      </c>
      <c r="BE196" s="71">
        <f>IFERROR(__xludf.DUMMYFUNCTION("""COMPUTED_VALUE"""),23.36)</f>
        <v>23.36</v>
      </c>
      <c r="BF196" s="71">
        <f>IFERROR(__xludf.DUMMYFUNCTION("""COMPUTED_VALUE"""),169.36)</f>
        <v>169.36</v>
      </c>
      <c r="BG196" s="71">
        <f>IFERROR(__xludf.DUMMYFUNCTION("""COMPUTED_VALUE"""),0.050359712230215826)</f>
        <v>0.05035971223</v>
      </c>
      <c r="BH196" s="71">
        <f>IFERROR(__xludf.DUMMYFUNCTION("""COMPUTED_VALUE"""),138.7)</f>
        <v>138.7</v>
      </c>
      <c r="BI196" s="71">
        <f>IFERROR(__xludf.DUMMYFUNCTION("""COMPUTED_VALUE"""),22.192)</f>
        <v>22.192</v>
      </c>
      <c r="BJ196" s="71">
        <f>IFERROR(__xludf.DUMMYFUNCTION("""COMPUTED_VALUE"""),160.892)</f>
        <v>160.892</v>
      </c>
      <c r="BK196" s="71">
        <f>IFERROR(__xludf.DUMMYFUNCTION("""COMPUTED_VALUE"""),131.4)</f>
        <v>131.4</v>
      </c>
      <c r="BL196" s="71">
        <f>IFERROR(__xludf.DUMMYFUNCTION("""COMPUTED_VALUE"""),21.024)</f>
        <v>21.024</v>
      </c>
      <c r="BM196" s="71">
        <f>IFERROR(__xludf.DUMMYFUNCTION("""COMPUTED_VALUE"""),152.424)</f>
        <v>152.424</v>
      </c>
      <c r="BN196" s="71">
        <f>IFERROR(__xludf.DUMMYFUNCTION("""COMPUTED_VALUE"""),124.1)</f>
        <v>124.1</v>
      </c>
      <c r="BO196" s="71">
        <f>IFERROR(__xludf.DUMMYFUNCTION("""COMPUTED_VALUE"""),19.855999999999998)</f>
        <v>19.856</v>
      </c>
      <c r="BP196" s="71">
        <f>IFERROR(__xludf.DUMMYFUNCTION("""COMPUTED_VALUE"""),143.956)</f>
        <v>143.956</v>
      </c>
      <c r="BQ196" s="71">
        <f>IFERROR(__xludf.DUMMYFUNCTION("""COMPUTED_VALUE"""),121.17999999999999)</f>
        <v>121.18</v>
      </c>
      <c r="BR196" s="71">
        <f>IFERROR(__xludf.DUMMYFUNCTION("""COMPUTED_VALUE"""),19.3888)</f>
        <v>19.3888</v>
      </c>
      <c r="BS196" s="71">
        <f>IFERROR(__xludf.DUMMYFUNCTION("""COMPUTED_VALUE"""),140.56879999999998)</f>
        <v>140.5688</v>
      </c>
      <c r="BT196" s="71">
        <f>IFERROR(__xludf.DUMMYFUNCTION("""COMPUTED_VALUE"""),116.80000000000001)</f>
        <v>116.8</v>
      </c>
      <c r="BU196" s="71">
        <f>IFERROR(__xludf.DUMMYFUNCTION("""COMPUTED_VALUE"""),18.688000000000002)</f>
        <v>18.688</v>
      </c>
      <c r="BV196" s="71">
        <f>IFERROR(__xludf.DUMMYFUNCTION("""COMPUTED_VALUE"""),135.488)</f>
        <v>135.488</v>
      </c>
    </row>
    <row r="197">
      <c r="A197" s="53">
        <v>1.0</v>
      </c>
      <c r="B197" s="72"/>
      <c r="C197" s="73" t="s">
        <v>12</v>
      </c>
      <c r="D197" s="74" t="s">
        <v>495</v>
      </c>
      <c r="E197" s="54" t="s">
        <v>38</v>
      </c>
      <c r="F197" s="54" t="s">
        <v>42</v>
      </c>
      <c r="G197" s="88" t="s">
        <v>496</v>
      </c>
      <c r="H197" s="54" t="s">
        <v>496</v>
      </c>
      <c r="I197" s="54">
        <f t="shared" si="1"/>
        <v>26</v>
      </c>
      <c r="J197" s="56"/>
      <c r="K197" s="75"/>
      <c r="L197" s="76"/>
      <c r="M197" s="59"/>
      <c r="N197" s="60">
        <v>101.0</v>
      </c>
      <c r="O197" s="61">
        <v>109.0</v>
      </c>
      <c r="P197" s="62">
        <v>117.72000000000001</v>
      </c>
      <c r="Q197" s="63">
        <v>117.72000000000001</v>
      </c>
      <c r="R197" s="64">
        <v>132.0</v>
      </c>
      <c r="S197" s="111">
        <v>139.0</v>
      </c>
      <c r="T197" s="65">
        <f t="shared" si="2"/>
        <v>22.24</v>
      </c>
      <c r="U197" s="65">
        <f t="shared" si="3"/>
        <v>161.24</v>
      </c>
      <c r="V197" s="66">
        <f t="shared" si="4"/>
        <v>0.05303030303</v>
      </c>
      <c r="W197" s="67">
        <f t="shared" si="5"/>
        <v>132.05</v>
      </c>
      <c r="X197" s="67">
        <f t="shared" si="6"/>
        <v>21.128</v>
      </c>
      <c r="Y197" s="67">
        <f t="shared" si="7"/>
        <v>153.178</v>
      </c>
      <c r="Z197" s="67">
        <f t="shared" si="8"/>
        <v>125.1</v>
      </c>
      <c r="AA197" s="67">
        <f t="shared" si="9"/>
        <v>20.016</v>
      </c>
      <c r="AB197" s="67">
        <f t="shared" si="10"/>
        <v>145.116</v>
      </c>
      <c r="AC197" s="67">
        <f t="shared" si="11"/>
        <v>118.15</v>
      </c>
      <c r="AD197" s="67">
        <f t="shared" si="12"/>
        <v>18.904</v>
      </c>
      <c r="AE197" s="67">
        <f t="shared" si="13"/>
        <v>137.054</v>
      </c>
      <c r="AF197" s="67">
        <f t="shared" si="14"/>
        <v>115.37</v>
      </c>
      <c r="AG197" s="67">
        <f t="shared" si="15"/>
        <v>18.4592</v>
      </c>
      <c r="AH197" s="67">
        <f t="shared" si="16"/>
        <v>133.8292</v>
      </c>
      <c r="AI197" s="67">
        <f t="shared" si="17"/>
        <v>111.2</v>
      </c>
      <c r="AJ197" s="68">
        <f t="shared" si="20"/>
        <v>17.792</v>
      </c>
      <c r="AK197" s="68">
        <f t="shared" si="21"/>
        <v>128.992</v>
      </c>
      <c r="AL197" s="70">
        <f>IFERROR(__xludf.DUMMYFUNCTION("""COMPUTED_VALUE"""),1.0)</f>
        <v>1</v>
      </c>
      <c r="AM197" s="70"/>
      <c r="AN197" s="71" t="str">
        <f>IFERROR(__xludf.DUMMYFUNCTION("""COMPUTED_VALUE""")," P")</f>
        <v>P</v>
      </c>
      <c r="AO197" s="71" t="str">
        <f>IFERROR(__xludf.DUMMYFUNCTION("""COMPUTED_VALUE""")," BY92")</f>
        <v>BY92</v>
      </c>
      <c r="AP197" s="71" t="str">
        <f>IFERROR(__xludf.DUMMYFUNCTION("""COMPUTED_VALUE""")," PZA")</f>
        <v>PZA</v>
      </c>
      <c r="AQ197" s="71" t="str">
        <f>IFERROR(__xludf.DUMMYFUNCTION("""COMPUTED_VALUE""")," REF")</f>
        <v>REF</v>
      </c>
      <c r="AR197" s="71" t="str">
        <f>IFERROR(__xludf.DUMMYFUNCTION("""COMPUTED_VALUE""")," BAYONETA CHICA DÚPLEX (B.C.) ""TIPO L"" EN ACERO INOX. T-304 GRADO ALIMENTICIO")</f>
        <v>BAYONETA CHICA DÚPLEX (B.C.) "TIPO L" EN ACERO INOX. T-304 GRADO ALIMENTICIO</v>
      </c>
      <c r="AS197" s="71" t="str">
        <f>IFERROR(__xludf.DUMMYFUNCTION("""COMPUTED_VALUE""")," BAYONETA CHICA DPLX BC TIPO L INOX")</f>
        <v>BAYONETA CHICA DPLX BC TIPO L INOX</v>
      </c>
      <c r="AT197" s="71">
        <f>IFERROR(__xludf.DUMMYFUNCTION("""COMPUTED_VALUE"""),34.0)</f>
        <v>34</v>
      </c>
      <c r="AU197" s="71"/>
      <c r="AV197" s="71"/>
      <c r="AW197" s="71"/>
      <c r="AX197" s="71"/>
      <c r="AY197" s="71">
        <f>IFERROR(__xludf.DUMMYFUNCTION("""COMPUTED_VALUE"""),201.0)</f>
        <v>201</v>
      </c>
      <c r="AZ197" s="71">
        <f>IFERROR(__xludf.DUMMYFUNCTION("""COMPUTED_VALUE"""),217.0)</f>
        <v>217</v>
      </c>
      <c r="BA197" s="71">
        <f>IFERROR(__xludf.DUMMYFUNCTION("""COMPUTED_VALUE"""),375.84)</f>
        <v>375.84</v>
      </c>
      <c r="BB197" s="71">
        <f>IFERROR(__xludf.DUMMYFUNCTION("""COMPUTED_VALUE"""),375.84)</f>
        <v>375.84</v>
      </c>
      <c r="BC197" s="71">
        <f>IFERROR(__xludf.DUMMYFUNCTION("""COMPUTED_VALUE"""),395.0)</f>
        <v>395</v>
      </c>
      <c r="BD197" s="71">
        <f>IFERROR(__xludf.DUMMYFUNCTION("""COMPUTED_VALUE"""),415.0)</f>
        <v>415</v>
      </c>
      <c r="BE197" s="71">
        <f>IFERROR(__xludf.DUMMYFUNCTION("""COMPUTED_VALUE"""),66.4)</f>
        <v>66.4</v>
      </c>
      <c r="BF197" s="71">
        <f>IFERROR(__xludf.DUMMYFUNCTION("""COMPUTED_VALUE"""),481.4)</f>
        <v>481.4</v>
      </c>
      <c r="BG197" s="71">
        <f>IFERROR(__xludf.DUMMYFUNCTION("""COMPUTED_VALUE"""),0.05063291139240506)</f>
        <v>0.05063291139</v>
      </c>
      <c r="BH197" s="71">
        <f>IFERROR(__xludf.DUMMYFUNCTION("""COMPUTED_VALUE"""),394.25)</f>
        <v>394.25</v>
      </c>
      <c r="BI197" s="71">
        <f>IFERROR(__xludf.DUMMYFUNCTION("""COMPUTED_VALUE"""),63.08)</f>
        <v>63.08</v>
      </c>
      <c r="BJ197" s="71">
        <f>IFERROR(__xludf.DUMMYFUNCTION("""COMPUTED_VALUE"""),457.33)</f>
        <v>457.33</v>
      </c>
      <c r="BK197" s="71">
        <f>IFERROR(__xludf.DUMMYFUNCTION("""COMPUTED_VALUE"""),373.5)</f>
        <v>373.5</v>
      </c>
      <c r="BL197" s="71">
        <f>IFERROR(__xludf.DUMMYFUNCTION("""COMPUTED_VALUE"""),59.76)</f>
        <v>59.76</v>
      </c>
      <c r="BM197" s="71">
        <f>IFERROR(__xludf.DUMMYFUNCTION("""COMPUTED_VALUE"""),433.26)</f>
        <v>433.26</v>
      </c>
      <c r="BN197" s="71">
        <f>IFERROR(__xludf.DUMMYFUNCTION("""COMPUTED_VALUE"""),352.75)</f>
        <v>352.75</v>
      </c>
      <c r="BO197" s="71">
        <f>IFERROR(__xludf.DUMMYFUNCTION("""COMPUTED_VALUE"""),56.44)</f>
        <v>56.44</v>
      </c>
      <c r="BP197" s="71">
        <f>IFERROR(__xludf.DUMMYFUNCTION("""COMPUTED_VALUE"""),409.19)</f>
        <v>409.19</v>
      </c>
      <c r="BQ197" s="71">
        <f>IFERROR(__xludf.DUMMYFUNCTION("""COMPUTED_VALUE"""),344.45)</f>
        <v>344.45</v>
      </c>
      <c r="BR197" s="71">
        <f>IFERROR(__xludf.DUMMYFUNCTION("""COMPUTED_VALUE"""),55.112)</f>
        <v>55.112</v>
      </c>
      <c r="BS197" s="71">
        <f>IFERROR(__xludf.DUMMYFUNCTION("""COMPUTED_VALUE"""),399.562)</f>
        <v>399.562</v>
      </c>
      <c r="BT197" s="71">
        <f>IFERROR(__xludf.DUMMYFUNCTION("""COMPUTED_VALUE"""),332.0)</f>
        <v>332</v>
      </c>
      <c r="BU197" s="71">
        <f>IFERROR(__xludf.DUMMYFUNCTION("""COMPUTED_VALUE"""),53.120000000000005)</f>
        <v>53.12</v>
      </c>
      <c r="BV197" s="71">
        <f>IFERROR(__xludf.DUMMYFUNCTION("""COMPUTED_VALUE"""),385.12)</f>
        <v>385.12</v>
      </c>
    </row>
    <row r="198">
      <c r="A198" s="53">
        <v>1.0</v>
      </c>
      <c r="B198" s="72"/>
      <c r="C198" s="73" t="s">
        <v>12</v>
      </c>
      <c r="D198" s="74" t="s">
        <v>497</v>
      </c>
      <c r="E198" s="54" t="s">
        <v>38</v>
      </c>
      <c r="F198" s="54" t="s">
        <v>42</v>
      </c>
      <c r="G198" s="88" t="s">
        <v>498</v>
      </c>
      <c r="H198" s="54" t="s">
        <v>498</v>
      </c>
      <c r="I198" s="54">
        <f t="shared" si="1"/>
        <v>30</v>
      </c>
      <c r="J198" s="56"/>
      <c r="K198" s="75"/>
      <c r="L198" s="76"/>
      <c r="M198" s="59"/>
      <c r="N198" s="60">
        <v>44.0</v>
      </c>
      <c r="O198" s="61">
        <v>55.0</v>
      </c>
      <c r="P198" s="62">
        <v>59.400000000000006</v>
      </c>
      <c r="Q198" s="63">
        <v>59.400000000000006</v>
      </c>
      <c r="R198" s="64">
        <v>67.0</v>
      </c>
      <c r="S198" s="111">
        <v>70.0</v>
      </c>
      <c r="T198" s="65">
        <f t="shared" si="2"/>
        <v>11.2</v>
      </c>
      <c r="U198" s="65">
        <f t="shared" si="3"/>
        <v>81.2</v>
      </c>
      <c r="V198" s="66">
        <f t="shared" si="4"/>
        <v>0.0447761194</v>
      </c>
      <c r="W198" s="67">
        <f t="shared" si="5"/>
        <v>66.5</v>
      </c>
      <c r="X198" s="67">
        <f t="shared" si="6"/>
        <v>10.64</v>
      </c>
      <c r="Y198" s="67">
        <f t="shared" si="7"/>
        <v>77.14</v>
      </c>
      <c r="Z198" s="67">
        <f t="shared" si="8"/>
        <v>63</v>
      </c>
      <c r="AA198" s="67">
        <f t="shared" si="9"/>
        <v>10.08</v>
      </c>
      <c r="AB198" s="67">
        <f t="shared" si="10"/>
        <v>73.08</v>
      </c>
      <c r="AC198" s="67">
        <f t="shared" si="11"/>
        <v>59.5</v>
      </c>
      <c r="AD198" s="67">
        <f t="shared" si="12"/>
        <v>9.52</v>
      </c>
      <c r="AE198" s="67">
        <f t="shared" si="13"/>
        <v>69.02</v>
      </c>
      <c r="AF198" s="67">
        <f t="shared" si="14"/>
        <v>58.1</v>
      </c>
      <c r="AG198" s="67">
        <f t="shared" si="15"/>
        <v>9.296</v>
      </c>
      <c r="AH198" s="67">
        <f t="shared" si="16"/>
        <v>67.396</v>
      </c>
      <c r="AI198" s="67">
        <f t="shared" si="17"/>
        <v>56</v>
      </c>
      <c r="AJ198" s="68">
        <f t="shared" si="20"/>
        <v>8.96</v>
      </c>
      <c r="AK198" s="68">
        <f t="shared" si="21"/>
        <v>64.96</v>
      </c>
      <c r="AL198" s="70">
        <f>IFERROR(__xludf.DUMMYFUNCTION("""COMPUTED_VALUE"""),1.0)</f>
        <v>1</v>
      </c>
      <c r="AM198" s="70"/>
      <c r="AN198" s="71" t="str">
        <f>IFERROR(__xludf.DUMMYFUNCTION("""COMPUTED_VALUE""")," P")</f>
        <v>P</v>
      </c>
      <c r="AO198" s="71" t="str">
        <f>IFERROR(__xludf.DUMMYFUNCTION("""COMPUTED_VALUE""")," BY05")</f>
        <v>BY05</v>
      </c>
      <c r="AP198" s="71" t="str">
        <f>IFERROR(__xludf.DUMMYFUNCTION("""COMPUTED_VALUE""")," PZA")</f>
        <v>PZA</v>
      </c>
      <c r="AQ198" s="71" t="str">
        <f>IFERROR(__xludf.DUMMYFUNCTION("""COMPUTED_VALUE""")," REF")</f>
        <v>REF</v>
      </c>
      <c r="AR198" s="71" t="str">
        <f>IFERROR(__xludf.DUMMYFUNCTION("""COMPUTED_VALUE""")," BAYONETA CHICA MODELO ANTERIOR SENCILLA ""TIPO J""")</f>
        <v>BAYONETA CHICA MODELO ANTERIOR SENCILLA "TIPO J"</v>
      </c>
      <c r="AS198" s="71" t="str">
        <f>IFERROR(__xludf.DUMMYFUNCTION("""COMPUTED_VALUE""")," BAYONETA CHICA MA SENCILLA TIPO J")</f>
        <v>BAYONETA CHICA MA SENCILLA TIPO J</v>
      </c>
      <c r="AT198" s="71">
        <f>IFERROR(__xludf.DUMMYFUNCTION("""COMPUTED_VALUE"""),33.0)</f>
        <v>33</v>
      </c>
      <c r="AU198" s="71"/>
      <c r="AV198" s="71"/>
      <c r="AW198" s="71"/>
      <c r="AX198" s="71"/>
      <c r="AY198" s="71">
        <f>IFERROR(__xludf.DUMMYFUNCTION("""COMPUTED_VALUE"""),86.0)</f>
        <v>86</v>
      </c>
      <c r="AZ198" s="71">
        <f>IFERROR(__xludf.DUMMYFUNCTION("""COMPUTED_VALUE"""),104.0)</f>
        <v>104</v>
      </c>
      <c r="BA198" s="71">
        <f>IFERROR(__xludf.DUMMYFUNCTION("""COMPUTED_VALUE"""),112.32000000000001)</f>
        <v>112.32</v>
      </c>
      <c r="BB198" s="71">
        <f>IFERROR(__xludf.DUMMYFUNCTION("""COMPUTED_VALUE"""),112.32000000000001)</f>
        <v>112.32</v>
      </c>
      <c r="BC198" s="71">
        <f>IFERROR(__xludf.DUMMYFUNCTION("""COMPUTED_VALUE"""),119.0)</f>
        <v>119</v>
      </c>
      <c r="BD198" s="71">
        <f>IFERROR(__xludf.DUMMYFUNCTION("""COMPUTED_VALUE"""),125.0)</f>
        <v>125</v>
      </c>
      <c r="BE198" s="71">
        <f>IFERROR(__xludf.DUMMYFUNCTION("""COMPUTED_VALUE"""),20.0)</f>
        <v>20</v>
      </c>
      <c r="BF198" s="71">
        <f>IFERROR(__xludf.DUMMYFUNCTION("""COMPUTED_VALUE"""),145.0)</f>
        <v>145</v>
      </c>
      <c r="BG198" s="71">
        <f>IFERROR(__xludf.DUMMYFUNCTION("""COMPUTED_VALUE"""),0.05042016806722689)</f>
        <v>0.05042016807</v>
      </c>
      <c r="BH198" s="71">
        <f>IFERROR(__xludf.DUMMYFUNCTION("""COMPUTED_VALUE"""),118.75)</f>
        <v>118.75</v>
      </c>
      <c r="BI198" s="71">
        <f>IFERROR(__xludf.DUMMYFUNCTION("""COMPUTED_VALUE"""),19.0)</f>
        <v>19</v>
      </c>
      <c r="BJ198" s="71">
        <f>IFERROR(__xludf.DUMMYFUNCTION("""COMPUTED_VALUE"""),137.75)</f>
        <v>137.75</v>
      </c>
      <c r="BK198" s="71">
        <f>IFERROR(__xludf.DUMMYFUNCTION("""COMPUTED_VALUE"""),112.5)</f>
        <v>112.5</v>
      </c>
      <c r="BL198" s="71">
        <f>IFERROR(__xludf.DUMMYFUNCTION("""COMPUTED_VALUE"""),18.0)</f>
        <v>18</v>
      </c>
      <c r="BM198" s="71">
        <f>IFERROR(__xludf.DUMMYFUNCTION("""COMPUTED_VALUE"""),130.5)</f>
        <v>130.5</v>
      </c>
      <c r="BN198" s="71">
        <f>IFERROR(__xludf.DUMMYFUNCTION("""COMPUTED_VALUE"""),106.25)</f>
        <v>106.25</v>
      </c>
      <c r="BO198" s="71">
        <f>IFERROR(__xludf.DUMMYFUNCTION("""COMPUTED_VALUE"""),17.0)</f>
        <v>17</v>
      </c>
      <c r="BP198" s="71">
        <f>IFERROR(__xludf.DUMMYFUNCTION("""COMPUTED_VALUE"""),123.25)</f>
        <v>123.25</v>
      </c>
      <c r="BQ198" s="71">
        <f>IFERROR(__xludf.DUMMYFUNCTION("""COMPUTED_VALUE"""),103.75)</f>
        <v>103.75</v>
      </c>
      <c r="BR198" s="71">
        <f>IFERROR(__xludf.DUMMYFUNCTION("""COMPUTED_VALUE"""),16.6)</f>
        <v>16.6</v>
      </c>
      <c r="BS198" s="71">
        <f>IFERROR(__xludf.DUMMYFUNCTION("""COMPUTED_VALUE"""),120.35)</f>
        <v>120.35</v>
      </c>
      <c r="BT198" s="71">
        <f>IFERROR(__xludf.DUMMYFUNCTION("""COMPUTED_VALUE"""),100.0)</f>
        <v>100</v>
      </c>
      <c r="BU198" s="71">
        <f>IFERROR(__xludf.DUMMYFUNCTION("""COMPUTED_VALUE"""),16.0)</f>
        <v>16</v>
      </c>
      <c r="BV198" s="71">
        <f>IFERROR(__xludf.DUMMYFUNCTION("""COMPUTED_VALUE"""),116.0)</f>
        <v>116</v>
      </c>
    </row>
    <row r="199">
      <c r="A199" s="53">
        <v>1.0</v>
      </c>
      <c r="B199" s="72"/>
      <c r="C199" s="73" t="s">
        <v>12</v>
      </c>
      <c r="D199" s="74" t="s">
        <v>499</v>
      </c>
      <c r="E199" s="122" t="s">
        <v>38</v>
      </c>
      <c r="F199" s="54" t="s">
        <v>42</v>
      </c>
      <c r="G199" s="123" t="s">
        <v>500</v>
      </c>
      <c r="H199" s="54" t="s">
        <v>500</v>
      </c>
      <c r="I199" s="54">
        <f t="shared" si="1"/>
        <v>26</v>
      </c>
      <c r="J199" s="56"/>
      <c r="K199" s="75"/>
      <c r="L199" s="76"/>
      <c r="M199" s="59"/>
      <c r="N199" s="60">
        <v>103.0</v>
      </c>
      <c r="O199" s="61">
        <v>111.0</v>
      </c>
      <c r="P199" s="62">
        <v>119.88000000000001</v>
      </c>
      <c r="Q199" s="63">
        <v>119.88000000000001</v>
      </c>
      <c r="R199" s="64">
        <v>135.0</v>
      </c>
      <c r="S199" s="111">
        <v>142.0</v>
      </c>
      <c r="T199" s="65">
        <f t="shared" si="2"/>
        <v>22.72</v>
      </c>
      <c r="U199" s="65">
        <f t="shared" si="3"/>
        <v>164.72</v>
      </c>
      <c r="V199" s="66">
        <f t="shared" si="4"/>
        <v>0.05185185185</v>
      </c>
      <c r="W199" s="67">
        <f t="shared" si="5"/>
        <v>134.9</v>
      </c>
      <c r="X199" s="67">
        <f t="shared" si="6"/>
        <v>21.584</v>
      </c>
      <c r="Y199" s="67">
        <f t="shared" si="7"/>
        <v>156.484</v>
      </c>
      <c r="Z199" s="67">
        <f t="shared" si="8"/>
        <v>127.8</v>
      </c>
      <c r="AA199" s="67">
        <f t="shared" si="9"/>
        <v>20.448</v>
      </c>
      <c r="AB199" s="67">
        <f t="shared" si="10"/>
        <v>148.248</v>
      </c>
      <c r="AC199" s="67">
        <f t="shared" si="11"/>
        <v>120.7</v>
      </c>
      <c r="AD199" s="67">
        <f t="shared" si="12"/>
        <v>19.312</v>
      </c>
      <c r="AE199" s="67">
        <f t="shared" si="13"/>
        <v>140.012</v>
      </c>
      <c r="AF199" s="67">
        <f t="shared" si="14"/>
        <v>117.86</v>
      </c>
      <c r="AG199" s="67">
        <f t="shared" si="15"/>
        <v>18.8576</v>
      </c>
      <c r="AH199" s="67">
        <f t="shared" si="16"/>
        <v>136.7176</v>
      </c>
      <c r="AI199" s="67">
        <f t="shared" si="17"/>
        <v>113.6</v>
      </c>
      <c r="AJ199" s="68">
        <f t="shared" si="20"/>
        <v>18.176</v>
      </c>
      <c r="AK199" s="68">
        <f t="shared" si="21"/>
        <v>131.776</v>
      </c>
      <c r="AL199" s="70">
        <f>IFERROR(__xludf.DUMMYFUNCTION("""COMPUTED_VALUE"""),1.0)</f>
        <v>1</v>
      </c>
      <c r="AM199" s="70"/>
      <c r="AN199" s="71" t="str">
        <f>IFERROR(__xludf.DUMMYFUNCTION("""COMPUTED_VALUE""")," P")</f>
        <v>P</v>
      </c>
      <c r="AO199" s="71" t="str">
        <f>IFERROR(__xludf.DUMMYFUNCTION("""COMPUTED_VALUE""")," BY06")</f>
        <v>BY06</v>
      </c>
      <c r="AP199" s="71" t="str">
        <f>IFERROR(__xludf.DUMMYFUNCTION("""COMPUTED_VALUE""")," PZA")</f>
        <v>PZA</v>
      </c>
      <c r="AQ199" s="71" t="str">
        <f>IFERROR(__xludf.DUMMYFUNCTION("""COMPUTED_VALUE""")," REF")</f>
        <v>REF</v>
      </c>
      <c r="AR199" s="71" t="str">
        <f>IFERROR(__xludf.DUMMYFUNCTION("""COMPUTED_VALUE""")," BAYONETA CHICA MODELO ANTERIOR SENCILLA ""TIPO L""")</f>
        <v>BAYONETA CHICA MODELO ANTERIOR SENCILLA "TIPO L"</v>
      </c>
      <c r="AS199" s="71" t="str">
        <f>IFERROR(__xludf.DUMMYFUNCTION("""COMPUTED_VALUE""")," BAYONETA CHICA MA SENCILLA TIPO L")</f>
        <v>BAYONETA CHICA MA SENCILLA TIPO L</v>
      </c>
      <c r="AT199" s="71">
        <f>IFERROR(__xludf.DUMMYFUNCTION("""COMPUTED_VALUE"""),33.0)</f>
        <v>33</v>
      </c>
      <c r="AU199" s="71"/>
      <c r="AV199" s="71"/>
      <c r="AW199" s="71"/>
      <c r="AX199" s="71"/>
      <c r="AY199" s="71">
        <f>IFERROR(__xludf.DUMMYFUNCTION("""COMPUTED_VALUE"""),86.0)</f>
        <v>86</v>
      </c>
      <c r="AZ199" s="71">
        <f>IFERROR(__xludf.DUMMYFUNCTION("""COMPUTED_VALUE"""),104.0)</f>
        <v>104</v>
      </c>
      <c r="BA199" s="71">
        <f>IFERROR(__xludf.DUMMYFUNCTION("""COMPUTED_VALUE"""),112.32000000000001)</f>
        <v>112.32</v>
      </c>
      <c r="BB199" s="71">
        <f>IFERROR(__xludf.DUMMYFUNCTION("""COMPUTED_VALUE"""),112.32000000000001)</f>
        <v>112.32</v>
      </c>
      <c r="BC199" s="71">
        <f>IFERROR(__xludf.DUMMYFUNCTION("""COMPUTED_VALUE"""),119.0)</f>
        <v>119</v>
      </c>
      <c r="BD199" s="71">
        <f>IFERROR(__xludf.DUMMYFUNCTION("""COMPUTED_VALUE"""),125.0)</f>
        <v>125</v>
      </c>
      <c r="BE199" s="71">
        <f>IFERROR(__xludf.DUMMYFUNCTION("""COMPUTED_VALUE"""),20.0)</f>
        <v>20</v>
      </c>
      <c r="BF199" s="71">
        <f>IFERROR(__xludf.DUMMYFUNCTION("""COMPUTED_VALUE"""),145.0)</f>
        <v>145</v>
      </c>
      <c r="BG199" s="71">
        <f>IFERROR(__xludf.DUMMYFUNCTION("""COMPUTED_VALUE"""),0.05042016806722689)</f>
        <v>0.05042016807</v>
      </c>
      <c r="BH199" s="71">
        <f>IFERROR(__xludf.DUMMYFUNCTION("""COMPUTED_VALUE"""),118.75)</f>
        <v>118.75</v>
      </c>
      <c r="BI199" s="71">
        <f>IFERROR(__xludf.DUMMYFUNCTION("""COMPUTED_VALUE"""),19.0)</f>
        <v>19</v>
      </c>
      <c r="BJ199" s="71">
        <f>IFERROR(__xludf.DUMMYFUNCTION("""COMPUTED_VALUE"""),137.75)</f>
        <v>137.75</v>
      </c>
      <c r="BK199" s="71">
        <f>IFERROR(__xludf.DUMMYFUNCTION("""COMPUTED_VALUE"""),112.5)</f>
        <v>112.5</v>
      </c>
      <c r="BL199" s="71">
        <f>IFERROR(__xludf.DUMMYFUNCTION("""COMPUTED_VALUE"""),18.0)</f>
        <v>18</v>
      </c>
      <c r="BM199" s="71">
        <f>IFERROR(__xludf.DUMMYFUNCTION("""COMPUTED_VALUE"""),130.5)</f>
        <v>130.5</v>
      </c>
      <c r="BN199" s="71">
        <f>IFERROR(__xludf.DUMMYFUNCTION("""COMPUTED_VALUE"""),106.25)</f>
        <v>106.25</v>
      </c>
      <c r="BO199" s="71">
        <f>IFERROR(__xludf.DUMMYFUNCTION("""COMPUTED_VALUE"""),17.0)</f>
        <v>17</v>
      </c>
      <c r="BP199" s="71">
        <f>IFERROR(__xludf.DUMMYFUNCTION("""COMPUTED_VALUE"""),123.25)</f>
        <v>123.25</v>
      </c>
      <c r="BQ199" s="71">
        <f>IFERROR(__xludf.DUMMYFUNCTION("""COMPUTED_VALUE"""),103.75)</f>
        <v>103.75</v>
      </c>
      <c r="BR199" s="71">
        <f>IFERROR(__xludf.DUMMYFUNCTION("""COMPUTED_VALUE"""),16.6)</f>
        <v>16.6</v>
      </c>
      <c r="BS199" s="71">
        <f>IFERROR(__xludf.DUMMYFUNCTION("""COMPUTED_VALUE"""),120.35)</f>
        <v>120.35</v>
      </c>
      <c r="BT199" s="71">
        <f>IFERROR(__xludf.DUMMYFUNCTION("""COMPUTED_VALUE"""),100.0)</f>
        <v>100</v>
      </c>
      <c r="BU199" s="71">
        <f>IFERROR(__xludf.DUMMYFUNCTION("""COMPUTED_VALUE"""),16.0)</f>
        <v>16</v>
      </c>
      <c r="BV199" s="71">
        <f>IFERROR(__xludf.DUMMYFUNCTION("""COMPUTED_VALUE"""),116.0)</f>
        <v>116</v>
      </c>
    </row>
    <row r="200">
      <c r="A200" s="53">
        <v>1.0</v>
      </c>
      <c r="B200" s="72"/>
      <c r="C200" s="73" t="s">
        <v>12</v>
      </c>
      <c r="D200" s="74" t="s">
        <v>501</v>
      </c>
      <c r="E200" s="54" t="s">
        <v>38</v>
      </c>
      <c r="F200" s="54" t="s">
        <v>42</v>
      </c>
      <c r="G200" s="88" t="s">
        <v>502</v>
      </c>
      <c r="H200" s="54" t="s">
        <v>502</v>
      </c>
      <c r="I200" s="54">
        <f t="shared" si="1"/>
        <v>30</v>
      </c>
      <c r="J200" s="56"/>
      <c r="K200" s="75"/>
      <c r="L200" s="76"/>
      <c r="M200" s="59"/>
      <c r="N200" s="60">
        <v>49.0</v>
      </c>
      <c r="O200" s="61">
        <v>55.0</v>
      </c>
      <c r="P200" s="62">
        <v>59.400000000000006</v>
      </c>
      <c r="Q200" s="63">
        <v>59.400000000000006</v>
      </c>
      <c r="R200" s="64">
        <v>67.0</v>
      </c>
      <c r="S200" s="111">
        <v>70.0</v>
      </c>
      <c r="T200" s="65">
        <f t="shared" si="2"/>
        <v>11.2</v>
      </c>
      <c r="U200" s="65">
        <f t="shared" si="3"/>
        <v>81.2</v>
      </c>
      <c r="V200" s="66">
        <f t="shared" si="4"/>
        <v>0.0447761194</v>
      </c>
      <c r="W200" s="67">
        <f t="shared" si="5"/>
        <v>66.5</v>
      </c>
      <c r="X200" s="67">
        <f t="shared" si="6"/>
        <v>10.64</v>
      </c>
      <c r="Y200" s="67">
        <f t="shared" si="7"/>
        <v>77.14</v>
      </c>
      <c r="Z200" s="67">
        <f t="shared" si="8"/>
        <v>63</v>
      </c>
      <c r="AA200" s="67">
        <f t="shared" si="9"/>
        <v>10.08</v>
      </c>
      <c r="AB200" s="67">
        <f t="shared" si="10"/>
        <v>73.08</v>
      </c>
      <c r="AC200" s="67">
        <f t="shared" si="11"/>
        <v>59.5</v>
      </c>
      <c r="AD200" s="67">
        <f t="shared" si="12"/>
        <v>9.52</v>
      </c>
      <c r="AE200" s="67">
        <f t="shared" si="13"/>
        <v>69.02</v>
      </c>
      <c r="AF200" s="67">
        <f t="shared" si="14"/>
        <v>58.1</v>
      </c>
      <c r="AG200" s="67">
        <f t="shared" si="15"/>
        <v>9.296</v>
      </c>
      <c r="AH200" s="67">
        <f t="shared" si="16"/>
        <v>67.396</v>
      </c>
      <c r="AI200" s="67">
        <f t="shared" si="17"/>
        <v>56</v>
      </c>
      <c r="AJ200" s="68">
        <f t="shared" si="20"/>
        <v>8.96</v>
      </c>
      <c r="AK200" s="68">
        <f t="shared" si="21"/>
        <v>64.96</v>
      </c>
      <c r="AL200" s="70">
        <f>IFERROR(__xludf.DUMMYFUNCTION("""COMPUTED_VALUE"""),1.0)</f>
        <v>1</v>
      </c>
      <c r="AM200" s="70"/>
      <c r="AN200" s="71" t="str">
        <f>IFERROR(__xludf.DUMMYFUNCTION("""COMPUTED_VALUE""")," P")</f>
        <v>P</v>
      </c>
      <c r="AO200" s="71" t="str">
        <f>IFERROR(__xludf.DUMMYFUNCTION("""COMPUTED_VALUE""")," BY03")</f>
        <v>BY03</v>
      </c>
      <c r="AP200" s="71" t="str">
        <f>IFERROR(__xludf.DUMMYFUNCTION("""COMPUTED_VALUE""")," PZA")</f>
        <v>PZA</v>
      </c>
      <c r="AQ200" s="71" t="str">
        <f>IFERROR(__xludf.DUMMYFUNCTION("""COMPUTED_VALUE""")," REF")</f>
        <v>REF</v>
      </c>
      <c r="AR200" s="71" t="str">
        <f>IFERROR(__xludf.DUMMYFUNCTION("""COMPUTED_VALUE""")," BAYONETA CHICA SENCILLA TV-50 (B.C.) ""TIPO J""")</f>
        <v>BAYONETA CHICA SENCILLA TV-50 (B.C.) "TIPO J"</v>
      </c>
      <c r="AS200" s="71" t="str">
        <f>IFERROR(__xludf.DUMMYFUNCTION("""COMPUTED_VALUE""")," BAYONETA CHICA SENCILLA TV50 BC TIPO J")</f>
        <v>BAYONETA CHICA SENCILLA TV50 BC TIPO J</v>
      </c>
      <c r="AT200" s="71">
        <f>IFERROR(__xludf.DUMMYFUNCTION("""COMPUTED_VALUE"""),38.0)</f>
        <v>38</v>
      </c>
      <c r="AU200" s="71"/>
      <c r="AV200" s="71"/>
      <c r="AW200" s="71"/>
      <c r="AX200" s="71"/>
      <c r="AY200" s="71">
        <f>IFERROR(__xludf.DUMMYFUNCTION("""COMPUTED_VALUE"""),85.0)</f>
        <v>85</v>
      </c>
      <c r="AZ200" s="71">
        <f>IFERROR(__xludf.DUMMYFUNCTION("""COMPUTED_VALUE"""),104.0)</f>
        <v>104</v>
      </c>
      <c r="BA200" s="71">
        <f>IFERROR(__xludf.DUMMYFUNCTION("""COMPUTED_VALUE"""),112.32000000000001)</f>
        <v>112.32</v>
      </c>
      <c r="BB200" s="71">
        <f>IFERROR(__xludf.DUMMYFUNCTION("""COMPUTED_VALUE"""),112.32000000000001)</f>
        <v>112.32</v>
      </c>
      <c r="BC200" s="71">
        <f>IFERROR(__xludf.DUMMYFUNCTION("""COMPUTED_VALUE"""),134.0)</f>
        <v>134</v>
      </c>
      <c r="BD200" s="71">
        <f>IFERROR(__xludf.DUMMYFUNCTION("""COMPUTED_VALUE"""),141.0)</f>
        <v>141</v>
      </c>
      <c r="BE200" s="71">
        <f>IFERROR(__xludf.DUMMYFUNCTION("""COMPUTED_VALUE"""),22.56)</f>
        <v>22.56</v>
      </c>
      <c r="BF200" s="71">
        <f>IFERROR(__xludf.DUMMYFUNCTION("""COMPUTED_VALUE"""),163.56)</f>
        <v>163.56</v>
      </c>
      <c r="BG200" s="71">
        <f>IFERROR(__xludf.DUMMYFUNCTION("""COMPUTED_VALUE"""),0.05223880597014925)</f>
        <v>0.05223880597</v>
      </c>
      <c r="BH200" s="71">
        <f>IFERROR(__xludf.DUMMYFUNCTION("""COMPUTED_VALUE"""),133.95)</f>
        <v>133.95</v>
      </c>
      <c r="BI200" s="71">
        <f>IFERROR(__xludf.DUMMYFUNCTION("""COMPUTED_VALUE"""),21.432)</f>
        <v>21.432</v>
      </c>
      <c r="BJ200" s="71">
        <f>IFERROR(__xludf.DUMMYFUNCTION("""COMPUTED_VALUE"""),155.38199999999998)</f>
        <v>155.382</v>
      </c>
      <c r="BK200" s="71">
        <f>IFERROR(__xludf.DUMMYFUNCTION("""COMPUTED_VALUE"""),126.9)</f>
        <v>126.9</v>
      </c>
      <c r="BL200" s="71">
        <f>IFERROR(__xludf.DUMMYFUNCTION("""COMPUTED_VALUE"""),20.304000000000002)</f>
        <v>20.304</v>
      </c>
      <c r="BM200" s="71">
        <f>IFERROR(__xludf.DUMMYFUNCTION("""COMPUTED_VALUE"""),147.204)</f>
        <v>147.204</v>
      </c>
      <c r="BN200" s="71">
        <f>IFERROR(__xludf.DUMMYFUNCTION("""COMPUTED_VALUE"""),119.85)</f>
        <v>119.85</v>
      </c>
      <c r="BO200" s="71">
        <f>IFERROR(__xludf.DUMMYFUNCTION("""COMPUTED_VALUE"""),19.176)</f>
        <v>19.176</v>
      </c>
      <c r="BP200" s="71">
        <f>IFERROR(__xludf.DUMMYFUNCTION("""COMPUTED_VALUE"""),139.02599999999998)</f>
        <v>139.026</v>
      </c>
      <c r="BQ200" s="71">
        <f>IFERROR(__xludf.DUMMYFUNCTION("""COMPUTED_VALUE"""),117.03)</f>
        <v>117.03</v>
      </c>
      <c r="BR200" s="71">
        <f>IFERROR(__xludf.DUMMYFUNCTION("""COMPUTED_VALUE"""),18.724800000000002)</f>
        <v>18.7248</v>
      </c>
      <c r="BS200" s="71">
        <f>IFERROR(__xludf.DUMMYFUNCTION("""COMPUTED_VALUE"""),135.7548)</f>
        <v>135.7548</v>
      </c>
      <c r="BT200" s="71">
        <f>IFERROR(__xludf.DUMMYFUNCTION("""COMPUTED_VALUE"""),112.80000000000001)</f>
        <v>112.8</v>
      </c>
      <c r="BU200" s="71">
        <f>IFERROR(__xludf.DUMMYFUNCTION("""COMPUTED_VALUE"""),18.048000000000002)</f>
        <v>18.048</v>
      </c>
      <c r="BV200" s="71">
        <f>IFERROR(__xludf.DUMMYFUNCTION("""COMPUTED_VALUE"""),130.848)</f>
        <v>130.848</v>
      </c>
    </row>
    <row r="201">
      <c r="A201" s="53">
        <v>1.0</v>
      </c>
      <c r="B201" s="72"/>
      <c r="C201" s="73" t="s">
        <v>12</v>
      </c>
      <c r="D201" s="74" t="s">
        <v>503</v>
      </c>
      <c r="E201" s="54" t="s">
        <v>38</v>
      </c>
      <c r="F201" s="54" t="s">
        <v>42</v>
      </c>
      <c r="G201" s="88" t="s">
        <v>504</v>
      </c>
      <c r="H201" s="54" t="s">
        <v>504</v>
      </c>
      <c r="I201" s="54">
        <f t="shared" si="1"/>
        <v>26</v>
      </c>
      <c r="J201" s="56"/>
      <c r="K201" s="75"/>
      <c r="L201" s="76"/>
      <c r="M201" s="59"/>
      <c r="N201" s="60">
        <v>113.0</v>
      </c>
      <c r="O201" s="61">
        <v>122.0</v>
      </c>
      <c r="P201" s="62">
        <v>131.76000000000002</v>
      </c>
      <c r="Q201" s="63">
        <v>131.76000000000002</v>
      </c>
      <c r="R201" s="64">
        <v>147.0</v>
      </c>
      <c r="S201" s="65">
        <v>144.0</v>
      </c>
      <c r="T201" s="65">
        <f t="shared" si="2"/>
        <v>23.04</v>
      </c>
      <c r="U201" s="65">
        <f t="shared" si="3"/>
        <v>167.04</v>
      </c>
      <c r="V201" s="66">
        <f t="shared" si="4"/>
        <v>-0.02040816327</v>
      </c>
      <c r="W201" s="67">
        <f t="shared" si="5"/>
        <v>136.8</v>
      </c>
      <c r="X201" s="67">
        <f t="shared" si="6"/>
        <v>21.888</v>
      </c>
      <c r="Y201" s="67">
        <f t="shared" si="7"/>
        <v>158.688</v>
      </c>
      <c r="Z201" s="67">
        <f t="shared" si="8"/>
        <v>129.6</v>
      </c>
      <c r="AA201" s="67">
        <f t="shared" si="9"/>
        <v>20.736</v>
      </c>
      <c r="AB201" s="67">
        <f t="shared" si="10"/>
        <v>150.336</v>
      </c>
      <c r="AC201" s="67">
        <f t="shared" si="11"/>
        <v>122.4</v>
      </c>
      <c r="AD201" s="67">
        <f t="shared" si="12"/>
        <v>19.584</v>
      </c>
      <c r="AE201" s="67">
        <f t="shared" si="13"/>
        <v>141.984</v>
      </c>
      <c r="AF201" s="67">
        <f t="shared" si="14"/>
        <v>119.52</v>
      </c>
      <c r="AG201" s="67">
        <f t="shared" si="15"/>
        <v>19.1232</v>
      </c>
      <c r="AH201" s="67">
        <f t="shared" si="16"/>
        <v>138.6432</v>
      </c>
      <c r="AI201" s="67">
        <f t="shared" si="17"/>
        <v>115.2</v>
      </c>
      <c r="AJ201" s="68">
        <f t="shared" si="20"/>
        <v>18.432</v>
      </c>
      <c r="AK201" s="68">
        <f t="shared" si="21"/>
        <v>133.632</v>
      </c>
      <c r="AL201" s="70">
        <f>IFERROR(__xludf.DUMMYFUNCTION("""COMPUTED_VALUE"""),1.0)</f>
        <v>1</v>
      </c>
      <c r="AM201" s="70"/>
      <c r="AN201" s="71" t="str">
        <f>IFERROR(__xludf.DUMMYFUNCTION("""COMPUTED_VALUE""")," P")</f>
        <v>P</v>
      </c>
      <c r="AO201" s="71" t="str">
        <f>IFERROR(__xludf.DUMMYFUNCTION("""COMPUTED_VALUE""")," BY93")</f>
        <v>BY93</v>
      </c>
      <c r="AP201" s="71" t="str">
        <f>IFERROR(__xludf.DUMMYFUNCTION("""COMPUTED_VALUE""")," PZA")</f>
        <v>PZA</v>
      </c>
      <c r="AQ201" s="71" t="str">
        <f>IFERROR(__xludf.DUMMYFUNCTION("""COMPUTED_VALUE""")," REF")</f>
        <v>REF</v>
      </c>
      <c r="AR201" s="71" t="str">
        <f>IFERROR(__xludf.DUMMYFUNCTION("""COMPUTED_VALUE""")," BAYONETA CHICA SENCILLA TV-50 (B.C.) ""TIPO J"" EN ACERO INOX. T-304 GRADO ALIMENTICIO")</f>
        <v>BAYONETA CHICA SENCILLA TV-50 (B.C.) "TIPO J" EN ACERO INOX. T-304 GRADO ALIMENTICIO</v>
      </c>
      <c r="AS201" s="71" t="str">
        <f>IFERROR(__xludf.DUMMYFUNCTION("""COMPUTED_VALUE""")," BAYONETA CHICA SENC TV50 BC TIPO J INOX")</f>
        <v>BAYONETA CHICA SENC TV50 BC TIPO J INOX</v>
      </c>
      <c r="AT201" s="71">
        <f>IFERROR(__xludf.DUMMYFUNCTION("""COMPUTED_VALUE"""),39.0)</f>
        <v>39</v>
      </c>
      <c r="AU201" s="71"/>
      <c r="AV201" s="71"/>
      <c r="AW201" s="71"/>
      <c r="AX201" s="71"/>
      <c r="AY201" s="71">
        <f>IFERROR(__xludf.DUMMYFUNCTION("""COMPUTED_VALUE"""),189.0)</f>
        <v>189</v>
      </c>
      <c r="AZ201" s="71">
        <f>IFERROR(__xludf.DUMMYFUNCTION("""COMPUTED_VALUE"""),204.0)</f>
        <v>204</v>
      </c>
      <c r="BA201" s="71">
        <f>IFERROR(__xludf.DUMMYFUNCTION("""COMPUTED_VALUE"""),336.96)</f>
        <v>336.96</v>
      </c>
      <c r="BB201" s="71">
        <f>IFERROR(__xludf.DUMMYFUNCTION("""COMPUTED_VALUE"""),336.96)</f>
        <v>336.96</v>
      </c>
      <c r="BC201" s="71">
        <f>IFERROR(__xludf.DUMMYFUNCTION("""COMPUTED_VALUE"""),354.0)</f>
        <v>354</v>
      </c>
      <c r="BD201" s="71">
        <f>IFERROR(__xludf.DUMMYFUNCTION("""COMPUTED_VALUE"""),372.0)</f>
        <v>372</v>
      </c>
      <c r="BE201" s="71">
        <f>IFERROR(__xludf.DUMMYFUNCTION("""COMPUTED_VALUE"""),59.52)</f>
        <v>59.52</v>
      </c>
      <c r="BF201" s="71">
        <f>IFERROR(__xludf.DUMMYFUNCTION("""COMPUTED_VALUE"""),431.52)</f>
        <v>431.52</v>
      </c>
      <c r="BG201" s="71">
        <f>IFERROR(__xludf.DUMMYFUNCTION("""COMPUTED_VALUE"""),0.05084745762711865)</f>
        <v>0.05084745763</v>
      </c>
      <c r="BH201" s="71">
        <f>IFERROR(__xludf.DUMMYFUNCTION("""COMPUTED_VALUE"""),353.4)</f>
        <v>353.4</v>
      </c>
      <c r="BI201" s="71">
        <f>IFERROR(__xludf.DUMMYFUNCTION("""COMPUTED_VALUE"""),56.544)</f>
        <v>56.544</v>
      </c>
      <c r="BJ201" s="71">
        <f>IFERROR(__xludf.DUMMYFUNCTION("""COMPUTED_VALUE"""),409.94399999999996)</f>
        <v>409.944</v>
      </c>
      <c r="BK201" s="71">
        <f>IFERROR(__xludf.DUMMYFUNCTION("""COMPUTED_VALUE"""),334.8)</f>
        <v>334.8</v>
      </c>
      <c r="BL201" s="71">
        <f>IFERROR(__xludf.DUMMYFUNCTION("""COMPUTED_VALUE"""),53.568000000000005)</f>
        <v>53.568</v>
      </c>
      <c r="BM201" s="71">
        <f>IFERROR(__xludf.DUMMYFUNCTION("""COMPUTED_VALUE"""),388.368)</f>
        <v>388.368</v>
      </c>
      <c r="BN201" s="71">
        <f>IFERROR(__xludf.DUMMYFUNCTION("""COMPUTED_VALUE"""),316.2)</f>
        <v>316.2</v>
      </c>
      <c r="BO201" s="71">
        <f>IFERROR(__xludf.DUMMYFUNCTION("""COMPUTED_VALUE"""),50.592)</f>
        <v>50.592</v>
      </c>
      <c r="BP201" s="71">
        <f>IFERROR(__xludf.DUMMYFUNCTION("""COMPUTED_VALUE"""),366.792)</f>
        <v>366.792</v>
      </c>
      <c r="BQ201" s="71">
        <f>IFERROR(__xludf.DUMMYFUNCTION("""COMPUTED_VALUE"""),308.76)</f>
        <v>308.76</v>
      </c>
      <c r="BR201" s="71">
        <f>IFERROR(__xludf.DUMMYFUNCTION("""COMPUTED_VALUE"""),49.4016)</f>
        <v>49.4016</v>
      </c>
      <c r="BS201" s="71">
        <f>IFERROR(__xludf.DUMMYFUNCTION("""COMPUTED_VALUE"""),358.1616)</f>
        <v>358.1616</v>
      </c>
      <c r="BT201" s="71">
        <f>IFERROR(__xludf.DUMMYFUNCTION("""COMPUTED_VALUE"""),297.6)</f>
        <v>297.6</v>
      </c>
      <c r="BU201" s="71">
        <f>IFERROR(__xludf.DUMMYFUNCTION("""COMPUTED_VALUE"""),47.61600000000001)</f>
        <v>47.616</v>
      </c>
      <c r="BV201" s="71">
        <f>IFERROR(__xludf.DUMMYFUNCTION("""COMPUTED_VALUE"""),345.216)</f>
        <v>345.216</v>
      </c>
    </row>
    <row r="202">
      <c r="A202" s="53">
        <v>1.0</v>
      </c>
      <c r="B202" s="53"/>
      <c r="C202" s="53" t="s">
        <v>12</v>
      </c>
      <c r="D202" s="53" t="s">
        <v>505</v>
      </c>
      <c r="E202" s="86" t="s">
        <v>38</v>
      </c>
      <c r="F202" s="91" t="s">
        <v>42</v>
      </c>
      <c r="G202" s="84" t="s">
        <v>506</v>
      </c>
      <c r="H202" s="84" t="s">
        <v>506</v>
      </c>
      <c r="I202" s="54">
        <f t="shared" si="1"/>
        <v>26</v>
      </c>
      <c r="J202" s="56"/>
      <c r="K202" s="57"/>
      <c r="L202" s="119"/>
      <c r="M202" s="124"/>
      <c r="N202" s="93"/>
      <c r="O202" s="61"/>
      <c r="P202" s="90"/>
      <c r="Q202" s="94"/>
      <c r="R202" s="95"/>
      <c r="S202" s="125">
        <v>144.0</v>
      </c>
      <c r="T202" s="65">
        <f t="shared" si="2"/>
        <v>23.04</v>
      </c>
      <c r="U202" s="65">
        <f t="shared" si="3"/>
        <v>167.04</v>
      </c>
      <c r="V202" s="66" t="str">
        <f t="shared" si="4"/>
        <v>#DIV/0!</v>
      </c>
      <c r="W202" s="67">
        <f t="shared" si="5"/>
        <v>136.8</v>
      </c>
      <c r="X202" s="67">
        <f t="shared" si="6"/>
        <v>21.888</v>
      </c>
      <c r="Y202" s="67">
        <f t="shared" si="7"/>
        <v>158.688</v>
      </c>
      <c r="Z202" s="67">
        <f t="shared" si="8"/>
        <v>129.6</v>
      </c>
      <c r="AA202" s="67">
        <f t="shared" si="9"/>
        <v>20.736</v>
      </c>
      <c r="AB202" s="67">
        <f t="shared" si="10"/>
        <v>150.336</v>
      </c>
      <c r="AC202" s="67">
        <f t="shared" si="11"/>
        <v>122.4</v>
      </c>
      <c r="AD202" s="67">
        <f t="shared" si="12"/>
        <v>19.584</v>
      </c>
      <c r="AE202" s="67">
        <f t="shared" si="13"/>
        <v>141.984</v>
      </c>
      <c r="AF202" s="67">
        <f t="shared" si="14"/>
        <v>119.52</v>
      </c>
      <c r="AG202" s="67">
        <f t="shared" si="15"/>
        <v>19.1232</v>
      </c>
      <c r="AH202" s="67">
        <f t="shared" si="16"/>
        <v>138.6432</v>
      </c>
      <c r="AI202" s="67">
        <f t="shared" si="17"/>
        <v>115.2</v>
      </c>
      <c r="AJ202" s="68">
        <f t="shared" si="20"/>
        <v>18.432</v>
      </c>
      <c r="AK202" s="68">
        <f t="shared" si="21"/>
        <v>133.632</v>
      </c>
      <c r="AL202" s="70">
        <f>IFERROR(__xludf.DUMMYFUNCTION("""COMPUTED_VALUE"""),1.0)</f>
        <v>1</v>
      </c>
      <c r="AM202" s="70"/>
      <c r="AN202" s="71" t="str">
        <f>IFERROR(__xludf.DUMMYFUNCTION("""COMPUTED_VALUE""")," P")</f>
        <v>P</v>
      </c>
      <c r="AO202" s="71" t="str">
        <f>IFERROR(__xludf.DUMMYFUNCTION("""COMPUTED_VALUE""")," BY04")</f>
        <v>BY04</v>
      </c>
      <c r="AP202" s="71" t="str">
        <f>IFERROR(__xludf.DUMMYFUNCTION("""COMPUTED_VALUE""")," PZA")</f>
        <v>PZA</v>
      </c>
      <c r="AQ202" s="71" t="str">
        <f>IFERROR(__xludf.DUMMYFUNCTION("""COMPUTED_VALUE""")," REF")</f>
        <v>REF</v>
      </c>
      <c r="AR202" s="71" t="str">
        <f>IFERROR(__xludf.DUMMYFUNCTION("""COMPUTED_VALUE""")," BAYONETA CHICA SENCILLA TV-50 (B.C.) ""TIPO L""")</f>
        <v>BAYONETA CHICA SENCILLA TV-50 (B.C.) "TIPO L"</v>
      </c>
      <c r="AS202" s="71" t="str">
        <f>IFERROR(__xludf.DUMMYFUNCTION("""COMPUTED_VALUE""")," BAYONETA CHICA SENCILLA TV50 BC TIPO L")</f>
        <v>BAYONETA CHICA SENCILLA TV50 BC TIPO L</v>
      </c>
      <c r="AT202" s="71">
        <f>IFERROR(__xludf.DUMMYFUNCTION("""COMPUTED_VALUE"""),38.0)</f>
        <v>38</v>
      </c>
      <c r="AU202" s="71"/>
      <c r="AV202" s="71"/>
      <c r="AW202" s="71"/>
      <c r="AX202" s="71"/>
      <c r="AY202" s="71">
        <f>IFERROR(__xludf.DUMMYFUNCTION("""COMPUTED_VALUE"""),85.0)</f>
        <v>85</v>
      </c>
      <c r="AZ202" s="71">
        <f>IFERROR(__xludf.DUMMYFUNCTION("""COMPUTED_VALUE"""),104.0)</f>
        <v>104</v>
      </c>
      <c r="BA202" s="71">
        <f>IFERROR(__xludf.DUMMYFUNCTION("""COMPUTED_VALUE"""),112.32000000000001)</f>
        <v>112.32</v>
      </c>
      <c r="BB202" s="71">
        <f>IFERROR(__xludf.DUMMYFUNCTION("""COMPUTED_VALUE"""),112.32000000000001)</f>
        <v>112.32</v>
      </c>
      <c r="BC202" s="71">
        <f>IFERROR(__xludf.DUMMYFUNCTION("""COMPUTED_VALUE"""),134.0)</f>
        <v>134</v>
      </c>
      <c r="BD202" s="71">
        <f>IFERROR(__xludf.DUMMYFUNCTION("""COMPUTED_VALUE"""),141.0)</f>
        <v>141</v>
      </c>
      <c r="BE202" s="71">
        <f>IFERROR(__xludf.DUMMYFUNCTION("""COMPUTED_VALUE"""),22.56)</f>
        <v>22.56</v>
      </c>
      <c r="BF202" s="71">
        <f>IFERROR(__xludf.DUMMYFUNCTION("""COMPUTED_VALUE"""),163.56)</f>
        <v>163.56</v>
      </c>
      <c r="BG202" s="71">
        <f>IFERROR(__xludf.DUMMYFUNCTION("""COMPUTED_VALUE"""),0.05223880597014925)</f>
        <v>0.05223880597</v>
      </c>
      <c r="BH202" s="71">
        <f>IFERROR(__xludf.DUMMYFUNCTION("""COMPUTED_VALUE"""),133.95)</f>
        <v>133.95</v>
      </c>
      <c r="BI202" s="71">
        <f>IFERROR(__xludf.DUMMYFUNCTION("""COMPUTED_VALUE"""),21.432)</f>
        <v>21.432</v>
      </c>
      <c r="BJ202" s="71">
        <f>IFERROR(__xludf.DUMMYFUNCTION("""COMPUTED_VALUE"""),155.38199999999998)</f>
        <v>155.382</v>
      </c>
      <c r="BK202" s="71">
        <f>IFERROR(__xludf.DUMMYFUNCTION("""COMPUTED_VALUE"""),126.9)</f>
        <v>126.9</v>
      </c>
      <c r="BL202" s="71">
        <f>IFERROR(__xludf.DUMMYFUNCTION("""COMPUTED_VALUE"""),20.304000000000002)</f>
        <v>20.304</v>
      </c>
      <c r="BM202" s="71">
        <f>IFERROR(__xludf.DUMMYFUNCTION("""COMPUTED_VALUE"""),147.204)</f>
        <v>147.204</v>
      </c>
      <c r="BN202" s="71">
        <f>IFERROR(__xludf.DUMMYFUNCTION("""COMPUTED_VALUE"""),119.85)</f>
        <v>119.85</v>
      </c>
      <c r="BO202" s="71">
        <f>IFERROR(__xludf.DUMMYFUNCTION("""COMPUTED_VALUE"""),19.176)</f>
        <v>19.176</v>
      </c>
      <c r="BP202" s="71">
        <f>IFERROR(__xludf.DUMMYFUNCTION("""COMPUTED_VALUE"""),139.02599999999998)</f>
        <v>139.026</v>
      </c>
      <c r="BQ202" s="71">
        <f>IFERROR(__xludf.DUMMYFUNCTION("""COMPUTED_VALUE"""),117.03)</f>
        <v>117.03</v>
      </c>
      <c r="BR202" s="71">
        <f>IFERROR(__xludf.DUMMYFUNCTION("""COMPUTED_VALUE"""),18.724800000000002)</f>
        <v>18.7248</v>
      </c>
      <c r="BS202" s="71">
        <f>IFERROR(__xludf.DUMMYFUNCTION("""COMPUTED_VALUE"""),135.7548)</f>
        <v>135.7548</v>
      </c>
      <c r="BT202" s="71">
        <f>IFERROR(__xludf.DUMMYFUNCTION("""COMPUTED_VALUE"""),112.80000000000001)</f>
        <v>112.8</v>
      </c>
      <c r="BU202" s="71">
        <f>IFERROR(__xludf.DUMMYFUNCTION("""COMPUTED_VALUE"""),18.048000000000002)</f>
        <v>18.048</v>
      </c>
      <c r="BV202" s="71">
        <f>IFERROR(__xludf.DUMMYFUNCTION("""COMPUTED_VALUE"""),130.848)</f>
        <v>130.848</v>
      </c>
    </row>
    <row r="203">
      <c r="A203" s="53"/>
      <c r="B203" s="53"/>
      <c r="C203" s="53" t="s">
        <v>12</v>
      </c>
      <c r="D203" s="53" t="s">
        <v>507</v>
      </c>
      <c r="E203" s="54" t="s">
        <v>38</v>
      </c>
      <c r="F203" s="54" t="s">
        <v>42</v>
      </c>
      <c r="G203" s="55" t="s">
        <v>508</v>
      </c>
      <c r="H203" s="54" t="s">
        <v>508</v>
      </c>
      <c r="I203" s="54">
        <f t="shared" si="1"/>
        <v>26</v>
      </c>
      <c r="J203" s="56"/>
      <c r="K203" s="75"/>
      <c r="L203" s="76"/>
      <c r="M203" s="59"/>
      <c r="N203" s="79">
        <v>112.0</v>
      </c>
      <c r="O203" s="61">
        <v>120.0</v>
      </c>
      <c r="P203" s="63">
        <v>129.60000000000002</v>
      </c>
      <c r="Q203" s="63">
        <v>129.60000000000002</v>
      </c>
      <c r="R203" s="64">
        <v>137.0</v>
      </c>
      <c r="S203" s="111">
        <v>144.0</v>
      </c>
      <c r="T203" s="65">
        <f t="shared" si="2"/>
        <v>23.04</v>
      </c>
      <c r="U203" s="65">
        <f t="shared" si="3"/>
        <v>167.04</v>
      </c>
      <c r="V203" s="66">
        <f t="shared" si="4"/>
        <v>0.05109489051</v>
      </c>
      <c r="W203" s="67">
        <f t="shared" si="5"/>
        <v>136.8</v>
      </c>
      <c r="X203" s="67">
        <f t="shared" si="6"/>
        <v>21.888</v>
      </c>
      <c r="Y203" s="67">
        <f t="shared" si="7"/>
        <v>158.688</v>
      </c>
      <c r="Z203" s="67">
        <f t="shared" si="8"/>
        <v>129.6</v>
      </c>
      <c r="AA203" s="67">
        <f t="shared" si="9"/>
        <v>20.736</v>
      </c>
      <c r="AB203" s="67">
        <f t="shared" si="10"/>
        <v>150.336</v>
      </c>
      <c r="AC203" s="67">
        <f t="shared" si="11"/>
        <v>122.4</v>
      </c>
      <c r="AD203" s="67">
        <f t="shared" si="12"/>
        <v>19.584</v>
      </c>
      <c r="AE203" s="67">
        <f t="shared" si="13"/>
        <v>141.984</v>
      </c>
      <c r="AF203" s="67">
        <f t="shared" si="14"/>
        <v>119.52</v>
      </c>
      <c r="AG203" s="67">
        <f t="shared" si="15"/>
        <v>19.1232</v>
      </c>
      <c r="AH203" s="67">
        <f t="shared" si="16"/>
        <v>138.6432</v>
      </c>
      <c r="AI203" s="67">
        <f t="shared" si="17"/>
        <v>115.2</v>
      </c>
      <c r="AJ203" s="68">
        <f t="shared" si="20"/>
        <v>18.432</v>
      </c>
      <c r="AK203" s="68">
        <f t="shared" si="21"/>
        <v>133.632</v>
      </c>
      <c r="AL203" s="70">
        <f>IFERROR(__xludf.DUMMYFUNCTION("""COMPUTED_VALUE"""),1.0)</f>
        <v>1</v>
      </c>
      <c r="AM203" s="70"/>
      <c r="AN203" s="71" t="str">
        <f>IFERROR(__xludf.DUMMYFUNCTION("""COMPUTED_VALUE""")," P")</f>
        <v>P</v>
      </c>
      <c r="AO203" s="71" t="str">
        <f>IFERROR(__xludf.DUMMYFUNCTION("""COMPUTED_VALUE""")," BY94")</f>
        <v>BY94</v>
      </c>
      <c r="AP203" s="71" t="str">
        <f>IFERROR(__xludf.DUMMYFUNCTION("""COMPUTED_VALUE""")," PZA")</f>
        <v>PZA</v>
      </c>
      <c r="AQ203" s="71" t="str">
        <f>IFERROR(__xludf.DUMMYFUNCTION("""COMPUTED_VALUE""")," REF")</f>
        <v>REF</v>
      </c>
      <c r="AR203" s="71" t="str">
        <f>IFERROR(__xludf.DUMMYFUNCTION("""COMPUTED_VALUE""")," BAYONETA CHICA SENCILLA TV-50 (B.C.) ""TIPO L"" EN ACERO INOX. T-304 GRADO ALIMENTICIO")</f>
        <v>BAYONETA CHICA SENCILLA TV-50 (B.C.) "TIPO L" EN ACERO INOX. T-304 GRADO ALIMENTICIO</v>
      </c>
      <c r="AS203" s="71" t="str">
        <f>IFERROR(__xludf.DUMMYFUNCTION("""COMPUTED_VALUE""")," BAYONETA CHICA SENC TV50 BC TIPO L INOX")</f>
        <v>BAYONETA CHICA SENC TV50 BC TIPO L INOX</v>
      </c>
      <c r="AT203" s="71">
        <f>IFERROR(__xludf.DUMMYFUNCTION("""COMPUTED_VALUE"""),39.0)</f>
        <v>39</v>
      </c>
      <c r="AU203" s="71"/>
      <c r="AV203" s="71"/>
      <c r="AW203" s="71"/>
      <c r="AX203" s="71"/>
      <c r="AY203" s="71">
        <f>IFERROR(__xludf.DUMMYFUNCTION("""COMPUTED_VALUE"""),189.0)</f>
        <v>189</v>
      </c>
      <c r="AZ203" s="71">
        <f>IFERROR(__xludf.DUMMYFUNCTION("""COMPUTED_VALUE"""),204.0)</f>
        <v>204</v>
      </c>
      <c r="BA203" s="71">
        <f>IFERROR(__xludf.DUMMYFUNCTION("""COMPUTED_VALUE"""),336.96)</f>
        <v>336.96</v>
      </c>
      <c r="BB203" s="71">
        <f>IFERROR(__xludf.DUMMYFUNCTION("""COMPUTED_VALUE"""),336.96)</f>
        <v>336.96</v>
      </c>
      <c r="BC203" s="71">
        <f>IFERROR(__xludf.DUMMYFUNCTION("""COMPUTED_VALUE"""),354.0)</f>
        <v>354</v>
      </c>
      <c r="BD203" s="71">
        <f>IFERROR(__xludf.DUMMYFUNCTION("""COMPUTED_VALUE"""),372.0)</f>
        <v>372</v>
      </c>
      <c r="BE203" s="71">
        <f>IFERROR(__xludf.DUMMYFUNCTION("""COMPUTED_VALUE"""),59.52)</f>
        <v>59.52</v>
      </c>
      <c r="BF203" s="71">
        <f>IFERROR(__xludf.DUMMYFUNCTION("""COMPUTED_VALUE"""),431.52)</f>
        <v>431.52</v>
      </c>
      <c r="BG203" s="71">
        <f>IFERROR(__xludf.DUMMYFUNCTION("""COMPUTED_VALUE"""),0.05084745762711865)</f>
        <v>0.05084745763</v>
      </c>
      <c r="BH203" s="71">
        <f>IFERROR(__xludf.DUMMYFUNCTION("""COMPUTED_VALUE"""),353.4)</f>
        <v>353.4</v>
      </c>
      <c r="BI203" s="71">
        <f>IFERROR(__xludf.DUMMYFUNCTION("""COMPUTED_VALUE"""),56.544)</f>
        <v>56.544</v>
      </c>
      <c r="BJ203" s="71">
        <f>IFERROR(__xludf.DUMMYFUNCTION("""COMPUTED_VALUE"""),409.94399999999996)</f>
        <v>409.944</v>
      </c>
      <c r="BK203" s="71">
        <f>IFERROR(__xludf.DUMMYFUNCTION("""COMPUTED_VALUE"""),334.8)</f>
        <v>334.8</v>
      </c>
      <c r="BL203" s="71">
        <f>IFERROR(__xludf.DUMMYFUNCTION("""COMPUTED_VALUE"""),53.568000000000005)</f>
        <v>53.568</v>
      </c>
      <c r="BM203" s="71">
        <f>IFERROR(__xludf.DUMMYFUNCTION("""COMPUTED_VALUE"""),388.368)</f>
        <v>388.368</v>
      </c>
      <c r="BN203" s="71">
        <f>IFERROR(__xludf.DUMMYFUNCTION("""COMPUTED_VALUE"""),316.2)</f>
        <v>316.2</v>
      </c>
      <c r="BO203" s="71">
        <f>IFERROR(__xludf.DUMMYFUNCTION("""COMPUTED_VALUE"""),50.592)</f>
        <v>50.592</v>
      </c>
      <c r="BP203" s="71">
        <f>IFERROR(__xludf.DUMMYFUNCTION("""COMPUTED_VALUE"""),366.792)</f>
        <v>366.792</v>
      </c>
      <c r="BQ203" s="71">
        <f>IFERROR(__xludf.DUMMYFUNCTION("""COMPUTED_VALUE"""),308.76)</f>
        <v>308.76</v>
      </c>
      <c r="BR203" s="71">
        <f>IFERROR(__xludf.DUMMYFUNCTION("""COMPUTED_VALUE"""),49.4016)</f>
        <v>49.4016</v>
      </c>
      <c r="BS203" s="71">
        <f>IFERROR(__xludf.DUMMYFUNCTION("""COMPUTED_VALUE"""),358.1616)</f>
        <v>358.1616</v>
      </c>
      <c r="BT203" s="71">
        <f>IFERROR(__xludf.DUMMYFUNCTION("""COMPUTED_VALUE"""),297.6)</f>
        <v>297.6</v>
      </c>
      <c r="BU203" s="71">
        <f>IFERROR(__xludf.DUMMYFUNCTION("""COMPUTED_VALUE"""),47.61600000000001)</f>
        <v>47.616</v>
      </c>
      <c r="BV203" s="71">
        <f>IFERROR(__xludf.DUMMYFUNCTION("""COMPUTED_VALUE"""),345.216)</f>
        <v>345.216</v>
      </c>
    </row>
    <row r="204">
      <c r="A204" s="53"/>
      <c r="B204" s="53"/>
      <c r="C204" s="53" t="s">
        <v>12</v>
      </c>
      <c r="D204" s="53" t="s">
        <v>509</v>
      </c>
      <c r="E204" s="54" t="s">
        <v>38</v>
      </c>
      <c r="F204" s="54" t="s">
        <v>42</v>
      </c>
      <c r="G204" s="55" t="s">
        <v>510</v>
      </c>
      <c r="H204" s="54" t="s">
        <v>510</v>
      </c>
      <c r="I204" s="54">
        <f t="shared" si="1"/>
        <v>26</v>
      </c>
      <c r="J204" s="56"/>
      <c r="K204" s="57"/>
      <c r="L204" s="76"/>
      <c r="M204" s="59"/>
      <c r="N204" s="79">
        <v>115.0</v>
      </c>
      <c r="O204" s="61">
        <v>124.0</v>
      </c>
      <c r="P204" s="63">
        <v>133.92000000000002</v>
      </c>
      <c r="Q204" s="63">
        <v>133.92000000000002</v>
      </c>
      <c r="R204" s="64">
        <v>141.0</v>
      </c>
      <c r="S204" s="111">
        <v>148.0</v>
      </c>
      <c r="T204" s="65">
        <f t="shared" si="2"/>
        <v>23.68</v>
      </c>
      <c r="U204" s="65">
        <f t="shared" si="3"/>
        <v>171.68</v>
      </c>
      <c r="V204" s="66">
        <f t="shared" si="4"/>
        <v>0.04964539007</v>
      </c>
      <c r="W204" s="67">
        <f t="shared" si="5"/>
        <v>140.6</v>
      </c>
      <c r="X204" s="67">
        <f t="shared" si="6"/>
        <v>22.496</v>
      </c>
      <c r="Y204" s="67">
        <f t="shared" si="7"/>
        <v>163.096</v>
      </c>
      <c r="Z204" s="67">
        <f t="shared" si="8"/>
        <v>133.2</v>
      </c>
      <c r="AA204" s="67">
        <f t="shared" si="9"/>
        <v>21.312</v>
      </c>
      <c r="AB204" s="67">
        <f t="shared" si="10"/>
        <v>154.512</v>
      </c>
      <c r="AC204" s="67">
        <f t="shared" si="11"/>
        <v>125.8</v>
      </c>
      <c r="AD204" s="67">
        <f t="shared" si="12"/>
        <v>20.128</v>
      </c>
      <c r="AE204" s="67">
        <f t="shared" si="13"/>
        <v>145.928</v>
      </c>
      <c r="AF204" s="67">
        <f t="shared" si="14"/>
        <v>122.84</v>
      </c>
      <c r="AG204" s="67">
        <f t="shared" si="15"/>
        <v>19.6544</v>
      </c>
      <c r="AH204" s="67">
        <f t="shared" si="16"/>
        <v>142.4944</v>
      </c>
      <c r="AI204" s="67">
        <f t="shared" si="17"/>
        <v>118.4</v>
      </c>
      <c r="AJ204" s="68">
        <f t="shared" si="20"/>
        <v>18.944</v>
      </c>
      <c r="AK204" s="68">
        <f t="shared" si="21"/>
        <v>137.344</v>
      </c>
      <c r="AL204" s="70">
        <f>IFERROR(__xludf.DUMMYFUNCTION("""COMPUTED_VALUE"""),1.0)</f>
        <v>1</v>
      </c>
      <c r="AM204" s="70"/>
      <c r="AN204" s="71" t="str">
        <f>IFERROR(__xludf.DUMMYFUNCTION("""COMPUTED_VALUE""")," P")</f>
        <v>P</v>
      </c>
      <c r="AO204" s="71" t="str">
        <f>IFERROR(__xludf.DUMMYFUNCTION("""COMPUTED_VALUE""")," BY14")</f>
        <v>BY14</v>
      </c>
      <c r="AP204" s="71" t="str">
        <f>IFERROR(__xludf.DUMMYFUNCTION("""COMPUTED_VALUE""")," PZA")</f>
        <v>PZA</v>
      </c>
      <c r="AQ204" s="71" t="str">
        <f>IFERROR(__xludf.DUMMYFUNCTION("""COMPUTED_VALUE""")," REF")</f>
        <v>REF</v>
      </c>
      <c r="AR204" s="71" t="str">
        <f>IFERROR(__xludf.DUMMYFUNCTION("""COMPUTED_VALUE""")," BAYONETA DE POSTE DÚPLEX CON BUJE DE ACERO")</f>
        <v>BAYONETA DE POSTE DÚPLEX CON BUJE DE ACERO</v>
      </c>
      <c r="AS204" s="71" t="str">
        <f>IFERROR(__xludf.DUMMYFUNCTION("""COMPUTED_VALUE""")," BAYONETA DE POSTE DPLX BUJE DE ACERO")</f>
        <v>BAYONETA DE POSTE DPLX BUJE DE ACERO</v>
      </c>
      <c r="AT204" s="71">
        <f>IFERROR(__xludf.DUMMYFUNCTION("""COMPUTED_VALUE"""),36.0)</f>
        <v>36</v>
      </c>
      <c r="AU204" s="71"/>
      <c r="AV204" s="71"/>
      <c r="AW204" s="71"/>
      <c r="AX204" s="71"/>
      <c r="AY204" s="71">
        <f>IFERROR(__xludf.DUMMYFUNCTION("""COMPUTED_VALUE"""),377.0)</f>
        <v>377</v>
      </c>
      <c r="AZ204" s="71">
        <f>IFERROR(__xludf.DUMMYFUNCTION("""COMPUTED_VALUE"""),583.0)</f>
        <v>583</v>
      </c>
      <c r="BA204" s="71">
        <f>IFERROR(__xludf.DUMMYFUNCTION("""COMPUTED_VALUE"""),629.64)</f>
        <v>629.64</v>
      </c>
      <c r="BB204" s="71">
        <f>IFERROR(__xludf.DUMMYFUNCTION("""COMPUTED_VALUE"""),629.64)</f>
        <v>629.64</v>
      </c>
      <c r="BC204" s="71">
        <f>IFERROR(__xludf.DUMMYFUNCTION("""COMPUTED_VALUE"""),702.0)</f>
        <v>702</v>
      </c>
      <c r="BD204" s="71">
        <f>IFERROR(__xludf.DUMMYFUNCTION("""COMPUTED_VALUE"""),737.0)</f>
        <v>737</v>
      </c>
      <c r="BE204" s="71">
        <f>IFERROR(__xludf.DUMMYFUNCTION("""COMPUTED_VALUE"""),117.92)</f>
        <v>117.92</v>
      </c>
      <c r="BF204" s="71">
        <f>IFERROR(__xludf.DUMMYFUNCTION("""COMPUTED_VALUE"""),854.92)</f>
        <v>854.92</v>
      </c>
      <c r="BG204" s="71">
        <f>IFERROR(__xludf.DUMMYFUNCTION("""COMPUTED_VALUE"""),0.04985754985754986)</f>
        <v>0.04985754986</v>
      </c>
      <c r="BH204" s="71">
        <f>IFERROR(__xludf.DUMMYFUNCTION("""COMPUTED_VALUE"""),700.15)</f>
        <v>700.15</v>
      </c>
      <c r="BI204" s="71">
        <f>IFERROR(__xludf.DUMMYFUNCTION("""COMPUTED_VALUE"""),112.024)</f>
        <v>112.024</v>
      </c>
      <c r="BJ204" s="71">
        <f>IFERROR(__xludf.DUMMYFUNCTION("""COMPUTED_VALUE"""),812.174)</f>
        <v>812.174</v>
      </c>
      <c r="BK204" s="71">
        <f>IFERROR(__xludf.DUMMYFUNCTION("""COMPUTED_VALUE"""),663.3000000000001)</f>
        <v>663.3</v>
      </c>
      <c r="BL204" s="71">
        <f>IFERROR(__xludf.DUMMYFUNCTION("""COMPUTED_VALUE"""),106.12800000000001)</f>
        <v>106.128</v>
      </c>
      <c r="BM204" s="71">
        <f>IFERROR(__xludf.DUMMYFUNCTION("""COMPUTED_VALUE"""),769.4280000000001)</f>
        <v>769.428</v>
      </c>
      <c r="BN204" s="71">
        <f>IFERROR(__xludf.DUMMYFUNCTION("""COMPUTED_VALUE"""),626.4499999999999)</f>
        <v>626.45</v>
      </c>
      <c r="BO204" s="71">
        <f>IFERROR(__xludf.DUMMYFUNCTION("""COMPUTED_VALUE"""),100.23199999999999)</f>
        <v>100.232</v>
      </c>
      <c r="BP204" s="71">
        <f>IFERROR(__xludf.DUMMYFUNCTION("""COMPUTED_VALUE"""),726.6819999999999)</f>
        <v>726.682</v>
      </c>
      <c r="BQ204" s="71">
        <f>IFERROR(__xludf.DUMMYFUNCTION("""COMPUTED_VALUE"""),611.7099999999999)</f>
        <v>611.71</v>
      </c>
      <c r="BR204" s="71">
        <f>IFERROR(__xludf.DUMMYFUNCTION("""COMPUTED_VALUE"""),97.8736)</f>
        <v>97.8736</v>
      </c>
      <c r="BS204" s="71">
        <f>IFERROR(__xludf.DUMMYFUNCTION("""COMPUTED_VALUE"""),709.5835999999999)</f>
        <v>709.5836</v>
      </c>
      <c r="BT204" s="71">
        <f>IFERROR(__xludf.DUMMYFUNCTION("""COMPUTED_VALUE"""),589.6)</f>
        <v>589.6</v>
      </c>
      <c r="BU204" s="71">
        <f>IFERROR(__xludf.DUMMYFUNCTION("""COMPUTED_VALUE"""),94.336)</f>
        <v>94.336</v>
      </c>
      <c r="BV204" s="71">
        <f>IFERROR(__xludf.DUMMYFUNCTION("""COMPUTED_VALUE"""),683.936)</f>
        <v>683.936</v>
      </c>
    </row>
    <row r="205">
      <c r="A205" s="53">
        <v>1.0</v>
      </c>
      <c r="B205" s="72"/>
      <c r="C205" s="73" t="s">
        <v>12</v>
      </c>
      <c r="D205" s="53" t="s">
        <v>511</v>
      </c>
      <c r="E205" s="54" t="s">
        <v>38</v>
      </c>
      <c r="F205" s="54" t="s">
        <v>42</v>
      </c>
      <c r="G205" s="54" t="s">
        <v>512</v>
      </c>
      <c r="H205" s="54" t="s">
        <v>512</v>
      </c>
      <c r="I205" s="54">
        <f t="shared" si="1"/>
        <v>26</v>
      </c>
      <c r="J205" s="56"/>
      <c r="K205" s="57"/>
      <c r="L205" s="87"/>
      <c r="M205" s="59"/>
      <c r="N205" s="60">
        <v>161.0</v>
      </c>
      <c r="O205" s="61">
        <v>173.0</v>
      </c>
      <c r="P205" s="62">
        <v>186.84</v>
      </c>
      <c r="Q205" s="63">
        <v>186.84</v>
      </c>
      <c r="R205" s="64">
        <v>209.0</v>
      </c>
      <c r="S205" s="111">
        <v>219.0</v>
      </c>
      <c r="T205" s="65">
        <f t="shared" si="2"/>
        <v>35.04</v>
      </c>
      <c r="U205" s="65">
        <f t="shared" si="3"/>
        <v>254.04</v>
      </c>
      <c r="V205" s="66">
        <f t="shared" si="4"/>
        <v>0.04784688995</v>
      </c>
      <c r="W205" s="67">
        <f t="shared" si="5"/>
        <v>208.05</v>
      </c>
      <c r="X205" s="67">
        <f t="shared" si="6"/>
        <v>33.288</v>
      </c>
      <c r="Y205" s="67">
        <f t="shared" si="7"/>
        <v>241.338</v>
      </c>
      <c r="Z205" s="67">
        <f t="shared" si="8"/>
        <v>197.1</v>
      </c>
      <c r="AA205" s="67">
        <f t="shared" si="9"/>
        <v>31.536</v>
      </c>
      <c r="AB205" s="67">
        <f t="shared" si="10"/>
        <v>228.636</v>
      </c>
      <c r="AC205" s="67">
        <f t="shared" si="11"/>
        <v>186.15</v>
      </c>
      <c r="AD205" s="67">
        <f t="shared" si="12"/>
        <v>29.784</v>
      </c>
      <c r="AE205" s="67">
        <f t="shared" si="13"/>
        <v>215.934</v>
      </c>
      <c r="AF205" s="67">
        <f t="shared" si="14"/>
        <v>181.77</v>
      </c>
      <c r="AG205" s="67">
        <f t="shared" si="15"/>
        <v>29.0832</v>
      </c>
      <c r="AH205" s="67">
        <f t="shared" si="16"/>
        <v>210.8532</v>
      </c>
      <c r="AI205" s="67">
        <f t="shared" si="17"/>
        <v>175.2</v>
      </c>
      <c r="AJ205" s="68">
        <f t="shared" si="20"/>
        <v>28.032</v>
      </c>
      <c r="AK205" s="68">
        <f t="shared" si="21"/>
        <v>203.232</v>
      </c>
      <c r="AL205" s="70">
        <f>IFERROR(__xludf.DUMMYFUNCTION("""COMPUTED_VALUE"""),1.0)</f>
        <v>1</v>
      </c>
      <c r="AM205" s="70"/>
      <c r="AN205" s="71" t="str">
        <f>IFERROR(__xludf.DUMMYFUNCTION("""COMPUTED_VALUE""")," P")</f>
        <v>P</v>
      </c>
      <c r="AO205" s="71" t="str">
        <f>IFERROR(__xludf.DUMMYFUNCTION("""COMPUTED_VALUE""")," BY07")</f>
        <v>BY07</v>
      </c>
      <c r="AP205" s="71" t="str">
        <f>IFERROR(__xludf.DUMMYFUNCTION("""COMPUTED_VALUE""")," PZA")</f>
        <v>PZA</v>
      </c>
      <c r="AQ205" s="71" t="str">
        <f>IFERROR(__xludf.DUMMYFUNCTION("""COMPUTED_VALUE""")," REF")</f>
        <v>REF</v>
      </c>
      <c r="AR205" s="71" t="str">
        <f>IFERROR(__xludf.DUMMYFUNCTION("""COMPUTED_VALUE""")," BAYONETA DE POSTE DÚPLEX CON BUJE DE BRONCE")</f>
        <v>BAYONETA DE POSTE DÚPLEX CON BUJE DE BRONCE</v>
      </c>
      <c r="AS205" s="71" t="str">
        <f>IFERROR(__xludf.DUMMYFUNCTION("""COMPUTED_VALUE""")," BAYONETA DE POSTE DPLX BUJE BRONCE")</f>
        <v>BAYONETA DE POSTE DPLX BUJE BRONCE</v>
      </c>
      <c r="AT205" s="71">
        <f>IFERROR(__xludf.DUMMYFUNCTION("""COMPUTED_VALUE"""),34.0)</f>
        <v>34</v>
      </c>
      <c r="AU205" s="71"/>
      <c r="AV205" s="71"/>
      <c r="AW205" s="71"/>
      <c r="AX205" s="71"/>
      <c r="AY205" s="71">
        <f>IFERROR(__xludf.DUMMYFUNCTION("""COMPUTED_VALUE"""),502.0)</f>
        <v>502</v>
      </c>
      <c r="AZ205" s="71">
        <f>IFERROR(__xludf.DUMMYFUNCTION("""COMPUTED_VALUE"""),623.0)</f>
        <v>623</v>
      </c>
      <c r="BA205" s="71">
        <f>IFERROR(__xludf.DUMMYFUNCTION("""COMPUTED_VALUE"""),672.84)</f>
        <v>672.84</v>
      </c>
      <c r="BB205" s="71">
        <f>IFERROR(__xludf.DUMMYFUNCTION("""COMPUTED_VALUE"""),672.84)</f>
        <v>672.84</v>
      </c>
      <c r="BC205" s="71">
        <f>IFERROR(__xludf.DUMMYFUNCTION("""COMPUTED_VALUE"""),750.0)</f>
        <v>750</v>
      </c>
      <c r="BD205" s="71">
        <f>IFERROR(__xludf.DUMMYFUNCTION("""COMPUTED_VALUE"""),788.0)</f>
        <v>788</v>
      </c>
      <c r="BE205" s="71">
        <f>IFERROR(__xludf.DUMMYFUNCTION("""COMPUTED_VALUE"""),126.08)</f>
        <v>126.08</v>
      </c>
      <c r="BF205" s="71">
        <f>IFERROR(__xludf.DUMMYFUNCTION("""COMPUTED_VALUE"""),914.08)</f>
        <v>914.08</v>
      </c>
      <c r="BG205" s="71">
        <f>IFERROR(__xludf.DUMMYFUNCTION("""COMPUTED_VALUE"""),0.050666666666666665)</f>
        <v>0.05066666667</v>
      </c>
      <c r="BH205" s="71">
        <f>IFERROR(__xludf.DUMMYFUNCTION("""COMPUTED_VALUE"""),748.5999999999999)</f>
        <v>748.6</v>
      </c>
      <c r="BI205" s="71">
        <f>IFERROR(__xludf.DUMMYFUNCTION("""COMPUTED_VALUE"""),119.77599999999998)</f>
        <v>119.776</v>
      </c>
      <c r="BJ205" s="71">
        <f>IFERROR(__xludf.DUMMYFUNCTION("""COMPUTED_VALUE"""),868.3759999999999)</f>
        <v>868.376</v>
      </c>
      <c r="BK205" s="71">
        <f>IFERROR(__xludf.DUMMYFUNCTION("""COMPUTED_VALUE"""),709.2)</f>
        <v>709.2</v>
      </c>
      <c r="BL205" s="71">
        <f>IFERROR(__xludf.DUMMYFUNCTION("""COMPUTED_VALUE"""),113.47200000000001)</f>
        <v>113.472</v>
      </c>
      <c r="BM205" s="71">
        <f>IFERROR(__xludf.DUMMYFUNCTION("""COMPUTED_VALUE"""),822.672)</f>
        <v>822.672</v>
      </c>
      <c r="BN205" s="71">
        <f>IFERROR(__xludf.DUMMYFUNCTION("""COMPUTED_VALUE"""),669.8)</f>
        <v>669.8</v>
      </c>
      <c r="BO205" s="71">
        <f>IFERROR(__xludf.DUMMYFUNCTION("""COMPUTED_VALUE"""),107.16799999999999)</f>
        <v>107.168</v>
      </c>
      <c r="BP205" s="71">
        <f>IFERROR(__xludf.DUMMYFUNCTION("""COMPUTED_VALUE"""),776.968)</f>
        <v>776.968</v>
      </c>
      <c r="BQ205" s="71">
        <f>IFERROR(__xludf.DUMMYFUNCTION("""COMPUTED_VALUE"""),654.04)</f>
        <v>654.04</v>
      </c>
      <c r="BR205" s="71">
        <f>IFERROR(__xludf.DUMMYFUNCTION("""COMPUTED_VALUE"""),104.6464)</f>
        <v>104.6464</v>
      </c>
      <c r="BS205" s="71">
        <f>IFERROR(__xludf.DUMMYFUNCTION("""COMPUTED_VALUE"""),758.6863999999999)</f>
        <v>758.6864</v>
      </c>
      <c r="BT205" s="71">
        <f>IFERROR(__xludf.DUMMYFUNCTION("""COMPUTED_VALUE"""),630.4000000000001)</f>
        <v>630.4</v>
      </c>
      <c r="BU205" s="71">
        <f>IFERROR(__xludf.DUMMYFUNCTION("""COMPUTED_VALUE"""),100.86400000000002)</f>
        <v>100.864</v>
      </c>
      <c r="BV205" s="71">
        <f>IFERROR(__xludf.DUMMYFUNCTION("""COMPUTED_VALUE"""),731.2640000000001)</f>
        <v>731.264</v>
      </c>
    </row>
    <row r="206">
      <c r="A206" s="53">
        <v>1.0</v>
      </c>
      <c r="B206" s="53"/>
      <c r="C206" s="53" t="s">
        <v>12</v>
      </c>
      <c r="D206" s="53" t="s">
        <v>513</v>
      </c>
      <c r="E206" s="86" t="s">
        <v>38</v>
      </c>
      <c r="F206" s="91" t="s">
        <v>42</v>
      </c>
      <c r="G206" s="84" t="s">
        <v>514</v>
      </c>
      <c r="H206" s="84" t="s">
        <v>514</v>
      </c>
      <c r="I206" s="54">
        <f t="shared" si="1"/>
        <v>26</v>
      </c>
      <c r="J206" s="56"/>
      <c r="K206" s="57"/>
      <c r="L206" s="119"/>
      <c r="M206" s="124"/>
      <c r="N206" s="93"/>
      <c r="O206" s="61"/>
      <c r="P206" s="90"/>
      <c r="Q206" s="94"/>
      <c r="R206" s="95"/>
      <c r="S206" s="125">
        <v>270.0</v>
      </c>
      <c r="T206" s="65">
        <f t="shared" si="2"/>
        <v>43.2</v>
      </c>
      <c r="U206" s="65">
        <f t="shared" si="3"/>
        <v>313.2</v>
      </c>
      <c r="V206" s="66" t="str">
        <f t="shared" si="4"/>
        <v>#DIV/0!</v>
      </c>
      <c r="W206" s="67">
        <f t="shared" si="5"/>
        <v>256.5</v>
      </c>
      <c r="X206" s="67">
        <f t="shared" si="6"/>
        <v>41.04</v>
      </c>
      <c r="Y206" s="67">
        <f t="shared" si="7"/>
        <v>297.54</v>
      </c>
      <c r="Z206" s="67">
        <f t="shared" si="8"/>
        <v>243</v>
      </c>
      <c r="AA206" s="67">
        <f t="shared" si="9"/>
        <v>38.88</v>
      </c>
      <c r="AB206" s="67">
        <f t="shared" si="10"/>
        <v>281.88</v>
      </c>
      <c r="AC206" s="67">
        <f t="shared" si="11"/>
        <v>229.5</v>
      </c>
      <c r="AD206" s="67">
        <f t="shared" si="12"/>
        <v>36.72</v>
      </c>
      <c r="AE206" s="67">
        <f t="shared" si="13"/>
        <v>266.22</v>
      </c>
      <c r="AF206" s="67">
        <f t="shared" si="14"/>
        <v>224.1</v>
      </c>
      <c r="AG206" s="67">
        <f t="shared" si="15"/>
        <v>35.856</v>
      </c>
      <c r="AH206" s="67">
        <f t="shared" si="16"/>
        <v>259.956</v>
      </c>
      <c r="AI206" s="67">
        <f t="shared" si="17"/>
        <v>216</v>
      </c>
      <c r="AJ206" s="68">
        <f t="shared" si="20"/>
        <v>34.56</v>
      </c>
      <c r="AK206" s="68">
        <f t="shared" si="21"/>
        <v>250.56</v>
      </c>
      <c r="AL206" s="70">
        <f>IFERROR(__xludf.DUMMYFUNCTION("""COMPUTED_VALUE"""),1.0)</f>
        <v>1</v>
      </c>
      <c r="AM206" s="70"/>
      <c r="AN206" s="71" t="str">
        <f>IFERROR(__xludf.DUMMYFUNCTION("""COMPUTED_VALUE""")," P")</f>
        <v>P</v>
      </c>
      <c r="AO206" s="71" t="str">
        <f>IFERROR(__xludf.DUMMYFUNCTION("""COMPUTED_VALUE""")," BY97")</f>
        <v>BY97</v>
      </c>
      <c r="AP206" s="71" t="str">
        <f>IFERROR(__xludf.DUMMYFUNCTION("""COMPUTED_VALUE""")," PZA")</f>
        <v>PZA</v>
      </c>
      <c r="AQ206" s="71" t="str">
        <f>IFERROR(__xludf.DUMMYFUNCTION("""COMPUTED_VALUE""")," REF")</f>
        <v>REF</v>
      </c>
      <c r="AR206" s="71" t="str">
        <f>IFERROR(__xludf.DUMMYFUNCTION("""COMPUTED_VALUE""")," BAYONETA DE POSTE DÚPLEX CON BUJE DE BRONCE, EN ACERO INOX. T-304 GRADO ALIMENTICIO")</f>
        <v>BAYONETA DE POSTE DÚPLEX CON BUJE DE BRONCE, EN ACERO INOX. T-304 GRADO ALIMENTICIO</v>
      </c>
      <c r="AS206" s="71" t="str">
        <f>IFERROR(__xludf.DUMMYFUNCTION("""COMPUTED_VALUE""")," BAYONETA DE POSTE DPLX BUJE BRONCE INOX")</f>
        <v>BAYONETA DE POSTE DPLX BUJE BRONCE INOX</v>
      </c>
      <c r="AT206" s="71">
        <f>IFERROR(__xludf.DUMMYFUNCTION("""COMPUTED_VALUE"""),39.0)</f>
        <v>39</v>
      </c>
      <c r="AU206" s="71"/>
      <c r="AV206" s="71"/>
      <c r="AW206" s="71"/>
      <c r="AX206" s="71"/>
      <c r="AY206" s="71">
        <f>IFERROR(__xludf.DUMMYFUNCTION("""COMPUTED_VALUE"""),991.0)</f>
        <v>991</v>
      </c>
      <c r="AZ206" s="71">
        <f>IFERROR(__xludf.DUMMYFUNCTION("""COMPUTED_VALUE"""),1070.0)</f>
        <v>1070</v>
      </c>
      <c r="BA206" s="71">
        <f>IFERROR(__xludf.DUMMYFUNCTION("""COMPUTED_VALUE"""),2018.52)</f>
        <v>2018.52</v>
      </c>
      <c r="BB206" s="71">
        <f>IFERROR(__xludf.DUMMYFUNCTION("""COMPUTED_VALUE"""),2018.52)</f>
        <v>2018.52</v>
      </c>
      <c r="BC206" s="71">
        <f>IFERROR(__xludf.DUMMYFUNCTION("""COMPUTED_VALUE"""),2247.0)</f>
        <v>2247</v>
      </c>
      <c r="BD206" s="71">
        <f>IFERROR(__xludf.DUMMYFUNCTION("""COMPUTED_VALUE"""),2359.0)</f>
        <v>2359</v>
      </c>
      <c r="BE206" s="71">
        <f>IFERROR(__xludf.DUMMYFUNCTION("""COMPUTED_VALUE"""),377.44)</f>
        <v>377.44</v>
      </c>
      <c r="BF206" s="71">
        <f>IFERROR(__xludf.DUMMYFUNCTION("""COMPUTED_VALUE"""),2736.44)</f>
        <v>2736.44</v>
      </c>
      <c r="BG206" s="71">
        <f>IFERROR(__xludf.DUMMYFUNCTION("""COMPUTED_VALUE"""),0.04984423676012461)</f>
        <v>0.04984423676</v>
      </c>
      <c r="BH206" s="71">
        <f>IFERROR(__xludf.DUMMYFUNCTION("""COMPUTED_VALUE"""),2241.0499999999997)</f>
        <v>2241.05</v>
      </c>
      <c r="BI206" s="71">
        <f>IFERROR(__xludf.DUMMYFUNCTION("""COMPUTED_VALUE"""),358.568)</f>
        <v>358.568</v>
      </c>
      <c r="BJ206" s="71">
        <f>IFERROR(__xludf.DUMMYFUNCTION("""COMPUTED_VALUE"""),2599.6179999999995)</f>
        <v>2599.618</v>
      </c>
      <c r="BK206" s="71">
        <f>IFERROR(__xludf.DUMMYFUNCTION("""COMPUTED_VALUE"""),2123.1)</f>
        <v>2123.1</v>
      </c>
      <c r="BL206" s="71">
        <f>IFERROR(__xludf.DUMMYFUNCTION("""COMPUTED_VALUE"""),339.69599999999997)</f>
        <v>339.696</v>
      </c>
      <c r="BM206" s="71">
        <f>IFERROR(__xludf.DUMMYFUNCTION("""COMPUTED_VALUE"""),2462.796)</f>
        <v>2462.796</v>
      </c>
      <c r="BN206" s="71">
        <f>IFERROR(__xludf.DUMMYFUNCTION("""COMPUTED_VALUE"""),2005.1499999999999)</f>
        <v>2005.15</v>
      </c>
      <c r="BO206" s="71">
        <f>IFERROR(__xludf.DUMMYFUNCTION("""COMPUTED_VALUE"""),320.824)</f>
        <v>320.824</v>
      </c>
      <c r="BP206" s="71">
        <f>IFERROR(__xludf.DUMMYFUNCTION("""COMPUTED_VALUE"""),2325.9739999999997)</f>
        <v>2325.974</v>
      </c>
      <c r="BQ206" s="71">
        <f>IFERROR(__xludf.DUMMYFUNCTION("""COMPUTED_VALUE"""),1957.9699999999998)</f>
        <v>1957.97</v>
      </c>
      <c r="BR206" s="71">
        <f>IFERROR(__xludf.DUMMYFUNCTION("""COMPUTED_VALUE"""),313.2752)</f>
        <v>313.2752</v>
      </c>
      <c r="BS206" s="71">
        <f>IFERROR(__xludf.DUMMYFUNCTION("""COMPUTED_VALUE"""),2271.2452)</f>
        <v>2271.2452</v>
      </c>
      <c r="BT206" s="71">
        <f>IFERROR(__xludf.DUMMYFUNCTION("""COMPUTED_VALUE"""),1887.2)</f>
        <v>1887.2</v>
      </c>
      <c r="BU206" s="71">
        <f>IFERROR(__xludf.DUMMYFUNCTION("""COMPUTED_VALUE"""),301.952)</f>
        <v>301.952</v>
      </c>
      <c r="BV206" s="71">
        <f>IFERROR(__xludf.DUMMYFUNCTION("""COMPUTED_VALUE"""),2189.152)</f>
        <v>2189.152</v>
      </c>
    </row>
    <row r="207">
      <c r="A207" s="53"/>
      <c r="B207" s="53"/>
      <c r="C207" s="53" t="s">
        <v>12</v>
      </c>
      <c r="D207" s="53" t="s">
        <v>515</v>
      </c>
      <c r="E207" s="54" t="s">
        <v>38</v>
      </c>
      <c r="F207" s="54" t="s">
        <v>42</v>
      </c>
      <c r="G207" s="55" t="s">
        <v>516</v>
      </c>
      <c r="H207" s="54" t="s">
        <v>516</v>
      </c>
      <c r="I207" s="54">
        <f t="shared" si="1"/>
        <v>26</v>
      </c>
      <c r="J207" s="56"/>
      <c r="K207" s="57"/>
      <c r="L207" s="76"/>
      <c r="M207" s="59"/>
      <c r="N207" s="79">
        <v>222.0</v>
      </c>
      <c r="O207" s="61">
        <v>239.0</v>
      </c>
      <c r="P207" s="63">
        <v>258.12</v>
      </c>
      <c r="Q207" s="63">
        <v>258.12</v>
      </c>
      <c r="R207" s="64">
        <v>271.0</v>
      </c>
      <c r="S207" s="111">
        <v>285.0</v>
      </c>
      <c r="T207" s="65">
        <f t="shared" si="2"/>
        <v>45.6</v>
      </c>
      <c r="U207" s="65">
        <f t="shared" si="3"/>
        <v>330.6</v>
      </c>
      <c r="V207" s="66">
        <f t="shared" si="4"/>
        <v>0.05166051661</v>
      </c>
      <c r="W207" s="67">
        <f t="shared" si="5"/>
        <v>270.75</v>
      </c>
      <c r="X207" s="67">
        <f t="shared" si="6"/>
        <v>43.32</v>
      </c>
      <c r="Y207" s="67">
        <f t="shared" si="7"/>
        <v>314.07</v>
      </c>
      <c r="Z207" s="67">
        <f t="shared" si="8"/>
        <v>256.5</v>
      </c>
      <c r="AA207" s="67">
        <f t="shared" si="9"/>
        <v>41.04</v>
      </c>
      <c r="AB207" s="67">
        <f t="shared" si="10"/>
        <v>297.54</v>
      </c>
      <c r="AC207" s="67">
        <f t="shared" si="11"/>
        <v>242.25</v>
      </c>
      <c r="AD207" s="67">
        <f t="shared" si="12"/>
        <v>38.76</v>
      </c>
      <c r="AE207" s="67">
        <f t="shared" si="13"/>
        <v>281.01</v>
      </c>
      <c r="AF207" s="67">
        <f t="shared" si="14"/>
        <v>236.55</v>
      </c>
      <c r="AG207" s="67">
        <f t="shared" si="15"/>
        <v>37.848</v>
      </c>
      <c r="AH207" s="67">
        <f t="shared" si="16"/>
        <v>274.398</v>
      </c>
      <c r="AI207" s="67">
        <f t="shared" si="17"/>
        <v>228</v>
      </c>
      <c r="AJ207" s="68">
        <f t="shared" si="20"/>
        <v>36.48</v>
      </c>
      <c r="AK207" s="68">
        <f t="shared" si="21"/>
        <v>264.48</v>
      </c>
      <c r="AL207" s="70">
        <f>IFERROR(__xludf.DUMMYFUNCTION("""COMPUTED_VALUE"""),1.0)</f>
        <v>1</v>
      </c>
      <c r="AM207" s="70"/>
      <c r="AN207" s="71" t="str">
        <f>IFERROR(__xludf.DUMMYFUNCTION("""COMPUTED_VALUE""")," P")</f>
        <v>P</v>
      </c>
      <c r="AO207" s="71" t="str">
        <f>IFERROR(__xludf.DUMMYFUNCTION("""COMPUTED_VALUE""")," BY09")</f>
        <v>BY09</v>
      </c>
      <c r="AP207" s="71" t="str">
        <f>IFERROR(__xludf.DUMMYFUNCTION("""COMPUTED_VALUE""")," PZA")</f>
        <v>PZA</v>
      </c>
      <c r="AQ207" s="71" t="str">
        <f>IFERROR(__xludf.DUMMYFUNCTION("""COMPUTED_VALUE""")," REF")</f>
        <v>REF</v>
      </c>
      <c r="AR207" s="71" t="str">
        <f>IFERROR(__xludf.DUMMYFUNCTION("""COMPUTED_VALUE""")," BAYONETA DE POSTE REFORZADA CON BUJE DE ACERO (2 CUÑEROS)")</f>
        <v>BAYONETA DE POSTE REFORZADA CON BUJE DE ACERO (2 CUÑEROS)</v>
      </c>
      <c r="AS207" s="71" t="str">
        <f>IFERROR(__xludf.DUMMYFUNCTION("""COMPUTED_VALUE""")," BAYONETA POSTE REF BUJE ACERO 2 CUNEROS")</f>
        <v>BAYONETA POSTE REF BUJE ACERO 2 CUNEROS</v>
      </c>
      <c r="AT207" s="71">
        <f>IFERROR(__xludf.DUMMYFUNCTION("""COMPUTED_VALUE"""),39.0)</f>
        <v>39</v>
      </c>
      <c r="AU207" s="71"/>
      <c r="AV207" s="71"/>
      <c r="AW207" s="71"/>
      <c r="AX207" s="71"/>
      <c r="AY207" s="71">
        <f>IFERROR(__xludf.DUMMYFUNCTION("""COMPUTED_VALUE"""),273.0)</f>
        <v>273</v>
      </c>
      <c r="AZ207" s="71">
        <f>IFERROR(__xludf.DUMMYFUNCTION("""COMPUTED_VALUE"""),358.0)</f>
        <v>358</v>
      </c>
      <c r="BA207" s="71">
        <f>IFERROR(__xludf.DUMMYFUNCTION("""COMPUTED_VALUE"""),386.64000000000004)</f>
        <v>386.64</v>
      </c>
      <c r="BB207" s="71">
        <f>IFERROR(__xludf.DUMMYFUNCTION("""COMPUTED_VALUE"""),386.64000000000004)</f>
        <v>386.64</v>
      </c>
      <c r="BC207" s="71">
        <f>IFERROR(__xludf.DUMMYFUNCTION("""COMPUTED_VALUE"""),474.0)</f>
        <v>474</v>
      </c>
      <c r="BD207" s="71">
        <f>IFERROR(__xludf.DUMMYFUNCTION("""COMPUTED_VALUE"""),498.0)</f>
        <v>498</v>
      </c>
      <c r="BE207" s="71">
        <f>IFERROR(__xludf.DUMMYFUNCTION("""COMPUTED_VALUE"""),79.68)</f>
        <v>79.68</v>
      </c>
      <c r="BF207" s="71">
        <f>IFERROR(__xludf.DUMMYFUNCTION("""COMPUTED_VALUE"""),577.6800000000001)</f>
        <v>577.68</v>
      </c>
      <c r="BG207" s="71">
        <f>IFERROR(__xludf.DUMMYFUNCTION("""COMPUTED_VALUE"""),0.05063291139240506)</f>
        <v>0.05063291139</v>
      </c>
      <c r="BH207" s="71">
        <f>IFERROR(__xludf.DUMMYFUNCTION("""COMPUTED_VALUE"""),473.09999999999997)</f>
        <v>473.1</v>
      </c>
      <c r="BI207" s="71">
        <f>IFERROR(__xludf.DUMMYFUNCTION("""COMPUTED_VALUE"""),75.696)</f>
        <v>75.696</v>
      </c>
      <c r="BJ207" s="71">
        <f>IFERROR(__xludf.DUMMYFUNCTION("""COMPUTED_VALUE"""),548.7959999999999)</f>
        <v>548.796</v>
      </c>
      <c r="BK207" s="71">
        <f>IFERROR(__xludf.DUMMYFUNCTION("""COMPUTED_VALUE"""),448.2)</f>
        <v>448.2</v>
      </c>
      <c r="BL207" s="71">
        <f>IFERROR(__xludf.DUMMYFUNCTION("""COMPUTED_VALUE"""),71.712)</f>
        <v>71.712</v>
      </c>
      <c r="BM207" s="71">
        <f>IFERROR(__xludf.DUMMYFUNCTION("""COMPUTED_VALUE"""),519.912)</f>
        <v>519.912</v>
      </c>
      <c r="BN207" s="71">
        <f>IFERROR(__xludf.DUMMYFUNCTION("""COMPUTED_VALUE"""),423.3)</f>
        <v>423.3</v>
      </c>
      <c r="BO207" s="71">
        <f>IFERROR(__xludf.DUMMYFUNCTION("""COMPUTED_VALUE"""),67.72800000000001)</f>
        <v>67.728</v>
      </c>
      <c r="BP207" s="71">
        <f>IFERROR(__xludf.DUMMYFUNCTION("""COMPUTED_VALUE"""),491.028)</f>
        <v>491.028</v>
      </c>
      <c r="BQ207" s="71">
        <f>IFERROR(__xludf.DUMMYFUNCTION("""COMPUTED_VALUE"""),413.34)</f>
        <v>413.34</v>
      </c>
      <c r="BR207" s="71">
        <f>IFERROR(__xludf.DUMMYFUNCTION("""COMPUTED_VALUE"""),66.1344)</f>
        <v>66.1344</v>
      </c>
      <c r="BS207" s="71">
        <f>IFERROR(__xludf.DUMMYFUNCTION("""COMPUTED_VALUE"""),479.47439999999995)</f>
        <v>479.4744</v>
      </c>
      <c r="BT207" s="71">
        <f>IFERROR(__xludf.DUMMYFUNCTION("""COMPUTED_VALUE"""),398.40000000000003)</f>
        <v>398.4</v>
      </c>
      <c r="BU207" s="71">
        <f>IFERROR(__xludf.DUMMYFUNCTION("""COMPUTED_VALUE"""),63.74400000000001)</f>
        <v>63.744</v>
      </c>
      <c r="BV207" s="71">
        <f>IFERROR(__xludf.DUMMYFUNCTION("""COMPUTED_VALUE"""),462.14400000000006)</f>
        <v>462.144</v>
      </c>
    </row>
    <row r="208">
      <c r="A208" s="53">
        <v>1.0</v>
      </c>
      <c r="B208" s="72"/>
      <c r="C208" s="73" t="s">
        <v>12</v>
      </c>
      <c r="D208" s="74" t="s">
        <v>517</v>
      </c>
      <c r="E208" s="54" t="s">
        <v>38</v>
      </c>
      <c r="F208" s="54" t="s">
        <v>42</v>
      </c>
      <c r="G208" s="88" t="s">
        <v>518</v>
      </c>
      <c r="H208" s="54" t="s">
        <v>518</v>
      </c>
      <c r="I208" s="54">
        <f t="shared" si="1"/>
        <v>30</v>
      </c>
      <c r="J208" s="56"/>
      <c r="K208" s="75"/>
      <c r="L208" s="76"/>
      <c r="M208" s="59"/>
      <c r="N208" s="60">
        <v>59.0</v>
      </c>
      <c r="O208" s="61">
        <v>80.0</v>
      </c>
      <c r="P208" s="62">
        <v>86.4</v>
      </c>
      <c r="Q208" s="63">
        <v>86.4</v>
      </c>
      <c r="R208" s="64">
        <v>97.0</v>
      </c>
      <c r="S208" s="111">
        <v>102.0</v>
      </c>
      <c r="T208" s="65">
        <f t="shared" si="2"/>
        <v>16.32</v>
      </c>
      <c r="U208" s="65">
        <f t="shared" si="3"/>
        <v>118.32</v>
      </c>
      <c r="V208" s="66">
        <f t="shared" si="4"/>
        <v>0.05154639175</v>
      </c>
      <c r="W208" s="67">
        <f t="shared" si="5"/>
        <v>96.9</v>
      </c>
      <c r="X208" s="67">
        <f t="shared" si="6"/>
        <v>15.504</v>
      </c>
      <c r="Y208" s="67">
        <f t="shared" si="7"/>
        <v>112.404</v>
      </c>
      <c r="Z208" s="67">
        <f t="shared" si="8"/>
        <v>91.8</v>
      </c>
      <c r="AA208" s="67">
        <f t="shared" si="9"/>
        <v>14.688</v>
      </c>
      <c r="AB208" s="67">
        <f t="shared" si="10"/>
        <v>106.488</v>
      </c>
      <c r="AC208" s="67">
        <f t="shared" si="11"/>
        <v>86.7</v>
      </c>
      <c r="AD208" s="67">
        <f t="shared" si="12"/>
        <v>13.872</v>
      </c>
      <c r="AE208" s="67">
        <f t="shared" si="13"/>
        <v>100.572</v>
      </c>
      <c r="AF208" s="67">
        <f t="shared" si="14"/>
        <v>84.66</v>
      </c>
      <c r="AG208" s="67">
        <f t="shared" si="15"/>
        <v>13.5456</v>
      </c>
      <c r="AH208" s="67">
        <f t="shared" si="16"/>
        <v>98.2056</v>
      </c>
      <c r="AI208" s="67">
        <f t="shared" si="17"/>
        <v>81.6</v>
      </c>
      <c r="AJ208" s="68">
        <f t="shared" si="20"/>
        <v>13.056</v>
      </c>
      <c r="AK208" s="68">
        <f t="shared" si="21"/>
        <v>94.656</v>
      </c>
      <c r="AL208" s="70">
        <f>IFERROR(__xludf.DUMMYFUNCTION("""COMPUTED_VALUE"""),1.0)</f>
        <v>1</v>
      </c>
      <c r="AM208" s="70"/>
      <c r="AN208" s="71" t="str">
        <f>IFERROR(__xludf.DUMMYFUNCTION("""COMPUTED_VALUE""")," P")</f>
        <v>P</v>
      </c>
      <c r="AO208" s="71" t="str">
        <f>IFERROR(__xludf.DUMMYFUNCTION("""COMPUTED_VALUE""")," BY08")</f>
        <v>BY08</v>
      </c>
      <c r="AP208" s="71" t="str">
        <f>IFERROR(__xludf.DUMMYFUNCTION("""COMPUTED_VALUE""")," PZA")</f>
        <v>PZA</v>
      </c>
      <c r="AQ208" s="71" t="str">
        <f>IFERROR(__xludf.DUMMYFUNCTION("""COMPUTED_VALUE""")," REF")</f>
        <v>REF</v>
      </c>
      <c r="AR208" s="71" t="str">
        <f>IFERROR(__xludf.DUMMYFUNCTION("""COMPUTED_VALUE""")," BAYONETA DE POSTE REFORZADA CON BUJE DE BRONCE (2 CUÑEROS)")</f>
        <v>BAYONETA DE POSTE REFORZADA CON BUJE DE BRONCE (2 CUÑEROS)</v>
      </c>
      <c r="AS208" s="71" t="str">
        <f>IFERROR(__xludf.DUMMYFUNCTION("""COMPUTED_VALUE""")," BAYONETA POSTE REF BUJE BRONCE 2 CUNEROS")</f>
        <v>BAYONETA POSTE REF BUJE BRONCE 2 CUNEROS</v>
      </c>
      <c r="AT208" s="71">
        <f>IFERROR(__xludf.DUMMYFUNCTION("""COMPUTED_VALUE"""),40.0)</f>
        <v>40</v>
      </c>
      <c r="AU208" s="71"/>
      <c r="AV208" s="71"/>
      <c r="AW208" s="71"/>
      <c r="AX208" s="71"/>
      <c r="AY208" s="71">
        <f>IFERROR(__xludf.DUMMYFUNCTION("""COMPUTED_VALUE"""),380.0)</f>
        <v>380</v>
      </c>
      <c r="AZ208" s="71">
        <f>IFERROR(__xludf.DUMMYFUNCTION("""COMPUTED_VALUE"""),488.0)</f>
        <v>488</v>
      </c>
      <c r="BA208" s="71">
        <f>IFERROR(__xludf.DUMMYFUNCTION("""COMPUTED_VALUE"""),527.0400000000001)</f>
        <v>527.04</v>
      </c>
      <c r="BB208" s="71">
        <f>IFERROR(__xludf.DUMMYFUNCTION("""COMPUTED_VALUE"""),527.0400000000001)</f>
        <v>527.04</v>
      </c>
      <c r="BC208" s="71">
        <f>IFERROR(__xludf.DUMMYFUNCTION("""COMPUTED_VALUE"""),646.0)</f>
        <v>646</v>
      </c>
      <c r="BD208" s="71">
        <f>IFERROR(__xludf.DUMMYFUNCTION("""COMPUTED_VALUE"""),678.0)</f>
        <v>678</v>
      </c>
      <c r="BE208" s="71">
        <f>IFERROR(__xludf.DUMMYFUNCTION("""COMPUTED_VALUE"""),108.48)</f>
        <v>108.48</v>
      </c>
      <c r="BF208" s="71">
        <f>IFERROR(__xludf.DUMMYFUNCTION("""COMPUTED_VALUE"""),786.48)</f>
        <v>786.48</v>
      </c>
      <c r="BG208" s="71">
        <f>IFERROR(__xludf.DUMMYFUNCTION("""COMPUTED_VALUE"""),0.04953560371517028)</f>
        <v>0.04953560372</v>
      </c>
      <c r="BH208" s="71">
        <f>IFERROR(__xludf.DUMMYFUNCTION("""COMPUTED_VALUE"""),644.1)</f>
        <v>644.1</v>
      </c>
      <c r="BI208" s="71">
        <f>IFERROR(__xludf.DUMMYFUNCTION("""COMPUTED_VALUE"""),103.05600000000001)</f>
        <v>103.056</v>
      </c>
      <c r="BJ208" s="71">
        <f>IFERROR(__xludf.DUMMYFUNCTION("""COMPUTED_VALUE"""),747.1560000000001)</f>
        <v>747.156</v>
      </c>
      <c r="BK208" s="71">
        <f>IFERROR(__xludf.DUMMYFUNCTION("""COMPUTED_VALUE"""),610.2)</f>
        <v>610.2</v>
      </c>
      <c r="BL208" s="71">
        <f>IFERROR(__xludf.DUMMYFUNCTION("""COMPUTED_VALUE"""),97.632)</f>
        <v>97.632</v>
      </c>
      <c r="BM208" s="71">
        <f>IFERROR(__xludf.DUMMYFUNCTION("""COMPUTED_VALUE"""),707.8320000000001)</f>
        <v>707.832</v>
      </c>
      <c r="BN208" s="71">
        <f>IFERROR(__xludf.DUMMYFUNCTION("""COMPUTED_VALUE"""),576.3)</f>
        <v>576.3</v>
      </c>
      <c r="BO208" s="71">
        <f>IFERROR(__xludf.DUMMYFUNCTION("""COMPUTED_VALUE"""),92.208)</f>
        <v>92.208</v>
      </c>
      <c r="BP208" s="71">
        <f>IFERROR(__xludf.DUMMYFUNCTION("""COMPUTED_VALUE"""),668.5079999999999)</f>
        <v>668.508</v>
      </c>
      <c r="BQ208" s="71">
        <f>IFERROR(__xludf.DUMMYFUNCTION("""COMPUTED_VALUE"""),562.74)</f>
        <v>562.74</v>
      </c>
      <c r="BR208" s="71">
        <f>IFERROR(__xludf.DUMMYFUNCTION("""COMPUTED_VALUE"""),90.03840000000001)</f>
        <v>90.0384</v>
      </c>
      <c r="BS208" s="71">
        <f>IFERROR(__xludf.DUMMYFUNCTION("""COMPUTED_VALUE"""),652.7784)</f>
        <v>652.7784</v>
      </c>
      <c r="BT208" s="71">
        <f>IFERROR(__xludf.DUMMYFUNCTION("""COMPUTED_VALUE"""),542.4)</f>
        <v>542.4</v>
      </c>
      <c r="BU208" s="71">
        <f>IFERROR(__xludf.DUMMYFUNCTION("""COMPUTED_VALUE"""),86.78399999999999)</f>
        <v>86.784</v>
      </c>
      <c r="BV208" s="71">
        <f>IFERROR(__xludf.DUMMYFUNCTION("""COMPUTED_VALUE"""),629.184)</f>
        <v>629.184</v>
      </c>
    </row>
    <row r="209">
      <c r="A209" s="53">
        <v>1.0</v>
      </c>
      <c r="B209" s="72"/>
      <c r="C209" s="73" t="s">
        <v>12</v>
      </c>
      <c r="D209" s="74" t="s">
        <v>519</v>
      </c>
      <c r="E209" s="54" t="s">
        <v>38</v>
      </c>
      <c r="F209" s="54" t="s">
        <v>42</v>
      </c>
      <c r="G209" s="88" t="s">
        <v>520</v>
      </c>
      <c r="H209" s="54" t="s">
        <v>520</v>
      </c>
      <c r="I209" s="54">
        <f t="shared" si="1"/>
        <v>26</v>
      </c>
      <c r="J209" s="56"/>
      <c r="K209" s="75"/>
      <c r="L209" s="76"/>
      <c r="M209" s="59"/>
      <c r="N209" s="60">
        <v>117.0</v>
      </c>
      <c r="O209" s="61">
        <v>126.0</v>
      </c>
      <c r="P209" s="62">
        <v>136.08</v>
      </c>
      <c r="Q209" s="63">
        <v>136.08</v>
      </c>
      <c r="R209" s="64">
        <v>153.0</v>
      </c>
      <c r="S209" s="111">
        <v>161.0</v>
      </c>
      <c r="T209" s="65">
        <f t="shared" si="2"/>
        <v>25.76</v>
      </c>
      <c r="U209" s="65">
        <f t="shared" si="3"/>
        <v>186.76</v>
      </c>
      <c r="V209" s="66">
        <f t="shared" si="4"/>
        <v>0.0522875817</v>
      </c>
      <c r="W209" s="67">
        <f t="shared" si="5"/>
        <v>152.95</v>
      </c>
      <c r="X209" s="67">
        <f t="shared" si="6"/>
        <v>24.472</v>
      </c>
      <c r="Y209" s="67">
        <f t="shared" si="7"/>
        <v>177.422</v>
      </c>
      <c r="Z209" s="67">
        <f t="shared" si="8"/>
        <v>144.9</v>
      </c>
      <c r="AA209" s="67">
        <f t="shared" si="9"/>
        <v>23.184</v>
      </c>
      <c r="AB209" s="67">
        <f t="shared" si="10"/>
        <v>168.084</v>
      </c>
      <c r="AC209" s="67">
        <f t="shared" si="11"/>
        <v>136.85</v>
      </c>
      <c r="AD209" s="67">
        <f t="shared" si="12"/>
        <v>21.896</v>
      </c>
      <c r="AE209" s="67">
        <f t="shared" si="13"/>
        <v>158.746</v>
      </c>
      <c r="AF209" s="67">
        <f t="shared" si="14"/>
        <v>133.63</v>
      </c>
      <c r="AG209" s="67">
        <f t="shared" si="15"/>
        <v>21.3808</v>
      </c>
      <c r="AH209" s="67">
        <f t="shared" si="16"/>
        <v>155.0108</v>
      </c>
      <c r="AI209" s="67">
        <f t="shared" si="17"/>
        <v>128.8</v>
      </c>
      <c r="AJ209" s="68">
        <f t="shared" si="20"/>
        <v>20.608</v>
      </c>
      <c r="AK209" s="68">
        <f t="shared" si="21"/>
        <v>149.408</v>
      </c>
      <c r="AL209" s="70">
        <f>IFERROR(__xludf.DUMMYFUNCTION("""COMPUTED_VALUE"""),1.0)</f>
        <v>1</v>
      </c>
      <c r="AM209" s="70"/>
      <c r="AN209" s="71" t="str">
        <f>IFERROR(__xludf.DUMMYFUNCTION("""COMPUTED_VALUE""")," P")</f>
        <v>P</v>
      </c>
      <c r="AO209" s="71" t="str">
        <f>IFERROR(__xludf.DUMMYFUNCTION("""COMPUTED_VALUE""")," BY98")</f>
        <v>BY98</v>
      </c>
      <c r="AP209" s="71" t="str">
        <f>IFERROR(__xludf.DUMMYFUNCTION("""COMPUTED_VALUE""")," PZA")</f>
        <v>PZA</v>
      </c>
      <c r="AQ209" s="71" t="str">
        <f>IFERROR(__xludf.DUMMYFUNCTION("""COMPUTED_VALUE""")," REF")</f>
        <v>REF</v>
      </c>
      <c r="AR209" s="71" t="str">
        <f>IFERROR(__xludf.DUMMYFUNCTION("""COMPUTED_VALUE""")," BAYONETA DE POSTE REFORZADA CON BUJE DE BRONCE, EN ACERO INOX. T-304 GRADO ALIMENTICIO")</f>
        <v>BAYONETA DE POSTE REFORZADA CON BUJE DE BRONCE, EN ACERO INOX. T-304 GRADO ALIMENTICIO</v>
      </c>
      <c r="AS209" s="71" t="str">
        <f>IFERROR(__xludf.DUMMYFUNCTION("""COMPUTED_VALUE""")," BAYONETA POSTE REF INOX BUJE BRONCE")</f>
        <v>BAYONETA POSTE REF INOX BUJE BRONCE</v>
      </c>
      <c r="AT209" s="71">
        <f>IFERROR(__xludf.DUMMYFUNCTION("""COMPUTED_VALUE"""),35.0)</f>
        <v>35</v>
      </c>
      <c r="AU209" s="71"/>
      <c r="AV209" s="71"/>
      <c r="AW209" s="71"/>
      <c r="AX209" s="71"/>
      <c r="AY209" s="71">
        <f>IFERROR(__xludf.DUMMYFUNCTION("""COMPUTED_VALUE"""),753.0)</f>
        <v>753</v>
      </c>
      <c r="AZ209" s="71">
        <f>IFERROR(__xludf.DUMMYFUNCTION("""COMPUTED_VALUE"""),813.0)</f>
        <v>813</v>
      </c>
      <c r="BA209" s="71">
        <f>IFERROR(__xludf.DUMMYFUNCTION("""COMPUTED_VALUE"""),1582.2)</f>
        <v>1582.2</v>
      </c>
      <c r="BB209" s="71">
        <f>IFERROR(__xludf.DUMMYFUNCTION("""COMPUTED_VALUE"""),1582.2)</f>
        <v>1582.2</v>
      </c>
      <c r="BC209" s="71">
        <f>IFERROR(__xludf.DUMMYFUNCTION("""COMPUTED_VALUE"""),1939.0)</f>
        <v>1939</v>
      </c>
      <c r="BD209" s="71">
        <f>IFERROR(__xludf.DUMMYFUNCTION("""COMPUTED_VALUE"""),2036.0)</f>
        <v>2036</v>
      </c>
      <c r="BE209" s="71">
        <f>IFERROR(__xludf.DUMMYFUNCTION("""COMPUTED_VALUE"""),325.76)</f>
        <v>325.76</v>
      </c>
      <c r="BF209" s="71">
        <f>IFERROR(__xludf.DUMMYFUNCTION("""COMPUTED_VALUE"""),2361.76)</f>
        <v>2361.76</v>
      </c>
      <c r="BG209" s="71">
        <f>IFERROR(__xludf.DUMMYFUNCTION("""COMPUTED_VALUE"""),0.05002578648788035)</f>
        <v>0.05002578649</v>
      </c>
      <c r="BH209" s="71">
        <f>IFERROR(__xludf.DUMMYFUNCTION("""COMPUTED_VALUE"""),1934.1999999999998)</f>
        <v>1934.2</v>
      </c>
      <c r="BI209" s="71">
        <f>IFERROR(__xludf.DUMMYFUNCTION("""COMPUTED_VALUE"""),309.472)</f>
        <v>309.472</v>
      </c>
      <c r="BJ209" s="71">
        <f>IFERROR(__xludf.DUMMYFUNCTION("""COMPUTED_VALUE"""),2243.6719999999996)</f>
        <v>2243.672</v>
      </c>
      <c r="BK209" s="71">
        <f>IFERROR(__xludf.DUMMYFUNCTION("""COMPUTED_VALUE"""),1832.4)</f>
        <v>1832.4</v>
      </c>
      <c r="BL209" s="71">
        <f>IFERROR(__xludf.DUMMYFUNCTION("""COMPUTED_VALUE"""),293.184)</f>
        <v>293.184</v>
      </c>
      <c r="BM209" s="71">
        <f>IFERROR(__xludf.DUMMYFUNCTION("""COMPUTED_VALUE"""),2125.5840000000003)</f>
        <v>2125.584</v>
      </c>
      <c r="BN209" s="71">
        <f>IFERROR(__xludf.DUMMYFUNCTION("""COMPUTED_VALUE"""),1730.6)</f>
        <v>1730.6</v>
      </c>
      <c r="BO209" s="71">
        <f>IFERROR(__xludf.DUMMYFUNCTION("""COMPUTED_VALUE"""),276.896)</f>
        <v>276.896</v>
      </c>
      <c r="BP209" s="71">
        <f>IFERROR(__xludf.DUMMYFUNCTION("""COMPUTED_VALUE"""),2007.4959999999999)</f>
        <v>2007.496</v>
      </c>
      <c r="BQ209" s="71">
        <f>IFERROR(__xludf.DUMMYFUNCTION("""COMPUTED_VALUE"""),1689.8799999999999)</f>
        <v>1689.88</v>
      </c>
      <c r="BR209" s="71">
        <f>IFERROR(__xludf.DUMMYFUNCTION("""COMPUTED_VALUE"""),270.38079999999997)</f>
        <v>270.3808</v>
      </c>
      <c r="BS209" s="71">
        <f>IFERROR(__xludf.DUMMYFUNCTION("""COMPUTED_VALUE"""),1960.2607999999998)</f>
        <v>1960.2608</v>
      </c>
      <c r="BT209" s="71">
        <f>IFERROR(__xludf.DUMMYFUNCTION("""COMPUTED_VALUE"""),1628.8000000000002)</f>
        <v>1628.8</v>
      </c>
      <c r="BU209" s="71">
        <f>IFERROR(__xludf.DUMMYFUNCTION("""COMPUTED_VALUE"""),260.60800000000006)</f>
        <v>260.608</v>
      </c>
      <c r="BV209" s="71">
        <f>IFERROR(__xludf.DUMMYFUNCTION("""COMPUTED_VALUE"""),1889.4080000000004)</f>
        <v>1889.408</v>
      </c>
    </row>
    <row r="210">
      <c r="A210" s="53">
        <v>1.0</v>
      </c>
      <c r="B210" s="72"/>
      <c r="C210" s="73" t="s">
        <v>12</v>
      </c>
      <c r="D210" s="74" t="s">
        <v>521</v>
      </c>
      <c r="E210" s="54" t="s">
        <v>38</v>
      </c>
      <c r="F210" s="54" t="s">
        <v>42</v>
      </c>
      <c r="G210" s="88" t="s">
        <v>522</v>
      </c>
      <c r="H210" s="54" t="s">
        <v>522</v>
      </c>
      <c r="I210" s="54">
        <f t="shared" si="1"/>
        <v>30</v>
      </c>
      <c r="J210" s="56"/>
      <c r="K210" s="75"/>
      <c r="L210" s="76"/>
      <c r="M210" s="59"/>
      <c r="N210" s="60">
        <v>62.0</v>
      </c>
      <c r="O210" s="61">
        <v>80.0</v>
      </c>
      <c r="P210" s="62">
        <v>86.4</v>
      </c>
      <c r="Q210" s="63">
        <v>86.4</v>
      </c>
      <c r="R210" s="64">
        <v>97.0</v>
      </c>
      <c r="S210" s="111">
        <v>102.0</v>
      </c>
      <c r="T210" s="65">
        <f t="shared" si="2"/>
        <v>16.32</v>
      </c>
      <c r="U210" s="65">
        <f t="shared" si="3"/>
        <v>118.32</v>
      </c>
      <c r="V210" s="66">
        <f t="shared" si="4"/>
        <v>0.05154639175</v>
      </c>
      <c r="W210" s="67">
        <f t="shared" si="5"/>
        <v>96.9</v>
      </c>
      <c r="X210" s="67">
        <f t="shared" si="6"/>
        <v>15.504</v>
      </c>
      <c r="Y210" s="67">
        <f t="shared" si="7"/>
        <v>112.404</v>
      </c>
      <c r="Z210" s="67">
        <f t="shared" si="8"/>
        <v>91.8</v>
      </c>
      <c r="AA210" s="67">
        <f t="shared" si="9"/>
        <v>14.688</v>
      </c>
      <c r="AB210" s="67">
        <f t="shared" si="10"/>
        <v>106.488</v>
      </c>
      <c r="AC210" s="67">
        <f t="shared" si="11"/>
        <v>86.7</v>
      </c>
      <c r="AD210" s="67">
        <f t="shared" si="12"/>
        <v>13.872</v>
      </c>
      <c r="AE210" s="67">
        <f t="shared" si="13"/>
        <v>100.572</v>
      </c>
      <c r="AF210" s="67">
        <f t="shared" si="14"/>
        <v>84.66</v>
      </c>
      <c r="AG210" s="67">
        <f t="shared" si="15"/>
        <v>13.5456</v>
      </c>
      <c r="AH210" s="67">
        <f t="shared" si="16"/>
        <v>98.2056</v>
      </c>
      <c r="AI210" s="67">
        <f t="shared" si="17"/>
        <v>81.6</v>
      </c>
      <c r="AJ210" s="68">
        <f t="shared" si="20"/>
        <v>13.056</v>
      </c>
      <c r="AK210" s="68">
        <f t="shared" si="21"/>
        <v>94.656</v>
      </c>
      <c r="AL210" s="70">
        <f>IFERROR(__xludf.DUMMYFUNCTION("""COMPUTED_VALUE"""),1.0)</f>
        <v>1</v>
      </c>
      <c r="AM210" s="70"/>
      <c r="AN210" s="71" t="str">
        <f>IFERROR(__xludf.DUMMYFUNCTION("""COMPUTED_VALUE""")," P")</f>
        <v>P</v>
      </c>
      <c r="AO210" s="71" t="str">
        <f>IFERROR(__xludf.DUMMYFUNCTION("""COMPUTED_VALUE""")," BY11")</f>
        <v>BY11</v>
      </c>
      <c r="AP210" s="71" t="str">
        <f>IFERROR(__xludf.DUMMYFUNCTION("""COMPUTED_VALUE""")," PZA")</f>
        <v>PZA</v>
      </c>
      <c r="AQ210" s="71" t="str">
        <f>IFERROR(__xludf.DUMMYFUNCTION("""COMPUTED_VALUE""")," REF")</f>
        <v>REF</v>
      </c>
      <c r="AR210" s="71" t="str">
        <f>IFERROR(__xludf.DUMMYFUNCTION("""COMPUTED_VALUE""")," BAYONETA DE POSTE SENCILLA CON BUJE DE ACERO (2 CUÑEROS)")</f>
        <v>BAYONETA DE POSTE SENCILLA CON BUJE DE ACERO (2 CUÑEROS)</v>
      </c>
      <c r="AS210" s="71" t="str">
        <f>IFERROR(__xludf.DUMMYFUNCTION("""COMPUTED_VALUE""")," BAYONETA POSTE SENC BUJE ACERO 2 CUNEROS")</f>
        <v>BAYONETA POSTE SENC BUJE ACERO 2 CUNEROS</v>
      </c>
      <c r="AT210" s="71">
        <f>IFERROR(__xludf.DUMMYFUNCTION("""COMPUTED_VALUE"""),40.0)</f>
        <v>40</v>
      </c>
      <c r="AU210" s="71"/>
      <c r="AV210" s="71"/>
      <c r="AW210" s="71"/>
      <c r="AX210" s="71"/>
      <c r="AY210" s="71">
        <f>IFERROR(__xludf.DUMMYFUNCTION("""COMPUTED_VALUE"""),266.0)</f>
        <v>266</v>
      </c>
      <c r="AZ210" s="71">
        <f>IFERROR(__xludf.DUMMYFUNCTION("""COMPUTED_VALUE"""),358.0)</f>
        <v>358</v>
      </c>
      <c r="BA210" s="71">
        <f>IFERROR(__xludf.DUMMYFUNCTION("""COMPUTED_VALUE"""),386.64000000000004)</f>
        <v>386.64</v>
      </c>
      <c r="BB210" s="71">
        <f>IFERROR(__xludf.DUMMYFUNCTION("""COMPUTED_VALUE"""),386.64000000000004)</f>
        <v>386.64</v>
      </c>
      <c r="BC210" s="71">
        <f>IFERROR(__xludf.DUMMYFUNCTION("""COMPUTED_VALUE"""),488.0)</f>
        <v>488</v>
      </c>
      <c r="BD210" s="71">
        <f>IFERROR(__xludf.DUMMYFUNCTION("""COMPUTED_VALUE"""),512.0)</f>
        <v>512</v>
      </c>
      <c r="BE210" s="71">
        <f>IFERROR(__xludf.DUMMYFUNCTION("""COMPUTED_VALUE"""),81.92)</f>
        <v>81.92</v>
      </c>
      <c r="BF210" s="71">
        <f>IFERROR(__xludf.DUMMYFUNCTION("""COMPUTED_VALUE"""),593.92)</f>
        <v>593.92</v>
      </c>
      <c r="BG210" s="71">
        <f>IFERROR(__xludf.DUMMYFUNCTION("""COMPUTED_VALUE"""),0.04918032786885246)</f>
        <v>0.04918032787</v>
      </c>
      <c r="BH210" s="71">
        <f>IFERROR(__xludf.DUMMYFUNCTION("""COMPUTED_VALUE"""),486.4)</f>
        <v>486.4</v>
      </c>
      <c r="BI210" s="71">
        <f>IFERROR(__xludf.DUMMYFUNCTION("""COMPUTED_VALUE"""),77.824)</f>
        <v>77.824</v>
      </c>
      <c r="BJ210" s="71">
        <f>IFERROR(__xludf.DUMMYFUNCTION("""COMPUTED_VALUE"""),564.2239999999999)</f>
        <v>564.224</v>
      </c>
      <c r="BK210" s="71">
        <f>IFERROR(__xludf.DUMMYFUNCTION("""COMPUTED_VALUE"""),460.8)</f>
        <v>460.8</v>
      </c>
      <c r="BL210" s="71">
        <f>IFERROR(__xludf.DUMMYFUNCTION("""COMPUTED_VALUE"""),73.72800000000001)</f>
        <v>73.728</v>
      </c>
      <c r="BM210" s="71">
        <f>IFERROR(__xludf.DUMMYFUNCTION("""COMPUTED_VALUE"""),534.528)</f>
        <v>534.528</v>
      </c>
      <c r="BN210" s="71">
        <f>IFERROR(__xludf.DUMMYFUNCTION("""COMPUTED_VALUE"""),435.2)</f>
        <v>435.2</v>
      </c>
      <c r="BO210" s="71">
        <f>IFERROR(__xludf.DUMMYFUNCTION("""COMPUTED_VALUE"""),69.632)</f>
        <v>69.632</v>
      </c>
      <c r="BP210" s="71">
        <f>IFERROR(__xludf.DUMMYFUNCTION("""COMPUTED_VALUE"""),504.832)</f>
        <v>504.832</v>
      </c>
      <c r="BQ210" s="71">
        <f>IFERROR(__xludf.DUMMYFUNCTION("""COMPUTED_VALUE"""),424.96)</f>
        <v>424.96</v>
      </c>
      <c r="BR210" s="71">
        <f>IFERROR(__xludf.DUMMYFUNCTION("""COMPUTED_VALUE"""),67.9936)</f>
        <v>67.9936</v>
      </c>
      <c r="BS210" s="71">
        <f>IFERROR(__xludf.DUMMYFUNCTION("""COMPUTED_VALUE"""),492.9536)</f>
        <v>492.9536</v>
      </c>
      <c r="BT210" s="71">
        <f>IFERROR(__xludf.DUMMYFUNCTION("""COMPUTED_VALUE"""),409.6)</f>
        <v>409.6</v>
      </c>
      <c r="BU210" s="71">
        <f>IFERROR(__xludf.DUMMYFUNCTION("""COMPUTED_VALUE"""),65.536)</f>
        <v>65.536</v>
      </c>
      <c r="BV210" s="71">
        <f>IFERROR(__xludf.DUMMYFUNCTION("""COMPUTED_VALUE"""),475.136)</f>
        <v>475.136</v>
      </c>
    </row>
    <row r="211">
      <c r="A211" s="53">
        <v>1.0</v>
      </c>
      <c r="B211" s="72"/>
      <c r="C211" s="73" t="s">
        <v>12</v>
      </c>
      <c r="D211" s="74" t="s">
        <v>523</v>
      </c>
      <c r="E211" s="54" t="s">
        <v>38</v>
      </c>
      <c r="F211" s="54" t="s">
        <v>42</v>
      </c>
      <c r="G211" s="88" t="s">
        <v>524</v>
      </c>
      <c r="H211" s="54" t="s">
        <v>524</v>
      </c>
      <c r="I211" s="54">
        <f t="shared" si="1"/>
        <v>26</v>
      </c>
      <c r="J211" s="56"/>
      <c r="K211" s="75"/>
      <c r="L211" s="76"/>
      <c r="M211" s="59"/>
      <c r="N211" s="60">
        <v>122.0</v>
      </c>
      <c r="O211" s="61">
        <v>131.0</v>
      </c>
      <c r="P211" s="62">
        <v>141.48000000000002</v>
      </c>
      <c r="Q211" s="63">
        <v>141.48000000000002</v>
      </c>
      <c r="R211" s="64">
        <v>158.0</v>
      </c>
      <c r="S211" s="111">
        <v>166.0</v>
      </c>
      <c r="T211" s="65">
        <f t="shared" si="2"/>
        <v>26.56</v>
      </c>
      <c r="U211" s="65">
        <f t="shared" si="3"/>
        <v>192.56</v>
      </c>
      <c r="V211" s="66">
        <f t="shared" si="4"/>
        <v>0.05063291139</v>
      </c>
      <c r="W211" s="67">
        <f t="shared" si="5"/>
        <v>157.7</v>
      </c>
      <c r="X211" s="67">
        <f t="shared" si="6"/>
        <v>25.232</v>
      </c>
      <c r="Y211" s="67">
        <f t="shared" si="7"/>
        <v>182.932</v>
      </c>
      <c r="Z211" s="67">
        <f t="shared" si="8"/>
        <v>149.4</v>
      </c>
      <c r="AA211" s="67">
        <f t="shared" si="9"/>
        <v>23.904</v>
      </c>
      <c r="AB211" s="67">
        <f t="shared" si="10"/>
        <v>173.304</v>
      </c>
      <c r="AC211" s="67">
        <f t="shared" si="11"/>
        <v>141.1</v>
      </c>
      <c r="AD211" s="67">
        <f t="shared" si="12"/>
        <v>22.576</v>
      </c>
      <c r="AE211" s="67">
        <f t="shared" si="13"/>
        <v>163.676</v>
      </c>
      <c r="AF211" s="67">
        <f t="shared" si="14"/>
        <v>137.78</v>
      </c>
      <c r="AG211" s="67">
        <f t="shared" si="15"/>
        <v>22.0448</v>
      </c>
      <c r="AH211" s="67">
        <f t="shared" si="16"/>
        <v>159.8248</v>
      </c>
      <c r="AI211" s="67">
        <f t="shared" si="17"/>
        <v>132.8</v>
      </c>
      <c r="AJ211" s="68">
        <f t="shared" si="20"/>
        <v>21.248</v>
      </c>
      <c r="AK211" s="68">
        <f t="shared" si="21"/>
        <v>154.048</v>
      </c>
      <c r="AL211" s="70">
        <f>IFERROR(__xludf.DUMMYFUNCTION("""COMPUTED_VALUE"""),1.0)</f>
        <v>1</v>
      </c>
      <c r="AM211" s="70"/>
      <c r="AN211" s="71" t="str">
        <f>IFERROR(__xludf.DUMMYFUNCTION("""COMPUTED_VALUE""")," P")</f>
        <v>P</v>
      </c>
      <c r="AO211" s="71" t="str">
        <f>IFERROR(__xludf.DUMMYFUNCTION("""COMPUTED_VALUE""")," BY12")</f>
        <v>BY12</v>
      </c>
      <c r="AP211" s="71" t="str">
        <f>IFERROR(__xludf.DUMMYFUNCTION("""COMPUTED_VALUE""")," PZA")</f>
        <v>PZA</v>
      </c>
      <c r="AQ211" s="71" t="str">
        <f>IFERROR(__xludf.DUMMYFUNCTION("""COMPUTED_VALUE""")," REF")</f>
        <v>REF</v>
      </c>
      <c r="AR211" s="71" t="str">
        <f>IFERROR(__xludf.DUMMYFUNCTION("""COMPUTED_VALUE""")," BAYONETA DE POSTE SENCILLA CON BUJE DE BRONCE (1 CUÑERO)")</f>
        <v>BAYONETA DE POSTE SENCILLA CON BUJE DE BRONCE (1 CUÑERO)</v>
      </c>
      <c r="AS211" s="71" t="str">
        <f>IFERROR(__xludf.DUMMYFUNCTION("""COMPUTED_VALUE""")," BAYONETA POSTE SEN BUJE BRONCE 1 CUNERO")</f>
        <v>BAYONETA POSTE SEN BUJE BRONCE 1 CUNERO</v>
      </c>
      <c r="AT211" s="71">
        <f>IFERROR(__xludf.DUMMYFUNCTION("""COMPUTED_VALUE"""),39.0)</f>
        <v>39</v>
      </c>
      <c r="AU211" s="71"/>
      <c r="AV211" s="71"/>
      <c r="AW211" s="71"/>
      <c r="AX211" s="71"/>
      <c r="AY211" s="71">
        <f>IFERROR(__xludf.DUMMYFUNCTION("""COMPUTED_VALUE"""),380.0)</f>
        <v>380</v>
      </c>
      <c r="AZ211" s="71">
        <f>IFERROR(__xludf.DUMMYFUNCTION("""COMPUTED_VALUE"""),488.0)</f>
        <v>488</v>
      </c>
      <c r="BA211" s="71">
        <f>IFERROR(__xludf.DUMMYFUNCTION("""COMPUTED_VALUE"""),527.0400000000001)</f>
        <v>527.04</v>
      </c>
      <c r="BB211" s="71">
        <f>IFERROR(__xludf.DUMMYFUNCTION("""COMPUTED_VALUE"""),527.0400000000001)</f>
        <v>527.04</v>
      </c>
      <c r="BC211" s="71">
        <f>IFERROR(__xludf.DUMMYFUNCTION("""COMPUTED_VALUE"""),665.0)</f>
        <v>665</v>
      </c>
      <c r="BD211" s="71">
        <f>IFERROR(__xludf.DUMMYFUNCTION("""COMPUTED_VALUE"""),698.0)</f>
        <v>698</v>
      </c>
      <c r="BE211" s="71">
        <f>IFERROR(__xludf.DUMMYFUNCTION("""COMPUTED_VALUE"""),111.68)</f>
        <v>111.68</v>
      </c>
      <c r="BF211" s="71">
        <f>IFERROR(__xludf.DUMMYFUNCTION("""COMPUTED_VALUE"""),809.6800000000001)</f>
        <v>809.68</v>
      </c>
      <c r="BG211" s="71">
        <f>IFERROR(__xludf.DUMMYFUNCTION("""COMPUTED_VALUE"""),0.04962406015037594)</f>
        <v>0.04962406015</v>
      </c>
      <c r="BH211" s="71">
        <f>IFERROR(__xludf.DUMMYFUNCTION("""COMPUTED_VALUE"""),663.1)</f>
        <v>663.1</v>
      </c>
      <c r="BI211" s="71">
        <f>IFERROR(__xludf.DUMMYFUNCTION("""COMPUTED_VALUE"""),106.096)</f>
        <v>106.096</v>
      </c>
      <c r="BJ211" s="71">
        <f>IFERROR(__xludf.DUMMYFUNCTION("""COMPUTED_VALUE"""),769.196)</f>
        <v>769.196</v>
      </c>
      <c r="BK211" s="71">
        <f>IFERROR(__xludf.DUMMYFUNCTION("""COMPUTED_VALUE"""),628.2)</f>
        <v>628.2</v>
      </c>
      <c r="BL211" s="71">
        <f>IFERROR(__xludf.DUMMYFUNCTION("""COMPUTED_VALUE"""),100.51200000000001)</f>
        <v>100.512</v>
      </c>
      <c r="BM211" s="71">
        <f>IFERROR(__xludf.DUMMYFUNCTION("""COMPUTED_VALUE"""),728.7120000000001)</f>
        <v>728.712</v>
      </c>
      <c r="BN211" s="71">
        <f>IFERROR(__xludf.DUMMYFUNCTION("""COMPUTED_VALUE"""),593.3)</f>
        <v>593.3</v>
      </c>
      <c r="BO211" s="71">
        <f>IFERROR(__xludf.DUMMYFUNCTION("""COMPUTED_VALUE"""),94.928)</f>
        <v>94.928</v>
      </c>
      <c r="BP211" s="71">
        <f>IFERROR(__xludf.DUMMYFUNCTION("""COMPUTED_VALUE"""),688.228)</f>
        <v>688.228</v>
      </c>
      <c r="BQ211" s="71">
        <f>IFERROR(__xludf.DUMMYFUNCTION("""COMPUTED_VALUE"""),579.3399999999999)</f>
        <v>579.34</v>
      </c>
      <c r="BR211" s="71">
        <f>IFERROR(__xludf.DUMMYFUNCTION("""COMPUTED_VALUE"""),92.69439999999999)</f>
        <v>92.6944</v>
      </c>
      <c r="BS211" s="71">
        <f>IFERROR(__xludf.DUMMYFUNCTION("""COMPUTED_VALUE"""),672.0343999999999)</f>
        <v>672.0344</v>
      </c>
      <c r="BT211" s="71">
        <f>IFERROR(__xludf.DUMMYFUNCTION("""COMPUTED_VALUE"""),558.4)</f>
        <v>558.4</v>
      </c>
      <c r="BU211" s="71">
        <f>IFERROR(__xludf.DUMMYFUNCTION("""COMPUTED_VALUE"""),89.344)</f>
        <v>89.344</v>
      </c>
      <c r="BV211" s="71">
        <f>IFERROR(__xludf.DUMMYFUNCTION("""COMPUTED_VALUE"""),647.7439999999999)</f>
        <v>647.744</v>
      </c>
    </row>
    <row r="212">
      <c r="A212" s="53">
        <v>1.0</v>
      </c>
      <c r="B212" s="72"/>
      <c r="C212" s="73" t="s">
        <v>12</v>
      </c>
      <c r="D212" s="74" t="s">
        <v>525</v>
      </c>
      <c r="E212" s="54" t="s">
        <v>38</v>
      </c>
      <c r="F212" s="54" t="s">
        <v>42</v>
      </c>
      <c r="G212" s="88" t="s">
        <v>526</v>
      </c>
      <c r="H212" s="54" t="s">
        <v>526</v>
      </c>
      <c r="I212" s="54">
        <f t="shared" si="1"/>
        <v>30</v>
      </c>
      <c r="J212" s="56"/>
      <c r="K212" s="75"/>
      <c r="L212" s="76"/>
      <c r="M212" s="59"/>
      <c r="N212" s="60">
        <v>62.0</v>
      </c>
      <c r="O212" s="61">
        <v>80.0</v>
      </c>
      <c r="P212" s="62">
        <v>86.4</v>
      </c>
      <c r="Q212" s="63">
        <v>86.4</v>
      </c>
      <c r="R212" s="64">
        <v>97.0</v>
      </c>
      <c r="S212" s="111">
        <v>102.0</v>
      </c>
      <c r="T212" s="65">
        <f t="shared" si="2"/>
        <v>16.32</v>
      </c>
      <c r="U212" s="65">
        <f t="shared" si="3"/>
        <v>118.32</v>
      </c>
      <c r="V212" s="66">
        <f t="shared" si="4"/>
        <v>0.05154639175</v>
      </c>
      <c r="W212" s="67">
        <f t="shared" si="5"/>
        <v>96.9</v>
      </c>
      <c r="X212" s="67">
        <f t="shared" si="6"/>
        <v>15.504</v>
      </c>
      <c r="Y212" s="67">
        <f t="shared" si="7"/>
        <v>112.404</v>
      </c>
      <c r="Z212" s="67">
        <f t="shared" si="8"/>
        <v>91.8</v>
      </c>
      <c r="AA212" s="67">
        <f t="shared" si="9"/>
        <v>14.688</v>
      </c>
      <c r="AB212" s="67">
        <f t="shared" si="10"/>
        <v>106.488</v>
      </c>
      <c r="AC212" s="67">
        <f t="shared" si="11"/>
        <v>86.7</v>
      </c>
      <c r="AD212" s="67">
        <f t="shared" si="12"/>
        <v>13.872</v>
      </c>
      <c r="AE212" s="67">
        <f t="shared" si="13"/>
        <v>100.572</v>
      </c>
      <c r="AF212" s="67">
        <f t="shared" si="14"/>
        <v>84.66</v>
      </c>
      <c r="AG212" s="67">
        <f t="shared" si="15"/>
        <v>13.5456</v>
      </c>
      <c r="AH212" s="67">
        <f t="shared" si="16"/>
        <v>98.2056</v>
      </c>
      <c r="AI212" s="67">
        <f t="shared" si="17"/>
        <v>81.6</v>
      </c>
      <c r="AJ212" s="68">
        <f t="shared" si="20"/>
        <v>13.056</v>
      </c>
      <c r="AK212" s="68">
        <f t="shared" si="21"/>
        <v>94.656</v>
      </c>
      <c r="AL212" s="70">
        <f>IFERROR(__xludf.DUMMYFUNCTION("""COMPUTED_VALUE"""),1.0)</f>
        <v>1</v>
      </c>
      <c r="AM212" s="70"/>
      <c r="AN212" s="71" t="str">
        <f>IFERROR(__xludf.DUMMYFUNCTION("""COMPUTED_VALUE""")," P")</f>
        <v>P</v>
      </c>
      <c r="AO212" s="71" t="str">
        <f>IFERROR(__xludf.DUMMYFUNCTION("""COMPUTED_VALUE""")," BY10")</f>
        <v>BY10</v>
      </c>
      <c r="AP212" s="71" t="str">
        <f>IFERROR(__xludf.DUMMYFUNCTION("""COMPUTED_VALUE""")," PZA")</f>
        <v>PZA</v>
      </c>
      <c r="AQ212" s="71" t="str">
        <f>IFERROR(__xludf.DUMMYFUNCTION("""COMPUTED_VALUE""")," REF")</f>
        <v>REF</v>
      </c>
      <c r="AR212" s="71" t="str">
        <f>IFERROR(__xludf.DUMMYFUNCTION("""COMPUTED_VALUE""")," BAYONETA DE POSTE SENCILLA CON BUJE DE BRONCE (2CUÑEROS)")</f>
        <v>BAYONETA DE POSTE SENCILLA CON BUJE DE BRONCE (2CUÑEROS)</v>
      </c>
      <c r="AS212" s="71" t="str">
        <f>IFERROR(__xludf.DUMMYFUNCTION("""COMPUTED_VALUE""")," BAYONETA POSTE SEN BUJE BRONCE 2 CUNEROS")</f>
        <v>BAYONETA POSTE SEN BUJE BRONCE 2 CUNEROS</v>
      </c>
      <c r="AT212" s="71">
        <f>IFERROR(__xludf.DUMMYFUNCTION("""COMPUTED_VALUE"""),40.0)</f>
        <v>40</v>
      </c>
      <c r="AU212" s="71"/>
      <c r="AV212" s="71"/>
      <c r="AW212" s="71"/>
      <c r="AX212" s="71"/>
      <c r="AY212" s="71">
        <f>IFERROR(__xludf.DUMMYFUNCTION("""COMPUTED_VALUE"""),380.0)</f>
        <v>380</v>
      </c>
      <c r="AZ212" s="71">
        <f>IFERROR(__xludf.DUMMYFUNCTION("""COMPUTED_VALUE"""),488.0)</f>
        <v>488</v>
      </c>
      <c r="BA212" s="71">
        <f>IFERROR(__xludf.DUMMYFUNCTION("""COMPUTED_VALUE"""),527.0400000000001)</f>
        <v>527.04</v>
      </c>
      <c r="BB212" s="71">
        <f>IFERROR(__xludf.DUMMYFUNCTION("""COMPUTED_VALUE"""),527.0400000000001)</f>
        <v>527.04</v>
      </c>
      <c r="BC212" s="71">
        <f>IFERROR(__xludf.DUMMYFUNCTION("""COMPUTED_VALUE"""),665.0)</f>
        <v>665</v>
      </c>
      <c r="BD212" s="71">
        <f>IFERROR(__xludf.DUMMYFUNCTION("""COMPUTED_VALUE"""),698.0)</f>
        <v>698</v>
      </c>
      <c r="BE212" s="71">
        <f>IFERROR(__xludf.DUMMYFUNCTION("""COMPUTED_VALUE"""),111.68)</f>
        <v>111.68</v>
      </c>
      <c r="BF212" s="71">
        <f>IFERROR(__xludf.DUMMYFUNCTION("""COMPUTED_VALUE"""),809.6800000000001)</f>
        <v>809.68</v>
      </c>
      <c r="BG212" s="71">
        <f>IFERROR(__xludf.DUMMYFUNCTION("""COMPUTED_VALUE"""),0.04962406015037594)</f>
        <v>0.04962406015</v>
      </c>
      <c r="BH212" s="71">
        <f>IFERROR(__xludf.DUMMYFUNCTION("""COMPUTED_VALUE"""),663.1)</f>
        <v>663.1</v>
      </c>
      <c r="BI212" s="71">
        <f>IFERROR(__xludf.DUMMYFUNCTION("""COMPUTED_VALUE"""),106.096)</f>
        <v>106.096</v>
      </c>
      <c r="BJ212" s="71">
        <f>IFERROR(__xludf.DUMMYFUNCTION("""COMPUTED_VALUE"""),769.196)</f>
        <v>769.196</v>
      </c>
      <c r="BK212" s="71">
        <f>IFERROR(__xludf.DUMMYFUNCTION("""COMPUTED_VALUE"""),628.2)</f>
        <v>628.2</v>
      </c>
      <c r="BL212" s="71">
        <f>IFERROR(__xludf.DUMMYFUNCTION("""COMPUTED_VALUE"""),100.51200000000001)</f>
        <v>100.512</v>
      </c>
      <c r="BM212" s="71">
        <f>IFERROR(__xludf.DUMMYFUNCTION("""COMPUTED_VALUE"""),728.7120000000001)</f>
        <v>728.712</v>
      </c>
      <c r="BN212" s="71">
        <f>IFERROR(__xludf.DUMMYFUNCTION("""COMPUTED_VALUE"""),593.3)</f>
        <v>593.3</v>
      </c>
      <c r="BO212" s="71">
        <f>IFERROR(__xludf.DUMMYFUNCTION("""COMPUTED_VALUE"""),94.928)</f>
        <v>94.928</v>
      </c>
      <c r="BP212" s="71">
        <f>IFERROR(__xludf.DUMMYFUNCTION("""COMPUTED_VALUE"""),688.228)</f>
        <v>688.228</v>
      </c>
      <c r="BQ212" s="71">
        <f>IFERROR(__xludf.DUMMYFUNCTION("""COMPUTED_VALUE"""),579.3399999999999)</f>
        <v>579.34</v>
      </c>
      <c r="BR212" s="71">
        <f>IFERROR(__xludf.DUMMYFUNCTION("""COMPUTED_VALUE"""),92.69439999999999)</f>
        <v>92.6944</v>
      </c>
      <c r="BS212" s="71">
        <f>IFERROR(__xludf.DUMMYFUNCTION("""COMPUTED_VALUE"""),672.0343999999999)</f>
        <v>672.0344</v>
      </c>
      <c r="BT212" s="71">
        <f>IFERROR(__xludf.DUMMYFUNCTION("""COMPUTED_VALUE"""),558.4)</f>
        <v>558.4</v>
      </c>
      <c r="BU212" s="71">
        <f>IFERROR(__xludf.DUMMYFUNCTION("""COMPUTED_VALUE"""),89.344)</f>
        <v>89.344</v>
      </c>
      <c r="BV212" s="71">
        <f>IFERROR(__xludf.DUMMYFUNCTION("""COMPUTED_VALUE"""),647.7439999999999)</f>
        <v>647.744</v>
      </c>
    </row>
    <row r="213">
      <c r="A213" s="53">
        <v>1.0</v>
      </c>
      <c r="B213" s="72"/>
      <c r="C213" s="73" t="s">
        <v>12</v>
      </c>
      <c r="D213" s="74" t="s">
        <v>527</v>
      </c>
      <c r="E213" s="54" t="s">
        <v>38</v>
      </c>
      <c r="F213" s="54" t="s">
        <v>42</v>
      </c>
      <c r="G213" s="88" t="s">
        <v>528</v>
      </c>
      <c r="H213" s="54" t="s">
        <v>528</v>
      </c>
      <c r="I213" s="54">
        <f t="shared" si="1"/>
        <v>26</v>
      </c>
      <c r="J213" s="56"/>
      <c r="K213" s="75"/>
      <c r="L213" s="76"/>
      <c r="M213" s="59"/>
      <c r="N213" s="60">
        <v>128.0</v>
      </c>
      <c r="O213" s="61">
        <v>138.0</v>
      </c>
      <c r="P213" s="62">
        <v>149.04000000000002</v>
      </c>
      <c r="Q213" s="63">
        <v>149.04000000000002</v>
      </c>
      <c r="R213" s="64">
        <v>166.0</v>
      </c>
      <c r="S213" s="111">
        <v>174.0</v>
      </c>
      <c r="T213" s="65">
        <f t="shared" si="2"/>
        <v>27.84</v>
      </c>
      <c r="U213" s="65">
        <f t="shared" si="3"/>
        <v>201.84</v>
      </c>
      <c r="V213" s="66">
        <f t="shared" si="4"/>
        <v>0.04819277108</v>
      </c>
      <c r="W213" s="67">
        <f t="shared" si="5"/>
        <v>165.3</v>
      </c>
      <c r="X213" s="67">
        <f t="shared" si="6"/>
        <v>26.448</v>
      </c>
      <c r="Y213" s="67">
        <f t="shared" si="7"/>
        <v>191.748</v>
      </c>
      <c r="Z213" s="67">
        <f t="shared" si="8"/>
        <v>156.6</v>
      </c>
      <c r="AA213" s="67">
        <f t="shared" si="9"/>
        <v>25.056</v>
      </c>
      <c r="AB213" s="67">
        <f t="shared" si="10"/>
        <v>181.656</v>
      </c>
      <c r="AC213" s="67">
        <f t="shared" si="11"/>
        <v>147.9</v>
      </c>
      <c r="AD213" s="67">
        <f t="shared" si="12"/>
        <v>23.664</v>
      </c>
      <c r="AE213" s="67">
        <f t="shared" si="13"/>
        <v>171.564</v>
      </c>
      <c r="AF213" s="67">
        <f t="shared" si="14"/>
        <v>144.42</v>
      </c>
      <c r="AG213" s="67">
        <f t="shared" si="15"/>
        <v>23.1072</v>
      </c>
      <c r="AH213" s="67">
        <f t="shared" si="16"/>
        <v>167.5272</v>
      </c>
      <c r="AI213" s="67">
        <f t="shared" si="17"/>
        <v>139.2</v>
      </c>
      <c r="AJ213" s="68">
        <f t="shared" si="20"/>
        <v>22.272</v>
      </c>
      <c r="AK213" s="68">
        <f t="shared" si="21"/>
        <v>161.472</v>
      </c>
      <c r="AL213" s="70">
        <f>IFERROR(__xludf.DUMMYFUNCTION("""COMPUTED_VALUE"""),1.0)</f>
        <v>1</v>
      </c>
      <c r="AM213" s="70"/>
      <c r="AN213" s="71" t="str">
        <f>IFERROR(__xludf.DUMMYFUNCTION("""COMPUTED_VALUE""")," P")</f>
        <v>P</v>
      </c>
      <c r="AO213" s="71" t="str">
        <f>IFERROR(__xludf.DUMMYFUNCTION("""COMPUTED_VALUE""")," BY99")</f>
        <v>BY99</v>
      </c>
      <c r="AP213" s="71" t="str">
        <f>IFERROR(__xludf.DUMMYFUNCTION("""COMPUTED_VALUE""")," PZA")</f>
        <v>PZA</v>
      </c>
      <c r="AQ213" s="71" t="str">
        <f>IFERROR(__xludf.DUMMYFUNCTION("""COMPUTED_VALUE""")," REF")</f>
        <v>REF</v>
      </c>
      <c r="AR213" s="71" t="str">
        <f>IFERROR(__xludf.DUMMYFUNCTION("""COMPUTED_VALUE""")," BAYONETA DE POSTE SENCILLA CON BUJE DE BRONCE, EN ACERO INOX. T-304 GRADO ALIMENTICIO")</f>
        <v>BAYONETA DE POSTE SENCILLA CON BUJE DE BRONCE, EN ACERO INOX. T-304 GRADO ALIMENTICIO</v>
      </c>
      <c r="AS213" s="71" t="str">
        <f>IFERROR(__xludf.DUMMYFUNCTION("""COMPUTED_VALUE""")," BAYONETA POSTE SENC CON BUJE BRONCE INOX")</f>
        <v>BAYONETA POSTE SENC CON BUJE BRONCE INOX</v>
      </c>
      <c r="AT213" s="71">
        <f>IFERROR(__xludf.DUMMYFUNCTION("""COMPUTED_VALUE"""),40.0)</f>
        <v>40</v>
      </c>
      <c r="AU213" s="71"/>
      <c r="AV213" s="71"/>
      <c r="AW213" s="71"/>
      <c r="AX213" s="71"/>
      <c r="AY213" s="71">
        <f>IFERROR(__xludf.DUMMYFUNCTION("""COMPUTED_VALUE"""),753.0)</f>
        <v>753</v>
      </c>
      <c r="AZ213" s="71">
        <f>IFERROR(__xludf.DUMMYFUNCTION("""COMPUTED_VALUE"""),813.0)</f>
        <v>813</v>
      </c>
      <c r="BA213" s="71">
        <f>IFERROR(__xludf.DUMMYFUNCTION("""COMPUTED_VALUE"""),1581.12)</f>
        <v>1581.12</v>
      </c>
      <c r="BB213" s="71">
        <f>IFERROR(__xludf.DUMMYFUNCTION("""COMPUTED_VALUE"""),1581.12)</f>
        <v>1581.12</v>
      </c>
      <c r="BC213" s="71">
        <f>IFERROR(__xludf.DUMMYFUNCTION("""COMPUTED_VALUE"""),1937.0)</f>
        <v>1937</v>
      </c>
      <c r="BD213" s="71">
        <f>IFERROR(__xludf.DUMMYFUNCTION("""COMPUTED_VALUE"""),2034.0)</f>
        <v>2034</v>
      </c>
      <c r="BE213" s="71">
        <f>IFERROR(__xludf.DUMMYFUNCTION("""COMPUTED_VALUE"""),325.44)</f>
        <v>325.44</v>
      </c>
      <c r="BF213" s="71">
        <f>IFERROR(__xludf.DUMMYFUNCTION("""COMPUTED_VALUE"""),2359.44)</f>
        <v>2359.44</v>
      </c>
      <c r="BG213" s="71">
        <f>IFERROR(__xludf.DUMMYFUNCTION("""COMPUTED_VALUE"""),0.05007743933918431)</f>
        <v>0.05007743934</v>
      </c>
      <c r="BH213" s="71">
        <f>IFERROR(__xludf.DUMMYFUNCTION("""COMPUTED_VALUE"""),1932.3)</f>
        <v>1932.3</v>
      </c>
      <c r="BI213" s="71">
        <f>IFERROR(__xludf.DUMMYFUNCTION("""COMPUTED_VALUE"""),309.168)</f>
        <v>309.168</v>
      </c>
      <c r="BJ213" s="71">
        <f>IFERROR(__xludf.DUMMYFUNCTION("""COMPUTED_VALUE"""),2241.468)</f>
        <v>2241.468</v>
      </c>
      <c r="BK213" s="71">
        <f>IFERROR(__xludf.DUMMYFUNCTION("""COMPUTED_VALUE"""),1830.6000000000001)</f>
        <v>1830.6</v>
      </c>
      <c r="BL213" s="71">
        <f>IFERROR(__xludf.DUMMYFUNCTION("""COMPUTED_VALUE"""),292.896)</f>
        <v>292.896</v>
      </c>
      <c r="BM213" s="71">
        <f>IFERROR(__xludf.DUMMYFUNCTION("""COMPUTED_VALUE"""),2123.496)</f>
        <v>2123.496</v>
      </c>
      <c r="BN213" s="71">
        <f>IFERROR(__xludf.DUMMYFUNCTION("""COMPUTED_VALUE"""),1728.8999999999999)</f>
        <v>1728.9</v>
      </c>
      <c r="BO213" s="71">
        <f>IFERROR(__xludf.DUMMYFUNCTION("""COMPUTED_VALUE"""),276.62399999999997)</f>
        <v>276.624</v>
      </c>
      <c r="BP213" s="71">
        <f>IFERROR(__xludf.DUMMYFUNCTION("""COMPUTED_VALUE"""),2005.524)</f>
        <v>2005.524</v>
      </c>
      <c r="BQ213" s="71">
        <f>IFERROR(__xludf.DUMMYFUNCTION("""COMPUTED_VALUE"""),1688.22)</f>
        <v>1688.22</v>
      </c>
      <c r="BR213" s="71">
        <f>IFERROR(__xludf.DUMMYFUNCTION("""COMPUTED_VALUE"""),270.1152)</f>
        <v>270.1152</v>
      </c>
      <c r="BS213" s="71">
        <f>IFERROR(__xludf.DUMMYFUNCTION("""COMPUTED_VALUE"""),1958.3352)</f>
        <v>1958.3352</v>
      </c>
      <c r="BT213" s="71">
        <f>IFERROR(__xludf.DUMMYFUNCTION("""COMPUTED_VALUE"""),1627.2)</f>
        <v>1627.2</v>
      </c>
      <c r="BU213" s="71">
        <f>IFERROR(__xludf.DUMMYFUNCTION("""COMPUTED_VALUE"""),260.35200000000003)</f>
        <v>260.352</v>
      </c>
      <c r="BV213" s="71">
        <f>IFERROR(__xludf.DUMMYFUNCTION("""COMPUTED_VALUE"""),1887.5520000000001)</f>
        <v>1887.552</v>
      </c>
    </row>
    <row r="214">
      <c r="A214" s="53">
        <v>1.0</v>
      </c>
      <c r="B214" s="72"/>
      <c r="C214" s="73" t="s">
        <v>12</v>
      </c>
      <c r="D214" s="74" t="s">
        <v>529</v>
      </c>
      <c r="E214" s="54" t="s">
        <v>38</v>
      </c>
      <c r="F214" s="54" t="s">
        <v>42</v>
      </c>
      <c r="G214" s="88" t="s">
        <v>530</v>
      </c>
      <c r="H214" s="54" t="s">
        <v>530</v>
      </c>
      <c r="I214" s="54">
        <f t="shared" si="1"/>
        <v>30</v>
      </c>
      <c r="J214" s="56"/>
      <c r="K214" s="75"/>
      <c r="L214" s="76"/>
      <c r="M214" s="59"/>
      <c r="N214" s="60">
        <v>68.0</v>
      </c>
      <c r="O214" s="61">
        <v>80.0</v>
      </c>
      <c r="P214" s="62">
        <v>86.4</v>
      </c>
      <c r="Q214" s="63">
        <v>86.4</v>
      </c>
      <c r="R214" s="64">
        <v>97.0</v>
      </c>
      <c r="S214" s="111">
        <v>102.0</v>
      </c>
      <c r="T214" s="65">
        <f t="shared" si="2"/>
        <v>16.32</v>
      </c>
      <c r="U214" s="65">
        <f t="shared" si="3"/>
        <v>118.32</v>
      </c>
      <c r="V214" s="66">
        <f t="shared" si="4"/>
        <v>0.05154639175</v>
      </c>
      <c r="W214" s="67">
        <f t="shared" si="5"/>
        <v>96.9</v>
      </c>
      <c r="X214" s="67">
        <f t="shared" si="6"/>
        <v>15.504</v>
      </c>
      <c r="Y214" s="67">
        <f t="shared" si="7"/>
        <v>112.404</v>
      </c>
      <c r="Z214" s="67">
        <f t="shared" si="8"/>
        <v>91.8</v>
      </c>
      <c r="AA214" s="67">
        <f t="shared" si="9"/>
        <v>14.688</v>
      </c>
      <c r="AB214" s="67">
        <f t="shared" si="10"/>
        <v>106.488</v>
      </c>
      <c r="AC214" s="67">
        <f t="shared" si="11"/>
        <v>86.7</v>
      </c>
      <c r="AD214" s="67">
        <f t="shared" si="12"/>
        <v>13.872</v>
      </c>
      <c r="AE214" s="67">
        <f t="shared" si="13"/>
        <v>100.572</v>
      </c>
      <c r="AF214" s="67">
        <f t="shared" si="14"/>
        <v>84.66</v>
      </c>
      <c r="AG214" s="67">
        <f t="shared" si="15"/>
        <v>13.5456</v>
      </c>
      <c r="AH214" s="67">
        <f t="shared" si="16"/>
        <v>98.2056</v>
      </c>
      <c r="AI214" s="67">
        <f t="shared" si="17"/>
        <v>81.6</v>
      </c>
      <c r="AJ214" s="68">
        <f t="shared" si="20"/>
        <v>13.056</v>
      </c>
      <c r="AK214" s="68">
        <f t="shared" si="21"/>
        <v>94.656</v>
      </c>
      <c r="AL214" s="70">
        <f>IFERROR(__xludf.DUMMYFUNCTION("""COMPUTED_VALUE"""),1.0)</f>
        <v>1</v>
      </c>
      <c r="AM214" s="70"/>
      <c r="AN214" s="71" t="str">
        <f>IFERROR(__xludf.DUMMYFUNCTION("""COMPUTED_VALUE""")," C")</f>
        <v>C</v>
      </c>
      <c r="AO214" s="71" t="str">
        <f>IFERROR(__xludf.DUMMYFUNCTION("""COMPUTED_VALUE""")," BR01")</f>
        <v>BR01</v>
      </c>
      <c r="AP214" s="71" t="str">
        <f>IFERROR(__xludf.DUMMYFUNCTION("""COMPUTED_VALUE""")," PZA")</f>
        <v>PZA</v>
      </c>
      <c r="AQ214" s="71" t="str">
        <f>IFERROR(__xludf.DUMMYFUNCTION("""COMPUTED_VALUE""")," REF")</f>
        <v>REF</v>
      </c>
      <c r="AR214" s="71" t="str">
        <f>IFERROR(__xludf.DUMMYFUNCTION("""COMPUTED_VALUE""")," BIRLO DE 1/4 PARA CARRO")</f>
        <v>BIRLO DE 1/4 PARA CARRO</v>
      </c>
      <c r="AS214" s="71" t="str">
        <f>IFERROR(__xludf.DUMMYFUNCTION("""COMPUTED_VALUE""")," BIRLO DE 1/4 PARA CARRO")</f>
        <v>BIRLO DE 1/4 PARA CARRO</v>
      </c>
      <c r="AT214" s="71">
        <f>IFERROR(__xludf.DUMMYFUNCTION("""COMPUTED_VALUE"""),23.0)</f>
        <v>23</v>
      </c>
      <c r="AU214" s="71"/>
      <c r="AV214" s="71"/>
      <c r="AW214" s="71"/>
      <c r="AX214" s="71"/>
      <c r="AY214" s="71">
        <f>IFERROR(__xludf.DUMMYFUNCTION("""COMPUTED_VALUE"""),11.0)</f>
        <v>11</v>
      </c>
      <c r="AZ214" s="71">
        <f>IFERROR(__xludf.DUMMYFUNCTION("""COMPUTED_VALUE"""),11.0)</f>
        <v>11</v>
      </c>
      <c r="BA214" s="71">
        <f>IFERROR(__xludf.DUMMYFUNCTION("""COMPUTED_VALUE"""),11.88)</f>
        <v>11.88</v>
      </c>
      <c r="BB214" s="71">
        <f>IFERROR(__xludf.DUMMYFUNCTION("""COMPUTED_VALUE"""),11.88)</f>
        <v>11.88</v>
      </c>
      <c r="BC214" s="71">
        <f>IFERROR(__xludf.DUMMYFUNCTION("""COMPUTED_VALUE"""),14.0)</f>
        <v>14</v>
      </c>
      <c r="BD214" s="71">
        <f>IFERROR(__xludf.DUMMYFUNCTION("""COMPUTED_VALUE"""),14.700000000000001)</f>
        <v>14.7</v>
      </c>
      <c r="BE214" s="71">
        <f>IFERROR(__xludf.DUMMYFUNCTION("""COMPUTED_VALUE"""),2.3520000000000003)</f>
        <v>2.352</v>
      </c>
      <c r="BF214" s="71">
        <f>IFERROR(__xludf.DUMMYFUNCTION("""COMPUTED_VALUE"""),17.052)</f>
        <v>17.052</v>
      </c>
      <c r="BG214" s="71">
        <f>IFERROR(__xludf.DUMMYFUNCTION("""COMPUTED_VALUE"""),0.05000000000000008)</f>
        <v>0.05</v>
      </c>
      <c r="BH214" s="71">
        <f>IFERROR(__xludf.DUMMYFUNCTION("""COMPUTED_VALUE"""),13.965)</f>
        <v>13.965</v>
      </c>
      <c r="BI214" s="71">
        <f>IFERROR(__xludf.DUMMYFUNCTION("""COMPUTED_VALUE"""),2.2344)</f>
        <v>2.2344</v>
      </c>
      <c r="BJ214" s="71">
        <f>IFERROR(__xludf.DUMMYFUNCTION("""COMPUTED_VALUE"""),16.1994)</f>
        <v>16.1994</v>
      </c>
      <c r="BK214" s="71">
        <f>IFERROR(__xludf.DUMMYFUNCTION("""COMPUTED_VALUE"""),13.23)</f>
        <v>13.23</v>
      </c>
      <c r="BL214" s="71">
        <f>IFERROR(__xludf.DUMMYFUNCTION("""COMPUTED_VALUE"""),2.1168)</f>
        <v>2.1168</v>
      </c>
      <c r="BM214" s="71">
        <f>IFERROR(__xludf.DUMMYFUNCTION("""COMPUTED_VALUE"""),15.3468)</f>
        <v>15.3468</v>
      </c>
      <c r="BN214" s="71">
        <f>IFERROR(__xludf.DUMMYFUNCTION("""COMPUTED_VALUE"""),12.495000000000001)</f>
        <v>12.495</v>
      </c>
      <c r="BO214" s="71">
        <f>IFERROR(__xludf.DUMMYFUNCTION("""COMPUTED_VALUE"""),1.9992000000000003)</f>
        <v>1.9992</v>
      </c>
      <c r="BP214" s="71">
        <f>IFERROR(__xludf.DUMMYFUNCTION("""COMPUTED_VALUE"""),14.494200000000001)</f>
        <v>14.4942</v>
      </c>
      <c r="BQ214" s="71">
        <f>IFERROR(__xludf.DUMMYFUNCTION("""COMPUTED_VALUE"""),12.201)</f>
        <v>12.201</v>
      </c>
      <c r="BR214" s="71">
        <f>IFERROR(__xludf.DUMMYFUNCTION("""COMPUTED_VALUE"""),1.9521600000000001)</f>
        <v>1.95216</v>
      </c>
      <c r="BS214" s="71">
        <f>IFERROR(__xludf.DUMMYFUNCTION("""COMPUTED_VALUE"""),14.15316)</f>
        <v>14.15316</v>
      </c>
      <c r="BT214" s="71">
        <f>IFERROR(__xludf.DUMMYFUNCTION("""COMPUTED_VALUE"""),11.760000000000002)</f>
        <v>11.76</v>
      </c>
      <c r="BU214" s="71">
        <f>IFERROR(__xludf.DUMMYFUNCTION("""COMPUTED_VALUE"""),1.8816000000000004)</f>
        <v>1.8816</v>
      </c>
      <c r="BV214" s="71">
        <f>IFERROR(__xludf.DUMMYFUNCTION("""COMPUTED_VALUE"""),13.641600000000002)</f>
        <v>13.6416</v>
      </c>
    </row>
    <row r="215">
      <c r="A215" s="53">
        <v>1.0</v>
      </c>
      <c r="B215" s="72"/>
      <c r="C215" s="73" t="s">
        <v>12</v>
      </c>
      <c r="D215" s="74" t="s">
        <v>531</v>
      </c>
      <c r="E215" s="54" t="s">
        <v>38</v>
      </c>
      <c r="F215" s="54" t="s">
        <v>42</v>
      </c>
      <c r="G215" s="88" t="s">
        <v>532</v>
      </c>
      <c r="H215" s="54" t="s">
        <v>532</v>
      </c>
      <c r="I215" s="54">
        <f t="shared" si="1"/>
        <v>26</v>
      </c>
      <c r="J215" s="56"/>
      <c r="K215" s="75"/>
      <c r="L215" s="76"/>
      <c r="M215" s="59"/>
      <c r="N215" s="60">
        <v>132.0</v>
      </c>
      <c r="O215" s="61">
        <v>142.0</v>
      </c>
      <c r="P215" s="62">
        <v>153.36</v>
      </c>
      <c r="Q215" s="63">
        <v>153.36</v>
      </c>
      <c r="R215" s="64">
        <v>172.0</v>
      </c>
      <c r="S215" s="111">
        <v>181.0</v>
      </c>
      <c r="T215" s="65">
        <f t="shared" si="2"/>
        <v>28.96</v>
      </c>
      <c r="U215" s="65">
        <f t="shared" si="3"/>
        <v>209.96</v>
      </c>
      <c r="V215" s="66">
        <f t="shared" si="4"/>
        <v>0.0523255814</v>
      </c>
      <c r="W215" s="67">
        <f t="shared" si="5"/>
        <v>171.95</v>
      </c>
      <c r="X215" s="67">
        <f t="shared" si="6"/>
        <v>27.512</v>
      </c>
      <c r="Y215" s="67">
        <f t="shared" si="7"/>
        <v>199.462</v>
      </c>
      <c r="Z215" s="67">
        <f t="shared" si="8"/>
        <v>162.9</v>
      </c>
      <c r="AA215" s="67">
        <f t="shared" si="9"/>
        <v>26.064</v>
      </c>
      <c r="AB215" s="67">
        <f t="shared" si="10"/>
        <v>188.964</v>
      </c>
      <c r="AC215" s="67">
        <f t="shared" si="11"/>
        <v>153.85</v>
      </c>
      <c r="AD215" s="67">
        <f t="shared" si="12"/>
        <v>24.616</v>
      </c>
      <c r="AE215" s="67">
        <f t="shared" si="13"/>
        <v>178.466</v>
      </c>
      <c r="AF215" s="67">
        <f t="shared" si="14"/>
        <v>150.23</v>
      </c>
      <c r="AG215" s="67">
        <f t="shared" si="15"/>
        <v>24.0368</v>
      </c>
      <c r="AH215" s="67">
        <f t="shared" si="16"/>
        <v>174.2668</v>
      </c>
      <c r="AI215" s="67">
        <f t="shared" si="17"/>
        <v>144.8</v>
      </c>
      <c r="AJ215" s="68">
        <f t="shared" si="20"/>
        <v>23.168</v>
      </c>
      <c r="AK215" s="68">
        <f t="shared" si="21"/>
        <v>167.968</v>
      </c>
      <c r="AL215" s="70">
        <f>IFERROR(__xludf.DUMMYFUNCTION("""COMPUTED_VALUE"""),1.0)</f>
        <v>1</v>
      </c>
      <c r="AM215" s="70"/>
      <c r="AN215" s="71" t="str">
        <f>IFERROR(__xludf.DUMMYFUNCTION("""COMPUTED_VALUE""")," C")</f>
        <v>C</v>
      </c>
      <c r="AO215" s="71" t="str">
        <f>IFERROR(__xludf.DUMMYFUNCTION("""COMPUTED_VALUE""")," BR02")</f>
        <v>BR02</v>
      </c>
      <c r="AP215" s="71" t="str">
        <f>IFERROR(__xludf.DUMMYFUNCTION("""COMPUTED_VALUE""")," PZA")</f>
        <v>PZA</v>
      </c>
      <c r="AQ215" s="71" t="str">
        <f>IFERROR(__xludf.DUMMYFUNCTION("""COMPUTED_VALUE""")," REF")</f>
        <v>REF</v>
      </c>
      <c r="AR215" s="71" t="str">
        <f>IFERROR(__xludf.DUMMYFUNCTION("""COMPUTED_VALUE""")," BIRLO DE 3/8 X 3 PARA BASE INFERIOR")</f>
        <v>BIRLO DE 3/8 X 3 PARA BASE INFERIOR</v>
      </c>
      <c r="AS215" s="71" t="str">
        <f>IFERROR(__xludf.DUMMYFUNCTION("""COMPUTED_VALUE""")," BIRLO DE 3/8 X 3 PARA BASE INFERIOR")</f>
        <v>BIRLO DE 3/8 X 3 PARA BASE INFERIOR</v>
      </c>
      <c r="AT215" s="71">
        <f>IFERROR(__xludf.DUMMYFUNCTION("""COMPUTED_VALUE"""),35.0)</f>
        <v>35</v>
      </c>
      <c r="AU215" s="71"/>
      <c r="AV215" s="71"/>
      <c r="AW215" s="71"/>
      <c r="AX215" s="71"/>
      <c r="AY215" s="71">
        <f>IFERROR(__xludf.DUMMYFUNCTION("""COMPUTED_VALUE"""),18.0)</f>
        <v>18</v>
      </c>
      <c r="AZ215" s="71">
        <f>IFERROR(__xludf.DUMMYFUNCTION("""COMPUTED_VALUE"""),19.0)</f>
        <v>19</v>
      </c>
      <c r="BA215" s="71">
        <f>IFERROR(__xludf.DUMMYFUNCTION("""COMPUTED_VALUE"""),20.520000000000003)</f>
        <v>20.52</v>
      </c>
      <c r="BB215" s="71">
        <f>IFERROR(__xludf.DUMMYFUNCTION("""COMPUTED_VALUE"""),20.520000000000003)</f>
        <v>20.52</v>
      </c>
      <c r="BC215" s="71">
        <f>IFERROR(__xludf.DUMMYFUNCTION("""COMPUTED_VALUE"""),24.0)</f>
        <v>24</v>
      </c>
      <c r="BD215" s="71">
        <f>IFERROR(__xludf.DUMMYFUNCTION("""COMPUTED_VALUE"""),25.0)</f>
        <v>25</v>
      </c>
      <c r="BE215" s="71">
        <f>IFERROR(__xludf.DUMMYFUNCTION("""COMPUTED_VALUE"""),4.0)</f>
        <v>4</v>
      </c>
      <c r="BF215" s="71">
        <f>IFERROR(__xludf.DUMMYFUNCTION("""COMPUTED_VALUE"""),29.0)</f>
        <v>29</v>
      </c>
      <c r="BG215" s="71">
        <f>IFERROR(__xludf.DUMMYFUNCTION("""COMPUTED_VALUE"""),0.041666666666666664)</f>
        <v>0.04166666667</v>
      </c>
      <c r="BH215" s="71">
        <f>IFERROR(__xludf.DUMMYFUNCTION("""COMPUTED_VALUE"""),23.75)</f>
        <v>23.75</v>
      </c>
      <c r="BI215" s="71">
        <f>IFERROR(__xludf.DUMMYFUNCTION("""COMPUTED_VALUE"""),3.8000000000000003)</f>
        <v>3.8</v>
      </c>
      <c r="BJ215" s="71">
        <f>IFERROR(__xludf.DUMMYFUNCTION("""COMPUTED_VALUE"""),27.55)</f>
        <v>27.55</v>
      </c>
      <c r="BK215" s="71">
        <f>IFERROR(__xludf.DUMMYFUNCTION("""COMPUTED_VALUE"""),22.5)</f>
        <v>22.5</v>
      </c>
      <c r="BL215" s="71">
        <f>IFERROR(__xludf.DUMMYFUNCTION("""COMPUTED_VALUE"""),3.6)</f>
        <v>3.6</v>
      </c>
      <c r="BM215" s="71">
        <f>IFERROR(__xludf.DUMMYFUNCTION("""COMPUTED_VALUE"""),26.1)</f>
        <v>26.1</v>
      </c>
      <c r="BN215" s="71">
        <f>IFERROR(__xludf.DUMMYFUNCTION("""COMPUTED_VALUE"""),21.25)</f>
        <v>21.25</v>
      </c>
      <c r="BO215" s="71">
        <f>IFERROR(__xludf.DUMMYFUNCTION("""COMPUTED_VALUE"""),3.4)</f>
        <v>3.4</v>
      </c>
      <c r="BP215" s="71">
        <f>IFERROR(__xludf.DUMMYFUNCTION("""COMPUTED_VALUE"""),24.65)</f>
        <v>24.65</v>
      </c>
      <c r="BQ215" s="71">
        <f>IFERROR(__xludf.DUMMYFUNCTION("""COMPUTED_VALUE"""),20.75)</f>
        <v>20.75</v>
      </c>
      <c r="BR215" s="71">
        <f>IFERROR(__xludf.DUMMYFUNCTION("""COMPUTED_VALUE"""),3.3200000000000003)</f>
        <v>3.32</v>
      </c>
      <c r="BS215" s="71">
        <f>IFERROR(__xludf.DUMMYFUNCTION("""COMPUTED_VALUE"""),24.07)</f>
        <v>24.07</v>
      </c>
      <c r="BT215" s="71">
        <f>IFERROR(__xludf.DUMMYFUNCTION("""COMPUTED_VALUE"""),20.0)</f>
        <v>20</v>
      </c>
      <c r="BU215" s="71">
        <f>IFERROR(__xludf.DUMMYFUNCTION("""COMPUTED_VALUE"""),3.2)</f>
        <v>3.2</v>
      </c>
      <c r="BV215" s="71">
        <f>IFERROR(__xludf.DUMMYFUNCTION("""COMPUTED_VALUE"""),23.2)</f>
        <v>23.2</v>
      </c>
    </row>
    <row r="216">
      <c r="A216" s="53">
        <v>1.0</v>
      </c>
      <c r="B216" s="72"/>
      <c r="C216" s="73" t="s">
        <v>12</v>
      </c>
      <c r="D216" s="74" t="s">
        <v>533</v>
      </c>
      <c r="E216" s="54" t="s">
        <v>38</v>
      </c>
      <c r="F216" s="54" t="s">
        <v>42</v>
      </c>
      <c r="G216" s="88" t="s">
        <v>534</v>
      </c>
      <c r="H216" s="54" t="s">
        <v>534</v>
      </c>
      <c r="I216" s="54">
        <f t="shared" si="1"/>
        <v>30</v>
      </c>
      <c r="J216" s="56"/>
      <c r="K216" s="75"/>
      <c r="L216" s="76"/>
      <c r="M216" s="59"/>
      <c r="N216" s="60">
        <v>72.0</v>
      </c>
      <c r="O216" s="61">
        <v>82.0</v>
      </c>
      <c r="P216" s="62">
        <v>88.56</v>
      </c>
      <c r="Q216" s="63">
        <v>88.56</v>
      </c>
      <c r="R216" s="64">
        <v>99.0</v>
      </c>
      <c r="S216" s="111">
        <v>104.0</v>
      </c>
      <c r="T216" s="65">
        <f t="shared" si="2"/>
        <v>16.64</v>
      </c>
      <c r="U216" s="65">
        <f t="shared" si="3"/>
        <v>120.64</v>
      </c>
      <c r="V216" s="66">
        <f t="shared" si="4"/>
        <v>0.05050505051</v>
      </c>
      <c r="W216" s="67">
        <f t="shared" si="5"/>
        <v>98.8</v>
      </c>
      <c r="X216" s="67">
        <f t="shared" si="6"/>
        <v>15.808</v>
      </c>
      <c r="Y216" s="67">
        <f t="shared" si="7"/>
        <v>114.608</v>
      </c>
      <c r="Z216" s="67">
        <f t="shared" si="8"/>
        <v>93.6</v>
      </c>
      <c r="AA216" s="67">
        <f t="shared" si="9"/>
        <v>14.976</v>
      </c>
      <c r="AB216" s="67">
        <f t="shared" si="10"/>
        <v>108.576</v>
      </c>
      <c r="AC216" s="67">
        <f t="shared" si="11"/>
        <v>88.4</v>
      </c>
      <c r="AD216" s="67">
        <f t="shared" si="12"/>
        <v>14.144</v>
      </c>
      <c r="AE216" s="67">
        <f t="shared" si="13"/>
        <v>102.544</v>
      </c>
      <c r="AF216" s="67">
        <f t="shared" si="14"/>
        <v>86.32</v>
      </c>
      <c r="AG216" s="67">
        <f t="shared" si="15"/>
        <v>13.8112</v>
      </c>
      <c r="AH216" s="67">
        <f t="shared" si="16"/>
        <v>100.1312</v>
      </c>
      <c r="AI216" s="67">
        <f t="shared" si="17"/>
        <v>83.2</v>
      </c>
      <c r="AJ216" s="68">
        <f t="shared" si="20"/>
        <v>13.312</v>
      </c>
      <c r="AK216" s="68">
        <f t="shared" si="21"/>
        <v>96.512</v>
      </c>
      <c r="AL216" s="70">
        <f>IFERROR(__xludf.DUMMYFUNCTION("""COMPUTED_VALUE"""),1.0)</f>
        <v>1</v>
      </c>
      <c r="AM216" s="70"/>
      <c r="AN216" s="71" t="str">
        <f>IFERROR(__xludf.DUMMYFUNCTION("""COMPUTED_VALUE""")," C")</f>
        <v>C</v>
      </c>
      <c r="AO216" s="71" t="str">
        <f>IFERROR(__xludf.DUMMYFUNCTION("""COMPUTED_VALUE""")," BR03")</f>
        <v>BR03</v>
      </c>
      <c r="AP216" s="71" t="str">
        <f>IFERROR(__xludf.DUMMYFUNCTION("""COMPUTED_VALUE""")," PZA")</f>
        <v>PZA</v>
      </c>
      <c r="AQ216" s="71" t="str">
        <f>IFERROR(__xludf.DUMMYFUNCTION("""COMPUTED_VALUE""")," REF")</f>
        <v>REF</v>
      </c>
      <c r="AR216" s="71" t="str">
        <f>IFERROR(__xludf.DUMMYFUNCTION("""COMPUTED_VALUE""")," BIRLO DE 5/16 X 5 GALVANIZADO PARA LENGÜETA")</f>
        <v>BIRLO DE 5/16 X 5 GALVANIZADO PARA LENGÜETA</v>
      </c>
      <c r="AS216" s="71" t="str">
        <f>IFERROR(__xludf.DUMMYFUNCTION("""COMPUTED_VALUE""")," BIRLO DE 5/16 X 5 GALV P/ LENGUETA")</f>
        <v>BIRLO DE 5/16 X 5 GALV P/ LENGUETA</v>
      </c>
      <c r="AT216" s="71">
        <f>IFERROR(__xludf.DUMMYFUNCTION("""COMPUTED_VALUE"""),34.0)</f>
        <v>34</v>
      </c>
      <c r="AU216" s="71"/>
      <c r="AV216" s="71"/>
      <c r="AW216" s="71"/>
      <c r="AX216" s="71"/>
      <c r="AY216" s="71">
        <f>IFERROR(__xludf.DUMMYFUNCTION("""COMPUTED_VALUE"""),12.0)</f>
        <v>12</v>
      </c>
      <c r="AZ216" s="71">
        <f>IFERROR(__xludf.DUMMYFUNCTION("""COMPUTED_VALUE"""),13.0)</f>
        <v>13</v>
      </c>
      <c r="BA216" s="71">
        <f>IFERROR(__xludf.DUMMYFUNCTION("""COMPUTED_VALUE"""),14.040000000000001)</f>
        <v>14.04</v>
      </c>
      <c r="BB216" s="71">
        <f>IFERROR(__xludf.DUMMYFUNCTION("""COMPUTED_VALUE"""),14.040000000000001)</f>
        <v>14.04</v>
      </c>
      <c r="BC216" s="71">
        <f>IFERROR(__xludf.DUMMYFUNCTION("""COMPUTED_VALUE"""),16.0)</f>
        <v>16</v>
      </c>
      <c r="BD216" s="71">
        <f>IFERROR(__xludf.DUMMYFUNCTION("""COMPUTED_VALUE"""),16.8)</f>
        <v>16.8</v>
      </c>
      <c r="BE216" s="71">
        <f>IFERROR(__xludf.DUMMYFUNCTION("""COMPUTED_VALUE"""),2.688)</f>
        <v>2.688</v>
      </c>
      <c r="BF216" s="71">
        <f>IFERROR(__xludf.DUMMYFUNCTION("""COMPUTED_VALUE"""),19.488)</f>
        <v>19.488</v>
      </c>
      <c r="BG216" s="71">
        <f>IFERROR(__xludf.DUMMYFUNCTION("""COMPUTED_VALUE"""),0.050000000000000044)</f>
        <v>0.05</v>
      </c>
      <c r="BH216" s="71">
        <f>IFERROR(__xludf.DUMMYFUNCTION("""COMPUTED_VALUE"""),15.959999999999999)</f>
        <v>15.96</v>
      </c>
      <c r="BI216" s="71">
        <f>IFERROR(__xludf.DUMMYFUNCTION("""COMPUTED_VALUE"""),2.5536)</f>
        <v>2.5536</v>
      </c>
      <c r="BJ216" s="71">
        <f>IFERROR(__xludf.DUMMYFUNCTION("""COMPUTED_VALUE"""),18.5136)</f>
        <v>18.5136</v>
      </c>
      <c r="BK216" s="71">
        <f>IFERROR(__xludf.DUMMYFUNCTION("""COMPUTED_VALUE"""),15.120000000000001)</f>
        <v>15.12</v>
      </c>
      <c r="BL216" s="71">
        <f>IFERROR(__xludf.DUMMYFUNCTION("""COMPUTED_VALUE"""),2.4192)</f>
        <v>2.4192</v>
      </c>
      <c r="BM216" s="71">
        <f>IFERROR(__xludf.DUMMYFUNCTION("""COMPUTED_VALUE"""),17.5392)</f>
        <v>17.5392</v>
      </c>
      <c r="BN216" s="71">
        <f>IFERROR(__xludf.DUMMYFUNCTION("""COMPUTED_VALUE"""),14.28)</f>
        <v>14.28</v>
      </c>
      <c r="BO216" s="71">
        <f>IFERROR(__xludf.DUMMYFUNCTION("""COMPUTED_VALUE"""),2.2848)</f>
        <v>2.2848</v>
      </c>
      <c r="BP216" s="71">
        <f>IFERROR(__xludf.DUMMYFUNCTION("""COMPUTED_VALUE"""),16.564799999999998)</f>
        <v>16.5648</v>
      </c>
      <c r="BQ216" s="71">
        <f>IFERROR(__xludf.DUMMYFUNCTION("""COMPUTED_VALUE"""),13.943999999999999)</f>
        <v>13.944</v>
      </c>
      <c r="BR216" s="71">
        <f>IFERROR(__xludf.DUMMYFUNCTION("""COMPUTED_VALUE"""),2.2310399999999997)</f>
        <v>2.23104</v>
      </c>
      <c r="BS216" s="71">
        <f>IFERROR(__xludf.DUMMYFUNCTION("""COMPUTED_VALUE"""),16.17504)</f>
        <v>16.17504</v>
      </c>
      <c r="BT216" s="71">
        <f>IFERROR(__xludf.DUMMYFUNCTION("""COMPUTED_VALUE"""),13.440000000000001)</f>
        <v>13.44</v>
      </c>
      <c r="BU216" s="71">
        <f>IFERROR(__xludf.DUMMYFUNCTION("""COMPUTED_VALUE"""),2.1504000000000003)</f>
        <v>2.1504</v>
      </c>
      <c r="BV216" s="71">
        <f>IFERROR(__xludf.DUMMYFUNCTION("""COMPUTED_VALUE"""),15.590400000000002)</f>
        <v>15.5904</v>
      </c>
    </row>
    <row r="217">
      <c r="A217" s="53">
        <v>1.0</v>
      </c>
      <c r="B217" s="72"/>
      <c r="C217" s="73" t="s">
        <v>12</v>
      </c>
      <c r="D217" s="74" t="s">
        <v>535</v>
      </c>
      <c r="E217" s="54" t="s">
        <v>38</v>
      </c>
      <c r="F217" s="54" t="s">
        <v>42</v>
      </c>
      <c r="G217" s="88" t="s">
        <v>536</v>
      </c>
      <c r="H217" s="54" t="s">
        <v>536</v>
      </c>
      <c r="I217" s="54">
        <f t="shared" si="1"/>
        <v>26</v>
      </c>
      <c r="J217" s="56"/>
      <c r="K217" s="75"/>
      <c r="L217" s="76"/>
      <c r="M217" s="59"/>
      <c r="N217" s="60">
        <v>140.0</v>
      </c>
      <c r="O217" s="61">
        <v>151.0</v>
      </c>
      <c r="P217" s="62">
        <v>163.08</v>
      </c>
      <c r="Q217" s="63">
        <v>163.08</v>
      </c>
      <c r="R217" s="64">
        <v>182.0</v>
      </c>
      <c r="S217" s="111">
        <v>191.0</v>
      </c>
      <c r="T217" s="65">
        <f t="shared" si="2"/>
        <v>30.56</v>
      </c>
      <c r="U217" s="65">
        <f t="shared" si="3"/>
        <v>221.56</v>
      </c>
      <c r="V217" s="66">
        <f t="shared" si="4"/>
        <v>0.04945054945</v>
      </c>
      <c r="W217" s="67">
        <f t="shared" si="5"/>
        <v>181.45</v>
      </c>
      <c r="X217" s="67">
        <f t="shared" si="6"/>
        <v>29.032</v>
      </c>
      <c r="Y217" s="67">
        <f t="shared" si="7"/>
        <v>210.482</v>
      </c>
      <c r="Z217" s="67">
        <f t="shared" si="8"/>
        <v>171.9</v>
      </c>
      <c r="AA217" s="67">
        <f t="shared" si="9"/>
        <v>27.504</v>
      </c>
      <c r="AB217" s="67">
        <f t="shared" si="10"/>
        <v>199.404</v>
      </c>
      <c r="AC217" s="67">
        <f t="shared" si="11"/>
        <v>162.35</v>
      </c>
      <c r="AD217" s="67">
        <f t="shared" si="12"/>
        <v>25.976</v>
      </c>
      <c r="AE217" s="67">
        <f t="shared" si="13"/>
        <v>188.326</v>
      </c>
      <c r="AF217" s="67">
        <f t="shared" si="14"/>
        <v>158.53</v>
      </c>
      <c r="AG217" s="67">
        <f t="shared" si="15"/>
        <v>25.3648</v>
      </c>
      <c r="AH217" s="67">
        <f t="shared" si="16"/>
        <v>183.8948</v>
      </c>
      <c r="AI217" s="67">
        <f t="shared" si="17"/>
        <v>152.8</v>
      </c>
      <c r="AJ217" s="68">
        <f t="shared" si="20"/>
        <v>24.448</v>
      </c>
      <c r="AK217" s="68">
        <f t="shared" si="21"/>
        <v>177.248</v>
      </c>
      <c r="AL217" s="70">
        <f>IFERROR(__xludf.DUMMYFUNCTION("""COMPUTED_VALUE"""),1.0)</f>
        <v>1</v>
      </c>
      <c r="AM217" s="70"/>
      <c r="AN217" s="71" t="str">
        <f>IFERROR(__xludf.DUMMYFUNCTION("""COMPUTED_VALUE""")," C")</f>
        <v>C</v>
      </c>
      <c r="AO217" s="71" t="str">
        <f>IFERROR(__xludf.DUMMYFUNCTION("""COMPUTED_VALUE""")," BC01")</f>
        <v>BC01</v>
      </c>
      <c r="AP217" s="71" t="str">
        <f>IFERROR(__xludf.DUMMYFUNCTION("""COMPUTED_VALUE""")," PZA")</f>
        <v>PZA</v>
      </c>
      <c r="AQ217" s="71" t="str">
        <f>IFERROR(__xludf.DUMMYFUNCTION("""COMPUTED_VALUE""")," REF")</f>
        <v>REF</v>
      </c>
      <c r="AR217" s="71" t="str">
        <f>IFERROR(__xludf.DUMMYFUNCTION("""COMPUTED_VALUE""")," BLANQUEADOR 1 KG.")</f>
        <v>BLANQUEADOR 1 KG.</v>
      </c>
      <c r="AS217" s="71" t="str">
        <f>IFERROR(__xludf.DUMMYFUNCTION("""COMPUTED_VALUE""")," BLANQUEADOR 1 KG")</f>
        <v>BLANQUEADOR 1 KG</v>
      </c>
      <c r="AT217" s="71">
        <f>IFERROR(__xludf.DUMMYFUNCTION("""COMPUTED_VALUE"""),16.0)</f>
        <v>16</v>
      </c>
      <c r="AU217" s="71"/>
      <c r="AV217" s="71"/>
      <c r="AW217" s="71"/>
      <c r="AX217" s="71"/>
      <c r="AY217" s="71">
        <f>IFERROR(__xludf.DUMMYFUNCTION("""COMPUTED_VALUE"""),140.0)</f>
        <v>140</v>
      </c>
      <c r="AZ217" s="71">
        <f>IFERROR(__xludf.DUMMYFUNCTION("""COMPUTED_VALUE"""),151.0)</f>
        <v>151</v>
      </c>
      <c r="BA217" s="71">
        <f>IFERROR(__xludf.DUMMYFUNCTION("""COMPUTED_VALUE"""),163.08)</f>
        <v>163.08</v>
      </c>
      <c r="BB217" s="71">
        <f>IFERROR(__xludf.DUMMYFUNCTION("""COMPUTED_VALUE"""),163.08)</f>
        <v>163.08</v>
      </c>
      <c r="BC217" s="71">
        <f>IFERROR(__xludf.DUMMYFUNCTION("""COMPUTED_VALUE"""),182.0)</f>
        <v>182</v>
      </c>
      <c r="BD217" s="71">
        <f>IFERROR(__xludf.DUMMYFUNCTION("""COMPUTED_VALUE"""),191.0)</f>
        <v>191</v>
      </c>
      <c r="BE217" s="71">
        <f>IFERROR(__xludf.DUMMYFUNCTION("""COMPUTED_VALUE"""),30.560000000000002)</f>
        <v>30.56</v>
      </c>
      <c r="BF217" s="71">
        <f>IFERROR(__xludf.DUMMYFUNCTION("""COMPUTED_VALUE"""),221.56)</f>
        <v>221.56</v>
      </c>
      <c r="BG217" s="71">
        <f>IFERROR(__xludf.DUMMYFUNCTION("""COMPUTED_VALUE"""),0.04945054945054945)</f>
        <v>0.04945054945</v>
      </c>
      <c r="BH217" s="71">
        <f>IFERROR(__xludf.DUMMYFUNCTION("""COMPUTED_VALUE"""),181.45)</f>
        <v>181.45</v>
      </c>
      <c r="BI217" s="71">
        <f>IFERROR(__xludf.DUMMYFUNCTION("""COMPUTED_VALUE"""),29.032)</f>
        <v>29.032</v>
      </c>
      <c r="BJ217" s="71">
        <f>IFERROR(__xludf.DUMMYFUNCTION("""COMPUTED_VALUE"""),210.482)</f>
        <v>210.482</v>
      </c>
      <c r="BK217" s="71">
        <f>IFERROR(__xludf.DUMMYFUNCTION("""COMPUTED_VALUE"""),171.9)</f>
        <v>171.9</v>
      </c>
      <c r="BL217" s="71">
        <f>IFERROR(__xludf.DUMMYFUNCTION("""COMPUTED_VALUE"""),27.504)</f>
        <v>27.504</v>
      </c>
      <c r="BM217" s="71">
        <f>IFERROR(__xludf.DUMMYFUNCTION("""COMPUTED_VALUE"""),199.404)</f>
        <v>199.404</v>
      </c>
      <c r="BN217" s="71">
        <f>IFERROR(__xludf.DUMMYFUNCTION("""COMPUTED_VALUE"""),162.35)</f>
        <v>162.35</v>
      </c>
      <c r="BO217" s="71">
        <f>IFERROR(__xludf.DUMMYFUNCTION("""COMPUTED_VALUE"""),25.976)</f>
        <v>25.976</v>
      </c>
      <c r="BP217" s="71">
        <f>IFERROR(__xludf.DUMMYFUNCTION("""COMPUTED_VALUE"""),188.326)</f>
        <v>188.326</v>
      </c>
      <c r="BQ217" s="71">
        <f>IFERROR(__xludf.DUMMYFUNCTION("""COMPUTED_VALUE"""),158.53)</f>
        <v>158.53</v>
      </c>
      <c r="BR217" s="71">
        <f>IFERROR(__xludf.DUMMYFUNCTION("""COMPUTED_VALUE"""),25.364800000000002)</f>
        <v>25.3648</v>
      </c>
      <c r="BS217" s="71">
        <f>IFERROR(__xludf.DUMMYFUNCTION("""COMPUTED_VALUE"""),183.8948)</f>
        <v>183.8948</v>
      </c>
      <c r="BT217" s="71">
        <f>IFERROR(__xludf.DUMMYFUNCTION("""COMPUTED_VALUE"""),152.8)</f>
        <v>152.8</v>
      </c>
      <c r="BU217" s="71">
        <f>IFERROR(__xludf.DUMMYFUNCTION("""COMPUTED_VALUE"""),24.448000000000004)</f>
        <v>24.448</v>
      </c>
      <c r="BV217" s="71">
        <f>IFERROR(__xludf.DUMMYFUNCTION("""COMPUTED_VALUE"""),177.24800000000002)</f>
        <v>177.248</v>
      </c>
    </row>
    <row r="218">
      <c r="A218" s="53">
        <v>1.0</v>
      </c>
      <c r="B218" s="72"/>
      <c r="C218" s="73" t="s">
        <v>12</v>
      </c>
      <c r="D218" s="74" t="s">
        <v>537</v>
      </c>
      <c r="E218" s="54" t="s">
        <v>38</v>
      </c>
      <c r="F218" s="54" t="s">
        <v>42</v>
      </c>
      <c r="G218" s="88" t="s">
        <v>538</v>
      </c>
      <c r="H218" s="54" t="s">
        <v>538</v>
      </c>
      <c r="I218" s="54">
        <f t="shared" si="1"/>
        <v>30</v>
      </c>
      <c r="J218" s="56"/>
      <c r="K218" s="75"/>
      <c r="L218" s="76"/>
      <c r="M218" s="59"/>
      <c r="N218" s="60">
        <v>73.0</v>
      </c>
      <c r="O218" s="61">
        <v>84.0</v>
      </c>
      <c r="P218" s="62">
        <v>90.72</v>
      </c>
      <c r="Q218" s="63">
        <v>90.72</v>
      </c>
      <c r="R218" s="64">
        <v>102.0</v>
      </c>
      <c r="S218" s="111">
        <v>107.0</v>
      </c>
      <c r="T218" s="65">
        <f t="shared" si="2"/>
        <v>17.12</v>
      </c>
      <c r="U218" s="65">
        <f t="shared" si="3"/>
        <v>124.12</v>
      </c>
      <c r="V218" s="66">
        <f t="shared" si="4"/>
        <v>0.04901960784</v>
      </c>
      <c r="W218" s="67">
        <f t="shared" si="5"/>
        <v>101.65</v>
      </c>
      <c r="X218" s="67">
        <f t="shared" si="6"/>
        <v>16.264</v>
      </c>
      <c r="Y218" s="67">
        <f t="shared" si="7"/>
        <v>117.914</v>
      </c>
      <c r="Z218" s="67">
        <f t="shared" si="8"/>
        <v>96.3</v>
      </c>
      <c r="AA218" s="67">
        <f t="shared" si="9"/>
        <v>15.408</v>
      </c>
      <c r="AB218" s="67">
        <f t="shared" si="10"/>
        <v>111.708</v>
      </c>
      <c r="AC218" s="67">
        <f t="shared" si="11"/>
        <v>90.95</v>
      </c>
      <c r="AD218" s="67">
        <f t="shared" si="12"/>
        <v>14.552</v>
      </c>
      <c r="AE218" s="67">
        <f t="shared" si="13"/>
        <v>105.502</v>
      </c>
      <c r="AF218" s="67">
        <f t="shared" si="14"/>
        <v>88.81</v>
      </c>
      <c r="AG218" s="67">
        <f t="shared" si="15"/>
        <v>14.2096</v>
      </c>
      <c r="AH218" s="67">
        <f t="shared" si="16"/>
        <v>103.0196</v>
      </c>
      <c r="AI218" s="67">
        <f t="shared" si="17"/>
        <v>85.6</v>
      </c>
      <c r="AJ218" s="68">
        <f t="shared" si="20"/>
        <v>13.696</v>
      </c>
      <c r="AK218" s="68">
        <f t="shared" si="21"/>
        <v>99.296</v>
      </c>
      <c r="AL218" s="70">
        <f>IFERROR(__xludf.DUMMYFUNCTION("""COMPUTED_VALUE"""),1.0)</f>
        <v>1</v>
      </c>
      <c r="AM218" s="70"/>
      <c r="AN218" s="71" t="str">
        <f>IFERROR(__xludf.DUMMYFUNCTION("""COMPUTED_VALUE""")," C")</f>
        <v>C</v>
      </c>
      <c r="AO218" s="71" t="str">
        <f>IFERROR(__xludf.DUMMYFUNCTION("""COMPUTED_VALUE""")," BC03")</f>
        <v>BC03</v>
      </c>
      <c r="AP218" s="71" t="str">
        <f>IFERROR(__xludf.DUMMYFUNCTION("""COMPUTED_VALUE""")," PZA")</f>
        <v>PZA</v>
      </c>
      <c r="AQ218" s="71" t="str">
        <f>IFERROR(__xludf.DUMMYFUNCTION("""COMPUTED_VALUE""")," REF")</f>
        <v>REF</v>
      </c>
      <c r="AR218" s="71" t="str">
        <f>IFERROR(__xludf.DUMMYFUNCTION("""COMPUTED_VALUE""")," BLANQUEADOR 25 KG. (BULTO)")</f>
        <v>BLANQUEADOR 25 KG. (BULTO)</v>
      </c>
      <c r="AS218" s="71" t="str">
        <f>IFERROR(__xludf.DUMMYFUNCTION("""COMPUTED_VALUE""")," BLANQUEADOR 25 KG (BULTO)")</f>
        <v>BLANQUEADOR 25 KG (BULTO)</v>
      </c>
      <c r="AT218" s="71">
        <f>IFERROR(__xludf.DUMMYFUNCTION("""COMPUTED_VALUE"""),25.0)</f>
        <v>25</v>
      </c>
      <c r="AU218" s="71"/>
      <c r="AV218" s="71"/>
      <c r="AW218" s="71"/>
      <c r="AX218" s="71"/>
      <c r="AY218" s="71">
        <f>IFERROR(__xludf.DUMMYFUNCTION("""COMPUTED_VALUE"""),3343.0)</f>
        <v>3343</v>
      </c>
      <c r="AZ218" s="71">
        <f>IFERROR(__xludf.DUMMYFUNCTION("""COMPUTED_VALUE"""),3610.0)</f>
        <v>3610</v>
      </c>
      <c r="BA218" s="71">
        <f>IFERROR(__xludf.DUMMYFUNCTION("""COMPUTED_VALUE"""),3898.8)</f>
        <v>3898.8</v>
      </c>
      <c r="BB218" s="71">
        <f>IFERROR(__xludf.DUMMYFUNCTION("""COMPUTED_VALUE"""),3898.8)</f>
        <v>3898.8</v>
      </c>
      <c r="BC218" s="71">
        <f>IFERROR(__xludf.DUMMYFUNCTION("""COMPUTED_VALUE"""),4340.0)</f>
        <v>4340</v>
      </c>
      <c r="BD218" s="71">
        <f>IFERROR(__xludf.DUMMYFUNCTION("""COMPUTED_VALUE"""),4557.0)</f>
        <v>4557</v>
      </c>
      <c r="BE218" s="71">
        <f>IFERROR(__xludf.DUMMYFUNCTION("""COMPUTED_VALUE"""),729.12)</f>
        <v>729.12</v>
      </c>
      <c r="BF218" s="71">
        <f>IFERROR(__xludf.DUMMYFUNCTION("""COMPUTED_VALUE"""),5286.12)</f>
        <v>5286.12</v>
      </c>
      <c r="BG218" s="71">
        <f>IFERROR(__xludf.DUMMYFUNCTION("""COMPUTED_VALUE"""),0.05)</f>
        <v>0.05</v>
      </c>
      <c r="BH218" s="71">
        <f>IFERROR(__xludf.DUMMYFUNCTION("""COMPUTED_VALUE"""),4329.15)</f>
        <v>4329.15</v>
      </c>
      <c r="BI218" s="71">
        <f>IFERROR(__xludf.DUMMYFUNCTION("""COMPUTED_VALUE"""),692.664)</f>
        <v>692.664</v>
      </c>
      <c r="BJ218" s="71">
        <f>IFERROR(__xludf.DUMMYFUNCTION("""COMPUTED_VALUE"""),5021.813999999999)</f>
        <v>5021.814</v>
      </c>
      <c r="BK218" s="71">
        <f>IFERROR(__xludf.DUMMYFUNCTION("""COMPUTED_VALUE"""),4101.3)</f>
        <v>4101.3</v>
      </c>
      <c r="BL218" s="71">
        <f>IFERROR(__xludf.DUMMYFUNCTION("""COMPUTED_VALUE"""),656.2080000000001)</f>
        <v>656.208</v>
      </c>
      <c r="BM218" s="71">
        <f>IFERROR(__xludf.DUMMYFUNCTION("""COMPUTED_VALUE"""),4757.508)</f>
        <v>4757.508</v>
      </c>
      <c r="BN218" s="71">
        <f>IFERROR(__xludf.DUMMYFUNCTION("""COMPUTED_VALUE"""),3873.45)</f>
        <v>3873.45</v>
      </c>
      <c r="BO218" s="71">
        <f>IFERROR(__xludf.DUMMYFUNCTION("""COMPUTED_VALUE"""),619.752)</f>
        <v>619.752</v>
      </c>
      <c r="BP218" s="71">
        <f>IFERROR(__xludf.DUMMYFUNCTION("""COMPUTED_VALUE"""),4493.201999999999)</f>
        <v>4493.202</v>
      </c>
      <c r="BQ218" s="71">
        <f>IFERROR(__xludf.DUMMYFUNCTION("""COMPUTED_VALUE"""),3782.31)</f>
        <v>3782.31</v>
      </c>
      <c r="BR218" s="71">
        <f>IFERROR(__xludf.DUMMYFUNCTION("""COMPUTED_VALUE"""),605.1696000000001)</f>
        <v>605.1696</v>
      </c>
      <c r="BS218" s="71">
        <f>IFERROR(__xludf.DUMMYFUNCTION("""COMPUTED_VALUE"""),4387.4796)</f>
        <v>4387.4796</v>
      </c>
      <c r="BT218" s="71">
        <f>IFERROR(__xludf.DUMMYFUNCTION("""COMPUTED_VALUE"""),3645.6000000000004)</f>
        <v>3645.6</v>
      </c>
      <c r="BU218" s="71">
        <f>IFERROR(__xludf.DUMMYFUNCTION("""COMPUTED_VALUE"""),583.296)</f>
        <v>583.296</v>
      </c>
      <c r="BV218" s="71">
        <f>IFERROR(__xludf.DUMMYFUNCTION("""COMPUTED_VALUE"""),4228.896000000001)</f>
        <v>4228.896</v>
      </c>
    </row>
    <row r="219">
      <c r="A219" s="53">
        <v>1.0</v>
      </c>
      <c r="B219" s="72"/>
      <c r="C219" s="73" t="s">
        <v>12</v>
      </c>
      <c r="D219" s="74" t="s">
        <v>539</v>
      </c>
      <c r="E219" s="54" t="s">
        <v>38</v>
      </c>
      <c r="F219" s="54" t="s">
        <v>42</v>
      </c>
      <c r="G219" s="88" t="s">
        <v>540</v>
      </c>
      <c r="H219" s="54" t="s">
        <v>540</v>
      </c>
      <c r="I219" s="54">
        <f t="shared" si="1"/>
        <v>26</v>
      </c>
      <c r="J219" s="56"/>
      <c r="K219" s="75"/>
      <c r="L219" s="76"/>
      <c r="M219" s="59"/>
      <c r="N219" s="60">
        <v>145.0</v>
      </c>
      <c r="O219" s="61">
        <v>156.0</v>
      </c>
      <c r="P219" s="62">
        <v>168.48000000000002</v>
      </c>
      <c r="Q219" s="63">
        <v>168.48000000000002</v>
      </c>
      <c r="R219" s="64">
        <v>188.0</v>
      </c>
      <c r="S219" s="111">
        <v>197.0</v>
      </c>
      <c r="T219" s="65">
        <f t="shared" si="2"/>
        <v>31.52</v>
      </c>
      <c r="U219" s="65">
        <f t="shared" si="3"/>
        <v>228.52</v>
      </c>
      <c r="V219" s="66">
        <f t="shared" si="4"/>
        <v>0.04787234043</v>
      </c>
      <c r="W219" s="67">
        <f t="shared" si="5"/>
        <v>187.15</v>
      </c>
      <c r="X219" s="67">
        <f t="shared" si="6"/>
        <v>29.944</v>
      </c>
      <c r="Y219" s="67">
        <f t="shared" si="7"/>
        <v>217.094</v>
      </c>
      <c r="Z219" s="67">
        <f t="shared" si="8"/>
        <v>177.3</v>
      </c>
      <c r="AA219" s="67">
        <f t="shared" si="9"/>
        <v>28.368</v>
      </c>
      <c r="AB219" s="67">
        <f t="shared" si="10"/>
        <v>205.668</v>
      </c>
      <c r="AC219" s="67">
        <f t="shared" si="11"/>
        <v>167.45</v>
      </c>
      <c r="AD219" s="67">
        <f t="shared" si="12"/>
        <v>26.792</v>
      </c>
      <c r="AE219" s="67">
        <f t="shared" si="13"/>
        <v>194.242</v>
      </c>
      <c r="AF219" s="67">
        <f t="shared" si="14"/>
        <v>163.51</v>
      </c>
      <c r="AG219" s="67">
        <f t="shared" si="15"/>
        <v>26.1616</v>
      </c>
      <c r="AH219" s="67">
        <f t="shared" si="16"/>
        <v>189.6716</v>
      </c>
      <c r="AI219" s="67">
        <f t="shared" si="17"/>
        <v>157.6</v>
      </c>
      <c r="AJ219" s="68">
        <f t="shared" si="20"/>
        <v>25.216</v>
      </c>
      <c r="AK219" s="68">
        <f t="shared" si="21"/>
        <v>182.816</v>
      </c>
      <c r="AL219" s="70">
        <f>IFERROR(__xludf.DUMMYFUNCTION("""COMPUTED_VALUE"""),1.0)</f>
        <v>1</v>
      </c>
      <c r="AM219" s="70"/>
      <c r="AN219" s="71" t="str">
        <f>IFERROR(__xludf.DUMMYFUNCTION("""COMPUTED_VALUE""")," C")</f>
        <v>C</v>
      </c>
      <c r="AO219" s="71" t="str">
        <f>IFERROR(__xludf.DUMMYFUNCTION("""COMPUTED_VALUE""")," BC02")</f>
        <v>BC02</v>
      </c>
      <c r="AP219" s="71" t="str">
        <f>IFERROR(__xludf.DUMMYFUNCTION("""COMPUTED_VALUE""")," PZA")</f>
        <v>PZA</v>
      </c>
      <c r="AQ219" s="71" t="str">
        <f>IFERROR(__xludf.DUMMYFUNCTION("""COMPUTED_VALUE""")," REF")</f>
        <v>REF</v>
      </c>
      <c r="AR219" s="71" t="str">
        <f>IFERROR(__xludf.DUMMYFUNCTION("""COMPUTED_VALUE""")," BLANQUEADOR 5 KG.")</f>
        <v>BLANQUEADOR 5 KG.</v>
      </c>
      <c r="AS219" s="71" t="str">
        <f>IFERROR(__xludf.DUMMYFUNCTION("""COMPUTED_VALUE""")," BLANQUEADOR 5 KG")</f>
        <v>BLANQUEADOR 5 KG</v>
      </c>
      <c r="AT219" s="71">
        <f>IFERROR(__xludf.DUMMYFUNCTION("""COMPUTED_VALUE"""),16.0)</f>
        <v>16</v>
      </c>
      <c r="AU219" s="71"/>
      <c r="AV219" s="71"/>
      <c r="AW219" s="71"/>
      <c r="AX219" s="71"/>
      <c r="AY219" s="71">
        <f>IFERROR(__xludf.DUMMYFUNCTION("""COMPUTED_VALUE"""),684.0)</f>
        <v>684</v>
      </c>
      <c r="AZ219" s="71">
        <f>IFERROR(__xludf.DUMMYFUNCTION("""COMPUTED_VALUE"""),738.0)</f>
        <v>738</v>
      </c>
      <c r="BA219" s="71">
        <f>IFERROR(__xludf.DUMMYFUNCTION("""COMPUTED_VALUE"""),797.0400000000001)</f>
        <v>797.04</v>
      </c>
      <c r="BB219" s="71">
        <f>IFERROR(__xludf.DUMMYFUNCTION("""COMPUTED_VALUE"""),797.0400000000001)</f>
        <v>797.04</v>
      </c>
      <c r="BC219" s="71">
        <f>IFERROR(__xludf.DUMMYFUNCTION("""COMPUTED_VALUE"""),888.0)</f>
        <v>888</v>
      </c>
      <c r="BD219" s="71">
        <f>IFERROR(__xludf.DUMMYFUNCTION("""COMPUTED_VALUE"""),932.0)</f>
        <v>932</v>
      </c>
      <c r="BE219" s="71">
        <f>IFERROR(__xludf.DUMMYFUNCTION("""COMPUTED_VALUE"""),149.12)</f>
        <v>149.12</v>
      </c>
      <c r="BF219" s="71">
        <f>IFERROR(__xludf.DUMMYFUNCTION("""COMPUTED_VALUE"""),1081.12)</f>
        <v>1081.12</v>
      </c>
      <c r="BG219" s="71">
        <f>IFERROR(__xludf.DUMMYFUNCTION("""COMPUTED_VALUE"""),0.04954954954954955)</f>
        <v>0.04954954955</v>
      </c>
      <c r="BH219" s="71">
        <f>IFERROR(__xludf.DUMMYFUNCTION("""COMPUTED_VALUE"""),885.4)</f>
        <v>885.4</v>
      </c>
      <c r="BI219" s="71">
        <f>IFERROR(__xludf.DUMMYFUNCTION("""COMPUTED_VALUE"""),141.664)</f>
        <v>141.664</v>
      </c>
      <c r="BJ219" s="71">
        <f>IFERROR(__xludf.DUMMYFUNCTION("""COMPUTED_VALUE"""),1027.0639999999999)</f>
        <v>1027.064</v>
      </c>
      <c r="BK219" s="71">
        <f>IFERROR(__xludf.DUMMYFUNCTION("""COMPUTED_VALUE"""),838.8000000000001)</f>
        <v>838.8</v>
      </c>
      <c r="BL219" s="71">
        <f>IFERROR(__xludf.DUMMYFUNCTION("""COMPUTED_VALUE"""),134.20800000000003)</f>
        <v>134.208</v>
      </c>
      <c r="BM219" s="71">
        <f>IFERROR(__xludf.DUMMYFUNCTION("""COMPUTED_VALUE"""),973.008)</f>
        <v>973.008</v>
      </c>
      <c r="BN219" s="71">
        <f>IFERROR(__xludf.DUMMYFUNCTION("""COMPUTED_VALUE"""),792.1999999999999)</f>
        <v>792.2</v>
      </c>
      <c r="BO219" s="71">
        <f>IFERROR(__xludf.DUMMYFUNCTION("""COMPUTED_VALUE"""),126.752)</f>
        <v>126.752</v>
      </c>
      <c r="BP219" s="71">
        <f>IFERROR(__xludf.DUMMYFUNCTION("""COMPUTED_VALUE"""),918.9519999999999)</f>
        <v>918.952</v>
      </c>
      <c r="BQ219" s="71">
        <f>IFERROR(__xludf.DUMMYFUNCTION("""COMPUTED_VALUE"""),773.56)</f>
        <v>773.56</v>
      </c>
      <c r="BR219" s="71">
        <f>IFERROR(__xludf.DUMMYFUNCTION("""COMPUTED_VALUE"""),123.7696)</f>
        <v>123.7696</v>
      </c>
      <c r="BS219" s="71">
        <f>IFERROR(__xludf.DUMMYFUNCTION("""COMPUTED_VALUE"""),897.3295999999999)</f>
        <v>897.3296</v>
      </c>
      <c r="BT219" s="71">
        <f>IFERROR(__xludf.DUMMYFUNCTION("""COMPUTED_VALUE"""),745.6)</f>
        <v>745.6</v>
      </c>
      <c r="BU219" s="71">
        <f>IFERROR(__xludf.DUMMYFUNCTION("""COMPUTED_VALUE"""),119.296)</f>
        <v>119.296</v>
      </c>
      <c r="BV219" s="71">
        <f>IFERROR(__xludf.DUMMYFUNCTION("""COMPUTED_VALUE"""),864.8960000000001)</f>
        <v>864.896</v>
      </c>
    </row>
    <row r="220">
      <c r="A220" s="53">
        <v>1.0</v>
      </c>
      <c r="B220" s="72"/>
      <c r="C220" s="73" t="s">
        <v>12</v>
      </c>
      <c r="D220" s="74" t="s">
        <v>541</v>
      </c>
      <c r="E220" s="54" t="s">
        <v>38</v>
      </c>
      <c r="F220" s="54" t="s">
        <v>42</v>
      </c>
      <c r="G220" s="88" t="s">
        <v>542</v>
      </c>
      <c r="H220" s="54" t="s">
        <v>542</v>
      </c>
      <c r="I220" s="54">
        <f t="shared" si="1"/>
        <v>30</v>
      </c>
      <c r="J220" s="56"/>
      <c r="K220" s="75"/>
      <c r="L220" s="76"/>
      <c r="M220" s="59"/>
      <c r="N220" s="60">
        <v>77.0</v>
      </c>
      <c r="O220" s="61">
        <v>91.0</v>
      </c>
      <c r="P220" s="62">
        <v>98.28</v>
      </c>
      <c r="Q220" s="63">
        <v>98.28</v>
      </c>
      <c r="R220" s="64">
        <v>111.0</v>
      </c>
      <c r="S220" s="111">
        <v>117.0</v>
      </c>
      <c r="T220" s="65">
        <f t="shared" si="2"/>
        <v>18.72</v>
      </c>
      <c r="U220" s="65">
        <f t="shared" si="3"/>
        <v>135.72</v>
      </c>
      <c r="V220" s="66">
        <f t="shared" si="4"/>
        <v>0.05405405405</v>
      </c>
      <c r="W220" s="67">
        <f t="shared" si="5"/>
        <v>111.15</v>
      </c>
      <c r="X220" s="67">
        <f t="shared" si="6"/>
        <v>17.784</v>
      </c>
      <c r="Y220" s="67">
        <f t="shared" si="7"/>
        <v>128.934</v>
      </c>
      <c r="Z220" s="67">
        <f t="shared" si="8"/>
        <v>105.3</v>
      </c>
      <c r="AA220" s="67">
        <f t="shared" si="9"/>
        <v>16.848</v>
      </c>
      <c r="AB220" s="67">
        <f t="shared" si="10"/>
        <v>122.148</v>
      </c>
      <c r="AC220" s="67">
        <f t="shared" si="11"/>
        <v>99.45</v>
      </c>
      <c r="AD220" s="67">
        <f t="shared" si="12"/>
        <v>15.912</v>
      </c>
      <c r="AE220" s="67">
        <f t="shared" si="13"/>
        <v>115.362</v>
      </c>
      <c r="AF220" s="67">
        <f t="shared" si="14"/>
        <v>97.11</v>
      </c>
      <c r="AG220" s="67">
        <f t="shared" si="15"/>
        <v>15.5376</v>
      </c>
      <c r="AH220" s="67">
        <f t="shared" si="16"/>
        <v>112.6476</v>
      </c>
      <c r="AI220" s="67">
        <f t="shared" si="17"/>
        <v>93.6</v>
      </c>
      <c r="AJ220" s="68">
        <f t="shared" si="20"/>
        <v>14.976</v>
      </c>
      <c r="AK220" s="68">
        <f t="shared" si="21"/>
        <v>108.576</v>
      </c>
      <c r="AL220" s="70">
        <f>IFERROR(__xludf.DUMMYFUNCTION("""COMPUTED_VALUE"""),1.0)</f>
        <v>1</v>
      </c>
      <c r="AM220" s="70">
        <f>IFERROR(__xludf.DUMMYFUNCTION("""COMPUTED_VALUE"""),4.0)</f>
        <v>4</v>
      </c>
      <c r="AN220" s="71" t="str">
        <f>IFERROR(__xludf.DUMMYFUNCTION("""COMPUTED_VALUE""")," C")</f>
        <v>C</v>
      </c>
      <c r="AO220" s="71" t="str">
        <f>IFERROR(__xludf.DUMMYFUNCTION("""COMPUTED_VALUE""")," BQ07")</f>
        <v>BQ07</v>
      </c>
      <c r="AP220" s="71" t="str">
        <f>IFERROR(__xludf.DUMMYFUNCTION("""COMPUTED_VALUE""")," PZA")</f>
        <v>PZA</v>
      </c>
      <c r="AQ220" s="71" t="str">
        <f>IFERROR(__xludf.DUMMYFUNCTION("""COMPUTED_VALUE""")," REF")</f>
        <v>REF</v>
      </c>
      <c r="AR220" s="71" t="str">
        <f>IFERROR(__xludf.DUMMYFUNCTION("""COMPUTED_VALUE""")," BOQUILLA CUADRADA TIPO U 4000 (BOQUILLA RECTANGULAR)")</f>
        <v>BOQUILLA CUADRADA TIPO U 4000 (BOQUILLA RECTANGULAR)</v>
      </c>
      <c r="AS220" s="71" t="str">
        <f>IFERROR(__xludf.DUMMYFUNCTION("""COMPUTED_VALUE""")," BOQUILLA CUADRADA U4000 BOQ RECTANGULAR")</f>
        <v>BOQUILLA CUADRADA U4000 BOQ RECTANGULAR</v>
      </c>
      <c r="AT220" s="71">
        <f>IFERROR(__xludf.DUMMYFUNCTION("""COMPUTED_VALUE"""),39.0)</f>
        <v>39</v>
      </c>
      <c r="AU220" s="71"/>
      <c r="AV220" s="71"/>
      <c r="AW220" s="71"/>
      <c r="AX220" s="71"/>
      <c r="AY220" s="71">
        <f>IFERROR(__xludf.DUMMYFUNCTION("""COMPUTED_VALUE"""),598.0)</f>
        <v>598</v>
      </c>
      <c r="AZ220" s="71">
        <f>IFERROR(__xludf.DUMMYFUNCTION("""COMPUTED_VALUE"""),697.0)</f>
        <v>697</v>
      </c>
      <c r="BA220" s="71">
        <f>IFERROR(__xludf.DUMMYFUNCTION("""COMPUTED_VALUE"""),739.6)</f>
        <v>739.6</v>
      </c>
      <c r="BB220" s="71">
        <f>IFERROR(__xludf.DUMMYFUNCTION("""COMPUTED_VALUE"""),739.6)</f>
        <v>739.6</v>
      </c>
      <c r="BC220" s="71">
        <f>IFERROR(__xludf.DUMMYFUNCTION("""COMPUTED_VALUE"""),864.0)</f>
        <v>864</v>
      </c>
      <c r="BD220" s="71">
        <f>IFERROR(__xludf.DUMMYFUNCTION("""COMPUTED_VALUE"""),907.0)</f>
        <v>907</v>
      </c>
      <c r="BE220" s="71">
        <f>IFERROR(__xludf.DUMMYFUNCTION("""COMPUTED_VALUE"""),145.12)</f>
        <v>145.12</v>
      </c>
      <c r="BF220" s="71">
        <f>IFERROR(__xludf.DUMMYFUNCTION("""COMPUTED_VALUE"""),1052.12)</f>
        <v>1052.12</v>
      </c>
      <c r="BG220" s="71">
        <f>IFERROR(__xludf.DUMMYFUNCTION("""COMPUTED_VALUE"""),0.04976851851851852)</f>
        <v>0.04976851852</v>
      </c>
      <c r="BH220" s="71">
        <f>IFERROR(__xludf.DUMMYFUNCTION("""COMPUTED_VALUE"""),907.0)</f>
        <v>907</v>
      </c>
      <c r="BI220" s="71">
        <f>IFERROR(__xludf.DUMMYFUNCTION("""COMPUTED_VALUE"""),145.12)</f>
        <v>145.12</v>
      </c>
      <c r="BJ220" s="71">
        <f>IFERROR(__xludf.DUMMYFUNCTION("""COMPUTED_VALUE"""),1052.12)</f>
        <v>1052.12</v>
      </c>
      <c r="BK220" s="71">
        <f>IFERROR(__xludf.DUMMYFUNCTION("""COMPUTED_VALUE"""),907.0)</f>
        <v>907</v>
      </c>
      <c r="BL220" s="71">
        <f>IFERROR(__xludf.DUMMYFUNCTION("""COMPUTED_VALUE"""),145.12)</f>
        <v>145.12</v>
      </c>
      <c r="BM220" s="71">
        <f>IFERROR(__xludf.DUMMYFUNCTION("""COMPUTED_VALUE"""),1052.12)</f>
        <v>1052.12</v>
      </c>
      <c r="BN220" s="71">
        <f>IFERROR(__xludf.DUMMYFUNCTION("""COMPUTED_VALUE"""),907.0)</f>
        <v>907</v>
      </c>
      <c r="BO220" s="71">
        <f>IFERROR(__xludf.DUMMYFUNCTION("""COMPUTED_VALUE"""),145.12)</f>
        <v>145.12</v>
      </c>
      <c r="BP220" s="71">
        <f>IFERROR(__xludf.DUMMYFUNCTION("""COMPUTED_VALUE"""),1052.12)</f>
        <v>1052.12</v>
      </c>
      <c r="BQ220" s="71">
        <f>IFERROR(__xludf.DUMMYFUNCTION("""COMPUTED_VALUE"""),907.0)</f>
        <v>907</v>
      </c>
      <c r="BR220" s="71">
        <f>IFERROR(__xludf.DUMMYFUNCTION("""COMPUTED_VALUE"""),145.12)</f>
        <v>145.12</v>
      </c>
      <c r="BS220" s="71">
        <f>IFERROR(__xludf.DUMMYFUNCTION("""COMPUTED_VALUE"""),1052.12)</f>
        <v>1052.12</v>
      </c>
      <c r="BT220" s="71">
        <f>IFERROR(__xludf.DUMMYFUNCTION("""COMPUTED_VALUE"""),907.0)</f>
        <v>907</v>
      </c>
      <c r="BU220" s="71">
        <f>IFERROR(__xludf.DUMMYFUNCTION("""COMPUTED_VALUE"""),145.12)</f>
        <v>145.12</v>
      </c>
      <c r="BV220" s="71">
        <f>IFERROR(__xludf.DUMMYFUNCTION("""COMPUTED_VALUE"""),1052.12)</f>
        <v>1052.12</v>
      </c>
    </row>
    <row r="221">
      <c r="A221" s="53">
        <v>1.0</v>
      </c>
      <c r="B221" s="72"/>
      <c r="C221" s="73" t="s">
        <v>12</v>
      </c>
      <c r="D221" s="74" t="s">
        <v>543</v>
      </c>
      <c r="E221" s="54" t="s">
        <v>38</v>
      </c>
      <c r="F221" s="54" t="s">
        <v>42</v>
      </c>
      <c r="G221" s="88" t="s">
        <v>544</v>
      </c>
      <c r="H221" s="54" t="s">
        <v>544</v>
      </c>
      <c r="I221" s="54">
        <f t="shared" si="1"/>
        <v>26</v>
      </c>
      <c r="J221" s="56"/>
      <c r="K221" s="75"/>
      <c r="L221" s="76"/>
      <c r="M221" s="59"/>
      <c r="N221" s="60">
        <v>152.0</v>
      </c>
      <c r="O221" s="61">
        <v>164.0</v>
      </c>
      <c r="P221" s="62">
        <v>177.12</v>
      </c>
      <c r="Q221" s="63">
        <v>177.12</v>
      </c>
      <c r="R221" s="64">
        <v>198.0</v>
      </c>
      <c r="S221" s="111">
        <v>208.0</v>
      </c>
      <c r="T221" s="65">
        <f t="shared" si="2"/>
        <v>33.28</v>
      </c>
      <c r="U221" s="65">
        <f t="shared" si="3"/>
        <v>241.28</v>
      </c>
      <c r="V221" s="66">
        <f t="shared" si="4"/>
        <v>0.05050505051</v>
      </c>
      <c r="W221" s="67">
        <f t="shared" si="5"/>
        <v>197.6</v>
      </c>
      <c r="X221" s="67">
        <f t="shared" si="6"/>
        <v>31.616</v>
      </c>
      <c r="Y221" s="67">
        <f t="shared" si="7"/>
        <v>229.216</v>
      </c>
      <c r="Z221" s="67">
        <f t="shared" si="8"/>
        <v>187.2</v>
      </c>
      <c r="AA221" s="67">
        <f t="shared" si="9"/>
        <v>29.952</v>
      </c>
      <c r="AB221" s="67">
        <f t="shared" si="10"/>
        <v>217.152</v>
      </c>
      <c r="AC221" s="67">
        <f t="shared" si="11"/>
        <v>176.8</v>
      </c>
      <c r="AD221" s="67">
        <f t="shared" si="12"/>
        <v>28.288</v>
      </c>
      <c r="AE221" s="67">
        <f t="shared" si="13"/>
        <v>205.088</v>
      </c>
      <c r="AF221" s="67">
        <f t="shared" si="14"/>
        <v>172.64</v>
      </c>
      <c r="AG221" s="67">
        <f t="shared" si="15"/>
        <v>27.6224</v>
      </c>
      <c r="AH221" s="67">
        <f t="shared" si="16"/>
        <v>200.2624</v>
      </c>
      <c r="AI221" s="67">
        <f t="shared" si="17"/>
        <v>166.4</v>
      </c>
      <c r="AJ221" s="68">
        <f t="shared" si="20"/>
        <v>26.624</v>
      </c>
      <c r="AK221" s="68">
        <f t="shared" si="21"/>
        <v>193.024</v>
      </c>
      <c r="AL221" s="70">
        <f>IFERROR(__xludf.DUMMYFUNCTION("""COMPUTED_VALUE"""),1.0)</f>
        <v>1</v>
      </c>
      <c r="AM221" s="70"/>
      <c r="AN221" s="71" t="str">
        <f>IFERROR(__xludf.DUMMYFUNCTION("""COMPUTED_VALUE""")," C")</f>
        <v>C</v>
      </c>
      <c r="AO221" s="71" t="str">
        <f>IFERROR(__xludf.DUMMYFUNCTION("""COMPUTED_VALUE""")," BQ01")</f>
        <v>BQ01</v>
      </c>
      <c r="AP221" s="71" t="str">
        <f>IFERROR(__xludf.DUMMYFUNCTION("""COMPUTED_VALUE""")," PZA")</f>
        <v>PZA</v>
      </c>
      <c r="AQ221" s="71" t="str">
        <f>IFERROR(__xludf.DUMMYFUNCTION("""COMPUTED_VALUE""")," REF")</f>
        <v>REF</v>
      </c>
      <c r="AR221" s="71" t="str">
        <f>IFERROR(__xludf.DUMMYFUNCTION("""COMPUTED_VALUE""")," BOQUILLA DE LATÓN ")</f>
        <v>BOQUILLA DE LATÓN </v>
      </c>
      <c r="AS221" s="71" t="str">
        <f>IFERROR(__xludf.DUMMYFUNCTION("""COMPUTED_VALUE""")," BOQUILLA LATON")</f>
        <v>BOQUILLA LATON</v>
      </c>
      <c r="AT221" s="71">
        <f>IFERROR(__xludf.DUMMYFUNCTION("""COMPUTED_VALUE"""),14.0)</f>
        <v>14</v>
      </c>
      <c r="AU221" s="71"/>
      <c r="AV221" s="71"/>
      <c r="AW221" s="71"/>
      <c r="AX221" s="71"/>
      <c r="AY221" s="71">
        <f>IFERROR(__xludf.DUMMYFUNCTION("""COMPUTED_VALUE"""),140.0)</f>
        <v>140</v>
      </c>
      <c r="AZ221" s="71">
        <f>IFERROR(__xludf.DUMMYFUNCTION("""COMPUTED_VALUE"""),156.0)</f>
        <v>156</v>
      </c>
      <c r="BA221" s="71">
        <f>IFERROR(__xludf.DUMMYFUNCTION("""COMPUTED_VALUE"""),140.0)</f>
        <v>140</v>
      </c>
      <c r="BB221" s="71">
        <f>IFERROR(__xludf.DUMMYFUNCTION("""COMPUTED_VALUE"""),140.0)</f>
        <v>140</v>
      </c>
      <c r="BC221" s="71">
        <f>IFERROR(__xludf.DUMMYFUNCTION("""COMPUTED_VALUE"""),161.0)</f>
        <v>161</v>
      </c>
      <c r="BD221" s="71">
        <f>IFERROR(__xludf.DUMMYFUNCTION("""COMPUTED_VALUE"""),169.0)</f>
        <v>169</v>
      </c>
      <c r="BE221" s="71">
        <f>IFERROR(__xludf.DUMMYFUNCTION("""COMPUTED_VALUE"""),27.04)</f>
        <v>27.04</v>
      </c>
      <c r="BF221" s="71">
        <f>IFERROR(__xludf.DUMMYFUNCTION("""COMPUTED_VALUE"""),196.04)</f>
        <v>196.04</v>
      </c>
      <c r="BG221" s="71">
        <f>IFERROR(__xludf.DUMMYFUNCTION("""COMPUTED_VALUE"""),0.049689440993788817)</f>
        <v>0.04968944099</v>
      </c>
      <c r="BH221" s="71">
        <f>IFERROR(__xludf.DUMMYFUNCTION("""COMPUTED_VALUE"""),160.54999999999998)</f>
        <v>160.55</v>
      </c>
      <c r="BI221" s="71">
        <f>IFERROR(__xludf.DUMMYFUNCTION("""COMPUTED_VALUE"""),25.688)</f>
        <v>25.688</v>
      </c>
      <c r="BJ221" s="71">
        <f>IFERROR(__xludf.DUMMYFUNCTION("""COMPUTED_VALUE"""),186.23799999999997)</f>
        <v>186.238</v>
      </c>
      <c r="BK221" s="71">
        <f>IFERROR(__xludf.DUMMYFUNCTION("""COMPUTED_VALUE"""),152.1)</f>
        <v>152.1</v>
      </c>
      <c r="BL221" s="71">
        <f>IFERROR(__xludf.DUMMYFUNCTION("""COMPUTED_VALUE"""),24.336)</f>
        <v>24.336</v>
      </c>
      <c r="BM221" s="71">
        <f>IFERROR(__xludf.DUMMYFUNCTION("""COMPUTED_VALUE"""),176.43599999999998)</f>
        <v>176.436</v>
      </c>
      <c r="BN221" s="71">
        <f>IFERROR(__xludf.DUMMYFUNCTION("""COMPUTED_VALUE"""),143.65)</f>
        <v>143.65</v>
      </c>
      <c r="BO221" s="71">
        <f>IFERROR(__xludf.DUMMYFUNCTION("""COMPUTED_VALUE"""),22.984)</f>
        <v>22.984</v>
      </c>
      <c r="BP221" s="71">
        <f>IFERROR(__xludf.DUMMYFUNCTION("""COMPUTED_VALUE"""),166.63400000000001)</f>
        <v>166.634</v>
      </c>
      <c r="BQ221" s="71">
        <f>IFERROR(__xludf.DUMMYFUNCTION("""COMPUTED_VALUE"""),140.26999999999998)</f>
        <v>140.27</v>
      </c>
      <c r="BR221" s="71">
        <f>IFERROR(__xludf.DUMMYFUNCTION("""COMPUTED_VALUE"""),22.443199999999997)</f>
        <v>22.4432</v>
      </c>
      <c r="BS221" s="71">
        <f>IFERROR(__xludf.DUMMYFUNCTION("""COMPUTED_VALUE"""),162.71319999999997)</f>
        <v>162.7132</v>
      </c>
      <c r="BT221" s="71">
        <f>IFERROR(__xludf.DUMMYFUNCTION("""COMPUTED_VALUE"""),135.20000000000002)</f>
        <v>135.2</v>
      </c>
      <c r="BU221" s="71">
        <f>IFERROR(__xludf.DUMMYFUNCTION("""COMPUTED_VALUE"""),21.632)</f>
        <v>21.632</v>
      </c>
      <c r="BV221" s="71">
        <f>IFERROR(__xludf.DUMMYFUNCTION("""COMPUTED_VALUE"""),156.83200000000002)</f>
        <v>156.832</v>
      </c>
    </row>
    <row r="222">
      <c r="A222" s="53"/>
      <c r="B222" s="53"/>
      <c r="C222" s="53" t="s">
        <v>12</v>
      </c>
      <c r="D222" s="53" t="s">
        <v>545</v>
      </c>
      <c r="E222" s="86" t="s">
        <v>38</v>
      </c>
      <c r="F222" s="91" t="s">
        <v>42</v>
      </c>
      <c r="G222" s="84" t="s">
        <v>544</v>
      </c>
      <c r="H222" s="55" t="s">
        <v>544</v>
      </c>
      <c r="I222" s="54">
        <f t="shared" si="1"/>
        <v>26</v>
      </c>
      <c r="J222" s="56"/>
      <c r="K222" s="57"/>
      <c r="L222" s="76"/>
      <c r="M222" s="59"/>
      <c r="N222" s="79"/>
      <c r="O222" s="90"/>
      <c r="P222" s="90"/>
      <c r="Q222" s="94"/>
      <c r="R222" s="64">
        <v>205.0</v>
      </c>
      <c r="S222" s="111">
        <v>215.0</v>
      </c>
      <c r="T222" s="65">
        <f t="shared" si="2"/>
        <v>34.4</v>
      </c>
      <c r="U222" s="65">
        <f t="shared" si="3"/>
        <v>249.4</v>
      </c>
      <c r="V222" s="66">
        <f t="shared" si="4"/>
        <v>0.0487804878</v>
      </c>
      <c r="W222" s="67">
        <f t="shared" si="5"/>
        <v>204.25</v>
      </c>
      <c r="X222" s="67">
        <f t="shared" si="6"/>
        <v>32.68</v>
      </c>
      <c r="Y222" s="67">
        <f t="shared" si="7"/>
        <v>236.93</v>
      </c>
      <c r="Z222" s="67">
        <f t="shared" si="8"/>
        <v>193.5</v>
      </c>
      <c r="AA222" s="67">
        <f t="shared" si="9"/>
        <v>30.96</v>
      </c>
      <c r="AB222" s="67">
        <f t="shared" si="10"/>
        <v>224.46</v>
      </c>
      <c r="AC222" s="67">
        <f t="shared" si="11"/>
        <v>182.75</v>
      </c>
      <c r="AD222" s="67">
        <f t="shared" si="12"/>
        <v>29.24</v>
      </c>
      <c r="AE222" s="67">
        <f t="shared" si="13"/>
        <v>211.99</v>
      </c>
      <c r="AF222" s="67">
        <f t="shared" si="14"/>
        <v>178.45</v>
      </c>
      <c r="AG222" s="67">
        <f t="shared" si="15"/>
        <v>28.552</v>
      </c>
      <c r="AH222" s="67">
        <f t="shared" si="16"/>
        <v>207.002</v>
      </c>
      <c r="AI222" s="67">
        <f t="shared" si="17"/>
        <v>172</v>
      </c>
      <c r="AJ222" s="68">
        <f t="shared" si="20"/>
        <v>27.52</v>
      </c>
      <c r="AK222" s="68">
        <f t="shared" si="21"/>
        <v>199.52</v>
      </c>
      <c r="AL222" s="70">
        <f>IFERROR(__xludf.DUMMYFUNCTION("""COMPUTED_VALUE"""),1.0)</f>
        <v>1</v>
      </c>
      <c r="AM222" s="70"/>
      <c r="AN222" s="71" t="str">
        <f>IFERROR(__xludf.DUMMYFUNCTION("""COMPUTED_VALUE""")," C")</f>
        <v>C</v>
      </c>
      <c r="AO222" s="71" t="str">
        <f>IFERROR(__xludf.DUMMYFUNCTION("""COMPUTED_VALUE""")," BQ09")</f>
        <v>BQ09</v>
      </c>
      <c r="AP222" s="71" t="str">
        <f>IFERROR(__xludf.DUMMYFUNCTION("""COMPUTED_VALUE""")," PZA")</f>
        <v>PZA</v>
      </c>
      <c r="AQ222" s="71" t="str">
        <f>IFERROR(__xludf.DUMMYFUNCTION("""COMPUTED_VALUE""")," REF")</f>
        <v>REF</v>
      </c>
      <c r="AR222" s="71" t="str">
        <f>IFERROR(__xludf.DUMMYFUNCTION("""COMPUTED_VALUE""")," BOQUILLA DE LATÓN CON CUERDA")</f>
        <v>BOQUILLA DE LATÓN CON CUERDA</v>
      </c>
      <c r="AS222" s="71" t="str">
        <f>IFERROR(__xludf.DUMMYFUNCTION("""COMPUTED_VALUE""")," BOQUILLA DE LATÓN CON CUERDA")</f>
        <v>BOQUILLA DE LATÓN CON CUERDA</v>
      </c>
      <c r="AT222" s="71">
        <f>IFERROR(__xludf.DUMMYFUNCTION("""COMPUTED_VALUE"""),28.0)</f>
        <v>28</v>
      </c>
      <c r="AU222" s="71"/>
      <c r="AV222" s="71"/>
      <c r="AW222" s="71"/>
      <c r="AX222" s="71"/>
      <c r="AY222" s="71">
        <f>IFERROR(__xludf.DUMMYFUNCTION("""COMPUTED_VALUE"""),149.0)</f>
        <v>149</v>
      </c>
      <c r="AZ222" s="71">
        <f>IFERROR(__xludf.DUMMYFUNCTION("""COMPUTED_VALUE"""),160.0)</f>
        <v>160</v>
      </c>
      <c r="BA222" s="71">
        <f>IFERROR(__xludf.DUMMYFUNCTION("""COMPUTED_VALUE"""),172.8)</f>
        <v>172.8</v>
      </c>
      <c r="BB222" s="71">
        <f>IFERROR(__xludf.DUMMYFUNCTION("""COMPUTED_VALUE"""),172.8)</f>
        <v>172.8</v>
      </c>
      <c r="BC222" s="71">
        <f>IFERROR(__xludf.DUMMYFUNCTION("""COMPUTED_VALUE"""),187.0)</f>
        <v>187</v>
      </c>
      <c r="BD222" s="71">
        <f>IFERROR(__xludf.DUMMYFUNCTION("""COMPUTED_VALUE"""),196.0)</f>
        <v>196</v>
      </c>
      <c r="BE222" s="71">
        <f>IFERROR(__xludf.DUMMYFUNCTION("""COMPUTED_VALUE"""),31.36)</f>
        <v>31.36</v>
      </c>
      <c r="BF222" s="71">
        <f>IFERROR(__xludf.DUMMYFUNCTION("""COMPUTED_VALUE"""),227.36)</f>
        <v>227.36</v>
      </c>
      <c r="BG222" s="71">
        <f>IFERROR(__xludf.DUMMYFUNCTION("""COMPUTED_VALUE"""),0.0481283422459893)</f>
        <v>0.04812834225</v>
      </c>
      <c r="BH222" s="71">
        <f>IFERROR(__xludf.DUMMYFUNCTION("""COMPUTED_VALUE"""),186.2)</f>
        <v>186.2</v>
      </c>
      <c r="BI222" s="71">
        <f>IFERROR(__xludf.DUMMYFUNCTION("""COMPUTED_VALUE"""),29.791999999999998)</f>
        <v>29.792</v>
      </c>
      <c r="BJ222" s="71">
        <f>IFERROR(__xludf.DUMMYFUNCTION("""COMPUTED_VALUE"""),215.992)</f>
        <v>215.992</v>
      </c>
      <c r="BK222" s="71">
        <f>IFERROR(__xludf.DUMMYFUNCTION("""COMPUTED_VALUE"""),176.4)</f>
        <v>176.4</v>
      </c>
      <c r="BL222" s="71">
        <f>IFERROR(__xludf.DUMMYFUNCTION("""COMPUTED_VALUE"""),28.224)</f>
        <v>28.224</v>
      </c>
      <c r="BM222" s="71">
        <f>IFERROR(__xludf.DUMMYFUNCTION("""COMPUTED_VALUE"""),204.624)</f>
        <v>204.624</v>
      </c>
      <c r="BN222" s="71">
        <f>IFERROR(__xludf.DUMMYFUNCTION("""COMPUTED_VALUE"""),166.6)</f>
        <v>166.6</v>
      </c>
      <c r="BO222" s="71">
        <f>IFERROR(__xludf.DUMMYFUNCTION("""COMPUTED_VALUE"""),26.656)</f>
        <v>26.656</v>
      </c>
      <c r="BP222" s="71">
        <f>IFERROR(__xludf.DUMMYFUNCTION("""COMPUTED_VALUE"""),193.256)</f>
        <v>193.256</v>
      </c>
      <c r="BQ222" s="71">
        <f>IFERROR(__xludf.DUMMYFUNCTION("""COMPUTED_VALUE"""),162.67999999999998)</f>
        <v>162.68</v>
      </c>
      <c r="BR222" s="71">
        <f>IFERROR(__xludf.DUMMYFUNCTION("""COMPUTED_VALUE"""),26.028799999999997)</f>
        <v>26.0288</v>
      </c>
      <c r="BS222" s="71">
        <f>IFERROR(__xludf.DUMMYFUNCTION("""COMPUTED_VALUE"""),188.70879999999997)</f>
        <v>188.7088</v>
      </c>
      <c r="BT222" s="71">
        <f>IFERROR(__xludf.DUMMYFUNCTION("""COMPUTED_VALUE"""),156.8)</f>
        <v>156.8</v>
      </c>
      <c r="BU222" s="71">
        <f>IFERROR(__xludf.DUMMYFUNCTION("""COMPUTED_VALUE"""),25.088)</f>
        <v>25.088</v>
      </c>
      <c r="BV222" s="71">
        <f>IFERROR(__xludf.DUMMYFUNCTION("""COMPUTED_VALUE"""),181.888)</f>
        <v>181.888</v>
      </c>
    </row>
    <row r="223">
      <c r="A223" s="53">
        <v>1.0</v>
      </c>
      <c r="B223" s="53"/>
      <c r="C223" s="53" t="s">
        <v>12</v>
      </c>
      <c r="D223" s="53" t="s">
        <v>546</v>
      </c>
      <c r="E223" s="54" t="s">
        <v>38</v>
      </c>
      <c r="F223" s="54" t="s">
        <v>42</v>
      </c>
      <c r="G223" s="55" t="s">
        <v>547</v>
      </c>
      <c r="H223" s="54" t="s">
        <v>547</v>
      </c>
      <c r="I223" s="54">
        <f t="shared" si="1"/>
        <v>26</v>
      </c>
      <c r="J223" s="56"/>
      <c r="K223" s="75"/>
      <c r="L223" s="76"/>
      <c r="M223" s="59"/>
      <c r="N223" s="79">
        <v>185.0</v>
      </c>
      <c r="O223" s="61">
        <v>199.0</v>
      </c>
      <c r="P223" s="63">
        <v>214.92000000000002</v>
      </c>
      <c r="Q223" s="63">
        <v>214.92000000000002</v>
      </c>
      <c r="R223" s="64">
        <v>226.0</v>
      </c>
      <c r="S223" s="111">
        <v>237.0</v>
      </c>
      <c r="T223" s="65">
        <f t="shared" si="2"/>
        <v>37.92</v>
      </c>
      <c r="U223" s="65">
        <f t="shared" si="3"/>
        <v>274.92</v>
      </c>
      <c r="V223" s="66">
        <f t="shared" si="4"/>
        <v>0.04867256637</v>
      </c>
      <c r="W223" s="67">
        <f t="shared" si="5"/>
        <v>225.15</v>
      </c>
      <c r="X223" s="67">
        <f t="shared" si="6"/>
        <v>36.024</v>
      </c>
      <c r="Y223" s="67">
        <f t="shared" si="7"/>
        <v>261.174</v>
      </c>
      <c r="Z223" s="67">
        <f t="shared" si="8"/>
        <v>213.3</v>
      </c>
      <c r="AA223" s="67">
        <f t="shared" si="9"/>
        <v>34.128</v>
      </c>
      <c r="AB223" s="67">
        <f t="shared" si="10"/>
        <v>247.428</v>
      </c>
      <c r="AC223" s="67">
        <f t="shared" si="11"/>
        <v>201.45</v>
      </c>
      <c r="AD223" s="67">
        <f t="shared" si="12"/>
        <v>32.232</v>
      </c>
      <c r="AE223" s="67">
        <f t="shared" si="13"/>
        <v>233.682</v>
      </c>
      <c r="AF223" s="67">
        <f t="shared" si="14"/>
        <v>196.71</v>
      </c>
      <c r="AG223" s="67">
        <f t="shared" si="15"/>
        <v>31.4736</v>
      </c>
      <c r="AH223" s="67">
        <f t="shared" si="16"/>
        <v>228.1836</v>
      </c>
      <c r="AI223" s="67">
        <f t="shared" si="17"/>
        <v>189.6</v>
      </c>
      <c r="AJ223" s="68">
        <f t="shared" si="20"/>
        <v>30.336</v>
      </c>
      <c r="AK223" s="68">
        <f t="shared" si="21"/>
        <v>219.936</v>
      </c>
      <c r="AL223" s="70">
        <f>IFERROR(__xludf.DUMMYFUNCTION("""COMPUTED_VALUE"""),1.0)</f>
        <v>1</v>
      </c>
      <c r="AM223" s="70"/>
      <c r="AN223" s="71" t="str">
        <f>IFERROR(__xludf.DUMMYFUNCTION("""COMPUTED_VALUE""")," C")</f>
        <v>C</v>
      </c>
      <c r="AO223" s="71" t="str">
        <f>IFERROR(__xludf.DUMMYFUNCTION("""COMPUTED_VALUE""")," BQ03")</f>
        <v>BQ03</v>
      </c>
      <c r="AP223" s="71" t="str">
        <f>IFERROR(__xludf.DUMMYFUNCTION("""COMPUTED_VALUE""")," PZA")</f>
        <v>PZA</v>
      </c>
      <c r="AQ223" s="71" t="str">
        <f>IFERROR(__xludf.DUMMYFUNCTION("""COMPUTED_VALUE""")," REF")</f>
        <v>REF</v>
      </c>
      <c r="AR223" s="71" t="str">
        <f>IFERROR(__xludf.DUMMYFUNCTION("""COMPUTED_VALUE""")," BOQUILLA TIPO D NEGRA")</f>
        <v>BOQUILLA TIPO D NEGRA</v>
      </c>
      <c r="AS223" s="71" t="str">
        <f>IFERROR(__xludf.DUMMYFUNCTION("""COMPUTED_VALUE""")," BOQUILLA TIPO D NEGRA")</f>
        <v>BOQUILLA TIPO D NEGRA</v>
      </c>
      <c r="AT223" s="71">
        <f>IFERROR(__xludf.DUMMYFUNCTION("""COMPUTED_VALUE"""),21.0)</f>
        <v>21</v>
      </c>
      <c r="AU223" s="71"/>
      <c r="AV223" s="71"/>
      <c r="AW223" s="71"/>
      <c r="AX223" s="71"/>
      <c r="AY223" s="71">
        <f>IFERROR(__xludf.DUMMYFUNCTION("""COMPUTED_VALUE"""),11.0)</f>
        <v>11</v>
      </c>
      <c r="AZ223" s="71">
        <f>IFERROR(__xludf.DUMMYFUNCTION("""COMPUTED_VALUE"""),11.0)</f>
        <v>11</v>
      </c>
      <c r="BA223" s="71">
        <f>IFERROR(__xludf.DUMMYFUNCTION("""COMPUTED_VALUE"""),11.88)</f>
        <v>11.88</v>
      </c>
      <c r="BB223" s="71">
        <f>IFERROR(__xludf.DUMMYFUNCTION("""COMPUTED_VALUE"""),11.88)</f>
        <v>11.88</v>
      </c>
      <c r="BC223" s="71">
        <f>IFERROR(__xludf.DUMMYFUNCTION("""COMPUTED_VALUE"""),14.0)</f>
        <v>14</v>
      </c>
      <c r="BD223" s="71">
        <f>IFERROR(__xludf.DUMMYFUNCTION("""COMPUTED_VALUE"""),14.700000000000001)</f>
        <v>14.7</v>
      </c>
      <c r="BE223" s="71">
        <f>IFERROR(__xludf.DUMMYFUNCTION("""COMPUTED_VALUE"""),2.3520000000000003)</f>
        <v>2.352</v>
      </c>
      <c r="BF223" s="71">
        <f>IFERROR(__xludf.DUMMYFUNCTION("""COMPUTED_VALUE"""),17.052)</f>
        <v>17.052</v>
      </c>
      <c r="BG223" s="71">
        <f>IFERROR(__xludf.DUMMYFUNCTION("""COMPUTED_VALUE"""),0.05000000000000008)</f>
        <v>0.05</v>
      </c>
      <c r="BH223" s="71">
        <f>IFERROR(__xludf.DUMMYFUNCTION("""COMPUTED_VALUE"""),13.965)</f>
        <v>13.965</v>
      </c>
      <c r="BI223" s="71">
        <f>IFERROR(__xludf.DUMMYFUNCTION("""COMPUTED_VALUE"""),2.2344)</f>
        <v>2.2344</v>
      </c>
      <c r="BJ223" s="71">
        <f>IFERROR(__xludf.DUMMYFUNCTION("""COMPUTED_VALUE"""),16.1994)</f>
        <v>16.1994</v>
      </c>
      <c r="BK223" s="71">
        <f>IFERROR(__xludf.DUMMYFUNCTION("""COMPUTED_VALUE"""),13.23)</f>
        <v>13.23</v>
      </c>
      <c r="BL223" s="71">
        <f>IFERROR(__xludf.DUMMYFUNCTION("""COMPUTED_VALUE"""),2.1168)</f>
        <v>2.1168</v>
      </c>
      <c r="BM223" s="71">
        <f>IFERROR(__xludf.DUMMYFUNCTION("""COMPUTED_VALUE"""),15.3468)</f>
        <v>15.3468</v>
      </c>
      <c r="BN223" s="71">
        <f>IFERROR(__xludf.DUMMYFUNCTION("""COMPUTED_VALUE"""),12.495000000000001)</f>
        <v>12.495</v>
      </c>
      <c r="BO223" s="71">
        <f>IFERROR(__xludf.DUMMYFUNCTION("""COMPUTED_VALUE"""),1.9992000000000003)</f>
        <v>1.9992</v>
      </c>
      <c r="BP223" s="71">
        <f>IFERROR(__xludf.DUMMYFUNCTION("""COMPUTED_VALUE"""),14.494200000000001)</f>
        <v>14.4942</v>
      </c>
      <c r="BQ223" s="71">
        <f>IFERROR(__xludf.DUMMYFUNCTION("""COMPUTED_VALUE"""),12.201)</f>
        <v>12.201</v>
      </c>
      <c r="BR223" s="71">
        <f>IFERROR(__xludf.DUMMYFUNCTION("""COMPUTED_VALUE"""),1.9521600000000001)</f>
        <v>1.95216</v>
      </c>
      <c r="BS223" s="71">
        <f>IFERROR(__xludf.DUMMYFUNCTION("""COMPUTED_VALUE"""),14.15316)</f>
        <v>14.15316</v>
      </c>
      <c r="BT223" s="71">
        <f>IFERROR(__xludf.DUMMYFUNCTION("""COMPUTED_VALUE"""),11.760000000000002)</f>
        <v>11.76</v>
      </c>
      <c r="BU223" s="71">
        <f>IFERROR(__xludf.DUMMYFUNCTION("""COMPUTED_VALUE"""),1.8816000000000004)</f>
        <v>1.8816</v>
      </c>
      <c r="BV223" s="71">
        <f>IFERROR(__xludf.DUMMYFUNCTION("""COMPUTED_VALUE"""),13.641600000000002)</f>
        <v>13.6416</v>
      </c>
    </row>
    <row r="224">
      <c r="A224" s="53"/>
      <c r="B224" s="53"/>
      <c r="C224" s="53" t="s">
        <v>12</v>
      </c>
      <c r="D224" s="53" t="s">
        <v>548</v>
      </c>
      <c r="E224" s="54" t="s">
        <v>38</v>
      </c>
      <c r="F224" s="54" t="s">
        <v>42</v>
      </c>
      <c r="G224" s="55" t="s">
        <v>549</v>
      </c>
      <c r="H224" s="54" t="s">
        <v>549</v>
      </c>
      <c r="I224" s="54">
        <f t="shared" si="1"/>
        <v>26</v>
      </c>
      <c r="J224" s="56"/>
      <c r="K224" s="57"/>
      <c r="L224" s="76"/>
      <c r="M224" s="59"/>
      <c r="N224" s="79">
        <v>222.0</v>
      </c>
      <c r="O224" s="61">
        <v>239.0</v>
      </c>
      <c r="P224" s="63">
        <v>258.12</v>
      </c>
      <c r="Q224" s="63">
        <v>258.12</v>
      </c>
      <c r="R224" s="64">
        <v>271.0</v>
      </c>
      <c r="S224" s="111">
        <v>285.0</v>
      </c>
      <c r="T224" s="65">
        <f t="shared" si="2"/>
        <v>45.6</v>
      </c>
      <c r="U224" s="65">
        <f t="shared" si="3"/>
        <v>330.6</v>
      </c>
      <c r="V224" s="66">
        <f t="shared" si="4"/>
        <v>0.05166051661</v>
      </c>
      <c r="W224" s="67">
        <f t="shared" si="5"/>
        <v>270.75</v>
      </c>
      <c r="X224" s="67">
        <f t="shared" si="6"/>
        <v>43.32</v>
      </c>
      <c r="Y224" s="67">
        <f t="shared" si="7"/>
        <v>314.07</v>
      </c>
      <c r="Z224" s="67">
        <f t="shared" si="8"/>
        <v>256.5</v>
      </c>
      <c r="AA224" s="67">
        <f t="shared" si="9"/>
        <v>41.04</v>
      </c>
      <c r="AB224" s="67">
        <f t="shared" si="10"/>
        <v>297.54</v>
      </c>
      <c r="AC224" s="67">
        <f t="shared" si="11"/>
        <v>242.25</v>
      </c>
      <c r="AD224" s="67">
        <f t="shared" si="12"/>
        <v>38.76</v>
      </c>
      <c r="AE224" s="67">
        <f t="shared" si="13"/>
        <v>281.01</v>
      </c>
      <c r="AF224" s="67">
        <f t="shared" si="14"/>
        <v>236.55</v>
      </c>
      <c r="AG224" s="67">
        <f t="shared" si="15"/>
        <v>37.848</v>
      </c>
      <c r="AH224" s="67">
        <f t="shared" si="16"/>
        <v>274.398</v>
      </c>
      <c r="AI224" s="67">
        <f t="shared" si="17"/>
        <v>228</v>
      </c>
      <c r="AJ224" s="68">
        <f t="shared" si="20"/>
        <v>36.48</v>
      </c>
      <c r="AK224" s="68">
        <f t="shared" si="21"/>
        <v>264.48</v>
      </c>
      <c r="AL224" s="70">
        <f>IFERROR(__xludf.DUMMYFUNCTION("""COMPUTED_VALUE"""),1.0)</f>
        <v>1</v>
      </c>
      <c r="AM224" s="70"/>
      <c r="AN224" s="71" t="str">
        <f>IFERROR(__xludf.DUMMYFUNCTION("""COMPUTED_VALUE""")," C")</f>
        <v>C</v>
      </c>
      <c r="AO224" s="71" t="str">
        <f>IFERROR(__xludf.DUMMYFUNCTION("""COMPUTED_VALUE""")," BQ04")</f>
        <v>BQ04</v>
      </c>
      <c r="AP224" s="71" t="str">
        <f>IFERROR(__xludf.DUMMYFUNCTION("""COMPUTED_VALUE""")," PZA")</f>
        <v>PZA</v>
      </c>
      <c r="AQ224" s="71" t="str">
        <f>IFERROR(__xludf.DUMMYFUNCTION("""COMPUTED_VALUE""")," REF")</f>
        <v>REF</v>
      </c>
      <c r="AR224" s="71" t="str">
        <f>IFERROR(__xludf.DUMMYFUNCTION("""COMPUTED_VALUE""")," BOQUILLA TIPO D TROPICALIZADA")</f>
        <v>BOQUILLA TIPO D TROPICALIZADA</v>
      </c>
      <c r="AS224" s="71" t="str">
        <f>IFERROR(__xludf.DUMMYFUNCTION("""COMPUTED_VALUE""")," BOQUILLA TIPO D TROPICALIZADA")</f>
        <v>BOQUILLA TIPO D TROPICALIZADA</v>
      </c>
      <c r="AT224" s="71">
        <f>IFERROR(__xludf.DUMMYFUNCTION("""COMPUTED_VALUE"""),29.0)</f>
        <v>29</v>
      </c>
      <c r="AU224" s="71"/>
      <c r="AV224" s="71"/>
      <c r="AW224" s="71"/>
      <c r="AX224" s="71"/>
      <c r="AY224" s="71">
        <f>IFERROR(__xludf.DUMMYFUNCTION("""COMPUTED_VALUE"""),16.0)</f>
        <v>16</v>
      </c>
      <c r="AZ224" s="71">
        <f>IFERROR(__xludf.DUMMYFUNCTION("""COMPUTED_VALUE"""),17.0)</f>
        <v>17</v>
      </c>
      <c r="BA224" s="71">
        <f>IFERROR(__xludf.DUMMYFUNCTION("""COMPUTED_VALUE"""),18.36)</f>
        <v>18.36</v>
      </c>
      <c r="BB224" s="71">
        <f>IFERROR(__xludf.DUMMYFUNCTION("""COMPUTED_VALUE"""),18.36)</f>
        <v>18.36</v>
      </c>
      <c r="BC224" s="71">
        <f>IFERROR(__xludf.DUMMYFUNCTION("""COMPUTED_VALUE"""),21.0)</f>
        <v>21</v>
      </c>
      <c r="BD224" s="71">
        <f>IFERROR(__xludf.DUMMYFUNCTION("""COMPUTED_VALUE"""),22.0)</f>
        <v>22</v>
      </c>
      <c r="BE224" s="71">
        <f>IFERROR(__xludf.DUMMYFUNCTION("""COMPUTED_VALUE"""),3.52)</f>
        <v>3.52</v>
      </c>
      <c r="BF224" s="71">
        <f>IFERROR(__xludf.DUMMYFUNCTION("""COMPUTED_VALUE"""),25.52)</f>
        <v>25.52</v>
      </c>
      <c r="BG224" s="71">
        <f>IFERROR(__xludf.DUMMYFUNCTION("""COMPUTED_VALUE"""),0.047619047619047616)</f>
        <v>0.04761904762</v>
      </c>
      <c r="BH224" s="71">
        <f>IFERROR(__xludf.DUMMYFUNCTION("""COMPUTED_VALUE"""),20.9)</f>
        <v>20.9</v>
      </c>
      <c r="BI224" s="71">
        <f>IFERROR(__xludf.DUMMYFUNCTION("""COMPUTED_VALUE"""),3.344)</f>
        <v>3.344</v>
      </c>
      <c r="BJ224" s="71">
        <f>IFERROR(__xludf.DUMMYFUNCTION("""COMPUTED_VALUE"""),24.244)</f>
        <v>24.244</v>
      </c>
      <c r="BK224" s="71">
        <f>IFERROR(__xludf.DUMMYFUNCTION("""COMPUTED_VALUE"""),19.8)</f>
        <v>19.8</v>
      </c>
      <c r="BL224" s="71">
        <f>IFERROR(__xludf.DUMMYFUNCTION("""COMPUTED_VALUE"""),3.168)</f>
        <v>3.168</v>
      </c>
      <c r="BM224" s="71">
        <f>IFERROR(__xludf.DUMMYFUNCTION("""COMPUTED_VALUE"""),22.968)</f>
        <v>22.968</v>
      </c>
      <c r="BN224" s="71">
        <f>IFERROR(__xludf.DUMMYFUNCTION("""COMPUTED_VALUE"""),18.7)</f>
        <v>18.7</v>
      </c>
      <c r="BO224" s="71">
        <f>IFERROR(__xludf.DUMMYFUNCTION("""COMPUTED_VALUE"""),2.992)</f>
        <v>2.992</v>
      </c>
      <c r="BP224" s="71">
        <f>IFERROR(__xludf.DUMMYFUNCTION("""COMPUTED_VALUE"""),21.692)</f>
        <v>21.692</v>
      </c>
      <c r="BQ224" s="71">
        <f>IFERROR(__xludf.DUMMYFUNCTION("""COMPUTED_VALUE"""),18.259999999999998)</f>
        <v>18.26</v>
      </c>
      <c r="BR224" s="71">
        <f>IFERROR(__xludf.DUMMYFUNCTION("""COMPUTED_VALUE"""),2.9215999999999998)</f>
        <v>2.9216</v>
      </c>
      <c r="BS224" s="71">
        <f>IFERROR(__xludf.DUMMYFUNCTION("""COMPUTED_VALUE"""),21.181599999999996)</f>
        <v>21.1816</v>
      </c>
      <c r="BT224" s="71">
        <f>IFERROR(__xludf.DUMMYFUNCTION("""COMPUTED_VALUE"""),17.6)</f>
        <v>17.6</v>
      </c>
      <c r="BU224" s="71">
        <f>IFERROR(__xludf.DUMMYFUNCTION("""COMPUTED_VALUE"""),2.8160000000000003)</f>
        <v>2.816</v>
      </c>
      <c r="BV224" s="71">
        <f>IFERROR(__xludf.DUMMYFUNCTION("""COMPUTED_VALUE"""),20.416)</f>
        <v>20.416</v>
      </c>
    </row>
    <row r="225">
      <c r="A225" s="53">
        <v>1.0</v>
      </c>
      <c r="B225" s="53"/>
      <c r="C225" s="53" t="s">
        <v>12</v>
      </c>
      <c r="D225" s="53" t="s">
        <v>550</v>
      </c>
      <c r="E225" s="86" t="s">
        <v>38</v>
      </c>
      <c r="F225" s="91" t="s">
        <v>42</v>
      </c>
      <c r="G225" s="84" t="s">
        <v>551</v>
      </c>
      <c r="H225" s="84" t="s">
        <v>551</v>
      </c>
      <c r="I225" s="54">
        <f t="shared" si="1"/>
        <v>26</v>
      </c>
      <c r="J225" s="56"/>
      <c r="K225" s="57"/>
      <c r="L225" s="126"/>
      <c r="M225" s="59"/>
      <c r="N225" s="93"/>
      <c r="O225" s="61"/>
      <c r="P225" s="90"/>
      <c r="Q225" s="94"/>
      <c r="R225" s="95"/>
      <c r="S225" s="65">
        <v>150.25</v>
      </c>
      <c r="T225" s="65">
        <f t="shared" si="2"/>
        <v>24.04</v>
      </c>
      <c r="U225" s="65">
        <f t="shared" si="3"/>
        <v>174.29</v>
      </c>
      <c r="V225" s="66" t="str">
        <f t="shared" si="4"/>
        <v>#DIV/0!</v>
      </c>
      <c r="W225" s="67">
        <f t="shared" si="5"/>
        <v>142.7375</v>
      </c>
      <c r="X225" s="67">
        <f t="shared" si="6"/>
        <v>22.838</v>
      </c>
      <c r="Y225" s="67">
        <f t="shared" si="7"/>
        <v>165.5755</v>
      </c>
      <c r="Z225" s="67">
        <f t="shared" si="8"/>
        <v>135.225</v>
      </c>
      <c r="AA225" s="67">
        <f t="shared" si="9"/>
        <v>21.636</v>
      </c>
      <c r="AB225" s="67">
        <f t="shared" si="10"/>
        <v>156.861</v>
      </c>
      <c r="AC225" s="67">
        <f t="shared" si="11"/>
        <v>127.7125</v>
      </c>
      <c r="AD225" s="67">
        <f t="shared" si="12"/>
        <v>20.434</v>
      </c>
      <c r="AE225" s="67">
        <f t="shared" si="13"/>
        <v>148.1465</v>
      </c>
      <c r="AF225" s="67">
        <f t="shared" si="14"/>
        <v>124.7075</v>
      </c>
      <c r="AG225" s="67">
        <f t="shared" si="15"/>
        <v>19.9532</v>
      </c>
      <c r="AH225" s="67">
        <f t="shared" si="16"/>
        <v>144.6607</v>
      </c>
      <c r="AI225" s="67">
        <f t="shared" si="17"/>
        <v>120.2</v>
      </c>
      <c r="AJ225" s="68">
        <f t="shared" si="20"/>
        <v>19.232</v>
      </c>
      <c r="AK225" s="68">
        <f t="shared" si="21"/>
        <v>139.432</v>
      </c>
      <c r="AL225" s="70">
        <f>IFERROR(__xludf.DUMMYFUNCTION("""COMPUTED_VALUE"""),1.0)</f>
        <v>1</v>
      </c>
      <c r="AM225" s="70">
        <f>IFERROR(__xludf.DUMMYFUNCTION("""COMPUTED_VALUE"""),3.0)</f>
        <v>3</v>
      </c>
      <c r="AN225" s="71" t="str">
        <f>IFERROR(__xludf.DUMMYFUNCTION("""COMPUTED_VALUE""")," C")</f>
        <v>C</v>
      </c>
      <c r="AO225" s="71" t="str">
        <f>IFERROR(__xludf.DUMMYFUNCTION("""COMPUTED_VALUE""")," BT01")</f>
        <v>BT01</v>
      </c>
      <c r="AP225" s="71" t="str">
        <f>IFERROR(__xludf.DUMMYFUNCTION("""COMPUTED_VALUE""")," PZA")</f>
        <v>PZA</v>
      </c>
      <c r="AQ225" s="71" t="str">
        <f>IFERROR(__xludf.DUMMYFUNCTION("""COMPUTED_VALUE""")," REF")</f>
        <v>REF</v>
      </c>
      <c r="AR225" s="71" t="str">
        <f>IFERROR(__xludf.DUMMYFUNCTION("""COMPUTED_VALUE""")," BOTA PERNOS (CORTADOR DE CADENA)")</f>
        <v>BOTA PERNOS (CORTADOR DE CADENA)</v>
      </c>
      <c r="AS225" s="71" t="str">
        <f>IFERROR(__xludf.DUMMYFUNCTION("""COMPUTED_VALUE""")," BOTA PERNOS CORTADOR DE CADENA")</f>
        <v>BOTA PERNOS CORTADOR DE CADENA</v>
      </c>
      <c r="AT225" s="71">
        <f>IFERROR(__xludf.DUMMYFUNCTION("""COMPUTED_VALUE"""),30.0)</f>
        <v>30</v>
      </c>
      <c r="AU225" s="71"/>
      <c r="AV225" s="71"/>
      <c r="AW225" s="71"/>
      <c r="AX225" s="71"/>
      <c r="AY225" s="71">
        <f>IFERROR(__xludf.DUMMYFUNCTION("""COMPUTED_VALUE"""),943.0)</f>
        <v>943</v>
      </c>
      <c r="AZ225" s="71">
        <f>IFERROR(__xludf.DUMMYFUNCTION("""COMPUTED_VALUE"""),1040.0)</f>
        <v>1040</v>
      </c>
      <c r="BA225" s="71">
        <f>IFERROR(__xludf.DUMMYFUNCTION("""COMPUTED_VALUE"""),1123.2)</f>
        <v>1123.2</v>
      </c>
      <c r="BB225" s="71">
        <f>IFERROR(__xludf.DUMMYFUNCTION("""COMPUTED_VALUE"""),1123.2)</f>
        <v>1123.2</v>
      </c>
      <c r="BC225" s="71">
        <f>IFERROR(__xludf.DUMMYFUNCTION("""COMPUTED_VALUE"""),1251.0)</f>
        <v>1251</v>
      </c>
      <c r="BD225" s="71">
        <f>IFERROR(__xludf.DUMMYFUNCTION("""COMPUTED_VALUE"""),1314.0)</f>
        <v>1314</v>
      </c>
      <c r="BE225" s="71">
        <f>IFERROR(__xludf.DUMMYFUNCTION("""COMPUTED_VALUE"""),210.24)</f>
        <v>210.24</v>
      </c>
      <c r="BF225" s="71">
        <f>IFERROR(__xludf.DUMMYFUNCTION("""COMPUTED_VALUE"""),1524.24)</f>
        <v>1524.24</v>
      </c>
      <c r="BG225" s="71">
        <f>IFERROR(__xludf.DUMMYFUNCTION("""COMPUTED_VALUE"""),0.050359712230215826)</f>
        <v>0.05035971223</v>
      </c>
      <c r="BH225" s="71">
        <f>IFERROR(__xludf.DUMMYFUNCTION("""COMPUTED_VALUE"""),1248.3)</f>
        <v>1248.3</v>
      </c>
      <c r="BI225" s="71">
        <f>IFERROR(__xludf.DUMMYFUNCTION("""COMPUTED_VALUE"""),199.728)</f>
        <v>199.728</v>
      </c>
      <c r="BJ225" s="71">
        <f>IFERROR(__xludf.DUMMYFUNCTION("""COMPUTED_VALUE"""),1448.028)</f>
        <v>1448.028</v>
      </c>
      <c r="BK225" s="71">
        <f>IFERROR(__xludf.DUMMYFUNCTION("""COMPUTED_VALUE"""),1182.6000000000001)</f>
        <v>1182.6</v>
      </c>
      <c r="BL225" s="71">
        <f>IFERROR(__xludf.DUMMYFUNCTION("""COMPUTED_VALUE"""),189.21600000000004)</f>
        <v>189.216</v>
      </c>
      <c r="BM225" s="71">
        <f>IFERROR(__xludf.DUMMYFUNCTION("""COMPUTED_VALUE"""),1371.8160000000003)</f>
        <v>1371.816</v>
      </c>
      <c r="BN225" s="71">
        <f>IFERROR(__xludf.DUMMYFUNCTION("""COMPUTED_VALUE"""),1182.6000000000001)</f>
        <v>1182.6</v>
      </c>
      <c r="BO225" s="71">
        <f>IFERROR(__xludf.DUMMYFUNCTION("""COMPUTED_VALUE"""),189.21600000000004)</f>
        <v>189.216</v>
      </c>
      <c r="BP225" s="71">
        <f>IFERROR(__xludf.DUMMYFUNCTION("""COMPUTED_VALUE"""),1371.8160000000003)</f>
        <v>1371.816</v>
      </c>
      <c r="BQ225" s="71">
        <f>IFERROR(__xludf.DUMMYFUNCTION("""COMPUTED_VALUE"""),1182.6000000000001)</f>
        <v>1182.6</v>
      </c>
      <c r="BR225" s="71">
        <f>IFERROR(__xludf.DUMMYFUNCTION("""COMPUTED_VALUE"""),189.21600000000004)</f>
        <v>189.216</v>
      </c>
      <c r="BS225" s="71">
        <f>IFERROR(__xludf.DUMMYFUNCTION("""COMPUTED_VALUE"""),1371.8160000000003)</f>
        <v>1371.816</v>
      </c>
      <c r="BT225" s="71">
        <f>IFERROR(__xludf.DUMMYFUNCTION("""COMPUTED_VALUE"""),1182.6000000000001)</f>
        <v>1182.6</v>
      </c>
      <c r="BU225" s="71">
        <f>IFERROR(__xludf.DUMMYFUNCTION("""COMPUTED_VALUE"""),189.21600000000004)</f>
        <v>189.216</v>
      </c>
      <c r="BV225" s="71">
        <f>IFERROR(__xludf.DUMMYFUNCTION("""COMPUTED_VALUE"""),1371.8160000000003)</f>
        <v>1371.816</v>
      </c>
    </row>
    <row r="226">
      <c r="A226" s="53">
        <v>1.0</v>
      </c>
      <c r="B226" s="72"/>
      <c r="C226" s="73" t="s">
        <v>12</v>
      </c>
      <c r="D226" s="74" t="s">
        <v>552</v>
      </c>
      <c r="E226" s="54" t="s">
        <v>38</v>
      </c>
      <c r="F226" s="54" t="s">
        <v>42</v>
      </c>
      <c r="G226" s="88" t="s">
        <v>553</v>
      </c>
      <c r="H226" s="54" t="s">
        <v>553</v>
      </c>
      <c r="I226" s="54">
        <f t="shared" si="1"/>
        <v>30</v>
      </c>
      <c r="J226" s="56"/>
      <c r="K226" s="75"/>
      <c r="L226" s="76"/>
      <c r="M226" s="59"/>
      <c r="N226" s="60">
        <v>104.0</v>
      </c>
      <c r="O226" s="61">
        <v>129.0</v>
      </c>
      <c r="P226" s="62">
        <v>139.32000000000002</v>
      </c>
      <c r="Q226" s="63">
        <v>139.32000000000002</v>
      </c>
      <c r="R226" s="64">
        <v>156.0</v>
      </c>
      <c r="S226" s="111">
        <v>164.0</v>
      </c>
      <c r="T226" s="65">
        <f t="shared" si="2"/>
        <v>26.24</v>
      </c>
      <c r="U226" s="65">
        <f t="shared" si="3"/>
        <v>190.24</v>
      </c>
      <c r="V226" s="66">
        <f t="shared" si="4"/>
        <v>0.05128205128</v>
      </c>
      <c r="W226" s="67">
        <f t="shared" si="5"/>
        <v>155.8</v>
      </c>
      <c r="X226" s="67">
        <f t="shared" si="6"/>
        <v>24.928</v>
      </c>
      <c r="Y226" s="67">
        <f t="shared" si="7"/>
        <v>180.728</v>
      </c>
      <c r="Z226" s="67">
        <f t="shared" si="8"/>
        <v>147.6</v>
      </c>
      <c r="AA226" s="67">
        <f t="shared" si="9"/>
        <v>23.616</v>
      </c>
      <c r="AB226" s="67">
        <f t="shared" si="10"/>
        <v>171.216</v>
      </c>
      <c r="AC226" s="67">
        <f t="shared" si="11"/>
        <v>139.4</v>
      </c>
      <c r="AD226" s="67">
        <f t="shared" si="12"/>
        <v>22.304</v>
      </c>
      <c r="AE226" s="67">
        <f t="shared" si="13"/>
        <v>161.704</v>
      </c>
      <c r="AF226" s="67">
        <f t="shared" si="14"/>
        <v>136.12</v>
      </c>
      <c r="AG226" s="67">
        <f t="shared" si="15"/>
        <v>21.7792</v>
      </c>
      <c r="AH226" s="67">
        <f t="shared" si="16"/>
        <v>157.8992</v>
      </c>
      <c r="AI226" s="67">
        <f t="shared" si="17"/>
        <v>131.2</v>
      </c>
      <c r="AJ226" s="68">
        <f t="shared" si="20"/>
        <v>20.992</v>
      </c>
      <c r="AK226" s="68">
        <f t="shared" si="21"/>
        <v>152.192</v>
      </c>
      <c r="AL226" s="70">
        <f>IFERROR(__xludf.DUMMYFUNCTION("""COMPUTED_VALUE"""),1.0)</f>
        <v>1</v>
      </c>
      <c r="AM226" s="70"/>
      <c r="AN226" s="71" t="str">
        <f>IFERROR(__xludf.DUMMYFUNCTION("""COMPUTED_VALUE""")," C")</f>
        <v>C</v>
      </c>
      <c r="AO226" s="71" t="str">
        <f>IFERROR(__xludf.DUMMYFUNCTION("""COMPUTED_VALUE""")," BT04")</f>
        <v>BT04</v>
      </c>
      <c r="AP226" s="71" t="str">
        <f>IFERROR(__xludf.DUMMYFUNCTION("""COMPUTED_VALUE""")," PZA")</f>
        <v>PZA</v>
      </c>
      <c r="AQ226" s="71" t="str">
        <f>IFERROR(__xludf.DUMMYFUNCTION("""COMPUTED_VALUE""")," REF")</f>
        <v>REF</v>
      </c>
      <c r="AR226" s="71" t="str">
        <f>IFERROR(__xludf.DUMMYFUNCTION("""COMPUTED_VALUE""")," BOTÓN DOMINO START / STOP")</f>
        <v>BOTÓN DOMINO START / STOP</v>
      </c>
      <c r="AS226" s="71" t="str">
        <f>IFERROR(__xludf.DUMMYFUNCTION("""COMPUTED_VALUE""")," BOTON DOMINO I/O")</f>
        <v>BOTON DOMINO I/O</v>
      </c>
      <c r="AT226" s="71">
        <f>IFERROR(__xludf.DUMMYFUNCTION("""COMPUTED_VALUE"""),16.0)</f>
        <v>16</v>
      </c>
      <c r="AU226" s="71"/>
      <c r="AV226" s="71"/>
      <c r="AW226" s="71"/>
      <c r="AX226" s="71"/>
      <c r="AY226" s="71">
        <f>IFERROR(__xludf.DUMMYFUNCTION("""COMPUTED_VALUE"""),108.0)</f>
        <v>108</v>
      </c>
      <c r="AZ226" s="71">
        <f>IFERROR(__xludf.DUMMYFUNCTION("""COMPUTED_VALUE"""),116.0)</f>
        <v>116</v>
      </c>
      <c r="BA226" s="71">
        <f>IFERROR(__xludf.DUMMYFUNCTION("""COMPUTED_VALUE"""),130.0)</f>
        <v>130</v>
      </c>
      <c r="BB226" s="71">
        <f>IFERROR(__xludf.DUMMYFUNCTION("""COMPUTED_VALUE"""),130.0)</f>
        <v>130</v>
      </c>
      <c r="BC226" s="71">
        <f>IFERROR(__xludf.DUMMYFUNCTION("""COMPUTED_VALUE"""),140.0)</f>
        <v>140</v>
      </c>
      <c r="BD226" s="71">
        <f>IFERROR(__xludf.DUMMYFUNCTION("""COMPUTED_VALUE"""),147.0)</f>
        <v>147</v>
      </c>
      <c r="BE226" s="71">
        <f>IFERROR(__xludf.DUMMYFUNCTION("""COMPUTED_VALUE"""),23.52)</f>
        <v>23.52</v>
      </c>
      <c r="BF226" s="71">
        <f>IFERROR(__xludf.DUMMYFUNCTION("""COMPUTED_VALUE"""),170.52)</f>
        <v>170.52</v>
      </c>
      <c r="BG226" s="71">
        <f>IFERROR(__xludf.DUMMYFUNCTION("""COMPUTED_VALUE"""),0.05)</f>
        <v>0.05</v>
      </c>
      <c r="BH226" s="71">
        <f>IFERROR(__xludf.DUMMYFUNCTION("""COMPUTED_VALUE"""),139.65)</f>
        <v>139.65</v>
      </c>
      <c r="BI226" s="71">
        <f>IFERROR(__xludf.DUMMYFUNCTION("""COMPUTED_VALUE"""),22.344)</f>
        <v>22.344</v>
      </c>
      <c r="BJ226" s="71">
        <f>IFERROR(__xludf.DUMMYFUNCTION("""COMPUTED_VALUE"""),161.994)</f>
        <v>161.994</v>
      </c>
      <c r="BK226" s="71">
        <f>IFERROR(__xludf.DUMMYFUNCTION("""COMPUTED_VALUE"""),132.3)</f>
        <v>132.3</v>
      </c>
      <c r="BL226" s="71">
        <f>IFERROR(__xludf.DUMMYFUNCTION("""COMPUTED_VALUE"""),21.168000000000003)</f>
        <v>21.168</v>
      </c>
      <c r="BM226" s="71">
        <f>IFERROR(__xludf.DUMMYFUNCTION("""COMPUTED_VALUE"""),153.46800000000002)</f>
        <v>153.468</v>
      </c>
      <c r="BN226" s="71">
        <f>IFERROR(__xludf.DUMMYFUNCTION("""COMPUTED_VALUE"""),124.95)</f>
        <v>124.95</v>
      </c>
      <c r="BO226" s="71">
        <f>IFERROR(__xludf.DUMMYFUNCTION("""COMPUTED_VALUE"""),19.992)</f>
        <v>19.992</v>
      </c>
      <c r="BP226" s="71">
        <f>IFERROR(__xludf.DUMMYFUNCTION("""COMPUTED_VALUE"""),144.942)</f>
        <v>144.942</v>
      </c>
      <c r="BQ226" s="71">
        <f>IFERROR(__xludf.DUMMYFUNCTION("""COMPUTED_VALUE"""),122.00999999999999)</f>
        <v>122.01</v>
      </c>
      <c r="BR226" s="71">
        <f>IFERROR(__xludf.DUMMYFUNCTION("""COMPUTED_VALUE"""),19.5216)</f>
        <v>19.5216</v>
      </c>
      <c r="BS226" s="71">
        <f>IFERROR(__xludf.DUMMYFUNCTION("""COMPUTED_VALUE"""),141.5316)</f>
        <v>141.5316</v>
      </c>
      <c r="BT226" s="71">
        <f>IFERROR(__xludf.DUMMYFUNCTION("""COMPUTED_VALUE"""),117.60000000000001)</f>
        <v>117.6</v>
      </c>
      <c r="BU226" s="71">
        <f>IFERROR(__xludf.DUMMYFUNCTION("""COMPUTED_VALUE"""),18.816000000000003)</f>
        <v>18.816</v>
      </c>
      <c r="BV226" s="71">
        <f>IFERROR(__xludf.DUMMYFUNCTION("""COMPUTED_VALUE"""),136.416)</f>
        <v>136.416</v>
      </c>
    </row>
    <row r="227">
      <c r="A227" s="53">
        <v>1.0</v>
      </c>
      <c r="B227" s="72"/>
      <c r="C227" s="73" t="s">
        <v>12</v>
      </c>
      <c r="D227" s="74" t="s">
        <v>554</v>
      </c>
      <c r="E227" s="54" t="s">
        <v>38</v>
      </c>
      <c r="F227" s="54" t="s">
        <v>42</v>
      </c>
      <c r="G227" s="88" t="s">
        <v>555</v>
      </c>
      <c r="H227" s="54" t="s">
        <v>555</v>
      </c>
      <c r="I227" s="54">
        <f t="shared" si="1"/>
        <v>26</v>
      </c>
      <c r="J227" s="56"/>
      <c r="K227" s="75"/>
      <c r="L227" s="76"/>
      <c r="M227" s="59"/>
      <c r="N227" s="60">
        <v>224.0</v>
      </c>
      <c r="O227" s="61">
        <v>241.0</v>
      </c>
      <c r="P227" s="62">
        <v>260.28000000000003</v>
      </c>
      <c r="Q227" s="63">
        <v>260.28000000000003</v>
      </c>
      <c r="R227" s="64">
        <v>290.0</v>
      </c>
      <c r="S227" s="111">
        <v>305.0</v>
      </c>
      <c r="T227" s="65">
        <f t="shared" si="2"/>
        <v>48.8</v>
      </c>
      <c r="U227" s="65">
        <f t="shared" si="3"/>
        <v>353.8</v>
      </c>
      <c r="V227" s="66">
        <f t="shared" si="4"/>
        <v>0.05172413793</v>
      </c>
      <c r="W227" s="67">
        <f t="shared" si="5"/>
        <v>289.75</v>
      </c>
      <c r="X227" s="67">
        <f t="shared" si="6"/>
        <v>46.36</v>
      </c>
      <c r="Y227" s="67">
        <f t="shared" si="7"/>
        <v>336.11</v>
      </c>
      <c r="Z227" s="67">
        <f t="shared" si="8"/>
        <v>274.5</v>
      </c>
      <c r="AA227" s="67">
        <f t="shared" si="9"/>
        <v>43.92</v>
      </c>
      <c r="AB227" s="67">
        <f t="shared" si="10"/>
        <v>318.42</v>
      </c>
      <c r="AC227" s="67">
        <f t="shared" si="11"/>
        <v>259.25</v>
      </c>
      <c r="AD227" s="67">
        <f t="shared" si="12"/>
        <v>41.48</v>
      </c>
      <c r="AE227" s="67">
        <f t="shared" si="13"/>
        <v>300.73</v>
      </c>
      <c r="AF227" s="67">
        <f t="shared" si="14"/>
        <v>253.15</v>
      </c>
      <c r="AG227" s="67">
        <f t="shared" si="15"/>
        <v>40.504</v>
      </c>
      <c r="AH227" s="67">
        <f t="shared" si="16"/>
        <v>293.654</v>
      </c>
      <c r="AI227" s="67">
        <f t="shared" si="17"/>
        <v>244</v>
      </c>
      <c r="AJ227" s="68">
        <f t="shared" si="20"/>
        <v>39.04</v>
      </c>
      <c r="AK227" s="68">
        <f t="shared" si="21"/>
        <v>283.04</v>
      </c>
      <c r="AL227" s="70">
        <f>IFERROR(__xludf.DUMMYFUNCTION("""COMPUTED_VALUE"""),1.0)</f>
        <v>1</v>
      </c>
      <c r="AM227" s="70"/>
      <c r="AN227" s="71" t="str">
        <f>IFERROR(__xludf.DUMMYFUNCTION("""COMPUTED_VALUE""")," C")</f>
        <v>C</v>
      </c>
      <c r="AO227" s="71" t="str">
        <f>IFERROR(__xludf.DUMMYFUNCTION("""COMPUTED_VALUE""")," BT06")</f>
        <v>BT06</v>
      </c>
      <c r="AP227" s="71" t="str">
        <f>IFERROR(__xludf.DUMMYFUNCTION("""COMPUTED_VALUE""")," PZA")</f>
        <v>PZA</v>
      </c>
      <c r="AQ227" s="71" t="str">
        <f>IFERROR(__xludf.DUMMYFUNCTION("""COMPUTED_VALUE""")," REF")</f>
        <v>REF</v>
      </c>
      <c r="AR227" s="71" t="str">
        <f>IFERROR(__xludf.DUMMYFUNCTION("""COMPUTED_VALUE""")," BOTÓN PARO DE EMERGENCIA")</f>
        <v>BOTÓN PARO DE EMERGENCIA</v>
      </c>
      <c r="AS227" s="71" t="str">
        <f>IFERROR(__xludf.DUMMYFUNCTION("""COMPUTED_VALUE""")," BOTON PARO DE EMERGENCIA")</f>
        <v>BOTON PARO DE EMERGENCIA</v>
      </c>
      <c r="AT227" s="71">
        <f>IFERROR(__xludf.DUMMYFUNCTION("""COMPUTED_VALUE"""),24.0)</f>
        <v>24</v>
      </c>
      <c r="AU227" s="71"/>
      <c r="AV227" s="71"/>
      <c r="AW227" s="71"/>
      <c r="AX227" s="71"/>
      <c r="AY227" s="71">
        <f>IFERROR(__xludf.DUMMYFUNCTION("""COMPUTED_VALUE"""),122.0)</f>
        <v>122</v>
      </c>
      <c r="AZ227" s="71">
        <f>IFERROR(__xludf.DUMMYFUNCTION("""COMPUTED_VALUE"""),131.0)</f>
        <v>131</v>
      </c>
      <c r="BA227" s="71">
        <f>IFERROR(__xludf.DUMMYFUNCTION("""COMPUTED_VALUE"""),150.0)</f>
        <v>150</v>
      </c>
      <c r="BB227" s="71">
        <f>IFERROR(__xludf.DUMMYFUNCTION("""COMPUTED_VALUE"""),150.0)</f>
        <v>150</v>
      </c>
      <c r="BC227" s="71">
        <f>IFERROR(__xludf.DUMMYFUNCTION("""COMPUTED_VALUE"""),158.0)</f>
        <v>158</v>
      </c>
      <c r="BD227" s="71">
        <f>IFERROR(__xludf.DUMMYFUNCTION("""COMPUTED_VALUE"""),166.0)</f>
        <v>166</v>
      </c>
      <c r="BE227" s="71">
        <f>IFERROR(__xludf.DUMMYFUNCTION("""COMPUTED_VALUE"""),26.560000000000002)</f>
        <v>26.56</v>
      </c>
      <c r="BF227" s="71">
        <f>IFERROR(__xludf.DUMMYFUNCTION("""COMPUTED_VALUE"""),192.56)</f>
        <v>192.56</v>
      </c>
      <c r="BG227" s="71">
        <f>IFERROR(__xludf.DUMMYFUNCTION("""COMPUTED_VALUE"""),0.05063291139240506)</f>
        <v>0.05063291139</v>
      </c>
      <c r="BH227" s="71">
        <f>IFERROR(__xludf.DUMMYFUNCTION("""COMPUTED_VALUE"""),157.7)</f>
        <v>157.7</v>
      </c>
      <c r="BI227" s="71">
        <f>IFERROR(__xludf.DUMMYFUNCTION("""COMPUTED_VALUE"""),25.232)</f>
        <v>25.232</v>
      </c>
      <c r="BJ227" s="71">
        <f>IFERROR(__xludf.DUMMYFUNCTION("""COMPUTED_VALUE"""),182.932)</f>
        <v>182.932</v>
      </c>
      <c r="BK227" s="71">
        <f>IFERROR(__xludf.DUMMYFUNCTION("""COMPUTED_VALUE"""),149.4)</f>
        <v>149.4</v>
      </c>
      <c r="BL227" s="71">
        <f>IFERROR(__xludf.DUMMYFUNCTION("""COMPUTED_VALUE"""),23.904)</f>
        <v>23.904</v>
      </c>
      <c r="BM227" s="71">
        <f>IFERROR(__xludf.DUMMYFUNCTION("""COMPUTED_VALUE"""),173.304)</f>
        <v>173.304</v>
      </c>
      <c r="BN227" s="71">
        <f>IFERROR(__xludf.DUMMYFUNCTION("""COMPUTED_VALUE"""),141.1)</f>
        <v>141.1</v>
      </c>
      <c r="BO227" s="71">
        <f>IFERROR(__xludf.DUMMYFUNCTION("""COMPUTED_VALUE"""),22.576)</f>
        <v>22.576</v>
      </c>
      <c r="BP227" s="71">
        <f>IFERROR(__xludf.DUMMYFUNCTION("""COMPUTED_VALUE"""),163.676)</f>
        <v>163.676</v>
      </c>
      <c r="BQ227" s="71">
        <f>IFERROR(__xludf.DUMMYFUNCTION("""COMPUTED_VALUE"""),137.78)</f>
        <v>137.78</v>
      </c>
      <c r="BR227" s="71">
        <f>IFERROR(__xludf.DUMMYFUNCTION("""COMPUTED_VALUE"""),22.044800000000002)</f>
        <v>22.0448</v>
      </c>
      <c r="BS227" s="71">
        <f>IFERROR(__xludf.DUMMYFUNCTION("""COMPUTED_VALUE"""),159.8248)</f>
        <v>159.8248</v>
      </c>
      <c r="BT227" s="71">
        <f>IFERROR(__xludf.DUMMYFUNCTION("""COMPUTED_VALUE"""),132.8)</f>
        <v>132.8</v>
      </c>
      <c r="BU227" s="71">
        <f>IFERROR(__xludf.DUMMYFUNCTION("""COMPUTED_VALUE"""),21.248)</f>
        <v>21.248</v>
      </c>
      <c r="BV227" s="71">
        <f>IFERROR(__xludf.DUMMYFUNCTION("""COMPUTED_VALUE"""),154.048)</f>
        <v>154.048</v>
      </c>
    </row>
    <row r="228">
      <c r="A228" s="53">
        <v>1.0</v>
      </c>
      <c r="B228" s="53"/>
      <c r="C228" s="73" t="s">
        <v>12</v>
      </c>
      <c r="D228" s="53" t="s">
        <v>556</v>
      </c>
      <c r="E228" s="54" t="s">
        <v>38</v>
      </c>
      <c r="F228" s="54" t="s">
        <v>42</v>
      </c>
      <c r="G228" s="55" t="s">
        <v>557</v>
      </c>
      <c r="H228" s="55" t="s">
        <v>557</v>
      </c>
      <c r="I228" s="54">
        <f t="shared" si="1"/>
        <v>30</v>
      </c>
      <c r="J228" s="56"/>
      <c r="K228" s="57"/>
      <c r="L228" s="76" t="s">
        <v>558</v>
      </c>
      <c r="M228" s="59"/>
      <c r="N228" s="60"/>
      <c r="O228" s="90"/>
      <c r="P228" s="62">
        <v>135.0</v>
      </c>
      <c r="Q228" s="63">
        <v>135.0</v>
      </c>
      <c r="R228" s="64">
        <v>142.0</v>
      </c>
      <c r="S228" s="111">
        <v>149.0</v>
      </c>
      <c r="T228" s="65">
        <f t="shared" si="2"/>
        <v>23.84</v>
      </c>
      <c r="U228" s="65">
        <f t="shared" si="3"/>
        <v>172.84</v>
      </c>
      <c r="V228" s="66">
        <f t="shared" si="4"/>
        <v>0.04929577465</v>
      </c>
      <c r="W228" s="67">
        <f t="shared" si="5"/>
        <v>141.55</v>
      </c>
      <c r="X228" s="67">
        <f t="shared" si="6"/>
        <v>22.648</v>
      </c>
      <c r="Y228" s="67">
        <f t="shared" si="7"/>
        <v>164.198</v>
      </c>
      <c r="Z228" s="67">
        <f t="shared" si="8"/>
        <v>134.1</v>
      </c>
      <c r="AA228" s="67">
        <f t="shared" si="9"/>
        <v>21.456</v>
      </c>
      <c r="AB228" s="67">
        <f t="shared" si="10"/>
        <v>155.556</v>
      </c>
      <c r="AC228" s="67">
        <f t="shared" si="11"/>
        <v>126.65</v>
      </c>
      <c r="AD228" s="67">
        <f t="shared" si="12"/>
        <v>20.264</v>
      </c>
      <c r="AE228" s="67">
        <f t="shared" si="13"/>
        <v>146.914</v>
      </c>
      <c r="AF228" s="67">
        <f t="shared" si="14"/>
        <v>123.67</v>
      </c>
      <c r="AG228" s="67">
        <f t="shared" si="15"/>
        <v>19.7872</v>
      </c>
      <c r="AH228" s="67">
        <f t="shared" si="16"/>
        <v>143.4572</v>
      </c>
      <c r="AI228" s="67">
        <f t="shared" si="17"/>
        <v>119.2</v>
      </c>
      <c r="AJ228" s="68">
        <f t="shared" si="20"/>
        <v>19.072</v>
      </c>
      <c r="AK228" s="68">
        <f t="shared" si="21"/>
        <v>138.272</v>
      </c>
      <c r="AL228" s="70">
        <f>IFERROR(__xludf.DUMMYFUNCTION("""COMPUTED_VALUE"""),1.0)</f>
        <v>1</v>
      </c>
      <c r="AM228" s="70"/>
      <c r="AN228" s="71" t="str">
        <f>IFERROR(__xludf.DUMMYFUNCTION("""COMPUTED_VALUE""")," C")</f>
        <v>C</v>
      </c>
      <c r="AO228" s="71" t="str">
        <f>IFERROR(__xludf.DUMMYFUNCTION("""COMPUTED_VALUE""")," BT03")</f>
        <v>BT03</v>
      </c>
      <c r="AP228" s="71" t="str">
        <f>IFERROR(__xludf.DUMMYFUNCTION("""COMPUTED_VALUE""")," PZA")</f>
        <v>PZA</v>
      </c>
      <c r="AQ228" s="71" t="str">
        <f>IFERROR(__xludf.DUMMYFUNCTION("""COMPUTED_VALUE""")," REF")</f>
        <v>REF</v>
      </c>
      <c r="AR228" s="71" t="str">
        <f>IFERROR(__xludf.DUMMYFUNCTION("""COMPUTED_VALUE""")," BOTÓN SELECTOR COLOR NEGRO ")</f>
        <v>BOTÓN SELECTOR COLOR NEGRO </v>
      </c>
      <c r="AS228" s="71" t="str">
        <f>IFERROR(__xludf.DUMMYFUNCTION("""COMPUTED_VALUE""")," BOTON SELECTOR NEGRO")</f>
        <v>BOTON SELECTOR NEGRO</v>
      </c>
      <c r="AT228" s="71">
        <f>IFERROR(__xludf.DUMMYFUNCTION("""COMPUTED_VALUE"""),20.0)</f>
        <v>20</v>
      </c>
      <c r="AU228" s="71"/>
      <c r="AV228" s="71"/>
      <c r="AW228" s="71"/>
      <c r="AX228" s="71"/>
      <c r="AY228" s="71">
        <f>IFERROR(__xludf.DUMMYFUNCTION("""COMPUTED_VALUE"""),111.0)</f>
        <v>111</v>
      </c>
      <c r="AZ228" s="71">
        <f>IFERROR(__xludf.DUMMYFUNCTION("""COMPUTED_VALUE"""),119.0)</f>
        <v>119</v>
      </c>
      <c r="BA228" s="71">
        <f>IFERROR(__xludf.DUMMYFUNCTION("""COMPUTED_VALUE"""),128.52)</f>
        <v>128.52</v>
      </c>
      <c r="BB228" s="71">
        <f>IFERROR(__xludf.DUMMYFUNCTION("""COMPUTED_VALUE"""),128.52)</f>
        <v>128.52</v>
      </c>
      <c r="BC228" s="71">
        <f>IFERROR(__xludf.DUMMYFUNCTION("""COMPUTED_VALUE"""),144.0)</f>
        <v>144</v>
      </c>
      <c r="BD228" s="71">
        <f>IFERROR(__xludf.DUMMYFUNCTION("""COMPUTED_VALUE"""),151.0)</f>
        <v>151</v>
      </c>
      <c r="BE228" s="71">
        <f>IFERROR(__xludf.DUMMYFUNCTION("""COMPUTED_VALUE"""),24.16)</f>
        <v>24.16</v>
      </c>
      <c r="BF228" s="71">
        <f>IFERROR(__xludf.DUMMYFUNCTION("""COMPUTED_VALUE"""),175.16)</f>
        <v>175.16</v>
      </c>
      <c r="BG228" s="71">
        <f>IFERROR(__xludf.DUMMYFUNCTION("""COMPUTED_VALUE"""),0.04861111111111111)</f>
        <v>0.04861111111</v>
      </c>
      <c r="BH228" s="71">
        <f>IFERROR(__xludf.DUMMYFUNCTION("""COMPUTED_VALUE"""),143.45)</f>
        <v>143.45</v>
      </c>
      <c r="BI228" s="71">
        <f>IFERROR(__xludf.DUMMYFUNCTION("""COMPUTED_VALUE"""),22.951999999999998)</f>
        <v>22.952</v>
      </c>
      <c r="BJ228" s="71">
        <f>IFERROR(__xludf.DUMMYFUNCTION("""COMPUTED_VALUE"""),166.402)</f>
        <v>166.402</v>
      </c>
      <c r="BK228" s="71">
        <f>IFERROR(__xludf.DUMMYFUNCTION("""COMPUTED_VALUE"""),135.9)</f>
        <v>135.9</v>
      </c>
      <c r="BL228" s="71">
        <f>IFERROR(__xludf.DUMMYFUNCTION("""COMPUTED_VALUE"""),21.744)</f>
        <v>21.744</v>
      </c>
      <c r="BM228" s="71">
        <f>IFERROR(__xludf.DUMMYFUNCTION("""COMPUTED_VALUE"""),157.644)</f>
        <v>157.644</v>
      </c>
      <c r="BN228" s="71">
        <f>IFERROR(__xludf.DUMMYFUNCTION("""COMPUTED_VALUE"""),128.35)</f>
        <v>128.35</v>
      </c>
      <c r="BO228" s="71">
        <f>IFERROR(__xludf.DUMMYFUNCTION("""COMPUTED_VALUE"""),20.535999999999998)</f>
        <v>20.536</v>
      </c>
      <c r="BP228" s="71">
        <f>IFERROR(__xludf.DUMMYFUNCTION("""COMPUTED_VALUE"""),148.886)</f>
        <v>148.886</v>
      </c>
      <c r="BQ228" s="71">
        <f>IFERROR(__xludf.DUMMYFUNCTION("""COMPUTED_VALUE"""),125.33)</f>
        <v>125.33</v>
      </c>
      <c r="BR228" s="71">
        <f>IFERROR(__xludf.DUMMYFUNCTION("""COMPUTED_VALUE"""),20.0528)</f>
        <v>20.0528</v>
      </c>
      <c r="BS228" s="71">
        <f>IFERROR(__xludf.DUMMYFUNCTION("""COMPUTED_VALUE"""),145.3828)</f>
        <v>145.3828</v>
      </c>
      <c r="BT228" s="71">
        <f>IFERROR(__xludf.DUMMYFUNCTION("""COMPUTED_VALUE"""),120.80000000000001)</f>
        <v>120.8</v>
      </c>
      <c r="BU228" s="71">
        <f>IFERROR(__xludf.DUMMYFUNCTION("""COMPUTED_VALUE"""),19.328000000000003)</f>
        <v>19.328</v>
      </c>
      <c r="BV228" s="71">
        <f>IFERROR(__xludf.DUMMYFUNCTION("""COMPUTED_VALUE"""),140.12800000000001)</f>
        <v>140.128</v>
      </c>
    </row>
    <row r="229">
      <c r="A229" s="53">
        <v>1.0</v>
      </c>
      <c r="B229" s="53"/>
      <c r="C229" s="53" t="s">
        <v>12</v>
      </c>
      <c r="D229" s="53" t="s">
        <v>559</v>
      </c>
      <c r="E229" s="86" t="s">
        <v>38</v>
      </c>
      <c r="F229" s="91" t="s">
        <v>42</v>
      </c>
      <c r="G229" s="84" t="s">
        <v>560</v>
      </c>
      <c r="H229" s="84" t="s">
        <v>560</v>
      </c>
      <c r="I229" s="54">
        <f t="shared" si="1"/>
        <v>26</v>
      </c>
      <c r="J229" s="56"/>
      <c r="K229" s="57"/>
      <c r="L229" s="126"/>
      <c r="M229" s="59"/>
      <c r="N229" s="93"/>
      <c r="O229" s="61"/>
      <c r="P229" s="90"/>
      <c r="Q229" s="94"/>
      <c r="R229" s="95"/>
      <c r="S229" s="111">
        <v>162.2</v>
      </c>
      <c r="T229" s="65">
        <f t="shared" si="2"/>
        <v>25.952</v>
      </c>
      <c r="U229" s="65">
        <f t="shared" si="3"/>
        <v>188.152</v>
      </c>
      <c r="V229" s="66" t="str">
        <f t="shared" si="4"/>
        <v>#DIV/0!</v>
      </c>
      <c r="W229" s="67">
        <f t="shared" si="5"/>
        <v>154.09</v>
      </c>
      <c r="X229" s="67">
        <f t="shared" si="6"/>
        <v>24.6544</v>
      </c>
      <c r="Y229" s="67">
        <f t="shared" si="7"/>
        <v>178.7444</v>
      </c>
      <c r="Z229" s="67">
        <f t="shared" si="8"/>
        <v>145.98</v>
      </c>
      <c r="AA229" s="67">
        <f t="shared" si="9"/>
        <v>23.3568</v>
      </c>
      <c r="AB229" s="67">
        <f t="shared" si="10"/>
        <v>169.3368</v>
      </c>
      <c r="AC229" s="67">
        <f t="shared" si="11"/>
        <v>137.87</v>
      </c>
      <c r="AD229" s="67">
        <f t="shared" si="12"/>
        <v>22.0592</v>
      </c>
      <c r="AE229" s="67">
        <f t="shared" si="13"/>
        <v>159.9292</v>
      </c>
      <c r="AF229" s="67">
        <f t="shared" si="14"/>
        <v>134.626</v>
      </c>
      <c r="AG229" s="67">
        <f t="shared" si="15"/>
        <v>21.54016</v>
      </c>
      <c r="AH229" s="67">
        <f t="shared" si="16"/>
        <v>156.16616</v>
      </c>
      <c r="AI229" s="67">
        <f t="shared" si="17"/>
        <v>129.76</v>
      </c>
      <c r="AJ229" s="68">
        <f t="shared" si="20"/>
        <v>20.7616</v>
      </c>
      <c r="AK229" s="68">
        <f t="shared" si="21"/>
        <v>150.5216</v>
      </c>
      <c r="AL229" s="70">
        <f>IFERROR(__xludf.DUMMYFUNCTION("""COMPUTED_VALUE"""),1.0)</f>
        <v>1</v>
      </c>
      <c r="AM229" s="70"/>
      <c r="AN229" s="71" t="str">
        <f>IFERROR(__xludf.DUMMYFUNCTION("""COMPUTED_VALUE""")," P")</f>
        <v>P</v>
      </c>
      <c r="AO229" s="71" t="str">
        <f>IFERROR(__xludf.DUMMYFUNCTION("""COMPUTED_VALUE""")," BJ01")</f>
        <v>BJ01</v>
      </c>
      <c r="AP229" s="71" t="str">
        <f>IFERROR(__xludf.DUMMYFUNCTION("""COMPUTED_VALUE""")," PZA")</f>
        <v>PZA</v>
      </c>
      <c r="AQ229" s="71" t="str">
        <f>IFERROR(__xludf.DUMMYFUNCTION("""COMPUTED_VALUE""")," REF")</f>
        <v>REF</v>
      </c>
      <c r="AR229" s="71" t="str">
        <f>IFERROR(__xludf.DUMMYFUNCTION("""COMPUTED_VALUE""")," BUJE BALERO BRONCE D8.9X4.9 A2.3 (7210)")</f>
        <v>BUJE BALERO BRONCE D8.9X4.9 A2.3 (7210)</v>
      </c>
      <c r="AS229" s="71" t="str">
        <f>IFERROR(__xludf.DUMMYFUNCTION("""COMPUTED_VALUE""")," BUJE BALERO BRONCE D8.9X4.9 A2.3 (7210)")</f>
        <v>BUJE BALERO BRONCE D8.9X4.9 A2.3 (7210)</v>
      </c>
      <c r="AT229" s="71">
        <f>IFERROR(__xludf.DUMMYFUNCTION("""COMPUTED_VALUE"""),39.0)</f>
        <v>39</v>
      </c>
      <c r="AU229" s="71"/>
      <c r="AV229" s="71"/>
      <c r="AW229" s="71"/>
      <c r="AX229" s="71"/>
      <c r="AY229" s="71">
        <f>IFERROR(__xludf.DUMMYFUNCTION("""COMPUTED_VALUE"""),389.0)</f>
        <v>389</v>
      </c>
      <c r="AZ229" s="71">
        <f>IFERROR(__xludf.DUMMYFUNCTION("""COMPUTED_VALUE"""),420.0)</f>
        <v>420</v>
      </c>
      <c r="BA229" s="71">
        <f>IFERROR(__xludf.DUMMYFUNCTION("""COMPUTED_VALUE"""),453.6)</f>
        <v>453.6</v>
      </c>
      <c r="BB229" s="71">
        <f>IFERROR(__xludf.DUMMYFUNCTION("""COMPUTED_VALUE"""),453.6)</f>
        <v>453.6</v>
      </c>
      <c r="BC229" s="71">
        <f>IFERROR(__xludf.DUMMYFUNCTION("""COMPUTED_VALUE"""),506.0)</f>
        <v>506</v>
      </c>
      <c r="BD229" s="71">
        <f>IFERROR(__xludf.DUMMYFUNCTION("""COMPUTED_VALUE"""),531.0)</f>
        <v>531</v>
      </c>
      <c r="BE229" s="71">
        <f>IFERROR(__xludf.DUMMYFUNCTION("""COMPUTED_VALUE"""),84.96000000000001)</f>
        <v>84.96</v>
      </c>
      <c r="BF229" s="71">
        <f>IFERROR(__xludf.DUMMYFUNCTION("""COMPUTED_VALUE"""),615.96)</f>
        <v>615.96</v>
      </c>
      <c r="BG229" s="71">
        <f>IFERROR(__xludf.DUMMYFUNCTION("""COMPUTED_VALUE"""),0.04940711462450593)</f>
        <v>0.04940711462</v>
      </c>
      <c r="BH229" s="71">
        <f>IFERROR(__xludf.DUMMYFUNCTION("""COMPUTED_VALUE"""),504.45)</f>
        <v>504.45</v>
      </c>
      <c r="BI229" s="71">
        <f>IFERROR(__xludf.DUMMYFUNCTION("""COMPUTED_VALUE"""),80.712)</f>
        <v>80.712</v>
      </c>
      <c r="BJ229" s="71">
        <f>IFERROR(__xludf.DUMMYFUNCTION("""COMPUTED_VALUE"""),585.162)</f>
        <v>585.162</v>
      </c>
      <c r="BK229" s="71">
        <f>IFERROR(__xludf.DUMMYFUNCTION("""COMPUTED_VALUE"""),477.90000000000003)</f>
        <v>477.9</v>
      </c>
      <c r="BL229" s="71">
        <f>IFERROR(__xludf.DUMMYFUNCTION("""COMPUTED_VALUE"""),76.46400000000001)</f>
        <v>76.464</v>
      </c>
      <c r="BM229" s="71">
        <f>IFERROR(__xludf.DUMMYFUNCTION("""COMPUTED_VALUE"""),554.364)</f>
        <v>554.364</v>
      </c>
      <c r="BN229" s="71">
        <f>IFERROR(__xludf.DUMMYFUNCTION("""COMPUTED_VALUE"""),451.34999999999997)</f>
        <v>451.35</v>
      </c>
      <c r="BO229" s="71">
        <f>IFERROR(__xludf.DUMMYFUNCTION("""COMPUTED_VALUE"""),72.216)</f>
        <v>72.216</v>
      </c>
      <c r="BP229" s="71">
        <f>IFERROR(__xludf.DUMMYFUNCTION("""COMPUTED_VALUE"""),523.5659999999999)</f>
        <v>523.566</v>
      </c>
      <c r="BQ229" s="71">
        <f>IFERROR(__xludf.DUMMYFUNCTION("""COMPUTED_VALUE"""),440.72999999999996)</f>
        <v>440.73</v>
      </c>
      <c r="BR229" s="71">
        <f>IFERROR(__xludf.DUMMYFUNCTION("""COMPUTED_VALUE"""),70.51679999999999)</f>
        <v>70.5168</v>
      </c>
      <c r="BS229" s="71">
        <f>IFERROR(__xludf.DUMMYFUNCTION("""COMPUTED_VALUE"""),511.24679999999995)</f>
        <v>511.2468</v>
      </c>
      <c r="BT229" s="71">
        <f>IFERROR(__xludf.DUMMYFUNCTION("""COMPUTED_VALUE"""),424.8)</f>
        <v>424.8</v>
      </c>
      <c r="BU229" s="71">
        <f>IFERROR(__xludf.DUMMYFUNCTION("""COMPUTED_VALUE"""),67.968)</f>
        <v>67.968</v>
      </c>
      <c r="BV229" s="71">
        <f>IFERROR(__xludf.DUMMYFUNCTION("""COMPUTED_VALUE"""),492.76800000000003)</f>
        <v>492.768</v>
      </c>
    </row>
    <row r="230">
      <c r="A230" s="53">
        <v>1.0</v>
      </c>
      <c r="B230" s="72"/>
      <c r="C230" s="73" t="s">
        <v>12</v>
      </c>
      <c r="D230" s="53" t="s">
        <v>561</v>
      </c>
      <c r="E230" s="54" t="s">
        <v>38</v>
      </c>
      <c r="F230" s="54" t="s">
        <v>42</v>
      </c>
      <c r="G230" s="88" t="s">
        <v>562</v>
      </c>
      <c r="H230" s="54" t="s">
        <v>562</v>
      </c>
      <c r="I230" s="54">
        <f t="shared" si="1"/>
        <v>26</v>
      </c>
      <c r="J230" s="56"/>
      <c r="K230" s="57"/>
      <c r="L230" s="87"/>
      <c r="M230" s="59"/>
      <c r="N230" s="60">
        <v>231.0</v>
      </c>
      <c r="O230" s="61">
        <v>249.0</v>
      </c>
      <c r="P230" s="62">
        <v>268.92</v>
      </c>
      <c r="Q230" s="63">
        <v>268.92</v>
      </c>
      <c r="R230" s="64">
        <v>301.0</v>
      </c>
      <c r="S230" s="111">
        <v>316.0</v>
      </c>
      <c r="T230" s="65">
        <f t="shared" si="2"/>
        <v>50.56</v>
      </c>
      <c r="U230" s="65">
        <f t="shared" si="3"/>
        <v>366.56</v>
      </c>
      <c r="V230" s="66">
        <f t="shared" si="4"/>
        <v>0.04983388704</v>
      </c>
      <c r="W230" s="67">
        <f t="shared" si="5"/>
        <v>300.2</v>
      </c>
      <c r="X230" s="67">
        <f t="shared" si="6"/>
        <v>48.032</v>
      </c>
      <c r="Y230" s="67">
        <f t="shared" si="7"/>
        <v>348.232</v>
      </c>
      <c r="Z230" s="67">
        <f t="shared" si="8"/>
        <v>284.4</v>
      </c>
      <c r="AA230" s="67">
        <f t="shared" si="9"/>
        <v>45.504</v>
      </c>
      <c r="AB230" s="67">
        <f t="shared" si="10"/>
        <v>329.904</v>
      </c>
      <c r="AC230" s="67">
        <f t="shared" si="11"/>
        <v>268.6</v>
      </c>
      <c r="AD230" s="67">
        <f t="shared" si="12"/>
        <v>42.976</v>
      </c>
      <c r="AE230" s="67">
        <f t="shared" si="13"/>
        <v>311.576</v>
      </c>
      <c r="AF230" s="67">
        <f t="shared" si="14"/>
        <v>262.28</v>
      </c>
      <c r="AG230" s="67">
        <f t="shared" si="15"/>
        <v>41.9648</v>
      </c>
      <c r="AH230" s="67">
        <f t="shared" si="16"/>
        <v>304.2448</v>
      </c>
      <c r="AI230" s="67">
        <f t="shared" si="17"/>
        <v>252.8</v>
      </c>
      <c r="AJ230" s="68">
        <f t="shared" si="20"/>
        <v>40.448</v>
      </c>
      <c r="AK230" s="68">
        <f t="shared" si="21"/>
        <v>293.248</v>
      </c>
      <c r="AL230" s="70">
        <f>IFERROR(__xludf.DUMMYFUNCTION("""COMPUTED_VALUE"""),1.0)</f>
        <v>1</v>
      </c>
      <c r="AM230" s="70"/>
      <c r="AN230" s="71" t="str">
        <f>IFERROR(__xludf.DUMMYFUNCTION("""COMPUTED_VALUE""")," P")</f>
        <v>P</v>
      </c>
      <c r="AO230" s="71" t="str">
        <f>IFERROR(__xludf.DUMMYFUNCTION("""COMPUTED_VALUE""")," BJ02")</f>
        <v>BJ02</v>
      </c>
      <c r="AP230" s="71" t="str">
        <f>IFERROR(__xludf.DUMMYFUNCTION("""COMPUTED_VALUE""")," PZA")</f>
        <v>PZA</v>
      </c>
      <c r="AQ230" s="71" t="str">
        <f>IFERROR(__xludf.DUMMYFUNCTION("""COMPUTED_VALUE""")," REF")</f>
        <v>REF</v>
      </c>
      <c r="AR230" s="71" t="str">
        <f>IFERROR(__xludf.DUMMYFUNCTION("""COMPUTED_VALUE""")," BUJE DE BRONCE 5/8 PARA BASE INFERIOR DÚPLEX")</f>
        <v>BUJE DE BRONCE 5/8 PARA BASE INFERIOR DÚPLEX</v>
      </c>
      <c r="AS230" s="71" t="str">
        <f>IFERROR(__xludf.DUMMYFUNCTION("""COMPUTED_VALUE""")," BUJE DE BRONCE 5/8 PARA BASE INF DUPLX")</f>
        <v>BUJE DE BRONCE 5/8 PARA BASE INF DUPLX</v>
      </c>
      <c r="AT230" s="71">
        <f>IFERROR(__xludf.DUMMYFUNCTION("""COMPUTED_VALUE"""),38.0)</f>
        <v>38</v>
      </c>
      <c r="AU230" s="71"/>
      <c r="AV230" s="71"/>
      <c r="AW230" s="71"/>
      <c r="AX230" s="71"/>
      <c r="AY230" s="71">
        <f>IFERROR(__xludf.DUMMYFUNCTION("""COMPUTED_VALUE"""),179.0)</f>
        <v>179</v>
      </c>
      <c r="AZ230" s="71">
        <f>IFERROR(__xludf.DUMMYFUNCTION("""COMPUTED_VALUE"""),193.0)</f>
        <v>193</v>
      </c>
      <c r="BA230" s="71">
        <f>IFERROR(__xludf.DUMMYFUNCTION("""COMPUTED_VALUE"""),208.44000000000003)</f>
        <v>208.44</v>
      </c>
      <c r="BB230" s="71">
        <f>IFERROR(__xludf.DUMMYFUNCTION("""COMPUTED_VALUE"""),208.44000000000003)</f>
        <v>208.44</v>
      </c>
      <c r="BC230" s="71">
        <f>IFERROR(__xludf.DUMMYFUNCTION("""COMPUTED_VALUE"""),237.0)</f>
        <v>237</v>
      </c>
      <c r="BD230" s="71">
        <f>IFERROR(__xludf.DUMMYFUNCTION("""COMPUTED_VALUE"""),249.0)</f>
        <v>249</v>
      </c>
      <c r="BE230" s="71">
        <f>IFERROR(__xludf.DUMMYFUNCTION("""COMPUTED_VALUE"""),39.84)</f>
        <v>39.84</v>
      </c>
      <c r="BF230" s="71">
        <f>IFERROR(__xludf.DUMMYFUNCTION("""COMPUTED_VALUE"""),288.84000000000003)</f>
        <v>288.84</v>
      </c>
      <c r="BG230" s="71">
        <f>IFERROR(__xludf.DUMMYFUNCTION("""COMPUTED_VALUE"""),0.05063291139240506)</f>
        <v>0.05063291139</v>
      </c>
      <c r="BH230" s="71">
        <f>IFERROR(__xludf.DUMMYFUNCTION("""COMPUTED_VALUE"""),236.54999999999998)</f>
        <v>236.55</v>
      </c>
      <c r="BI230" s="71">
        <f>IFERROR(__xludf.DUMMYFUNCTION("""COMPUTED_VALUE"""),37.848)</f>
        <v>37.848</v>
      </c>
      <c r="BJ230" s="71">
        <f>IFERROR(__xludf.DUMMYFUNCTION("""COMPUTED_VALUE"""),274.39799999999997)</f>
        <v>274.398</v>
      </c>
      <c r="BK230" s="71">
        <f>IFERROR(__xludf.DUMMYFUNCTION("""COMPUTED_VALUE"""),224.1)</f>
        <v>224.1</v>
      </c>
      <c r="BL230" s="71">
        <f>IFERROR(__xludf.DUMMYFUNCTION("""COMPUTED_VALUE"""),35.856)</f>
        <v>35.856</v>
      </c>
      <c r="BM230" s="71">
        <f>IFERROR(__xludf.DUMMYFUNCTION("""COMPUTED_VALUE"""),259.956)</f>
        <v>259.956</v>
      </c>
      <c r="BN230" s="71">
        <f>IFERROR(__xludf.DUMMYFUNCTION("""COMPUTED_VALUE"""),211.65)</f>
        <v>211.65</v>
      </c>
      <c r="BO230" s="71">
        <f>IFERROR(__xludf.DUMMYFUNCTION("""COMPUTED_VALUE"""),33.864000000000004)</f>
        <v>33.864</v>
      </c>
      <c r="BP230" s="71">
        <f>IFERROR(__xludf.DUMMYFUNCTION("""COMPUTED_VALUE"""),245.514)</f>
        <v>245.514</v>
      </c>
      <c r="BQ230" s="71">
        <f>IFERROR(__xludf.DUMMYFUNCTION("""COMPUTED_VALUE"""),206.67)</f>
        <v>206.67</v>
      </c>
      <c r="BR230" s="71">
        <f>IFERROR(__xludf.DUMMYFUNCTION("""COMPUTED_VALUE"""),33.0672)</f>
        <v>33.0672</v>
      </c>
      <c r="BS230" s="71">
        <f>IFERROR(__xludf.DUMMYFUNCTION("""COMPUTED_VALUE"""),239.73719999999997)</f>
        <v>239.7372</v>
      </c>
      <c r="BT230" s="71">
        <f>IFERROR(__xludf.DUMMYFUNCTION("""COMPUTED_VALUE"""),199.20000000000002)</f>
        <v>199.2</v>
      </c>
      <c r="BU230" s="71">
        <f>IFERROR(__xludf.DUMMYFUNCTION("""COMPUTED_VALUE"""),31.872000000000003)</f>
        <v>31.872</v>
      </c>
      <c r="BV230" s="71">
        <f>IFERROR(__xludf.DUMMYFUNCTION("""COMPUTED_VALUE"""),231.07200000000003)</f>
        <v>231.072</v>
      </c>
    </row>
    <row r="231">
      <c r="A231" s="53">
        <v>1.0</v>
      </c>
      <c r="B231" s="72"/>
      <c r="C231" s="73" t="s">
        <v>12</v>
      </c>
      <c r="D231" s="74" t="s">
        <v>563</v>
      </c>
      <c r="E231" s="54" t="s">
        <v>38</v>
      </c>
      <c r="F231" s="54" t="s">
        <v>42</v>
      </c>
      <c r="G231" s="88" t="s">
        <v>564</v>
      </c>
      <c r="H231" s="54" t="s">
        <v>564</v>
      </c>
      <c r="I231" s="54">
        <f t="shared" si="1"/>
        <v>30</v>
      </c>
      <c r="J231" s="56"/>
      <c r="K231" s="75"/>
      <c r="L231" s="76"/>
      <c r="M231" s="59"/>
      <c r="N231" s="60">
        <v>119.0</v>
      </c>
      <c r="O231" s="61">
        <v>143.0</v>
      </c>
      <c r="P231" s="62">
        <v>154.44</v>
      </c>
      <c r="Q231" s="63">
        <v>154.44</v>
      </c>
      <c r="R231" s="64">
        <v>173.0</v>
      </c>
      <c r="S231" s="111">
        <v>182.0</v>
      </c>
      <c r="T231" s="65">
        <f t="shared" si="2"/>
        <v>29.12</v>
      </c>
      <c r="U231" s="65">
        <f t="shared" si="3"/>
        <v>211.12</v>
      </c>
      <c r="V231" s="66">
        <f t="shared" si="4"/>
        <v>0.05202312139</v>
      </c>
      <c r="W231" s="67">
        <f t="shared" si="5"/>
        <v>172.9</v>
      </c>
      <c r="X231" s="67">
        <f t="shared" si="6"/>
        <v>27.664</v>
      </c>
      <c r="Y231" s="67">
        <f t="shared" si="7"/>
        <v>200.564</v>
      </c>
      <c r="Z231" s="67">
        <f t="shared" si="8"/>
        <v>163.8</v>
      </c>
      <c r="AA231" s="67">
        <f t="shared" si="9"/>
        <v>26.208</v>
      </c>
      <c r="AB231" s="67">
        <f t="shared" si="10"/>
        <v>190.008</v>
      </c>
      <c r="AC231" s="67">
        <f t="shared" si="11"/>
        <v>154.7</v>
      </c>
      <c r="AD231" s="67">
        <f t="shared" si="12"/>
        <v>24.752</v>
      </c>
      <c r="AE231" s="67">
        <f t="shared" si="13"/>
        <v>179.452</v>
      </c>
      <c r="AF231" s="67">
        <f t="shared" si="14"/>
        <v>151.06</v>
      </c>
      <c r="AG231" s="67">
        <f t="shared" si="15"/>
        <v>24.1696</v>
      </c>
      <c r="AH231" s="67">
        <f t="shared" si="16"/>
        <v>175.2296</v>
      </c>
      <c r="AI231" s="67">
        <f t="shared" si="17"/>
        <v>145.6</v>
      </c>
      <c r="AJ231" s="68">
        <f t="shared" si="20"/>
        <v>23.296</v>
      </c>
      <c r="AK231" s="68">
        <f t="shared" si="21"/>
        <v>168.896</v>
      </c>
      <c r="AL231" s="70">
        <f>IFERROR(__xludf.DUMMYFUNCTION("""COMPUTED_VALUE"""),1.0)</f>
        <v>1</v>
      </c>
      <c r="AM231" s="70"/>
      <c r="AN231" s="71" t="str">
        <f>IFERROR(__xludf.DUMMYFUNCTION("""COMPUTED_VALUE""")," P")</f>
        <v>P</v>
      </c>
      <c r="AO231" s="71" t="str">
        <f>IFERROR(__xludf.DUMMYFUNCTION("""COMPUTED_VALUE""")," BJ03")</f>
        <v>BJ03</v>
      </c>
      <c r="AP231" s="71" t="str">
        <f>IFERROR(__xludf.DUMMYFUNCTION("""COMPUTED_VALUE""")," PZA")</f>
        <v>PZA</v>
      </c>
      <c r="AQ231" s="71" t="str">
        <f>IFERROR(__xludf.DUMMYFUNCTION("""COMPUTED_VALUE""")," REF")</f>
        <v>REF</v>
      </c>
      <c r="AR231" s="71" t="str">
        <f>IFERROR(__xludf.DUMMYFUNCTION("""COMPUTED_VALUE""")," BUJE DE BRONCE 5/8 PARA BASE INFERIOR SENCILLA")</f>
        <v>BUJE DE BRONCE 5/8 PARA BASE INFERIOR SENCILLA</v>
      </c>
      <c r="AS231" s="71" t="str">
        <f>IFERROR(__xludf.DUMMYFUNCTION("""COMPUTED_VALUE""")," BUJE DE BRONCE 5/8 PARA BASE INF SEN.")</f>
        <v>BUJE DE BRONCE 5/8 PARA BASE INF SEN.</v>
      </c>
      <c r="AT231" s="71">
        <f>IFERROR(__xludf.DUMMYFUNCTION("""COMPUTED_VALUE"""),37.0)</f>
        <v>37</v>
      </c>
      <c r="AU231" s="71"/>
      <c r="AV231" s="71"/>
      <c r="AW231" s="71"/>
      <c r="AX231" s="71"/>
      <c r="AY231" s="71">
        <f>IFERROR(__xludf.DUMMYFUNCTION("""COMPUTED_VALUE"""),143.0)</f>
        <v>143</v>
      </c>
      <c r="AZ231" s="71">
        <f>IFERROR(__xludf.DUMMYFUNCTION("""COMPUTED_VALUE"""),154.0)</f>
        <v>154</v>
      </c>
      <c r="BA231" s="71">
        <f>IFERROR(__xludf.DUMMYFUNCTION("""COMPUTED_VALUE"""),166.32000000000002)</f>
        <v>166.32</v>
      </c>
      <c r="BB231" s="71">
        <f>IFERROR(__xludf.DUMMYFUNCTION("""COMPUTED_VALUE"""),166.32000000000002)</f>
        <v>166.32</v>
      </c>
      <c r="BC231" s="71">
        <f>IFERROR(__xludf.DUMMYFUNCTION("""COMPUTED_VALUE"""),192.0)</f>
        <v>192</v>
      </c>
      <c r="BD231" s="71">
        <f>IFERROR(__xludf.DUMMYFUNCTION("""COMPUTED_VALUE"""),202.0)</f>
        <v>202</v>
      </c>
      <c r="BE231" s="71">
        <f>IFERROR(__xludf.DUMMYFUNCTION("""COMPUTED_VALUE"""),32.32)</f>
        <v>32.32</v>
      </c>
      <c r="BF231" s="71">
        <f>IFERROR(__xludf.DUMMYFUNCTION("""COMPUTED_VALUE"""),234.32)</f>
        <v>234.32</v>
      </c>
      <c r="BG231" s="71">
        <f>IFERROR(__xludf.DUMMYFUNCTION("""COMPUTED_VALUE"""),0.052083333333333336)</f>
        <v>0.05208333333</v>
      </c>
      <c r="BH231" s="71">
        <f>IFERROR(__xludf.DUMMYFUNCTION("""COMPUTED_VALUE"""),191.89999999999998)</f>
        <v>191.9</v>
      </c>
      <c r="BI231" s="71">
        <f>IFERROR(__xludf.DUMMYFUNCTION("""COMPUTED_VALUE"""),30.703999999999997)</f>
        <v>30.704</v>
      </c>
      <c r="BJ231" s="71">
        <f>IFERROR(__xludf.DUMMYFUNCTION("""COMPUTED_VALUE"""),222.60399999999998)</f>
        <v>222.604</v>
      </c>
      <c r="BK231" s="71">
        <f>IFERROR(__xludf.DUMMYFUNCTION("""COMPUTED_VALUE"""),181.8)</f>
        <v>181.8</v>
      </c>
      <c r="BL231" s="71">
        <f>IFERROR(__xludf.DUMMYFUNCTION("""COMPUTED_VALUE"""),29.088)</f>
        <v>29.088</v>
      </c>
      <c r="BM231" s="71">
        <f>IFERROR(__xludf.DUMMYFUNCTION("""COMPUTED_VALUE"""),210.888)</f>
        <v>210.888</v>
      </c>
      <c r="BN231" s="71">
        <f>IFERROR(__xludf.DUMMYFUNCTION("""COMPUTED_VALUE"""),171.7)</f>
        <v>171.7</v>
      </c>
      <c r="BO231" s="71">
        <f>IFERROR(__xludf.DUMMYFUNCTION("""COMPUTED_VALUE"""),27.471999999999998)</f>
        <v>27.472</v>
      </c>
      <c r="BP231" s="71">
        <f>IFERROR(__xludf.DUMMYFUNCTION("""COMPUTED_VALUE"""),199.172)</f>
        <v>199.172</v>
      </c>
      <c r="BQ231" s="71">
        <f>IFERROR(__xludf.DUMMYFUNCTION("""COMPUTED_VALUE"""),167.66)</f>
        <v>167.66</v>
      </c>
      <c r="BR231" s="71">
        <f>IFERROR(__xludf.DUMMYFUNCTION("""COMPUTED_VALUE"""),26.8256)</f>
        <v>26.8256</v>
      </c>
      <c r="BS231" s="71">
        <f>IFERROR(__xludf.DUMMYFUNCTION("""COMPUTED_VALUE"""),194.4856)</f>
        <v>194.4856</v>
      </c>
      <c r="BT231" s="71">
        <f>IFERROR(__xludf.DUMMYFUNCTION("""COMPUTED_VALUE"""),161.60000000000002)</f>
        <v>161.6</v>
      </c>
      <c r="BU231" s="71">
        <f>IFERROR(__xludf.DUMMYFUNCTION("""COMPUTED_VALUE"""),25.856000000000005)</f>
        <v>25.856</v>
      </c>
      <c r="BV231" s="71">
        <f>IFERROR(__xludf.DUMMYFUNCTION("""COMPUTED_VALUE"""),187.45600000000002)</f>
        <v>187.456</v>
      </c>
    </row>
    <row r="232">
      <c r="A232" s="53">
        <v>1.0</v>
      </c>
      <c r="B232" s="72"/>
      <c r="C232" s="73" t="s">
        <v>12</v>
      </c>
      <c r="D232" s="74" t="s">
        <v>565</v>
      </c>
      <c r="E232" s="54" t="s">
        <v>38</v>
      </c>
      <c r="F232" s="54" t="s">
        <v>42</v>
      </c>
      <c r="G232" s="88" t="s">
        <v>566</v>
      </c>
      <c r="H232" s="54" t="s">
        <v>566</v>
      </c>
      <c r="I232" s="54">
        <f t="shared" si="1"/>
        <v>26</v>
      </c>
      <c r="J232" s="56"/>
      <c r="K232" s="75"/>
      <c r="L232" s="76"/>
      <c r="M232" s="59"/>
      <c r="N232" s="60">
        <v>231.0</v>
      </c>
      <c r="O232" s="61">
        <v>249.0</v>
      </c>
      <c r="P232" s="62">
        <v>268.92</v>
      </c>
      <c r="Q232" s="63">
        <v>268.92</v>
      </c>
      <c r="R232" s="64">
        <v>301.0</v>
      </c>
      <c r="S232" s="111">
        <v>316.0</v>
      </c>
      <c r="T232" s="65">
        <f t="shared" si="2"/>
        <v>50.56</v>
      </c>
      <c r="U232" s="65">
        <f t="shared" si="3"/>
        <v>366.56</v>
      </c>
      <c r="V232" s="66">
        <f t="shared" si="4"/>
        <v>0.04983388704</v>
      </c>
      <c r="W232" s="67">
        <f t="shared" si="5"/>
        <v>300.2</v>
      </c>
      <c r="X232" s="67">
        <f t="shared" si="6"/>
        <v>48.032</v>
      </c>
      <c r="Y232" s="67">
        <f t="shared" si="7"/>
        <v>348.232</v>
      </c>
      <c r="Z232" s="67">
        <f t="shared" si="8"/>
        <v>284.4</v>
      </c>
      <c r="AA232" s="67">
        <f t="shared" si="9"/>
        <v>45.504</v>
      </c>
      <c r="AB232" s="67">
        <f t="shared" si="10"/>
        <v>329.904</v>
      </c>
      <c r="AC232" s="67">
        <f t="shared" si="11"/>
        <v>268.6</v>
      </c>
      <c r="AD232" s="67">
        <f t="shared" si="12"/>
        <v>42.976</v>
      </c>
      <c r="AE232" s="67">
        <f t="shared" si="13"/>
        <v>311.576</v>
      </c>
      <c r="AF232" s="67">
        <f t="shared" si="14"/>
        <v>262.28</v>
      </c>
      <c r="AG232" s="67">
        <f t="shared" si="15"/>
        <v>41.9648</v>
      </c>
      <c r="AH232" s="67">
        <f t="shared" si="16"/>
        <v>304.2448</v>
      </c>
      <c r="AI232" s="67">
        <f t="shared" si="17"/>
        <v>252.8</v>
      </c>
      <c r="AJ232" s="68">
        <f t="shared" si="20"/>
        <v>40.448</v>
      </c>
      <c r="AK232" s="68">
        <f t="shared" si="21"/>
        <v>293.248</v>
      </c>
      <c r="AL232" s="70">
        <f>IFERROR(__xludf.DUMMYFUNCTION("""COMPUTED_VALUE"""),1.0)</f>
        <v>1</v>
      </c>
      <c r="AM232" s="70"/>
      <c r="AN232" s="71" t="str">
        <f>IFERROR(__xludf.DUMMYFUNCTION("""COMPUTED_VALUE""")," P")</f>
        <v>P</v>
      </c>
      <c r="AO232" s="71" t="str">
        <f>IFERROR(__xludf.DUMMYFUNCTION("""COMPUTED_VALUE""")," BJ07")</f>
        <v>BJ07</v>
      </c>
      <c r="AP232" s="71" t="str">
        <f>IFERROR(__xludf.DUMMYFUNCTION("""COMPUTED_VALUE""")," PZA")</f>
        <v>PZA</v>
      </c>
      <c r="AQ232" s="71" t="str">
        <f>IFERROR(__xludf.DUMMYFUNCTION("""COMPUTED_VALUE""")," REF")</f>
        <v>REF</v>
      </c>
      <c r="AR232" s="71" t="str">
        <f>IFERROR(__xludf.DUMMYFUNCTION("""COMPUTED_VALUE""")," BUJE DE BRONCE DE CENTRO DÚPLEX PARA BASE INFERIOR")</f>
        <v>BUJE DE BRONCE DE CENTRO DÚPLEX PARA BASE INFERIOR</v>
      </c>
      <c r="AS232" s="71" t="str">
        <f>IFERROR(__xludf.DUMMYFUNCTION("""COMPUTED_VALUE""")," BUJE BRONCE DE CENTRO DPLX PARA BASE INF")</f>
        <v>BUJE BRONCE DE CENTRO DPLX PARA BASE INF</v>
      </c>
      <c r="AT232" s="71">
        <f>IFERROR(__xludf.DUMMYFUNCTION("""COMPUTED_VALUE"""),40.0)</f>
        <v>40</v>
      </c>
      <c r="AU232" s="71"/>
      <c r="AV232" s="71"/>
      <c r="AW232" s="71"/>
      <c r="AX232" s="71"/>
      <c r="AY232" s="71">
        <f>IFERROR(__xludf.DUMMYFUNCTION("""COMPUTED_VALUE"""),246.0)</f>
        <v>246</v>
      </c>
      <c r="AZ232" s="71">
        <f>IFERROR(__xludf.DUMMYFUNCTION("""COMPUTED_VALUE"""),274.0)</f>
        <v>274</v>
      </c>
      <c r="BA232" s="71">
        <f>IFERROR(__xludf.DUMMYFUNCTION("""COMPUTED_VALUE"""),295.92)</f>
        <v>295.92</v>
      </c>
      <c r="BB232" s="71">
        <f>IFERROR(__xludf.DUMMYFUNCTION("""COMPUTED_VALUE"""),295.92)</f>
        <v>295.92</v>
      </c>
      <c r="BC232" s="71">
        <f>IFERROR(__xludf.DUMMYFUNCTION("""COMPUTED_VALUE"""),340.0)</f>
        <v>340</v>
      </c>
      <c r="BD232" s="71">
        <f>IFERROR(__xludf.DUMMYFUNCTION("""COMPUTED_VALUE"""),357.0)</f>
        <v>357</v>
      </c>
      <c r="BE232" s="71">
        <f>IFERROR(__xludf.DUMMYFUNCTION("""COMPUTED_VALUE"""),57.120000000000005)</f>
        <v>57.12</v>
      </c>
      <c r="BF232" s="71">
        <f>IFERROR(__xludf.DUMMYFUNCTION("""COMPUTED_VALUE"""),414.12)</f>
        <v>414.12</v>
      </c>
      <c r="BG232" s="71">
        <f>IFERROR(__xludf.DUMMYFUNCTION("""COMPUTED_VALUE"""),0.05)</f>
        <v>0.05</v>
      </c>
      <c r="BH232" s="71">
        <f>IFERROR(__xludf.DUMMYFUNCTION("""COMPUTED_VALUE"""),339.15)</f>
        <v>339.15</v>
      </c>
      <c r="BI232" s="71">
        <f>IFERROR(__xludf.DUMMYFUNCTION("""COMPUTED_VALUE"""),54.263999999999996)</f>
        <v>54.264</v>
      </c>
      <c r="BJ232" s="71">
        <f>IFERROR(__xludf.DUMMYFUNCTION("""COMPUTED_VALUE"""),393.414)</f>
        <v>393.414</v>
      </c>
      <c r="BK232" s="71">
        <f>IFERROR(__xludf.DUMMYFUNCTION("""COMPUTED_VALUE"""),321.3)</f>
        <v>321.3</v>
      </c>
      <c r="BL232" s="71">
        <f>IFERROR(__xludf.DUMMYFUNCTION("""COMPUTED_VALUE"""),51.408)</f>
        <v>51.408</v>
      </c>
      <c r="BM232" s="71">
        <f>IFERROR(__xludf.DUMMYFUNCTION("""COMPUTED_VALUE"""),372.708)</f>
        <v>372.708</v>
      </c>
      <c r="BN232" s="71">
        <f>IFERROR(__xludf.DUMMYFUNCTION("""COMPUTED_VALUE"""),303.45)</f>
        <v>303.45</v>
      </c>
      <c r="BO232" s="71">
        <f>IFERROR(__xludf.DUMMYFUNCTION("""COMPUTED_VALUE"""),48.552)</f>
        <v>48.552</v>
      </c>
      <c r="BP232" s="71">
        <f>IFERROR(__xludf.DUMMYFUNCTION("""COMPUTED_VALUE"""),352.002)</f>
        <v>352.002</v>
      </c>
      <c r="BQ232" s="71">
        <f>IFERROR(__xludf.DUMMYFUNCTION("""COMPUTED_VALUE"""),296.31)</f>
        <v>296.31</v>
      </c>
      <c r="BR232" s="71">
        <f>IFERROR(__xludf.DUMMYFUNCTION("""COMPUTED_VALUE"""),47.409600000000005)</f>
        <v>47.4096</v>
      </c>
      <c r="BS232" s="71">
        <f>IFERROR(__xludf.DUMMYFUNCTION("""COMPUTED_VALUE"""),343.7196)</f>
        <v>343.7196</v>
      </c>
      <c r="BT232" s="71">
        <f>IFERROR(__xludf.DUMMYFUNCTION("""COMPUTED_VALUE"""),285.6)</f>
        <v>285.6</v>
      </c>
      <c r="BU232" s="71">
        <f>IFERROR(__xludf.DUMMYFUNCTION("""COMPUTED_VALUE"""),45.696000000000005)</f>
        <v>45.696</v>
      </c>
      <c r="BV232" s="71">
        <f>IFERROR(__xludf.DUMMYFUNCTION("""COMPUTED_VALUE"""),331.29600000000005)</f>
        <v>331.296</v>
      </c>
    </row>
    <row r="233">
      <c r="A233" s="53"/>
      <c r="B233" s="53"/>
      <c r="C233" s="53" t="s">
        <v>12</v>
      </c>
      <c r="D233" s="53" t="s">
        <v>567</v>
      </c>
      <c r="E233" s="54" t="s">
        <v>38</v>
      </c>
      <c r="F233" s="54" t="s">
        <v>42</v>
      </c>
      <c r="G233" s="55" t="s">
        <v>568</v>
      </c>
      <c r="H233" s="54" t="s">
        <v>568</v>
      </c>
      <c r="I233" s="54">
        <f t="shared" si="1"/>
        <v>26</v>
      </c>
      <c r="J233" s="56"/>
      <c r="K233" s="57"/>
      <c r="L233" s="76"/>
      <c r="M233" s="59"/>
      <c r="N233" s="79">
        <v>222.0</v>
      </c>
      <c r="O233" s="61">
        <v>239.0</v>
      </c>
      <c r="P233" s="63">
        <v>258.12</v>
      </c>
      <c r="Q233" s="63">
        <v>258.12</v>
      </c>
      <c r="R233" s="64">
        <v>271.0</v>
      </c>
      <c r="S233" s="111">
        <v>285.0</v>
      </c>
      <c r="T233" s="65">
        <f t="shared" si="2"/>
        <v>45.6</v>
      </c>
      <c r="U233" s="65">
        <f t="shared" si="3"/>
        <v>330.6</v>
      </c>
      <c r="V233" s="66">
        <f t="shared" si="4"/>
        <v>0.05166051661</v>
      </c>
      <c r="W233" s="67">
        <f t="shared" si="5"/>
        <v>270.75</v>
      </c>
      <c r="X233" s="67">
        <f t="shared" si="6"/>
        <v>43.32</v>
      </c>
      <c r="Y233" s="67">
        <f t="shared" si="7"/>
        <v>314.07</v>
      </c>
      <c r="Z233" s="67">
        <f t="shared" si="8"/>
        <v>256.5</v>
      </c>
      <c r="AA233" s="67">
        <f t="shared" si="9"/>
        <v>41.04</v>
      </c>
      <c r="AB233" s="67">
        <f t="shared" si="10"/>
        <v>297.54</v>
      </c>
      <c r="AC233" s="67">
        <f t="shared" si="11"/>
        <v>242.25</v>
      </c>
      <c r="AD233" s="67">
        <f t="shared" si="12"/>
        <v>38.76</v>
      </c>
      <c r="AE233" s="67">
        <f t="shared" si="13"/>
        <v>281.01</v>
      </c>
      <c r="AF233" s="67">
        <f t="shared" si="14"/>
        <v>236.55</v>
      </c>
      <c r="AG233" s="67">
        <f t="shared" si="15"/>
        <v>37.848</v>
      </c>
      <c r="AH233" s="67">
        <f t="shared" si="16"/>
        <v>274.398</v>
      </c>
      <c r="AI233" s="67">
        <f t="shared" si="17"/>
        <v>228</v>
      </c>
      <c r="AJ233" s="68">
        <f t="shared" si="20"/>
        <v>36.48</v>
      </c>
      <c r="AK233" s="68">
        <f t="shared" si="21"/>
        <v>264.48</v>
      </c>
      <c r="AL233" s="70">
        <f>IFERROR(__xludf.DUMMYFUNCTION("""COMPUTED_VALUE"""),1.0)</f>
        <v>1</v>
      </c>
      <c r="AM233" s="70"/>
      <c r="AN233" s="71" t="str">
        <f>IFERROR(__xludf.DUMMYFUNCTION("""COMPUTED_VALUE""")," P")</f>
        <v>P</v>
      </c>
      <c r="AO233" s="71" t="str">
        <f>IFERROR(__xludf.DUMMYFUNCTION("""COMPUTED_VALUE""")," BJ08")</f>
        <v>BJ08</v>
      </c>
      <c r="AP233" s="71" t="str">
        <f>IFERROR(__xludf.DUMMYFUNCTION("""COMPUTED_VALUE""")," PZA")</f>
        <v>PZA</v>
      </c>
      <c r="AQ233" s="71" t="str">
        <f>IFERROR(__xludf.DUMMYFUNCTION("""COMPUTED_VALUE""")," REF")</f>
        <v>REF</v>
      </c>
      <c r="AR233" s="71" t="str">
        <f>IFERROR(__xludf.DUMMYFUNCTION("""COMPUTED_VALUE""")," BUJE DE BRONCE DE CENTRO SENCILLO PARA BASE INFERIOR")</f>
        <v>BUJE DE BRONCE DE CENTRO SENCILLO PARA BASE INFERIOR</v>
      </c>
      <c r="AS233" s="71" t="str">
        <f>IFERROR(__xludf.DUMMYFUNCTION("""COMPUTED_VALUE""")," BUJE BRONCE DE CENTRO SENC P/BASE INF")</f>
        <v>BUJE BRONCE DE CENTRO SENC P/BASE INF</v>
      </c>
      <c r="AT233" s="71">
        <f>IFERROR(__xludf.DUMMYFUNCTION("""COMPUTED_VALUE"""),37.0)</f>
        <v>37</v>
      </c>
      <c r="AU233" s="71"/>
      <c r="AV233" s="71"/>
      <c r="AW233" s="71"/>
      <c r="AX233" s="71"/>
      <c r="AY233" s="71">
        <f>IFERROR(__xludf.DUMMYFUNCTION("""COMPUTED_VALUE"""),246.0)</f>
        <v>246</v>
      </c>
      <c r="AZ233" s="71">
        <f>IFERROR(__xludf.DUMMYFUNCTION("""COMPUTED_VALUE"""),274.0)</f>
        <v>274</v>
      </c>
      <c r="BA233" s="71">
        <f>IFERROR(__xludf.DUMMYFUNCTION("""COMPUTED_VALUE"""),295.92)</f>
        <v>295.92</v>
      </c>
      <c r="BB233" s="71">
        <f>IFERROR(__xludf.DUMMYFUNCTION("""COMPUTED_VALUE"""),295.92)</f>
        <v>295.92</v>
      </c>
      <c r="BC233" s="71">
        <f>IFERROR(__xludf.DUMMYFUNCTION("""COMPUTED_VALUE"""),340.0)</f>
        <v>340</v>
      </c>
      <c r="BD233" s="71">
        <f>IFERROR(__xludf.DUMMYFUNCTION("""COMPUTED_VALUE"""),357.0)</f>
        <v>357</v>
      </c>
      <c r="BE233" s="71">
        <f>IFERROR(__xludf.DUMMYFUNCTION("""COMPUTED_VALUE"""),57.120000000000005)</f>
        <v>57.12</v>
      </c>
      <c r="BF233" s="71">
        <f>IFERROR(__xludf.DUMMYFUNCTION("""COMPUTED_VALUE"""),414.12)</f>
        <v>414.12</v>
      </c>
      <c r="BG233" s="71">
        <f>IFERROR(__xludf.DUMMYFUNCTION("""COMPUTED_VALUE"""),0.05)</f>
        <v>0.05</v>
      </c>
      <c r="BH233" s="71">
        <f>IFERROR(__xludf.DUMMYFUNCTION("""COMPUTED_VALUE"""),339.15)</f>
        <v>339.15</v>
      </c>
      <c r="BI233" s="71">
        <f>IFERROR(__xludf.DUMMYFUNCTION("""COMPUTED_VALUE"""),54.263999999999996)</f>
        <v>54.264</v>
      </c>
      <c r="BJ233" s="71">
        <f>IFERROR(__xludf.DUMMYFUNCTION("""COMPUTED_VALUE"""),393.414)</f>
        <v>393.414</v>
      </c>
      <c r="BK233" s="71">
        <f>IFERROR(__xludf.DUMMYFUNCTION("""COMPUTED_VALUE"""),321.3)</f>
        <v>321.3</v>
      </c>
      <c r="BL233" s="71">
        <f>IFERROR(__xludf.DUMMYFUNCTION("""COMPUTED_VALUE"""),51.408)</f>
        <v>51.408</v>
      </c>
      <c r="BM233" s="71">
        <f>IFERROR(__xludf.DUMMYFUNCTION("""COMPUTED_VALUE"""),372.708)</f>
        <v>372.708</v>
      </c>
      <c r="BN233" s="71">
        <f>IFERROR(__xludf.DUMMYFUNCTION("""COMPUTED_VALUE"""),303.45)</f>
        <v>303.45</v>
      </c>
      <c r="BO233" s="71">
        <f>IFERROR(__xludf.DUMMYFUNCTION("""COMPUTED_VALUE"""),48.552)</f>
        <v>48.552</v>
      </c>
      <c r="BP233" s="71">
        <f>IFERROR(__xludf.DUMMYFUNCTION("""COMPUTED_VALUE"""),352.002)</f>
        <v>352.002</v>
      </c>
      <c r="BQ233" s="71">
        <f>IFERROR(__xludf.DUMMYFUNCTION("""COMPUTED_VALUE"""),296.31)</f>
        <v>296.31</v>
      </c>
      <c r="BR233" s="71">
        <f>IFERROR(__xludf.DUMMYFUNCTION("""COMPUTED_VALUE"""),47.409600000000005)</f>
        <v>47.4096</v>
      </c>
      <c r="BS233" s="71">
        <f>IFERROR(__xludf.DUMMYFUNCTION("""COMPUTED_VALUE"""),343.7196)</f>
        <v>343.7196</v>
      </c>
      <c r="BT233" s="71">
        <f>IFERROR(__xludf.DUMMYFUNCTION("""COMPUTED_VALUE"""),285.6)</f>
        <v>285.6</v>
      </c>
      <c r="BU233" s="71">
        <f>IFERROR(__xludf.DUMMYFUNCTION("""COMPUTED_VALUE"""),45.696000000000005)</f>
        <v>45.696</v>
      </c>
      <c r="BV233" s="71">
        <f>IFERROR(__xludf.DUMMYFUNCTION("""COMPUTED_VALUE"""),331.29600000000005)</f>
        <v>331.296</v>
      </c>
    </row>
    <row r="234">
      <c r="A234" s="53">
        <v>1.0</v>
      </c>
      <c r="B234" s="72"/>
      <c r="C234" s="73" t="s">
        <v>12</v>
      </c>
      <c r="D234" s="53" t="s">
        <v>569</v>
      </c>
      <c r="E234" s="54" t="s">
        <v>38</v>
      </c>
      <c r="F234" s="54" t="s">
        <v>42</v>
      </c>
      <c r="G234" s="88" t="s">
        <v>570</v>
      </c>
      <c r="H234" s="54" t="s">
        <v>570</v>
      </c>
      <c r="I234" s="54">
        <f t="shared" si="1"/>
        <v>26</v>
      </c>
      <c r="J234" s="56"/>
      <c r="K234" s="57"/>
      <c r="L234" s="87"/>
      <c r="M234" s="59"/>
      <c r="N234" s="60">
        <v>231.0</v>
      </c>
      <c r="O234" s="61">
        <v>249.0</v>
      </c>
      <c r="P234" s="62">
        <v>268.92</v>
      </c>
      <c r="Q234" s="63">
        <v>268.92</v>
      </c>
      <c r="R234" s="64">
        <v>301.0</v>
      </c>
      <c r="S234" s="111">
        <v>316.0</v>
      </c>
      <c r="T234" s="65">
        <f t="shared" si="2"/>
        <v>50.56</v>
      </c>
      <c r="U234" s="65">
        <f t="shared" si="3"/>
        <v>366.56</v>
      </c>
      <c r="V234" s="66">
        <f t="shared" si="4"/>
        <v>0.04983388704</v>
      </c>
      <c r="W234" s="67">
        <f t="shared" si="5"/>
        <v>300.2</v>
      </c>
      <c r="X234" s="67">
        <f t="shared" si="6"/>
        <v>48.032</v>
      </c>
      <c r="Y234" s="67">
        <f t="shared" si="7"/>
        <v>348.232</v>
      </c>
      <c r="Z234" s="67">
        <f t="shared" si="8"/>
        <v>284.4</v>
      </c>
      <c r="AA234" s="67">
        <f t="shared" si="9"/>
        <v>45.504</v>
      </c>
      <c r="AB234" s="67">
        <f t="shared" si="10"/>
        <v>329.904</v>
      </c>
      <c r="AC234" s="67">
        <f t="shared" si="11"/>
        <v>268.6</v>
      </c>
      <c r="AD234" s="67">
        <f t="shared" si="12"/>
        <v>42.976</v>
      </c>
      <c r="AE234" s="67">
        <f t="shared" si="13"/>
        <v>311.576</v>
      </c>
      <c r="AF234" s="67">
        <f t="shared" si="14"/>
        <v>262.28</v>
      </c>
      <c r="AG234" s="67">
        <f t="shared" si="15"/>
        <v>41.9648</v>
      </c>
      <c r="AH234" s="67">
        <f t="shared" si="16"/>
        <v>304.2448</v>
      </c>
      <c r="AI234" s="67">
        <f t="shared" si="17"/>
        <v>252.8</v>
      </c>
      <c r="AJ234" s="68">
        <f t="shared" si="20"/>
        <v>40.448</v>
      </c>
      <c r="AK234" s="68">
        <f t="shared" si="21"/>
        <v>293.248</v>
      </c>
      <c r="AL234" s="70">
        <f>IFERROR(__xludf.DUMMYFUNCTION("""COMPUTED_VALUE"""),1.0)</f>
        <v>1</v>
      </c>
      <c r="AM234" s="70"/>
      <c r="AN234" s="71" t="str">
        <f>IFERROR(__xludf.DUMMYFUNCTION("""COMPUTED_VALUE""")," P")</f>
        <v>P</v>
      </c>
      <c r="AO234" s="71" t="str">
        <f>IFERROR(__xludf.DUMMYFUNCTION("""COMPUTED_VALUE""")," BJ09")</f>
        <v>BJ09</v>
      </c>
      <c r="AP234" s="71" t="str">
        <f>IFERROR(__xludf.DUMMYFUNCTION("""COMPUTED_VALUE""")," PZA")</f>
        <v>PZA</v>
      </c>
      <c r="AQ234" s="71" t="str">
        <f>IFERROR(__xludf.DUMMYFUNCTION("""COMPUTED_VALUE""")," REF")</f>
        <v>REF</v>
      </c>
      <c r="AR234" s="71" t="str">
        <f>IFERROR(__xludf.DUMMYFUNCTION("""COMPUTED_VALUE""")," BUJE DE BRONCE MÉNSULA")</f>
        <v>BUJE DE BRONCE MÉNSULA</v>
      </c>
      <c r="AS234" s="71" t="str">
        <f>IFERROR(__xludf.DUMMYFUNCTION("""COMPUTED_VALUE""")," BUJE DE BRONCE MENSULA")</f>
        <v>BUJE DE BRONCE MENSULA</v>
      </c>
      <c r="AT234" s="71">
        <f>IFERROR(__xludf.DUMMYFUNCTION("""COMPUTED_VALUE"""),22.0)</f>
        <v>22</v>
      </c>
      <c r="AU234" s="71"/>
      <c r="AV234" s="71"/>
      <c r="AW234" s="71"/>
      <c r="AX234" s="71"/>
      <c r="AY234" s="71">
        <f>IFERROR(__xludf.DUMMYFUNCTION("""COMPUTED_VALUE"""),97.0)</f>
        <v>97</v>
      </c>
      <c r="AZ234" s="71">
        <f>IFERROR(__xludf.DUMMYFUNCTION("""COMPUTED_VALUE"""),104.0)</f>
        <v>104</v>
      </c>
      <c r="BA234" s="71">
        <f>IFERROR(__xludf.DUMMYFUNCTION("""COMPUTED_VALUE"""),112.32000000000001)</f>
        <v>112.32</v>
      </c>
      <c r="BB234" s="71">
        <f>IFERROR(__xludf.DUMMYFUNCTION("""COMPUTED_VALUE"""),112.32000000000001)</f>
        <v>112.32</v>
      </c>
      <c r="BC234" s="71">
        <f>IFERROR(__xludf.DUMMYFUNCTION("""COMPUTED_VALUE"""),126.0)</f>
        <v>126</v>
      </c>
      <c r="BD234" s="71">
        <f>IFERROR(__xludf.DUMMYFUNCTION("""COMPUTED_VALUE"""),132.0)</f>
        <v>132</v>
      </c>
      <c r="BE234" s="71">
        <f>IFERROR(__xludf.DUMMYFUNCTION("""COMPUTED_VALUE"""),21.12)</f>
        <v>21.12</v>
      </c>
      <c r="BF234" s="71">
        <f>IFERROR(__xludf.DUMMYFUNCTION("""COMPUTED_VALUE"""),153.12)</f>
        <v>153.12</v>
      </c>
      <c r="BG234" s="71">
        <f>IFERROR(__xludf.DUMMYFUNCTION("""COMPUTED_VALUE"""),0.047619047619047616)</f>
        <v>0.04761904762</v>
      </c>
      <c r="BH234" s="71">
        <f>IFERROR(__xludf.DUMMYFUNCTION("""COMPUTED_VALUE"""),125.39999999999999)</f>
        <v>125.4</v>
      </c>
      <c r="BI234" s="71">
        <f>IFERROR(__xludf.DUMMYFUNCTION("""COMPUTED_VALUE"""),20.064)</f>
        <v>20.064</v>
      </c>
      <c r="BJ234" s="71">
        <f>IFERROR(__xludf.DUMMYFUNCTION("""COMPUTED_VALUE"""),145.464)</f>
        <v>145.464</v>
      </c>
      <c r="BK234" s="71">
        <f>IFERROR(__xludf.DUMMYFUNCTION("""COMPUTED_VALUE"""),118.8)</f>
        <v>118.8</v>
      </c>
      <c r="BL234" s="71">
        <f>IFERROR(__xludf.DUMMYFUNCTION("""COMPUTED_VALUE"""),19.008)</f>
        <v>19.008</v>
      </c>
      <c r="BM234" s="71">
        <f>IFERROR(__xludf.DUMMYFUNCTION("""COMPUTED_VALUE"""),137.808)</f>
        <v>137.808</v>
      </c>
      <c r="BN234" s="71">
        <f>IFERROR(__xludf.DUMMYFUNCTION("""COMPUTED_VALUE"""),112.2)</f>
        <v>112.2</v>
      </c>
      <c r="BO234" s="71">
        <f>IFERROR(__xludf.DUMMYFUNCTION("""COMPUTED_VALUE"""),17.952)</f>
        <v>17.952</v>
      </c>
      <c r="BP234" s="71">
        <f>IFERROR(__xludf.DUMMYFUNCTION("""COMPUTED_VALUE"""),130.15200000000002)</f>
        <v>130.152</v>
      </c>
      <c r="BQ234" s="71">
        <f>IFERROR(__xludf.DUMMYFUNCTION("""COMPUTED_VALUE"""),109.55999999999999)</f>
        <v>109.56</v>
      </c>
      <c r="BR234" s="71">
        <f>IFERROR(__xludf.DUMMYFUNCTION("""COMPUTED_VALUE"""),17.5296)</f>
        <v>17.5296</v>
      </c>
      <c r="BS234" s="71">
        <f>IFERROR(__xludf.DUMMYFUNCTION("""COMPUTED_VALUE"""),127.08959999999999)</f>
        <v>127.0896</v>
      </c>
      <c r="BT234" s="71">
        <f>IFERROR(__xludf.DUMMYFUNCTION("""COMPUTED_VALUE"""),105.60000000000001)</f>
        <v>105.6</v>
      </c>
      <c r="BU234" s="71">
        <f>IFERROR(__xludf.DUMMYFUNCTION("""COMPUTED_VALUE"""),16.896)</f>
        <v>16.896</v>
      </c>
      <c r="BV234" s="71">
        <f>IFERROR(__xludf.DUMMYFUNCTION("""COMPUTED_VALUE"""),122.49600000000001)</f>
        <v>122.496</v>
      </c>
    </row>
    <row r="235">
      <c r="A235" s="53">
        <v>1.0</v>
      </c>
      <c r="B235" s="72"/>
      <c r="C235" s="73" t="s">
        <v>12</v>
      </c>
      <c r="D235" s="74" t="s">
        <v>571</v>
      </c>
      <c r="E235" s="54" t="s">
        <v>38</v>
      </c>
      <c r="F235" s="54" t="s">
        <v>42</v>
      </c>
      <c r="G235" s="88" t="s">
        <v>572</v>
      </c>
      <c r="H235" s="54" t="s">
        <v>572</v>
      </c>
      <c r="I235" s="54">
        <f t="shared" si="1"/>
        <v>30</v>
      </c>
      <c r="J235" s="56"/>
      <c r="K235" s="75"/>
      <c r="L235" s="76"/>
      <c r="M235" s="59"/>
      <c r="N235" s="60">
        <v>128.0</v>
      </c>
      <c r="O235" s="61">
        <v>154.0</v>
      </c>
      <c r="P235" s="62">
        <v>166.32000000000002</v>
      </c>
      <c r="Q235" s="63">
        <v>166.32000000000002</v>
      </c>
      <c r="R235" s="64">
        <v>186.0</v>
      </c>
      <c r="S235" s="111">
        <v>195.0</v>
      </c>
      <c r="T235" s="65">
        <f t="shared" si="2"/>
        <v>31.2</v>
      </c>
      <c r="U235" s="65">
        <f t="shared" si="3"/>
        <v>226.2</v>
      </c>
      <c r="V235" s="66">
        <f t="shared" si="4"/>
        <v>0.04838709677</v>
      </c>
      <c r="W235" s="67">
        <f t="shared" si="5"/>
        <v>185.25</v>
      </c>
      <c r="X235" s="67">
        <f t="shared" si="6"/>
        <v>29.64</v>
      </c>
      <c r="Y235" s="67">
        <f t="shared" si="7"/>
        <v>214.89</v>
      </c>
      <c r="Z235" s="67">
        <f t="shared" si="8"/>
        <v>175.5</v>
      </c>
      <c r="AA235" s="67">
        <f t="shared" si="9"/>
        <v>28.08</v>
      </c>
      <c r="AB235" s="67">
        <f t="shared" si="10"/>
        <v>203.58</v>
      </c>
      <c r="AC235" s="67">
        <f t="shared" si="11"/>
        <v>165.75</v>
      </c>
      <c r="AD235" s="67">
        <f t="shared" si="12"/>
        <v>26.52</v>
      </c>
      <c r="AE235" s="67">
        <f t="shared" si="13"/>
        <v>192.27</v>
      </c>
      <c r="AF235" s="67">
        <f t="shared" si="14"/>
        <v>161.85</v>
      </c>
      <c r="AG235" s="67">
        <f t="shared" si="15"/>
        <v>25.896</v>
      </c>
      <c r="AH235" s="67">
        <f t="shared" si="16"/>
        <v>187.746</v>
      </c>
      <c r="AI235" s="67">
        <f t="shared" si="17"/>
        <v>156</v>
      </c>
      <c r="AJ235" s="68">
        <f t="shared" si="20"/>
        <v>24.96</v>
      </c>
      <c r="AK235" s="68">
        <f t="shared" si="21"/>
        <v>180.96</v>
      </c>
      <c r="AL235" s="70">
        <f>IFERROR(__xludf.DUMMYFUNCTION("""COMPUTED_VALUE"""),1.0)</f>
        <v>1</v>
      </c>
      <c r="AM235" s="70"/>
      <c r="AN235" s="71" t="str">
        <f>IFERROR(__xludf.DUMMYFUNCTION("""COMPUTED_VALUE""")," P")</f>
        <v>P</v>
      </c>
      <c r="AO235" s="71" t="str">
        <f>IFERROR(__xludf.DUMMYFUNCTION("""COMPUTED_VALUE""")," BJ05")</f>
        <v>BJ05</v>
      </c>
      <c r="AP235" s="71" t="str">
        <f>IFERROR(__xludf.DUMMYFUNCTION("""COMPUTED_VALUE""")," PZA")</f>
        <v>PZA</v>
      </c>
      <c r="AQ235" s="71" t="str">
        <f>IFERROR(__xludf.DUMMYFUNCTION("""COMPUTED_VALUE""")," REF")</f>
        <v>REF</v>
      </c>
      <c r="AR235" s="71" t="str">
        <f>IFERROR(__xludf.DUMMYFUNCTION("""COMPUTED_VALUE""")," BUJE DE BRONCE PARA BASE DE ALUMINIO ESPECIAL (CASQUILLO)")</f>
        <v>BUJE DE BRONCE PARA BASE DE ALUMINIO ESPECIAL (CASQUILLO)</v>
      </c>
      <c r="AS235" s="71" t="str">
        <f>IFERROR(__xludf.DUMMYFUNCTION("""COMPUTED_VALUE""")," BUJE BRONCE P/BASE ALUM ESP CASQUILLO")</f>
        <v>BUJE BRONCE P/BASE ALUM ESP CASQUILLO</v>
      </c>
      <c r="AT235" s="71">
        <f>IFERROR(__xludf.DUMMYFUNCTION("""COMPUTED_VALUE"""),37.0)</f>
        <v>37</v>
      </c>
      <c r="AU235" s="71"/>
      <c r="AV235" s="71"/>
      <c r="AW235" s="71"/>
      <c r="AX235" s="71"/>
      <c r="AY235" s="71">
        <f>IFERROR(__xludf.DUMMYFUNCTION("""COMPUTED_VALUE"""),533.0)</f>
        <v>533</v>
      </c>
      <c r="AZ235" s="71">
        <f>IFERROR(__xludf.DUMMYFUNCTION("""COMPUTED_VALUE"""),575.0)</f>
        <v>575</v>
      </c>
      <c r="BA235" s="71">
        <f>IFERROR(__xludf.DUMMYFUNCTION("""COMPUTED_VALUE"""),621.0)</f>
        <v>621</v>
      </c>
      <c r="BB235" s="71">
        <f>IFERROR(__xludf.DUMMYFUNCTION("""COMPUTED_VALUE"""),621.0)</f>
        <v>621</v>
      </c>
      <c r="BC235" s="71">
        <f>IFERROR(__xludf.DUMMYFUNCTION("""COMPUTED_VALUE"""),692.0)</f>
        <v>692</v>
      </c>
      <c r="BD235" s="71">
        <f>IFERROR(__xludf.DUMMYFUNCTION("""COMPUTED_VALUE"""),727.0)</f>
        <v>727</v>
      </c>
      <c r="BE235" s="71">
        <f>IFERROR(__xludf.DUMMYFUNCTION("""COMPUTED_VALUE"""),116.32000000000001)</f>
        <v>116.32</v>
      </c>
      <c r="BF235" s="71">
        <f>IFERROR(__xludf.DUMMYFUNCTION("""COMPUTED_VALUE"""),843.32)</f>
        <v>843.32</v>
      </c>
      <c r="BG235" s="71">
        <f>IFERROR(__xludf.DUMMYFUNCTION("""COMPUTED_VALUE"""),0.05057803468208093)</f>
        <v>0.05057803468</v>
      </c>
      <c r="BH235" s="71">
        <f>IFERROR(__xludf.DUMMYFUNCTION("""COMPUTED_VALUE"""),690.65)</f>
        <v>690.65</v>
      </c>
      <c r="BI235" s="71">
        <f>IFERROR(__xludf.DUMMYFUNCTION("""COMPUTED_VALUE"""),110.504)</f>
        <v>110.504</v>
      </c>
      <c r="BJ235" s="71">
        <f>IFERROR(__xludf.DUMMYFUNCTION("""COMPUTED_VALUE"""),801.154)</f>
        <v>801.154</v>
      </c>
      <c r="BK235" s="71">
        <f>IFERROR(__xludf.DUMMYFUNCTION("""COMPUTED_VALUE"""),654.3000000000001)</f>
        <v>654.3</v>
      </c>
      <c r="BL235" s="71">
        <f>IFERROR(__xludf.DUMMYFUNCTION("""COMPUTED_VALUE"""),104.68800000000002)</f>
        <v>104.688</v>
      </c>
      <c r="BM235" s="71">
        <f>IFERROR(__xludf.DUMMYFUNCTION("""COMPUTED_VALUE"""),758.988)</f>
        <v>758.988</v>
      </c>
      <c r="BN235" s="71">
        <f>IFERROR(__xludf.DUMMYFUNCTION("""COMPUTED_VALUE"""),617.9499999999999)</f>
        <v>617.95</v>
      </c>
      <c r="BO235" s="71">
        <f>IFERROR(__xludf.DUMMYFUNCTION("""COMPUTED_VALUE"""),98.87199999999999)</f>
        <v>98.872</v>
      </c>
      <c r="BP235" s="71">
        <f>IFERROR(__xludf.DUMMYFUNCTION("""COMPUTED_VALUE"""),716.8219999999999)</f>
        <v>716.822</v>
      </c>
      <c r="BQ235" s="71">
        <f>IFERROR(__xludf.DUMMYFUNCTION("""COMPUTED_VALUE"""),603.41)</f>
        <v>603.41</v>
      </c>
      <c r="BR235" s="71">
        <f>IFERROR(__xludf.DUMMYFUNCTION("""COMPUTED_VALUE"""),96.5456)</f>
        <v>96.5456</v>
      </c>
      <c r="BS235" s="71">
        <f>IFERROR(__xludf.DUMMYFUNCTION("""COMPUTED_VALUE"""),699.9556)</f>
        <v>699.9556</v>
      </c>
      <c r="BT235" s="71">
        <f>IFERROR(__xludf.DUMMYFUNCTION("""COMPUTED_VALUE"""),581.6)</f>
        <v>581.6</v>
      </c>
      <c r="BU235" s="71">
        <f>IFERROR(__xludf.DUMMYFUNCTION("""COMPUTED_VALUE"""),93.05600000000001)</f>
        <v>93.056</v>
      </c>
      <c r="BV235" s="71">
        <f>IFERROR(__xludf.DUMMYFUNCTION("""COMPUTED_VALUE"""),674.6560000000001)</f>
        <v>674.656</v>
      </c>
    </row>
    <row r="236">
      <c r="A236" s="53">
        <v>1.0</v>
      </c>
      <c r="B236" s="72"/>
      <c r="C236" s="73" t="s">
        <v>12</v>
      </c>
      <c r="D236" s="74" t="s">
        <v>573</v>
      </c>
      <c r="E236" s="54" t="s">
        <v>38</v>
      </c>
      <c r="F236" s="54" t="s">
        <v>42</v>
      </c>
      <c r="G236" s="88" t="s">
        <v>574</v>
      </c>
      <c r="H236" s="54" t="s">
        <v>574</v>
      </c>
      <c r="I236" s="54">
        <f t="shared" si="1"/>
        <v>26</v>
      </c>
      <c r="J236" s="56"/>
      <c r="K236" s="75"/>
      <c r="L236" s="76"/>
      <c r="M236" s="59"/>
      <c r="N236" s="60">
        <v>243.0</v>
      </c>
      <c r="O236" s="61">
        <v>262.0</v>
      </c>
      <c r="P236" s="62">
        <v>282.96000000000004</v>
      </c>
      <c r="Q236" s="63">
        <v>282.96000000000004</v>
      </c>
      <c r="R236" s="64">
        <v>315.0</v>
      </c>
      <c r="S236" s="111">
        <v>331.0</v>
      </c>
      <c r="T236" s="65">
        <f t="shared" si="2"/>
        <v>52.96</v>
      </c>
      <c r="U236" s="65">
        <f t="shared" si="3"/>
        <v>383.96</v>
      </c>
      <c r="V236" s="66">
        <f t="shared" si="4"/>
        <v>0.05079365079</v>
      </c>
      <c r="W236" s="67">
        <f t="shared" si="5"/>
        <v>314.45</v>
      </c>
      <c r="X236" s="67">
        <f t="shared" si="6"/>
        <v>50.312</v>
      </c>
      <c r="Y236" s="67">
        <f t="shared" si="7"/>
        <v>364.762</v>
      </c>
      <c r="Z236" s="67">
        <f t="shared" si="8"/>
        <v>297.9</v>
      </c>
      <c r="AA236" s="67">
        <f t="shared" si="9"/>
        <v>47.664</v>
      </c>
      <c r="AB236" s="67">
        <f t="shared" si="10"/>
        <v>345.564</v>
      </c>
      <c r="AC236" s="67">
        <f t="shared" si="11"/>
        <v>281.35</v>
      </c>
      <c r="AD236" s="67">
        <f t="shared" si="12"/>
        <v>45.016</v>
      </c>
      <c r="AE236" s="67">
        <f t="shared" si="13"/>
        <v>326.366</v>
      </c>
      <c r="AF236" s="67">
        <f t="shared" si="14"/>
        <v>274.73</v>
      </c>
      <c r="AG236" s="67">
        <f t="shared" si="15"/>
        <v>43.9568</v>
      </c>
      <c r="AH236" s="67">
        <f t="shared" si="16"/>
        <v>318.6868</v>
      </c>
      <c r="AI236" s="67">
        <f t="shared" si="17"/>
        <v>264.8</v>
      </c>
      <c r="AJ236" s="68">
        <f t="shared" si="20"/>
        <v>42.368</v>
      </c>
      <c r="AK236" s="68">
        <f t="shared" si="21"/>
        <v>307.168</v>
      </c>
      <c r="AL236" s="70">
        <f>IFERROR(__xludf.DUMMYFUNCTION("""COMPUTED_VALUE"""),1.0)</f>
        <v>1</v>
      </c>
      <c r="AM236" s="70"/>
      <c r="AN236" s="71" t="str">
        <f>IFERROR(__xludf.DUMMYFUNCTION("""COMPUTED_VALUE""")," P")</f>
        <v>P</v>
      </c>
      <c r="AO236" s="71" t="str">
        <f>IFERROR(__xludf.DUMMYFUNCTION("""COMPUTED_VALUE""")," BJ04")</f>
        <v>BJ04</v>
      </c>
      <c r="AP236" s="71" t="str">
        <f>IFERROR(__xludf.DUMMYFUNCTION("""COMPUTED_VALUE""")," PZA")</f>
        <v>PZA</v>
      </c>
      <c r="AQ236" s="71" t="str">
        <f>IFERROR(__xludf.DUMMYFUNCTION("""COMPUTED_VALUE""")," REF")</f>
        <v>REF</v>
      </c>
      <c r="AR236" s="71" t="str">
        <f>IFERROR(__xludf.DUMMYFUNCTION("""COMPUTED_VALUE""")," BUJE DE BRONCE PARA BASE DE ALUMINIO NORMAL (CASQUILLO)")</f>
        <v>BUJE DE BRONCE PARA BASE DE ALUMINIO NORMAL (CASQUILLO)</v>
      </c>
      <c r="AS236" s="71" t="str">
        <f>IFERROR(__xludf.DUMMYFUNCTION("""COMPUTED_VALUE""")," BUJE BRONCE P/BASE ALUM NORM CASQUILLO")</f>
        <v>BUJE BRONCE P/BASE ALUM NORM CASQUILLO</v>
      </c>
      <c r="AT236" s="71">
        <f>IFERROR(__xludf.DUMMYFUNCTION("""COMPUTED_VALUE"""),38.0)</f>
        <v>38</v>
      </c>
      <c r="AU236" s="71"/>
      <c r="AV236" s="71"/>
      <c r="AW236" s="71"/>
      <c r="AX236" s="71"/>
      <c r="AY236" s="71">
        <f>IFERROR(__xludf.DUMMYFUNCTION("""COMPUTED_VALUE"""),533.0)</f>
        <v>533</v>
      </c>
      <c r="AZ236" s="71">
        <f>IFERROR(__xludf.DUMMYFUNCTION("""COMPUTED_VALUE"""),575.0)</f>
        <v>575</v>
      </c>
      <c r="BA236" s="71">
        <f>IFERROR(__xludf.DUMMYFUNCTION("""COMPUTED_VALUE"""),621.0)</f>
        <v>621</v>
      </c>
      <c r="BB236" s="71">
        <f>IFERROR(__xludf.DUMMYFUNCTION("""COMPUTED_VALUE"""),621.0)</f>
        <v>621</v>
      </c>
      <c r="BC236" s="71">
        <f>IFERROR(__xludf.DUMMYFUNCTION("""COMPUTED_VALUE"""),692.0)</f>
        <v>692</v>
      </c>
      <c r="BD236" s="71">
        <f>IFERROR(__xludf.DUMMYFUNCTION("""COMPUTED_VALUE"""),727.0)</f>
        <v>727</v>
      </c>
      <c r="BE236" s="71">
        <f>IFERROR(__xludf.DUMMYFUNCTION("""COMPUTED_VALUE"""),116.32000000000001)</f>
        <v>116.32</v>
      </c>
      <c r="BF236" s="71">
        <f>IFERROR(__xludf.DUMMYFUNCTION("""COMPUTED_VALUE"""),843.32)</f>
        <v>843.32</v>
      </c>
      <c r="BG236" s="71">
        <f>IFERROR(__xludf.DUMMYFUNCTION("""COMPUTED_VALUE"""),0.05057803468208093)</f>
        <v>0.05057803468</v>
      </c>
      <c r="BH236" s="71">
        <f>IFERROR(__xludf.DUMMYFUNCTION("""COMPUTED_VALUE"""),690.65)</f>
        <v>690.65</v>
      </c>
      <c r="BI236" s="71">
        <f>IFERROR(__xludf.DUMMYFUNCTION("""COMPUTED_VALUE"""),110.504)</f>
        <v>110.504</v>
      </c>
      <c r="BJ236" s="71">
        <f>IFERROR(__xludf.DUMMYFUNCTION("""COMPUTED_VALUE"""),801.154)</f>
        <v>801.154</v>
      </c>
      <c r="BK236" s="71">
        <f>IFERROR(__xludf.DUMMYFUNCTION("""COMPUTED_VALUE"""),654.3000000000001)</f>
        <v>654.3</v>
      </c>
      <c r="BL236" s="71">
        <f>IFERROR(__xludf.DUMMYFUNCTION("""COMPUTED_VALUE"""),104.68800000000002)</f>
        <v>104.688</v>
      </c>
      <c r="BM236" s="71">
        <f>IFERROR(__xludf.DUMMYFUNCTION("""COMPUTED_VALUE"""),758.988)</f>
        <v>758.988</v>
      </c>
      <c r="BN236" s="71">
        <f>IFERROR(__xludf.DUMMYFUNCTION("""COMPUTED_VALUE"""),617.9499999999999)</f>
        <v>617.95</v>
      </c>
      <c r="BO236" s="71">
        <f>IFERROR(__xludf.DUMMYFUNCTION("""COMPUTED_VALUE"""),98.87199999999999)</f>
        <v>98.872</v>
      </c>
      <c r="BP236" s="71">
        <f>IFERROR(__xludf.DUMMYFUNCTION("""COMPUTED_VALUE"""),716.8219999999999)</f>
        <v>716.822</v>
      </c>
      <c r="BQ236" s="71">
        <f>IFERROR(__xludf.DUMMYFUNCTION("""COMPUTED_VALUE"""),603.41)</f>
        <v>603.41</v>
      </c>
      <c r="BR236" s="71">
        <f>IFERROR(__xludf.DUMMYFUNCTION("""COMPUTED_VALUE"""),96.5456)</f>
        <v>96.5456</v>
      </c>
      <c r="BS236" s="71">
        <f>IFERROR(__xludf.DUMMYFUNCTION("""COMPUTED_VALUE"""),699.9556)</f>
        <v>699.9556</v>
      </c>
      <c r="BT236" s="71">
        <f>IFERROR(__xludf.DUMMYFUNCTION("""COMPUTED_VALUE"""),581.6)</f>
        <v>581.6</v>
      </c>
      <c r="BU236" s="71">
        <f>IFERROR(__xludf.DUMMYFUNCTION("""COMPUTED_VALUE"""),93.05600000000001)</f>
        <v>93.056</v>
      </c>
      <c r="BV236" s="71">
        <f>IFERROR(__xludf.DUMMYFUNCTION("""COMPUTED_VALUE"""),674.6560000000001)</f>
        <v>674.656</v>
      </c>
    </row>
    <row r="237">
      <c r="A237" s="53">
        <v>1.0</v>
      </c>
      <c r="B237" s="72"/>
      <c r="C237" s="73" t="s">
        <v>12</v>
      </c>
      <c r="D237" s="74" t="s">
        <v>575</v>
      </c>
      <c r="E237" s="54" t="s">
        <v>38</v>
      </c>
      <c r="F237" s="54" t="s">
        <v>42</v>
      </c>
      <c r="G237" s="88" t="s">
        <v>576</v>
      </c>
      <c r="H237" s="54" t="s">
        <v>576</v>
      </c>
      <c r="I237" s="54">
        <f t="shared" si="1"/>
        <v>30</v>
      </c>
      <c r="J237" s="56"/>
      <c r="K237" s="75"/>
      <c r="L237" s="76"/>
      <c r="M237" s="59"/>
      <c r="N237" s="60">
        <v>130.0</v>
      </c>
      <c r="O237" s="61">
        <v>155.0</v>
      </c>
      <c r="P237" s="62">
        <v>167.4</v>
      </c>
      <c r="Q237" s="63">
        <v>167.4</v>
      </c>
      <c r="R237" s="64">
        <v>187.0</v>
      </c>
      <c r="S237" s="111">
        <v>196.0</v>
      </c>
      <c r="T237" s="65">
        <f t="shared" si="2"/>
        <v>31.36</v>
      </c>
      <c r="U237" s="65">
        <f t="shared" si="3"/>
        <v>227.36</v>
      </c>
      <c r="V237" s="66">
        <f t="shared" si="4"/>
        <v>0.04812834225</v>
      </c>
      <c r="W237" s="67">
        <f t="shared" si="5"/>
        <v>186.2</v>
      </c>
      <c r="X237" s="67">
        <f t="shared" si="6"/>
        <v>29.792</v>
      </c>
      <c r="Y237" s="67">
        <f t="shared" si="7"/>
        <v>215.992</v>
      </c>
      <c r="Z237" s="67">
        <f t="shared" si="8"/>
        <v>176.4</v>
      </c>
      <c r="AA237" s="67">
        <f t="shared" si="9"/>
        <v>28.224</v>
      </c>
      <c r="AB237" s="67">
        <f t="shared" si="10"/>
        <v>204.624</v>
      </c>
      <c r="AC237" s="67">
        <f t="shared" si="11"/>
        <v>166.6</v>
      </c>
      <c r="AD237" s="67">
        <f t="shared" si="12"/>
        <v>26.656</v>
      </c>
      <c r="AE237" s="67">
        <f t="shared" si="13"/>
        <v>193.256</v>
      </c>
      <c r="AF237" s="67">
        <f t="shared" si="14"/>
        <v>162.68</v>
      </c>
      <c r="AG237" s="67">
        <f t="shared" si="15"/>
        <v>26.0288</v>
      </c>
      <c r="AH237" s="67">
        <f t="shared" si="16"/>
        <v>188.7088</v>
      </c>
      <c r="AI237" s="67">
        <f t="shared" si="17"/>
        <v>156.8</v>
      </c>
      <c r="AJ237" s="68">
        <f t="shared" si="20"/>
        <v>25.088</v>
      </c>
      <c r="AK237" s="68">
        <f t="shared" si="21"/>
        <v>181.888</v>
      </c>
      <c r="AL237" s="70">
        <f>IFERROR(__xludf.DUMMYFUNCTION("""COMPUTED_VALUE"""),1.0)</f>
        <v>1</v>
      </c>
      <c r="AM237" s="70"/>
      <c r="AN237" s="71" t="str">
        <f>IFERROR(__xludf.DUMMYFUNCTION("""COMPUTED_VALUE""")," P")</f>
        <v>P</v>
      </c>
      <c r="AO237" s="71" t="str">
        <f>IFERROR(__xludf.DUMMYFUNCTION("""COMPUTED_VALUE""")," BJ10")</f>
        <v>BJ10</v>
      </c>
      <c r="AP237" s="71" t="str">
        <f>IFERROR(__xludf.DUMMYFUNCTION("""COMPUTED_VALUE""")," PZA")</f>
        <v>PZA</v>
      </c>
      <c r="AQ237" s="71" t="str">
        <f>IFERROR(__xludf.DUMMYFUNCTION("""COMPUTED_VALUE""")," REF")</f>
        <v>REF</v>
      </c>
      <c r="AR237" s="71" t="str">
        <f>IFERROR(__xludf.DUMMYFUNCTION("""COMPUTED_VALUE""")," BUJE DE BRONCE PARA COLUMPIO")</f>
        <v>BUJE DE BRONCE PARA COLUMPIO</v>
      </c>
      <c r="AS237" s="71" t="str">
        <f>IFERROR(__xludf.DUMMYFUNCTION("""COMPUTED_VALUE""")," BUJE DE BRONCE PARA COLUMPIO")</f>
        <v>BUJE DE BRONCE PARA COLUMPIO</v>
      </c>
      <c r="AT237" s="71">
        <f>IFERROR(__xludf.DUMMYFUNCTION("""COMPUTED_VALUE"""),28.0)</f>
        <v>28</v>
      </c>
      <c r="AU237" s="71"/>
      <c r="AV237" s="71"/>
      <c r="AW237" s="71"/>
      <c r="AX237" s="71"/>
      <c r="AY237" s="71">
        <f>IFERROR(__xludf.DUMMYFUNCTION("""COMPUTED_VALUE"""),30.0)</f>
        <v>30</v>
      </c>
      <c r="AZ237" s="71">
        <f>IFERROR(__xludf.DUMMYFUNCTION("""COMPUTED_VALUE"""),34.0)</f>
        <v>34</v>
      </c>
      <c r="BA237" s="71">
        <f>IFERROR(__xludf.DUMMYFUNCTION("""COMPUTED_VALUE"""),36.72)</f>
        <v>36.72</v>
      </c>
      <c r="BB237" s="71">
        <f>IFERROR(__xludf.DUMMYFUNCTION("""COMPUTED_VALUE"""),36.72)</f>
        <v>36.72</v>
      </c>
      <c r="BC237" s="71">
        <f>IFERROR(__xludf.DUMMYFUNCTION("""COMPUTED_VALUE"""),43.0)</f>
        <v>43</v>
      </c>
      <c r="BD237" s="71">
        <f>IFERROR(__xludf.DUMMYFUNCTION("""COMPUTED_VALUE"""),45.0)</f>
        <v>45</v>
      </c>
      <c r="BE237" s="71">
        <f>IFERROR(__xludf.DUMMYFUNCTION("""COMPUTED_VALUE"""),7.2)</f>
        <v>7.2</v>
      </c>
      <c r="BF237" s="71">
        <f>IFERROR(__xludf.DUMMYFUNCTION("""COMPUTED_VALUE"""),52.2)</f>
        <v>52.2</v>
      </c>
      <c r="BG237" s="71">
        <f>IFERROR(__xludf.DUMMYFUNCTION("""COMPUTED_VALUE"""),0.046511627906976744)</f>
        <v>0.04651162791</v>
      </c>
      <c r="BH237" s="71">
        <f>IFERROR(__xludf.DUMMYFUNCTION("""COMPUTED_VALUE"""),42.75)</f>
        <v>42.75</v>
      </c>
      <c r="BI237" s="71">
        <f>IFERROR(__xludf.DUMMYFUNCTION("""COMPUTED_VALUE"""),6.84)</f>
        <v>6.84</v>
      </c>
      <c r="BJ237" s="71">
        <f>IFERROR(__xludf.DUMMYFUNCTION("""COMPUTED_VALUE"""),49.59)</f>
        <v>49.59</v>
      </c>
      <c r="BK237" s="71">
        <f>IFERROR(__xludf.DUMMYFUNCTION("""COMPUTED_VALUE"""),40.5)</f>
        <v>40.5</v>
      </c>
      <c r="BL237" s="71">
        <f>IFERROR(__xludf.DUMMYFUNCTION("""COMPUTED_VALUE"""),6.48)</f>
        <v>6.48</v>
      </c>
      <c r="BM237" s="71">
        <f>IFERROR(__xludf.DUMMYFUNCTION("""COMPUTED_VALUE"""),46.980000000000004)</f>
        <v>46.98</v>
      </c>
      <c r="BN237" s="71">
        <f>IFERROR(__xludf.DUMMYFUNCTION("""COMPUTED_VALUE"""),38.25)</f>
        <v>38.25</v>
      </c>
      <c r="BO237" s="71">
        <f>IFERROR(__xludf.DUMMYFUNCTION("""COMPUTED_VALUE"""),6.12)</f>
        <v>6.12</v>
      </c>
      <c r="BP237" s="71">
        <f>IFERROR(__xludf.DUMMYFUNCTION("""COMPUTED_VALUE"""),44.37)</f>
        <v>44.37</v>
      </c>
      <c r="BQ237" s="71">
        <f>IFERROR(__xludf.DUMMYFUNCTION("""COMPUTED_VALUE"""),37.35)</f>
        <v>37.35</v>
      </c>
      <c r="BR237" s="71">
        <f>IFERROR(__xludf.DUMMYFUNCTION("""COMPUTED_VALUE"""),5.976)</f>
        <v>5.976</v>
      </c>
      <c r="BS237" s="71">
        <f>IFERROR(__xludf.DUMMYFUNCTION("""COMPUTED_VALUE"""),43.326)</f>
        <v>43.326</v>
      </c>
      <c r="BT237" s="71">
        <f>IFERROR(__xludf.DUMMYFUNCTION("""COMPUTED_VALUE"""),36.0)</f>
        <v>36</v>
      </c>
      <c r="BU237" s="71">
        <f>IFERROR(__xludf.DUMMYFUNCTION("""COMPUTED_VALUE"""),5.76)</f>
        <v>5.76</v>
      </c>
      <c r="BV237" s="71">
        <f>IFERROR(__xludf.DUMMYFUNCTION("""COMPUTED_VALUE"""),41.76)</f>
        <v>41.76</v>
      </c>
    </row>
    <row r="238">
      <c r="A238" s="53">
        <v>1.0</v>
      </c>
      <c r="B238" s="72"/>
      <c r="C238" s="73" t="s">
        <v>12</v>
      </c>
      <c r="D238" s="74" t="s">
        <v>577</v>
      </c>
      <c r="E238" s="54" t="s">
        <v>38</v>
      </c>
      <c r="F238" s="54" t="s">
        <v>42</v>
      </c>
      <c r="G238" s="88" t="s">
        <v>578</v>
      </c>
      <c r="H238" s="54" t="s">
        <v>578</v>
      </c>
      <c r="I238" s="54">
        <f t="shared" si="1"/>
        <v>26</v>
      </c>
      <c r="J238" s="56"/>
      <c r="K238" s="75"/>
      <c r="L238" s="76"/>
      <c r="M238" s="59"/>
      <c r="N238" s="60">
        <v>235.0</v>
      </c>
      <c r="O238" s="61">
        <v>253.0</v>
      </c>
      <c r="P238" s="62">
        <v>273.24</v>
      </c>
      <c r="Q238" s="63">
        <v>273.24</v>
      </c>
      <c r="R238" s="64">
        <v>305.0</v>
      </c>
      <c r="S238" s="111">
        <v>320.0</v>
      </c>
      <c r="T238" s="65">
        <f t="shared" si="2"/>
        <v>51.2</v>
      </c>
      <c r="U238" s="65">
        <f t="shared" si="3"/>
        <v>371.2</v>
      </c>
      <c r="V238" s="66">
        <f t="shared" si="4"/>
        <v>0.04918032787</v>
      </c>
      <c r="W238" s="67">
        <f t="shared" si="5"/>
        <v>304</v>
      </c>
      <c r="X238" s="67">
        <f t="shared" si="6"/>
        <v>48.64</v>
      </c>
      <c r="Y238" s="67">
        <f t="shared" si="7"/>
        <v>352.64</v>
      </c>
      <c r="Z238" s="67">
        <f t="shared" si="8"/>
        <v>288</v>
      </c>
      <c r="AA238" s="67">
        <f t="shared" si="9"/>
        <v>46.08</v>
      </c>
      <c r="AB238" s="67">
        <f t="shared" si="10"/>
        <v>334.08</v>
      </c>
      <c r="AC238" s="67">
        <f t="shared" si="11"/>
        <v>272</v>
      </c>
      <c r="AD238" s="67">
        <f t="shared" si="12"/>
        <v>43.52</v>
      </c>
      <c r="AE238" s="67">
        <f t="shared" si="13"/>
        <v>315.52</v>
      </c>
      <c r="AF238" s="67">
        <f t="shared" si="14"/>
        <v>265.6</v>
      </c>
      <c r="AG238" s="67">
        <f t="shared" si="15"/>
        <v>42.496</v>
      </c>
      <c r="AH238" s="67">
        <f t="shared" si="16"/>
        <v>308.096</v>
      </c>
      <c r="AI238" s="67">
        <f t="shared" si="17"/>
        <v>256</v>
      </c>
      <c r="AJ238" s="68">
        <f t="shared" si="20"/>
        <v>40.96</v>
      </c>
      <c r="AK238" s="68">
        <f t="shared" si="21"/>
        <v>296.96</v>
      </c>
      <c r="AL238" s="70">
        <f>IFERROR(__xludf.DUMMYFUNCTION("""COMPUTED_VALUE"""),1.0)</f>
        <v>1</v>
      </c>
      <c r="AM238" s="70"/>
      <c r="AN238" s="71" t="str">
        <f>IFERROR(__xludf.DUMMYFUNCTION("""COMPUTED_VALUE""")," P")</f>
        <v>P</v>
      </c>
      <c r="AO238" s="71" t="str">
        <f>IFERROR(__xludf.DUMMYFUNCTION("""COMPUTED_VALUE""")," BJ11")</f>
        <v>BJ11</v>
      </c>
      <c r="AP238" s="71" t="str">
        <f>IFERROR(__xludf.DUMMYFUNCTION("""COMPUTED_VALUE""")," PZA")</f>
        <v>PZA</v>
      </c>
      <c r="AQ238" s="71" t="str">
        <f>IFERROR(__xludf.DUMMYFUNCTION("""COMPUTED_VALUE""")," REF")</f>
        <v>REF</v>
      </c>
      <c r="AR238" s="71" t="str">
        <f>IFERROR(__xludf.DUMMYFUNCTION("""COMPUTED_VALUE""")," BUJE DE BRONCE PARA DESLIZADOR MECÁNICO")</f>
        <v>BUJE DE BRONCE PARA DESLIZADOR MECÁNICO</v>
      </c>
      <c r="AS238" s="71" t="str">
        <f>IFERROR(__xludf.DUMMYFUNCTION("""COMPUTED_VALUE""")," BUJE DE BRONCE PARA DESLIZADOR MECANICO")</f>
        <v>BUJE DE BRONCE PARA DESLIZADOR MECANICO</v>
      </c>
      <c r="AT238" s="71">
        <f>IFERROR(__xludf.DUMMYFUNCTION("""COMPUTED_VALUE"""),39.0)</f>
        <v>39</v>
      </c>
      <c r="AU238" s="71"/>
      <c r="AV238" s="71"/>
      <c r="AW238" s="71"/>
      <c r="AX238" s="71"/>
      <c r="AY238" s="71">
        <f>IFERROR(__xludf.DUMMYFUNCTION("""COMPUTED_VALUE"""),100.0)</f>
        <v>100</v>
      </c>
      <c r="AZ238" s="71">
        <f>IFERROR(__xludf.DUMMYFUNCTION("""COMPUTED_VALUE"""),108.0)</f>
        <v>108</v>
      </c>
      <c r="BA238" s="71">
        <f>IFERROR(__xludf.DUMMYFUNCTION("""COMPUTED_VALUE"""),116.64000000000001)</f>
        <v>116.64</v>
      </c>
      <c r="BB238" s="71">
        <f>IFERROR(__xludf.DUMMYFUNCTION("""COMPUTED_VALUE"""),116.64000000000001)</f>
        <v>116.64</v>
      </c>
      <c r="BC238" s="71">
        <f>IFERROR(__xludf.DUMMYFUNCTION("""COMPUTED_VALUE"""),134.0)</f>
        <v>134</v>
      </c>
      <c r="BD238" s="71">
        <f>IFERROR(__xludf.DUMMYFUNCTION("""COMPUTED_VALUE"""),141.0)</f>
        <v>141</v>
      </c>
      <c r="BE238" s="71">
        <f>IFERROR(__xludf.DUMMYFUNCTION("""COMPUTED_VALUE"""),22.56)</f>
        <v>22.56</v>
      </c>
      <c r="BF238" s="71">
        <f>IFERROR(__xludf.DUMMYFUNCTION("""COMPUTED_VALUE"""),163.56)</f>
        <v>163.56</v>
      </c>
      <c r="BG238" s="71">
        <f>IFERROR(__xludf.DUMMYFUNCTION("""COMPUTED_VALUE"""),0.05223880597014925)</f>
        <v>0.05223880597</v>
      </c>
      <c r="BH238" s="71">
        <f>IFERROR(__xludf.DUMMYFUNCTION("""COMPUTED_VALUE"""),133.95)</f>
        <v>133.95</v>
      </c>
      <c r="BI238" s="71">
        <f>IFERROR(__xludf.DUMMYFUNCTION("""COMPUTED_VALUE"""),21.432)</f>
        <v>21.432</v>
      </c>
      <c r="BJ238" s="71">
        <f>IFERROR(__xludf.DUMMYFUNCTION("""COMPUTED_VALUE"""),155.38199999999998)</f>
        <v>155.382</v>
      </c>
      <c r="BK238" s="71">
        <f>IFERROR(__xludf.DUMMYFUNCTION("""COMPUTED_VALUE"""),126.9)</f>
        <v>126.9</v>
      </c>
      <c r="BL238" s="71">
        <f>IFERROR(__xludf.DUMMYFUNCTION("""COMPUTED_VALUE"""),20.304000000000002)</f>
        <v>20.304</v>
      </c>
      <c r="BM238" s="71">
        <f>IFERROR(__xludf.DUMMYFUNCTION("""COMPUTED_VALUE"""),147.204)</f>
        <v>147.204</v>
      </c>
      <c r="BN238" s="71">
        <f>IFERROR(__xludf.DUMMYFUNCTION("""COMPUTED_VALUE"""),119.85)</f>
        <v>119.85</v>
      </c>
      <c r="BO238" s="71">
        <f>IFERROR(__xludf.DUMMYFUNCTION("""COMPUTED_VALUE"""),19.176)</f>
        <v>19.176</v>
      </c>
      <c r="BP238" s="71">
        <f>IFERROR(__xludf.DUMMYFUNCTION("""COMPUTED_VALUE"""),139.02599999999998)</f>
        <v>139.026</v>
      </c>
      <c r="BQ238" s="71">
        <f>IFERROR(__xludf.DUMMYFUNCTION("""COMPUTED_VALUE"""),117.03)</f>
        <v>117.03</v>
      </c>
      <c r="BR238" s="71">
        <f>IFERROR(__xludf.DUMMYFUNCTION("""COMPUTED_VALUE"""),18.724800000000002)</f>
        <v>18.7248</v>
      </c>
      <c r="BS238" s="71">
        <f>IFERROR(__xludf.DUMMYFUNCTION("""COMPUTED_VALUE"""),135.7548)</f>
        <v>135.7548</v>
      </c>
      <c r="BT238" s="71">
        <f>IFERROR(__xludf.DUMMYFUNCTION("""COMPUTED_VALUE"""),112.80000000000001)</f>
        <v>112.8</v>
      </c>
      <c r="BU238" s="71">
        <f>IFERROR(__xludf.DUMMYFUNCTION("""COMPUTED_VALUE"""),18.048000000000002)</f>
        <v>18.048</v>
      </c>
      <c r="BV238" s="71">
        <f>IFERROR(__xludf.DUMMYFUNCTION("""COMPUTED_VALUE"""),130.848)</f>
        <v>130.848</v>
      </c>
    </row>
    <row r="239">
      <c r="A239" s="53"/>
      <c r="B239" s="53"/>
      <c r="C239" s="53" t="s">
        <v>12</v>
      </c>
      <c r="D239" s="53" t="s">
        <v>579</v>
      </c>
      <c r="E239" s="54" t="s">
        <v>38</v>
      </c>
      <c r="F239" s="54" t="s">
        <v>42</v>
      </c>
      <c r="G239" s="55" t="s">
        <v>580</v>
      </c>
      <c r="H239" s="54" t="s">
        <v>580</v>
      </c>
      <c r="I239" s="54">
        <f t="shared" si="1"/>
        <v>26</v>
      </c>
      <c r="J239" s="56"/>
      <c r="K239" s="57"/>
      <c r="L239" s="76"/>
      <c r="M239" s="59"/>
      <c r="N239" s="79">
        <v>230.0</v>
      </c>
      <c r="O239" s="61">
        <v>248.0</v>
      </c>
      <c r="P239" s="63">
        <v>267.84000000000003</v>
      </c>
      <c r="Q239" s="63">
        <v>267.84000000000003</v>
      </c>
      <c r="R239" s="64">
        <v>282.0</v>
      </c>
      <c r="S239" s="111">
        <v>296.0</v>
      </c>
      <c r="T239" s="65">
        <f t="shared" si="2"/>
        <v>47.36</v>
      </c>
      <c r="U239" s="65">
        <f t="shared" si="3"/>
        <v>343.36</v>
      </c>
      <c r="V239" s="66">
        <f t="shared" si="4"/>
        <v>0.04964539007</v>
      </c>
      <c r="W239" s="67">
        <f t="shared" si="5"/>
        <v>281.2</v>
      </c>
      <c r="X239" s="67">
        <f t="shared" si="6"/>
        <v>44.992</v>
      </c>
      <c r="Y239" s="67">
        <f t="shared" si="7"/>
        <v>326.192</v>
      </c>
      <c r="Z239" s="67">
        <f t="shared" si="8"/>
        <v>266.4</v>
      </c>
      <c r="AA239" s="67">
        <f t="shared" si="9"/>
        <v>42.624</v>
      </c>
      <c r="AB239" s="67">
        <f t="shared" si="10"/>
        <v>309.024</v>
      </c>
      <c r="AC239" s="67">
        <f t="shared" si="11"/>
        <v>251.6</v>
      </c>
      <c r="AD239" s="67">
        <f t="shared" si="12"/>
        <v>40.256</v>
      </c>
      <c r="AE239" s="67">
        <f t="shared" si="13"/>
        <v>291.856</v>
      </c>
      <c r="AF239" s="67">
        <f t="shared" si="14"/>
        <v>245.68</v>
      </c>
      <c r="AG239" s="67">
        <f t="shared" si="15"/>
        <v>39.3088</v>
      </c>
      <c r="AH239" s="67">
        <f t="shared" si="16"/>
        <v>284.9888</v>
      </c>
      <c r="AI239" s="67">
        <f t="shared" si="17"/>
        <v>236.8</v>
      </c>
      <c r="AJ239" s="68">
        <f t="shared" si="20"/>
        <v>37.888</v>
      </c>
      <c r="AK239" s="68">
        <f t="shared" si="21"/>
        <v>274.688</v>
      </c>
      <c r="AL239" s="70">
        <f>IFERROR(__xludf.DUMMYFUNCTION("""COMPUTED_VALUE"""),1.0)</f>
        <v>1</v>
      </c>
      <c r="AM239" s="70"/>
      <c r="AN239" s="71" t="str">
        <f>IFERROR(__xludf.DUMMYFUNCTION("""COMPUTED_VALUE""")," P")</f>
        <v>P</v>
      </c>
      <c r="AO239" s="71" t="str">
        <f>IFERROR(__xludf.DUMMYFUNCTION("""COMPUTED_VALUE""")," BJ06")</f>
        <v>BJ06</v>
      </c>
      <c r="AP239" s="71" t="str">
        <f>IFERROR(__xludf.DUMMYFUNCTION("""COMPUTED_VALUE""")," PZA")</f>
        <v>PZA</v>
      </c>
      <c r="AQ239" s="71" t="str">
        <f>IFERROR(__xludf.DUMMYFUNCTION("""COMPUTED_VALUE""")," REF")</f>
        <v>REF</v>
      </c>
      <c r="AR239" s="71" t="str">
        <f>IFERROR(__xludf.DUMMYFUNCTION("""COMPUTED_VALUE""")," BUJE DE BRONCE PARA PUENTE ADICIONAL")</f>
        <v>BUJE DE BRONCE PARA PUENTE ADICIONAL</v>
      </c>
      <c r="AS239" s="71" t="str">
        <f>IFERROR(__xludf.DUMMYFUNCTION("""COMPUTED_VALUE""")," BUJE DE BRONCE PARA PUENTE ADICIONAL")</f>
        <v>BUJE DE BRONCE PARA PUENTE ADICIONAL</v>
      </c>
      <c r="AT239" s="71">
        <f>IFERROR(__xludf.DUMMYFUNCTION("""COMPUTED_VALUE"""),36.0)</f>
        <v>36</v>
      </c>
      <c r="AU239" s="71"/>
      <c r="AV239" s="71"/>
      <c r="AW239" s="71"/>
      <c r="AX239" s="71"/>
      <c r="AY239" s="71">
        <f>IFERROR(__xludf.DUMMYFUNCTION("""COMPUTED_VALUE"""),89.0)</f>
        <v>89</v>
      </c>
      <c r="AZ239" s="71">
        <f>IFERROR(__xludf.DUMMYFUNCTION("""COMPUTED_VALUE"""),96.0)</f>
        <v>96</v>
      </c>
      <c r="BA239" s="71">
        <f>IFERROR(__xludf.DUMMYFUNCTION("""COMPUTED_VALUE"""),103.68)</f>
        <v>103.68</v>
      </c>
      <c r="BB239" s="71">
        <f>IFERROR(__xludf.DUMMYFUNCTION("""COMPUTED_VALUE"""),103.68)</f>
        <v>103.68</v>
      </c>
      <c r="BC239" s="71">
        <f>IFERROR(__xludf.DUMMYFUNCTION("""COMPUTED_VALUE"""),119.0)</f>
        <v>119</v>
      </c>
      <c r="BD239" s="71">
        <f>IFERROR(__xludf.DUMMYFUNCTION("""COMPUTED_VALUE"""),125.0)</f>
        <v>125</v>
      </c>
      <c r="BE239" s="71">
        <f>IFERROR(__xludf.DUMMYFUNCTION("""COMPUTED_VALUE"""),20.0)</f>
        <v>20</v>
      </c>
      <c r="BF239" s="71">
        <f>IFERROR(__xludf.DUMMYFUNCTION("""COMPUTED_VALUE"""),145.0)</f>
        <v>145</v>
      </c>
      <c r="BG239" s="71">
        <f>IFERROR(__xludf.DUMMYFUNCTION("""COMPUTED_VALUE"""),0.05042016806722689)</f>
        <v>0.05042016807</v>
      </c>
      <c r="BH239" s="71">
        <f>IFERROR(__xludf.DUMMYFUNCTION("""COMPUTED_VALUE"""),118.75)</f>
        <v>118.75</v>
      </c>
      <c r="BI239" s="71">
        <f>IFERROR(__xludf.DUMMYFUNCTION("""COMPUTED_VALUE"""),19.0)</f>
        <v>19</v>
      </c>
      <c r="BJ239" s="71">
        <f>IFERROR(__xludf.DUMMYFUNCTION("""COMPUTED_VALUE"""),137.75)</f>
        <v>137.75</v>
      </c>
      <c r="BK239" s="71">
        <f>IFERROR(__xludf.DUMMYFUNCTION("""COMPUTED_VALUE"""),112.5)</f>
        <v>112.5</v>
      </c>
      <c r="BL239" s="71">
        <f>IFERROR(__xludf.DUMMYFUNCTION("""COMPUTED_VALUE"""),18.0)</f>
        <v>18</v>
      </c>
      <c r="BM239" s="71">
        <f>IFERROR(__xludf.DUMMYFUNCTION("""COMPUTED_VALUE"""),130.5)</f>
        <v>130.5</v>
      </c>
      <c r="BN239" s="71">
        <f>IFERROR(__xludf.DUMMYFUNCTION("""COMPUTED_VALUE"""),106.25)</f>
        <v>106.25</v>
      </c>
      <c r="BO239" s="71">
        <f>IFERROR(__xludf.DUMMYFUNCTION("""COMPUTED_VALUE"""),17.0)</f>
        <v>17</v>
      </c>
      <c r="BP239" s="71">
        <f>IFERROR(__xludf.DUMMYFUNCTION("""COMPUTED_VALUE"""),123.25)</f>
        <v>123.25</v>
      </c>
      <c r="BQ239" s="71">
        <f>IFERROR(__xludf.DUMMYFUNCTION("""COMPUTED_VALUE"""),103.75)</f>
        <v>103.75</v>
      </c>
      <c r="BR239" s="71">
        <f>IFERROR(__xludf.DUMMYFUNCTION("""COMPUTED_VALUE"""),16.6)</f>
        <v>16.6</v>
      </c>
      <c r="BS239" s="71">
        <f>IFERROR(__xludf.DUMMYFUNCTION("""COMPUTED_VALUE"""),120.35)</f>
        <v>120.35</v>
      </c>
      <c r="BT239" s="71">
        <f>IFERROR(__xludf.DUMMYFUNCTION("""COMPUTED_VALUE"""),100.0)</f>
        <v>100</v>
      </c>
      <c r="BU239" s="71">
        <f>IFERROR(__xludf.DUMMYFUNCTION("""COMPUTED_VALUE"""),16.0)</f>
        <v>16</v>
      </c>
      <c r="BV239" s="71">
        <f>IFERROR(__xludf.DUMMYFUNCTION("""COMPUTED_VALUE"""),116.0)</f>
        <v>116</v>
      </c>
    </row>
    <row r="240">
      <c r="A240" s="53">
        <v>1.0</v>
      </c>
      <c r="B240" s="53"/>
      <c r="C240" s="53" t="s">
        <v>12</v>
      </c>
      <c r="D240" s="53" t="s">
        <v>581</v>
      </c>
      <c r="E240" s="54" t="s">
        <v>38</v>
      </c>
      <c r="F240" s="54" t="s">
        <v>42</v>
      </c>
      <c r="G240" s="55" t="s">
        <v>582</v>
      </c>
      <c r="H240" s="54" t="s">
        <v>582</v>
      </c>
      <c r="I240" s="54">
        <f t="shared" si="1"/>
        <v>26</v>
      </c>
      <c r="J240" s="56"/>
      <c r="K240" s="57"/>
      <c r="L240" s="76" t="s">
        <v>558</v>
      </c>
      <c r="M240" s="59"/>
      <c r="N240" s="79">
        <v>263.0</v>
      </c>
      <c r="O240" s="61">
        <v>284.0</v>
      </c>
      <c r="P240" s="63">
        <v>306.72</v>
      </c>
      <c r="Q240" s="63">
        <v>306.72</v>
      </c>
      <c r="R240" s="64">
        <v>323.0</v>
      </c>
      <c r="S240" s="111">
        <v>339.0</v>
      </c>
      <c r="T240" s="65">
        <f t="shared" si="2"/>
        <v>54.24</v>
      </c>
      <c r="U240" s="65">
        <f t="shared" si="3"/>
        <v>393.24</v>
      </c>
      <c r="V240" s="66">
        <f t="shared" si="4"/>
        <v>0.04953560372</v>
      </c>
      <c r="W240" s="67">
        <f t="shared" si="5"/>
        <v>322.05</v>
      </c>
      <c r="X240" s="67">
        <f t="shared" si="6"/>
        <v>51.528</v>
      </c>
      <c r="Y240" s="67">
        <f t="shared" si="7"/>
        <v>373.578</v>
      </c>
      <c r="Z240" s="67">
        <f t="shared" si="8"/>
        <v>305.1</v>
      </c>
      <c r="AA240" s="67">
        <f t="shared" si="9"/>
        <v>48.816</v>
      </c>
      <c r="AB240" s="67">
        <f t="shared" si="10"/>
        <v>353.916</v>
      </c>
      <c r="AC240" s="67">
        <f t="shared" si="11"/>
        <v>288.15</v>
      </c>
      <c r="AD240" s="67">
        <f t="shared" si="12"/>
        <v>46.104</v>
      </c>
      <c r="AE240" s="67">
        <f t="shared" si="13"/>
        <v>334.254</v>
      </c>
      <c r="AF240" s="67">
        <f t="shared" si="14"/>
        <v>281.37</v>
      </c>
      <c r="AG240" s="67">
        <f t="shared" si="15"/>
        <v>45.0192</v>
      </c>
      <c r="AH240" s="67">
        <f t="shared" si="16"/>
        <v>326.3892</v>
      </c>
      <c r="AI240" s="67">
        <f t="shared" si="17"/>
        <v>271.2</v>
      </c>
      <c r="AJ240" s="68">
        <f t="shared" si="20"/>
        <v>43.392</v>
      </c>
      <c r="AK240" s="68">
        <f t="shared" si="21"/>
        <v>314.592</v>
      </c>
      <c r="AL240" s="70">
        <f>IFERROR(__xludf.DUMMYFUNCTION("""COMPUTED_VALUE"""),1.0)</f>
        <v>1</v>
      </c>
      <c r="AM240" s="70"/>
      <c r="AN240" s="71" t="str">
        <f>IFERROR(__xludf.DUMMYFUNCTION("""COMPUTED_VALUE""")," CP")</f>
        <v>CP</v>
      </c>
      <c r="AO240" s="71" t="str">
        <f>IFERROR(__xludf.DUMMYFUNCTION("""COMPUTED_VALUE""")," BJ15")</f>
        <v>BJ15</v>
      </c>
      <c r="AP240" s="71" t="str">
        <f>IFERROR(__xludf.DUMMYFUNCTION("""COMPUTED_VALUE""")," PZA")</f>
        <v>PZA</v>
      </c>
      <c r="AQ240" s="71" t="str">
        <f>IFERROR(__xludf.DUMMYFUNCTION("""COMPUTED_VALUE""")," REF")</f>
        <v>REF</v>
      </c>
      <c r="AR240" s="71" t="str">
        <f>IFERROR(__xludf.DUMMYFUNCTION("""COMPUTED_VALUE""")," BUJE DE NAYLAMID PARA SOPORTE O BRAZO DE RODILLO CORTADOR")</f>
        <v>BUJE DE NAYLAMID PARA SOPORTE O BRAZO DE RODILLO CORTADOR</v>
      </c>
      <c r="AS240" s="71" t="str">
        <f>IFERROR(__xludf.DUMMYFUNCTION("""COMPUTED_VALUE""")," BUJE NAYLAMID P/SOPORTE RODILLO CORTADOR")</f>
        <v>BUJE NAYLAMID P/SOPORTE RODILLO CORTADOR</v>
      </c>
      <c r="AT240" s="71">
        <f>IFERROR(__xludf.DUMMYFUNCTION("""COMPUTED_VALUE"""),40.0)</f>
        <v>40</v>
      </c>
      <c r="AU240" s="71"/>
      <c r="AV240" s="71"/>
      <c r="AW240" s="71"/>
      <c r="AX240" s="71"/>
      <c r="AY240" s="71">
        <f>IFERROR(__xludf.DUMMYFUNCTION("""COMPUTED_VALUE"""),277.0)</f>
        <v>277</v>
      </c>
      <c r="AZ240" s="71">
        <f>IFERROR(__xludf.DUMMYFUNCTION("""COMPUTED_VALUE"""),299.0)</f>
        <v>299</v>
      </c>
      <c r="BA240" s="71">
        <f>IFERROR(__xludf.DUMMYFUNCTION("""COMPUTED_VALUE"""),322.92)</f>
        <v>322.92</v>
      </c>
      <c r="BB240" s="71">
        <f>IFERROR(__xludf.DUMMYFUNCTION("""COMPUTED_VALUE"""),322.92)</f>
        <v>322.92</v>
      </c>
      <c r="BC240" s="71">
        <f>IFERROR(__xludf.DUMMYFUNCTION("""COMPUTED_VALUE"""),361.0)</f>
        <v>361</v>
      </c>
      <c r="BD240" s="71">
        <f>IFERROR(__xludf.DUMMYFUNCTION("""COMPUTED_VALUE"""),379.0)</f>
        <v>379</v>
      </c>
      <c r="BE240" s="71">
        <f>IFERROR(__xludf.DUMMYFUNCTION("""COMPUTED_VALUE"""),60.64)</f>
        <v>60.64</v>
      </c>
      <c r="BF240" s="71">
        <f>IFERROR(__xludf.DUMMYFUNCTION("""COMPUTED_VALUE"""),439.64)</f>
        <v>439.64</v>
      </c>
      <c r="BG240" s="71">
        <f>IFERROR(__xludf.DUMMYFUNCTION("""COMPUTED_VALUE"""),0.04986149584487535)</f>
        <v>0.04986149584</v>
      </c>
      <c r="BH240" s="71">
        <f>IFERROR(__xludf.DUMMYFUNCTION("""COMPUTED_VALUE"""),360.05)</f>
        <v>360.05</v>
      </c>
      <c r="BI240" s="71">
        <f>IFERROR(__xludf.DUMMYFUNCTION("""COMPUTED_VALUE"""),57.608000000000004)</f>
        <v>57.608</v>
      </c>
      <c r="BJ240" s="71">
        <f>IFERROR(__xludf.DUMMYFUNCTION("""COMPUTED_VALUE"""),417.658)</f>
        <v>417.658</v>
      </c>
      <c r="BK240" s="71">
        <f>IFERROR(__xludf.DUMMYFUNCTION("""COMPUTED_VALUE"""),341.1)</f>
        <v>341.1</v>
      </c>
      <c r="BL240" s="71">
        <f>IFERROR(__xludf.DUMMYFUNCTION("""COMPUTED_VALUE"""),54.57600000000001)</f>
        <v>54.576</v>
      </c>
      <c r="BM240" s="71">
        <f>IFERROR(__xludf.DUMMYFUNCTION("""COMPUTED_VALUE"""),395.67600000000004)</f>
        <v>395.676</v>
      </c>
      <c r="BN240" s="71">
        <f>IFERROR(__xludf.DUMMYFUNCTION("""COMPUTED_VALUE"""),322.15)</f>
        <v>322.15</v>
      </c>
      <c r="BO240" s="71">
        <f>IFERROR(__xludf.DUMMYFUNCTION("""COMPUTED_VALUE"""),51.544)</f>
        <v>51.544</v>
      </c>
      <c r="BP240" s="71">
        <f>IFERROR(__xludf.DUMMYFUNCTION("""COMPUTED_VALUE"""),373.69399999999996)</f>
        <v>373.694</v>
      </c>
      <c r="BQ240" s="71">
        <f>IFERROR(__xludf.DUMMYFUNCTION("""COMPUTED_VALUE"""),314.57)</f>
        <v>314.57</v>
      </c>
      <c r="BR240" s="71">
        <f>IFERROR(__xludf.DUMMYFUNCTION("""COMPUTED_VALUE"""),50.3312)</f>
        <v>50.3312</v>
      </c>
      <c r="BS240" s="71">
        <f>IFERROR(__xludf.DUMMYFUNCTION("""COMPUTED_VALUE"""),364.9012)</f>
        <v>364.9012</v>
      </c>
      <c r="BT240" s="71">
        <f>IFERROR(__xludf.DUMMYFUNCTION("""COMPUTED_VALUE"""),303.2)</f>
        <v>303.2</v>
      </c>
      <c r="BU240" s="71">
        <f>IFERROR(__xludf.DUMMYFUNCTION("""COMPUTED_VALUE"""),48.512)</f>
        <v>48.512</v>
      </c>
      <c r="BV240" s="71">
        <f>IFERROR(__xludf.DUMMYFUNCTION("""COMPUTED_VALUE"""),351.712)</f>
        <v>351.712</v>
      </c>
    </row>
    <row r="241">
      <c r="A241" s="53">
        <v>1.0</v>
      </c>
      <c r="B241" s="72"/>
      <c r="C241" s="73" t="s">
        <v>12</v>
      </c>
      <c r="D241" s="74" t="s">
        <v>583</v>
      </c>
      <c r="E241" s="54" t="s">
        <v>38</v>
      </c>
      <c r="F241" s="54" t="s">
        <v>42</v>
      </c>
      <c r="G241" s="88" t="s">
        <v>584</v>
      </c>
      <c r="H241" s="54" t="s">
        <v>584</v>
      </c>
      <c r="I241" s="54">
        <f t="shared" si="1"/>
        <v>30</v>
      </c>
      <c r="J241" s="56"/>
      <c r="K241" s="75"/>
      <c r="L241" s="76"/>
      <c r="M241" s="59"/>
      <c r="N241" s="60">
        <v>138.0</v>
      </c>
      <c r="O241" s="61">
        <v>167.0</v>
      </c>
      <c r="P241" s="62">
        <v>180.36</v>
      </c>
      <c r="Q241" s="63">
        <v>180.36</v>
      </c>
      <c r="R241" s="64">
        <v>202.0</v>
      </c>
      <c r="S241" s="111">
        <v>212.0</v>
      </c>
      <c r="T241" s="65">
        <f t="shared" si="2"/>
        <v>33.92</v>
      </c>
      <c r="U241" s="65">
        <f t="shared" si="3"/>
        <v>245.92</v>
      </c>
      <c r="V241" s="66">
        <f t="shared" si="4"/>
        <v>0.0495049505</v>
      </c>
      <c r="W241" s="67">
        <f t="shared" si="5"/>
        <v>201.4</v>
      </c>
      <c r="X241" s="67">
        <f t="shared" si="6"/>
        <v>32.224</v>
      </c>
      <c r="Y241" s="67">
        <f t="shared" si="7"/>
        <v>233.624</v>
      </c>
      <c r="Z241" s="67">
        <f t="shared" si="8"/>
        <v>190.8</v>
      </c>
      <c r="AA241" s="67">
        <f t="shared" si="9"/>
        <v>30.528</v>
      </c>
      <c r="AB241" s="67">
        <f t="shared" si="10"/>
        <v>221.328</v>
      </c>
      <c r="AC241" s="67">
        <f t="shared" si="11"/>
        <v>180.2</v>
      </c>
      <c r="AD241" s="67">
        <f t="shared" si="12"/>
        <v>28.832</v>
      </c>
      <c r="AE241" s="67">
        <f t="shared" si="13"/>
        <v>209.032</v>
      </c>
      <c r="AF241" s="67">
        <f t="shared" si="14"/>
        <v>175.96</v>
      </c>
      <c r="AG241" s="67">
        <f t="shared" si="15"/>
        <v>28.1536</v>
      </c>
      <c r="AH241" s="67">
        <f t="shared" si="16"/>
        <v>204.1136</v>
      </c>
      <c r="AI241" s="67">
        <f t="shared" si="17"/>
        <v>169.6</v>
      </c>
      <c r="AJ241" s="68">
        <f t="shared" si="20"/>
        <v>27.136</v>
      </c>
      <c r="AK241" s="68">
        <f t="shared" si="21"/>
        <v>196.736</v>
      </c>
      <c r="AL241" s="70">
        <f>IFERROR(__xludf.DUMMYFUNCTION("""COMPUTED_VALUE"""),1.0)</f>
        <v>1</v>
      </c>
      <c r="AM241" s="70"/>
      <c r="AN241" s="71" t="str">
        <f>IFERROR(__xludf.DUMMYFUNCTION("""COMPUTED_VALUE""")," CP")</f>
        <v>CP</v>
      </c>
      <c r="AO241" s="71" t="str">
        <f>IFERROR(__xludf.DUMMYFUNCTION("""COMPUTED_VALUE""")," BJ98")</f>
        <v>BJ98</v>
      </c>
      <c r="AP241" s="71" t="str">
        <f>IFERROR(__xludf.DUMMYFUNCTION("""COMPUTED_VALUE""")," PZA")</f>
        <v>PZA</v>
      </c>
      <c r="AQ241" s="71" t="str">
        <f>IFERROR(__xludf.DUMMYFUNCTION("""COMPUTED_VALUE""")," REF")</f>
        <v>REF</v>
      </c>
      <c r="AR241" s="71" t="str">
        <f>IFERROR(__xludf.DUMMYFUNCTION("""COMPUTED_VALUE""")," BUJE DE NYLAMID 5/8 PARA BASE INFERIOR SENCILLA GRADO ALIMENTICIO")</f>
        <v>BUJE DE NYLAMID 5/8 PARA BASE INFERIOR SENCILLA GRADO ALIMENTICIO</v>
      </c>
      <c r="AS241" s="71" t="str">
        <f>IFERROR(__xludf.DUMMYFUNCTION("""COMPUTED_VALUE""")," BUJE NYLAMID 5/8 PARA BASE INFERIOR SENC")</f>
        <v>BUJE NYLAMID 5/8 PARA BASE INFERIOR SENC</v>
      </c>
      <c r="AT241" s="71">
        <f>IFERROR(__xludf.DUMMYFUNCTION("""COMPUTED_VALUE"""),40.0)</f>
        <v>40</v>
      </c>
      <c r="AU241" s="71"/>
      <c r="AV241" s="71"/>
      <c r="AW241" s="71"/>
      <c r="AX241" s="71"/>
      <c r="AY241" s="71">
        <f>IFERROR(__xludf.DUMMYFUNCTION("""COMPUTED_VALUE"""),23.0)</f>
        <v>23</v>
      </c>
      <c r="AZ241" s="71">
        <f>IFERROR(__xludf.DUMMYFUNCTION("""COMPUTED_VALUE"""),24.0)</f>
        <v>24</v>
      </c>
      <c r="BA241" s="71">
        <f>IFERROR(__xludf.DUMMYFUNCTION("""COMPUTED_VALUE"""),25.92)</f>
        <v>25.92</v>
      </c>
      <c r="BB241" s="71">
        <f>IFERROR(__xludf.DUMMYFUNCTION("""COMPUTED_VALUE"""),25.92)</f>
        <v>25.92</v>
      </c>
      <c r="BC241" s="71">
        <f>IFERROR(__xludf.DUMMYFUNCTION("""COMPUTED_VALUE"""),30.0)</f>
        <v>30</v>
      </c>
      <c r="BD241" s="71">
        <f>IFERROR(__xludf.DUMMYFUNCTION("""COMPUTED_VALUE"""),32.0)</f>
        <v>32</v>
      </c>
      <c r="BE241" s="71">
        <f>IFERROR(__xludf.DUMMYFUNCTION("""COMPUTED_VALUE"""),5.12)</f>
        <v>5.12</v>
      </c>
      <c r="BF241" s="71">
        <f>IFERROR(__xludf.DUMMYFUNCTION("""COMPUTED_VALUE"""),37.12)</f>
        <v>37.12</v>
      </c>
      <c r="BG241" s="71">
        <f>IFERROR(__xludf.DUMMYFUNCTION("""COMPUTED_VALUE"""),0.06666666666666667)</f>
        <v>0.06666666667</v>
      </c>
      <c r="BH241" s="71">
        <f>IFERROR(__xludf.DUMMYFUNCTION("""COMPUTED_VALUE"""),30.4)</f>
        <v>30.4</v>
      </c>
      <c r="BI241" s="71">
        <f>IFERROR(__xludf.DUMMYFUNCTION("""COMPUTED_VALUE"""),4.864)</f>
        <v>4.864</v>
      </c>
      <c r="BJ241" s="71">
        <f>IFERROR(__xludf.DUMMYFUNCTION("""COMPUTED_VALUE"""),35.263999999999996)</f>
        <v>35.264</v>
      </c>
      <c r="BK241" s="71">
        <f>IFERROR(__xludf.DUMMYFUNCTION("""COMPUTED_VALUE"""),28.8)</f>
        <v>28.8</v>
      </c>
      <c r="BL241" s="71">
        <f>IFERROR(__xludf.DUMMYFUNCTION("""COMPUTED_VALUE"""),4.6080000000000005)</f>
        <v>4.608</v>
      </c>
      <c r="BM241" s="71">
        <f>IFERROR(__xludf.DUMMYFUNCTION("""COMPUTED_VALUE"""),33.408)</f>
        <v>33.408</v>
      </c>
      <c r="BN241" s="71">
        <f>IFERROR(__xludf.DUMMYFUNCTION("""COMPUTED_VALUE"""),27.2)</f>
        <v>27.2</v>
      </c>
      <c r="BO241" s="71">
        <f>IFERROR(__xludf.DUMMYFUNCTION("""COMPUTED_VALUE"""),4.352)</f>
        <v>4.352</v>
      </c>
      <c r="BP241" s="71">
        <f>IFERROR(__xludf.DUMMYFUNCTION("""COMPUTED_VALUE"""),31.552)</f>
        <v>31.552</v>
      </c>
      <c r="BQ241" s="71">
        <f>IFERROR(__xludf.DUMMYFUNCTION("""COMPUTED_VALUE"""),26.56)</f>
        <v>26.56</v>
      </c>
      <c r="BR241" s="71">
        <f>IFERROR(__xludf.DUMMYFUNCTION("""COMPUTED_VALUE"""),4.2496)</f>
        <v>4.2496</v>
      </c>
      <c r="BS241" s="71">
        <f>IFERROR(__xludf.DUMMYFUNCTION("""COMPUTED_VALUE"""),30.8096)</f>
        <v>30.8096</v>
      </c>
      <c r="BT241" s="71">
        <f>IFERROR(__xludf.DUMMYFUNCTION("""COMPUTED_VALUE"""),25.6)</f>
        <v>25.6</v>
      </c>
      <c r="BU241" s="71">
        <f>IFERROR(__xludf.DUMMYFUNCTION("""COMPUTED_VALUE"""),4.096)</f>
        <v>4.096</v>
      </c>
      <c r="BV241" s="71">
        <f>IFERROR(__xludf.DUMMYFUNCTION("""COMPUTED_VALUE"""),29.696)</f>
        <v>29.696</v>
      </c>
    </row>
    <row r="242">
      <c r="A242" s="53">
        <v>1.0</v>
      </c>
      <c r="B242" s="72"/>
      <c r="C242" s="73" t="s">
        <v>12</v>
      </c>
      <c r="D242" s="74" t="s">
        <v>585</v>
      </c>
      <c r="E242" s="54" t="s">
        <v>38</v>
      </c>
      <c r="F242" s="54" t="s">
        <v>42</v>
      </c>
      <c r="G242" s="88" t="s">
        <v>586</v>
      </c>
      <c r="H242" s="54" t="s">
        <v>586</v>
      </c>
      <c r="I242" s="54">
        <f t="shared" si="1"/>
        <v>26</v>
      </c>
      <c r="J242" s="56"/>
      <c r="K242" s="57"/>
      <c r="L242" s="87"/>
      <c r="M242" s="59"/>
      <c r="N242" s="60">
        <v>257.0</v>
      </c>
      <c r="O242" s="61">
        <v>277.0</v>
      </c>
      <c r="P242" s="62">
        <v>299.16</v>
      </c>
      <c r="Q242" s="63">
        <v>299.16</v>
      </c>
      <c r="R242" s="64">
        <v>334.0</v>
      </c>
      <c r="S242" s="111">
        <v>351.0</v>
      </c>
      <c r="T242" s="65">
        <f t="shared" si="2"/>
        <v>56.16</v>
      </c>
      <c r="U242" s="65">
        <f t="shared" si="3"/>
        <v>407.16</v>
      </c>
      <c r="V242" s="66">
        <f t="shared" si="4"/>
        <v>0.05089820359</v>
      </c>
      <c r="W242" s="67">
        <f t="shared" si="5"/>
        <v>333.45</v>
      </c>
      <c r="X242" s="67">
        <f t="shared" si="6"/>
        <v>53.352</v>
      </c>
      <c r="Y242" s="67">
        <f t="shared" si="7"/>
        <v>386.802</v>
      </c>
      <c r="Z242" s="67">
        <f t="shared" si="8"/>
        <v>315.9</v>
      </c>
      <c r="AA242" s="67">
        <f t="shared" si="9"/>
        <v>50.544</v>
      </c>
      <c r="AB242" s="67">
        <f t="shared" si="10"/>
        <v>366.444</v>
      </c>
      <c r="AC242" s="67">
        <f t="shared" si="11"/>
        <v>298.35</v>
      </c>
      <c r="AD242" s="67">
        <f t="shared" si="12"/>
        <v>47.736</v>
      </c>
      <c r="AE242" s="67">
        <f t="shared" si="13"/>
        <v>346.086</v>
      </c>
      <c r="AF242" s="67">
        <f t="shared" si="14"/>
        <v>291.33</v>
      </c>
      <c r="AG242" s="67">
        <f t="shared" si="15"/>
        <v>46.6128</v>
      </c>
      <c r="AH242" s="67">
        <f t="shared" si="16"/>
        <v>337.9428</v>
      </c>
      <c r="AI242" s="67">
        <f t="shared" si="17"/>
        <v>280.8</v>
      </c>
      <c r="AJ242" s="68">
        <f t="shared" si="20"/>
        <v>44.928</v>
      </c>
      <c r="AK242" s="68">
        <f t="shared" si="21"/>
        <v>325.728</v>
      </c>
      <c r="AL242" s="70">
        <f>IFERROR(__xludf.DUMMYFUNCTION("""COMPUTED_VALUE"""),1.0)</f>
        <v>1</v>
      </c>
      <c r="AM242" s="70"/>
      <c r="AN242" s="71" t="str">
        <f>IFERROR(__xludf.DUMMYFUNCTION("""COMPUTED_VALUE""")," CP")</f>
        <v>CP</v>
      </c>
      <c r="AO242" s="71" t="str">
        <f>IFERROR(__xludf.DUMMYFUNCTION("""COMPUTED_VALUE""")," BJ99")</f>
        <v>BJ99</v>
      </c>
      <c r="AP242" s="71" t="str">
        <f>IFERROR(__xludf.DUMMYFUNCTION("""COMPUTED_VALUE""")," PZA")</f>
        <v>PZA</v>
      </c>
      <c r="AQ242" s="71" t="str">
        <f>IFERROR(__xludf.DUMMYFUNCTION("""COMPUTED_VALUE""")," REF")</f>
        <v>REF</v>
      </c>
      <c r="AR242" s="71" t="str">
        <f>IFERROR(__xludf.DUMMYFUNCTION("""COMPUTED_VALUE""")," BUJE DE NYLAMID PARA PUENTE ADICIONAL GRADO ALIMENTICIO")</f>
        <v>BUJE DE NYLAMID PARA PUENTE ADICIONAL GRADO ALIMENTICIO</v>
      </c>
      <c r="AS242" s="71" t="str">
        <f>IFERROR(__xludf.DUMMYFUNCTION("""COMPUTED_VALUE""")," BUJE NYLAMID PARA PUENTE ADICIONAL")</f>
        <v>BUJE NYLAMID PARA PUENTE ADICIONAL</v>
      </c>
      <c r="AT242" s="71">
        <f>IFERROR(__xludf.DUMMYFUNCTION("""COMPUTED_VALUE"""),34.0)</f>
        <v>34</v>
      </c>
      <c r="AU242" s="71"/>
      <c r="AV242" s="71"/>
      <c r="AW242" s="71"/>
      <c r="AX242" s="71"/>
      <c r="AY242" s="71">
        <f>IFERROR(__xludf.DUMMYFUNCTION("""COMPUTED_VALUE"""),23.0)</f>
        <v>23</v>
      </c>
      <c r="AZ242" s="71">
        <f>IFERROR(__xludf.DUMMYFUNCTION("""COMPUTED_VALUE"""),24.0)</f>
        <v>24</v>
      </c>
      <c r="BA242" s="71">
        <f>IFERROR(__xludf.DUMMYFUNCTION("""COMPUTED_VALUE"""),25.92)</f>
        <v>25.92</v>
      </c>
      <c r="BB242" s="71">
        <f>IFERROR(__xludf.DUMMYFUNCTION("""COMPUTED_VALUE"""),25.92)</f>
        <v>25.92</v>
      </c>
      <c r="BC242" s="71">
        <f>IFERROR(__xludf.DUMMYFUNCTION("""COMPUTED_VALUE"""),30.0)</f>
        <v>30</v>
      </c>
      <c r="BD242" s="71">
        <f>IFERROR(__xludf.DUMMYFUNCTION("""COMPUTED_VALUE"""),32.0)</f>
        <v>32</v>
      </c>
      <c r="BE242" s="71">
        <f>IFERROR(__xludf.DUMMYFUNCTION("""COMPUTED_VALUE"""),5.12)</f>
        <v>5.12</v>
      </c>
      <c r="BF242" s="71">
        <f>IFERROR(__xludf.DUMMYFUNCTION("""COMPUTED_VALUE"""),37.12)</f>
        <v>37.12</v>
      </c>
      <c r="BG242" s="71">
        <f>IFERROR(__xludf.DUMMYFUNCTION("""COMPUTED_VALUE"""),0.06666666666666667)</f>
        <v>0.06666666667</v>
      </c>
      <c r="BH242" s="71">
        <f>IFERROR(__xludf.DUMMYFUNCTION("""COMPUTED_VALUE"""),30.4)</f>
        <v>30.4</v>
      </c>
      <c r="BI242" s="71">
        <f>IFERROR(__xludf.DUMMYFUNCTION("""COMPUTED_VALUE"""),4.864)</f>
        <v>4.864</v>
      </c>
      <c r="BJ242" s="71">
        <f>IFERROR(__xludf.DUMMYFUNCTION("""COMPUTED_VALUE"""),35.263999999999996)</f>
        <v>35.264</v>
      </c>
      <c r="BK242" s="71">
        <f>IFERROR(__xludf.DUMMYFUNCTION("""COMPUTED_VALUE"""),28.8)</f>
        <v>28.8</v>
      </c>
      <c r="BL242" s="71">
        <f>IFERROR(__xludf.DUMMYFUNCTION("""COMPUTED_VALUE"""),4.6080000000000005)</f>
        <v>4.608</v>
      </c>
      <c r="BM242" s="71">
        <f>IFERROR(__xludf.DUMMYFUNCTION("""COMPUTED_VALUE"""),33.408)</f>
        <v>33.408</v>
      </c>
      <c r="BN242" s="71">
        <f>IFERROR(__xludf.DUMMYFUNCTION("""COMPUTED_VALUE"""),27.2)</f>
        <v>27.2</v>
      </c>
      <c r="BO242" s="71">
        <f>IFERROR(__xludf.DUMMYFUNCTION("""COMPUTED_VALUE"""),4.352)</f>
        <v>4.352</v>
      </c>
      <c r="BP242" s="71">
        <f>IFERROR(__xludf.DUMMYFUNCTION("""COMPUTED_VALUE"""),31.552)</f>
        <v>31.552</v>
      </c>
      <c r="BQ242" s="71">
        <f>IFERROR(__xludf.DUMMYFUNCTION("""COMPUTED_VALUE"""),26.56)</f>
        <v>26.56</v>
      </c>
      <c r="BR242" s="71">
        <f>IFERROR(__xludf.DUMMYFUNCTION("""COMPUTED_VALUE"""),4.2496)</f>
        <v>4.2496</v>
      </c>
      <c r="BS242" s="71">
        <f>IFERROR(__xludf.DUMMYFUNCTION("""COMPUTED_VALUE"""),30.8096)</f>
        <v>30.8096</v>
      </c>
      <c r="BT242" s="71">
        <f>IFERROR(__xludf.DUMMYFUNCTION("""COMPUTED_VALUE"""),25.6)</f>
        <v>25.6</v>
      </c>
      <c r="BU242" s="71">
        <f>IFERROR(__xludf.DUMMYFUNCTION("""COMPUTED_VALUE"""),4.096)</f>
        <v>4.096</v>
      </c>
      <c r="BV242" s="71">
        <f>IFERROR(__xludf.DUMMYFUNCTION("""COMPUTED_VALUE"""),29.696)</f>
        <v>29.696</v>
      </c>
    </row>
    <row r="243">
      <c r="A243" s="53"/>
      <c r="B243" s="53"/>
      <c r="C243" s="53" t="s">
        <v>12</v>
      </c>
      <c r="D243" s="53" t="s">
        <v>587</v>
      </c>
      <c r="E243" s="54" t="s">
        <v>38</v>
      </c>
      <c r="F243" s="54" t="s">
        <v>42</v>
      </c>
      <c r="G243" s="55" t="s">
        <v>588</v>
      </c>
      <c r="H243" s="54" t="s">
        <v>588</v>
      </c>
      <c r="I243" s="54">
        <f t="shared" si="1"/>
        <v>31</v>
      </c>
      <c r="J243" s="56"/>
      <c r="K243" s="75"/>
      <c r="L243" s="76"/>
      <c r="M243" s="59"/>
      <c r="N243" s="79">
        <v>148.0</v>
      </c>
      <c r="O243" s="61">
        <v>159.0</v>
      </c>
      <c r="P243" s="63">
        <v>171.72</v>
      </c>
      <c r="Q243" s="63">
        <v>171.72</v>
      </c>
      <c r="R243" s="64">
        <v>181.0</v>
      </c>
      <c r="S243" s="111">
        <v>190.0</v>
      </c>
      <c r="T243" s="65">
        <f t="shared" si="2"/>
        <v>30.4</v>
      </c>
      <c r="U243" s="65">
        <f t="shared" si="3"/>
        <v>220.4</v>
      </c>
      <c r="V243" s="66">
        <f t="shared" si="4"/>
        <v>0.04972375691</v>
      </c>
      <c r="W243" s="67">
        <f t="shared" si="5"/>
        <v>180.5</v>
      </c>
      <c r="X243" s="67">
        <f t="shared" si="6"/>
        <v>28.88</v>
      </c>
      <c r="Y243" s="67">
        <f t="shared" si="7"/>
        <v>209.38</v>
      </c>
      <c r="Z243" s="67">
        <f t="shared" si="8"/>
        <v>171</v>
      </c>
      <c r="AA243" s="67">
        <f t="shared" si="9"/>
        <v>27.36</v>
      </c>
      <c r="AB243" s="67">
        <f t="shared" si="10"/>
        <v>198.36</v>
      </c>
      <c r="AC243" s="67">
        <f t="shared" si="11"/>
        <v>161.5</v>
      </c>
      <c r="AD243" s="67">
        <f t="shared" si="12"/>
        <v>25.84</v>
      </c>
      <c r="AE243" s="67">
        <f t="shared" si="13"/>
        <v>187.34</v>
      </c>
      <c r="AF243" s="67">
        <f t="shared" si="14"/>
        <v>157.7</v>
      </c>
      <c r="AG243" s="67">
        <f t="shared" si="15"/>
        <v>25.232</v>
      </c>
      <c r="AH243" s="67">
        <f t="shared" si="16"/>
        <v>182.932</v>
      </c>
      <c r="AI243" s="67">
        <f t="shared" si="17"/>
        <v>152</v>
      </c>
      <c r="AJ243" s="68">
        <f t="shared" si="20"/>
        <v>24.32</v>
      </c>
      <c r="AK243" s="68">
        <f t="shared" si="21"/>
        <v>176.32</v>
      </c>
      <c r="AL243" s="70">
        <f>IFERROR(__xludf.DUMMYFUNCTION("""COMPUTED_VALUE"""),1.0)</f>
        <v>1</v>
      </c>
      <c r="AM243" s="70"/>
      <c r="AN243" s="71" t="str">
        <f>IFERROR(__xludf.DUMMYFUNCTION("""COMPUTED_VALUE""")," P")</f>
        <v>P</v>
      </c>
      <c r="AO243" s="71" t="str">
        <f>IFERROR(__xludf.DUMMYFUNCTION("""COMPUTED_VALUE""")," BJ13")</f>
        <v>BJ13</v>
      </c>
      <c r="AP243" s="71" t="str">
        <f>IFERROR(__xludf.DUMMYFUNCTION("""COMPUTED_VALUE""")," PZA")</f>
        <v>PZA</v>
      </c>
      <c r="AQ243" s="71" t="str">
        <f>IFERROR(__xludf.DUMMYFUNCTION("""COMPUTED_VALUE""")," REF")</f>
        <v>REF</v>
      </c>
      <c r="AR243" s="71" t="str">
        <f>IFERROR(__xludf.DUMMYFUNCTION("""COMPUTED_VALUE""")," BUJE ESPECIAL (PARA SERVICIOS)")</f>
        <v>BUJE ESPECIAL (PARA SERVICIOS)</v>
      </c>
      <c r="AS243" s="71" t="str">
        <f>IFERROR(__xludf.DUMMYFUNCTION("""COMPUTED_VALUE""")," BUJE ESPECIAL (PARA SERVICIOS)")</f>
        <v>BUJE ESPECIAL (PARA SERVICIOS)</v>
      </c>
      <c r="AT243" s="71">
        <f>IFERROR(__xludf.DUMMYFUNCTION("""COMPUTED_VALUE"""),30.0)</f>
        <v>30</v>
      </c>
      <c r="AU243" s="71"/>
      <c r="AV243" s="71"/>
      <c r="AW243" s="71"/>
      <c r="AX243" s="71"/>
      <c r="AY243" s="71"/>
      <c r="AZ243" s="71">
        <f>IFERROR(__xludf.DUMMYFUNCTION("""COMPUTED_VALUE"""),287.0)</f>
        <v>287</v>
      </c>
      <c r="BA243" s="71">
        <f>IFERROR(__xludf.DUMMYFUNCTION("""COMPUTED_VALUE"""),309.96000000000004)</f>
        <v>309.96</v>
      </c>
      <c r="BB243" s="71">
        <f>IFERROR(__xludf.DUMMYFUNCTION("""COMPUTED_VALUE"""),309.96000000000004)</f>
        <v>309.96</v>
      </c>
      <c r="BC243" s="71">
        <f>IFERROR(__xludf.DUMMYFUNCTION("""COMPUTED_VALUE"""),326.0)</f>
        <v>326</v>
      </c>
      <c r="BD243" s="71">
        <f>IFERROR(__xludf.DUMMYFUNCTION("""COMPUTED_VALUE"""),342.0)</f>
        <v>342</v>
      </c>
      <c r="BE243" s="71">
        <f>IFERROR(__xludf.DUMMYFUNCTION("""COMPUTED_VALUE"""),54.72)</f>
        <v>54.72</v>
      </c>
      <c r="BF243" s="71">
        <f>IFERROR(__xludf.DUMMYFUNCTION("""COMPUTED_VALUE"""),396.72)</f>
        <v>396.72</v>
      </c>
      <c r="BG243" s="71">
        <f>IFERROR(__xludf.DUMMYFUNCTION("""COMPUTED_VALUE"""),0.049079754601226995)</f>
        <v>0.0490797546</v>
      </c>
      <c r="BH243" s="71">
        <f>IFERROR(__xludf.DUMMYFUNCTION("""COMPUTED_VALUE"""),324.9)</f>
        <v>324.9</v>
      </c>
      <c r="BI243" s="71">
        <f>IFERROR(__xludf.DUMMYFUNCTION("""COMPUTED_VALUE"""),51.983999999999995)</f>
        <v>51.984</v>
      </c>
      <c r="BJ243" s="71">
        <f>IFERROR(__xludf.DUMMYFUNCTION("""COMPUTED_VALUE"""),376.88399999999996)</f>
        <v>376.884</v>
      </c>
      <c r="BK243" s="71">
        <f>IFERROR(__xludf.DUMMYFUNCTION("""COMPUTED_VALUE"""),307.8)</f>
        <v>307.8</v>
      </c>
      <c r="BL243" s="71">
        <f>IFERROR(__xludf.DUMMYFUNCTION("""COMPUTED_VALUE"""),49.248000000000005)</f>
        <v>49.248</v>
      </c>
      <c r="BM243" s="71">
        <f>IFERROR(__xludf.DUMMYFUNCTION("""COMPUTED_VALUE"""),357.048)</f>
        <v>357.048</v>
      </c>
      <c r="BN243" s="71">
        <f>IFERROR(__xludf.DUMMYFUNCTION("""COMPUTED_VALUE"""),290.7)</f>
        <v>290.7</v>
      </c>
      <c r="BO243" s="71">
        <f>IFERROR(__xludf.DUMMYFUNCTION("""COMPUTED_VALUE"""),46.512)</f>
        <v>46.512</v>
      </c>
      <c r="BP243" s="71">
        <f>IFERROR(__xludf.DUMMYFUNCTION("""COMPUTED_VALUE"""),337.212)</f>
        <v>337.212</v>
      </c>
      <c r="BQ243" s="71">
        <f>IFERROR(__xludf.DUMMYFUNCTION("""COMPUTED_VALUE"""),283.86)</f>
        <v>283.86</v>
      </c>
      <c r="BR243" s="71">
        <f>IFERROR(__xludf.DUMMYFUNCTION("""COMPUTED_VALUE"""),45.4176)</f>
        <v>45.4176</v>
      </c>
      <c r="BS243" s="71">
        <f>IFERROR(__xludf.DUMMYFUNCTION("""COMPUTED_VALUE"""),329.2776)</f>
        <v>329.2776</v>
      </c>
      <c r="BT243" s="71">
        <f>IFERROR(__xludf.DUMMYFUNCTION("""COMPUTED_VALUE"""),273.6)</f>
        <v>273.6</v>
      </c>
      <c r="BU243" s="71">
        <f>IFERROR(__xludf.DUMMYFUNCTION("""COMPUTED_VALUE"""),43.776)</f>
        <v>43.776</v>
      </c>
      <c r="BV243" s="71">
        <f>IFERROR(__xludf.DUMMYFUNCTION("""COMPUTED_VALUE"""),317.37600000000003)</f>
        <v>317.376</v>
      </c>
    </row>
    <row r="244">
      <c r="A244" s="53">
        <v>1.0</v>
      </c>
      <c r="B244" s="72"/>
      <c r="C244" s="73" t="s">
        <v>12</v>
      </c>
      <c r="D244" s="74" t="s">
        <v>589</v>
      </c>
      <c r="E244" s="54" t="s">
        <v>38</v>
      </c>
      <c r="F244" s="54" t="s">
        <v>42</v>
      </c>
      <c r="G244" s="88" t="s">
        <v>590</v>
      </c>
      <c r="H244" s="54" t="s">
        <v>590</v>
      </c>
      <c r="I244" s="54">
        <f t="shared" si="1"/>
        <v>30</v>
      </c>
      <c r="J244" s="56"/>
      <c r="K244" s="75"/>
      <c r="L244" s="87"/>
      <c r="M244" s="59"/>
      <c r="N244" s="60">
        <v>209.0</v>
      </c>
      <c r="O244" s="61">
        <v>171.0</v>
      </c>
      <c r="P244" s="62">
        <v>184.68</v>
      </c>
      <c r="Q244" s="63">
        <v>184.68</v>
      </c>
      <c r="R244" s="64">
        <v>206.0</v>
      </c>
      <c r="S244" s="111">
        <v>216.0</v>
      </c>
      <c r="T244" s="65">
        <f t="shared" si="2"/>
        <v>34.56</v>
      </c>
      <c r="U244" s="65">
        <f t="shared" si="3"/>
        <v>250.56</v>
      </c>
      <c r="V244" s="66">
        <f t="shared" si="4"/>
        <v>0.04854368932</v>
      </c>
      <c r="W244" s="67">
        <f t="shared" si="5"/>
        <v>205.2</v>
      </c>
      <c r="X244" s="67">
        <f t="shared" si="6"/>
        <v>32.832</v>
      </c>
      <c r="Y244" s="67">
        <f t="shared" si="7"/>
        <v>238.032</v>
      </c>
      <c r="Z244" s="67">
        <f t="shared" si="8"/>
        <v>194.4</v>
      </c>
      <c r="AA244" s="67">
        <f t="shared" si="9"/>
        <v>31.104</v>
      </c>
      <c r="AB244" s="67">
        <f t="shared" si="10"/>
        <v>225.504</v>
      </c>
      <c r="AC244" s="67">
        <f t="shared" si="11"/>
        <v>183.6</v>
      </c>
      <c r="AD244" s="67">
        <f t="shared" si="12"/>
        <v>29.376</v>
      </c>
      <c r="AE244" s="67">
        <f t="shared" si="13"/>
        <v>212.976</v>
      </c>
      <c r="AF244" s="67">
        <f t="shared" si="14"/>
        <v>179.28</v>
      </c>
      <c r="AG244" s="67">
        <f t="shared" si="15"/>
        <v>28.6848</v>
      </c>
      <c r="AH244" s="67">
        <f t="shared" si="16"/>
        <v>207.9648</v>
      </c>
      <c r="AI244" s="67">
        <f t="shared" si="17"/>
        <v>172.8</v>
      </c>
      <c r="AJ244" s="68">
        <f t="shared" si="20"/>
        <v>27.648</v>
      </c>
      <c r="AK244" s="68">
        <f t="shared" si="21"/>
        <v>200.448</v>
      </c>
      <c r="AL244" s="70">
        <f>IFERROR(__xludf.DUMMYFUNCTION("""COMPUTED_VALUE"""),1.0)</f>
        <v>1</v>
      </c>
      <c r="AM244" s="70"/>
      <c r="AN244" s="71" t="str">
        <f>IFERROR(__xludf.DUMMYFUNCTION("""COMPUTED_VALUE""")," P")</f>
        <v>P</v>
      </c>
      <c r="AO244" s="71" t="str">
        <f>IFERROR(__xludf.DUMMYFUNCTION("""COMPUTED_VALUE""")," CB02")</f>
        <v>CB02</v>
      </c>
      <c r="AP244" s="71" t="str">
        <f>IFERROR(__xludf.DUMMYFUNCTION("""COMPUTED_VALUE""")," PZA")</f>
        <v>PZA</v>
      </c>
      <c r="AQ244" s="71" t="str">
        <f>IFERROR(__xludf.DUMMYFUNCTION("""COMPUTED_VALUE""")," REF")</f>
        <v>REF</v>
      </c>
      <c r="AR244" s="71" t="str">
        <f>IFERROR(__xludf.DUMMYFUNCTION("""COMPUTED_VALUE""")," CABEZAL PARA RODILLO C/B 15/16 TV-50 (B.C.)")</f>
        <v>CABEZAL PARA RODILLO C/B 15/16 TV-50 (B.C.)</v>
      </c>
      <c r="AS244" s="71" t="str">
        <f>IFERROR(__xludf.DUMMYFUNCTION("""COMPUTED_VALUE""")," CABEZAL P/RODILLO C/B 15/16 TV50 BC")</f>
        <v>CABEZAL P/RODILLO C/B 15/16 TV50 BC</v>
      </c>
      <c r="AT244" s="71">
        <f>IFERROR(__xludf.DUMMYFUNCTION("""COMPUTED_VALUE"""),35.0)</f>
        <v>35</v>
      </c>
      <c r="AU244" s="71"/>
      <c r="AV244" s="71"/>
      <c r="AW244" s="71"/>
      <c r="AX244" s="71"/>
      <c r="AY244" s="71">
        <f>IFERROR(__xludf.DUMMYFUNCTION("""COMPUTED_VALUE"""),184.0)</f>
        <v>184</v>
      </c>
      <c r="AZ244" s="71">
        <f>IFERROR(__xludf.DUMMYFUNCTION("""COMPUTED_VALUE"""),198.0)</f>
        <v>198</v>
      </c>
      <c r="BA244" s="71">
        <f>IFERROR(__xludf.DUMMYFUNCTION("""COMPUTED_VALUE"""),213.84)</f>
        <v>213.84</v>
      </c>
      <c r="BB244" s="71">
        <f>IFERROR(__xludf.DUMMYFUNCTION("""COMPUTED_VALUE"""),213.84)</f>
        <v>213.84</v>
      </c>
      <c r="BC244" s="71">
        <f>IFERROR(__xludf.DUMMYFUNCTION("""COMPUTED_VALUE"""),239.0)</f>
        <v>239</v>
      </c>
      <c r="BD244" s="71">
        <f>IFERROR(__xludf.DUMMYFUNCTION("""COMPUTED_VALUE"""),251.0)</f>
        <v>251</v>
      </c>
      <c r="BE244" s="71">
        <f>IFERROR(__xludf.DUMMYFUNCTION("""COMPUTED_VALUE"""),40.160000000000004)</f>
        <v>40.16</v>
      </c>
      <c r="BF244" s="71">
        <f>IFERROR(__xludf.DUMMYFUNCTION("""COMPUTED_VALUE"""),291.16)</f>
        <v>291.16</v>
      </c>
      <c r="BG244" s="71">
        <f>IFERROR(__xludf.DUMMYFUNCTION("""COMPUTED_VALUE"""),0.0502092050209205)</f>
        <v>0.05020920502</v>
      </c>
      <c r="BH244" s="71">
        <f>IFERROR(__xludf.DUMMYFUNCTION("""COMPUTED_VALUE"""),238.45)</f>
        <v>238.45</v>
      </c>
      <c r="BI244" s="71">
        <f>IFERROR(__xludf.DUMMYFUNCTION("""COMPUTED_VALUE"""),38.152)</f>
        <v>38.152</v>
      </c>
      <c r="BJ244" s="71">
        <f>IFERROR(__xludf.DUMMYFUNCTION("""COMPUTED_VALUE"""),276.602)</f>
        <v>276.602</v>
      </c>
      <c r="BK244" s="71">
        <f>IFERROR(__xludf.DUMMYFUNCTION("""COMPUTED_VALUE"""),225.9)</f>
        <v>225.9</v>
      </c>
      <c r="BL244" s="71">
        <f>IFERROR(__xludf.DUMMYFUNCTION("""COMPUTED_VALUE"""),36.144)</f>
        <v>36.144</v>
      </c>
      <c r="BM244" s="71">
        <f>IFERROR(__xludf.DUMMYFUNCTION("""COMPUTED_VALUE"""),262.044)</f>
        <v>262.044</v>
      </c>
      <c r="BN244" s="71">
        <f>IFERROR(__xludf.DUMMYFUNCTION("""COMPUTED_VALUE"""),213.35)</f>
        <v>213.35</v>
      </c>
      <c r="BO244" s="71">
        <f>IFERROR(__xludf.DUMMYFUNCTION("""COMPUTED_VALUE"""),34.136)</f>
        <v>34.136</v>
      </c>
      <c r="BP244" s="71">
        <f>IFERROR(__xludf.DUMMYFUNCTION("""COMPUTED_VALUE"""),247.486)</f>
        <v>247.486</v>
      </c>
      <c r="BQ244" s="71">
        <f>IFERROR(__xludf.DUMMYFUNCTION("""COMPUTED_VALUE"""),208.32999999999998)</f>
        <v>208.33</v>
      </c>
      <c r="BR244" s="71">
        <f>IFERROR(__xludf.DUMMYFUNCTION("""COMPUTED_VALUE"""),33.3328)</f>
        <v>33.3328</v>
      </c>
      <c r="BS244" s="71">
        <f>IFERROR(__xludf.DUMMYFUNCTION("""COMPUTED_VALUE"""),241.66279999999998)</f>
        <v>241.6628</v>
      </c>
      <c r="BT244" s="71">
        <f>IFERROR(__xludf.DUMMYFUNCTION("""COMPUTED_VALUE"""),200.8)</f>
        <v>200.8</v>
      </c>
      <c r="BU244" s="71">
        <f>IFERROR(__xludf.DUMMYFUNCTION("""COMPUTED_VALUE"""),32.128)</f>
        <v>32.128</v>
      </c>
      <c r="BV244" s="71">
        <f>IFERROR(__xludf.DUMMYFUNCTION("""COMPUTED_VALUE"""),232.928)</f>
        <v>232.928</v>
      </c>
    </row>
    <row r="245">
      <c r="A245" s="53">
        <v>1.0</v>
      </c>
      <c r="B245" s="72"/>
      <c r="C245" s="73" t="s">
        <v>12</v>
      </c>
      <c r="D245" s="74" t="s">
        <v>591</v>
      </c>
      <c r="E245" s="54" t="s">
        <v>38</v>
      </c>
      <c r="F245" s="54" t="s">
        <v>42</v>
      </c>
      <c r="G245" s="88" t="s">
        <v>592</v>
      </c>
      <c r="H245" s="54" t="s">
        <v>592</v>
      </c>
      <c r="I245" s="54">
        <f t="shared" si="1"/>
        <v>26</v>
      </c>
      <c r="J245" s="56"/>
      <c r="K245" s="57"/>
      <c r="L245" s="87"/>
      <c r="M245" s="59"/>
      <c r="N245" s="60">
        <v>368.0</v>
      </c>
      <c r="O245" s="61">
        <v>397.0</v>
      </c>
      <c r="P245" s="62">
        <v>428.76000000000005</v>
      </c>
      <c r="Q245" s="63">
        <v>428.76000000000005</v>
      </c>
      <c r="R245" s="64">
        <v>478.0</v>
      </c>
      <c r="S245" s="111">
        <v>502.0</v>
      </c>
      <c r="T245" s="65">
        <f t="shared" si="2"/>
        <v>80.32</v>
      </c>
      <c r="U245" s="65">
        <f t="shared" si="3"/>
        <v>582.32</v>
      </c>
      <c r="V245" s="66">
        <f t="shared" si="4"/>
        <v>0.05020920502</v>
      </c>
      <c r="W245" s="67">
        <f t="shared" si="5"/>
        <v>476.9</v>
      </c>
      <c r="X245" s="67">
        <f t="shared" si="6"/>
        <v>76.304</v>
      </c>
      <c r="Y245" s="67">
        <f t="shared" si="7"/>
        <v>553.204</v>
      </c>
      <c r="Z245" s="67">
        <f t="shared" si="8"/>
        <v>451.8</v>
      </c>
      <c r="AA245" s="67">
        <f t="shared" si="9"/>
        <v>72.288</v>
      </c>
      <c r="AB245" s="67">
        <f t="shared" si="10"/>
        <v>524.088</v>
      </c>
      <c r="AC245" s="67">
        <f t="shared" si="11"/>
        <v>426.7</v>
      </c>
      <c r="AD245" s="67">
        <f t="shared" si="12"/>
        <v>68.272</v>
      </c>
      <c r="AE245" s="67">
        <f t="shared" si="13"/>
        <v>494.972</v>
      </c>
      <c r="AF245" s="67">
        <f t="shared" si="14"/>
        <v>416.66</v>
      </c>
      <c r="AG245" s="67">
        <f t="shared" si="15"/>
        <v>66.6656</v>
      </c>
      <c r="AH245" s="67">
        <f t="shared" si="16"/>
        <v>483.3256</v>
      </c>
      <c r="AI245" s="67">
        <f t="shared" si="17"/>
        <v>401.6</v>
      </c>
      <c r="AJ245" s="68">
        <f t="shared" si="20"/>
        <v>64.256</v>
      </c>
      <c r="AK245" s="68">
        <f t="shared" si="21"/>
        <v>465.856</v>
      </c>
      <c r="AL245" s="70">
        <f>IFERROR(__xludf.DUMMYFUNCTION("""COMPUTED_VALUE"""),1.0)</f>
        <v>1</v>
      </c>
      <c r="AM245" s="70"/>
      <c r="AN245" s="71" t="str">
        <f>IFERROR(__xludf.DUMMYFUNCTION("""COMPUTED_VALUE""")," P")</f>
        <v>P</v>
      </c>
      <c r="AO245" s="71" t="str">
        <f>IFERROR(__xludf.DUMMYFUNCTION("""COMPUTED_VALUE""")," CB03")</f>
        <v>CB03</v>
      </c>
      <c r="AP245" s="71" t="str">
        <f>IFERROR(__xludf.DUMMYFUNCTION("""COMPUTED_VALUE""")," PZA")</f>
        <v>PZA</v>
      </c>
      <c r="AQ245" s="71" t="str">
        <f>IFERROR(__xludf.DUMMYFUNCTION("""COMPUTED_VALUE""")," REF")</f>
        <v>REF</v>
      </c>
      <c r="AR245" s="71" t="str">
        <f>IFERROR(__xludf.DUMMYFUNCTION("""COMPUTED_VALUE""")," CABEZAL PARA RODILLO C/B A 1 1/4 TV-50 (B.C.)")</f>
        <v>CABEZAL PARA RODILLO C/B A 1 1/4 TV-50 (B.C.)</v>
      </c>
      <c r="AS245" s="71" t="str">
        <f>IFERROR(__xludf.DUMMYFUNCTION("""COMPUTED_VALUE""")," CABEZAL P/RODILLO C/B A 1 1/4 TV50 BC")</f>
        <v>CABEZAL P/RODILLO C/B A 1 1/4 TV50 BC</v>
      </c>
      <c r="AT245" s="71">
        <f>IFERROR(__xludf.DUMMYFUNCTION("""COMPUTED_VALUE"""),37.0)</f>
        <v>37</v>
      </c>
      <c r="AU245" s="71"/>
      <c r="AV245" s="71"/>
      <c r="AW245" s="71"/>
      <c r="AX245" s="71"/>
      <c r="AY245" s="71">
        <f>IFERROR(__xludf.DUMMYFUNCTION("""COMPUTED_VALUE"""),184.0)</f>
        <v>184</v>
      </c>
      <c r="AZ245" s="71">
        <f>IFERROR(__xludf.DUMMYFUNCTION("""COMPUTED_VALUE"""),198.0)</f>
        <v>198</v>
      </c>
      <c r="BA245" s="71">
        <f>IFERROR(__xludf.DUMMYFUNCTION("""COMPUTED_VALUE"""),213.84)</f>
        <v>213.84</v>
      </c>
      <c r="BB245" s="71">
        <f>IFERROR(__xludf.DUMMYFUNCTION("""COMPUTED_VALUE"""),213.84)</f>
        <v>213.84</v>
      </c>
      <c r="BC245" s="71">
        <f>IFERROR(__xludf.DUMMYFUNCTION("""COMPUTED_VALUE"""),239.0)</f>
        <v>239</v>
      </c>
      <c r="BD245" s="71">
        <f>IFERROR(__xludf.DUMMYFUNCTION("""COMPUTED_VALUE"""),251.0)</f>
        <v>251</v>
      </c>
      <c r="BE245" s="71">
        <f>IFERROR(__xludf.DUMMYFUNCTION("""COMPUTED_VALUE"""),40.160000000000004)</f>
        <v>40.16</v>
      </c>
      <c r="BF245" s="71">
        <f>IFERROR(__xludf.DUMMYFUNCTION("""COMPUTED_VALUE"""),291.16)</f>
        <v>291.16</v>
      </c>
      <c r="BG245" s="71">
        <f>IFERROR(__xludf.DUMMYFUNCTION("""COMPUTED_VALUE"""),0.0502092050209205)</f>
        <v>0.05020920502</v>
      </c>
      <c r="BH245" s="71">
        <f>IFERROR(__xludf.DUMMYFUNCTION("""COMPUTED_VALUE"""),238.45)</f>
        <v>238.45</v>
      </c>
      <c r="BI245" s="71">
        <f>IFERROR(__xludf.DUMMYFUNCTION("""COMPUTED_VALUE"""),38.152)</f>
        <v>38.152</v>
      </c>
      <c r="BJ245" s="71">
        <f>IFERROR(__xludf.DUMMYFUNCTION("""COMPUTED_VALUE"""),276.602)</f>
        <v>276.602</v>
      </c>
      <c r="BK245" s="71">
        <f>IFERROR(__xludf.DUMMYFUNCTION("""COMPUTED_VALUE"""),225.9)</f>
        <v>225.9</v>
      </c>
      <c r="BL245" s="71">
        <f>IFERROR(__xludf.DUMMYFUNCTION("""COMPUTED_VALUE"""),36.144)</f>
        <v>36.144</v>
      </c>
      <c r="BM245" s="71">
        <f>IFERROR(__xludf.DUMMYFUNCTION("""COMPUTED_VALUE"""),262.044)</f>
        <v>262.044</v>
      </c>
      <c r="BN245" s="71">
        <f>IFERROR(__xludf.DUMMYFUNCTION("""COMPUTED_VALUE"""),213.35)</f>
        <v>213.35</v>
      </c>
      <c r="BO245" s="71">
        <f>IFERROR(__xludf.DUMMYFUNCTION("""COMPUTED_VALUE"""),34.136)</f>
        <v>34.136</v>
      </c>
      <c r="BP245" s="71">
        <f>IFERROR(__xludf.DUMMYFUNCTION("""COMPUTED_VALUE"""),247.486)</f>
        <v>247.486</v>
      </c>
      <c r="BQ245" s="71">
        <f>IFERROR(__xludf.DUMMYFUNCTION("""COMPUTED_VALUE"""),208.32999999999998)</f>
        <v>208.33</v>
      </c>
      <c r="BR245" s="71">
        <f>IFERROR(__xludf.DUMMYFUNCTION("""COMPUTED_VALUE"""),33.3328)</f>
        <v>33.3328</v>
      </c>
      <c r="BS245" s="71">
        <f>IFERROR(__xludf.DUMMYFUNCTION("""COMPUTED_VALUE"""),241.66279999999998)</f>
        <v>241.6628</v>
      </c>
      <c r="BT245" s="71">
        <f>IFERROR(__xludf.DUMMYFUNCTION("""COMPUTED_VALUE"""),200.8)</f>
        <v>200.8</v>
      </c>
      <c r="BU245" s="71">
        <f>IFERROR(__xludf.DUMMYFUNCTION("""COMPUTED_VALUE"""),32.128)</f>
        <v>32.128</v>
      </c>
      <c r="BV245" s="71">
        <f>IFERROR(__xludf.DUMMYFUNCTION("""COMPUTED_VALUE"""),232.928)</f>
        <v>232.928</v>
      </c>
    </row>
    <row r="246">
      <c r="A246" s="53"/>
      <c r="B246" s="53"/>
      <c r="C246" s="53" t="s">
        <v>12</v>
      </c>
      <c r="D246" s="53" t="s">
        <v>593</v>
      </c>
      <c r="E246" s="54" t="s">
        <v>38</v>
      </c>
      <c r="F246" s="54" t="s">
        <v>42</v>
      </c>
      <c r="G246" s="55" t="s">
        <v>594</v>
      </c>
      <c r="H246" s="54" t="s">
        <v>594</v>
      </c>
      <c r="I246" s="54">
        <f t="shared" si="1"/>
        <v>26</v>
      </c>
      <c r="J246" s="56"/>
      <c r="K246" s="57"/>
      <c r="L246" s="76"/>
      <c r="M246" s="59"/>
      <c r="N246" s="79">
        <v>230.0</v>
      </c>
      <c r="O246" s="61">
        <v>248.0</v>
      </c>
      <c r="P246" s="63">
        <v>267.84000000000003</v>
      </c>
      <c r="Q246" s="63">
        <v>267.84000000000003</v>
      </c>
      <c r="R246" s="64">
        <v>282.0</v>
      </c>
      <c r="S246" s="111">
        <v>296.0</v>
      </c>
      <c r="T246" s="65">
        <f t="shared" si="2"/>
        <v>47.36</v>
      </c>
      <c r="U246" s="65">
        <f t="shared" si="3"/>
        <v>343.36</v>
      </c>
      <c r="V246" s="66">
        <f t="shared" si="4"/>
        <v>0.04964539007</v>
      </c>
      <c r="W246" s="67">
        <f t="shared" si="5"/>
        <v>281.2</v>
      </c>
      <c r="X246" s="67">
        <f t="shared" si="6"/>
        <v>44.992</v>
      </c>
      <c r="Y246" s="67">
        <f t="shared" si="7"/>
        <v>326.192</v>
      </c>
      <c r="Z246" s="67">
        <f t="shared" si="8"/>
        <v>266.4</v>
      </c>
      <c r="AA246" s="67">
        <f t="shared" si="9"/>
        <v>42.624</v>
      </c>
      <c r="AB246" s="67">
        <f t="shared" si="10"/>
        <v>309.024</v>
      </c>
      <c r="AC246" s="67">
        <f t="shared" si="11"/>
        <v>251.6</v>
      </c>
      <c r="AD246" s="67">
        <f t="shared" si="12"/>
        <v>40.256</v>
      </c>
      <c r="AE246" s="67">
        <f t="shared" si="13"/>
        <v>291.856</v>
      </c>
      <c r="AF246" s="67">
        <f t="shared" si="14"/>
        <v>245.68</v>
      </c>
      <c r="AG246" s="67">
        <f t="shared" si="15"/>
        <v>39.3088</v>
      </c>
      <c r="AH246" s="67">
        <f t="shared" si="16"/>
        <v>284.9888</v>
      </c>
      <c r="AI246" s="67">
        <f t="shared" si="17"/>
        <v>236.8</v>
      </c>
      <c r="AJ246" s="68">
        <f t="shared" si="20"/>
        <v>37.888</v>
      </c>
      <c r="AK246" s="68">
        <f t="shared" si="21"/>
        <v>274.688</v>
      </c>
      <c r="AL246" s="70">
        <f>IFERROR(__xludf.DUMMYFUNCTION("""COMPUTED_VALUE"""),1.0)</f>
        <v>1</v>
      </c>
      <c r="AM246" s="70"/>
      <c r="AN246" s="71" t="str">
        <f>IFERROR(__xludf.DUMMYFUNCTION("""COMPUTED_VALUE""")," P")</f>
        <v>P</v>
      </c>
      <c r="AO246" s="71" t="str">
        <f>IFERROR(__xludf.DUMMYFUNCTION("""COMPUTED_VALUE""")," CB01")</f>
        <v>CB01</v>
      </c>
      <c r="AP246" s="71" t="str">
        <f>IFERROR(__xludf.DUMMYFUNCTION("""COMPUTED_VALUE""")," PZA")</f>
        <v>PZA</v>
      </c>
      <c r="AQ246" s="71" t="str">
        <f>IFERROR(__xludf.DUMMYFUNCTION("""COMPUTED_VALUE""")," REF")</f>
        <v>REF</v>
      </c>
      <c r="AR246" s="71" t="str">
        <f>IFERROR(__xludf.DUMMYFUNCTION("""COMPUTED_VALUE""")," CABEZAL PARA RODILLO C/B A 1"" TV-50 (B.C.)")</f>
        <v>CABEZAL PARA RODILLO C/B A 1" TV-50 (B.C.)</v>
      </c>
      <c r="AS246" s="71" t="str">
        <f>IFERROR(__xludf.DUMMYFUNCTION("""COMPUTED_VALUE""")," CABEZAL P/RODILLO C/B A 1 TV50 BC")</f>
        <v>CABEZAL P/RODILLO C/B A 1 TV50 BC</v>
      </c>
      <c r="AT246" s="71">
        <f>IFERROR(__xludf.DUMMYFUNCTION("""COMPUTED_VALUE"""),33.0)</f>
        <v>33</v>
      </c>
      <c r="AU246" s="71"/>
      <c r="AV246" s="71"/>
      <c r="AW246" s="71"/>
      <c r="AX246" s="71"/>
      <c r="AY246" s="71">
        <f>IFERROR(__xludf.DUMMYFUNCTION("""COMPUTED_VALUE"""),184.0)</f>
        <v>184</v>
      </c>
      <c r="AZ246" s="71">
        <f>IFERROR(__xludf.DUMMYFUNCTION("""COMPUTED_VALUE"""),198.0)</f>
        <v>198</v>
      </c>
      <c r="BA246" s="71">
        <f>IFERROR(__xludf.DUMMYFUNCTION("""COMPUTED_VALUE"""),213.84)</f>
        <v>213.84</v>
      </c>
      <c r="BB246" s="71">
        <f>IFERROR(__xludf.DUMMYFUNCTION("""COMPUTED_VALUE"""),213.84)</f>
        <v>213.84</v>
      </c>
      <c r="BC246" s="71">
        <f>IFERROR(__xludf.DUMMYFUNCTION("""COMPUTED_VALUE"""),239.0)</f>
        <v>239</v>
      </c>
      <c r="BD246" s="71">
        <f>IFERROR(__xludf.DUMMYFUNCTION("""COMPUTED_VALUE"""),251.0)</f>
        <v>251</v>
      </c>
      <c r="BE246" s="71">
        <f>IFERROR(__xludf.DUMMYFUNCTION("""COMPUTED_VALUE"""),40.160000000000004)</f>
        <v>40.16</v>
      </c>
      <c r="BF246" s="71">
        <f>IFERROR(__xludf.DUMMYFUNCTION("""COMPUTED_VALUE"""),291.16)</f>
        <v>291.16</v>
      </c>
      <c r="BG246" s="71">
        <f>IFERROR(__xludf.DUMMYFUNCTION("""COMPUTED_VALUE"""),0.0502092050209205)</f>
        <v>0.05020920502</v>
      </c>
      <c r="BH246" s="71">
        <f>IFERROR(__xludf.DUMMYFUNCTION("""COMPUTED_VALUE"""),238.45)</f>
        <v>238.45</v>
      </c>
      <c r="BI246" s="71">
        <f>IFERROR(__xludf.DUMMYFUNCTION("""COMPUTED_VALUE"""),38.152)</f>
        <v>38.152</v>
      </c>
      <c r="BJ246" s="71">
        <f>IFERROR(__xludf.DUMMYFUNCTION("""COMPUTED_VALUE"""),276.602)</f>
        <v>276.602</v>
      </c>
      <c r="BK246" s="71">
        <f>IFERROR(__xludf.DUMMYFUNCTION("""COMPUTED_VALUE"""),225.9)</f>
        <v>225.9</v>
      </c>
      <c r="BL246" s="71">
        <f>IFERROR(__xludf.DUMMYFUNCTION("""COMPUTED_VALUE"""),36.144)</f>
        <v>36.144</v>
      </c>
      <c r="BM246" s="71">
        <f>IFERROR(__xludf.DUMMYFUNCTION("""COMPUTED_VALUE"""),262.044)</f>
        <v>262.044</v>
      </c>
      <c r="BN246" s="71">
        <f>IFERROR(__xludf.DUMMYFUNCTION("""COMPUTED_VALUE"""),213.35)</f>
        <v>213.35</v>
      </c>
      <c r="BO246" s="71">
        <f>IFERROR(__xludf.DUMMYFUNCTION("""COMPUTED_VALUE"""),34.136)</f>
        <v>34.136</v>
      </c>
      <c r="BP246" s="71">
        <f>IFERROR(__xludf.DUMMYFUNCTION("""COMPUTED_VALUE"""),247.486)</f>
        <v>247.486</v>
      </c>
      <c r="BQ246" s="71">
        <f>IFERROR(__xludf.DUMMYFUNCTION("""COMPUTED_VALUE"""),208.32999999999998)</f>
        <v>208.33</v>
      </c>
      <c r="BR246" s="71">
        <f>IFERROR(__xludf.DUMMYFUNCTION("""COMPUTED_VALUE"""),33.3328)</f>
        <v>33.3328</v>
      </c>
      <c r="BS246" s="71">
        <f>IFERROR(__xludf.DUMMYFUNCTION("""COMPUTED_VALUE"""),241.66279999999998)</f>
        <v>241.6628</v>
      </c>
      <c r="BT246" s="71">
        <f>IFERROR(__xludf.DUMMYFUNCTION("""COMPUTED_VALUE"""),200.8)</f>
        <v>200.8</v>
      </c>
      <c r="BU246" s="71">
        <f>IFERROR(__xludf.DUMMYFUNCTION("""COMPUTED_VALUE"""),32.128)</f>
        <v>32.128</v>
      </c>
      <c r="BV246" s="71">
        <f>IFERROR(__xludf.DUMMYFUNCTION("""COMPUTED_VALUE"""),232.928)</f>
        <v>232.928</v>
      </c>
    </row>
    <row r="247">
      <c r="A247" s="53"/>
      <c r="B247" s="53"/>
      <c r="C247" s="53" t="s">
        <v>12</v>
      </c>
      <c r="D247" s="53" t="s">
        <v>595</v>
      </c>
      <c r="E247" s="54" t="s">
        <v>38</v>
      </c>
      <c r="F247" s="54" t="s">
        <v>42</v>
      </c>
      <c r="G247" s="55" t="s">
        <v>596</v>
      </c>
      <c r="H247" s="54" t="s">
        <v>596</v>
      </c>
      <c r="I247" s="54">
        <f t="shared" si="1"/>
        <v>31</v>
      </c>
      <c r="J247" s="56"/>
      <c r="K247" s="57"/>
      <c r="L247" s="76"/>
      <c r="M247" s="59"/>
      <c r="N247" s="79">
        <v>173.0</v>
      </c>
      <c r="O247" s="61">
        <v>186.0</v>
      </c>
      <c r="P247" s="63">
        <v>200.88000000000002</v>
      </c>
      <c r="Q247" s="63">
        <v>200.88000000000002</v>
      </c>
      <c r="R247" s="64">
        <v>212.0</v>
      </c>
      <c r="S247" s="65">
        <v>223.0</v>
      </c>
      <c r="T247" s="65">
        <f t="shared" si="2"/>
        <v>35.68</v>
      </c>
      <c r="U247" s="65">
        <f t="shared" si="3"/>
        <v>258.68</v>
      </c>
      <c r="V247" s="66">
        <f t="shared" si="4"/>
        <v>0.05188679245</v>
      </c>
      <c r="W247" s="67">
        <f t="shared" si="5"/>
        <v>211.85</v>
      </c>
      <c r="X247" s="67">
        <f t="shared" si="6"/>
        <v>33.896</v>
      </c>
      <c r="Y247" s="67">
        <f t="shared" si="7"/>
        <v>245.746</v>
      </c>
      <c r="Z247" s="67">
        <f t="shared" si="8"/>
        <v>200.7</v>
      </c>
      <c r="AA247" s="67">
        <f t="shared" si="9"/>
        <v>32.112</v>
      </c>
      <c r="AB247" s="67">
        <f t="shared" si="10"/>
        <v>232.812</v>
      </c>
      <c r="AC247" s="67">
        <f t="shared" si="11"/>
        <v>189.55</v>
      </c>
      <c r="AD247" s="67">
        <f t="shared" si="12"/>
        <v>30.328</v>
      </c>
      <c r="AE247" s="67">
        <f t="shared" si="13"/>
        <v>219.878</v>
      </c>
      <c r="AF247" s="67">
        <f t="shared" si="14"/>
        <v>185.09</v>
      </c>
      <c r="AG247" s="67">
        <f t="shared" si="15"/>
        <v>29.6144</v>
      </c>
      <c r="AH247" s="67">
        <f t="shared" si="16"/>
        <v>214.7044</v>
      </c>
      <c r="AI247" s="67">
        <f t="shared" si="17"/>
        <v>178.4</v>
      </c>
      <c r="AJ247" s="68">
        <f t="shared" si="20"/>
        <v>28.544</v>
      </c>
      <c r="AK247" s="68">
        <f t="shared" si="21"/>
        <v>206.944</v>
      </c>
      <c r="AL247" s="70">
        <f>IFERROR(__xludf.DUMMYFUNCTION("""COMPUTED_VALUE"""),1.0)</f>
        <v>1</v>
      </c>
      <c r="AM247" s="70"/>
      <c r="AN247" s="71" t="str">
        <f>IFERROR(__xludf.DUMMYFUNCTION("""COMPUTED_VALUE""")," P")</f>
        <v>P</v>
      </c>
      <c r="AO247" s="71" t="str">
        <f>IFERROR(__xludf.DUMMYFUNCTION("""COMPUTED_VALUE""")," CB06")</f>
        <v>CB06</v>
      </c>
      <c r="AP247" s="71" t="str">
        <f>IFERROR(__xludf.DUMMYFUNCTION("""COMPUTED_VALUE""")," PZA")</f>
        <v>PZA</v>
      </c>
      <c r="AQ247" s="71" t="str">
        <f>IFERROR(__xludf.DUMMYFUNCTION("""COMPUTED_VALUE""")," REF")</f>
        <v>REF</v>
      </c>
      <c r="AR247" s="71" t="str">
        <f>IFERROR(__xludf.DUMMYFUNCTION("""COMPUTED_VALUE""")," CABEZAL PARA RODILLO TIPO TV-50 (B.C.) CON CEJA (IZQUIERDO)")</f>
        <v>CABEZAL PARA RODILLO TIPO TV-50 (B.C.) CON CEJA (IZQUIERDO)</v>
      </c>
      <c r="AS247" s="71" t="str">
        <f>IFERROR(__xludf.DUMMYFUNCTION("""COMPUTED_VALUE""")," CABEZAL P/RODILLO TV50 BC C/CEJA IZQ")</f>
        <v>CABEZAL P/RODILLO TV50 BC C/CEJA IZQ</v>
      </c>
      <c r="AT247" s="71">
        <f>IFERROR(__xludf.DUMMYFUNCTION("""COMPUTED_VALUE"""),36.0)</f>
        <v>36</v>
      </c>
      <c r="AU247" s="71"/>
      <c r="AV247" s="71"/>
      <c r="AW247" s="71"/>
      <c r="AX247" s="71"/>
      <c r="AY247" s="71">
        <f>IFERROR(__xludf.DUMMYFUNCTION("""COMPUTED_VALUE"""),193.0)</f>
        <v>193</v>
      </c>
      <c r="AZ247" s="71">
        <f>IFERROR(__xludf.DUMMYFUNCTION("""COMPUTED_VALUE"""),208.0)</f>
        <v>208</v>
      </c>
      <c r="BA247" s="71">
        <f>IFERROR(__xludf.DUMMYFUNCTION("""COMPUTED_VALUE"""),224.64000000000001)</f>
        <v>224.64</v>
      </c>
      <c r="BB247" s="71">
        <f>IFERROR(__xludf.DUMMYFUNCTION("""COMPUTED_VALUE"""),224.64000000000001)</f>
        <v>224.64</v>
      </c>
      <c r="BC247" s="71">
        <f>IFERROR(__xludf.DUMMYFUNCTION("""COMPUTED_VALUE"""),251.0)</f>
        <v>251</v>
      </c>
      <c r="BD247" s="71">
        <f>IFERROR(__xludf.DUMMYFUNCTION("""COMPUTED_VALUE"""),264.0)</f>
        <v>264</v>
      </c>
      <c r="BE247" s="71">
        <f>IFERROR(__xludf.DUMMYFUNCTION("""COMPUTED_VALUE"""),42.24)</f>
        <v>42.24</v>
      </c>
      <c r="BF247" s="71">
        <f>IFERROR(__xludf.DUMMYFUNCTION("""COMPUTED_VALUE"""),306.24)</f>
        <v>306.24</v>
      </c>
      <c r="BG247" s="71">
        <f>IFERROR(__xludf.DUMMYFUNCTION("""COMPUTED_VALUE"""),0.05179282868525897)</f>
        <v>0.05179282869</v>
      </c>
      <c r="BH247" s="71">
        <f>IFERROR(__xludf.DUMMYFUNCTION("""COMPUTED_VALUE"""),250.79999999999998)</f>
        <v>250.8</v>
      </c>
      <c r="BI247" s="71">
        <f>IFERROR(__xludf.DUMMYFUNCTION("""COMPUTED_VALUE"""),40.128)</f>
        <v>40.128</v>
      </c>
      <c r="BJ247" s="71">
        <f>IFERROR(__xludf.DUMMYFUNCTION("""COMPUTED_VALUE"""),290.928)</f>
        <v>290.928</v>
      </c>
      <c r="BK247" s="71">
        <f>IFERROR(__xludf.DUMMYFUNCTION("""COMPUTED_VALUE"""),237.6)</f>
        <v>237.6</v>
      </c>
      <c r="BL247" s="71">
        <f>IFERROR(__xludf.DUMMYFUNCTION("""COMPUTED_VALUE"""),38.016)</f>
        <v>38.016</v>
      </c>
      <c r="BM247" s="71">
        <f>IFERROR(__xludf.DUMMYFUNCTION("""COMPUTED_VALUE"""),275.616)</f>
        <v>275.616</v>
      </c>
      <c r="BN247" s="71">
        <f>IFERROR(__xludf.DUMMYFUNCTION("""COMPUTED_VALUE"""),224.4)</f>
        <v>224.4</v>
      </c>
      <c r="BO247" s="71">
        <f>IFERROR(__xludf.DUMMYFUNCTION("""COMPUTED_VALUE"""),35.904)</f>
        <v>35.904</v>
      </c>
      <c r="BP247" s="71">
        <f>IFERROR(__xludf.DUMMYFUNCTION("""COMPUTED_VALUE"""),260.30400000000003)</f>
        <v>260.304</v>
      </c>
      <c r="BQ247" s="71">
        <f>IFERROR(__xludf.DUMMYFUNCTION("""COMPUTED_VALUE"""),219.11999999999998)</f>
        <v>219.12</v>
      </c>
      <c r="BR247" s="71">
        <f>IFERROR(__xludf.DUMMYFUNCTION("""COMPUTED_VALUE"""),35.0592)</f>
        <v>35.0592</v>
      </c>
      <c r="BS247" s="71">
        <f>IFERROR(__xludf.DUMMYFUNCTION("""COMPUTED_VALUE"""),254.17919999999998)</f>
        <v>254.1792</v>
      </c>
      <c r="BT247" s="71">
        <f>IFERROR(__xludf.DUMMYFUNCTION("""COMPUTED_VALUE"""),211.20000000000002)</f>
        <v>211.2</v>
      </c>
      <c r="BU247" s="71">
        <f>IFERROR(__xludf.DUMMYFUNCTION("""COMPUTED_VALUE"""),33.792)</f>
        <v>33.792</v>
      </c>
      <c r="BV247" s="71">
        <f>IFERROR(__xludf.DUMMYFUNCTION("""COMPUTED_VALUE"""),244.99200000000002)</f>
        <v>244.992</v>
      </c>
    </row>
    <row r="248">
      <c r="A248" s="53">
        <v>1.0</v>
      </c>
      <c r="B248" s="53"/>
      <c r="C248" s="53" t="s">
        <v>12</v>
      </c>
      <c r="D248" s="53" t="s">
        <v>597</v>
      </c>
      <c r="E248" s="86" t="s">
        <v>38</v>
      </c>
      <c r="F248" s="91" t="s">
        <v>42</v>
      </c>
      <c r="G248" s="84" t="s">
        <v>598</v>
      </c>
      <c r="H248" s="84" t="s">
        <v>598</v>
      </c>
      <c r="I248" s="54">
        <f t="shared" si="1"/>
        <v>26</v>
      </c>
      <c r="J248" s="56"/>
      <c r="K248" s="57"/>
      <c r="L248" s="119"/>
      <c r="M248" s="124"/>
      <c r="N248" s="93"/>
      <c r="O248" s="61"/>
      <c r="P248" s="90"/>
      <c r="Q248" s="94"/>
      <c r="R248" s="95"/>
      <c r="S248" s="111">
        <v>230.0</v>
      </c>
      <c r="T248" s="127">
        <f t="shared" si="2"/>
        <v>36.8</v>
      </c>
      <c r="U248" s="127">
        <f t="shared" si="3"/>
        <v>266.8</v>
      </c>
      <c r="V248" s="127" t="str">
        <f t="shared" si="4"/>
        <v>#DIV/0!</v>
      </c>
      <c r="W248" s="127">
        <f t="shared" si="5"/>
        <v>218.5</v>
      </c>
      <c r="X248" s="127">
        <f t="shared" si="6"/>
        <v>34.96</v>
      </c>
      <c r="Y248" s="127">
        <f t="shared" si="7"/>
        <v>253.46</v>
      </c>
      <c r="Z248" s="127">
        <f t="shared" si="8"/>
        <v>207</v>
      </c>
      <c r="AA248" s="127">
        <f t="shared" si="9"/>
        <v>33.12</v>
      </c>
      <c r="AB248" s="127">
        <f t="shared" si="10"/>
        <v>240.12</v>
      </c>
      <c r="AC248" s="127">
        <f t="shared" si="11"/>
        <v>195.5</v>
      </c>
      <c r="AD248" s="127">
        <f t="shared" si="12"/>
        <v>31.28</v>
      </c>
      <c r="AE248" s="127">
        <f t="shared" si="13"/>
        <v>226.78</v>
      </c>
      <c r="AF248" s="127">
        <f t="shared" si="14"/>
        <v>190.9</v>
      </c>
      <c r="AG248" s="127">
        <f t="shared" si="15"/>
        <v>30.544</v>
      </c>
      <c r="AH248" s="127">
        <f t="shared" si="16"/>
        <v>221.444</v>
      </c>
      <c r="AI248" s="127">
        <f t="shared" si="17"/>
        <v>184</v>
      </c>
      <c r="AJ248" s="127">
        <f t="shared" si="20"/>
        <v>29.44</v>
      </c>
      <c r="AK248" s="127">
        <f t="shared" si="21"/>
        <v>213.44</v>
      </c>
      <c r="AL248" s="70">
        <f>IFERROR(__xludf.DUMMYFUNCTION("""COMPUTED_VALUE"""),1.0)</f>
        <v>1</v>
      </c>
      <c r="AM248" s="70"/>
      <c r="AN248" s="71" t="str">
        <f>IFERROR(__xludf.DUMMYFUNCTION("""COMPUTED_VALUE""")," P")</f>
        <v>P</v>
      </c>
      <c r="AO248" s="71" t="str">
        <f>IFERROR(__xludf.DUMMYFUNCTION("""COMPUTED_VALUE""")," CB05")</f>
        <v>CB05</v>
      </c>
      <c r="AP248" s="71" t="str">
        <f>IFERROR(__xludf.DUMMYFUNCTION("""COMPUTED_VALUE""")," PZA")</f>
        <v>PZA</v>
      </c>
      <c r="AQ248" s="71" t="str">
        <f>IFERROR(__xludf.DUMMYFUNCTION("""COMPUTED_VALUE""")," REF")</f>
        <v>REF</v>
      </c>
      <c r="AR248" s="71" t="str">
        <f>IFERROR(__xludf.DUMMYFUNCTION("""COMPUTED_VALUE""")," CABEZAL PARA RODILLO TIPO TV-50 (B.C) CON CEJA (DERECHO)")</f>
        <v>CABEZAL PARA RODILLO TIPO TV-50 (B.C) CON CEJA (DERECHO)</v>
      </c>
      <c r="AS248" s="71" t="str">
        <f>IFERROR(__xludf.DUMMYFUNCTION("""COMPUTED_VALUE""")," CABEZAL P/RODILLO TV50 BC CON CEJA DER")</f>
        <v>CABEZAL P/RODILLO TV50 BC CON CEJA DER</v>
      </c>
      <c r="AT248" s="71">
        <f>IFERROR(__xludf.DUMMYFUNCTION("""COMPUTED_VALUE"""),38.0)</f>
        <v>38</v>
      </c>
      <c r="AU248" s="71"/>
      <c r="AV248" s="71"/>
      <c r="AW248" s="71"/>
      <c r="AX248" s="71"/>
      <c r="AY248" s="71">
        <f>IFERROR(__xludf.DUMMYFUNCTION("""COMPUTED_VALUE"""),193.0)</f>
        <v>193</v>
      </c>
      <c r="AZ248" s="71">
        <f>IFERROR(__xludf.DUMMYFUNCTION("""COMPUTED_VALUE"""),208.0)</f>
        <v>208</v>
      </c>
      <c r="BA248" s="71">
        <f>IFERROR(__xludf.DUMMYFUNCTION("""COMPUTED_VALUE"""),224.64000000000001)</f>
        <v>224.64</v>
      </c>
      <c r="BB248" s="71">
        <f>IFERROR(__xludf.DUMMYFUNCTION("""COMPUTED_VALUE"""),224.64000000000001)</f>
        <v>224.64</v>
      </c>
      <c r="BC248" s="71">
        <f>IFERROR(__xludf.DUMMYFUNCTION("""COMPUTED_VALUE"""),251.0)</f>
        <v>251</v>
      </c>
      <c r="BD248" s="71">
        <f>IFERROR(__xludf.DUMMYFUNCTION("""COMPUTED_VALUE"""),264.0)</f>
        <v>264</v>
      </c>
      <c r="BE248" s="71">
        <f>IFERROR(__xludf.DUMMYFUNCTION("""COMPUTED_VALUE"""),42.24)</f>
        <v>42.24</v>
      </c>
      <c r="BF248" s="71">
        <f>IFERROR(__xludf.DUMMYFUNCTION("""COMPUTED_VALUE"""),306.24)</f>
        <v>306.24</v>
      </c>
      <c r="BG248" s="71">
        <f>IFERROR(__xludf.DUMMYFUNCTION("""COMPUTED_VALUE"""),0.05179282868525897)</f>
        <v>0.05179282869</v>
      </c>
      <c r="BH248" s="71">
        <f>IFERROR(__xludf.DUMMYFUNCTION("""COMPUTED_VALUE"""),250.79999999999998)</f>
        <v>250.8</v>
      </c>
      <c r="BI248" s="71">
        <f>IFERROR(__xludf.DUMMYFUNCTION("""COMPUTED_VALUE"""),40.128)</f>
        <v>40.128</v>
      </c>
      <c r="BJ248" s="71">
        <f>IFERROR(__xludf.DUMMYFUNCTION("""COMPUTED_VALUE"""),290.928)</f>
        <v>290.928</v>
      </c>
      <c r="BK248" s="71">
        <f>IFERROR(__xludf.DUMMYFUNCTION("""COMPUTED_VALUE"""),237.6)</f>
        <v>237.6</v>
      </c>
      <c r="BL248" s="71">
        <f>IFERROR(__xludf.DUMMYFUNCTION("""COMPUTED_VALUE"""),38.016)</f>
        <v>38.016</v>
      </c>
      <c r="BM248" s="71">
        <f>IFERROR(__xludf.DUMMYFUNCTION("""COMPUTED_VALUE"""),275.616)</f>
        <v>275.616</v>
      </c>
      <c r="BN248" s="71">
        <f>IFERROR(__xludf.DUMMYFUNCTION("""COMPUTED_VALUE"""),224.4)</f>
        <v>224.4</v>
      </c>
      <c r="BO248" s="71">
        <f>IFERROR(__xludf.DUMMYFUNCTION("""COMPUTED_VALUE"""),35.904)</f>
        <v>35.904</v>
      </c>
      <c r="BP248" s="71">
        <f>IFERROR(__xludf.DUMMYFUNCTION("""COMPUTED_VALUE"""),260.30400000000003)</f>
        <v>260.304</v>
      </c>
      <c r="BQ248" s="71">
        <f>IFERROR(__xludf.DUMMYFUNCTION("""COMPUTED_VALUE"""),219.11999999999998)</f>
        <v>219.12</v>
      </c>
      <c r="BR248" s="71">
        <f>IFERROR(__xludf.DUMMYFUNCTION("""COMPUTED_VALUE"""),35.0592)</f>
        <v>35.0592</v>
      </c>
      <c r="BS248" s="71">
        <f>IFERROR(__xludf.DUMMYFUNCTION("""COMPUTED_VALUE"""),254.17919999999998)</f>
        <v>254.1792</v>
      </c>
      <c r="BT248" s="71">
        <f>IFERROR(__xludf.DUMMYFUNCTION("""COMPUTED_VALUE"""),211.20000000000002)</f>
        <v>211.2</v>
      </c>
      <c r="BU248" s="71">
        <f>IFERROR(__xludf.DUMMYFUNCTION("""COMPUTED_VALUE"""),33.792)</f>
        <v>33.792</v>
      </c>
      <c r="BV248" s="71">
        <f>IFERROR(__xludf.DUMMYFUNCTION("""COMPUTED_VALUE"""),244.99200000000002)</f>
        <v>244.992</v>
      </c>
    </row>
    <row r="249">
      <c r="A249" s="53">
        <v>1.0</v>
      </c>
      <c r="B249" s="53"/>
      <c r="C249" s="53" t="s">
        <v>12</v>
      </c>
      <c r="D249" s="53" t="s">
        <v>599</v>
      </c>
      <c r="E249" s="86" t="s">
        <v>38</v>
      </c>
      <c r="F249" s="91" t="s">
        <v>42</v>
      </c>
      <c r="G249" s="84" t="s">
        <v>600</v>
      </c>
      <c r="H249" s="84" t="s">
        <v>600</v>
      </c>
      <c r="I249" s="54">
        <f t="shared" si="1"/>
        <v>26</v>
      </c>
      <c r="J249" s="56"/>
      <c r="K249" s="57"/>
      <c r="L249" s="119"/>
      <c r="M249" s="59"/>
      <c r="N249" s="93"/>
      <c r="O249" s="61"/>
      <c r="P249" s="90"/>
      <c r="Q249" s="94"/>
      <c r="R249" s="95"/>
      <c r="S249" s="111">
        <v>248.7</v>
      </c>
      <c r="T249" s="127">
        <f t="shared" si="2"/>
        <v>39.792</v>
      </c>
      <c r="U249" s="127">
        <f t="shared" si="3"/>
        <v>288.492</v>
      </c>
      <c r="V249" s="127" t="str">
        <f t="shared" si="4"/>
        <v>#DIV/0!</v>
      </c>
      <c r="W249" s="127">
        <f t="shared" si="5"/>
        <v>236.265</v>
      </c>
      <c r="X249" s="127">
        <f t="shared" si="6"/>
        <v>37.8024</v>
      </c>
      <c r="Y249" s="127">
        <f t="shared" si="7"/>
        <v>274.0674</v>
      </c>
      <c r="Z249" s="127">
        <f t="shared" si="8"/>
        <v>223.83</v>
      </c>
      <c r="AA249" s="127">
        <f t="shared" si="9"/>
        <v>35.8128</v>
      </c>
      <c r="AB249" s="127">
        <f t="shared" si="10"/>
        <v>259.6428</v>
      </c>
      <c r="AC249" s="127">
        <f t="shared" si="11"/>
        <v>211.395</v>
      </c>
      <c r="AD249" s="127">
        <f t="shared" si="12"/>
        <v>33.8232</v>
      </c>
      <c r="AE249" s="127">
        <f t="shared" si="13"/>
        <v>245.2182</v>
      </c>
      <c r="AF249" s="127">
        <f t="shared" si="14"/>
        <v>206.421</v>
      </c>
      <c r="AG249" s="127">
        <f t="shared" si="15"/>
        <v>33.02736</v>
      </c>
      <c r="AH249" s="127">
        <f t="shared" si="16"/>
        <v>239.44836</v>
      </c>
      <c r="AI249" s="127">
        <f t="shared" si="17"/>
        <v>198.96</v>
      </c>
      <c r="AJ249" s="127">
        <f t="shared" si="20"/>
        <v>31.8336</v>
      </c>
      <c r="AK249" s="127">
        <f t="shared" si="21"/>
        <v>230.7936</v>
      </c>
      <c r="AL249" s="70">
        <f>IFERROR(__xludf.DUMMYFUNCTION("""COMPUTED_VALUE"""),1.0)</f>
        <v>1</v>
      </c>
      <c r="AM249" s="70"/>
      <c r="AN249" s="71" t="str">
        <f>IFERROR(__xludf.DUMMYFUNCTION("""COMPUTED_VALUE""")," C")</f>
        <v>C</v>
      </c>
      <c r="AO249" s="71" t="str">
        <f>IFERROR(__xludf.DUMMYFUNCTION("""COMPUTED_VALUE""")," CD02")</f>
        <v>CD02</v>
      </c>
      <c r="AP249" s="71" t="str">
        <f>IFERROR(__xludf.DUMMYFUNCTION("""COMPUTED_VALUE""")," PZA")</f>
        <v>PZA</v>
      </c>
      <c r="AQ249" s="71" t="str">
        <f>IFERROR(__xludf.DUMMYFUNCTION("""COMPUTED_VALUE""")," REF")</f>
        <v>REF</v>
      </c>
      <c r="AR249" s="71" t="str">
        <f>IFERROR(__xludf.DUMMYFUNCTION("""COMPUTED_VALUE""")," CADENA P40 CAJA ")</f>
        <v>CADENA P40 CAJA </v>
      </c>
      <c r="AS249" s="71" t="str">
        <f>IFERROR(__xludf.DUMMYFUNCTION("""COMPUTED_VALUE""")," CADENA P40 CAJA ")</f>
        <v>CADENA P40 CAJA </v>
      </c>
      <c r="AT249" s="71">
        <f>IFERROR(__xludf.DUMMYFUNCTION("""COMPUTED_VALUE"""),16.0)</f>
        <v>16</v>
      </c>
      <c r="AU249" s="71"/>
      <c r="AV249" s="71"/>
      <c r="AW249" s="71"/>
      <c r="AX249" s="71"/>
      <c r="AY249" s="71">
        <f>IFERROR(__xludf.DUMMYFUNCTION("""COMPUTED_VALUE"""),256.0)</f>
        <v>256</v>
      </c>
      <c r="AZ249" s="71">
        <f>IFERROR(__xludf.DUMMYFUNCTION("""COMPUTED_VALUE"""),276.0)</f>
        <v>276</v>
      </c>
      <c r="BA249" s="71">
        <f>IFERROR(__xludf.DUMMYFUNCTION("""COMPUTED_VALUE"""),215.0)</f>
        <v>215</v>
      </c>
      <c r="BB249" s="71">
        <f>IFERROR(__xludf.DUMMYFUNCTION("""COMPUTED_VALUE"""),215.0)</f>
        <v>215</v>
      </c>
      <c r="BC249" s="71">
        <f>IFERROR(__xludf.DUMMYFUNCTION("""COMPUTED_VALUE"""),342.0)</f>
        <v>342</v>
      </c>
      <c r="BD249" s="71">
        <f>IFERROR(__xludf.DUMMYFUNCTION("""COMPUTED_VALUE"""),359.0)</f>
        <v>359</v>
      </c>
      <c r="BE249" s="71">
        <f>IFERROR(__xludf.DUMMYFUNCTION("""COMPUTED_VALUE"""),57.44)</f>
        <v>57.44</v>
      </c>
      <c r="BF249" s="71">
        <f>IFERROR(__xludf.DUMMYFUNCTION("""COMPUTED_VALUE"""),416.44)</f>
        <v>416.44</v>
      </c>
      <c r="BG249" s="71">
        <f>IFERROR(__xludf.DUMMYFUNCTION("""COMPUTED_VALUE"""),0.049707602339181284)</f>
        <v>0.04970760234</v>
      </c>
      <c r="BH249" s="71">
        <f>IFERROR(__xludf.DUMMYFUNCTION("""COMPUTED_VALUE"""),341.05)</f>
        <v>341.05</v>
      </c>
      <c r="BI249" s="71">
        <f>IFERROR(__xludf.DUMMYFUNCTION("""COMPUTED_VALUE"""),54.568000000000005)</f>
        <v>54.568</v>
      </c>
      <c r="BJ249" s="71">
        <f>IFERROR(__xludf.DUMMYFUNCTION("""COMPUTED_VALUE"""),395.618)</f>
        <v>395.618</v>
      </c>
      <c r="BK249" s="71">
        <f>IFERROR(__xludf.DUMMYFUNCTION("""COMPUTED_VALUE"""),323.1)</f>
        <v>323.1</v>
      </c>
      <c r="BL249" s="71">
        <f>IFERROR(__xludf.DUMMYFUNCTION("""COMPUTED_VALUE"""),51.696000000000005)</f>
        <v>51.696</v>
      </c>
      <c r="BM249" s="71">
        <f>IFERROR(__xludf.DUMMYFUNCTION("""COMPUTED_VALUE"""),374.79600000000005)</f>
        <v>374.796</v>
      </c>
      <c r="BN249" s="71">
        <f>IFERROR(__xludf.DUMMYFUNCTION("""COMPUTED_VALUE"""),305.15)</f>
        <v>305.15</v>
      </c>
      <c r="BO249" s="71">
        <f>IFERROR(__xludf.DUMMYFUNCTION("""COMPUTED_VALUE"""),48.824)</f>
        <v>48.824</v>
      </c>
      <c r="BP249" s="71">
        <f>IFERROR(__xludf.DUMMYFUNCTION("""COMPUTED_VALUE"""),353.974)</f>
        <v>353.974</v>
      </c>
      <c r="BQ249" s="71">
        <f>IFERROR(__xludf.DUMMYFUNCTION("""COMPUTED_VALUE"""),297.96999999999997)</f>
        <v>297.97</v>
      </c>
      <c r="BR249" s="71">
        <f>IFERROR(__xludf.DUMMYFUNCTION("""COMPUTED_VALUE"""),47.6752)</f>
        <v>47.6752</v>
      </c>
      <c r="BS249" s="71">
        <f>IFERROR(__xludf.DUMMYFUNCTION("""COMPUTED_VALUE"""),345.6452)</f>
        <v>345.6452</v>
      </c>
      <c r="BT249" s="71">
        <f>IFERROR(__xludf.DUMMYFUNCTION("""COMPUTED_VALUE"""),287.2)</f>
        <v>287.2</v>
      </c>
      <c r="BU249" s="71">
        <f>IFERROR(__xludf.DUMMYFUNCTION("""COMPUTED_VALUE"""),45.952)</f>
        <v>45.952</v>
      </c>
      <c r="BV249" s="71">
        <f>IFERROR(__xludf.DUMMYFUNCTION("""COMPUTED_VALUE"""),333.152)</f>
        <v>333.152</v>
      </c>
    </row>
    <row r="250">
      <c r="A250" s="53"/>
      <c r="B250" s="53"/>
      <c r="C250" s="53"/>
      <c r="D250" s="53" t="s">
        <v>601</v>
      </c>
      <c r="E250" s="55" t="s">
        <v>38</v>
      </c>
      <c r="F250" s="91" t="s">
        <v>42</v>
      </c>
      <c r="G250" s="84" t="s">
        <v>602</v>
      </c>
      <c r="H250" s="55"/>
      <c r="I250" s="54">
        <f t="shared" si="1"/>
        <v>0</v>
      </c>
      <c r="J250" s="56"/>
      <c r="K250" s="57"/>
      <c r="L250" s="76"/>
      <c r="M250" s="59"/>
      <c r="N250" s="60"/>
      <c r="O250" s="90"/>
      <c r="P250" s="62">
        <v>5242.58</v>
      </c>
      <c r="Q250" s="63">
        <v>5242.58</v>
      </c>
      <c r="R250" s="64">
        <v>5506.0</v>
      </c>
      <c r="S250" s="111">
        <v>5781.0</v>
      </c>
      <c r="T250" s="65">
        <f t="shared" si="2"/>
        <v>924.96</v>
      </c>
      <c r="U250" s="65">
        <f t="shared" si="3"/>
        <v>6705.96</v>
      </c>
      <c r="V250" s="66">
        <f t="shared" si="4"/>
        <v>0.04994551398</v>
      </c>
      <c r="W250" s="67">
        <f t="shared" si="5"/>
        <v>5491.95</v>
      </c>
      <c r="X250" s="67">
        <f t="shared" si="6"/>
        <v>878.712</v>
      </c>
      <c r="Y250" s="67">
        <f t="shared" si="7"/>
        <v>6370.662</v>
      </c>
      <c r="Z250" s="67">
        <f t="shared" si="8"/>
        <v>5202.9</v>
      </c>
      <c r="AA250" s="67">
        <f t="shared" si="9"/>
        <v>832.464</v>
      </c>
      <c r="AB250" s="67">
        <f t="shared" si="10"/>
        <v>6035.364</v>
      </c>
      <c r="AC250" s="67">
        <f t="shared" si="11"/>
        <v>4913.85</v>
      </c>
      <c r="AD250" s="67">
        <f t="shared" si="12"/>
        <v>786.216</v>
      </c>
      <c r="AE250" s="67">
        <f t="shared" si="13"/>
        <v>5700.066</v>
      </c>
      <c r="AF250" s="67">
        <f t="shared" si="14"/>
        <v>4798.23</v>
      </c>
      <c r="AG250" s="67">
        <f t="shared" si="15"/>
        <v>767.7168</v>
      </c>
      <c r="AH250" s="67">
        <f t="shared" si="16"/>
        <v>5565.9468</v>
      </c>
      <c r="AI250" s="67">
        <f t="shared" si="17"/>
        <v>4624.8</v>
      </c>
      <c r="AJ250" s="68">
        <f t="shared" si="20"/>
        <v>739.968</v>
      </c>
      <c r="AK250" s="68">
        <f t="shared" si="21"/>
        <v>5364.768</v>
      </c>
      <c r="AL250" s="70">
        <f>IFERROR(__xludf.DUMMYFUNCTION("""COMPUTED_VALUE"""),1.0)</f>
        <v>1</v>
      </c>
      <c r="AM250" s="70"/>
      <c r="AN250" s="71" t="str">
        <f>IFERROR(__xludf.DUMMYFUNCTION("""COMPUTED_VALUE""")," C")</f>
        <v>C</v>
      </c>
      <c r="AO250" s="71" t="str">
        <f>IFERROR(__xludf.DUMMYFUNCTION("""COMPUTED_VALUE""")," CD04")</f>
        <v>CD04</v>
      </c>
      <c r="AP250" s="71" t="str">
        <f>IFERROR(__xludf.DUMMYFUNCTION("""COMPUTED_VALUE""")," PZA")</f>
        <v>PZA</v>
      </c>
      <c r="AQ250" s="71" t="str">
        <f>IFERROR(__xludf.DUMMYFUNCTION("""COMPUTED_VALUE""")," REF")</f>
        <v>REF</v>
      </c>
      <c r="AR250" s="71" t="str">
        <f>IFERROR(__xludf.DUMMYFUNCTION("""COMPUTED_VALUE""")," CADENA P42 CAJA ")</f>
        <v>CADENA P42 CAJA </v>
      </c>
      <c r="AS250" s="71" t="str">
        <f>IFERROR(__xludf.DUMMYFUNCTION("""COMPUTED_VALUE""")," CADENA P42 CAJA ")</f>
        <v>CADENA P42 CAJA </v>
      </c>
      <c r="AT250" s="71">
        <f>IFERROR(__xludf.DUMMYFUNCTION("""COMPUTED_VALUE"""),16.0)</f>
        <v>16</v>
      </c>
      <c r="AU250" s="71"/>
      <c r="AV250" s="71"/>
      <c r="AW250" s="71"/>
      <c r="AX250" s="71"/>
      <c r="AY250" s="71">
        <f>IFERROR(__xludf.DUMMYFUNCTION("""COMPUTED_VALUE"""),256.0)</f>
        <v>256</v>
      </c>
      <c r="AZ250" s="71">
        <f>IFERROR(__xludf.DUMMYFUNCTION("""COMPUTED_VALUE"""),285.0)</f>
        <v>285</v>
      </c>
      <c r="BA250" s="71">
        <f>IFERROR(__xludf.DUMMYFUNCTION("""COMPUTED_VALUE"""),215.0)</f>
        <v>215</v>
      </c>
      <c r="BB250" s="71">
        <f>IFERROR(__xludf.DUMMYFUNCTION("""COMPUTED_VALUE"""),215.0)</f>
        <v>215</v>
      </c>
      <c r="BC250" s="71">
        <f>IFERROR(__xludf.DUMMYFUNCTION("""COMPUTED_VALUE"""),354.0)</f>
        <v>354</v>
      </c>
      <c r="BD250" s="71">
        <f>IFERROR(__xludf.DUMMYFUNCTION("""COMPUTED_VALUE"""),372.0)</f>
        <v>372</v>
      </c>
      <c r="BE250" s="71">
        <f>IFERROR(__xludf.DUMMYFUNCTION("""COMPUTED_VALUE"""),59.52)</f>
        <v>59.52</v>
      </c>
      <c r="BF250" s="71">
        <f>IFERROR(__xludf.DUMMYFUNCTION("""COMPUTED_VALUE"""),431.52)</f>
        <v>431.52</v>
      </c>
      <c r="BG250" s="71">
        <f>IFERROR(__xludf.DUMMYFUNCTION("""COMPUTED_VALUE"""),0.05084745762711865)</f>
        <v>0.05084745763</v>
      </c>
      <c r="BH250" s="71">
        <f>IFERROR(__xludf.DUMMYFUNCTION("""COMPUTED_VALUE"""),353.4)</f>
        <v>353.4</v>
      </c>
      <c r="BI250" s="71">
        <f>IFERROR(__xludf.DUMMYFUNCTION("""COMPUTED_VALUE"""),56.544)</f>
        <v>56.544</v>
      </c>
      <c r="BJ250" s="71">
        <f>IFERROR(__xludf.DUMMYFUNCTION("""COMPUTED_VALUE"""),409.94399999999996)</f>
        <v>409.944</v>
      </c>
      <c r="BK250" s="71">
        <f>IFERROR(__xludf.DUMMYFUNCTION("""COMPUTED_VALUE"""),334.8)</f>
        <v>334.8</v>
      </c>
      <c r="BL250" s="71">
        <f>IFERROR(__xludf.DUMMYFUNCTION("""COMPUTED_VALUE"""),53.568000000000005)</f>
        <v>53.568</v>
      </c>
      <c r="BM250" s="71">
        <f>IFERROR(__xludf.DUMMYFUNCTION("""COMPUTED_VALUE"""),388.368)</f>
        <v>388.368</v>
      </c>
      <c r="BN250" s="71">
        <f>IFERROR(__xludf.DUMMYFUNCTION("""COMPUTED_VALUE"""),316.2)</f>
        <v>316.2</v>
      </c>
      <c r="BO250" s="71">
        <f>IFERROR(__xludf.DUMMYFUNCTION("""COMPUTED_VALUE"""),50.592)</f>
        <v>50.592</v>
      </c>
      <c r="BP250" s="71">
        <f>IFERROR(__xludf.DUMMYFUNCTION("""COMPUTED_VALUE"""),366.792)</f>
        <v>366.792</v>
      </c>
      <c r="BQ250" s="71">
        <f>IFERROR(__xludf.DUMMYFUNCTION("""COMPUTED_VALUE"""),308.76)</f>
        <v>308.76</v>
      </c>
      <c r="BR250" s="71">
        <f>IFERROR(__xludf.DUMMYFUNCTION("""COMPUTED_VALUE"""),49.4016)</f>
        <v>49.4016</v>
      </c>
      <c r="BS250" s="71">
        <f>IFERROR(__xludf.DUMMYFUNCTION("""COMPUTED_VALUE"""),358.1616)</f>
        <v>358.1616</v>
      </c>
      <c r="BT250" s="71">
        <f>IFERROR(__xludf.DUMMYFUNCTION("""COMPUTED_VALUE"""),297.6)</f>
        <v>297.6</v>
      </c>
      <c r="BU250" s="71">
        <f>IFERROR(__xludf.DUMMYFUNCTION("""COMPUTED_VALUE"""),47.61600000000001)</f>
        <v>47.616</v>
      </c>
      <c r="BV250" s="71">
        <f>IFERROR(__xludf.DUMMYFUNCTION("""COMPUTED_VALUE"""),345.216)</f>
        <v>345.216</v>
      </c>
    </row>
    <row r="251">
      <c r="A251" s="53"/>
      <c r="B251" s="53"/>
      <c r="C251" s="73" t="s">
        <v>603</v>
      </c>
      <c r="D251" s="128" t="s">
        <v>604</v>
      </c>
      <c r="E251" s="54" t="s">
        <v>38</v>
      </c>
      <c r="F251" s="54" t="s">
        <v>42</v>
      </c>
      <c r="G251" s="55" t="s">
        <v>605</v>
      </c>
      <c r="H251" s="54" t="s">
        <v>606</v>
      </c>
      <c r="I251" s="54">
        <f t="shared" si="1"/>
        <v>40</v>
      </c>
      <c r="J251" s="56"/>
      <c r="K251" s="57"/>
      <c r="L251" s="76"/>
      <c r="M251" s="59"/>
      <c r="N251" s="60">
        <v>16204.650000000001</v>
      </c>
      <c r="O251" s="129">
        <v>14624.0</v>
      </c>
      <c r="P251" s="62">
        <v>15793.920000000002</v>
      </c>
      <c r="Q251" s="63">
        <v>15793.920000000002</v>
      </c>
      <c r="R251" s="64">
        <v>16584.0</v>
      </c>
      <c r="S251" s="111">
        <v>17413.0</v>
      </c>
      <c r="T251" s="65">
        <f t="shared" si="2"/>
        <v>2786.08</v>
      </c>
      <c r="U251" s="65">
        <f t="shared" si="3"/>
        <v>20199.08</v>
      </c>
      <c r="V251" s="66">
        <f t="shared" si="4"/>
        <v>0.04998794018</v>
      </c>
      <c r="W251" s="67">
        <f t="shared" si="5"/>
        <v>16542.35</v>
      </c>
      <c r="X251" s="67">
        <f t="shared" si="6"/>
        <v>2646.776</v>
      </c>
      <c r="Y251" s="67">
        <f t="shared" si="7"/>
        <v>19189.126</v>
      </c>
      <c r="Z251" s="67">
        <f t="shared" si="8"/>
        <v>15671.7</v>
      </c>
      <c r="AA251" s="67">
        <f t="shared" si="9"/>
        <v>2507.472</v>
      </c>
      <c r="AB251" s="67">
        <f t="shared" si="10"/>
        <v>18179.172</v>
      </c>
      <c r="AC251" s="67">
        <f t="shared" si="11"/>
        <v>14801.05</v>
      </c>
      <c r="AD251" s="67">
        <f t="shared" si="12"/>
        <v>2368.168</v>
      </c>
      <c r="AE251" s="67">
        <f t="shared" si="13"/>
        <v>17169.218</v>
      </c>
      <c r="AF251" s="67">
        <f t="shared" si="14"/>
        <v>14452.79</v>
      </c>
      <c r="AG251" s="67">
        <f t="shared" si="15"/>
        <v>2312.4464</v>
      </c>
      <c r="AH251" s="67">
        <f t="shared" si="16"/>
        <v>16765.2364</v>
      </c>
      <c r="AI251" s="67">
        <f t="shared" si="17"/>
        <v>13930.4</v>
      </c>
      <c r="AJ251" s="68">
        <f t="shared" si="20"/>
        <v>2228.864</v>
      </c>
      <c r="AK251" s="68">
        <f t="shared" si="21"/>
        <v>16159.264</v>
      </c>
      <c r="AL251" s="70">
        <f>IFERROR(__xludf.DUMMYFUNCTION("""COMPUTED_VALUE"""),1.0)</f>
        <v>1</v>
      </c>
      <c r="AM251" s="70"/>
      <c r="AN251" s="71" t="str">
        <f>IFERROR(__xludf.DUMMYFUNCTION("""COMPUTED_VALUE""")," C")</f>
        <v>C</v>
      </c>
      <c r="AO251" s="71" t="str">
        <f>IFERROR(__xludf.DUMMYFUNCTION("""COMPUTED_VALUE""")," CD06")</f>
        <v>CD06</v>
      </c>
      <c r="AP251" s="71" t="str">
        <f>IFERROR(__xludf.DUMMYFUNCTION("""COMPUTED_VALUE""")," PZA")</f>
        <v>PZA</v>
      </c>
      <c r="AQ251" s="71" t="str">
        <f>IFERROR(__xludf.DUMMYFUNCTION("""COMPUTED_VALUE""")," REF")</f>
        <v>REF</v>
      </c>
      <c r="AR251" s="71" t="str">
        <f>IFERROR(__xludf.DUMMYFUNCTION("""COMPUTED_VALUE""")," CADENA P50 CAJA ")</f>
        <v>CADENA P50 CAJA </v>
      </c>
      <c r="AS251" s="71" t="str">
        <f>IFERROR(__xludf.DUMMYFUNCTION("""COMPUTED_VALUE""")," CADENA P50 CAJA ")</f>
        <v>CADENA P50 CAJA </v>
      </c>
      <c r="AT251" s="71">
        <f>IFERROR(__xludf.DUMMYFUNCTION("""COMPUTED_VALUE"""),16.0)</f>
        <v>16</v>
      </c>
      <c r="AU251" s="71"/>
      <c r="AV251" s="71"/>
      <c r="AW251" s="71"/>
      <c r="AX251" s="71"/>
      <c r="AY251" s="71">
        <f>IFERROR(__xludf.DUMMYFUNCTION("""COMPUTED_VALUE"""),412.0)</f>
        <v>412</v>
      </c>
      <c r="AZ251" s="71">
        <f>IFERROR(__xludf.DUMMYFUNCTION("""COMPUTED_VALUE"""),444.0)</f>
        <v>444</v>
      </c>
      <c r="BA251" s="71">
        <f>IFERROR(__xludf.DUMMYFUNCTION("""COMPUTED_VALUE"""),305.0)</f>
        <v>305</v>
      </c>
      <c r="BB251" s="71">
        <f>IFERROR(__xludf.DUMMYFUNCTION("""COMPUTED_VALUE"""),305.0)</f>
        <v>305</v>
      </c>
      <c r="BC251" s="71">
        <f>IFERROR(__xludf.DUMMYFUNCTION("""COMPUTED_VALUE"""),550.0)</f>
        <v>550</v>
      </c>
      <c r="BD251" s="71">
        <f>IFERROR(__xludf.DUMMYFUNCTION("""COMPUTED_VALUE"""),578.0)</f>
        <v>578</v>
      </c>
      <c r="BE251" s="71">
        <f>IFERROR(__xludf.DUMMYFUNCTION("""COMPUTED_VALUE"""),92.48)</f>
        <v>92.48</v>
      </c>
      <c r="BF251" s="71">
        <f>IFERROR(__xludf.DUMMYFUNCTION("""COMPUTED_VALUE"""),670.48)</f>
        <v>670.48</v>
      </c>
      <c r="BG251" s="71">
        <f>IFERROR(__xludf.DUMMYFUNCTION("""COMPUTED_VALUE"""),0.05090909090909091)</f>
        <v>0.05090909091</v>
      </c>
      <c r="BH251" s="71">
        <f>IFERROR(__xludf.DUMMYFUNCTION("""COMPUTED_VALUE"""),549.1)</f>
        <v>549.1</v>
      </c>
      <c r="BI251" s="71">
        <f>IFERROR(__xludf.DUMMYFUNCTION("""COMPUTED_VALUE"""),87.85600000000001)</f>
        <v>87.856</v>
      </c>
      <c r="BJ251" s="71">
        <f>IFERROR(__xludf.DUMMYFUNCTION("""COMPUTED_VALUE"""),636.956)</f>
        <v>636.956</v>
      </c>
      <c r="BK251" s="71">
        <f>IFERROR(__xludf.DUMMYFUNCTION("""COMPUTED_VALUE"""),520.2)</f>
        <v>520.2</v>
      </c>
      <c r="BL251" s="71">
        <f>IFERROR(__xludf.DUMMYFUNCTION("""COMPUTED_VALUE"""),83.23200000000001)</f>
        <v>83.232</v>
      </c>
      <c r="BM251" s="71">
        <f>IFERROR(__xludf.DUMMYFUNCTION("""COMPUTED_VALUE"""),603.432)</f>
        <v>603.432</v>
      </c>
      <c r="BN251" s="71">
        <f>IFERROR(__xludf.DUMMYFUNCTION("""COMPUTED_VALUE"""),491.3)</f>
        <v>491.3</v>
      </c>
      <c r="BO251" s="71">
        <f>IFERROR(__xludf.DUMMYFUNCTION("""COMPUTED_VALUE"""),78.608)</f>
        <v>78.608</v>
      </c>
      <c r="BP251" s="71">
        <f>IFERROR(__xludf.DUMMYFUNCTION("""COMPUTED_VALUE"""),569.908)</f>
        <v>569.908</v>
      </c>
      <c r="BQ251" s="71">
        <f>IFERROR(__xludf.DUMMYFUNCTION("""COMPUTED_VALUE"""),479.73999999999995)</f>
        <v>479.74</v>
      </c>
      <c r="BR251" s="71">
        <f>IFERROR(__xludf.DUMMYFUNCTION("""COMPUTED_VALUE"""),76.7584)</f>
        <v>76.7584</v>
      </c>
      <c r="BS251" s="71">
        <f>IFERROR(__xludf.DUMMYFUNCTION("""COMPUTED_VALUE"""),556.4984)</f>
        <v>556.4984</v>
      </c>
      <c r="BT251" s="71">
        <f>IFERROR(__xludf.DUMMYFUNCTION("""COMPUTED_VALUE"""),462.40000000000003)</f>
        <v>462.4</v>
      </c>
      <c r="BU251" s="71">
        <f>IFERROR(__xludf.DUMMYFUNCTION("""COMPUTED_VALUE"""),73.98400000000001)</f>
        <v>73.984</v>
      </c>
      <c r="BV251" s="71">
        <f>IFERROR(__xludf.DUMMYFUNCTION("""COMPUTED_VALUE"""),536.384)</f>
        <v>536.384</v>
      </c>
    </row>
    <row r="252">
      <c r="A252" s="53"/>
      <c r="B252" s="53"/>
      <c r="C252" s="73" t="s">
        <v>603</v>
      </c>
      <c r="D252" s="128" t="s">
        <v>607</v>
      </c>
      <c r="E252" s="54" t="s">
        <v>38</v>
      </c>
      <c r="F252" s="54" t="s">
        <v>42</v>
      </c>
      <c r="G252" s="55" t="s">
        <v>608</v>
      </c>
      <c r="H252" s="54" t="s">
        <v>609</v>
      </c>
      <c r="I252" s="54">
        <f t="shared" si="1"/>
        <v>40</v>
      </c>
      <c r="J252" s="56"/>
      <c r="K252" s="57"/>
      <c r="L252" s="76"/>
      <c r="M252" s="59"/>
      <c r="N252" s="60"/>
      <c r="O252" s="129">
        <v>16964.0</v>
      </c>
      <c r="P252" s="62">
        <v>18321.120000000003</v>
      </c>
      <c r="Q252" s="63">
        <v>18321.120000000003</v>
      </c>
      <c r="R252" s="64">
        <v>19238.0</v>
      </c>
      <c r="S252" s="111">
        <v>20200.0</v>
      </c>
      <c r="T252" s="65">
        <f t="shared" si="2"/>
        <v>3232</v>
      </c>
      <c r="U252" s="65">
        <f t="shared" si="3"/>
        <v>23432</v>
      </c>
      <c r="V252" s="66">
        <f t="shared" si="4"/>
        <v>0.05000519805</v>
      </c>
      <c r="W252" s="67">
        <f t="shared" si="5"/>
        <v>19190</v>
      </c>
      <c r="X252" s="67">
        <f t="shared" si="6"/>
        <v>3070.4</v>
      </c>
      <c r="Y252" s="67">
        <f t="shared" si="7"/>
        <v>22260.4</v>
      </c>
      <c r="Z252" s="67">
        <f t="shared" si="8"/>
        <v>18180</v>
      </c>
      <c r="AA252" s="67">
        <f t="shared" si="9"/>
        <v>2908.8</v>
      </c>
      <c r="AB252" s="67">
        <f t="shared" si="10"/>
        <v>21088.8</v>
      </c>
      <c r="AC252" s="67">
        <f t="shared" si="11"/>
        <v>17170</v>
      </c>
      <c r="AD252" s="67">
        <f t="shared" si="12"/>
        <v>2747.2</v>
      </c>
      <c r="AE252" s="67">
        <f t="shared" si="13"/>
        <v>19917.2</v>
      </c>
      <c r="AF252" s="67">
        <f t="shared" si="14"/>
        <v>16766</v>
      </c>
      <c r="AG252" s="67">
        <f t="shared" si="15"/>
        <v>2682.56</v>
      </c>
      <c r="AH252" s="67">
        <f t="shared" si="16"/>
        <v>19448.56</v>
      </c>
      <c r="AI252" s="67">
        <f t="shared" si="17"/>
        <v>16160</v>
      </c>
      <c r="AJ252" s="68">
        <f t="shared" si="20"/>
        <v>2585.6</v>
      </c>
      <c r="AK252" s="68">
        <f t="shared" si="21"/>
        <v>18745.6</v>
      </c>
      <c r="AL252" s="70">
        <f>IFERROR(__xludf.DUMMYFUNCTION("""COMPUTED_VALUE"""),1.0)</f>
        <v>1</v>
      </c>
      <c r="AM252" s="70"/>
      <c r="AN252" s="71" t="str">
        <f>IFERROR(__xludf.DUMMYFUNCTION("""COMPUTED_VALUE""")," P")</f>
        <v>P</v>
      </c>
      <c r="AO252" s="71" t="str">
        <f>IFERROR(__xludf.DUMMYFUNCTION("""COMPUTED_VALUE""")," CR03")</f>
        <v>CR03</v>
      </c>
      <c r="AP252" s="71" t="str">
        <f>IFERROR(__xludf.DUMMYFUNCTION("""COMPUTED_VALUE""")," PZA")</f>
        <v>PZA</v>
      </c>
      <c r="AQ252" s="71" t="str">
        <f>IFERROR(__xludf.DUMMYFUNCTION("""COMPUTED_VALUE""")," REF")</f>
        <v>REF</v>
      </c>
      <c r="AR252" s="71" t="str">
        <f>IFERROR(__xludf.DUMMYFUNCTION("""COMPUTED_VALUE""")," CAJA CON ENGRANES PARA MOLINO CAMARADA")</f>
        <v>CAJA CON ENGRANES PARA MOLINO CAMARADA</v>
      </c>
      <c r="AS252" s="71" t="str">
        <f>IFERROR(__xludf.DUMMYFUNCTION("""COMPUTED_VALUE""")," CAJA CON ENGRANES PARA MOLINO CAMARADA")</f>
        <v>CAJA CON ENGRANES PARA MOLINO CAMARADA</v>
      </c>
      <c r="AT252" s="71">
        <f>IFERROR(__xludf.DUMMYFUNCTION("""COMPUTED_VALUE"""),38.0)</f>
        <v>38</v>
      </c>
      <c r="AU252" s="71"/>
      <c r="AV252" s="71"/>
      <c r="AW252" s="71"/>
      <c r="AX252" s="71"/>
      <c r="AY252" s="71">
        <f>IFERROR(__xludf.DUMMYFUNCTION("""COMPUTED_VALUE"""),4413.0)</f>
        <v>4413</v>
      </c>
      <c r="AZ252" s="71">
        <f>IFERROR(__xludf.DUMMYFUNCTION("""COMPUTED_VALUE"""),4766.0)</f>
        <v>4766</v>
      </c>
      <c r="BA252" s="71">
        <f>IFERROR(__xludf.DUMMYFUNCTION("""COMPUTED_VALUE"""),5147.280000000001)</f>
        <v>5147.28</v>
      </c>
      <c r="BB252" s="71">
        <f>IFERROR(__xludf.DUMMYFUNCTION("""COMPUTED_VALUE"""),5147.280000000001)</f>
        <v>5147.28</v>
      </c>
      <c r="BC252" s="71">
        <f>IFERROR(__xludf.DUMMYFUNCTION("""COMPUTED_VALUE"""),5730.0)</f>
        <v>5730</v>
      </c>
      <c r="BD252" s="71">
        <f>IFERROR(__xludf.DUMMYFUNCTION("""COMPUTED_VALUE"""),6017.0)</f>
        <v>6017</v>
      </c>
      <c r="BE252" s="71">
        <f>IFERROR(__xludf.DUMMYFUNCTION("""COMPUTED_VALUE"""),962.72)</f>
        <v>962.72</v>
      </c>
      <c r="BF252" s="71">
        <f>IFERROR(__xludf.DUMMYFUNCTION("""COMPUTED_VALUE"""),6979.72)</f>
        <v>6979.72</v>
      </c>
      <c r="BG252" s="71">
        <f>IFERROR(__xludf.DUMMYFUNCTION("""COMPUTED_VALUE"""),0.05008726003490401)</f>
        <v>0.05008726003</v>
      </c>
      <c r="BH252" s="71">
        <f>IFERROR(__xludf.DUMMYFUNCTION("""COMPUTED_VALUE"""),5716.15)</f>
        <v>5716.15</v>
      </c>
      <c r="BI252" s="71">
        <f>IFERROR(__xludf.DUMMYFUNCTION("""COMPUTED_VALUE"""),914.584)</f>
        <v>914.584</v>
      </c>
      <c r="BJ252" s="71">
        <f>IFERROR(__xludf.DUMMYFUNCTION("""COMPUTED_VALUE"""),6630.7339999999995)</f>
        <v>6630.734</v>
      </c>
      <c r="BK252" s="71">
        <f>IFERROR(__xludf.DUMMYFUNCTION("""COMPUTED_VALUE"""),5415.3)</f>
        <v>5415.3</v>
      </c>
      <c r="BL252" s="71">
        <f>IFERROR(__xludf.DUMMYFUNCTION("""COMPUTED_VALUE"""),866.4480000000001)</f>
        <v>866.448</v>
      </c>
      <c r="BM252" s="71">
        <f>IFERROR(__xludf.DUMMYFUNCTION("""COMPUTED_VALUE"""),6281.7480000000005)</f>
        <v>6281.748</v>
      </c>
      <c r="BN252" s="71">
        <f>IFERROR(__xludf.DUMMYFUNCTION("""COMPUTED_VALUE"""),5114.45)</f>
        <v>5114.45</v>
      </c>
      <c r="BO252" s="71">
        <f>IFERROR(__xludf.DUMMYFUNCTION("""COMPUTED_VALUE"""),818.312)</f>
        <v>818.312</v>
      </c>
      <c r="BP252" s="71">
        <f>IFERROR(__xludf.DUMMYFUNCTION("""COMPUTED_VALUE"""),5932.762)</f>
        <v>5932.762</v>
      </c>
      <c r="BQ252" s="71">
        <f>IFERROR(__xludf.DUMMYFUNCTION("""COMPUTED_VALUE"""),4994.11)</f>
        <v>4994.11</v>
      </c>
      <c r="BR252" s="71">
        <f>IFERROR(__xludf.DUMMYFUNCTION("""COMPUTED_VALUE"""),799.0576)</f>
        <v>799.0576</v>
      </c>
      <c r="BS252" s="71">
        <f>IFERROR(__xludf.DUMMYFUNCTION("""COMPUTED_VALUE"""),5793.1676)</f>
        <v>5793.1676</v>
      </c>
      <c r="BT252" s="71">
        <f>IFERROR(__xludf.DUMMYFUNCTION("""COMPUTED_VALUE"""),4813.6)</f>
        <v>4813.6</v>
      </c>
      <c r="BU252" s="71">
        <f>IFERROR(__xludf.DUMMYFUNCTION("""COMPUTED_VALUE"""),770.176)</f>
        <v>770.176</v>
      </c>
      <c r="BV252" s="71">
        <f>IFERROR(__xludf.DUMMYFUNCTION("""COMPUTED_VALUE"""),5583.776000000001)</f>
        <v>5583.776</v>
      </c>
    </row>
    <row r="253">
      <c r="A253" s="53"/>
      <c r="B253" s="53"/>
      <c r="C253" s="73" t="s">
        <v>603</v>
      </c>
      <c r="D253" s="128" t="s">
        <v>610</v>
      </c>
      <c r="E253" s="54" t="s">
        <v>38</v>
      </c>
      <c r="F253" s="54" t="s">
        <v>42</v>
      </c>
      <c r="G253" s="130" t="s">
        <v>611</v>
      </c>
      <c r="H253" s="54" t="s">
        <v>612</v>
      </c>
      <c r="I253" s="54">
        <f t="shared" si="1"/>
        <v>39</v>
      </c>
      <c r="J253" s="56"/>
      <c r="K253" s="57"/>
      <c r="L253" s="76"/>
      <c r="M253" s="59"/>
      <c r="N253" s="60">
        <v>5685.75</v>
      </c>
      <c r="O253" s="129">
        <v>5132.0</v>
      </c>
      <c r="P253" s="62">
        <v>5542.56</v>
      </c>
      <c r="Q253" s="63">
        <v>5542.56</v>
      </c>
      <c r="R253" s="64">
        <v>5821.0</v>
      </c>
      <c r="S253" s="111">
        <v>6112.0</v>
      </c>
      <c r="T253" s="65">
        <f t="shared" si="2"/>
        <v>977.92</v>
      </c>
      <c r="U253" s="65">
        <f t="shared" si="3"/>
        <v>7089.92</v>
      </c>
      <c r="V253" s="66">
        <f t="shared" si="4"/>
        <v>0.04999141041</v>
      </c>
      <c r="W253" s="67">
        <f t="shared" si="5"/>
        <v>5806.4</v>
      </c>
      <c r="X253" s="67">
        <f t="shared" si="6"/>
        <v>929.024</v>
      </c>
      <c r="Y253" s="67">
        <f t="shared" si="7"/>
        <v>6735.424</v>
      </c>
      <c r="Z253" s="67">
        <f t="shared" si="8"/>
        <v>5500.8</v>
      </c>
      <c r="AA253" s="67">
        <f t="shared" si="9"/>
        <v>880.128</v>
      </c>
      <c r="AB253" s="67">
        <f t="shared" si="10"/>
        <v>6380.928</v>
      </c>
      <c r="AC253" s="67">
        <f t="shared" si="11"/>
        <v>5195.2</v>
      </c>
      <c r="AD253" s="67">
        <f t="shared" si="12"/>
        <v>831.232</v>
      </c>
      <c r="AE253" s="67">
        <f t="shared" si="13"/>
        <v>6026.432</v>
      </c>
      <c r="AF253" s="67">
        <f t="shared" si="14"/>
        <v>5072.96</v>
      </c>
      <c r="AG253" s="67">
        <f t="shared" si="15"/>
        <v>811.6736</v>
      </c>
      <c r="AH253" s="67">
        <f t="shared" si="16"/>
        <v>5884.6336</v>
      </c>
      <c r="AI253" s="67">
        <f t="shared" si="17"/>
        <v>4889.6</v>
      </c>
      <c r="AJ253" s="68">
        <f t="shared" si="20"/>
        <v>782.336</v>
      </c>
      <c r="AK253" s="68">
        <f t="shared" si="21"/>
        <v>5671.936</v>
      </c>
      <c r="AL253" s="70">
        <f>IFERROR(__xludf.DUMMYFUNCTION("""COMPUTED_VALUE"""),1.0)</f>
        <v>1</v>
      </c>
      <c r="AM253" s="70"/>
      <c r="AN253" s="71" t="str">
        <f>IFERROR(__xludf.DUMMYFUNCTION("""COMPUTED_VALUE""")," P")</f>
        <v>P</v>
      </c>
      <c r="AO253" s="71" t="str">
        <f>IFERROR(__xludf.DUMMYFUNCTION("""COMPUTED_VALUE""")," CR12")</f>
        <v>CR12</v>
      </c>
      <c r="AP253" s="71" t="str">
        <f>IFERROR(__xludf.DUMMYFUNCTION("""COMPUTED_VALUE""")," JGO")</f>
        <v>JGO</v>
      </c>
      <c r="AQ253" s="71" t="str">
        <f>IFERROR(__xludf.DUMMYFUNCTION("""COMPUTED_VALUE""")," REF")</f>
        <v>REF</v>
      </c>
      <c r="AR253" s="71" t="str">
        <f>IFERROR(__xludf.DUMMYFUNCTION("""COMPUTED_VALUE""")," CAJA DE REDUCTOR SOLA CON TAPAS")</f>
        <v>CAJA DE REDUCTOR SOLA CON TAPAS</v>
      </c>
      <c r="AS253" s="71" t="str">
        <f>IFERROR(__xludf.DUMMYFUNCTION("""COMPUTED_VALUE""")," CAJA DE REDUCTOR SOLA CON TAPAS")</f>
        <v>CAJA DE REDUCTOR SOLA CON TAPAS</v>
      </c>
      <c r="AT253" s="71">
        <f>IFERROR(__xludf.DUMMYFUNCTION("""COMPUTED_VALUE"""),31.0)</f>
        <v>31</v>
      </c>
      <c r="AU253" s="71"/>
      <c r="AV253" s="71"/>
      <c r="AW253" s="71"/>
      <c r="AX253" s="71"/>
      <c r="AY253" s="71">
        <f>IFERROR(__xludf.DUMMYFUNCTION("""COMPUTED_VALUE"""),2170.0)</f>
        <v>2170</v>
      </c>
      <c r="AZ253" s="71">
        <f>IFERROR(__xludf.DUMMYFUNCTION("""COMPUTED_VALUE"""),2343.0)</f>
        <v>2343</v>
      </c>
      <c r="BA253" s="71">
        <f>IFERROR(__xludf.DUMMYFUNCTION("""COMPUTED_VALUE"""),2530.44)</f>
        <v>2530.44</v>
      </c>
      <c r="BB253" s="71">
        <f>IFERROR(__xludf.DUMMYFUNCTION("""COMPUTED_VALUE"""),2530.44)</f>
        <v>2530.44</v>
      </c>
      <c r="BC253" s="71">
        <f>IFERROR(__xludf.DUMMYFUNCTION("""COMPUTED_VALUE"""),2818.0)</f>
        <v>2818</v>
      </c>
      <c r="BD253" s="71">
        <f>IFERROR(__xludf.DUMMYFUNCTION("""COMPUTED_VALUE"""),2959.0)</f>
        <v>2959</v>
      </c>
      <c r="BE253" s="71">
        <f>IFERROR(__xludf.DUMMYFUNCTION("""COMPUTED_VALUE"""),473.44)</f>
        <v>473.44</v>
      </c>
      <c r="BF253" s="71">
        <f>IFERROR(__xludf.DUMMYFUNCTION("""COMPUTED_VALUE"""),3432.44)</f>
        <v>3432.44</v>
      </c>
      <c r="BG253" s="71">
        <f>IFERROR(__xludf.DUMMYFUNCTION("""COMPUTED_VALUE"""),0.05003548616039744)</f>
        <v>0.05003548616</v>
      </c>
      <c r="BH253" s="71">
        <f>IFERROR(__xludf.DUMMYFUNCTION("""COMPUTED_VALUE"""),2811.0499999999997)</f>
        <v>2811.05</v>
      </c>
      <c r="BI253" s="71">
        <f>IFERROR(__xludf.DUMMYFUNCTION("""COMPUTED_VALUE"""),449.768)</f>
        <v>449.768</v>
      </c>
      <c r="BJ253" s="71">
        <f>IFERROR(__xludf.DUMMYFUNCTION("""COMPUTED_VALUE"""),3260.8179999999998)</f>
        <v>3260.818</v>
      </c>
      <c r="BK253" s="71">
        <f>IFERROR(__xludf.DUMMYFUNCTION("""COMPUTED_VALUE"""),2663.1)</f>
        <v>2663.1</v>
      </c>
      <c r="BL253" s="71">
        <f>IFERROR(__xludf.DUMMYFUNCTION("""COMPUTED_VALUE"""),426.096)</f>
        <v>426.096</v>
      </c>
      <c r="BM253" s="71">
        <f>IFERROR(__xludf.DUMMYFUNCTION("""COMPUTED_VALUE"""),3089.196)</f>
        <v>3089.196</v>
      </c>
      <c r="BN253" s="71">
        <f>IFERROR(__xludf.DUMMYFUNCTION("""COMPUTED_VALUE"""),2515.15)</f>
        <v>2515.15</v>
      </c>
      <c r="BO253" s="71">
        <f>IFERROR(__xludf.DUMMYFUNCTION("""COMPUTED_VALUE"""),402.42400000000004)</f>
        <v>402.424</v>
      </c>
      <c r="BP253" s="71">
        <f>IFERROR(__xludf.DUMMYFUNCTION("""COMPUTED_VALUE"""),2917.574)</f>
        <v>2917.574</v>
      </c>
      <c r="BQ253" s="71">
        <f>IFERROR(__xludf.DUMMYFUNCTION("""COMPUTED_VALUE"""),2455.97)</f>
        <v>2455.97</v>
      </c>
      <c r="BR253" s="71">
        <f>IFERROR(__xludf.DUMMYFUNCTION("""COMPUTED_VALUE"""),392.9552)</f>
        <v>392.9552</v>
      </c>
      <c r="BS253" s="71">
        <f>IFERROR(__xludf.DUMMYFUNCTION("""COMPUTED_VALUE"""),2848.9251999999997)</f>
        <v>2848.9252</v>
      </c>
      <c r="BT253" s="71">
        <f>IFERROR(__xludf.DUMMYFUNCTION("""COMPUTED_VALUE"""),2367.2000000000003)</f>
        <v>2367.2</v>
      </c>
      <c r="BU253" s="71">
        <f>IFERROR(__xludf.DUMMYFUNCTION("""COMPUTED_VALUE"""),378.75200000000007)</f>
        <v>378.752</v>
      </c>
      <c r="BV253" s="71">
        <f>IFERROR(__xludf.DUMMYFUNCTION("""COMPUTED_VALUE"""),2745.952)</f>
        <v>2745.952</v>
      </c>
    </row>
    <row r="254">
      <c r="A254" s="53"/>
      <c r="B254" s="53"/>
      <c r="C254" s="73" t="s">
        <v>603</v>
      </c>
      <c r="D254" s="53" t="s">
        <v>613</v>
      </c>
      <c r="E254" s="54" t="s">
        <v>38</v>
      </c>
      <c r="F254" s="54" t="s">
        <v>42</v>
      </c>
      <c r="G254" s="55" t="s">
        <v>614</v>
      </c>
      <c r="H254" s="54" t="s">
        <v>615</v>
      </c>
      <c r="I254" s="54">
        <f t="shared" si="1"/>
        <v>37</v>
      </c>
      <c r="J254" s="56"/>
      <c r="K254" s="57"/>
      <c r="L254" s="76"/>
      <c r="M254" s="59"/>
      <c r="N254" s="79">
        <v>3974.0</v>
      </c>
      <c r="O254" s="61">
        <v>3586.0</v>
      </c>
      <c r="P254" s="62">
        <v>3872.88</v>
      </c>
      <c r="Q254" s="63">
        <v>3872.88</v>
      </c>
      <c r="R254" s="64">
        <v>4067.0</v>
      </c>
      <c r="S254" s="111">
        <v>4270.0</v>
      </c>
      <c r="T254" s="65">
        <f t="shared" si="2"/>
        <v>683.2</v>
      </c>
      <c r="U254" s="65">
        <f t="shared" si="3"/>
        <v>4953.2</v>
      </c>
      <c r="V254" s="66">
        <f t="shared" si="4"/>
        <v>0.04991394148</v>
      </c>
      <c r="W254" s="67">
        <f t="shared" si="5"/>
        <v>4056.5</v>
      </c>
      <c r="X254" s="67">
        <f t="shared" si="6"/>
        <v>649.04</v>
      </c>
      <c r="Y254" s="67">
        <f t="shared" si="7"/>
        <v>4705.54</v>
      </c>
      <c r="Z254" s="67">
        <f t="shared" si="8"/>
        <v>3843</v>
      </c>
      <c r="AA254" s="67">
        <f t="shared" si="9"/>
        <v>614.88</v>
      </c>
      <c r="AB254" s="67">
        <f t="shared" si="10"/>
        <v>4457.88</v>
      </c>
      <c r="AC254" s="67">
        <f t="shared" si="11"/>
        <v>3629.5</v>
      </c>
      <c r="AD254" s="67">
        <f t="shared" si="12"/>
        <v>580.72</v>
      </c>
      <c r="AE254" s="67">
        <f t="shared" si="13"/>
        <v>4210.22</v>
      </c>
      <c r="AF254" s="67">
        <f t="shared" si="14"/>
        <v>3544.1</v>
      </c>
      <c r="AG254" s="67">
        <f t="shared" si="15"/>
        <v>567.056</v>
      </c>
      <c r="AH254" s="67">
        <f t="shared" si="16"/>
        <v>4111.156</v>
      </c>
      <c r="AI254" s="67">
        <f t="shared" si="17"/>
        <v>3416</v>
      </c>
      <c r="AJ254" s="68">
        <f t="shared" si="20"/>
        <v>546.56</v>
      </c>
      <c r="AK254" s="68">
        <f t="shared" si="21"/>
        <v>3962.56</v>
      </c>
      <c r="AL254" s="70">
        <f>IFERROR(__xludf.DUMMYFUNCTION("""COMPUTED_VALUE"""),1.0)</f>
        <v>1</v>
      </c>
      <c r="AM254" s="70"/>
      <c r="AN254" s="71" t="str">
        <f>IFERROR(__xludf.DUMMYFUNCTION("""COMPUTED_VALUE""")," P")</f>
        <v>P</v>
      </c>
      <c r="AO254" s="71" t="str">
        <f>IFERROR(__xludf.DUMMYFUNCTION("""COMPUTED_VALUE""")," CR02")</f>
        <v>CR02</v>
      </c>
      <c r="AP254" s="71" t="str">
        <f>IFERROR(__xludf.DUMMYFUNCTION("""COMPUTED_VALUE""")," PZA")</f>
        <v>PZA</v>
      </c>
      <c r="AQ254" s="71" t="str">
        <f>IFERROR(__xludf.DUMMYFUNCTION("""COMPUTED_VALUE""")," REF")</f>
        <v>REF</v>
      </c>
      <c r="AR254" s="71" t="str">
        <f>IFERROR(__xludf.DUMMYFUNCTION("""COMPUTED_VALUE""")," CAJA DE REDUCTOR SOLA SIN TAPAS")</f>
        <v>CAJA DE REDUCTOR SOLA SIN TAPAS</v>
      </c>
      <c r="AS254" s="71" t="str">
        <f>IFERROR(__xludf.DUMMYFUNCTION("""COMPUTED_VALUE""")," CAJA DE REDUCTOR SOLA SIN TAPAS")</f>
        <v>CAJA DE REDUCTOR SOLA SIN TAPAS</v>
      </c>
      <c r="AT254" s="71">
        <f>IFERROR(__xludf.DUMMYFUNCTION("""COMPUTED_VALUE"""),31.0)</f>
        <v>31</v>
      </c>
      <c r="AU254" s="71"/>
      <c r="AV254" s="71"/>
      <c r="AW254" s="71"/>
      <c r="AX254" s="71"/>
      <c r="AY254" s="71">
        <f>IFERROR(__xludf.DUMMYFUNCTION("""COMPUTED_VALUE"""),1710.0)</f>
        <v>1710</v>
      </c>
      <c r="AZ254" s="71">
        <f>IFERROR(__xludf.DUMMYFUNCTION("""COMPUTED_VALUE"""),1846.0)</f>
        <v>1846</v>
      </c>
      <c r="BA254" s="71">
        <f>IFERROR(__xludf.DUMMYFUNCTION("""COMPUTED_VALUE"""),1993.68)</f>
        <v>1993.68</v>
      </c>
      <c r="BB254" s="71">
        <f>IFERROR(__xludf.DUMMYFUNCTION("""COMPUTED_VALUE"""),1993.68)</f>
        <v>1993.68</v>
      </c>
      <c r="BC254" s="71">
        <f>IFERROR(__xludf.DUMMYFUNCTION("""COMPUTED_VALUE"""),2220.0)</f>
        <v>2220</v>
      </c>
      <c r="BD254" s="71">
        <f>IFERROR(__xludf.DUMMYFUNCTION("""COMPUTED_VALUE"""),2331.0)</f>
        <v>2331</v>
      </c>
      <c r="BE254" s="71">
        <f>IFERROR(__xludf.DUMMYFUNCTION("""COMPUTED_VALUE"""),372.96)</f>
        <v>372.96</v>
      </c>
      <c r="BF254" s="71">
        <f>IFERROR(__xludf.DUMMYFUNCTION("""COMPUTED_VALUE"""),2703.96)</f>
        <v>2703.96</v>
      </c>
      <c r="BG254" s="71">
        <f>IFERROR(__xludf.DUMMYFUNCTION("""COMPUTED_VALUE"""),0.05)</f>
        <v>0.05</v>
      </c>
      <c r="BH254" s="71">
        <f>IFERROR(__xludf.DUMMYFUNCTION("""COMPUTED_VALUE"""),2214.45)</f>
        <v>2214.45</v>
      </c>
      <c r="BI254" s="71">
        <f>IFERROR(__xludf.DUMMYFUNCTION("""COMPUTED_VALUE"""),354.31199999999995)</f>
        <v>354.312</v>
      </c>
      <c r="BJ254" s="71">
        <f>IFERROR(__xludf.DUMMYFUNCTION("""COMPUTED_VALUE"""),2568.7619999999997)</f>
        <v>2568.762</v>
      </c>
      <c r="BK254" s="71">
        <f>IFERROR(__xludf.DUMMYFUNCTION("""COMPUTED_VALUE"""),2097.9)</f>
        <v>2097.9</v>
      </c>
      <c r="BL254" s="71">
        <f>IFERROR(__xludf.DUMMYFUNCTION("""COMPUTED_VALUE"""),335.66400000000004)</f>
        <v>335.664</v>
      </c>
      <c r="BM254" s="71">
        <f>IFERROR(__xludf.DUMMYFUNCTION("""COMPUTED_VALUE"""),2433.5640000000003)</f>
        <v>2433.564</v>
      </c>
      <c r="BN254" s="71">
        <f>IFERROR(__xludf.DUMMYFUNCTION("""COMPUTED_VALUE"""),1981.35)</f>
        <v>1981.35</v>
      </c>
      <c r="BO254" s="71">
        <f>IFERROR(__xludf.DUMMYFUNCTION("""COMPUTED_VALUE"""),317.016)</f>
        <v>317.016</v>
      </c>
      <c r="BP254" s="71">
        <f>IFERROR(__xludf.DUMMYFUNCTION("""COMPUTED_VALUE"""),2298.366)</f>
        <v>2298.366</v>
      </c>
      <c r="BQ254" s="71">
        <f>IFERROR(__xludf.DUMMYFUNCTION("""COMPUTED_VALUE"""),1934.73)</f>
        <v>1934.73</v>
      </c>
      <c r="BR254" s="71">
        <f>IFERROR(__xludf.DUMMYFUNCTION("""COMPUTED_VALUE"""),309.5568)</f>
        <v>309.5568</v>
      </c>
      <c r="BS254" s="71">
        <f>IFERROR(__xludf.DUMMYFUNCTION("""COMPUTED_VALUE"""),2244.2868)</f>
        <v>2244.2868</v>
      </c>
      <c r="BT254" s="71">
        <f>IFERROR(__xludf.DUMMYFUNCTION("""COMPUTED_VALUE"""),1864.8000000000002)</f>
        <v>1864.8</v>
      </c>
      <c r="BU254" s="71">
        <f>IFERROR(__xludf.DUMMYFUNCTION("""COMPUTED_VALUE"""),298.36800000000005)</f>
        <v>298.368</v>
      </c>
      <c r="BV254" s="71">
        <f>IFERROR(__xludf.DUMMYFUNCTION("""COMPUTED_VALUE"""),2163.168)</f>
        <v>2163.168</v>
      </c>
    </row>
    <row r="255">
      <c r="A255" s="53"/>
      <c r="B255" s="53"/>
      <c r="C255" s="73" t="s">
        <v>603</v>
      </c>
      <c r="D255" s="53" t="s">
        <v>616</v>
      </c>
      <c r="E255" s="54" t="s">
        <v>38</v>
      </c>
      <c r="F255" s="54" t="s">
        <v>42</v>
      </c>
      <c r="G255" s="55" t="s">
        <v>617</v>
      </c>
      <c r="H255" s="54" t="s">
        <v>618</v>
      </c>
      <c r="I255" s="54">
        <f t="shared" si="1"/>
        <v>40</v>
      </c>
      <c r="J255" s="56"/>
      <c r="K255" s="57"/>
      <c r="L255" s="76"/>
      <c r="M255" s="59"/>
      <c r="N255" s="79"/>
      <c r="O255" s="61">
        <v>3991.0</v>
      </c>
      <c r="P255" s="62">
        <v>4310.280000000001</v>
      </c>
      <c r="Q255" s="63">
        <v>4310.280000000001</v>
      </c>
      <c r="R255" s="64">
        <v>4526.0</v>
      </c>
      <c r="S255" s="111">
        <v>4752.0</v>
      </c>
      <c r="T255" s="65">
        <f t="shared" si="2"/>
        <v>760.32</v>
      </c>
      <c r="U255" s="65">
        <f t="shared" si="3"/>
        <v>5512.32</v>
      </c>
      <c r="V255" s="66">
        <f t="shared" si="4"/>
        <v>0.04993371631</v>
      </c>
      <c r="W255" s="67">
        <f t="shared" si="5"/>
        <v>4514.4</v>
      </c>
      <c r="X255" s="67">
        <f t="shared" si="6"/>
        <v>722.304</v>
      </c>
      <c r="Y255" s="67">
        <f t="shared" si="7"/>
        <v>5236.704</v>
      </c>
      <c r="Z255" s="67">
        <f t="shared" si="8"/>
        <v>4276.8</v>
      </c>
      <c r="AA255" s="67">
        <f t="shared" si="9"/>
        <v>684.288</v>
      </c>
      <c r="AB255" s="67">
        <f t="shared" si="10"/>
        <v>4961.088</v>
      </c>
      <c r="AC255" s="67">
        <f t="shared" si="11"/>
        <v>4039.2</v>
      </c>
      <c r="AD255" s="67">
        <f t="shared" si="12"/>
        <v>646.272</v>
      </c>
      <c r="AE255" s="67">
        <f t="shared" si="13"/>
        <v>4685.472</v>
      </c>
      <c r="AF255" s="67">
        <f t="shared" si="14"/>
        <v>3944.16</v>
      </c>
      <c r="AG255" s="67">
        <f t="shared" si="15"/>
        <v>631.0656</v>
      </c>
      <c r="AH255" s="67">
        <f t="shared" si="16"/>
        <v>4575.2256</v>
      </c>
      <c r="AI255" s="67">
        <f t="shared" si="17"/>
        <v>3801.6</v>
      </c>
      <c r="AJ255" s="68">
        <f t="shared" si="20"/>
        <v>608.256</v>
      </c>
      <c r="AK255" s="68">
        <f t="shared" si="21"/>
        <v>4409.856</v>
      </c>
      <c r="AL255" s="70">
        <f>IFERROR(__xludf.DUMMYFUNCTION("""COMPUTED_VALUE"""),1.0)</f>
        <v>1</v>
      </c>
      <c r="AM255" s="70"/>
      <c r="AN255" s="71" t="str">
        <f>IFERROR(__xludf.DUMMYFUNCTION("""COMPUTED_VALUE""")," P")</f>
        <v>P</v>
      </c>
      <c r="AO255" s="71" t="str">
        <f>IFERROR(__xludf.DUMMYFUNCTION("""COMPUTED_VALUE""")," CP01")</f>
        <v>CP01</v>
      </c>
      <c r="AP255" s="71" t="str">
        <f>IFERROR(__xludf.DUMMYFUNCTION("""COMPUTED_VALUE""")," PZA")</f>
        <v>PZA</v>
      </c>
      <c r="AQ255" s="71" t="str">
        <f>IFERROR(__xludf.DUMMYFUNCTION("""COMPUTED_VALUE""")," REF")</f>
        <v>REF</v>
      </c>
      <c r="AR255" s="71" t="str">
        <f>IFERROR(__xludf.DUMMYFUNCTION("""COMPUTED_VALUE""")," CÁMARA DE PRESIÓN DÚPLEX")</f>
        <v>CÁMARA DE PRESIÓN DÚPLEX</v>
      </c>
      <c r="AS255" s="71" t="str">
        <f>IFERROR(__xludf.DUMMYFUNCTION("""COMPUTED_VALUE""")," CAMARA DE PRESION DPLX")</f>
        <v>CAMARA DE PRESION DPLX</v>
      </c>
      <c r="AT255" s="71">
        <f>IFERROR(__xludf.DUMMYFUNCTION("""COMPUTED_VALUE"""),22.0)</f>
        <v>22</v>
      </c>
      <c r="AU255" s="71"/>
      <c r="AV255" s="71"/>
      <c r="AW255" s="71"/>
      <c r="AX255" s="71"/>
      <c r="AY255" s="71">
        <f>IFERROR(__xludf.DUMMYFUNCTION("""COMPUTED_VALUE"""),690.0)</f>
        <v>690</v>
      </c>
      <c r="AZ255" s="71">
        <f>IFERROR(__xludf.DUMMYFUNCTION("""COMPUTED_VALUE"""),745.0)</f>
        <v>745</v>
      </c>
      <c r="BA255" s="71">
        <f>IFERROR(__xludf.DUMMYFUNCTION("""COMPUTED_VALUE"""),1206.0)</f>
        <v>1206</v>
      </c>
      <c r="BB255" s="71">
        <f>IFERROR(__xludf.DUMMYFUNCTION("""COMPUTED_VALUE"""),1206.0)</f>
        <v>1206</v>
      </c>
      <c r="BC255" s="71">
        <f>IFERROR(__xludf.DUMMYFUNCTION("""COMPUTED_VALUE"""),1267.0)</f>
        <v>1267</v>
      </c>
      <c r="BD255" s="71">
        <f>IFERROR(__xludf.DUMMYFUNCTION("""COMPUTED_VALUE"""),1330.0)</f>
        <v>1330</v>
      </c>
      <c r="BE255" s="71">
        <f>IFERROR(__xludf.DUMMYFUNCTION("""COMPUTED_VALUE"""),212.8)</f>
        <v>212.8</v>
      </c>
      <c r="BF255" s="71">
        <f>IFERROR(__xludf.DUMMYFUNCTION("""COMPUTED_VALUE"""),1542.8)</f>
        <v>1542.8</v>
      </c>
      <c r="BG255" s="71">
        <f>IFERROR(__xludf.DUMMYFUNCTION("""COMPUTED_VALUE"""),0.049723756906077346)</f>
        <v>0.04972375691</v>
      </c>
      <c r="BH255" s="71">
        <f>IFERROR(__xludf.DUMMYFUNCTION("""COMPUTED_VALUE"""),1263.5)</f>
        <v>1263.5</v>
      </c>
      <c r="BI255" s="71">
        <f>IFERROR(__xludf.DUMMYFUNCTION("""COMPUTED_VALUE"""),202.16)</f>
        <v>202.16</v>
      </c>
      <c r="BJ255" s="71">
        <f>IFERROR(__xludf.DUMMYFUNCTION("""COMPUTED_VALUE"""),1465.66)</f>
        <v>1465.66</v>
      </c>
      <c r="BK255" s="71">
        <f>IFERROR(__xludf.DUMMYFUNCTION("""COMPUTED_VALUE"""),1197.0)</f>
        <v>1197</v>
      </c>
      <c r="BL255" s="71">
        <f>IFERROR(__xludf.DUMMYFUNCTION("""COMPUTED_VALUE"""),191.52)</f>
        <v>191.52</v>
      </c>
      <c r="BM255" s="71">
        <f>IFERROR(__xludf.DUMMYFUNCTION("""COMPUTED_VALUE"""),1388.52)</f>
        <v>1388.52</v>
      </c>
      <c r="BN255" s="71">
        <f>IFERROR(__xludf.DUMMYFUNCTION("""COMPUTED_VALUE"""),1130.5)</f>
        <v>1130.5</v>
      </c>
      <c r="BO255" s="71">
        <f>IFERROR(__xludf.DUMMYFUNCTION("""COMPUTED_VALUE"""),180.88)</f>
        <v>180.88</v>
      </c>
      <c r="BP255" s="71">
        <f>IFERROR(__xludf.DUMMYFUNCTION("""COMPUTED_VALUE"""),1311.38)</f>
        <v>1311.38</v>
      </c>
      <c r="BQ255" s="71">
        <f>IFERROR(__xludf.DUMMYFUNCTION("""COMPUTED_VALUE"""),1103.8999999999999)</f>
        <v>1103.9</v>
      </c>
      <c r="BR255" s="71">
        <f>IFERROR(__xludf.DUMMYFUNCTION("""COMPUTED_VALUE"""),176.624)</f>
        <v>176.624</v>
      </c>
      <c r="BS255" s="71">
        <f>IFERROR(__xludf.DUMMYFUNCTION("""COMPUTED_VALUE"""),1280.524)</f>
        <v>1280.524</v>
      </c>
      <c r="BT255" s="71">
        <f>IFERROR(__xludf.DUMMYFUNCTION("""COMPUTED_VALUE"""),1064.0)</f>
        <v>1064</v>
      </c>
      <c r="BU255" s="71">
        <f>IFERROR(__xludf.DUMMYFUNCTION("""COMPUTED_VALUE"""),170.24)</f>
        <v>170.24</v>
      </c>
      <c r="BV255" s="71">
        <f>IFERROR(__xludf.DUMMYFUNCTION("""COMPUTED_VALUE"""),1234.24)</f>
        <v>1234.24</v>
      </c>
    </row>
    <row r="256">
      <c r="A256" s="53"/>
      <c r="B256" s="53"/>
      <c r="C256" s="73" t="s">
        <v>603</v>
      </c>
      <c r="D256" s="53" t="s">
        <v>619</v>
      </c>
      <c r="E256" s="54" t="s">
        <v>38</v>
      </c>
      <c r="F256" s="54" t="s">
        <v>42</v>
      </c>
      <c r="G256" s="55" t="s">
        <v>620</v>
      </c>
      <c r="H256" s="54" t="s">
        <v>621</v>
      </c>
      <c r="I256" s="54">
        <f t="shared" si="1"/>
        <v>40</v>
      </c>
      <c r="J256" s="56"/>
      <c r="K256" s="57"/>
      <c r="L256" s="76"/>
      <c r="M256" s="59"/>
      <c r="N256" s="79"/>
      <c r="O256" s="61">
        <v>2498.0</v>
      </c>
      <c r="P256" s="62">
        <v>2697.84</v>
      </c>
      <c r="Q256" s="63">
        <v>2697.84</v>
      </c>
      <c r="R256" s="64">
        <v>2833.0</v>
      </c>
      <c r="S256" s="111">
        <v>2975.0</v>
      </c>
      <c r="T256" s="65">
        <f t="shared" si="2"/>
        <v>476</v>
      </c>
      <c r="U256" s="65">
        <f t="shared" si="3"/>
        <v>3451</v>
      </c>
      <c r="V256" s="66">
        <f t="shared" si="4"/>
        <v>0.05012354395</v>
      </c>
      <c r="W256" s="67">
        <f t="shared" si="5"/>
        <v>2826.25</v>
      </c>
      <c r="X256" s="67">
        <f t="shared" si="6"/>
        <v>452.2</v>
      </c>
      <c r="Y256" s="67">
        <f t="shared" si="7"/>
        <v>3278.45</v>
      </c>
      <c r="Z256" s="67">
        <f t="shared" si="8"/>
        <v>2677.5</v>
      </c>
      <c r="AA256" s="67">
        <f t="shared" si="9"/>
        <v>428.4</v>
      </c>
      <c r="AB256" s="67">
        <f t="shared" si="10"/>
        <v>3105.9</v>
      </c>
      <c r="AC256" s="67">
        <f t="shared" si="11"/>
        <v>2528.75</v>
      </c>
      <c r="AD256" s="67">
        <f t="shared" si="12"/>
        <v>404.6</v>
      </c>
      <c r="AE256" s="67">
        <f t="shared" si="13"/>
        <v>2933.35</v>
      </c>
      <c r="AF256" s="67">
        <f t="shared" si="14"/>
        <v>2469.25</v>
      </c>
      <c r="AG256" s="67">
        <f t="shared" si="15"/>
        <v>395.08</v>
      </c>
      <c r="AH256" s="67">
        <f t="shared" si="16"/>
        <v>2864.33</v>
      </c>
      <c r="AI256" s="67">
        <f t="shared" si="17"/>
        <v>2380</v>
      </c>
      <c r="AJ256" s="68">
        <f t="shared" si="20"/>
        <v>380.8</v>
      </c>
      <c r="AK256" s="68">
        <f t="shared" si="21"/>
        <v>2760.8</v>
      </c>
      <c r="AL256" s="70">
        <f>IFERROR(__xludf.DUMMYFUNCTION("""COMPUTED_VALUE"""),1.0)</f>
        <v>1</v>
      </c>
      <c r="AM256" s="70"/>
      <c r="AN256" s="71" t="str">
        <f>IFERROR(__xludf.DUMMYFUNCTION("""COMPUTED_VALUE""")," P")</f>
        <v>P</v>
      </c>
      <c r="AO256" s="71" t="str">
        <f>IFERROR(__xludf.DUMMYFUNCTION("""COMPUTED_VALUE""")," CP02")</f>
        <v>CP02</v>
      </c>
      <c r="AP256" s="71" t="str">
        <f>IFERROR(__xludf.DUMMYFUNCTION("""COMPUTED_VALUE""")," PZA")</f>
        <v>PZA</v>
      </c>
      <c r="AQ256" s="71" t="str">
        <f>IFERROR(__xludf.DUMMYFUNCTION("""COMPUTED_VALUE""")," REF")</f>
        <v>REF</v>
      </c>
      <c r="AR256" s="71" t="str">
        <f>IFERROR(__xludf.DUMMYFUNCTION("""COMPUTED_VALUE""")," CÁMARA DE PRESIÓN ESPECIAL CHICA")</f>
        <v>CÁMARA DE PRESIÓN ESPECIAL CHICA</v>
      </c>
      <c r="AS256" s="71" t="str">
        <f>IFERROR(__xludf.DUMMYFUNCTION("""COMPUTED_VALUE""")," CAMARA DE PRESION ESPECIAL CHICA")</f>
        <v>CAMARA DE PRESION ESPECIAL CHICA</v>
      </c>
      <c r="AT256" s="71">
        <f>IFERROR(__xludf.DUMMYFUNCTION("""COMPUTED_VALUE"""),32.0)</f>
        <v>32</v>
      </c>
      <c r="AU256" s="71"/>
      <c r="AV256" s="71"/>
      <c r="AW256" s="71"/>
      <c r="AX256" s="71"/>
      <c r="AY256" s="71">
        <f>IFERROR(__xludf.DUMMYFUNCTION("""COMPUTED_VALUE"""),447.0)</f>
        <v>447</v>
      </c>
      <c r="AZ256" s="71">
        <f>IFERROR(__xludf.DUMMYFUNCTION("""COMPUTED_VALUE"""),482.0)</f>
        <v>482</v>
      </c>
      <c r="BA256" s="71">
        <f>IFERROR(__xludf.DUMMYFUNCTION("""COMPUTED_VALUE"""),520.5600000000001)</f>
        <v>520.56</v>
      </c>
      <c r="BB256" s="71">
        <f>IFERROR(__xludf.DUMMYFUNCTION("""COMPUTED_VALUE"""),520.5600000000001)</f>
        <v>520.56</v>
      </c>
      <c r="BC256" s="71">
        <f>IFERROR(__xludf.DUMMYFUNCTION("""COMPUTED_VALUE"""),580.0)</f>
        <v>580</v>
      </c>
      <c r="BD256" s="71">
        <f>IFERROR(__xludf.DUMMYFUNCTION("""COMPUTED_VALUE"""),609.0)</f>
        <v>609</v>
      </c>
      <c r="BE256" s="71">
        <f>IFERROR(__xludf.DUMMYFUNCTION("""COMPUTED_VALUE"""),97.44)</f>
        <v>97.44</v>
      </c>
      <c r="BF256" s="71">
        <f>IFERROR(__xludf.DUMMYFUNCTION("""COMPUTED_VALUE"""),706.44)</f>
        <v>706.44</v>
      </c>
      <c r="BG256" s="71">
        <f>IFERROR(__xludf.DUMMYFUNCTION("""COMPUTED_VALUE"""),0.05)</f>
        <v>0.05</v>
      </c>
      <c r="BH256" s="71">
        <f>IFERROR(__xludf.DUMMYFUNCTION("""COMPUTED_VALUE"""),578.55)</f>
        <v>578.55</v>
      </c>
      <c r="BI256" s="71">
        <f>IFERROR(__xludf.DUMMYFUNCTION("""COMPUTED_VALUE"""),92.568)</f>
        <v>92.568</v>
      </c>
      <c r="BJ256" s="71">
        <f>IFERROR(__xludf.DUMMYFUNCTION("""COMPUTED_VALUE"""),671.1179999999999)</f>
        <v>671.118</v>
      </c>
      <c r="BK256" s="71">
        <f>IFERROR(__xludf.DUMMYFUNCTION("""COMPUTED_VALUE"""),548.1)</f>
        <v>548.1</v>
      </c>
      <c r="BL256" s="71">
        <f>IFERROR(__xludf.DUMMYFUNCTION("""COMPUTED_VALUE"""),87.69600000000001)</f>
        <v>87.696</v>
      </c>
      <c r="BM256" s="71">
        <f>IFERROR(__xludf.DUMMYFUNCTION("""COMPUTED_VALUE"""),635.796)</f>
        <v>635.796</v>
      </c>
      <c r="BN256" s="71">
        <f>IFERROR(__xludf.DUMMYFUNCTION("""COMPUTED_VALUE"""),517.65)</f>
        <v>517.65</v>
      </c>
      <c r="BO256" s="71">
        <f>IFERROR(__xludf.DUMMYFUNCTION("""COMPUTED_VALUE"""),82.824)</f>
        <v>82.824</v>
      </c>
      <c r="BP256" s="71">
        <f>IFERROR(__xludf.DUMMYFUNCTION("""COMPUTED_VALUE"""),600.4739999999999)</f>
        <v>600.474</v>
      </c>
      <c r="BQ256" s="71">
        <f>IFERROR(__xludf.DUMMYFUNCTION("""COMPUTED_VALUE"""),505.46999999999997)</f>
        <v>505.47</v>
      </c>
      <c r="BR256" s="71">
        <f>IFERROR(__xludf.DUMMYFUNCTION("""COMPUTED_VALUE"""),80.87519999999999)</f>
        <v>80.8752</v>
      </c>
      <c r="BS256" s="71">
        <f>IFERROR(__xludf.DUMMYFUNCTION("""COMPUTED_VALUE"""),586.3452)</f>
        <v>586.3452</v>
      </c>
      <c r="BT256" s="71">
        <f>IFERROR(__xludf.DUMMYFUNCTION("""COMPUTED_VALUE"""),487.20000000000005)</f>
        <v>487.2</v>
      </c>
      <c r="BU256" s="71">
        <f>IFERROR(__xludf.DUMMYFUNCTION("""COMPUTED_VALUE"""),77.95200000000001)</f>
        <v>77.952</v>
      </c>
      <c r="BV256" s="71">
        <f>IFERROR(__xludf.DUMMYFUNCTION("""COMPUTED_VALUE"""),565.152)</f>
        <v>565.152</v>
      </c>
    </row>
    <row r="257">
      <c r="A257" s="53"/>
      <c r="B257" s="53"/>
      <c r="C257" s="73" t="s">
        <v>603</v>
      </c>
      <c r="D257" s="53" t="s">
        <v>622</v>
      </c>
      <c r="E257" s="54" t="s">
        <v>38</v>
      </c>
      <c r="F257" s="54" t="s">
        <v>42</v>
      </c>
      <c r="G257" s="55" t="s">
        <v>623</v>
      </c>
      <c r="H257" s="54" t="s">
        <v>624</v>
      </c>
      <c r="I257" s="54">
        <f t="shared" si="1"/>
        <v>39</v>
      </c>
      <c r="J257" s="56"/>
      <c r="K257" s="57"/>
      <c r="L257" s="76"/>
      <c r="M257" s="59"/>
      <c r="N257" s="79">
        <v>4995.0</v>
      </c>
      <c r="O257" s="61">
        <v>4508.0</v>
      </c>
      <c r="P257" s="62">
        <v>4868.64</v>
      </c>
      <c r="Q257" s="63">
        <v>4868.64</v>
      </c>
      <c r="R257" s="64">
        <v>5113.0</v>
      </c>
      <c r="S257" s="111">
        <v>5369.0</v>
      </c>
      <c r="T257" s="65">
        <f t="shared" si="2"/>
        <v>859.04</v>
      </c>
      <c r="U257" s="65">
        <f t="shared" si="3"/>
        <v>6228.04</v>
      </c>
      <c r="V257" s="66">
        <f t="shared" si="4"/>
        <v>0.05006845296</v>
      </c>
      <c r="W257" s="67">
        <f t="shared" si="5"/>
        <v>5100.55</v>
      </c>
      <c r="X257" s="67">
        <f t="shared" si="6"/>
        <v>816.088</v>
      </c>
      <c r="Y257" s="67">
        <f t="shared" si="7"/>
        <v>5916.638</v>
      </c>
      <c r="Z257" s="67">
        <f t="shared" si="8"/>
        <v>4832.1</v>
      </c>
      <c r="AA257" s="67">
        <f t="shared" si="9"/>
        <v>773.136</v>
      </c>
      <c r="AB257" s="67">
        <f t="shared" si="10"/>
        <v>5605.236</v>
      </c>
      <c r="AC257" s="67">
        <f t="shared" si="11"/>
        <v>4563.65</v>
      </c>
      <c r="AD257" s="67">
        <f t="shared" si="12"/>
        <v>730.184</v>
      </c>
      <c r="AE257" s="67">
        <f t="shared" si="13"/>
        <v>5293.834</v>
      </c>
      <c r="AF257" s="67">
        <f t="shared" si="14"/>
        <v>4456.27</v>
      </c>
      <c r="AG257" s="67">
        <f t="shared" si="15"/>
        <v>713.0032</v>
      </c>
      <c r="AH257" s="67">
        <f t="shared" si="16"/>
        <v>5169.2732</v>
      </c>
      <c r="AI257" s="67">
        <f t="shared" si="17"/>
        <v>4295.2</v>
      </c>
      <c r="AJ257" s="68">
        <f t="shared" si="20"/>
        <v>687.232</v>
      </c>
      <c r="AK257" s="68">
        <f t="shared" si="21"/>
        <v>4982.432</v>
      </c>
      <c r="AL257" s="70">
        <f>IFERROR(__xludf.DUMMYFUNCTION("""COMPUTED_VALUE"""),1.0)</f>
        <v>1</v>
      </c>
      <c r="AM257" s="70"/>
      <c r="AN257" s="71" t="str">
        <f>IFERROR(__xludf.DUMMYFUNCTION("""COMPUTED_VALUE""")," P")</f>
        <v>P</v>
      </c>
      <c r="AO257" s="71" t="str">
        <f>IFERROR(__xludf.DUMMYFUNCTION("""COMPUTED_VALUE""")," CP03")</f>
        <v>CP03</v>
      </c>
      <c r="AP257" s="71" t="str">
        <f>IFERROR(__xludf.DUMMYFUNCTION("""COMPUTED_VALUE""")," PZA")</f>
        <v>PZA</v>
      </c>
      <c r="AQ257" s="71" t="str">
        <f>IFERROR(__xludf.DUMMYFUNCTION("""COMPUTED_VALUE""")," REF")</f>
        <v>REF</v>
      </c>
      <c r="AR257" s="71" t="str">
        <f>IFERROR(__xludf.DUMMYFUNCTION("""COMPUTED_VALUE""")," CÁMARA DE PRESIÓN SENCILLA")</f>
        <v>CÁMARA DE PRESIÓN SENCILLA</v>
      </c>
      <c r="AS257" s="71" t="str">
        <f>IFERROR(__xludf.DUMMYFUNCTION("""COMPUTED_VALUE""")," CAMARA DE PRESION SENCILLA")</f>
        <v>CAMARA DE PRESION SENCILLA</v>
      </c>
      <c r="AT257" s="71">
        <f>IFERROR(__xludf.DUMMYFUNCTION("""COMPUTED_VALUE"""),26.0)</f>
        <v>26</v>
      </c>
      <c r="AU257" s="71"/>
      <c r="AV257" s="71"/>
      <c r="AW257" s="71"/>
      <c r="AX257" s="71"/>
      <c r="AY257" s="71">
        <f>IFERROR(__xludf.DUMMYFUNCTION("""COMPUTED_VALUE"""),434.0)</f>
        <v>434</v>
      </c>
      <c r="AZ257" s="71">
        <f>IFERROR(__xludf.DUMMYFUNCTION("""COMPUTED_VALUE"""),468.0)</f>
        <v>468</v>
      </c>
      <c r="BA257" s="71">
        <f>IFERROR(__xludf.DUMMYFUNCTION("""COMPUTED_VALUE"""),505.44000000000005)</f>
        <v>505.44</v>
      </c>
      <c r="BB257" s="71">
        <f>IFERROR(__xludf.DUMMYFUNCTION("""COMPUTED_VALUE"""),505.44000000000005)</f>
        <v>505.44</v>
      </c>
      <c r="BC257" s="71">
        <f>IFERROR(__xludf.DUMMYFUNCTION("""COMPUTED_VALUE"""),563.0)</f>
        <v>563</v>
      </c>
      <c r="BD257" s="71">
        <f>IFERROR(__xludf.DUMMYFUNCTION("""COMPUTED_VALUE"""),591.0)</f>
        <v>591</v>
      </c>
      <c r="BE257" s="71">
        <f>IFERROR(__xludf.DUMMYFUNCTION("""COMPUTED_VALUE"""),94.56)</f>
        <v>94.56</v>
      </c>
      <c r="BF257" s="71">
        <f>IFERROR(__xludf.DUMMYFUNCTION("""COMPUTED_VALUE"""),685.56)</f>
        <v>685.56</v>
      </c>
      <c r="BG257" s="71">
        <f>IFERROR(__xludf.DUMMYFUNCTION("""COMPUTED_VALUE"""),0.0497335701598579)</f>
        <v>0.04973357016</v>
      </c>
      <c r="BH257" s="71">
        <f>IFERROR(__xludf.DUMMYFUNCTION("""COMPUTED_VALUE"""),561.4499999999999)</f>
        <v>561.45</v>
      </c>
      <c r="BI257" s="71">
        <f>IFERROR(__xludf.DUMMYFUNCTION("""COMPUTED_VALUE"""),89.832)</f>
        <v>89.832</v>
      </c>
      <c r="BJ257" s="71">
        <f>IFERROR(__xludf.DUMMYFUNCTION("""COMPUTED_VALUE"""),651.2819999999999)</f>
        <v>651.282</v>
      </c>
      <c r="BK257" s="71">
        <f>IFERROR(__xludf.DUMMYFUNCTION("""COMPUTED_VALUE"""),531.9)</f>
        <v>531.9</v>
      </c>
      <c r="BL257" s="71">
        <f>IFERROR(__xludf.DUMMYFUNCTION("""COMPUTED_VALUE"""),85.104)</f>
        <v>85.104</v>
      </c>
      <c r="BM257" s="71">
        <f>IFERROR(__xludf.DUMMYFUNCTION("""COMPUTED_VALUE"""),617.004)</f>
        <v>617.004</v>
      </c>
      <c r="BN257" s="71">
        <f>IFERROR(__xludf.DUMMYFUNCTION("""COMPUTED_VALUE"""),502.34999999999997)</f>
        <v>502.35</v>
      </c>
      <c r="BO257" s="71">
        <f>IFERROR(__xludf.DUMMYFUNCTION("""COMPUTED_VALUE"""),80.37599999999999)</f>
        <v>80.376</v>
      </c>
      <c r="BP257" s="71">
        <f>IFERROR(__xludf.DUMMYFUNCTION("""COMPUTED_VALUE"""),582.726)</f>
        <v>582.726</v>
      </c>
      <c r="BQ257" s="71">
        <f>IFERROR(__xludf.DUMMYFUNCTION("""COMPUTED_VALUE"""),490.53)</f>
        <v>490.53</v>
      </c>
      <c r="BR257" s="71">
        <f>IFERROR(__xludf.DUMMYFUNCTION("""COMPUTED_VALUE"""),78.48479999999999)</f>
        <v>78.4848</v>
      </c>
      <c r="BS257" s="71">
        <f>IFERROR(__xludf.DUMMYFUNCTION("""COMPUTED_VALUE"""),569.0147999999999)</f>
        <v>569.0148</v>
      </c>
      <c r="BT257" s="71">
        <f>IFERROR(__xludf.DUMMYFUNCTION("""COMPUTED_VALUE"""),472.8)</f>
        <v>472.8</v>
      </c>
      <c r="BU257" s="71">
        <f>IFERROR(__xludf.DUMMYFUNCTION("""COMPUTED_VALUE"""),75.64800000000001)</f>
        <v>75.648</v>
      </c>
      <c r="BV257" s="71">
        <f>IFERROR(__xludf.DUMMYFUNCTION("""COMPUTED_VALUE"""),548.448)</f>
        <v>548.448</v>
      </c>
    </row>
    <row r="258">
      <c r="A258" s="53"/>
      <c r="B258" s="53"/>
      <c r="C258" s="73" t="s">
        <v>603</v>
      </c>
      <c r="D258" s="53" t="s">
        <v>625</v>
      </c>
      <c r="E258" s="54" t="s">
        <v>38</v>
      </c>
      <c r="F258" s="54" t="s">
        <v>42</v>
      </c>
      <c r="G258" s="55" t="s">
        <v>626</v>
      </c>
      <c r="H258" s="55" t="s">
        <v>627</v>
      </c>
      <c r="I258" s="54">
        <f t="shared" si="1"/>
        <v>32</v>
      </c>
      <c r="J258" s="56"/>
      <c r="K258" s="57"/>
      <c r="L258" s="76"/>
      <c r="M258" s="59"/>
      <c r="N258" s="79"/>
      <c r="O258" s="61">
        <v>8382.0</v>
      </c>
      <c r="P258" s="62">
        <v>9052.560000000001</v>
      </c>
      <c r="Q258" s="63">
        <v>9052.560000000001</v>
      </c>
      <c r="R258" s="64">
        <v>9506.0</v>
      </c>
      <c r="S258" s="111">
        <v>9981.0</v>
      </c>
      <c r="T258" s="65">
        <f t="shared" si="2"/>
        <v>1596.96</v>
      </c>
      <c r="U258" s="65">
        <f t="shared" si="3"/>
        <v>11577.96</v>
      </c>
      <c r="V258" s="66">
        <f t="shared" si="4"/>
        <v>0.04996844098</v>
      </c>
      <c r="W258" s="67">
        <f t="shared" si="5"/>
        <v>9481.95</v>
      </c>
      <c r="X258" s="67">
        <f t="shared" si="6"/>
        <v>1517.112</v>
      </c>
      <c r="Y258" s="67">
        <f t="shared" si="7"/>
        <v>10999.062</v>
      </c>
      <c r="Z258" s="67">
        <f t="shared" si="8"/>
        <v>8982.9</v>
      </c>
      <c r="AA258" s="67">
        <f t="shared" si="9"/>
        <v>1437.264</v>
      </c>
      <c r="AB258" s="67">
        <f t="shared" si="10"/>
        <v>10420.164</v>
      </c>
      <c r="AC258" s="67">
        <f t="shared" si="11"/>
        <v>8483.85</v>
      </c>
      <c r="AD258" s="67">
        <f t="shared" si="12"/>
        <v>1357.416</v>
      </c>
      <c r="AE258" s="67">
        <f t="shared" si="13"/>
        <v>9841.266</v>
      </c>
      <c r="AF258" s="67">
        <f t="shared" si="14"/>
        <v>8284.23</v>
      </c>
      <c r="AG258" s="67">
        <f t="shared" si="15"/>
        <v>1325.4768</v>
      </c>
      <c r="AH258" s="67">
        <f t="shared" si="16"/>
        <v>9609.7068</v>
      </c>
      <c r="AI258" s="67">
        <f t="shared" si="17"/>
        <v>7984.8</v>
      </c>
      <c r="AJ258" s="68">
        <f t="shared" si="20"/>
        <v>1277.568</v>
      </c>
      <c r="AK258" s="68">
        <f t="shared" si="21"/>
        <v>9262.368</v>
      </c>
      <c r="AL258" s="70">
        <f>IFERROR(__xludf.DUMMYFUNCTION("""COMPUTED_VALUE"""),1.0)</f>
        <v>1</v>
      </c>
      <c r="AM258" s="70"/>
      <c r="AN258" s="71" t="str">
        <f>IFERROR(__xludf.DUMMYFUNCTION("""COMPUTED_VALUE""")," P")</f>
        <v>P</v>
      </c>
      <c r="AO258" s="71" t="str">
        <f>IFERROR(__xludf.DUMMYFUNCTION("""COMPUTED_VALUE""")," CP99")</f>
        <v>CP99</v>
      </c>
      <c r="AP258" s="71" t="str">
        <f>IFERROR(__xludf.DUMMYFUNCTION("""COMPUTED_VALUE""")," PZA")</f>
        <v>PZA</v>
      </c>
      <c r="AQ258" s="71" t="str">
        <f>IFERROR(__xludf.DUMMYFUNCTION("""COMPUTED_VALUE""")," REF")</f>
        <v>REF</v>
      </c>
      <c r="AR258" s="71" t="str">
        <f>IFERROR(__xludf.DUMMYFUNCTION("""COMPUTED_VALUE""")," CÁMARA DE PRESIÓN SENCILLA EN ACERO INOX. T-304-L GRADO ALIMENTICIO")</f>
        <v>CÁMARA DE PRESIÓN SENCILLA EN ACERO INOX. T-304-L GRADO ALIMENTICIO</v>
      </c>
      <c r="AS258" s="71" t="str">
        <f>IFERROR(__xludf.DUMMYFUNCTION("""COMPUTED_VALUE""")," CAMARA DE PRESION SENCILLA INOX")</f>
        <v>CAMARA DE PRESION SENCILLA INOX</v>
      </c>
      <c r="AT258" s="71">
        <f>IFERROR(__xludf.DUMMYFUNCTION("""COMPUTED_VALUE"""),31.0)</f>
        <v>31</v>
      </c>
      <c r="AU258" s="71"/>
      <c r="AV258" s="71"/>
      <c r="AW258" s="71"/>
      <c r="AX258" s="71"/>
      <c r="AY258" s="71">
        <f>IFERROR(__xludf.DUMMYFUNCTION("""COMPUTED_VALUE"""),2779.0)</f>
        <v>2779</v>
      </c>
      <c r="AZ258" s="71">
        <f>IFERROR(__xludf.DUMMYFUNCTION("""COMPUTED_VALUE"""),3001.0)</f>
        <v>3001</v>
      </c>
      <c r="BA258" s="71">
        <f>IFERROR(__xludf.DUMMYFUNCTION("""COMPUTED_VALUE"""),3241.0800000000004)</f>
        <v>3241.08</v>
      </c>
      <c r="BB258" s="71">
        <f>IFERROR(__xludf.DUMMYFUNCTION("""COMPUTED_VALUE"""),3241.0800000000004)</f>
        <v>3241.08</v>
      </c>
      <c r="BC258" s="71">
        <f>IFERROR(__xludf.DUMMYFUNCTION("""COMPUTED_VALUE"""),3608.0)</f>
        <v>3608</v>
      </c>
      <c r="BD258" s="71">
        <f>IFERROR(__xludf.DUMMYFUNCTION("""COMPUTED_VALUE"""),3788.0)</f>
        <v>3788</v>
      </c>
      <c r="BE258" s="71">
        <f>IFERROR(__xludf.DUMMYFUNCTION("""COMPUTED_VALUE"""),606.08)</f>
        <v>606.08</v>
      </c>
      <c r="BF258" s="71">
        <f>IFERROR(__xludf.DUMMYFUNCTION("""COMPUTED_VALUE"""),4394.08)</f>
        <v>4394.08</v>
      </c>
      <c r="BG258" s="71">
        <f>IFERROR(__xludf.DUMMYFUNCTION("""COMPUTED_VALUE"""),0.04988913525498891)</f>
        <v>0.04988913525</v>
      </c>
      <c r="BH258" s="71">
        <f>IFERROR(__xludf.DUMMYFUNCTION("""COMPUTED_VALUE"""),3598.6)</f>
        <v>3598.6</v>
      </c>
      <c r="BI258" s="71">
        <f>IFERROR(__xludf.DUMMYFUNCTION("""COMPUTED_VALUE"""),575.776)</f>
        <v>575.776</v>
      </c>
      <c r="BJ258" s="71">
        <f>IFERROR(__xludf.DUMMYFUNCTION("""COMPUTED_VALUE"""),4174.376)</f>
        <v>4174.376</v>
      </c>
      <c r="BK258" s="71">
        <f>IFERROR(__xludf.DUMMYFUNCTION("""COMPUTED_VALUE"""),3409.2000000000003)</f>
        <v>3409.2</v>
      </c>
      <c r="BL258" s="71">
        <f>IFERROR(__xludf.DUMMYFUNCTION("""COMPUTED_VALUE"""),545.4720000000001)</f>
        <v>545.472</v>
      </c>
      <c r="BM258" s="71">
        <f>IFERROR(__xludf.DUMMYFUNCTION("""COMPUTED_VALUE"""),3954.6720000000005)</f>
        <v>3954.672</v>
      </c>
      <c r="BN258" s="71">
        <f>IFERROR(__xludf.DUMMYFUNCTION("""COMPUTED_VALUE"""),3219.7999999999997)</f>
        <v>3219.8</v>
      </c>
      <c r="BO258" s="71">
        <f>IFERROR(__xludf.DUMMYFUNCTION("""COMPUTED_VALUE"""),515.168)</f>
        <v>515.168</v>
      </c>
      <c r="BP258" s="71">
        <f>IFERROR(__xludf.DUMMYFUNCTION("""COMPUTED_VALUE"""),3734.968)</f>
        <v>3734.968</v>
      </c>
      <c r="BQ258" s="71">
        <f>IFERROR(__xludf.DUMMYFUNCTION("""COMPUTED_VALUE"""),3144.04)</f>
        <v>3144.04</v>
      </c>
      <c r="BR258" s="71">
        <f>IFERROR(__xludf.DUMMYFUNCTION("""COMPUTED_VALUE"""),503.0464)</f>
        <v>503.0464</v>
      </c>
      <c r="BS258" s="71">
        <f>IFERROR(__xludf.DUMMYFUNCTION("""COMPUTED_VALUE"""),3647.0864)</f>
        <v>3647.0864</v>
      </c>
      <c r="BT258" s="71">
        <f>IFERROR(__xludf.DUMMYFUNCTION("""COMPUTED_VALUE"""),3030.4)</f>
        <v>3030.4</v>
      </c>
      <c r="BU258" s="71">
        <f>IFERROR(__xludf.DUMMYFUNCTION("""COMPUTED_VALUE"""),484.86400000000003)</f>
        <v>484.864</v>
      </c>
      <c r="BV258" s="71">
        <f>IFERROR(__xludf.DUMMYFUNCTION("""COMPUTED_VALUE"""),3515.264)</f>
        <v>3515.264</v>
      </c>
    </row>
    <row r="259">
      <c r="A259" s="53"/>
      <c r="B259" s="53"/>
      <c r="C259" s="73" t="s">
        <v>603</v>
      </c>
      <c r="D259" s="53" t="s">
        <v>628</v>
      </c>
      <c r="E259" s="54" t="s">
        <v>38</v>
      </c>
      <c r="F259" s="54" t="s">
        <v>42</v>
      </c>
      <c r="G259" s="55" t="s">
        <v>629</v>
      </c>
      <c r="H259" s="54" t="s">
        <v>630</v>
      </c>
      <c r="I259" s="54">
        <f t="shared" si="1"/>
        <v>38</v>
      </c>
      <c r="J259" s="56"/>
      <c r="K259" s="57"/>
      <c r="L259" s="76"/>
      <c r="M259" s="59"/>
      <c r="N259" s="79">
        <v>1883.0</v>
      </c>
      <c r="O259" s="61">
        <v>1700.0</v>
      </c>
      <c r="P259" s="62">
        <v>1836.0000000000002</v>
      </c>
      <c r="Q259" s="63">
        <v>1836.0000000000002</v>
      </c>
      <c r="R259" s="64">
        <v>1928.0</v>
      </c>
      <c r="S259" s="111">
        <v>2024.0</v>
      </c>
      <c r="T259" s="65">
        <f t="shared" si="2"/>
        <v>323.84</v>
      </c>
      <c r="U259" s="65">
        <f t="shared" si="3"/>
        <v>2347.84</v>
      </c>
      <c r="V259" s="66">
        <f t="shared" si="4"/>
        <v>0.04979253112</v>
      </c>
      <c r="W259" s="67">
        <f t="shared" si="5"/>
        <v>1922.8</v>
      </c>
      <c r="X259" s="67">
        <f t="shared" si="6"/>
        <v>307.648</v>
      </c>
      <c r="Y259" s="67">
        <f t="shared" si="7"/>
        <v>2230.448</v>
      </c>
      <c r="Z259" s="67">
        <f t="shared" si="8"/>
        <v>1821.6</v>
      </c>
      <c r="AA259" s="67">
        <f t="shared" si="9"/>
        <v>291.456</v>
      </c>
      <c r="AB259" s="67">
        <f t="shared" si="10"/>
        <v>2113.056</v>
      </c>
      <c r="AC259" s="67">
        <f t="shared" si="11"/>
        <v>1720.4</v>
      </c>
      <c r="AD259" s="67">
        <f t="shared" si="12"/>
        <v>275.264</v>
      </c>
      <c r="AE259" s="67">
        <f t="shared" si="13"/>
        <v>1995.664</v>
      </c>
      <c r="AF259" s="67">
        <f t="shared" si="14"/>
        <v>1679.92</v>
      </c>
      <c r="AG259" s="67">
        <f t="shared" si="15"/>
        <v>268.7872</v>
      </c>
      <c r="AH259" s="67">
        <f t="shared" si="16"/>
        <v>1948.7072</v>
      </c>
      <c r="AI259" s="67">
        <f t="shared" si="17"/>
        <v>1619.2</v>
      </c>
      <c r="AJ259" s="68">
        <f t="shared" si="20"/>
        <v>259.072</v>
      </c>
      <c r="AK259" s="68">
        <f t="shared" si="21"/>
        <v>1878.272</v>
      </c>
      <c r="AL259" s="70">
        <f>IFERROR(__xludf.DUMMYFUNCTION("""COMPUTED_VALUE"""),1.0)</f>
        <v>1</v>
      </c>
      <c r="AM259" s="70"/>
      <c r="AN259" s="71" t="str">
        <f>IFERROR(__xludf.DUMMYFUNCTION("""COMPUTED_VALUE""")," P")</f>
        <v>P</v>
      </c>
      <c r="AO259" s="71" t="str">
        <f>IFERROR(__xludf.DUMMYFUNCTION("""COMPUTED_VALUE""")," CP100")</f>
        <v>CP100</v>
      </c>
      <c r="AP259" s="71" t="str">
        <f>IFERROR(__xludf.DUMMYFUNCTION("""COMPUTED_VALUE""")," PZA")</f>
        <v>PZA</v>
      </c>
      <c r="AQ259" s="71" t="str">
        <f>IFERROR(__xludf.DUMMYFUNCTION("""COMPUTED_VALUE""")," REF")</f>
        <v>REF</v>
      </c>
      <c r="AR259" s="71" t="str">
        <f>IFERROR(__xludf.DUMMYFUNCTION("""COMPUTED_VALUE""")," CÁMARA DE PRESIÓN SENCILLA EN ACERO INOX. T-304-L GRADO ALIMENTICIO CON EL MEDIO TUBO DE RECIRCULACIÓN")</f>
        <v>CÁMARA DE PRESIÓN SENCILLA EN ACERO INOX. T-304-L GRADO ALIMENTICIO CON EL MEDIO TUBO DE RECIRCULACIÓN</v>
      </c>
      <c r="AS259" s="71" t="str">
        <f>IFERROR(__xludf.DUMMYFUNCTION("""COMPUTED_VALUE""")," CAMARA PRES SENC INOX C/MED TUBO RECIRC")</f>
        <v>CAMARA PRES SENC INOX C/MED TUBO RECIRC</v>
      </c>
      <c r="AT259" s="71">
        <f>IFERROR(__xludf.DUMMYFUNCTION("""COMPUTED_VALUE"""),39.0)</f>
        <v>39</v>
      </c>
      <c r="AU259" s="71"/>
      <c r="AV259" s="71"/>
      <c r="AW259" s="71"/>
      <c r="AX259" s="71"/>
      <c r="AY259" s="71">
        <f>IFERROR(__xludf.DUMMYFUNCTION("""COMPUTED_VALUE"""),4932.0)</f>
        <v>4932</v>
      </c>
      <c r="AZ259" s="71">
        <f>IFERROR(__xludf.DUMMYFUNCTION("""COMPUTED_VALUE"""),5326.0)</f>
        <v>5326</v>
      </c>
      <c r="BA259" s="71">
        <f>IFERROR(__xludf.DUMMYFUNCTION("""COMPUTED_VALUE"""),5752.08)</f>
        <v>5752.08</v>
      </c>
      <c r="BB259" s="71">
        <f>IFERROR(__xludf.DUMMYFUNCTION("""COMPUTED_VALUE"""),5752.08)</f>
        <v>5752.08</v>
      </c>
      <c r="BC259" s="71">
        <f>IFERROR(__xludf.DUMMYFUNCTION("""COMPUTED_VALUE"""),6403.0)</f>
        <v>6403</v>
      </c>
      <c r="BD259" s="71">
        <f>IFERROR(__xludf.DUMMYFUNCTION("""COMPUTED_VALUE"""),6723.0)</f>
        <v>6723</v>
      </c>
      <c r="BE259" s="71">
        <f>IFERROR(__xludf.DUMMYFUNCTION("""COMPUTED_VALUE"""),1075.68)</f>
        <v>1075.68</v>
      </c>
      <c r="BF259" s="71">
        <f>IFERROR(__xludf.DUMMYFUNCTION("""COMPUTED_VALUE"""),7798.68)</f>
        <v>7798.68</v>
      </c>
      <c r="BG259" s="71">
        <f>IFERROR(__xludf.DUMMYFUNCTION("""COMPUTED_VALUE"""),0.049976573481180696)</f>
        <v>0.04997657348</v>
      </c>
      <c r="BH259" s="71">
        <f>IFERROR(__xludf.DUMMYFUNCTION("""COMPUTED_VALUE"""),6386.849999999999)</f>
        <v>6386.85</v>
      </c>
      <c r="BI259" s="71">
        <f>IFERROR(__xludf.DUMMYFUNCTION("""COMPUTED_VALUE"""),1021.896)</f>
        <v>1021.896</v>
      </c>
      <c r="BJ259" s="71">
        <f>IFERROR(__xludf.DUMMYFUNCTION("""COMPUTED_VALUE"""),7408.745999999999)</f>
        <v>7408.746</v>
      </c>
      <c r="BK259" s="71">
        <f>IFERROR(__xludf.DUMMYFUNCTION("""COMPUTED_VALUE"""),6050.7)</f>
        <v>6050.7</v>
      </c>
      <c r="BL259" s="71">
        <f>IFERROR(__xludf.DUMMYFUNCTION("""COMPUTED_VALUE"""),968.112)</f>
        <v>968.112</v>
      </c>
      <c r="BM259" s="71">
        <f>IFERROR(__xludf.DUMMYFUNCTION("""COMPUTED_VALUE"""),7018.812)</f>
        <v>7018.812</v>
      </c>
      <c r="BN259" s="71">
        <f>IFERROR(__xludf.DUMMYFUNCTION("""COMPUTED_VALUE"""),5714.55)</f>
        <v>5714.55</v>
      </c>
      <c r="BO259" s="71">
        <f>IFERROR(__xludf.DUMMYFUNCTION("""COMPUTED_VALUE"""),914.3280000000001)</f>
        <v>914.328</v>
      </c>
      <c r="BP259" s="71">
        <f>IFERROR(__xludf.DUMMYFUNCTION("""COMPUTED_VALUE"""),6628.878000000001)</f>
        <v>6628.878</v>
      </c>
      <c r="BQ259" s="71">
        <f>IFERROR(__xludf.DUMMYFUNCTION("""COMPUTED_VALUE"""),5580.09)</f>
        <v>5580.09</v>
      </c>
      <c r="BR259" s="71">
        <f>IFERROR(__xludf.DUMMYFUNCTION("""COMPUTED_VALUE"""),892.8144000000001)</f>
        <v>892.8144</v>
      </c>
      <c r="BS259" s="71">
        <f>IFERROR(__xludf.DUMMYFUNCTION("""COMPUTED_VALUE"""),6472.9044)</f>
        <v>6472.9044</v>
      </c>
      <c r="BT259" s="71">
        <f>IFERROR(__xludf.DUMMYFUNCTION("""COMPUTED_VALUE"""),5378.400000000001)</f>
        <v>5378.4</v>
      </c>
      <c r="BU259" s="71">
        <f>IFERROR(__xludf.DUMMYFUNCTION("""COMPUTED_VALUE"""),860.5440000000001)</f>
        <v>860.544</v>
      </c>
      <c r="BV259" s="71">
        <f>IFERROR(__xludf.DUMMYFUNCTION("""COMPUTED_VALUE"""),6238.944)</f>
        <v>6238.944</v>
      </c>
    </row>
    <row r="260">
      <c r="A260" s="53"/>
      <c r="B260" s="53"/>
      <c r="C260" s="73" t="s">
        <v>603</v>
      </c>
      <c r="D260" s="53" t="s">
        <v>631</v>
      </c>
      <c r="E260" s="54" t="s">
        <v>38</v>
      </c>
      <c r="F260" s="54" t="s">
        <v>42</v>
      </c>
      <c r="G260" s="55" t="s">
        <v>632</v>
      </c>
      <c r="H260" s="54" t="s">
        <v>633</v>
      </c>
      <c r="I260" s="54">
        <f t="shared" si="1"/>
        <v>38</v>
      </c>
      <c r="J260" s="56"/>
      <c r="K260" s="57"/>
      <c r="L260" s="76"/>
      <c r="M260" s="59"/>
      <c r="N260" s="79">
        <v>4090.0</v>
      </c>
      <c r="O260" s="61">
        <v>3692.0</v>
      </c>
      <c r="P260" s="62">
        <v>3987.36</v>
      </c>
      <c r="Q260" s="63">
        <v>3987.36</v>
      </c>
      <c r="R260" s="64">
        <v>4187.0</v>
      </c>
      <c r="S260" s="111">
        <v>4396.0</v>
      </c>
      <c r="T260" s="65">
        <f t="shared" si="2"/>
        <v>703.36</v>
      </c>
      <c r="U260" s="65">
        <f t="shared" si="3"/>
        <v>5099.36</v>
      </c>
      <c r="V260" s="66">
        <f t="shared" si="4"/>
        <v>0.04991640793</v>
      </c>
      <c r="W260" s="67">
        <f t="shared" si="5"/>
        <v>4176.2</v>
      </c>
      <c r="X260" s="67">
        <f t="shared" si="6"/>
        <v>668.192</v>
      </c>
      <c r="Y260" s="67">
        <f t="shared" si="7"/>
        <v>4844.392</v>
      </c>
      <c r="Z260" s="67">
        <f t="shared" si="8"/>
        <v>3956.4</v>
      </c>
      <c r="AA260" s="67">
        <f t="shared" si="9"/>
        <v>633.024</v>
      </c>
      <c r="AB260" s="67">
        <f t="shared" si="10"/>
        <v>4589.424</v>
      </c>
      <c r="AC260" s="67">
        <f t="shared" si="11"/>
        <v>3736.6</v>
      </c>
      <c r="AD260" s="67">
        <f t="shared" si="12"/>
        <v>597.856</v>
      </c>
      <c r="AE260" s="67">
        <f t="shared" si="13"/>
        <v>4334.456</v>
      </c>
      <c r="AF260" s="67">
        <f t="shared" si="14"/>
        <v>3648.68</v>
      </c>
      <c r="AG260" s="67">
        <f t="shared" si="15"/>
        <v>583.7888</v>
      </c>
      <c r="AH260" s="67">
        <f t="shared" si="16"/>
        <v>4232.4688</v>
      </c>
      <c r="AI260" s="67">
        <f t="shared" si="17"/>
        <v>3516.8</v>
      </c>
      <c r="AJ260" s="68">
        <f t="shared" si="20"/>
        <v>562.688</v>
      </c>
      <c r="AK260" s="68">
        <f t="shared" si="21"/>
        <v>4079.488</v>
      </c>
      <c r="AL260" s="70">
        <f>IFERROR(__xludf.DUMMYFUNCTION("""COMPUTED_VALUE"""),1.0)</f>
        <v>1</v>
      </c>
      <c r="AM260" s="70"/>
      <c r="AN260" s="71" t="str">
        <f>IFERROR(__xludf.DUMMYFUNCTION("""COMPUTED_VALUE""")," P")</f>
        <v>P</v>
      </c>
      <c r="AO260" s="71" t="str">
        <f>IFERROR(__xludf.DUMMYFUNCTION("""COMPUTED_VALUE""")," BS94")</f>
        <v>BS94</v>
      </c>
      <c r="AP260" s="71" t="str">
        <f>IFERROR(__xludf.DUMMYFUNCTION("""COMPUTED_VALUE""")," PZA")</f>
        <v>PZA</v>
      </c>
      <c r="AQ260" s="71" t="str">
        <f>IFERROR(__xludf.DUMMYFUNCTION("""COMPUTED_VALUE""")," REF")</f>
        <v>REF</v>
      </c>
      <c r="AR260" s="71" t="str">
        <f>IFERROR(__xludf.DUMMYFUNCTION("""COMPUTED_VALUE""")," CAMISA DE ACERO INOXIDABLE T-304 GRADO ALIMENTICIO PARA BASE INFERIOR DE FIERRO")</f>
        <v>CAMISA DE ACERO INOXIDABLE T-304 GRADO ALIMENTICIO PARA BASE INFERIOR DE FIERRO</v>
      </c>
      <c r="AS260" s="71" t="str">
        <f>IFERROR(__xludf.DUMMYFUNCTION("""COMPUTED_VALUE""")," CAMISA INOX P/BASE INFERIOR DE FIERRO")</f>
        <v>CAMISA INOX P/BASE INFERIOR DE FIERRO</v>
      </c>
      <c r="AT260" s="71">
        <f>IFERROR(__xludf.DUMMYFUNCTION("""COMPUTED_VALUE"""),37.0)</f>
        <v>37</v>
      </c>
      <c r="AU260" s="71"/>
      <c r="AV260" s="71"/>
      <c r="AW260" s="71"/>
      <c r="AX260" s="71"/>
      <c r="AY260" s="71">
        <f>IFERROR(__xludf.DUMMYFUNCTION("""COMPUTED_VALUE"""),157.0)</f>
        <v>157</v>
      </c>
      <c r="AZ260" s="71">
        <f>IFERROR(__xludf.DUMMYFUNCTION("""COMPUTED_VALUE"""),157.0)</f>
        <v>157</v>
      </c>
      <c r="BA260" s="71">
        <f>IFERROR(__xludf.DUMMYFUNCTION("""COMPUTED_VALUE"""),169.56)</f>
        <v>169.56</v>
      </c>
      <c r="BB260" s="71">
        <f>IFERROR(__xludf.DUMMYFUNCTION("""COMPUTED_VALUE"""),169.56)</f>
        <v>169.56</v>
      </c>
      <c r="BC260" s="71">
        <f>IFERROR(__xludf.DUMMYFUNCTION("""COMPUTED_VALUE"""),189.0)</f>
        <v>189</v>
      </c>
      <c r="BD260" s="71">
        <f>IFERROR(__xludf.DUMMYFUNCTION("""COMPUTED_VALUE"""),198.0)</f>
        <v>198</v>
      </c>
      <c r="BE260" s="71">
        <f>IFERROR(__xludf.DUMMYFUNCTION("""COMPUTED_VALUE"""),31.68)</f>
        <v>31.68</v>
      </c>
      <c r="BF260" s="71">
        <f>IFERROR(__xludf.DUMMYFUNCTION("""COMPUTED_VALUE"""),229.68)</f>
        <v>229.68</v>
      </c>
      <c r="BG260" s="71">
        <f>IFERROR(__xludf.DUMMYFUNCTION("""COMPUTED_VALUE"""),0.047619047619047616)</f>
        <v>0.04761904762</v>
      </c>
      <c r="BH260" s="71">
        <f>IFERROR(__xludf.DUMMYFUNCTION("""COMPUTED_VALUE"""),188.1)</f>
        <v>188.1</v>
      </c>
      <c r="BI260" s="71">
        <f>IFERROR(__xludf.DUMMYFUNCTION("""COMPUTED_VALUE"""),30.096)</f>
        <v>30.096</v>
      </c>
      <c r="BJ260" s="71">
        <f>IFERROR(__xludf.DUMMYFUNCTION("""COMPUTED_VALUE"""),218.196)</f>
        <v>218.196</v>
      </c>
      <c r="BK260" s="71">
        <f>IFERROR(__xludf.DUMMYFUNCTION("""COMPUTED_VALUE"""),178.20000000000002)</f>
        <v>178.2</v>
      </c>
      <c r="BL260" s="71">
        <f>IFERROR(__xludf.DUMMYFUNCTION("""COMPUTED_VALUE"""),28.512000000000004)</f>
        <v>28.512</v>
      </c>
      <c r="BM260" s="71">
        <f>IFERROR(__xludf.DUMMYFUNCTION("""COMPUTED_VALUE"""),206.71200000000002)</f>
        <v>206.712</v>
      </c>
      <c r="BN260" s="71">
        <f>IFERROR(__xludf.DUMMYFUNCTION("""COMPUTED_VALUE"""),168.29999999999998)</f>
        <v>168.3</v>
      </c>
      <c r="BO260" s="71">
        <f>IFERROR(__xludf.DUMMYFUNCTION("""COMPUTED_VALUE"""),26.927999999999997)</f>
        <v>26.928</v>
      </c>
      <c r="BP260" s="71">
        <f>IFERROR(__xludf.DUMMYFUNCTION("""COMPUTED_VALUE"""),195.22799999999998)</f>
        <v>195.228</v>
      </c>
      <c r="BQ260" s="71">
        <f>IFERROR(__xludf.DUMMYFUNCTION("""COMPUTED_VALUE"""),164.34)</f>
        <v>164.34</v>
      </c>
      <c r="BR260" s="71">
        <f>IFERROR(__xludf.DUMMYFUNCTION("""COMPUTED_VALUE"""),26.2944)</f>
        <v>26.2944</v>
      </c>
      <c r="BS260" s="71">
        <f>IFERROR(__xludf.DUMMYFUNCTION("""COMPUTED_VALUE"""),190.6344)</f>
        <v>190.6344</v>
      </c>
      <c r="BT260" s="71">
        <f>IFERROR(__xludf.DUMMYFUNCTION("""COMPUTED_VALUE"""),158.4)</f>
        <v>158.4</v>
      </c>
      <c r="BU260" s="71">
        <f>IFERROR(__xludf.DUMMYFUNCTION("""COMPUTED_VALUE"""),25.344)</f>
        <v>25.344</v>
      </c>
      <c r="BV260" s="71">
        <f>IFERROR(__xludf.DUMMYFUNCTION("""COMPUTED_VALUE"""),183.744)</f>
        <v>183.744</v>
      </c>
    </row>
    <row r="261">
      <c r="A261" s="53"/>
      <c r="B261" s="53"/>
      <c r="C261" s="73" t="s">
        <v>603</v>
      </c>
      <c r="D261" s="53" t="s">
        <v>634</v>
      </c>
      <c r="E261" s="54" t="s">
        <v>38</v>
      </c>
      <c r="F261" s="54" t="s">
        <v>42</v>
      </c>
      <c r="G261" s="55" t="s">
        <v>635</v>
      </c>
      <c r="H261" s="54" t="s">
        <v>636</v>
      </c>
      <c r="I261" s="54">
        <f t="shared" si="1"/>
        <v>35</v>
      </c>
      <c r="J261" s="56"/>
      <c r="K261" s="57"/>
      <c r="L261" s="76"/>
      <c r="M261" s="59"/>
      <c r="N261" s="60"/>
      <c r="O261" s="61">
        <v>4065.0</v>
      </c>
      <c r="P261" s="62">
        <v>4390.200000000001</v>
      </c>
      <c r="Q261" s="63">
        <v>4390.200000000001</v>
      </c>
      <c r="R261" s="64">
        <v>4610.0</v>
      </c>
      <c r="S261" s="111">
        <v>4841.0</v>
      </c>
      <c r="T261" s="65">
        <f t="shared" si="2"/>
        <v>774.56</v>
      </c>
      <c r="U261" s="65">
        <f t="shared" si="3"/>
        <v>5615.56</v>
      </c>
      <c r="V261" s="66">
        <f t="shared" si="4"/>
        <v>0.05010845987</v>
      </c>
      <c r="W261" s="67">
        <f t="shared" si="5"/>
        <v>4598.95</v>
      </c>
      <c r="X261" s="67">
        <f t="shared" si="6"/>
        <v>735.832</v>
      </c>
      <c r="Y261" s="67">
        <f t="shared" si="7"/>
        <v>5334.782</v>
      </c>
      <c r="Z261" s="67">
        <f t="shared" si="8"/>
        <v>4356.9</v>
      </c>
      <c r="AA261" s="67">
        <f t="shared" si="9"/>
        <v>697.104</v>
      </c>
      <c r="AB261" s="67">
        <f t="shared" si="10"/>
        <v>5054.004</v>
      </c>
      <c r="AC261" s="67">
        <f t="shared" si="11"/>
        <v>4114.85</v>
      </c>
      <c r="AD261" s="67">
        <f t="shared" si="12"/>
        <v>658.376</v>
      </c>
      <c r="AE261" s="67">
        <f t="shared" si="13"/>
        <v>4773.226</v>
      </c>
      <c r="AF261" s="67">
        <f t="shared" si="14"/>
        <v>4018.03</v>
      </c>
      <c r="AG261" s="67">
        <f t="shared" si="15"/>
        <v>642.8848</v>
      </c>
      <c r="AH261" s="67">
        <f t="shared" si="16"/>
        <v>4660.9148</v>
      </c>
      <c r="AI261" s="67">
        <f t="shared" si="17"/>
        <v>3872.8</v>
      </c>
      <c r="AJ261" s="68">
        <f t="shared" si="20"/>
        <v>619.648</v>
      </c>
      <c r="AK261" s="68">
        <f t="shared" si="21"/>
        <v>4492.448</v>
      </c>
      <c r="AL261" s="70">
        <f>IFERROR(__xludf.DUMMYFUNCTION("""COMPUTED_VALUE"""),1.0)</f>
        <v>1</v>
      </c>
      <c r="AM261" s="70"/>
      <c r="AN261" s="71" t="str">
        <f>IFERROR(__xludf.DUMMYFUNCTION("""COMPUTED_VALUE""")," P")</f>
        <v>P</v>
      </c>
      <c r="AO261" s="71" t="str">
        <f>IFERROR(__xludf.DUMMYFUNCTION("""COMPUTED_VALUE""")," BS95")</f>
        <v>BS95</v>
      </c>
      <c r="AP261" s="71" t="str">
        <f>IFERROR(__xludf.DUMMYFUNCTION("""COMPUTED_VALUE""")," PZA")</f>
        <v>PZA</v>
      </c>
      <c r="AQ261" s="71" t="str">
        <f>IFERROR(__xludf.DUMMYFUNCTION("""COMPUTED_VALUE""")," REF")</f>
        <v>REF</v>
      </c>
      <c r="AR261" s="71" t="str">
        <f>IFERROR(__xludf.DUMMYFUNCTION("""COMPUTED_VALUE""")," CAMISA DE ACERO INOXIDABLE T-304 GRADO ALIMENTICIO PARA BASE SUPERIOR DE ALUMINIO")</f>
        <v>CAMISA DE ACERO INOXIDABLE T-304 GRADO ALIMENTICIO PARA BASE SUPERIOR DE ALUMINIO</v>
      </c>
      <c r="AS261" s="71" t="str">
        <f>IFERROR(__xludf.DUMMYFUNCTION("""COMPUTED_VALUE""")," CAMISA INOX P/ BASE SUPERIOR DE ALUMINIO")</f>
        <v>CAMISA INOX P/ BASE SUPERIOR DE ALUMINIO</v>
      </c>
      <c r="AT261" s="71">
        <f>IFERROR(__xludf.DUMMYFUNCTION("""COMPUTED_VALUE"""),40.0)</f>
        <v>40</v>
      </c>
      <c r="AU261" s="71"/>
      <c r="AV261" s="71"/>
      <c r="AW261" s="71"/>
      <c r="AX261" s="71"/>
      <c r="AY261" s="71">
        <f>IFERROR(__xludf.DUMMYFUNCTION("""COMPUTED_VALUE"""),61.0)</f>
        <v>61</v>
      </c>
      <c r="AZ261" s="71">
        <f>IFERROR(__xludf.DUMMYFUNCTION("""COMPUTED_VALUE"""),65.0)</f>
        <v>65</v>
      </c>
      <c r="BA261" s="71">
        <f>IFERROR(__xludf.DUMMYFUNCTION("""COMPUTED_VALUE"""),70.2)</f>
        <v>70.2</v>
      </c>
      <c r="BB261" s="71">
        <f>IFERROR(__xludf.DUMMYFUNCTION("""COMPUTED_VALUE"""),70.2)</f>
        <v>70.2</v>
      </c>
      <c r="BC261" s="71">
        <f>IFERROR(__xludf.DUMMYFUNCTION("""COMPUTED_VALUE"""),79.0)</f>
        <v>79</v>
      </c>
      <c r="BD261" s="71">
        <f>IFERROR(__xludf.DUMMYFUNCTION("""COMPUTED_VALUE"""),83.0)</f>
        <v>83</v>
      </c>
      <c r="BE261" s="71">
        <f>IFERROR(__xludf.DUMMYFUNCTION("""COMPUTED_VALUE"""),13.280000000000001)</f>
        <v>13.28</v>
      </c>
      <c r="BF261" s="71">
        <f>IFERROR(__xludf.DUMMYFUNCTION("""COMPUTED_VALUE"""),96.28)</f>
        <v>96.28</v>
      </c>
      <c r="BG261" s="71">
        <f>IFERROR(__xludf.DUMMYFUNCTION("""COMPUTED_VALUE"""),0.05063291139240506)</f>
        <v>0.05063291139</v>
      </c>
      <c r="BH261" s="71">
        <f>IFERROR(__xludf.DUMMYFUNCTION("""COMPUTED_VALUE"""),78.85)</f>
        <v>78.85</v>
      </c>
      <c r="BI261" s="71">
        <f>IFERROR(__xludf.DUMMYFUNCTION("""COMPUTED_VALUE"""),12.616)</f>
        <v>12.616</v>
      </c>
      <c r="BJ261" s="71">
        <f>IFERROR(__xludf.DUMMYFUNCTION("""COMPUTED_VALUE"""),91.466)</f>
        <v>91.466</v>
      </c>
      <c r="BK261" s="71">
        <f>IFERROR(__xludf.DUMMYFUNCTION("""COMPUTED_VALUE"""),74.7)</f>
        <v>74.7</v>
      </c>
      <c r="BL261" s="71">
        <f>IFERROR(__xludf.DUMMYFUNCTION("""COMPUTED_VALUE"""),11.952)</f>
        <v>11.952</v>
      </c>
      <c r="BM261" s="71">
        <f>IFERROR(__xludf.DUMMYFUNCTION("""COMPUTED_VALUE"""),86.652)</f>
        <v>86.652</v>
      </c>
      <c r="BN261" s="71">
        <f>IFERROR(__xludf.DUMMYFUNCTION("""COMPUTED_VALUE"""),70.55)</f>
        <v>70.55</v>
      </c>
      <c r="BO261" s="71">
        <f>IFERROR(__xludf.DUMMYFUNCTION("""COMPUTED_VALUE"""),11.288)</f>
        <v>11.288</v>
      </c>
      <c r="BP261" s="71">
        <f>IFERROR(__xludf.DUMMYFUNCTION("""COMPUTED_VALUE"""),81.838)</f>
        <v>81.838</v>
      </c>
      <c r="BQ261" s="71">
        <f>IFERROR(__xludf.DUMMYFUNCTION("""COMPUTED_VALUE"""),68.89)</f>
        <v>68.89</v>
      </c>
      <c r="BR261" s="71">
        <f>IFERROR(__xludf.DUMMYFUNCTION("""COMPUTED_VALUE"""),11.022400000000001)</f>
        <v>11.0224</v>
      </c>
      <c r="BS261" s="71">
        <f>IFERROR(__xludf.DUMMYFUNCTION("""COMPUTED_VALUE"""),79.9124)</f>
        <v>79.9124</v>
      </c>
      <c r="BT261" s="71">
        <f>IFERROR(__xludf.DUMMYFUNCTION("""COMPUTED_VALUE"""),66.4)</f>
        <v>66.4</v>
      </c>
      <c r="BU261" s="71">
        <f>IFERROR(__xludf.DUMMYFUNCTION("""COMPUTED_VALUE"""),10.624)</f>
        <v>10.624</v>
      </c>
      <c r="BV261" s="71">
        <f>IFERROR(__xludf.DUMMYFUNCTION("""COMPUTED_VALUE"""),77.024)</f>
        <v>77.024</v>
      </c>
    </row>
    <row r="262">
      <c r="A262" s="53"/>
      <c r="B262" s="53"/>
      <c r="C262" s="73" t="s">
        <v>603</v>
      </c>
      <c r="D262" s="53" t="s">
        <v>637</v>
      </c>
      <c r="E262" s="54" t="s">
        <v>38</v>
      </c>
      <c r="F262" s="54" t="s">
        <v>42</v>
      </c>
      <c r="G262" s="55" t="s">
        <v>638</v>
      </c>
      <c r="H262" s="54" t="s">
        <v>639</v>
      </c>
      <c r="I262" s="54">
        <f t="shared" si="1"/>
        <v>38</v>
      </c>
      <c r="J262" s="56"/>
      <c r="K262" s="57"/>
      <c r="L262" s="76"/>
      <c r="M262" s="59"/>
      <c r="N262" s="60"/>
      <c r="O262" s="61">
        <v>4301.0</v>
      </c>
      <c r="P262" s="62">
        <v>4645.08</v>
      </c>
      <c r="Q262" s="63">
        <v>4645.08</v>
      </c>
      <c r="R262" s="64">
        <v>4878.0</v>
      </c>
      <c r="S262" s="111">
        <v>5122.0</v>
      </c>
      <c r="T262" s="65">
        <f t="shared" si="2"/>
        <v>819.52</v>
      </c>
      <c r="U262" s="65">
        <f t="shared" si="3"/>
        <v>5941.52</v>
      </c>
      <c r="V262" s="66">
        <f t="shared" si="4"/>
        <v>0.05002050021</v>
      </c>
      <c r="W262" s="67">
        <f t="shared" si="5"/>
        <v>4865.9</v>
      </c>
      <c r="X262" s="67">
        <f t="shared" si="6"/>
        <v>778.544</v>
      </c>
      <c r="Y262" s="67">
        <f t="shared" si="7"/>
        <v>5644.444</v>
      </c>
      <c r="Z262" s="67">
        <f t="shared" si="8"/>
        <v>4609.8</v>
      </c>
      <c r="AA262" s="67">
        <f t="shared" si="9"/>
        <v>737.568</v>
      </c>
      <c r="AB262" s="67">
        <f t="shared" si="10"/>
        <v>5347.368</v>
      </c>
      <c r="AC262" s="67">
        <f t="shared" si="11"/>
        <v>4353.7</v>
      </c>
      <c r="AD262" s="67">
        <f t="shared" si="12"/>
        <v>696.592</v>
      </c>
      <c r="AE262" s="67">
        <f t="shared" si="13"/>
        <v>5050.292</v>
      </c>
      <c r="AF262" s="67">
        <f t="shared" si="14"/>
        <v>4251.26</v>
      </c>
      <c r="AG262" s="67">
        <f t="shared" si="15"/>
        <v>680.2016</v>
      </c>
      <c r="AH262" s="67">
        <f t="shared" si="16"/>
        <v>4931.4616</v>
      </c>
      <c r="AI262" s="67">
        <f t="shared" si="17"/>
        <v>4097.6</v>
      </c>
      <c r="AJ262" s="68">
        <f t="shared" si="20"/>
        <v>655.616</v>
      </c>
      <c r="AK262" s="68">
        <f t="shared" si="21"/>
        <v>4753.216</v>
      </c>
      <c r="AL262" s="70">
        <f>IFERROR(__xludf.DUMMYFUNCTION("""COMPUTED_VALUE"""),1.0)</f>
        <v>1</v>
      </c>
      <c r="AM262" s="70"/>
      <c r="AN262" s="71" t="str">
        <f>IFERROR(__xludf.DUMMYFUNCTION("""COMPUTED_VALUE""")," C")</f>
        <v>C</v>
      </c>
      <c r="AO262" s="71" t="str">
        <f>IFERROR(__xludf.DUMMYFUNCTION("""COMPUTED_VALUE""")," CD08")</f>
        <v>CD08</v>
      </c>
      <c r="AP262" s="71" t="str">
        <f>IFERROR(__xludf.DUMMYFUNCTION("""COMPUTED_VALUE""")," PZA")</f>
        <v>PZA</v>
      </c>
      <c r="AQ262" s="71" t="str">
        <f>IFERROR(__xludf.DUMMYFUNCTION("""COMPUTED_VALUE""")," REF")</f>
        <v>REF</v>
      </c>
      <c r="AR262" s="71" t="str">
        <f>IFERROR(__xludf.DUMMYFUNCTION("""COMPUTED_VALUE""")," CANDADO P40")</f>
        <v>CANDADO P40</v>
      </c>
      <c r="AS262" s="71" t="str">
        <f>IFERROR(__xludf.DUMMYFUNCTION("""COMPUTED_VALUE""")," CANDADO P40")</f>
        <v>CANDADO P40</v>
      </c>
      <c r="AT262" s="71">
        <f>IFERROR(__xludf.DUMMYFUNCTION("""COMPUTED_VALUE"""),11.0)</f>
        <v>11</v>
      </c>
      <c r="AU262" s="71"/>
      <c r="AV262" s="71"/>
      <c r="AW262" s="71"/>
      <c r="AX262" s="71"/>
      <c r="AY262" s="71">
        <f>IFERROR(__xludf.DUMMYFUNCTION("""COMPUTED_VALUE"""),8.0)</f>
        <v>8</v>
      </c>
      <c r="AZ262" s="71">
        <f>IFERROR(__xludf.DUMMYFUNCTION("""COMPUTED_VALUE"""),8.0)</f>
        <v>8</v>
      </c>
      <c r="BA262" s="71">
        <f>IFERROR(__xludf.DUMMYFUNCTION("""COMPUTED_VALUE"""),10.0)</f>
        <v>10</v>
      </c>
      <c r="BB262" s="71">
        <f>IFERROR(__xludf.DUMMYFUNCTION("""COMPUTED_VALUE"""),10.0)</f>
        <v>10</v>
      </c>
      <c r="BC262" s="71">
        <f>IFERROR(__xludf.DUMMYFUNCTION("""COMPUTED_VALUE"""),10.0)</f>
        <v>10</v>
      </c>
      <c r="BD262" s="71">
        <f>IFERROR(__xludf.DUMMYFUNCTION("""COMPUTED_VALUE"""),10.5)</f>
        <v>10.5</v>
      </c>
      <c r="BE262" s="71">
        <f>IFERROR(__xludf.DUMMYFUNCTION("""COMPUTED_VALUE"""),1.68)</f>
        <v>1.68</v>
      </c>
      <c r="BF262" s="71">
        <f>IFERROR(__xludf.DUMMYFUNCTION("""COMPUTED_VALUE"""),12.18)</f>
        <v>12.18</v>
      </c>
      <c r="BG262" s="71">
        <f>IFERROR(__xludf.DUMMYFUNCTION("""COMPUTED_VALUE"""),0.05)</f>
        <v>0.05</v>
      </c>
      <c r="BH262" s="71">
        <f>IFERROR(__xludf.DUMMYFUNCTION("""COMPUTED_VALUE"""),9.975)</f>
        <v>9.975</v>
      </c>
      <c r="BI262" s="71">
        <f>IFERROR(__xludf.DUMMYFUNCTION("""COMPUTED_VALUE"""),1.596)</f>
        <v>1.596</v>
      </c>
      <c r="BJ262" s="71">
        <f>IFERROR(__xludf.DUMMYFUNCTION("""COMPUTED_VALUE"""),11.571)</f>
        <v>11.571</v>
      </c>
      <c r="BK262" s="71">
        <f>IFERROR(__xludf.DUMMYFUNCTION("""COMPUTED_VALUE"""),9.450000000000001)</f>
        <v>9.45</v>
      </c>
      <c r="BL262" s="71">
        <f>IFERROR(__xludf.DUMMYFUNCTION("""COMPUTED_VALUE"""),1.5120000000000002)</f>
        <v>1.512</v>
      </c>
      <c r="BM262" s="71">
        <f>IFERROR(__xludf.DUMMYFUNCTION("""COMPUTED_VALUE"""),10.962000000000002)</f>
        <v>10.962</v>
      </c>
      <c r="BN262" s="71">
        <f>IFERROR(__xludf.DUMMYFUNCTION("""COMPUTED_VALUE"""),8.924999999999999)</f>
        <v>8.925</v>
      </c>
      <c r="BO262" s="71">
        <f>IFERROR(__xludf.DUMMYFUNCTION("""COMPUTED_VALUE"""),1.428)</f>
        <v>1.428</v>
      </c>
      <c r="BP262" s="71">
        <f>IFERROR(__xludf.DUMMYFUNCTION("""COMPUTED_VALUE"""),10.352999999999998)</f>
        <v>10.353</v>
      </c>
      <c r="BQ262" s="71">
        <f>IFERROR(__xludf.DUMMYFUNCTION("""COMPUTED_VALUE"""),8.715)</f>
        <v>8.715</v>
      </c>
      <c r="BR262" s="71">
        <f>IFERROR(__xludf.DUMMYFUNCTION("""COMPUTED_VALUE"""),1.3944)</f>
        <v>1.3944</v>
      </c>
      <c r="BS262" s="71">
        <f>IFERROR(__xludf.DUMMYFUNCTION("""COMPUTED_VALUE"""),10.1094)</f>
        <v>10.1094</v>
      </c>
      <c r="BT262" s="71">
        <f>IFERROR(__xludf.DUMMYFUNCTION("""COMPUTED_VALUE"""),8.4)</f>
        <v>8.4</v>
      </c>
      <c r="BU262" s="71">
        <f>IFERROR(__xludf.DUMMYFUNCTION("""COMPUTED_VALUE"""),1.344)</f>
        <v>1.344</v>
      </c>
      <c r="BV262" s="71">
        <f>IFERROR(__xludf.DUMMYFUNCTION("""COMPUTED_VALUE"""),9.744)</f>
        <v>9.744</v>
      </c>
    </row>
    <row r="263">
      <c r="A263" s="53"/>
      <c r="B263" s="53"/>
      <c r="C263" s="73" t="s">
        <v>603</v>
      </c>
      <c r="D263" s="53" t="s">
        <v>640</v>
      </c>
      <c r="E263" s="54" t="s">
        <v>38</v>
      </c>
      <c r="F263" s="54" t="s">
        <v>42</v>
      </c>
      <c r="G263" s="55" t="s">
        <v>641</v>
      </c>
      <c r="H263" s="54" t="s">
        <v>642</v>
      </c>
      <c r="I263" s="54">
        <f t="shared" si="1"/>
        <v>34</v>
      </c>
      <c r="J263" s="56"/>
      <c r="K263" s="57"/>
      <c r="L263" s="76"/>
      <c r="M263" s="59"/>
      <c r="N263" s="60"/>
      <c r="O263" s="61">
        <v>1900.0</v>
      </c>
      <c r="P263" s="62">
        <v>2052.0</v>
      </c>
      <c r="Q263" s="63">
        <v>2052.0</v>
      </c>
      <c r="R263" s="64">
        <v>2155.0</v>
      </c>
      <c r="S263" s="111">
        <v>2263.0</v>
      </c>
      <c r="T263" s="65">
        <f t="shared" si="2"/>
        <v>362.08</v>
      </c>
      <c r="U263" s="65">
        <f t="shared" si="3"/>
        <v>2625.08</v>
      </c>
      <c r="V263" s="66">
        <f t="shared" si="4"/>
        <v>0.05011600928</v>
      </c>
      <c r="W263" s="67">
        <f t="shared" si="5"/>
        <v>2149.85</v>
      </c>
      <c r="X263" s="67">
        <f t="shared" si="6"/>
        <v>343.976</v>
      </c>
      <c r="Y263" s="67">
        <f t="shared" si="7"/>
        <v>2493.826</v>
      </c>
      <c r="Z263" s="67">
        <f t="shared" si="8"/>
        <v>2036.7</v>
      </c>
      <c r="AA263" s="67">
        <f t="shared" si="9"/>
        <v>325.872</v>
      </c>
      <c r="AB263" s="67">
        <f t="shared" si="10"/>
        <v>2362.572</v>
      </c>
      <c r="AC263" s="67">
        <f t="shared" si="11"/>
        <v>1923.55</v>
      </c>
      <c r="AD263" s="67">
        <f t="shared" si="12"/>
        <v>307.768</v>
      </c>
      <c r="AE263" s="67">
        <f t="shared" si="13"/>
        <v>2231.318</v>
      </c>
      <c r="AF263" s="67">
        <f t="shared" si="14"/>
        <v>1878.29</v>
      </c>
      <c r="AG263" s="67">
        <f t="shared" si="15"/>
        <v>300.5264</v>
      </c>
      <c r="AH263" s="67">
        <f t="shared" si="16"/>
        <v>2178.8164</v>
      </c>
      <c r="AI263" s="67">
        <f t="shared" si="17"/>
        <v>1810.4</v>
      </c>
      <c r="AJ263" s="68">
        <f t="shared" si="20"/>
        <v>289.664</v>
      </c>
      <c r="AK263" s="68">
        <f t="shared" si="21"/>
        <v>2100.064</v>
      </c>
      <c r="AL263" s="70">
        <f>IFERROR(__xludf.DUMMYFUNCTION("""COMPUTED_VALUE"""),1.0)</f>
        <v>1</v>
      </c>
      <c r="AM263" s="70"/>
      <c r="AN263" s="71" t="str">
        <f>IFERROR(__xludf.DUMMYFUNCTION("""COMPUTED_VALUE""")," C")</f>
        <v>C</v>
      </c>
      <c r="AO263" s="71" t="str">
        <f>IFERROR(__xludf.DUMMYFUNCTION("""COMPUTED_VALUE""")," CD09")</f>
        <v>CD09</v>
      </c>
      <c r="AP263" s="71" t="str">
        <f>IFERROR(__xludf.DUMMYFUNCTION("""COMPUTED_VALUE""")," PZA")</f>
        <v>PZA</v>
      </c>
      <c r="AQ263" s="71" t="str">
        <f>IFERROR(__xludf.DUMMYFUNCTION("""COMPUTED_VALUE""")," REF")</f>
        <v>REF</v>
      </c>
      <c r="AR263" s="71" t="str">
        <f>IFERROR(__xludf.DUMMYFUNCTION("""COMPUTED_VALUE""")," CANDADO P42")</f>
        <v>CANDADO P42</v>
      </c>
      <c r="AS263" s="71" t="str">
        <f>IFERROR(__xludf.DUMMYFUNCTION("""COMPUTED_VALUE""")," CANDADO P42")</f>
        <v>CANDADO P42</v>
      </c>
      <c r="AT263" s="71">
        <f>IFERROR(__xludf.DUMMYFUNCTION("""COMPUTED_VALUE"""),11.0)</f>
        <v>11</v>
      </c>
      <c r="AU263" s="71"/>
      <c r="AV263" s="71"/>
      <c r="AW263" s="71"/>
      <c r="AX263" s="71"/>
      <c r="AY263" s="71">
        <f>IFERROR(__xludf.DUMMYFUNCTION("""COMPUTED_VALUE"""),8.0)</f>
        <v>8</v>
      </c>
      <c r="AZ263" s="71">
        <f>IFERROR(__xludf.DUMMYFUNCTION("""COMPUTED_VALUE"""),8.0)</f>
        <v>8</v>
      </c>
      <c r="BA263" s="71">
        <f>IFERROR(__xludf.DUMMYFUNCTION("""COMPUTED_VALUE"""),10.0)</f>
        <v>10</v>
      </c>
      <c r="BB263" s="71">
        <f>IFERROR(__xludf.DUMMYFUNCTION("""COMPUTED_VALUE"""),10.0)</f>
        <v>10</v>
      </c>
      <c r="BC263" s="71">
        <f>IFERROR(__xludf.DUMMYFUNCTION("""COMPUTED_VALUE"""),10.0)</f>
        <v>10</v>
      </c>
      <c r="BD263" s="71">
        <f>IFERROR(__xludf.DUMMYFUNCTION("""COMPUTED_VALUE"""),10.5)</f>
        <v>10.5</v>
      </c>
      <c r="BE263" s="71">
        <f>IFERROR(__xludf.DUMMYFUNCTION("""COMPUTED_VALUE"""),1.68)</f>
        <v>1.68</v>
      </c>
      <c r="BF263" s="71">
        <f>IFERROR(__xludf.DUMMYFUNCTION("""COMPUTED_VALUE"""),12.18)</f>
        <v>12.18</v>
      </c>
      <c r="BG263" s="71">
        <f>IFERROR(__xludf.DUMMYFUNCTION("""COMPUTED_VALUE"""),0.05)</f>
        <v>0.05</v>
      </c>
      <c r="BH263" s="71">
        <f>IFERROR(__xludf.DUMMYFUNCTION("""COMPUTED_VALUE"""),9.975)</f>
        <v>9.975</v>
      </c>
      <c r="BI263" s="71">
        <f>IFERROR(__xludf.DUMMYFUNCTION("""COMPUTED_VALUE"""),1.596)</f>
        <v>1.596</v>
      </c>
      <c r="BJ263" s="71">
        <f>IFERROR(__xludf.DUMMYFUNCTION("""COMPUTED_VALUE"""),11.571)</f>
        <v>11.571</v>
      </c>
      <c r="BK263" s="71">
        <f>IFERROR(__xludf.DUMMYFUNCTION("""COMPUTED_VALUE"""),9.450000000000001)</f>
        <v>9.45</v>
      </c>
      <c r="BL263" s="71">
        <f>IFERROR(__xludf.DUMMYFUNCTION("""COMPUTED_VALUE"""),1.5120000000000002)</f>
        <v>1.512</v>
      </c>
      <c r="BM263" s="71">
        <f>IFERROR(__xludf.DUMMYFUNCTION("""COMPUTED_VALUE"""),10.962000000000002)</f>
        <v>10.962</v>
      </c>
      <c r="BN263" s="71">
        <f>IFERROR(__xludf.DUMMYFUNCTION("""COMPUTED_VALUE"""),8.924999999999999)</f>
        <v>8.925</v>
      </c>
      <c r="BO263" s="71">
        <f>IFERROR(__xludf.DUMMYFUNCTION("""COMPUTED_VALUE"""),1.428)</f>
        <v>1.428</v>
      </c>
      <c r="BP263" s="71">
        <f>IFERROR(__xludf.DUMMYFUNCTION("""COMPUTED_VALUE"""),10.352999999999998)</f>
        <v>10.353</v>
      </c>
      <c r="BQ263" s="71">
        <f>IFERROR(__xludf.DUMMYFUNCTION("""COMPUTED_VALUE"""),8.715)</f>
        <v>8.715</v>
      </c>
      <c r="BR263" s="71">
        <f>IFERROR(__xludf.DUMMYFUNCTION("""COMPUTED_VALUE"""),1.3944)</f>
        <v>1.3944</v>
      </c>
      <c r="BS263" s="71">
        <f>IFERROR(__xludf.DUMMYFUNCTION("""COMPUTED_VALUE"""),10.1094)</f>
        <v>10.1094</v>
      </c>
      <c r="BT263" s="71">
        <f>IFERROR(__xludf.DUMMYFUNCTION("""COMPUTED_VALUE"""),8.4)</f>
        <v>8.4</v>
      </c>
      <c r="BU263" s="71">
        <f>IFERROR(__xludf.DUMMYFUNCTION("""COMPUTED_VALUE"""),1.344)</f>
        <v>1.344</v>
      </c>
      <c r="BV263" s="71">
        <f>IFERROR(__xludf.DUMMYFUNCTION("""COMPUTED_VALUE"""),9.744)</f>
        <v>9.744</v>
      </c>
    </row>
    <row r="264">
      <c r="A264" s="53"/>
      <c r="B264" s="53"/>
      <c r="C264" s="73" t="s">
        <v>603</v>
      </c>
      <c r="D264" s="53" t="s">
        <v>643</v>
      </c>
      <c r="E264" s="54" t="s">
        <v>38</v>
      </c>
      <c r="F264" s="54" t="s">
        <v>42</v>
      </c>
      <c r="G264" s="55" t="s">
        <v>644</v>
      </c>
      <c r="H264" s="54" t="s">
        <v>645</v>
      </c>
      <c r="I264" s="54">
        <f t="shared" si="1"/>
        <v>40</v>
      </c>
      <c r="J264" s="56"/>
      <c r="K264" s="57"/>
      <c r="L264" s="76"/>
      <c r="M264" s="59"/>
      <c r="N264" s="60">
        <v>9898.35</v>
      </c>
      <c r="O264" s="61">
        <v>8933.0</v>
      </c>
      <c r="P264" s="62">
        <v>9647.640000000001</v>
      </c>
      <c r="Q264" s="63">
        <v>9647.640000000001</v>
      </c>
      <c r="R264" s="64">
        <v>10131.0</v>
      </c>
      <c r="S264" s="111">
        <v>10638.0</v>
      </c>
      <c r="T264" s="65">
        <f t="shared" si="2"/>
        <v>1702.08</v>
      </c>
      <c r="U264" s="65">
        <f t="shared" si="3"/>
        <v>12340.08</v>
      </c>
      <c r="V264" s="66">
        <f t="shared" si="4"/>
        <v>0.05004441812</v>
      </c>
      <c r="W264" s="67">
        <f t="shared" si="5"/>
        <v>10106.1</v>
      </c>
      <c r="X264" s="67">
        <f t="shared" si="6"/>
        <v>1616.976</v>
      </c>
      <c r="Y264" s="67">
        <f t="shared" si="7"/>
        <v>11723.076</v>
      </c>
      <c r="Z264" s="67">
        <f t="shared" si="8"/>
        <v>9574.2</v>
      </c>
      <c r="AA264" s="67">
        <f t="shared" si="9"/>
        <v>1531.872</v>
      </c>
      <c r="AB264" s="67">
        <f t="shared" si="10"/>
        <v>11106.072</v>
      </c>
      <c r="AC264" s="67">
        <f t="shared" si="11"/>
        <v>9042.3</v>
      </c>
      <c r="AD264" s="67">
        <f t="shared" si="12"/>
        <v>1446.768</v>
      </c>
      <c r="AE264" s="67">
        <f t="shared" si="13"/>
        <v>10489.068</v>
      </c>
      <c r="AF264" s="67">
        <f t="shared" si="14"/>
        <v>8829.54</v>
      </c>
      <c r="AG264" s="67">
        <f t="shared" si="15"/>
        <v>1412.7264</v>
      </c>
      <c r="AH264" s="67">
        <f t="shared" si="16"/>
        <v>10242.2664</v>
      </c>
      <c r="AI264" s="67">
        <f t="shared" si="17"/>
        <v>8510.4</v>
      </c>
      <c r="AJ264" s="68">
        <f t="shared" si="20"/>
        <v>1361.664</v>
      </c>
      <c r="AK264" s="68">
        <f t="shared" si="21"/>
        <v>9872.064</v>
      </c>
      <c r="AL264" s="70">
        <f>IFERROR(__xludf.DUMMYFUNCTION("""COMPUTED_VALUE"""),1.0)</f>
        <v>1</v>
      </c>
      <c r="AM264" s="70"/>
      <c r="AN264" s="71" t="str">
        <f>IFERROR(__xludf.DUMMYFUNCTION("""COMPUTED_VALUE""")," C")</f>
        <v>C</v>
      </c>
      <c r="AO264" s="71" t="str">
        <f>IFERROR(__xludf.DUMMYFUNCTION("""COMPUTED_VALUE""")," CD10")</f>
        <v>CD10</v>
      </c>
      <c r="AP264" s="71" t="str">
        <f>IFERROR(__xludf.DUMMYFUNCTION("""COMPUTED_VALUE""")," PZA")</f>
        <v>PZA</v>
      </c>
      <c r="AQ264" s="71" t="str">
        <f>IFERROR(__xludf.DUMMYFUNCTION("""COMPUTED_VALUE""")," REF")</f>
        <v>REF</v>
      </c>
      <c r="AR264" s="71" t="str">
        <f>IFERROR(__xludf.DUMMYFUNCTION("""COMPUTED_VALUE""")," CANDADO P50")</f>
        <v>CANDADO P50</v>
      </c>
      <c r="AS264" s="71" t="str">
        <f>IFERROR(__xludf.DUMMYFUNCTION("""COMPUTED_VALUE""")," CANDADO P50")</f>
        <v>CANDADO P50</v>
      </c>
      <c r="AT264" s="71">
        <f>IFERROR(__xludf.DUMMYFUNCTION("""COMPUTED_VALUE"""),11.0)</f>
        <v>11</v>
      </c>
      <c r="AU264" s="71"/>
      <c r="AV264" s="71"/>
      <c r="AW264" s="71"/>
      <c r="AX264" s="71"/>
      <c r="AY264" s="71">
        <f>IFERROR(__xludf.DUMMYFUNCTION("""COMPUTED_VALUE"""),10.0)</f>
        <v>10</v>
      </c>
      <c r="AZ264" s="71">
        <f>IFERROR(__xludf.DUMMYFUNCTION("""COMPUTED_VALUE"""),10.0)</f>
        <v>10</v>
      </c>
      <c r="BA264" s="71">
        <f>IFERROR(__xludf.DUMMYFUNCTION("""COMPUTED_VALUE"""),10.0)</f>
        <v>10</v>
      </c>
      <c r="BB264" s="71">
        <f>IFERROR(__xludf.DUMMYFUNCTION("""COMPUTED_VALUE"""),10.0)</f>
        <v>10</v>
      </c>
      <c r="BC264" s="71">
        <f>IFERROR(__xludf.DUMMYFUNCTION("""COMPUTED_VALUE"""),13.0)</f>
        <v>13</v>
      </c>
      <c r="BD264" s="71">
        <f>IFERROR(__xludf.DUMMYFUNCTION("""COMPUTED_VALUE"""),13.65)</f>
        <v>13.65</v>
      </c>
      <c r="BE264" s="71">
        <f>IFERROR(__xludf.DUMMYFUNCTION("""COMPUTED_VALUE"""),2.184)</f>
        <v>2.184</v>
      </c>
      <c r="BF264" s="71">
        <f>IFERROR(__xludf.DUMMYFUNCTION("""COMPUTED_VALUE"""),15.834)</f>
        <v>15.834</v>
      </c>
      <c r="BG264" s="71">
        <f>IFERROR(__xludf.DUMMYFUNCTION("""COMPUTED_VALUE"""),0.05000000000000003)</f>
        <v>0.05</v>
      </c>
      <c r="BH264" s="71">
        <f>IFERROR(__xludf.DUMMYFUNCTION("""COMPUTED_VALUE"""),12.9675)</f>
        <v>12.9675</v>
      </c>
      <c r="BI264" s="71">
        <f>IFERROR(__xludf.DUMMYFUNCTION("""COMPUTED_VALUE"""),2.0747999999999998)</f>
        <v>2.0748</v>
      </c>
      <c r="BJ264" s="71">
        <f>IFERROR(__xludf.DUMMYFUNCTION("""COMPUTED_VALUE"""),15.0423)</f>
        <v>15.0423</v>
      </c>
      <c r="BK264" s="71">
        <f>IFERROR(__xludf.DUMMYFUNCTION("""COMPUTED_VALUE"""),12.285)</f>
        <v>12.285</v>
      </c>
      <c r="BL264" s="71">
        <f>IFERROR(__xludf.DUMMYFUNCTION("""COMPUTED_VALUE"""),1.9656)</f>
        <v>1.9656</v>
      </c>
      <c r="BM264" s="71">
        <f>IFERROR(__xludf.DUMMYFUNCTION("""COMPUTED_VALUE"""),14.2506)</f>
        <v>14.2506</v>
      </c>
      <c r="BN264" s="71">
        <f>IFERROR(__xludf.DUMMYFUNCTION("""COMPUTED_VALUE"""),11.6025)</f>
        <v>11.6025</v>
      </c>
      <c r="BO264" s="71">
        <f>IFERROR(__xludf.DUMMYFUNCTION("""COMPUTED_VALUE"""),1.8563999999999998)</f>
        <v>1.8564</v>
      </c>
      <c r="BP264" s="71">
        <f>IFERROR(__xludf.DUMMYFUNCTION("""COMPUTED_VALUE"""),13.4589)</f>
        <v>13.4589</v>
      </c>
      <c r="BQ264" s="71">
        <f>IFERROR(__xludf.DUMMYFUNCTION("""COMPUTED_VALUE"""),11.3295)</f>
        <v>11.3295</v>
      </c>
      <c r="BR264" s="71">
        <f>IFERROR(__xludf.DUMMYFUNCTION("""COMPUTED_VALUE"""),1.8127199999999999)</f>
        <v>1.81272</v>
      </c>
      <c r="BS264" s="71">
        <f>IFERROR(__xludf.DUMMYFUNCTION("""COMPUTED_VALUE"""),13.14222)</f>
        <v>13.14222</v>
      </c>
      <c r="BT264" s="71">
        <f>IFERROR(__xludf.DUMMYFUNCTION("""COMPUTED_VALUE"""),10.920000000000002)</f>
        <v>10.92</v>
      </c>
      <c r="BU264" s="71">
        <f>IFERROR(__xludf.DUMMYFUNCTION("""COMPUTED_VALUE"""),1.7472000000000003)</f>
        <v>1.7472</v>
      </c>
      <c r="BV264" s="71">
        <f>IFERROR(__xludf.DUMMYFUNCTION("""COMPUTED_VALUE"""),12.667200000000001)</f>
        <v>12.6672</v>
      </c>
    </row>
    <row r="265">
      <c r="A265" s="53"/>
      <c r="B265" s="53"/>
      <c r="C265" s="73" t="s">
        <v>603</v>
      </c>
      <c r="D265" s="53" t="s">
        <v>646</v>
      </c>
      <c r="E265" s="54" t="s">
        <v>38</v>
      </c>
      <c r="F265" s="54" t="s">
        <v>42</v>
      </c>
      <c r="G265" s="55" t="s">
        <v>647</v>
      </c>
      <c r="H265" s="54" t="s">
        <v>648</v>
      </c>
      <c r="I265" s="54">
        <f t="shared" si="1"/>
        <v>40</v>
      </c>
      <c r="J265" s="56"/>
      <c r="K265" s="57"/>
      <c r="L265" s="76"/>
      <c r="M265" s="59"/>
      <c r="N265" s="79"/>
      <c r="O265" s="61">
        <v>4589.0</v>
      </c>
      <c r="P265" s="62">
        <v>4956.12</v>
      </c>
      <c r="Q265" s="63">
        <v>4956.12</v>
      </c>
      <c r="R265" s="64">
        <v>5204.0</v>
      </c>
      <c r="S265" s="111">
        <v>5464.0</v>
      </c>
      <c r="T265" s="65">
        <f t="shared" si="2"/>
        <v>874.24</v>
      </c>
      <c r="U265" s="65">
        <f t="shared" si="3"/>
        <v>6338.24</v>
      </c>
      <c r="V265" s="66">
        <f t="shared" si="4"/>
        <v>0.04996156802</v>
      </c>
      <c r="W265" s="67">
        <f t="shared" si="5"/>
        <v>5190.8</v>
      </c>
      <c r="X265" s="67">
        <f t="shared" si="6"/>
        <v>830.528</v>
      </c>
      <c r="Y265" s="67">
        <f t="shared" si="7"/>
        <v>6021.328</v>
      </c>
      <c r="Z265" s="67">
        <f t="shared" si="8"/>
        <v>4917.6</v>
      </c>
      <c r="AA265" s="67">
        <f t="shared" si="9"/>
        <v>786.816</v>
      </c>
      <c r="AB265" s="67">
        <f t="shared" si="10"/>
        <v>5704.416</v>
      </c>
      <c r="AC265" s="67">
        <f t="shared" si="11"/>
        <v>4644.4</v>
      </c>
      <c r="AD265" s="67">
        <f t="shared" si="12"/>
        <v>743.104</v>
      </c>
      <c r="AE265" s="67">
        <f t="shared" si="13"/>
        <v>5387.504</v>
      </c>
      <c r="AF265" s="67">
        <f t="shared" si="14"/>
        <v>4535.12</v>
      </c>
      <c r="AG265" s="67">
        <f t="shared" si="15"/>
        <v>725.6192</v>
      </c>
      <c r="AH265" s="67">
        <f t="shared" si="16"/>
        <v>5260.7392</v>
      </c>
      <c r="AI265" s="67">
        <f t="shared" si="17"/>
        <v>4371.2</v>
      </c>
      <c r="AJ265" s="68">
        <f t="shared" si="20"/>
        <v>699.392</v>
      </c>
      <c r="AK265" s="68">
        <f t="shared" si="21"/>
        <v>5070.592</v>
      </c>
      <c r="AL265" s="70">
        <f>IFERROR(__xludf.DUMMYFUNCTION("""COMPUTED_VALUE"""),1.0)</f>
        <v>1</v>
      </c>
      <c r="AM265" s="70"/>
      <c r="AN265" s="71" t="str">
        <f>IFERROR(__xludf.DUMMYFUNCTION("""COMPUTED_VALUE""")," C")</f>
        <v>C</v>
      </c>
      <c r="AO265" s="71" t="str">
        <f>IFERROR(__xludf.DUMMYFUNCTION("""COMPUTED_VALUE""")," CD07")</f>
        <v>CD07</v>
      </c>
      <c r="AP265" s="71" t="str">
        <f>IFERROR(__xludf.DUMMYFUNCTION("""COMPUTED_VALUE""")," PZA")</f>
        <v>PZA</v>
      </c>
      <c r="AQ265" s="71" t="str">
        <f>IFERROR(__xludf.DUMMYFUNCTION("""COMPUTED_VALUE""")," REF")</f>
        <v>REF</v>
      </c>
      <c r="AR265" s="71" t="str">
        <f>IFERROR(__xludf.DUMMYFUNCTION("""COMPUTED_VALUE""")," CANDADO PARA BANDA METÁLICA MODELO ANTERIOR")</f>
        <v>CANDADO PARA BANDA METÁLICA MODELO ANTERIOR</v>
      </c>
      <c r="AS265" s="71" t="str">
        <f>IFERROR(__xludf.DUMMYFUNCTION("""COMPUTED_VALUE""")," CANDADO PARA BANDA METALICA MA")</f>
        <v>CANDADO PARA BANDA METALICA MA</v>
      </c>
      <c r="AT265" s="71">
        <f>IFERROR(__xludf.DUMMYFUNCTION("""COMPUTED_VALUE"""),30.0)</f>
        <v>30</v>
      </c>
      <c r="AU265" s="71"/>
      <c r="AV265" s="71"/>
      <c r="AW265" s="71"/>
      <c r="AX265" s="71"/>
      <c r="AY265" s="71">
        <f>IFERROR(__xludf.DUMMYFUNCTION("""COMPUTED_VALUE"""),10.0)</f>
        <v>10</v>
      </c>
      <c r="AZ265" s="71">
        <f>IFERROR(__xludf.DUMMYFUNCTION("""COMPUTED_VALUE"""),10.0)</f>
        <v>10</v>
      </c>
      <c r="BA265" s="71">
        <f>IFERROR(__xludf.DUMMYFUNCTION("""COMPUTED_VALUE"""),10.8)</f>
        <v>10.8</v>
      </c>
      <c r="BB265" s="71">
        <f>IFERROR(__xludf.DUMMYFUNCTION("""COMPUTED_VALUE"""),10.8)</f>
        <v>10.8</v>
      </c>
      <c r="BC265" s="71">
        <f>IFERROR(__xludf.DUMMYFUNCTION("""COMPUTED_VALUE"""),13.0)</f>
        <v>13</v>
      </c>
      <c r="BD265" s="71">
        <f>IFERROR(__xludf.DUMMYFUNCTION("""COMPUTED_VALUE"""),13.65)</f>
        <v>13.65</v>
      </c>
      <c r="BE265" s="71">
        <f>IFERROR(__xludf.DUMMYFUNCTION("""COMPUTED_VALUE"""),2.184)</f>
        <v>2.184</v>
      </c>
      <c r="BF265" s="71">
        <f>IFERROR(__xludf.DUMMYFUNCTION("""COMPUTED_VALUE"""),15.834)</f>
        <v>15.834</v>
      </c>
      <c r="BG265" s="71">
        <f>IFERROR(__xludf.DUMMYFUNCTION("""COMPUTED_VALUE"""),0.05000000000000003)</f>
        <v>0.05</v>
      </c>
      <c r="BH265" s="71">
        <f>IFERROR(__xludf.DUMMYFUNCTION("""COMPUTED_VALUE"""),12.9675)</f>
        <v>12.9675</v>
      </c>
      <c r="BI265" s="71">
        <f>IFERROR(__xludf.DUMMYFUNCTION("""COMPUTED_VALUE"""),2.0747999999999998)</f>
        <v>2.0748</v>
      </c>
      <c r="BJ265" s="71">
        <f>IFERROR(__xludf.DUMMYFUNCTION("""COMPUTED_VALUE"""),15.0423)</f>
        <v>15.0423</v>
      </c>
      <c r="BK265" s="71">
        <f>IFERROR(__xludf.DUMMYFUNCTION("""COMPUTED_VALUE"""),12.285)</f>
        <v>12.285</v>
      </c>
      <c r="BL265" s="71">
        <f>IFERROR(__xludf.DUMMYFUNCTION("""COMPUTED_VALUE"""),1.9656)</f>
        <v>1.9656</v>
      </c>
      <c r="BM265" s="71">
        <f>IFERROR(__xludf.DUMMYFUNCTION("""COMPUTED_VALUE"""),14.2506)</f>
        <v>14.2506</v>
      </c>
      <c r="BN265" s="71">
        <f>IFERROR(__xludf.DUMMYFUNCTION("""COMPUTED_VALUE"""),11.6025)</f>
        <v>11.6025</v>
      </c>
      <c r="BO265" s="71">
        <f>IFERROR(__xludf.DUMMYFUNCTION("""COMPUTED_VALUE"""),1.8563999999999998)</f>
        <v>1.8564</v>
      </c>
      <c r="BP265" s="71">
        <f>IFERROR(__xludf.DUMMYFUNCTION("""COMPUTED_VALUE"""),13.4589)</f>
        <v>13.4589</v>
      </c>
      <c r="BQ265" s="71">
        <f>IFERROR(__xludf.DUMMYFUNCTION("""COMPUTED_VALUE"""),11.3295)</f>
        <v>11.3295</v>
      </c>
      <c r="BR265" s="71">
        <f>IFERROR(__xludf.DUMMYFUNCTION("""COMPUTED_VALUE"""),1.8127199999999999)</f>
        <v>1.81272</v>
      </c>
      <c r="BS265" s="71">
        <f>IFERROR(__xludf.DUMMYFUNCTION("""COMPUTED_VALUE"""),13.14222)</f>
        <v>13.14222</v>
      </c>
      <c r="BT265" s="71">
        <f>IFERROR(__xludf.DUMMYFUNCTION("""COMPUTED_VALUE"""),10.920000000000002)</f>
        <v>10.92</v>
      </c>
      <c r="BU265" s="71">
        <f>IFERROR(__xludf.DUMMYFUNCTION("""COMPUTED_VALUE"""),1.7472000000000003)</f>
        <v>1.7472</v>
      </c>
      <c r="BV265" s="71">
        <f>IFERROR(__xludf.DUMMYFUNCTION("""COMPUTED_VALUE"""),12.667200000000001)</f>
        <v>12.6672</v>
      </c>
    </row>
    <row r="266">
      <c r="A266" s="53"/>
      <c r="B266" s="53"/>
      <c r="C266" s="73" t="s">
        <v>603</v>
      </c>
      <c r="D266" s="53" t="s">
        <v>649</v>
      </c>
      <c r="E266" s="54" t="s">
        <v>38</v>
      </c>
      <c r="F266" s="54" t="s">
        <v>42</v>
      </c>
      <c r="G266" s="55" t="s">
        <v>650</v>
      </c>
      <c r="H266" s="54" t="s">
        <v>651</v>
      </c>
      <c r="I266" s="54">
        <f t="shared" si="1"/>
        <v>37</v>
      </c>
      <c r="J266" s="56"/>
      <c r="K266" s="57"/>
      <c r="L266" s="76"/>
      <c r="M266" s="59"/>
      <c r="N266" s="79">
        <v>6066.0</v>
      </c>
      <c r="O266" s="61">
        <v>5475.0</v>
      </c>
      <c r="P266" s="62">
        <v>5913.0</v>
      </c>
      <c r="Q266" s="63">
        <v>5913.0</v>
      </c>
      <c r="R266" s="64">
        <v>6209.0</v>
      </c>
      <c r="S266" s="111">
        <v>6519.0</v>
      </c>
      <c r="T266" s="65">
        <f t="shared" si="2"/>
        <v>1043.04</v>
      </c>
      <c r="U266" s="65">
        <f t="shared" si="3"/>
        <v>7562.04</v>
      </c>
      <c r="V266" s="66">
        <f t="shared" si="4"/>
        <v>0.04992752456</v>
      </c>
      <c r="W266" s="67">
        <f t="shared" si="5"/>
        <v>6193.05</v>
      </c>
      <c r="X266" s="67">
        <f t="shared" si="6"/>
        <v>990.888</v>
      </c>
      <c r="Y266" s="67">
        <f t="shared" si="7"/>
        <v>7183.938</v>
      </c>
      <c r="Z266" s="67">
        <f t="shared" si="8"/>
        <v>5867.1</v>
      </c>
      <c r="AA266" s="67">
        <f t="shared" si="9"/>
        <v>938.736</v>
      </c>
      <c r="AB266" s="67">
        <f t="shared" si="10"/>
        <v>6805.836</v>
      </c>
      <c r="AC266" s="67">
        <f t="shared" si="11"/>
        <v>5541.15</v>
      </c>
      <c r="AD266" s="67">
        <f t="shared" si="12"/>
        <v>886.584</v>
      </c>
      <c r="AE266" s="67">
        <f t="shared" si="13"/>
        <v>6427.734</v>
      </c>
      <c r="AF266" s="67">
        <f t="shared" si="14"/>
        <v>5410.77</v>
      </c>
      <c r="AG266" s="67">
        <f t="shared" si="15"/>
        <v>865.7232</v>
      </c>
      <c r="AH266" s="67">
        <f t="shared" si="16"/>
        <v>6276.4932</v>
      </c>
      <c r="AI266" s="67">
        <f t="shared" si="17"/>
        <v>5215.2</v>
      </c>
      <c r="AJ266" s="68">
        <f t="shared" si="20"/>
        <v>834.432</v>
      </c>
      <c r="AK266" s="68">
        <f t="shared" si="21"/>
        <v>6049.632</v>
      </c>
      <c r="AL266" s="70">
        <f>IFERROR(__xludf.DUMMYFUNCTION("""COMPUTED_VALUE"""),1.0)</f>
        <v>1</v>
      </c>
      <c r="AM266" s="70"/>
      <c r="AN266" s="71" t="str">
        <f>IFERROR(__xludf.DUMMYFUNCTION("""COMPUTED_VALUE""")," P")</f>
        <v>P</v>
      </c>
      <c r="AO266" s="71" t="str">
        <f>IFERROR(__xludf.DUMMYFUNCTION("""COMPUTED_VALUE""")," CG17")</f>
        <v>CG17</v>
      </c>
      <c r="AP266" s="71" t="str">
        <f>IFERROR(__xludf.DUMMYFUNCTION("""COMPUTED_VALUE""")," PZA")</f>
        <v>PZA</v>
      </c>
      <c r="AQ266" s="71" t="str">
        <f>IFERROR(__xludf.DUMMYFUNCTION("""COMPUTED_VALUE""")," REF")</f>
        <v>REF</v>
      </c>
      <c r="AR266" s="71" t="str">
        <f>IFERROR(__xludf.DUMMYFUNCTION("""COMPUTED_VALUE""")," CANJILON STD 17 CM")</f>
        <v>CANJILON STD 17 CM</v>
      </c>
      <c r="AS266" s="71" t="str">
        <f>IFERROR(__xludf.DUMMYFUNCTION("""COMPUTED_VALUE""")," CANJILON STD 17 CM")</f>
        <v>CANJILON STD 17 CM</v>
      </c>
      <c r="AT266" s="71">
        <f>IFERROR(__xludf.DUMMYFUNCTION("""COMPUTED_VALUE"""),18.0)</f>
        <v>18</v>
      </c>
      <c r="AU266" s="71"/>
      <c r="AV266" s="71"/>
      <c r="AW266" s="71"/>
      <c r="AX266" s="71"/>
      <c r="AY266" s="71"/>
      <c r="AZ266" s="71"/>
      <c r="BA266" s="71">
        <f>IFERROR(__xludf.DUMMYFUNCTION("""COMPUTED_VALUE"""),78.0)</f>
        <v>78</v>
      </c>
      <c r="BB266" s="71">
        <f>IFERROR(__xludf.DUMMYFUNCTION("""COMPUTED_VALUE"""),78.0)</f>
        <v>78</v>
      </c>
      <c r="BC266" s="71">
        <f>IFERROR(__xludf.DUMMYFUNCTION("""COMPUTED_VALUE"""),82.0)</f>
        <v>82</v>
      </c>
      <c r="BD266" s="71">
        <f>IFERROR(__xludf.DUMMYFUNCTION("""COMPUTED_VALUE"""),86.0)</f>
        <v>86</v>
      </c>
      <c r="BE266" s="71">
        <f>IFERROR(__xludf.DUMMYFUNCTION("""COMPUTED_VALUE"""),13.76)</f>
        <v>13.76</v>
      </c>
      <c r="BF266" s="71">
        <f>IFERROR(__xludf.DUMMYFUNCTION("""COMPUTED_VALUE"""),99.76)</f>
        <v>99.76</v>
      </c>
      <c r="BG266" s="71">
        <f>IFERROR(__xludf.DUMMYFUNCTION("""COMPUTED_VALUE"""),0.04878048780487805)</f>
        <v>0.0487804878</v>
      </c>
      <c r="BH266" s="71">
        <f>IFERROR(__xludf.DUMMYFUNCTION("""COMPUTED_VALUE"""),81.7)</f>
        <v>81.7</v>
      </c>
      <c r="BI266" s="71">
        <f>IFERROR(__xludf.DUMMYFUNCTION("""COMPUTED_VALUE"""),13.072000000000001)</f>
        <v>13.072</v>
      </c>
      <c r="BJ266" s="71">
        <f>IFERROR(__xludf.DUMMYFUNCTION("""COMPUTED_VALUE"""),94.772)</f>
        <v>94.772</v>
      </c>
      <c r="BK266" s="71">
        <f>IFERROR(__xludf.DUMMYFUNCTION("""COMPUTED_VALUE"""),77.4)</f>
        <v>77.4</v>
      </c>
      <c r="BL266" s="71">
        <f>IFERROR(__xludf.DUMMYFUNCTION("""COMPUTED_VALUE"""),12.384)</f>
        <v>12.384</v>
      </c>
      <c r="BM266" s="71">
        <f>IFERROR(__xludf.DUMMYFUNCTION("""COMPUTED_VALUE"""),89.784)</f>
        <v>89.784</v>
      </c>
      <c r="BN266" s="71">
        <f>IFERROR(__xludf.DUMMYFUNCTION("""COMPUTED_VALUE"""),73.1)</f>
        <v>73.1</v>
      </c>
      <c r="BO266" s="71">
        <f>IFERROR(__xludf.DUMMYFUNCTION("""COMPUTED_VALUE"""),11.696)</f>
        <v>11.696</v>
      </c>
      <c r="BP266" s="71">
        <f>IFERROR(__xludf.DUMMYFUNCTION("""COMPUTED_VALUE"""),84.79599999999999)</f>
        <v>84.796</v>
      </c>
      <c r="BQ266" s="71">
        <f>IFERROR(__xludf.DUMMYFUNCTION("""COMPUTED_VALUE"""),71.38)</f>
        <v>71.38</v>
      </c>
      <c r="BR266" s="71">
        <f>IFERROR(__xludf.DUMMYFUNCTION("""COMPUTED_VALUE"""),11.4208)</f>
        <v>11.4208</v>
      </c>
      <c r="BS266" s="71">
        <f>IFERROR(__xludf.DUMMYFUNCTION("""COMPUTED_VALUE"""),82.8008)</f>
        <v>82.8008</v>
      </c>
      <c r="BT266" s="71">
        <f>IFERROR(__xludf.DUMMYFUNCTION("""COMPUTED_VALUE"""),68.8)</f>
        <v>68.8</v>
      </c>
      <c r="BU266" s="71">
        <f>IFERROR(__xludf.DUMMYFUNCTION("""COMPUTED_VALUE"""),11.008)</f>
        <v>11.008</v>
      </c>
      <c r="BV266" s="71">
        <f>IFERROR(__xludf.DUMMYFUNCTION("""COMPUTED_VALUE"""),79.80799999999999)</f>
        <v>79.808</v>
      </c>
    </row>
    <row r="267">
      <c r="A267" s="53"/>
      <c r="B267" s="53"/>
      <c r="C267" s="73" t="s">
        <v>603</v>
      </c>
      <c r="D267" s="53" t="s">
        <v>652</v>
      </c>
      <c r="E267" s="54" t="s">
        <v>38</v>
      </c>
      <c r="F267" s="54" t="s">
        <v>42</v>
      </c>
      <c r="G267" s="55" t="s">
        <v>653</v>
      </c>
      <c r="H267" s="54" t="s">
        <v>654</v>
      </c>
      <c r="I267" s="54">
        <f t="shared" si="1"/>
        <v>36</v>
      </c>
      <c r="J267" s="56"/>
      <c r="K267" s="57"/>
      <c r="L267" s="76"/>
      <c r="M267" s="59"/>
      <c r="N267" s="79"/>
      <c r="O267" s="61">
        <v>2737.0</v>
      </c>
      <c r="P267" s="62">
        <v>2955.96</v>
      </c>
      <c r="Q267" s="63">
        <v>2955.96</v>
      </c>
      <c r="R267" s="64">
        <v>3104.0</v>
      </c>
      <c r="S267" s="111">
        <v>3259.0</v>
      </c>
      <c r="T267" s="65">
        <f t="shared" si="2"/>
        <v>521.44</v>
      </c>
      <c r="U267" s="65">
        <f t="shared" si="3"/>
        <v>3780.44</v>
      </c>
      <c r="V267" s="66">
        <f t="shared" si="4"/>
        <v>0.04993556701</v>
      </c>
      <c r="W267" s="67">
        <f t="shared" si="5"/>
        <v>3096.05</v>
      </c>
      <c r="X267" s="67">
        <f t="shared" si="6"/>
        <v>495.368</v>
      </c>
      <c r="Y267" s="67">
        <f t="shared" si="7"/>
        <v>3591.418</v>
      </c>
      <c r="Z267" s="67">
        <f t="shared" si="8"/>
        <v>2933.1</v>
      </c>
      <c r="AA267" s="67">
        <f t="shared" si="9"/>
        <v>469.296</v>
      </c>
      <c r="AB267" s="67">
        <f t="shared" si="10"/>
        <v>3402.396</v>
      </c>
      <c r="AC267" s="67">
        <f t="shared" si="11"/>
        <v>2770.15</v>
      </c>
      <c r="AD267" s="67">
        <f t="shared" si="12"/>
        <v>443.224</v>
      </c>
      <c r="AE267" s="67">
        <f t="shared" si="13"/>
        <v>3213.374</v>
      </c>
      <c r="AF267" s="67">
        <f t="shared" si="14"/>
        <v>2704.97</v>
      </c>
      <c r="AG267" s="67">
        <f t="shared" si="15"/>
        <v>432.7952</v>
      </c>
      <c r="AH267" s="67">
        <f t="shared" si="16"/>
        <v>3137.7652</v>
      </c>
      <c r="AI267" s="67">
        <f t="shared" si="17"/>
        <v>2607.2</v>
      </c>
      <c r="AJ267" s="68">
        <f t="shared" si="20"/>
        <v>417.152</v>
      </c>
      <c r="AK267" s="68">
        <f t="shared" si="21"/>
        <v>3024.352</v>
      </c>
      <c r="AL267" s="70">
        <f>IFERROR(__xludf.DUMMYFUNCTION("""COMPUTED_VALUE"""),1.0)</f>
        <v>1</v>
      </c>
      <c r="AM267" s="70"/>
      <c r="AN267" s="71" t="str">
        <f>IFERROR(__xludf.DUMMYFUNCTION("""COMPUTED_VALUE""")," P")</f>
        <v>P</v>
      </c>
      <c r="AO267" s="71" t="str">
        <f>IFERROR(__xludf.DUMMYFUNCTION("""COMPUTED_VALUE""")," CG18")</f>
        <v>CG18</v>
      </c>
      <c r="AP267" s="71" t="str">
        <f>IFERROR(__xludf.DUMMYFUNCTION("""COMPUTED_VALUE""")," PZA")</f>
        <v>PZA</v>
      </c>
      <c r="AQ267" s="71" t="str">
        <f>IFERROR(__xludf.DUMMYFUNCTION("""COMPUTED_VALUE""")," REF")</f>
        <v>REF</v>
      </c>
      <c r="AR267" s="71" t="str">
        <f>IFERROR(__xludf.DUMMYFUNCTION("""COMPUTED_VALUE""")," CANJILON STD 18 CM")</f>
        <v>CANJILON STD 18 CM</v>
      </c>
      <c r="AS267" s="71" t="str">
        <f>IFERROR(__xludf.DUMMYFUNCTION("""COMPUTED_VALUE""")," CANJILON STD 18 CM")</f>
        <v>CANJILON STD 18 CM</v>
      </c>
      <c r="AT267" s="71">
        <f>IFERROR(__xludf.DUMMYFUNCTION("""COMPUTED_VALUE"""),18.0)</f>
        <v>18</v>
      </c>
      <c r="AU267" s="71"/>
      <c r="AV267" s="71"/>
      <c r="AW267" s="71"/>
      <c r="AX267" s="71"/>
      <c r="AY267" s="71"/>
      <c r="AZ267" s="71"/>
      <c r="BA267" s="71">
        <f>IFERROR(__xludf.DUMMYFUNCTION("""COMPUTED_VALUE"""),83.0)</f>
        <v>83</v>
      </c>
      <c r="BB267" s="71">
        <f>IFERROR(__xludf.DUMMYFUNCTION("""COMPUTED_VALUE"""),83.0)</f>
        <v>83</v>
      </c>
      <c r="BC267" s="71">
        <f>IFERROR(__xludf.DUMMYFUNCTION("""COMPUTED_VALUE"""),88.0)</f>
        <v>88</v>
      </c>
      <c r="BD267" s="71">
        <f>IFERROR(__xludf.DUMMYFUNCTION("""COMPUTED_VALUE"""),92.0)</f>
        <v>92</v>
      </c>
      <c r="BE267" s="71">
        <f>IFERROR(__xludf.DUMMYFUNCTION("""COMPUTED_VALUE"""),14.72)</f>
        <v>14.72</v>
      </c>
      <c r="BF267" s="71">
        <f>IFERROR(__xludf.DUMMYFUNCTION("""COMPUTED_VALUE"""),106.72)</f>
        <v>106.72</v>
      </c>
      <c r="BG267" s="71">
        <f>IFERROR(__xludf.DUMMYFUNCTION("""COMPUTED_VALUE"""),0.045454545454545456)</f>
        <v>0.04545454545</v>
      </c>
      <c r="BH267" s="71">
        <f>IFERROR(__xludf.DUMMYFUNCTION("""COMPUTED_VALUE"""),87.39999999999999)</f>
        <v>87.4</v>
      </c>
      <c r="BI267" s="71">
        <f>IFERROR(__xludf.DUMMYFUNCTION("""COMPUTED_VALUE"""),13.983999999999998)</f>
        <v>13.984</v>
      </c>
      <c r="BJ267" s="71">
        <f>IFERROR(__xludf.DUMMYFUNCTION("""COMPUTED_VALUE"""),101.38399999999999)</f>
        <v>101.384</v>
      </c>
      <c r="BK267" s="71">
        <f>IFERROR(__xludf.DUMMYFUNCTION("""COMPUTED_VALUE"""),82.8)</f>
        <v>82.8</v>
      </c>
      <c r="BL267" s="71">
        <f>IFERROR(__xludf.DUMMYFUNCTION("""COMPUTED_VALUE"""),13.248)</f>
        <v>13.248</v>
      </c>
      <c r="BM267" s="71">
        <f>IFERROR(__xludf.DUMMYFUNCTION("""COMPUTED_VALUE"""),96.048)</f>
        <v>96.048</v>
      </c>
      <c r="BN267" s="71">
        <f>IFERROR(__xludf.DUMMYFUNCTION("""COMPUTED_VALUE"""),78.2)</f>
        <v>78.2</v>
      </c>
      <c r="BO267" s="71">
        <f>IFERROR(__xludf.DUMMYFUNCTION("""COMPUTED_VALUE"""),12.512)</f>
        <v>12.512</v>
      </c>
      <c r="BP267" s="71">
        <f>IFERROR(__xludf.DUMMYFUNCTION("""COMPUTED_VALUE"""),90.712)</f>
        <v>90.712</v>
      </c>
      <c r="BQ267" s="71">
        <f>IFERROR(__xludf.DUMMYFUNCTION("""COMPUTED_VALUE"""),76.36)</f>
        <v>76.36</v>
      </c>
      <c r="BR267" s="71">
        <f>IFERROR(__xludf.DUMMYFUNCTION("""COMPUTED_VALUE"""),12.217600000000001)</f>
        <v>12.2176</v>
      </c>
      <c r="BS267" s="71">
        <f>IFERROR(__xludf.DUMMYFUNCTION("""COMPUTED_VALUE"""),88.5776)</f>
        <v>88.5776</v>
      </c>
      <c r="BT267" s="71">
        <f>IFERROR(__xludf.DUMMYFUNCTION("""COMPUTED_VALUE"""),73.60000000000001)</f>
        <v>73.6</v>
      </c>
      <c r="BU267" s="71">
        <f>IFERROR(__xludf.DUMMYFUNCTION("""COMPUTED_VALUE"""),11.776000000000002)</f>
        <v>11.776</v>
      </c>
      <c r="BV267" s="71">
        <f>IFERROR(__xludf.DUMMYFUNCTION("""COMPUTED_VALUE"""),85.376)</f>
        <v>85.376</v>
      </c>
    </row>
    <row r="268">
      <c r="A268" s="53"/>
      <c r="B268" s="53"/>
      <c r="C268" s="73" t="s">
        <v>603</v>
      </c>
      <c r="D268" s="53" t="s">
        <v>655</v>
      </c>
      <c r="E268" s="54" t="s">
        <v>38</v>
      </c>
      <c r="F268" s="54" t="s">
        <v>42</v>
      </c>
      <c r="G268" s="55" t="s">
        <v>656</v>
      </c>
      <c r="H268" s="54" t="s">
        <v>657</v>
      </c>
      <c r="I268" s="54">
        <f t="shared" si="1"/>
        <v>38</v>
      </c>
      <c r="J268" s="56"/>
      <c r="K268" s="57"/>
      <c r="L268" s="76"/>
      <c r="M268" s="59"/>
      <c r="N268" s="79">
        <v>4206.0</v>
      </c>
      <c r="O268" s="61">
        <v>3796.0</v>
      </c>
      <c r="P268" s="62">
        <v>4099.68</v>
      </c>
      <c r="Q268" s="63">
        <v>4099.68</v>
      </c>
      <c r="R268" s="64">
        <v>4305.0</v>
      </c>
      <c r="S268" s="111">
        <v>4520.0</v>
      </c>
      <c r="T268" s="65">
        <f t="shared" si="2"/>
        <v>723.2</v>
      </c>
      <c r="U268" s="65">
        <f t="shared" si="3"/>
        <v>5243.2</v>
      </c>
      <c r="V268" s="66">
        <f t="shared" si="4"/>
        <v>0.04994192799</v>
      </c>
      <c r="W268" s="67">
        <f t="shared" si="5"/>
        <v>4294</v>
      </c>
      <c r="X268" s="67">
        <f t="shared" si="6"/>
        <v>687.04</v>
      </c>
      <c r="Y268" s="67">
        <f t="shared" si="7"/>
        <v>4981.04</v>
      </c>
      <c r="Z268" s="67">
        <f t="shared" si="8"/>
        <v>4068</v>
      </c>
      <c r="AA268" s="67">
        <f t="shared" si="9"/>
        <v>650.88</v>
      </c>
      <c r="AB268" s="67">
        <f t="shared" si="10"/>
        <v>4718.88</v>
      </c>
      <c r="AC268" s="67">
        <f t="shared" si="11"/>
        <v>3842</v>
      </c>
      <c r="AD268" s="67">
        <f t="shared" si="12"/>
        <v>614.72</v>
      </c>
      <c r="AE268" s="67">
        <f t="shared" si="13"/>
        <v>4456.72</v>
      </c>
      <c r="AF268" s="67">
        <f t="shared" si="14"/>
        <v>3751.6</v>
      </c>
      <c r="AG268" s="67">
        <f t="shared" si="15"/>
        <v>600.256</v>
      </c>
      <c r="AH268" s="67">
        <f t="shared" si="16"/>
        <v>4351.856</v>
      </c>
      <c r="AI268" s="67">
        <f t="shared" si="17"/>
        <v>3616</v>
      </c>
      <c r="AJ268" s="68">
        <f t="shared" si="20"/>
        <v>578.56</v>
      </c>
      <c r="AK268" s="68">
        <f t="shared" si="21"/>
        <v>4194.56</v>
      </c>
      <c r="AL268" s="70">
        <f>IFERROR(__xludf.DUMMYFUNCTION("""COMPUTED_VALUE"""),1.0)</f>
        <v>1</v>
      </c>
      <c r="AM268" s="70"/>
      <c r="AN268" s="71" t="str">
        <f>IFERROR(__xludf.DUMMYFUNCTION("""COMPUTED_VALUE""")," P")</f>
        <v>P</v>
      </c>
      <c r="AO268" s="71" t="str">
        <f>IFERROR(__xludf.DUMMYFUNCTION("""COMPUTED_VALUE""")," CG26")</f>
        <v>CG26</v>
      </c>
      <c r="AP268" s="71" t="str">
        <f>IFERROR(__xludf.DUMMYFUNCTION("""COMPUTED_VALUE""")," PZA")</f>
        <v>PZA</v>
      </c>
      <c r="AQ268" s="71" t="str">
        <f>IFERROR(__xludf.DUMMYFUNCTION("""COMPUTED_VALUE""")," REF")</f>
        <v>REF</v>
      </c>
      <c r="AR268" s="71" t="str">
        <f>IFERROR(__xludf.DUMMYFUNCTION("""COMPUTED_VALUE""")," CANJILON STD 26 CM")</f>
        <v>CANJILON STD 26 CM</v>
      </c>
      <c r="AS268" s="71" t="str">
        <f>IFERROR(__xludf.DUMMYFUNCTION("""COMPUTED_VALUE""")," CANJILON STD 26 CM")</f>
        <v>CANJILON STD 26 CM</v>
      </c>
      <c r="AT268" s="71">
        <f>IFERROR(__xludf.DUMMYFUNCTION("""COMPUTED_VALUE"""),18.0)</f>
        <v>18</v>
      </c>
      <c r="AU268" s="71"/>
      <c r="AV268" s="71"/>
      <c r="AW268" s="71"/>
      <c r="AX268" s="71"/>
      <c r="AY268" s="71"/>
      <c r="AZ268" s="71"/>
      <c r="BA268" s="71">
        <f>IFERROR(__xludf.DUMMYFUNCTION("""COMPUTED_VALUE"""),120.0)</f>
        <v>120</v>
      </c>
      <c r="BB268" s="71">
        <f>IFERROR(__xludf.DUMMYFUNCTION("""COMPUTED_VALUE"""),120.0)</f>
        <v>120</v>
      </c>
      <c r="BC268" s="71">
        <f>IFERROR(__xludf.DUMMYFUNCTION("""COMPUTED_VALUE"""),126.0)</f>
        <v>126</v>
      </c>
      <c r="BD268" s="71">
        <f>IFERROR(__xludf.DUMMYFUNCTION("""COMPUTED_VALUE"""),132.0)</f>
        <v>132</v>
      </c>
      <c r="BE268" s="71">
        <f>IFERROR(__xludf.DUMMYFUNCTION("""COMPUTED_VALUE"""),21.12)</f>
        <v>21.12</v>
      </c>
      <c r="BF268" s="71">
        <f>IFERROR(__xludf.DUMMYFUNCTION("""COMPUTED_VALUE"""),153.12)</f>
        <v>153.12</v>
      </c>
      <c r="BG268" s="71">
        <f>IFERROR(__xludf.DUMMYFUNCTION("""COMPUTED_VALUE"""),0.047619047619047616)</f>
        <v>0.04761904762</v>
      </c>
      <c r="BH268" s="71">
        <f>IFERROR(__xludf.DUMMYFUNCTION("""COMPUTED_VALUE"""),125.39999999999999)</f>
        <v>125.4</v>
      </c>
      <c r="BI268" s="71">
        <f>IFERROR(__xludf.DUMMYFUNCTION("""COMPUTED_VALUE"""),20.064)</f>
        <v>20.064</v>
      </c>
      <c r="BJ268" s="71">
        <f>IFERROR(__xludf.DUMMYFUNCTION("""COMPUTED_VALUE"""),145.464)</f>
        <v>145.464</v>
      </c>
      <c r="BK268" s="71">
        <f>IFERROR(__xludf.DUMMYFUNCTION("""COMPUTED_VALUE"""),118.8)</f>
        <v>118.8</v>
      </c>
      <c r="BL268" s="71">
        <f>IFERROR(__xludf.DUMMYFUNCTION("""COMPUTED_VALUE"""),19.008)</f>
        <v>19.008</v>
      </c>
      <c r="BM268" s="71">
        <f>IFERROR(__xludf.DUMMYFUNCTION("""COMPUTED_VALUE"""),137.808)</f>
        <v>137.808</v>
      </c>
      <c r="BN268" s="71">
        <f>IFERROR(__xludf.DUMMYFUNCTION("""COMPUTED_VALUE"""),112.2)</f>
        <v>112.2</v>
      </c>
      <c r="BO268" s="71">
        <f>IFERROR(__xludf.DUMMYFUNCTION("""COMPUTED_VALUE"""),17.952)</f>
        <v>17.952</v>
      </c>
      <c r="BP268" s="71">
        <f>IFERROR(__xludf.DUMMYFUNCTION("""COMPUTED_VALUE"""),130.15200000000002)</f>
        <v>130.152</v>
      </c>
      <c r="BQ268" s="71">
        <f>IFERROR(__xludf.DUMMYFUNCTION("""COMPUTED_VALUE"""),109.55999999999999)</f>
        <v>109.56</v>
      </c>
      <c r="BR268" s="71">
        <f>IFERROR(__xludf.DUMMYFUNCTION("""COMPUTED_VALUE"""),17.5296)</f>
        <v>17.5296</v>
      </c>
      <c r="BS268" s="71">
        <f>IFERROR(__xludf.DUMMYFUNCTION("""COMPUTED_VALUE"""),127.08959999999999)</f>
        <v>127.0896</v>
      </c>
      <c r="BT268" s="71">
        <f>IFERROR(__xludf.DUMMYFUNCTION("""COMPUTED_VALUE"""),105.60000000000001)</f>
        <v>105.6</v>
      </c>
      <c r="BU268" s="71">
        <f>IFERROR(__xludf.DUMMYFUNCTION("""COMPUTED_VALUE"""),16.896)</f>
        <v>16.896</v>
      </c>
      <c r="BV268" s="71">
        <f>IFERROR(__xludf.DUMMYFUNCTION("""COMPUTED_VALUE"""),122.49600000000001)</f>
        <v>122.496</v>
      </c>
    </row>
    <row r="269">
      <c r="A269" s="53"/>
      <c r="B269" s="53"/>
      <c r="C269" s="73" t="s">
        <v>603</v>
      </c>
      <c r="D269" s="53" t="s">
        <v>658</v>
      </c>
      <c r="E269" s="54" t="s">
        <v>38</v>
      </c>
      <c r="F269" s="54" t="s">
        <v>42</v>
      </c>
      <c r="G269" s="55" t="s">
        <v>659</v>
      </c>
      <c r="H269" s="54" t="s">
        <v>660</v>
      </c>
      <c r="I269" s="54">
        <f t="shared" si="1"/>
        <v>39</v>
      </c>
      <c r="J269" s="56"/>
      <c r="K269" s="57"/>
      <c r="L269" s="76" t="s">
        <v>661</v>
      </c>
      <c r="M269" s="59"/>
      <c r="N269" s="79">
        <v>3913.0</v>
      </c>
      <c r="O269" s="61">
        <v>3531.0</v>
      </c>
      <c r="P269" s="62">
        <v>3813.4800000000005</v>
      </c>
      <c r="Q269" s="63">
        <v>3813.4800000000005</v>
      </c>
      <c r="R269" s="64">
        <v>4004.0</v>
      </c>
      <c r="S269" s="111">
        <v>4204.0</v>
      </c>
      <c r="T269" s="65">
        <f t="shared" si="2"/>
        <v>672.64</v>
      </c>
      <c r="U269" s="65">
        <f t="shared" si="3"/>
        <v>4876.64</v>
      </c>
      <c r="V269" s="66">
        <f t="shared" si="4"/>
        <v>0.04995004995</v>
      </c>
      <c r="W269" s="67">
        <f t="shared" si="5"/>
        <v>3993.8</v>
      </c>
      <c r="X269" s="67">
        <f t="shared" si="6"/>
        <v>639.008</v>
      </c>
      <c r="Y269" s="67">
        <f t="shared" si="7"/>
        <v>4632.808</v>
      </c>
      <c r="Z269" s="67">
        <f t="shared" si="8"/>
        <v>3783.6</v>
      </c>
      <c r="AA269" s="67">
        <f t="shared" si="9"/>
        <v>605.376</v>
      </c>
      <c r="AB269" s="67">
        <f t="shared" si="10"/>
        <v>4388.976</v>
      </c>
      <c r="AC269" s="67">
        <f t="shared" si="11"/>
        <v>3573.4</v>
      </c>
      <c r="AD269" s="67">
        <f t="shared" si="12"/>
        <v>571.744</v>
      </c>
      <c r="AE269" s="67">
        <f t="shared" si="13"/>
        <v>4145.144</v>
      </c>
      <c r="AF269" s="67">
        <f t="shared" si="14"/>
        <v>3489.32</v>
      </c>
      <c r="AG269" s="67">
        <f t="shared" si="15"/>
        <v>558.2912</v>
      </c>
      <c r="AH269" s="67">
        <f t="shared" si="16"/>
        <v>4047.6112</v>
      </c>
      <c r="AI269" s="67">
        <f t="shared" si="17"/>
        <v>3363.2</v>
      </c>
      <c r="AJ269" s="68">
        <f t="shared" si="20"/>
        <v>538.112</v>
      </c>
      <c r="AK269" s="68">
        <f t="shared" si="21"/>
        <v>3901.312</v>
      </c>
      <c r="AL269" s="70">
        <f>IFERROR(__xludf.DUMMYFUNCTION("""COMPUTED_VALUE"""),1.0)</f>
        <v>1</v>
      </c>
      <c r="AM269" s="70"/>
      <c r="AN269" s="71" t="str">
        <f>IFERROR(__xludf.DUMMYFUNCTION("""COMPUTED_VALUE""")," P")</f>
        <v>P</v>
      </c>
      <c r="AO269" s="71" t="str">
        <f>IFERROR(__xludf.DUMMYFUNCTION("""COMPUTED_VALUE""")," CG28")</f>
        <v>CG28</v>
      </c>
      <c r="AP269" s="71" t="str">
        <f>IFERROR(__xludf.DUMMYFUNCTION("""COMPUTED_VALUE""")," PZA")</f>
        <v>PZA</v>
      </c>
      <c r="AQ269" s="71" t="str">
        <f>IFERROR(__xludf.DUMMYFUNCTION("""COMPUTED_VALUE""")," REF")</f>
        <v>REF</v>
      </c>
      <c r="AR269" s="71" t="str">
        <f>IFERROR(__xludf.DUMMYFUNCTION("""COMPUTED_VALUE""")," CANJILON STD 28 CM")</f>
        <v>CANJILON STD 28 CM</v>
      </c>
      <c r="AS269" s="71" t="str">
        <f>IFERROR(__xludf.DUMMYFUNCTION("""COMPUTED_VALUE""")," CANJILON STD 28 CM")</f>
        <v>CANJILON STD 28 CM</v>
      </c>
      <c r="AT269" s="71">
        <f>IFERROR(__xludf.DUMMYFUNCTION("""COMPUTED_VALUE"""),18.0)</f>
        <v>18</v>
      </c>
      <c r="AU269" s="71"/>
      <c r="AV269" s="71"/>
      <c r="AW269" s="71"/>
      <c r="AX269" s="71"/>
      <c r="AY269" s="71"/>
      <c r="AZ269" s="71"/>
      <c r="BA269" s="71">
        <f>IFERROR(__xludf.DUMMYFUNCTION("""COMPUTED_VALUE"""),129.0)</f>
        <v>129</v>
      </c>
      <c r="BB269" s="71">
        <f>IFERROR(__xludf.DUMMYFUNCTION("""COMPUTED_VALUE"""),129.0)</f>
        <v>129</v>
      </c>
      <c r="BC269" s="71">
        <f>IFERROR(__xludf.DUMMYFUNCTION("""COMPUTED_VALUE"""),136.0)</f>
        <v>136</v>
      </c>
      <c r="BD269" s="71">
        <f>IFERROR(__xludf.DUMMYFUNCTION("""COMPUTED_VALUE"""),143.0)</f>
        <v>143</v>
      </c>
      <c r="BE269" s="71">
        <f>IFERROR(__xludf.DUMMYFUNCTION("""COMPUTED_VALUE"""),22.88)</f>
        <v>22.88</v>
      </c>
      <c r="BF269" s="71">
        <f>IFERROR(__xludf.DUMMYFUNCTION("""COMPUTED_VALUE"""),165.88)</f>
        <v>165.88</v>
      </c>
      <c r="BG269" s="71">
        <f>IFERROR(__xludf.DUMMYFUNCTION("""COMPUTED_VALUE"""),0.051470588235294115)</f>
        <v>0.05147058824</v>
      </c>
      <c r="BH269" s="71">
        <f>IFERROR(__xludf.DUMMYFUNCTION("""COMPUTED_VALUE"""),135.85)</f>
        <v>135.85</v>
      </c>
      <c r="BI269" s="71">
        <f>IFERROR(__xludf.DUMMYFUNCTION("""COMPUTED_VALUE"""),21.736)</f>
        <v>21.736</v>
      </c>
      <c r="BJ269" s="71">
        <f>IFERROR(__xludf.DUMMYFUNCTION("""COMPUTED_VALUE"""),157.58599999999998)</f>
        <v>157.586</v>
      </c>
      <c r="BK269" s="71">
        <f>IFERROR(__xludf.DUMMYFUNCTION("""COMPUTED_VALUE"""),128.70000000000002)</f>
        <v>128.7</v>
      </c>
      <c r="BL269" s="71">
        <f>IFERROR(__xludf.DUMMYFUNCTION("""COMPUTED_VALUE"""),20.592000000000002)</f>
        <v>20.592</v>
      </c>
      <c r="BM269" s="71">
        <f>IFERROR(__xludf.DUMMYFUNCTION("""COMPUTED_VALUE"""),149.29200000000003)</f>
        <v>149.292</v>
      </c>
      <c r="BN269" s="71">
        <f>IFERROR(__xludf.DUMMYFUNCTION("""COMPUTED_VALUE"""),121.55)</f>
        <v>121.55</v>
      </c>
      <c r="BO269" s="71">
        <f>IFERROR(__xludf.DUMMYFUNCTION("""COMPUTED_VALUE"""),19.448)</f>
        <v>19.448</v>
      </c>
      <c r="BP269" s="71">
        <f>IFERROR(__xludf.DUMMYFUNCTION("""COMPUTED_VALUE"""),140.998)</f>
        <v>140.998</v>
      </c>
      <c r="BQ269" s="71">
        <f>IFERROR(__xludf.DUMMYFUNCTION("""COMPUTED_VALUE"""),118.69)</f>
        <v>118.69</v>
      </c>
      <c r="BR269" s="71">
        <f>IFERROR(__xludf.DUMMYFUNCTION("""COMPUTED_VALUE"""),18.9904)</f>
        <v>18.9904</v>
      </c>
      <c r="BS269" s="71">
        <f>IFERROR(__xludf.DUMMYFUNCTION("""COMPUTED_VALUE"""),137.6804)</f>
        <v>137.6804</v>
      </c>
      <c r="BT269" s="71">
        <f>IFERROR(__xludf.DUMMYFUNCTION("""COMPUTED_VALUE"""),114.4)</f>
        <v>114.4</v>
      </c>
      <c r="BU269" s="71">
        <f>IFERROR(__xludf.DUMMYFUNCTION("""COMPUTED_VALUE"""),18.304000000000002)</f>
        <v>18.304</v>
      </c>
      <c r="BV269" s="71">
        <f>IFERROR(__xludf.DUMMYFUNCTION("""COMPUTED_VALUE"""),132.704)</f>
        <v>132.704</v>
      </c>
    </row>
    <row r="270">
      <c r="A270" s="53"/>
      <c r="B270" s="53"/>
      <c r="C270" s="73" t="s">
        <v>603</v>
      </c>
      <c r="D270" s="53" t="s">
        <v>662</v>
      </c>
      <c r="E270" s="54" t="s">
        <v>38</v>
      </c>
      <c r="F270" s="54" t="s">
        <v>42</v>
      </c>
      <c r="G270" s="55" t="s">
        <v>663</v>
      </c>
      <c r="H270" s="54" t="s">
        <v>664</v>
      </c>
      <c r="I270" s="54">
        <f t="shared" si="1"/>
        <v>36</v>
      </c>
      <c r="J270" s="56"/>
      <c r="K270" s="57"/>
      <c r="L270" s="76"/>
      <c r="M270" s="59"/>
      <c r="N270" s="60"/>
      <c r="O270" s="61">
        <v>4986.0</v>
      </c>
      <c r="P270" s="62">
        <v>5384.88</v>
      </c>
      <c r="Q270" s="63">
        <v>5384.88</v>
      </c>
      <c r="R270" s="64">
        <v>5655.0</v>
      </c>
      <c r="S270" s="111">
        <v>5938.0</v>
      </c>
      <c r="T270" s="65">
        <f t="shared" si="2"/>
        <v>950.08</v>
      </c>
      <c r="U270" s="65">
        <f t="shared" si="3"/>
        <v>6888.08</v>
      </c>
      <c r="V270" s="66">
        <f t="shared" si="4"/>
        <v>0.05004420866</v>
      </c>
      <c r="W270" s="67">
        <f t="shared" si="5"/>
        <v>5641.1</v>
      </c>
      <c r="X270" s="67">
        <f t="shared" si="6"/>
        <v>902.576</v>
      </c>
      <c r="Y270" s="67">
        <f t="shared" si="7"/>
        <v>6543.676</v>
      </c>
      <c r="Z270" s="67">
        <f t="shared" si="8"/>
        <v>5344.2</v>
      </c>
      <c r="AA270" s="67">
        <f t="shared" si="9"/>
        <v>855.072</v>
      </c>
      <c r="AB270" s="67">
        <f t="shared" si="10"/>
        <v>6199.272</v>
      </c>
      <c r="AC270" s="67">
        <f t="shared" si="11"/>
        <v>5047.3</v>
      </c>
      <c r="AD270" s="67">
        <f t="shared" si="12"/>
        <v>807.568</v>
      </c>
      <c r="AE270" s="67">
        <f t="shared" si="13"/>
        <v>5854.868</v>
      </c>
      <c r="AF270" s="67">
        <f t="shared" si="14"/>
        <v>4928.54</v>
      </c>
      <c r="AG270" s="67">
        <f t="shared" si="15"/>
        <v>788.5664</v>
      </c>
      <c r="AH270" s="67">
        <f t="shared" si="16"/>
        <v>5717.1064</v>
      </c>
      <c r="AI270" s="67">
        <f t="shared" si="17"/>
        <v>4750.4</v>
      </c>
      <c r="AJ270" s="68">
        <f t="shared" si="20"/>
        <v>760.064</v>
      </c>
      <c r="AK270" s="68">
        <f t="shared" si="21"/>
        <v>5510.464</v>
      </c>
      <c r="AL270" s="70">
        <f>IFERROR(__xludf.DUMMYFUNCTION("""COMPUTED_VALUE"""),1.0)</f>
        <v>1</v>
      </c>
      <c r="AM270" s="70"/>
      <c r="AN270" s="71" t="str">
        <f>IFERROR(__xludf.DUMMYFUNCTION("""COMPUTED_VALUE""")," P")</f>
        <v>P</v>
      </c>
      <c r="AO270" s="71" t="str">
        <f>IFERROR(__xludf.DUMMYFUNCTION("""COMPUTED_VALUE""")," CG40")</f>
        <v>CG40</v>
      </c>
      <c r="AP270" s="71" t="str">
        <f>IFERROR(__xludf.DUMMYFUNCTION("""COMPUTED_VALUE""")," PZA")</f>
        <v>PZA</v>
      </c>
      <c r="AQ270" s="71" t="str">
        <f>IFERROR(__xludf.DUMMYFUNCTION("""COMPUTED_VALUE""")," REF")</f>
        <v>REF</v>
      </c>
      <c r="AR270" s="71" t="str">
        <f>IFERROR(__xludf.DUMMYFUNCTION("""COMPUTED_VALUE""")," CANJILON STD 40 CM")</f>
        <v>CANJILON STD 40 CM</v>
      </c>
      <c r="AS270" s="71" t="str">
        <f>IFERROR(__xludf.DUMMYFUNCTION("""COMPUTED_VALUE""")," CANJILON STD 40 CM")</f>
        <v>CANJILON STD 40 CM</v>
      </c>
      <c r="AT270" s="71">
        <f>IFERROR(__xludf.DUMMYFUNCTION("""COMPUTED_VALUE"""),18.0)</f>
        <v>18</v>
      </c>
      <c r="AU270" s="71"/>
      <c r="AV270" s="71"/>
      <c r="AW270" s="71"/>
      <c r="AX270" s="71"/>
      <c r="AY270" s="71"/>
      <c r="AZ270" s="71"/>
      <c r="BA270" s="71">
        <f>IFERROR(__xludf.DUMMYFUNCTION("""COMPUTED_VALUE"""),184.0)</f>
        <v>184</v>
      </c>
      <c r="BB270" s="71">
        <f>IFERROR(__xludf.DUMMYFUNCTION("""COMPUTED_VALUE"""),184.0)</f>
        <v>184</v>
      </c>
      <c r="BC270" s="71">
        <f>IFERROR(__xludf.DUMMYFUNCTION("""COMPUTED_VALUE"""),194.0)</f>
        <v>194</v>
      </c>
      <c r="BD270" s="71">
        <f>IFERROR(__xludf.DUMMYFUNCTION("""COMPUTED_VALUE"""),204.0)</f>
        <v>204</v>
      </c>
      <c r="BE270" s="71">
        <f>IFERROR(__xludf.DUMMYFUNCTION("""COMPUTED_VALUE"""),32.64)</f>
        <v>32.64</v>
      </c>
      <c r="BF270" s="71">
        <f>IFERROR(__xludf.DUMMYFUNCTION("""COMPUTED_VALUE"""),236.64)</f>
        <v>236.64</v>
      </c>
      <c r="BG270" s="71">
        <f>IFERROR(__xludf.DUMMYFUNCTION("""COMPUTED_VALUE"""),0.05154639175257732)</f>
        <v>0.05154639175</v>
      </c>
      <c r="BH270" s="71">
        <f>IFERROR(__xludf.DUMMYFUNCTION("""COMPUTED_VALUE"""),193.79999999999998)</f>
        <v>193.8</v>
      </c>
      <c r="BI270" s="71">
        <f>IFERROR(__xludf.DUMMYFUNCTION("""COMPUTED_VALUE"""),31.008)</f>
        <v>31.008</v>
      </c>
      <c r="BJ270" s="71">
        <f>IFERROR(__xludf.DUMMYFUNCTION("""COMPUTED_VALUE"""),224.808)</f>
        <v>224.808</v>
      </c>
      <c r="BK270" s="71">
        <f>IFERROR(__xludf.DUMMYFUNCTION("""COMPUTED_VALUE"""),183.6)</f>
        <v>183.6</v>
      </c>
      <c r="BL270" s="71">
        <f>IFERROR(__xludf.DUMMYFUNCTION("""COMPUTED_VALUE"""),29.376)</f>
        <v>29.376</v>
      </c>
      <c r="BM270" s="71">
        <f>IFERROR(__xludf.DUMMYFUNCTION("""COMPUTED_VALUE"""),212.976)</f>
        <v>212.976</v>
      </c>
      <c r="BN270" s="71">
        <f>IFERROR(__xludf.DUMMYFUNCTION("""COMPUTED_VALUE"""),173.4)</f>
        <v>173.4</v>
      </c>
      <c r="BO270" s="71">
        <f>IFERROR(__xludf.DUMMYFUNCTION("""COMPUTED_VALUE"""),27.744)</f>
        <v>27.744</v>
      </c>
      <c r="BP270" s="71">
        <f>IFERROR(__xludf.DUMMYFUNCTION("""COMPUTED_VALUE"""),201.144)</f>
        <v>201.144</v>
      </c>
      <c r="BQ270" s="71">
        <f>IFERROR(__xludf.DUMMYFUNCTION("""COMPUTED_VALUE"""),169.32)</f>
        <v>169.32</v>
      </c>
      <c r="BR270" s="71">
        <f>IFERROR(__xludf.DUMMYFUNCTION("""COMPUTED_VALUE"""),27.0912)</f>
        <v>27.0912</v>
      </c>
      <c r="BS270" s="71">
        <f>IFERROR(__xludf.DUMMYFUNCTION("""COMPUTED_VALUE"""),196.4112)</f>
        <v>196.4112</v>
      </c>
      <c r="BT270" s="71">
        <f>IFERROR(__xludf.DUMMYFUNCTION("""COMPUTED_VALUE"""),163.20000000000002)</f>
        <v>163.2</v>
      </c>
      <c r="BU270" s="71">
        <f>IFERROR(__xludf.DUMMYFUNCTION("""COMPUTED_VALUE"""),26.112000000000002)</f>
        <v>26.112</v>
      </c>
      <c r="BV270" s="71">
        <f>IFERROR(__xludf.DUMMYFUNCTION("""COMPUTED_VALUE"""),189.312)</f>
        <v>189.312</v>
      </c>
    </row>
    <row r="271">
      <c r="A271" s="53"/>
      <c r="B271" s="53"/>
      <c r="C271" s="73" t="s">
        <v>603</v>
      </c>
      <c r="D271" s="53" t="s">
        <v>665</v>
      </c>
      <c r="E271" s="54" t="s">
        <v>38</v>
      </c>
      <c r="F271" s="54" t="s">
        <v>42</v>
      </c>
      <c r="G271" s="55" t="s">
        <v>666</v>
      </c>
      <c r="H271" s="54" t="s">
        <v>667</v>
      </c>
      <c r="I271" s="54">
        <f t="shared" si="1"/>
        <v>38</v>
      </c>
      <c r="J271" s="56"/>
      <c r="K271" s="57"/>
      <c r="L271" s="76"/>
      <c r="M271" s="59"/>
      <c r="N271" s="60"/>
      <c r="O271" s="61">
        <v>10112.0</v>
      </c>
      <c r="P271" s="62">
        <v>10920.960000000001</v>
      </c>
      <c r="Q271" s="63">
        <v>10920.960000000001</v>
      </c>
      <c r="R271" s="64">
        <v>11468.0</v>
      </c>
      <c r="S271" s="111">
        <v>12041.0</v>
      </c>
      <c r="T271" s="65">
        <f t="shared" si="2"/>
        <v>1926.56</v>
      </c>
      <c r="U271" s="65">
        <f t="shared" si="3"/>
        <v>13967.56</v>
      </c>
      <c r="V271" s="66">
        <f t="shared" si="4"/>
        <v>0.04996512033</v>
      </c>
      <c r="W271" s="67">
        <f t="shared" si="5"/>
        <v>11438.95</v>
      </c>
      <c r="X271" s="67">
        <f t="shared" si="6"/>
        <v>1830.232</v>
      </c>
      <c r="Y271" s="67">
        <f t="shared" si="7"/>
        <v>13269.182</v>
      </c>
      <c r="Z271" s="67">
        <f t="shared" si="8"/>
        <v>10836.9</v>
      </c>
      <c r="AA271" s="67">
        <f t="shared" si="9"/>
        <v>1733.904</v>
      </c>
      <c r="AB271" s="67">
        <f t="shared" si="10"/>
        <v>12570.804</v>
      </c>
      <c r="AC271" s="67">
        <f t="shared" si="11"/>
        <v>10234.85</v>
      </c>
      <c r="AD271" s="67">
        <f t="shared" si="12"/>
        <v>1637.576</v>
      </c>
      <c r="AE271" s="67">
        <f t="shared" si="13"/>
        <v>11872.426</v>
      </c>
      <c r="AF271" s="67">
        <f t="shared" si="14"/>
        <v>9994.03</v>
      </c>
      <c r="AG271" s="67">
        <f t="shared" si="15"/>
        <v>1599.0448</v>
      </c>
      <c r="AH271" s="67">
        <f t="shared" si="16"/>
        <v>11593.0748</v>
      </c>
      <c r="AI271" s="67">
        <f t="shared" si="17"/>
        <v>9632.8</v>
      </c>
      <c r="AJ271" s="68">
        <f t="shared" si="20"/>
        <v>1541.248</v>
      </c>
      <c r="AK271" s="68">
        <f t="shared" si="21"/>
        <v>11174.048</v>
      </c>
      <c r="AL271" s="70">
        <f>IFERROR(__xludf.DUMMYFUNCTION("""COMPUTED_VALUE"""),1.0)</f>
        <v>1</v>
      </c>
      <c r="AM271" s="70"/>
      <c r="AN271" s="71" t="str">
        <f>IFERROR(__xludf.DUMMYFUNCTION("""COMPUTED_VALUE""")," P")</f>
        <v>P</v>
      </c>
      <c r="AO271" s="71" t="str">
        <f>IFERROR(__xludf.DUMMYFUNCTION("""COMPUTED_VALUE""")," CG63")</f>
        <v>CG63</v>
      </c>
      <c r="AP271" s="71" t="str">
        <f>IFERROR(__xludf.DUMMYFUNCTION("""COMPUTED_VALUE""")," PZA")</f>
        <v>PZA</v>
      </c>
      <c r="AQ271" s="71" t="str">
        <f>IFERROR(__xludf.DUMMYFUNCTION("""COMPUTED_VALUE""")," REF")</f>
        <v>REF</v>
      </c>
      <c r="AR271" s="71" t="str">
        <f>IFERROR(__xludf.DUMMYFUNCTION("""COMPUTED_VALUE""")," CANJILON STD 63 CM")</f>
        <v>CANJILON STD 63 CM</v>
      </c>
      <c r="AS271" s="71" t="str">
        <f>IFERROR(__xludf.DUMMYFUNCTION("""COMPUTED_VALUE""")," CANJILON STD 63 CM")</f>
        <v>CANJILON STD 63 CM</v>
      </c>
      <c r="AT271" s="71">
        <f>IFERROR(__xludf.DUMMYFUNCTION("""COMPUTED_VALUE"""),18.0)</f>
        <v>18</v>
      </c>
      <c r="AU271" s="71"/>
      <c r="AV271" s="71"/>
      <c r="AW271" s="71"/>
      <c r="AX271" s="71"/>
      <c r="AY271" s="71"/>
      <c r="AZ271" s="71"/>
      <c r="BA271" s="71">
        <f>IFERROR(__xludf.DUMMYFUNCTION("""COMPUTED_VALUE"""),290.0)</f>
        <v>290</v>
      </c>
      <c r="BB271" s="71">
        <f>IFERROR(__xludf.DUMMYFUNCTION("""COMPUTED_VALUE"""),290.0)</f>
        <v>290</v>
      </c>
      <c r="BC271" s="71">
        <f>IFERROR(__xludf.DUMMYFUNCTION("""COMPUTED_VALUE"""),305.0)</f>
        <v>305</v>
      </c>
      <c r="BD271" s="71">
        <f>IFERROR(__xludf.DUMMYFUNCTION("""COMPUTED_VALUE"""),320.0)</f>
        <v>320</v>
      </c>
      <c r="BE271" s="71">
        <f>IFERROR(__xludf.DUMMYFUNCTION("""COMPUTED_VALUE"""),51.2)</f>
        <v>51.2</v>
      </c>
      <c r="BF271" s="71">
        <f>IFERROR(__xludf.DUMMYFUNCTION("""COMPUTED_VALUE"""),371.2)</f>
        <v>371.2</v>
      </c>
      <c r="BG271" s="71">
        <f>IFERROR(__xludf.DUMMYFUNCTION("""COMPUTED_VALUE"""),0.04918032786885246)</f>
        <v>0.04918032787</v>
      </c>
      <c r="BH271" s="71">
        <f>IFERROR(__xludf.DUMMYFUNCTION("""COMPUTED_VALUE"""),304.0)</f>
        <v>304</v>
      </c>
      <c r="BI271" s="71">
        <f>IFERROR(__xludf.DUMMYFUNCTION("""COMPUTED_VALUE"""),48.64)</f>
        <v>48.64</v>
      </c>
      <c r="BJ271" s="71">
        <f>IFERROR(__xludf.DUMMYFUNCTION("""COMPUTED_VALUE"""),352.64)</f>
        <v>352.64</v>
      </c>
      <c r="BK271" s="71">
        <f>IFERROR(__xludf.DUMMYFUNCTION("""COMPUTED_VALUE"""),288.0)</f>
        <v>288</v>
      </c>
      <c r="BL271" s="71">
        <f>IFERROR(__xludf.DUMMYFUNCTION("""COMPUTED_VALUE"""),46.08)</f>
        <v>46.08</v>
      </c>
      <c r="BM271" s="71">
        <f>IFERROR(__xludf.DUMMYFUNCTION("""COMPUTED_VALUE"""),334.08)</f>
        <v>334.08</v>
      </c>
      <c r="BN271" s="71">
        <f>IFERROR(__xludf.DUMMYFUNCTION("""COMPUTED_VALUE"""),272.0)</f>
        <v>272</v>
      </c>
      <c r="BO271" s="71">
        <f>IFERROR(__xludf.DUMMYFUNCTION("""COMPUTED_VALUE"""),43.52)</f>
        <v>43.52</v>
      </c>
      <c r="BP271" s="71">
        <f>IFERROR(__xludf.DUMMYFUNCTION("""COMPUTED_VALUE"""),315.52)</f>
        <v>315.52</v>
      </c>
      <c r="BQ271" s="71">
        <f>IFERROR(__xludf.DUMMYFUNCTION("""COMPUTED_VALUE"""),265.59999999999997)</f>
        <v>265.6</v>
      </c>
      <c r="BR271" s="71">
        <f>IFERROR(__xludf.DUMMYFUNCTION("""COMPUTED_VALUE"""),42.495999999999995)</f>
        <v>42.496</v>
      </c>
      <c r="BS271" s="71">
        <f>IFERROR(__xludf.DUMMYFUNCTION("""COMPUTED_VALUE"""),308.09599999999995)</f>
        <v>308.096</v>
      </c>
      <c r="BT271" s="71">
        <f>IFERROR(__xludf.DUMMYFUNCTION("""COMPUTED_VALUE"""),256.0)</f>
        <v>256</v>
      </c>
      <c r="BU271" s="71">
        <f>IFERROR(__xludf.DUMMYFUNCTION("""COMPUTED_VALUE"""),40.96)</f>
        <v>40.96</v>
      </c>
      <c r="BV271" s="71">
        <f>IFERROR(__xludf.DUMMYFUNCTION("""COMPUTED_VALUE"""),296.96)</f>
        <v>296.96</v>
      </c>
    </row>
    <row r="272">
      <c r="A272" s="53"/>
      <c r="B272" s="53"/>
      <c r="C272" s="73" t="s">
        <v>53</v>
      </c>
      <c r="D272" s="53" t="s">
        <v>668</v>
      </c>
      <c r="E272" s="54" t="s">
        <v>38</v>
      </c>
      <c r="F272" s="54" t="s">
        <v>42</v>
      </c>
      <c r="G272" s="55" t="s">
        <v>669</v>
      </c>
      <c r="H272" s="55" t="s">
        <v>670</v>
      </c>
      <c r="I272" s="54">
        <f t="shared" si="1"/>
        <v>37</v>
      </c>
      <c r="J272" s="56"/>
      <c r="K272" s="57"/>
      <c r="L272" s="76"/>
      <c r="M272" s="59"/>
      <c r="N272" s="60"/>
      <c r="O272" s="90"/>
      <c r="P272" s="62">
        <v>3711.0</v>
      </c>
      <c r="Q272" s="63">
        <v>3711.0</v>
      </c>
      <c r="R272" s="64">
        <v>3897.0</v>
      </c>
      <c r="S272" s="111">
        <v>4092.0</v>
      </c>
      <c r="T272" s="65">
        <f t="shared" si="2"/>
        <v>654.72</v>
      </c>
      <c r="U272" s="65">
        <f t="shared" si="3"/>
        <v>4746.72</v>
      </c>
      <c r="V272" s="66">
        <f t="shared" si="4"/>
        <v>0.05003849115</v>
      </c>
      <c r="W272" s="67">
        <f t="shared" si="5"/>
        <v>3887.4</v>
      </c>
      <c r="X272" s="67">
        <f t="shared" si="6"/>
        <v>621.984</v>
      </c>
      <c r="Y272" s="67">
        <f t="shared" si="7"/>
        <v>4509.384</v>
      </c>
      <c r="Z272" s="67">
        <f t="shared" si="8"/>
        <v>3682.8</v>
      </c>
      <c r="AA272" s="67">
        <f t="shared" si="9"/>
        <v>589.248</v>
      </c>
      <c r="AB272" s="67">
        <f t="shared" si="10"/>
        <v>4272.048</v>
      </c>
      <c r="AC272" s="67">
        <f t="shared" si="11"/>
        <v>3478.2</v>
      </c>
      <c r="AD272" s="67">
        <f t="shared" si="12"/>
        <v>556.512</v>
      </c>
      <c r="AE272" s="67">
        <f t="shared" si="13"/>
        <v>4034.712</v>
      </c>
      <c r="AF272" s="67">
        <f t="shared" si="14"/>
        <v>3396.36</v>
      </c>
      <c r="AG272" s="67">
        <f t="shared" si="15"/>
        <v>543.4176</v>
      </c>
      <c r="AH272" s="67">
        <f t="shared" si="16"/>
        <v>3939.7776</v>
      </c>
      <c r="AI272" s="67">
        <f t="shared" si="17"/>
        <v>3273.6</v>
      </c>
      <c r="AJ272" s="68">
        <f t="shared" si="20"/>
        <v>523.776</v>
      </c>
      <c r="AK272" s="68">
        <f t="shared" si="21"/>
        <v>3797.376</v>
      </c>
      <c r="AL272" s="70">
        <f>IFERROR(__xludf.DUMMYFUNCTION("""COMPUTED_VALUE"""),1.0)</f>
        <v>1</v>
      </c>
      <c r="AM272" s="70"/>
      <c r="AN272" s="71" t="str">
        <f>IFERROR(__xludf.DUMMYFUNCTION("""COMPUTED_VALUE""")," P")</f>
        <v>P</v>
      </c>
      <c r="AO272" s="71" t="str">
        <f>IFERROR(__xludf.DUMMYFUNCTION("""COMPUTED_VALUE""")," CM01")</f>
        <v>CM01</v>
      </c>
      <c r="AP272" s="71" t="str">
        <f>IFERROR(__xludf.DUMMYFUNCTION("""COMPUTED_VALUE""")," PZA")</f>
        <v>PZA</v>
      </c>
      <c r="AQ272" s="71" t="str">
        <f>IFERROR(__xludf.DUMMYFUNCTION("""COMPUTED_VALUE""")," REF")</f>
        <v>REF</v>
      </c>
      <c r="AR272" s="71" t="str">
        <f>IFERROR(__xludf.DUMMYFUNCTION("""COMPUTED_VALUE""")," CARRO ARMADO DÚPLEX")</f>
        <v>CARRO ARMADO DÚPLEX</v>
      </c>
      <c r="AS272" s="71" t="str">
        <f>IFERROR(__xludf.DUMMYFUNCTION("""COMPUTED_VALUE""")," CARRO ARMADO DPLX")</f>
        <v>CARRO ARMADO DPLX</v>
      </c>
      <c r="AT272" s="71">
        <f>IFERROR(__xludf.DUMMYFUNCTION("""COMPUTED_VALUE"""),17.0)</f>
        <v>17</v>
      </c>
      <c r="AU272" s="71"/>
      <c r="AV272" s="71"/>
      <c r="AW272" s="71"/>
      <c r="AX272" s="71"/>
      <c r="AY272" s="71">
        <f>IFERROR(__xludf.DUMMYFUNCTION("""COMPUTED_VALUE"""),1767.0)</f>
        <v>1767</v>
      </c>
      <c r="AZ272" s="71">
        <f>IFERROR(__xludf.DUMMYFUNCTION("""COMPUTED_VALUE"""),1908.0)</f>
        <v>1908</v>
      </c>
      <c r="BA272" s="71">
        <f>IFERROR(__xludf.DUMMYFUNCTION("""COMPUTED_VALUE"""),2060.6400000000003)</f>
        <v>2060.64</v>
      </c>
      <c r="BB272" s="71">
        <f>IFERROR(__xludf.DUMMYFUNCTION("""COMPUTED_VALUE"""),2060.6400000000003)</f>
        <v>2060.64</v>
      </c>
      <c r="BC272" s="71">
        <f>IFERROR(__xludf.DUMMYFUNCTION("""COMPUTED_VALUE"""),2295.0)</f>
        <v>2295</v>
      </c>
      <c r="BD272" s="71">
        <f>IFERROR(__xludf.DUMMYFUNCTION("""COMPUTED_VALUE"""),2410.0)</f>
        <v>2410</v>
      </c>
      <c r="BE272" s="71">
        <f>IFERROR(__xludf.DUMMYFUNCTION("""COMPUTED_VALUE"""),385.6)</f>
        <v>385.6</v>
      </c>
      <c r="BF272" s="71">
        <f>IFERROR(__xludf.DUMMYFUNCTION("""COMPUTED_VALUE"""),2795.6)</f>
        <v>2795.6</v>
      </c>
      <c r="BG272" s="71">
        <f>IFERROR(__xludf.DUMMYFUNCTION("""COMPUTED_VALUE"""),0.05010893246187364)</f>
        <v>0.05010893246</v>
      </c>
      <c r="BH272" s="71">
        <f>IFERROR(__xludf.DUMMYFUNCTION("""COMPUTED_VALUE"""),2289.5)</f>
        <v>2289.5</v>
      </c>
      <c r="BI272" s="71">
        <f>IFERROR(__xludf.DUMMYFUNCTION("""COMPUTED_VALUE"""),366.32)</f>
        <v>366.32</v>
      </c>
      <c r="BJ272" s="71">
        <f>IFERROR(__xludf.DUMMYFUNCTION("""COMPUTED_VALUE"""),2655.82)</f>
        <v>2655.82</v>
      </c>
      <c r="BK272" s="71">
        <f>IFERROR(__xludf.DUMMYFUNCTION("""COMPUTED_VALUE"""),2169.0)</f>
        <v>2169</v>
      </c>
      <c r="BL272" s="71">
        <f>IFERROR(__xludf.DUMMYFUNCTION("""COMPUTED_VALUE"""),347.04)</f>
        <v>347.04</v>
      </c>
      <c r="BM272" s="71">
        <f>IFERROR(__xludf.DUMMYFUNCTION("""COMPUTED_VALUE"""),2516.04)</f>
        <v>2516.04</v>
      </c>
      <c r="BN272" s="71">
        <f>IFERROR(__xludf.DUMMYFUNCTION("""COMPUTED_VALUE"""),2048.5)</f>
        <v>2048.5</v>
      </c>
      <c r="BO272" s="71">
        <f>IFERROR(__xludf.DUMMYFUNCTION("""COMPUTED_VALUE"""),327.76)</f>
        <v>327.76</v>
      </c>
      <c r="BP272" s="71">
        <f>IFERROR(__xludf.DUMMYFUNCTION("""COMPUTED_VALUE"""),2376.26)</f>
        <v>2376.26</v>
      </c>
      <c r="BQ272" s="71">
        <f>IFERROR(__xludf.DUMMYFUNCTION("""COMPUTED_VALUE"""),2000.3)</f>
        <v>2000.3</v>
      </c>
      <c r="BR272" s="71">
        <f>IFERROR(__xludf.DUMMYFUNCTION("""COMPUTED_VALUE"""),320.048)</f>
        <v>320.048</v>
      </c>
      <c r="BS272" s="71">
        <f>IFERROR(__xludf.DUMMYFUNCTION("""COMPUTED_VALUE"""),2320.348)</f>
        <v>2320.348</v>
      </c>
      <c r="BT272" s="71">
        <f>IFERROR(__xludf.DUMMYFUNCTION("""COMPUTED_VALUE"""),1928.0)</f>
        <v>1928</v>
      </c>
      <c r="BU272" s="71">
        <f>IFERROR(__xludf.DUMMYFUNCTION("""COMPUTED_VALUE"""),308.48)</f>
        <v>308.48</v>
      </c>
      <c r="BV272" s="71">
        <f>IFERROR(__xludf.DUMMYFUNCTION("""COMPUTED_VALUE"""),2236.48)</f>
        <v>2236.48</v>
      </c>
    </row>
    <row r="273">
      <c r="A273" s="53"/>
      <c r="B273" s="53"/>
      <c r="C273" s="73" t="s">
        <v>603</v>
      </c>
      <c r="D273" s="53" t="s">
        <v>671</v>
      </c>
      <c r="E273" s="54" t="s">
        <v>38</v>
      </c>
      <c r="F273" s="54" t="s">
        <v>42</v>
      </c>
      <c r="G273" s="55" t="s">
        <v>672</v>
      </c>
      <c r="H273" s="54" t="s">
        <v>673</v>
      </c>
      <c r="I273" s="54">
        <f t="shared" si="1"/>
        <v>40</v>
      </c>
      <c r="J273" s="56"/>
      <c r="K273" s="57"/>
      <c r="L273" s="76"/>
      <c r="M273" s="59"/>
      <c r="N273" s="79">
        <v>5265.0</v>
      </c>
      <c r="O273" s="61">
        <v>4752.0</v>
      </c>
      <c r="P273" s="62">
        <v>5132.160000000001</v>
      </c>
      <c r="Q273" s="63">
        <v>5132.160000000001</v>
      </c>
      <c r="R273" s="64">
        <v>5389.0</v>
      </c>
      <c r="S273" s="111">
        <v>5658.0</v>
      </c>
      <c r="T273" s="65">
        <f t="shared" si="2"/>
        <v>905.28</v>
      </c>
      <c r="U273" s="65">
        <f t="shared" si="3"/>
        <v>6563.28</v>
      </c>
      <c r="V273" s="66">
        <f t="shared" si="4"/>
        <v>0.04991649657</v>
      </c>
      <c r="W273" s="67">
        <f t="shared" si="5"/>
        <v>5375.1</v>
      </c>
      <c r="X273" s="67">
        <f t="shared" si="6"/>
        <v>860.016</v>
      </c>
      <c r="Y273" s="67">
        <f t="shared" si="7"/>
        <v>6235.116</v>
      </c>
      <c r="Z273" s="67">
        <f t="shared" si="8"/>
        <v>5092.2</v>
      </c>
      <c r="AA273" s="67">
        <f t="shared" si="9"/>
        <v>814.752</v>
      </c>
      <c r="AB273" s="67">
        <f t="shared" si="10"/>
        <v>5906.952</v>
      </c>
      <c r="AC273" s="67">
        <f t="shared" si="11"/>
        <v>4809.3</v>
      </c>
      <c r="AD273" s="67">
        <f t="shared" si="12"/>
        <v>769.488</v>
      </c>
      <c r="AE273" s="67">
        <f t="shared" si="13"/>
        <v>5578.788</v>
      </c>
      <c r="AF273" s="67">
        <f t="shared" si="14"/>
        <v>4696.14</v>
      </c>
      <c r="AG273" s="67">
        <f t="shared" si="15"/>
        <v>751.3824</v>
      </c>
      <c r="AH273" s="67">
        <f t="shared" si="16"/>
        <v>5447.5224</v>
      </c>
      <c r="AI273" s="67">
        <f t="shared" si="17"/>
        <v>4526.4</v>
      </c>
      <c r="AJ273" s="68">
        <f t="shared" si="20"/>
        <v>724.224</v>
      </c>
      <c r="AK273" s="68">
        <f t="shared" si="21"/>
        <v>5250.624</v>
      </c>
      <c r="AL273" s="70">
        <f>IFERROR(__xludf.DUMMYFUNCTION("""COMPUTED_VALUE"""),1.0)</f>
        <v>1</v>
      </c>
      <c r="AM273" s="70"/>
      <c r="AN273" s="71" t="str">
        <f>IFERROR(__xludf.DUMMYFUNCTION("""COMPUTED_VALUE""")," P")</f>
        <v>P</v>
      </c>
      <c r="AO273" s="71" t="str">
        <f>IFERROR(__xludf.DUMMYFUNCTION("""COMPUTED_VALUE""")," CM02")</f>
        <v>CM02</v>
      </c>
      <c r="AP273" s="71" t="str">
        <f>IFERROR(__xludf.DUMMYFUNCTION("""COMPUTED_VALUE""")," PZA")</f>
        <v>PZA</v>
      </c>
      <c r="AQ273" s="71" t="str">
        <f>IFERROR(__xludf.DUMMYFUNCTION("""COMPUTED_VALUE""")," REF")</f>
        <v>REF</v>
      </c>
      <c r="AR273" s="71" t="str">
        <f>IFERROR(__xludf.DUMMYFUNCTION("""COMPUTED_VALUE""")," CARRO ARMADO SENCILLO")</f>
        <v>CARRO ARMADO SENCILLO</v>
      </c>
      <c r="AS273" s="71" t="str">
        <f>IFERROR(__xludf.DUMMYFUNCTION("""COMPUTED_VALUE""")," CARRO ARMADO SENCILLO")</f>
        <v>CARRO ARMADO SENCILLO</v>
      </c>
      <c r="AT273" s="71">
        <f>IFERROR(__xludf.DUMMYFUNCTION("""COMPUTED_VALUE"""),21.0)</f>
        <v>21</v>
      </c>
      <c r="AU273" s="71"/>
      <c r="AV273" s="71"/>
      <c r="AW273" s="71"/>
      <c r="AX273" s="71"/>
      <c r="AY273" s="71">
        <f>IFERROR(__xludf.DUMMYFUNCTION("""COMPUTED_VALUE"""),1403.0)</f>
        <v>1403</v>
      </c>
      <c r="AZ273" s="71">
        <f>IFERROR(__xludf.DUMMYFUNCTION("""COMPUTED_VALUE"""),1515.0)</f>
        <v>1515</v>
      </c>
      <c r="BA273" s="71">
        <f>IFERROR(__xludf.DUMMYFUNCTION("""COMPUTED_VALUE"""),1636.2)</f>
        <v>1636.2</v>
      </c>
      <c r="BB273" s="71">
        <f>IFERROR(__xludf.DUMMYFUNCTION("""COMPUTED_VALUE"""),1636.2)</f>
        <v>1636.2</v>
      </c>
      <c r="BC273" s="71">
        <f>IFERROR(__xludf.DUMMYFUNCTION("""COMPUTED_VALUE"""),1822.0)</f>
        <v>1822</v>
      </c>
      <c r="BD273" s="71">
        <f>IFERROR(__xludf.DUMMYFUNCTION("""COMPUTED_VALUE"""),1913.0)</f>
        <v>1913</v>
      </c>
      <c r="BE273" s="71">
        <f>IFERROR(__xludf.DUMMYFUNCTION("""COMPUTED_VALUE"""),306.08)</f>
        <v>306.08</v>
      </c>
      <c r="BF273" s="71">
        <f>IFERROR(__xludf.DUMMYFUNCTION("""COMPUTED_VALUE"""),2219.08)</f>
        <v>2219.08</v>
      </c>
      <c r="BG273" s="71">
        <f>IFERROR(__xludf.DUMMYFUNCTION("""COMPUTED_VALUE"""),0.049945115257958285)</f>
        <v>0.04994511526</v>
      </c>
      <c r="BH273" s="71">
        <f>IFERROR(__xludf.DUMMYFUNCTION("""COMPUTED_VALUE"""),1817.35)</f>
        <v>1817.35</v>
      </c>
      <c r="BI273" s="71">
        <f>IFERROR(__xludf.DUMMYFUNCTION("""COMPUTED_VALUE"""),290.776)</f>
        <v>290.776</v>
      </c>
      <c r="BJ273" s="71">
        <f>IFERROR(__xludf.DUMMYFUNCTION("""COMPUTED_VALUE"""),2108.1259999999997)</f>
        <v>2108.126</v>
      </c>
      <c r="BK273" s="71">
        <f>IFERROR(__xludf.DUMMYFUNCTION("""COMPUTED_VALUE"""),1721.7)</f>
        <v>1721.7</v>
      </c>
      <c r="BL273" s="71">
        <f>IFERROR(__xludf.DUMMYFUNCTION("""COMPUTED_VALUE"""),275.47200000000004)</f>
        <v>275.472</v>
      </c>
      <c r="BM273" s="71">
        <f>IFERROR(__xludf.DUMMYFUNCTION("""COMPUTED_VALUE"""),1997.172)</f>
        <v>1997.172</v>
      </c>
      <c r="BN273" s="71">
        <f>IFERROR(__xludf.DUMMYFUNCTION("""COMPUTED_VALUE"""),1626.05)</f>
        <v>1626.05</v>
      </c>
      <c r="BO273" s="71">
        <f>IFERROR(__xludf.DUMMYFUNCTION("""COMPUTED_VALUE"""),260.168)</f>
        <v>260.168</v>
      </c>
      <c r="BP273" s="71">
        <f>IFERROR(__xludf.DUMMYFUNCTION("""COMPUTED_VALUE"""),1886.2179999999998)</f>
        <v>1886.218</v>
      </c>
      <c r="BQ273" s="71">
        <f>IFERROR(__xludf.DUMMYFUNCTION("""COMPUTED_VALUE"""),1587.79)</f>
        <v>1587.79</v>
      </c>
      <c r="BR273" s="71">
        <f>IFERROR(__xludf.DUMMYFUNCTION("""COMPUTED_VALUE"""),254.0464)</f>
        <v>254.0464</v>
      </c>
      <c r="BS273" s="71">
        <f>IFERROR(__xludf.DUMMYFUNCTION("""COMPUTED_VALUE"""),1841.8364)</f>
        <v>1841.8364</v>
      </c>
      <c r="BT273" s="71">
        <f>IFERROR(__xludf.DUMMYFUNCTION("""COMPUTED_VALUE"""),1530.4)</f>
        <v>1530.4</v>
      </c>
      <c r="BU273" s="71">
        <f>IFERROR(__xludf.DUMMYFUNCTION("""COMPUTED_VALUE"""),244.86400000000003)</f>
        <v>244.864</v>
      </c>
      <c r="BV273" s="71">
        <f>IFERROR(__xludf.DUMMYFUNCTION("""COMPUTED_VALUE"""),1775.2640000000001)</f>
        <v>1775.264</v>
      </c>
    </row>
    <row r="274">
      <c r="A274" s="53"/>
      <c r="B274" s="53"/>
      <c r="C274" s="73" t="s">
        <v>603</v>
      </c>
      <c r="D274" s="53" t="s">
        <v>674</v>
      </c>
      <c r="E274" s="54" t="s">
        <v>38</v>
      </c>
      <c r="F274" s="54" t="s">
        <v>42</v>
      </c>
      <c r="G274" s="55" t="s">
        <v>675</v>
      </c>
      <c r="H274" s="54" t="s">
        <v>676</v>
      </c>
      <c r="I274" s="54">
        <f t="shared" si="1"/>
        <v>38</v>
      </c>
      <c r="J274" s="56"/>
      <c r="K274" s="57"/>
      <c r="L274" s="76"/>
      <c r="M274" s="59"/>
      <c r="N274" s="79">
        <v>8063.0</v>
      </c>
      <c r="O274" s="61">
        <v>7277.0</v>
      </c>
      <c r="P274" s="63">
        <v>7859.160000000001</v>
      </c>
      <c r="Q274" s="63">
        <v>7859.160000000001</v>
      </c>
      <c r="R274" s="78">
        <v>10259.0</v>
      </c>
      <c r="S274" s="111">
        <v>10772.0</v>
      </c>
      <c r="T274" s="65">
        <f t="shared" si="2"/>
        <v>1723.52</v>
      </c>
      <c r="U274" s="65">
        <f t="shared" si="3"/>
        <v>12495.52</v>
      </c>
      <c r="V274" s="66">
        <f t="shared" si="4"/>
        <v>0.05000487377</v>
      </c>
      <c r="W274" s="67">
        <f t="shared" si="5"/>
        <v>10233.4</v>
      </c>
      <c r="X274" s="67">
        <f t="shared" si="6"/>
        <v>1637.344</v>
      </c>
      <c r="Y274" s="67">
        <f t="shared" si="7"/>
        <v>11870.744</v>
      </c>
      <c r="Z274" s="67">
        <f t="shared" si="8"/>
        <v>9694.8</v>
      </c>
      <c r="AA274" s="67">
        <f t="shared" si="9"/>
        <v>1551.168</v>
      </c>
      <c r="AB274" s="67">
        <f t="shared" si="10"/>
        <v>11245.968</v>
      </c>
      <c r="AC274" s="67">
        <f t="shared" si="11"/>
        <v>9156.2</v>
      </c>
      <c r="AD274" s="67">
        <f t="shared" si="12"/>
        <v>1464.992</v>
      </c>
      <c r="AE274" s="67">
        <f t="shared" si="13"/>
        <v>10621.192</v>
      </c>
      <c r="AF274" s="67">
        <f t="shared" si="14"/>
        <v>8940.76</v>
      </c>
      <c r="AG274" s="67">
        <f t="shared" si="15"/>
        <v>1430.5216</v>
      </c>
      <c r="AH274" s="67">
        <f t="shared" si="16"/>
        <v>10371.2816</v>
      </c>
      <c r="AI274" s="67">
        <f t="shared" si="17"/>
        <v>8617.6</v>
      </c>
      <c r="AJ274" s="68">
        <f t="shared" si="20"/>
        <v>1378.816</v>
      </c>
      <c r="AK274" s="68">
        <f t="shared" si="21"/>
        <v>9996.416</v>
      </c>
      <c r="AL274" s="70">
        <f>IFERROR(__xludf.DUMMYFUNCTION("""COMPUTED_VALUE"""),1.0)</f>
        <v>1</v>
      </c>
      <c r="AM274" s="70"/>
      <c r="AN274" s="71" t="str">
        <f>IFERROR(__xludf.DUMMYFUNCTION("""COMPUTED_VALUE""")," P")</f>
        <v>P</v>
      </c>
      <c r="AO274" s="71" t="str">
        <f>IFERROR(__xludf.DUMMYFUNCTION("""COMPUTED_VALUE""")," CM03")</f>
        <v>CM03</v>
      </c>
      <c r="AP274" s="71" t="str">
        <f>IFERROR(__xludf.DUMMYFUNCTION("""COMPUTED_VALUE""")," PZA")</f>
        <v>PZA</v>
      </c>
      <c r="AQ274" s="71" t="str">
        <f>IFERROR(__xludf.DUMMYFUNCTION("""COMPUTED_VALUE""")," REF")</f>
        <v>REF</v>
      </c>
      <c r="AR274" s="71" t="str">
        <f>IFERROR(__xludf.DUMMYFUNCTION("""COMPUTED_VALUE""")," CARRO ARMADO SENCILLO TIPO PUEBLA")</f>
        <v>CARRO ARMADO SENCILLO TIPO PUEBLA</v>
      </c>
      <c r="AS274" s="71" t="str">
        <f>IFERROR(__xludf.DUMMYFUNCTION("""COMPUTED_VALUE""")," CARRO ARMADO SENCILLO TIPO PUEBLA")</f>
        <v>CARRO ARMADO SENCILLO TIPO PUEBLA</v>
      </c>
      <c r="AT274" s="71">
        <f>IFERROR(__xludf.DUMMYFUNCTION("""COMPUTED_VALUE"""),33.0)</f>
        <v>33</v>
      </c>
      <c r="AU274" s="71"/>
      <c r="AV274" s="71"/>
      <c r="AW274" s="71"/>
      <c r="AX274" s="71"/>
      <c r="AY274" s="71">
        <f>IFERROR(__xludf.DUMMYFUNCTION("""COMPUTED_VALUE"""),1424.0)</f>
        <v>1424</v>
      </c>
      <c r="AZ274" s="71">
        <f>IFERROR(__xludf.DUMMYFUNCTION("""COMPUTED_VALUE"""),1537.0)</f>
        <v>1537</v>
      </c>
      <c r="BA274" s="71">
        <f>IFERROR(__xludf.DUMMYFUNCTION("""COMPUTED_VALUE"""),1659.96)</f>
        <v>1659.96</v>
      </c>
      <c r="BB274" s="71">
        <f>IFERROR(__xludf.DUMMYFUNCTION("""COMPUTED_VALUE"""),1659.96)</f>
        <v>1659.96</v>
      </c>
      <c r="BC274" s="71">
        <f>IFERROR(__xludf.DUMMYFUNCTION("""COMPUTED_VALUE"""),1848.0)</f>
        <v>1848</v>
      </c>
      <c r="BD274" s="71">
        <f>IFERROR(__xludf.DUMMYFUNCTION("""COMPUTED_VALUE"""),1940.0)</f>
        <v>1940</v>
      </c>
      <c r="BE274" s="71">
        <f>IFERROR(__xludf.DUMMYFUNCTION("""COMPUTED_VALUE"""),310.40000000000003)</f>
        <v>310.4</v>
      </c>
      <c r="BF274" s="71">
        <f>IFERROR(__xludf.DUMMYFUNCTION("""COMPUTED_VALUE"""),2250.4)</f>
        <v>2250.4</v>
      </c>
      <c r="BG274" s="71">
        <f>IFERROR(__xludf.DUMMYFUNCTION("""COMPUTED_VALUE"""),0.049783549783549784)</f>
        <v>0.04978354978</v>
      </c>
      <c r="BH274" s="71">
        <f>IFERROR(__xludf.DUMMYFUNCTION("""COMPUTED_VALUE"""),1843.0)</f>
        <v>1843</v>
      </c>
      <c r="BI274" s="71">
        <f>IFERROR(__xludf.DUMMYFUNCTION("""COMPUTED_VALUE"""),294.88)</f>
        <v>294.88</v>
      </c>
      <c r="BJ274" s="71">
        <f>IFERROR(__xludf.DUMMYFUNCTION("""COMPUTED_VALUE"""),2137.88)</f>
        <v>2137.88</v>
      </c>
      <c r="BK274" s="71">
        <f>IFERROR(__xludf.DUMMYFUNCTION("""COMPUTED_VALUE"""),1746.0)</f>
        <v>1746</v>
      </c>
      <c r="BL274" s="71">
        <f>IFERROR(__xludf.DUMMYFUNCTION("""COMPUTED_VALUE"""),279.36)</f>
        <v>279.36</v>
      </c>
      <c r="BM274" s="71">
        <f>IFERROR(__xludf.DUMMYFUNCTION("""COMPUTED_VALUE"""),2025.3600000000001)</f>
        <v>2025.36</v>
      </c>
      <c r="BN274" s="71">
        <f>IFERROR(__xludf.DUMMYFUNCTION("""COMPUTED_VALUE"""),1649.0)</f>
        <v>1649</v>
      </c>
      <c r="BO274" s="71">
        <f>IFERROR(__xludf.DUMMYFUNCTION("""COMPUTED_VALUE"""),263.84000000000003)</f>
        <v>263.84</v>
      </c>
      <c r="BP274" s="71">
        <f>IFERROR(__xludf.DUMMYFUNCTION("""COMPUTED_VALUE"""),1912.8400000000001)</f>
        <v>1912.84</v>
      </c>
      <c r="BQ274" s="71">
        <f>IFERROR(__xludf.DUMMYFUNCTION("""COMPUTED_VALUE"""),1610.1999999999998)</f>
        <v>1610.2</v>
      </c>
      <c r="BR274" s="71">
        <f>IFERROR(__xludf.DUMMYFUNCTION("""COMPUTED_VALUE"""),257.63199999999995)</f>
        <v>257.632</v>
      </c>
      <c r="BS274" s="71">
        <f>IFERROR(__xludf.DUMMYFUNCTION("""COMPUTED_VALUE"""),1867.8319999999999)</f>
        <v>1867.832</v>
      </c>
      <c r="BT274" s="71">
        <f>IFERROR(__xludf.DUMMYFUNCTION("""COMPUTED_VALUE"""),1552.0)</f>
        <v>1552</v>
      </c>
      <c r="BU274" s="71">
        <f>IFERROR(__xludf.DUMMYFUNCTION("""COMPUTED_VALUE"""),248.32)</f>
        <v>248.32</v>
      </c>
      <c r="BV274" s="71">
        <f>IFERROR(__xludf.DUMMYFUNCTION("""COMPUTED_VALUE"""),1800.32)</f>
        <v>1800.32</v>
      </c>
    </row>
    <row r="275">
      <c r="A275" s="53">
        <v>1.0</v>
      </c>
      <c r="B275" s="72"/>
      <c r="C275" s="73" t="s">
        <v>603</v>
      </c>
      <c r="D275" s="74" t="s">
        <v>677</v>
      </c>
      <c r="E275" s="55" t="s">
        <v>38</v>
      </c>
      <c r="F275" s="54" t="s">
        <v>42</v>
      </c>
      <c r="G275" s="55" t="s">
        <v>678</v>
      </c>
      <c r="H275" s="54" t="s">
        <v>679</v>
      </c>
      <c r="I275" s="54">
        <f t="shared" si="1"/>
        <v>37</v>
      </c>
      <c r="J275" s="56"/>
      <c r="K275" s="57"/>
      <c r="L275" s="87"/>
      <c r="M275" s="59"/>
      <c r="N275" s="60">
        <v>3873.0</v>
      </c>
      <c r="O275" s="61">
        <v>3495.0</v>
      </c>
      <c r="P275" s="62">
        <v>3774.6000000000004</v>
      </c>
      <c r="Q275" s="63">
        <v>3774.6000000000004</v>
      </c>
      <c r="R275" s="64">
        <v>4203.0</v>
      </c>
      <c r="S275" s="111">
        <v>4413.0</v>
      </c>
      <c r="T275" s="65">
        <f t="shared" si="2"/>
        <v>706.08</v>
      </c>
      <c r="U275" s="65">
        <f t="shared" si="3"/>
        <v>5119.08</v>
      </c>
      <c r="V275" s="66">
        <f t="shared" si="4"/>
        <v>0.04996431121</v>
      </c>
      <c r="W275" s="67">
        <f t="shared" si="5"/>
        <v>4192.35</v>
      </c>
      <c r="X275" s="67">
        <f t="shared" si="6"/>
        <v>670.776</v>
      </c>
      <c r="Y275" s="67">
        <f t="shared" si="7"/>
        <v>4863.126</v>
      </c>
      <c r="Z275" s="67">
        <f t="shared" si="8"/>
        <v>3971.7</v>
      </c>
      <c r="AA275" s="67">
        <f t="shared" si="9"/>
        <v>635.472</v>
      </c>
      <c r="AB275" s="67">
        <f t="shared" si="10"/>
        <v>4607.172</v>
      </c>
      <c r="AC275" s="67">
        <f t="shared" si="11"/>
        <v>3751.05</v>
      </c>
      <c r="AD275" s="67">
        <f t="shared" si="12"/>
        <v>600.168</v>
      </c>
      <c r="AE275" s="67">
        <f t="shared" si="13"/>
        <v>4351.218</v>
      </c>
      <c r="AF275" s="67">
        <f t="shared" si="14"/>
        <v>3662.79</v>
      </c>
      <c r="AG275" s="67">
        <f t="shared" si="15"/>
        <v>586.0464</v>
      </c>
      <c r="AH275" s="67">
        <f t="shared" si="16"/>
        <v>4248.8364</v>
      </c>
      <c r="AI275" s="67">
        <f t="shared" si="17"/>
        <v>3530.4</v>
      </c>
      <c r="AJ275" s="68">
        <f t="shared" si="20"/>
        <v>564.864</v>
      </c>
      <c r="AK275" s="68">
        <f t="shared" si="21"/>
        <v>4095.264</v>
      </c>
      <c r="AL275" s="70">
        <f>IFERROR(__xludf.DUMMYFUNCTION("""COMPUTED_VALUE"""),1.0)</f>
        <v>1</v>
      </c>
      <c r="AM275" s="70"/>
      <c r="AN275" s="71" t="str">
        <f>IFERROR(__xludf.DUMMYFUNCTION("""COMPUTED_VALUE""")," P")</f>
        <v>P</v>
      </c>
      <c r="AO275" s="71" t="str">
        <f>IFERROR(__xludf.DUMMYFUNCTION("""COMPUTED_VALUE""")," CM04")</f>
        <v>CM04</v>
      </c>
      <c r="AP275" s="71" t="str">
        <f>IFERROR(__xludf.DUMMYFUNCTION("""COMPUTED_VALUE""")," PZA")</f>
        <v>PZA</v>
      </c>
      <c r="AQ275" s="71" t="str">
        <f>IFERROR(__xludf.DUMMYFUNCTION("""COMPUTED_VALUE""")," REF")</f>
        <v>REF</v>
      </c>
      <c r="AR275" s="71" t="str">
        <f>IFERROR(__xludf.DUMMYFUNCTION("""COMPUTED_VALUE""")," CARRO SOLO DÚPLEX")</f>
        <v>CARRO SOLO DÚPLEX</v>
      </c>
      <c r="AS275" s="71" t="str">
        <f>IFERROR(__xludf.DUMMYFUNCTION("""COMPUTED_VALUE""")," CARRO SOLO DPLX")</f>
        <v>CARRO SOLO DPLX</v>
      </c>
      <c r="AT275" s="71">
        <f>IFERROR(__xludf.DUMMYFUNCTION("""COMPUTED_VALUE"""),15.0)</f>
        <v>15</v>
      </c>
      <c r="AU275" s="71"/>
      <c r="AV275" s="71"/>
      <c r="AW275" s="71"/>
      <c r="AX275" s="71"/>
      <c r="AY275" s="71">
        <f>IFERROR(__xludf.DUMMYFUNCTION("""COMPUTED_VALUE"""),1422.0)</f>
        <v>1422</v>
      </c>
      <c r="AZ275" s="71">
        <f>IFERROR(__xludf.DUMMYFUNCTION("""COMPUTED_VALUE"""),1535.0)</f>
        <v>1535</v>
      </c>
      <c r="BA275" s="71">
        <f>IFERROR(__xludf.DUMMYFUNCTION("""COMPUTED_VALUE"""),1657.8000000000002)</f>
        <v>1657.8</v>
      </c>
      <c r="BB275" s="71">
        <f>IFERROR(__xludf.DUMMYFUNCTION("""COMPUTED_VALUE"""),1657.8000000000002)</f>
        <v>1657.8</v>
      </c>
      <c r="BC275" s="71">
        <f>IFERROR(__xludf.DUMMYFUNCTION("""COMPUTED_VALUE"""),1846.0)</f>
        <v>1846</v>
      </c>
      <c r="BD275" s="71">
        <f>IFERROR(__xludf.DUMMYFUNCTION("""COMPUTED_VALUE"""),1938.0)</f>
        <v>1938</v>
      </c>
      <c r="BE275" s="71">
        <f>IFERROR(__xludf.DUMMYFUNCTION("""COMPUTED_VALUE"""),310.08)</f>
        <v>310.08</v>
      </c>
      <c r="BF275" s="71">
        <f>IFERROR(__xludf.DUMMYFUNCTION("""COMPUTED_VALUE"""),2248.08)</f>
        <v>2248.08</v>
      </c>
      <c r="BG275" s="71">
        <f>IFERROR(__xludf.DUMMYFUNCTION("""COMPUTED_VALUE"""),0.04983748645720477)</f>
        <v>0.04983748646</v>
      </c>
      <c r="BH275" s="71">
        <f>IFERROR(__xludf.DUMMYFUNCTION("""COMPUTED_VALUE"""),1841.1)</f>
        <v>1841.1</v>
      </c>
      <c r="BI275" s="71">
        <f>IFERROR(__xludf.DUMMYFUNCTION("""COMPUTED_VALUE"""),294.57599999999996)</f>
        <v>294.576</v>
      </c>
      <c r="BJ275" s="71">
        <f>IFERROR(__xludf.DUMMYFUNCTION("""COMPUTED_VALUE"""),2135.676)</f>
        <v>2135.676</v>
      </c>
      <c r="BK275" s="71">
        <f>IFERROR(__xludf.DUMMYFUNCTION("""COMPUTED_VALUE"""),1744.2)</f>
        <v>1744.2</v>
      </c>
      <c r="BL275" s="71">
        <f>IFERROR(__xludf.DUMMYFUNCTION("""COMPUTED_VALUE"""),279.072)</f>
        <v>279.072</v>
      </c>
      <c r="BM275" s="71">
        <f>IFERROR(__xludf.DUMMYFUNCTION("""COMPUTED_VALUE"""),2023.272)</f>
        <v>2023.272</v>
      </c>
      <c r="BN275" s="71">
        <f>IFERROR(__xludf.DUMMYFUNCTION("""COMPUTED_VALUE"""),1647.3)</f>
        <v>1647.3</v>
      </c>
      <c r="BO275" s="71">
        <f>IFERROR(__xludf.DUMMYFUNCTION("""COMPUTED_VALUE"""),263.568)</f>
        <v>263.568</v>
      </c>
      <c r="BP275" s="71">
        <f>IFERROR(__xludf.DUMMYFUNCTION("""COMPUTED_VALUE"""),1910.868)</f>
        <v>1910.868</v>
      </c>
      <c r="BQ275" s="71">
        <f>IFERROR(__xludf.DUMMYFUNCTION("""COMPUTED_VALUE"""),1608.54)</f>
        <v>1608.54</v>
      </c>
      <c r="BR275" s="71">
        <f>IFERROR(__xludf.DUMMYFUNCTION("""COMPUTED_VALUE"""),257.3664)</f>
        <v>257.3664</v>
      </c>
      <c r="BS275" s="71">
        <f>IFERROR(__xludf.DUMMYFUNCTION("""COMPUTED_VALUE"""),1865.9063999999998)</f>
        <v>1865.9064</v>
      </c>
      <c r="BT275" s="71">
        <f>IFERROR(__xludf.DUMMYFUNCTION("""COMPUTED_VALUE"""),1550.4)</f>
        <v>1550.4</v>
      </c>
      <c r="BU275" s="71">
        <f>IFERROR(__xludf.DUMMYFUNCTION("""COMPUTED_VALUE"""),248.06400000000002)</f>
        <v>248.064</v>
      </c>
      <c r="BV275" s="71">
        <f>IFERROR(__xludf.DUMMYFUNCTION("""COMPUTED_VALUE"""),1798.4640000000002)</f>
        <v>1798.464</v>
      </c>
    </row>
    <row r="276">
      <c r="A276" s="53">
        <v>1.0</v>
      </c>
      <c r="B276" s="72"/>
      <c r="C276" s="73" t="s">
        <v>603</v>
      </c>
      <c r="D276" s="74" t="s">
        <v>680</v>
      </c>
      <c r="E276" s="55" t="s">
        <v>38</v>
      </c>
      <c r="F276" s="54" t="s">
        <v>42</v>
      </c>
      <c r="G276" s="55" t="s">
        <v>681</v>
      </c>
      <c r="H276" s="54" t="s">
        <v>682</v>
      </c>
      <c r="I276" s="54">
        <f t="shared" si="1"/>
        <v>39</v>
      </c>
      <c r="J276" s="56"/>
      <c r="K276" s="57"/>
      <c r="L276" s="87"/>
      <c r="M276" s="59"/>
      <c r="N276" s="60">
        <v>3908.0</v>
      </c>
      <c r="O276" s="61">
        <v>3527.0</v>
      </c>
      <c r="P276" s="62">
        <v>3809.1600000000003</v>
      </c>
      <c r="Q276" s="63">
        <v>3809.1600000000003</v>
      </c>
      <c r="R276" s="64">
        <v>4240.0</v>
      </c>
      <c r="S276" s="111">
        <v>4452.0</v>
      </c>
      <c r="T276" s="65">
        <f t="shared" si="2"/>
        <v>712.32</v>
      </c>
      <c r="U276" s="65">
        <f t="shared" si="3"/>
        <v>5164.32</v>
      </c>
      <c r="V276" s="66">
        <f t="shared" si="4"/>
        <v>0.05</v>
      </c>
      <c r="W276" s="67">
        <f t="shared" si="5"/>
        <v>4229.4</v>
      </c>
      <c r="X276" s="67">
        <f t="shared" si="6"/>
        <v>676.704</v>
      </c>
      <c r="Y276" s="67">
        <f t="shared" si="7"/>
        <v>4906.104</v>
      </c>
      <c r="Z276" s="67">
        <f t="shared" si="8"/>
        <v>4006.8</v>
      </c>
      <c r="AA276" s="67">
        <f t="shared" si="9"/>
        <v>641.088</v>
      </c>
      <c r="AB276" s="67">
        <f t="shared" si="10"/>
        <v>4647.888</v>
      </c>
      <c r="AC276" s="67">
        <f t="shared" si="11"/>
        <v>3784.2</v>
      </c>
      <c r="AD276" s="67">
        <f t="shared" si="12"/>
        <v>605.472</v>
      </c>
      <c r="AE276" s="67">
        <f t="shared" si="13"/>
        <v>4389.672</v>
      </c>
      <c r="AF276" s="67">
        <f t="shared" si="14"/>
        <v>3695.16</v>
      </c>
      <c r="AG276" s="67">
        <f t="shared" si="15"/>
        <v>591.2256</v>
      </c>
      <c r="AH276" s="67">
        <f t="shared" si="16"/>
        <v>4286.3856</v>
      </c>
      <c r="AI276" s="67">
        <f t="shared" si="17"/>
        <v>3561.6</v>
      </c>
      <c r="AJ276" s="68">
        <f t="shared" si="20"/>
        <v>569.856</v>
      </c>
      <c r="AK276" s="68">
        <f t="shared" si="21"/>
        <v>4131.456</v>
      </c>
      <c r="AL276" s="70">
        <f>IFERROR(__xludf.DUMMYFUNCTION("""COMPUTED_VALUE"""),1.0)</f>
        <v>1</v>
      </c>
      <c r="AM276" s="70"/>
      <c r="AN276" s="71" t="str">
        <f>IFERROR(__xludf.DUMMYFUNCTION("""COMPUTED_VALUE""")," P")</f>
        <v>P</v>
      </c>
      <c r="AO276" s="71" t="str">
        <f>IFERROR(__xludf.DUMMYFUNCTION("""COMPUTED_VALUE""")," CM05")</f>
        <v>CM05</v>
      </c>
      <c r="AP276" s="71" t="str">
        <f>IFERROR(__xludf.DUMMYFUNCTION("""COMPUTED_VALUE""")," PZA")</f>
        <v>PZA</v>
      </c>
      <c r="AQ276" s="71" t="str">
        <f>IFERROR(__xludf.DUMMYFUNCTION("""COMPUTED_VALUE""")," REF")</f>
        <v>REF</v>
      </c>
      <c r="AR276" s="71" t="str">
        <f>IFERROR(__xludf.DUMMYFUNCTION("""COMPUTED_VALUE""")," CARRO SOLO SENCILLO")</f>
        <v>CARRO SOLO SENCILLO</v>
      </c>
      <c r="AS276" s="71" t="str">
        <f>IFERROR(__xludf.DUMMYFUNCTION("""COMPUTED_VALUE""")," CARRO SOLO SENCILLO")</f>
        <v>CARRO SOLO SENCILLO</v>
      </c>
      <c r="AT276" s="71">
        <f>IFERROR(__xludf.DUMMYFUNCTION("""COMPUTED_VALUE"""),19.0)</f>
        <v>19</v>
      </c>
      <c r="AU276" s="71"/>
      <c r="AV276" s="71"/>
      <c r="AW276" s="71"/>
      <c r="AX276" s="71"/>
      <c r="AY276" s="71">
        <f>IFERROR(__xludf.DUMMYFUNCTION("""COMPUTED_VALUE"""),889.0)</f>
        <v>889</v>
      </c>
      <c r="AZ276" s="71">
        <f>IFERROR(__xludf.DUMMYFUNCTION("""COMPUTED_VALUE"""),960.0)</f>
        <v>960</v>
      </c>
      <c r="BA276" s="71">
        <f>IFERROR(__xludf.DUMMYFUNCTION("""COMPUTED_VALUE"""),1036.8000000000002)</f>
        <v>1036.8</v>
      </c>
      <c r="BB276" s="71">
        <f>IFERROR(__xludf.DUMMYFUNCTION("""COMPUTED_VALUE"""),1036.8000000000002)</f>
        <v>1036.8</v>
      </c>
      <c r="BC276" s="71">
        <f>IFERROR(__xludf.DUMMYFUNCTION("""COMPUTED_VALUE"""),1144.0)</f>
        <v>1144</v>
      </c>
      <c r="BD276" s="71">
        <f>IFERROR(__xludf.DUMMYFUNCTION("""COMPUTED_VALUE"""),1201.0)</f>
        <v>1201</v>
      </c>
      <c r="BE276" s="71">
        <f>IFERROR(__xludf.DUMMYFUNCTION("""COMPUTED_VALUE"""),192.16)</f>
        <v>192.16</v>
      </c>
      <c r="BF276" s="71">
        <f>IFERROR(__xludf.DUMMYFUNCTION("""COMPUTED_VALUE"""),1393.16)</f>
        <v>1393.16</v>
      </c>
      <c r="BG276" s="71">
        <f>IFERROR(__xludf.DUMMYFUNCTION("""COMPUTED_VALUE"""),0.049825174825174824)</f>
        <v>0.04982517483</v>
      </c>
      <c r="BH276" s="71">
        <f>IFERROR(__xludf.DUMMYFUNCTION("""COMPUTED_VALUE"""),1140.95)</f>
        <v>1140.95</v>
      </c>
      <c r="BI276" s="71">
        <f>IFERROR(__xludf.DUMMYFUNCTION("""COMPUTED_VALUE"""),182.55200000000002)</f>
        <v>182.552</v>
      </c>
      <c r="BJ276" s="71">
        <f>IFERROR(__xludf.DUMMYFUNCTION("""COMPUTED_VALUE"""),1323.502)</f>
        <v>1323.502</v>
      </c>
      <c r="BK276" s="71">
        <f>IFERROR(__xludf.DUMMYFUNCTION("""COMPUTED_VALUE"""),1080.9)</f>
        <v>1080.9</v>
      </c>
      <c r="BL276" s="71">
        <f>IFERROR(__xludf.DUMMYFUNCTION("""COMPUTED_VALUE"""),172.94400000000002)</f>
        <v>172.944</v>
      </c>
      <c r="BM276" s="71">
        <f>IFERROR(__xludf.DUMMYFUNCTION("""COMPUTED_VALUE"""),1253.844)</f>
        <v>1253.844</v>
      </c>
      <c r="BN276" s="71">
        <f>IFERROR(__xludf.DUMMYFUNCTION("""COMPUTED_VALUE"""),1020.85)</f>
        <v>1020.85</v>
      </c>
      <c r="BO276" s="71">
        <f>IFERROR(__xludf.DUMMYFUNCTION("""COMPUTED_VALUE"""),163.336)</f>
        <v>163.336</v>
      </c>
      <c r="BP276" s="71">
        <f>IFERROR(__xludf.DUMMYFUNCTION("""COMPUTED_VALUE"""),1184.1860000000001)</f>
        <v>1184.186</v>
      </c>
      <c r="BQ276" s="71">
        <f>IFERROR(__xludf.DUMMYFUNCTION("""COMPUTED_VALUE"""),996.8299999999999)</f>
        <v>996.83</v>
      </c>
      <c r="BR276" s="71">
        <f>IFERROR(__xludf.DUMMYFUNCTION("""COMPUTED_VALUE"""),159.4928)</f>
        <v>159.4928</v>
      </c>
      <c r="BS276" s="71">
        <f>IFERROR(__xludf.DUMMYFUNCTION("""COMPUTED_VALUE"""),1156.3228)</f>
        <v>1156.3228</v>
      </c>
      <c r="BT276" s="71">
        <f>IFERROR(__xludf.DUMMYFUNCTION("""COMPUTED_VALUE"""),960.8000000000001)</f>
        <v>960.8</v>
      </c>
      <c r="BU276" s="71">
        <f>IFERROR(__xludf.DUMMYFUNCTION("""COMPUTED_VALUE"""),153.728)</f>
        <v>153.728</v>
      </c>
      <c r="BV276" s="71">
        <f>IFERROR(__xludf.DUMMYFUNCTION("""COMPUTED_VALUE"""),1114.528)</f>
        <v>1114.528</v>
      </c>
    </row>
    <row r="277">
      <c r="A277" s="53"/>
      <c r="B277" s="53"/>
      <c r="C277" s="73" t="s">
        <v>603</v>
      </c>
      <c r="D277" s="53" t="s">
        <v>683</v>
      </c>
      <c r="E277" s="54" t="s">
        <v>38</v>
      </c>
      <c r="F277" s="55" t="s">
        <v>309</v>
      </c>
      <c r="G277" s="55" t="s">
        <v>684</v>
      </c>
      <c r="H277" s="54" t="s">
        <v>685</v>
      </c>
      <c r="I277" s="54">
        <f t="shared" si="1"/>
        <v>39</v>
      </c>
      <c r="J277" s="56"/>
      <c r="K277" s="57"/>
      <c r="L277" s="76"/>
      <c r="M277" s="59"/>
      <c r="N277" s="60"/>
      <c r="O277" s="61">
        <v>3908.0</v>
      </c>
      <c r="P277" s="62">
        <v>4220.64</v>
      </c>
      <c r="Q277" s="63">
        <v>4220.64</v>
      </c>
      <c r="R277" s="64">
        <v>4452.0</v>
      </c>
      <c r="S277" s="111">
        <v>4675.0</v>
      </c>
      <c r="T277" s="65">
        <f t="shared" si="2"/>
        <v>748</v>
      </c>
      <c r="U277" s="65">
        <f t="shared" si="3"/>
        <v>5423</v>
      </c>
      <c r="V277" s="66">
        <f t="shared" si="4"/>
        <v>0.05008984726</v>
      </c>
      <c r="W277" s="67">
        <f t="shared" si="5"/>
        <v>4441.25</v>
      </c>
      <c r="X277" s="67">
        <f t="shared" si="6"/>
        <v>710.6</v>
      </c>
      <c r="Y277" s="67">
        <f t="shared" si="7"/>
        <v>5151.85</v>
      </c>
      <c r="Z277" s="67">
        <f t="shared" si="8"/>
        <v>4207.5</v>
      </c>
      <c r="AA277" s="67">
        <f t="shared" si="9"/>
        <v>673.2</v>
      </c>
      <c r="AB277" s="67">
        <f t="shared" si="10"/>
        <v>4880.7</v>
      </c>
      <c r="AC277" s="67">
        <f t="shared" si="11"/>
        <v>3973.75</v>
      </c>
      <c r="AD277" s="67">
        <f t="shared" si="12"/>
        <v>635.8</v>
      </c>
      <c r="AE277" s="67">
        <f t="shared" si="13"/>
        <v>4609.55</v>
      </c>
      <c r="AF277" s="67">
        <f t="shared" si="14"/>
        <v>3880.25</v>
      </c>
      <c r="AG277" s="67">
        <f t="shared" si="15"/>
        <v>620.84</v>
      </c>
      <c r="AH277" s="67">
        <f t="shared" si="16"/>
        <v>4501.09</v>
      </c>
      <c r="AI277" s="67">
        <f t="shared" si="17"/>
        <v>3740</v>
      </c>
      <c r="AJ277" s="68">
        <f t="shared" si="20"/>
        <v>598.4</v>
      </c>
      <c r="AK277" s="68">
        <f t="shared" si="21"/>
        <v>4338.4</v>
      </c>
      <c r="AL277" s="70">
        <f>IFERROR(__xludf.DUMMYFUNCTION("""COMPUTED_VALUE"""),1.0)</f>
        <v>1</v>
      </c>
      <c r="AM277" s="70"/>
      <c r="AN277" s="71" t="str">
        <f>IFERROR(__xludf.DUMMYFUNCTION("""COMPUTED_VALUE""")," P")</f>
        <v>P</v>
      </c>
      <c r="AO277" s="71" t="str">
        <f>IFERROR(__xludf.DUMMYFUNCTION("""COMPUTED_VALUE""")," CM06")</f>
        <v>CM06</v>
      </c>
      <c r="AP277" s="71" t="str">
        <f>IFERROR(__xludf.DUMMYFUNCTION("""COMPUTED_VALUE""")," PZA")</f>
        <v>PZA</v>
      </c>
      <c r="AQ277" s="71" t="str">
        <f>IFERROR(__xludf.DUMMYFUNCTION("""COMPUTED_VALUE""")," REF")</f>
        <v>REF</v>
      </c>
      <c r="AR277" s="71" t="str">
        <f>IFERROR(__xludf.DUMMYFUNCTION("""COMPUTED_VALUE""")," CARRO SOLO SENCILLO TIPO PUEBLA")</f>
        <v>CARRO SOLO SENCILLO TIPO PUEBLA</v>
      </c>
      <c r="AS277" s="71" t="str">
        <f>IFERROR(__xludf.DUMMYFUNCTION("""COMPUTED_VALUE""")," CARRO SOLO SENCILLO TIPO PUEBLA")</f>
        <v>CARRO SOLO SENCILLO TIPO PUEBLA</v>
      </c>
      <c r="AT277" s="71">
        <f>IFERROR(__xludf.DUMMYFUNCTION("""COMPUTED_VALUE"""),31.0)</f>
        <v>31</v>
      </c>
      <c r="AU277" s="71"/>
      <c r="AV277" s="71"/>
      <c r="AW277" s="71"/>
      <c r="AX277" s="71"/>
      <c r="AY277" s="71">
        <f>IFERROR(__xludf.DUMMYFUNCTION("""COMPUTED_VALUE"""),947.0)</f>
        <v>947</v>
      </c>
      <c r="AZ277" s="71">
        <f>IFERROR(__xludf.DUMMYFUNCTION("""COMPUTED_VALUE"""),1022.0)</f>
        <v>1022</v>
      </c>
      <c r="BA277" s="71">
        <f>IFERROR(__xludf.DUMMYFUNCTION("""COMPUTED_VALUE"""),1103.76)</f>
        <v>1103.76</v>
      </c>
      <c r="BB277" s="71">
        <f>IFERROR(__xludf.DUMMYFUNCTION("""COMPUTED_VALUE"""),1103.76)</f>
        <v>1103.76</v>
      </c>
      <c r="BC277" s="71">
        <f>IFERROR(__xludf.DUMMYFUNCTION("""COMPUTED_VALUE"""),1217.0)</f>
        <v>1217</v>
      </c>
      <c r="BD277" s="71">
        <f>IFERROR(__xludf.DUMMYFUNCTION("""COMPUTED_VALUE"""),1278.0)</f>
        <v>1278</v>
      </c>
      <c r="BE277" s="71">
        <f>IFERROR(__xludf.DUMMYFUNCTION("""COMPUTED_VALUE"""),204.48000000000002)</f>
        <v>204.48</v>
      </c>
      <c r="BF277" s="71">
        <f>IFERROR(__xludf.DUMMYFUNCTION("""COMPUTED_VALUE"""),1482.48)</f>
        <v>1482.48</v>
      </c>
      <c r="BG277" s="71">
        <f>IFERROR(__xludf.DUMMYFUNCTION("""COMPUTED_VALUE"""),0.05012325390304026)</f>
        <v>0.0501232539</v>
      </c>
      <c r="BH277" s="71">
        <f>IFERROR(__xludf.DUMMYFUNCTION("""COMPUTED_VALUE"""),1214.1)</f>
        <v>1214.1</v>
      </c>
      <c r="BI277" s="71">
        <f>IFERROR(__xludf.DUMMYFUNCTION("""COMPUTED_VALUE"""),194.256)</f>
        <v>194.256</v>
      </c>
      <c r="BJ277" s="71">
        <f>IFERROR(__xludf.DUMMYFUNCTION("""COMPUTED_VALUE"""),1408.356)</f>
        <v>1408.356</v>
      </c>
      <c r="BK277" s="71">
        <f>IFERROR(__xludf.DUMMYFUNCTION("""COMPUTED_VALUE"""),1150.2)</f>
        <v>1150.2</v>
      </c>
      <c r="BL277" s="71">
        <f>IFERROR(__xludf.DUMMYFUNCTION("""COMPUTED_VALUE"""),184.032)</f>
        <v>184.032</v>
      </c>
      <c r="BM277" s="71">
        <f>IFERROR(__xludf.DUMMYFUNCTION("""COMPUTED_VALUE"""),1334.232)</f>
        <v>1334.232</v>
      </c>
      <c r="BN277" s="71">
        <f>IFERROR(__xludf.DUMMYFUNCTION("""COMPUTED_VALUE"""),1086.3)</f>
        <v>1086.3</v>
      </c>
      <c r="BO277" s="71">
        <f>IFERROR(__xludf.DUMMYFUNCTION("""COMPUTED_VALUE"""),173.808)</f>
        <v>173.808</v>
      </c>
      <c r="BP277" s="71">
        <f>IFERROR(__xludf.DUMMYFUNCTION("""COMPUTED_VALUE"""),1260.108)</f>
        <v>1260.108</v>
      </c>
      <c r="BQ277" s="71">
        <f>IFERROR(__xludf.DUMMYFUNCTION("""COMPUTED_VALUE"""),1060.74)</f>
        <v>1060.74</v>
      </c>
      <c r="BR277" s="71">
        <f>IFERROR(__xludf.DUMMYFUNCTION("""COMPUTED_VALUE"""),169.7184)</f>
        <v>169.7184</v>
      </c>
      <c r="BS277" s="71">
        <f>IFERROR(__xludf.DUMMYFUNCTION("""COMPUTED_VALUE"""),1230.4584)</f>
        <v>1230.4584</v>
      </c>
      <c r="BT277" s="71">
        <f>IFERROR(__xludf.DUMMYFUNCTION("""COMPUTED_VALUE"""),1022.4000000000001)</f>
        <v>1022.4</v>
      </c>
      <c r="BU277" s="71">
        <f>IFERROR(__xludf.DUMMYFUNCTION("""COMPUTED_VALUE"""),163.58400000000003)</f>
        <v>163.584</v>
      </c>
      <c r="BV277" s="71">
        <f>IFERROR(__xludf.DUMMYFUNCTION("""COMPUTED_VALUE"""),1185.9840000000002)</f>
        <v>1185.984</v>
      </c>
    </row>
    <row r="278">
      <c r="A278" s="53">
        <v>1.0</v>
      </c>
      <c r="B278" s="72"/>
      <c r="C278" s="73" t="s">
        <v>603</v>
      </c>
      <c r="D278" s="74" t="s">
        <v>686</v>
      </c>
      <c r="E278" s="55" t="s">
        <v>38</v>
      </c>
      <c r="F278" s="54" t="s">
        <v>42</v>
      </c>
      <c r="G278" s="55" t="s">
        <v>687</v>
      </c>
      <c r="H278" s="54" t="s">
        <v>688</v>
      </c>
      <c r="I278" s="54">
        <f t="shared" si="1"/>
        <v>36</v>
      </c>
      <c r="J278" s="56"/>
      <c r="K278" s="57"/>
      <c r="L278" s="87"/>
      <c r="M278" s="59"/>
      <c r="N278" s="60">
        <v>4386.0</v>
      </c>
      <c r="O278" s="61">
        <v>3959.0</v>
      </c>
      <c r="P278" s="62">
        <v>4275.72</v>
      </c>
      <c r="Q278" s="63">
        <v>4275.72</v>
      </c>
      <c r="R278" s="64">
        <v>4760.0</v>
      </c>
      <c r="S278" s="111">
        <v>4998.0</v>
      </c>
      <c r="T278" s="65">
        <f t="shared" si="2"/>
        <v>799.68</v>
      </c>
      <c r="U278" s="65">
        <f t="shared" si="3"/>
        <v>5797.68</v>
      </c>
      <c r="V278" s="66">
        <f t="shared" si="4"/>
        <v>0.05</v>
      </c>
      <c r="W278" s="67">
        <f t="shared" si="5"/>
        <v>4748.1</v>
      </c>
      <c r="X278" s="67">
        <f t="shared" si="6"/>
        <v>759.696</v>
      </c>
      <c r="Y278" s="67">
        <f t="shared" si="7"/>
        <v>5507.796</v>
      </c>
      <c r="Z278" s="67">
        <f t="shared" si="8"/>
        <v>4498.2</v>
      </c>
      <c r="AA278" s="67">
        <f t="shared" si="9"/>
        <v>719.712</v>
      </c>
      <c r="AB278" s="67">
        <f t="shared" si="10"/>
        <v>5217.912</v>
      </c>
      <c r="AC278" s="67">
        <f t="shared" si="11"/>
        <v>4248.3</v>
      </c>
      <c r="AD278" s="67">
        <f t="shared" si="12"/>
        <v>679.728</v>
      </c>
      <c r="AE278" s="67">
        <f t="shared" si="13"/>
        <v>4928.028</v>
      </c>
      <c r="AF278" s="67">
        <f t="shared" si="14"/>
        <v>4148.34</v>
      </c>
      <c r="AG278" s="67">
        <f t="shared" si="15"/>
        <v>663.7344</v>
      </c>
      <c r="AH278" s="67">
        <f t="shared" si="16"/>
        <v>4812.0744</v>
      </c>
      <c r="AI278" s="67">
        <f t="shared" si="17"/>
        <v>3998.4</v>
      </c>
      <c r="AJ278" s="68">
        <f t="shared" si="20"/>
        <v>639.744</v>
      </c>
      <c r="AK278" s="68">
        <f t="shared" si="21"/>
        <v>4638.144</v>
      </c>
      <c r="AL278" s="70">
        <f>IFERROR(__xludf.DUMMYFUNCTION("""COMPUTED_VALUE"""),1.0)</f>
        <v>1</v>
      </c>
      <c r="AM278" s="70"/>
      <c r="AN278" s="71" t="str">
        <f>IFERROR(__xludf.DUMMYFUNCTION("""COMPUTED_VALUE""")," P")</f>
        <v>P</v>
      </c>
      <c r="AO278" s="71" t="str">
        <f>IFERROR(__xludf.DUMMYFUNCTION("""COMPUTED_VALUE""")," CE02")</f>
        <v>CE02</v>
      </c>
      <c r="AP278" s="71" t="str">
        <f>IFERROR(__xludf.DUMMYFUNCTION("""COMPUTED_VALUE""")," PZA")</f>
        <v>PZA</v>
      </c>
      <c r="AQ278" s="71" t="str">
        <f>IFERROR(__xludf.DUMMYFUNCTION("""COMPUTED_VALUE""")," REF")</f>
        <v>REF</v>
      </c>
      <c r="AR278" s="71" t="str">
        <f>IFERROR(__xludf.DUMMYFUNCTION("""COMPUTED_VALUE""")," CARTER SENCILLO DE ACERO INOXIDABLE")</f>
        <v>CARTER SENCILLO DE ACERO INOXIDABLE</v>
      </c>
      <c r="AS278" s="71" t="str">
        <f>IFERROR(__xludf.DUMMYFUNCTION("""COMPUTED_VALUE""")," CARTER SENCILLO DE ACERO INOXIDABLE")</f>
        <v>CARTER SENCILLO DE ACERO INOXIDABLE</v>
      </c>
      <c r="AT278" s="71">
        <f>IFERROR(__xludf.DUMMYFUNCTION("""COMPUTED_VALUE"""),35.0)</f>
        <v>35</v>
      </c>
      <c r="AU278" s="71"/>
      <c r="AV278" s="71"/>
      <c r="AW278" s="71"/>
      <c r="AX278" s="71"/>
      <c r="AY278" s="71">
        <f>IFERROR(__xludf.DUMMYFUNCTION("""COMPUTED_VALUE"""),86.0)</f>
        <v>86</v>
      </c>
      <c r="AZ278" s="71">
        <f>IFERROR(__xludf.DUMMYFUNCTION("""COMPUTED_VALUE"""),92.0)</f>
        <v>92</v>
      </c>
      <c r="BA278" s="71">
        <f>IFERROR(__xludf.DUMMYFUNCTION("""COMPUTED_VALUE"""),99.36000000000001)</f>
        <v>99.36</v>
      </c>
      <c r="BB278" s="71">
        <f>IFERROR(__xludf.DUMMYFUNCTION("""COMPUTED_VALUE"""),99.36000000000001)</f>
        <v>99.36</v>
      </c>
      <c r="BC278" s="71">
        <f>IFERROR(__xludf.DUMMYFUNCTION("""COMPUTED_VALUE"""),112.0)</f>
        <v>112</v>
      </c>
      <c r="BD278" s="71">
        <f>IFERROR(__xludf.DUMMYFUNCTION("""COMPUTED_VALUE"""),118.0)</f>
        <v>118</v>
      </c>
      <c r="BE278" s="71">
        <f>IFERROR(__xludf.DUMMYFUNCTION("""COMPUTED_VALUE"""),18.88)</f>
        <v>18.88</v>
      </c>
      <c r="BF278" s="71">
        <f>IFERROR(__xludf.DUMMYFUNCTION("""COMPUTED_VALUE"""),136.88)</f>
        <v>136.88</v>
      </c>
      <c r="BG278" s="71">
        <f>IFERROR(__xludf.DUMMYFUNCTION("""COMPUTED_VALUE"""),0.05357142857142857)</f>
        <v>0.05357142857</v>
      </c>
      <c r="BH278" s="71">
        <f>IFERROR(__xludf.DUMMYFUNCTION("""COMPUTED_VALUE"""),112.1)</f>
        <v>112.1</v>
      </c>
      <c r="BI278" s="71">
        <f>IFERROR(__xludf.DUMMYFUNCTION("""COMPUTED_VALUE"""),17.936)</f>
        <v>17.936</v>
      </c>
      <c r="BJ278" s="71">
        <f>IFERROR(__xludf.DUMMYFUNCTION("""COMPUTED_VALUE"""),130.036)</f>
        <v>130.036</v>
      </c>
      <c r="BK278" s="71">
        <f>IFERROR(__xludf.DUMMYFUNCTION("""COMPUTED_VALUE"""),106.2)</f>
        <v>106.2</v>
      </c>
      <c r="BL278" s="71">
        <f>IFERROR(__xludf.DUMMYFUNCTION("""COMPUTED_VALUE"""),16.992)</f>
        <v>16.992</v>
      </c>
      <c r="BM278" s="71">
        <f>IFERROR(__xludf.DUMMYFUNCTION("""COMPUTED_VALUE"""),123.19200000000001)</f>
        <v>123.192</v>
      </c>
      <c r="BN278" s="71">
        <f>IFERROR(__xludf.DUMMYFUNCTION("""COMPUTED_VALUE"""),100.3)</f>
        <v>100.3</v>
      </c>
      <c r="BO278" s="71">
        <f>IFERROR(__xludf.DUMMYFUNCTION("""COMPUTED_VALUE"""),16.048)</f>
        <v>16.048</v>
      </c>
      <c r="BP278" s="71">
        <f>IFERROR(__xludf.DUMMYFUNCTION("""COMPUTED_VALUE"""),116.348)</f>
        <v>116.348</v>
      </c>
      <c r="BQ278" s="71">
        <f>IFERROR(__xludf.DUMMYFUNCTION("""COMPUTED_VALUE"""),97.94)</f>
        <v>97.94</v>
      </c>
      <c r="BR278" s="71">
        <f>IFERROR(__xludf.DUMMYFUNCTION("""COMPUTED_VALUE"""),15.6704)</f>
        <v>15.6704</v>
      </c>
      <c r="BS278" s="71">
        <f>IFERROR(__xludf.DUMMYFUNCTION("""COMPUTED_VALUE"""),113.6104)</f>
        <v>113.6104</v>
      </c>
      <c r="BT278" s="71">
        <f>IFERROR(__xludf.DUMMYFUNCTION("""COMPUTED_VALUE"""),94.4)</f>
        <v>94.4</v>
      </c>
      <c r="BU278" s="71">
        <f>IFERROR(__xludf.DUMMYFUNCTION("""COMPUTED_VALUE"""),15.104000000000001)</f>
        <v>15.104</v>
      </c>
      <c r="BV278" s="71">
        <f>IFERROR(__xludf.DUMMYFUNCTION("""COMPUTED_VALUE"""),109.504)</f>
        <v>109.504</v>
      </c>
    </row>
    <row r="279">
      <c r="A279" s="53">
        <v>1.0</v>
      </c>
      <c r="B279" s="72"/>
      <c r="C279" s="73" t="s">
        <v>603</v>
      </c>
      <c r="D279" s="74" t="s">
        <v>689</v>
      </c>
      <c r="E279" s="55" t="s">
        <v>38</v>
      </c>
      <c r="F279" s="54" t="s">
        <v>42</v>
      </c>
      <c r="G279" s="55" t="s">
        <v>690</v>
      </c>
      <c r="H279" s="54" t="s">
        <v>691</v>
      </c>
      <c r="I279" s="54">
        <f t="shared" si="1"/>
        <v>36</v>
      </c>
      <c r="J279" s="56"/>
      <c r="K279" s="57"/>
      <c r="L279" s="87"/>
      <c r="M279" s="59"/>
      <c r="N279" s="60">
        <v>3495.0</v>
      </c>
      <c r="O279" s="61">
        <v>3154.0</v>
      </c>
      <c r="P279" s="62">
        <v>3406.32</v>
      </c>
      <c r="Q279" s="63">
        <v>3406.32</v>
      </c>
      <c r="R279" s="64">
        <v>3792.0</v>
      </c>
      <c r="S279" s="111">
        <v>3982.0</v>
      </c>
      <c r="T279" s="65">
        <f t="shared" si="2"/>
        <v>637.12</v>
      </c>
      <c r="U279" s="65">
        <f t="shared" si="3"/>
        <v>4619.12</v>
      </c>
      <c r="V279" s="66">
        <f t="shared" si="4"/>
        <v>0.05010548523</v>
      </c>
      <c r="W279" s="67">
        <f t="shared" si="5"/>
        <v>3782.9</v>
      </c>
      <c r="X279" s="67">
        <f t="shared" si="6"/>
        <v>605.264</v>
      </c>
      <c r="Y279" s="67">
        <f t="shared" si="7"/>
        <v>4388.164</v>
      </c>
      <c r="Z279" s="67">
        <f t="shared" si="8"/>
        <v>3583.8</v>
      </c>
      <c r="AA279" s="67">
        <f t="shared" si="9"/>
        <v>573.408</v>
      </c>
      <c r="AB279" s="67">
        <f t="shared" si="10"/>
        <v>4157.208</v>
      </c>
      <c r="AC279" s="67">
        <f t="shared" si="11"/>
        <v>3384.7</v>
      </c>
      <c r="AD279" s="67">
        <f t="shared" si="12"/>
        <v>541.552</v>
      </c>
      <c r="AE279" s="67">
        <f t="shared" si="13"/>
        <v>3926.252</v>
      </c>
      <c r="AF279" s="67">
        <f t="shared" si="14"/>
        <v>3305.06</v>
      </c>
      <c r="AG279" s="67">
        <f t="shared" si="15"/>
        <v>528.8096</v>
      </c>
      <c r="AH279" s="67">
        <f t="shared" si="16"/>
        <v>3833.8696</v>
      </c>
      <c r="AI279" s="67">
        <f t="shared" si="17"/>
        <v>3185.6</v>
      </c>
      <c r="AJ279" s="68">
        <f t="shared" si="20"/>
        <v>509.696</v>
      </c>
      <c r="AK279" s="68">
        <f t="shared" si="21"/>
        <v>3695.296</v>
      </c>
      <c r="AL279" s="70">
        <f>IFERROR(__xludf.DUMMYFUNCTION("""COMPUTED_VALUE"""),1.0)</f>
        <v>1</v>
      </c>
      <c r="AM279" s="70"/>
      <c r="AN279" s="71" t="str">
        <f>IFERROR(__xludf.DUMMYFUNCTION("""COMPUTED_VALUE""")," P")</f>
        <v>P</v>
      </c>
      <c r="AO279" s="71" t="str">
        <f>IFERROR(__xludf.DUMMYFUNCTION("""COMPUTED_VALUE""")," CE01")</f>
        <v>CE01</v>
      </c>
      <c r="AP279" s="71" t="str">
        <f>IFERROR(__xludf.DUMMYFUNCTION("""COMPUTED_VALUE""")," PZA")</f>
        <v>PZA</v>
      </c>
      <c r="AQ279" s="71" t="str">
        <f>IFERROR(__xludf.DUMMYFUNCTION("""COMPUTED_VALUE""")," REF")</f>
        <v>REF</v>
      </c>
      <c r="AR279" s="71" t="str">
        <f>IFERROR(__xludf.DUMMYFUNCTION("""COMPUTED_VALUE""")," CARTER SENCILLO DE FIERRO")</f>
        <v>CARTER SENCILLO DE FIERRO</v>
      </c>
      <c r="AS279" s="71" t="str">
        <f>IFERROR(__xludf.DUMMYFUNCTION("""COMPUTED_VALUE""")," CARTER SENCILLO DE FIERRO")</f>
        <v>CARTER SENCILLO DE FIERRO</v>
      </c>
      <c r="AT279" s="71">
        <f>IFERROR(__xludf.DUMMYFUNCTION("""COMPUTED_VALUE"""),25.0)</f>
        <v>25</v>
      </c>
      <c r="AU279" s="71"/>
      <c r="AV279" s="71"/>
      <c r="AW279" s="71"/>
      <c r="AX279" s="71"/>
      <c r="AY279" s="71">
        <f>IFERROR(__xludf.DUMMYFUNCTION("""COMPUTED_VALUE"""),76.0)</f>
        <v>76</v>
      </c>
      <c r="AZ279" s="71">
        <f>IFERROR(__xludf.DUMMYFUNCTION("""COMPUTED_VALUE"""),82.0)</f>
        <v>82</v>
      </c>
      <c r="BA279" s="71">
        <f>IFERROR(__xludf.DUMMYFUNCTION("""COMPUTED_VALUE"""),88.56)</f>
        <v>88.56</v>
      </c>
      <c r="BB279" s="71">
        <f>IFERROR(__xludf.DUMMYFUNCTION("""COMPUTED_VALUE"""),88.56)</f>
        <v>88.56</v>
      </c>
      <c r="BC279" s="71">
        <f>IFERROR(__xludf.DUMMYFUNCTION("""COMPUTED_VALUE"""),99.0)</f>
        <v>99</v>
      </c>
      <c r="BD279" s="71">
        <f>IFERROR(__xludf.DUMMYFUNCTION("""COMPUTED_VALUE"""),104.0)</f>
        <v>104</v>
      </c>
      <c r="BE279" s="71">
        <f>IFERROR(__xludf.DUMMYFUNCTION("""COMPUTED_VALUE"""),16.64)</f>
        <v>16.64</v>
      </c>
      <c r="BF279" s="71">
        <f>IFERROR(__xludf.DUMMYFUNCTION("""COMPUTED_VALUE"""),120.64)</f>
        <v>120.64</v>
      </c>
      <c r="BG279" s="71">
        <f>IFERROR(__xludf.DUMMYFUNCTION("""COMPUTED_VALUE"""),0.050505050505050504)</f>
        <v>0.05050505051</v>
      </c>
      <c r="BH279" s="71">
        <f>IFERROR(__xludf.DUMMYFUNCTION("""COMPUTED_VALUE"""),98.8)</f>
        <v>98.8</v>
      </c>
      <c r="BI279" s="71">
        <f>IFERROR(__xludf.DUMMYFUNCTION("""COMPUTED_VALUE"""),15.808)</f>
        <v>15.808</v>
      </c>
      <c r="BJ279" s="71">
        <f>IFERROR(__xludf.DUMMYFUNCTION("""COMPUTED_VALUE"""),114.608)</f>
        <v>114.608</v>
      </c>
      <c r="BK279" s="71">
        <f>IFERROR(__xludf.DUMMYFUNCTION("""COMPUTED_VALUE"""),93.60000000000001)</f>
        <v>93.6</v>
      </c>
      <c r="BL279" s="71">
        <f>IFERROR(__xludf.DUMMYFUNCTION("""COMPUTED_VALUE"""),14.976)</f>
        <v>14.976</v>
      </c>
      <c r="BM279" s="71">
        <f>IFERROR(__xludf.DUMMYFUNCTION("""COMPUTED_VALUE"""),108.57600000000001)</f>
        <v>108.576</v>
      </c>
      <c r="BN279" s="71">
        <f>IFERROR(__xludf.DUMMYFUNCTION("""COMPUTED_VALUE"""),88.39999999999999)</f>
        <v>88.4</v>
      </c>
      <c r="BO279" s="71">
        <f>IFERROR(__xludf.DUMMYFUNCTION("""COMPUTED_VALUE"""),14.143999999999998)</f>
        <v>14.144</v>
      </c>
      <c r="BP279" s="71">
        <f>IFERROR(__xludf.DUMMYFUNCTION("""COMPUTED_VALUE"""),102.54399999999998)</f>
        <v>102.544</v>
      </c>
      <c r="BQ279" s="71">
        <f>IFERROR(__xludf.DUMMYFUNCTION("""COMPUTED_VALUE"""),86.32)</f>
        <v>86.32</v>
      </c>
      <c r="BR279" s="71">
        <f>IFERROR(__xludf.DUMMYFUNCTION("""COMPUTED_VALUE"""),13.8112)</f>
        <v>13.8112</v>
      </c>
      <c r="BS279" s="71">
        <f>IFERROR(__xludf.DUMMYFUNCTION("""COMPUTED_VALUE"""),100.13119999999999)</f>
        <v>100.1312</v>
      </c>
      <c r="BT279" s="71">
        <f>IFERROR(__xludf.DUMMYFUNCTION("""COMPUTED_VALUE"""),83.2)</f>
        <v>83.2</v>
      </c>
      <c r="BU279" s="71">
        <f>IFERROR(__xludf.DUMMYFUNCTION("""COMPUTED_VALUE"""),13.312000000000001)</f>
        <v>13.312</v>
      </c>
      <c r="BV279" s="71">
        <f>IFERROR(__xludf.DUMMYFUNCTION("""COMPUTED_VALUE"""),96.512)</f>
        <v>96.512</v>
      </c>
    </row>
    <row r="280">
      <c r="A280" s="53">
        <v>1.0</v>
      </c>
      <c r="B280" s="72"/>
      <c r="C280" s="73" t="s">
        <v>603</v>
      </c>
      <c r="D280" s="74" t="s">
        <v>692</v>
      </c>
      <c r="E280" s="54" t="s">
        <v>38</v>
      </c>
      <c r="F280" s="54" t="s">
        <v>42</v>
      </c>
      <c r="G280" s="88" t="s">
        <v>693</v>
      </c>
      <c r="H280" s="54" t="s">
        <v>694</v>
      </c>
      <c r="I280" s="54">
        <f t="shared" si="1"/>
        <v>39</v>
      </c>
      <c r="J280" s="56"/>
      <c r="K280" s="57"/>
      <c r="L280" s="87"/>
      <c r="M280" s="59"/>
      <c r="N280" s="60">
        <v>3701.0</v>
      </c>
      <c r="O280" s="61">
        <v>3340.0</v>
      </c>
      <c r="P280" s="62">
        <v>3607.2000000000003</v>
      </c>
      <c r="Q280" s="63">
        <v>3607.2000000000003</v>
      </c>
      <c r="R280" s="64">
        <v>4016.0</v>
      </c>
      <c r="S280" s="111">
        <v>4217.0</v>
      </c>
      <c r="T280" s="65">
        <f t="shared" si="2"/>
        <v>674.72</v>
      </c>
      <c r="U280" s="65">
        <f t="shared" si="3"/>
        <v>4891.72</v>
      </c>
      <c r="V280" s="66">
        <f t="shared" si="4"/>
        <v>0.0500498008</v>
      </c>
      <c r="W280" s="67">
        <f t="shared" si="5"/>
        <v>4006.15</v>
      </c>
      <c r="X280" s="67">
        <f t="shared" si="6"/>
        <v>640.984</v>
      </c>
      <c r="Y280" s="67">
        <f t="shared" si="7"/>
        <v>4647.134</v>
      </c>
      <c r="Z280" s="67">
        <f t="shared" si="8"/>
        <v>3795.3</v>
      </c>
      <c r="AA280" s="67">
        <f t="shared" si="9"/>
        <v>607.248</v>
      </c>
      <c r="AB280" s="67">
        <f t="shared" si="10"/>
        <v>4402.548</v>
      </c>
      <c r="AC280" s="67">
        <f t="shared" si="11"/>
        <v>3584.45</v>
      </c>
      <c r="AD280" s="67">
        <f t="shared" si="12"/>
        <v>573.512</v>
      </c>
      <c r="AE280" s="67">
        <f t="shared" si="13"/>
        <v>4157.962</v>
      </c>
      <c r="AF280" s="67">
        <f t="shared" si="14"/>
        <v>3500.11</v>
      </c>
      <c r="AG280" s="67">
        <f t="shared" si="15"/>
        <v>560.0176</v>
      </c>
      <c r="AH280" s="67">
        <f t="shared" si="16"/>
        <v>4060.1276</v>
      </c>
      <c r="AI280" s="67">
        <f t="shared" si="17"/>
        <v>3373.6</v>
      </c>
      <c r="AJ280" s="68">
        <f t="shared" si="20"/>
        <v>539.776</v>
      </c>
      <c r="AK280" s="68">
        <f t="shared" si="21"/>
        <v>3913.376</v>
      </c>
      <c r="AL280" s="70">
        <f>IFERROR(__xludf.DUMMYFUNCTION("""COMPUTED_VALUE"""),1.0)</f>
        <v>1</v>
      </c>
      <c r="AM280" s="70"/>
      <c r="AN280" s="71" t="str">
        <f>IFERROR(__xludf.DUMMYFUNCTION("""COMPUTED_VALUE""")," CP")</f>
        <v>CP</v>
      </c>
      <c r="AO280" s="71" t="str">
        <f>IFERROR(__xludf.DUMMYFUNCTION("""COMPUTED_VALUE""")," CA37")</f>
        <v>CA37</v>
      </c>
      <c r="AP280" s="71" t="str">
        <f>IFERROR(__xludf.DUMMYFUNCTION("""COMPUTED_VALUE""")," PZA")</f>
        <v>PZA</v>
      </c>
      <c r="AQ280" s="71" t="str">
        <f>IFERROR(__xludf.DUMMYFUNCTION("""COMPUTED_VALUE""")," REF")</f>
        <v>REF</v>
      </c>
      <c r="AR280" s="71" t="str">
        <f>IFERROR(__xludf.DUMMYFUNCTION("""COMPUTED_VALUE""")," CATARINA 17D P50 E.1-1/8"" ARMAD CL DPX")</f>
        <v>CATARINA 17D P50 E.1-1/8" ARMAD CL DPX</v>
      </c>
      <c r="AS280" s="71" t="str">
        <f>IFERROR(__xludf.DUMMYFUNCTION("""COMPUTED_VALUE""")," CATARINA 17D P50 E.1-1/8"" ARMAD CL DPX")</f>
        <v>CATARINA 17D P50 E.1-1/8" ARMAD CL DPX</v>
      </c>
      <c r="AT280" s="71">
        <f>IFERROR(__xludf.DUMMYFUNCTION("""COMPUTED_VALUE"""),38.0)</f>
        <v>38</v>
      </c>
      <c r="AU280" s="71"/>
      <c r="AV280" s="71"/>
      <c r="AW280" s="71"/>
      <c r="AX280" s="71"/>
      <c r="AY280" s="71">
        <f>IFERROR(__xludf.DUMMYFUNCTION("""COMPUTED_VALUE"""),1370.0)</f>
        <v>1370</v>
      </c>
      <c r="AZ280" s="71">
        <f>IFERROR(__xludf.DUMMYFUNCTION("""COMPUTED_VALUE"""),1479.0)</f>
        <v>1479</v>
      </c>
      <c r="BA280" s="71">
        <f>IFERROR(__xludf.DUMMYFUNCTION("""COMPUTED_VALUE"""),1597.3200000000002)</f>
        <v>1597.32</v>
      </c>
      <c r="BB280" s="71">
        <f>IFERROR(__xludf.DUMMYFUNCTION("""COMPUTED_VALUE"""),1597.3200000000002)</f>
        <v>1597.32</v>
      </c>
      <c r="BC280" s="71">
        <f>IFERROR(__xludf.DUMMYFUNCTION("""COMPUTED_VALUE"""),1762.0)</f>
        <v>1762</v>
      </c>
      <c r="BD280" s="71">
        <f>IFERROR(__xludf.DUMMYFUNCTION("""COMPUTED_VALUE"""),1850.0)</f>
        <v>1850</v>
      </c>
      <c r="BE280" s="71">
        <f>IFERROR(__xludf.DUMMYFUNCTION("""COMPUTED_VALUE"""),296.0)</f>
        <v>296</v>
      </c>
      <c r="BF280" s="71">
        <f>IFERROR(__xludf.DUMMYFUNCTION("""COMPUTED_VALUE"""),2146.0)</f>
        <v>2146</v>
      </c>
      <c r="BG280" s="71">
        <f>IFERROR(__xludf.DUMMYFUNCTION("""COMPUTED_VALUE"""),0.049943246311010214)</f>
        <v>0.04994324631</v>
      </c>
      <c r="BH280" s="71">
        <f>IFERROR(__xludf.DUMMYFUNCTION("""COMPUTED_VALUE"""),1757.5)</f>
        <v>1757.5</v>
      </c>
      <c r="BI280" s="71">
        <f>IFERROR(__xludf.DUMMYFUNCTION("""COMPUTED_VALUE"""),281.2)</f>
        <v>281.2</v>
      </c>
      <c r="BJ280" s="71">
        <f>IFERROR(__xludf.DUMMYFUNCTION("""COMPUTED_VALUE"""),2038.7)</f>
        <v>2038.7</v>
      </c>
      <c r="BK280" s="71">
        <f>IFERROR(__xludf.DUMMYFUNCTION("""COMPUTED_VALUE"""),1665.0)</f>
        <v>1665</v>
      </c>
      <c r="BL280" s="71">
        <f>IFERROR(__xludf.DUMMYFUNCTION("""COMPUTED_VALUE"""),266.4)</f>
        <v>266.4</v>
      </c>
      <c r="BM280" s="71">
        <f>IFERROR(__xludf.DUMMYFUNCTION("""COMPUTED_VALUE"""),1931.4)</f>
        <v>1931.4</v>
      </c>
      <c r="BN280" s="71">
        <f>IFERROR(__xludf.DUMMYFUNCTION("""COMPUTED_VALUE"""),1572.5)</f>
        <v>1572.5</v>
      </c>
      <c r="BO280" s="71">
        <f>IFERROR(__xludf.DUMMYFUNCTION("""COMPUTED_VALUE"""),251.6)</f>
        <v>251.6</v>
      </c>
      <c r="BP280" s="71">
        <f>IFERROR(__xludf.DUMMYFUNCTION("""COMPUTED_VALUE"""),1824.1)</f>
        <v>1824.1</v>
      </c>
      <c r="BQ280" s="71">
        <f>IFERROR(__xludf.DUMMYFUNCTION("""COMPUTED_VALUE"""),1535.5)</f>
        <v>1535.5</v>
      </c>
      <c r="BR280" s="71">
        <f>IFERROR(__xludf.DUMMYFUNCTION("""COMPUTED_VALUE"""),245.68)</f>
        <v>245.68</v>
      </c>
      <c r="BS280" s="71">
        <f>IFERROR(__xludf.DUMMYFUNCTION("""COMPUTED_VALUE"""),1781.18)</f>
        <v>1781.18</v>
      </c>
      <c r="BT280" s="71">
        <f>IFERROR(__xludf.DUMMYFUNCTION("""COMPUTED_VALUE"""),1480.0)</f>
        <v>1480</v>
      </c>
      <c r="BU280" s="71">
        <f>IFERROR(__xludf.DUMMYFUNCTION("""COMPUTED_VALUE"""),236.8)</f>
        <v>236.8</v>
      </c>
      <c r="BV280" s="71">
        <f>IFERROR(__xludf.DUMMYFUNCTION("""COMPUTED_VALUE"""),1716.8)</f>
        <v>1716.8</v>
      </c>
    </row>
    <row r="281">
      <c r="A281" s="53">
        <v>1.0</v>
      </c>
      <c r="B281" s="72"/>
      <c r="C281" s="73" t="s">
        <v>603</v>
      </c>
      <c r="D281" s="74" t="s">
        <v>695</v>
      </c>
      <c r="E281" s="54" t="s">
        <v>38</v>
      </c>
      <c r="F281" s="54" t="s">
        <v>42</v>
      </c>
      <c r="G281" s="88" t="s">
        <v>696</v>
      </c>
      <c r="H281" s="54" t="s">
        <v>697</v>
      </c>
      <c r="I281" s="54">
        <f t="shared" si="1"/>
        <v>39</v>
      </c>
      <c r="J281" s="56"/>
      <c r="K281" s="57"/>
      <c r="L281" s="87"/>
      <c r="M281" s="59"/>
      <c r="N281" s="60">
        <v>3216.0</v>
      </c>
      <c r="O281" s="61">
        <v>2902.0</v>
      </c>
      <c r="P281" s="62">
        <v>3134.1600000000003</v>
      </c>
      <c r="Q281" s="63">
        <v>3134.1600000000003</v>
      </c>
      <c r="R281" s="64">
        <v>3490.0</v>
      </c>
      <c r="S281" s="111">
        <v>3665.0</v>
      </c>
      <c r="T281" s="65">
        <f t="shared" si="2"/>
        <v>586.4</v>
      </c>
      <c r="U281" s="65">
        <f t="shared" si="3"/>
        <v>4251.4</v>
      </c>
      <c r="V281" s="66">
        <f t="shared" si="4"/>
        <v>0.05014326648</v>
      </c>
      <c r="W281" s="67">
        <f t="shared" si="5"/>
        <v>3481.75</v>
      </c>
      <c r="X281" s="67">
        <f t="shared" si="6"/>
        <v>557.08</v>
      </c>
      <c r="Y281" s="67">
        <f t="shared" si="7"/>
        <v>4038.83</v>
      </c>
      <c r="Z281" s="67">
        <f t="shared" si="8"/>
        <v>3298.5</v>
      </c>
      <c r="AA281" s="67">
        <f t="shared" si="9"/>
        <v>527.76</v>
      </c>
      <c r="AB281" s="67">
        <f t="shared" si="10"/>
        <v>3826.26</v>
      </c>
      <c r="AC281" s="67">
        <f t="shared" si="11"/>
        <v>3115.25</v>
      </c>
      <c r="AD281" s="67">
        <f t="shared" si="12"/>
        <v>498.44</v>
      </c>
      <c r="AE281" s="67">
        <f t="shared" si="13"/>
        <v>3613.69</v>
      </c>
      <c r="AF281" s="67">
        <f t="shared" si="14"/>
        <v>3041.95</v>
      </c>
      <c r="AG281" s="67">
        <f t="shared" si="15"/>
        <v>486.712</v>
      </c>
      <c r="AH281" s="67">
        <f t="shared" si="16"/>
        <v>3528.662</v>
      </c>
      <c r="AI281" s="67">
        <f t="shared" si="17"/>
        <v>2932</v>
      </c>
      <c r="AJ281" s="68">
        <f t="shared" si="20"/>
        <v>469.12</v>
      </c>
      <c r="AK281" s="68">
        <f t="shared" si="21"/>
        <v>3401.12</v>
      </c>
      <c r="AL281" s="70">
        <f>IFERROR(__xludf.DUMMYFUNCTION("""COMPUTED_VALUE"""),1.0)</f>
        <v>1</v>
      </c>
      <c r="AM281" s="70"/>
      <c r="AN281" s="71" t="str">
        <f>IFERROR(__xludf.DUMMYFUNCTION("""COMPUTED_VALUE""")," CP")</f>
        <v>CP</v>
      </c>
      <c r="AO281" s="71" t="str">
        <f>IFERROR(__xludf.DUMMYFUNCTION("""COMPUTED_VALUE""")," CA112")</f>
        <v>CA112</v>
      </c>
      <c r="AP281" s="71" t="str">
        <f>IFERROR(__xludf.DUMMYFUNCTION("""COMPUTED_VALUE""")," PZA")</f>
        <v>PZA</v>
      </c>
      <c r="AQ281" s="71" t="str">
        <f>IFERROR(__xludf.DUMMYFUNCTION("""COMPUTED_VALUE""")," REF")</f>
        <v>REF</v>
      </c>
      <c r="AR281" s="71" t="str">
        <f>IFERROR(__xludf.DUMMYFUNCTION("""COMPUTED_VALUE""")," CATARINA 17D P50 E.1-1/8"" ARMAD CL SEN")</f>
        <v>CATARINA 17D P50 E.1-1/8" ARMAD CL SEN</v>
      </c>
      <c r="AS281" s="71" t="str">
        <f>IFERROR(__xludf.DUMMYFUNCTION("""COMPUTED_VALUE""")," CATARINA 17D P50 E.1-1/8"" ARMAD CL SEN")</f>
        <v>CATARINA 17D P50 E.1-1/8" ARMAD CL SEN</v>
      </c>
      <c r="AT281" s="71">
        <f>IFERROR(__xludf.DUMMYFUNCTION("""COMPUTED_VALUE"""),38.0)</f>
        <v>38</v>
      </c>
      <c r="AU281" s="71"/>
      <c r="AV281" s="71"/>
      <c r="AW281" s="71"/>
      <c r="AX281" s="71"/>
      <c r="AY281" s="71">
        <f>IFERROR(__xludf.DUMMYFUNCTION("""COMPUTED_VALUE"""),1370.0)</f>
        <v>1370</v>
      </c>
      <c r="AZ281" s="71">
        <f>IFERROR(__xludf.DUMMYFUNCTION("""COMPUTED_VALUE"""),1479.0)</f>
        <v>1479</v>
      </c>
      <c r="BA281" s="71">
        <f>IFERROR(__xludf.DUMMYFUNCTION("""COMPUTED_VALUE"""),1597.3200000000002)</f>
        <v>1597.32</v>
      </c>
      <c r="BB281" s="71">
        <f>IFERROR(__xludf.DUMMYFUNCTION("""COMPUTED_VALUE"""),1597.3200000000002)</f>
        <v>1597.32</v>
      </c>
      <c r="BC281" s="71">
        <f>IFERROR(__xludf.DUMMYFUNCTION("""COMPUTED_VALUE"""),1762.0)</f>
        <v>1762</v>
      </c>
      <c r="BD281" s="71">
        <f>IFERROR(__xludf.DUMMYFUNCTION("""COMPUTED_VALUE"""),1850.0)</f>
        <v>1850</v>
      </c>
      <c r="BE281" s="71">
        <f>IFERROR(__xludf.DUMMYFUNCTION("""COMPUTED_VALUE"""),296.0)</f>
        <v>296</v>
      </c>
      <c r="BF281" s="71">
        <f>IFERROR(__xludf.DUMMYFUNCTION("""COMPUTED_VALUE"""),2146.0)</f>
        <v>2146</v>
      </c>
      <c r="BG281" s="71">
        <f>IFERROR(__xludf.DUMMYFUNCTION("""COMPUTED_VALUE"""),0.049943246311010214)</f>
        <v>0.04994324631</v>
      </c>
      <c r="BH281" s="71">
        <f>IFERROR(__xludf.DUMMYFUNCTION("""COMPUTED_VALUE"""),1757.5)</f>
        <v>1757.5</v>
      </c>
      <c r="BI281" s="71">
        <f>IFERROR(__xludf.DUMMYFUNCTION("""COMPUTED_VALUE"""),281.2)</f>
        <v>281.2</v>
      </c>
      <c r="BJ281" s="71">
        <f>IFERROR(__xludf.DUMMYFUNCTION("""COMPUTED_VALUE"""),2038.7)</f>
        <v>2038.7</v>
      </c>
      <c r="BK281" s="71">
        <f>IFERROR(__xludf.DUMMYFUNCTION("""COMPUTED_VALUE"""),1665.0)</f>
        <v>1665</v>
      </c>
      <c r="BL281" s="71">
        <f>IFERROR(__xludf.DUMMYFUNCTION("""COMPUTED_VALUE"""),266.4)</f>
        <v>266.4</v>
      </c>
      <c r="BM281" s="71">
        <f>IFERROR(__xludf.DUMMYFUNCTION("""COMPUTED_VALUE"""),1931.4)</f>
        <v>1931.4</v>
      </c>
      <c r="BN281" s="71">
        <f>IFERROR(__xludf.DUMMYFUNCTION("""COMPUTED_VALUE"""),1572.5)</f>
        <v>1572.5</v>
      </c>
      <c r="BO281" s="71">
        <f>IFERROR(__xludf.DUMMYFUNCTION("""COMPUTED_VALUE"""),251.6)</f>
        <v>251.6</v>
      </c>
      <c r="BP281" s="71">
        <f>IFERROR(__xludf.DUMMYFUNCTION("""COMPUTED_VALUE"""),1824.1)</f>
        <v>1824.1</v>
      </c>
      <c r="BQ281" s="71">
        <f>IFERROR(__xludf.DUMMYFUNCTION("""COMPUTED_VALUE"""),1535.5)</f>
        <v>1535.5</v>
      </c>
      <c r="BR281" s="71">
        <f>IFERROR(__xludf.DUMMYFUNCTION("""COMPUTED_VALUE"""),245.68)</f>
        <v>245.68</v>
      </c>
      <c r="BS281" s="71">
        <f>IFERROR(__xludf.DUMMYFUNCTION("""COMPUTED_VALUE"""),1781.18)</f>
        <v>1781.18</v>
      </c>
      <c r="BT281" s="71">
        <f>IFERROR(__xludf.DUMMYFUNCTION("""COMPUTED_VALUE"""),1480.0)</f>
        <v>1480</v>
      </c>
      <c r="BU281" s="71">
        <f>IFERROR(__xludf.DUMMYFUNCTION("""COMPUTED_VALUE"""),236.8)</f>
        <v>236.8</v>
      </c>
      <c r="BV281" s="71">
        <f>IFERROR(__xludf.DUMMYFUNCTION("""COMPUTED_VALUE"""),1716.8)</f>
        <v>1716.8</v>
      </c>
    </row>
    <row r="282">
      <c r="A282" s="53">
        <v>1.0</v>
      </c>
      <c r="B282" s="72"/>
      <c r="C282" s="73" t="s">
        <v>603</v>
      </c>
      <c r="D282" s="74" t="s">
        <v>698</v>
      </c>
      <c r="E282" s="54" t="s">
        <v>38</v>
      </c>
      <c r="F282" s="54" t="s">
        <v>42</v>
      </c>
      <c r="G282" s="88" t="s">
        <v>699</v>
      </c>
      <c r="H282" s="54" t="s">
        <v>700</v>
      </c>
      <c r="I282" s="54">
        <f t="shared" si="1"/>
        <v>38</v>
      </c>
      <c r="J282" s="56"/>
      <c r="K282" s="57"/>
      <c r="L282" s="87"/>
      <c r="M282" s="59"/>
      <c r="N282" s="60">
        <v>3338.0</v>
      </c>
      <c r="O282" s="61">
        <v>3012.0</v>
      </c>
      <c r="P282" s="62">
        <v>3252.96</v>
      </c>
      <c r="Q282" s="63">
        <v>3252.96</v>
      </c>
      <c r="R282" s="64">
        <v>3622.0</v>
      </c>
      <c r="S282" s="111">
        <v>3803.0</v>
      </c>
      <c r="T282" s="65">
        <f t="shared" si="2"/>
        <v>608.48</v>
      </c>
      <c r="U282" s="65">
        <f t="shared" si="3"/>
        <v>4411.48</v>
      </c>
      <c r="V282" s="66">
        <f t="shared" si="4"/>
        <v>0.04997239094</v>
      </c>
      <c r="W282" s="67">
        <f t="shared" si="5"/>
        <v>3612.85</v>
      </c>
      <c r="X282" s="67">
        <f t="shared" si="6"/>
        <v>578.056</v>
      </c>
      <c r="Y282" s="67">
        <f t="shared" si="7"/>
        <v>4190.906</v>
      </c>
      <c r="Z282" s="67">
        <f t="shared" si="8"/>
        <v>3422.7</v>
      </c>
      <c r="AA282" s="67">
        <f t="shared" si="9"/>
        <v>547.632</v>
      </c>
      <c r="AB282" s="67">
        <f t="shared" si="10"/>
        <v>3970.332</v>
      </c>
      <c r="AC282" s="67">
        <f t="shared" si="11"/>
        <v>3232.55</v>
      </c>
      <c r="AD282" s="67">
        <f t="shared" si="12"/>
        <v>517.208</v>
      </c>
      <c r="AE282" s="67">
        <f t="shared" si="13"/>
        <v>3749.758</v>
      </c>
      <c r="AF282" s="67">
        <f t="shared" si="14"/>
        <v>3156.49</v>
      </c>
      <c r="AG282" s="67">
        <f t="shared" si="15"/>
        <v>505.0384</v>
      </c>
      <c r="AH282" s="67">
        <f t="shared" si="16"/>
        <v>3661.5284</v>
      </c>
      <c r="AI282" s="67">
        <f t="shared" si="17"/>
        <v>3042.4</v>
      </c>
      <c r="AJ282" s="68">
        <f t="shared" si="20"/>
        <v>486.784</v>
      </c>
      <c r="AK282" s="68">
        <f t="shared" si="21"/>
        <v>3529.184</v>
      </c>
      <c r="AL282" s="70">
        <f>IFERROR(__xludf.DUMMYFUNCTION("""COMPUTED_VALUE"""),1.0)</f>
        <v>1</v>
      </c>
      <c r="AM282" s="70"/>
      <c r="AN282" s="71" t="str">
        <f>IFERROR(__xludf.DUMMYFUNCTION("""COMPUTED_VALUE""")," CP")</f>
        <v>CP</v>
      </c>
      <c r="AO282" s="71" t="str">
        <f>IFERROR(__xludf.DUMMYFUNCTION("""COMPUTED_VALUE""")," CA38")</f>
        <v>CA38</v>
      </c>
      <c r="AP282" s="71" t="str">
        <f>IFERROR(__xludf.DUMMYFUNCTION("""COMPUTED_VALUE""")," PZA")</f>
        <v>PZA</v>
      </c>
      <c r="AQ282" s="71" t="str">
        <f>IFERROR(__xludf.DUMMYFUNCTION("""COMPUTED_VALUE""")," REF")</f>
        <v>REF</v>
      </c>
      <c r="AR282" s="71" t="str">
        <f>IFERROR(__xludf.DUMMYFUNCTION("""COMPUTED_VALUE""")," CATARINA 17D P50 E.1-1/8"" P/CL DPX")</f>
        <v>CATARINA 17D P50 E.1-1/8" P/CL DPX</v>
      </c>
      <c r="AS282" s="71" t="str">
        <f>IFERROR(__xludf.DUMMYFUNCTION("""COMPUTED_VALUE""")," CATARINA 17D P50 E.1-1/8"" P/CL DPX")</f>
        <v>CATARINA 17D P50 E.1-1/8" P/CL DPX</v>
      </c>
      <c r="AT282" s="71">
        <f>IFERROR(__xludf.DUMMYFUNCTION("""COMPUTED_VALUE"""),34.0)</f>
        <v>34</v>
      </c>
      <c r="AU282" s="71"/>
      <c r="AV282" s="71"/>
      <c r="AW282" s="71"/>
      <c r="AX282" s="71"/>
      <c r="AY282" s="71">
        <f>IFERROR(__xludf.DUMMYFUNCTION("""COMPUTED_VALUE"""),637.0)</f>
        <v>637</v>
      </c>
      <c r="AZ282" s="71">
        <f>IFERROR(__xludf.DUMMYFUNCTION("""COMPUTED_VALUE"""),687.0)</f>
        <v>687</v>
      </c>
      <c r="BA282" s="71">
        <f>IFERROR(__xludf.DUMMYFUNCTION("""COMPUTED_VALUE"""),741.96)</f>
        <v>741.96</v>
      </c>
      <c r="BB282" s="71">
        <f>IFERROR(__xludf.DUMMYFUNCTION("""COMPUTED_VALUE"""),741.96)</f>
        <v>741.96</v>
      </c>
      <c r="BC282" s="71">
        <f>IFERROR(__xludf.DUMMYFUNCTION("""COMPUTED_VALUE"""),819.0)</f>
        <v>819</v>
      </c>
      <c r="BD282" s="71">
        <f>IFERROR(__xludf.DUMMYFUNCTION("""COMPUTED_VALUE"""),860.0)</f>
        <v>860</v>
      </c>
      <c r="BE282" s="71">
        <f>IFERROR(__xludf.DUMMYFUNCTION("""COMPUTED_VALUE"""),137.6)</f>
        <v>137.6</v>
      </c>
      <c r="BF282" s="71">
        <f>IFERROR(__xludf.DUMMYFUNCTION("""COMPUTED_VALUE"""),997.6)</f>
        <v>997.6</v>
      </c>
      <c r="BG282" s="71">
        <f>IFERROR(__xludf.DUMMYFUNCTION("""COMPUTED_VALUE"""),0.050061050061050064)</f>
        <v>0.05006105006</v>
      </c>
      <c r="BH282" s="71">
        <f>IFERROR(__xludf.DUMMYFUNCTION("""COMPUTED_VALUE"""),817.0)</f>
        <v>817</v>
      </c>
      <c r="BI282" s="71">
        <f>IFERROR(__xludf.DUMMYFUNCTION("""COMPUTED_VALUE"""),130.72)</f>
        <v>130.72</v>
      </c>
      <c r="BJ282" s="71">
        <f>IFERROR(__xludf.DUMMYFUNCTION("""COMPUTED_VALUE"""),947.72)</f>
        <v>947.72</v>
      </c>
      <c r="BK282" s="71">
        <f>IFERROR(__xludf.DUMMYFUNCTION("""COMPUTED_VALUE"""),774.0)</f>
        <v>774</v>
      </c>
      <c r="BL282" s="71">
        <f>IFERROR(__xludf.DUMMYFUNCTION("""COMPUTED_VALUE"""),123.84)</f>
        <v>123.84</v>
      </c>
      <c r="BM282" s="71">
        <f>IFERROR(__xludf.DUMMYFUNCTION("""COMPUTED_VALUE"""),897.84)</f>
        <v>897.84</v>
      </c>
      <c r="BN282" s="71">
        <f>IFERROR(__xludf.DUMMYFUNCTION("""COMPUTED_VALUE"""),731.0)</f>
        <v>731</v>
      </c>
      <c r="BO282" s="71">
        <f>IFERROR(__xludf.DUMMYFUNCTION("""COMPUTED_VALUE"""),116.96000000000001)</f>
        <v>116.96</v>
      </c>
      <c r="BP282" s="71">
        <f>IFERROR(__xludf.DUMMYFUNCTION("""COMPUTED_VALUE"""),847.96)</f>
        <v>847.96</v>
      </c>
      <c r="BQ282" s="71">
        <f>IFERROR(__xludf.DUMMYFUNCTION("""COMPUTED_VALUE"""),713.8)</f>
        <v>713.8</v>
      </c>
      <c r="BR282" s="71">
        <f>IFERROR(__xludf.DUMMYFUNCTION("""COMPUTED_VALUE"""),114.208)</f>
        <v>114.208</v>
      </c>
      <c r="BS282" s="71">
        <f>IFERROR(__xludf.DUMMYFUNCTION("""COMPUTED_VALUE"""),828.0079999999999)</f>
        <v>828.008</v>
      </c>
      <c r="BT282" s="71">
        <f>IFERROR(__xludf.DUMMYFUNCTION("""COMPUTED_VALUE"""),688.0)</f>
        <v>688</v>
      </c>
      <c r="BU282" s="71">
        <f>IFERROR(__xludf.DUMMYFUNCTION("""COMPUTED_VALUE"""),110.08)</f>
        <v>110.08</v>
      </c>
      <c r="BV282" s="71">
        <f>IFERROR(__xludf.DUMMYFUNCTION("""COMPUTED_VALUE"""),798.08)</f>
        <v>798.08</v>
      </c>
    </row>
    <row r="283">
      <c r="A283" s="53"/>
      <c r="B283" s="53"/>
      <c r="C283" s="53" t="s">
        <v>53</v>
      </c>
      <c r="D283" s="131" t="s">
        <v>701</v>
      </c>
      <c r="E283" s="54" t="s">
        <v>38</v>
      </c>
      <c r="F283" s="54" t="s">
        <v>42</v>
      </c>
      <c r="G283" s="55" t="s">
        <v>702</v>
      </c>
      <c r="H283" s="55" t="s">
        <v>702</v>
      </c>
      <c r="I283" s="54">
        <f t="shared" si="1"/>
        <v>23</v>
      </c>
      <c r="J283" s="56"/>
      <c r="K283" s="57"/>
      <c r="L283" s="87"/>
      <c r="M283" s="59"/>
      <c r="N283" s="60"/>
      <c r="O283" s="90"/>
      <c r="P283" s="62">
        <v>1000.0</v>
      </c>
      <c r="Q283" s="63">
        <v>1000.0</v>
      </c>
      <c r="R283" s="64">
        <v>1050.0</v>
      </c>
      <c r="S283" s="111">
        <v>1103.0</v>
      </c>
      <c r="T283" s="65">
        <f t="shared" si="2"/>
        <v>176.48</v>
      </c>
      <c r="U283" s="65">
        <f t="shared" si="3"/>
        <v>1279.48</v>
      </c>
      <c r="V283" s="66">
        <f t="shared" si="4"/>
        <v>0.05047619048</v>
      </c>
      <c r="W283" s="67">
        <f t="shared" si="5"/>
        <v>1047.85</v>
      </c>
      <c r="X283" s="67">
        <f t="shared" si="6"/>
        <v>167.656</v>
      </c>
      <c r="Y283" s="67">
        <f t="shared" si="7"/>
        <v>1215.506</v>
      </c>
      <c r="Z283" s="67">
        <f t="shared" si="8"/>
        <v>992.7</v>
      </c>
      <c r="AA283" s="67">
        <f t="shared" si="9"/>
        <v>158.832</v>
      </c>
      <c r="AB283" s="67">
        <f t="shared" si="10"/>
        <v>1151.532</v>
      </c>
      <c r="AC283" s="67">
        <f t="shared" si="11"/>
        <v>937.55</v>
      </c>
      <c r="AD283" s="67">
        <f t="shared" si="12"/>
        <v>150.008</v>
      </c>
      <c r="AE283" s="67">
        <f t="shared" si="13"/>
        <v>1087.558</v>
      </c>
      <c r="AF283" s="67">
        <f t="shared" si="14"/>
        <v>915.49</v>
      </c>
      <c r="AG283" s="67">
        <f t="shared" si="15"/>
        <v>146.4784</v>
      </c>
      <c r="AH283" s="67">
        <f t="shared" si="16"/>
        <v>1061.9684</v>
      </c>
      <c r="AI283" s="67">
        <f t="shared" si="17"/>
        <v>882.4</v>
      </c>
      <c r="AJ283" s="68">
        <f t="shared" si="20"/>
        <v>141.184</v>
      </c>
      <c r="AK283" s="68">
        <f t="shared" si="21"/>
        <v>1023.584</v>
      </c>
      <c r="AL283" s="70">
        <f>IFERROR(__xludf.DUMMYFUNCTION("""COMPUTED_VALUE"""),1.0)</f>
        <v>1</v>
      </c>
      <c r="AM283" s="70"/>
      <c r="AN283" s="71" t="str">
        <f>IFERROR(__xludf.DUMMYFUNCTION("""COMPUTED_VALUE""")," CP")</f>
        <v>CP</v>
      </c>
      <c r="AO283" s="71" t="str">
        <f>IFERROR(__xludf.DUMMYFUNCTION("""COMPUTED_VALUE""")," CA34")</f>
        <v>CA34</v>
      </c>
      <c r="AP283" s="71" t="str">
        <f>IFERROR(__xludf.DUMMYFUNCTION("""COMPUTED_VALUE""")," PZA")</f>
        <v>PZA</v>
      </c>
      <c r="AQ283" s="71" t="str">
        <f>IFERROR(__xludf.DUMMYFUNCTION("""COMPUTED_VALUE""")," REF")</f>
        <v>REF</v>
      </c>
      <c r="AR283" s="71" t="str">
        <f>IFERROR(__xludf.DUMMYFUNCTION("""COMPUTED_VALUE""")," CATARINA 17D P50 E.25MM ARMAD CL SEN")</f>
        <v>CATARINA 17D P50 E.25MM ARMAD CL SEN</v>
      </c>
      <c r="AS283" s="71" t="str">
        <f>IFERROR(__xludf.DUMMYFUNCTION("""COMPUTED_VALUE""")," CATARINA 17D P50 E.25MM ARMAD CL SEN")</f>
        <v>CATARINA 17D P50 E.25MM ARMAD CL SEN</v>
      </c>
      <c r="AT283" s="71">
        <f>IFERROR(__xludf.DUMMYFUNCTION("""COMPUTED_VALUE"""),36.0)</f>
        <v>36</v>
      </c>
      <c r="AU283" s="71"/>
      <c r="AV283" s="71"/>
      <c r="AW283" s="71"/>
      <c r="AX283" s="71"/>
      <c r="AY283" s="71">
        <f>IFERROR(__xludf.DUMMYFUNCTION("""COMPUTED_VALUE"""),1332.0)</f>
        <v>1332</v>
      </c>
      <c r="AZ283" s="71">
        <f>IFERROR(__xludf.DUMMYFUNCTION("""COMPUTED_VALUE"""),1438.0)</f>
        <v>1438</v>
      </c>
      <c r="BA283" s="71">
        <f>IFERROR(__xludf.DUMMYFUNCTION("""COMPUTED_VALUE"""),1553.0400000000002)</f>
        <v>1553.04</v>
      </c>
      <c r="BB283" s="71">
        <f>IFERROR(__xludf.DUMMYFUNCTION("""COMPUTED_VALUE"""),1553.0400000000002)</f>
        <v>1553.04</v>
      </c>
      <c r="BC283" s="71">
        <f>IFERROR(__xludf.DUMMYFUNCTION("""COMPUTED_VALUE"""),1713.0)</f>
        <v>1713</v>
      </c>
      <c r="BD283" s="71">
        <f>IFERROR(__xludf.DUMMYFUNCTION("""COMPUTED_VALUE"""),1799.0)</f>
        <v>1799</v>
      </c>
      <c r="BE283" s="71">
        <f>IFERROR(__xludf.DUMMYFUNCTION("""COMPUTED_VALUE"""),287.84000000000003)</f>
        <v>287.84</v>
      </c>
      <c r="BF283" s="71">
        <f>IFERROR(__xludf.DUMMYFUNCTION("""COMPUTED_VALUE"""),2086.84)</f>
        <v>2086.84</v>
      </c>
      <c r="BG283" s="71">
        <f>IFERROR(__xludf.DUMMYFUNCTION("""COMPUTED_VALUE"""),0.050204319906596614)</f>
        <v>0.05020431991</v>
      </c>
      <c r="BH283" s="71">
        <f>IFERROR(__xludf.DUMMYFUNCTION("""COMPUTED_VALUE"""),1709.05)</f>
        <v>1709.05</v>
      </c>
      <c r="BI283" s="71">
        <f>IFERROR(__xludf.DUMMYFUNCTION("""COMPUTED_VALUE"""),273.448)</f>
        <v>273.448</v>
      </c>
      <c r="BJ283" s="71">
        <f>IFERROR(__xludf.DUMMYFUNCTION("""COMPUTED_VALUE"""),1982.498)</f>
        <v>1982.498</v>
      </c>
      <c r="BK283" s="71">
        <f>IFERROR(__xludf.DUMMYFUNCTION("""COMPUTED_VALUE"""),1619.1000000000001)</f>
        <v>1619.1</v>
      </c>
      <c r="BL283" s="71">
        <f>IFERROR(__xludf.DUMMYFUNCTION("""COMPUTED_VALUE"""),259.05600000000004)</f>
        <v>259.056</v>
      </c>
      <c r="BM283" s="71">
        <f>IFERROR(__xludf.DUMMYFUNCTION("""COMPUTED_VALUE"""),1878.1560000000002)</f>
        <v>1878.156</v>
      </c>
      <c r="BN283" s="71">
        <f>IFERROR(__xludf.DUMMYFUNCTION("""COMPUTED_VALUE"""),1529.1499999999999)</f>
        <v>1529.15</v>
      </c>
      <c r="BO283" s="71">
        <f>IFERROR(__xludf.DUMMYFUNCTION("""COMPUTED_VALUE"""),244.664)</f>
        <v>244.664</v>
      </c>
      <c r="BP283" s="71">
        <f>IFERROR(__xludf.DUMMYFUNCTION("""COMPUTED_VALUE"""),1773.8139999999999)</f>
        <v>1773.814</v>
      </c>
      <c r="BQ283" s="71">
        <f>IFERROR(__xludf.DUMMYFUNCTION("""COMPUTED_VALUE"""),1493.1699999999998)</f>
        <v>1493.17</v>
      </c>
      <c r="BR283" s="71">
        <f>IFERROR(__xludf.DUMMYFUNCTION("""COMPUTED_VALUE"""),238.9072)</f>
        <v>238.9072</v>
      </c>
      <c r="BS283" s="71">
        <f>IFERROR(__xludf.DUMMYFUNCTION("""COMPUTED_VALUE"""),1732.0771999999997)</f>
        <v>1732.0772</v>
      </c>
      <c r="BT283" s="71">
        <f>IFERROR(__xludf.DUMMYFUNCTION("""COMPUTED_VALUE"""),1439.2)</f>
        <v>1439.2</v>
      </c>
      <c r="BU283" s="71">
        <f>IFERROR(__xludf.DUMMYFUNCTION("""COMPUTED_VALUE"""),230.27200000000002)</f>
        <v>230.272</v>
      </c>
      <c r="BV283" s="71">
        <f>IFERROR(__xludf.DUMMYFUNCTION("""COMPUTED_VALUE"""),1669.472)</f>
        <v>1669.472</v>
      </c>
    </row>
    <row r="284">
      <c r="A284" s="53"/>
      <c r="B284" s="53"/>
      <c r="C284" s="73" t="s">
        <v>53</v>
      </c>
      <c r="D284" s="53" t="s">
        <v>703</v>
      </c>
      <c r="E284" s="54" t="s">
        <v>38</v>
      </c>
      <c r="F284" s="54" t="s">
        <v>42</v>
      </c>
      <c r="G284" s="55" t="s">
        <v>704</v>
      </c>
      <c r="H284" s="55"/>
      <c r="I284" s="54">
        <f t="shared" si="1"/>
        <v>0</v>
      </c>
      <c r="J284" s="56"/>
      <c r="K284" s="57"/>
      <c r="L284" s="87"/>
      <c r="M284" s="59"/>
      <c r="N284" s="60"/>
      <c r="O284" s="90"/>
      <c r="P284" s="62">
        <v>6901.0</v>
      </c>
      <c r="Q284" s="63">
        <v>6901.0</v>
      </c>
      <c r="R284" s="64">
        <v>7247.0</v>
      </c>
      <c r="S284" s="111">
        <v>7609.0</v>
      </c>
      <c r="T284" s="65">
        <f t="shared" si="2"/>
        <v>1217.44</v>
      </c>
      <c r="U284" s="65">
        <f t="shared" si="3"/>
        <v>8826.44</v>
      </c>
      <c r="V284" s="66">
        <f t="shared" si="4"/>
        <v>0.04995170415</v>
      </c>
      <c r="W284" s="67">
        <f t="shared" si="5"/>
        <v>7228.55</v>
      </c>
      <c r="X284" s="67">
        <f t="shared" si="6"/>
        <v>1156.568</v>
      </c>
      <c r="Y284" s="67">
        <f t="shared" si="7"/>
        <v>8385.118</v>
      </c>
      <c r="Z284" s="67">
        <f t="shared" si="8"/>
        <v>6848.1</v>
      </c>
      <c r="AA284" s="67">
        <f t="shared" si="9"/>
        <v>1095.696</v>
      </c>
      <c r="AB284" s="67">
        <f t="shared" si="10"/>
        <v>7943.796</v>
      </c>
      <c r="AC284" s="67">
        <f t="shared" si="11"/>
        <v>6467.65</v>
      </c>
      <c r="AD284" s="67">
        <f t="shared" si="12"/>
        <v>1034.824</v>
      </c>
      <c r="AE284" s="67">
        <f t="shared" si="13"/>
        <v>7502.474</v>
      </c>
      <c r="AF284" s="67">
        <f t="shared" si="14"/>
        <v>6315.47</v>
      </c>
      <c r="AG284" s="67">
        <f t="shared" si="15"/>
        <v>1010.4752</v>
      </c>
      <c r="AH284" s="67">
        <f t="shared" si="16"/>
        <v>7325.9452</v>
      </c>
      <c r="AI284" s="67">
        <f t="shared" si="17"/>
        <v>6087.2</v>
      </c>
      <c r="AJ284" s="68">
        <f t="shared" si="20"/>
        <v>973.952</v>
      </c>
      <c r="AK284" s="68">
        <f t="shared" si="21"/>
        <v>7061.152</v>
      </c>
      <c r="AL284" s="70">
        <f>IFERROR(__xludf.DUMMYFUNCTION("""COMPUTED_VALUE"""),1.0)</f>
        <v>1</v>
      </c>
      <c r="AM284" s="70"/>
      <c r="AN284" s="71" t="str">
        <f>IFERROR(__xludf.DUMMYFUNCTION("""COMPUTED_VALUE""")," CP")</f>
        <v>CP</v>
      </c>
      <c r="AO284" s="71" t="str">
        <f>IFERROR(__xludf.DUMMYFUNCTION("""COMPUTED_VALUE""")," CA35")</f>
        <v>CA35</v>
      </c>
      <c r="AP284" s="71" t="str">
        <f>IFERROR(__xludf.DUMMYFUNCTION("""COMPUTED_VALUE""")," PZA")</f>
        <v>PZA</v>
      </c>
      <c r="AQ284" s="71" t="str">
        <f>IFERROR(__xludf.DUMMYFUNCTION("""COMPUTED_VALUE""")," REF")</f>
        <v>REF</v>
      </c>
      <c r="AR284" s="71" t="str">
        <f>IFERROR(__xludf.DUMMYFUNCTION("""COMPUTED_VALUE""")," CATARINA 17D P50 E.25MM P/CLUTCH SENC")</f>
        <v>CATARINA 17D P50 E.25MM P/CLUTCH SENC</v>
      </c>
      <c r="AS284" s="71" t="str">
        <f>IFERROR(__xludf.DUMMYFUNCTION("""COMPUTED_VALUE""")," CATARINA 17D P50 E.25MM P/CLUTCH SENC")</f>
        <v>CATARINA 17D P50 E.25MM P/CLUTCH SENC</v>
      </c>
      <c r="AT284" s="71">
        <f>IFERROR(__xludf.DUMMYFUNCTION("""COMPUTED_VALUE"""),37.0)</f>
        <v>37</v>
      </c>
      <c r="AU284" s="71"/>
      <c r="AV284" s="71"/>
      <c r="AW284" s="71"/>
      <c r="AX284" s="71"/>
      <c r="AY284" s="71">
        <f>IFERROR(__xludf.DUMMYFUNCTION("""COMPUTED_VALUE"""),551.0)</f>
        <v>551</v>
      </c>
      <c r="AZ284" s="71">
        <f>IFERROR(__xludf.DUMMYFUNCTION("""COMPUTED_VALUE"""),595.0)</f>
        <v>595</v>
      </c>
      <c r="BA284" s="71">
        <f>IFERROR(__xludf.DUMMYFUNCTION("""COMPUTED_VALUE"""),642.6)</f>
        <v>642.6</v>
      </c>
      <c r="BB284" s="71">
        <f>IFERROR(__xludf.DUMMYFUNCTION("""COMPUTED_VALUE"""),642.6)</f>
        <v>642.6</v>
      </c>
      <c r="BC284" s="71">
        <f>IFERROR(__xludf.DUMMYFUNCTION("""COMPUTED_VALUE"""),751.0)</f>
        <v>751</v>
      </c>
      <c r="BD284" s="71">
        <f>IFERROR(__xludf.DUMMYFUNCTION("""COMPUTED_VALUE"""),789.0)</f>
        <v>789</v>
      </c>
      <c r="BE284" s="71">
        <f>IFERROR(__xludf.DUMMYFUNCTION("""COMPUTED_VALUE"""),126.24000000000001)</f>
        <v>126.24</v>
      </c>
      <c r="BF284" s="71">
        <f>IFERROR(__xludf.DUMMYFUNCTION("""COMPUTED_VALUE"""),915.24)</f>
        <v>915.24</v>
      </c>
      <c r="BG284" s="71">
        <f>IFERROR(__xludf.DUMMYFUNCTION("""COMPUTED_VALUE"""),0.05059920106524634)</f>
        <v>0.05059920107</v>
      </c>
      <c r="BH284" s="71">
        <f>IFERROR(__xludf.DUMMYFUNCTION("""COMPUTED_VALUE"""),749.55)</f>
        <v>749.55</v>
      </c>
      <c r="BI284" s="71">
        <f>IFERROR(__xludf.DUMMYFUNCTION("""COMPUTED_VALUE"""),119.928)</f>
        <v>119.928</v>
      </c>
      <c r="BJ284" s="71">
        <f>IFERROR(__xludf.DUMMYFUNCTION("""COMPUTED_VALUE"""),869.478)</f>
        <v>869.478</v>
      </c>
      <c r="BK284" s="71">
        <f>IFERROR(__xludf.DUMMYFUNCTION("""COMPUTED_VALUE"""),710.1)</f>
        <v>710.1</v>
      </c>
      <c r="BL284" s="71">
        <f>IFERROR(__xludf.DUMMYFUNCTION("""COMPUTED_VALUE"""),113.616)</f>
        <v>113.616</v>
      </c>
      <c r="BM284" s="71">
        <f>IFERROR(__xludf.DUMMYFUNCTION("""COMPUTED_VALUE"""),823.716)</f>
        <v>823.716</v>
      </c>
      <c r="BN284" s="71">
        <f>IFERROR(__xludf.DUMMYFUNCTION("""COMPUTED_VALUE"""),670.65)</f>
        <v>670.65</v>
      </c>
      <c r="BO284" s="71">
        <f>IFERROR(__xludf.DUMMYFUNCTION("""COMPUTED_VALUE"""),107.304)</f>
        <v>107.304</v>
      </c>
      <c r="BP284" s="71">
        <f>IFERROR(__xludf.DUMMYFUNCTION("""COMPUTED_VALUE"""),777.954)</f>
        <v>777.954</v>
      </c>
      <c r="BQ284" s="71">
        <f>IFERROR(__xludf.DUMMYFUNCTION("""COMPUTED_VALUE"""),654.87)</f>
        <v>654.87</v>
      </c>
      <c r="BR284" s="71">
        <f>IFERROR(__xludf.DUMMYFUNCTION("""COMPUTED_VALUE"""),104.7792)</f>
        <v>104.7792</v>
      </c>
      <c r="BS284" s="71">
        <f>IFERROR(__xludf.DUMMYFUNCTION("""COMPUTED_VALUE"""),759.6492000000001)</f>
        <v>759.6492</v>
      </c>
      <c r="BT284" s="71">
        <f>IFERROR(__xludf.DUMMYFUNCTION("""COMPUTED_VALUE"""),631.2)</f>
        <v>631.2</v>
      </c>
      <c r="BU284" s="71">
        <f>IFERROR(__xludf.DUMMYFUNCTION("""COMPUTED_VALUE"""),100.992)</f>
        <v>100.992</v>
      </c>
      <c r="BV284" s="71">
        <f>IFERROR(__xludf.DUMMYFUNCTION("""COMPUTED_VALUE"""),732.192)</f>
        <v>732.192</v>
      </c>
    </row>
    <row r="285">
      <c r="A285" s="53"/>
      <c r="B285" s="53"/>
      <c r="C285" s="73" t="s">
        <v>603</v>
      </c>
      <c r="D285" s="53" t="s">
        <v>705</v>
      </c>
      <c r="E285" s="54" t="s">
        <v>38</v>
      </c>
      <c r="F285" s="54" t="s">
        <v>42</v>
      </c>
      <c r="G285" s="55" t="s">
        <v>706</v>
      </c>
      <c r="H285" s="54" t="s">
        <v>707</v>
      </c>
      <c r="I285" s="54">
        <f t="shared" si="1"/>
        <v>30</v>
      </c>
      <c r="J285" s="56"/>
      <c r="K285" s="57"/>
      <c r="L285" s="76"/>
      <c r="M285" s="59"/>
      <c r="N285" s="79">
        <v>2429.0</v>
      </c>
      <c r="O285" s="61">
        <v>2193.0</v>
      </c>
      <c r="P285" s="63">
        <v>2368.44</v>
      </c>
      <c r="Q285" s="63">
        <v>2368.44</v>
      </c>
      <c r="R285" s="64">
        <v>2487.0</v>
      </c>
      <c r="S285" s="111">
        <v>2611.0</v>
      </c>
      <c r="T285" s="65">
        <f t="shared" si="2"/>
        <v>417.76</v>
      </c>
      <c r="U285" s="65">
        <f t="shared" si="3"/>
        <v>3028.76</v>
      </c>
      <c r="V285" s="66">
        <f t="shared" si="4"/>
        <v>0.04985926819</v>
      </c>
      <c r="W285" s="67">
        <f t="shared" si="5"/>
        <v>2480.45</v>
      </c>
      <c r="X285" s="67">
        <f t="shared" si="6"/>
        <v>396.872</v>
      </c>
      <c r="Y285" s="67">
        <f t="shared" si="7"/>
        <v>2877.322</v>
      </c>
      <c r="Z285" s="67">
        <f t="shared" si="8"/>
        <v>2349.9</v>
      </c>
      <c r="AA285" s="67">
        <f t="shared" si="9"/>
        <v>375.984</v>
      </c>
      <c r="AB285" s="67">
        <f t="shared" si="10"/>
        <v>2725.884</v>
      </c>
      <c r="AC285" s="67">
        <f t="shared" si="11"/>
        <v>2219.35</v>
      </c>
      <c r="AD285" s="67">
        <f t="shared" si="12"/>
        <v>355.096</v>
      </c>
      <c r="AE285" s="67">
        <f t="shared" si="13"/>
        <v>2574.446</v>
      </c>
      <c r="AF285" s="67">
        <f t="shared" si="14"/>
        <v>2167.13</v>
      </c>
      <c r="AG285" s="67">
        <f t="shared" si="15"/>
        <v>346.7408</v>
      </c>
      <c r="AH285" s="67">
        <f t="shared" si="16"/>
        <v>2513.8708</v>
      </c>
      <c r="AI285" s="67">
        <f t="shared" si="17"/>
        <v>2088.8</v>
      </c>
      <c r="AJ285" s="68">
        <f t="shared" si="20"/>
        <v>334.208</v>
      </c>
      <c r="AK285" s="68">
        <f t="shared" si="21"/>
        <v>2423.008</v>
      </c>
      <c r="AL285" s="70">
        <f>IFERROR(__xludf.DUMMYFUNCTION("""COMPUTED_VALUE"""),1.0)</f>
        <v>1</v>
      </c>
      <c r="AM285" s="70"/>
      <c r="AN285" s="71" t="str">
        <f>IFERROR(__xludf.DUMMYFUNCTION("""COMPUTED_VALUE""")," CP")</f>
        <v>CP</v>
      </c>
      <c r="AO285" s="71" t="str">
        <f>IFERROR(__xludf.DUMMYFUNCTION("""COMPUTED_VALUE""")," CA57")</f>
        <v>CA57</v>
      </c>
      <c r="AP285" s="71" t="str">
        <f>IFERROR(__xludf.DUMMYFUNCTION("""COMPUTED_VALUE""")," PZA")</f>
        <v>PZA</v>
      </c>
      <c r="AQ285" s="71" t="str">
        <f>IFERROR(__xludf.DUMMYFUNCTION("""COMPUTED_VALUE""")," REF")</f>
        <v>REF</v>
      </c>
      <c r="AR285" s="71" t="str">
        <f>IFERROR(__xludf.DUMMYFUNCTION("""COMPUTED_VALUE""")," CATARINA 21D P40 E.1"" ARMAD CL")</f>
        <v>CATARINA 21D P40 E.1" ARMAD CL</v>
      </c>
      <c r="AS285" s="71" t="str">
        <f>IFERROR(__xludf.DUMMYFUNCTION("""COMPUTED_VALUE""")," CATARINA 21D P40 E.1"" ARMAD CL")</f>
        <v>CATARINA 21D P40 E.1" ARMAD CL</v>
      </c>
      <c r="AT285" s="71">
        <f>IFERROR(__xludf.DUMMYFUNCTION("""COMPUTED_VALUE"""),30.0)</f>
        <v>30</v>
      </c>
      <c r="AU285" s="71"/>
      <c r="AV285" s="71"/>
      <c r="AW285" s="71"/>
      <c r="AX285" s="71"/>
      <c r="AY285" s="71">
        <f>IFERROR(__xludf.DUMMYFUNCTION("""COMPUTED_VALUE"""),1139.0)</f>
        <v>1139</v>
      </c>
      <c r="AZ285" s="71">
        <f>IFERROR(__xludf.DUMMYFUNCTION("""COMPUTED_VALUE"""),1230.0)</f>
        <v>1230</v>
      </c>
      <c r="BA285" s="71">
        <f>IFERROR(__xludf.DUMMYFUNCTION("""COMPUTED_VALUE"""),1328.4)</f>
        <v>1328.4</v>
      </c>
      <c r="BB285" s="71">
        <f>IFERROR(__xludf.DUMMYFUNCTION("""COMPUTED_VALUE"""),1328.4)</f>
        <v>1328.4</v>
      </c>
      <c r="BC285" s="71">
        <f>IFERROR(__xludf.DUMMYFUNCTION("""COMPUTED_VALUE"""),1465.0)</f>
        <v>1465</v>
      </c>
      <c r="BD285" s="71">
        <f>IFERROR(__xludf.DUMMYFUNCTION("""COMPUTED_VALUE"""),1538.0)</f>
        <v>1538</v>
      </c>
      <c r="BE285" s="71">
        <f>IFERROR(__xludf.DUMMYFUNCTION("""COMPUTED_VALUE"""),246.08)</f>
        <v>246.08</v>
      </c>
      <c r="BF285" s="71">
        <f>IFERROR(__xludf.DUMMYFUNCTION("""COMPUTED_VALUE"""),1784.08)</f>
        <v>1784.08</v>
      </c>
      <c r="BG285" s="71">
        <f>IFERROR(__xludf.DUMMYFUNCTION("""COMPUTED_VALUE"""),0.049829351535836175)</f>
        <v>0.04982935154</v>
      </c>
      <c r="BH285" s="71">
        <f>IFERROR(__xludf.DUMMYFUNCTION("""COMPUTED_VALUE"""),1461.1)</f>
        <v>1461.1</v>
      </c>
      <c r="BI285" s="71">
        <f>IFERROR(__xludf.DUMMYFUNCTION("""COMPUTED_VALUE"""),233.77599999999998)</f>
        <v>233.776</v>
      </c>
      <c r="BJ285" s="71">
        <f>IFERROR(__xludf.DUMMYFUNCTION("""COMPUTED_VALUE"""),1694.876)</f>
        <v>1694.876</v>
      </c>
      <c r="BK285" s="71">
        <f>IFERROR(__xludf.DUMMYFUNCTION("""COMPUTED_VALUE"""),1384.2)</f>
        <v>1384.2</v>
      </c>
      <c r="BL285" s="71">
        <f>IFERROR(__xludf.DUMMYFUNCTION("""COMPUTED_VALUE"""),221.472)</f>
        <v>221.472</v>
      </c>
      <c r="BM285" s="71">
        <f>IFERROR(__xludf.DUMMYFUNCTION("""COMPUTED_VALUE"""),1605.672)</f>
        <v>1605.672</v>
      </c>
      <c r="BN285" s="71">
        <f>IFERROR(__xludf.DUMMYFUNCTION("""COMPUTED_VALUE"""),1307.3)</f>
        <v>1307.3</v>
      </c>
      <c r="BO285" s="71">
        <f>IFERROR(__xludf.DUMMYFUNCTION("""COMPUTED_VALUE"""),209.168)</f>
        <v>209.168</v>
      </c>
      <c r="BP285" s="71">
        <f>IFERROR(__xludf.DUMMYFUNCTION("""COMPUTED_VALUE"""),1516.4679999999998)</f>
        <v>1516.468</v>
      </c>
      <c r="BQ285" s="71">
        <f>IFERROR(__xludf.DUMMYFUNCTION("""COMPUTED_VALUE"""),1276.54)</f>
        <v>1276.54</v>
      </c>
      <c r="BR285" s="71">
        <f>IFERROR(__xludf.DUMMYFUNCTION("""COMPUTED_VALUE"""),204.2464)</f>
        <v>204.2464</v>
      </c>
      <c r="BS285" s="71">
        <f>IFERROR(__xludf.DUMMYFUNCTION("""COMPUTED_VALUE"""),1480.7864)</f>
        <v>1480.7864</v>
      </c>
      <c r="BT285" s="71">
        <f>IFERROR(__xludf.DUMMYFUNCTION("""COMPUTED_VALUE"""),1230.4)</f>
        <v>1230.4</v>
      </c>
      <c r="BU285" s="71">
        <f>IFERROR(__xludf.DUMMYFUNCTION("""COMPUTED_VALUE"""),196.86400000000003)</f>
        <v>196.864</v>
      </c>
      <c r="BV285" s="71">
        <f>IFERROR(__xludf.DUMMYFUNCTION("""COMPUTED_VALUE"""),1427.2640000000001)</f>
        <v>1427.264</v>
      </c>
    </row>
    <row r="286">
      <c r="A286" s="53"/>
      <c r="B286" s="53"/>
      <c r="C286" s="73" t="s">
        <v>603</v>
      </c>
      <c r="D286" s="53" t="s">
        <v>708</v>
      </c>
      <c r="E286" s="54" t="s">
        <v>38</v>
      </c>
      <c r="F286" s="54" t="s">
        <v>42</v>
      </c>
      <c r="G286" s="55" t="s">
        <v>709</v>
      </c>
      <c r="H286" s="55" t="s">
        <v>710</v>
      </c>
      <c r="I286" s="54">
        <f t="shared" si="1"/>
        <v>40</v>
      </c>
      <c r="J286" s="56"/>
      <c r="K286" s="57"/>
      <c r="L286" s="76"/>
      <c r="M286" s="59"/>
      <c r="N286" s="79"/>
      <c r="O286" s="61">
        <v>4047.0</v>
      </c>
      <c r="P286" s="63">
        <v>4370.76</v>
      </c>
      <c r="Q286" s="63">
        <v>4370.76</v>
      </c>
      <c r="R286" s="64">
        <v>4590.0</v>
      </c>
      <c r="S286" s="111">
        <v>4820.0</v>
      </c>
      <c r="T286" s="65">
        <f t="shared" si="2"/>
        <v>771.2</v>
      </c>
      <c r="U286" s="65">
        <f t="shared" si="3"/>
        <v>5591.2</v>
      </c>
      <c r="V286" s="66">
        <f t="shared" si="4"/>
        <v>0.05010893246</v>
      </c>
      <c r="W286" s="67">
        <f t="shared" si="5"/>
        <v>4579</v>
      </c>
      <c r="X286" s="67">
        <f t="shared" si="6"/>
        <v>732.64</v>
      </c>
      <c r="Y286" s="67">
        <f t="shared" si="7"/>
        <v>5311.64</v>
      </c>
      <c r="Z286" s="67">
        <f t="shared" si="8"/>
        <v>4338</v>
      </c>
      <c r="AA286" s="67">
        <f t="shared" si="9"/>
        <v>694.08</v>
      </c>
      <c r="AB286" s="67">
        <f t="shared" si="10"/>
        <v>5032.08</v>
      </c>
      <c r="AC286" s="67">
        <f t="shared" si="11"/>
        <v>4097</v>
      </c>
      <c r="AD286" s="67">
        <f t="shared" si="12"/>
        <v>655.52</v>
      </c>
      <c r="AE286" s="67">
        <f t="shared" si="13"/>
        <v>4752.52</v>
      </c>
      <c r="AF286" s="67">
        <f t="shared" si="14"/>
        <v>4000.6</v>
      </c>
      <c r="AG286" s="67">
        <f t="shared" si="15"/>
        <v>640.096</v>
      </c>
      <c r="AH286" s="67">
        <f t="shared" si="16"/>
        <v>4640.696</v>
      </c>
      <c r="AI286" s="67">
        <f t="shared" si="17"/>
        <v>3856</v>
      </c>
      <c r="AJ286" s="68">
        <f t="shared" si="20"/>
        <v>616.96</v>
      </c>
      <c r="AK286" s="68">
        <f t="shared" si="21"/>
        <v>4472.96</v>
      </c>
      <c r="AL286" s="70">
        <f>IFERROR(__xludf.DUMMYFUNCTION("""COMPUTED_VALUE"""),1.0)</f>
        <v>1</v>
      </c>
      <c r="AM286" s="70"/>
      <c r="AN286" s="71" t="str">
        <f>IFERROR(__xludf.DUMMYFUNCTION("""COMPUTED_VALUE""")," CP")</f>
        <v>CP</v>
      </c>
      <c r="AO286" s="71" t="str">
        <f>IFERROR(__xludf.DUMMYFUNCTION("""COMPUTED_VALUE""")," CA58")</f>
        <v>CA58</v>
      </c>
      <c r="AP286" s="71" t="str">
        <f>IFERROR(__xludf.DUMMYFUNCTION("""COMPUTED_VALUE""")," PZA")</f>
        <v>PZA</v>
      </c>
      <c r="AQ286" s="71" t="str">
        <f>IFERROR(__xludf.DUMMYFUNCTION("""COMPUTED_VALUE""")," REF")</f>
        <v>REF</v>
      </c>
      <c r="AR286" s="71" t="str">
        <f>IFERROR(__xludf.DUMMYFUNCTION("""COMPUTED_VALUE""")," CATARINA 21D P40 E.1"" P/CLUTCH")</f>
        <v>CATARINA 21D P40 E.1" P/CLUTCH</v>
      </c>
      <c r="AS286" s="71" t="str">
        <f>IFERROR(__xludf.DUMMYFUNCTION("""COMPUTED_VALUE""")," CATARINA 21D P40 E.1"" P/CLUTCH")</f>
        <v>CATARINA 21D P40 E.1" P/CLUTCH</v>
      </c>
      <c r="AT286" s="71">
        <f>IFERROR(__xludf.DUMMYFUNCTION("""COMPUTED_VALUE"""),30.0)</f>
        <v>30</v>
      </c>
      <c r="AU286" s="71"/>
      <c r="AV286" s="71"/>
      <c r="AW286" s="71"/>
      <c r="AX286" s="71"/>
      <c r="AY286" s="71">
        <f>IFERROR(__xludf.DUMMYFUNCTION("""COMPUTED_VALUE"""),445.0)</f>
        <v>445</v>
      </c>
      <c r="AZ286" s="71">
        <f>IFERROR(__xludf.DUMMYFUNCTION("""COMPUTED_VALUE"""),480.0)</f>
        <v>480</v>
      </c>
      <c r="BA286" s="71">
        <f>IFERROR(__xludf.DUMMYFUNCTION("""COMPUTED_VALUE"""),518.4000000000001)</f>
        <v>518.4</v>
      </c>
      <c r="BB286" s="71">
        <f>IFERROR(__xludf.DUMMYFUNCTION("""COMPUTED_VALUE"""),518.4000000000001)</f>
        <v>518.4</v>
      </c>
      <c r="BC286" s="71">
        <f>IFERROR(__xludf.DUMMYFUNCTION("""COMPUTED_VALUE"""),573.0)</f>
        <v>573</v>
      </c>
      <c r="BD286" s="71">
        <f>IFERROR(__xludf.DUMMYFUNCTION("""COMPUTED_VALUE"""),602.0)</f>
        <v>602</v>
      </c>
      <c r="BE286" s="71">
        <f>IFERROR(__xludf.DUMMYFUNCTION("""COMPUTED_VALUE"""),96.32000000000001)</f>
        <v>96.32</v>
      </c>
      <c r="BF286" s="71">
        <f>IFERROR(__xludf.DUMMYFUNCTION("""COMPUTED_VALUE"""),698.32)</f>
        <v>698.32</v>
      </c>
      <c r="BG286" s="71">
        <f>IFERROR(__xludf.DUMMYFUNCTION("""COMPUTED_VALUE"""),0.0506108202443281)</f>
        <v>0.05061082024</v>
      </c>
      <c r="BH286" s="71">
        <f>IFERROR(__xludf.DUMMYFUNCTION("""COMPUTED_VALUE"""),571.9)</f>
        <v>571.9</v>
      </c>
      <c r="BI286" s="71">
        <f>IFERROR(__xludf.DUMMYFUNCTION("""COMPUTED_VALUE"""),91.504)</f>
        <v>91.504</v>
      </c>
      <c r="BJ286" s="71">
        <f>IFERROR(__xludf.DUMMYFUNCTION("""COMPUTED_VALUE"""),663.404)</f>
        <v>663.404</v>
      </c>
      <c r="BK286" s="71">
        <f>IFERROR(__xludf.DUMMYFUNCTION("""COMPUTED_VALUE"""),541.8000000000001)</f>
        <v>541.8</v>
      </c>
      <c r="BL286" s="71">
        <f>IFERROR(__xludf.DUMMYFUNCTION("""COMPUTED_VALUE"""),86.68800000000002)</f>
        <v>86.688</v>
      </c>
      <c r="BM286" s="71">
        <f>IFERROR(__xludf.DUMMYFUNCTION("""COMPUTED_VALUE"""),628.488)</f>
        <v>628.488</v>
      </c>
      <c r="BN286" s="71">
        <f>IFERROR(__xludf.DUMMYFUNCTION("""COMPUTED_VALUE"""),511.7)</f>
        <v>511.7</v>
      </c>
      <c r="BO286" s="71">
        <f>IFERROR(__xludf.DUMMYFUNCTION("""COMPUTED_VALUE"""),81.872)</f>
        <v>81.872</v>
      </c>
      <c r="BP286" s="71">
        <f>IFERROR(__xludf.DUMMYFUNCTION("""COMPUTED_VALUE"""),593.572)</f>
        <v>593.572</v>
      </c>
      <c r="BQ286" s="71">
        <f>IFERROR(__xludf.DUMMYFUNCTION("""COMPUTED_VALUE"""),499.65999999999997)</f>
        <v>499.66</v>
      </c>
      <c r="BR286" s="71">
        <f>IFERROR(__xludf.DUMMYFUNCTION("""COMPUTED_VALUE"""),79.9456)</f>
        <v>79.9456</v>
      </c>
      <c r="BS286" s="71">
        <f>IFERROR(__xludf.DUMMYFUNCTION("""COMPUTED_VALUE"""),579.6056)</f>
        <v>579.6056</v>
      </c>
      <c r="BT286" s="71">
        <f>IFERROR(__xludf.DUMMYFUNCTION("""COMPUTED_VALUE"""),481.6)</f>
        <v>481.6</v>
      </c>
      <c r="BU286" s="71">
        <f>IFERROR(__xludf.DUMMYFUNCTION("""COMPUTED_VALUE"""),77.05600000000001)</f>
        <v>77.056</v>
      </c>
      <c r="BV286" s="71">
        <f>IFERROR(__xludf.DUMMYFUNCTION("""COMPUTED_VALUE"""),558.6560000000001)</f>
        <v>558.656</v>
      </c>
    </row>
    <row r="287">
      <c r="A287" s="53"/>
      <c r="B287" s="53"/>
      <c r="C287" s="73" t="s">
        <v>603</v>
      </c>
      <c r="D287" s="53" t="s">
        <v>711</v>
      </c>
      <c r="E287" s="54" t="s">
        <v>38</v>
      </c>
      <c r="F287" s="54" t="s">
        <v>42</v>
      </c>
      <c r="G287" s="55" t="s">
        <v>712</v>
      </c>
      <c r="H287" s="54" t="s">
        <v>713</v>
      </c>
      <c r="I287" s="54">
        <f t="shared" si="1"/>
        <v>30</v>
      </c>
      <c r="J287" s="56"/>
      <c r="K287" s="57"/>
      <c r="L287" s="76"/>
      <c r="M287" s="59"/>
      <c r="N287" s="79">
        <v>2049.0</v>
      </c>
      <c r="O287" s="61">
        <v>1850.0</v>
      </c>
      <c r="P287" s="63">
        <v>1998.0000000000002</v>
      </c>
      <c r="Q287" s="63">
        <v>1998.0000000000002</v>
      </c>
      <c r="R287" s="64">
        <v>2098.0</v>
      </c>
      <c r="S287" s="111">
        <v>2203.0</v>
      </c>
      <c r="T287" s="65">
        <f t="shared" si="2"/>
        <v>352.48</v>
      </c>
      <c r="U287" s="65">
        <f t="shared" si="3"/>
        <v>2555.48</v>
      </c>
      <c r="V287" s="66">
        <f t="shared" si="4"/>
        <v>0.05004766444</v>
      </c>
      <c r="W287" s="67">
        <f t="shared" si="5"/>
        <v>2092.85</v>
      </c>
      <c r="X287" s="67">
        <f t="shared" si="6"/>
        <v>334.856</v>
      </c>
      <c r="Y287" s="67">
        <f t="shared" si="7"/>
        <v>2427.706</v>
      </c>
      <c r="Z287" s="67">
        <f t="shared" si="8"/>
        <v>1982.7</v>
      </c>
      <c r="AA287" s="67">
        <f t="shared" si="9"/>
        <v>317.232</v>
      </c>
      <c r="AB287" s="67">
        <f t="shared" si="10"/>
        <v>2299.932</v>
      </c>
      <c r="AC287" s="67">
        <f t="shared" si="11"/>
        <v>1872.55</v>
      </c>
      <c r="AD287" s="67">
        <f t="shared" si="12"/>
        <v>299.608</v>
      </c>
      <c r="AE287" s="67">
        <f t="shared" si="13"/>
        <v>2172.158</v>
      </c>
      <c r="AF287" s="67">
        <f t="shared" si="14"/>
        <v>1828.49</v>
      </c>
      <c r="AG287" s="67">
        <f t="shared" si="15"/>
        <v>292.5584</v>
      </c>
      <c r="AH287" s="67">
        <f t="shared" si="16"/>
        <v>2121.0484</v>
      </c>
      <c r="AI287" s="67">
        <f t="shared" si="17"/>
        <v>1762.4</v>
      </c>
      <c r="AJ287" s="68">
        <f t="shared" si="20"/>
        <v>281.984</v>
      </c>
      <c r="AK287" s="68">
        <f t="shared" si="21"/>
        <v>2044.384</v>
      </c>
      <c r="AL287" s="70">
        <f>IFERROR(__xludf.DUMMYFUNCTION("""COMPUTED_VALUE"""),1.0)</f>
        <v>1</v>
      </c>
      <c r="AM287" s="70"/>
      <c r="AN287" s="71" t="str">
        <f>IFERROR(__xludf.DUMMYFUNCTION("""COMPUTED_VALUE""")," CP")</f>
        <v>CP</v>
      </c>
      <c r="AO287" s="71" t="str">
        <f>IFERROR(__xludf.DUMMYFUNCTION("""COMPUTED_VALUE""")," CA113")</f>
        <v>CA113</v>
      </c>
      <c r="AP287" s="71" t="str">
        <f>IFERROR(__xludf.DUMMYFUNCTION("""COMPUTED_VALUE""")," PZA")</f>
        <v>PZA</v>
      </c>
      <c r="AQ287" s="71" t="str">
        <f>IFERROR(__xludf.DUMMYFUNCTION("""COMPUTED_VALUE""")," REF")</f>
        <v>REF</v>
      </c>
      <c r="AR287" s="71" t="str">
        <f>IFERROR(__xludf.DUMMYFUNCTION("""COMPUTED_VALUE""")," CATARINA 40B10 E.3/4""")</f>
        <v>CATARINA 40B10 E.3/4"</v>
      </c>
      <c r="AS287" s="71" t="str">
        <f>IFERROR(__xludf.DUMMYFUNCTION("""COMPUTED_VALUE""")," CATARINA 40B10 E.3/4""")</f>
        <v>CATARINA 40B10 E.3/4"</v>
      </c>
      <c r="AT287" s="71">
        <f>IFERROR(__xludf.DUMMYFUNCTION("""COMPUTED_VALUE"""),21.0)</f>
        <v>21</v>
      </c>
      <c r="AU287" s="71"/>
      <c r="AV287" s="71"/>
      <c r="AW287" s="71"/>
      <c r="AX287" s="71"/>
      <c r="AY287" s="71"/>
      <c r="AZ287" s="71">
        <f>IFERROR(__xludf.DUMMYFUNCTION("""COMPUTED_VALUE"""),112.0)</f>
        <v>112</v>
      </c>
      <c r="BA287" s="71">
        <f>IFERROR(__xludf.DUMMYFUNCTION("""COMPUTED_VALUE"""),55.0)</f>
        <v>55</v>
      </c>
      <c r="BB287" s="71">
        <f>IFERROR(__xludf.DUMMYFUNCTION("""COMPUTED_VALUE"""),55.0)</f>
        <v>55</v>
      </c>
      <c r="BC287" s="71">
        <f>IFERROR(__xludf.DUMMYFUNCTION("""COMPUTED_VALUE"""),58.0)</f>
        <v>58</v>
      </c>
      <c r="BD287" s="71">
        <f>IFERROR(__xludf.DUMMYFUNCTION("""COMPUTED_VALUE"""),61.0)</f>
        <v>61</v>
      </c>
      <c r="BE287" s="71">
        <f>IFERROR(__xludf.DUMMYFUNCTION("""COMPUTED_VALUE"""),9.76)</f>
        <v>9.76</v>
      </c>
      <c r="BF287" s="71">
        <f>IFERROR(__xludf.DUMMYFUNCTION("""COMPUTED_VALUE"""),70.76)</f>
        <v>70.76</v>
      </c>
      <c r="BG287" s="71">
        <f>IFERROR(__xludf.DUMMYFUNCTION("""COMPUTED_VALUE"""),0.05172413793103448)</f>
        <v>0.05172413793</v>
      </c>
      <c r="BH287" s="71">
        <f>IFERROR(__xludf.DUMMYFUNCTION("""COMPUTED_VALUE"""),57.949999999999996)</f>
        <v>57.95</v>
      </c>
      <c r="BI287" s="71">
        <f>IFERROR(__xludf.DUMMYFUNCTION("""COMPUTED_VALUE"""),9.272)</f>
        <v>9.272</v>
      </c>
      <c r="BJ287" s="71">
        <f>IFERROR(__xludf.DUMMYFUNCTION("""COMPUTED_VALUE"""),67.222)</f>
        <v>67.222</v>
      </c>
      <c r="BK287" s="71">
        <f>IFERROR(__xludf.DUMMYFUNCTION("""COMPUTED_VALUE"""),54.9)</f>
        <v>54.9</v>
      </c>
      <c r="BL287" s="71">
        <f>IFERROR(__xludf.DUMMYFUNCTION("""COMPUTED_VALUE"""),8.784)</f>
        <v>8.784</v>
      </c>
      <c r="BM287" s="71">
        <f>IFERROR(__xludf.DUMMYFUNCTION("""COMPUTED_VALUE"""),63.684)</f>
        <v>63.684</v>
      </c>
      <c r="BN287" s="71">
        <f>IFERROR(__xludf.DUMMYFUNCTION("""COMPUTED_VALUE"""),51.85)</f>
        <v>51.85</v>
      </c>
      <c r="BO287" s="71">
        <f>IFERROR(__xludf.DUMMYFUNCTION("""COMPUTED_VALUE"""),8.296000000000001)</f>
        <v>8.296</v>
      </c>
      <c r="BP287" s="71">
        <f>IFERROR(__xludf.DUMMYFUNCTION("""COMPUTED_VALUE"""),60.146)</f>
        <v>60.146</v>
      </c>
      <c r="BQ287" s="71">
        <f>IFERROR(__xludf.DUMMYFUNCTION("""COMPUTED_VALUE"""),50.629999999999995)</f>
        <v>50.63</v>
      </c>
      <c r="BR287" s="71">
        <f>IFERROR(__xludf.DUMMYFUNCTION("""COMPUTED_VALUE"""),8.1008)</f>
        <v>8.1008</v>
      </c>
      <c r="BS287" s="71">
        <f>IFERROR(__xludf.DUMMYFUNCTION("""COMPUTED_VALUE"""),58.730799999999995)</f>
        <v>58.7308</v>
      </c>
      <c r="BT287" s="71">
        <f>IFERROR(__xludf.DUMMYFUNCTION("""COMPUTED_VALUE"""),48.800000000000004)</f>
        <v>48.8</v>
      </c>
      <c r="BU287" s="71">
        <f>IFERROR(__xludf.DUMMYFUNCTION("""COMPUTED_VALUE"""),7.808000000000001)</f>
        <v>7.808</v>
      </c>
      <c r="BV287" s="71">
        <f>IFERROR(__xludf.DUMMYFUNCTION("""COMPUTED_VALUE"""),56.608000000000004)</f>
        <v>56.608</v>
      </c>
    </row>
    <row r="288">
      <c r="A288" s="53"/>
      <c r="B288" s="53"/>
      <c r="C288" s="73" t="s">
        <v>603</v>
      </c>
      <c r="D288" s="53" t="s">
        <v>714</v>
      </c>
      <c r="E288" s="54" t="s">
        <v>38</v>
      </c>
      <c r="F288" s="54" t="s">
        <v>42</v>
      </c>
      <c r="G288" s="55" t="s">
        <v>715</v>
      </c>
      <c r="H288" s="54" t="s">
        <v>716</v>
      </c>
      <c r="I288" s="54">
        <f t="shared" si="1"/>
        <v>32</v>
      </c>
      <c r="J288" s="56"/>
      <c r="K288" s="57"/>
      <c r="L288" s="76"/>
      <c r="M288" s="59"/>
      <c r="N288" s="79">
        <v>2466.0</v>
      </c>
      <c r="O288" s="61">
        <v>2226.0</v>
      </c>
      <c r="P288" s="63">
        <v>2404.0800000000004</v>
      </c>
      <c r="Q288" s="63">
        <v>2404.0800000000004</v>
      </c>
      <c r="R288" s="64">
        <v>2525.0</v>
      </c>
      <c r="S288" s="111">
        <v>2651.0</v>
      </c>
      <c r="T288" s="65">
        <f t="shared" si="2"/>
        <v>424.16</v>
      </c>
      <c r="U288" s="65">
        <f t="shared" si="3"/>
        <v>3075.16</v>
      </c>
      <c r="V288" s="66">
        <f t="shared" si="4"/>
        <v>0.0499009901</v>
      </c>
      <c r="W288" s="67">
        <f t="shared" si="5"/>
        <v>2518.45</v>
      </c>
      <c r="X288" s="67">
        <f t="shared" si="6"/>
        <v>402.952</v>
      </c>
      <c r="Y288" s="67">
        <f t="shared" si="7"/>
        <v>2921.402</v>
      </c>
      <c r="Z288" s="67">
        <f t="shared" si="8"/>
        <v>2385.9</v>
      </c>
      <c r="AA288" s="67">
        <f t="shared" si="9"/>
        <v>381.744</v>
      </c>
      <c r="AB288" s="67">
        <f t="shared" si="10"/>
        <v>2767.644</v>
      </c>
      <c r="AC288" s="67">
        <f t="shared" si="11"/>
        <v>2253.35</v>
      </c>
      <c r="AD288" s="67">
        <f t="shared" si="12"/>
        <v>360.536</v>
      </c>
      <c r="AE288" s="67">
        <f t="shared" si="13"/>
        <v>2613.886</v>
      </c>
      <c r="AF288" s="67">
        <f t="shared" si="14"/>
        <v>2200.33</v>
      </c>
      <c r="AG288" s="67">
        <f t="shared" si="15"/>
        <v>352.0528</v>
      </c>
      <c r="AH288" s="67">
        <f t="shared" si="16"/>
        <v>2552.3828</v>
      </c>
      <c r="AI288" s="67">
        <f t="shared" si="17"/>
        <v>2120.8</v>
      </c>
      <c r="AJ288" s="68">
        <f t="shared" si="20"/>
        <v>339.328</v>
      </c>
      <c r="AK288" s="68">
        <f t="shared" si="21"/>
        <v>2460.128</v>
      </c>
      <c r="AL288" s="70">
        <f>IFERROR(__xludf.DUMMYFUNCTION("""COMPUTED_VALUE"""),1.0)</f>
        <v>1</v>
      </c>
      <c r="AM288" s="70"/>
      <c r="AN288" s="71" t="str">
        <f>IFERROR(__xludf.DUMMYFUNCTION("""COMPUTED_VALUE""")," CP")</f>
        <v>CP</v>
      </c>
      <c r="AO288" s="71" t="str">
        <f>IFERROR(__xludf.DUMMYFUNCTION("""COMPUTED_VALUE""")," CA02")</f>
        <v>CA02</v>
      </c>
      <c r="AP288" s="71" t="str">
        <f>IFERROR(__xludf.DUMMYFUNCTION("""COMPUTED_VALUE""")," PZA")</f>
        <v>PZA</v>
      </c>
      <c r="AQ288" s="71" t="str">
        <f>IFERROR(__xludf.DUMMYFUNCTION("""COMPUTED_VALUE""")," REF")</f>
        <v>REF</v>
      </c>
      <c r="AR288" s="71" t="str">
        <f>IFERROR(__xludf.DUMMYFUNCTION("""COMPUTED_VALUE""")," CATARINA 40B11 P/DESLIZADOR")</f>
        <v>CATARINA 40B11 P/DESLIZADOR</v>
      </c>
      <c r="AS288" s="71" t="str">
        <f>IFERROR(__xludf.DUMMYFUNCTION("""COMPUTED_VALUE""")," CATARINA 40B11 P/DESLIZADOR")</f>
        <v>CATARINA 40B11 P/DESLIZADOR</v>
      </c>
      <c r="AT288" s="71">
        <f>IFERROR(__xludf.DUMMYFUNCTION("""COMPUTED_VALUE"""),27.0)</f>
        <v>27</v>
      </c>
      <c r="AU288" s="71"/>
      <c r="AV288" s="71"/>
      <c r="AW288" s="71"/>
      <c r="AX288" s="71"/>
      <c r="AY288" s="71">
        <f>IFERROR(__xludf.DUMMYFUNCTION("""COMPUTED_VALUE"""),110.0)</f>
        <v>110</v>
      </c>
      <c r="AZ288" s="71">
        <f>IFERROR(__xludf.DUMMYFUNCTION("""COMPUTED_VALUE"""),118.0)</f>
        <v>118</v>
      </c>
      <c r="BA288" s="71">
        <f>IFERROR(__xludf.DUMMYFUNCTION("""COMPUTED_VALUE"""),70.0)</f>
        <v>70</v>
      </c>
      <c r="BB288" s="71">
        <f>IFERROR(__xludf.DUMMYFUNCTION("""COMPUTED_VALUE"""),70.0)</f>
        <v>70</v>
      </c>
      <c r="BC288" s="71">
        <f>IFERROR(__xludf.DUMMYFUNCTION("""COMPUTED_VALUE"""),87.0)</f>
        <v>87</v>
      </c>
      <c r="BD288" s="71">
        <f>IFERROR(__xludf.DUMMYFUNCTION("""COMPUTED_VALUE"""),91.0)</f>
        <v>91</v>
      </c>
      <c r="BE288" s="71">
        <f>IFERROR(__xludf.DUMMYFUNCTION("""COMPUTED_VALUE"""),14.56)</f>
        <v>14.56</v>
      </c>
      <c r="BF288" s="71">
        <f>IFERROR(__xludf.DUMMYFUNCTION("""COMPUTED_VALUE"""),105.56)</f>
        <v>105.56</v>
      </c>
      <c r="BG288" s="71">
        <f>IFERROR(__xludf.DUMMYFUNCTION("""COMPUTED_VALUE"""),0.04597701149425287)</f>
        <v>0.04597701149</v>
      </c>
      <c r="BH288" s="71">
        <f>IFERROR(__xludf.DUMMYFUNCTION("""COMPUTED_VALUE"""),86.45)</f>
        <v>86.45</v>
      </c>
      <c r="BI288" s="71">
        <f>IFERROR(__xludf.DUMMYFUNCTION("""COMPUTED_VALUE"""),13.832)</f>
        <v>13.832</v>
      </c>
      <c r="BJ288" s="71">
        <f>IFERROR(__xludf.DUMMYFUNCTION("""COMPUTED_VALUE"""),100.28200000000001)</f>
        <v>100.282</v>
      </c>
      <c r="BK288" s="71">
        <f>IFERROR(__xludf.DUMMYFUNCTION("""COMPUTED_VALUE"""),81.9)</f>
        <v>81.9</v>
      </c>
      <c r="BL288" s="71">
        <f>IFERROR(__xludf.DUMMYFUNCTION("""COMPUTED_VALUE"""),13.104000000000001)</f>
        <v>13.104</v>
      </c>
      <c r="BM288" s="71">
        <f>IFERROR(__xludf.DUMMYFUNCTION("""COMPUTED_VALUE"""),95.004)</f>
        <v>95.004</v>
      </c>
      <c r="BN288" s="71">
        <f>IFERROR(__xludf.DUMMYFUNCTION("""COMPUTED_VALUE"""),77.35)</f>
        <v>77.35</v>
      </c>
      <c r="BO288" s="71">
        <f>IFERROR(__xludf.DUMMYFUNCTION("""COMPUTED_VALUE"""),12.376)</f>
        <v>12.376</v>
      </c>
      <c r="BP288" s="71">
        <f>IFERROR(__xludf.DUMMYFUNCTION("""COMPUTED_VALUE"""),89.726)</f>
        <v>89.726</v>
      </c>
      <c r="BQ288" s="71">
        <f>IFERROR(__xludf.DUMMYFUNCTION("""COMPUTED_VALUE"""),75.53)</f>
        <v>75.53</v>
      </c>
      <c r="BR288" s="71">
        <f>IFERROR(__xludf.DUMMYFUNCTION("""COMPUTED_VALUE"""),12.084800000000001)</f>
        <v>12.0848</v>
      </c>
      <c r="BS288" s="71">
        <f>IFERROR(__xludf.DUMMYFUNCTION("""COMPUTED_VALUE"""),87.6148)</f>
        <v>87.6148</v>
      </c>
      <c r="BT288" s="71">
        <f>IFERROR(__xludf.DUMMYFUNCTION("""COMPUTED_VALUE"""),72.8)</f>
        <v>72.8</v>
      </c>
      <c r="BU288" s="71">
        <f>IFERROR(__xludf.DUMMYFUNCTION("""COMPUTED_VALUE"""),11.648)</f>
        <v>11.648</v>
      </c>
      <c r="BV288" s="71">
        <f>IFERROR(__xludf.DUMMYFUNCTION("""COMPUTED_VALUE"""),84.448)</f>
        <v>84.448</v>
      </c>
    </row>
    <row r="289">
      <c r="A289" s="53"/>
      <c r="B289" s="53"/>
      <c r="C289" s="73" t="s">
        <v>603</v>
      </c>
      <c r="D289" s="128" t="s">
        <v>717</v>
      </c>
      <c r="E289" s="54" t="s">
        <v>38</v>
      </c>
      <c r="F289" s="54" t="s">
        <v>42</v>
      </c>
      <c r="G289" s="132" t="s">
        <v>718</v>
      </c>
      <c r="H289" s="54" t="s">
        <v>719</v>
      </c>
      <c r="I289" s="54">
        <f t="shared" si="1"/>
        <v>31</v>
      </c>
      <c r="J289" s="56"/>
      <c r="K289" s="57"/>
      <c r="L289" s="76"/>
      <c r="M289" s="59"/>
      <c r="N289" s="79"/>
      <c r="O289" s="129">
        <v>2890.0</v>
      </c>
      <c r="P289" s="62">
        <v>3121.2000000000003</v>
      </c>
      <c r="Q289" s="63">
        <v>3121.2000000000003</v>
      </c>
      <c r="R289" s="64">
        <v>3278.0</v>
      </c>
      <c r="S289" s="111">
        <v>3442.0</v>
      </c>
      <c r="T289" s="65">
        <f t="shared" si="2"/>
        <v>550.72</v>
      </c>
      <c r="U289" s="65">
        <f t="shared" si="3"/>
        <v>3992.72</v>
      </c>
      <c r="V289" s="66">
        <f t="shared" si="4"/>
        <v>0.05003050641</v>
      </c>
      <c r="W289" s="67">
        <f t="shared" si="5"/>
        <v>3269.9</v>
      </c>
      <c r="X289" s="67">
        <f t="shared" si="6"/>
        <v>523.184</v>
      </c>
      <c r="Y289" s="67">
        <f t="shared" si="7"/>
        <v>3793.084</v>
      </c>
      <c r="Z289" s="67">
        <f t="shared" si="8"/>
        <v>3097.8</v>
      </c>
      <c r="AA289" s="67">
        <f t="shared" si="9"/>
        <v>495.648</v>
      </c>
      <c r="AB289" s="67">
        <f t="shared" si="10"/>
        <v>3593.448</v>
      </c>
      <c r="AC289" s="67">
        <f t="shared" si="11"/>
        <v>2925.7</v>
      </c>
      <c r="AD289" s="67">
        <f t="shared" si="12"/>
        <v>468.112</v>
      </c>
      <c r="AE289" s="67">
        <f t="shared" si="13"/>
        <v>3393.812</v>
      </c>
      <c r="AF289" s="67">
        <f t="shared" si="14"/>
        <v>2856.86</v>
      </c>
      <c r="AG289" s="67">
        <f t="shared" si="15"/>
        <v>457.0976</v>
      </c>
      <c r="AH289" s="67">
        <f t="shared" si="16"/>
        <v>3313.9576</v>
      </c>
      <c r="AI289" s="67">
        <f t="shared" si="17"/>
        <v>2753.6</v>
      </c>
      <c r="AJ289" s="68">
        <f t="shared" si="20"/>
        <v>440.576</v>
      </c>
      <c r="AK289" s="68">
        <f t="shared" si="21"/>
        <v>3194.176</v>
      </c>
      <c r="AL289" s="70">
        <f>IFERROR(__xludf.DUMMYFUNCTION("""COMPUTED_VALUE"""),1.0)</f>
        <v>1</v>
      </c>
      <c r="AM289" s="70"/>
      <c r="AN289" s="71" t="str">
        <f>IFERROR(__xludf.DUMMYFUNCTION("""COMPUTED_VALUE""")," E")</f>
        <v>E</v>
      </c>
      <c r="AO289" s="71" t="str">
        <f>IFERROR(__xludf.DUMMYFUNCTION("""COMPUTED_VALUE""")," CA164")</f>
        <v>CA164</v>
      </c>
      <c r="AP289" s="71" t="str">
        <f>IFERROR(__xludf.DUMMYFUNCTION("""COMPUTED_VALUE""")," PZA")</f>
        <v>PZA</v>
      </c>
      <c r="AQ289" s="71" t="str">
        <f>IFERROR(__xludf.DUMMYFUNCTION("""COMPUTED_VALUE""")," WAL")</f>
        <v>WAL</v>
      </c>
      <c r="AR289" s="71" t="str">
        <f>IFERROR(__xludf.DUMMYFUNCTION("""COMPUTED_VALUE""")," CATARINA 40B12 E.3/4""")</f>
        <v>CATARINA 40B12 E.3/4"</v>
      </c>
      <c r="AS289" s="71" t="str">
        <f>IFERROR(__xludf.DUMMYFUNCTION("""COMPUTED_VALUE""")," CATARINA 40B12 E.3/4""")</f>
        <v>CATARINA 40B12 E.3/4"</v>
      </c>
      <c r="AT289" s="71">
        <f>IFERROR(__xludf.DUMMYFUNCTION("""COMPUTED_VALUE"""),21.0)</f>
        <v>21</v>
      </c>
      <c r="AU289" s="71"/>
      <c r="AV289" s="71"/>
      <c r="AW289" s="71"/>
      <c r="AX289" s="71"/>
      <c r="AY289" s="71"/>
      <c r="AZ289" s="71">
        <f>IFERROR(__xludf.DUMMYFUNCTION("""COMPUTED_VALUE"""),295.68)</f>
        <v>295.68</v>
      </c>
      <c r="BA289" s="71">
        <f>IFERROR(__xludf.DUMMYFUNCTION("""COMPUTED_VALUE"""),60.0)</f>
        <v>60</v>
      </c>
      <c r="BB289" s="71">
        <f>IFERROR(__xludf.DUMMYFUNCTION("""COMPUTED_VALUE"""),60.0)</f>
        <v>60</v>
      </c>
      <c r="BC289" s="71">
        <f>IFERROR(__xludf.DUMMYFUNCTION("""COMPUTED_VALUE"""),63.0)</f>
        <v>63</v>
      </c>
      <c r="BD289" s="71">
        <f>IFERROR(__xludf.DUMMYFUNCTION("""COMPUTED_VALUE"""),66.0)</f>
        <v>66</v>
      </c>
      <c r="BE289" s="71">
        <f>IFERROR(__xludf.DUMMYFUNCTION("""COMPUTED_VALUE"""),10.56)</f>
        <v>10.56</v>
      </c>
      <c r="BF289" s="71">
        <f>IFERROR(__xludf.DUMMYFUNCTION("""COMPUTED_VALUE"""),76.56)</f>
        <v>76.56</v>
      </c>
      <c r="BG289" s="71">
        <f>IFERROR(__xludf.DUMMYFUNCTION("""COMPUTED_VALUE"""),0.047619047619047616)</f>
        <v>0.04761904762</v>
      </c>
      <c r="BH289" s="71">
        <f>IFERROR(__xludf.DUMMYFUNCTION("""COMPUTED_VALUE"""),62.699999999999996)</f>
        <v>62.7</v>
      </c>
      <c r="BI289" s="71">
        <f>IFERROR(__xludf.DUMMYFUNCTION("""COMPUTED_VALUE"""),10.032)</f>
        <v>10.032</v>
      </c>
      <c r="BJ289" s="71">
        <f>IFERROR(__xludf.DUMMYFUNCTION("""COMPUTED_VALUE"""),72.732)</f>
        <v>72.732</v>
      </c>
      <c r="BK289" s="71">
        <f>IFERROR(__xludf.DUMMYFUNCTION("""COMPUTED_VALUE"""),59.4)</f>
        <v>59.4</v>
      </c>
      <c r="BL289" s="71">
        <f>IFERROR(__xludf.DUMMYFUNCTION("""COMPUTED_VALUE"""),9.504)</f>
        <v>9.504</v>
      </c>
      <c r="BM289" s="71">
        <f>IFERROR(__xludf.DUMMYFUNCTION("""COMPUTED_VALUE"""),68.904)</f>
        <v>68.904</v>
      </c>
      <c r="BN289" s="71">
        <f>IFERROR(__xludf.DUMMYFUNCTION("""COMPUTED_VALUE"""),56.1)</f>
        <v>56.1</v>
      </c>
      <c r="BO289" s="71">
        <f>IFERROR(__xludf.DUMMYFUNCTION("""COMPUTED_VALUE"""),8.976)</f>
        <v>8.976</v>
      </c>
      <c r="BP289" s="71">
        <f>IFERROR(__xludf.DUMMYFUNCTION("""COMPUTED_VALUE"""),65.07600000000001)</f>
        <v>65.076</v>
      </c>
      <c r="BQ289" s="71">
        <f>IFERROR(__xludf.DUMMYFUNCTION("""COMPUTED_VALUE"""),54.779999999999994)</f>
        <v>54.78</v>
      </c>
      <c r="BR289" s="71">
        <f>IFERROR(__xludf.DUMMYFUNCTION("""COMPUTED_VALUE"""),8.7648)</f>
        <v>8.7648</v>
      </c>
      <c r="BS289" s="71">
        <f>IFERROR(__xludf.DUMMYFUNCTION("""COMPUTED_VALUE"""),63.544799999999995)</f>
        <v>63.5448</v>
      </c>
      <c r="BT289" s="71">
        <f>IFERROR(__xludf.DUMMYFUNCTION("""COMPUTED_VALUE"""),52.800000000000004)</f>
        <v>52.8</v>
      </c>
      <c r="BU289" s="71">
        <f>IFERROR(__xludf.DUMMYFUNCTION("""COMPUTED_VALUE"""),8.448)</f>
        <v>8.448</v>
      </c>
      <c r="BV289" s="71">
        <f>IFERROR(__xludf.DUMMYFUNCTION("""COMPUTED_VALUE"""),61.248000000000005)</f>
        <v>61.248</v>
      </c>
    </row>
    <row r="290">
      <c r="A290" s="53"/>
      <c r="B290" s="53"/>
      <c r="C290" s="73" t="s">
        <v>603</v>
      </c>
      <c r="D290" s="128" t="s">
        <v>720</v>
      </c>
      <c r="E290" s="54" t="s">
        <v>38</v>
      </c>
      <c r="F290" s="54" t="s">
        <v>42</v>
      </c>
      <c r="G290" s="132" t="s">
        <v>721</v>
      </c>
      <c r="H290" s="133" t="s">
        <v>722</v>
      </c>
      <c r="I290" s="54">
        <f t="shared" si="1"/>
        <v>38</v>
      </c>
      <c r="J290" s="56"/>
      <c r="K290" s="57"/>
      <c r="L290" s="76"/>
      <c r="M290" s="59"/>
      <c r="N290" s="79"/>
      <c r="O290" s="129">
        <v>19754.0</v>
      </c>
      <c r="P290" s="62">
        <v>21334.32</v>
      </c>
      <c r="Q290" s="63">
        <v>21334.32</v>
      </c>
      <c r="R290" s="64">
        <v>22401.0</v>
      </c>
      <c r="S290" s="111">
        <v>23521.0</v>
      </c>
      <c r="T290" s="65">
        <f t="shared" si="2"/>
        <v>3763.36</v>
      </c>
      <c r="U290" s="65">
        <f t="shared" si="3"/>
        <v>27284.36</v>
      </c>
      <c r="V290" s="66">
        <f t="shared" si="4"/>
        <v>0.04999776796</v>
      </c>
      <c r="W290" s="67">
        <f t="shared" si="5"/>
        <v>22344.95</v>
      </c>
      <c r="X290" s="67">
        <f t="shared" si="6"/>
        <v>3575.192</v>
      </c>
      <c r="Y290" s="67">
        <f t="shared" si="7"/>
        <v>25920.142</v>
      </c>
      <c r="Z290" s="67">
        <f t="shared" si="8"/>
        <v>21168.9</v>
      </c>
      <c r="AA290" s="67">
        <f t="shared" si="9"/>
        <v>3387.024</v>
      </c>
      <c r="AB290" s="67">
        <f t="shared" si="10"/>
        <v>24555.924</v>
      </c>
      <c r="AC290" s="67">
        <f t="shared" si="11"/>
        <v>19992.85</v>
      </c>
      <c r="AD290" s="67">
        <f t="shared" si="12"/>
        <v>3198.856</v>
      </c>
      <c r="AE290" s="67">
        <f t="shared" si="13"/>
        <v>23191.706</v>
      </c>
      <c r="AF290" s="67">
        <f t="shared" si="14"/>
        <v>19522.43</v>
      </c>
      <c r="AG290" s="67">
        <f t="shared" si="15"/>
        <v>3123.5888</v>
      </c>
      <c r="AH290" s="67">
        <f t="shared" si="16"/>
        <v>22646.0188</v>
      </c>
      <c r="AI290" s="67">
        <f t="shared" si="17"/>
        <v>18816.8</v>
      </c>
      <c r="AJ290" s="68">
        <f t="shared" si="20"/>
        <v>3010.688</v>
      </c>
      <c r="AK290" s="68">
        <f t="shared" si="21"/>
        <v>21827.488</v>
      </c>
      <c r="AL290" s="70">
        <f>IFERROR(__xludf.DUMMYFUNCTION("""COMPUTED_VALUE"""),1.0)</f>
        <v>1</v>
      </c>
      <c r="AM290" s="70"/>
      <c r="AN290" s="71" t="str">
        <f>IFERROR(__xludf.DUMMYFUNCTION("""COMPUTED_VALUE""")," E")</f>
        <v>E</v>
      </c>
      <c r="AO290" s="71" t="str">
        <f>IFERROR(__xludf.DUMMYFUNCTION("""COMPUTED_VALUE""")," CA186")</f>
        <v>CA186</v>
      </c>
      <c r="AP290" s="71" t="str">
        <f>IFERROR(__xludf.DUMMYFUNCTION("""COMPUTED_VALUE""")," PZA")</f>
        <v>PZA</v>
      </c>
      <c r="AQ290" s="71" t="str">
        <f>IFERROR(__xludf.DUMMYFUNCTION("""COMPUTED_VALUE""")," WAL")</f>
        <v>WAL</v>
      </c>
      <c r="AR290" s="71" t="str">
        <f>IFERROR(__xludf.DUMMYFUNCTION("""COMPUTED_VALUE""")," CATARINA 40B13 E.1-1/4"" C.1/4")</f>
        <v>CATARINA 40B13 E.1-1/4" C.1/4</v>
      </c>
      <c r="AS290" s="71" t="str">
        <f>IFERROR(__xludf.DUMMYFUNCTION("""COMPUTED_VALUE""")," CATARINA 40B13 E.1-1/4"" C.1/4")</f>
        <v>CATARINA 40B13 E.1-1/4" C.1/4</v>
      </c>
      <c r="AT290" s="71">
        <f>IFERROR(__xludf.DUMMYFUNCTION("""COMPUTED_VALUE"""),29.0)</f>
        <v>29</v>
      </c>
      <c r="AU290" s="71"/>
      <c r="AV290" s="71"/>
      <c r="AW290" s="71"/>
      <c r="AX290" s="71"/>
      <c r="AY290" s="71"/>
      <c r="AZ290" s="71">
        <f>IFERROR(__xludf.DUMMYFUNCTION("""COMPUTED_VALUE"""),280.8)</f>
        <v>280.8</v>
      </c>
      <c r="BA290" s="71">
        <f>IFERROR(__xludf.DUMMYFUNCTION("""COMPUTED_VALUE"""),65.0)</f>
        <v>65</v>
      </c>
      <c r="BB290" s="71">
        <f>IFERROR(__xludf.DUMMYFUNCTION("""COMPUTED_VALUE"""),65.0)</f>
        <v>65</v>
      </c>
      <c r="BC290" s="71">
        <f>IFERROR(__xludf.DUMMYFUNCTION("""COMPUTED_VALUE"""),69.0)</f>
        <v>69</v>
      </c>
      <c r="BD290" s="71">
        <f>IFERROR(__xludf.DUMMYFUNCTION("""COMPUTED_VALUE"""),72.0)</f>
        <v>72</v>
      </c>
      <c r="BE290" s="71">
        <f>IFERROR(__xludf.DUMMYFUNCTION("""COMPUTED_VALUE"""),11.52)</f>
        <v>11.52</v>
      </c>
      <c r="BF290" s="71">
        <f>IFERROR(__xludf.DUMMYFUNCTION("""COMPUTED_VALUE"""),83.52)</f>
        <v>83.52</v>
      </c>
      <c r="BG290" s="71">
        <f>IFERROR(__xludf.DUMMYFUNCTION("""COMPUTED_VALUE"""),0.043478260869565216)</f>
        <v>0.04347826087</v>
      </c>
      <c r="BH290" s="71">
        <f>IFERROR(__xludf.DUMMYFUNCTION("""COMPUTED_VALUE"""),68.39999999999999)</f>
        <v>68.4</v>
      </c>
      <c r="BI290" s="71">
        <f>IFERROR(__xludf.DUMMYFUNCTION("""COMPUTED_VALUE"""),10.943999999999999)</f>
        <v>10.944</v>
      </c>
      <c r="BJ290" s="71">
        <f>IFERROR(__xludf.DUMMYFUNCTION("""COMPUTED_VALUE"""),79.344)</f>
        <v>79.344</v>
      </c>
      <c r="BK290" s="71">
        <f>IFERROR(__xludf.DUMMYFUNCTION("""COMPUTED_VALUE"""),64.8)</f>
        <v>64.8</v>
      </c>
      <c r="BL290" s="71">
        <f>IFERROR(__xludf.DUMMYFUNCTION("""COMPUTED_VALUE"""),10.368)</f>
        <v>10.368</v>
      </c>
      <c r="BM290" s="71">
        <f>IFERROR(__xludf.DUMMYFUNCTION("""COMPUTED_VALUE"""),75.16799999999999)</f>
        <v>75.168</v>
      </c>
      <c r="BN290" s="71">
        <f>IFERROR(__xludf.DUMMYFUNCTION("""COMPUTED_VALUE"""),61.199999999999996)</f>
        <v>61.2</v>
      </c>
      <c r="BO290" s="71">
        <f>IFERROR(__xludf.DUMMYFUNCTION("""COMPUTED_VALUE"""),9.792)</f>
        <v>9.792</v>
      </c>
      <c r="BP290" s="71">
        <f>IFERROR(__xludf.DUMMYFUNCTION("""COMPUTED_VALUE"""),70.99199999999999)</f>
        <v>70.992</v>
      </c>
      <c r="BQ290" s="71">
        <f>IFERROR(__xludf.DUMMYFUNCTION("""COMPUTED_VALUE"""),59.76)</f>
        <v>59.76</v>
      </c>
      <c r="BR290" s="71">
        <f>IFERROR(__xludf.DUMMYFUNCTION("""COMPUTED_VALUE"""),9.5616)</f>
        <v>9.5616</v>
      </c>
      <c r="BS290" s="71">
        <f>IFERROR(__xludf.DUMMYFUNCTION("""COMPUTED_VALUE"""),69.3216)</f>
        <v>69.3216</v>
      </c>
      <c r="BT290" s="71">
        <f>IFERROR(__xludf.DUMMYFUNCTION("""COMPUTED_VALUE"""),57.6)</f>
        <v>57.6</v>
      </c>
      <c r="BU290" s="71">
        <f>IFERROR(__xludf.DUMMYFUNCTION("""COMPUTED_VALUE"""),9.216000000000001)</f>
        <v>9.216</v>
      </c>
      <c r="BV290" s="71">
        <f>IFERROR(__xludf.DUMMYFUNCTION("""COMPUTED_VALUE"""),66.816)</f>
        <v>66.816</v>
      </c>
    </row>
    <row r="291">
      <c r="A291" s="53">
        <v>1.0</v>
      </c>
      <c r="B291" s="72"/>
      <c r="C291" s="73" t="s">
        <v>603</v>
      </c>
      <c r="D291" s="74" t="s">
        <v>723</v>
      </c>
      <c r="E291" s="54" t="s">
        <v>38</v>
      </c>
      <c r="F291" s="54" t="s">
        <v>42</v>
      </c>
      <c r="G291" s="54" t="s">
        <v>724</v>
      </c>
      <c r="H291" s="54" t="s">
        <v>725</v>
      </c>
      <c r="I291" s="54">
        <f t="shared" si="1"/>
        <v>31</v>
      </c>
      <c r="J291" s="56"/>
      <c r="K291" s="57"/>
      <c r="L291" s="76"/>
      <c r="M291" s="59"/>
      <c r="N291" s="60">
        <v>2873.0</v>
      </c>
      <c r="O291" s="61">
        <v>2593.0</v>
      </c>
      <c r="P291" s="62">
        <v>2800.44</v>
      </c>
      <c r="Q291" s="63">
        <v>2800.44</v>
      </c>
      <c r="R291" s="64">
        <v>3118.0</v>
      </c>
      <c r="S291" s="65">
        <v>2448.0</v>
      </c>
      <c r="T291" s="65">
        <f t="shared" si="2"/>
        <v>391.68</v>
      </c>
      <c r="U291" s="65">
        <f t="shared" si="3"/>
        <v>2839.68</v>
      </c>
      <c r="V291" s="66">
        <f t="shared" si="4"/>
        <v>-0.2148813342</v>
      </c>
      <c r="W291" s="67">
        <f t="shared" si="5"/>
        <v>2325.6</v>
      </c>
      <c r="X291" s="67">
        <f t="shared" si="6"/>
        <v>372.096</v>
      </c>
      <c r="Y291" s="67">
        <f t="shared" si="7"/>
        <v>2697.696</v>
      </c>
      <c r="Z291" s="67">
        <f t="shared" si="8"/>
        <v>2203.2</v>
      </c>
      <c r="AA291" s="67">
        <f t="shared" si="9"/>
        <v>352.512</v>
      </c>
      <c r="AB291" s="67">
        <f t="shared" si="10"/>
        <v>2555.712</v>
      </c>
      <c r="AC291" s="67">
        <f t="shared" si="11"/>
        <v>2080.8</v>
      </c>
      <c r="AD291" s="67">
        <f t="shared" si="12"/>
        <v>332.928</v>
      </c>
      <c r="AE291" s="67">
        <f t="shared" si="13"/>
        <v>2413.728</v>
      </c>
      <c r="AF291" s="67">
        <f t="shared" si="14"/>
        <v>2031.84</v>
      </c>
      <c r="AG291" s="67">
        <f t="shared" si="15"/>
        <v>325.0944</v>
      </c>
      <c r="AH291" s="67">
        <f t="shared" si="16"/>
        <v>2356.9344</v>
      </c>
      <c r="AI291" s="67">
        <f t="shared" si="17"/>
        <v>1958.4</v>
      </c>
      <c r="AJ291" s="68">
        <f t="shared" si="20"/>
        <v>313.344</v>
      </c>
      <c r="AK291" s="68">
        <f t="shared" si="21"/>
        <v>2271.744</v>
      </c>
      <c r="AL291" s="70">
        <f>IFERROR(__xludf.DUMMYFUNCTION("""COMPUTED_VALUE"""),1.0)</f>
        <v>1</v>
      </c>
      <c r="AM291" s="70"/>
      <c r="AN291" s="71" t="str">
        <f>IFERROR(__xludf.DUMMYFUNCTION("""COMPUTED_VALUE""")," C")</f>
        <v>C</v>
      </c>
      <c r="AO291" s="71" t="str">
        <f>IFERROR(__xludf.DUMMYFUNCTION("""COMPUTED_VALUE""")," CA104")</f>
        <v>CA104</v>
      </c>
      <c r="AP291" s="71" t="str">
        <f>IFERROR(__xludf.DUMMYFUNCTION("""COMPUTED_VALUE""")," PZA")</f>
        <v>PZA</v>
      </c>
      <c r="AQ291" s="71" t="str">
        <f>IFERROR(__xludf.DUMMYFUNCTION("""COMPUTED_VALUE""")," REF")</f>
        <v>REF</v>
      </c>
      <c r="AR291" s="71" t="str">
        <f>IFERROR(__xludf.DUMMYFUNCTION("""COMPUTED_VALUE""")," CATARINA 40B13 E.1"" C.1/4")</f>
        <v>CATARINA 40B13 E.1" C.1/4</v>
      </c>
      <c r="AS291" s="71" t="str">
        <f>IFERROR(__xludf.DUMMYFUNCTION("""COMPUTED_VALUE""")," CATARINA 40B13 E.1"" C.1/4")</f>
        <v>CATARINA 40B13 E.1" C.1/4</v>
      </c>
      <c r="AT291" s="71">
        <f>IFERROR(__xludf.DUMMYFUNCTION("""COMPUTED_VALUE"""),25.0)</f>
        <v>25</v>
      </c>
      <c r="AU291" s="71"/>
      <c r="AV291" s="71"/>
      <c r="AW291" s="71"/>
      <c r="AX291" s="71"/>
      <c r="AY291" s="71"/>
      <c r="AZ291" s="71">
        <f>IFERROR(__xludf.DUMMYFUNCTION("""COMPUTED_VALUE"""),138.0)</f>
        <v>138</v>
      </c>
      <c r="BA291" s="71">
        <f>IFERROR(__xludf.DUMMYFUNCTION("""COMPUTED_VALUE"""),65.0)</f>
        <v>65</v>
      </c>
      <c r="BB291" s="71">
        <f>IFERROR(__xludf.DUMMYFUNCTION("""COMPUTED_VALUE"""),65.0)</f>
        <v>65</v>
      </c>
      <c r="BC291" s="71">
        <f>IFERROR(__xludf.DUMMYFUNCTION("""COMPUTED_VALUE"""),71.0)</f>
        <v>71</v>
      </c>
      <c r="BD291" s="71">
        <f>IFERROR(__xludf.DUMMYFUNCTION("""COMPUTED_VALUE"""),75.0)</f>
        <v>75</v>
      </c>
      <c r="BE291" s="71">
        <f>IFERROR(__xludf.DUMMYFUNCTION("""COMPUTED_VALUE"""),12.0)</f>
        <v>12</v>
      </c>
      <c r="BF291" s="71">
        <f>IFERROR(__xludf.DUMMYFUNCTION("""COMPUTED_VALUE"""),87.0)</f>
        <v>87</v>
      </c>
      <c r="BG291" s="71">
        <f>IFERROR(__xludf.DUMMYFUNCTION("""COMPUTED_VALUE"""),0.056338028169014086)</f>
        <v>0.05633802817</v>
      </c>
      <c r="BH291" s="71">
        <f>IFERROR(__xludf.DUMMYFUNCTION("""COMPUTED_VALUE"""),71.25)</f>
        <v>71.25</v>
      </c>
      <c r="BI291" s="71">
        <f>IFERROR(__xludf.DUMMYFUNCTION("""COMPUTED_VALUE"""),11.4)</f>
        <v>11.4</v>
      </c>
      <c r="BJ291" s="71">
        <f>IFERROR(__xludf.DUMMYFUNCTION("""COMPUTED_VALUE"""),82.65)</f>
        <v>82.65</v>
      </c>
      <c r="BK291" s="71">
        <f>IFERROR(__xludf.DUMMYFUNCTION("""COMPUTED_VALUE"""),67.5)</f>
        <v>67.5</v>
      </c>
      <c r="BL291" s="71">
        <f>IFERROR(__xludf.DUMMYFUNCTION("""COMPUTED_VALUE"""),10.8)</f>
        <v>10.8</v>
      </c>
      <c r="BM291" s="71">
        <f>IFERROR(__xludf.DUMMYFUNCTION("""COMPUTED_VALUE"""),78.3)</f>
        <v>78.3</v>
      </c>
      <c r="BN291" s="71">
        <f>IFERROR(__xludf.DUMMYFUNCTION("""COMPUTED_VALUE"""),63.75)</f>
        <v>63.75</v>
      </c>
      <c r="BO291" s="71">
        <f>IFERROR(__xludf.DUMMYFUNCTION("""COMPUTED_VALUE"""),10.200000000000001)</f>
        <v>10.2</v>
      </c>
      <c r="BP291" s="71">
        <f>IFERROR(__xludf.DUMMYFUNCTION("""COMPUTED_VALUE"""),73.95)</f>
        <v>73.95</v>
      </c>
      <c r="BQ291" s="71">
        <f>IFERROR(__xludf.DUMMYFUNCTION("""COMPUTED_VALUE"""),62.25)</f>
        <v>62.25</v>
      </c>
      <c r="BR291" s="71">
        <f>IFERROR(__xludf.DUMMYFUNCTION("""COMPUTED_VALUE"""),9.96)</f>
        <v>9.96</v>
      </c>
      <c r="BS291" s="71">
        <f>IFERROR(__xludf.DUMMYFUNCTION("""COMPUTED_VALUE"""),72.21000000000001)</f>
        <v>72.21</v>
      </c>
      <c r="BT291" s="71">
        <f>IFERROR(__xludf.DUMMYFUNCTION("""COMPUTED_VALUE"""),60.0)</f>
        <v>60</v>
      </c>
      <c r="BU291" s="71">
        <f>IFERROR(__xludf.DUMMYFUNCTION("""COMPUTED_VALUE"""),9.6)</f>
        <v>9.6</v>
      </c>
      <c r="BV291" s="71">
        <f>IFERROR(__xludf.DUMMYFUNCTION("""COMPUTED_VALUE"""),69.6)</f>
        <v>69.6</v>
      </c>
    </row>
    <row r="292">
      <c r="A292" s="53">
        <v>1.0</v>
      </c>
      <c r="B292" s="72"/>
      <c r="C292" s="73" t="s">
        <v>603</v>
      </c>
      <c r="D292" s="74" t="s">
        <v>726</v>
      </c>
      <c r="E292" s="54" t="s">
        <v>38</v>
      </c>
      <c r="F292" s="54" t="s">
        <v>42</v>
      </c>
      <c r="G292" s="54" t="s">
        <v>727</v>
      </c>
      <c r="H292" s="54" t="s">
        <v>728</v>
      </c>
      <c r="I292" s="54">
        <f t="shared" si="1"/>
        <v>31</v>
      </c>
      <c r="J292" s="56"/>
      <c r="K292" s="57"/>
      <c r="L292" s="76"/>
      <c r="M292" s="59"/>
      <c r="N292" s="60">
        <v>2902.0</v>
      </c>
      <c r="O292" s="61">
        <v>2619.0</v>
      </c>
      <c r="P292" s="62">
        <v>2828.52</v>
      </c>
      <c r="Q292" s="63">
        <v>2828.52</v>
      </c>
      <c r="R292" s="64">
        <v>3149.0</v>
      </c>
      <c r="S292" s="65">
        <v>2472.0</v>
      </c>
      <c r="T292" s="65">
        <f t="shared" si="2"/>
        <v>395.52</v>
      </c>
      <c r="U292" s="65">
        <f t="shared" si="3"/>
        <v>2867.52</v>
      </c>
      <c r="V292" s="66">
        <f t="shared" si="4"/>
        <v>-0.2149888854</v>
      </c>
      <c r="W292" s="67">
        <f t="shared" si="5"/>
        <v>2348.4</v>
      </c>
      <c r="X292" s="67">
        <f t="shared" si="6"/>
        <v>375.744</v>
      </c>
      <c r="Y292" s="67">
        <f t="shared" si="7"/>
        <v>2724.144</v>
      </c>
      <c r="Z292" s="67">
        <f t="shared" si="8"/>
        <v>2224.8</v>
      </c>
      <c r="AA292" s="67">
        <f t="shared" si="9"/>
        <v>355.968</v>
      </c>
      <c r="AB292" s="67">
        <f t="shared" si="10"/>
        <v>2580.768</v>
      </c>
      <c r="AC292" s="67">
        <f t="shared" si="11"/>
        <v>2101.2</v>
      </c>
      <c r="AD292" s="67">
        <f t="shared" si="12"/>
        <v>336.192</v>
      </c>
      <c r="AE292" s="67">
        <f t="shared" si="13"/>
        <v>2437.392</v>
      </c>
      <c r="AF292" s="67">
        <f t="shared" si="14"/>
        <v>2051.76</v>
      </c>
      <c r="AG292" s="67">
        <f t="shared" si="15"/>
        <v>328.2816</v>
      </c>
      <c r="AH292" s="67">
        <f t="shared" si="16"/>
        <v>2380.0416</v>
      </c>
      <c r="AI292" s="67">
        <f t="shared" si="17"/>
        <v>1977.6</v>
      </c>
      <c r="AJ292" s="68">
        <f t="shared" si="20"/>
        <v>316.416</v>
      </c>
      <c r="AK292" s="68">
        <f t="shared" si="21"/>
        <v>2294.016</v>
      </c>
      <c r="AL292" s="70">
        <f>IFERROR(__xludf.DUMMYFUNCTION("""COMPUTED_VALUE"""),1.0)</f>
        <v>1</v>
      </c>
      <c r="AM292" s="70"/>
      <c r="AN292" s="71" t="str">
        <f>IFERROR(__xludf.DUMMYFUNCTION("""COMPUTED_VALUE""")," CP")</f>
        <v>CP</v>
      </c>
      <c r="AO292" s="71" t="str">
        <f>IFERROR(__xludf.DUMMYFUNCTION("""COMPUTED_VALUE""")," CA99")</f>
        <v>CA99</v>
      </c>
      <c r="AP292" s="71" t="str">
        <f>IFERROR(__xludf.DUMMYFUNCTION("""COMPUTED_VALUE""")," PZA")</f>
        <v>PZA</v>
      </c>
      <c r="AQ292" s="71" t="str">
        <f>IFERROR(__xludf.DUMMYFUNCTION("""COMPUTED_VALUE""")," REF")</f>
        <v>REF</v>
      </c>
      <c r="AR292" s="71" t="str">
        <f>IFERROR(__xludf.DUMMYFUNCTION("""COMPUTED_VALUE""")," CATARINA 40B14 E.1"" C.1/4")</f>
        <v>CATARINA 40B14 E.1" C.1/4</v>
      </c>
      <c r="AS292" s="71" t="str">
        <f>IFERROR(__xludf.DUMMYFUNCTION("""COMPUTED_VALUE""")," CATARINA 40B14 E.1"" C.1/4")</f>
        <v>CATARINA 40B14 E.1" C.1/4</v>
      </c>
      <c r="AT292" s="71">
        <f>IFERROR(__xludf.DUMMYFUNCTION("""COMPUTED_VALUE"""),25.0)</f>
        <v>25</v>
      </c>
      <c r="AU292" s="71"/>
      <c r="AV292" s="71"/>
      <c r="AW292" s="71"/>
      <c r="AX292" s="71"/>
      <c r="AY292" s="71"/>
      <c r="AZ292" s="71">
        <f>IFERROR(__xludf.DUMMYFUNCTION("""COMPUTED_VALUE"""),160.0)</f>
        <v>160</v>
      </c>
      <c r="BA292" s="71">
        <f>IFERROR(__xludf.DUMMYFUNCTION("""COMPUTED_VALUE"""),70.0)</f>
        <v>70</v>
      </c>
      <c r="BB292" s="71">
        <f>IFERROR(__xludf.DUMMYFUNCTION("""COMPUTED_VALUE"""),70.0)</f>
        <v>70</v>
      </c>
      <c r="BC292" s="71">
        <f>IFERROR(__xludf.DUMMYFUNCTION("""COMPUTED_VALUE"""),76.0)</f>
        <v>76</v>
      </c>
      <c r="BD292" s="71">
        <f>IFERROR(__xludf.DUMMYFUNCTION("""COMPUTED_VALUE"""),80.0)</f>
        <v>80</v>
      </c>
      <c r="BE292" s="71">
        <f>IFERROR(__xludf.DUMMYFUNCTION("""COMPUTED_VALUE"""),12.8)</f>
        <v>12.8</v>
      </c>
      <c r="BF292" s="71">
        <f>IFERROR(__xludf.DUMMYFUNCTION("""COMPUTED_VALUE"""),92.8)</f>
        <v>92.8</v>
      </c>
      <c r="BG292" s="71">
        <f>IFERROR(__xludf.DUMMYFUNCTION("""COMPUTED_VALUE"""),0.05263157894736842)</f>
        <v>0.05263157895</v>
      </c>
      <c r="BH292" s="71">
        <f>IFERROR(__xludf.DUMMYFUNCTION("""COMPUTED_VALUE"""),76.0)</f>
        <v>76</v>
      </c>
      <c r="BI292" s="71">
        <f>IFERROR(__xludf.DUMMYFUNCTION("""COMPUTED_VALUE"""),12.16)</f>
        <v>12.16</v>
      </c>
      <c r="BJ292" s="71">
        <f>IFERROR(__xludf.DUMMYFUNCTION("""COMPUTED_VALUE"""),88.16)</f>
        <v>88.16</v>
      </c>
      <c r="BK292" s="71">
        <f>IFERROR(__xludf.DUMMYFUNCTION("""COMPUTED_VALUE"""),72.0)</f>
        <v>72</v>
      </c>
      <c r="BL292" s="71">
        <f>IFERROR(__xludf.DUMMYFUNCTION("""COMPUTED_VALUE"""),11.52)</f>
        <v>11.52</v>
      </c>
      <c r="BM292" s="71">
        <f>IFERROR(__xludf.DUMMYFUNCTION("""COMPUTED_VALUE"""),83.52)</f>
        <v>83.52</v>
      </c>
      <c r="BN292" s="71">
        <f>IFERROR(__xludf.DUMMYFUNCTION("""COMPUTED_VALUE"""),68.0)</f>
        <v>68</v>
      </c>
      <c r="BO292" s="71">
        <f>IFERROR(__xludf.DUMMYFUNCTION("""COMPUTED_VALUE"""),10.88)</f>
        <v>10.88</v>
      </c>
      <c r="BP292" s="71">
        <f>IFERROR(__xludf.DUMMYFUNCTION("""COMPUTED_VALUE"""),78.88)</f>
        <v>78.88</v>
      </c>
      <c r="BQ292" s="71">
        <f>IFERROR(__xludf.DUMMYFUNCTION("""COMPUTED_VALUE"""),66.39999999999999)</f>
        <v>66.4</v>
      </c>
      <c r="BR292" s="71">
        <f>IFERROR(__xludf.DUMMYFUNCTION("""COMPUTED_VALUE"""),10.623999999999999)</f>
        <v>10.624</v>
      </c>
      <c r="BS292" s="71">
        <f>IFERROR(__xludf.DUMMYFUNCTION("""COMPUTED_VALUE"""),77.02399999999999)</f>
        <v>77.024</v>
      </c>
      <c r="BT292" s="71">
        <f>IFERROR(__xludf.DUMMYFUNCTION("""COMPUTED_VALUE"""),64.0)</f>
        <v>64</v>
      </c>
      <c r="BU292" s="71">
        <f>IFERROR(__xludf.DUMMYFUNCTION("""COMPUTED_VALUE"""),10.24)</f>
        <v>10.24</v>
      </c>
      <c r="BV292" s="71">
        <f>IFERROR(__xludf.DUMMYFUNCTION("""COMPUTED_VALUE"""),74.24)</f>
        <v>74.24</v>
      </c>
    </row>
    <row r="293">
      <c r="A293" s="53"/>
      <c r="B293" s="53"/>
      <c r="C293" s="73" t="s">
        <v>603</v>
      </c>
      <c r="D293" s="53" t="s">
        <v>729</v>
      </c>
      <c r="E293" s="54" t="s">
        <v>38</v>
      </c>
      <c r="F293" s="54" t="s">
        <v>42</v>
      </c>
      <c r="G293" s="55" t="s">
        <v>730</v>
      </c>
      <c r="H293" s="54" t="s">
        <v>731</v>
      </c>
      <c r="I293" s="54">
        <f t="shared" si="1"/>
        <v>31</v>
      </c>
      <c r="J293" s="56"/>
      <c r="K293" s="57"/>
      <c r="L293" s="76"/>
      <c r="M293" s="59"/>
      <c r="N293" s="79">
        <v>3074.0</v>
      </c>
      <c r="O293" s="61">
        <v>2774.0</v>
      </c>
      <c r="P293" s="63">
        <v>2995.92</v>
      </c>
      <c r="Q293" s="63">
        <v>2995.92</v>
      </c>
      <c r="R293" s="64">
        <v>3146.0</v>
      </c>
      <c r="S293" s="65">
        <v>2616.0</v>
      </c>
      <c r="T293" s="65">
        <f t="shared" si="2"/>
        <v>418.56</v>
      </c>
      <c r="U293" s="65">
        <f t="shared" si="3"/>
        <v>3034.56</v>
      </c>
      <c r="V293" s="66">
        <f t="shared" si="4"/>
        <v>-0.1684678957</v>
      </c>
      <c r="W293" s="67">
        <f t="shared" si="5"/>
        <v>2485.2</v>
      </c>
      <c r="X293" s="67">
        <f t="shared" si="6"/>
        <v>397.632</v>
      </c>
      <c r="Y293" s="67">
        <f t="shared" si="7"/>
        <v>2882.832</v>
      </c>
      <c r="Z293" s="67">
        <f t="shared" si="8"/>
        <v>2354.4</v>
      </c>
      <c r="AA293" s="67">
        <f t="shared" si="9"/>
        <v>376.704</v>
      </c>
      <c r="AB293" s="67">
        <f t="shared" si="10"/>
        <v>2731.104</v>
      </c>
      <c r="AC293" s="67">
        <f t="shared" si="11"/>
        <v>2223.6</v>
      </c>
      <c r="AD293" s="67">
        <f t="shared" si="12"/>
        <v>355.776</v>
      </c>
      <c r="AE293" s="67">
        <f t="shared" si="13"/>
        <v>2579.376</v>
      </c>
      <c r="AF293" s="67">
        <f t="shared" si="14"/>
        <v>2171.28</v>
      </c>
      <c r="AG293" s="67">
        <f t="shared" si="15"/>
        <v>347.4048</v>
      </c>
      <c r="AH293" s="67">
        <f t="shared" si="16"/>
        <v>2518.6848</v>
      </c>
      <c r="AI293" s="67">
        <f t="shared" si="17"/>
        <v>2092.8</v>
      </c>
      <c r="AJ293" s="68">
        <f t="shared" si="20"/>
        <v>334.848</v>
      </c>
      <c r="AK293" s="68">
        <f t="shared" si="21"/>
        <v>2427.648</v>
      </c>
      <c r="AL293" s="70">
        <f>IFERROR(__xludf.DUMMYFUNCTION("""COMPUTED_VALUE"""),1.0)</f>
        <v>1</v>
      </c>
      <c r="AM293" s="70"/>
      <c r="AN293" s="71" t="str">
        <f>IFERROR(__xludf.DUMMYFUNCTION("""COMPUTED_VALUE""")," CP")</f>
        <v>CP</v>
      </c>
      <c r="AO293" s="71" t="str">
        <f>IFERROR(__xludf.DUMMYFUNCTION("""COMPUTED_VALUE""")," CA08")</f>
        <v>CA08</v>
      </c>
      <c r="AP293" s="71" t="str">
        <f>IFERROR(__xludf.DUMMYFUNCTION("""COMPUTED_VALUE""")," PZA")</f>
        <v>PZA</v>
      </c>
      <c r="AQ293" s="71" t="str">
        <f>IFERROR(__xludf.DUMMYFUNCTION("""COMPUTED_VALUE""")," REF")</f>
        <v>REF</v>
      </c>
      <c r="AR293" s="71" t="str">
        <f>IFERROR(__xludf.DUMMYFUNCTION("""COMPUTED_VALUE""")," CATARINA 40B15 E.1-1/4"" C.1/4")</f>
        <v>CATARINA 40B15 E.1-1/4" C.1/4</v>
      </c>
      <c r="AS293" s="71" t="str">
        <f>IFERROR(__xludf.DUMMYFUNCTION("""COMPUTED_VALUE""")," CATARINA 40B15 E.1-1/4"" C.1/4")</f>
        <v>CATARINA 40B15 E.1-1/4" C.1/4</v>
      </c>
      <c r="AT293" s="71">
        <f>IFERROR(__xludf.DUMMYFUNCTION("""COMPUTED_VALUE"""),29.0)</f>
        <v>29</v>
      </c>
      <c r="AU293" s="71"/>
      <c r="AV293" s="71"/>
      <c r="AW293" s="71"/>
      <c r="AX293" s="71"/>
      <c r="AY293" s="71">
        <f>IFERROR(__xludf.DUMMYFUNCTION("""COMPUTED_VALUE"""),149.0)</f>
        <v>149</v>
      </c>
      <c r="AZ293" s="71">
        <f>IFERROR(__xludf.DUMMYFUNCTION("""COMPUTED_VALUE"""),160.0)</f>
        <v>160</v>
      </c>
      <c r="BA293" s="71">
        <f>IFERROR(__xludf.DUMMYFUNCTION("""COMPUTED_VALUE"""),75.0)</f>
        <v>75</v>
      </c>
      <c r="BB293" s="71">
        <f>IFERROR(__xludf.DUMMYFUNCTION("""COMPUTED_VALUE"""),75.0)</f>
        <v>75</v>
      </c>
      <c r="BC293" s="71">
        <f>IFERROR(__xludf.DUMMYFUNCTION("""COMPUTED_VALUE"""),96.0)</f>
        <v>96</v>
      </c>
      <c r="BD293" s="71">
        <f>IFERROR(__xludf.DUMMYFUNCTION("""COMPUTED_VALUE"""),101.0)</f>
        <v>101</v>
      </c>
      <c r="BE293" s="71">
        <f>IFERROR(__xludf.DUMMYFUNCTION("""COMPUTED_VALUE"""),16.16)</f>
        <v>16.16</v>
      </c>
      <c r="BF293" s="71">
        <f>IFERROR(__xludf.DUMMYFUNCTION("""COMPUTED_VALUE"""),117.16)</f>
        <v>117.16</v>
      </c>
      <c r="BG293" s="71">
        <f>IFERROR(__xludf.DUMMYFUNCTION("""COMPUTED_VALUE"""),0.052083333333333336)</f>
        <v>0.05208333333</v>
      </c>
      <c r="BH293" s="71">
        <f>IFERROR(__xludf.DUMMYFUNCTION("""COMPUTED_VALUE"""),95.94999999999999)</f>
        <v>95.95</v>
      </c>
      <c r="BI293" s="71">
        <f>IFERROR(__xludf.DUMMYFUNCTION("""COMPUTED_VALUE"""),15.351999999999999)</f>
        <v>15.352</v>
      </c>
      <c r="BJ293" s="71">
        <f>IFERROR(__xludf.DUMMYFUNCTION("""COMPUTED_VALUE"""),111.30199999999999)</f>
        <v>111.302</v>
      </c>
      <c r="BK293" s="71">
        <f>IFERROR(__xludf.DUMMYFUNCTION("""COMPUTED_VALUE"""),90.9)</f>
        <v>90.9</v>
      </c>
      <c r="BL293" s="71">
        <f>IFERROR(__xludf.DUMMYFUNCTION("""COMPUTED_VALUE"""),14.544)</f>
        <v>14.544</v>
      </c>
      <c r="BM293" s="71">
        <f>IFERROR(__xludf.DUMMYFUNCTION("""COMPUTED_VALUE"""),105.444)</f>
        <v>105.444</v>
      </c>
      <c r="BN293" s="71">
        <f>IFERROR(__xludf.DUMMYFUNCTION("""COMPUTED_VALUE"""),85.85)</f>
        <v>85.85</v>
      </c>
      <c r="BO293" s="71">
        <f>IFERROR(__xludf.DUMMYFUNCTION("""COMPUTED_VALUE"""),13.735999999999999)</f>
        <v>13.736</v>
      </c>
      <c r="BP293" s="71">
        <f>IFERROR(__xludf.DUMMYFUNCTION("""COMPUTED_VALUE"""),99.586)</f>
        <v>99.586</v>
      </c>
      <c r="BQ293" s="71">
        <f>IFERROR(__xludf.DUMMYFUNCTION("""COMPUTED_VALUE"""),83.83)</f>
        <v>83.83</v>
      </c>
      <c r="BR293" s="71">
        <f>IFERROR(__xludf.DUMMYFUNCTION("""COMPUTED_VALUE"""),13.4128)</f>
        <v>13.4128</v>
      </c>
      <c r="BS293" s="71">
        <f>IFERROR(__xludf.DUMMYFUNCTION("""COMPUTED_VALUE"""),97.2428)</f>
        <v>97.2428</v>
      </c>
      <c r="BT293" s="71">
        <f>IFERROR(__xludf.DUMMYFUNCTION("""COMPUTED_VALUE"""),80.80000000000001)</f>
        <v>80.8</v>
      </c>
      <c r="BU293" s="71">
        <f>IFERROR(__xludf.DUMMYFUNCTION("""COMPUTED_VALUE"""),12.928000000000003)</f>
        <v>12.928</v>
      </c>
      <c r="BV293" s="71">
        <f>IFERROR(__xludf.DUMMYFUNCTION("""COMPUTED_VALUE"""),93.72800000000001)</f>
        <v>93.728</v>
      </c>
    </row>
    <row r="294">
      <c r="A294" s="53"/>
      <c r="B294" s="53"/>
      <c r="C294" s="73" t="s">
        <v>53</v>
      </c>
      <c r="D294" s="53" t="s">
        <v>732</v>
      </c>
      <c r="E294" s="54" t="s">
        <v>38</v>
      </c>
      <c r="F294" s="54" t="s">
        <v>42</v>
      </c>
      <c r="G294" s="55" t="s">
        <v>733</v>
      </c>
      <c r="H294" s="55" t="s">
        <v>734</v>
      </c>
      <c r="I294" s="54">
        <f t="shared" si="1"/>
        <v>40</v>
      </c>
      <c r="J294" s="56"/>
      <c r="K294" s="57"/>
      <c r="L294" s="76"/>
      <c r="M294" s="59"/>
      <c r="N294" s="60"/>
      <c r="O294" s="90"/>
      <c r="P294" s="62">
        <v>4300.74</v>
      </c>
      <c r="Q294" s="63">
        <v>4300.74</v>
      </c>
      <c r="R294" s="64">
        <v>4517.0</v>
      </c>
      <c r="S294" s="111">
        <v>4743.0</v>
      </c>
      <c r="T294" s="65">
        <f t="shared" si="2"/>
        <v>758.88</v>
      </c>
      <c r="U294" s="65">
        <f t="shared" si="3"/>
        <v>5501.88</v>
      </c>
      <c r="V294" s="66">
        <f t="shared" si="4"/>
        <v>0.05003320788</v>
      </c>
      <c r="W294" s="67">
        <f t="shared" si="5"/>
        <v>4505.85</v>
      </c>
      <c r="X294" s="67">
        <f t="shared" si="6"/>
        <v>720.936</v>
      </c>
      <c r="Y294" s="67">
        <f t="shared" si="7"/>
        <v>5226.786</v>
      </c>
      <c r="Z294" s="67">
        <f t="shared" si="8"/>
        <v>4268.7</v>
      </c>
      <c r="AA294" s="67">
        <f t="shared" si="9"/>
        <v>682.992</v>
      </c>
      <c r="AB294" s="67">
        <f t="shared" si="10"/>
        <v>4951.692</v>
      </c>
      <c r="AC294" s="67">
        <f t="shared" si="11"/>
        <v>4031.55</v>
      </c>
      <c r="AD294" s="67">
        <f t="shared" si="12"/>
        <v>645.048</v>
      </c>
      <c r="AE294" s="67">
        <f t="shared" si="13"/>
        <v>4676.598</v>
      </c>
      <c r="AF294" s="67">
        <f t="shared" si="14"/>
        <v>3936.69</v>
      </c>
      <c r="AG294" s="67">
        <f t="shared" si="15"/>
        <v>629.8704</v>
      </c>
      <c r="AH294" s="67">
        <f t="shared" si="16"/>
        <v>4566.5604</v>
      </c>
      <c r="AI294" s="67">
        <f t="shared" si="17"/>
        <v>3794.4</v>
      </c>
      <c r="AJ294" s="68">
        <f t="shared" si="20"/>
        <v>607.104</v>
      </c>
      <c r="AK294" s="68">
        <f t="shared" si="21"/>
        <v>4401.504</v>
      </c>
      <c r="AL294" s="70">
        <f>IFERROR(__xludf.DUMMYFUNCTION("""COMPUTED_VALUE"""),1.0)</f>
        <v>1</v>
      </c>
      <c r="AM294" s="70"/>
      <c r="AN294" s="71" t="str">
        <f>IFERROR(__xludf.DUMMYFUNCTION("""COMPUTED_VALUE""")," CP")</f>
        <v>CP</v>
      </c>
      <c r="AO294" s="71" t="str">
        <f>IFERROR(__xludf.DUMMYFUNCTION("""COMPUTED_VALUE""")," CA07")</f>
        <v>CA07</v>
      </c>
      <c r="AP294" s="71" t="str">
        <f>IFERROR(__xludf.DUMMYFUNCTION("""COMPUTED_VALUE""")," PZA")</f>
        <v>PZA</v>
      </c>
      <c r="AQ294" s="71" t="str">
        <f>IFERROR(__xludf.DUMMYFUNCTION("""COMPUTED_VALUE""")," REF")</f>
        <v>REF</v>
      </c>
      <c r="AR294" s="71" t="str">
        <f>IFERROR(__xludf.DUMMYFUNCTION("""COMPUTED_VALUE""")," CATARINA 40B15 E.1"" C.1/4")</f>
        <v>CATARINA 40B15 E.1" C.1/4</v>
      </c>
      <c r="AS294" s="71" t="str">
        <f>IFERROR(__xludf.DUMMYFUNCTION("""COMPUTED_VALUE""")," CATARINA 40B15 E.1"" C.1/4")</f>
        <v>CATARINA 40B15 E.1" C.1/4</v>
      </c>
      <c r="AT294" s="71">
        <f>IFERROR(__xludf.DUMMYFUNCTION("""COMPUTED_VALUE"""),25.0)</f>
        <v>25</v>
      </c>
      <c r="AU294" s="71"/>
      <c r="AV294" s="71"/>
      <c r="AW294" s="71"/>
      <c r="AX294" s="71"/>
      <c r="AY294" s="71">
        <f>IFERROR(__xludf.DUMMYFUNCTION("""COMPUTED_VALUE"""),149.0)</f>
        <v>149</v>
      </c>
      <c r="AZ294" s="71">
        <f>IFERROR(__xludf.DUMMYFUNCTION("""COMPUTED_VALUE"""),160.0)</f>
        <v>160</v>
      </c>
      <c r="BA294" s="71">
        <f>IFERROR(__xludf.DUMMYFUNCTION("""COMPUTED_VALUE"""),75.0)</f>
        <v>75</v>
      </c>
      <c r="BB294" s="71">
        <f>IFERROR(__xludf.DUMMYFUNCTION("""COMPUTED_VALUE"""),75.0)</f>
        <v>75</v>
      </c>
      <c r="BC294" s="71">
        <f>IFERROR(__xludf.DUMMYFUNCTION("""COMPUTED_VALUE"""),96.0)</f>
        <v>96</v>
      </c>
      <c r="BD294" s="71">
        <f>IFERROR(__xludf.DUMMYFUNCTION("""COMPUTED_VALUE"""),101.0)</f>
        <v>101</v>
      </c>
      <c r="BE294" s="71">
        <f>IFERROR(__xludf.DUMMYFUNCTION("""COMPUTED_VALUE"""),16.16)</f>
        <v>16.16</v>
      </c>
      <c r="BF294" s="71">
        <f>IFERROR(__xludf.DUMMYFUNCTION("""COMPUTED_VALUE"""),117.16)</f>
        <v>117.16</v>
      </c>
      <c r="BG294" s="71">
        <f>IFERROR(__xludf.DUMMYFUNCTION("""COMPUTED_VALUE"""),0.052083333333333336)</f>
        <v>0.05208333333</v>
      </c>
      <c r="BH294" s="71">
        <f>IFERROR(__xludf.DUMMYFUNCTION("""COMPUTED_VALUE"""),95.94999999999999)</f>
        <v>95.95</v>
      </c>
      <c r="BI294" s="71">
        <f>IFERROR(__xludf.DUMMYFUNCTION("""COMPUTED_VALUE"""),15.351999999999999)</f>
        <v>15.352</v>
      </c>
      <c r="BJ294" s="71">
        <f>IFERROR(__xludf.DUMMYFUNCTION("""COMPUTED_VALUE"""),111.30199999999999)</f>
        <v>111.302</v>
      </c>
      <c r="BK294" s="71">
        <f>IFERROR(__xludf.DUMMYFUNCTION("""COMPUTED_VALUE"""),90.9)</f>
        <v>90.9</v>
      </c>
      <c r="BL294" s="71">
        <f>IFERROR(__xludf.DUMMYFUNCTION("""COMPUTED_VALUE"""),14.544)</f>
        <v>14.544</v>
      </c>
      <c r="BM294" s="71">
        <f>IFERROR(__xludf.DUMMYFUNCTION("""COMPUTED_VALUE"""),105.444)</f>
        <v>105.444</v>
      </c>
      <c r="BN294" s="71">
        <f>IFERROR(__xludf.DUMMYFUNCTION("""COMPUTED_VALUE"""),85.85)</f>
        <v>85.85</v>
      </c>
      <c r="BO294" s="71">
        <f>IFERROR(__xludf.DUMMYFUNCTION("""COMPUTED_VALUE"""),13.735999999999999)</f>
        <v>13.736</v>
      </c>
      <c r="BP294" s="71">
        <f>IFERROR(__xludf.DUMMYFUNCTION("""COMPUTED_VALUE"""),99.586)</f>
        <v>99.586</v>
      </c>
      <c r="BQ294" s="71">
        <f>IFERROR(__xludf.DUMMYFUNCTION("""COMPUTED_VALUE"""),83.83)</f>
        <v>83.83</v>
      </c>
      <c r="BR294" s="71">
        <f>IFERROR(__xludf.DUMMYFUNCTION("""COMPUTED_VALUE"""),13.4128)</f>
        <v>13.4128</v>
      </c>
      <c r="BS294" s="71">
        <f>IFERROR(__xludf.DUMMYFUNCTION("""COMPUTED_VALUE"""),97.2428)</f>
        <v>97.2428</v>
      </c>
      <c r="BT294" s="71">
        <f>IFERROR(__xludf.DUMMYFUNCTION("""COMPUTED_VALUE"""),80.80000000000001)</f>
        <v>80.8</v>
      </c>
      <c r="BU294" s="71">
        <f>IFERROR(__xludf.DUMMYFUNCTION("""COMPUTED_VALUE"""),12.928000000000003)</f>
        <v>12.928</v>
      </c>
      <c r="BV294" s="71">
        <f>IFERROR(__xludf.DUMMYFUNCTION("""COMPUTED_VALUE"""),93.72800000000001)</f>
        <v>93.728</v>
      </c>
    </row>
    <row r="295">
      <c r="A295" s="53">
        <v>1.0</v>
      </c>
      <c r="B295" s="72"/>
      <c r="C295" s="73" t="s">
        <v>603</v>
      </c>
      <c r="D295" s="74" t="s">
        <v>735</v>
      </c>
      <c r="E295" s="54" t="s">
        <v>38</v>
      </c>
      <c r="F295" s="54" t="s">
        <v>42</v>
      </c>
      <c r="G295" s="54" t="s">
        <v>736</v>
      </c>
      <c r="H295" s="54" t="s">
        <v>737</v>
      </c>
      <c r="I295" s="54">
        <f t="shared" si="1"/>
        <v>30</v>
      </c>
      <c r="J295" s="56"/>
      <c r="K295" s="57"/>
      <c r="L295" s="76"/>
      <c r="M295" s="59"/>
      <c r="N295" s="60">
        <v>2029.0</v>
      </c>
      <c r="O295" s="61">
        <v>1832.0</v>
      </c>
      <c r="P295" s="62">
        <v>1978.5600000000002</v>
      </c>
      <c r="Q295" s="63">
        <v>1978.5600000000002</v>
      </c>
      <c r="R295" s="64">
        <v>2203.0</v>
      </c>
      <c r="S295" s="65">
        <v>1728.0</v>
      </c>
      <c r="T295" s="65">
        <f t="shared" si="2"/>
        <v>276.48</v>
      </c>
      <c r="U295" s="65">
        <f t="shared" si="3"/>
        <v>2004.48</v>
      </c>
      <c r="V295" s="66">
        <f t="shared" si="4"/>
        <v>-0.2156150704</v>
      </c>
      <c r="W295" s="67">
        <f t="shared" si="5"/>
        <v>1641.6</v>
      </c>
      <c r="X295" s="67">
        <f t="shared" si="6"/>
        <v>262.656</v>
      </c>
      <c r="Y295" s="67">
        <f t="shared" si="7"/>
        <v>1904.256</v>
      </c>
      <c r="Z295" s="67">
        <f t="shared" si="8"/>
        <v>1555.2</v>
      </c>
      <c r="AA295" s="67">
        <f t="shared" si="9"/>
        <v>248.832</v>
      </c>
      <c r="AB295" s="67">
        <f t="shared" si="10"/>
        <v>1804.032</v>
      </c>
      <c r="AC295" s="67">
        <f t="shared" si="11"/>
        <v>1468.8</v>
      </c>
      <c r="AD295" s="67">
        <f t="shared" si="12"/>
        <v>235.008</v>
      </c>
      <c r="AE295" s="67">
        <f t="shared" si="13"/>
        <v>1703.808</v>
      </c>
      <c r="AF295" s="67">
        <f t="shared" si="14"/>
        <v>1434.24</v>
      </c>
      <c r="AG295" s="67">
        <f t="shared" si="15"/>
        <v>229.4784</v>
      </c>
      <c r="AH295" s="67">
        <f t="shared" si="16"/>
        <v>1663.7184</v>
      </c>
      <c r="AI295" s="67">
        <f t="shared" si="17"/>
        <v>1382.4</v>
      </c>
      <c r="AJ295" s="68">
        <f t="shared" si="20"/>
        <v>221.184</v>
      </c>
      <c r="AK295" s="68">
        <f t="shared" si="21"/>
        <v>1603.584</v>
      </c>
      <c r="AL295" s="70">
        <f>IFERROR(__xludf.DUMMYFUNCTION("""COMPUTED_VALUE"""),1.0)</f>
        <v>1</v>
      </c>
      <c r="AM295" s="70"/>
      <c r="AN295" s="71" t="str">
        <f>IFERROR(__xludf.DUMMYFUNCTION("""COMPUTED_VALUE""")," CP")</f>
        <v>CP</v>
      </c>
      <c r="AO295" s="71" t="str">
        <f>IFERROR(__xludf.DUMMYFUNCTION("""COMPUTED_VALUE""")," CA09")</f>
        <v>CA09</v>
      </c>
      <c r="AP295" s="71" t="str">
        <f>IFERROR(__xludf.DUMMYFUNCTION("""COMPUTED_VALUE""")," PZA")</f>
        <v>PZA</v>
      </c>
      <c r="AQ295" s="71" t="str">
        <f>IFERROR(__xludf.DUMMYFUNCTION("""COMPUTED_VALUE""")," REF")</f>
        <v>REF</v>
      </c>
      <c r="AR295" s="71" t="str">
        <f>IFERROR(__xludf.DUMMYFUNCTION("""COMPUTED_VALUE""")," CATARINA 40B15 E.15/16""")</f>
        <v>CATARINA 40B15 E.15/16"</v>
      </c>
      <c r="AS295" s="71" t="str">
        <f>IFERROR(__xludf.DUMMYFUNCTION("""COMPUTED_VALUE""")," CATARINA 40B15 E.15/16""")</f>
        <v>CATARINA 40B15 E.15/16"</v>
      </c>
      <c r="AT295" s="71">
        <f>IFERROR(__xludf.DUMMYFUNCTION("""COMPUTED_VALUE"""),23.0)</f>
        <v>23</v>
      </c>
      <c r="AU295" s="71"/>
      <c r="AV295" s="71"/>
      <c r="AW295" s="71"/>
      <c r="AX295" s="71"/>
      <c r="AY295" s="71">
        <f>IFERROR(__xludf.DUMMYFUNCTION("""COMPUTED_VALUE"""),149.0)</f>
        <v>149</v>
      </c>
      <c r="AZ295" s="71">
        <f>IFERROR(__xludf.DUMMYFUNCTION("""COMPUTED_VALUE"""),160.0)</f>
        <v>160</v>
      </c>
      <c r="BA295" s="71">
        <f>IFERROR(__xludf.DUMMYFUNCTION("""COMPUTED_VALUE"""),75.0)</f>
        <v>75</v>
      </c>
      <c r="BB295" s="71">
        <f>IFERROR(__xludf.DUMMYFUNCTION("""COMPUTED_VALUE"""),75.0)</f>
        <v>75</v>
      </c>
      <c r="BC295" s="71">
        <f>IFERROR(__xludf.DUMMYFUNCTION("""COMPUTED_VALUE"""),96.0)</f>
        <v>96</v>
      </c>
      <c r="BD295" s="71">
        <f>IFERROR(__xludf.DUMMYFUNCTION("""COMPUTED_VALUE"""),101.0)</f>
        <v>101</v>
      </c>
      <c r="BE295" s="71">
        <f>IFERROR(__xludf.DUMMYFUNCTION("""COMPUTED_VALUE"""),16.16)</f>
        <v>16.16</v>
      </c>
      <c r="BF295" s="71">
        <f>IFERROR(__xludf.DUMMYFUNCTION("""COMPUTED_VALUE"""),117.16)</f>
        <v>117.16</v>
      </c>
      <c r="BG295" s="71">
        <f>IFERROR(__xludf.DUMMYFUNCTION("""COMPUTED_VALUE"""),0.052083333333333336)</f>
        <v>0.05208333333</v>
      </c>
      <c r="BH295" s="71">
        <f>IFERROR(__xludf.DUMMYFUNCTION("""COMPUTED_VALUE"""),95.94999999999999)</f>
        <v>95.95</v>
      </c>
      <c r="BI295" s="71">
        <f>IFERROR(__xludf.DUMMYFUNCTION("""COMPUTED_VALUE"""),15.351999999999999)</f>
        <v>15.352</v>
      </c>
      <c r="BJ295" s="71">
        <f>IFERROR(__xludf.DUMMYFUNCTION("""COMPUTED_VALUE"""),111.30199999999999)</f>
        <v>111.302</v>
      </c>
      <c r="BK295" s="71">
        <f>IFERROR(__xludf.DUMMYFUNCTION("""COMPUTED_VALUE"""),90.9)</f>
        <v>90.9</v>
      </c>
      <c r="BL295" s="71">
        <f>IFERROR(__xludf.DUMMYFUNCTION("""COMPUTED_VALUE"""),14.544)</f>
        <v>14.544</v>
      </c>
      <c r="BM295" s="71">
        <f>IFERROR(__xludf.DUMMYFUNCTION("""COMPUTED_VALUE"""),105.444)</f>
        <v>105.444</v>
      </c>
      <c r="BN295" s="71">
        <f>IFERROR(__xludf.DUMMYFUNCTION("""COMPUTED_VALUE"""),85.85)</f>
        <v>85.85</v>
      </c>
      <c r="BO295" s="71">
        <f>IFERROR(__xludf.DUMMYFUNCTION("""COMPUTED_VALUE"""),13.735999999999999)</f>
        <v>13.736</v>
      </c>
      <c r="BP295" s="71">
        <f>IFERROR(__xludf.DUMMYFUNCTION("""COMPUTED_VALUE"""),99.586)</f>
        <v>99.586</v>
      </c>
      <c r="BQ295" s="71">
        <f>IFERROR(__xludf.DUMMYFUNCTION("""COMPUTED_VALUE"""),83.83)</f>
        <v>83.83</v>
      </c>
      <c r="BR295" s="71">
        <f>IFERROR(__xludf.DUMMYFUNCTION("""COMPUTED_VALUE"""),13.4128)</f>
        <v>13.4128</v>
      </c>
      <c r="BS295" s="71">
        <f>IFERROR(__xludf.DUMMYFUNCTION("""COMPUTED_VALUE"""),97.2428)</f>
        <v>97.2428</v>
      </c>
      <c r="BT295" s="71">
        <f>IFERROR(__xludf.DUMMYFUNCTION("""COMPUTED_VALUE"""),80.80000000000001)</f>
        <v>80.8</v>
      </c>
      <c r="BU295" s="71">
        <f>IFERROR(__xludf.DUMMYFUNCTION("""COMPUTED_VALUE"""),12.928000000000003)</f>
        <v>12.928</v>
      </c>
      <c r="BV295" s="71">
        <f>IFERROR(__xludf.DUMMYFUNCTION("""COMPUTED_VALUE"""),93.72800000000001)</f>
        <v>93.728</v>
      </c>
    </row>
    <row r="296">
      <c r="A296" s="53">
        <v>1.0</v>
      </c>
      <c r="B296" s="72"/>
      <c r="C296" s="73" t="s">
        <v>603</v>
      </c>
      <c r="D296" s="74" t="s">
        <v>738</v>
      </c>
      <c r="E296" s="54" t="s">
        <v>38</v>
      </c>
      <c r="F296" s="54" t="s">
        <v>42</v>
      </c>
      <c r="G296" s="54" t="s">
        <v>739</v>
      </c>
      <c r="H296" s="54" t="s">
        <v>740</v>
      </c>
      <c r="I296" s="54">
        <f t="shared" si="1"/>
        <v>30</v>
      </c>
      <c r="J296" s="56"/>
      <c r="K296" s="57"/>
      <c r="L296" s="76"/>
      <c r="M296" s="59"/>
      <c r="N296" s="60">
        <v>2308.0</v>
      </c>
      <c r="O296" s="61">
        <v>2083.0</v>
      </c>
      <c r="P296" s="62">
        <v>2249.6400000000003</v>
      </c>
      <c r="Q296" s="63">
        <v>2249.6400000000003</v>
      </c>
      <c r="R296" s="64">
        <v>2505.0</v>
      </c>
      <c r="S296" s="65">
        <v>1968.0</v>
      </c>
      <c r="T296" s="65">
        <f t="shared" si="2"/>
        <v>314.88</v>
      </c>
      <c r="U296" s="65">
        <f t="shared" si="3"/>
        <v>2282.88</v>
      </c>
      <c r="V296" s="66">
        <f t="shared" si="4"/>
        <v>-0.2143712575</v>
      </c>
      <c r="W296" s="67">
        <f t="shared" si="5"/>
        <v>1869.6</v>
      </c>
      <c r="X296" s="67">
        <f t="shared" si="6"/>
        <v>299.136</v>
      </c>
      <c r="Y296" s="67">
        <f t="shared" si="7"/>
        <v>2168.736</v>
      </c>
      <c r="Z296" s="67">
        <f t="shared" si="8"/>
        <v>1771.2</v>
      </c>
      <c r="AA296" s="67">
        <f t="shared" si="9"/>
        <v>283.392</v>
      </c>
      <c r="AB296" s="67">
        <f t="shared" si="10"/>
        <v>2054.592</v>
      </c>
      <c r="AC296" s="67">
        <f t="shared" si="11"/>
        <v>1672.8</v>
      </c>
      <c r="AD296" s="67">
        <f t="shared" si="12"/>
        <v>267.648</v>
      </c>
      <c r="AE296" s="67">
        <f t="shared" si="13"/>
        <v>1940.448</v>
      </c>
      <c r="AF296" s="67">
        <f t="shared" si="14"/>
        <v>1633.44</v>
      </c>
      <c r="AG296" s="67">
        <f t="shared" si="15"/>
        <v>261.3504</v>
      </c>
      <c r="AH296" s="67">
        <f t="shared" si="16"/>
        <v>1894.7904</v>
      </c>
      <c r="AI296" s="67">
        <f t="shared" si="17"/>
        <v>1574.4</v>
      </c>
      <c r="AJ296" s="68">
        <f t="shared" si="20"/>
        <v>251.904</v>
      </c>
      <c r="AK296" s="68">
        <f t="shared" si="21"/>
        <v>1826.304</v>
      </c>
      <c r="AL296" s="70">
        <f>IFERROR(__xludf.DUMMYFUNCTION("""COMPUTED_VALUE"""),1.0)</f>
        <v>1</v>
      </c>
      <c r="AM296" s="70"/>
      <c r="AN296" s="71" t="str">
        <f>IFERROR(__xludf.DUMMYFUNCTION("""COMPUTED_VALUE""")," C")</f>
        <v>C</v>
      </c>
      <c r="AO296" s="71" t="str">
        <f>IFERROR(__xludf.DUMMYFUNCTION("""COMPUTED_VALUE""")," CA114")</f>
        <v>CA114</v>
      </c>
      <c r="AP296" s="71" t="str">
        <f>IFERROR(__xludf.DUMMYFUNCTION("""COMPUTED_VALUE""")," PZA")</f>
        <v>PZA</v>
      </c>
      <c r="AQ296" s="71" t="str">
        <f>IFERROR(__xludf.DUMMYFUNCTION("""COMPUTED_VALUE""")," REF")</f>
        <v>REF</v>
      </c>
      <c r="AR296" s="71" t="str">
        <f>IFERROR(__xludf.DUMMYFUNCTION("""COMPUTED_VALUE""")," CATARINA 40B15 E.25MM C.1/4")</f>
        <v>CATARINA 40B15 E.25MM C.1/4</v>
      </c>
      <c r="AS296" s="71" t="str">
        <f>IFERROR(__xludf.DUMMYFUNCTION("""COMPUTED_VALUE""")," CATARINA 40B15 E.25MM C.1/4")</f>
        <v>CATARINA 40B15 E.25MM C.1/4</v>
      </c>
      <c r="AT296" s="71">
        <f>IFERROR(__xludf.DUMMYFUNCTION("""COMPUTED_VALUE"""),27.0)</f>
        <v>27</v>
      </c>
      <c r="AU296" s="71"/>
      <c r="AV296" s="71"/>
      <c r="AW296" s="71"/>
      <c r="AX296" s="71"/>
      <c r="AY296" s="71"/>
      <c r="AZ296" s="71"/>
      <c r="BA296" s="71">
        <f>IFERROR(__xludf.DUMMYFUNCTION("""COMPUTED_VALUE"""),75.0)</f>
        <v>75</v>
      </c>
      <c r="BB296" s="71">
        <f>IFERROR(__xludf.DUMMYFUNCTION("""COMPUTED_VALUE"""),75.0)</f>
        <v>75</v>
      </c>
      <c r="BC296" s="71">
        <f>IFERROR(__xludf.DUMMYFUNCTION("""COMPUTED_VALUE"""),81.0)</f>
        <v>81</v>
      </c>
      <c r="BD296" s="71">
        <f>IFERROR(__xludf.DUMMYFUNCTION("""COMPUTED_VALUE"""),85.0)</f>
        <v>85</v>
      </c>
      <c r="BE296" s="71">
        <f>IFERROR(__xludf.DUMMYFUNCTION("""COMPUTED_VALUE"""),13.6)</f>
        <v>13.6</v>
      </c>
      <c r="BF296" s="71">
        <f>IFERROR(__xludf.DUMMYFUNCTION("""COMPUTED_VALUE"""),98.6)</f>
        <v>98.6</v>
      </c>
      <c r="BG296" s="71">
        <f>IFERROR(__xludf.DUMMYFUNCTION("""COMPUTED_VALUE"""),0.04938271604938271)</f>
        <v>0.04938271605</v>
      </c>
      <c r="BH296" s="71">
        <f>IFERROR(__xludf.DUMMYFUNCTION("""COMPUTED_VALUE"""),80.75)</f>
        <v>80.75</v>
      </c>
      <c r="BI296" s="71">
        <f>IFERROR(__xludf.DUMMYFUNCTION("""COMPUTED_VALUE"""),12.92)</f>
        <v>12.92</v>
      </c>
      <c r="BJ296" s="71">
        <f>IFERROR(__xludf.DUMMYFUNCTION("""COMPUTED_VALUE"""),93.67)</f>
        <v>93.67</v>
      </c>
      <c r="BK296" s="71">
        <f>IFERROR(__xludf.DUMMYFUNCTION("""COMPUTED_VALUE"""),76.5)</f>
        <v>76.5</v>
      </c>
      <c r="BL296" s="71">
        <f>IFERROR(__xludf.DUMMYFUNCTION("""COMPUTED_VALUE"""),12.24)</f>
        <v>12.24</v>
      </c>
      <c r="BM296" s="71">
        <f>IFERROR(__xludf.DUMMYFUNCTION("""COMPUTED_VALUE"""),88.74)</f>
        <v>88.74</v>
      </c>
      <c r="BN296" s="71">
        <f>IFERROR(__xludf.DUMMYFUNCTION("""COMPUTED_VALUE"""),72.25)</f>
        <v>72.25</v>
      </c>
      <c r="BO296" s="71">
        <f>IFERROR(__xludf.DUMMYFUNCTION("""COMPUTED_VALUE"""),11.56)</f>
        <v>11.56</v>
      </c>
      <c r="BP296" s="71">
        <f>IFERROR(__xludf.DUMMYFUNCTION("""COMPUTED_VALUE"""),83.81)</f>
        <v>83.81</v>
      </c>
      <c r="BQ296" s="71">
        <f>IFERROR(__xludf.DUMMYFUNCTION("""COMPUTED_VALUE"""),70.55)</f>
        <v>70.55</v>
      </c>
      <c r="BR296" s="71">
        <f>IFERROR(__xludf.DUMMYFUNCTION("""COMPUTED_VALUE"""),11.288)</f>
        <v>11.288</v>
      </c>
      <c r="BS296" s="71">
        <f>IFERROR(__xludf.DUMMYFUNCTION("""COMPUTED_VALUE"""),81.838)</f>
        <v>81.838</v>
      </c>
      <c r="BT296" s="71">
        <f>IFERROR(__xludf.DUMMYFUNCTION("""COMPUTED_VALUE"""),68.0)</f>
        <v>68</v>
      </c>
      <c r="BU296" s="71">
        <f>IFERROR(__xludf.DUMMYFUNCTION("""COMPUTED_VALUE"""),10.88)</f>
        <v>10.88</v>
      </c>
      <c r="BV296" s="71">
        <f>IFERROR(__xludf.DUMMYFUNCTION("""COMPUTED_VALUE"""),78.88)</f>
        <v>78.88</v>
      </c>
    </row>
    <row r="297">
      <c r="A297" s="53">
        <v>1.0</v>
      </c>
      <c r="B297" s="72"/>
      <c r="C297" s="73" t="s">
        <v>603</v>
      </c>
      <c r="D297" s="74" t="s">
        <v>741</v>
      </c>
      <c r="E297" s="54" t="s">
        <v>38</v>
      </c>
      <c r="F297" s="54" t="s">
        <v>42</v>
      </c>
      <c r="G297" s="54" t="s">
        <v>742</v>
      </c>
      <c r="H297" s="54" t="s">
        <v>743</v>
      </c>
      <c r="I297" s="54">
        <f t="shared" si="1"/>
        <v>30</v>
      </c>
      <c r="J297" s="56"/>
      <c r="K297" s="57"/>
      <c r="L297" s="76"/>
      <c r="M297" s="59"/>
      <c r="N297" s="60">
        <v>2338.0</v>
      </c>
      <c r="O297" s="61">
        <v>2110.0</v>
      </c>
      <c r="P297" s="62">
        <v>2278.8</v>
      </c>
      <c r="Q297" s="63">
        <v>2278.8</v>
      </c>
      <c r="R297" s="64">
        <v>2537.0</v>
      </c>
      <c r="S297" s="65">
        <v>1992.0</v>
      </c>
      <c r="T297" s="65">
        <f t="shared" si="2"/>
        <v>318.72</v>
      </c>
      <c r="U297" s="65">
        <f t="shared" si="3"/>
        <v>2310.72</v>
      </c>
      <c r="V297" s="66">
        <f t="shared" si="4"/>
        <v>-0.2148206543</v>
      </c>
      <c r="W297" s="67">
        <f t="shared" si="5"/>
        <v>1892.4</v>
      </c>
      <c r="X297" s="67">
        <f t="shared" si="6"/>
        <v>302.784</v>
      </c>
      <c r="Y297" s="67">
        <f t="shared" si="7"/>
        <v>2195.184</v>
      </c>
      <c r="Z297" s="67">
        <f t="shared" si="8"/>
        <v>1792.8</v>
      </c>
      <c r="AA297" s="67">
        <f t="shared" si="9"/>
        <v>286.848</v>
      </c>
      <c r="AB297" s="67">
        <f t="shared" si="10"/>
        <v>2079.648</v>
      </c>
      <c r="AC297" s="67">
        <f t="shared" si="11"/>
        <v>1693.2</v>
      </c>
      <c r="AD297" s="67">
        <f t="shared" si="12"/>
        <v>270.912</v>
      </c>
      <c r="AE297" s="67">
        <f t="shared" si="13"/>
        <v>1964.112</v>
      </c>
      <c r="AF297" s="67">
        <f t="shared" si="14"/>
        <v>1653.36</v>
      </c>
      <c r="AG297" s="67">
        <f t="shared" si="15"/>
        <v>264.5376</v>
      </c>
      <c r="AH297" s="67">
        <f t="shared" si="16"/>
        <v>1917.8976</v>
      </c>
      <c r="AI297" s="67">
        <f t="shared" si="17"/>
        <v>1593.6</v>
      </c>
      <c r="AJ297" s="68">
        <f t="shared" si="20"/>
        <v>254.976</v>
      </c>
      <c r="AK297" s="68">
        <f t="shared" si="21"/>
        <v>1848.576</v>
      </c>
      <c r="AL297" s="70">
        <f>IFERROR(__xludf.DUMMYFUNCTION("""COMPUTED_VALUE"""),1.0)</f>
        <v>1</v>
      </c>
      <c r="AM297" s="70"/>
      <c r="AN297" s="71" t="str">
        <f>IFERROR(__xludf.DUMMYFUNCTION("""COMPUTED_VALUE""")," CP")</f>
        <v>CP</v>
      </c>
      <c r="AO297" s="71" t="str">
        <f>IFERROR(__xludf.DUMMYFUNCTION("""COMPUTED_VALUE""")," CA10")</f>
        <v>CA10</v>
      </c>
      <c r="AP297" s="71" t="str">
        <f>IFERROR(__xludf.DUMMYFUNCTION("""COMPUTED_VALUE""")," PZA")</f>
        <v>PZA</v>
      </c>
      <c r="AQ297" s="71" t="str">
        <f>IFERROR(__xludf.DUMMYFUNCTION("""COMPUTED_VALUE""")," REF")</f>
        <v>REF</v>
      </c>
      <c r="AR297" s="71" t="str">
        <f>IFERROR(__xludf.DUMMYFUNCTION("""COMPUTED_VALUE""")," CATARINA 40B15 E.3/4""")</f>
        <v>CATARINA 40B15 E.3/4"</v>
      </c>
      <c r="AS297" s="71" t="str">
        <f>IFERROR(__xludf.DUMMYFUNCTION("""COMPUTED_VALUE""")," CATARINA 40B15 E.3/4""")</f>
        <v>CATARINA 40B15 E.3/4"</v>
      </c>
      <c r="AT297" s="71">
        <f>IFERROR(__xludf.DUMMYFUNCTION("""COMPUTED_VALUE"""),21.0)</f>
        <v>21</v>
      </c>
      <c r="AU297" s="71"/>
      <c r="AV297" s="71"/>
      <c r="AW297" s="71"/>
      <c r="AX297" s="71"/>
      <c r="AY297" s="71">
        <f>IFERROR(__xludf.DUMMYFUNCTION("""COMPUTED_VALUE"""),149.0)</f>
        <v>149</v>
      </c>
      <c r="AZ297" s="71">
        <f>IFERROR(__xludf.DUMMYFUNCTION("""COMPUTED_VALUE"""),160.0)</f>
        <v>160</v>
      </c>
      <c r="BA297" s="71">
        <f>IFERROR(__xludf.DUMMYFUNCTION("""COMPUTED_VALUE"""),75.0)</f>
        <v>75</v>
      </c>
      <c r="BB297" s="71">
        <f>IFERROR(__xludf.DUMMYFUNCTION("""COMPUTED_VALUE"""),75.0)</f>
        <v>75</v>
      </c>
      <c r="BC297" s="71">
        <f>IFERROR(__xludf.DUMMYFUNCTION("""COMPUTED_VALUE"""),96.0)</f>
        <v>96</v>
      </c>
      <c r="BD297" s="71">
        <f>IFERROR(__xludf.DUMMYFUNCTION("""COMPUTED_VALUE"""),101.0)</f>
        <v>101</v>
      </c>
      <c r="BE297" s="71">
        <f>IFERROR(__xludf.DUMMYFUNCTION("""COMPUTED_VALUE"""),16.16)</f>
        <v>16.16</v>
      </c>
      <c r="BF297" s="71">
        <f>IFERROR(__xludf.DUMMYFUNCTION("""COMPUTED_VALUE"""),117.16)</f>
        <v>117.16</v>
      </c>
      <c r="BG297" s="71">
        <f>IFERROR(__xludf.DUMMYFUNCTION("""COMPUTED_VALUE"""),0.052083333333333336)</f>
        <v>0.05208333333</v>
      </c>
      <c r="BH297" s="71">
        <f>IFERROR(__xludf.DUMMYFUNCTION("""COMPUTED_VALUE"""),95.94999999999999)</f>
        <v>95.95</v>
      </c>
      <c r="BI297" s="71">
        <f>IFERROR(__xludf.DUMMYFUNCTION("""COMPUTED_VALUE"""),15.351999999999999)</f>
        <v>15.352</v>
      </c>
      <c r="BJ297" s="71">
        <f>IFERROR(__xludf.DUMMYFUNCTION("""COMPUTED_VALUE"""),111.30199999999999)</f>
        <v>111.302</v>
      </c>
      <c r="BK297" s="71">
        <f>IFERROR(__xludf.DUMMYFUNCTION("""COMPUTED_VALUE"""),90.9)</f>
        <v>90.9</v>
      </c>
      <c r="BL297" s="71">
        <f>IFERROR(__xludf.DUMMYFUNCTION("""COMPUTED_VALUE"""),14.544)</f>
        <v>14.544</v>
      </c>
      <c r="BM297" s="71">
        <f>IFERROR(__xludf.DUMMYFUNCTION("""COMPUTED_VALUE"""),105.444)</f>
        <v>105.444</v>
      </c>
      <c r="BN297" s="71">
        <f>IFERROR(__xludf.DUMMYFUNCTION("""COMPUTED_VALUE"""),85.85)</f>
        <v>85.85</v>
      </c>
      <c r="BO297" s="71">
        <f>IFERROR(__xludf.DUMMYFUNCTION("""COMPUTED_VALUE"""),13.735999999999999)</f>
        <v>13.736</v>
      </c>
      <c r="BP297" s="71">
        <f>IFERROR(__xludf.DUMMYFUNCTION("""COMPUTED_VALUE"""),99.586)</f>
        <v>99.586</v>
      </c>
      <c r="BQ297" s="71">
        <f>IFERROR(__xludf.DUMMYFUNCTION("""COMPUTED_VALUE"""),83.83)</f>
        <v>83.83</v>
      </c>
      <c r="BR297" s="71">
        <f>IFERROR(__xludf.DUMMYFUNCTION("""COMPUTED_VALUE"""),13.4128)</f>
        <v>13.4128</v>
      </c>
      <c r="BS297" s="71">
        <f>IFERROR(__xludf.DUMMYFUNCTION("""COMPUTED_VALUE"""),97.2428)</f>
        <v>97.2428</v>
      </c>
      <c r="BT297" s="71">
        <f>IFERROR(__xludf.DUMMYFUNCTION("""COMPUTED_VALUE"""),80.80000000000001)</f>
        <v>80.8</v>
      </c>
      <c r="BU297" s="71">
        <f>IFERROR(__xludf.DUMMYFUNCTION("""COMPUTED_VALUE"""),12.928000000000003)</f>
        <v>12.928</v>
      </c>
      <c r="BV297" s="71">
        <f>IFERROR(__xludf.DUMMYFUNCTION("""COMPUTED_VALUE"""),93.72800000000001)</f>
        <v>93.728</v>
      </c>
    </row>
    <row r="298">
      <c r="A298" s="53">
        <v>1.0</v>
      </c>
      <c r="B298" s="72"/>
      <c r="C298" s="73" t="s">
        <v>603</v>
      </c>
      <c r="D298" s="74" t="s">
        <v>744</v>
      </c>
      <c r="E298" s="54" t="s">
        <v>38</v>
      </c>
      <c r="F298" s="54" t="s">
        <v>42</v>
      </c>
      <c r="G298" s="54" t="s">
        <v>745</v>
      </c>
      <c r="H298" s="54" t="s">
        <v>746</v>
      </c>
      <c r="I298" s="54">
        <f t="shared" si="1"/>
        <v>30</v>
      </c>
      <c r="J298" s="56"/>
      <c r="K298" s="57"/>
      <c r="L298" s="76"/>
      <c r="M298" s="59"/>
      <c r="N298" s="60">
        <v>2591.0</v>
      </c>
      <c r="O298" s="61">
        <v>2338.0</v>
      </c>
      <c r="P298" s="62">
        <v>2525.04</v>
      </c>
      <c r="Q298" s="63">
        <v>2525.04</v>
      </c>
      <c r="R298" s="64">
        <v>2811.0</v>
      </c>
      <c r="S298" s="65">
        <v>2208.0</v>
      </c>
      <c r="T298" s="65">
        <f t="shared" si="2"/>
        <v>353.28</v>
      </c>
      <c r="U298" s="65">
        <f t="shared" si="3"/>
        <v>2561.28</v>
      </c>
      <c r="V298" s="66">
        <f t="shared" si="4"/>
        <v>-0.2145144077</v>
      </c>
      <c r="W298" s="67">
        <f t="shared" si="5"/>
        <v>2097.6</v>
      </c>
      <c r="X298" s="67">
        <f t="shared" si="6"/>
        <v>335.616</v>
      </c>
      <c r="Y298" s="67">
        <f t="shared" si="7"/>
        <v>2433.216</v>
      </c>
      <c r="Z298" s="67">
        <f t="shared" si="8"/>
        <v>1987.2</v>
      </c>
      <c r="AA298" s="67">
        <f t="shared" si="9"/>
        <v>317.952</v>
      </c>
      <c r="AB298" s="67">
        <f t="shared" si="10"/>
        <v>2305.152</v>
      </c>
      <c r="AC298" s="67">
        <f t="shared" si="11"/>
        <v>1876.8</v>
      </c>
      <c r="AD298" s="67">
        <f t="shared" si="12"/>
        <v>300.288</v>
      </c>
      <c r="AE298" s="67">
        <f t="shared" si="13"/>
        <v>2177.088</v>
      </c>
      <c r="AF298" s="67">
        <f t="shared" si="14"/>
        <v>1832.64</v>
      </c>
      <c r="AG298" s="67">
        <f t="shared" si="15"/>
        <v>293.2224</v>
      </c>
      <c r="AH298" s="67">
        <f t="shared" si="16"/>
        <v>2125.8624</v>
      </c>
      <c r="AI298" s="67">
        <f t="shared" si="17"/>
        <v>1766.4</v>
      </c>
      <c r="AJ298" s="68">
        <f t="shared" si="20"/>
        <v>282.624</v>
      </c>
      <c r="AK298" s="68">
        <f t="shared" si="21"/>
        <v>2049.024</v>
      </c>
      <c r="AL298" s="70">
        <f>IFERROR(__xludf.DUMMYFUNCTION("""COMPUTED_VALUE"""),1.0)</f>
        <v>1</v>
      </c>
      <c r="AM298" s="70"/>
      <c r="AN298" s="71" t="str">
        <f>IFERROR(__xludf.DUMMYFUNCTION("""COMPUTED_VALUE""")," CP")</f>
        <v>CP</v>
      </c>
      <c r="AO298" s="71" t="str">
        <f>IFERROR(__xludf.DUMMYFUNCTION("""COMPUTED_VALUE""")," CA16")</f>
        <v>CA16</v>
      </c>
      <c r="AP298" s="71" t="str">
        <f>IFERROR(__xludf.DUMMYFUNCTION("""COMPUTED_VALUE""")," PZA")</f>
        <v>PZA</v>
      </c>
      <c r="AQ298" s="71" t="str">
        <f>IFERROR(__xludf.DUMMYFUNCTION("""COMPUTED_VALUE""")," REF")</f>
        <v>REF</v>
      </c>
      <c r="AR298" s="71" t="str">
        <f>IFERROR(__xludf.DUMMYFUNCTION("""COMPUTED_VALUE""")," CATARINA 40B16 E.1-1/4"" C.1/4")</f>
        <v>CATARINA 40B16 E.1-1/4" C.1/4</v>
      </c>
      <c r="AS298" s="71" t="str">
        <f>IFERROR(__xludf.DUMMYFUNCTION("""COMPUTED_VALUE""")," CATARINA 40B16 E.1-1/4"" C.1/4")</f>
        <v>CATARINA 40B16 E.1-1/4" C.1/4</v>
      </c>
      <c r="AT298" s="71">
        <f>IFERROR(__xludf.DUMMYFUNCTION("""COMPUTED_VALUE"""),29.0)</f>
        <v>29</v>
      </c>
      <c r="AU298" s="71"/>
      <c r="AV298" s="71"/>
      <c r="AW298" s="71"/>
      <c r="AX298" s="71"/>
      <c r="AY298" s="71">
        <f>IFERROR(__xludf.DUMMYFUNCTION("""COMPUTED_VALUE"""),150.0)</f>
        <v>150</v>
      </c>
      <c r="AZ298" s="71">
        <f>IFERROR(__xludf.DUMMYFUNCTION("""COMPUTED_VALUE"""),162.0)</f>
        <v>162</v>
      </c>
      <c r="BA298" s="71">
        <f>IFERROR(__xludf.DUMMYFUNCTION("""COMPUTED_VALUE"""),80.0)</f>
        <v>80</v>
      </c>
      <c r="BB298" s="71">
        <f>IFERROR(__xludf.DUMMYFUNCTION("""COMPUTED_VALUE"""),80.0)</f>
        <v>80</v>
      </c>
      <c r="BC298" s="71">
        <f>IFERROR(__xludf.DUMMYFUNCTION("""COMPUTED_VALUE"""),101.0)</f>
        <v>101</v>
      </c>
      <c r="BD298" s="71">
        <f>IFERROR(__xludf.DUMMYFUNCTION("""COMPUTED_VALUE"""),106.0)</f>
        <v>106</v>
      </c>
      <c r="BE298" s="71">
        <f>IFERROR(__xludf.DUMMYFUNCTION("""COMPUTED_VALUE"""),16.96)</f>
        <v>16.96</v>
      </c>
      <c r="BF298" s="71">
        <f>IFERROR(__xludf.DUMMYFUNCTION("""COMPUTED_VALUE"""),122.96000000000001)</f>
        <v>122.96</v>
      </c>
      <c r="BG298" s="71">
        <f>IFERROR(__xludf.DUMMYFUNCTION("""COMPUTED_VALUE"""),0.04950495049504951)</f>
        <v>0.0495049505</v>
      </c>
      <c r="BH298" s="71">
        <f>IFERROR(__xludf.DUMMYFUNCTION("""COMPUTED_VALUE"""),100.69999999999999)</f>
        <v>100.7</v>
      </c>
      <c r="BI298" s="71">
        <f>IFERROR(__xludf.DUMMYFUNCTION("""COMPUTED_VALUE"""),16.112)</f>
        <v>16.112</v>
      </c>
      <c r="BJ298" s="71">
        <f>IFERROR(__xludf.DUMMYFUNCTION("""COMPUTED_VALUE"""),116.81199999999998)</f>
        <v>116.812</v>
      </c>
      <c r="BK298" s="71">
        <f>IFERROR(__xludf.DUMMYFUNCTION("""COMPUTED_VALUE"""),95.4)</f>
        <v>95.4</v>
      </c>
      <c r="BL298" s="71">
        <f>IFERROR(__xludf.DUMMYFUNCTION("""COMPUTED_VALUE"""),15.264000000000001)</f>
        <v>15.264</v>
      </c>
      <c r="BM298" s="71">
        <f>IFERROR(__xludf.DUMMYFUNCTION("""COMPUTED_VALUE"""),110.664)</f>
        <v>110.664</v>
      </c>
      <c r="BN298" s="71">
        <f>IFERROR(__xludf.DUMMYFUNCTION("""COMPUTED_VALUE"""),90.1)</f>
        <v>90.1</v>
      </c>
      <c r="BO298" s="71">
        <f>IFERROR(__xludf.DUMMYFUNCTION("""COMPUTED_VALUE"""),14.415999999999999)</f>
        <v>14.416</v>
      </c>
      <c r="BP298" s="71">
        <f>IFERROR(__xludf.DUMMYFUNCTION("""COMPUTED_VALUE"""),104.51599999999999)</f>
        <v>104.516</v>
      </c>
      <c r="BQ298" s="71">
        <f>IFERROR(__xludf.DUMMYFUNCTION("""COMPUTED_VALUE"""),87.97999999999999)</f>
        <v>87.98</v>
      </c>
      <c r="BR298" s="71">
        <f>IFERROR(__xludf.DUMMYFUNCTION("""COMPUTED_VALUE"""),14.076799999999999)</f>
        <v>14.0768</v>
      </c>
      <c r="BS298" s="71">
        <f>IFERROR(__xludf.DUMMYFUNCTION("""COMPUTED_VALUE"""),102.05679999999998)</f>
        <v>102.0568</v>
      </c>
      <c r="BT298" s="71">
        <f>IFERROR(__xludf.DUMMYFUNCTION("""COMPUTED_VALUE"""),84.80000000000001)</f>
        <v>84.8</v>
      </c>
      <c r="BU298" s="71">
        <f>IFERROR(__xludf.DUMMYFUNCTION("""COMPUTED_VALUE"""),13.568000000000001)</f>
        <v>13.568</v>
      </c>
      <c r="BV298" s="71">
        <f>IFERROR(__xludf.DUMMYFUNCTION("""COMPUTED_VALUE"""),98.36800000000001)</f>
        <v>98.368</v>
      </c>
    </row>
    <row r="299">
      <c r="A299" s="53">
        <v>1.0</v>
      </c>
      <c r="B299" s="72"/>
      <c r="C299" s="73" t="s">
        <v>603</v>
      </c>
      <c r="D299" s="74" t="s">
        <v>747</v>
      </c>
      <c r="E299" s="54" t="s">
        <v>38</v>
      </c>
      <c r="F299" s="54" t="s">
        <v>42</v>
      </c>
      <c r="G299" s="54" t="s">
        <v>748</v>
      </c>
      <c r="H299" s="54" t="s">
        <v>749</v>
      </c>
      <c r="I299" s="54">
        <f t="shared" si="1"/>
        <v>30</v>
      </c>
      <c r="J299" s="56"/>
      <c r="K299" s="57"/>
      <c r="L299" s="76"/>
      <c r="M299" s="59"/>
      <c r="N299" s="60">
        <v>2615.0</v>
      </c>
      <c r="O299" s="61">
        <v>2360.0</v>
      </c>
      <c r="P299" s="62">
        <v>2548.8</v>
      </c>
      <c r="Q299" s="63">
        <v>2548.8</v>
      </c>
      <c r="R299" s="64">
        <v>2838.0</v>
      </c>
      <c r="S299" s="65">
        <v>2232.0</v>
      </c>
      <c r="T299" s="65">
        <f t="shared" si="2"/>
        <v>357.12</v>
      </c>
      <c r="U299" s="65">
        <f t="shared" si="3"/>
        <v>2589.12</v>
      </c>
      <c r="V299" s="66">
        <f t="shared" si="4"/>
        <v>-0.2135306554</v>
      </c>
      <c r="W299" s="67">
        <f t="shared" si="5"/>
        <v>2120.4</v>
      </c>
      <c r="X299" s="67">
        <f t="shared" si="6"/>
        <v>339.264</v>
      </c>
      <c r="Y299" s="67">
        <f t="shared" si="7"/>
        <v>2459.664</v>
      </c>
      <c r="Z299" s="67">
        <f t="shared" si="8"/>
        <v>2008.8</v>
      </c>
      <c r="AA299" s="67">
        <f t="shared" si="9"/>
        <v>321.408</v>
      </c>
      <c r="AB299" s="67">
        <f t="shared" si="10"/>
        <v>2330.208</v>
      </c>
      <c r="AC299" s="67">
        <f t="shared" si="11"/>
        <v>1897.2</v>
      </c>
      <c r="AD299" s="67">
        <f t="shared" si="12"/>
        <v>303.552</v>
      </c>
      <c r="AE299" s="67">
        <f t="shared" si="13"/>
        <v>2200.752</v>
      </c>
      <c r="AF299" s="67">
        <f t="shared" si="14"/>
        <v>1852.56</v>
      </c>
      <c r="AG299" s="67">
        <f t="shared" si="15"/>
        <v>296.4096</v>
      </c>
      <c r="AH299" s="67">
        <f t="shared" si="16"/>
        <v>2148.9696</v>
      </c>
      <c r="AI299" s="67">
        <f t="shared" si="17"/>
        <v>1785.6</v>
      </c>
      <c r="AJ299" s="68">
        <f t="shared" si="20"/>
        <v>285.696</v>
      </c>
      <c r="AK299" s="68">
        <f t="shared" si="21"/>
        <v>2071.296</v>
      </c>
      <c r="AL299" s="70">
        <f>IFERROR(__xludf.DUMMYFUNCTION("""COMPUTED_VALUE"""),1.0)</f>
        <v>1</v>
      </c>
      <c r="AM299" s="70"/>
      <c r="AN299" s="71" t="str">
        <f>IFERROR(__xludf.DUMMYFUNCTION("""COMPUTED_VALUE""")," CP")</f>
        <v>CP</v>
      </c>
      <c r="AO299" s="71" t="str">
        <f>IFERROR(__xludf.DUMMYFUNCTION("""COMPUTED_VALUE""")," CA17")</f>
        <v>CA17</v>
      </c>
      <c r="AP299" s="71" t="str">
        <f>IFERROR(__xludf.DUMMYFUNCTION("""COMPUTED_VALUE""")," PZA")</f>
        <v>PZA</v>
      </c>
      <c r="AQ299" s="71" t="str">
        <f>IFERROR(__xludf.DUMMYFUNCTION("""COMPUTED_VALUE""")," REF")</f>
        <v>REF</v>
      </c>
      <c r="AR299" s="71" t="str">
        <f>IFERROR(__xludf.DUMMYFUNCTION("""COMPUTED_VALUE""")," CATARINA 40B16 E.15/16""")</f>
        <v>CATARINA 40B16 E.15/16"</v>
      </c>
      <c r="AS299" s="71" t="str">
        <f>IFERROR(__xludf.DUMMYFUNCTION("""COMPUTED_VALUE""")," CATARINA 40B16 E.15/16""")</f>
        <v>CATARINA 40B16 E.15/16"</v>
      </c>
      <c r="AT299" s="71">
        <f>IFERROR(__xludf.DUMMYFUNCTION("""COMPUTED_VALUE"""),23.0)</f>
        <v>23</v>
      </c>
      <c r="AU299" s="71"/>
      <c r="AV299" s="71"/>
      <c r="AW299" s="71"/>
      <c r="AX299" s="71"/>
      <c r="AY299" s="71">
        <f>IFERROR(__xludf.DUMMYFUNCTION("""COMPUTED_VALUE"""),150.0)</f>
        <v>150</v>
      </c>
      <c r="AZ299" s="71">
        <f>IFERROR(__xludf.DUMMYFUNCTION("""COMPUTED_VALUE"""),162.0)</f>
        <v>162</v>
      </c>
      <c r="BA299" s="71">
        <f>IFERROR(__xludf.DUMMYFUNCTION("""COMPUTED_VALUE"""),80.0)</f>
        <v>80</v>
      </c>
      <c r="BB299" s="71">
        <f>IFERROR(__xludf.DUMMYFUNCTION("""COMPUTED_VALUE"""),80.0)</f>
        <v>80</v>
      </c>
      <c r="BC299" s="71">
        <f>IFERROR(__xludf.DUMMYFUNCTION("""COMPUTED_VALUE"""),101.0)</f>
        <v>101</v>
      </c>
      <c r="BD299" s="71">
        <f>IFERROR(__xludf.DUMMYFUNCTION("""COMPUTED_VALUE"""),106.0)</f>
        <v>106</v>
      </c>
      <c r="BE299" s="71">
        <f>IFERROR(__xludf.DUMMYFUNCTION("""COMPUTED_VALUE"""),16.96)</f>
        <v>16.96</v>
      </c>
      <c r="BF299" s="71">
        <f>IFERROR(__xludf.DUMMYFUNCTION("""COMPUTED_VALUE"""),122.96000000000001)</f>
        <v>122.96</v>
      </c>
      <c r="BG299" s="71">
        <f>IFERROR(__xludf.DUMMYFUNCTION("""COMPUTED_VALUE"""),0.04950495049504951)</f>
        <v>0.0495049505</v>
      </c>
      <c r="BH299" s="71">
        <f>IFERROR(__xludf.DUMMYFUNCTION("""COMPUTED_VALUE"""),100.69999999999999)</f>
        <v>100.7</v>
      </c>
      <c r="BI299" s="71">
        <f>IFERROR(__xludf.DUMMYFUNCTION("""COMPUTED_VALUE"""),16.112)</f>
        <v>16.112</v>
      </c>
      <c r="BJ299" s="71">
        <f>IFERROR(__xludf.DUMMYFUNCTION("""COMPUTED_VALUE"""),116.81199999999998)</f>
        <v>116.812</v>
      </c>
      <c r="BK299" s="71">
        <f>IFERROR(__xludf.DUMMYFUNCTION("""COMPUTED_VALUE"""),95.4)</f>
        <v>95.4</v>
      </c>
      <c r="BL299" s="71">
        <f>IFERROR(__xludf.DUMMYFUNCTION("""COMPUTED_VALUE"""),15.264000000000001)</f>
        <v>15.264</v>
      </c>
      <c r="BM299" s="71">
        <f>IFERROR(__xludf.DUMMYFUNCTION("""COMPUTED_VALUE"""),110.664)</f>
        <v>110.664</v>
      </c>
      <c r="BN299" s="71">
        <f>IFERROR(__xludf.DUMMYFUNCTION("""COMPUTED_VALUE"""),90.1)</f>
        <v>90.1</v>
      </c>
      <c r="BO299" s="71">
        <f>IFERROR(__xludf.DUMMYFUNCTION("""COMPUTED_VALUE"""),14.415999999999999)</f>
        <v>14.416</v>
      </c>
      <c r="BP299" s="71">
        <f>IFERROR(__xludf.DUMMYFUNCTION("""COMPUTED_VALUE"""),104.51599999999999)</f>
        <v>104.516</v>
      </c>
      <c r="BQ299" s="71">
        <f>IFERROR(__xludf.DUMMYFUNCTION("""COMPUTED_VALUE"""),87.97999999999999)</f>
        <v>87.98</v>
      </c>
      <c r="BR299" s="71">
        <f>IFERROR(__xludf.DUMMYFUNCTION("""COMPUTED_VALUE"""),14.076799999999999)</f>
        <v>14.0768</v>
      </c>
      <c r="BS299" s="71">
        <f>IFERROR(__xludf.DUMMYFUNCTION("""COMPUTED_VALUE"""),102.05679999999998)</f>
        <v>102.0568</v>
      </c>
      <c r="BT299" s="71">
        <f>IFERROR(__xludf.DUMMYFUNCTION("""COMPUTED_VALUE"""),84.80000000000001)</f>
        <v>84.8</v>
      </c>
      <c r="BU299" s="71">
        <f>IFERROR(__xludf.DUMMYFUNCTION("""COMPUTED_VALUE"""),13.568000000000001)</f>
        <v>13.568</v>
      </c>
      <c r="BV299" s="71">
        <f>IFERROR(__xludf.DUMMYFUNCTION("""COMPUTED_VALUE"""),98.36800000000001)</f>
        <v>98.368</v>
      </c>
    </row>
    <row r="300">
      <c r="A300" s="53"/>
      <c r="B300" s="53"/>
      <c r="C300" s="73" t="s">
        <v>603</v>
      </c>
      <c r="D300" s="128" t="s">
        <v>750</v>
      </c>
      <c r="E300" s="54" t="s">
        <v>38</v>
      </c>
      <c r="F300" s="54" t="s">
        <v>42</v>
      </c>
      <c r="G300" s="132" t="s">
        <v>751</v>
      </c>
      <c r="H300" s="54" t="s">
        <v>752</v>
      </c>
      <c r="I300" s="54">
        <f t="shared" si="1"/>
        <v>39</v>
      </c>
      <c r="J300" s="56"/>
      <c r="K300" s="57"/>
      <c r="L300" s="76"/>
      <c r="M300" s="59"/>
      <c r="N300" s="79">
        <v>2633.0</v>
      </c>
      <c r="O300" s="129">
        <v>2376.0</v>
      </c>
      <c r="P300" s="62">
        <v>2566.0800000000004</v>
      </c>
      <c r="Q300" s="63">
        <v>2566.0800000000004</v>
      </c>
      <c r="R300" s="64">
        <v>2695.0</v>
      </c>
      <c r="S300" s="111">
        <v>2830.0</v>
      </c>
      <c r="T300" s="65">
        <f t="shared" si="2"/>
        <v>452.8</v>
      </c>
      <c r="U300" s="65">
        <f t="shared" si="3"/>
        <v>3282.8</v>
      </c>
      <c r="V300" s="66">
        <f t="shared" si="4"/>
        <v>0.05009276438</v>
      </c>
      <c r="W300" s="67">
        <f t="shared" si="5"/>
        <v>2688.5</v>
      </c>
      <c r="X300" s="67">
        <f t="shared" si="6"/>
        <v>430.16</v>
      </c>
      <c r="Y300" s="67">
        <f t="shared" si="7"/>
        <v>3118.66</v>
      </c>
      <c r="Z300" s="67">
        <f t="shared" si="8"/>
        <v>2547</v>
      </c>
      <c r="AA300" s="67">
        <f t="shared" si="9"/>
        <v>407.52</v>
      </c>
      <c r="AB300" s="67">
        <f t="shared" si="10"/>
        <v>2954.52</v>
      </c>
      <c r="AC300" s="67">
        <f t="shared" si="11"/>
        <v>2405.5</v>
      </c>
      <c r="AD300" s="67">
        <f t="shared" si="12"/>
        <v>384.88</v>
      </c>
      <c r="AE300" s="67">
        <f t="shared" si="13"/>
        <v>2790.38</v>
      </c>
      <c r="AF300" s="67">
        <f t="shared" si="14"/>
        <v>2348.9</v>
      </c>
      <c r="AG300" s="67">
        <f t="shared" si="15"/>
        <v>375.824</v>
      </c>
      <c r="AH300" s="67">
        <f t="shared" si="16"/>
        <v>2724.724</v>
      </c>
      <c r="AI300" s="67">
        <f t="shared" si="17"/>
        <v>2264</v>
      </c>
      <c r="AJ300" s="68">
        <f t="shared" si="20"/>
        <v>362.24</v>
      </c>
      <c r="AK300" s="68">
        <f t="shared" si="21"/>
        <v>2626.24</v>
      </c>
      <c r="AL300" s="70">
        <f>IFERROR(__xludf.DUMMYFUNCTION("""COMPUTED_VALUE"""),1.0)</f>
        <v>1</v>
      </c>
      <c r="AM300" s="70"/>
      <c r="AN300" s="71" t="str">
        <f>IFERROR(__xludf.DUMMYFUNCTION("""COMPUTED_VALUE""")," CP")</f>
        <v>CP</v>
      </c>
      <c r="AO300" s="71" t="str">
        <f>IFERROR(__xludf.DUMMYFUNCTION("""COMPUTED_VALUE""")," CA18")</f>
        <v>CA18</v>
      </c>
      <c r="AP300" s="71" t="str">
        <f>IFERROR(__xludf.DUMMYFUNCTION("""COMPUTED_VALUE""")," PZA")</f>
        <v>PZA</v>
      </c>
      <c r="AQ300" s="71" t="str">
        <f>IFERROR(__xludf.DUMMYFUNCTION("""COMPUTED_VALUE""")," REF")</f>
        <v>REF</v>
      </c>
      <c r="AR300" s="71" t="str">
        <f>IFERROR(__xludf.DUMMYFUNCTION("""COMPUTED_VALUE""")," CATARINA 40B16 E.25MM C.1/4")</f>
        <v>CATARINA 40B16 E.25MM C.1/4</v>
      </c>
      <c r="AS300" s="71" t="str">
        <f>IFERROR(__xludf.DUMMYFUNCTION("""COMPUTED_VALUE""")," CATARINA 40B16 E.25MM C.1/4")</f>
        <v>CATARINA 40B16 E.25MM C.1/4</v>
      </c>
      <c r="AT300" s="71">
        <f>IFERROR(__xludf.DUMMYFUNCTION("""COMPUTED_VALUE"""),27.0)</f>
        <v>27</v>
      </c>
      <c r="AU300" s="71"/>
      <c r="AV300" s="71"/>
      <c r="AW300" s="71"/>
      <c r="AX300" s="71"/>
      <c r="AY300" s="71">
        <f>IFERROR(__xludf.DUMMYFUNCTION("""COMPUTED_VALUE"""),142.0)</f>
        <v>142</v>
      </c>
      <c r="AZ300" s="71">
        <f>IFERROR(__xludf.DUMMYFUNCTION("""COMPUTED_VALUE"""),161.0)</f>
        <v>161</v>
      </c>
      <c r="BA300" s="71">
        <f>IFERROR(__xludf.DUMMYFUNCTION("""COMPUTED_VALUE"""),80.0)</f>
        <v>80</v>
      </c>
      <c r="BB300" s="71">
        <f>IFERROR(__xludf.DUMMYFUNCTION("""COMPUTED_VALUE"""),80.0)</f>
        <v>80</v>
      </c>
      <c r="BC300" s="71">
        <f>IFERROR(__xludf.DUMMYFUNCTION("""COMPUTED_VALUE"""),101.0)</f>
        <v>101</v>
      </c>
      <c r="BD300" s="71">
        <f>IFERROR(__xludf.DUMMYFUNCTION("""COMPUTED_VALUE"""),106.0)</f>
        <v>106</v>
      </c>
      <c r="BE300" s="71">
        <f>IFERROR(__xludf.DUMMYFUNCTION("""COMPUTED_VALUE"""),16.96)</f>
        <v>16.96</v>
      </c>
      <c r="BF300" s="71">
        <f>IFERROR(__xludf.DUMMYFUNCTION("""COMPUTED_VALUE"""),122.96000000000001)</f>
        <v>122.96</v>
      </c>
      <c r="BG300" s="71">
        <f>IFERROR(__xludf.DUMMYFUNCTION("""COMPUTED_VALUE"""),0.04950495049504951)</f>
        <v>0.0495049505</v>
      </c>
      <c r="BH300" s="71">
        <f>IFERROR(__xludf.DUMMYFUNCTION("""COMPUTED_VALUE"""),100.69999999999999)</f>
        <v>100.7</v>
      </c>
      <c r="BI300" s="71">
        <f>IFERROR(__xludf.DUMMYFUNCTION("""COMPUTED_VALUE"""),16.112)</f>
        <v>16.112</v>
      </c>
      <c r="BJ300" s="71">
        <f>IFERROR(__xludf.DUMMYFUNCTION("""COMPUTED_VALUE"""),116.81199999999998)</f>
        <v>116.812</v>
      </c>
      <c r="BK300" s="71">
        <f>IFERROR(__xludf.DUMMYFUNCTION("""COMPUTED_VALUE"""),95.4)</f>
        <v>95.4</v>
      </c>
      <c r="BL300" s="71">
        <f>IFERROR(__xludf.DUMMYFUNCTION("""COMPUTED_VALUE"""),15.264000000000001)</f>
        <v>15.264</v>
      </c>
      <c r="BM300" s="71">
        <f>IFERROR(__xludf.DUMMYFUNCTION("""COMPUTED_VALUE"""),110.664)</f>
        <v>110.664</v>
      </c>
      <c r="BN300" s="71">
        <f>IFERROR(__xludf.DUMMYFUNCTION("""COMPUTED_VALUE"""),90.1)</f>
        <v>90.1</v>
      </c>
      <c r="BO300" s="71">
        <f>IFERROR(__xludf.DUMMYFUNCTION("""COMPUTED_VALUE"""),14.415999999999999)</f>
        <v>14.416</v>
      </c>
      <c r="BP300" s="71">
        <f>IFERROR(__xludf.DUMMYFUNCTION("""COMPUTED_VALUE"""),104.51599999999999)</f>
        <v>104.516</v>
      </c>
      <c r="BQ300" s="71">
        <f>IFERROR(__xludf.DUMMYFUNCTION("""COMPUTED_VALUE"""),87.97999999999999)</f>
        <v>87.98</v>
      </c>
      <c r="BR300" s="71">
        <f>IFERROR(__xludf.DUMMYFUNCTION("""COMPUTED_VALUE"""),14.076799999999999)</f>
        <v>14.0768</v>
      </c>
      <c r="BS300" s="71">
        <f>IFERROR(__xludf.DUMMYFUNCTION("""COMPUTED_VALUE"""),102.05679999999998)</f>
        <v>102.0568</v>
      </c>
      <c r="BT300" s="71">
        <f>IFERROR(__xludf.DUMMYFUNCTION("""COMPUTED_VALUE"""),84.80000000000001)</f>
        <v>84.8</v>
      </c>
      <c r="BU300" s="71">
        <f>IFERROR(__xludf.DUMMYFUNCTION("""COMPUTED_VALUE"""),13.568000000000001)</f>
        <v>13.568</v>
      </c>
      <c r="BV300" s="71">
        <f>IFERROR(__xludf.DUMMYFUNCTION("""COMPUTED_VALUE"""),98.36800000000001)</f>
        <v>98.368</v>
      </c>
    </row>
    <row r="301">
      <c r="A301" s="53">
        <v>1.0</v>
      </c>
      <c r="B301" s="72"/>
      <c r="C301" s="73" t="s">
        <v>603</v>
      </c>
      <c r="D301" s="74" t="s">
        <v>753</v>
      </c>
      <c r="E301" s="54" t="s">
        <v>38</v>
      </c>
      <c r="F301" s="54" t="s">
        <v>42</v>
      </c>
      <c r="G301" s="88" t="s">
        <v>754</v>
      </c>
      <c r="H301" s="54" t="s">
        <v>755</v>
      </c>
      <c r="I301" s="54">
        <f t="shared" si="1"/>
        <v>40</v>
      </c>
      <c r="J301" s="56"/>
      <c r="K301" s="57"/>
      <c r="L301" s="87"/>
      <c r="M301" s="59"/>
      <c r="N301" s="60">
        <v>2711.0</v>
      </c>
      <c r="O301" s="61">
        <v>2446.0</v>
      </c>
      <c r="P301" s="62">
        <v>2641.6800000000003</v>
      </c>
      <c r="Q301" s="63">
        <v>2641.6800000000003</v>
      </c>
      <c r="R301" s="64">
        <v>2942.0</v>
      </c>
      <c r="S301" s="111">
        <v>3089.0</v>
      </c>
      <c r="T301" s="65">
        <f t="shared" si="2"/>
        <v>494.24</v>
      </c>
      <c r="U301" s="65">
        <f t="shared" si="3"/>
        <v>3583.24</v>
      </c>
      <c r="V301" s="66">
        <f t="shared" si="4"/>
        <v>0.04996600952</v>
      </c>
      <c r="W301" s="67">
        <f t="shared" si="5"/>
        <v>2934.55</v>
      </c>
      <c r="X301" s="67">
        <f t="shared" si="6"/>
        <v>469.528</v>
      </c>
      <c r="Y301" s="67">
        <f t="shared" si="7"/>
        <v>3404.078</v>
      </c>
      <c r="Z301" s="67">
        <f t="shared" si="8"/>
        <v>2780.1</v>
      </c>
      <c r="AA301" s="67">
        <f t="shared" si="9"/>
        <v>444.816</v>
      </c>
      <c r="AB301" s="67">
        <f t="shared" si="10"/>
        <v>3224.916</v>
      </c>
      <c r="AC301" s="67">
        <f t="shared" si="11"/>
        <v>2625.65</v>
      </c>
      <c r="AD301" s="67">
        <f t="shared" si="12"/>
        <v>420.104</v>
      </c>
      <c r="AE301" s="67">
        <f t="shared" si="13"/>
        <v>3045.754</v>
      </c>
      <c r="AF301" s="67">
        <f t="shared" si="14"/>
        <v>2563.87</v>
      </c>
      <c r="AG301" s="67">
        <f t="shared" si="15"/>
        <v>410.2192</v>
      </c>
      <c r="AH301" s="67">
        <f t="shared" si="16"/>
        <v>2974.0892</v>
      </c>
      <c r="AI301" s="67">
        <f t="shared" si="17"/>
        <v>2471.2</v>
      </c>
      <c r="AJ301" s="68">
        <f t="shared" si="20"/>
        <v>395.392</v>
      </c>
      <c r="AK301" s="68">
        <f t="shared" si="21"/>
        <v>2866.592</v>
      </c>
      <c r="AL301" s="70">
        <f>IFERROR(__xludf.DUMMYFUNCTION("""COMPUTED_VALUE"""),1.0)</f>
        <v>1</v>
      </c>
      <c r="AM301" s="70"/>
      <c r="AN301" s="71" t="str">
        <f>IFERROR(__xludf.DUMMYFUNCTION("""COMPUTED_VALUE""")," CP")</f>
        <v>CP</v>
      </c>
      <c r="AO301" s="71" t="str">
        <f>IFERROR(__xludf.DUMMYFUNCTION("""COMPUTED_VALUE""")," CA19")</f>
        <v>CA19</v>
      </c>
      <c r="AP301" s="71" t="str">
        <f>IFERROR(__xludf.DUMMYFUNCTION("""COMPUTED_VALUE""")," PZA")</f>
        <v>PZA</v>
      </c>
      <c r="AQ301" s="71" t="str">
        <f>IFERROR(__xludf.DUMMYFUNCTION("""COMPUTED_VALUE""")," REF")</f>
        <v>REF</v>
      </c>
      <c r="AR301" s="71" t="str">
        <f>IFERROR(__xludf.DUMMYFUNCTION("""COMPUTED_VALUE""")," CATARINA 40B16 E.3/4""")</f>
        <v>CATARINA 40B16 E.3/4"</v>
      </c>
      <c r="AS301" s="71" t="str">
        <f>IFERROR(__xludf.DUMMYFUNCTION("""COMPUTED_VALUE""")," CATARINA 40B16 E.3/4""")</f>
        <v>CATARINA 40B16 E.3/4"</v>
      </c>
      <c r="AT301" s="71">
        <f>IFERROR(__xludf.DUMMYFUNCTION("""COMPUTED_VALUE"""),21.0)</f>
        <v>21</v>
      </c>
      <c r="AU301" s="71"/>
      <c r="AV301" s="71"/>
      <c r="AW301" s="71"/>
      <c r="AX301" s="71"/>
      <c r="AY301" s="71">
        <f>IFERROR(__xludf.DUMMYFUNCTION("""COMPUTED_VALUE"""),150.0)</f>
        <v>150</v>
      </c>
      <c r="AZ301" s="71">
        <f>IFERROR(__xludf.DUMMYFUNCTION("""COMPUTED_VALUE"""),162.0)</f>
        <v>162</v>
      </c>
      <c r="BA301" s="71">
        <f>IFERROR(__xludf.DUMMYFUNCTION("""COMPUTED_VALUE"""),80.0)</f>
        <v>80</v>
      </c>
      <c r="BB301" s="71">
        <f>IFERROR(__xludf.DUMMYFUNCTION("""COMPUTED_VALUE"""),80.0)</f>
        <v>80</v>
      </c>
      <c r="BC301" s="71">
        <f>IFERROR(__xludf.DUMMYFUNCTION("""COMPUTED_VALUE"""),101.0)</f>
        <v>101</v>
      </c>
      <c r="BD301" s="71">
        <f>IFERROR(__xludf.DUMMYFUNCTION("""COMPUTED_VALUE"""),106.0)</f>
        <v>106</v>
      </c>
      <c r="BE301" s="71">
        <f>IFERROR(__xludf.DUMMYFUNCTION("""COMPUTED_VALUE"""),16.96)</f>
        <v>16.96</v>
      </c>
      <c r="BF301" s="71">
        <f>IFERROR(__xludf.DUMMYFUNCTION("""COMPUTED_VALUE"""),122.96000000000001)</f>
        <v>122.96</v>
      </c>
      <c r="BG301" s="71">
        <f>IFERROR(__xludf.DUMMYFUNCTION("""COMPUTED_VALUE"""),0.04950495049504951)</f>
        <v>0.0495049505</v>
      </c>
      <c r="BH301" s="71">
        <f>IFERROR(__xludf.DUMMYFUNCTION("""COMPUTED_VALUE"""),100.69999999999999)</f>
        <v>100.7</v>
      </c>
      <c r="BI301" s="71">
        <f>IFERROR(__xludf.DUMMYFUNCTION("""COMPUTED_VALUE"""),16.112)</f>
        <v>16.112</v>
      </c>
      <c r="BJ301" s="71">
        <f>IFERROR(__xludf.DUMMYFUNCTION("""COMPUTED_VALUE"""),116.81199999999998)</f>
        <v>116.812</v>
      </c>
      <c r="BK301" s="71">
        <f>IFERROR(__xludf.DUMMYFUNCTION("""COMPUTED_VALUE"""),95.4)</f>
        <v>95.4</v>
      </c>
      <c r="BL301" s="71">
        <f>IFERROR(__xludf.DUMMYFUNCTION("""COMPUTED_VALUE"""),15.264000000000001)</f>
        <v>15.264</v>
      </c>
      <c r="BM301" s="71">
        <f>IFERROR(__xludf.DUMMYFUNCTION("""COMPUTED_VALUE"""),110.664)</f>
        <v>110.664</v>
      </c>
      <c r="BN301" s="71">
        <f>IFERROR(__xludf.DUMMYFUNCTION("""COMPUTED_VALUE"""),90.1)</f>
        <v>90.1</v>
      </c>
      <c r="BO301" s="71">
        <f>IFERROR(__xludf.DUMMYFUNCTION("""COMPUTED_VALUE"""),14.415999999999999)</f>
        <v>14.416</v>
      </c>
      <c r="BP301" s="71">
        <f>IFERROR(__xludf.DUMMYFUNCTION("""COMPUTED_VALUE"""),104.51599999999999)</f>
        <v>104.516</v>
      </c>
      <c r="BQ301" s="71">
        <f>IFERROR(__xludf.DUMMYFUNCTION("""COMPUTED_VALUE"""),87.97999999999999)</f>
        <v>87.98</v>
      </c>
      <c r="BR301" s="71">
        <f>IFERROR(__xludf.DUMMYFUNCTION("""COMPUTED_VALUE"""),14.076799999999999)</f>
        <v>14.0768</v>
      </c>
      <c r="BS301" s="71">
        <f>IFERROR(__xludf.DUMMYFUNCTION("""COMPUTED_VALUE"""),102.05679999999998)</f>
        <v>102.0568</v>
      </c>
      <c r="BT301" s="71">
        <f>IFERROR(__xludf.DUMMYFUNCTION("""COMPUTED_VALUE"""),84.80000000000001)</f>
        <v>84.8</v>
      </c>
      <c r="BU301" s="71">
        <f>IFERROR(__xludf.DUMMYFUNCTION("""COMPUTED_VALUE"""),13.568000000000001)</f>
        <v>13.568</v>
      </c>
      <c r="BV301" s="71">
        <f>IFERROR(__xludf.DUMMYFUNCTION("""COMPUTED_VALUE"""),98.36800000000001)</f>
        <v>98.368</v>
      </c>
    </row>
    <row r="302">
      <c r="A302" s="53">
        <v>1.0</v>
      </c>
      <c r="B302" s="72"/>
      <c r="C302" s="73" t="s">
        <v>603</v>
      </c>
      <c r="D302" s="74" t="s">
        <v>756</v>
      </c>
      <c r="E302" s="54" t="s">
        <v>38</v>
      </c>
      <c r="F302" s="54" t="s">
        <v>42</v>
      </c>
      <c r="G302" s="88" t="s">
        <v>757</v>
      </c>
      <c r="H302" s="54" t="s">
        <v>758</v>
      </c>
      <c r="I302" s="54">
        <f t="shared" si="1"/>
        <v>40</v>
      </c>
      <c r="J302" s="56"/>
      <c r="K302" s="57"/>
      <c r="L302" s="87"/>
      <c r="M302" s="59"/>
      <c r="N302" s="60">
        <v>2470.0</v>
      </c>
      <c r="O302" s="61">
        <v>2230.0</v>
      </c>
      <c r="P302" s="62">
        <v>2408.4</v>
      </c>
      <c r="Q302" s="63">
        <v>2408.4</v>
      </c>
      <c r="R302" s="64">
        <v>2681.0</v>
      </c>
      <c r="S302" s="111">
        <v>2815.0</v>
      </c>
      <c r="T302" s="65">
        <f t="shared" si="2"/>
        <v>450.4</v>
      </c>
      <c r="U302" s="65">
        <f t="shared" si="3"/>
        <v>3265.4</v>
      </c>
      <c r="V302" s="66">
        <f t="shared" si="4"/>
        <v>0.04998135024</v>
      </c>
      <c r="W302" s="67">
        <f t="shared" si="5"/>
        <v>2674.25</v>
      </c>
      <c r="X302" s="67">
        <f t="shared" si="6"/>
        <v>427.88</v>
      </c>
      <c r="Y302" s="67">
        <f t="shared" si="7"/>
        <v>3102.13</v>
      </c>
      <c r="Z302" s="67">
        <f t="shared" si="8"/>
        <v>2533.5</v>
      </c>
      <c r="AA302" s="67">
        <f t="shared" si="9"/>
        <v>405.36</v>
      </c>
      <c r="AB302" s="67">
        <f t="shared" si="10"/>
        <v>2938.86</v>
      </c>
      <c r="AC302" s="67">
        <f t="shared" si="11"/>
        <v>2392.75</v>
      </c>
      <c r="AD302" s="67">
        <f t="shared" si="12"/>
        <v>382.84</v>
      </c>
      <c r="AE302" s="67">
        <f t="shared" si="13"/>
        <v>2775.59</v>
      </c>
      <c r="AF302" s="67">
        <f t="shared" si="14"/>
        <v>2336.45</v>
      </c>
      <c r="AG302" s="67">
        <f t="shared" si="15"/>
        <v>373.832</v>
      </c>
      <c r="AH302" s="67">
        <f t="shared" si="16"/>
        <v>2710.282</v>
      </c>
      <c r="AI302" s="67">
        <f t="shared" si="17"/>
        <v>2252</v>
      </c>
      <c r="AJ302" s="68">
        <f t="shared" si="20"/>
        <v>360.32</v>
      </c>
      <c r="AK302" s="68">
        <f t="shared" si="21"/>
        <v>2612.32</v>
      </c>
      <c r="AL302" s="70">
        <f>IFERROR(__xludf.DUMMYFUNCTION("""COMPUTED_VALUE"""),1.0)</f>
        <v>1</v>
      </c>
      <c r="AM302" s="70"/>
      <c r="AN302" s="71" t="str">
        <f>IFERROR(__xludf.DUMMYFUNCTION("""COMPUTED_VALUE""")," CP")</f>
        <v>CP</v>
      </c>
      <c r="AO302" s="71" t="str">
        <f>IFERROR(__xludf.DUMMYFUNCTION("""COMPUTED_VALUE""")," CA25")</f>
        <v>CA25</v>
      </c>
      <c r="AP302" s="71" t="str">
        <f>IFERROR(__xludf.DUMMYFUNCTION("""COMPUTED_VALUE""")," PZA")</f>
        <v>PZA</v>
      </c>
      <c r="AQ302" s="71" t="str">
        <f>IFERROR(__xludf.DUMMYFUNCTION("""COMPUTED_VALUE""")," REF")</f>
        <v>REF</v>
      </c>
      <c r="AR302" s="71" t="str">
        <f>IFERROR(__xludf.DUMMYFUNCTION("""COMPUTED_VALUE""")," CATARINA 40B17 E.1-1/4"" C.1/4")</f>
        <v>CATARINA 40B17 E.1-1/4" C.1/4</v>
      </c>
      <c r="AS302" s="71" t="str">
        <f>IFERROR(__xludf.DUMMYFUNCTION("""COMPUTED_VALUE""")," CATARINA 40B17 E.1-1/4"" C.1/4")</f>
        <v>CATARINA 40B17 E.1-1/4" C.1/4</v>
      </c>
      <c r="AT302" s="71">
        <f>IFERROR(__xludf.DUMMYFUNCTION("""COMPUTED_VALUE"""),29.0)</f>
        <v>29</v>
      </c>
      <c r="AU302" s="71"/>
      <c r="AV302" s="71"/>
      <c r="AW302" s="71"/>
      <c r="AX302" s="71"/>
      <c r="AY302" s="71">
        <f>IFERROR(__xludf.DUMMYFUNCTION("""COMPUTED_VALUE"""),162.0)</f>
        <v>162</v>
      </c>
      <c r="AZ302" s="71">
        <f>IFERROR(__xludf.DUMMYFUNCTION("""COMPUTED_VALUE"""),174.0)</f>
        <v>174</v>
      </c>
      <c r="BA302" s="71">
        <f>IFERROR(__xludf.DUMMYFUNCTION("""COMPUTED_VALUE"""),90.0)</f>
        <v>90</v>
      </c>
      <c r="BB302" s="71">
        <f>IFERROR(__xludf.DUMMYFUNCTION("""COMPUTED_VALUE"""),90.0)</f>
        <v>90</v>
      </c>
      <c r="BC302" s="71">
        <f>IFERROR(__xludf.DUMMYFUNCTION("""COMPUTED_VALUE"""),115.0)</f>
        <v>115</v>
      </c>
      <c r="BD302" s="71">
        <f>IFERROR(__xludf.DUMMYFUNCTION("""COMPUTED_VALUE"""),121.0)</f>
        <v>121</v>
      </c>
      <c r="BE302" s="71">
        <f>IFERROR(__xludf.DUMMYFUNCTION("""COMPUTED_VALUE"""),19.36)</f>
        <v>19.36</v>
      </c>
      <c r="BF302" s="71">
        <f>IFERROR(__xludf.DUMMYFUNCTION("""COMPUTED_VALUE"""),140.36)</f>
        <v>140.36</v>
      </c>
      <c r="BG302" s="71">
        <f>IFERROR(__xludf.DUMMYFUNCTION("""COMPUTED_VALUE"""),0.05217391304347826)</f>
        <v>0.05217391304</v>
      </c>
      <c r="BH302" s="71">
        <f>IFERROR(__xludf.DUMMYFUNCTION("""COMPUTED_VALUE"""),114.94999999999999)</f>
        <v>114.95</v>
      </c>
      <c r="BI302" s="71">
        <f>IFERROR(__xludf.DUMMYFUNCTION("""COMPUTED_VALUE"""),18.392)</f>
        <v>18.392</v>
      </c>
      <c r="BJ302" s="71">
        <f>IFERROR(__xludf.DUMMYFUNCTION("""COMPUTED_VALUE"""),133.34199999999998)</f>
        <v>133.342</v>
      </c>
      <c r="BK302" s="71">
        <f>IFERROR(__xludf.DUMMYFUNCTION("""COMPUTED_VALUE"""),108.9)</f>
        <v>108.9</v>
      </c>
      <c r="BL302" s="71">
        <f>IFERROR(__xludf.DUMMYFUNCTION("""COMPUTED_VALUE"""),17.424000000000003)</f>
        <v>17.424</v>
      </c>
      <c r="BM302" s="71">
        <f>IFERROR(__xludf.DUMMYFUNCTION("""COMPUTED_VALUE"""),126.32400000000001)</f>
        <v>126.324</v>
      </c>
      <c r="BN302" s="71">
        <f>IFERROR(__xludf.DUMMYFUNCTION("""COMPUTED_VALUE"""),102.85)</f>
        <v>102.85</v>
      </c>
      <c r="BO302" s="71">
        <f>IFERROR(__xludf.DUMMYFUNCTION("""COMPUTED_VALUE"""),16.456)</f>
        <v>16.456</v>
      </c>
      <c r="BP302" s="71">
        <f>IFERROR(__xludf.DUMMYFUNCTION("""COMPUTED_VALUE"""),119.306)</f>
        <v>119.306</v>
      </c>
      <c r="BQ302" s="71">
        <f>IFERROR(__xludf.DUMMYFUNCTION("""COMPUTED_VALUE"""),100.42999999999999)</f>
        <v>100.43</v>
      </c>
      <c r="BR302" s="71">
        <f>IFERROR(__xludf.DUMMYFUNCTION("""COMPUTED_VALUE"""),16.0688)</f>
        <v>16.0688</v>
      </c>
      <c r="BS302" s="71">
        <f>IFERROR(__xludf.DUMMYFUNCTION("""COMPUTED_VALUE"""),116.49879999999999)</f>
        <v>116.4988</v>
      </c>
      <c r="BT302" s="71">
        <f>IFERROR(__xludf.DUMMYFUNCTION("""COMPUTED_VALUE"""),96.80000000000001)</f>
        <v>96.8</v>
      </c>
      <c r="BU302" s="71">
        <f>IFERROR(__xludf.DUMMYFUNCTION("""COMPUTED_VALUE"""),15.488000000000001)</f>
        <v>15.488</v>
      </c>
      <c r="BV302" s="71">
        <f>IFERROR(__xludf.DUMMYFUNCTION("""COMPUTED_VALUE"""),112.28800000000001)</f>
        <v>112.288</v>
      </c>
    </row>
    <row r="303">
      <c r="A303" s="53">
        <v>1.0</v>
      </c>
      <c r="B303" s="72"/>
      <c r="C303" s="73" t="s">
        <v>603</v>
      </c>
      <c r="D303" s="74" t="s">
        <v>759</v>
      </c>
      <c r="E303" s="54" t="s">
        <v>38</v>
      </c>
      <c r="F303" s="54" t="s">
        <v>42</v>
      </c>
      <c r="G303" s="88" t="s">
        <v>760</v>
      </c>
      <c r="H303" s="54" t="s">
        <v>761</v>
      </c>
      <c r="I303" s="54">
        <f t="shared" si="1"/>
        <v>39</v>
      </c>
      <c r="J303" s="56"/>
      <c r="K303" s="57"/>
      <c r="L303" s="76"/>
      <c r="M303" s="59"/>
      <c r="N303" s="60">
        <v>2615.0</v>
      </c>
      <c r="O303" s="61">
        <v>2360.0</v>
      </c>
      <c r="P303" s="62">
        <v>2548.8</v>
      </c>
      <c r="Q303" s="63">
        <v>2548.8</v>
      </c>
      <c r="R303" s="64">
        <v>2838.0</v>
      </c>
      <c r="S303" s="65">
        <v>2448.0</v>
      </c>
      <c r="T303" s="65">
        <f t="shared" si="2"/>
        <v>391.68</v>
      </c>
      <c r="U303" s="65">
        <f t="shared" si="3"/>
        <v>2839.68</v>
      </c>
      <c r="V303" s="66">
        <f t="shared" si="4"/>
        <v>-0.1374207188</v>
      </c>
      <c r="W303" s="67">
        <f t="shared" si="5"/>
        <v>2325.6</v>
      </c>
      <c r="X303" s="67">
        <f t="shared" si="6"/>
        <v>372.096</v>
      </c>
      <c r="Y303" s="67">
        <f t="shared" si="7"/>
        <v>2697.696</v>
      </c>
      <c r="Z303" s="67">
        <f t="shared" si="8"/>
        <v>2203.2</v>
      </c>
      <c r="AA303" s="67">
        <f t="shared" si="9"/>
        <v>352.512</v>
      </c>
      <c r="AB303" s="67">
        <f t="shared" si="10"/>
        <v>2555.712</v>
      </c>
      <c r="AC303" s="67">
        <f t="shared" si="11"/>
        <v>2080.8</v>
      </c>
      <c r="AD303" s="67">
        <f t="shared" si="12"/>
        <v>332.928</v>
      </c>
      <c r="AE303" s="67">
        <f t="shared" si="13"/>
        <v>2413.728</v>
      </c>
      <c r="AF303" s="67">
        <f t="shared" si="14"/>
        <v>2031.84</v>
      </c>
      <c r="AG303" s="67">
        <f t="shared" si="15"/>
        <v>325.0944</v>
      </c>
      <c r="AH303" s="67">
        <f t="shared" si="16"/>
        <v>2356.9344</v>
      </c>
      <c r="AI303" s="67">
        <f t="shared" si="17"/>
        <v>1958.4</v>
      </c>
      <c r="AJ303" s="68">
        <f t="shared" si="20"/>
        <v>313.344</v>
      </c>
      <c r="AK303" s="68">
        <f t="shared" si="21"/>
        <v>2271.744</v>
      </c>
      <c r="AL303" s="70">
        <f>IFERROR(__xludf.DUMMYFUNCTION("""COMPUTED_VALUE"""),1.0)</f>
        <v>1</v>
      </c>
      <c r="AM303" s="70"/>
      <c r="AN303" s="71" t="str">
        <f>IFERROR(__xludf.DUMMYFUNCTION("""COMPUTED_VALUE""")," CP")</f>
        <v>CP</v>
      </c>
      <c r="AO303" s="71" t="str">
        <f>IFERROR(__xludf.DUMMYFUNCTION("""COMPUTED_VALUE""")," CA24")</f>
        <v>CA24</v>
      </c>
      <c r="AP303" s="71" t="str">
        <f>IFERROR(__xludf.DUMMYFUNCTION("""COMPUTED_VALUE""")," PZA")</f>
        <v>PZA</v>
      </c>
      <c r="AQ303" s="71" t="str">
        <f>IFERROR(__xludf.DUMMYFUNCTION("""COMPUTED_VALUE""")," REF")</f>
        <v>REF</v>
      </c>
      <c r="AR303" s="71" t="str">
        <f>IFERROR(__xludf.DUMMYFUNCTION("""COMPUTED_VALUE""")," CATARINA 40B17 E.1"" C.1/4 ")</f>
        <v>CATARINA 40B17 E.1" C.1/4 </v>
      </c>
      <c r="AS303" s="71" t="str">
        <f>IFERROR(__xludf.DUMMYFUNCTION("""COMPUTED_VALUE""")," CATARINA 40B17 E.1"" C.1/4 ")</f>
        <v>CATARINA 40B17 E.1" C.1/4 </v>
      </c>
      <c r="AT303" s="71">
        <f>IFERROR(__xludf.DUMMYFUNCTION("""COMPUTED_VALUE"""),26.0)</f>
        <v>26</v>
      </c>
      <c r="AU303" s="71"/>
      <c r="AV303" s="71"/>
      <c r="AW303" s="71"/>
      <c r="AX303" s="71"/>
      <c r="AY303" s="71">
        <f>IFERROR(__xludf.DUMMYFUNCTION("""COMPUTED_VALUE"""),162.0)</f>
        <v>162</v>
      </c>
      <c r="AZ303" s="71">
        <f>IFERROR(__xludf.DUMMYFUNCTION("""COMPUTED_VALUE"""),174.0)</f>
        <v>174</v>
      </c>
      <c r="BA303" s="71">
        <f>IFERROR(__xludf.DUMMYFUNCTION("""COMPUTED_VALUE"""),90.0)</f>
        <v>90</v>
      </c>
      <c r="BB303" s="71">
        <f>IFERROR(__xludf.DUMMYFUNCTION("""COMPUTED_VALUE"""),90.0)</f>
        <v>90</v>
      </c>
      <c r="BC303" s="71">
        <f>IFERROR(__xludf.DUMMYFUNCTION("""COMPUTED_VALUE"""),115.0)</f>
        <v>115</v>
      </c>
      <c r="BD303" s="71">
        <f>IFERROR(__xludf.DUMMYFUNCTION("""COMPUTED_VALUE"""),121.0)</f>
        <v>121</v>
      </c>
      <c r="BE303" s="71">
        <f>IFERROR(__xludf.DUMMYFUNCTION("""COMPUTED_VALUE"""),19.36)</f>
        <v>19.36</v>
      </c>
      <c r="BF303" s="71">
        <f>IFERROR(__xludf.DUMMYFUNCTION("""COMPUTED_VALUE"""),140.36)</f>
        <v>140.36</v>
      </c>
      <c r="BG303" s="71">
        <f>IFERROR(__xludf.DUMMYFUNCTION("""COMPUTED_VALUE"""),0.05217391304347826)</f>
        <v>0.05217391304</v>
      </c>
      <c r="BH303" s="71">
        <f>IFERROR(__xludf.DUMMYFUNCTION("""COMPUTED_VALUE"""),114.94999999999999)</f>
        <v>114.95</v>
      </c>
      <c r="BI303" s="71">
        <f>IFERROR(__xludf.DUMMYFUNCTION("""COMPUTED_VALUE"""),18.392)</f>
        <v>18.392</v>
      </c>
      <c r="BJ303" s="71">
        <f>IFERROR(__xludf.DUMMYFUNCTION("""COMPUTED_VALUE"""),133.34199999999998)</f>
        <v>133.342</v>
      </c>
      <c r="BK303" s="71">
        <f>IFERROR(__xludf.DUMMYFUNCTION("""COMPUTED_VALUE"""),108.9)</f>
        <v>108.9</v>
      </c>
      <c r="BL303" s="71">
        <f>IFERROR(__xludf.DUMMYFUNCTION("""COMPUTED_VALUE"""),17.424000000000003)</f>
        <v>17.424</v>
      </c>
      <c r="BM303" s="71">
        <f>IFERROR(__xludf.DUMMYFUNCTION("""COMPUTED_VALUE"""),126.32400000000001)</f>
        <v>126.324</v>
      </c>
      <c r="BN303" s="71">
        <f>IFERROR(__xludf.DUMMYFUNCTION("""COMPUTED_VALUE"""),102.85)</f>
        <v>102.85</v>
      </c>
      <c r="BO303" s="71">
        <f>IFERROR(__xludf.DUMMYFUNCTION("""COMPUTED_VALUE"""),16.456)</f>
        <v>16.456</v>
      </c>
      <c r="BP303" s="71">
        <f>IFERROR(__xludf.DUMMYFUNCTION("""COMPUTED_VALUE"""),119.306)</f>
        <v>119.306</v>
      </c>
      <c r="BQ303" s="71">
        <f>IFERROR(__xludf.DUMMYFUNCTION("""COMPUTED_VALUE"""),100.42999999999999)</f>
        <v>100.43</v>
      </c>
      <c r="BR303" s="71">
        <f>IFERROR(__xludf.DUMMYFUNCTION("""COMPUTED_VALUE"""),16.0688)</f>
        <v>16.0688</v>
      </c>
      <c r="BS303" s="71">
        <f>IFERROR(__xludf.DUMMYFUNCTION("""COMPUTED_VALUE"""),116.49879999999999)</f>
        <v>116.4988</v>
      </c>
      <c r="BT303" s="71">
        <f>IFERROR(__xludf.DUMMYFUNCTION("""COMPUTED_VALUE"""),96.80000000000001)</f>
        <v>96.8</v>
      </c>
      <c r="BU303" s="71">
        <f>IFERROR(__xludf.DUMMYFUNCTION("""COMPUTED_VALUE"""),15.488000000000001)</f>
        <v>15.488</v>
      </c>
      <c r="BV303" s="71">
        <f>IFERROR(__xludf.DUMMYFUNCTION("""COMPUTED_VALUE"""),112.28800000000001)</f>
        <v>112.288</v>
      </c>
    </row>
    <row r="304">
      <c r="A304" s="53">
        <v>1.0</v>
      </c>
      <c r="B304" s="72"/>
      <c r="C304" s="73" t="s">
        <v>603</v>
      </c>
      <c r="D304" s="74" t="s">
        <v>762</v>
      </c>
      <c r="E304" s="54" t="s">
        <v>38</v>
      </c>
      <c r="F304" s="54" t="s">
        <v>42</v>
      </c>
      <c r="G304" s="88" t="s">
        <v>763</v>
      </c>
      <c r="H304" s="54" t="s">
        <v>764</v>
      </c>
      <c r="I304" s="54">
        <f t="shared" si="1"/>
        <v>40</v>
      </c>
      <c r="J304" s="56"/>
      <c r="K304" s="57"/>
      <c r="L304" s="76"/>
      <c r="M304" s="59"/>
      <c r="N304" s="60">
        <v>2244.0</v>
      </c>
      <c r="O304" s="61">
        <v>2132.0</v>
      </c>
      <c r="P304" s="62">
        <v>2302.56</v>
      </c>
      <c r="Q304" s="63">
        <v>2302.56</v>
      </c>
      <c r="R304" s="64">
        <v>2564.0</v>
      </c>
      <c r="S304" s="65">
        <v>2208.0</v>
      </c>
      <c r="T304" s="65">
        <f t="shared" si="2"/>
        <v>353.28</v>
      </c>
      <c r="U304" s="65">
        <f t="shared" si="3"/>
        <v>2561.28</v>
      </c>
      <c r="V304" s="66">
        <f t="shared" si="4"/>
        <v>-0.1388455538</v>
      </c>
      <c r="W304" s="67">
        <f t="shared" si="5"/>
        <v>2097.6</v>
      </c>
      <c r="X304" s="67">
        <f t="shared" si="6"/>
        <v>335.616</v>
      </c>
      <c r="Y304" s="67">
        <f t="shared" si="7"/>
        <v>2433.216</v>
      </c>
      <c r="Z304" s="67">
        <f t="shared" si="8"/>
        <v>1987.2</v>
      </c>
      <c r="AA304" s="67">
        <f t="shared" si="9"/>
        <v>317.952</v>
      </c>
      <c r="AB304" s="67">
        <f t="shared" si="10"/>
        <v>2305.152</v>
      </c>
      <c r="AC304" s="67">
        <f t="shared" si="11"/>
        <v>1876.8</v>
      </c>
      <c r="AD304" s="67">
        <f t="shared" si="12"/>
        <v>300.288</v>
      </c>
      <c r="AE304" s="67">
        <f t="shared" si="13"/>
        <v>2177.088</v>
      </c>
      <c r="AF304" s="67">
        <f t="shared" si="14"/>
        <v>1832.64</v>
      </c>
      <c r="AG304" s="67">
        <f t="shared" si="15"/>
        <v>293.2224</v>
      </c>
      <c r="AH304" s="67">
        <f t="shared" si="16"/>
        <v>2125.8624</v>
      </c>
      <c r="AI304" s="67">
        <f t="shared" si="17"/>
        <v>1766.4</v>
      </c>
      <c r="AJ304" s="68">
        <f t="shared" si="20"/>
        <v>282.624</v>
      </c>
      <c r="AK304" s="68">
        <f t="shared" si="21"/>
        <v>2049.024</v>
      </c>
      <c r="AL304" s="70">
        <f>IFERROR(__xludf.DUMMYFUNCTION("""COMPUTED_VALUE"""),1.0)</f>
        <v>1</v>
      </c>
      <c r="AM304" s="70"/>
      <c r="AN304" s="71" t="str">
        <f>IFERROR(__xludf.DUMMYFUNCTION("""COMPUTED_VALUE""")," CP")</f>
        <v>CP</v>
      </c>
      <c r="AO304" s="71" t="str">
        <f>IFERROR(__xludf.DUMMYFUNCTION("""COMPUTED_VALUE""")," CA26")</f>
        <v>CA26</v>
      </c>
      <c r="AP304" s="71" t="str">
        <f>IFERROR(__xludf.DUMMYFUNCTION("""COMPUTED_VALUE""")," PZA")</f>
        <v>PZA</v>
      </c>
      <c r="AQ304" s="71" t="str">
        <f>IFERROR(__xludf.DUMMYFUNCTION("""COMPUTED_VALUE""")," REF")</f>
        <v>REF</v>
      </c>
      <c r="AR304" s="71" t="str">
        <f>IFERROR(__xludf.DUMMYFUNCTION("""COMPUTED_VALUE""")," CATARINA 40B17 E.15/16""")</f>
        <v>CATARINA 40B17 E.15/16"</v>
      </c>
      <c r="AS304" s="71" t="str">
        <f>IFERROR(__xludf.DUMMYFUNCTION("""COMPUTED_VALUE""")," CATARINA 40B17 E.15/16""")</f>
        <v>CATARINA 40B17 E.15/16"</v>
      </c>
      <c r="AT304" s="71">
        <f>IFERROR(__xludf.DUMMYFUNCTION("""COMPUTED_VALUE"""),23.0)</f>
        <v>23</v>
      </c>
      <c r="AU304" s="71"/>
      <c r="AV304" s="71"/>
      <c r="AW304" s="71"/>
      <c r="AX304" s="71"/>
      <c r="AY304" s="71">
        <f>IFERROR(__xludf.DUMMYFUNCTION("""COMPUTED_VALUE"""),162.0)</f>
        <v>162</v>
      </c>
      <c r="AZ304" s="71">
        <f>IFERROR(__xludf.DUMMYFUNCTION("""COMPUTED_VALUE"""),174.0)</f>
        <v>174</v>
      </c>
      <c r="BA304" s="71">
        <f>IFERROR(__xludf.DUMMYFUNCTION("""COMPUTED_VALUE"""),85.0)</f>
        <v>85</v>
      </c>
      <c r="BB304" s="71">
        <f>IFERROR(__xludf.DUMMYFUNCTION("""COMPUTED_VALUE"""),85.0)</f>
        <v>85</v>
      </c>
      <c r="BC304" s="71">
        <f>IFERROR(__xludf.DUMMYFUNCTION("""COMPUTED_VALUE"""),115.0)</f>
        <v>115</v>
      </c>
      <c r="BD304" s="71">
        <f>IFERROR(__xludf.DUMMYFUNCTION("""COMPUTED_VALUE"""),121.0)</f>
        <v>121</v>
      </c>
      <c r="BE304" s="71">
        <f>IFERROR(__xludf.DUMMYFUNCTION("""COMPUTED_VALUE"""),19.36)</f>
        <v>19.36</v>
      </c>
      <c r="BF304" s="71">
        <f>IFERROR(__xludf.DUMMYFUNCTION("""COMPUTED_VALUE"""),140.36)</f>
        <v>140.36</v>
      </c>
      <c r="BG304" s="71">
        <f>IFERROR(__xludf.DUMMYFUNCTION("""COMPUTED_VALUE"""),0.05217391304347826)</f>
        <v>0.05217391304</v>
      </c>
      <c r="BH304" s="71">
        <f>IFERROR(__xludf.DUMMYFUNCTION("""COMPUTED_VALUE"""),114.94999999999999)</f>
        <v>114.95</v>
      </c>
      <c r="BI304" s="71">
        <f>IFERROR(__xludf.DUMMYFUNCTION("""COMPUTED_VALUE"""),18.392)</f>
        <v>18.392</v>
      </c>
      <c r="BJ304" s="71">
        <f>IFERROR(__xludf.DUMMYFUNCTION("""COMPUTED_VALUE"""),133.34199999999998)</f>
        <v>133.342</v>
      </c>
      <c r="BK304" s="71">
        <f>IFERROR(__xludf.DUMMYFUNCTION("""COMPUTED_VALUE"""),108.9)</f>
        <v>108.9</v>
      </c>
      <c r="BL304" s="71">
        <f>IFERROR(__xludf.DUMMYFUNCTION("""COMPUTED_VALUE"""),17.424000000000003)</f>
        <v>17.424</v>
      </c>
      <c r="BM304" s="71">
        <f>IFERROR(__xludf.DUMMYFUNCTION("""COMPUTED_VALUE"""),126.32400000000001)</f>
        <v>126.324</v>
      </c>
      <c r="BN304" s="71">
        <f>IFERROR(__xludf.DUMMYFUNCTION("""COMPUTED_VALUE"""),102.85)</f>
        <v>102.85</v>
      </c>
      <c r="BO304" s="71">
        <f>IFERROR(__xludf.DUMMYFUNCTION("""COMPUTED_VALUE"""),16.456)</f>
        <v>16.456</v>
      </c>
      <c r="BP304" s="71">
        <f>IFERROR(__xludf.DUMMYFUNCTION("""COMPUTED_VALUE"""),119.306)</f>
        <v>119.306</v>
      </c>
      <c r="BQ304" s="71">
        <f>IFERROR(__xludf.DUMMYFUNCTION("""COMPUTED_VALUE"""),100.42999999999999)</f>
        <v>100.43</v>
      </c>
      <c r="BR304" s="71">
        <f>IFERROR(__xludf.DUMMYFUNCTION("""COMPUTED_VALUE"""),16.0688)</f>
        <v>16.0688</v>
      </c>
      <c r="BS304" s="71">
        <f>IFERROR(__xludf.DUMMYFUNCTION("""COMPUTED_VALUE"""),116.49879999999999)</f>
        <v>116.4988</v>
      </c>
      <c r="BT304" s="71">
        <f>IFERROR(__xludf.DUMMYFUNCTION("""COMPUTED_VALUE"""),96.80000000000001)</f>
        <v>96.8</v>
      </c>
      <c r="BU304" s="71">
        <f>IFERROR(__xludf.DUMMYFUNCTION("""COMPUTED_VALUE"""),15.488000000000001)</f>
        <v>15.488</v>
      </c>
      <c r="BV304" s="71">
        <f>IFERROR(__xludf.DUMMYFUNCTION("""COMPUTED_VALUE"""),112.28800000000001)</f>
        <v>112.288</v>
      </c>
    </row>
    <row r="305">
      <c r="A305" s="53">
        <v>1.0</v>
      </c>
      <c r="B305" s="72"/>
      <c r="C305" s="73" t="s">
        <v>603</v>
      </c>
      <c r="D305" s="74" t="s">
        <v>765</v>
      </c>
      <c r="E305" s="54" t="s">
        <v>38</v>
      </c>
      <c r="F305" s="54" t="s">
        <v>42</v>
      </c>
      <c r="G305" s="88" t="s">
        <v>766</v>
      </c>
      <c r="H305" s="54" t="s">
        <v>767</v>
      </c>
      <c r="I305" s="54">
        <f t="shared" si="1"/>
        <v>38</v>
      </c>
      <c r="J305" s="56"/>
      <c r="K305" s="57"/>
      <c r="L305" s="76"/>
      <c r="M305" s="59"/>
      <c r="N305" s="60">
        <v>2363.0</v>
      </c>
      <c r="O305" s="61">
        <v>2133.0</v>
      </c>
      <c r="P305" s="62">
        <v>2303.6400000000003</v>
      </c>
      <c r="Q305" s="63">
        <v>2303.6400000000003</v>
      </c>
      <c r="R305" s="64">
        <v>2565.0</v>
      </c>
      <c r="S305" s="65">
        <v>2208.0</v>
      </c>
      <c r="T305" s="65">
        <f t="shared" si="2"/>
        <v>353.28</v>
      </c>
      <c r="U305" s="65">
        <f t="shared" si="3"/>
        <v>2561.28</v>
      </c>
      <c r="V305" s="66">
        <f t="shared" si="4"/>
        <v>-0.1391812865</v>
      </c>
      <c r="W305" s="67">
        <f t="shared" si="5"/>
        <v>2097.6</v>
      </c>
      <c r="X305" s="67">
        <f t="shared" si="6"/>
        <v>335.616</v>
      </c>
      <c r="Y305" s="67">
        <f t="shared" si="7"/>
        <v>2433.216</v>
      </c>
      <c r="Z305" s="67">
        <f t="shared" si="8"/>
        <v>1987.2</v>
      </c>
      <c r="AA305" s="67">
        <f t="shared" si="9"/>
        <v>317.952</v>
      </c>
      <c r="AB305" s="67">
        <f t="shared" si="10"/>
        <v>2305.152</v>
      </c>
      <c r="AC305" s="67">
        <f t="shared" si="11"/>
        <v>1876.8</v>
      </c>
      <c r="AD305" s="67">
        <f t="shared" si="12"/>
        <v>300.288</v>
      </c>
      <c r="AE305" s="67">
        <f t="shared" si="13"/>
        <v>2177.088</v>
      </c>
      <c r="AF305" s="67">
        <f t="shared" si="14"/>
        <v>1832.64</v>
      </c>
      <c r="AG305" s="67">
        <f t="shared" si="15"/>
        <v>293.2224</v>
      </c>
      <c r="AH305" s="67">
        <f t="shared" si="16"/>
        <v>2125.8624</v>
      </c>
      <c r="AI305" s="67">
        <f t="shared" si="17"/>
        <v>1766.4</v>
      </c>
      <c r="AJ305" s="68">
        <f t="shared" si="20"/>
        <v>282.624</v>
      </c>
      <c r="AK305" s="68">
        <f t="shared" si="21"/>
        <v>2049.024</v>
      </c>
      <c r="AL305" s="70">
        <f>IFERROR(__xludf.DUMMYFUNCTION("""COMPUTED_VALUE"""),1.0)</f>
        <v>1</v>
      </c>
      <c r="AM305" s="70"/>
      <c r="AN305" s="71" t="str">
        <f>IFERROR(__xludf.DUMMYFUNCTION("""COMPUTED_VALUE""")," CP")</f>
        <v>CP</v>
      </c>
      <c r="AO305" s="71" t="str">
        <f>IFERROR(__xludf.DUMMYFUNCTION("""COMPUTED_VALUE""")," CA27")</f>
        <v>CA27</v>
      </c>
      <c r="AP305" s="71" t="str">
        <f>IFERROR(__xludf.DUMMYFUNCTION("""COMPUTED_VALUE""")," PZA")</f>
        <v>PZA</v>
      </c>
      <c r="AQ305" s="71" t="str">
        <f>IFERROR(__xludf.DUMMYFUNCTION("""COMPUTED_VALUE""")," REF")</f>
        <v>REF</v>
      </c>
      <c r="AR305" s="71" t="str">
        <f>IFERROR(__xludf.DUMMYFUNCTION("""COMPUTED_VALUE""")," CATARINA 40B17 E.3/4""")</f>
        <v>CATARINA 40B17 E.3/4"</v>
      </c>
      <c r="AS305" s="71" t="str">
        <f>IFERROR(__xludf.DUMMYFUNCTION("""COMPUTED_VALUE""")," CATARINA 40B17 E.3/4""")</f>
        <v>CATARINA 40B17 E.3/4"</v>
      </c>
      <c r="AT305" s="71">
        <f>IFERROR(__xludf.DUMMYFUNCTION("""COMPUTED_VALUE"""),21.0)</f>
        <v>21</v>
      </c>
      <c r="AU305" s="71"/>
      <c r="AV305" s="71"/>
      <c r="AW305" s="71"/>
      <c r="AX305" s="71"/>
      <c r="AY305" s="71">
        <f>IFERROR(__xludf.DUMMYFUNCTION("""COMPUTED_VALUE"""),162.0)</f>
        <v>162</v>
      </c>
      <c r="AZ305" s="71">
        <f>IFERROR(__xludf.DUMMYFUNCTION("""COMPUTED_VALUE"""),174.0)</f>
        <v>174</v>
      </c>
      <c r="BA305" s="71">
        <f>IFERROR(__xludf.DUMMYFUNCTION("""COMPUTED_VALUE"""),85.0)</f>
        <v>85</v>
      </c>
      <c r="BB305" s="71">
        <f>IFERROR(__xludf.DUMMYFUNCTION("""COMPUTED_VALUE"""),85.0)</f>
        <v>85</v>
      </c>
      <c r="BC305" s="71">
        <f>IFERROR(__xludf.DUMMYFUNCTION("""COMPUTED_VALUE"""),115.0)</f>
        <v>115</v>
      </c>
      <c r="BD305" s="71">
        <f>IFERROR(__xludf.DUMMYFUNCTION("""COMPUTED_VALUE"""),121.0)</f>
        <v>121</v>
      </c>
      <c r="BE305" s="71">
        <f>IFERROR(__xludf.DUMMYFUNCTION("""COMPUTED_VALUE"""),19.36)</f>
        <v>19.36</v>
      </c>
      <c r="BF305" s="71">
        <f>IFERROR(__xludf.DUMMYFUNCTION("""COMPUTED_VALUE"""),140.36)</f>
        <v>140.36</v>
      </c>
      <c r="BG305" s="71">
        <f>IFERROR(__xludf.DUMMYFUNCTION("""COMPUTED_VALUE"""),0.05217391304347826)</f>
        <v>0.05217391304</v>
      </c>
      <c r="BH305" s="71">
        <f>IFERROR(__xludf.DUMMYFUNCTION("""COMPUTED_VALUE"""),114.94999999999999)</f>
        <v>114.95</v>
      </c>
      <c r="BI305" s="71">
        <f>IFERROR(__xludf.DUMMYFUNCTION("""COMPUTED_VALUE"""),18.392)</f>
        <v>18.392</v>
      </c>
      <c r="BJ305" s="71">
        <f>IFERROR(__xludf.DUMMYFUNCTION("""COMPUTED_VALUE"""),133.34199999999998)</f>
        <v>133.342</v>
      </c>
      <c r="BK305" s="71">
        <f>IFERROR(__xludf.DUMMYFUNCTION("""COMPUTED_VALUE"""),108.9)</f>
        <v>108.9</v>
      </c>
      <c r="BL305" s="71">
        <f>IFERROR(__xludf.DUMMYFUNCTION("""COMPUTED_VALUE"""),17.424000000000003)</f>
        <v>17.424</v>
      </c>
      <c r="BM305" s="71">
        <f>IFERROR(__xludf.DUMMYFUNCTION("""COMPUTED_VALUE"""),126.32400000000001)</f>
        <v>126.324</v>
      </c>
      <c r="BN305" s="71">
        <f>IFERROR(__xludf.DUMMYFUNCTION("""COMPUTED_VALUE"""),102.85)</f>
        <v>102.85</v>
      </c>
      <c r="BO305" s="71">
        <f>IFERROR(__xludf.DUMMYFUNCTION("""COMPUTED_VALUE"""),16.456)</f>
        <v>16.456</v>
      </c>
      <c r="BP305" s="71">
        <f>IFERROR(__xludf.DUMMYFUNCTION("""COMPUTED_VALUE"""),119.306)</f>
        <v>119.306</v>
      </c>
      <c r="BQ305" s="71">
        <f>IFERROR(__xludf.DUMMYFUNCTION("""COMPUTED_VALUE"""),100.42999999999999)</f>
        <v>100.43</v>
      </c>
      <c r="BR305" s="71">
        <f>IFERROR(__xludf.DUMMYFUNCTION("""COMPUTED_VALUE"""),16.0688)</f>
        <v>16.0688</v>
      </c>
      <c r="BS305" s="71">
        <f>IFERROR(__xludf.DUMMYFUNCTION("""COMPUTED_VALUE"""),116.49879999999999)</f>
        <v>116.4988</v>
      </c>
      <c r="BT305" s="71">
        <f>IFERROR(__xludf.DUMMYFUNCTION("""COMPUTED_VALUE"""),96.80000000000001)</f>
        <v>96.8</v>
      </c>
      <c r="BU305" s="71">
        <f>IFERROR(__xludf.DUMMYFUNCTION("""COMPUTED_VALUE"""),15.488000000000001)</f>
        <v>15.488</v>
      </c>
      <c r="BV305" s="71">
        <f>IFERROR(__xludf.DUMMYFUNCTION("""COMPUTED_VALUE"""),112.28800000000001)</f>
        <v>112.288</v>
      </c>
    </row>
    <row r="306">
      <c r="A306" s="53"/>
      <c r="B306" s="53"/>
      <c r="C306" s="73" t="s">
        <v>603</v>
      </c>
      <c r="D306" s="53" t="s">
        <v>768</v>
      </c>
      <c r="E306" s="54" t="s">
        <v>38</v>
      </c>
      <c r="F306" s="55" t="s">
        <v>309</v>
      </c>
      <c r="G306" s="54" t="s">
        <v>769</v>
      </c>
      <c r="H306" s="55"/>
      <c r="I306" s="54">
        <f t="shared" si="1"/>
        <v>0</v>
      </c>
      <c r="J306" s="56"/>
      <c r="K306" s="57"/>
      <c r="L306" s="76"/>
      <c r="M306" s="59"/>
      <c r="N306" s="60"/>
      <c r="O306" s="90">
        <v>3102.0</v>
      </c>
      <c r="P306" s="62">
        <v>2800.44</v>
      </c>
      <c r="Q306" s="63">
        <v>2800.44</v>
      </c>
      <c r="R306" s="64">
        <v>3118.0</v>
      </c>
      <c r="S306" s="111">
        <v>3274.0</v>
      </c>
      <c r="T306" s="65">
        <f t="shared" si="2"/>
        <v>523.84</v>
      </c>
      <c r="U306" s="65">
        <f t="shared" si="3"/>
        <v>3797.84</v>
      </c>
      <c r="V306" s="66">
        <f t="shared" si="4"/>
        <v>0.05003207184</v>
      </c>
      <c r="W306" s="67">
        <f t="shared" si="5"/>
        <v>3110.3</v>
      </c>
      <c r="X306" s="67">
        <f t="shared" si="6"/>
        <v>497.648</v>
      </c>
      <c r="Y306" s="67">
        <f t="shared" si="7"/>
        <v>3607.948</v>
      </c>
      <c r="Z306" s="67">
        <f t="shared" si="8"/>
        <v>2946.6</v>
      </c>
      <c r="AA306" s="67">
        <f t="shared" si="9"/>
        <v>471.456</v>
      </c>
      <c r="AB306" s="67">
        <f t="shared" si="10"/>
        <v>3418.056</v>
      </c>
      <c r="AC306" s="67">
        <f t="shared" si="11"/>
        <v>2782.9</v>
      </c>
      <c r="AD306" s="67">
        <f t="shared" si="12"/>
        <v>445.264</v>
      </c>
      <c r="AE306" s="67">
        <f t="shared" si="13"/>
        <v>3228.164</v>
      </c>
      <c r="AF306" s="67">
        <f t="shared" si="14"/>
        <v>2717.42</v>
      </c>
      <c r="AG306" s="67">
        <f t="shared" si="15"/>
        <v>434.7872</v>
      </c>
      <c r="AH306" s="67">
        <f t="shared" si="16"/>
        <v>3152.2072</v>
      </c>
      <c r="AI306" s="67">
        <f t="shared" si="17"/>
        <v>2619.2</v>
      </c>
      <c r="AJ306" s="68">
        <f t="shared" si="20"/>
        <v>419.072</v>
      </c>
      <c r="AK306" s="68">
        <f t="shared" si="21"/>
        <v>3038.272</v>
      </c>
      <c r="AL306" s="70">
        <f>IFERROR(__xludf.DUMMYFUNCTION("""COMPUTED_VALUE"""),1.0)</f>
        <v>1</v>
      </c>
      <c r="AM306" s="70"/>
      <c r="AN306" s="71" t="str">
        <f>IFERROR(__xludf.DUMMYFUNCTION("""COMPUTED_VALUE""")," CP")</f>
        <v>CP</v>
      </c>
      <c r="AO306" s="71" t="str">
        <f>IFERROR(__xludf.DUMMYFUNCTION("""COMPUTED_VALUE""")," CA28")</f>
        <v>CA28</v>
      </c>
      <c r="AP306" s="71" t="str">
        <f>IFERROR(__xludf.DUMMYFUNCTION("""COMPUTED_VALUE""")," PZA")</f>
        <v>PZA</v>
      </c>
      <c r="AQ306" s="71" t="str">
        <f>IFERROR(__xludf.DUMMYFUNCTION("""COMPUTED_VALUE""")," REF")</f>
        <v>REF</v>
      </c>
      <c r="AR306" s="71" t="str">
        <f>IFERROR(__xludf.DUMMYFUNCTION("""COMPUTED_VALUE""")," CATARINA 40B17 E.5/8""")</f>
        <v>CATARINA 40B17 E.5/8"</v>
      </c>
      <c r="AS306" s="71" t="str">
        <f>IFERROR(__xludf.DUMMYFUNCTION("""COMPUTED_VALUE""")," CATARINA 40B17 E.5/8""")</f>
        <v>CATARINA 40B17 E.5/8"</v>
      </c>
      <c r="AT306" s="71">
        <f>IFERROR(__xludf.DUMMYFUNCTION("""COMPUTED_VALUE"""),21.0)</f>
        <v>21</v>
      </c>
      <c r="AU306" s="71"/>
      <c r="AV306" s="71"/>
      <c r="AW306" s="71"/>
      <c r="AX306" s="71"/>
      <c r="AY306" s="71">
        <f>IFERROR(__xludf.DUMMYFUNCTION("""COMPUTED_VALUE"""),162.0)</f>
        <v>162</v>
      </c>
      <c r="AZ306" s="71">
        <f>IFERROR(__xludf.DUMMYFUNCTION("""COMPUTED_VALUE"""),174.0)</f>
        <v>174</v>
      </c>
      <c r="BA306" s="71">
        <f>IFERROR(__xludf.DUMMYFUNCTION("""COMPUTED_VALUE"""),85.0)</f>
        <v>85</v>
      </c>
      <c r="BB306" s="71">
        <f>IFERROR(__xludf.DUMMYFUNCTION("""COMPUTED_VALUE"""),85.0)</f>
        <v>85</v>
      </c>
      <c r="BC306" s="71">
        <f>IFERROR(__xludf.DUMMYFUNCTION("""COMPUTED_VALUE"""),115.0)</f>
        <v>115</v>
      </c>
      <c r="BD306" s="71">
        <f>IFERROR(__xludf.DUMMYFUNCTION("""COMPUTED_VALUE"""),121.0)</f>
        <v>121</v>
      </c>
      <c r="BE306" s="71">
        <f>IFERROR(__xludf.DUMMYFUNCTION("""COMPUTED_VALUE"""),19.36)</f>
        <v>19.36</v>
      </c>
      <c r="BF306" s="71">
        <f>IFERROR(__xludf.DUMMYFUNCTION("""COMPUTED_VALUE"""),140.36)</f>
        <v>140.36</v>
      </c>
      <c r="BG306" s="71">
        <f>IFERROR(__xludf.DUMMYFUNCTION("""COMPUTED_VALUE"""),0.05217391304347826)</f>
        <v>0.05217391304</v>
      </c>
      <c r="BH306" s="71">
        <f>IFERROR(__xludf.DUMMYFUNCTION("""COMPUTED_VALUE"""),114.94999999999999)</f>
        <v>114.95</v>
      </c>
      <c r="BI306" s="71">
        <f>IFERROR(__xludf.DUMMYFUNCTION("""COMPUTED_VALUE"""),18.392)</f>
        <v>18.392</v>
      </c>
      <c r="BJ306" s="71">
        <f>IFERROR(__xludf.DUMMYFUNCTION("""COMPUTED_VALUE"""),133.34199999999998)</f>
        <v>133.342</v>
      </c>
      <c r="BK306" s="71">
        <f>IFERROR(__xludf.DUMMYFUNCTION("""COMPUTED_VALUE"""),108.9)</f>
        <v>108.9</v>
      </c>
      <c r="BL306" s="71">
        <f>IFERROR(__xludf.DUMMYFUNCTION("""COMPUTED_VALUE"""),17.424000000000003)</f>
        <v>17.424</v>
      </c>
      <c r="BM306" s="71">
        <f>IFERROR(__xludf.DUMMYFUNCTION("""COMPUTED_VALUE"""),126.32400000000001)</f>
        <v>126.324</v>
      </c>
      <c r="BN306" s="71">
        <f>IFERROR(__xludf.DUMMYFUNCTION("""COMPUTED_VALUE"""),102.85)</f>
        <v>102.85</v>
      </c>
      <c r="BO306" s="71">
        <f>IFERROR(__xludf.DUMMYFUNCTION("""COMPUTED_VALUE"""),16.456)</f>
        <v>16.456</v>
      </c>
      <c r="BP306" s="71">
        <f>IFERROR(__xludf.DUMMYFUNCTION("""COMPUTED_VALUE"""),119.306)</f>
        <v>119.306</v>
      </c>
      <c r="BQ306" s="71">
        <f>IFERROR(__xludf.DUMMYFUNCTION("""COMPUTED_VALUE"""),100.42999999999999)</f>
        <v>100.43</v>
      </c>
      <c r="BR306" s="71">
        <f>IFERROR(__xludf.DUMMYFUNCTION("""COMPUTED_VALUE"""),16.0688)</f>
        <v>16.0688</v>
      </c>
      <c r="BS306" s="71">
        <f>IFERROR(__xludf.DUMMYFUNCTION("""COMPUTED_VALUE"""),116.49879999999999)</f>
        <v>116.4988</v>
      </c>
      <c r="BT306" s="71">
        <f>IFERROR(__xludf.DUMMYFUNCTION("""COMPUTED_VALUE"""),96.80000000000001)</f>
        <v>96.8</v>
      </c>
      <c r="BU306" s="71">
        <f>IFERROR(__xludf.DUMMYFUNCTION("""COMPUTED_VALUE"""),15.488000000000001)</f>
        <v>15.488</v>
      </c>
      <c r="BV306" s="71">
        <f>IFERROR(__xludf.DUMMYFUNCTION("""COMPUTED_VALUE"""),112.28800000000001)</f>
        <v>112.288</v>
      </c>
    </row>
    <row r="307">
      <c r="A307" s="53"/>
      <c r="B307" s="53"/>
      <c r="C307" s="73" t="s">
        <v>603</v>
      </c>
      <c r="D307" s="53" t="s">
        <v>770</v>
      </c>
      <c r="E307" s="54" t="s">
        <v>38</v>
      </c>
      <c r="F307" s="55" t="s">
        <v>309</v>
      </c>
      <c r="G307" s="54" t="s">
        <v>771</v>
      </c>
      <c r="H307" s="55"/>
      <c r="I307" s="54">
        <f t="shared" si="1"/>
        <v>0</v>
      </c>
      <c r="J307" s="56"/>
      <c r="K307" s="57"/>
      <c r="L307" s="76"/>
      <c r="M307" s="59"/>
      <c r="N307" s="60"/>
      <c r="O307" s="90">
        <v>3134.0</v>
      </c>
      <c r="P307" s="62">
        <v>3128.52</v>
      </c>
      <c r="Q307" s="63">
        <v>3128.52</v>
      </c>
      <c r="R307" s="64">
        <v>3307.0</v>
      </c>
      <c r="S307" s="111">
        <v>3472.0</v>
      </c>
      <c r="T307" s="65">
        <f t="shared" si="2"/>
        <v>555.52</v>
      </c>
      <c r="U307" s="65">
        <f t="shared" si="3"/>
        <v>4027.52</v>
      </c>
      <c r="V307" s="66">
        <f t="shared" si="4"/>
        <v>0.04989416389</v>
      </c>
      <c r="W307" s="67">
        <f t="shared" si="5"/>
        <v>3298.4</v>
      </c>
      <c r="X307" s="67">
        <f t="shared" si="6"/>
        <v>527.744</v>
      </c>
      <c r="Y307" s="67">
        <f t="shared" si="7"/>
        <v>3826.144</v>
      </c>
      <c r="Z307" s="67">
        <f t="shared" si="8"/>
        <v>3124.8</v>
      </c>
      <c r="AA307" s="67">
        <f t="shared" si="9"/>
        <v>499.968</v>
      </c>
      <c r="AB307" s="67">
        <f t="shared" si="10"/>
        <v>3624.768</v>
      </c>
      <c r="AC307" s="67">
        <f t="shared" si="11"/>
        <v>2951.2</v>
      </c>
      <c r="AD307" s="67">
        <f t="shared" si="12"/>
        <v>472.192</v>
      </c>
      <c r="AE307" s="67">
        <f t="shared" si="13"/>
        <v>3423.392</v>
      </c>
      <c r="AF307" s="67">
        <f t="shared" si="14"/>
        <v>2881.76</v>
      </c>
      <c r="AG307" s="67">
        <f t="shared" si="15"/>
        <v>461.0816</v>
      </c>
      <c r="AH307" s="67">
        <f t="shared" si="16"/>
        <v>3342.8416</v>
      </c>
      <c r="AI307" s="67">
        <f t="shared" si="17"/>
        <v>2777.6</v>
      </c>
      <c r="AJ307" s="68">
        <f t="shared" si="20"/>
        <v>444.416</v>
      </c>
      <c r="AK307" s="68">
        <f t="shared" si="21"/>
        <v>3222.016</v>
      </c>
      <c r="AL307" s="70">
        <f>IFERROR(__xludf.DUMMYFUNCTION("""COMPUTED_VALUE"""),1.0)</f>
        <v>1</v>
      </c>
      <c r="AM307" s="70"/>
      <c r="AN307" s="71" t="str">
        <f>IFERROR(__xludf.DUMMYFUNCTION("""COMPUTED_VALUE""")," CP")</f>
        <v>CP</v>
      </c>
      <c r="AO307" s="71" t="str">
        <f>IFERROR(__xludf.DUMMYFUNCTION("""COMPUTED_VALUE""")," CA101")</f>
        <v>CA101</v>
      </c>
      <c r="AP307" s="71" t="str">
        <f>IFERROR(__xludf.DUMMYFUNCTION("""COMPUTED_VALUE""")," PZA")</f>
        <v>PZA</v>
      </c>
      <c r="AQ307" s="71" t="str">
        <f>IFERROR(__xludf.DUMMYFUNCTION("""COMPUTED_VALUE""")," REF")</f>
        <v>REF</v>
      </c>
      <c r="AR307" s="71" t="str">
        <f>IFERROR(__xludf.DUMMYFUNCTION("""COMPUTED_VALUE""")," CATARINA 40B18 E.1-1/8"" C.1/4")</f>
        <v>CATARINA 40B18 E.1-1/8" C.1/4</v>
      </c>
      <c r="AS307" s="71" t="str">
        <f>IFERROR(__xludf.DUMMYFUNCTION("""COMPUTED_VALUE""")," CATARINA 40B18 E.1-1/8"" C.1/4")</f>
        <v>CATARINA 40B18 E.1-1/8" C.1/4</v>
      </c>
      <c r="AT307" s="71">
        <f>IFERROR(__xludf.DUMMYFUNCTION("""COMPUTED_VALUE"""),29.0)</f>
        <v>29</v>
      </c>
      <c r="AU307" s="71"/>
      <c r="AV307" s="71"/>
      <c r="AW307" s="71"/>
      <c r="AX307" s="71"/>
      <c r="AY307" s="71">
        <f>IFERROR(__xludf.DUMMYFUNCTION("""COMPUTED_VALUE"""),164.0)</f>
        <v>164</v>
      </c>
      <c r="AZ307" s="71">
        <f>IFERROR(__xludf.DUMMYFUNCTION("""COMPUTED_VALUE"""),177.0)</f>
        <v>177</v>
      </c>
      <c r="BA307" s="71">
        <f>IFERROR(__xludf.DUMMYFUNCTION("""COMPUTED_VALUE"""),95.0)</f>
        <v>95</v>
      </c>
      <c r="BB307" s="71">
        <f>IFERROR(__xludf.DUMMYFUNCTION("""COMPUTED_VALUE"""),95.0)</f>
        <v>95</v>
      </c>
      <c r="BC307" s="71">
        <f>IFERROR(__xludf.DUMMYFUNCTION("""COMPUTED_VALUE"""),103.0)</f>
        <v>103</v>
      </c>
      <c r="BD307" s="71">
        <f>IFERROR(__xludf.DUMMYFUNCTION("""COMPUTED_VALUE"""),108.0)</f>
        <v>108</v>
      </c>
      <c r="BE307" s="71">
        <f>IFERROR(__xludf.DUMMYFUNCTION("""COMPUTED_VALUE"""),17.28)</f>
        <v>17.28</v>
      </c>
      <c r="BF307" s="71">
        <f>IFERROR(__xludf.DUMMYFUNCTION("""COMPUTED_VALUE"""),125.28)</f>
        <v>125.28</v>
      </c>
      <c r="BG307" s="71">
        <f>IFERROR(__xludf.DUMMYFUNCTION("""COMPUTED_VALUE"""),0.04854368932038835)</f>
        <v>0.04854368932</v>
      </c>
      <c r="BH307" s="71">
        <f>IFERROR(__xludf.DUMMYFUNCTION("""COMPUTED_VALUE"""),102.6)</f>
        <v>102.6</v>
      </c>
      <c r="BI307" s="71">
        <f>IFERROR(__xludf.DUMMYFUNCTION("""COMPUTED_VALUE"""),16.416)</f>
        <v>16.416</v>
      </c>
      <c r="BJ307" s="71">
        <f>IFERROR(__xludf.DUMMYFUNCTION("""COMPUTED_VALUE"""),119.01599999999999)</f>
        <v>119.016</v>
      </c>
      <c r="BK307" s="71">
        <f>IFERROR(__xludf.DUMMYFUNCTION("""COMPUTED_VALUE"""),97.2)</f>
        <v>97.2</v>
      </c>
      <c r="BL307" s="71">
        <f>IFERROR(__xludf.DUMMYFUNCTION("""COMPUTED_VALUE"""),15.552000000000001)</f>
        <v>15.552</v>
      </c>
      <c r="BM307" s="71">
        <f>IFERROR(__xludf.DUMMYFUNCTION("""COMPUTED_VALUE"""),112.75200000000001)</f>
        <v>112.752</v>
      </c>
      <c r="BN307" s="71">
        <f>IFERROR(__xludf.DUMMYFUNCTION("""COMPUTED_VALUE"""),91.8)</f>
        <v>91.8</v>
      </c>
      <c r="BO307" s="71">
        <f>IFERROR(__xludf.DUMMYFUNCTION("""COMPUTED_VALUE"""),14.688)</f>
        <v>14.688</v>
      </c>
      <c r="BP307" s="71">
        <f>IFERROR(__xludf.DUMMYFUNCTION("""COMPUTED_VALUE"""),106.488)</f>
        <v>106.488</v>
      </c>
      <c r="BQ307" s="71">
        <f>IFERROR(__xludf.DUMMYFUNCTION("""COMPUTED_VALUE"""),89.64)</f>
        <v>89.64</v>
      </c>
      <c r="BR307" s="71">
        <f>IFERROR(__xludf.DUMMYFUNCTION("""COMPUTED_VALUE"""),14.3424)</f>
        <v>14.3424</v>
      </c>
      <c r="BS307" s="71">
        <f>IFERROR(__xludf.DUMMYFUNCTION("""COMPUTED_VALUE"""),103.9824)</f>
        <v>103.9824</v>
      </c>
      <c r="BT307" s="71">
        <f>IFERROR(__xludf.DUMMYFUNCTION("""COMPUTED_VALUE"""),86.4)</f>
        <v>86.4</v>
      </c>
      <c r="BU307" s="71">
        <f>IFERROR(__xludf.DUMMYFUNCTION("""COMPUTED_VALUE"""),13.824000000000002)</f>
        <v>13.824</v>
      </c>
      <c r="BV307" s="71">
        <f>IFERROR(__xludf.DUMMYFUNCTION("""COMPUTED_VALUE"""),100.224)</f>
        <v>100.224</v>
      </c>
    </row>
    <row r="308">
      <c r="A308" s="53"/>
      <c r="B308" s="53"/>
      <c r="C308" s="73" t="s">
        <v>603</v>
      </c>
      <c r="D308" s="53" t="s">
        <v>772</v>
      </c>
      <c r="E308" s="54" t="s">
        <v>38</v>
      </c>
      <c r="F308" s="55" t="s">
        <v>309</v>
      </c>
      <c r="G308" s="54" t="s">
        <v>773</v>
      </c>
      <c r="H308" s="55"/>
      <c r="I308" s="54">
        <f t="shared" si="1"/>
        <v>0</v>
      </c>
      <c r="J308" s="56"/>
      <c r="K308" s="57"/>
      <c r="L308" s="76" t="s">
        <v>661</v>
      </c>
      <c r="M308" s="59"/>
      <c r="N308" s="60"/>
      <c r="O308" s="90">
        <v>2798.0</v>
      </c>
      <c r="P308" s="62">
        <v>2525.04</v>
      </c>
      <c r="Q308" s="63">
        <v>2525.04</v>
      </c>
      <c r="R308" s="64">
        <v>2811.0</v>
      </c>
      <c r="S308" s="111">
        <v>2952.0</v>
      </c>
      <c r="T308" s="65">
        <f t="shared" si="2"/>
        <v>472.32</v>
      </c>
      <c r="U308" s="65">
        <f t="shared" si="3"/>
        <v>3424.32</v>
      </c>
      <c r="V308" s="66">
        <f t="shared" si="4"/>
        <v>0.05016008538</v>
      </c>
      <c r="W308" s="67">
        <f t="shared" si="5"/>
        <v>2804.4</v>
      </c>
      <c r="X308" s="67">
        <f t="shared" si="6"/>
        <v>448.704</v>
      </c>
      <c r="Y308" s="67">
        <f t="shared" si="7"/>
        <v>3253.104</v>
      </c>
      <c r="Z308" s="67">
        <f t="shared" si="8"/>
        <v>2656.8</v>
      </c>
      <c r="AA308" s="67">
        <f t="shared" si="9"/>
        <v>425.088</v>
      </c>
      <c r="AB308" s="67">
        <f t="shared" si="10"/>
        <v>3081.888</v>
      </c>
      <c r="AC308" s="67">
        <f t="shared" si="11"/>
        <v>2509.2</v>
      </c>
      <c r="AD308" s="67">
        <f t="shared" si="12"/>
        <v>401.472</v>
      </c>
      <c r="AE308" s="67">
        <f t="shared" si="13"/>
        <v>2910.672</v>
      </c>
      <c r="AF308" s="67">
        <f t="shared" si="14"/>
        <v>2450.16</v>
      </c>
      <c r="AG308" s="67">
        <f t="shared" si="15"/>
        <v>392.0256</v>
      </c>
      <c r="AH308" s="67">
        <f t="shared" si="16"/>
        <v>2842.1856</v>
      </c>
      <c r="AI308" s="67">
        <f t="shared" si="17"/>
        <v>2361.6</v>
      </c>
      <c r="AJ308" s="68">
        <f t="shared" si="20"/>
        <v>377.856</v>
      </c>
      <c r="AK308" s="68">
        <f t="shared" si="21"/>
        <v>2739.456</v>
      </c>
      <c r="AL308" s="70">
        <f>IFERROR(__xludf.DUMMYFUNCTION("""COMPUTED_VALUE"""),1.0)</f>
        <v>1</v>
      </c>
      <c r="AM308" s="70"/>
      <c r="AN308" s="71" t="str">
        <f>IFERROR(__xludf.DUMMYFUNCTION("""COMPUTED_VALUE""")," CP")</f>
        <v>CP</v>
      </c>
      <c r="AO308" s="71" t="str">
        <f>IFERROR(__xludf.DUMMYFUNCTION("""COMPUTED_VALUE""")," CA103")</f>
        <v>CA103</v>
      </c>
      <c r="AP308" s="71" t="str">
        <f>IFERROR(__xludf.DUMMYFUNCTION("""COMPUTED_VALUE""")," PZA")</f>
        <v>PZA</v>
      </c>
      <c r="AQ308" s="71" t="str">
        <f>IFERROR(__xludf.DUMMYFUNCTION("""COMPUTED_VALUE""")," REF")</f>
        <v>REF</v>
      </c>
      <c r="AR308" s="71" t="str">
        <f>IFERROR(__xludf.DUMMYFUNCTION("""COMPUTED_VALUE""")," CATARINA 40B18 E.1"" C.1/4")</f>
        <v>CATARINA 40B18 E.1" C.1/4</v>
      </c>
      <c r="AS308" s="71" t="str">
        <f>IFERROR(__xludf.DUMMYFUNCTION("""COMPUTED_VALUE""")," CATARINA 40B18 E.1"" C.1/4")</f>
        <v>CATARINA 40B18 E.1" C.1/4</v>
      </c>
      <c r="AT308" s="71">
        <f>IFERROR(__xludf.DUMMYFUNCTION("""COMPUTED_VALUE"""),25.0)</f>
        <v>25</v>
      </c>
      <c r="AU308" s="71"/>
      <c r="AV308" s="71"/>
      <c r="AW308" s="71"/>
      <c r="AX308" s="71"/>
      <c r="AY308" s="71">
        <f>IFERROR(__xludf.DUMMYFUNCTION("""COMPUTED_VALUE"""),170.0)</f>
        <v>170</v>
      </c>
      <c r="AZ308" s="71">
        <f>IFERROR(__xludf.DUMMYFUNCTION("""COMPUTED_VALUE"""),183.0)</f>
        <v>183</v>
      </c>
      <c r="BA308" s="71">
        <f>IFERROR(__xludf.DUMMYFUNCTION("""COMPUTED_VALUE"""),95.0)</f>
        <v>95</v>
      </c>
      <c r="BB308" s="71">
        <f>IFERROR(__xludf.DUMMYFUNCTION("""COMPUTED_VALUE"""),95.0)</f>
        <v>95</v>
      </c>
      <c r="BC308" s="71">
        <f>IFERROR(__xludf.DUMMYFUNCTION("""COMPUTED_VALUE"""),103.0)</f>
        <v>103</v>
      </c>
      <c r="BD308" s="71">
        <f>IFERROR(__xludf.DUMMYFUNCTION("""COMPUTED_VALUE"""),108.0)</f>
        <v>108</v>
      </c>
      <c r="BE308" s="71">
        <f>IFERROR(__xludf.DUMMYFUNCTION("""COMPUTED_VALUE"""),17.28)</f>
        <v>17.28</v>
      </c>
      <c r="BF308" s="71">
        <f>IFERROR(__xludf.DUMMYFUNCTION("""COMPUTED_VALUE"""),125.28)</f>
        <v>125.28</v>
      </c>
      <c r="BG308" s="71">
        <f>IFERROR(__xludf.DUMMYFUNCTION("""COMPUTED_VALUE"""),0.04854368932038835)</f>
        <v>0.04854368932</v>
      </c>
      <c r="BH308" s="71">
        <f>IFERROR(__xludf.DUMMYFUNCTION("""COMPUTED_VALUE"""),102.6)</f>
        <v>102.6</v>
      </c>
      <c r="BI308" s="71">
        <f>IFERROR(__xludf.DUMMYFUNCTION("""COMPUTED_VALUE"""),16.416)</f>
        <v>16.416</v>
      </c>
      <c r="BJ308" s="71">
        <f>IFERROR(__xludf.DUMMYFUNCTION("""COMPUTED_VALUE"""),119.01599999999999)</f>
        <v>119.016</v>
      </c>
      <c r="BK308" s="71">
        <f>IFERROR(__xludf.DUMMYFUNCTION("""COMPUTED_VALUE"""),97.2)</f>
        <v>97.2</v>
      </c>
      <c r="BL308" s="71">
        <f>IFERROR(__xludf.DUMMYFUNCTION("""COMPUTED_VALUE"""),15.552000000000001)</f>
        <v>15.552</v>
      </c>
      <c r="BM308" s="71">
        <f>IFERROR(__xludf.DUMMYFUNCTION("""COMPUTED_VALUE"""),112.75200000000001)</f>
        <v>112.752</v>
      </c>
      <c r="BN308" s="71">
        <f>IFERROR(__xludf.DUMMYFUNCTION("""COMPUTED_VALUE"""),91.8)</f>
        <v>91.8</v>
      </c>
      <c r="BO308" s="71">
        <f>IFERROR(__xludf.DUMMYFUNCTION("""COMPUTED_VALUE"""),14.688)</f>
        <v>14.688</v>
      </c>
      <c r="BP308" s="71">
        <f>IFERROR(__xludf.DUMMYFUNCTION("""COMPUTED_VALUE"""),106.488)</f>
        <v>106.488</v>
      </c>
      <c r="BQ308" s="71">
        <f>IFERROR(__xludf.DUMMYFUNCTION("""COMPUTED_VALUE"""),89.64)</f>
        <v>89.64</v>
      </c>
      <c r="BR308" s="71">
        <f>IFERROR(__xludf.DUMMYFUNCTION("""COMPUTED_VALUE"""),14.3424)</f>
        <v>14.3424</v>
      </c>
      <c r="BS308" s="71">
        <f>IFERROR(__xludf.DUMMYFUNCTION("""COMPUTED_VALUE"""),103.9824)</f>
        <v>103.9824</v>
      </c>
      <c r="BT308" s="71">
        <f>IFERROR(__xludf.DUMMYFUNCTION("""COMPUTED_VALUE"""),86.4)</f>
        <v>86.4</v>
      </c>
      <c r="BU308" s="71">
        <f>IFERROR(__xludf.DUMMYFUNCTION("""COMPUTED_VALUE"""),13.824000000000002)</f>
        <v>13.824</v>
      </c>
      <c r="BV308" s="71">
        <f>IFERROR(__xludf.DUMMYFUNCTION("""COMPUTED_VALUE"""),100.224)</f>
        <v>100.224</v>
      </c>
    </row>
    <row r="309">
      <c r="A309" s="53">
        <v>1.0</v>
      </c>
      <c r="B309" s="53"/>
      <c r="C309" s="73" t="s">
        <v>12</v>
      </c>
      <c r="D309" s="74" t="s">
        <v>774</v>
      </c>
      <c r="E309" s="55" t="s">
        <v>38</v>
      </c>
      <c r="F309" s="54" t="s">
        <v>42</v>
      </c>
      <c r="G309" s="55" t="s">
        <v>775</v>
      </c>
      <c r="H309" s="54" t="s">
        <v>776</v>
      </c>
      <c r="I309" s="54">
        <f t="shared" si="1"/>
        <v>39</v>
      </c>
      <c r="J309" s="56"/>
      <c r="K309" s="75"/>
      <c r="L309" s="76"/>
      <c r="M309" s="59"/>
      <c r="N309" s="60">
        <v>1746.0</v>
      </c>
      <c r="O309" s="61">
        <v>1885.0</v>
      </c>
      <c r="P309" s="62">
        <v>2035.8000000000002</v>
      </c>
      <c r="Q309" s="63">
        <v>2035.8000000000002</v>
      </c>
      <c r="R309" s="64">
        <v>1365.0</v>
      </c>
      <c r="S309" s="111">
        <v>1433.0</v>
      </c>
      <c r="T309" s="65">
        <f t="shared" si="2"/>
        <v>229.28</v>
      </c>
      <c r="U309" s="65">
        <f t="shared" si="3"/>
        <v>1662.28</v>
      </c>
      <c r="V309" s="66">
        <f t="shared" si="4"/>
        <v>0.04981684982</v>
      </c>
      <c r="W309" s="67">
        <f t="shared" si="5"/>
        <v>1361.35</v>
      </c>
      <c r="X309" s="67">
        <f t="shared" si="6"/>
        <v>217.816</v>
      </c>
      <c r="Y309" s="67">
        <f t="shared" si="7"/>
        <v>1579.166</v>
      </c>
      <c r="Z309" s="67">
        <f t="shared" si="8"/>
        <v>1289.7</v>
      </c>
      <c r="AA309" s="67">
        <f t="shared" si="9"/>
        <v>206.352</v>
      </c>
      <c r="AB309" s="67">
        <f t="shared" si="10"/>
        <v>1496.052</v>
      </c>
      <c r="AC309" s="67">
        <f t="shared" si="11"/>
        <v>1218.05</v>
      </c>
      <c r="AD309" s="67">
        <f t="shared" si="12"/>
        <v>194.888</v>
      </c>
      <c r="AE309" s="67">
        <f t="shared" si="13"/>
        <v>1412.938</v>
      </c>
      <c r="AF309" s="67">
        <f t="shared" si="14"/>
        <v>1189.39</v>
      </c>
      <c r="AG309" s="67">
        <f t="shared" si="15"/>
        <v>190.3024</v>
      </c>
      <c r="AH309" s="67">
        <f t="shared" si="16"/>
        <v>1379.6924</v>
      </c>
      <c r="AI309" s="67">
        <f t="shared" si="17"/>
        <v>1146.4</v>
      </c>
      <c r="AJ309" s="68">
        <f t="shared" si="20"/>
        <v>183.424</v>
      </c>
      <c r="AK309" s="68">
        <f t="shared" si="21"/>
        <v>1329.824</v>
      </c>
      <c r="AL309" s="70">
        <f>IFERROR(__xludf.DUMMYFUNCTION("""COMPUTED_VALUE"""),1.0)</f>
        <v>1</v>
      </c>
      <c r="AM309" s="70"/>
      <c r="AN309" s="71" t="str">
        <f>IFERROR(__xludf.DUMMYFUNCTION("""COMPUTED_VALUE""")," CP")</f>
        <v>CP</v>
      </c>
      <c r="AO309" s="71" t="str">
        <f>IFERROR(__xludf.DUMMYFUNCTION("""COMPUTED_VALUE""")," CA210")</f>
        <v>CA210</v>
      </c>
      <c r="AP309" s="71" t="str">
        <f>IFERROR(__xludf.DUMMYFUNCTION("""COMPUTED_VALUE""")," PZA")</f>
        <v>PZA</v>
      </c>
      <c r="AQ309" s="71" t="str">
        <f>IFERROR(__xludf.DUMMYFUNCTION("""COMPUTED_VALUE""")," REF")</f>
        <v>REF</v>
      </c>
      <c r="AR309" s="71" t="str">
        <f>IFERROR(__xludf.DUMMYFUNCTION("""COMPUTED_VALUE""")," CATARINA 40B18 E.1"" C.1/4")</f>
        <v>CATARINA 40B18 E.1" C.1/4</v>
      </c>
      <c r="AS309" s="71" t="str">
        <f>IFERROR(__xludf.DUMMYFUNCTION("""COMPUTED_VALUE""")," CATARINA 40B18 E.1"" C.1/4")</f>
        <v>CATARINA 40B18 E.1" C.1/4</v>
      </c>
      <c r="AT309" s="71">
        <f>IFERROR(__xludf.DUMMYFUNCTION("""COMPUTED_VALUE"""),25.0)</f>
        <v>25</v>
      </c>
      <c r="AU309" s="71"/>
      <c r="AV309" s="71"/>
      <c r="AW309" s="71" t="str">
        <f>IFERROR(__xludf.DUMMYFUNCTION("""COMPUTED_VALUE""")," DAR DE BAJA")</f>
        <v>DAR DE BAJA</v>
      </c>
      <c r="AX309" s="71"/>
      <c r="AY309" s="71"/>
      <c r="AZ309" s="71">
        <f>IFERROR(__xludf.DUMMYFUNCTION("""COMPUTED_VALUE"""),249.0)</f>
        <v>249</v>
      </c>
      <c r="BA309" s="71">
        <f>IFERROR(__xludf.DUMMYFUNCTION("""COMPUTED_VALUE"""),95.0)</f>
        <v>95</v>
      </c>
      <c r="BB309" s="71">
        <f>IFERROR(__xludf.DUMMYFUNCTION("""COMPUTED_VALUE"""),95.0)</f>
        <v>95</v>
      </c>
      <c r="BC309" s="71">
        <f>IFERROR(__xludf.DUMMYFUNCTION("""COMPUTED_VALUE"""),100.0)</f>
        <v>100</v>
      </c>
      <c r="BD309" s="71">
        <f>IFERROR(__xludf.DUMMYFUNCTION("""COMPUTED_VALUE"""),105.0)</f>
        <v>105</v>
      </c>
      <c r="BE309" s="71">
        <f>IFERROR(__xludf.DUMMYFUNCTION("""COMPUTED_VALUE"""),16.8)</f>
        <v>16.8</v>
      </c>
      <c r="BF309" s="71">
        <f>IFERROR(__xludf.DUMMYFUNCTION("""COMPUTED_VALUE"""),121.8)</f>
        <v>121.8</v>
      </c>
      <c r="BG309" s="71">
        <f>IFERROR(__xludf.DUMMYFUNCTION("""COMPUTED_VALUE"""),0.05)</f>
        <v>0.05</v>
      </c>
      <c r="BH309" s="71">
        <f>IFERROR(__xludf.DUMMYFUNCTION("""COMPUTED_VALUE"""),99.75)</f>
        <v>99.75</v>
      </c>
      <c r="BI309" s="71">
        <f>IFERROR(__xludf.DUMMYFUNCTION("""COMPUTED_VALUE"""),15.96)</f>
        <v>15.96</v>
      </c>
      <c r="BJ309" s="71">
        <f>IFERROR(__xludf.DUMMYFUNCTION("""COMPUTED_VALUE"""),115.71000000000001)</f>
        <v>115.71</v>
      </c>
      <c r="BK309" s="71">
        <f>IFERROR(__xludf.DUMMYFUNCTION("""COMPUTED_VALUE"""),94.5)</f>
        <v>94.5</v>
      </c>
      <c r="BL309" s="71">
        <f>IFERROR(__xludf.DUMMYFUNCTION("""COMPUTED_VALUE"""),15.120000000000001)</f>
        <v>15.12</v>
      </c>
      <c r="BM309" s="71">
        <f>IFERROR(__xludf.DUMMYFUNCTION("""COMPUTED_VALUE"""),109.62)</f>
        <v>109.62</v>
      </c>
      <c r="BN309" s="71">
        <f>IFERROR(__xludf.DUMMYFUNCTION("""COMPUTED_VALUE"""),89.25)</f>
        <v>89.25</v>
      </c>
      <c r="BO309" s="71">
        <f>IFERROR(__xludf.DUMMYFUNCTION("""COMPUTED_VALUE"""),14.280000000000001)</f>
        <v>14.28</v>
      </c>
      <c r="BP309" s="71">
        <f>IFERROR(__xludf.DUMMYFUNCTION("""COMPUTED_VALUE"""),103.53)</f>
        <v>103.53</v>
      </c>
      <c r="BQ309" s="71">
        <f>IFERROR(__xludf.DUMMYFUNCTION("""COMPUTED_VALUE"""),87.14999999999999)</f>
        <v>87.15</v>
      </c>
      <c r="BR309" s="71">
        <f>IFERROR(__xludf.DUMMYFUNCTION("""COMPUTED_VALUE"""),13.943999999999999)</f>
        <v>13.944</v>
      </c>
      <c r="BS309" s="71">
        <f>IFERROR(__xludf.DUMMYFUNCTION("""COMPUTED_VALUE"""),101.094)</f>
        <v>101.094</v>
      </c>
      <c r="BT309" s="71">
        <f>IFERROR(__xludf.DUMMYFUNCTION("""COMPUTED_VALUE"""),84.0)</f>
        <v>84</v>
      </c>
      <c r="BU309" s="71">
        <f>IFERROR(__xludf.DUMMYFUNCTION("""COMPUTED_VALUE"""),13.44)</f>
        <v>13.44</v>
      </c>
      <c r="BV309" s="71">
        <f>IFERROR(__xludf.DUMMYFUNCTION("""COMPUTED_VALUE"""),97.44)</f>
        <v>97.44</v>
      </c>
    </row>
    <row r="310">
      <c r="A310" s="53"/>
      <c r="B310" s="72"/>
      <c r="C310" s="73" t="s">
        <v>53</v>
      </c>
      <c r="D310" s="53" t="s">
        <v>777</v>
      </c>
      <c r="E310" s="55" t="s">
        <v>38</v>
      </c>
      <c r="F310" s="54" t="s">
        <v>42</v>
      </c>
      <c r="G310" s="54" t="s">
        <v>778</v>
      </c>
      <c r="H310" s="54" t="s">
        <v>779</v>
      </c>
      <c r="I310" s="54">
        <f t="shared" si="1"/>
        <v>40</v>
      </c>
      <c r="J310" s="56"/>
      <c r="K310" s="57"/>
      <c r="L310" s="87"/>
      <c r="M310" s="59"/>
      <c r="N310" s="60"/>
      <c r="O310" s="61">
        <v>2150.0</v>
      </c>
      <c r="P310" s="62">
        <v>2322.0</v>
      </c>
      <c r="Q310" s="63">
        <v>2322.0</v>
      </c>
      <c r="R310" s="64">
        <v>2439.0</v>
      </c>
      <c r="S310" s="111">
        <v>2561.0</v>
      </c>
      <c r="T310" s="65">
        <f t="shared" si="2"/>
        <v>409.76</v>
      </c>
      <c r="U310" s="65">
        <f t="shared" si="3"/>
        <v>2970.76</v>
      </c>
      <c r="V310" s="66">
        <f t="shared" si="4"/>
        <v>0.05002050021</v>
      </c>
      <c r="W310" s="67">
        <f t="shared" si="5"/>
        <v>2432.95</v>
      </c>
      <c r="X310" s="67">
        <f t="shared" si="6"/>
        <v>389.272</v>
      </c>
      <c r="Y310" s="67">
        <f t="shared" si="7"/>
        <v>2822.222</v>
      </c>
      <c r="Z310" s="67">
        <f t="shared" si="8"/>
        <v>2304.9</v>
      </c>
      <c r="AA310" s="67">
        <f t="shared" si="9"/>
        <v>368.784</v>
      </c>
      <c r="AB310" s="67">
        <f t="shared" si="10"/>
        <v>2673.684</v>
      </c>
      <c r="AC310" s="67">
        <f t="shared" si="11"/>
        <v>2176.85</v>
      </c>
      <c r="AD310" s="67">
        <f t="shared" si="12"/>
        <v>348.296</v>
      </c>
      <c r="AE310" s="67">
        <f t="shared" si="13"/>
        <v>2525.146</v>
      </c>
      <c r="AF310" s="67">
        <f t="shared" si="14"/>
        <v>2125.63</v>
      </c>
      <c r="AG310" s="67">
        <f t="shared" si="15"/>
        <v>340.1008</v>
      </c>
      <c r="AH310" s="67">
        <f t="shared" si="16"/>
        <v>2465.7308</v>
      </c>
      <c r="AI310" s="67">
        <f t="shared" si="17"/>
        <v>2048.8</v>
      </c>
      <c r="AJ310" s="68">
        <f t="shared" si="20"/>
        <v>327.808</v>
      </c>
      <c r="AK310" s="68">
        <f t="shared" si="21"/>
        <v>2376.608</v>
      </c>
      <c r="AL310" s="70">
        <f>IFERROR(__xludf.DUMMYFUNCTION("""COMPUTED_VALUE"""),1.0)</f>
        <v>1</v>
      </c>
      <c r="AM310" s="70"/>
      <c r="AN310" s="71" t="str">
        <f>IFERROR(__xludf.DUMMYFUNCTION("""COMPUTED_VALUE""")," CP")</f>
        <v>CP</v>
      </c>
      <c r="AO310" s="71" t="str">
        <f>IFERROR(__xludf.DUMMYFUNCTION("""COMPUTED_VALUE""")," CA39")</f>
        <v>CA39</v>
      </c>
      <c r="AP310" s="71" t="str">
        <f>IFERROR(__xludf.DUMMYFUNCTION("""COMPUTED_VALUE""")," PZA")</f>
        <v>PZA</v>
      </c>
      <c r="AQ310" s="71" t="str">
        <f>IFERROR(__xludf.DUMMYFUNCTION("""COMPUTED_VALUE""")," REF")</f>
        <v>REF</v>
      </c>
      <c r="AR310" s="71" t="str">
        <f>IFERROR(__xludf.DUMMYFUNCTION("""COMPUTED_VALUE""")," CATARINA 40B18 E.15/16""")</f>
        <v>CATARINA 40B18 E.15/16"</v>
      </c>
      <c r="AS310" s="71" t="str">
        <f>IFERROR(__xludf.DUMMYFUNCTION("""COMPUTED_VALUE""")," CATARINA 40B18 E.15/16""")</f>
        <v>CATARINA 40B18 E.15/16"</v>
      </c>
      <c r="AT310" s="71">
        <f>IFERROR(__xludf.DUMMYFUNCTION("""COMPUTED_VALUE"""),23.0)</f>
        <v>23</v>
      </c>
      <c r="AU310" s="71"/>
      <c r="AV310" s="71"/>
      <c r="AW310" s="71"/>
      <c r="AX310" s="71"/>
      <c r="AY310" s="71">
        <f>IFERROR(__xludf.DUMMYFUNCTION("""COMPUTED_VALUE"""),164.0)</f>
        <v>164</v>
      </c>
      <c r="AZ310" s="71">
        <f>IFERROR(__xludf.DUMMYFUNCTION("""COMPUTED_VALUE"""),177.0)</f>
        <v>177</v>
      </c>
      <c r="BA310" s="71">
        <f>IFERROR(__xludf.DUMMYFUNCTION("""COMPUTED_VALUE"""),95.0)</f>
        <v>95</v>
      </c>
      <c r="BB310" s="71">
        <f>IFERROR(__xludf.DUMMYFUNCTION("""COMPUTED_VALUE"""),95.0)</f>
        <v>95</v>
      </c>
      <c r="BC310" s="71">
        <f>IFERROR(__xludf.DUMMYFUNCTION("""COMPUTED_VALUE"""),121.0)</f>
        <v>121</v>
      </c>
      <c r="BD310" s="71">
        <f>IFERROR(__xludf.DUMMYFUNCTION("""COMPUTED_VALUE"""),127.0)</f>
        <v>127</v>
      </c>
      <c r="BE310" s="71">
        <f>IFERROR(__xludf.DUMMYFUNCTION("""COMPUTED_VALUE"""),20.32)</f>
        <v>20.32</v>
      </c>
      <c r="BF310" s="71">
        <f>IFERROR(__xludf.DUMMYFUNCTION("""COMPUTED_VALUE"""),147.32)</f>
        <v>147.32</v>
      </c>
      <c r="BG310" s="71">
        <f>IFERROR(__xludf.DUMMYFUNCTION("""COMPUTED_VALUE"""),0.049586776859504134)</f>
        <v>0.04958677686</v>
      </c>
      <c r="BH310" s="71">
        <f>IFERROR(__xludf.DUMMYFUNCTION("""COMPUTED_VALUE"""),120.64999999999999)</f>
        <v>120.65</v>
      </c>
      <c r="BI310" s="71">
        <f>IFERROR(__xludf.DUMMYFUNCTION("""COMPUTED_VALUE"""),19.304)</f>
        <v>19.304</v>
      </c>
      <c r="BJ310" s="71">
        <f>IFERROR(__xludf.DUMMYFUNCTION("""COMPUTED_VALUE"""),139.95399999999998)</f>
        <v>139.954</v>
      </c>
      <c r="BK310" s="71">
        <f>IFERROR(__xludf.DUMMYFUNCTION("""COMPUTED_VALUE"""),114.3)</f>
        <v>114.3</v>
      </c>
      <c r="BL310" s="71">
        <f>IFERROR(__xludf.DUMMYFUNCTION("""COMPUTED_VALUE"""),18.288)</f>
        <v>18.288</v>
      </c>
      <c r="BM310" s="71">
        <f>IFERROR(__xludf.DUMMYFUNCTION("""COMPUTED_VALUE"""),132.588)</f>
        <v>132.588</v>
      </c>
      <c r="BN310" s="71">
        <f>IFERROR(__xludf.DUMMYFUNCTION("""COMPUTED_VALUE"""),107.95)</f>
        <v>107.95</v>
      </c>
      <c r="BO310" s="71">
        <f>IFERROR(__xludf.DUMMYFUNCTION("""COMPUTED_VALUE"""),17.272000000000002)</f>
        <v>17.272</v>
      </c>
      <c r="BP310" s="71">
        <f>IFERROR(__xludf.DUMMYFUNCTION("""COMPUTED_VALUE"""),125.22200000000001)</f>
        <v>125.222</v>
      </c>
      <c r="BQ310" s="71">
        <f>IFERROR(__xludf.DUMMYFUNCTION("""COMPUTED_VALUE"""),105.41)</f>
        <v>105.41</v>
      </c>
      <c r="BR310" s="71">
        <f>IFERROR(__xludf.DUMMYFUNCTION("""COMPUTED_VALUE"""),16.8656)</f>
        <v>16.8656</v>
      </c>
      <c r="BS310" s="71">
        <f>IFERROR(__xludf.DUMMYFUNCTION("""COMPUTED_VALUE"""),122.2756)</f>
        <v>122.2756</v>
      </c>
      <c r="BT310" s="71">
        <f>IFERROR(__xludf.DUMMYFUNCTION("""COMPUTED_VALUE"""),101.60000000000001)</f>
        <v>101.6</v>
      </c>
      <c r="BU310" s="71">
        <f>IFERROR(__xludf.DUMMYFUNCTION("""COMPUTED_VALUE"""),16.256)</f>
        <v>16.256</v>
      </c>
      <c r="BV310" s="71">
        <f>IFERROR(__xludf.DUMMYFUNCTION("""COMPUTED_VALUE"""),117.85600000000001)</f>
        <v>117.856</v>
      </c>
    </row>
    <row r="311">
      <c r="A311" s="53"/>
      <c r="B311" s="53"/>
      <c r="C311" s="53" t="s">
        <v>36</v>
      </c>
      <c r="D311" s="85" t="s">
        <v>780</v>
      </c>
      <c r="E311" s="54" t="s">
        <v>38</v>
      </c>
      <c r="F311" s="55" t="s">
        <v>39</v>
      </c>
      <c r="G311" s="86" t="s">
        <v>781</v>
      </c>
      <c r="H311" s="55"/>
      <c r="I311" s="54">
        <f t="shared" si="1"/>
        <v>0</v>
      </c>
      <c r="J311" s="56"/>
      <c r="K311" s="57"/>
      <c r="L311" s="76"/>
      <c r="M311" s="59"/>
      <c r="N311" s="60"/>
      <c r="O311" s="61">
        <v>652.8</v>
      </c>
      <c r="P311" s="62">
        <v>705.024</v>
      </c>
      <c r="Q311" s="63">
        <v>705.024</v>
      </c>
      <c r="R311" s="64">
        <v>741.0</v>
      </c>
      <c r="S311" s="107">
        <v>778.0</v>
      </c>
      <c r="T311" s="65">
        <f t="shared" si="2"/>
        <v>124.48</v>
      </c>
      <c r="U311" s="65">
        <f t="shared" si="3"/>
        <v>902.48</v>
      </c>
      <c r="V311" s="66">
        <f t="shared" si="4"/>
        <v>0.04993252362</v>
      </c>
      <c r="W311" s="67">
        <f t="shared" si="5"/>
        <v>739.1</v>
      </c>
      <c r="X311" s="67">
        <f t="shared" si="6"/>
        <v>118.256</v>
      </c>
      <c r="Y311" s="67">
        <f t="shared" si="7"/>
        <v>857.356</v>
      </c>
      <c r="Z311" s="67">
        <f t="shared" si="8"/>
        <v>700.2</v>
      </c>
      <c r="AA311" s="67">
        <f t="shared" si="9"/>
        <v>112.032</v>
      </c>
      <c r="AB311" s="67">
        <f t="shared" si="10"/>
        <v>812.232</v>
      </c>
      <c r="AC311" s="67">
        <f t="shared" si="11"/>
        <v>661.3</v>
      </c>
      <c r="AD311" s="67">
        <f t="shared" si="12"/>
        <v>105.808</v>
      </c>
      <c r="AE311" s="67">
        <f t="shared" si="13"/>
        <v>767.108</v>
      </c>
      <c r="AF311" s="67">
        <f t="shared" si="14"/>
        <v>645.74</v>
      </c>
      <c r="AG311" s="67">
        <f t="shared" si="15"/>
        <v>103.3184</v>
      </c>
      <c r="AH311" s="67">
        <f t="shared" si="16"/>
        <v>749.0584</v>
      </c>
      <c r="AI311" s="67">
        <f t="shared" si="17"/>
        <v>622.4</v>
      </c>
      <c r="AJ311" s="68">
        <f t="shared" si="20"/>
        <v>99.584</v>
      </c>
      <c r="AK311" s="68">
        <f t="shared" si="21"/>
        <v>721.984</v>
      </c>
      <c r="AL311" s="70">
        <f>IFERROR(__xludf.DUMMYFUNCTION("""COMPUTED_VALUE"""),1.0)</f>
        <v>1</v>
      </c>
      <c r="AM311" s="70"/>
      <c r="AN311" s="71" t="str">
        <f>IFERROR(__xludf.DUMMYFUNCTION("""COMPUTED_VALUE""")," CP")</f>
        <v>CP</v>
      </c>
      <c r="AO311" s="71" t="str">
        <f>IFERROR(__xludf.DUMMYFUNCTION("""COMPUTED_VALUE""")," CA40")</f>
        <v>CA40</v>
      </c>
      <c r="AP311" s="71" t="str">
        <f>IFERROR(__xludf.DUMMYFUNCTION("""COMPUTED_VALUE""")," PZA")</f>
        <v>PZA</v>
      </c>
      <c r="AQ311" s="71" t="str">
        <f>IFERROR(__xludf.DUMMYFUNCTION("""COMPUTED_VALUE""")," REF")</f>
        <v>REF</v>
      </c>
      <c r="AR311" s="71" t="str">
        <f>IFERROR(__xludf.DUMMYFUNCTION("""COMPUTED_VALUE""")," CATARINA 40B18 E.25MM C.1/4")</f>
        <v>CATARINA 40B18 E.25MM C.1/4</v>
      </c>
      <c r="AS311" s="71" t="str">
        <f>IFERROR(__xludf.DUMMYFUNCTION("""COMPUTED_VALUE""")," CATARINA 40B18 E.25MM C.1/4")</f>
        <v>CATARINA 40B18 E.25MM C.1/4</v>
      </c>
      <c r="AT311" s="71">
        <f>IFERROR(__xludf.DUMMYFUNCTION("""COMPUTED_VALUE"""),27.0)</f>
        <v>27</v>
      </c>
      <c r="AU311" s="71"/>
      <c r="AV311" s="71"/>
      <c r="AW311" s="71"/>
      <c r="AX311" s="71"/>
      <c r="AY311" s="71">
        <f>IFERROR(__xludf.DUMMYFUNCTION("""COMPUTED_VALUE"""),164.0)</f>
        <v>164</v>
      </c>
      <c r="AZ311" s="71">
        <f>IFERROR(__xludf.DUMMYFUNCTION("""COMPUTED_VALUE"""),177.0)</f>
        <v>177</v>
      </c>
      <c r="BA311" s="71">
        <f>IFERROR(__xludf.DUMMYFUNCTION("""COMPUTED_VALUE"""),95.0)</f>
        <v>95</v>
      </c>
      <c r="BB311" s="71">
        <f>IFERROR(__xludf.DUMMYFUNCTION("""COMPUTED_VALUE"""),95.0)</f>
        <v>95</v>
      </c>
      <c r="BC311" s="71">
        <f>IFERROR(__xludf.DUMMYFUNCTION("""COMPUTED_VALUE"""),121.0)</f>
        <v>121</v>
      </c>
      <c r="BD311" s="71">
        <f>IFERROR(__xludf.DUMMYFUNCTION("""COMPUTED_VALUE"""),127.0)</f>
        <v>127</v>
      </c>
      <c r="BE311" s="71">
        <f>IFERROR(__xludf.DUMMYFUNCTION("""COMPUTED_VALUE"""),20.32)</f>
        <v>20.32</v>
      </c>
      <c r="BF311" s="71">
        <f>IFERROR(__xludf.DUMMYFUNCTION("""COMPUTED_VALUE"""),147.32)</f>
        <v>147.32</v>
      </c>
      <c r="BG311" s="71">
        <f>IFERROR(__xludf.DUMMYFUNCTION("""COMPUTED_VALUE"""),0.049586776859504134)</f>
        <v>0.04958677686</v>
      </c>
      <c r="BH311" s="71">
        <f>IFERROR(__xludf.DUMMYFUNCTION("""COMPUTED_VALUE"""),120.64999999999999)</f>
        <v>120.65</v>
      </c>
      <c r="BI311" s="71">
        <f>IFERROR(__xludf.DUMMYFUNCTION("""COMPUTED_VALUE"""),19.304)</f>
        <v>19.304</v>
      </c>
      <c r="BJ311" s="71">
        <f>IFERROR(__xludf.DUMMYFUNCTION("""COMPUTED_VALUE"""),139.95399999999998)</f>
        <v>139.954</v>
      </c>
      <c r="BK311" s="71">
        <f>IFERROR(__xludf.DUMMYFUNCTION("""COMPUTED_VALUE"""),114.3)</f>
        <v>114.3</v>
      </c>
      <c r="BL311" s="71">
        <f>IFERROR(__xludf.DUMMYFUNCTION("""COMPUTED_VALUE"""),18.288)</f>
        <v>18.288</v>
      </c>
      <c r="BM311" s="71">
        <f>IFERROR(__xludf.DUMMYFUNCTION("""COMPUTED_VALUE"""),132.588)</f>
        <v>132.588</v>
      </c>
      <c r="BN311" s="71">
        <f>IFERROR(__xludf.DUMMYFUNCTION("""COMPUTED_VALUE"""),107.95)</f>
        <v>107.95</v>
      </c>
      <c r="BO311" s="71">
        <f>IFERROR(__xludf.DUMMYFUNCTION("""COMPUTED_VALUE"""),17.272000000000002)</f>
        <v>17.272</v>
      </c>
      <c r="BP311" s="71">
        <f>IFERROR(__xludf.DUMMYFUNCTION("""COMPUTED_VALUE"""),125.22200000000001)</f>
        <v>125.222</v>
      </c>
      <c r="BQ311" s="71">
        <f>IFERROR(__xludf.DUMMYFUNCTION("""COMPUTED_VALUE"""),105.41)</f>
        <v>105.41</v>
      </c>
      <c r="BR311" s="71">
        <f>IFERROR(__xludf.DUMMYFUNCTION("""COMPUTED_VALUE"""),16.8656)</f>
        <v>16.8656</v>
      </c>
      <c r="BS311" s="71">
        <f>IFERROR(__xludf.DUMMYFUNCTION("""COMPUTED_VALUE"""),122.2756)</f>
        <v>122.2756</v>
      </c>
      <c r="BT311" s="71">
        <f>IFERROR(__xludf.DUMMYFUNCTION("""COMPUTED_VALUE"""),101.60000000000001)</f>
        <v>101.6</v>
      </c>
      <c r="BU311" s="71">
        <f>IFERROR(__xludf.DUMMYFUNCTION("""COMPUTED_VALUE"""),16.256)</f>
        <v>16.256</v>
      </c>
      <c r="BV311" s="71">
        <f>IFERROR(__xludf.DUMMYFUNCTION("""COMPUTED_VALUE"""),117.85600000000001)</f>
        <v>117.856</v>
      </c>
    </row>
    <row r="312">
      <c r="A312" s="53"/>
      <c r="B312" s="53"/>
      <c r="C312" s="53"/>
      <c r="D312" s="53" t="s">
        <v>782</v>
      </c>
      <c r="E312" s="55" t="s">
        <v>38</v>
      </c>
      <c r="F312" s="91" t="s">
        <v>42</v>
      </c>
      <c r="G312" s="84" t="s">
        <v>783</v>
      </c>
      <c r="H312" s="55"/>
      <c r="I312" s="54">
        <f t="shared" si="1"/>
        <v>0</v>
      </c>
      <c r="J312" s="56"/>
      <c r="K312" s="57"/>
      <c r="L312" s="55"/>
      <c r="M312" s="59"/>
      <c r="N312" s="60"/>
      <c r="O312" s="90"/>
      <c r="P312" s="62">
        <v>46960.0</v>
      </c>
      <c r="Q312" s="63">
        <v>46960.0</v>
      </c>
      <c r="R312" s="64">
        <v>49308.0</v>
      </c>
      <c r="S312" s="111">
        <v>51773.0</v>
      </c>
      <c r="T312" s="65">
        <f t="shared" si="2"/>
        <v>8283.68</v>
      </c>
      <c r="U312" s="65">
        <f t="shared" si="3"/>
        <v>60056.68</v>
      </c>
      <c r="V312" s="66">
        <f t="shared" si="4"/>
        <v>0.04999188773</v>
      </c>
      <c r="W312" s="67">
        <f t="shared" si="5"/>
        <v>49184.35</v>
      </c>
      <c r="X312" s="67">
        <f t="shared" si="6"/>
        <v>7869.496</v>
      </c>
      <c r="Y312" s="67">
        <f t="shared" si="7"/>
        <v>57053.846</v>
      </c>
      <c r="Z312" s="67">
        <f t="shared" si="8"/>
        <v>46595.7</v>
      </c>
      <c r="AA312" s="67">
        <f t="shared" si="9"/>
        <v>7455.312</v>
      </c>
      <c r="AB312" s="67">
        <f t="shared" si="10"/>
        <v>54051.012</v>
      </c>
      <c r="AC312" s="67">
        <f t="shared" si="11"/>
        <v>44007.05</v>
      </c>
      <c r="AD312" s="67">
        <f t="shared" si="12"/>
        <v>7041.128</v>
      </c>
      <c r="AE312" s="67">
        <f t="shared" si="13"/>
        <v>51048.178</v>
      </c>
      <c r="AF312" s="67">
        <f t="shared" si="14"/>
        <v>42971.59</v>
      </c>
      <c r="AG312" s="67">
        <f t="shared" si="15"/>
        <v>6875.4544</v>
      </c>
      <c r="AH312" s="67">
        <f t="shared" si="16"/>
        <v>49847.0444</v>
      </c>
      <c r="AI312" s="67">
        <f t="shared" si="17"/>
        <v>41418.4</v>
      </c>
      <c r="AJ312" s="68">
        <f t="shared" si="20"/>
        <v>6626.944</v>
      </c>
      <c r="AK312" s="68">
        <f t="shared" si="21"/>
        <v>48045.344</v>
      </c>
      <c r="AL312" s="70">
        <f>IFERROR(__xludf.DUMMYFUNCTION("""COMPUTED_VALUE"""),1.0)</f>
        <v>1</v>
      </c>
      <c r="AM312" s="70"/>
      <c r="AN312" s="71" t="str">
        <f>IFERROR(__xludf.DUMMYFUNCTION("""COMPUTED_VALUE""")," CP")</f>
        <v>CP</v>
      </c>
      <c r="AO312" s="71" t="str">
        <f>IFERROR(__xludf.DUMMYFUNCTION("""COMPUTED_VALUE""")," CA41")</f>
        <v>CA41</v>
      </c>
      <c r="AP312" s="71" t="str">
        <f>IFERROR(__xludf.DUMMYFUNCTION("""COMPUTED_VALUE""")," PZA")</f>
        <v>PZA</v>
      </c>
      <c r="AQ312" s="71" t="str">
        <f>IFERROR(__xludf.DUMMYFUNCTION("""COMPUTED_VALUE""")," REF")</f>
        <v>REF</v>
      </c>
      <c r="AR312" s="71" t="str">
        <f>IFERROR(__xludf.DUMMYFUNCTION("""COMPUTED_VALUE""")," CATARINA 40B18 E.3/4""")</f>
        <v>CATARINA 40B18 E.3/4"</v>
      </c>
      <c r="AS312" s="71" t="str">
        <f>IFERROR(__xludf.DUMMYFUNCTION("""COMPUTED_VALUE""")," CATARINA 40B18 E.3/4""")</f>
        <v>CATARINA 40B18 E.3/4"</v>
      </c>
      <c r="AT312" s="71">
        <f>IFERROR(__xludf.DUMMYFUNCTION("""COMPUTED_VALUE"""),21.0)</f>
        <v>21</v>
      </c>
      <c r="AU312" s="71"/>
      <c r="AV312" s="71"/>
      <c r="AW312" s="71"/>
      <c r="AX312" s="71"/>
      <c r="AY312" s="71">
        <f>IFERROR(__xludf.DUMMYFUNCTION("""COMPUTED_VALUE"""),164.0)</f>
        <v>164</v>
      </c>
      <c r="AZ312" s="71">
        <f>IFERROR(__xludf.DUMMYFUNCTION("""COMPUTED_VALUE"""),177.0)</f>
        <v>177</v>
      </c>
      <c r="BA312" s="71">
        <f>IFERROR(__xludf.DUMMYFUNCTION("""COMPUTED_VALUE"""),90.0)</f>
        <v>90</v>
      </c>
      <c r="BB312" s="71">
        <f>IFERROR(__xludf.DUMMYFUNCTION("""COMPUTED_VALUE"""),90.0)</f>
        <v>90</v>
      </c>
      <c r="BC312" s="71">
        <f>IFERROR(__xludf.DUMMYFUNCTION("""COMPUTED_VALUE"""),121.0)</f>
        <v>121</v>
      </c>
      <c r="BD312" s="71">
        <f>IFERROR(__xludf.DUMMYFUNCTION("""COMPUTED_VALUE"""),127.0)</f>
        <v>127</v>
      </c>
      <c r="BE312" s="71">
        <f>IFERROR(__xludf.DUMMYFUNCTION("""COMPUTED_VALUE"""),20.32)</f>
        <v>20.32</v>
      </c>
      <c r="BF312" s="71">
        <f>IFERROR(__xludf.DUMMYFUNCTION("""COMPUTED_VALUE"""),147.32)</f>
        <v>147.32</v>
      </c>
      <c r="BG312" s="71">
        <f>IFERROR(__xludf.DUMMYFUNCTION("""COMPUTED_VALUE"""),0.049586776859504134)</f>
        <v>0.04958677686</v>
      </c>
      <c r="BH312" s="71">
        <f>IFERROR(__xludf.DUMMYFUNCTION("""COMPUTED_VALUE"""),120.64999999999999)</f>
        <v>120.65</v>
      </c>
      <c r="BI312" s="71">
        <f>IFERROR(__xludf.DUMMYFUNCTION("""COMPUTED_VALUE"""),19.304)</f>
        <v>19.304</v>
      </c>
      <c r="BJ312" s="71">
        <f>IFERROR(__xludf.DUMMYFUNCTION("""COMPUTED_VALUE"""),139.95399999999998)</f>
        <v>139.954</v>
      </c>
      <c r="BK312" s="71">
        <f>IFERROR(__xludf.DUMMYFUNCTION("""COMPUTED_VALUE"""),114.3)</f>
        <v>114.3</v>
      </c>
      <c r="BL312" s="71">
        <f>IFERROR(__xludf.DUMMYFUNCTION("""COMPUTED_VALUE"""),18.288)</f>
        <v>18.288</v>
      </c>
      <c r="BM312" s="71">
        <f>IFERROR(__xludf.DUMMYFUNCTION("""COMPUTED_VALUE"""),132.588)</f>
        <v>132.588</v>
      </c>
      <c r="BN312" s="71">
        <f>IFERROR(__xludf.DUMMYFUNCTION("""COMPUTED_VALUE"""),107.95)</f>
        <v>107.95</v>
      </c>
      <c r="BO312" s="71">
        <f>IFERROR(__xludf.DUMMYFUNCTION("""COMPUTED_VALUE"""),17.272000000000002)</f>
        <v>17.272</v>
      </c>
      <c r="BP312" s="71">
        <f>IFERROR(__xludf.DUMMYFUNCTION("""COMPUTED_VALUE"""),125.22200000000001)</f>
        <v>125.222</v>
      </c>
      <c r="BQ312" s="71">
        <f>IFERROR(__xludf.DUMMYFUNCTION("""COMPUTED_VALUE"""),105.41)</f>
        <v>105.41</v>
      </c>
      <c r="BR312" s="71">
        <f>IFERROR(__xludf.DUMMYFUNCTION("""COMPUTED_VALUE"""),16.8656)</f>
        <v>16.8656</v>
      </c>
      <c r="BS312" s="71">
        <f>IFERROR(__xludf.DUMMYFUNCTION("""COMPUTED_VALUE"""),122.2756)</f>
        <v>122.2756</v>
      </c>
      <c r="BT312" s="71">
        <f>IFERROR(__xludf.DUMMYFUNCTION("""COMPUTED_VALUE"""),101.60000000000001)</f>
        <v>101.6</v>
      </c>
      <c r="BU312" s="71">
        <f>IFERROR(__xludf.DUMMYFUNCTION("""COMPUTED_VALUE"""),16.256)</f>
        <v>16.256</v>
      </c>
      <c r="BV312" s="71">
        <f>IFERROR(__xludf.DUMMYFUNCTION("""COMPUTED_VALUE"""),117.85600000000001)</f>
        <v>117.856</v>
      </c>
    </row>
    <row r="313">
      <c r="A313" s="53">
        <v>1.0</v>
      </c>
      <c r="B313" s="72"/>
      <c r="C313" s="73" t="s">
        <v>53</v>
      </c>
      <c r="D313" s="74" t="s">
        <v>784</v>
      </c>
      <c r="E313" s="54" t="s">
        <v>38</v>
      </c>
      <c r="F313" s="54" t="s">
        <v>42</v>
      </c>
      <c r="G313" s="88" t="s">
        <v>785</v>
      </c>
      <c r="H313" s="54" t="s">
        <v>786</v>
      </c>
      <c r="I313" s="54">
        <f t="shared" si="1"/>
        <v>30</v>
      </c>
      <c r="J313" s="56"/>
      <c r="K313" s="57"/>
      <c r="L313" s="76"/>
      <c r="M313" s="59"/>
      <c r="N313" s="60">
        <v>28825.0</v>
      </c>
      <c r="O313" s="61">
        <v>31131.0</v>
      </c>
      <c r="P313" s="62">
        <v>39278.08</v>
      </c>
      <c r="Q313" s="63">
        <v>39278.08</v>
      </c>
      <c r="R313" s="64">
        <v>43717.0</v>
      </c>
      <c r="S313" s="111">
        <v>45903.0</v>
      </c>
      <c r="T313" s="65">
        <f t="shared" si="2"/>
        <v>7344.48</v>
      </c>
      <c r="U313" s="65">
        <f t="shared" si="3"/>
        <v>53247.48</v>
      </c>
      <c r="V313" s="66">
        <f t="shared" si="4"/>
        <v>0.05000343116</v>
      </c>
      <c r="W313" s="67">
        <f t="shared" si="5"/>
        <v>43607.85</v>
      </c>
      <c r="X313" s="67">
        <f t="shared" si="6"/>
        <v>6977.256</v>
      </c>
      <c r="Y313" s="67">
        <f t="shared" si="7"/>
        <v>50585.106</v>
      </c>
      <c r="Z313" s="67">
        <f t="shared" si="8"/>
        <v>41312.7</v>
      </c>
      <c r="AA313" s="67">
        <f t="shared" si="9"/>
        <v>6610.032</v>
      </c>
      <c r="AB313" s="67">
        <f t="shared" si="10"/>
        <v>47922.732</v>
      </c>
      <c r="AC313" s="67">
        <f t="shared" si="11"/>
        <v>39017.55</v>
      </c>
      <c r="AD313" s="67">
        <f t="shared" si="12"/>
        <v>6242.808</v>
      </c>
      <c r="AE313" s="67">
        <f t="shared" si="13"/>
        <v>45260.358</v>
      </c>
      <c r="AF313" s="67">
        <f t="shared" si="14"/>
        <v>38099.49</v>
      </c>
      <c r="AG313" s="67">
        <f t="shared" si="15"/>
        <v>6095.9184</v>
      </c>
      <c r="AH313" s="67">
        <f t="shared" si="16"/>
        <v>44195.4084</v>
      </c>
      <c r="AI313" s="67">
        <f t="shared" si="17"/>
        <v>36722.4</v>
      </c>
      <c r="AJ313" s="68">
        <f t="shared" si="20"/>
        <v>5875.584</v>
      </c>
      <c r="AK313" s="68">
        <f t="shared" si="21"/>
        <v>42597.984</v>
      </c>
      <c r="AL313" s="70">
        <f>IFERROR(__xludf.DUMMYFUNCTION("""COMPUTED_VALUE"""),1.0)</f>
        <v>1</v>
      </c>
      <c r="AM313" s="70"/>
      <c r="AN313" s="71" t="str">
        <f>IFERROR(__xludf.DUMMYFUNCTION("""COMPUTED_VALUE""")," CP")</f>
        <v>CP</v>
      </c>
      <c r="AO313" s="71" t="str">
        <f>IFERROR(__xludf.DUMMYFUNCTION("""COMPUTED_VALUE""")," CA42")</f>
        <v>CA42</v>
      </c>
      <c r="AP313" s="71" t="str">
        <f>IFERROR(__xludf.DUMMYFUNCTION("""COMPUTED_VALUE""")," PZA")</f>
        <v>PZA</v>
      </c>
      <c r="AQ313" s="71" t="str">
        <f>IFERROR(__xludf.DUMMYFUNCTION("""COMPUTED_VALUE""")," REF")</f>
        <v>REF</v>
      </c>
      <c r="AR313" s="71" t="str">
        <f>IFERROR(__xludf.DUMMYFUNCTION("""COMPUTED_VALUE""")," CATARINA 40B18 E.5/8""")</f>
        <v>CATARINA 40B18 E.5/8"</v>
      </c>
      <c r="AS313" s="71" t="str">
        <f>IFERROR(__xludf.DUMMYFUNCTION("""COMPUTED_VALUE""")," CATARINA 40B18 E.5/8""")</f>
        <v>CATARINA 40B18 E.5/8"</v>
      </c>
      <c r="AT313" s="71">
        <f>IFERROR(__xludf.DUMMYFUNCTION("""COMPUTED_VALUE"""),21.0)</f>
        <v>21</v>
      </c>
      <c r="AU313" s="71"/>
      <c r="AV313" s="71"/>
      <c r="AW313" s="71"/>
      <c r="AX313" s="71"/>
      <c r="AY313" s="71">
        <f>IFERROR(__xludf.DUMMYFUNCTION("""COMPUTED_VALUE"""),164.0)</f>
        <v>164</v>
      </c>
      <c r="AZ313" s="71">
        <f>IFERROR(__xludf.DUMMYFUNCTION("""COMPUTED_VALUE"""),177.0)</f>
        <v>177</v>
      </c>
      <c r="BA313" s="71">
        <f>IFERROR(__xludf.DUMMYFUNCTION("""COMPUTED_VALUE"""),90.0)</f>
        <v>90</v>
      </c>
      <c r="BB313" s="71">
        <f>IFERROR(__xludf.DUMMYFUNCTION("""COMPUTED_VALUE"""),90.0)</f>
        <v>90</v>
      </c>
      <c r="BC313" s="71">
        <f>IFERROR(__xludf.DUMMYFUNCTION("""COMPUTED_VALUE"""),121.0)</f>
        <v>121</v>
      </c>
      <c r="BD313" s="71">
        <f>IFERROR(__xludf.DUMMYFUNCTION("""COMPUTED_VALUE"""),127.0)</f>
        <v>127</v>
      </c>
      <c r="BE313" s="71">
        <f>IFERROR(__xludf.DUMMYFUNCTION("""COMPUTED_VALUE"""),20.32)</f>
        <v>20.32</v>
      </c>
      <c r="BF313" s="71">
        <f>IFERROR(__xludf.DUMMYFUNCTION("""COMPUTED_VALUE"""),147.32)</f>
        <v>147.32</v>
      </c>
      <c r="BG313" s="71">
        <f>IFERROR(__xludf.DUMMYFUNCTION("""COMPUTED_VALUE"""),0.049586776859504134)</f>
        <v>0.04958677686</v>
      </c>
      <c r="BH313" s="71">
        <f>IFERROR(__xludf.DUMMYFUNCTION("""COMPUTED_VALUE"""),120.64999999999999)</f>
        <v>120.65</v>
      </c>
      <c r="BI313" s="71">
        <f>IFERROR(__xludf.DUMMYFUNCTION("""COMPUTED_VALUE"""),19.304)</f>
        <v>19.304</v>
      </c>
      <c r="BJ313" s="71">
        <f>IFERROR(__xludf.DUMMYFUNCTION("""COMPUTED_VALUE"""),139.95399999999998)</f>
        <v>139.954</v>
      </c>
      <c r="BK313" s="71">
        <f>IFERROR(__xludf.DUMMYFUNCTION("""COMPUTED_VALUE"""),114.3)</f>
        <v>114.3</v>
      </c>
      <c r="BL313" s="71">
        <f>IFERROR(__xludf.DUMMYFUNCTION("""COMPUTED_VALUE"""),18.288)</f>
        <v>18.288</v>
      </c>
      <c r="BM313" s="71">
        <f>IFERROR(__xludf.DUMMYFUNCTION("""COMPUTED_VALUE"""),132.588)</f>
        <v>132.588</v>
      </c>
      <c r="BN313" s="71">
        <f>IFERROR(__xludf.DUMMYFUNCTION("""COMPUTED_VALUE"""),107.95)</f>
        <v>107.95</v>
      </c>
      <c r="BO313" s="71">
        <f>IFERROR(__xludf.DUMMYFUNCTION("""COMPUTED_VALUE"""),17.272000000000002)</f>
        <v>17.272</v>
      </c>
      <c r="BP313" s="71">
        <f>IFERROR(__xludf.DUMMYFUNCTION("""COMPUTED_VALUE"""),125.22200000000001)</f>
        <v>125.222</v>
      </c>
      <c r="BQ313" s="71">
        <f>IFERROR(__xludf.DUMMYFUNCTION("""COMPUTED_VALUE"""),105.41)</f>
        <v>105.41</v>
      </c>
      <c r="BR313" s="71">
        <f>IFERROR(__xludf.DUMMYFUNCTION("""COMPUTED_VALUE"""),16.8656)</f>
        <v>16.8656</v>
      </c>
      <c r="BS313" s="71">
        <f>IFERROR(__xludf.DUMMYFUNCTION("""COMPUTED_VALUE"""),122.2756)</f>
        <v>122.2756</v>
      </c>
      <c r="BT313" s="71">
        <f>IFERROR(__xludf.DUMMYFUNCTION("""COMPUTED_VALUE"""),101.60000000000001)</f>
        <v>101.6</v>
      </c>
      <c r="BU313" s="71">
        <f>IFERROR(__xludf.DUMMYFUNCTION("""COMPUTED_VALUE"""),16.256)</f>
        <v>16.256</v>
      </c>
      <c r="BV313" s="71">
        <f>IFERROR(__xludf.DUMMYFUNCTION("""COMPUTED_VALUE"""),117.85600000000001)</f>
        <v>117.856</v>
      </c>
    </row>
    <row r="314">
      <c r="A314" s="53">
        <v>1.0</v>
      </c>
      <c r="B314" s="72"/>
      <c r="C314" s="73" t="s">
        <v>53</v>
      </c>
      <c r="D314" s="74" t="s">
        <v>787</v>
      </c>
      <c r="E314" s="54" t="s">
        <v>38</v>
      </c>
      <c r="F314" s="54" t="s">
        <v>42</v>
      </c>
      <c r="G314" s="88" t="s">
        <v>788</v>
      </c>
      <c r="H314" s="54" t="s">
        <v>789</v>
      </c>
      <c r="I314" s="54">
        <f t="shared" si="1"/>
        <v>30</v>
      </c>
      <c r="J314" s="56"/>
      <c r="K314" s="57"/>
      <c r="L314" s="76"/>
      <c r="M314" s="59"/>
      <c r="N314" s="60">
        <v>27451.0</v>
      </c>
      <c r="O314" s="61">
        <v>29647.0</v>
      </c>
      <c r="P314" s="62">
        <v>37675.36</v>
      </c>
      <c r="Q314" s="63">
        <v>37675.36</v>
      </c>
      <c r="R314" s="64">
        <v>41933.0</v>
      </c>
      <c r="S314" s="111">
        <v>44030.0</v>
      </c>
      <c r="T314" s="65">
        <f t="shared" si="2"/>
        <v>7044.8</v>
      </c>
      <c r="U314" s="65">
        <f t="shared" si="3"/>
        <v>51074.8</v>
      </c>
      <c r="V314" s="66">
        <f t="shared" si="4"/>
        <v>0.05000834665</v>
      </c>
      <c r="W314" s="67">
        <f t="shared" si="5"/>
        <v>41828.5</v>
      </c>
      <c r="X314" s="67">
        <f t="shared" si="6"/>
        <v>6692.56</v>
      </c>
      <c r="Y314" s="67">
        <f t="shared" si="7"/>
        <v>48521.06</v>
      </c>
      <c r="Z314" s="67">
        <f t="shared" si="8"/>
        <v>39627</v>
      </c>
      <c r="AA314" s="67">
        <f t="shared" si="9"/>
        <v>6340.32</v>
      </c>
      <c r="AB314" s="67">
        <f t="shared" si="10"/>
        <v>45967.32</v>
      </c>
      <c r="AC314" s="67">
        <f t="shared" si="11"/>
        <v>37425.5</v>
      </c>
      <c r="AD314" s="67">
        <f t="shared" si="12"/>
        <v>5988.08</v>
      </c>
      <c r="AE314" s="67">
        <f t="shared" si="13"/>
        <v>43413.58</v>
      </c>
      <c r="AF314" s="67">
        <f t="shared" si="14"/>
        <v>36544.9</v>
      </c>
      <c r="AG314" s="67">
        <f t="shared" si="15"/>
        <v>5847.184</v>
      </c>
      <c r="AH314" s="67">
        <f t="shared" si="16"/>
        <v>42392.084</v>
      </c>
      <c r="AI314" s="67">
        <f t="shared" si="17"/>
        <v>35224</v>
      </c>
      <c r="AJ314" s="68">
        <f t="shared" si="20"/>
        <v>5635.84</v>
      </c>
      <c r="AK314" s="68">
        <f t="shared" si="21"/>
        <v>40859.84</v>
      </c>
      <c r="AL314" s="70">
        <f>IFERROR(__xludf.DUMMYFUNCTION("""COMPUTED_VALUE"""),1.0)</f>
        <v>1</v>
      </c>
      <c r="AM314" s="70"/>
      <c r="AN314" s="71" t="str">
        <f>IFERROR(__xludf.DUMMYFUNCTION("""COMPUTED_VALUE""")," CP")</f>
        <v>CP</v>
      </c>
      <c r="AO314" s="71" t="str">
        <f>IFERROR(__xludf.DUMMYFUNCTION("""COMPUTED_VALUE""")," CA48")</f>
        <v>CA48</v>
      </c>
      <c r="AP314" s="71" t="str">
        <f>IFERROR(__xludf.DUMMYFUNCTION("""COMPUTED_VALUE""")," PZA")</f>
        <v>PZA</v>
      </c>
      <c r="AQ314" s="71" t="str">
        <f>IFERROR(__xludf.DUMMYFUNCTION("""COMPUTED_VALUE""")," REF")</f>
        <v>REF</v>
      </c>
      <c r="AR314" s="71" t="str">
        <f>IFERROR(__xludf.DUMMYFUNCTION("""COMPUTED_VALUE""")," CATARINA 40B19 E.1-1/4"" C.1/4")</f>
        <v>CATARINA 40B19 E.1-1/4" C.1/4</v>
      </c>
      <c r="AS314" s="71" t="str">
        <f>IFERROR(__xludf.DUMMYFUNCTION("""COMPUTED_VALUE""")," CATARINA 40B19 E.1-1/4"" C.1/4")</f>
        <v>CATARINA 40B19 E.1-1/4" C.1/4</v>
      </c>
      <c r="AT314" s="71">
        <f>IFERROR(__xludf.DUMMYFUNCTION("""COMPUTED_VALUE"""),29.0)</f>
        <v>29</v>
      </c>
      <c r="AU314" s="71"/>
      <c r="AV314" s="71"/>
      <c r="AW314" s="71"/>
      <c r="AX314" s="71"/>
      <c r="AY314" s="71">
        <f>IFERROR(__xludf.DUMMYFUNCTION("""COMPUTED_VALUE"""),185.0)</f>
        <v>185</v>
      </c>
      <c r="AZ314" s="71">
        <f>IFERROR(__xludf.DUMMYFUNCTION("""COMPUTED_VALUE"""),199.0)</f>
        <v>199</v>
      </c>
      <c r="BA314" s="71">
        <f>IFERROR(__xludf.DUMMYFUNCTION("""COMPUTED_VALUE"""),100.0)</f>
        <v>100</v>
      </c>
      <c r="BB314" s="71">
        <f>IFERROR(__xludf.DUMMYFUNCTION("""COMPUTED_VALUE"""),100.0)</f>
        <v>100</v>
      </c>
      <c r="BC314" s="71">
        <f>IFERROR(__xludf.DUMMYFUNCTION("""COMPUTED_VALUE"""),127.0)</f>
        <v>127</v>
      </c>
      <c r="BD314" s="71">
        <f>IFERROR(__xludf.DUMMYFUNCTION("""COMPUTED_VALUE"""),133.0)</f>
        <v>133</v>
      </c>
      <c r="BE314" s="71">
        <f>IFERROR(__xludf.DUMMYFUNCTION("""COMPUTED_VALUE"""),21.28)</f>
        <v>21.28</v>
      </c>
      <c r="BF314" s="71">
        <f>IFERROR(__xludf.DUMMYFUNCTION("""COMPUTED_VALUE"""),154.28)</f>
        <v>154.28</v>
      </c>
      <c r="BG314" s="71">
        <f>IFERROR(__xludf.DUMMYFUNCTION("""COMPUTED_VALUE"""),0.047244094488188976)</f>
        <v>0.04724409449</v>
      </c>
      <c r="BH314" s="71">
        <f>IFERROR(__xludf.DUMMYFUNCTION("""COMPUTED_VALUE"""),126.35)</f>
        <v>126.35</v>
      </c>
      <c r="BI314" s="71">
        <f>IFERROR(__xludf.DUMMYFUNCTION("""COMPUTED_VALUE"""),20.216)</f>
        <v>20.216</v>
      </c>
      <c r="BJ314" s="71">
        <f>IFERROR(__xludf.DUMMYFUNCTION("""COMPUTED_VALUE"""),146.566)</f>
        <v>146.566</v>
      </c>
      <c r="BK314" s="71">
        <f>IFERROR(__xludf.DUMMYFUNCTION("""COMPUTED_VALUE"""),119.7)</f>
        <v>119.7</v>
      </c>
      <c r="BL314" s="71">
        <f>IFERROR(__xludf.DUMMYFUNCTION("""COMPUTED_VALUE"""),19.152)</f>
        <v>19.152</v>
      </c>
      <c r="BM314" s="71">
        <f>IFERROR(__xludf.DUMMYFUNCTION("""COMPUTED_VALUE"""),138.852)</f>
        <v>138.852</v>
      </c>
      <c r="BN314" s="71">
        <f>IFERROR(__xludf.DUMMYFUNCTION("""COMPUTED_VALUE"""),113.05)</f>
        <v>113.05</v>
      </c>
      <c r="BO314" s="71">
        <f>IFERROR(__xludf.DUMMYFUNCTION("""COMPUTED_VALUE"""),18.088)</f>
        <v>18.088</v>
      </c>
      <c r="BP314" s="71">
        <f>IFERROR(__xludf.DUMMYFUNCTION("""COMPUTED_VALUE"""),131.138)</f>
        <v>131.138</v>
      </c>
      <c r="BQ314" s="71">
        <f>IFERROR(__xludf.DUMMYFUNCTION("""COMPUTED_VALUE"""),110.39)</f>
        <v>110.39</v>
      </c>
      <c r="BR314" s="71">
        <f>IFERROR(__xludf.DUMMYFUNCTION("""COMPUTED_VALUE"""),17.6624)</f>
        <v>17.6624</v>
      </c>
      <c r="BS314" s="71">
        <f>IFERROR(__xludf.DUMMYFUNCTION("""COMPUTED_VALUE"""),128.0524)</f>
        <v>128.0524</v>
      </c>
      <c r="BT314" s="71">
        <f>IFERROR(__xludf.DUMMYFUNCTION("""COMPUTED_VALUE"""),106.4)</f>
        <v>106.4</v>
      </c>
      <c r="BU314" s="71">
        <f>IFERROR(__xludf.DUMMYFUNCTION("""COMPUTED_VALUE"""),17.024)</f>
        <v>17.024</v>
      </c>
      <c r="BV314" s="71">
        <f>IFERROR(__xludf.DUMMYFUNCTION("""COMPUTED_VALUE"""),123.424)</f>
        <v>123.424</v>
      </c>
    </row>
    <row r="315">
      <c r="A315" s="53">
        <v>1.0</v>
      </c>
      <c r="B315" s="72"/>
      <c r="C315" s="73" t="s">
        <v>53</v>
      </c>
      <c r="D315" s="74" t="s">
        <v>790</v>
      </c>
      <c r="E315" s="54" t="s">
        <v>38</v>
      </c>
      <c r="F315" s="54" t="s">
        <v>42</v>
      </c>
      <c r="G315" s="88" t="s">
        <v>791</v>
      </c>
      <c r="H315" s="54" t="s">
        <v>792</v>
      </c>
      <c r="I315" s="54">
        <f t="shared" si="1"/>
        <v>39</v>
      </c>
      <c r="J315" s="56"/>
      <c r="K315" s="57"/>
      <c r="L315" s="76"/>
      <c r="M315" s="59"/>
      <c r="N315" s="60">
        <v>23636.0</v>
      </c>
      <c r="O315" s="61">
        <v>25526.0</v>
      </c>
      <c r="P315" s="62">
        <v>33224.68</v>
      </c>
      <c r="Q315" s="63">
        <v>33224.68</v>
      </c>
      <c r="R315" s="64">
        <v>36980.0</v>
      </c>
      <c r="S315" s="111">
        <v>38829.0</v>
      </c>
      <c r="T315" s="65">
        <f t="shared" si="2"/>
        <v>6212.64</v>
      </c>
      <c r="U315" s="65">
        <f t="shared" si="3"/>
        <v>45041.64</v>
      </c>
      <c r="V315" s="66">
        <f t="shared" si="4"/>
        <v>0.05</v>
      </c>
      <c r="W315" s="67">
        <f t="shared" si="5"/>
        <v>36887.55</v>
      </c>
      <c r="X315" s="67">
        <f t="shared" si="6"/>
        <v>5902.008</v>
      </c>
      <c r="Y315" s="67">
        <f t="shared" si="7"/>
        <v>42789.558</v>
      </c>
      <c r="Z315" s="67">
        <f t="shared" si="8"/>
        <v>34946.1</v>
      </c>
      <c r="AA315" s="67">
        <f t="shared" si="9"/>
        <v>5591.376</v>
      </c>
      <c r="AB315" s="67">
        <f t="shared" si="10"/>
        <v>40537.476</v>
      </c>
      <c r="AC315" s="67">
        <f t="shared" si="11"/>
        <v>33004.65</v>
      </c>
      <c r="AD315" s="67">
        <f t="shared" si="12"/>
        <v>5280.744</v>
      </c>
      <c r="AE315" s="67">
        <f t="shared" si="13"/>
        <v>38285.394</v>
      </c>
      <c r="AF315" s="67">
        <f t="shared" si="14"/>
        <v>32228.07</v>
      </c>
      <c r="AG315" s="67">
        <f t="shared" si="15"/>
        <v>5156.4912</v>
      </c>
      <c r="AH315" s="67">
        <f t="shared" si="16"/>
        <v>37384.5612</v>
      </c>
      <c r="AI315" s="67">
        <f t="shared" si="17"/>
        <v>31063.2</v>
      </c>
      <c r="AJ315" s="68">
        <f t="shared" si="20"/>
        <v>4970.112</v>
      </c>
      <c r="AK315" s="68">
        <f t="shared" si="21"/>
        <v>36033.312</v>
      </c>
      <c r="AL315" s="70">
        <f>IFERROR(__xludf.DUMMYFUNCTION("""COMPUTED_VALUE"""),1.0)</f>
        <v>1</v>
      </c>
      <c r="AM315" s="70"/>
      <c r="AN315" s="71" t="str">
        <f>IFERROR(__xludf.DUMMYFUNCTION("""COMPUTED_VALUE""")," CP")</f>
        <v>CP</v>
      </c>
      <c r="AO315" s="71" t="str">
        <f>IFERROR(__xludf.DUMMYFUNCTION("""COMPUTED_VALUE""")," CA208")</f>
        <v>CA208</v>
      </c>
      <c r="AP315" s="71" t="str">
        <f>IFERROR(__xludf.DUMMYFUNCTION("""COMPUTED_VALUE""")," PZA")</f>
        <v>PZA</v>
      </c>
      <c r="AQ315" s="71" t="str">
        <f>IFERROR(__xludf.DUMMYFUNCTION("""COMPUTED_VALUE""")," REF")</f>
        <v>REF</v>
      </c>
      <c r="AR315" s="71" t="str">
        <f>IFERROR(__xludf.DUMMYFUNCTION("""COMPUTED_VALUE""")," CATARINA 40B19 E.1-1/8"" C.1/4")</f>
        <v>CATARINA 40B19 E.1-1/8" C.1/4</v>
      </c>
      <c r="AS315" s="71" t="str">
        <f>IFERROR(__xludf.DUMMYFUNCTION("""COMPUTED_VALUE""")," CATARINA 40B19 E.1-1/8"" C.1/4")</f>
        <v>CATARINA 40B19 E.1-1/8" C.1/4</v>
      </c>
      <c r="AT315" s="71">
        <f>IFERROR(__xludf.DUMMYFUNCTION("""COMPUTED_VALUE"""),29.0)</f>
        <v>29</v>
      </c>
      <c r="AU315" s="71"/>
      <c r="AV315" s="71"/>
      <c r="AW315" s="71"/>
      <c r="AX315" s="71"/>
      <c r="AY315" s="71">
        <f>IFERROR(__xludf.DUMMYFUNCTION("""COMPUTED_VALUE"""),185.0)</f>
        <v>185</v>
      </c>
      <c r="AZ315" s="71">
        <f>IFERROR(__xludf.DUMMYFUNCTION("""COMPUTED_VALUE"""),199.0)</f>
        <v>199</v>
      </c>
      <c r="BA315" s="71">
        <f>IFERROR(__xludf.DUMMYFUNCTION("""COMPUTED_VALUE"""),100.0)</f>
        <v>100</v>
      </c>
      <c r="BB315" s="71">
        <f>IFERROR(__xludf.DUMMYFUNCTION("""COMPUTED_VALUE"""),100.0)</f>
        <v>100</v>
      </c>
      <c r="BC315" s="71">
        <f>IFERROR(__xludf.DUMMYFUNCTION("""COMPUTED_VALUE"""),108.0)</f>
        <v>108</v>
      </c>
      <c r="BD315" s="71">
        <f>IFERROR(__xludf.DUMMYFUNCTION("""COMPUTED_VALUE"""),113.0)</f>
        <v>113</v>
      </c>
      <c r="BE315" s="71">
        <f>IFERROR(__xludf.DUMMYFUNCTION("""COMPUTED_VALUE"""),18.080000000000002)</f>
        <v>18.08</v>
      </c>
      <c r="BF315" s="71">
        <f>IFERROR(__xludf.DUMMYFUNCTION("""COMPUTED_VALUE"""),131.08)</f>
        <v>131.08</v>
      </c>
      <c r="BG315" s="71">
        <f>IFERROR(__xludf.DUMMYFUNCTION("""COMPUTED_VALUE"""),0.046296296296296294)</f>
        <v>0.0462962963</v>
      </c>
      <c r="BH315" s="71">
        <f>IFERROR(__xludf.DUMMYFUNCTION("""COMPUTED_VALUE"""),107.35)</f>
        <v>107.35</v>
      </c>
      <c r="BI315" s="71">
        <f>IFERROR(__xludf.DUMMYFUNCTION("""COMPUTED_VALUE"""),17.176)</f>
        <v>17.176</v>
      </c>
      <c r="BJ315" s="71">
        <f>IFERROR(__xludf.DUMMYFUNCTION("""COMPUTED_VALUE"""),124.526)</f>
        <v>124.526</v>
      </c>
      <c r="BK315" s="71">
        <f>IFERROR(__xludf.DUMMYFUNCTION("""COMPUTED_VALUE"""),101.7)</f>
        <v>101.7</v>
      </c>
      <c r="BL315" s="71">
        <f>IFERROR(__xludf.DUMMYFUNCTION("""COMPUTED_VALUE"""),16.272000000000002)</f>
        <v>16.272</v>
      </c>
      <c r="BM315" s="71">
        <f>IFERROR(__xludf.DUMMYFUNCTION("""COMPUTED_VALUE"""),117.97200000000001)</f>
        <v>117.972</v>
      </c>
      <c r="BN315" s="71">
        <f>IFERROR(__xludf.DUMMYFUNCTION("""COMPUTED_VALUE"""),96.05)</f>
        <v>96.05</v>
      </c>
      <c r="BO315" s="71">
        <f>IFERROR(__xludf.DUMMYFUNCTION("""COMPUTED_VALUE"""),15.368)</f>
        <v>15.368</v>
      </c>
      <c r="BP315" s="71">
        <f>IFERROR(__xludf.DUMMYFUNCTION("""COMPUTED_VALUE"""),111.41799999999999)</f>
        <v>111.418</v>
      </c>
      <c r="BQ315" s="71">
        <f>IFERROR(__xludf.DUMMYFUNCTION("""COMPUTED_VALUE"""),93.78999999999999)</f>
        <v>93.79</v>
      </c>
      <c r="BR315" s="71">
        <f>IFERROR(__xludf.DUMMYFUNCTION("""COMPUTED_VALUE"""),15.0064)</f>
        <v>15.0064</v>
      </c>
      <c r="BS315" s="71">
        <f>IFERROR(__xludf.DUMMYFUNCTION("""COMPUTED_VALUE"""),108.79639999999999)</f>
        <v>108.7964</v>
      </c>
      <c r="BT315" s="71">
        <f>IFERROR(__xludf.DUMMYFUNCTION("""COMPUTED_VALUE"""),90.4)</f>
        <v>90.4</v>
      </c>
      <c r="BU315" s="71">
        <f>IFERROR(__xludf.DUMMYFUNCTION("""COMPUTED_VALUE"""),14.464)</f>
        <v>14.464</v>
      </c>
      <c r="BV315" s="71">
        <f>IFERROR(__xludf.DUMMYFUNCTION("""COMPUTED_VALUE"""),104.864)</f>
        <v>104.864</v>
      </c>
    </row>
    <row r="316">
      <c r="A316" s="53">
        <v>1.0</v>
      </c>
      <c r="B316" s="72"/>
      <c r="C316" s="73" t="s">
        <v>53</v>
      </c>
      <c r="D316" s="74" t="s">
        <v>793</v>
      </c>
      <c r="E316" s="55" t="s">
        <v>38</v>
      </c>
      <c r="F316" s="54" t="s">
        <v>42</v>
      </c>
      <c r="G316" s="55" t="s">
        <v>794</v>
      </c>
      <c r="H316" s="54" t="s">
        <v>795</v>
      </c>
      <c r="I316" s="54">
        <f t="shared" si="1"/>
        <v>25</v>
      </c>
      <c r="J316" s="56"/>
      <c r="K316" s="57"/>
      <c r="L316" s="87"/>
      <c r="M316" s="59"/>
      <c r="N316" s="60">
        <v>8719.0</v>
      </c>
      <c r="O316" s="61">
        <v>11065.0</v>
      </c>
      <c r="P316" s="62">
        <v>11950.2</v>
      </c>
      <c r="Q316" s="63">
        <v>11950.2</v>
      </c>
      <c r="R316" s="64">
        <v>13302.0</v>
      </c>
      <c r="S316" s="111">
        <v>13967.0</v>
      </c>
      <c r="T316" s="65">
        <f t="shared" si="2"/>
        <v>2234.72</v>
      </c>
      <c r="U316" s="65">
        <f t="shared" si="3"/>
        <v>16201.72</v>
      </c>
      <c r="V316" s="66">
        <f t="shared" si="4"/>
        <v>0.04999248233</v>
      </c>
      <c r="W316" s="67">
        <f t="shared" si="5"/>
        <v>13268.65</v>
      </c>
      <c r="X316" s="67">
        <f t="shared" si="6"/>
        <v>2122.984</v>
      </c>
      <c r="Y316" s="67">
        <f t="shared" si="7"/>
        <v>15391.634</v>
      </c>
      <c r="Z316" s="67">
        <f t="shared" si="8"/>
        <v>12570.3</v>
      </c>
      <c r="AA316" s="67">
        <f t="shared" si="9"/>
        <v>2011.248</v>
      </c>
      <c r="AB316" s="67">
        <f t="shared" si="10"/>
        <v>14581.548</v>
      </c>
      <c r="AC316" s="67">
        <f t="shared" si="11"/>
        <v>11871.95</v>
      </c>
      <c r="AD316" s="67">
        <f t="shared" si="12"/>
        <v>1899.512</v>
      </c>
      <c r="AE316" s="67">
        <f t="shared" si="13"/>
        <v>13771.462</v>
      </c>
      <c r="AF316" s="67">
        <f t="shared" si="14"/>
        <v>11592.61</v>
      </c>
      <c r="AG316" s="67">
        <f t="shared" si="15"/>
        <v>1854.8176</v>
      </c>
      <c r="AH316" s="67">
        <f t="shared" si="16"/>
        <v>13447.4276</v>
      </c>
      <c r="AI316" s="67">
        <f t="shared" si="17"/>
        <v>11173.6</v>
      </c>
      <c r="AJ316" s="68">
        <f t="shared" si="20"/>
        <v>1787.776</v>
      </c>
      <c r="AK316" s="68">
        <f t="shared" si="21"/>
        <v>12961.376</v>
      </c>
      <c r="AL316" s="70">
        <f>IFERROR(__xludf.DUMMYFUNCTION("""COMPUTED_VALUE"""),1.0)</f>
        <v>1</v>
      </c>
      <c r="AM316" s="70"/>
      <c r="AN316" s="71" t="str">
        <f>IFERROR(__xludf.DUMMYFUNCTION("""COMPUTED_VALUE""")," CP")</f>
        <v>CP</v>
      </c>
      <c r="AO316" s="71" t="str">
        <f>IFERROR(__xludf.DUMMYFUNCTION("""COMPUTED_VALUE""")," CA47")</f>
        <v>CA47</v>
      </c>
      <c r="AP316" s="71" t="str">
        <f>IFERROR(__xludf.DUMMYFUNCTION("""COMPUTED_VALUE""")," PZA")</f>
        <v>PZA</v>
      </c>
      <c r="AQ316" s="71" t="str">
        <f>IFERROR(__xludf.DUMMYFUNCTION("""COMPUTED_VALUE""")," REF")</f>
        <v>REF</v>
      </c>
      <c r="AR316" s="71" t="str">
        <f>IFERROR(__xludf.DUMMYFUNCTION("""COMPUTED_VALUE""")," CATARINA 40B19 E.1"" C.1/4")</f>
        <v>CATARINA 40B19 E.1" C.1/4</v>
      </c>
      <c r="AS316" s="71" t="str">
        <f>IFERROR(__xludf.DUMMYFUNCTION("""COMPUTED_VALUE""")," CATARINA 40B19 E.1"" C.1/4")</f>
        <v>CATARINA 40B19 E.1" C.1/4</v>
      </c>
      <c r="AT316" s="71">
        <f>IFERROR(__xludf.DUMMYFUNCTION("""COMPUTED_VALUE"""),25.0)</f>
        <v>25</v>
      </c>
      <c r="AU316" s="71"/>
      <c r="AV316" s="71"/>
      <c r="AW316" s="71"/>
      <c r="AX316" s="71"/>
      <c r="AY316" s="71">
        <f>IFERROR(__xludf.DUMMYFUNCTION("""COMPUTED_VALUE"""),185.0)</f>
        <v>185</v>
      </c>
      <c r="AZ316" s="71">
        <f>IFERROR(__xludf.DUMMYFUNCTION("""COMPUTED_VALUE"""),199.0)</f>
        <v>199</v>
      </c>
      <c r="BA316" s="71">
        <f>IFERROR(__xludf.DUMMYFUNCTION("""COMPUTED_VALUE"""),100.0)</f>
        <v>100</v>
      </c>
      <c r="BB316" s="71">
        <f>IFERROR(__xludf.DUMMYFUNCTION("""COMPUTED_VALUE"""),100.0)</f>
        <v>100</v>
      </c>
      <c r="BC316" s="71">
        <f>IFERROR(__xludf.DUMMYFUNCTION("""COMPUTED_VALUE"""),127.0)</f>
        <v>127</v>
      </c>
      <c r="BD316" s="71">
        <f>IFERROR(__xludf.DUMMYFUNCTION("""COMPUTED_VALUE"""),133.0)</f>
        <v>133</v>
      </c>
      <c r="BE316" s="71">
        <f>IFERROR(__xludf.DUMMYFUNCTION("""COMPUTED_VALUE"""),21.28)</f>
        <v>21.28</v>
      </c>
      <c r="BF316" s="71">
        <f>IFERROR(__xludf.DUMMYFUNCTION("""COMPUTED_VALUE"""),154.28)</f>
        <v>154.28</v>
      </c>
      <c r="BG316" s="71">
        <f>IFERROR(__xludf.DUMMYFUNCTION("""COMPUTED_VALUE"""),0.047244094488188976)</f>
        <v>0.04724409449</v>
      </c>
      <c r="BH316" s="71">
        <f>IFERROR(__xludf.DUMMYFUNCTION("""COMPUTED_VALUE"""),126.35)</f>
        <v>126.35</v>
      </c>
      <c r="BI316" s="71">
        <f>IFERROR(__xludf.DUMMYFUNCTION("""COMPUTED_VALUE"""),20.216)</f>
        <v>20.216</v>
      </c>
      <c r="BJ316" s="71">
        <f>IFERROR(__xludf.DUMMYFUNCTION("""COMPUTED_VALUE"""),146.566)</f>
        <v>146.566</v>
      </c>
      <c r="BK316" s="71">
        <f>IFERROR(__xludf.DUMMYFUNCTION("""COMPUTED_VALUE"""),119.7)</f>
        <v>119.7</v>
      </c>
      <c r="BL316" s="71">
        <f>IFERROR(__xludf.DUMMYFUNCTION("""COMPUTED_VALUE"""),19.152)</f>
        <v>19.152</v>
      </c>
      <c r="BM316" s="71">
        <f>IFERROR(__xludf.DUMMYFUNCTION("""COMPUTED_VALUE"""),138.852)</f>
        <v>138.852</v>
      </c>
      <c r="BN316" s="71">
        <f>IFERROR(__xludf.DUMMYFUNCTION("""COMPUTED_VALUE"""),113.05)</f>
        <v>113.05</v>
      </c>
      <c r="BO316" s="71">
        <f>IFERROR(__xludf.DUMMYFUNCTION("""COMPUTED_VALUE"""),18.088)</f>
        <v>18.088</v>
      </c>
      <c r="BP316" s="71">
        <f>IFERROR(__xludf.DUMMYFUNCTION("""COMPUTED_VALUE"""),131.138)</f>
        <v>131.138</v>
      </c>
      <c r="BQ316" s="71">
        <f>IFERROR(__xludf.DUMMYFUNCTION("""COMPUTED_VALUE"""),110.39)</f>
        <v>110.39</v>
      </c>
      <c r="BR316" s="71">
        <f>IFERROR(__xludf.DUMMYFUNCTION("""COMPUTED_VALUE"""),17.6624)</f>
        <v>17.6624</v>
      </c>
      <c r="BS316" s="71">
        <f>IFERROR(__xludf.DUMMYFUNCTION("""COMPUTED_VALUE"""),128.0524)</f>
        <v>128.0524</v>
      </c>
      <c r="BT316" s="71">
        <f>IFERROR(__xludf.DUMMYFUNCTION("""COMPUTED_VALUE"""),106.4)</f>
        <v>106.4</v>
      </c>
      <c r="BU316" s="71">
        <f>IFERROR(__xludf.DUMMYFUNCTION("""COMPUTED_VALUE"""),17.024)</f>
        <v>17.024</v>
      </c>
      <c r="BV316" s="71">
        <f>IFERROR(__xludf.DUMMYFUNCTION("""COMPUTED_VALUE"""),123.424)</f>
        <v>123.424</v>
      </c>
    </row>
    <row r="317">
      <c r="A317" s="53">
        <v>1.0</v>
      </c>
      <c r="B317" s="72"/>
      <c r="C317" s="73" t="s">
        <v>53</v>
      </c>
      <c r="D317" s="74" t="s">
        <v>796</v>
      </c>
      <c r="E317" s="54" t="s">
        <v>38</v>
      </c>
      <c r="F317" s="54" t="s">
        <v>42</v>
      </c>
      <c r="G317" s="88" t="s">
        <v>797</v>
      </c>
      <c r="H317" s="54" t="s">
        <v>798</v>
      </c>
      <c r="I317" s="54">
        <f t="shared" si="1"/>
        <v>40</v>
      </c>
      <c r="J317" s="56"/>
      <c r="K317" s="57"/>
      <c r="L317" s="76"/>
      <c r="M317" s="59"/>
      <c r="N317" s="60">
        <v>17547.0</v>
      </c>
      <c r="O317" s="61">
        <v>18950.0</v>
      </c>
      <c r="P317" s="62">
        <v>23234.28</v>
      </c>
      <c r="Q317" s="63">
        <v>23234.28</v>
      </c>
      <c r="R317" s="64">
        <v>25861.0</v>
      </c>
      <c r="S317" s="111">
        <v>27154.0</v>
      </c>
      <c r="T317" s="65">
        <f t="shared" si="2"/>
        <v>4344.64</v>
      </c>
      <c r="U317" s="65">
        <f t="shared" si="3"/>
        <v>31498.64</v>
      </c>
      <c r="V317" s="66">
        <f t="shared" si="4"/>
        <v>0.04999806659</v>
      </c>
      <c r="W317" s="67">
        <f t="shared" si="5"/>
        <v>25796.3</v>
      </c>
      <c r="X317" s="67">
        <f t="shared" si="6"/>
        <v>4127.408</v>
      </c>
      <c r="Y317" s="67">
        <f t="shared" si="7"/>
        <v>29923.708</v>
      </c>
      <c r="Z317" s="67">
        <f t="shared" si="8"/>
        <v>24438.6</v>
      </c>
      <c r="AA317" s="67">
        <f t="shared" si="9"/>
        <v>3910.176</v>
      </c>
      <c r="AB317" s="67">
        <f t="shared" si="10"/>
        <v>28348.776</v>
      </c>
      <c r="AC317" s="67">
        <f t="shared" si="11"/>
        <v>23080.9</v>
      </c>
      <c r="AD317" s="67">
        <f t="shared" si="12"/>
        <v>3692.944</v>
      </c>
      <c r="AE317" s="67">
        <f t="shared" si="13"/>
        <v>26773.844</v>
      </c>
      <c r="AF317" s="67">
        <f t="shared" si="14"/>
        <v>22537.82</v>
      </c>
      <c r="AG317" s="67">
        <f t="shared" si="15"/>
        <v>3606.0512</v>
      </c>
      <c r="AH317" s="67">
        <f t="shared" si="16"/>
        <v>26143.8712</v>
      </c>
      <c r="AI317" s="67">
        <f t="shared" si="17"/>
        <v>21723.2</v>
      </c>
      <c r="AJ317" s="68">
        <f t="shared" si="20"/>
        <v>3475.712</v>
      </c>
      <c r="AK317" s="68">
        <f t="shared" si="21"/>
        <v>25198.912</v>
      </c>
      <c r="AL317" s="70">
        <f>IFERROR(__xludf.DUMMYFUNCTION("""COMPUTED_VALUE"""),1.0)</f>
        <v>1</v>
      </c>
      <c r="AM317" s="70"/>
      <c r="AN317" s="71" t="str">
        <f>IFERROR(__xludf.DUMMYFUNCTION("""COMPUTED_VALUE""")," CP")</f>
        <v>CP</v>
      </c>
      <c r="AO317" s="71" t="str">
        <f>IFERROR(__xludf.DUMMYFUNCTION("""COMPUTED_VALUE""")," CA49")</f>
        <v>CA49</v>
      </c>
      <c r="AP317" s="71" t="str">
        <f>IFERROR(__xludf.DUMMYFUNCTION("""COMPUTED_VALUE""")," PZA")</f>
        <v>PZA</v>
      </c>
      <c r="AQ317" s="71" t="str">
        <f>IFERROR(__xludf.DUMMYFUNCTION("""COMPUTED_VALUE""")," REF")</f>
        <v>REF</v>
      </c>
      <c r="AR317" s="71" t="str">
        <f>IFERROR(__xludf.DUMMYFUNCTION("""COMPUTED_VALUE""")," CATARINA 40B19 E.5/8"" C.1/4")</f>
        <v>CATARINA 40B19 E.5/8" C.1/4</v>
      </c>
      <c r="AS317" s="71" t="str">
        <f>IFERROR(__xludf.DUMMYFUNCTION("""COMPUTED_VALUE""")," CATARINA 40B19 E.5/8"" C.1/4")</f>
        <v>CATARINA 40B19 E.5/8" C.1/4</v>
      </c>
      <c r="AT317" s="71">
        <f>IFERROR(__xludf.DUMMYFUNCTION("""COMPUTED_VALUE"""),27.0)</f>
        <v>27</v>
      </c>
      <c r="AU317" s="71"/>
      <c r="AV317" s="71"/>
      <c r="AW317" s="71"/>
      <c r="AX317" s="71"/>
      <c r="AY317" s="71">
        <f>IFERROR(__xludf.DUMMYFUNCTION("""COMPUTED_VALUE"""),185.0)</f>
        <v>185</v>
      </c>
      <c r="AZ317" s="71">
        <f>IFERROR(__xludf.DUMMYFUNCTION("""COMPUTED_VALUE"""),199.0)</f>
        <v>199</v>
      </c>
      <c r="BA317" s="71">
        <f>IFERROR(__xludf.DUMMYFUNCTION("""COMPUTED_VALUE"""),100.0)</f>
        <v>100</v>
      </c>
      <c r="BB317" s="71">
        <f>IFERROR(__xludf.DUMMYFUNCTION("""COMPUTED_VALUE"""),100.0)</f>
        <v>100</v>
      </c>
      <c r="BC317" s="71">
        <f>IFERROR(__xludf.DUMMYFUNCTION("""COMPUTED_VALUE"""),127.0)</f>
        <v>127</v>
      </c>
      <c r="BD317" s="71">
        <f>IFERROR(__xludf.DUMMYFUNCTION("""COMPUTED_VALUE"""),133.0)</f>
        <v>133</v>
      </c>
      <c r="BE317" s="71">
        <f>IFERROR(__xludf.DUMMYFUNCTION("""COMPUTED_VALUE"""),21.28)</f>
        <v>21.28</v>
      </c>
      <c r="BF317" s="71">
        <f>IFERROR(__xludf.DUMMYFUNCTION("""COMPUTED_VALUE"""),154.28)</f>
        <v>154.28</v>
      </c>
      <c r="BG317" s="71">
        <f>IFERROR(__xludf.DUMMYFUNCTION("""COMPUTED_VALUE"""),0.047244094488188976)</f>
        <v>0.04724409449</v>
      </c>
      <c r="BH317" s="71">
        <f>IFERROR(__xludf.DUMMYFUNCTION("""COMPUTED_VALUE"""),126.35)</f>
        <v>126.35</v>
      </c>
      <c r="BI317" s="71">
        <f>IFERROR(__xludf.DUMMYFUNCTION("""COMPUTED_VALUE"""),20.216)</f>
        <v>20.216</v>
      </c>
      <c r="BJ317" s="71">
        <f>IFERROR(__xludf.DUMMYFUNCTION("""COMPUTED_VALUE"""),146.566)</f>
        <v>146.566</v>
      </c>
      <c r="BK317" s="71">
        <f>IFERROR(__xludf.DUMMYFUNCTION("""COMPUTED_VALUE"""),119.7)</f>
        <v>119.7</v>
      </c>
      <c r="BL317" s="71">
        <f>IFERROR(__xludf.DUMMYFUNCTION("""COMPUTED_VALUE"""),19.152)</f>
        <v>19.152</v>
      </c>
      <c r="BM317" s="71">
        <f>IFERROR(__xludf.DUMMYFUNCTION("""COMPUTED_VALUE"""),138.852)</f>
        <v>138.852</v>
      </c>
      <c r="BN317" s="71">
        <f>IFERROR(__xludf.DUMMYFUNCTION("""COMPUTED_VALUE"""),113.05)</f>
        <v>113.05</v>
      </c>
      <c r="BO317" s="71">
        <f>IFERROR(__xludf.DUMMYFUNCTION("""COMPUTED_VALUE"""),18.088)</f>
        <v>18.088</v>
      </c>
      <c r="BP317" s="71">
        <f>IFERROR(__xludf.DUMMYFUNCTION("""COMPUTED_VALUE"""),131.138)</f>
        <v>131.138</v>
      </c>
      <c r="BQ317" s="71">
        <f>IFERROR(__xludf.DUMMYFUNCTION("""COMPUTED_VALUE"""),110.39)</f>
        <v>110.39</v>
      </c>
      <c r="BR317" s="71">
        <f>IFERROR(__xludf.DUMMYFUNCTION("""COMPUTED_VALUE"""),17.6624)</f>
        <v>17.6624</v>
      </c>
      <c r="BS317" s="71">
        <f>IFERROR(__xludf.DUMMYFUNCTION("""COMPUTED_VALUE"""),128.0524)</f>
        <v>128.0524</v>
      </c>
      <c r="BT317" s="71">
        <f>IFERROR(__xludf.DUMMYFUNCTION("""COMPUTED_VALUE"""),106.4)</f>
        <v>106.4</v>
      </c>
      <c r="BU317" s="71">
        <f>IFERROR(__xludf.DUMMYFUNCTION("""COMPUTED_VALUE"""),17.024)</f>
        <v>17.024</v>
      </c>
      <c r="BV317" s="71">
        <f>IFERROR(__xludf.DUMMYFUNCTION("""COMPUTED_VALUE"""),123.424)</f>
        <v>123.424</v>
      </c>
    </row>
    <row r="318">
      <c r="A318" s="53">
        <v>1.0</v>
      </c>
      <c r="B318" s="72"/>
      <c r="C318" s="73" t="s">
        <v>53</v>
      </c>
      <c r="D318" s="74" t="s">
        <v>799</v>
      </c>
      <c r="E318" s="54" t="s">
        <v>38</v>
      </c>
      <c r="F318" s="54" t="s">
        <v>42</v>
      </c>
      <c r="G318" s="88" t="s">
        <v>800</v>
      </c>
      <c r="H318" s="54" t="s">
        <v>801</v>
      </c>
      <c r="I318" s="54">
        <f t="shared" si="1"/>
        <v>37</v>
      </c>
      <c r="J318" s="56"/>
      <c r="K318" s="75"/>
      <c r="L318" s="76"/>
      <c r="M318" s="59"/>
      <c r="N318" s="60">
        <v>17547.0</v>
      </c>
      <c r="O318" s="61">
        <v>18950.0</v>
      </c>
      <c r="P318" s="62">
        <v>23234.28</v>
      </c>
      <c r="Q318" s="63">
        <v>23234.28</v>
      </c>
      <c r="R318" s="64">
        <v>25861.0</v>
      </c>
      <c r="S318" s="111">
        <v>27154.0</v>
      </c>
      <c r="T318" s="65">
        <f t="shared" si="2"/>
        <v>4344.64</v>
      </c>
      <c r="U318" s="65">
        <f t="shared" si="3"/>
        <v>31498.64</v>
      </c>
      <c r="V318" s="66">
        <f t="shared" si="4"/>
        <v>0.04999806659</v>
      </c>
      <c r="W318" s="67">
        <f t="shared" si="5"/>
        <v>25796.3</v>
      </c>
      <c r="X318" s="67">
        <f t="shared" si="6"/>
        <v>4127.408</v>
      </c>
      <c r="Y318" s="67">
        <f t="shared" si="7"/>
        <v>29923.708</v>
      </c>
      <c r="Z318" s="67">
        <f t="shared" si="8"/>
        <v>24438.6</v>
      </c>
      <c r="AA318" s="67">
        <f t="shared" si="9"/>
        <v>3910.176</v>
      </c>
      <c r="AB318" s="67">
        <f t="shared" si="10"/>
        <v>28348.776</v>
      </c>
      <c r="AC318" s="67">
        <f t="shared" si="11"/>
        <v>23080.9</v>
      </c>
      <c r="AD318" s="67">
        <f t="shared" si="12"/>
        <v>3692.944</v>
      </c>
      <c r="AE318" s="67">
        <f t="shared" si="13"/>
        <v>26773.844</v>
      </c>
      <c r="AF318" s="67">
        <f t="shared" si="14"/>
        <v>22537.82</v>
      </c>
      <c r="AG318" s="67">
        <f t="shared" si="15"/>
        <v>3606.0512</v>
      </c>
      <c r="AH318" s="67">
        <f t="shared" si="16"/>
        <v>26143.8712</v>
      </c>
      <c r="AI318" s="67">
        <f t="shared" si="17"/>
        <v>21723.2</v>
      </c>
      <c r="AJ318" s="68">
        <f t="shared" si="20"/>
        <v>3475.712</v>
      </c>
      <c r="AK318" s="68">
        <f t="shared" si="21"/>
        <v>25198.912</v>
      </c>
      <c r="AL318" s="70">
        <f>IFERROR(__xludf.DUMMYFUNCTION("""COMPUTED_VALUE"""),1.0)</f>
        <v>1</v>
      </c>
      <c r="AM318" s="70"/>
      <c r="AN318" s="71" t="str">
        <f>IFERROR(__xludf.DUMMYFUNCTION("""COMPUTED_VALUE""")," CP")</f>
        <v>CP</v>
      </c>
      <c r="AO318" s="71" t="str">
        <f>IFERROR(__xludf.DUMMYFUNCTION("""COMPUTED_VALUE""")," CA141")</f>
        <v>CA141</v>
      </c>
      <c r="AP318" s="71" t="str">
        <f>IFERROR(__xludf.DUMMYFUNCTION("""COMPUTED_VALUE""")," PZA")</f>
        <v>PZA</v>
      </c>
      <c r="AQ318" s="71" t="str">
        <f>IFERROR(__xludf.DUMMYFUNCTION("""COMPUTED_VALUE""")," REF")</f>
        <v>REF</v>
      </c>
      <c r="AR318" s="71" t="str">
        <f>IFERROR(__xludf.DUMMYFUNCTION("""COMPUTED_VALUE""")," CATARINA 40B20 E.1-1/8"" C.1/4")</f>
        <v>CATARINA 40B20 E.1-1/8" C.1/4</v>
      </c>
      <c r="AS318" s="71" t="str">
        <f>IFERROR(__xludf.DUMMYFUNCTION("""COMPUTED_VALUE""")," CATARINA 40B20 E.1-1/8"" C.1/4")</f>
        <v>CATARINA 40B20 E.1-1/8" C.1/4</v>
      </c>
      <c r="AT318" s="71">
        <f>IFERROR(__xludf.DUMMYFUNCTION("""COMPUTED_VALUE"""),29.0)</f>
        <v>29</v>
      </c>
      <c r="AU318" s="71"/>
      <c r="AV318" s="71"/>
      <c r="AW318" s="71"/>
      <c r="AX318" s="71"/>
      <c r="AY318" s="71">
        <f>IFERROR(__xludf.DUMMYFUNCTION("""COMPUTED_VALUE"""),190.0)</f>
        <v>190</v>
      </c>
      <c r="AZ318" s="71">
        <f>IFERROR(__xludf.DUMMYFUNCTION("""COMPUTED_VALUE"""),205.0)</f>
        <v>205</v>
      </c>
      <c r="BA318" s="71">
        <f>IFERROR(__xludf.DUMMYFUNCTION("""COMPUTED_VALUE"""),105.0)</f>
        <v>105</v>
      </c>
      <c r="BB318" s="71">
        <f>IFERROR(__xludf.DUMMYFUNCTION("""COMPUTED_VALUE"""),105.0)</f>
        <v>105</v>
      </c>
      <c r="BC318" s="71">
        <f>IFERROR(__xludf.DUMMYFUNCTION("""COMPUTED_VALUE"""),114.0)</f>
        <v>114</v>
      </c>
      <c r="BD318" s="71">
        <f>IFERROR(__xludf.DUMMYFUNCTION("""COMPUTED_VALUE"""),120.0)</f>
        <v>120</v>
      </c>
      <c r="BE318" s="71">
        <f>IFERROR(__xludf.DUMMYFUNCTION("""COMPUTED_VALUE"""),19.2)</f>
        <v>19.2</v>
      </c>
      <c r="BF318" s="71">
        <f>IFERROR(__xludf.DUMMYFUNCTION("""COMPUTED_VALUE"""),139.2)</f>
        <v>139.2</v>
      </c>
      <c r="BG318" s="71">
        <f>IFERROR(__xludf.DUMMYFUNCTION("""COMPUTED_VALUE"""),0.05263157894736842)</f>
        <v>0.05263157895</v>
      </c>
      <c r="BH318" s="71">
        <f>IFERROR(__xludf.DUMMYFUNCTION("""COMPUTED_VALUE"""),114.0)</f>
        <v>114</v>
      </c>
      <c r="BI318" s="71">
        <f>IFERROR(__xludf.DUMMYFUNCTION("""COMPUTED_VALUE"""),18.240000000000002)</f>
        <v>18.24</v>
      </c>
      <c r="BJ318" s="71">
        <f>IFERROR(__xludf.DUMMYFUNCTION("""COMPUTED_VALUE"""),132.24)</f>
        <v>132.24</v>
      </c>
      <c r="BK318" s="71">
        <f>IFERROR(__xludf.DUMMYFUNCTION("""COMPUTED_VALUE"""),108.0)</f>
        <v>108</v>
      </c>
      <c r="BL318" s="71">
        <f>IFERROR(__xludf.DUMMYFUNCTION("""COMPUTED_VALUE"""),17.28)</f>
        <v>17.28</v>
      </c>
      <c r="BM318" s="71">
        <f>IFERROR(__xludf.DUMMYFUNCTION("""COMPUTED_VALUE"""),125.28)</f>
        <v>125.28</v>
      </c>
      <c r="BN318" s="71">
        <f>IFERROR(__xludf.DUMMYFUNCTION("""COMPUTED_VALUE"""),102.0)</f>
        <v>102</v>
      </c>
      <c r="BO318" s="71">
        <f>IFERROR(__xludf.DUMMYFUNCTION("""COMPUTED_VALUE"""),16.32)</f>
        <v>16.32</v>
      </c>
      <c r="BP318" s="71">
        <f>IFERROR(__xludf.DUMMYFUNCTION("""COMPUTED_VALUE"""),118.32)</f>
        <v>118.32</v>
      </c>
      <c r="BQ318" s="71">
        <f>IFERROR(__xludf.DUMMYFUNCTION("""COMPUTED_VALUE"""),99.6)</f>
        <v>99.6</v>
      </c>
      <c r="BR318" s="71">
        <f>IFERROR(__xludf.DUMMYFUNCTION("""COMPUTED_VALUE"""),15.936)</f>
        <v>15.936</v>
      </c>
      <c r="BS318" s="71">
        <f>IFERROR(__xludf.DUMMYFUNCTION("""COMPUTED_VALUE"""),115.536)</f>
        <v>115.536</v>
      </c>
      <c r="BT318" s="71">
        <f>IFERROR(__xludf.DUMMYFUNCTION("""COMPUTED_VALUE"""),96.0)</f>
        <v>96</v>
      </c>
      <c r="BU318" s="71">
        <f>IFERROR(__xludf.DUMMYFUNCTION("""COMPUTED_VALUE"""),15.36)</f>
        <v>15.36</v>
      </c>
      <c r="BV318" s="71">
        <f>IFERROR(__xludf.DUMMYFUNCTION("""COMPUTED_VALUE"""),111.36)</f>
        <v>111.36</v>
      </c>
    </row>
    <row r="319">
      <c r="A319" s="53">
        <v>1.0</v>
      </c>
      <c r="B319" s="72"/>
      <c r="C319" s="73" t="s">
        <v>53</v>
      </c>
      <c r="D319" s="74" t="s">
        <v>802</v>
      </c>
      <c r="E319" s="54" t="s">
        <v>38</v>
      </c>
      <c r="F319" s="54" t="s">
        <v>42</v>
      </c>
      <c r="G319" s="88" t="s">
        <v>803</v>
      </c>
      <c r="H319" s="54" t="s">
        <v>804</v>
      </c>
      <c r="I319" s="54">
        <f t="shared" si="1"/>
        <v>39</v>
      </c>
      <c r="J319" s="56"/>
      <c r="K319" s="75"/>
      <c r="L319" s="76"/>
      <c r="M319" s="59"/>
      <c r="N319" s="60">
        <v>13176.0</v>
      </c>
      <c r="O319" s="61">
        <v>14230.0</v>
      </c>
      <c r="P319" s="62">
        <v>18136.68</v>
      </c>
      <c r="Q319" s="63">
        <v>18136.68</v>
      </c>
      <c r="R319" s="64">
        <v>20187.0</v>
      </c>
      <c r="S319" s="111">
        <v>21196.0</v>
      </c>
      <c r="T319" s="65">
        <f t="shared" si="2"/>
        <v>3391.36</v>
      </c>
      <c r="U319" s="65">
        <f t="shared" si="3"/>
        <v>24587.36</v>
      </c>
      <c r="V319" s="66">
        <f t="shared" si="4"/>
        <v>0.04998266211</v>
      </c>
      <c r="W319" s="67">
        <f t="shared" si="5"/>
        <v>20136.2</v>
      </c>
      <c r="X319" s="67">
        <f t="shared" si="6"/>
        <v>3221.792</v>
      </c>
      <c r="Y319" s="67">
        <f t="shared" si="7"/>
        <v>23357.992</v>
      </c>
      <c r="Z319" s="67">
        <f t="shared" si="8"/>
        <v>19076.4</v>
      </c>
      <c r="AA319" s="67">
        <f t="shared" si="9"/>
        <v>3052.224</v>
      </c>
      <c r="AB319" s="67">
        <f t="shared" si="10"/>
        <v>22128.624</v>
      </c>
      <c r="AC319" s="67">
        <f t="shared" si="11"/>
        <v>18016.6</v>
      </c>
      <c r="AD319" s="67">
        <f t="shared" si="12"/>
        <v>2882.656</v>
      </c>
      <c r="AE319" s="67">
        <f t="shared" si="13"/>
        <v>20899.256</v>
      </c>
      <c r="AF319" s="67">
        <f t="shared" si="14"/>
        <v>17592.68</v>
      </c>
      <c r="AG319" s="67">
        <f t="shared" si="15"/>
        <v>2814.8288</v>
      </c>
      <c r="AH319" s="67">
        <f t="shared" si="16"/>
        <v>20407.5088</v>
      </c>
      <c r="AI319" s="67">
        <f t="shared" si="17"/>
        <v>16956.8</v>
      </c>
      <c r="AJ319" s="68">
        <f t="shared" si="20"/>
        <v>2713.088</v>
      </c>
      <c r="AK319" s="68">
        <f t="shared" si="21"/>
        <v>19669.888</v>
      </c>
      <c r="AL319" s="70">
        <f>IFERROR(__xludf.DUMMYFUNCTION("""COMPUTED_VALUE"""),1.0)</f>
        <v>1</v>
      </c>
      <c r="AM319" s="70"/>
      <c r="AN319" s="71" t="str">
        <f>IFERROR(__xludf.DUMMYFUNCTION("""COMPUTED_VALUE""")," CP")</f>
        <v>CP</v>
      </c>
      <c r="AO319" s="71" t="str">
        <f>IFERROR(__xludf.DUMMYFUNCTION("""COMPUTED_VALUE""")," CA93")</f>
        <v>CA93</v>
      </c>
      <c r="AP319" s="71" t="str">
        <f>IFERROR(__xludf.DUMMYFUNCTION("""COMPUTED_VALUE""")," PZA")</f>
        <v>PZA</v>
      </c>
      <c r="AQ319" s="71" t="str">
        <f>IFERROR(__xludf.DUMMYFUNCTION("""COMPUTED_VALUE""")," REF")</f>
        <v>REF</v>
      </c>
      <c r="AR319" s="71" t="str">
        <f>IFERROR(__xludf.DUMMYFUNCTION("""COMPUTED_VALUE""")," CATARINA 40B20 E.1"" C.1/4")</f>
        <v>CATARINA 40B20 E.1" C.1/4</v>
      </c>
      <c r="AS319" s="71" t="str">
        <f>IFERROR(__xludf.DUMMYFUNCTION("""COMPUTED_VALUE""")," CATARINA 40B20 E.1"" C.1/4")</f>
        <v>CATARINA 40B20 E.1" C.1/4</v>
      </c>
      <c r="AT319" s="71">
        <f>IFERROR(__xludf.DUMMYFUNCTION("""COMPUTED_VALUE"""),25.0)</f>
        <v>25</v>
      </c>
      <c r="AU319" s="71"/>
      <c r="AV319" s="71"/>
      <c r="AW319" s="71"/>
      <c r="AX319" s="71"/>
      <c r="AY319" s="71">
        <f>IFERROR(__xludf.DUMMYFUNCTION("""COMPUTED_VALUE"""),190.05)</f>
        <v>190.05</v>
      </c>
      <c r="AZ319" s="71">
        <f>IFERROR(__xludf.DUMMYFUNCTION("""COMPUTED_VALUE"""),205.0)</f>
        <v>205</v>
      </c>
      <c r="BA319" s="71">
        <f>IFERROR(__xludf.DUMMYFUNCTION("""COMPUTED_VALUE"""),105.0)</f>
        <v>105</v>
      </c>
      <c r="BB319" s="71">
        <f>IFERROR(__xludf.DUMMYFUNCTION("""COMPUTED_VALUE"""),105.0)</f>
        <v>105</v>
      </c>
      <c r="BC319" s="71">
        <f>IFERROR(__xludf.DUMMYFUNCTION("""COMPUTED_VALUE"""),114.0)</f>
        <v>114</v>
      </c>
      <c r="BD319" s="71">
        <f>IFERROR(__xludf.DUMMYFUNCTION("""COMPUTED_VALUE"""),120.0)</f>
        <v>120</v>
      </c>
      <c r="BE319" s="71">
        <f>IFERROR(__xludf.DUMMYFUNCTION("""COMPUTED_VALUE"""),19.2)</f>
        <v>19.2</v>
      </c>
      <c r="BF319" s="71">
        <f>IFERROR(__xludf.DUMMYFUNCTION("""COMPUTED_VALUE"""),139.2)</f>
        <v>139.2</v>
      </c>
      <c r="BG319" s="71">
        <f>IFERROR(__xludf.DUMMYFUNCTION("""COMPUTED_VALUE"""),0.05263157894736842)</f>
        <v>0.05263157895</v>
      </c>
      <c r="BH319" s="71">
        <f>IFERROR(__xludf.DUMMYFUNCTION("""COMPUTED_VALUE"""),114.0)</f>
        <v>114</v>
      </c>
      <c r="BI319" s="71">
        <f>IFERROR(__xludf.DUMMYFUNCTION("""COMPUTED_VALUE"""),18.240000000000002)</f>
        <v>18.24</v>
      </c>
      <c r="BJ319" s="71">
        <f>IFERROR(__xludf.DUMMYFUNCTION("""COMPUTED_VALUE"""),132.24)</f>
        <v>132.24</v>
      </c>
      <c r="BK319" s="71">
        <f>IFERROR(__xludf.DUMMYFUNCTION("""COMPUTED_VALUE"""),108.0)</f>
        <v>108</v>
      </c>
      <c r="BL319" s="71">
        <f>IFERROR(__xludf.DUMMYFUNCTION("""COMPUTED_VALUE"""),17.28)</f>
        <v>17.28</v>
      </c>
      <c r="BM319" s="71">
        <f>IFERROR(__xludf.DUMMYFUNCTION("""COMPUTED_VALUE"""),125.28)</f>
        <v>125.28</v>
      </c>
      <c r="BN319" s="71">
        <f>IFERROR(__xludf.DUMMYFUNCTION("""COMPUTED_VALUE"""),102.0)</f>
        <v>102</v>
      </c>
      <c r="BO319" s="71">
        <f>IFERROR(__xludf.DUMMYFUNCTION("""COMPUTED_VALUE"""),16.32)</f>
        <v>16.32</v>
      </c>
      <c r="BP319" s="71">
        <f>IFERROR(__xludf.DUMMYFUNCTION("""COMPUTED_VALUE"""),118.32)</f>
        <v>118.32</v>
      </c>
      <c r="BQ319" s="71">
        <f>IFERROR(__xludf.DUMMYFUNCTION("""COMPUTED_VALUE"""),99.6)</f>
        <v>99.6</v>
      </c>
      <c r="BR319" s="71">
        <f>IFERROR(__xludf.DUMMYFUNCTION("""COMPUTED_VALUE"""),15.936)</f>
        <v>15.936</v>
      </c>
      <c r="BS319" s="71">
        <f>IFERROR(__xludf.DUMMYFUNCTION("""COMPUTED_VALUE"""),115.536)</f>
        <v>115.536</v>
      </c>
      <c r="BT319" s="71">
        <f>IFERROR(__xludf.DUMMYFUNCTION("""COMPUTED_VALUE"""),96.0)</f>
        <v>96</v>
      </c>
      <c r="BU319" s="71">
        <f>IFERROR(__xludf.DUMMYFUNCTION("""COMPUTED_VALUE"""),15.36)</f>
        <v>15.36</v>
      </c>
      <c r="BV319" s="71">
        <f>IFERROR(__xludf.DUMMYFUNCTION("""COMPUTED_VALUE"""),111.36)</f>
        <v>111.36</v>
      </c>
    </row>
    <row r="320">
      <c r="A320" s="53">
        <v>1.0</v>
      </c>
      <c r="B320" s="53"/>
      <c r="C320" s="73" t="s">
        <v>53</v>
      </c>
      <c r="D320" s="74" t="s">
        <v>805</v>
      </c>
      <c r="E320" s="54" t="s">
        <v>38</v>
      </c>
      <c r="F320" s="54" t="s">
        <v>42</v>
      </c>
      <c r="G320" s="54" t="s">
        <v>806</v>
      </c>
      <c r="H320" s="54" t="s">
        <v>807</v>
      </c>
      <c r="I320" s="54">
        <f t="shared" si="1"/>
        <v>39</v>
      </c>
      <c r="J320" s="56"/>
      <c r="K320" s="75"/>
      <c r="L320" s="76"/>
      <c r="M320" s="59"/>
      <c r="N320" s="60">
        <v>19504.0</v>
      </c>
      <c r="O320" s="61">
        <v>21064.0</v>
      </c>
      <c r="P320" s="62">
        <v>25517.399999999998</v>
      </c>
      <c r="Q320" s="63">
        <v>25517.399999999998</v>
      </c>
      <c r="R320" s="64">
        <v>28402.0</v>
      </c>
      <c r="S320" s="111">
        <v>29822.0</v>
      </c>
      <c r="T320" s="65">
        <f t="shared" si="2"/>
        <v>4771.52</v>
      </c>
      <c r="U320" s="65">
        <f t="shared" si="3"/>
        <v>34593.52</v>
      </c>
      <c r="V320" s="66">
        <f t="shared" si="4"/>
        <v>0.04999647912</v>
      </c>
      <c r="W320" s="67">
        <f t="shared" si="5"/>
        <v>28330.9</v>
      </c>
      <c r="X320" s="67">
        <f t="shared" si="6"/>
        <v>4532.944</v>
      </c>
      <c r="Y320" s="67">
        <f t="shared" si="7"/>
        <v>32863.844</v>
      </c>
      <c r="Z320" s="67">
        <f t="shared" si="8"/>
        <v>26839.8</v>
      </c>
      <c r="AA320" s="67">
        <f t="shared" si="9"/>
        <v>4294.368</v>
      </c>
      <c r="AB320" s="67">
        <f t="shared" si="10"/>
        <v>31134.168</v>
      </c>
      <c r="AC320" s="67">
        <f t="shared" si="11"/>
        <v>25348.7</v>
      </c>
      <c r="AD320" s="67">
        <f t="shared" si="12"/>
        <v>4055.792</v>
      </c>
      <c r="AE320" s="67">
        <f t="shared" si="13"/>
        <v>29404.492</v>
      </c>
      <c r="AF320" s="67">
        <f t="shared" si="14"/>
        <v>24752.26</v>
      </c>
      <c r="AG320" s="67">
        <f t="shared" si="15"/>
        <v>3960.3616</v>
      </c>
      <c r="AH320" s="67">
        <f t="shared" si="16"/>
        <v>28712.6216</v>
      </c>
      <c r="AI320" s="67">
        <f t="shared" si="17"/>
        <v>23857.6</v>
      </c>
      <c r="AJ320" s="68">
        <f t="shared" si="20"/>
        <v>3817.216</v>
      </c>
      <c r="AK320" s="68">
        <f t="shared" si="21"/>
        <v>27674.816</v>
      </c>
      <c r="AL320" s="70">
        <f>IFERROR(__xludf.DUMMYFUNCTION("""COMPUTED_VALUE"""),1.0)</f>
        <v>1</v>
      </c>
      <c r="AM320" s="70"/>
      <c r="AN320" s="71" t="str">
        <f>IFERROR(__xludf.DUMMYFUNCTION("""COMPUTED_VALUE""")," P")</f>
        <v>P</v>
      </c>
      <c r="AO320" s="71" t="str">
        <f>IFERROR(__xludf.DUMMYFUNCTION("""COMPUTED_VALUE""")," CA124")</f>
        <v>CA124</v>
      </c>
      <c r="AP320" s="71" t="str">
        <f>IFERROR(__xludf.DUMMYFUNCTION("""COMPUTED_VALUE""")," PZA")</f>
        <v>PZA</v>
      </c>
      <c r="AQ320" s="71" t="str">
        <f>IFERROR(__xludf.DUMMYFUNCTION("""COMPUTED_VALUE""")," REF")</f>
        <v>REF</v>
      </c>
      <c r="AR320" s="71" t="str">
        <f>IFERROR(__xludf.DUMMYFUNCTION("""COMPUTED_VALUE""")," CATARINA 40B21 25MM C.1/4")</f>
        <v>CATARINA 40B21 25MM C.1/4</v>
      </c>
      <c r="AS320" s="71" t="str">
        <f>IFERROR(__xludf.DUMMYFUNCTION("""COMPUTED_VALUE""")," CATARINA 40B21 25MM C.1/4")</f>
        <v>CATARINA 40B21 25MM C.1/4</v>
      </c>
      <c r="AT320" s="71">
        <f>IFERROR(__xludf.DUMMYFUNCTION("""COMPUTED_VALUE"""),25.0)</f>
        <v>25</v>
      </c>
      <c r="AU320" s="71"/>
      <c r="AV320" s="71"/>
      <c r="AW320" s="71"/>
      <c r="AX320" s="71"/>
      <c r="AY320" s="71"/>
      <c r="AZ320" s="71"/>
      <c r="BA320" s="71">
        <f>IFERROR(__xludf.DUMMYFUNCTION("""COMPUTED_VALUE"""),110.0)</f>
        <v>110</v>
      </c>
      <c r="BB320" s="71">
        <f>IFERROR(__xludf.DUMMYFUNCTION("""COMPUTED_VALUE"""),110.0)</f>
        <v>110</v>
      </c>
      <c r="BC320" s="71">
        <f>IFERROR(__xludf.DUMMYFUNCTION("""COMPUTED_VALUE"""),119.0)</f>
        <v>119</v>
      </c>
      <c r="BD320" s="71">
        <f>IFERROR(__xludf.DUMMYFUNCTION("""COMPUTED_VALUE"""),125.0)</f>
        <v>125</v>
      </c>
      <c r="BE320" s="71">
        <f>IFERROR(__xludf.DUMMYFUNCTION("""COMPUTED_VALUE"""),20.0)</f>
        <v>20</v>
      </c>
      <c r="BF320" s="71">
        <f>IFERROR(__xludf.DUMMYFUNCTION("""COMPUTED_VALUE"""),145.0)</f>
        <v>145</v>
      </c>
      <c r="BG320" s="71">
        <f>IFERROR(__xludf.DUMMYFUNCTION("""COMPUTED_VALUE"""),0.05042016806722689)</f>
        <v>0.05042016807</v>
      </c>
      <c r="BH320" s="71">
        <f>IFERROR(__xludf.DUMMYFUNCTION("""COMPUTED_VALUE"""),118.75)</f>
        <v>118.75</v>
      </c>
      <c r="BI320" s="71">
        <f>IFERROR(__xludf.DUMMYFUNCTION("""COMPUTED_VALUE"""),19.0)</f>
        <v>19</v>
      </c>
      <c r="BJ320" s="71">
        <f>IFERROR(__xludf.DUMMYFUNCTION("""COMPUTED_VALUE"""),137.75)</f>
        <v>137.75</v>
      </c>
      <c r="BK320" s="71">
        <f>IFERROR(__xludf.DUMMYFUNCTION("""COMPUTED_VALUE"""),112.5)</f>
        <v>112.5</v>
      </c>
      <c r="BL320" s="71">
        <f>IFERROR(__xludf.DUMMYFUNCTION("""COMPUTED_VALUE"""),18.0)</f>
        <v>18</v>
      </c>
      <c r="BM320" s="71">
        <f>IFERROR(__xludf.DUMMYFUNCTION("""COMPUTED_VALUE"""),130.5)</f>
        <v>130.5</v>
      </c>
      <c r="BN320" s="71">
        <f>IFERROR(__xludf.DUMMYFUNCTION("""COMPUTED_VALUE"""),106.25)</f>
        <v>106.25</v>
      </c>
      <c r="BO320" s="71">
        <f>IFERROR(__xludf.DUMMYFUNCTION("""COMPUTED_VALUE"""),17.0)</f>
        <v>17</v>
      </c>
      <c r="BP320" s="71">
        <f>IFERROR(__xludf.DUMMYFUNCTION("""COMPUTED_VALUE"""),123.25)</f>
        <v>123.25</v>
      </c>
      <c r="BQ320" s="71">
        <f>IFERROR(__xludf.DUMMYFUNCTION("""COMPUTED_VALUE"""),103.75)</f>
        <v>103.75</v>
      </c>
      <c r="BR320" s="71">
        <f>IFERROR(__xludf.DUMMYFUNCTION("""COMPUTED_VALUE"""),16.6)</f>
        <v>16.6</v>
      </c>
      <c r="BS320" s="71">
        <f>IFERROR(__xludf.DUMMYFUNCTION("""COMPUTED_VALUE"""),120.35)</f>
        <v>120.35</v>
      </c>
      <c r="BT320" s="71">
        <f>IFERROR(__xludf.DUMMYFUNCTION("""COMPUTED_VALUE"""),100.0)</f>
        <v>100</v>
      </c>
      <c r="BU320" s="71">
        <f>IFERROR(__xludf.DUMMYFUNCTION("""COMPUTED_VALUE"""),16.0)</f>
        <v>16</v>
      </c>
      <c r="BV320" s="71">
        <f>IFERROR(__xludf.DUMMYFUNCTION("""COMPUTED_VALUE"""),116.0)</f>
        <v>116</v>
      </c>
    </row>
    <row r="321">
      <c r="A321" s="53"/>
      <c r="B321" s="53"/>
      <c r="C321" s="73" t="s">
        <v>53</v>
      </c>
      <c r="D321" s="53" t="s">
        <v>808</v>
      </c>
      <c r="E321" s="54" t="s">
        <v>38</v>
      </c>
      <c r="F321" s="54" t="s">
        <v>42</v>
      </c>
      <c r="G321" s="54" t="s">
        <v>809</v>
      </c>
      <c r="H321" s="54" t="s">
        <v>810</v>
      </c>
      <c r="I321" s="54">
        <f t="shared" si="1"/>
        <v>39</v>
      </c>
      <c r="J321" s="56"/>
      <c r="K321" s="75"/>
      <c r="L321" s="76"/>
      <c r="M321" s="59"/>
      <c r="N321" s="60"/>
      <c r="O321" s="90"/>
      <c r="P321" s="62">
        <v>31678.28</v>
      </c>
      <c r="Q321" s="63">
        <v>31678.28</v>
      </c>
      <c r="R321" s="64">
        <v>33262.0</v>
      </c>
      <c r="S321" s="111">
        <v>34925.0</v>
      </c>
      <c r="T321" s="65">
        <f t="shared" si="2"/>
        <v>5588</v>
      </c>
      <c r="U321" s="65">
        <f t="shared" si="3"/>
        <v>40513</v>
      </c>
      <c r="V321" s="66">
        <f t="shared" si="4"/>
        <v>0.04999699357</v>
      </c>
      <c r="W321" s="67">
        <f t="shared" si="5"/>
        <v>33178.75</v>
      </c>
      <c r="X321" s="67">
        <f t="shared" si="6"/>
        <v>5308.6</v>
      </c>
      <c r="Y321" s="67">
        <f t="shared" si="7"/>
        <v>38487.35</v>
      </c>
      <c r="Z321" s="67">
        <f t="shared" si="8"/>
        <v>31432.5</v>
      </c>
      <c r="AA321" s="67">
        <f t="shared" si="9"/>
        <v>5029.2</v>
      </c>
      <c r="AB321" s="67">
        <f t="shared" si="10"/>
        <v>36461.7</v>
      </c>
      <c r="AC321" s="67">
        <f t="shared" si="11"/>
        <v>29686.25</v>
      </c>
      <c r="AD321" s="67">
        <f t="shared" si="12"/>
        <v>4749.8</v>
      </c>
      <c r="AE321" s="67">
        <f t="shared" si="13"/>
        <v>34436.05</v>
      </c>
      <c r="AF321" s="67">
        <f t="shared" si="14"/>
        <v>28987.75</v>
      </c>
      <c r="AG321" s="67">
        <f t="shared" si="15"/>
        <v>4638.04</v>
      </c>
      <c r="AH321" s="67">
        <f t="shared" si="16"/>
        <v>33625.79</v>
      </c>
      <c r="AI321" s="67">
        <f t="shared" si="17"/>
        <v>27940</v>
      </c>
      <c r="AJ321" s="68">
        <f t="shared" si="20"/>
        <v>4470.4</v>
      </c>
      <c r="AK321" s="68">
        <f t="shared" si="21"/>
        <v>32410.4</v>
      </c>
      <c r="AL321" s="70">
        <f>IFERROR(__xludf.DUMMYFUNCTION("""COMPUTED_VALUE"""),1.0)</f>
        <v>1</v>
      </c>
      <c r="AM321" s="70"/>
      <c r="AN321" s="71" t="str">
        <f>IFERROR(__xludf.DUMMYFUNCTION("""COMPUTED_VALUE""")," CP")</f>
        <v>CP</v>
      </c>
      <c r="AO321" s="71" t="str">
        <f>IFERROR(__xludf.DUMMYFUNCTION("""COMPUTED_VALUE""")," CA59")</f>
        <v>CA59</v>
      </c>
      <c r="AP321" s="71" t="str">
        <f>IFERROR(__xludf.DUMMYFUNCTION("""COMPUTED_VALUE""")," PZA")</f>
        <v>PZA</v>
      </c>
      <c r="AQ321" s="71" t="str">
        <f>IFERROR(__xludf.DUMMYFUNCTION("""COMPUTED_VALUE""")," REF")</f>
        <v>REF</v>
      </c>
      <c r="AR321" s="71" t="str">
        <f>IFERROR(__xludf.DUMMYFUNCTION("""COMPUTED_VALUE""")," CATARINA 40B21 E.1-1/4"" C.1/4")</f>
        <v>CATARINA 40B21 E.1-1/4" C.1/4</v>
      </c>
      <c r="AS321" s="71" t="str">
        <f>IFERROR(__xludf.DUMMYFUNCTION("""COMPUTED_VALUE""")," CATARINA 40B21 E.1-1/4"" C.1/4")</f>
        <v>CATARINA 40B21 E.1-1/4" C.1/4</v>
      </c>
      <c r="AT321" s="71">
        <f>IFERROR(__xludf.DUMMYFUNCTION("""COMPUTED_VALUE"""),29.0)</f>
        <v>29</v>
      </c>
      <c r="AU321" s="71"/>
      <c r="AV321" s="71"/>
      <c r="AW321" s="71"/>
      <c r="AX321" s="71"/>
      <c r="AY321" s="71">
        <f>IFERROR(__xludf.DUMMYFUNCTION("""COMPUTED_VALUE"""),201.0)</f>
        <v>201</v>
      </c>
      <c r="AZ321" s="71">
        <f>IFERROR(__xludf.DUMMYFUNCTION("""COMPUTED_VALUE"""),217.0)</f>
        <v>217</v>
      </c>
      <c r="BA321" s="71">
        <f>IFERROR(__xludf.DUMMYFUNCTION("""COMPUTED_VALUE"""),110.0)</f>
        <v>110</v>
      </c>
      <c r="BB321" s="71">
        <f>IFERROR(__xludf.DUMMYFUNCTION("""COMPUTED_VALUE"""),110.0)</f>
        <v>110</v>
      </c>
      <c r="BC321" s="71">
        <f>IFERROR(__xludf.DUMMYFUNCTION("""COMPUTED_VALUE"""),134.0)</f>
        <v>134</v>
      </c>
      <c r="BD321" s="71">
        <f>IFERROR(__xludf.DUMMYFUNCTION("""COMPUTED_VALUE"""),141.0)</f>
        <v>141</v>
      </c>
      <c r="BE321" s="71">
        <f>IFERROR(__xludf.DUMMYFUNCTION("""COMPUTED_VALUE"""),22.56)</f>
        <v>22.56</v>
      </c>
      <c r="BF321" s="71">
        <f>IFERROR(__xludf.DUMMYFUNCTION("""COMPUTED_VALUE"""),163.56)</f>
        <v>163.56</v>
      </c>
      <c r="BG321" s="71">
        <f>IFERROR(__xludf.DUMMYFUNCTION("""COMPUTED_VALUE"""),0.05223880597014925)</f>
        <v>0.05223880597</v>
      </c>
      <c r="BH321" s="71">
        <f>IFERROR(__xludf.DUMMYFUNCTION("""COMPUTED_VALUE"""),133.95)</f>
        <v>133.95</v>
      </c>
      <c r="BI321" s="71">
        <f>IFERROR(__xludf.DUMMYFUNCTION("""COMPUTED_VALUE"""),21.432)</f>
        <v>21.432</v>
      </c>
      <c r="BJ321" s="71">
        <f>IFERROR(__xludf.DUMMYFUNCTION("""COMPUTED_VALUE"""),155.38199999999998)</f>
        <v>155.382</v>
      </c>
      <c r="BK321" s="71">
        <f>IFERROR(__xludf.DUMMYFUNCTION("""COMPUTED_VALUE"""),126.9)</f>
        <v>126.9</v>
      </c>
      <c r="BL321" s="71">
        <f>IFERROR(__xludf.DUMMYFUNCTION("""COMPUTED_VALUE"""),20.304000000000002)</f>
        <v>20.304</v>
      </c>
      <c r="BM321" s="71">
        <f>IFERROR(__xludf.DUMMYFUNCTION("""COMPUTED_VALUE"""),147.204)</f>
        <v>147.204</v>
      </c>
      <c r="BN321" s="71">
        <f>IFERROR(__xludf.DUMMYFUNCTION("""COMPUTED_VALUE"""),119.85)</f>
        <v>119.85</v>
      </c>
      <c r="BO321" s="71">
        <f>IFERROR(__xludf.DUMMYFUNCTION("""COMPUTED_VALUE"""),19.176)</f>
        <v>19.176</v>
      </c>
      <c r="BP321" s="71">
        <f>IFERROR(__xludf.DUMMYFUNCTION("""COMPUTED_VALUE"""),139.02599999999998)</f>
        <v>139.026</v>
      </c>
      <c r="BQ321" s="71">
        <f>IFERROR(__xludf.DUMMYFUNCTION("""COMPUTED_VALUE"""),117.03)</f>
        <v>117.03</v>
      </c>
      <c r="BR321" s="71">
        <f>IFERROR(__xludf.DUMMYFUNCTION("""COMPUTED_VALUE"""),18.724800000000002)</f>
        <v>18.7248</v>
      </c>
      <c r="BS321" s="71">
        <f>IFERROR(__xludf.DUMMYFUNCTION("""COMPUTED_VALUE"""),135.7548)</f>
        <v>135.7548</v>
      </c>
      <c r="BT321" s="71">
        <f>IFERROR(__xludf.DUMMYFUNCTION("""COMPUTED_VALUE"""),112.80000000000001)</f>
        <v>112.8</v>
      </c>
      <c r="BU321" s="71">
        <f>IFERROR(__xludf.DUMMYFUNCTION("""COMPUTED_VALUE"""),18.048000000000002)</f>
        <v>18.048</v>
      </c>
      <c r="BV321" s="71">
        <f>IFERROR(__xludf.DUMMYFUNCTION("""COMPUTED_VALUE"""),130.848)</f>
        <v>130.848</v>
      </c>
    </row>
    <row r="322">
      <c r="A322" s="53">
        <v>1.0</v>
      </c>
      <c r="B322" s="72"/>
      <c r="C322" s="73" t="s">
        <v>53</v>
      </c>
      <c r="D322" s="74" t="s">
        <v>811</v>
      </c>
      <c r="E322" s="55" t="s">
        <v>38</v>
      </c>
      <c r="F322" s="54" t="s">
        <v>42</v>
      </c>
      <c r="G322" s="55" t="s">
        <v>812</v>
      </c>
      <c r="H322" s="54" t="s">
        <v>812</v>
      </c>
      <c r="I322" s="54">
        <f t="shared" si="1"/>
        <v>27</v>
      </c>
      <c r="J322" s="56"/>
      <c r="K322" s="75"/>
      <c r="L322" s="76"/>
      <c r="M322" s="59"/>
      <c r="N322" s="60">
        <v>4479.0</v>
      </c>
      <c r="O322" s="61">
        <v>4837.0</v>
      </c>
      <c r="P322" s="62">
        <v>5223.96</v>
      </c>
      <c r="Q322" s="63">
        <v>5223.96</v>
      </c>
      <c r="R322" s="64">
        <v>5815.0</v>
      </c>
      <c r="S322" s="111">
        <v>6106.0</v>
      </c>
      <c r="T322" s="65">
        <f t="shared" si="2"/>
        <v>976.96</v>
      </c>
      <c r="U322" s="65">
        <f t="shared" si="3"/>
        <v>7082.96</v>
      </c>
      <c r="V322" s="66">
        <f t="shared" si="4"/>
        <v>0.05004299226</v>
      </c>
      <c r="W322" s="67">
        <f t="shared" si="5"/>
        <v>5800.7</v>
      </c>
      <c r="X322" s="67">
        <f t="shared" si="6"/>
        <v>928.112</v>
      </c>
      <c r="Y322" s="67">
        <f t="shared" si="7"/>
        <v>6728.812</v>
      </c>
      <c r="Z322" s="67">
        <f t="shared" si="8"/>
        <v>5495.4</v>
      </c>
      <c r="AA322" s="67">
        <f t="shared" si="9"/>
        <v>879.264</v>
      </c>
      <c r="AB322" s="67">
        <f t="shared" si="10"/>
        <v>6374.664</v>
      </c>
      <c r="AC322" s="67">
        <f t="shared" si="11"/>
        <v>5190.1</v>
      </c>
      <c r="AD322" s="67">
        <f t="shared" si="12"/>
        <v>830.416</v>
      </c>
      <c r="AE322" s="67">
        <f t="shared" si="13"/>
        <v>6020.516</v>
      </c>
      <c r="AF322" s="67">
        <f t="shared" si="14"/>
        <v>5067.98</v>
      </c>
      <c r="AG322" s="67">
        <f t="shared" si="15"/>
        <v>810.8768</v>
      </c>
      <c r="AH322" s="67">
        <f t="shared" si="16"/>
        <v>5878.8568</v>
      </c>
      <c r="AI322" s="67">
        <f t="shared" si="17"/>
        <v>4884.8</v>
      </c>
      <c r="AJ322" s="68">
        <f t="shared" si="20"/>
        <v>781.568</v>
      </c>
      <c r="AK322" s="68">
        <f t="shared" si="21"/>
        <v>5666.368</v>
      </c>
      <c r="AL322" s="70">
        <f>IFERROR(__xludf.DUMMYFUNCTION("""COMPUTED_VALUE"""),1.0)</f>
        <v>1</v>
      </c>
      <c r="AM322" s="70"/>
      <c r="AN322" s="71" t="str">
        <f>IFERROR(__xludf.DUMMYFUNCTION("""COMPUTED_VALUE""")," CP")</f>
        <v>CP</v>
      </c>
      <c r="AO322" s="71" t="str">
        <f>IFERROR(__xludf.DUMMYFUNCTION("""COMPUTED_VALUE""")," CA60")</f>
        <v>CA60</v>
      </c>
      <c r="AP322" s="71" t="str">
        <f>IFERROR(__xludf.DUMMYFUNCTION("""COMPUTED_VALUE""")," PZA")</f>
        <v>PZA</v>
      </c>
      <c r="AQ322" s="71" t="str">
        <f>IFERROR(__xludf.DUMMYFUNCTION("""COMPUTED_VALUE""")," REF")</f>
        <v>REF</v>
      </c>
      <c r="AR322" s="71" t="str">
        <f>IFERROR(__xludf.DUMMYFUNCTION("""COMPUTED_VALUE""")," CATARINA 40B21 E.1-1/8"" C.1/4")</f>
        <v>CATARINA 40B21 E.1-1/8" C.1/4</v>
      </c>
      <c r="AS322" s="71" t="str">
        <f>IFERROR(__xludf.DUMMYFUNCTION("""COMPUTED_VALUE""")," CATARINA 40B21 E.1-1/8"" C.1/4")</f>
        <v>CATARINA 40B21 E.1-1/8" C.1/4</v>
      </c>
      <c r="AT322" s="71">
        <f>IFERROR(__xludf.DUMMYFUNCTION("""COMPUTED_VALUE"""),29.0)</f>
        <v>29</v>
      </c>
      <c r="AU322" s="71"/>
      <c r="AV322" s="71"/>
      <c r="AW322" s="71"/>
      <c r="AX322" s="71"/>
      <c r="AY322" s="71">
        <f>IFERROR(__xludf.DUMMYFUNCTION("""COMPUTED_VALUE"""),201.0)</f>
        <v>201</v>
      </c>
      <c r="AZ322" s="71">
        <f>IFERROR(__xludf.DUMMYFUNCTION("""COMPUTED_VALUE"""),217.0)</f>
        <v>217</v>
      </c>
      <c r="BA322" s="71">
        <f>IFERROR(__xludf.DUMMYFUNCTION("""COMPUTED_VALUE"""),110.0)</f>
        <v>110</v>
      </c>
      <c r="BB322" s="71">
        <f>IFERROR(__xludf.DUMMYFUNCTION("""COMPUTED_VALUE"""),110.0)</f>
        <v>110</v>
      </c>
      <c r="BC322" s="71">
        <f>IFERROR(__xludf.DUMMYFUNCTION("""COMPUTED_VALUE"""),134.0)</f>
        <v>134</v>
      </c>
      <c r="BD322" s="71">
        <f>IFERROR(__xludf.DUMMYFUNCTION("""COMPUTED_VALUE"""),141.0)</f>
        <v>141</v>
      </c>
      <c r="BE322" s="71">
        <f>IFERROR(__xludf.DUMMYFUNCTION("""COMPUTED_VALUE"""),22.56)</f>
        <v>22.56</v>
      </c>
      <c r="BF322" s="71">
        <f>IFERROR(__xludf.DUMMYFUNCTION("""COMPUTED_VALUE"""),163.56)</f>
        <v>163.56</v>
      </c>
      <c r="BG322" s="71">
        <f>IFERROR(__xludf.DUMMYFUNCTION("""COMPUTED_VALUE"""),0.05223880597014925)</f>
        <v>0.05223880597</v>
      </c>
      <c r="BH322" s="71">
        <f>IFERROR(__xludf.DUMMYFUNCTION("""COMPUTED_VALUE"""),133.95)</f>
        <v>133.95</v>
      </c>
      <c r="BI322" s="71">
        <f>IFERROR(__xludf.DUMMYFUNCTION("""COMPUTED_VALUE"""),21.432)</f>
        <v>21.432</v>
      </c>
      <c r="BJ322" s="71">
        <f>IFERROR(__xludf.DUMMYFUNCTION("""COMPUTED_VALUE"""),155.38199999999998)</f>
        <v>155.382</v>
      </c>
      <c r="BK322" s="71">
        <f>IFERROR(__xludf.DUMMYFUNCTION("""COMPUTED_VALUE"""),126.9)</f>
        <v>126.9</v>
      </c>
      <c r="BL322" s="71">
        <f>IFERROR(__xludf.DUMMYFUNCTION("""COMPUTED_VALUE"""),20.304000000000002)</f>
        <v>20.304</v>
      </c>
      <c r="BM322" s="71">
        <f>IFERROR(__xludf.DUMMYFUNCTION("""COMPUTED_VALUE"""),147.204)</f>
        <v>147.204</v>
      </c>
      <c r="BN322" s="71">
        <f>IFERROR(__xludf.DUMMYFUNCTION("""COMPUTED_VALUE"""),119.85)</f>
        <v>119.85</v>
      </c>
      <c r="BO322" s="71">
        <f>IFERROR(__xludf.DUMMYFUNCTION("""COMPUTED_VALUE"""),19.176)</f>
        <v>19.176</v>
      </c>
      <c r="BP322" s="71">
        <f>IFERROR(__xludf.DUMMYFUNCTION("""COMPUTED_VALUE"""),139.02599999999998)</f>
        <v>139.026</v>
      </c>
      <c r="BQ322" s="71">
        <f>IFERROR(__xludf.DUMMYFUNCTION("""COMPUTED_VALUE"""),117.03)</f>
        <v>117.03</v>
      </c>
      <c r="BR322" s="71">
        <f>IFERROR(__xludf.DUMMYFUNCTION("""COMPUTED_VALUE"""),18.724800000000002)</f>
        <v>18.7248</v>
      </c>
      <c r="BS322" s="71">
        <f>IFERROR(__xludf.DUMMYFUNCTION("""COMPUTED_VALUE"""),135.7548)</f>
        <v>135.7548</v>
      </c>
      <c r="BT322" s="71">
        <f>IFERROR(__xludf.DUMMYFUNCTION("""COMPUTED_VALUE"""),112.80000000000001)</f>
        <v>112.8</v>
      </c>
      <c r="BU322" s="71">
        <f>IFERROR(__xludf.DUMMYFUNCTION("""COMPUTED_VALUE"""),18.048000000000002)</f>
        <v>18.048</v>
      </c>
      <c r="BV322" s="71">
        <f>IFERROR(__xludf.DUMMYFUNCTION("""COMPUTED_VALUE"""),130.848)</f>
        <v>130.848</v>
      </c>
    </row>
    <row r="323">
      <c r="A323" s="53">
        <v>1.0</v>
      </c>
      <c r="B323" s="53"/>
      <c r="C323" s="73" t="s">
        <v>53</v>
      </c>
      <c r="D323" s="74" t="s">
        <v>813</v>
      </c>
      <c r="E323" s="54" t="s">
        <v>38</v>
      </c>
      <c r="F323" s="54" t="s">
        <v>42</v>
      </c>
      <c r="G323" s="54" t="s">
        <v>814</v>
      </c>
      <c r="H323" s="54" t="s">
        <v>815</v>
      </c>
      <c r="I323" s="54">
        <f t="shared" si="1"/>
        <v>32</v>
      </c>
      <c r="J323" s="56"/>
      <c r="K323" s="75"/>
      <c r="L323" s="76"/>
      <c r="M323" s="59"/>
      <c r="N323" s="60">
        <v>12729.0</v>
      </c>
      <c r="O323" s="61">
        <v>13747.0</v>
      </c>
      <c r="P323" s="62">
        <v>14846.76</v>
      </c>
      <c r="Q323" s="63">
        <v>14846.76</v>
      </c>
      <c r="R323" s="64">
        <v>16525.0</v>
      </c>
      <c r="S323" s="111">
        <v>17351.0</v>
      </c>
      <c r="T323" s="65">
        <f t="shared" si="2"/>
        <v>2776.16</v>
      </c>
      <c r="U323" s="65">
        <f t="shared" si="3"/>
        <v>20127.16</v>
      </c>
      <c r="V323" s="66">
        <f t="shared" si="4"/>
        <v>0.04998487141</v>
      </c>
      <c r="W323" s="67">
        <f t="shared" si="5"/>
        <v>16483.45</v>
      </c>
      <c r="X323" s="67">
        <f t="shared" si="6"/>
        <v>2637.352</v>
      </c>
      <c r="Y323" s="67">
        <f t="shared" si="7"/>
        <v>19120.802</v>
      </c>
      <c r="Z323" s="67">
        <f t="shared" si="8"/>
        <v>15615.9</v>
      </c>
      <c r="AA323" s="67">
        <f t="shared" si="9"/>
        <v>2498.544</v>
      </c>
      <c r="AB323" s="67">
        <f t="shared" si="10"/>
        <v>18114.444</v>
      </c>
      <c r="AC323" s="67">
        <f t="shared" si="11"/>
        <v>14748.35</v>
      </c>
      <c r="AD323" s="67">
        <f t="shared" si="12"/>
        <v>2359.736</v>
      </c>
      <c r="AE323" s="67">
        <f t="shared" si="13"/>
        <v>17108.086</v>
      </c>
      <c r="AF323" s="67">
        <f t="shared" si="14"/>
        <v>14401.33</v>
      </c>
      <c r="AG323" s="67">
        <f t="shared" si="15"/>
        <v>2304.2128</v>
      </c>
      <c r="AH323" s="67">
        <f t="shared" si="16"/>
        <v>16705.5428</v>
      </c>
      <c r="AI323" s="67">
        <f t="shared" si="17"/>
        <v>13880.8</v>
      </c>
      <c r="AJ323" s="68">
        <f t="shared" si="20"/>
        <v>2220.928</v>
      </c>
      <c r="AK323" s="68">
        <f t="shared" si="21"/>
        <v>16101.728</v>
      </c>
      <c r="AL323" s="70">
        <f>IFERROR(__xludf.DUMMYFUNCTION("""COMPUTED_VALUE"""),1.0)</f>
        <v>1</v>
      </c>
      <c r="AM323" s="70"/>
      <c r="AN323" s="71" t="str">
        <f>IFERROR(__xludf.DUMMYFUNCTION("""COMPUTED_VALUE""")," CP")</f>
        <v>CP</v>
      </c>
      <c r="AO323" s="71" t="str">
        <f>IFERROR(__xludf.DUMMYFUNCTION("""COMPUTED_VALUE""")," CA56")</f>
        <v>CA56</v>
      </c>
      <c r="AP323" s="71" t="str">
        <f>IFERROR(__xludf.DUMMYFUNCTION("""COMPUTED_VALUE""")," PZA")</f>
        <v>PZA</v>
      </c>
      <c r="AQ323" s="71" t="str">
        <f>IFERROR(__xludf.DUMMYFUNCTION("""COMPUTED_VALUE""")," REF")</f>
        <v>REF</v>
      </c>
      <c r="AR323" s="71" t="str">
        <f>IFERROR(__xludf.DUMMYFUNCTION("""COMPUTED_VALUE""")," CATARINA 40B21 E.1"" C.1/4")</f>
        <v>CATARINA 40B21 E.1" C.1/4</v>
      </c>
      <c r="AS323" s="71" t="str">
        <f>IFERROR(__xludf.DUMMYFUNCTION("""COMPUTED_VALUE""")," CATARINA 40B21 E.1"" C.1/4")</f>
        <v>CATARINA 40B21 E.1" C.1/4</v>
      </c>
      <c r="AT323" s="71">
        <f>IFERROR(__xludf.DUMMYFUNCTION("""COMPUTED_VALUE"""),25.0)</f>
        <v>25</v>
      </c>
      <c r="AU323" s="71"/>
      <c r="AV323" s="71"/>
      <c r="AW323" s="71"/>
      <c r="AX323" s="71"/>
      <c r="AY323" s="71">
        <f>IFERROR(__xludf.DUMMYFUNCTION("""COMPUTED_VALUE"""),201.0)</f>
        <v>201</v>
      </c>
      <c r="AZ323" s="71">
        <f>IFERROR(__xludf.DUMMYFUNCTION("""COMPUTED_VALUE"""),217.0)</f>
        <v>217</v>
      </c>
      <c r="BA323" s="71">
        <f>IFERROR(__xludf.DUMMYFUNCTION("""COMPUTED_VALUE"""),110.0)</f>
        <v>110</v>
      </c>
      <c r="BB323" s="71">
        <f>IFERROR(__xludf.DUMMYFUNCTION("""COMPUTED_VALUE"""),110.0)</f>
        <v>110</v>
      </c>
      <c r="BC323" s="71">
        <f>IFERROR(__xludf.DUMMYFUNCTION("""COMPUTED_VALUE"""),134.0)</f>
        <v>134</v>
      </c>
      <c r="BD323" s="71">
        <f>IFERROR(__xludf.DUMMYFUNCTION("""COMPUTED_VALUE"""),141.0)</f>
        <v>141</v>
      </c>
      <c r="BE323" s="71">
        <f>IFERROR(__xludf.DUMMYFUNCTION("""COMPUTED_VALUE"""),22.56)</f>
        <v>22.56</v>
      </c>
      <c r="BF323" s="71">
        <f>IFERROR(__xludf.DUMMYFUNCTION("""COMPUTED_VALUE"""),163.56)</f>
        <v>163.56</v>
      </c>
      <c r="BG323" s="71">
        <f>IFERROR(__xludf.DUMMYFUNCTION("""COMPUTED_VALUE"""),0.05223880597014925)</f>
        <v>0.05223880597</v>
      </c>
      <c r="BH323" s="71">
        <f>IFERROR(__xludf.DUMMYFUNCTION("""COMPUTED_VALUE"""),133.95)</f>
        <v>133.95</v>
      </c>
      <c r="BI323" s="71">
        <f>IFERROR(__xludf.DUMMYFUNCTION("""COMPUTED_VALUE"""),21.432)</f>
        <v>21.432</v>
      </c>
      <c r="BJ323" s="71">
        <f>IFERROR(__xludf.DUMMYFUNCTION("""COMPUTED_VALUE"""),155.38199999999998)</f>
        <v>155.382</v>
      </c>
      <c r="BK323" s="71">
        <f>IFERROR(__xludf.DUMMYFUNCTION("""COMPUTED_VALUE"""),126.9)</f>
        <v>126.9</v>
      </c>
      <c r="BL323" s="71">
        <f>IFERROR(__xludf.DUMMYFUNCTION("""COMPUTED_VALUE"""),20.304000000000002)</f>
        <v>20.304</v>
      </c>
      <c r="BM323" s="71">
        <f>IFERROR(__xludf.DUMMYFUNCTION("""COMPUTED_VALUE"""),147.204)</f>
        <v>147.204</v>
      </c>
      <c r="BN323" s="71">
        <f>IFERROR(__xludf.DUMMYFUNCTION("""COMPUTED_VALUE"""),119.85)</f>
        <v>119.85</v>
      </c>
      <c r="BO323" s="71">
        <f>IFERROR(__xludf.DUMMYFUNCTION("""COMPUTED_VALUE"""),19.176)</f>
        <v>19.176</v>
      </c>
      <c r="BP323" s="71">
        <f>IFERROR(__xludf.DUMMYFUNCTION("""COMPUTED_VALUE"""),139.02599999999998)</f>
        <v>139.026</v>
      </c>
      <c r="BQ323" s="71">
        <f>IFERROR(__xludf.DUMMYFUNCTION("""COMPUTED_VALUE"""),117.03)</f>
        <v>117.03</v>
      </c>
      <c r="BR323" s="71">
        <f>IFERROR(__xludf.DUMMYFUNCTION("""COMPUTED_VALUE"""),18.724800000000002)</f>
        <v>18.7248</v>
      </c>
      <c r="BS323" s="71">
        <f>IFERROR(__xludf.DUMMYFUNCTION("""COMPUTED_VALUE"""),135.7548)</f>
        <v>135.7548</v>
      </c>
      <c r="BT323" s="71">
        <f>IFERROR(__xludf.DUMMYFUNCTION("""COMPUTED_VALUE"""),112.80000000000001)</f>
        <v>112.8</v>
      </c>
      <c r="BU323" s="71">
        <f>IFERROR(__xludf.DUMMYFUNCTION("""COMPUTED_VALUE"""),18.048000000000002)</f>
        <v>18.048</v>
      </c>
      <c r="BV323" s="71">
        <f>IFERROR(__xludf.DUMMYFUNCTION("""COMPUTED_VALUE"""),130.848)</f>
        <v>130.848</v>
      </c>
    </row>
    <row r="324">
      <c r="A324" s="53"/>
      <c r="B324" s="53"/>
      <c r="C324" s="53" t="s">
        <v>36</v>
      </c>
      <c r="D324" s="85" t="s">
        <v>816</v>
      </c>
      <c r="E324" s="54" t="s">
        <v>38</v>
      </c>
      <c r="F324" s="55" t="s">
        <v>39</v>
      </c>
      <c r="G324" s="86" t="s">
        <v>817</v>
      </c>
      <c r="H324" s="55"/>
      <c r="I324" s="54">
        <f t="shared" si="1"/>
        <v>0</v>
      </c>
      <c r="J324" s="56"/>
      <c r="K324" s="57"/>
      <c r="L324" s="76"/>
      <c r="M324" s="59"/>
      <c r="N324" s="60"/>
      <c r="O324" s="61">
        <v>729.6</v>
      </c>
      <c r="P324" s="62">
        <v>787.9680000000001</v>
      </c>
      <c r="Q324" s="63">
        <v>787.9680000000001</v>
      </c>
      <c r="R324" s="64">
        <v>828.0</v>
      </c>
      <c r="S324" s="107">
        <v>869.0</v>
      </c>
      <c r="T324" s="65">
        <f t="shared" si="2"/>
        <v>139.04</v>
      </c>
      <c r="U324" s="65">
        <f t="shared" si="3"/>
        <v>1008.04</v>
      </c>
      <c r="V324" s="66">
        <f t="shared" si="4"/>
        <v>0.04951690821</v>
      </c>
      <c r="W324" s="67">
        <f t="shared" si="5"/>
        <v>825.55</v>
      </c>
      <c r="X324" s="67">
        <f t="shared" si="6"/>
        <v>132.088</v>
      </c>
      <c r="Y324" s="67">
        <f t="shared" si="7"/>
        <v>957.638</v>
      </c>
      <c r="Z324" s="67">
        <f t="shared" si="8"/>
        <v>782.1</v>
      </c>
      <c r="AA324" s="67">
        <f t="shared" si="9"/>
        <v>125.136</v>
      </c>
      <c r="AB324" s="67">
        <f t="shared" si="10"/>
        <v>907.236</v>
      </c>
      <c r="AC324" s="67">
        <f t="shared" si="11"/>
        <v>738.65</v>
      </c>
      <c r="AD324" s="67">
        <f t="shared" si="12"/>
        <v>118.184</v>
      </c>
      <c r="AE324" s="67">
        <f t="shared" si="13"/>
        <v>856.834</v>
      </c>
      <c r="AF324" s="67">
        <f t="shared" si="14"/>
        <v>721.27</v>
      </c>
      <c r="AG324" s="67">
        <f t="shared" si="15"/>
        <v>115.4032</v>
      </c>
      <c r="AH324" s="67">
        <f t="shared" si="16"/>
        <v>836.6732</v>
      </c>
      <c r="AI324" s="67">
        <f t="shared" si="17"/>
        <v>695.2</v>
      </c>
      <c r="AJ324" s="68">
        <f t="shared" si="20"/>
        <v>111.232</v>
      </c>
      <c r="AK324" s="68">
        <f t="shared" si="21"/>
        <v>806.432</v>
      </c>
      <c r="AL324" s="70">
        <f>IFERROR(__xludf.DUMMYFUNCTION("""COMPUTED_VALUE"""),1.0)</f>
        <v>1</v>
      </c>
      <c r="AM324" s="70"/>
      <c r="AN324" s="71" t="str">
        <f>IFERROR(__xludf.DUMMYFUNCTION("""COMPUTED_VALUE""")," C")</f>
        <v>C</v>
      </c>
      <c r="AO324" s="71" t="str">
        <f>IFERROR(__xludf.DUMMYFUNCTION("""COMPUTED_VALUE""")," CA106")</f>
        <v>CA106</v>
      </c>
      <c r="AP324" s="71" t="str">
        <f>IFERROR(__xludf.DUMMYFUNCTION("""COMPUTED_VALUE""")," PZA")</f>
        <v>PZA</v>
      </c>
      <c r="AQ324" s="71" t="str">
        <f>IFERROR(__xludf.DUMMYFUNCTION("""COMPUTED_VALUE""")," REF")</f>
        <v>REF</v>
      </c>
      <c r="AR324" s="71" t="str">
        <f>IFERROR(__xludf.DUMMYFUNCTION("""COMPUTED_VALUE""")," CATARINA 40B21 E.15/16""")</f>
        <v>CATARINA 40B21 E.15/16"</v>
      </c>
      <c r="AS324" s="71" t="str">
        <f>IFERROR(__xludf.DUMMYFUNCTION("""COMPUTED_VALUE""")," CATARINA 40B21 E.15/16""")</f>
        <v>CATARINA 40B21 E.15/16"</v>
      </c>
      <c r="AT324" s="71">
        <f>IFERROR(__xludf.DUMMYFUNCTION("""COMPUTED_VALUE"""),23.0)</f>
        <v>23</v>
      </c>
      <c r="AU324" s="71"/>
      <c r="AV324" s="71"/>
      <c r="AW324" s="71"/>
      <c r="AX324" s="71"/>
      <c r="AY324" s="71"/>
      <c r="AZ324" s="71">
        <f>IFERROR(__xludf.DUMMYFUNCTION("""COMPUTED_VALUE"""),217.0)</f>
        <v>217</v>
      </c>
      <c r="BA324" s="71">
        <f>IFERROR(__xludf.DUMMYFUNCTION("""COMPUTED_VALUE"""),110.0)</f>
        <v>110</v>
      </c>
      <c r="BB324" s="71">
        <f>IFERROR(__xludf.DUMMYFUNCTION("""COMPUTED_VALUE"""),110.0)</f>
        <v>110</v>
      </c>
      <c r="BC324" s="71">
        <f>IFERROR(__xludf.DUMMYFUNCTION("""COMPUTED_VALUE"""),119.0)</f>
        <v>119</v>
      </c>
      <c r="BD324" s="71">
        <f>IFERROR(__xludf.DUMMYFUNCTION("""COMPUTED_VALUE"""),125.0)</f>
        <v>125</v>
      </c>
      <c r="BE324" s="71">
        <f>IFERROR(__xludf.DUMMYFUNCTION("""COMPUTED_VALUE"""),20.0)</f>
        <v>20</v>
      </c>
      <c r="BF324" s="71">
        <f>IFERROR(__xludf.DUMMYFUNCTION("""COMPUTED_VALUE"""),145.0)</f>
        <v>145</v>
      </c>
      <c r="BG324" s="71">
        <f>IFERROR(__xludf.DUMMYFUNCTION("""COMPUTED_VALUE"""),0.05042016806722689)</f>
        <v>0.05042016807</v>
      </c>
      <c r="BH324" s="71">
        <f>IFERROR(__xludf.DUMMYFUNCTION("""COMPUTED_VALUE"""),118.75)</f>
        <v>118.75</v>
      </c>
      <c r="BI324" s="71">
        <f>IFERROR(__xludf.DUMMYFUNCTION("""COMPUTED_VALUE"""),19.0)</f>
        <v>19</v>
      </c>
      <c r="BJ324" s="71">
        <f>IFERROR(__xludf.DUMMYFUNCTION("""COMPUTED_VALUE"""),137.75)</f>
        <v>137.75</v>
      </c>
      <c r="BK324" s="71">
        <f>IFERROR(__xludf.DUMMYFUNCTION("""COMPUTED_VALUE"""),112.5)</f>
        <v>112.5</v>
      </c>
      <c r="BL324" s="71">
        <f>IFERROR(__xludf.DUMMYFUNCTION("""COMPUTED_VALUE"""),18.0)</f>
        <v>18</v>
      </c>
      <c r="BM324" s="71">
        <f>IFERROR(__xludf.DUMMYFUNCTION("""COMPUTED_VALUE"""),130.5)</f>
        <v>130.5</v>
      </c>
      <c r="BN324" s="71">
        <f>IFERROR(__xludf.DUMMYFUNCTION("""COMPUTED_VALUE"""),106.25)</f>
        <v>106.25</v>
      </c>
      <c r="BO324" s="71">
        <f>IFERROR(__xludf.DUMMYFUNCTION("""COMPUTED_VALUE"""),17.0)</f>
        <v>17</v>
      </c>
      <c r="BP324" s="71">
        <f>IFERROR(__xludf.DUMMYFUNCTION("""COMPUTED_VALUE"""),123.25)</f>
        <v>123.25</v>
      </c>
      <c r="BQ324" s="71">
        <f>IFERROR(__xludf.DUMMYFUNCTION("""COMPUTED_VALUE"""),103.75)</f>
        <v>103.75</v>
      </c>
      <c r="BR324" s="71">
        <f>IFERROR(__xludf.DUMMYFUNCTION("""COMPUTED_VALUE"""),16.6)</f>
        <v>16.6</v>
      </c>
      <c r="BS324" s="71">
        <f>IFERROR(__xludf.DUMMYFUNCTION("""COMPUTED_VALUE"""),120.35)</f>
        <v>120.35</v>
      </c>
      <c r="BT324" s="71">
        <f>IFERROR(__xludf.DUMMYFUNCTION("""COMPUTED_VALUE"""),100.0)</f>
        <v>100</v>
      </c>
      <c r="BU324" s="71">
        <f>IFERROR(__xludf.DUMMYFUNCTION("""COMPUTED_VALUE"""),16.0)</f>
        <v>16</v>
      </c>
      <c r="BV324" s="71">
        <f>IFERROR(__xludf.DUMMYFUNCTION("""COMPUTED_VALUE"""),116.0)</f>
        <v>116</v>
      </c>
    </row>
    <row r="325">
      <c r="A325" s="53"/>
      <c r="B325" s="53"/>
      <c r="C325" s="53" t="s">
        <v>53</v>
      </c>
      <c r="D325" s="53" t="s">
        <v>818</v>
      </c>
      <c r="E325" s="54" t="s">
        <v>38</v>
      </c>
      <c r="F325" s="54" t="s">
        <v>42</v>
      </c>
      <c r="G325" s="55" t="s">
        <v>819</v>
      </c>
      <c r="H325" s="54" t="s">
        <v>820</v>
      </c>
      <c r="I325" s="54">
        <f t="shared" si="1"/>
        <v>34</v>
      </c>
      <c r="J325" s="56"/>
      <c r="K325" s="75"/>
      <c r="L325" s="76"/>
      <c r="M325" s="59"/>
      <c r="N325" s="79">
        <v>135.0</v>
      </c>
      <c r="O325" s="61">
        <v>145.0</v>
      </c>
      <c r="P325" s="63">
        <v>156.60000000000002</v>
      </c>
      <c r="Q325" s="63">
        <v>156.60000000000002</v>
      </c>
      <c r="R325" s="64">
        <v>165.0</v>
      </c>
      <c r="S325" s="111">
        <v>173.0</v>
      </c>
      <c r="T325" s="65">
        <f t="shared" si="2"/>
        <v>27.68</v>
      </c>
      <c r="U325" s="65">
        <f t="shared" si="3"/>
        <v>200.68</v>
      </c>
      <c r="V325" s="66">
        <f t="shared" si="4"/>
        <v>0.04848484848</v>
      </c>
      <c r="W325" s="67">
        <f t="shared" si="5"/>
        <v>164.35</v>
      </c>
      <c r="X325" s="67">
        <f t="shared" si="6"/>
        <v>26.296</v>
      </c>
      <c r="Y325" s="67">
        <f t="shared" si="7"/>
        <v>190.646</v>
      </c>
      <c r="Z325" s="67">
        <f t="shared" si="8"/>
        <v>155.7</v>
      </c>
      <c r="AA325" s="67">
        <f t="shared" si="9"/>
        <v>24.912</v>
      </c>
      <c r="AB325" s="67">
        <f t="shared" si="10"/>
        <v>180.612</v>
      </c>
      <c r="AC325" s="67">
        <f t="shared" si="11"/>
        <v>147.05</v>
      </c>
      <c r="AD325" s="67">
        <f t="shared" si="12"/>
        <v>23.528</v>
      </c>
      <c r="AE325" s="67">
        <f t="shared" si="13"/>
        <v>170.578</v>
      </c>
      <c r="AF325" s="67">
        <f t="shared" si="14"/>
        <v>143.59</v>
      </c>
      <c r="AG325" s="67">
        <f t="shared" si="15"/>
        <v>22.9744</v>
      </c>
      <c r="AH325" s="67">
        <f t="shared" si="16"/>
        <v>166.5644</v>
      </c>
      <c r="AI325" s="67">
        <f t="shared" si="17"/>
        <v>138.4</v>
      </c>
      <c r="AJ325" s="68">
        <f t="shared" si="20"/>
        <v>22.144</v>
      </c>
      <c r="AK325" s="68">
        <f t="shared" si="21"/>
        <v>160.544</v>
      </c>
      <c r="AL325" s="70">
        <f>IFERROR(__xludf.DUMMYFUNCTION("""COMPUTED_VALUE"""),1.0)</f>
        <v>1</v>
      </c>
      <c r="AM325" s="70"/>
      <c r="AN325" s="71" t="str">
        <f>IFERROR(__xludf.DUMMYFUNCTION("""COMPUTED_VALUE""")," C")</f>
        <v>C</v>
      </c>
      <c r="AO325" s="71" t="str">
        <f>IFERROR(__xludf.DUMMYFUNCTION("""COMPUTED_VALUE""")," CA107")</f>
        <v>CA107</v>
      </c>
      <c r="AP325" s="71" t="str">
        <f>IFERROR(__xludf.DUMMYFUNCTION("""COMPUTED_VALUE""")," PZA")</f>
        <v>PZA</v>
      </c>
      <c r="AQ325" s="71" t="str">
        <f>IFERROR(__xludf.DUMMYFUNCTION("""COMPUTED_VALUE""")," REF")</f>
        <v>REF</v>
      </c>
      <c r="AR325" s="71" t="str">
        <f>IFERROR(__xludf.DUMMYFUNCTION("""COMPUTED_VALUE""")," CATARINA 40B21 E.25MM C.1/4")</f>
        <v>CATARINA 40B21 E.25MM C.1/4</v>
      </c>
      <c r="AS325" s="71" t="str">
        <f>IFERROR(__xludf.DUMMYFUNCTION("""COMPUTED_VALUE""")," CATARINA 40B21 E.25MM C.1/4")</f>
        <v>CATARINA 40B21 E.25MM C.1/4</v>
      </c>
      <c r="AT325" s="71">
        <f>IFERROR(__xludf.DUMMYFUNCTION("""COMPUTED_VALUE"""),27.0)</f>
        <v>27</v>
      </c>
      <c r="AU325" s="71"/>
      <c r="AV325" s="71"/>
      <c r="AW325" s="71"/>
      <c r="AX325" s="71"/>
      <c r="AY325" s="71"/>
      <c r="AZ325" s="71">
        <f>IFERROR(__xludf.DUMMYFUNCTION("""COMPUTED_VALUE"""),217.0)</f>
        <v>217</v>
      </c>
      <c r="BA325" s="71">
        <f>IFERROR(__xludf.DUMMYFUNCTION("""COMPUTED_VALUE"""),110.0)</f>
        <v>110</v>
      </c>
      <c r="BB325" s="71">
        <f>IFERROR(__xludf.DUMMYFUNCTION("""COMPUTED_VALUE"""),110.0)</f>
        <v>110</v>
      </c>
      <c r="BC325" s="71">
        <f>IFERROR(__xludf.DUMMYFUNCTION("""COMPUTED_VALUE"""),119.0)</f>
        <v>119</v>
      </c>
      <c r="BD325" s="71">
        <f>IFERROR(__xludf.DUMMYFUNCTION("""COMPUTED_VALUE"""),125.0)</f>
        <v>125</v>
      </c>
      <c r="BE325" s="71">
        <f>IFERROR(__xludf.DUMMYFUNCTION("""COMPUTED_VALUE"""),20.0)</f>
        <v>20</v>
      </c>
      <c r="BF325" s="71">
        <f>IFERROR(__xludf.DUMMYFUNCTION("""COMPUTED_VALUE"""),145.0)</f>
        <v>145</v>
      </c>
      <c r="BG325" s="71">
        <f>IFERROR(__xludf.DUMMYFUNCTION("""COMPUTED_VALUE"""),0.05042016806722689)</f>
        <v>0.05042016807</v>
      </c>
      <c r="BH325" s="71">
        <f>IFERROR(__xludf.DUMMYFUNCTION("""COMPUTED_VALUE"""),118.75)</f>
        <v>118.75</v>
      </c>
      <c r="BI325" s="71">
        <f>IFERROR(__xludf.DUMMYFUNCTION("""COMPUTED_VALUE"""),19.0)</f>
        <v>19</v>
      </c>
      <c r="BJ325" s="71">
        <f>IFERROR(__xludf.DUMMYFUNCTION("""COMPUTED_VALUE"""),137.75)</f>
        <v>137.75</v>
      </c>
      <c r="BK325" s="71">
        <f>IFERROR(__xludf.DUMMYFUNCTION("""COMPUTED_VALUE"""),112.5)</f>
        <v>112.5</v>
      </c>
      <c r="BL325" s="71">
        <f>IFERROR(__xludf.DUMMYFUNCTION("""COMPUTED_VALUE"""),18.0)</f>
        <v>18</v>
      </c>
      <c r="BM325" s="71">
        <f>IFERROR(__xludf.DUMMYFUNCTION("""COMPUTED_VALUE"""),130.5)</f>
        <v>130.5</v>
      </c>
      <c r="BN325" s="71">
        <f>IFERROR(__xludf.DUMMYFUNCTION("""COMPUTED_VALUE"""),106.25)</f>
        <v>106.25</v>
      </c>
      <c r="BO325" s="71">
        <f>IFERROR(__xludf.DUMMYFUNCTION("""COMPUTED_VALUE"""),17.0)</f>
        <v>17</v>
      </c>
      <c r="BP325" s="71">
        <f>IFERROR(__xludf.DUMMYFUNCTION("""COMPUTED_VALUE"""),123.25)</f>
        <v>123.25</v>
      </c>
      <c r="BQ325" s="71">
        <f>IFERROR(__xludf.DUMMYFUNCTION("""COMPUTED_VALUE"""),103.75)</f>
        <v>103.75</v>
      </c>
      <c r="BR325" s="71">
        <f>IFERROR(__xludf.DUMMYFUNCTION("""COMPUTED_VALUE"""),16.6)</f>
        <v>16.6</v>
      </c>
      <c r="BS325" s="71">
        <f>IFERROR(__xludf.DUMMYFUNCTION("""COMPUTED_VALUE"""),120.35)</f>
        <v>120.35</v>
      </c>
      <c r="BT325" s="71">
        <f>IFERROR(__xludf.DUMMYFUNCTION("""COMPUTED_VALUE"""),100.0)</f>
        <v>100</v>
      </c>
      <c r="BU325" s="71">
        <f>IFERROR(__xludf.DUMMYFUNCTION("""COMPUTED_VALUE"""),16.0)</f>
        <v>16</v>
      </c>
      <c r="BV325" s="71">
        <f>IFERROR(__xludf.DUMMYFUNCTION("""COMPUTED_VALUE"""),116.0)</f>
        <v>116</v>
      </c>
    </row>
    <row r="326">
      <c r="A326" s="53"/>
      <c r="B326" s="53"/>
      <c r="C326" s="73" t="s">
        <v>53</v>
      </c>
      <c r="D326" s="53" t="s">
        <v>821</v>
      </c>
      <c r="E326" s="54" t="s">
        <v>38</v>
      </c>
      <c r="F326" s="54" t="s">
        <v>42</v>
      </c>
      <c r="G326" s="55" t="s">
        <v>822</v>
      </c>
      <c r="H326" s="55" t="s">
        <v>823</v>
      </c>
      <c r="I326" s="54">
        <f t="shared" si="1"/>
        <v>39</v>
      </c>
      <c r="J326" s="56"/>
      <c r="K326" s="75"/>
      <c r="L326" s="76"/>
      <c r="M326" s="59"/>
      <c r="N326" s="60"/>
      <c r="O326" s="61">
        <v>120.0</v>
      </c>
      <c r="P326" s="62">
        <v>129.60000000000002</v>
      </c>
      <c r="Q326" s="63">
        <v>129.60000000000002</v>
      </c>
      <c r="R326" s="64">
        <v>137.0</v>
      </c>
      <c r="S326" s="111">
        <v>144.0</v>
      </c>
      <c r="T326" s="65">
        <f t="shared" si="2"/>
        <v>23.04</v>
      </c>
      <c r="U326" s="65">
        <f t="shared" si="3"/>
        <v>167.04</v>
      </c>
      <c r="V326" s="66">
        <f t="shared" si="4"/>
        <v>0.05109489051</v>
      </c>
      <c r="W326" s="67">
        <f t="shared" si="5"/>
        <v>136.8</v>
      </c>
      <c r="X326" s="67">
        <f t="shared" si="6"/>
        <v>21.888</v>
      </c>
      <c r="Y326" s="67">
        <f t="shared" si="7"/>
        <v>158.688</v>
      </c>
      <c r="Z326" s="67">
        <f t="shared" si="8"/>
        <v>129.6</v>
      </c>
      <c r="AA326" s="67">
        <f t="shared" si="9"/>
        <v>20.736</v>
      </c>
      <c r="AB326" s="67">
        <f t="shared" si="10"/>
        <v>150.336</v>
      </c>
      <c r="AC326" s="67">
        <f t="shared" si="11"/>
        <v>122.4</v>
      </c>
      <c r="AD326" s="67">
        <f t="shared" si="12"/>
        <v>19.584</v>
      </c>
      <c r="AE326" s="67">
        <f t="shared" si="13"/>
        <v>141.984</v>
      </c>
      <c r="AF326" s="67">
        <f t="shared" si="14"/>
        <v>119.52</v>
      </c>
      <c r="AG326" s="67">
        <f t="shared" si="15"/>
        <v>19.1232</v>
      </c>
      <c r="AH326" s="67">
        <f t="shared" si="16"/>
        <v>138.6432</v>
      </c>
      <c r="AI326" s="67">
        <f t="shared" si="17"/>
        <v>115.2</v>
      </c>
      <c r="AJ326" s="68">
        <f t="shared" si="20"/>
        <v>18.432</v>
      </c>
      <c r="AK326" s="68">
        <f t="shared" si="21"/>
        <v>133.632</v>
      </c>
      <c r="AL326" s="70">
        <f>IFERROR(__xludf.DUMMYFUNCTION("""COMPUTED_VALUE"""),1.0)</f>
        <v>1</v>
      </c>
      <c r="AM326" s="70"/>
      <c r="AN326" s="71" t="str">
        <f>IFERROR(__xludf.DUMMYFUNCTION("""COMPUTED_VALUE""")," CP")</f>
        <v>CP</v>
      </c>
      <c r="AO326" s="71" t="str">
        <f>IFERROR(__xludf.DUMMYFUNCTION("""COMPUTED_VALUE""")," CA94")</f>
        <v>CA94</v>
      </c>
      <c r="AP326" s="71" t="str">
        <f>IFERROR(__xludf.DUMMYFUNCTION("""COMPUTED_VALUE""")," PZA")</f>
        <v>PZA</v>
      </c>
      <c r="AQ326" s="71" t="str">
        <f>IFERROR(__xludf.DUMMYFUNCTION("""COMPUTED_VALUE""")," REF")</f>
        <v>REF</v>
      </c>
      <c r="AR326" s="71" t="str">
        <f>IFERROR(__xludf.DUMMYFUNCTION("""COMPUTED_VALUE""")," CATARINA 40B21 E.3/4""")</f>
        <v>CATARINA 40B21 E.3/4"</v>
      </c>
      <c r="AS326" s="71" t="str">
        <f>IFERROR(__xludf.DUMMYFUNCTION("""COMPUTED_VALUE""")," CATARINA 40B21 E.3/4""")</f>
        <v>CATARINA 40B21 E.3/4"</v>
      </c>
      <c r="AT326" s="71">
        <f>IFERROR(__xludf.DUMMYFUNCTION("""COMPUTED_VALUE"""),21.0)</f>
        <v>21</v>
      </c>
      <c r="AU326" s="71"/>
      <c r="AV326" s="71"/>
      <c r="AW326" s="71"/>
      <c r="AX326" s="71"/>
      <c r="AY326" s="71">
        <f>IFERROR(__xludf.DUMMYFUNCTION("""COMPUTED_VALUE"""),234.0)</f>
        <v>234</v>
      </c>
      <c r="AZ326" s="71">
        <f>IFERROR(__xludf.DUMMYFUNCTION("""COMPUTED_VALUE"""),252.0)</f>
        <v>252</v>
      </c>
      <c r="BA326" s="71">
        <f>IFERROR(__xludf.DUMMYFUNCTION("""COMPUTED_VALUE"""),110.0)</f>
        <v>110</v>
      </c>
      <c r="BB326" s="71">
        <f>IFERROR(__xludf.DUMMYFUNCTION("""COMPUTED_VALUE"""),110.0)</f>
        <v>110</v>
      </c>
      <c r="BC326" s="71">
        <f>IFERROR(__xludf.DUMMYFUNCTION("""COMPUTED_VALUE"""),119.0)</f>
        <v>119</v>
      </c>
      <c r="BD326" s="71">
        <f>IFERROR(__xludf.DUMMYFUNCTION("""COMPUTED_VALUE"""),125.0)</f>
        <v>125</v>
      </c>
      <c r="BE326" s="71">
        <f>IFERROR(__xludf.DUMMYFUNCTION("""COMPUTED_VALUE"""),20.0)</f>
        <v>20</v>
      </c>
      <c r="BF326" s="71">
        <f>IFERROR(__xludf.DUMMYFUNCTION("""COMPUTED_VALUE"""),145.0)</f>
        <v>145</v>
      </c>
      <c r="BG326" s="71">
        <f>IFERROR(__xludf.DUMMYFUNCTION("""COMPUTED_VALUE"""),0.05042016806722689)</f>
        <v>0.05042016807</v>
      </c>
      <c r="BH326" s="71">
        <f>IFERROR(__xludf.DUMMYFUNCTION("""COMPUTED_VALUE"""),118.75)</f>
        <v>118.75</v>
      </c>
      <c r="BI326" s="71">
        <f>IFERROR(__xludf.DUMMYFUNCTION("""COMPUTED_VALUE"""),19.0)</f>
        <v>19</v>
      </c>
      <c r="BJ326" s="71">
        <f>IFERROR(__xludf.DUMMYFUNCTION("""COMPUTED_VALUE"""),137.75)</f>
        <v>137.75</v>
      </c>
      <c r="BK326" s="71">
        <f>IFERROR(__xludf.DUMMYFUNCTION("""COMPUTED_VALUE"""),112.5)</f>
        <v>112.5</v>
      </c>
      <c r="BL326" s="71">
        <f>IFERROR(__xludf.DUMMYFUNCTION("""COMPUTED_VALUE"""),18.0)</f>
        <v>18</v>
      </c>
      <c r="BM326" s="71">
        <f>IFERROR(__xludf.DUMMYFUNCTION("""COMPUTED_VALUE"""),130.5)</f>
        <v>130.5</v>
      </c>
      <c r="BN326" s="71">
        <f>IFERROR(__xludf.DUMMYFUNCTION("""COMPUTED_VALUE"""),106.25)</f>
        <v>106.25</v>
      </c>
      <c r="BO326" s="71">
        <f>IFERROR(__xludf.DUMMYFUNCTION("""COMPUTED_VALUE"""),17.0)</f>
        <v>17</v>
      </c>
      <c r="BP326" s="71">
        <f>IFERROR(__xludf.DUMMYFUNCTION("""COMPUTED_VALUE"""),123.25)</f>
        <v>123.25</v>
      </c>
      <c r="BQ326" s="71">
        <f>IFERROR(__xludf.DUMMYFUNCTION("""COMPUTED_VALUE"""),103.75)</f>
        <v>103.75</v>
      </c>
      <c r="BR326" s="71">
        <f>IFERROR(__xludf.DUMMYFUNCTION("""COMPUTED_VALUE"""),16.6)</f>
        <v>16.6</v>
      </c>
      <c r="BS326" s="71">
        <f>IFERROR(__xludf.DUMMYFUNCTION("""COMPUTED_VALUE"""),120.35)</f>
        <v>120.35</v>
      </c>
      <c r="BT326" s="71">
        <f>IFERROR(__xludf.DUMMYFUNCTION("""COMPUTED_VALUE"""),100.0)</f>
        <v>100</v>
      </c>
      <c r="BU326" s="71">
        <f>IFERROR(__xludf.DUMMYFUNCTION("""COMPUTED_VALUE"""),16.0)</f>
        <v>16</v>
      </c>
      <c r="BV326" s="71">
        <f>IFERROR(__xludf.DUMMYFUNCTION("""COMPUTED_VALUE"""),116.0)</f>
        <v>116</v>
      </c>
    </row>
    <row r="327">
      <c r="A327" s="53"/>
      <c r="B327" s="53"/>
      <c r="C327" s="53" t="s">
        <v>53</v>
      </c>
      <c r="D327" s="53" t="s">
        <v>824</v>
      </c>
      <c r="E327" s="54" t="s">
        <v>38</v>
      </c>
      <c r="F327" s="55" t="s">
        <v>39</v>
      </c>
      <c r="G327" s="55" t="s">
        <v>825</v>
      </c>
      <c r="H327" s="55" t="s">
        <v>826</v>
      </c>
      <c r="I327" s="54">
        <f t="shared" si="1"/>
        <v>28</v>
      </c>
      <c r="J327" s="56"/>
      <c r="K327" s="57"/>
      <c r="L327" s="76"/>
      <c r="M327" s="59"/>
      <c r="N327" s="60"/>
      <c r="O327" s="61">
        <v>159.36</v>
      </c>
      <c r="P327" s="62">
        <v>172.10880000000003</v>
      </c>
      <c r="Q327" s="63">
        <v>172.10880000000003</v>
      </c>
      <c r="R327" s="64">
        <v>181.0</v>
      </c>
      <c r="S327" s="111">
        <v>190.0</v>
      </c>
      <c r="T327" s="65">
        <f t="shared" si="2"/>
        <v>30.4</v>
      </c>
      <c r="U327" s="65">
        <f t="shared" si="3"/>
        <v>220.4</v>
      </c>
      <c r="V327" s="66">
        <f t="shared" si="4"/>
        <v>0.04972375691</v>
      </c>
      <c r="W327" s="67">
        <f t="shared" si="5"/>
        <v>180.5</v>
      </c>
      <c r="X327" s="67">
        <f t="shared" si="6"/>
        <v>28.88</v>
      </c>
      <c r="Y327" s="67">
        <f t="shared" si="7"/>
        <v>209.38</v>
      </c>
      <c r="Z327" s="67">
        <f t="shared" si="8"/>
        <v>171</v>
      </c>
      <c r="AA327" s="67">
        <f t="shared" si="9"/>
        <v>27.36</v>
      </c>
      <c r="AB327" s="67">
        <f t="shared" si="10"/>
        <v>198.36</v>
      </c>
      <c r="AC327" s="67">
        <f t="shared" si="11"/>
        <v>161.5</v>
      </c>
      <c r="AD327" s="67">
        <f t="shared" si="12"/>
        <v>25.84</v>
      </c>
      <c r="AE327" s="67">
        <f t="shared" si="13"/>
        <v>187.34</v>
      </c>
      <c r="AF327" s="67">
        <f t="shared" si="14"/>
        <v>157.7</v>
      </c>
      <c r="AG327" s="67">
        <f t="shared" si="15"/>
        <v>25.232</v>
      </c>
      <c r="AH327" s="67">
        <f t="shared" si="16"/>
        <v>182.932</v>
      </c>
      <c r="AI327" s="67">
        <f t="shared" si="17"/>
        <v>152</v>
      </c>
      <c r="AJ327" s="68">
        <f t="shared" si="20"/>
        <v>24.32</v>
      </c>
      <c r="AK327" s="68">
        <f t="shared" si="21"/>
        <v>176.32</v>
      </c>
      <c r="AL327" s="70">
        <f>IFERROR(__xludf.DUMMYFUNCTION("""COMPUTED_VALUE"""),1.0)</f>
        <v>1</v>
      </c>
      <c r="AM327" s="70"/>
      <c r="AN327" s="71" t="str">
        <f>IFERROR(__xludf.DUMMYFUNCTION("""COMPUTED_VALUE""")," CP")</f>
        <v>CP</v>
      </c>
      <c r="AO327" s="71" t="str">
        <f>IFERROR(__xludf.DUMMYFUNCTION("""COMPUTED_VALUE""")," CA95")</f>
        <v>CA95</v>
      </c>
      <c r="AP327" s="71" t="str">
        <f>IFERROR(__xludf.DUMMYFUNCTION("""COMPUTED_VALUE""")," PZA")</f>
        <v>PZA</v>
      </c>
      <c r="AQ327" s="71" t="str">
        <f>IFERROR(__xludf.DUMMYFUNCTION("""COMPUTED_VALUE""")," REF")</f>
        <v>REF</v>
      </c>
      <c r="AR327" s="71" t="str">
        <f>IFERROR(__xludf.DUMMYFUNCTION("""COMPUTED_VALUE""")," CATARINA 40B21 E.5/8""")</f>
        <v>CATARINA 40B21 E.5/8"</v>
      </c>
      <c r="AS327" s="71" t="str">
        <f>IFERROR(__xludf.DUMMYFUNCTION("""COMPUTED_VALUE""")," CATARINA 40B21 E.5/8""")</f>
        <v>CATARINA 40B21 E.5/8"</v>
      </c>
      <c r="AT327" s="71">
        <f>IFERROR(__xludf.DUMMYFUNCTION("""COMPUTED_VALUE"""),21.0)</f>
        <v>21</v>
      </c>
      <c r="AU327" s="71"/>
      <c r="AV327" s="71"/>
      <c r="AW327" s="71"/>
      <c r="AX327" s="71"/>
      <c r="AY327" s="71">
        <f>IFERROR(__xludf.DUMMYFUNCTION("""COMPUTED_VALUE"""),234.0)</f>
        <v>234</v>
      </c>
      <c r="AZ327" s="71">
        <f>IFERROR(__xludf.DUMMYFUNCTION("""COMPUTED_VALUE"""),217.0)</f>
        <v>217</v>
      </c>
      <c r="BA327" s="71">
        <f>IFERROR(__xludf.DUMMYFUNCTION("""COMPUTED_VALUE"""),110.0)</f>
        <v>110</v>
      </c>
      <c r="BB327" s="71">
        <f>IFERROR(__xludf.DUMMYFUNCTION("""COMPUTED_VALUE"""),110.0)</f>
        <v>110</v>
      </c>
      <c r="BC327" s="71">
        <f>IFERROR(__xludf.DUMMYFUNCTION("""COMPUTED_VALUE"""),119.0)</f>
        <v>119</v>
      </c>
      <c r="BD327" s="71">
        <f>IFERROR(__xludf.DUMMYFUNCTION("""COMPUTED_VALUE"""),125.0)</f>
        <v>125</v>
      </c>
      <c r="BE327" s="71">
        <f>IFERROR(__xludf.DUMMYFUNCTION("""COMPUTED_VALUE"""),20.0)</f>
        <v>20</v>
      </c>
      <c r="BF327" s="71">
        <f>IFERROR(__xludf.DUMMYFUNCTION("""COMPUTED_VALUE"""),145.0)</f>
        <v>145</v>
      </c>
      <c r="BG327" s="71">
        <f>IFERROR(__xludf.DUMMYFUNCTION("""COMPUTED_VALUE"""),0.05042016806722689)</f>
        <v>0.05042016807</v>
      </c>
      <c r="BH327" s="71">
        <f>IFERROR(__xludf.DUMMYFUNCTION("""COMPUTED_VALUE"""),118.75)</f>
        <v>118.75</v>
      </c>
      <c r="BI327" s="71">
        <f>IFERROR(__xludf.DUMMYFUNCTION("""COMPUTED_VALUE"""),19.0)</f>
        <v>19</v>
      </c>
      <c r="BJ327" s="71">
        <f>IFERROR(__xludf.DUMMYFUNCTION("""COMPUTED_VALUE"""),137.75)</f>
        <v>137.75</v>
      </c>
      <c r="BK327" s="71">
        <f>IFERROR(__xludf.DUMMYFUNCTION("""COMPUTED_VALUE"""),112.5)</f>
        <v>112.5</v>
      </c>
      <c r="BL327" s="71">
        <f>IFERROR(__xludf.DUMMYFUNCTION("""COMPUTED_VALUE"""),18.0)</f>
        <v>18</v>
      </c>
      <c r="BM327" s="71">
        <f>IFERROR(__xludf.DUMMYFUNCTION("""COMPUTED_VALUE"""),130.5)</f>
        <v>130.5</v>
      </c>
      <c r="BN327" s="71">
        <f>IFERROR(__xludf.DUMMYFUNCTION("""COMPUTED_VALUE"""),106.25)</f>
        <v>106.25</v>
      </c>
      <c r="BO327" s="71">
        <f>IFERROR(__xludf.DUMMYFUNCTION("""COMPUTED_VALUE"""),17.0)</f>
        <v>17</v>
      </c>
      <c r="BP327" s="71">
        <f>IFERROR(__xludf.DUMMYFUNCTION("""COMPUTED_VALUE"""),123.25)</f>
        <v>123.25</v>
      </c>
      <c r="BQ327" s="71">
        <f>IFERROR(__xludf.DUMMYFUNCTION("""COMPUTED_VALUE"""),103.75)</f>
        <v>103.75</v>
      </c>
      <c r="BR327" s="71">
        <f>IFERROR(__xludf.DUMMYFUNCTION("""COMPUTED_VALUE"""),16.6)</f>
        <v>16.6</v>
      </c>
      <c r="BS327" s="71">
        <f>IFERROR(__xludf.DUMMYFUNCTION("""COMPUTED_VALUE"""),120.35)</f>
        <v>120.35</v>
      </c>
      <c r="BT327" s="71">
        <f>IFERROR(__xludf.DUMMYFUNCTION("""COMPUTED_VALUE"""),100.0)</f>
        <v>100</v>
      </c>
      <c r="BU327" s="71">
        <f>IFERROR(__xludf.DUMMYFUNCTION("""COMPUTED_VALUE"""),16.0)</f>
        <v>16</v>
      </c>
      <c r="BV327" s="71">
        <f>IFERROR(__xludf.DUMMYFUNCTION("""COMPUTED_VALUE"""),116.0)</f>
        <v>116</v>
      </c>
    </row>
    <row r="328">
      <c r="A328" s="53">
        <v>1.0</v>
      </c>
      <c r="B328" s="72"/>
      <c r="C328" s="73" t="s">
        <v>53</v>
      </c>
      <c r="D328" s="74" t="s">
        <v>827</v>
      </c>
      <c r="E328" s="55" t="s">
        <v>38</v>
      </c>
      <c r="F328" s="54" t="s">
        <v>42</v>
      </c>
      <c r="G328" s="55" t="s">
        <v>828</v>
      </c>
      <c r="H328" s="54" t="s">
        <v>829</v>
      </c>
      <c r="I328" s="54">
        <f t="shared" si="1"/>
        <v>34</v>
      </c>
      <c r="J328" s="56"/>
      <c r="K328" s="75"/>
      <c r="L328" s="76"/>
      <c r="M328" s="59"/>
      <c r="N328" s="60">
        <v>135.0</v>
      </c>
      <c r="O328" s="61">
        <v>145.0</v>
      </c>
      <c r="P328" s="62">
        <v>156.60000000000002</v>
      </c>
      <c r="Q328" s="63">
        <v>156.60000000000002</v>
      </c>
      <c r="R328" s="64">
        <v>175.0</v>
      </c>
      <c r="S328" s="111">
        <v>184.0</v>
      </c>
      <c r="T328" s="65">
        <f t="shared" si="2"/>
        <v>29.44</v>
      </c>
      <c r="U328" s="65">
        <f t="shared" si="3"/>
        <v>213.44</v>
      </c>
      <c r="V328" s="66">
        <f t="shared" si="4"/>
        <v>0.05142857143</v>
      </c>
      <c r="W328" s="67">
        <f t="shared" si="5"/>
        <v>174.8</v>
      </c>
      <c r="X328" s="67">
        <f t="shared" si="6"/>
        <v>27.968</v>
      </c>
      <c r="Y328" s="67">
        <f t="shared" si="7"/>
        <v>202.768</v>
      </c>
      <c r="Z328" s="67">
        <f t="shared" si="8"/>
        <v>165.6</v>
      </c>
      <c r="AA328" s="67">
        <f t="shared" si="9"/>
        <v>26.496</v>
      </c>
      <c r="AB328" s="67">
        <f t="shared" si="10"/>
        <v>192.096</v>
      </c>
      <c r="AC328" s="67">
        <f t="shared" si="11"/>
        <v>156.4</v>
      </c>
      <c r="AD328" s="67">
        <f t="shared" si="12"/>
        <v>25.024</v>
      </c>
      <c r="AE328" s="67">
        <f t="shared" si="13"/>
        <v>181.424</v>
      </c>
      <c r="AF328" s="67">
        <f t="shared" si="14"/>
        <v>152.72</v>
      </c>
      <c r="AG328" s="67">
        <f t="shared" si="15"/>
        <v>24.4352</v>
      </c>
      <c r="AH328" s="67">
        <f t="shared" si="16"/>
        <v>177.1552</v>
      </c>
      <c r="AI328" s="67">
        <f t="shared" si="17"/>
        <v>147.2</v>
      </c>
      <c r="AJ328" s="68">
        <f t="shared" si="20"/>
        <v>23.552</v>
      </c>
      <c r="AK328" s="68">
        <f t="shared" si="21"/>
        <v>170.752</v>
      </c>
      <c r="AL328" s="70">
        <f>IFERROR(__xludf.DUMMYFUNCTION("""COMPUTED_VALUE"""),1.0)</f>
        <v>1</v>
      </c>
      <c r="AM328" s="70"/>
      <c r="AN328" s="71" t="str">
        <f>IFERROR(__xludf.DUMMYFUNCTION("""COMPUTED_VALUE""")," C")</f>
        <v>C</v>
      </c>
      <c r="AO328" s="71" t="str">
        <f>IFERROR(__xludf.DUMMYFUNCTION("""COMPUTED_VALUE""")," CA109")</f>
        <v>CA109</v>
      </c>
      <c r="AP328" s="71" t="str">
        <f>IFERROR(__xludf.DUMMYFUNCTION("""COMPUTED_VALUE""")," PZA")</f>
        <v>PZA</v>
      </c>
      <c r="AQ328" s="71" t="str">
        <f>IFERROR(__xludf.DUMMYFUNCTION("""COMPUTED_VALUE""")," REF")</f>
        <v>REF</v>
      </c>
      <c r="AR328" s="71" t="str">
        <f>IFERROR(__xludf.DUMMYFUNCTION("""COMPUTED_VALUE""")," CATARINA 40B21 E.7/8""")</f>
        <v>CATARINA 40B21 E.7/8"</v>
      </c>
      <c r="AS328" s="71" t="str">
        <f>IFERROR(__xludf.DUMMYFUNCTION("""COMPUTED_VALUE""")," CATARINA 40B21 E.7/8""")</f>
        <v>CATARINA 40B21 E.7/8"</v>
      </c>
      <c r="AT328" s="71">
        <f>IFERROR(__xludf.DUMMYFUNCTION("""COMPUTED_VALUE"""),21.0)</f>
        <v>21</v>
      </c>
      <c r="AU328" s="71"/>
      <c r="AV328" s="71"/>
      <c r="AW328" s="71"/>
      <c r="AX328" s="71"/>
      <c r="AY328" s="71"/>
      <c r="AZ328" s="71">
        <f>IFERROR(__xludf.DUMMYFUNCTION("""COMPUTED_VALUE"""),217.0)</f>
        <v>217</v>
      </c>
      <c r="BA328" s="71">
        <f>IFERROR(__xludf.DUMMYFUNCTION("""COMPUTED_VALUE"""),110.0)</f>
        <v>110</v>
      </c>
      <c r="BB328" s="71">
        <f>IFERROR(__xludf.DUMMYFUNCTION("""COMPUTED_VALUE"""),110.0)</f>
        <v>110</v>
      </c>
      <c r="BC328" s="71">
        <f>IFERROR(__xludf.DUMMYFUNCTION("""COMPUTED_VALUE"""),119.0)</f>
        <v>119</v>
      </c>
      <c r="BD328" s="71">
        <f>IFERROR(__xludf.DUMMYFUNCTION("""COMPUTED_VALUE"""),125.0)</f>
        <v>125</v>
      </c>
      <c r="BE328" s="71">
        <f>IFERROR(__xludf.DUMMYFUNCTION("""COMPUTED_VALUE"""),20.0)</f>
        <v>20</v>
      </c>
      <c r="BF328" s="71">
        <f>IFERROR(__xludf.DUMMYFUNCTION("""COMPUTED_VALUE"""),145.0)</f>
        <v>145</v>
      </c>
      <c r="BG328" s="71">
        <f>IFERROR(__xludf.DUMMYFUNCTION("""COMPUTED_VALUE"""),0.05042016806722689)</f>
        <v>0.05042016807</v>
      </c>
      <c r="BH328" s="71">
        <f>IFERROR(__xludf.DUMMYFUNCTION("""COMPUTED_VALUE"""),118.75)</f>
        <v>118.75</v>
      </c>
      <c r="BI328" s="71">
        <f>IFERROR(__xludf.DUMMYFUNCTION("""COMPUTED_VALUE"""),19.0)</f>
        <v>19</v>
      </c>
      <c r="BJ328" s="71">
        <f>IFERROR(__xludf.DUMMYFUNCTION("""COMPUTED_VALUE"""),137.75)</f>
        <v>137.75</v>
      </c>
      <c r="BK328" s="71">
        <f>IFERROR(__xludf.DUMMYFUNCTION("""COMPUTED_VALUE"""),112.5)</f>
        <v>112.5</v>
      </c>
      <c r="BL328" s="71">
        <f>IFERROR(__xludf.DUMMYFUNCTION("""COMPUTED_VALUE"""),18.0)</f>
        <v>18</v>
      </c>
      <c r="BM328" s="71">
        <f>IFERROR(__xludf.DUMMYFUNCTION("""COMPUTED_VALUE"""),130.5)</f>
        <v>130.5</v>
      </c>
      <c r="BN328" s="71">
        <f>IFERROR(__xludf.DUMMYFUNCTION("""COMPUTED_VALUE"""),106.25)</f>
        <v>106.25</v>
      </c>
      <c r="BO328" s="71">
        <f>IFERROR(__xludf.DUMMYFUNCTION("""COMPUTED_VALUE"""),17.0)</f>
        <v>17</v>
      </c>
      <c r="BP328" s="71">
        <f>IFERROR(__xludf.DUMMYFUNCTION("""COMPUTED_VALUE"""),123.25)</f>
        <v>123.25</v>
      </c>
      <c r="BQ328" s="71">
        <f>IFERROR(__xludf.DUMMYFUNCTION("""COMPUTED_VALUE"""),103.75)</f>
        <v>103.75</v>
      </c>
      <c r="BR328" s="71">
        <f>IFERROR(__xludf.DUMMYFUNCTION("""COMPUTED_VALUE"""),16.6)</f>
        <v>16.6</v>
      </c>
      <c r="BS328" s="71">
        <f>IFERROR(__xludf.DUMMYFUNCTION("""COMPUTED_VALUE"""),120.35)</f>
        <v>120.35</v>
      </c>
      <c r="BT328" s="71">
        <f>IFERROR(__xludf.DUMMYFUNCTION("""COMPUTED_VALUE"""),100.0)</f>
        <v>100</v>
      </c>
      <c r="BU328" s="71">
        <f>IFERROR(__xludf.DUMMYFUNCTION("""COMPUTED_VALUE"""),16.0)</f>
        <v>16</v>
      </c>
      <c r="BV328" s="71">
        <f>IFERROR(__xludf.DUMMYFUNCTION("""COMPUTED_VALUE"""),116.0)</f>
        <v>116</v>
      </c>
    </row>
    <row r="329">
      <c r="A329" s="53">
        <v>1.0</v>
      </c>
      <c r="B329" s="72"/>
      <c r="C329" s="73" t="s">
        <v>53</v>
      </c>
      <c r="D329" s="74" t="s">
        <v>830</v>
      </c>
      <c r="E329" s="54" t="s">
        <v>38</v>
      </c>
      <c r="F329" s="54" t="s">
        <v>42</v>
      </c>
      <c r="G329" s="88" t="s">
        <v>831</v>
      </c>
      <c r="H329" s="54" t="s">
        <v>832</v>
      </c>
      <c r="I329" s="54">
        <f t="shared" si="1"/>
        <v>39</v>
      </c>
      <c r="J329" s="56"/>
      <c r="K329" s="75"/>
      <c r="L329" s="76"/>
      <c r="M329" s="59"/>
      <c r="N329" s="60">
        <v>93.0</v>
      </c>
      <c r="O329" s="61">
        <v>100.0</v>
      </c>
      <c r="P329" s="62">
        <v>108.0</v>
      </c>
      <c r="Q329" s="63">
        <v>108.0</v>
      </c>
      <c r="R329" s="64">
        <v>121.0</v>
      </c>
      <c r="S329" s="111">
        <v>127.0</v>
      </c>
      <c r="T329" s="65">
        <f t="shared" si="2"/>
        <v>20.32</v>
      </c>
      <c r="U329" s="65">
        <f t="shared" si="3"/>
        <v>147.32</v>
      </c>
      <c r="V329" s="66">
        <f t="shared" si="4"/>
        <v>0.04958677686</v>
      </c>
      <c r="W329" s="67">
        <f t="shared" si="5"/>
        <v>120.65</v>
      </c>
      <c r="X329" s="67">
        <f t="shared" si="6"/>
        <v>19.304</v>
      </c>
      <c r="Y329" s="67">
        <f t="shared" si="7"/>
        <v>139.954</v>
      </c>
      <c r="Z329" s="67">
        <f t="shared" si="8"/>
        <v>114.3</v>
      </c>
      <c r="AA329" s="67">
        <f t="shared" si="9"/>
        <v>18.288</v>
      </c>
      <c r="AB329" s="67">
        <f t="shared" si="10"/>
        <v>132.588</v>
      </c>
      <c r="AC329" s="67">
        <f t="shared" si="11"/>
        <v>107.95</v>
      </c>
      <c r="AD329" s="67">
        <f t="shared" si="12"/>
        <v>17.272</v>
      </c>
      <c r="AE329" s="67">
        <f t="shared" si="13"/>
        <v>125.222</v>
      </c>
      <c r="AF329" s="67">
        <f t="shared" si="14"/>
        <v>105.41</v>
      </c>
      <c r="AG329" s="67">
        <f t="shared" si="15"/>
        <v>16.8656</v>
      </c>
      <c r="AH329" s="67">
        <f t="shared" si="16"/>
        <v>122.2756</v>
      </c>
      <c r="AI329" s="67">
        <f t="shared" si="17"/>
        <v>101.6</v>
      </c>
      <c r="AJ329" s="68">
        <f t="shared" si="20"/>
        <v>16.256</v>
      </c>
      <c r="AK329" s="68">
        <f t="shared" si="21"/>
        <v>117.856</v>
      </c>
      <c r="AL329" s="70">
        <f>IFERROR(__xludf.DUMMYFUNCTION("""COMPUTED_VALUE"""),1.0)</f>
        <v>1</v>
      </c>
      <c r="AM329" s="70"/>
      <c r="AN329" s="71" t="str">
        <f>IFERROR(__xludf.DUMMYFUNCTION("""COMPUTED_VALUE""")," C")</f>
        <v>C</v>
      </c>
      <c r="AO329" s="71" t="str">
        <f>IFERROR(__xludf.DUMMYFUNCTION("""COMPUTED_VALUE""")," CA184")</f>
        <v>CA184</v>
      </c>
      <c r="AP329" s="71" t="str">
        <f>IFERROR(__xludf.DUMMYFUNCTION("""COMPUTED_VALUE""")," PZA")</f>
        <v>PZA</v>
      </c>
      <c r="AQ329" s="71" t="str">
        <f>IFERROR(__xludf.DUMMYFUNCTION("""COMPUTED_VALUE""")," REF")</f>
        <v>REF</v>
      </c>
      <c r="AR329" s="71" t="str">
        <f>IFERROR(__xludf.DUMMYFUNCTION("""COMPUTED_VALUE""")," CATARINA 40B23 E.1-1/8"" C.1/4")</f>
        <v>CATARINA 40B23 E.1-1/8" C.1/4</v>
      </c>
      <c r="AS329" s="71" t="str">
        <f>IFERROR(__xludf.DUMMYFUNCTION("""COMPUTED_VALUE""")," CATARINA 40B23 E.1-1/8"" C.1/4")</f>
        <v>CATARINA 40B23 E.1-1/8" C.1/4</v>
      </c>
      <c r="AT329" s="71">
        <f>IFERROR(__xludf.DUMMYFUNCTION("""COMPUTED_VALUE"""),29.0)</f>
        <v>29</v>
      </c>
      <c r="AU329" s="71"/>
      <c r="AV329" s="71"/>
      <c r="AW329" s="71"/>
      <c r="AX329" s="71"/>
      <c r="AY329" s="71">
        <f>IFERROR(__xludf.DUMMYFUNCTION("""COMPUTED_VALUE"""),209.0)</f>
        <v>209</v>
      </c>
      <c r="AZ329" s="71">
        <f>IFERROR(__xludf.DUMMYFUNCTION("""COMPUTED_VALUE"""),225.0)</f>
        <v>225</v>
      </c>
      <c r="BA329" s="71">
        <f>IFERROR(__xludf.DUMMYFUNCTION("""COMPUTED_VALUE"""),125.0)</f>
        <v>125</v>
      </c>
      <c r="BB329" s="71">
        <f>IFERROR(__xludf.DUMMYFUNCTION("""COMPUTED_VALUE"""),125.0)</f>
        <v>125</v>
      </c>
      <c r="BC329" s="71">
        <f>IFERROR(__xludf.DUMMYFUNCTION("""COMPUTED_VALUE"""),135.0)</f>
        <v>135</v>
      </c>
      <c r="BD329" s="71">
        <f>IFERROR(__xludf.DUMMYFUNCTION("""COMPUTED_VALUE"""),142.0)</f>
        <v>142</v>
      </c>
      <c r="BE329" s="71">
        <f>IFERROR(__xludf.DUMMYFUNCTION("""COMPUTED_VALUE"""),22.72)</f>
        <v>22.72</v>
      </c>
      <c r="BF329" s="71">
        <f>IFERROR(__xludf.DUMMYFUNCTION("""COMPUTED_VALUE"""),164.72)</f>
        <v>164.72</v>
      </c>
      <c r="BG329" s="71">
        <f>IFERROR(__xludf.DUMMYFUNCTION("""COMPUTED_VALUE"""),0.05185185185185185)</f>
        <v>0.05185185185</v>
      </c>
      <c r="BH329" s="71">
        <f>IFERROR(__xludf.DUMMYFUNCTION("""COMPUTED_VALUE"""),134.9)</f>
        <v>134.9</v>
      </c>
      <c r="BI329" s="71">
        <f>IFERROR(__xludf.DUMMYFUNCTION("""COMPUTED_VALUE"""),21.584)</f>
        <v>21.584</v>
      </c>
      <c r="BJ329" s="71">
        <f>IFERROR(__xludf.DUMMYFUNCTION("""COMPUTED_VALUE"""),156.484)</f>
        <v>156.484</v>
      </c>
      <c r="BK329" s="71">
        <f>IFERROR(__xludf.DUMMYFUNCTION("""COMPUTED_VALUE"""),127.8)</f>
        <v>127.8</v>
      </c>
      <c r="BL329" s="71">
        <f>IFERROR(__xludf.DUMMYFUNCTION("""COMPUTED_VALUE"""),20.448)</f>
        <v>20.448</v>
      </c>
      <c r="BM329" s="71">
        <f>IFERROR(__xludf.DUMMYFUNCTION("""COMPUTED_VALUE"""),148.248)</f>
        <v>148.248</v>
      </c>
      <c r="BN329" s="71">
        <f>IFERROR(__xludf.DUMMYFUNCTION("""COMPUTED_VALUE"""),120.7)</f>
        <v>120.7</v>
      </c>
      <c r="BO329" s="71">
        <f>IFERROR(__xludf.DUMMYFUNCTION("""COMPUTED_VALUE"""),19.312)</f>
        <v>19.312</v>
      </c>
      <c r="BP329" s="71">
        <f>IFERROR(__xludf.DUMMYFUNCTION("""COMPUTED_VALUE"""),140.012)</f>
        <v>140.012</v>
      </c>
      <c r="BQ329" s="71">
        <f>IFERROR(__xludf.DUMMYFUNCTION("""COMPUTED_VALUE"""),117.86)</f>
        <v>117.86</v>
      </c>
      <c r="BR329" s="71">
        <f>IFERROR(__xludf.DUMMYFUNCTION("""COMPUTED_VALUE"""),18.8576)</f>
        <v>18.8576</v>
      </c>
      <c r="BS329" s="71">
        <f>IFERROR(__xludf.DUMMYFUNCTION("""COMPUTED_VALUE"""),136.7176)</f>
        <v>136.7176</v>
      </c>
      <c r="BT329" s="71">
        <f>IFERROR(__xludf.DUMMYFUNCTION("""COMPUTED_VALUE"""),113.60000000000001)</f>
        <v>113.6</v>
      </c>
      <c r="BU329" s="71">
        <f>IFERROR(__xludf.DUMMYFUNCTION("""COMPUTED_VALUE"""),18.176000000000002)</f>
        <v>18.176</v>
      </c>
      <c r="BV329" s="71">
        <f>IFERROR(__xludf.DUMMYFUNCTION("""COMPUTED_VALUE"""),131.776)</f>
        <v>131.776</v>
      </c>
    </row>
    <row r="330">
      <c r="A330" s="53">
        <v>1.0</v>
      </c>
      <c r="B330" s="72"/>
      <c r="C330" s="73" t="s">
        <v>53</v>
      </c>
      <c r="D330" s="74" t="s">
        <v>833</v>
      </c>
      <c r="E330" s="54" t="s">
        <v>38</v>
      </c>
      <c r="F330" s="54" t="s">
        <v>42</v>
      </c>
      <c r="G330" s="88" t="s">
        <v>834</v>
      </c>
      <c r="H330" s="54" t="s">
        <v>835</v>
      </c>
      <c r="I330" s="54">
        <f t="shared" si="1"/>
        <v>34</v>
      </c>
      <c r="J330" s="56"/>
      <c r="K330" s="75"/>
      <c r="L330" s="76"/>
      <c r="M330" s="59"/>
      <c r="N330" s="60">
        <v>93.0</v>
      </c>
      <c r="O330" s="61">
        <v>100.0</v>
      </c>
      <c r="P330" s="62">
        <v>108.0</v>
      </c>
      <c r="Q330" s="63">
        <v>108.0</v>
      </c>
      <c r="R330" s="64">
        <v>121.0</v>
      </c>
      <c r="S330" s="111">
        <v>127.0</v>
      </c>
      <c r="T330" s="65">
        <f t="shared" si="2"/>
        <v>20.32</v>
      </c>
      <c r="U330" s="65">
        <f t="shared" si="3"/>
        <v>147.32</v>
      </c>
      <c r="V330" s="66">
        <f t="shared" si="4"/>
        <v>0.04958677686</v>
      </c>
      <c r="W330" s="67">
        <f t="shared" si="5"/>
        <v>120.65</v>
      </c>
      <c r="X330" s="67">
        <f t="shared" si="6"/>
        <v>19.304</v>
      </c>
      <c r="Y330" s="67">
        <f t="shared" si="7"/>
        <v>139.954</v>
      </c>
      <c r="Z330" s="67">
        <f t="shared" si="8"/>
        <v>114.3</v>
      </c>
      <c r="AA330" s="67">
        <f t="shared" si="9"/>
        <v>18.288</v>
      </c>
      <c r="AB330" s="67">
        <f t="shared" si="10"/>
        <v>132.588</v>
      </c>
      <c r="AC330" s="67">
        <f t="shared" si="11"/>
        <v>107.95</v>
      </c>
      <c r="AD330" s="67">
        <f t="shared" si="12"/>
        <v>17.272</v>
      </c>
      <c r="AE330" s="67">
        <f t="shared" si="13"/>
        <v>125.222</v>
      </c>
      <c r="AF330" s="67">
        <f t="shared" si="14"/>
        <v>105.41</v>
      </c>
      <c r="AG330" s="67">
        <f t="shared" si="15"/>
        <v>16.8656</v>
      </c>
      <c r="AH330" s="67">
        <f t="shared" si="16"/>
        <v>122.2756</v>
      </c>
      <c r="AI330" s="67">
        <f t="shared" si="17"/>
        <v>101.6</v>
      </c>
      <c r="AJ330" s="68">
        <f t="shared" si="20"/>
        <v>16.256</v>
      </c>
      <c r="AK330" s="68">
        <f t="shared" si="21"/>
        <v>117.856</v>
      </c>
      <c r="AL330" s="70">
        <f>IFERROR(__xludf.DUMMYFUNCTION("""COMPUTED_VALUE"""),1.0)</f>
        <v>1</v>
      </c>
      <c r="AM330" s="70"/>
      <c r="AN330" s="71" t="str">
        <f>IFERROR(__xludf.DUMMYFUNCTION("""COMPUTED_VALUE""")," CP")</f>
        <v>CP</v>
      </c>
      <c r="AO330" s="71" t="str">
        <f>IFERROR(__xludf.DUMMYFUNCTION("""COMPUTED_VALUE""")," CA63")</f>
        <v>CA63</v>
      </c>
      <c r="AP330" s="71" t="str">
        <f>IFERROR(__xludf.DUMMYFUNCTION("""COMPUTED_VALUE""")," PZA")</f>
        <v>PZA</v>
      </c>
      <c r="AQ330" s="71" t="str">
        <f>IFERROR(__xludf.DUMMYFUNCTION("""COMPUTED_VALUE""")," REF")</f>
        <v>REF</v>
      </c>
      <c r="AR330" s="71" t="str">
        <f>IFERROR(__xludf.DUMMYFUNCTION("""COMPUTED_VALUE""")," CATARINA 40B23 E.1"" C.1/4")</f>
        <v>CATARINA 40B23 E.1" C.1/4</v>
      </c>
      <c r="AS330" s="71" t="str">
        <f>IFERROR(__xludf.DUMMYFUNCTION("""COMPUTED_VALUE""")," CATARINA 40B23 E.1"" C.1/4")</f>
        <v>CATARINA 40B23 E.1" C.1/4</v>
      </c>
      <c r="AT330" s="71">
        <f>IFERROR(__xludf.DUMMYFUNCTION("""COMPUTED_VALUE"""),25.0)</f>
        <v>25</v>
      </c>
      <c r="AU330" s="71"/>
      <c r="AV330" s="71"/>
      <c r="AW330" s="71"/>
      <c r="AX330" s="71"/>
      <c r="AY330" s="71">
        <f>IFERROR(__xludf.DUMMYFUNCTION("""COMPUTED_VALUE"""),209.0)</f>
        <v>209</v>
      </c>
      <c r="AZ330" s="71">
        <f>IFERROR(__xludf.DUMMYFUNCTION("""COMPUTED_VALUE"""),229.0)</f>
        <v>229</v>
      </c>
      <c r="BA330" s="71">
        <f>IFERROR(__xludf.DUMMYFUNCTION("""COMPUTED_VALUE"""),125.0)</f>
        <v>125</v>
      </c>
      <c r="BB330" s="71">
        <f>IFERROR(__xludf.DUMMYFUNCTION("""COMPUTED_VALUE"""),125.0)</f>
        <v>125</v>
      </c>
      <c r="BC330" s="71">
        <f>IFERROR(__xludf.DUMMYFUNCTION("""COMPUTED_VALUE"""),150.0)</f>
        <v>150</v>
      </c>
      <c r="BD330" s="71">
        <f>IFERROR(__xludf.DUMMYFUNCTION("""COMPUTED_VALUE"""),158.0)</f>
        <v>158</v>
      </c>
      <c r="BE330" s="71">
        <f>IFERROR(__xludf.DUMMYFUNCTION("""COMPUTED_VALUE"""),25.28)</f>
        <v>25.28</v>
      </c>
      <c r="BF330" s="71">
        <f>IFERROR(__xludf.DUMMYFUNCTION("""COMPUTED_VALUE"""),183.28)</f>
        <v>183.28</v>
      </c>
      <c r="BG330" s="71">
        <f>IFERROR(__xludf.DUMMYFUNCTION("""COMPUTED_VALUE"""),0.05333333333333334)</f>
        <v>0.05333333333</v>
      </c>
      <c r="BH330" s="71">
        <f>IFERROR(__xludf.DUMMYFUNCTION("""COMPUTED_VALUE"""),150.1)</f>
        <v>150.1</v>
      </c>
      <c r="BI330" s="71">
        <f>IFERROR(__xludf.DUMMYFUNCTION("""COMPUTED_VALUE"""),24.016)</f>
        <v>24.016</v>
      </c>
      <c r="BJ330" s="71">
        <f>IFERROR(__xludf.DUMMYFUNCTION("""COMPUTED_VALUE"""),174.11599999999999)</f>
        <v>174.116</v>
      </c>
      <c r="BK330" s="71">
        <f>IFERROR(__xludf.DUMMYFUNCTION("""COMPUTED_VALUE"""),142.20000000000002)</f>
        <v>142.2</v>
      </c>
      <c r="BL330" s="71">
        <f>IFERROR(__xludf.DUMMYFUNCTION("""COMPUTED_VALUE"""),22.752000000000002)</f>
        <v>22.752</v>
      </c>
      <c r="BM330" s="71">
        <f>IFERROR(__xludf.DUMMYFUNCTION("""COMPUTED_VALUE"""),164.95200000000003)</f>
        <v>164.952</v>
      </c>
      <c r="BN330" s="71">
        <f>IFERROR(__xludf.DUMMYFUNCTION("""COMPUTED_VALUE"""),134.29999999999998)</f>
        <v>134.3</v>
      </c>
      <c r="BO330" s="71">
        <f>IFERROR(__xludf.DUMMYFUNCTION("""COMPUTED_VALUE"""),21.487999999999996)</f>
        <v>21.488</v>
      </c>
      <c r="BP330" s="71">
        <f>IFERROR(__xludf.DUMMYFUNCTION("""COMPUTED_VALUE"""),155.78799999999998)</f>
        <v>155.788</v>
      </c>
      <c r="BQ330" s="71">
        <f>IFERROR(__xludf.DUMMYFUNCTION("""COMPUTED_VALUE"""),131.14)</f>
        <v>131.14</v>
      </c>
      <c r="BR330" s="71">
        <f>IFERROR(__xludf.DUMMYFUNCTION("""COMPUTED_VALUE"""),20.9824)</f>
        <v>20.9824</v>
      </c>
      <c r="BS330" s="71">
        <f>IFERROR(__xludf.DUMMYFUNCTION("""COMPUTED_VALUE"""),152.12239999999997)</f>
        <v>152.1224</v>
      </c>
      <c r="BT330" s="71">
        <f>IFERROR(__xludf.DUMMYFUNCTION("""COMPUTED_VALUE"""),126.4)</f>
        <v>126.4</v>
      </c>
      <c r="BU330" s="71">
        <f>IFERROR(__xludf.DUMMYFUNCTION("""COMPUTED_VALUE"""),20.224)</f>
        <v>20.224</v>
      </c>
      <c r="BV330" s="71">
        <f>IFERROR(__xludf.DUMMYFUNCTION("""COMPUTED_VALUE"""),146.624)</f>
        <v>146.624</v>
      </c>
    </row>
    <row r="331">
      <c r="A331" s="53"/>
      <c r="B331" s="53"/>
      <c r="C331" s="53" t="s">
        <v>36</v>
      </c>
      <c r="D331" s="85" t="s">
        <v>836</v>
      </c>
      <c r="E331" s="54" t="s">
        <v>38</v>
      </c>
      <c r="F331" s="55" t="s">
        <v>39</v>
      </c>
      <c r="G331" s="86" t="s">
        <v>837</v>
      </c>
      <c r="H331" s="55"/>
      <c r="I331" s="54">
        <f t="shared" si="1"/>
        <v>0</v>
      </c>
      <c r="J331" s="56"/>
      <c r="K331" s="57"/>
      <c r="L331" s="76"/>
      <c r="M331" s="59"/>
      <c r="N331" s="60"/>
      <c r="O331" s="61">
        <v>159.36</v>
      </c>
      <c r="P331" s="62">
        <v>172.10880000000003</v>
      </c>
      <c r="Q331" s="63">
        <v>172.10880000000003</v>
      </c>
      <c r="R331" s="64">
        <v>181.0</v>
      </c>
      <c r="S331" s="107">
        <v>190.0</v>
      </c>
      <c r="T331" s="65">
        <f t="shared" si="2"/>
        <v>30.4</v>
      </c>
      <c r="U331" s="65">
        <f t="shared" si="3"/>
        <v>220.4</v>
      </c>
      <c r="V331" s="66">
        <f t="shared" si="4"/>
        <v>0.04972375691</v>
      </c>
      <c r="W331" s="67">
        <f t="shared" si="5"/>
        <v>180.5</v>
      </c>
      <c r="X331" s="67">
        <f t="shared" si="6"/>
        <v>28.88</v>
      </c>
      <c r="Y331" s="67">
        <f t="shared" si="7"/>
        <v>209.38</v>
      </c>
      <c r="Z331" s="67">
        <f t="shared" si="8"/>
        <v>171</v>
      </c>
      <c r="AA331" s="67">
        <f t="shared" si="9"/>
        <v>27.36</v>
      </c>
      <c r="AB331" s="67">
        <f t="shared" si="10"/>
        <v>198.36</v>
      </c>
      <c r="AC331" s="67">
        <f t="shared" si="11"/>
        <v>161.5</v>
      </c>
      <c r="AD331" s="67">
        <f t="shared" si="12"/>
        <v>25.84</v>
      </c>
      <c r="AE331" s="67">
        <f t="shared" si="13"/>
        <v>187.34</v>
      </c>
      <c r="AF331" s="67">
        <f t="shared" si="14"/>
        <v>157.7</v>
      </c>
      <c r="AG331" s="67">
        <f t="shared" si="15"/>
        <v>25.232</v>
      </c>
      <c r="AH331" s="67">
        <f t="shared" si="16"/>
        <v>182.932</v>
      </c>
      <c r="AI331" s="67">
        <f t="shared" si="17"/>
        <v>152</v>
      </c>
      <c r="AJ331" s="68">
        <f t="shared" si="20"/>
        <v>24.32</v>
      </c>
      <c r="AK331" s="68">
        <f t="shared" si="21"/>
        <v>176.32</v>
      </c>
      <c r="AL331" s="70">
        <f>IFERROR(__xludf.DUMMYFUNCTION("""COMPUTED_VALUE"""),1.0)</f>
        <v>1</v>
      </c>
      <c r="AM331" s="70"/>
      <c r="AN331" s="71" t="str">
        <f>IFERROR(__xludf.DUMMYFUNCTION("""COMPUTED_VALUE""")," P")</f>
        <v>P</v>
      </c>
      <c r="AO331" s="71" t="str">
        <f>IFERROR(__xludf.DUMMYFUNCTION("""COMPUTED_VALUE""")," CA125")</f>
        <v>CA125</v>
      </c>
      <c r="AP331" s="71" t="str">
        <f>IFERROR(__xludf.DUMMYFUNCTION("""COMPUTED_VALUE""")," PZA")</f>
        <v>PZA</v>
      </c>
      <c r="AQ331" s="71" t="str">
        <f>IFERROR(__xludf.DUMMYFUNCTION("""COMPUTED_VALUE""")," REF")</f>
        <v>REF</v>
      </c>
      <c r="AR331" s="71" t="str">
        <f>IFERROR(__xludf.DUMMYFUNCTION("""COMPUTED_VALUE""")," CATARINA 40B23 E.25MM C.1/4")</f>
        <v>CATARINA 40B23 E.25MM C.1/4</v>
      </c>
      <c r="AS331" s="71" t="str">
        <f>IFERROR(__xludf.DUMMYFUNCTION("""COMPUTED_VALUE""")," CATARINA 40B23 E.25MM C.1/4")</f>
        <v>CATARINA 40B23 E.25MM C.1/4</v>
      </c>
      <c r="AT331" s="71">
        <f>IFERROR(__xludf.DUMMYFUNCTION("""COMPUTED_VALUE"""),27.0)</f>
        <v>27</v>
      </c>
      <c r="AU331" s="71"/>
      <c r="AV331" s="71"/>
      <c r="AW331" s="71"/>
      <c r="AX331" s="71"/>
      <c r="AY331" s="71"/>
      <c r="AZ331" s="71"/>
      <c r="BA331" s="71">
        <f>IFERROR(__xludf.DUMMYFUNCTION("""COMPUTED_VALUE"""),125.0)</f>
        <v>125</v>
      </c>
      <c r="BB331" s="71">
        <f>IFERROR(__xludf.DUMMYFUNCTION("""COMPUTED_VALUE"""),125.0)</f>
        <v>125</v>
      </c>
      <c r="BC331" s="71">
        <f>IFERROR(__xludf.DUMMYFUNCTION("""COMPUTED_VALUE"""),135.0)</f>
        <v>135</v>
      </c>
      <c r="BD331" s="71">
        <f>IFERROR(__xludf.DUMMYFUNCTION("""COMPUTED_VALUE"""),142.0)</f>
        <v>142</v>
      </c>
      <c r="BE331" s="71">
        <f>IFERROR(__xludf.DUMMYFUNCTION("""COMPUTED_VALUE"""),22.72)</f>
        <v>22.72</v>
      </c>
      <c r="BF331" s="71">
        <f>IFERROR(__xludf.DUMMYFUNCTION("""COMPUTED_VALUE"""),164.72)</f>
        <v>164.72</v>
      </c>
      <c r="BG331" s="71">
        <f>IFERROR(__xludf.DUMMYFUNCTION("""COMPUTED_VALUE"""),0.05185185185185185)</f>
        <v>0.05185185185</v>
      </c>
      <c r="BH331" s="71">
        <f>IFERROR(__xludf.DUMMYFUNCTION("""COMPUTED_VALUE"""),134.9)</f>
        <v>134.9</v>
      </c>
      <c r="BI331" s="71">
        <f>IFERROR(__xludf.DUMMYFUNCTION("""COMPUTED_VALUE"""),21.584)</f>
        <v>21.584</v>
      </c>
      <c r="BJ331" s="71">
        <f>IFERROR(__xludf.DUMMYFUNCTION("""COMPUTED_VALUE"""),156.484)</f>
        <v>156.484</v>
      </c>
      <c r="BK331" s="71">
        <f>IFERROR(__xludf.DUMMYFUNCTION("""COMPUTED_VALUE"""),127.8)</f>
        <v>127.8</v>
      </c>
      <c r="BL331" s="71">
        <f>IFERROR(__xludf.DUMMYFUNCTION("""COMPUTED_VALUE"""),20.448)</f>
        <v>20.448</v>
      </c>
      <c r="BM331" s="71">
        <f>IFERROR(__xludf.DUMMYFUNCTION("""COMPUTED_VALUE"""),148.248)</f>
        <v>148.248</v>
      </c>
      <c r="BN331" s="71">
        <f>IFERROR(__xludf.DUMMYFUNCTION("""COMPUTED_VALUE"""),120.7)</f>
        <v>120.7</v>
      </c>
      <c r="BO331" s="71">
        <f>IFERROR(__xludf.DUMMYFUNCTION("""COMPUTED_VALUE"""),19.312)</f>
        <v>19.312</v>
      </c>
      <c r="BP331" s="71">
        <f>IFERROR(__xludf.DUMMYFUNCTION("""COMPUTED_VALUE"""),140.012)</f>
        <v>140.012</v>
      </c>
      <c r="BQ331" s="71">
        <f>IFERROR(__xludf.DUMMYFUNCTION("""COMPUTED_VALUE"""),117.86)</f>
        <v>117.86</v>
      </c>
      <c r="BR331" s="71">
        <f>IFERROR(__xludf.DUMMYFUNCTION("""COMPUTED_VALUE"""),18.8576)</f>
        <v>18.8576</v>
      </c>
      <c r="BS331" s="71">
        <f>IFERROR(__xludf.DUMMYFUNCTION("""COMPUTED_VALUE"""),136.7176)</f>
        <v>136.7176</v>
      </c>
      <c r="BT331" s="71">
        <f>IFERROR(__xludf.DUMMYFUNCTION("""COMPUTED_VALUE"""),113.60000000000001)</f>
        <v>113.6</v>
      </c>
      <c r="BU331" s="71">
        <f>IFERROR(__xludf.DUMMYFUNCTION("""COMPUTED_VALUE"""),18.176000000000002)</f>
        <v>18.176</v>
      </c>
      <c r="BV331" s="71">
        <f>IFERROR(__xludf.DUMMYFUNCTION("""COMPUTED_VALUE"""),131.776)</f>
        <v>131.776</v>
      </c>
    </row>
    <row r="332">
      <c r="A332" s="53"/>
      <c r="B332" s="53"/>
      <c r="C332" s="53" t="s">
        <v>36</v>
      </c>
      <c r="D332" s="85" t="s">
        <v>838</v>
      </c>
      <c r="E332" s="54" t="s">
        <v>38</v>
      </c>
      <c r="F332" s="55" t="s">
        <v>39</v>
      </c>
      <c r="G332" s="86" t="s">
        <v>839</v>
      </c>
      <c r="H332" s="55"/>
      <c r="I332" s="54">
        <f t="shared" si="1"/>
        <v>0</v>
      </c>
      <c r="J332" s="56"/>
      <c r="K332" s="57"/>
      <c r="L332" s="76"/>
      <c r="M332" s="59"/>
      <c r="N332" s="60"/>
      <c r="O332" s="61">
        <v>460.8</v>
      </c>
      <c r="P332" s="62">
        <v>497.66400000000004</v>
      </c>
      <c r="Q332" s="63">
        <v>497.66400000000004</v>
      </c>
      <c r="R332" s="64">
        <v>523.0</v>
      </c>
      <c r="S332" s="107">
        <v>549.0</v>
      </c>
      <c r="T332" s="65">
        <f t="shared" si="2"/>
        <v>87.84</v>
      </c>
      <c r="U332" s="65">
        <f t="shared" si="3"/>
        <v>636.84</v>
      </c>
      <c r="V332" s="66">
        <f t="shared" si="4"/>
        <v>0.04971319312</v>
      </c>
      <c r="W332" s="67">
        <f t="shared" si="5"/>
        <v>521.55</v>
      </c>
      <c r="X332" s="67">
        <f t="shared" si="6"/>
        <v>83.448</v>
      </c>
      <c r="Y332" s="67">
        <f t="shared" si="7"/>
        <v>604.998</v>
      </c>
      <c r="Z332" s="67">
        <f t="shared" si="8"/>
        <v>494.1</v>
      </c>
      <c r="AA332" s="67">
        <f t="shared" si="9"/>
        <v>79.056</v>
      </c>
      <c r="AB332" s="67">
        <f t="shared" si="10"/>
        <v>573.156</v>
      </c>
      <c r="AC332" s="67">
        <f t="shared" si="11"/>
        <v>466.65</v>
      </c>
      <c r="AD332" s="67">
        <f t="shared" si="12"/>
        <v>74.664</v>
      </c>
      <c r="AE332" s="67">
        <f t="shared" si="13"/>
        <v>541.314</v>
      </c>
      <c r="AF332" s="67">
        <f t="shared" si="14"/>
        <v>455.67</v>
      </c>
      <c r="AG332" s="67">
        <f t="shared" si="15"/>
        <v>72.9072</v>
      </c>
      <c r="AH332" s="67">
        <f t="shared" si="16"/>
        <v>528.5772</v>
      </c>
      <c r="AI332" s="67">
        <f t="shared" si="17"/>
        <v>439.2</v>
      </c>
      <c r="AJ332" s="68">
        <f t="shared" si="20"/>
        <v>70.272</v>
      </c>
      <c r="AK332" s="68">
        <f t="shared" si="21"/>
        <v>509.472</v>
      </c>
      <c r="AL332" s="70">
        <f>IFERROR(__xludf.DUMMYFUNCTION("""COMPUTED_VALUE"""),1.0)</f>
        <v>1</v>
      </c>
      <c r="AM332" s="70"/>
      <c r="AN332" s="71" t="str">
        <f>IFERROR(__xludf.DUMMYFUNCTION("""COMPUTED_VALUE""")," CP")</f>
        <v>CP</v>
      </c>
      <c r="AO332" s="71" t="str">
        <f>IFERROR(__xludf.DUMMYFUNCTION("""COMPUTED_VALUE""")," CA64")</f>
        <v>CA64</v>
      </c>
      <c r="AP332" s="71" t="str">
        <f>IFERROR(__xludf.DUMMYFUNCTION("""COMPUTED_VALUE""")," PZA")</f>
        <v>PZA</v>
      </c>
      <c r="AQ332" s="71" t="str">
        <f>IFERROR(__xludf.DUMMYFUNCTION("""COMPUTED_VALUE""")," REF")</f>
        <v>REF</v>
      </c>
      <c r="AR332" s="71" t="str">
        <f>IFERROR(__xludf.DUMMYFUNCTION("""COMPUTED_VALUE""")," CATARINA 40B24 E.1-1/4"" C.1/4")</f>
        <v>CATARINA 40B24 E.1-1/4" C.1/4</v>
      </c>
      <c r="AS332" s="71" t="str">
        <f>IFERROR(__xludf.DUMMYFUNCTION("""COMPUTED_VALUE""")," CATARINA 40B24 E.1-1/4"" C.1/4")</f>
        <v>CATARINA 40B24 E.1-1/4" C.1/4</v>
      </c>
      <c r="AT332" s="71">
        <f>IFERROR(__xludf.DUMMYFUNCTION("""COMPUTED_VALUE"""),29.0)</f>
        <v>29</v>
      </c>
      <c r="AU332" s="71"/>
      <c r="AV332" s="71"/>
      <c r="AW332" s="71"/>
      <c r="AX332" s="71"/>
      <c r="AY332" s="71">
        <f>IFERROR(__xludf.DUMMYFUNCTION("""COMPUTED_VALUE"""),213.0)</f>
        <v>213</v>
      </c>
      <c r="AZ332" s="71">
        <f>IFERROR(__xludf.DUMMYFUNCTION("""COMPUTED_VALUE"""),230.0)</f>
        <v>230</v>
      </c>
      <c r="BA332" s="71">
        <f>IFERROR(__xludf.DUMMYFUNCTION("""COMPUTED_VALUE"""),125.0)</f>
        <v>125</v>
      </c>
      <c r="BB332" s="71">
        <f>IFERROR(__xludf.DUMMYFUNCTION("""COMPUTED_VALUE"""),125.0)</f>
        <v>125</v>
      </c>
      <c r="BC332" s="71">
        <f>IFERROR(__xludf.DUMMYFUNCTION("""COMPUTED_VALUE"""),156.0)</f>
        <v>156</v>
      </c>
      <c r="BD332" s="71">
        <f>IFERROR(__xludf.DUMMYFUNCTION("""COMPUTED_VALUE"""),164.0)</f>
        <v>164</v>
      </c>
      <c r="BE332" s="71">
        <f>IFERROR(__xludf.DUMMYFUNCTION("""COMPUTED_VALUE"""),26.240000000000002)</f>
        <v>26.24</v>
      </c>
      <c r="BF332" s="71">
        <f>IFERROR(__xludf.DUMMYFUNCTION("""COMPUTED_VALUE"""),190.24)</f>
        <v>190.24</v>
      </c>
      <c r="BG332" s="71">
        <f>IFERROR(__xludf.DUMMYFUNCTION("""COMPUTED_VALUE"""),0.05128205128205128)</f>
        <v>0.05128205128</v>
      </c>
      <c r="BH332" s="71">
        <f>IFERROR(__xludf.DUMMYFUNCTION("""COMPUTED_VALUE"""),155.79999999999998)</f>
        <v>155.8</v>
      </c>
      <c r="BI332" s="71">
        <f>IFERROR(__xludf.DUMMYFUNCTION("""COMPUTED_VALUE"""),24.927999999999997)</f>
        <v>24.928</v>
      </c>
      <c r="BJ332" s="71">
        <f>IFERROR(__xludf.DUMMYFUNCTION("""COMPUTED_VALUE"""),180.72799999999998)</f>
        <v>180.728</v>
      </c>
      <c r="BK332" s="71">
        <f>IFERROR(__xludf.DUMMYFUNCTION("""COMPUTED_VALUE"""),147.6)</f>
        <v>147.6</v>
      </c>
      <c r="BL332" s="71">
        <f>IFERROR(__xludf.DUMMYFUNCTION("""COMPUTED_VALUE"""),23.616)</f>
        <v>23.616</v>
      </c>
      <c r="BM332" s="71">
        <f>IFERROR(__xludf.DUMMYFUNCTION("""COMPUTED_VALUE"""),171.216)</f>
        <v>171.216</v>
      </c>
      <c r="BN332" s="71">
        <f>IFERROR(__xludf.DUMMYFUNCTION("""COMPUTED_VALUE"""),139.4)</f>
        <v>139.4</v>
      </c>
      <c r="BO332" s="71">
        <f>IFERROR(__xludf.DUMMYFUNCTION("""COMPUTED_VALUE"""),22.304000000000002)</f>
        <v>22.304</v>
      </c>
      <c r="BP332" s="71">
        <f>IFERROR(__xludf.DUMMYFUNCTION("""COMPUTED_VALUE"""),161.704)</f>
        <v>161.704</v>
      </c>
      <c r="BQ332" s="71">
        <f>IFERROR(__xludf.DUMMYFUNCTION("""COMPUTED_VALUE"""),136.12)</f>
        <v>136.12</v>
      </c>
      <c r="BR332" s="71">
        <f>IFERROR(__xludf.DUMMYFUNCTION("""COMPUTED_VALUE"""),21.7792)</f>
        <v>21.7792</v>
      </c>
      <c r="BS332" s="71">
        <f>IFERROR(__xludf.DUMMYFUNCTION("""COMPUTED_VALUE"""),157.8992)</f>
        <v>157.8992</v>
      </c>
      <c r="BT332" s="71">
        <f>IFERROR(__xludf.DUMMYFUNCTION("""COMPUTED_VALUE"""),131.20000000000002)</f>
        <v>131.2</v>
      </c>
      <c r="BU332" s="71">
        <f>IFERROR(__xludf.DUMMYFUNCTION("""COMPUTED_VALUE"""),20.992000000000004)</f>
        <v>20.992</v>
      </c>
      <c r="BV332" s="71">
        <f>IFERROR(__xludf.DUMMYFUNCTION("""COMPUTED_VALUE"""),152.192)</f>
        <v>152.192</v>
      </c>
    </row>
    <row r="333">
      <c r="A333" s="53"/>
      <c r="B333" s="53"/>
      <c r="C333" s="53" t="s">
        <v>36</v>
      </c>
      <c r="D333" s="85" t="s">
        <v>840</v>
      </c>
      <c r="E333" s="54" t="s">
        <v>38</v>
      </c>
      <c r="F333" s="55" t="s">
        <v>39</v>
      </c>
      <c r="G333" s="86" t="s">
        <v>841</v>
      </c>
      <c r="H333" s="55"/>
      <c r="I333" s="54">
        <f t="shared" si="1"/>
        <v>0</v>
      </c>
      <c r="J333" s="56"/>
      <c r="K333" s="57"/>
      <c r="L333" s="76"/>
      <c r="M333" s="59"/>
      <c r="N333" s="60"/>
      <c r="O333" s="61">
        <v>902.4</v>
      </c>
      <c r="P333" s="62">
        <v>974.592</v>
      </c>
      <c r="Q333" s="63">
        <v>974.592</v>
      </c>
      <c r="R333" s="78">
        <v>400.0</v>
      </c>
      <c r="S333" s="107">
        <v>420.0</v>
      </c>
      <c r="T333" s="65">
        <f t="shared" si="2"/>
        <v>67.2</v>
      </c>
      <c r="U333" s="65">
        <f t="shared" si="3"/>
        <v>487.2</v>
      </c>
      <c r="V333" s="66">
        <f t="shared" si="4"/>
        <v>0.05</v>
      </c>
      <c r="W333" s="67">
        <f t="shared" si="5"/>
        <v>399</v>
      </c>
      <c r="X333" s="67">
        <f t="shared" si="6"/>
        <v>63.84</v>
      </c>
      <c r="Y333" s="67">
        <f t="shared" si="7"/>
        <v>462.84</v>
      </c>
      <c r="Z333" s="67">
        <f t="shared" si="8"/>
        <v>378</v>
      </c>
      <c r="AA333" s="67">
        <f t="shared" si="9"/>
        <v>60.48</v>
      </c>
      <c r="AB333" s="67">
        <f t="shared" si="10"/>
        <v>438.48</v>
      </c>
      <c r="AC333" s="67">
        <f t="shared" si="11"/>
        <v>357</v>
      </c>
      <c r="AD333" s="67">
        <f t="shared" si="12"/>
        <v>57.12</v>
      </c>
      <c r="AE333" s="67">
        <f t="shared" si="13"/>
        <v>414.12</v>
      </c>
      <c r="AF333" s="67">
        <f t="shared" si="14"/>
        <v>348.6</v>
      </c>
      <c r="AG333" s="67">
        <f t="shared" si="15"/>
        <v>55.776</v>
      </c>
      <c r="AH333" s="67">
        <f t="shared" si="16"/>
        <v>404.376</v>
      </c>
      <c r="AI333" s="67">
        <f t="shared" si="17"/>
        <v>336</v>
      </c>
      <c r="AJ333" s="68">
        <f t="shared" si="20"/>
        <v>53.76</v>
      </c>
      <c r="AK333" s="68">
        <f t="shared" si="21"/>
        <v>389.76</v>
      </c>
      <c r="AL333" s="70">
        <f>IFERROR(__xludf.DUMMYFUNCTION("""COMPUTED_VALUE"""),1.0)</f>
        <v>1</v>
      </c>
      <c r="AM333" s="70"/>
      <c r="AN333" s="71" t="str">
        <f>IFERROR(__xludf.DUMMYFUNCTION("""COMPUTED_VALUE""")," CP")</f>
        <v>CP</v>
      </c>
      <c r="AO333" s="71" t="str">
        <f>IFERROR(__xludf.DUMMYFUNCTION("""COMPUTED_VALUE""")," CA65")</f>
        <v>CA65</v>
      </c>
      <c r="AP333" s="71" t="str">
        <f>IFERROR(__xludf.DUMMYFUNCTION("""COMPUTED_VALUE""")," PZA")</f>
        <v>PZA</v>
      </c>
      <c r="AQ333" s="71" t="str">
        <f>IFERROR(__xludf.DUMMYFUNCTION("""COMPUTED_VALUE""")," REF")</f>
        <v>REF</v>
      </c>
      <c r="AR333" s="71" t="str">
        <f>IFERROR(__xludf.DUMMYFUNCTION("""COMPUTED_VALUE""")," CATARINA 40B24 E.1-1/8"" C.1/4")</f>
        <v>CATARINA 40B24 E.1-1/8" C.1/4</v>
      </c>
      <c r="AS333" s="71" t="str">
        <f>IFERROR(__xludf.DUMMYFUNCTION("""COMPUTED_VALUE""")," CATARINA 40B24 E.1-1/8"" C.1/4")</f>
        <v>CATARINA 40B24 E.1-1/8" C.1/4</v>
      </c>
      <c r="AT333" s="71">
        <f>IFERROR(__xludf.DUMMYFUNCTION("""COMPUTED_VALUE"""),29.0)</f>
        <v>29</v>
      </c>
      <c r="AU333" s="71"/>
      <c r="AV333" s="71"/>
      <c r="AW333" s="71"/>
      <c r="AX333" s="71"/>
      <c r="AY333" s="71">
        <f>IFERROR(__xludf.DUMMYFUNCTION("""COMPUTED_VALUE"""),213.0)</f>
        <v>213</v>
      </c>
      <c r="AZ333" s="71">
        <f>IFERROR(__xludf.DUMMYFUNCTION("""COMPUTED_VALUE"""),230.0)</f>
        <v>230</v>
      </c>
      <c r="BA333" s="71">
        <f>IFERROR(__xludf.DUMMYFUNCTION("""COMPUTED_VALUE"""),125.0)</f>
        <v>125</v>
      </c>
      <c r="BB333" s="71">
        <f>IFERROR(__xludf.DUMMYFUNCTION("""COMPUTED_VALUE"""),125.0)</f>
        <v>125</v>
      </c>
      <c r="BC333" s="71">
        <f>IFERROR(__xludf.DUMMYFUNCTION("""COMPUTED_VALUE"""),156.0)</f>
        <v>156</v>
      </c>
      <c r="BD333" s="71">
        <f>IFERROR(__xludf.DUMMYFUNCTION("""COMPUTED_VALUE"""),164.0)</f>
        <v>164</v>
      </c>
      <c r="BE333" s="71">
        <f>IFERROR(__xludf.DUMMYFUNCTION("""COMPUTED_VALUE"""),26.240000000000002)</f>
        <v>26.24</v>
      </c>
      <c r="BF333" s="71">
        <f>IFERROR(__xludf.DUMMYFUNCTION("""COMPUTED_VALUE"""),190.24)</f>
        <v>190.24</v>
      </c>
      <c r="BG333" s="71">
        <f>IFERROR(__xludf.DUMMYFUNCTION("""COMPUTED_VALUE"""),0.05128205128205128)</f>
        <v>0.05128205128</v>
      </c>
      <c r="BH333" s="71">
        <f>IFERROR(__xludf.DUMMYFUNCTION("""COMPUTED_VALUE"""),155.79999999999998)</f>
        <v>155.8</v>
      </c>
      <c r="BI333" s="71">
        <f>IFERROR(__xludf.DUMMYFUNCTION("""COMPUTED_VALUE"""),24.927999999999997)</f>
        <v>24.928</v>
      </c>
      <c r="BJ333" s="71">
        <f>IFERROR(__xludf.DUMMYFUNCTION("""COMPUTED_VALUE"""),180.72799999999998)</f>
        <v>180.728</v>
      </c>
      <c r="BK333" s="71">
        <f>IFERROR(__xludf.DUMMYFUNCTION("""COMPUTED_VALUE"""),147.6)</f>
        <v>147.6</v>
      </c>
      <c r="BL333" s="71">
        <f>IFERROR(__xludf.DUMMYFUNCTION("""COMPUTED_VALUE"""),23.616)</f>
        <v>23.616</v>
      </c>
      <c r="BM333" s="71">
        <f>IFERROR(__xludf.DUMMYFUNCTION("""COMPUTED_VALUE"""),171.216)</f>
        <v>171.216</v>
      </c>
      <c r="BN333" s="71">
        <f>IFERROR(__xludf.DUMMYFUNCTION("""COMPUTED_VALUE"""),139.4)</f>
        <v>139.4</v>
      </c>
      <c r="BO333" s="71">
        <f>IFERROR(__xludf.DUMMYFUNCTION("""COMPUTED_VALUE"""),22.304000000000002)</f>
        <v>22.304</v>
      </c>
      <c r="BP333" s="71">
        <f>IFERROR(__xludf.DUMMYFUNCTION("""COMPUTED_VALUE"""),161.704)</f>
        <v>161.704</v>
      </c>
      <c r="BQ333" s="71">
        <f>IFERROR(__xludf.DUMMYFUNCTION("""COMPUTED_VALUE"""),136.12)</f>
        <v>136.12</v>
      </c>
      <c r="BR333" s="71">
        <f>IFERROR(__xludf.DUMMYFUNCTION("""COMPUTED_VALUE"""),21.7792)</f>
        <v>21.7792</v>
      </c>
      <c r="BS333" s="71">
        <f>IFERROR(__xludf.DUMMYFUNCTION("""COMPUTED_VALUE"""),157.8992)</f>
        <v>157.8992</v>
      </c>
      <c r="BT333" s="71">
        <f>IFERROR(__xludf.DUMMYFUNCTION("""COMPUTED_VALUE"""),131.20000000000002)</f>
        <v>131.2</v>
      </c>
      <c r="BU333" s="71">
        <f>IFERROR(__xludf.DUMMYFUNCTION("""COMPUTED_VALUE"""),20.992000000000004)</f>
        <v>20.992</v>
      </c>
      <c r="BV333" s="71">
        <f>IFERROR(__xludf.DUMMYFUNCTION("""COMPUTED_VALUE"""),152.192)</f>
        <v>152.192</v>
      </c>
    </row>
    <row r="334">
      <c r="A334" s="53">
        <v>1.0</v>
      </c>
      <c r="B334" s="72">
        <v>4.0</v>
      </c>
      <c r="C334" s="73" t="s">
        <v>53</v>
      </c>
      <c r="D334" s="74" t="s">
        <v>842</v>
      </c>
      <c r="E334" s="55" t="s">
        <v>38</v>
      </c>
      <c r="F334" s="54" t="s">
        <v>42</v>
      </c>
      <c r="G334" s="55" t="s">
        <v>843</v>
      </c>
      <c r="H334" s="54" t="s">
        <v>844</v>
      </c>
      <c r="I334" s="54">
        <f t="shared" si="1"/>
        <v>37</v>
      </c>
      <c r="J334" s="56"/>
      <c r="K334" s="75"/>
      <c r="L334" s="76"/>
      <c r="M334" s="59"/>
      <c r="N334" s="60">
        <v>6380.0</v>
      </c>
      <c r="O334" s="61">
        <v>6890.0</v>
      </c>
      <c r="P334" s="62">
        <v>11161.5</v>
      </c>
      <c r="Q334" s="63">
        <v>11161.5</v>
      </c>
      <c r="R334" s="64">
        <v>11721.0</v>
      </c>
      <c r="S334" s="111">
        <v>12307.0</v>
      </c>
      <c r="T334" s="65">
        <f t="shared" si="2"/>
        <v>1969.12</v>
      </c>
      <c r="U334" s="65">
        <f t="shared" si="3"/>
        <v>14276.12</v>
      </c>
      <c r="V334" s="66">
        <f t="shared" si="4"/>
        <v>0.04999573415</v>
      </c>
      <c r="W334" s="67">
        <f t="shared" si="5"/>
        <v>12307</v>
      </c>
      <c r="X334" s="67">
        <f t="shared" si="6"/>
        <v>1969.12</v>
      </c>
      <c r="Y334" s="67">
        <f t="shared" si="7"/>
        <v>14276.12</v>
      </c>
      <c r="Z334" s="67">
        <f t="shared" si="8"/>
        <v>12307</v>
      </c>
      <c r="AA334" s="67">
        <f t="shared" si="9"/>
        <v>1969.12</v>
      </c>
      <c r="AB334" s="67">
        <f t="shared" si="10"/>
        <v>14276.12</v>
      </c>
      <c r="AC334" s="67">
        <f t="shared" si="11"/>
        <v>12307</v>
      </c>
      <c r="AD334" s="67">
        <f t="shared" si="12"/>
        <v>1969.12</v>
      </c>
      <c r="AE334" s="67">
        <f t="shared" si="13"/>
        <v>14276.12</v>
      </c>
      <c r="AF334" s="67">
        <f t="shared" si="14"/>
        <v>12307</v>
      </c>
      <c r="AG334" s="67">
        <f t="shared" si="15"/>
        <v>1969.12</v>
      </c>
      <c r="AH334" s="67">
        <f t="shared" si="16"/>
        <v>14276.12</v>
      </c>
      <c r="AI334" s="67">
        <f t="shared" si="17"/>
        <v>12307</v>
      </c>
      <c r="AJ334" s="68">
        <f t="shared" si="20"/>
        <v>1969.12</v>
      </c>
      <c r="AK334" s="68">
        <f t="shared" si="21"/>
        <v>14276.12</v>
      </c>
      <c r="AL334" s="70">
        <f>IFERROR(__xludf.DUMMYFUNCTION("""COMPUTED_VALUE"""),1.0)</f>
        <v>1</v>
      </c>
      <c r="AM334" s="70"/>
      <c r="AN334" s="71" t="str">
        <f>IFERROR(__xludf.DUMMYFUNCTION("""COMPUTED_VALUE""")," CP")</f>
        <v>CP</v>
      </c>
      <c r="AO334" s="71" t="str">
        <f>IFERROR(__xludf.DUMMYFUNCTION("""COMPUTED_VALUE""")," CA66")</f>
        <v>CA66</v>
      </c>
      <c r="AP334" s="71" t="str">
        <f>IFERROR(__xludf.DUMMYFUNCTION("""COMPUTED_VALUE""")," PZA")</f>
        <v>PZA</v>
      </c>
      <c r="AQ334" s="71" t="str">
        <f>IFERROR(__xludf.DUMMYFUNCTION("""COMPUTED_VALUE""")," REF")</f>
        <v>REF</v>
      </c>
      <c r="AR334" s="71" t="str">
        <f>IFERROR(__xludf.DUMMYFUNCTION("""COMPUTED_VALUE""")," CATARINA 40B24 E.15/16""")</f>
        <v>CATARINA 40B24 E.15/16"</v>
      </c>
      <c r="AS334" s="71" t="str">
        <f>IFERROR(__xludf.DUMMYFUNCTION("""COMPUTED_VALUE""")," CATARINA 40B24 E.15/16""")</f>
        <v>CATARINA 40B24 E.15/16"</v>
      </c>
      <c r="AT334" s="71">
        <f>IFERROR(__xludf.DUMMYFUNCTION("""COMPUTED_VALUE"""),23.0)</f>
        <v>23</v>
      </c>
      <c r="AU334" s="71"/>
      <c r="AV334" s="71"/>
      <c r="AW334" s="71"/>
      <c r="AX334" s="71"/>
      <c r="AY334" s="71">
        <f>IFERROR(__xludf.DUMMYFUNCTION("""COMPUTED_VALUE"""),213.0)</f>
        <v>213</v>
      </c>
      <c r="AZ334" s="71">
        <f>IFERROR(__xludf.DUMMYFUNCTION("""COMPUTED_VALUE"""),230.0)</f>
        <v>230</v>
      </c>
      <c r="BA334" s="71">
        <f>IFERROR(__xludf.DUMMYFUNCTION("""COMPUTED_VALUE"""),125.0)</f>
        <v>125</v>
      </c>
      <c r="BB334" s="71">
        <f>IFERROR(__xludf.DUMMYFUNCTION("""COMPUTED_VALUE"""),125.0)</f>
        <v>125</v>
      </c>
      <c r="BC334" s="71">
        <f>IFERROR(__xludf.DUMMYFUNCTION("""COMPUTED_VALUE"""),172.0)</f>
        <v>172</v>
      </c>
      <c r="BD334" s="71">
        <f>IFERROR(__xludf.DUMMYFUNCTION("""COMPUTED_VALUE"""),181.0)</f>
        <v>181</v>
      </c>
      <c r="BE334" s="71">
        <f>IFERROR(__xludf.DUMMYFUNCTION("""COMPUTED_VALUE"""),28.96)</f>
        <v>28.96</v>
      </c>
      <c r="BF334" s="71">
        <f>IFERROR(__xludf.DUMMYFUNCTION("""COMPUTED_VALUE"""),209.96)</f>
        <v>209.96</v>
      </c>
      <c r="BG334" s="71">
        <f>IFERROR(__xludf.DUMMYFUNCTION("""COMPUTED_VALUE"""),0.05232558139534884)</f>
        <v>0.0523255814</v>
      </c>
      <c r="BH334" s="71">
        <f>IFERROR(__xludf.DUMMYFUNCTION("""COMPUTED_VALUE"""),171.95)</f>
        <v>171.95</v>
      </c>
      <c r="BI334" s="71">
        <f>IFERROR(__xludf.DUMMYFUNCTION("""COMPUTED_VALUE"""),27.512)</f>
        <v>27.512</v>
      </c>
      <c r="BJ334" s="71">
        <f>IFERROR(__xludf.DUMMYFUNCTION("""COMPUTED_VALUE"""),199.462)</f>
        <v>199.462</v>
      </c>
      <c r="BK334" s="71">
        <f>IFERROR(__xludf.DUMMYFUNCTION("""COMPUTED_VALUE"""),162.9)</f>
        <v>162.9</v>
      </c>
      <c r="BL334" s="71">
        <f>IFERROR(__xludf.DUMMYFUNCTION("""COMPUTED_VALUE"""),26.064)</f>
        <v>26.064</v>
      </c>
      <c r="BM334" s="71">
        <f>IFERROR(__xludf.DUMMYFUNCTION("""COMPUTED_VALUE"""),188.964)</f>
        <v>188.964</v>
      </c>
      <c r="BN334" s="71">
        <f>IFERROR(__xludf.DUMMYFUNCTION("""COMPUTED_VALUE"""),153.85)</f>
        <v>153.85</v>
      </c>
      <c r="BO334" s="71">
        <f>IFERROR(__xludf.DUMMYFUNCTION("""COMPUTED_VALUE"""),24.616)</f>
        <v>24.616</v>
      </c>
      <c r="BP334" s="71">
        <f>IFERROR(__xludf.DUMMYFUNCTION("""COMPUTED_VALUE"""),178.466)</f>
        <v>178.466</v>
      </c>
      <c r="BQ334" s="71">
        <f>IFERROR(__xludf.DUMMYFUNCTION("""COMPUTED_VALUE"""),150.23)</f>
        <v>150.23</v>
      </c>
      <c r="BR334" s="71">
        <f>IFERROR(__xludf.DUMMYFUNCTION("""COMPUTED_VALUE"""),24.0368)</f>
        <v>24.0368</v>
      </c>
      <c r="BS334" s="71">
        <f>IFERROR(__xludf.DUMMYFUNCTION("""COMPUTED_VALUE"""),174.2668)</f>
        <v>174.2668</v>
      </c>
      <c r="BT334" s="71">
        <f>IFERROR(__xludf.DUMMYFUNCTION("""COMPUTED_VALUE"""),144.8)</f>
        <v>144.8</v>
      </c>
      <c r="BU334" s="71">
        <f>IFERROR(__xludf.DUMMYFUNCTION("""COMPUTED_VALUE"""),23.168000000000003)</f>
        <v>23.168</v>
      </c>
      <c r="BV334" s="71">
        <f>IFERROR(__xludf.DUMMYFUNCTION("""COMPUTED_VALUE"""),167.96800000000002)</f>
        <v>167.968</v>
      </c>
    </row>
    <row r="335">
      <c r="A335" s="53">
        <v>1.0</v>
      </c>
      <c r="B335" s="72"/>
      <c r="C335" s="73" t="s">
        <v>53</v>
      </c>
      <c r="D335" s="53" t="s">
        <v>845</v>
      </c>
      <c r="E335" s="54" t="s">
        <v>38</v>
      </c>
      <c r="F335" s="54" t="s">
        <v>42</v>
      </c>
      <c r="G335" s="54" t="s">
        <v>846</v>
      </c>
      <c r="H335" s="54" t="s">
        <v>847</v>
      </c>
      <c r="I335" s="54">
        <f t="shared" si="1"/>
        <v>37</v>
      </c>
      <c r="J335" s="56"/>
      <c r="K335" s="75"/>
      <c r="L335" s="87"/>
      <c r="M335" s="59"/>
      <c r="N335" s="60">
        <v>5603.0</v>
      </c>
      <c r="O335" s="61">
        <v>6051.0</v>
      </c>
      <c r="P335" s="62">
        <v>6535.080000000001</v>
      </c>
      <c r="Q335" s="63">
        <v>6535.080000000001</v>
      </c>
      <c r="R335" s="64">
        <v>7275.0</v>
      </c>
      <c r="S335" s="111">
        <v>7639.0</v>
      </c>
      <c r="T335" s="65">
        <f t="shared" si="2"/>
        <v>1222.24</v>
      </c>
      <c r="U335" s="65">
        <f t="shared" si="3"/>
        <v>8861.24</v>
      </c>
      <c r="V335" s="66">
        <f t="shared" si="4"/>
        <v>0.05003436426</v>
      </c>
      <c r="W335" s="67">
        <f t="shared" si="5"/>
        <v>7257.05</v>
      </c>
      <c r="X335" s="67">
        <f t="shared" si="6"/>
        <v>1161.128</v>
      </c>
      <c r="Y335" s="67">
        <f t="shared" si="7"/>
        <v>8418.178</v>
      </c>
      <c r="Z335" s="67">
        <f t="shared" si="8"/>
        <v>6875.1</v>
      </c>
      <c r="AA335" s="67">
        <f t="shared" si="9"/>
        <v>1100.016</v>
      </c>
      <c r="AB335" s="67">
        <f t="shared" si="10"/>
        <v>7975.116</v>
      </c>
      <c r="AC335" s="67">
        <f t="shared" si="11"/>
        <v>6493.15</v>
      </c>
      <c r="AD335" s="67">
        <f t="shared" si="12"/>
        <v>1038.904</v>
      </c>
      <c r="AE335" s="67">
        <f t="shared" si="13"/>
        <v>7532.054</v>
      </c>
      <c r="AF335" s="67">
        <f t="shared" si="14"/>
        <v>6340.37</v>
      </c>
      <c r="AG335" s="67">
        <f t="shared" si="15"/>
        <v>1014.4592</v>
      </c>
      <c r="AH335" s="67">
        <f t="shared" si="16"/>
        <v>7354.8292</v>
      </c>
      <c r="AI335" s="67">
        <f t="shared" si="17"/>
        <v>6111.2</v>
      </c>
      <c r="AJ335" s="68">
        <f t="shared" si="20"/>
        <v>977.792</v>
      </c>
      <c r="AK335" s="68">
        <f t="shared" si="21"/>
        <v>7088.992</v>
      </c>
      <c r="AL335" s="70">
        <f>IFERROR(__xludf.DUMMYFUNCTION("""COMPUTED_VALUE"""),1.0)</f>
        <v>1</v>
      </c>
      <c r="AM335" s="70"/>
      <c r="AN335" s="71" t="str">
        <f>IFERROR(__xludf.DUMMYFUNCTION("""COMPUTED_VALUE""")," CP")</f>
        <v>CP</v>
      </c>
      <c r="AO335" s="71" t="str">
        <f>IFERROR(__xludf.DUMMYFUNCTION("""COMPUTED_VALUE""")," CA74")</f>
        <v>CA74</v>
      </c>
      <c r="AP335" s="71" t="str">
        <f>IFERROR(__xludf.DUMMYFUNCTION("""COMPUTED_VALUE""")," PZA")</f>
        <v>PZA</v>
      </c>
      <c r="AQ335" s="71" t="str">
        <f>IFERROR(__xludf.DUMMYFUNCTION("""COMPUTED_VALUE""")," REF")</f>
        <v>REF</v>
      </c>
      <c r="AR335" s="71" t="str">
        <f>IFERROR(__xludf.DUMMYFUNCTION("""COMPUTED_VALUE""")," CATARINA 40B26 DOBLE E.1-1/4"" C.1/4")</f>
        <v>CATARINA 40B26 DOBLE E.1-1/4" C.1/4</v>
      </c>
      <c r="AS335" s="71" t="str">
        <f>IFERROR(__xludf.DUMMYFUNCTION("""COMPUTED_VALUE""")," CATARINA 40B26 DOBLE E.1-1/4"" C.1/4")</f>
        <v>CATARINA 40B26 DOBLE E.1-1/4" C.1/4</v>
      </c>
      <c r="AT335" s="71">
        <f>IFERROR(__xludf.DUMMYFUNCTION("""COMPUTED_VALUE"""),35.0)</f>
        <v>35</v>
      </c>
      <c r="AU335" s="71"/>
      <c r="AV335" s="71"/>
      <c r="AW335" s="71"/>
      <c r="AX335" s="71"/>
      <c r="AY335" s="71">
        <f>IFERROR(__xludf.DUMMYFUNCTION("""COMPUTED_VALUE"""),292.0)</f>
        <v>292</v>
      </c>
      <c r="AZ335" s="71">
        <f>IFERROR(__xludf.DUMMYFUNCTION("""COMPUTED_VALUE"""),315.0)</f>
        <v>315</v>
      </c>
      <c r="BA335" s="71">
        <f>IFERROR(__xludf.DUMMYFUNCTION("""COMPUTED_VALUE"""),200.0)</f>
        <v>200</v>
      </c>
      <c r="BB335" s="71">
        <f>IFERROR(__xludf.DUMMYFUNCTION("""COMPUTED_VALUE"""),200.0)</f>
        <v>200</v>
      </c>
      <c r="BC335" s="71">
        <f>IFERROR(__xludf.DUMMYFUNCTION("""COMPUTED_VALUE"""),390.0)</f>
        <v>390</v>
      </c>
      <c r="BD335" s="71">
        <f>IFERROR(__xludf.DUMMYFUNCTION("""COMPUTED_VALUE"""),410.0)</f>
        <v>410</v>
      </c>
      <c r="BE335" s="71">
        <f>IFERROR(__xludf.DUMMYFUNCTION("""COMPUTED_VALUE"""),65.6)</f>
        <v>65.6</v>
      </c>
      <c r="BF335" s="71">
        <f>IFERROR(__xludf.DUMMYFUNCTION("""COMPUTED_VALUE"""),475.6)</f>
        <v>475.6</v>
      </c>
      <c r="BG335" s="71">
        <f>IFERROR(__xludf.DUMMYFUNCTION("""COMPUTED_VALUE"""),0.05128205128205128)</f>
        <v>0.05128205128</v>
      </c>
      <c r="BH335" s="71">
        <f>IFERROR(__xludf.DUMMYFUNCTION("""COMPUTED_VALUE"""),389.5)</f>
        <v>389.5</v>
      </c>
      <c r="BI335" s="71">
        <f>IFERROR(__xludf.DUMMYFUNCTION("""COMPUTED_VALUE"""),62.32)</f>
        <v>62.32</v>
      </c>
      <c r="BJ335" s="71">
        <f>IFERROR(__xludf.DUMMYFUNCTION("""COMPUTED_VALUE"""),451.82)</f>
        <v>451.82</v>
      </c>
      <c r="BK335" s="71">
        <f>IFERROR(__xludf.DUMMYFUNCTION("""COMPUTED_VALUE"""),369.0)</f>
        <v>369</v>
      </c>
      <c r="BL335" s="71">
        <f>IFERROR(__xludf.DUMMYFUNCTION("""COMPUTED_VALUE"""),59.04)</f>
        <v>59.04</v>
      </c>
      <c r="BM335" s="71">
        <f>IFERROR(__xludf.DUMMYFUNCTION("""COMPUTED_VALUE"""),428.04)</f>
        <v>428.04</v>
      </c>
      <c r="BN335" s="71">
        <f>IFERROR(__xludf.DUMMYFUNCTION("""COMPUTED_VALUE"""),348.5)</f>
        <v>348.5</v>
      </c>
      <c r="BO335" s="71">
        <f>IFERROR(__xludf.DUMMYFUNCTION("""COMPUTED_VALUE"""),55.76)</f>
        <v>55.76</v>
      </c>
      <c r="BP335" s="71">
        <f>IFERROR(__xludf.DUMMYFUNCTION("""COMPUTED_VALUE"""),404.26)</f>
        <v>404.26</v>
      </c>
      <c r="BQ335" s="71">
        <f>IFERROR(__xludf.DUMMYFUNCTION("""COMPUTED_VALUE"""),340.3)</f>
        <v>340.3</v>
      </c>
      <c r="BR335" s="71">
        <f>IFERROR(__xludf.DUMMYFUNCTION("""COMPUTED_VALUE"""),54.448)</f>
        <v>54.448</v>
      </c>
      <c r="BS335" s="71">
        <f>IFERROR(__xludf.DUMMYFUNCTION("""COMPUTED_VALUE"""),394.748)</f>
        <v>394.748</v>
      </c>
      <c r="BT335" s="71">
        <f>IFERROR(__xludf.DUMMYFUNCTION("""COMPUTED_VALUE"""),328.0)</f>
        <v>328</v>
      </c>
      <c r="BU335" s="71">
        <f>IFERROR(__xludf.DUMMYFUNCTION("""COMPUTED_VALUE"""),52.480000000000004)</f>
        <v>52.48</v>
      </c>
      <c r="BV335" s="71">
        <f>IFERROR(__xludf.DUMMYFUNCTION("""COMPUTED_VALUE"""),380.48)</f>
        <v>380.48</v>
      </c>
    </row>
    <row r="336">
      <c r="A336" s="53"/>
      <c r="B336" s="72"/>
      <c r="C336" s="73" t="s">
        <v>53</v>
      </c>
      <c r="D336" s="53" t="s">
        <v>848</v>
      </c>
      <c r="E336" s="54" t="s">
        <v>38</v>
      </c>
      <c r="F336" s="54" t="s">
        <v>42</v>
      </c>
      <c r="G336" s="54" t="s">
        <v>849</v>
      </c>
      <c r="H336" s="54" t="s">
        <v>850</v>
      </c>
      <c r="I336" s="54">
        <f t="shared" si="1"/>
        <v>34</v>
      </c>
      <c r="J336" s="56"/>
      <c r="K336" s="57"/>
      <c r="L336" s="76"/>
      <c r="M336" s="59"/>
      <c r="N336" s="60"/>
      <c r="O336" s="61">
        <v>4560.0</v>
      </c>
      <c r="P336" s="62">
        <v>4924.8</v>
      </c>
      <c r="Q336" s="63">
        <v>4924.8</v>
      </c>
      <c r="R336" s="64">
        <v>5172.0</v>
      </c>
      <c r="S336" s="111">
        <v>5431.0</v>
      </c>
      <c r="T336" s="65">
        <f t="shared" si="2"/>
        <v>868.96</v>
      </c>
      <c r="U336" s="65">
        <f t="shared" si="3"/>
        <v>6299.96</v>
      </c>
      <c r="V336" s="66">
        <f t="shared" si="4"/>
        <v>0.05007733952</v>
      </c>
      <c r="W336" s="67">
        <f t="shared" si="5"/>
        <v>5159.45</v>
      </c>
      <c r="X336" s="67">
        <f t="shared" si="6"/>
        <v>825.512</v>
      </c>
      <c r="Y336" s="67">
        <f t="shared" si="7"/>
        <v>5984.962</v>
      </c>
      <c r="Z336" s="67">
        <f t="shared" si="8"/>
        <v>4887.9</v>
      </c>
      <c r="AA336" s="67">
        <f t="shared" si="9"/>
        <v>782.064</v>
      </c>
      <c r="AB336" s="67">
        <f t="shared" si="10"/>
        <v>5669.964</v>
      </c>
      <c r="AC336" s="67">
        <f t="shared" si="11"/>
        <v>4616.35</v>
      </c>
      <c r="AD336" s="67">
        <f t="shared" si="12"/>
        <v>738.616</v>
      </c>
      <c r="AE336" s="67">
        <f t="shared" si="13"/>
        <v>5354.966</v>
      </c>
      <c r="AF336" s="67">
        <f t="shared" si="14"/>
        <v>4507.73</v>
      </c>
      <c r="AG336" s="67">
        <f t="shared" si="15"/>
        <v>721.2368</v>
      </c>
      <c r="AH336" s="67">
        <f t="shared" si="16"/>
        <v>5228.9668</v>
      </c>
      <c r="AI336" s="67">
        <f t="shared" si="17"/>
        <v>4344.8</v>
      </c>
      <c r="AJ336" s="68">
        <f t="shared" si="20"/>
        <v>695.168</v>
      </c>
      <c r="AK336" s="68">
        <f t="shared" si="21"/>
        <v>5039.968</v>
      </c>
      <c r="AL336" s="70">
        <f>IFERROR(__xludf.DUMMYFUNCTION("""COMPUTED_VALUE"""),1.0)</f>
        <v>1</v>
      </c>
      <c r="AM336" s="70"/>
      <c r="AN336" s="71" t="str">
        <f>IFERROR(__xludf.DUMMYFUNCTION("""COMPUTED_VALUE""")," CP")</f>
        <v>CP</v>
      </c>
      <c r="AO336" s="71" t="str">
        <f>IFERROR(__xludf.DUMMYFUNCTION("""COMPUTED_VALUE""")," CA73")</f>
        <v>CA73</v>
      </c>
      <c r="AP336" s="71" t="str">
        <f>IFERROR(__xludf.DUMMYFUNCTION("""COMPUTED_VALUE""")," PZA")</f>
        <v>PZA</v>
      </c>
      <c r="AQ336" s="71" t="str">
        <f>IFERROR(__xludf.DUMMYFUNCTION("""COMPUTED_VALUE""")," REF")</f>
        <v>REF</v>
      </c>
      <c r="AR336" s="71" t="str">
        <f>IFERROR(__xludf.DUMMYFUNCTION("""COMPUTED_VALUE""")," CATARINA 40B26 DOBLE E.1"" C.1/4")</f>
        <v>CATARINA 40B26 DOBLE E.1" C.1/4</v>
      </c>
      <c r="AS336" s="71" t="str">
        <f>IFERROR(__xludf.DUMMYFUNCTION("""COMPUTED_VALUE""")," CATARINA 40B26 DOBLE E.1"" C.1/4")</f>
        <v>CATARINA 40B26 DOBLE E.1" C.1/4</v>
      </c>
      <c r="AT336" s="71">
        <f>IFERROR(__xludf.DUMMYFUNCTION("""COMPUTED_VALUE"""),31.0)</f>
        <v>31</v>
      </c>
      <c r="AU336" s="71"/>
      <c r="AV336" s="71"/>
      <c r="AW336" s="71"/>
      <c r="AX336" s="71"/>
      <c r="AY336" s="71">
        <f>IFERROR(__xludf.DUMMYFUNCTION("""COMPUTED_VALUE"""),292.0)</f>
        <v>292</v>
      </c>
      <c r="AZ336" s="71">
        <f>IFERROR(__xludf.DUMMYFUNCTION("""COMPUTED_VALUE"""),315.0)</f>
        <v>315</v>
      </c>
      <c r="BA336" s="71">
        <f>IFERROR(__xludf.DUMMYFUNCTION("""COMPUTED_VALUE"""),200.0)</f>
        <v>200</v>
      </c>
      <c r="BB336" s="71">
        <f>IFERROR(__xludf.DUMMYFUNCTION("""COMPUTED_VALUE"""),200.0)</f>
        <v>200</v>
      </c>
      <c r="BC336" s="71">
        <f>IFERROR(__xludf.DUMMYFUNCTION("""COMPUTED_VALUE"""),390.0)</f>
        <v>390</v>
      </c>
      <c r="BD336" s="71">
        <f>IFERROR(__xludf.DUMMYFUNCTION("""COMPUTED_VALUE"""),410.0)</f>
        <v>410</v>
      </c>
      <c r="BE336" s="71">
        <f>IFERROR(__xludf.DUMMYFUNCTION("""COMPUTED_VALUE"""),65.6)</f>
        <v>65.6</v>
      </c>
      <c r="BF336" s="71">
        <f>IFERROR(__xludf.DUMMYFUNCTION("""COMPUTED_VALUE"""),475.6)</f>
        <v>475.6</v>
      </c>
      <c r="BG336" s="71">
        <f>IFERROR(__xludf.DUMMYFUNCTION("""COMPUTED_VALUE"""),0.05128205128205128)</f>
        <v>0.05128205128</v>
      </c>
      <c r="BH336" s="71">
        <f>IFERROR(__xludf.DUMMYFUNCTION("""COMPUTED_VALUE"""),389.5)</f>
        <v>389.5</v>
      </c>
      <c r="BI336" s="71">
        <f>IFERROR(__xludf.DUMMYFUNCTION("""COMPUTED_VALUE"""),62.32)</f>
        <v>62.32</v>
      </c>
      <c r="BJ336" s="71">
        <f>IFERROR(__xludf.DUMMYFUNCTION("""COMPUTED_VALUE"""),451.82)</f>
        <v>451.82</v>
      </c>
      <c r="BK336" s="71">
        <f>IFERROR(__xludf.DUMMYFUNCTION("""COMPUTED_VALUE"""),369.0)</f>
        <v>369</v>
      </c>
      <c r="BL336" s="71">
        <f>IFERROR(__xludf.DUMMYFUNCTION("""COMPUTED_VALUE"""),59.04)</f>
        <v>59.04</v>
      </c>
      <c r="BM336" s="71">
        <f>IFERROR(__xludf.DUMMYFUNCTION("""COMPUTED_VALUE"""),428.04)</f>
        <v>428.04</v>
      </c>
      <c r="BN336" s="71">
        <f>IFERROR(__xludf.DUMMYFUNCTION("""COMPUTED_VALUE"""),348.5)</f>
        <v>348.5</v>
      </c>
      <c r="BO336" s="71">
        <f>IFERROR(__xludf.DUMMYFUNCTION("""COMPUTED_VALUE"""),55.76)</f>
        <v>55.76</v>
      </c>
      <c r="BP336" s="71">
        <f>IFERROR(__xludf.DUMMYFUNCTION("""COMPUTED_VALUE"""),404.26)</f>
        <v>404.26</v>
      </c>
      <c r="BQ336" s="71">
        <f>IFERROR(__xludf.DUMMYFUNCTION("""COMPUTED_VALUE"""),340.3)</f>
        <v>340.3</v>
      </c>
      <c r="BR336" s="71">
        <f>IFERROR(__xludf.DUMMYFUNCTION("""COMPUTED_VALUE"""),54.448)</f>
        <v>54.448</v>
      </c>
      <c r="BS336" s="71">
        <f>IFERROR(__xludf.DUMMYFUNCTION("""COMPUTED_VALUE"""),394.748)</f>
        <v>394.748</v>
      </c>
      <c r="BT336" s="71">
        <f>IFERROR(__xludf.DUMMYFUNCTION("""COMPUTED_VALUE"""),328.0)</f>
        <v>328</v>
      </c>
      <c r="BU336" s="71">
        <f>IFERROR(__xludf.DUMMYFUNCTION("""COMPUTED_VALUE"""),52.480000000000004)</f>
        <v>52.48</v>
      </c>
      <c r="BV336" s="71">
        <f>IFERROR(__xludf.DUMMYFUNCTION("""COMPUTED_VALUE"""),380.48)</f>
        <v>380.48</v>
      </c>
    </row>
    <row r="337">
      <c r="A337" s="53">
        <v>1.0</v>
      </c>
      <c r="B337" s="53"/>
      <c r="C337" s="73" t="s">
        <v>53</v>
      </c>
      <c r="D337" s="53" t="s">
        <v>851</v>
      </c>
      <c r="E337" s="54" t="s">
        <v>38</v>
      </c>
      <c r="F337" s="54" t="s">
        <v>42</v>
      </c>
      <c r="G337" s="54" t="s">
        <v>852</v>
      </c>
      <c r="H337" s="54" t="s">
        <v>853</v>
      </c>
      <c r="I337" s="54">
        <f t="shared" si="1"/>
        <v>23</v>
      </c>
      <c r="J337" s="56"/>
      <c r="K337" s="57"/>
      <c r="L337" s="87"/>
      <c r="M337" s="59"/>
      <c r="N337" s="60">
        <v>5557.0</v>
      </c>
      <c r="O337" s="61">
        <v>6001.0</v>
      </c>
      <c r="P337" s="62">
        <v>6481.080000000001</v>
      </c>
      <c r="Q337" s="63">
        <v>6481.080000000001</v>
      </c>
      <c r="R337" s="64">
        <v>7214.0</v>
      </c>
      <c r="S337" s="111">
        <v>7575.0</v>
      </c>
      <c r="T337" s="65">
        <f t="shared" si="2"/>
        <v>1212</v>
      </c>
      <c r="U337" s="65">
        <f t="shared" si="3"/>
        <v>8787</v>
      </c>
      <c r="V337" s="66">
        <f t="shared" si="4"/>
        <v>0.05004158581</v>
      </c>
      <c r="W337" s="67">
        <f t="shared" si="5"/>
        <v>7196.25</v>
      </c>
      <c r="X337" s="67">
        <f t="shared" si="6"/>
        <v>1151.4</v>
      </c>
      <c r="Y337" s="67">
        <f t="shared" si="7"/>
        <v>8347.65</v>
      </c>
      <c r="Z337" s="67">
        <f t="shared" si="8"/>
        <v>6817.5</v>
      </c>
      <c r="AA337" s="67">
        <f t="shared" si="9"/>
        <v>1090.8</v>
      </c>
      <c r="AB337" s="67">
        <f t="shared" si="10"/>
        <v>7908.3</v>
      </c>
      <c r="AC337" s="67">
        <f t="shared" si="11"/>
        <v>6438.75</v>
      </c>
      <c r="AD337" s="67">
        <f t="shared" si="12"/>
        <v>1030.2</v>
      </c>
      <c r="AE337" s="67">
        <f t="shared" si="13"/>
        <v>7468.95</v>
      </c>
      <c r="AF337" s="67">
        <f t="shared" si="14"/>
        <v>6287.25</v>
      </c>
      <c r="AG337" s="67">
        <f t="shared" si="15"/>
        <v>1005.96</v>
      </c>
      <c r="AH337" s="67">
        <f t="shared" si="16"/>
        <v>7293.21</v>
      </c>
      <c r="AI337" s="67">
        <f t="shared" si="17"/>
        <v>6060</v>
      </c>
      <c r="AJ337" s="68">
        <f t="shared" si="20"/>
        <v>969.6</v>
      </c>
      <c r="AK337" s="68">
        <f t="shared" si="21"/>
        <v>7029.6</v>
      </c>
      <c r="AL337" s="70">
        <f>IFERROR(__xludf.DUMMYFUNCTION("""COMPUTED_VALUE"""),1.0)</f>
        <v>1</v>
      </c>
      <c r="AM337" s="70"/>
      <c r="AN337" s="71" t="str">
        <f>IFERROR(__xludf.DUMMYFUNCTION("""COMPUTED_VALUE""")," CP")</f>
        <v>CP</v>
      </c>
      <c r="AO337" s="71" t="str">
        <f>IFERROR(__xludf.DUMMYFUNCTION("""COMPUTED_VALUE""")," CA72")</f>
        <v>CA72</v>
      </c>
      <c r="AP337" s="71" t="str">
        <f>IFERROR(__xludf.DUMMYFUNCTION("""COMPUTED_VALUE""")," PZA")</f>
        <v>PZA</v>
      </c>
      <c r="AQ337" s="71" t="str">
        <f>IFERROR(__xludf.DUMMYFUNCTION("""COMPUTED_VALUE""")," REF")</f>
        <v>REF</v>
      </c>
      <c r="AR337" s="71" t="str">
        <f>IFERROR(__xludf.DUMMYFUNCTION("""COMPUTED_VALUE""")," CATARINA 40B26 E.1-1/4"" C.1/4")</f>
        <v>CATARINA 40B26 E.1-1/4" C.1/4</v>
      </c>
      <c r="AS337" s="71" t="str">
        <f>IFERROR(__xludf.DUMMYFUNCTION("""COMPUTED_VALUE""")," CATARINA 40B26 E.1-1/4"" C.1/4")</f>
        <v>CATARINA 40B26 E.1-1/4" C.1/4</v>
      </c>
      <c r="AT337" s="71">
        <f>IFERROR(__xludf.DUMMYFUNCTION("""COMPUTED_VALUE"""),29.0)</f>
        <v>29</v>
      </c>
      <c r="AU337" s="71"/>
      <c r="AV337" s="71"/>
      <c r="AW337" s="71"/>
      <c r="AX337" s="71"/>
      <c r="AY337" s="71">
        <f>IFERROR(__xludf.DUMMYFUNCTION("""COMPUTED_VALUE"""),258.0)</f>
        <v>258</v>
      </c>
      <c r="AZ337" s="71">
        <f>IFERROR(__xludf.DUMMYFUNCTION("""COMPUTED_VALUE"""),278.0)</f>
        <v>278</v>
      </c>
      <c r="BA337" s="71">
        <f>IFERROR(__xludf.DUMMYFUNCTION("""COMPUTED_VALUE"""),145.0)</f>
        <v>145</v>
      </c>
      <c r="BB337" s="71">
        <f>IFERROR(__xludf.DUMMYFUNCTION("""COMPUTED_VALUE"""),145.0)</f>
        <v>145</v>
      </c>
      <c r="BC337" s="71">
        <f>IFERROR(__xludf.DUMMYFUNCTION("""COMPUTED_VALUE"""),184.0)</f>
        <v>184</v>
      </c>
      <c r="BD337" s="71">
        <f>IFERROR(__xludf.DUMMYFUNCTION("""COMPUTED_VALUE"""),193.0)</f>
        <v>193</v>
      </c>
      <c r="BE337" s="71">
        <f>IFERROR(__xludf.DUMMYFUNCTION("""COMPUTED_VALUE"""),30.88)</f>
        <v>30.88</v>
      </c>
      <c r="BF337" s="71">
        <f>IFERROR(__xludf.DUMMYFUNCTION("""COMPUTED_VALUE"""),223.88)</f>
        <v>223.88</v>
      </c>
      <c r="BG337" s="71">
        <f>IFERROR(__xludf.DUMMYFUNCTION("""COMPUTED_VALUE"""),0.04891304347826087)</f>
        <v>0.04891304348</v>
      </c>
      <c r="BH337" s="71">
        <f>IFERROR(__xludf.DUMMYFUNCTION("""COMPUTED_VALUE"""),183.35)</f>
        <v>183.35</v>
      </c>
      <c r="BI337" s="71">
        <f>IFERROR(__xludf.DUMMYFUNCTION("""COMPUTED_VALUE"""),29.336)</f>
        <v>29.336</v>
      </c>
      <c r="BJ337" s="71">
        <f>IFERROR(__xludf.DUMMYFUNCTION("""COMPUTED_VALUE"""),212.68599999999998)</f>
        <v>212.686</v>
      </c>
      <c r="BK337" s="71">
        <f>IFERROR(__xludf.DUMMYFUNCTION("""COMPUTED_VALUE"""),173.70000000000002)</f>
        <v>173.7</v>
      </c>
      <c r="BL337" s="71">
        <f>IFERROR(__xludf.DUMMYFUNCTION("""COMPUTED_VALUE"""),27.792)</f>
        <v>27.792</v>
      </c>
      <c r="BM337" s="71">
        <f>IFERROR(__xludf.DUMMYFUNCTION("""COMPUTED_VALUE"""),201.49200000000002)</f>
        <v>201.492</v>
      </c>
      <c r="BN337" s="71">
        <f>IFERROR(__xludf.DUMMYFUNCTION("""COMPUTED_VALUE"""),164.04999999999998)</f>
        <v>164.05</v>
      </c>
      <c r="BO337" s="71">
        <f>IFERROR(__xludf.DUMMYFUNCTION("""COMPUTED_VALUE"""),26.247999999999998)</f>
        <v>26.248</v>
      </c>
      <c r="BP337" s="71">
        <f>IFERROR(__xludf.DUMMYFUNCTION("""COMPUTED_VALUE"""),190.29799999999997)</f>
        <v>190.298</v>
      </c>
      <c r="BQ337" s="71">
        <f>IFERROR(__xludf.DUMMYFUNCTION("""COMPUTED_VALUE"""),160.19)</f>
        <v>160.19</v>
      </c>
      <c r="BR337" s="71">
        <f>IFERROR(__xludf.DUMMYFUNCTION("""COMPUTED_VALUE"""),25.6304)</f>
        <v>25.6304</v>
      </c>
      <c r="BS337" s="71">
        <f>IFERROR(__xludf.DUMMYFUNCTION("""COMPUTED_VALUE"""),185.8204)</f>
        <v>185.8204</v>
      </c>
      <c r="BT337" s="71">
        <f>IFERROR(__xludf.DUMMYFUNCTION("""COMPUTED_VALUE"""),154.4)</f>
        <v>154.4</v>
      </c>
      <c r="BU337" s="71">
        <f>IFERROR(__xludf.DUMMYFUNCTION("""COMPUTED_VALUE"""),24.704)</f>
        <v>24.704</v>
      </c>
      <c r="BV337" s="71">
        <f>IFERROR(__xludf.DUMMYFUNCTION("""COMPUTED_VALUE"""),179.104)</f>
        <v>179.104</v>
      </c>
    </row>
    <row r="338">
      <c r="A338" s="53">
        <v>1.0</v>
      </c>
      <c r="B338" s="72"/>
      <c r="C338" s="73" t="s">
        <v>53</v>
      </c>
      <c r="D338" s="74" t="s">
        <v>854</v>
      </c>
      <c r="E338" s="55" t="s">
        <v>38</v>
      </c>
      <c r="F338" s="54" t="s">
        <v>42</v>
      </c>
      <c r="G338" s="55" t="s">
        <v>855</v>
      </c>
      <c r="H338" s="54" t="s">
        <v>856</v>
      </c>
      <c r="I338" s="54">
        <f t="shared" si="1"/>
        <v>36</v>
      </c>
      <c r="J338" s="56"/>
      <c r="K338" s="75"/>
      <c r="L338" s="76"/>
      <c r="M338" s="59"/>
      <c r="N338" s="60">
        <v>3973.0</v>
      </c>
      <c r="O338" s="61">
        <v>4290.0</v>
      </c>
      <c r="P338" s="62">
        <v>4633.200000000001</v>
      </c>
      <c r="Q338" s="63">
        <v>4633.200000000001</v>
      </c>
      <c r="R338" s="64">
        <v>5109.0</v>
      </c>
      <c r="S338" s="111">
        <v>5364.0</v>
      </c>
      <c r="T338" s="65">
        <f t="shared" si="2"/>
        <v>858.24</v>
      </c>
      <c r="U338" s="65">
        <f t="shared" si="3"/>
        <v>6222.24</v>
      </c>
      <c r="V338" s="66">
        <f t="shared" si="4"/>
        <v>0.04991192014</v>
      </c>
      <c r="W338" s="67">
        <f t="shared" si="5"/>
        <v>5095.8</v>
      </c>
      <c r="X338" s="67">
        <f t="shared" si="6"/>
        <v>815.328</v>
      </c>
      <c r="Y338" s="67">
        <f t="shared" si="7"/>
        <v>5911.128</v>
      </c>
      <c r="Z338" s="67">
        <f t="shared" si="8"/>
        <v>4827.6</v>
      </c>
      <c r="AA338" s="67">
        <f t="shared" si="9"/>
        <v>772.416</v>
      </c>
      <c r="AB338" s="67">
        <f t="shared" si="10"/>
        <v>5600.016</v>
      </c>
      <c r="AC338" s="67">
        <f t="shared" si="11"/>
        <v>4559.4</v>
      </c>
      <c r="AD338" s="67">
        <f t="shared" si="12"/>
        <v>729.504</v>
      </c>
      <c r="AE338" s="67">
        <f t="shared" si="13"/>
        <v>5288.904</v>
      </c>
      <c r="AF338" s="67">
        <f t="shared" si="14"/>
        <v>4452.12</v>
      </c>
      <c r="AG338" s="67">
        <f t="shared" si="15"/>
        <v>712.3392</v>
      </c>
      <c r="AH338" s="67">
        <f t="shared" si="16"/>
        <v>5164.4592</v>
      </c>
      <c r="AI338" s="67">
        <f t="shared" si="17"/>
        <v>4291.2</v>
      </c>
      <c r="AJ338" s="68">
        <f t="shared" si="20"/>
        <v>686.592</v>
      </c>
      <c r="AK338" s="68">
        <f t="shared" si="21"/>
        <v>4977.792</v>
      </c>
      <c r="AL338" s="70">
        <f>IFERROR(__xludf.DUMMYFUNCTION("""COMPUTED_VALUE"""),1.0)</f>
        <v>1</v>
      </c>
      <c r="AM338" s="70"/>
      <c r="AN338" s="71" t="str">
        <f>IFERROR(__xludf.DUMMYFUNCTION("""COMPUTED_VALUE""")," CP")</f>
        <v>CP</v>
      </c>
      <c r="AO338" s="71" t="str">
        <f>IFERROR(__xludf.DUMMYFUNCTION("""COMPUTED_VALUE""")," CA71")</f>
        <v>CA71</v>
      </c>
      <c r="AP338" s="71" t="str">
        <f>IFERROR(__xludf.DUMMYFUNCTION("""COMPUTED_VALUE""")," PZA")</f>
        <v>PZA</v>
      </c>
      <c r="AQ338" s="71" t="str">
        <f>IFERROR(__xludf.DUMMYFUNCTION("""COMPUTED_VALUE""")," REF")</f>
        <v>REF</v>
      </c>
      <c r="AR338" s="71" t="str">
        <f>IFERROR(__xludf.DUMMYFUNCTION("""COMPUTED_VALUE""")," CATARINA 40B26 E.1"" C.1/4")</f>
        <v>CATARINA 40B26 E.1" C.1/4</v>
      </c>
      <c r="AS338" s="71" t="str">
        <f>IFERROR(__xludf.DUMMYFUNCTION("""COMPUTED_VALUE""")," CATARINA 40B26 E.1"" C.1/4")</f>
        <v>CATARINA 40B26 E.1" C.1/4</v>
      </c>
      <c r="AT338" s="71">
        <f>IFERROR(__xludf.DUMMYFUNCTION("""COMPUTED_VALUE"""),25.0)</f>
        <v>25</v>
      </c>
      <c r="AU338" s="71"/>
      <c r="AV338" s="71"/>
      <c r="AW338" s="71"/>
      <c r="AX338" s="71"/>
      <c r="AY338" s="71">
        <f>IFERROR(__xludf.DUMMYFUNCTION("""COMPUTED_VALUE"""),257.0)</f>
        <v>257</v>
      </c>
      <c r="AZ338" s="71">
        <f>IFERROR(__xludf.DUMMYFUNCTION("""COMPUTED_VALUE"""),278.0)</f>
        <v>278</v>
      </c>
      <c r="BA338" s="71">
        <f>IFERROR(__xludf.DUMMYFUNCTION("""COMPUTED_VALUE"""),145.0)</f>
        <v>145</v>
      </c>
      <c r="BB338" s="71">
        <f>IFERROR(__xludf.DUMMYFUNCTION("""COMPUTED_VALUE"""),145.0)</f>
        <v>145</v>
      </c>
      <c r="BC338" s="71">
        <f>IFERROR(__xludf.DUMMYFUNCTION("""COMPUTED_VALUE"""),184.0)</f>
        <v>184</v>
      </c>
      <c r="BD338" s="71">
        <f>IFERROR(__xludf.DUMMYFUNCTION("""COMPUTED_VALUE"""),193.0)</f>
        <v>193</v>
      </c>
      <c r="BE338" s="71">
        <f>IFERROR(__xludf.DUMMYFUNCTION("""COMPUTED_VALUE"""),30.88)</f>
        <v>30.88</v>
      </c>
      <c r="BF338" s="71">
        <f>IFERROR(__xludf.DUMMYFUNCTION("""COMPUTED_VALUE"""),223.88)</f>
        <v>223.88</v>
      </c>
      <c r="BG338" s="71">
        <f>IFERROR(__xludf.DUMMYFUNCTION("""COMPUTED_VALUE"""),0.04891304347826087)</f>
        <v>0.04891304348</v>
      </c>
      <c r="BH338" s="71">
        <f>IFERROR(__xludf.DUMMYFUNCTION("""COMPUTED_VALUE"""),183.35)</f>
        <v>183.35</v>
      </c>
      <c r="BI338" s="71">
        <f>IFERROR(__xludf.DUMMYFUNCTION("""COMPUTED_VALUE"""),29.336)</f>
        <v>29.336</v>
      </c>
      <c r="BJ338" s="71">
        <f>IFERROR(__xludf.DUMMYFUNCTION("""COMPUTED_VALUE"""),212.68599999999998)</f>
        <v>212.686</v>
      </c>
      <c r="BK338" s="71">
        <f>IFERROR(__xludf.DUMMYFUNCTION("""COMPUTED_VALUE"""),173.70000000000002)</f>
        <v>173.7</v>
      </c>
      <c r="BL338" s="71">
        <f>IFERROR(__xludf.DUMMYFUNCTION("""COMPUTED_VALUE"""),27.792)</f>
        <v>27.792</v>
      </c>
      <c r="BM338" s="71">
        <f>IFERROR(__xludf.DUMMYFUNCTION("""COMPUTED_VALUE"""),201.49200000000002)</f>
        <v>201.492</v>
      </c>
      <c r="BN338" s="71">
        <f>IFERROR(__xludf.DUMMYFUNCTION("""COMPUTED_VALUE"""),164.04999999999998)</f>
        <v>164.05</v>
      </c>
      <c r="BO338" s="71">
        <f>IFERROR(__xludf.DUMMYFUNCTION("""COMPUTED_VALUE"""),26.247999999999998)</f>
        <v>26.248</v>
      </c>
      <c r="BP338" s="71">
        <f>IFERROR(__xludf.DUMMYFUNCTION("""COMPUTED_VALUE"""),190.29799999999997)</f>
        <v>190.298</v>
      </c>
      <c r="BQ338" s="71">
        <f>IFERROR(__xludf.DUMMYFUNCTION("""COMPUTED_VALUE"""),160.19)</f>
        <v>160.19</v>
      </c>
      <c r="BR338" s="71">
        <f>IFERROR(__xludf.DUMMYFUNCTION("""COMPUTED_VALUE"""),25.6304)</f>
        <v>25.6304</v>
      </c>
      <c r="BS338" s="71">
        <f>IFERROR(__xludf.DUMMYFUNCTION("""COMPUTED_VALUE"""),185.8204)</f>
        <v>185.8204</v>
      </c>
      <c r="BT338" s="71">
        <f>IFERROR(__xludf.DUMMYFUNCTION("""COMPUTED_VALUE"""),154.4)</f>
        <v>154.4</v>
      </c>
      <c r="BU338" s="71">
        <f>IFERROR(__xludf.DUMMYFUNCTION("""COMPUTED_VALUE"""),24.704)</f>
        <v>24.704</v>
      </c>
      <c r="BV338" s="71">
        <f>IFERROR(__xludf.DUMMYFUNCTION("""COMPUTED_VALUE"""),179.104)</f>
        <v>179.104</v>
      </c>
    </row>
    <row r="339">
      <c r="A339" s="53">
        <v>1.0</v>
      </c>
      <c r="B339" s="53"/>
      <c r="C339" s="73" t="s">
        <v>53</v>
      </c>
      <c r="D339" s="74" t="s">
        <v>857</v>
      </c>
      <c r="E339" s="54" t="s">
        <v>38</v>
      </c>
      <c r="F339" s="54" t="s">
        <v>42</v>
      </c>
      <c r="G339" s="54" t="s">
        <v>858</v>
      </c>
      <c r="H339" s="54" t="s">
        <v>859</v>
      </c>
      <c r="I339" s="54">
        <f t="shared" si="1"/>
        <v>40</v>
      </c>
      <c r="J339" s="56"/>
      <c r="K339" s="57"/>
      <c r="L339" s="76"/>
      <c r="M339" s="59"/>
      <c r="N339" s="60">
        <v>26659.5</v>
      </c>
      <c r="O339" s="61">
        <v>28792.0</v>
      </c>
      <c r="P339" s="62">
        <v>31095.36</v>
      </c>
      <c r="Q339" s="63">
        <v>31095.36</v>
      </c>
      <c r="R339" s="64">
        <v>32650.0</v>
      </c>
      <c r="S339" s="111">
        <v>34283.0</v>
      </c>
      <c r="T339" s="65">
        <f t="shared" si="2"/>
        <v>5485.28</v>
      </c>
      <c r="U339" s="65">
        <f t="shared" si="3"/>
        <v>39768.28</v>
      </c>
      <c r="V339" s="66">
        <f t="shared" si="4"/>
        <v>0.05001531394</v>
      </c>
      <c r="W339" s="67">
        <f t="shared" si="5"/>
        <v>32568.85</v>
      </c>
      <c r="X339" s="67">
        <f t="shared" si="6"/>
        <v>5211.016</v>
      </c>
      <c r="Y339" s="67">
        <f t="shared" si="7"/>
        <v>37779.866</v>
      </c>
      <c r="Z339" s="67">
        <f t="shared" si="8"/>
        <v>30854.7</v>
      </c>
      <c r="AA339" s="67">
        <f t="shared" si="9"/>
        <v>4936.752</v>
      </c>
      <c r="AB339" s="67">
        <f t="shared" si="10"/>
        <v>35791.452</v>
      </c>
      <c r="AC339" s="67">
        <f t="shared" si="11"/>
        <v>29140.55</v>
      </c>
      <c r="AD339" s="67">
        <f t="shared" si="12"/>
        <v>4662.488</v>
      </c>
      <c r="AE339" s="67">
        <f t="shared" si="13"/>
        <v>33803.038</v>
      </c>
      <c r="AF339" s="67">
        <f t="shared" si="14"/>
        <v>28454.89</v>
      </c>
      <c r="AG339" s="67">
        <f t="shared" si="15"/>
        <v>4552.7824</v>
      </c>
      <c r="AH339" s="67">
        <f t="shared" si="16"/>
        <v>33007.6724</v>
      </c>
      <c r="AI339" s="67">
        <f t="shared" si="17"/>
        <v>27426.4</v>
      </c>
      <c r="AJ339" s="68">
        <f t="shared" si="20"/>
        <v>4388.224</v>
      </c>
      <c r="AK339" s="68">
        <f t="shared" si="21"/>
        <v>31814.624</v>
      </c>
      <c r="AL339" s="70">
        <f>IFERROR(__xludf.DUMMYFUNCTION("""COMPUTED_VALUE"""),1.0)</f>
        <v>1</v>
      </c>
      <c r="AM339" s="70"/>
      <c r="AN339" s="71" t="str">
        <f>IFERROR(__xludf.DUMMYFUNCTION("""COMPUTED_VALUE""")," CP")</f>
        <v>CP</v>
      </c>
      <c r="AO339" s="71" t="str">
        <f>IFERROR(__xludf.DUMMYFUNCTION("""COMPUTED_VALUE""")," CA212")</f>
        <v>CA212</v>
      </c>
      <c r="AP339" s="71" t="str">
        <f>IFERROR(__xludf.DUMMYFUNCTION("""COMPUTED_VALUE""")," PZA")</f>
        <v>PZA</v>
      </c>
      <c r="AQ339" s="71" t="str">
        <f>IFERROR(__xludf.DUMMYFUNCTION("""COMPUTED_VALUE""")," REF")</f>
        <v>REF</v>
      </c>
      <c r="AR339" s="71" t="str">
        <f>IFERROR(__xludf.DUMMYFUNCTION("""COMPUTED_VALUE""")," CATARINA 40B26 E.15/16""")</f>
        <v>CATARINA 40B26 E.15/16"</v>
      </c>
      <c r="AS339" s="71" t="str">
        <f>IFERROR(__xludf.DUMMYFUNCTION("""COMPUTED_VALUE""")," CATARINA 40B26 E.15/16""")</f>
        <v>CATARINA 40B26 E.15/16"</v>
      </c>
      <c r="AT339" s="71">
        <f>IFERROR(__xludf.DUMMYFUNCTION("""COMPUTED_VALUE"""),23.0)</f>
        <v>23</v>
      </c>
      <c r="AU339" s="71"/>
      <c r="AV339" s="71"/>
      <c r="AW339" s="71"/>
      <c r="AX339" s="71"/>
      <c r="AY339" s="71"/>
      <c r="AZ339" s="71"/>
      <c r="BA339" s="71">
        <f>IFERROR(__xludf.DUMMYFUNCTION("""COMPUTED_VALUE"""),140.0)</f>
        <v>140</v>
      </c>
      <c r="BB339" s="71">
        <f>IFERROR(__xludf.DUMMYFUNCTION("""COMPUTED_VALUE"""),140.0)</f>
        <v>140</v>
      </c>
      <c r="BC339" s="71">
        <f>IFERROR(__xludf.DUMMYFUNCTION("""COMPUTED_VALUE"""),152.0)</f>
        <v>152</v>
      </c>
      <c r="BD339" s="71">
        <f>IFERROR(__xludf.DUMMYFUNCTION("""COMPUTED_VALUE"""),160.0)</f>
        <v>160</v>
      </c>
      <c r="BE339" s="71">
        <f>IFERROR(__xludf.DUMMYFUNCTION("""COMPUTED_VALUE"""),25.6)</f>
        <v>25.6</v>
      </c>
      <c r="BF339" s="71">
        <f>IFERROR(__xludf.DUMMYFUNCTION("""COMPUTED_VALUE"""),185.6)</f>
        <v>185.6</v>
      </c>
      <c r="BG339" s="71">
        <f>IFERROR(__xludf.DUMMYFUNCTION("""COMPUTED_VALUE"""),0.05263157894736842)</f>
        <v>0.05263157895</v>
      </c>
      <c r="BH339" s="71">
        <f>IFERROR(__xludf.DUMMYFUNCTION("""COMPUTED_VALUE"""),152.0)</f>
        <v>152</v>
      </c>
      <c r="BI339" s="71">
        <f>IFERROR(__xludf.DUMMYFUNCTION("""COMPUTED_VALUE"""),24.32)</f>
        <v>24.32</v>
      </c>
      <c r="BJ339" s="71">
        <f>IFERROR(__xludf.DUMMYFUNCTION("""COMPUTED_VALUE"""),176.32)</f>
        <v>176.32</v>
      </c>
      <c r="BK339" s="71">
        <f>IFERROR(__xludf.DUMMYFUNCTION("""COMPUTED_VALUE"""),144.0)</f>
        <v>144</v>
      </c>
      <c r="BL339" s="71">
        <f>IFERROR(__xludf.DUMMYFUNCTION("""COMPUTED_VALUE"""),23.04)</f>
        <v>23.04</v>
      </c>
      <c r="BM339" s="71">
        <f>IFERROR(__xludf.DUMMYFUNCTION("""COMPUTED_VALUE"""),167.04)</f>
        <v>167.04</v>
      </c>
      <c r="BN339" s="71">
        <f>IFERROR(__xludf.DUMMYFUNCTION("""COMPUTED_VALUE"""),136.0)</f>
        <v>136</v>
      </c>
      <c r="BO339" s="71">
        <f>IFERROR(__xludf.DUMMYFUNCTION("""COMPUTED_VALUE"""),21.76)</f>
        <v>21.76</v>
      </c>
      <c r="BP339" s="71">
        <f>IFERROR(__xludf.DUMMYFUNCTION("""COMPUTED_VALUE"""),157.76)</f>
        <v>157.76</v>
      </c>
      <c r="BQ339" s="71">
        <f>IFERROR(__xludf.DUMMYFUNCTION("""COMPUTED_VALUE"""),132.79999999999998)</f>
        <v>132.8</v>
      </c>
      <c r="BR339" s="71">
        <f>IFERROR(__xludf.DUMMYFUNCTION("""COMPUTED_VALUE"""),21.247999999999998)</f>
        <v>21.248</v>
      </c>
      <c r="BS339" s="71">
        <f>IFERROR(__xludf.DUMMYFUNCTION("""COMPUTED_VALUE"""),154.04799999999997)</f>
        <v>154.048</v>
      </c>
      <c r="BT339" s="71">
        <f>IFERROR(__xludf.DUMMYFUNCTION("""COMPUTED_VALUE"""),128.0)</f>
        <v>128</v>
      </c>
      <c r="BU339" s="71">
        <f>IFERROR(__xludf.DUMMYFUNCTION("""COMPUTED_VALUE"""),20.48)</f>
        <v>20.48</v>
      </c>
      <c r="BV339" s="71">
        <f>IFERROR(__xludf.DUMMYFUNCTION("""COMPUTED_VALUE"""),148.48)</f>
        <v>148.48</v>
      </c>
    </row>
    <row r="340">
      <c r="A340" s="53"/>
      <c r="B340" s="53"/>
      <c r="C340" s="53" t="s">
        <v>36</v>
      </c>
      <c r="D340" s="85" t="s">
        <v>860</v>
      </c>
      <c r="E340" s="54" t="s">
        <v>38</v>
      </c>
      <c r="F340" s="55" t="s">
        <v>39</v>
      </c>
      <c r="G340" s="86" t="s">
        <v>861</v>
      </c>
      <c r="H340" s="55"/>
      <c r="I340" s="54">
        <f t="shared" si="1"/>
        <v>0</v>
      </c>
      <c r="J340" s="56"/>
      <c r="K340" s="57"/>
      <c r="L340" s="76"/>
      <c r="M340" s="59"/>
      <c r="N340" s="60"/>
      <c r="O340" s="61">
        <v>1900.8</v>
      </c>
      <c r="P340" s="62">
        <v>2052.864</v>
      </c>
      <c r="Q340" s="63">
        <v>2052.864</v>
      </c>
      <c r="R340" s="64">
        <v>2156.0</v>
      </c>
      <c r="S340" s="107">
        <v>2264.0</v>
      </c>
      <c r="T340" s="65">
        <f t="shared" si="2"/>
        <v>362.24</v>
      </c>
      <c r="U340" s="65">
        <f t="shared" si="3"/>
        <v>2626.24</v>
      </c>
      <c r="V340" s="66">
        <f t="shared" si="4"/>
        <v>0.05009276438</v>
      </c>
      <c r="W340" s="67">
        <f t="shared" si="5"/>
        <v>2150.8</v>
      </c>
      <c r="X340" s="67">
        <f t="shared" si="6"/>
        <v>344.128</v>
      </c>
      <c r="Y340" s="67">
        <f t="shared" si="7"/>
        <v>2494.928</v>
      </c>
      <c r="Z340" s="67">
        <f t="shared" si="8"/>
        <v>2037.6</v>
      </c>
      <c r="AA340" s="67">
        <f t="shared" si="9"/>
        <v>326.016</v>
      </c>
      <c r="AB340" s="67">
        <f t="shared" si="10"/>
        <v>2363.616</v>
      </c>
      <c r="AC340" s="67">
        <f t="shared" si="11"/>
        <v>1924.4</v>
      </c>
      <c r="AD340" s="67">
        <f t="shared" si="12"/>
        <v>307.904</v>
      </c>
      <c r="AE340" s="67">
        <f t="shared" si="13"/>
        <v>2232.304</v>
      </c>
      <c r="AF340" s="67">
        <f t="shared" si="14"/>
        <v>1879.12</v>
      </c>
      <c r="AG340" s="67">
        <f t="shared" si="15"/>
        <v>300.6592</v>
      </c>
      <c r="AH340" s="67">
        <f t="shared" si="16"/>
        <v>2179.7792</v>
      </c>
      <c r="AI340" s="67">
        <f t="shared" si="17"/>
        <v>1811.2</v>
      </c>
      <c r="AJ340" s="68">
        <f t="shared" si="20"/>
        <v>289.792</v>
      </c>
      <c r="AK340" s="68">
        <f t="shared" si="21"/>
        <v>2100.992</v>
      </c>
      <c r="AL340" s="70">
        <f>IFERROR(__xludf.DUMMYFUNCTION("""COMPUTED_VALUE"""),1.0)</f>
        <v>1</v>
      </c>
      <c r="AM340" s="70"/>
      <c r="AN340" s="71" t="str">
        <f>IFERROR(__xludf.DUMMYFUNCTION("""COMPUTED_VALUE""")," CP")</f>
        <v>CP</v>
      </c>
      <c r="AO340" s="71" t="str">
        <f>IFERROR(__xludf.DUMMYFUNCTION("""COMPUTED_VALUE""")," CA105")</f>
        <v>CA105</v>
      </c>
      <c r="AP340" s="71" t="str">
        <f>IFERROR(__xludf.DUMMYFUNCTION("""COMPUTED_VALUE""")," PZA")</f>
        <v>PZA</v>
      </c>
      <c r="AQ340" s="71" t="str">
        <f>IFERROR(__xludf.DUMMYFUNCTION("""COMPUTED_VALUE""")," REF")</f>
        <v>REF</v>
      </c>
      <c r="AR340" s="71" t="str">
        <f>IFERROR(__xludf.DUMMYFUNCTION("""COMPUTED_VALUE""")," CATARINA 40B27 E.1-1/8"" C.1/4")</f>
        <v>CATARINA 40B27 E.1-1/8" C.1/4</v>
      </c>
      <c r="AS340" s="71" t="str">
        <f>IFERROR(__xludf.DUMMYFUNCTION("""COMPUTED_VALUE""")," CATARINA 40B27 E.1-1/8"" C.1/4")</f>
        <v>CATARINA 40B27 E.1-1/8" C.1/4</v>
      </c>
      <c r="AT340" s="71">
        <f>IFERROR(__xludf.DUMMYFUNCTION("""COMPUTED_VALUE"""),29.0)</f>
        <v>29</v>
      </c>
      <c r="AU340" s="71"/>
      <c r="AV340" s="71"/>
      <c r="AW340" s="71"/>
      <c r="AX340" s="71"/>
      <c r="AY340" s="71">
        <f>IFERROR(__xludf.DUMMYFUNCTION("""COMPUTED_VALUE"""),307.0)</f>
        <v>307</v>
      </c>
      <c r="AZ340" s="71">
        <f>IFERROR(__xludf.DUMMYFUNCTION("""COMPUTED_VALUE"""),331.0)</f>
        <v>331</v>
      </c>
      <c r="BA340" s="71">
        <f>IFERROR(__xludf.DUMMYFUNCTION("""COMPUTED_VALUE"""),145.0)</f>
        <v>145</v>
      </c>
      <c r="BB340" s="71">
        <f>IFERROR(__xludf.DUMMYFUNCTION("""COMPUTED_VALUE"""),145.0)</f>
        <v>145</v>
      </c>
      <c r="BC340" s="71">
        <f>IFERROR(__xludf.DUMMYFUNCTION("""COMPUTED_VALUE"""),153.0)</f>
        <v>153</v>
      </c>
      <c r="BD340" s="71">
        <f>IFERROR(__xludf.DUMMYFUNCTION("""COMPUTED_VALUE"""),161.0)</f>
        <v>161</v>
      </c>
      <c r="BE340" s="71">
        <f>IFERROR(__xludf.DUMMYFUNCTION("""COMPUTED_VALUE"""),25.76)</f>
        <v>25.76</v>
      </c>
      <c r="BF340" s="71">
        <f>IFERROR(__xludf.DUMMYFUNCTION("""COMPUTED_VALUE"""),186.76)</f>
        <v>186.76</v>
      </c>
      <c r="BG340" s="71">
        <f>IFERROR(__xludf.DUMMYFUNCTION("""COMPUTED_VALUE"""),0.05228758169934641)</f>
        <v>0.0522875817</v>
      </c>
      <c r="BH340" s="71">
        <f>IFERROR(__xludf.DUMMYFUNCTION("""COMPUTED_VALUE"""),152.95)</f>
        <v>152.95</v>
      </c>
      <c r="BI340" s="71">
        <f>IFERROR(__xludf.DUMMYFUNCTION("""COMPUTED_VALUE"""),24.471999999999998)</f>
        <v>24.472</v>
      </c>
      <c r="BJ340" s="71">
        <f>IFERROR(__xludf.DUMMYFUNCTION("""COMPUTED_VALUE"""),177.422)</f>
        <v>177.422</v>
      </c>
      <c r="BK340" s="71">
        <f>IFERROR(__xludf.DUMMYFUNCTION("""COMPUTED_VALUE"""),144.9)</f>
        <v>144.9</v>
      </c>
      <c r="BL340" s="71">
        <f>IFERROR(__xludf.DUMMYFUNCTION("""COMPUTED_VALUE"""),23.184)</f>
        <v>23.184</v>
      </c>
      <c r="BM340" s="71">
        <f>IFERROR(__xludf.DUMMYFUNCTION("""COMPUTED_VALUE"""),168.084)</f>
        <v>168.084</v>
      </c>
      <c r="BN340" s="71">
        <f>IFERROR(__xludf.DUMMYFUNCTION("""COMPUTED_VALUE"""),136.85)</f>
        <v>136.85</v>
      </c>
      <c r="BO340" s="71">
        <f>IFERROR(__xludf.DUMMYFUNCTION("""COMPUTED_VALUE"""),21.896)</f>
        <v>21.896</v>
      </c>
      <c r="BP340" s="71">
        <f>IFERROR(__xludf.DUMMYFUNCTION("""COMPUTED_VALUE"""),158.74599999999998)</f>
        <v>158.746</v>
      </c>
      <c r="BQ340" s="71">
        <f>IFERROR(__xludf.DUMMYFUNCTION("""COMPUTED_VALUE"""),133.63)</f>
        <v>133.63</v>
      </c>
      <c r="BR340" s="71">
        <f>IFERROR(__xludf.DUMMYFUNCTION("""COMPUTED_VALUE"""),21.3808)</f>
        <v>21.3808</v>
      </c>
      <c r="BS340" s="71">
        <f>IFERROR(__xludf.DUMMYFUNCTION("""COMPUTED_VALUE"""),155.0108)</f>
        <v>155.0108</v>
      </c>
      <c r="BT340" s="71">
        <f>IFERROR(__xludf.DUMMYFUNCTION("""COMPUTED_VALUE"""),128.8)</f>
        <v>128.8</v>
      </c>
      <c r="BU340" s="71">
        <f>IFERROR(__xludf.DUMMYFUNCTION("""COMPUTED_VALUE"""),20.608)</f>
        <v>20.608</v>
      </c>
      <c r="BV340" s="71">
        <f>IFERROR(__xludf.DUMMYFUNCTION("""COMPUTED_VALUE"""),149.40800000000002)</f>
        <v>149.408</v>
      </c>
    </row>
    <row r="341">
      <c r="A341" s="53">
        <v>1.0</v>
      </c>
      <c r="B341" s="53"/>
      <c r="C341" s="73" t="s">
        <v>53</v>
      </c>
      <c r="D341" s="74" t="s">
        <v>862</v>
      </c>
      <c r="E341" s="54" t="s">
        <v>38</v>
      </c>
      <c r="F341" s="54" t="s">
        <v>42</v>
      </c>
      <c r="G341" s="54" t="s">
        <v>863</v>
      </c>
      <c r="H341" s="54" t="s">
        <v>864</v>
      </c>
      <c r="I341" s="54">
        <f t="shared" si="1"/>
        <v>40</v>
      </c>
      <c r="J341" s="56"/>
      <c r="K341" s="57"/>
      <c r="L341" s="87"/>
      <c r="M341" s="59"/>
      <c r="N341" s="60">
        <v>35790.0</v>
      </c>
      <c r="O341" s="61">
        <v>38653.0</v>
      </c>
      <c r="P341" s="62">
        <v>41745.240000000005</v>
      </c>
      <c r="Q341" s="63">
        <v>41745.240000000005</v>
      </c>
      <c r="R341" s="64">
        <v>46463.0</v>
      </c>
      <c r="S341" s="111">
        <v>48786.0</v>
      </c>
      <c r="T341" s="65">
        <f t="shared" si="2"/>
        <v>7805.76</v>
      </c>
      <c r="U341" s="65">
        <f t="shared" si="3"/>
        <v>56591.76</v>
      </c>
      <c r="V341" s="66">
        <f t="shared" si="4"/>
        <v>0.04999677162</v>
      </c>
      <c r="W341" s="67">
        <f t="shared" si="5"/>
        <v>46346.7</v>
      </c>
      <c r="X341" s="67">
        <f t="shared" si="6"/>
        <v>7415.472</v>
      </c>
      <c r="Y341" s="67">
        <f t="shared" si="7"/>
        <v>53762.172</v>
      </c>
      <c r="Z341" s="67">
        <f t="shared" si="8"/>
        <v>43907.4</v>
      </c>
      <c r="AA341" s="67">
        <f t="shared" si="9"/>
        <v>7025.184</v>
      </c>
      <c r="AB341" s="67">
        <f t="shared" si="10"/>
        <v>50932.584</v>
      </c>
      <c r="AC341" s="67">
        <f t="shared" si="11"/>
        <v>41468.1</v>
      </c>
      <c r="AD341" s="67">
        <f t="shared" si="12"/>
        <v>6634.896</v>
      </c>
      <c r="AE341" s="67">
        <f t="shared" si="13"/>
        <v>48102.996</v>
      </c>
      <c r="AF341" s="67">
        <f t="shared" si="14"/>
        <v>40492.38</v>
      </c>
      <c r="AG341" s="67">
        <f t="shared" si="15"/>
        <v>6478.7808</v>
      </c>
      <c r="AH341" s="67">
        <f t="shared" si="16"/>
        <v>46971.1608</v>
      </c>
      <c r="AI341" s="67">
        <f t="shared" si="17"/>
        <v>39028.8</v>
      </c>
      <c r="AJ341" s="68">
        <f t="shared" si="20"/>
        <v>6244.608</v>
      </c>
      <c r="AK341" s="68">
        <f t="shared" si="21"/>
        <v>45273.408</v>
      </c>
      <c r="AL341" s="70">
        <f>IFERROR(__xludf.DUMMYFUNCTION("""COMPUTED_VALUE"""),1.0)</f>
        <v>1</v>
      </c>
      <c r="AM341" s="70"/>
      <c r="AN341" s="71" t="str">
        <f>IFERROR(__xludf.DUMMYFUNCTION("""COMPUTED_VALUE""")," C")</f>
        <v>C</v>
      </c>
      <c r="AO341" s="71" t="str">
        <f>IFERROR(__xludf.DUMMYFUNCTION("""COMPUTED_VALUE""")," CA223")</f>
        <v>CA223</v>
      </c>
      <c r="AP341" s="71" t="str">
        <f>IFERROR(__xludf.DUMMYFUNCTION("""COMPUTED_VALUE""")," PZA")</f>
        <v>PZA</v>
      </c>
      <c r="AQ341" s="71" t="str">
        <f>IFERROR(__xludf.DUMMYFUNCTION("""COMPUTED_VALUE""")," REF")</f>
        <v>REF</v>
      </c>
      <c r="AR341" s="71" t="str">
        <f>IFERROR(__xludf.DUMMYFUNCTION("""COMPUTED_VALUE""")," CATARINA 40B27 E.25MM C1/4")</f>
        <v>CATARINA 40B27 E.25MM C1/4</v>
      </c>
      <c r="AS341" s="71" t="str">
        <f>IFERROR(__xludf.DUMMYFUNCTION("""COMPUTED_VALUE""")," CATARINA 40B27 E.25MM C1/4")</f>
        <v>CATARINA 40B27 E.25MM C1/4</v>
      </c>
      <c r="AT341" s="71">
        <f>IFERROR(__xludf.DUMMYFUNCTION("""COMPUTED_VALUE"""),26.0)</f>
        <v>26</v>
      </c>
      <c r="AU341" s="71"/>
      <c r="AV341" s="71"/>
      <c r="AW341" s="71"/>
      <c r="AX341" s="71"/>
      <c r="AY341" s="71"/>
      <c r="AZ341" s="71"/>
      <c r="BA341" s="71"/>
      <c r="BB341" s="71"/>
      <c r="BC341" s="71">
        <f>IFERROR(__xludf.DUMMYFUNCTION("""COMPUTED_VALUE"""),153.0)</f>
        <v>153</v>
      </c>
      <c r="BD341" s="71">
        <f>IFERROR(__xludf.DUMMYFUNCTION("""COMPUTED_VALUE"""),161.0)</f>
        <v>161</v>
      </c>
      <c r="BE341" s="71">
        <f>IFERROR(__xludf.DUMMYFUNCTION("""COMPUTED_VALUE"""),25.76)</f>
        <v>25.76</v>
      </c>
      <c r="BF341" s="71">
        <f>IFERROR(__xludf.DUMMYFUNCTION("""COMPUTED_VALUE"""),186.76)</f>
        <v>186.76</v>
      </c>
      <c r="BG341" s="71">
        <f>IFERROR(__xludf.DUMMYFUNCTION("""COMPUTED_VALUE"""),0.05228758169934641)</f>
        <v>0.0522875817</v>
      </c>
      <c r="BH341" s="71">
        <f>IFERROR(__xludf.DUMMYFUNCTION("""COMPUTED_VALUE"""),152.95)</f>
        <v>152.95</v>
      </c>
      <c r="BI341" s="71">
        <f>IFERROR(__xludf.DUMMYFUNCTION("""COMPUTED_VALUE"""),24.471999999999998)</f>
        <v>24.472</v>
      </c>
      <c r="BJ341" s="71">
        <f>IFERROR(__xludf.DUMMYFUNCTION("""COMPUTED_VALUE"""),177.422)</f>
        <v>177.422</v>
      </c>
      <c r="BK341" s="71">
        <f>IFERROR(__xludf.DUMMYFUNCTION("""COMPUTED_VALUE"""),144.9)</f>
        <v>144.9</v>
      </c>
      <c r="BL341" s="71">
        <f>IFERROR(__xludf.DUMMYFUNCTION("""COMPUTED_VALUE"""),23.184)</f>
        <v>23.184</v>
      </c>
      <c r="BM341" s="71">
        <f>IFERROR(__xludf.DUMMYFUNCTION("""COMPUTED_VALUE"""),168.084)</f>
        <v>168.084</v>
      </c>
      <c r="BN341" s="71">
        <f>IFERROR(__xludf.DUMMYFUNCTION("""COMPUTED_VALUE"""),136.85)</f>
        <v>136.85</v>
      </c>
      <c r="BO341" s="71">
        <f>IFERROR(__xludf.DUMMYFUNCTION("""COMPUTED_VALUE"""),21.896)</f>
        <v>21.896</v>
      </c>
      <c r="BP341" s="71">
        <f>IFERROR(__xludf.DUMMYFUNCTION("""COMPUTED_VALUE"""),158.74599999999998)</f>
        <v>158.746</v>
      </c>
      <c r="BQ341" s="71">
        <f>IFERROR(__xludf.DUMMYFUNCTION("""COMPUTED_VALUE"""),133.63)</f>
        <v>133.63</v>
      </c>
      <c r="BR341" s="71">
        <f>IFERROR(__xludf.DUMMYFUNCTION("""COMPUTED_VALUE"""),21.3808)</f>
        <v>21.3808</v>
      </c>
      <c r="BS341" s="71">
        <f>IFERROR(__xludf.DUMMYFUNCTION("""COMPUTED_VALUE"""),155.0108)</f>
        <v>155.0108</v>
      </c>
      <c r="BT341" s="71">
        <f>IFERROR(__xludf.DUMMYFUNCTION("""COMPUTED_VALUE"""),128.8)</f>
        <v>128.8</v>
      </c>
      <c r="BU341" s="71"/>
      <c r="BV341" s="71"/>
    </row>
    <row r="342">
      <c r="A342" s="53"/>
      <c r="B342" s="53">
        <v>3.0</v>
      </c>
      <c r="C342" s="53" t="s">
        <v>36</v>
      </c>
      <c r="D342" s="120" t="s">
        <v>865</v>
      </c>
      <c r="E342" s="54" t="s">
        <v>38</v>
      </c>
      <c r="F342" s="55" t="s">
        <v>866</v>
      </c>
      <c r="G342" s="134" t="s">
        <v>867</v>
      </c>
      <c r="H342" s="55"/>
      <c r="I342" s="54">
        <f t="shared" si="1"/>
        <v>0</v>
      </c>
      <c r="J342" s="56"/>
      <c r="K342" s="57"/>
      <c r="L342" s="76"/>
      <c r="M342" s="59"/>
      <c r="N342" s="60"/>
      <c r="O342" s="61">
        <v>16374.0</v>
      </c>
      <c r="P342" s="62">
        <v>17683.920000000002</v>
      </c>
      <c r="Q342" s="63">
        <v>17683.920000000002</v>
      </c>
      <c r="R342" s="64">
        <v>18569.0</v>
      </c>
      <c r="S342" s="111">
        <v>19497.0</v>
      </c>
      <c r="T342" s="65">
        <f t="shared" si="2"/>
        <v>3119.52</v>
      </c>
      <c r="U342" s="65">
        <f t="shared" si="3"/>
        <v>22616.52</v>
      </c>
      <c r="V342" s="66">
        <f t="shared" si="4"/>
        <v>0.04997576606</v>
      </c>
      <c r="W342" s="67">
        <f t="shared" si="5"/>
        <v>18522.15</v>
      </c>
      <c r="X342" s="67">
        <f t="shared" si="6"/>
        <v>2963.544</v>
      </c>
      <c r="Y342" s="67">
        <f t="shared" si="7"/>
        <v>21485.694</v>
      </c>
      <c r="Z342" s="67">
        <f t="shared" si="8"/>
        <v>17547.3</v>
      </c>
      <c r="AA342" s="67">
        <f t="shared" si="9"/>
        <v>2807.568</v>
      </c>
      <c r="AB342" s="67">
        <f t="shared" si="10"/>
        <v>20354.868</v>
      </c>
      <c r="AC342" s="67">
        <f t="shared" si="11"/>
        <v>17547.3</v>
      </c>
      <c r="AD342" s="67">
        <f t="shared" si="12"/>
        <v>2807.568</v>
      </c>
      <c r="AE342" s="67">
        <f t="shared" si="13"/>
        <v>20354.868</v>
      </c>
      <c r="AF342" s="67">
        <f t="shared" si="14"/>
        <v>17547.3</v>
      </c>
      <c r="AG342" s="67">
        <f t="shared" si="15"/>
        <v>2807.568</v>
      </c>
      <c r="AH342" s="67">
        <f t="shared" si="16"/>
        <v>20354.868</v>
      </c>
      <c r="AI342" s="67">
        <f t="shared" si="17"/>
        <v>17547.3</v>
      </c>
      <c r="AJ342" s="68">
        <f t="shared" si="20"/>
        <v>2807.568</v>
      </c>
      <c r="AK342" s="68">
        <f t="shared" si="21"/>
        <v>20354.868</v>
      </c>
      <c r="AL342" s="70">
        <f>IFERROR(__xludf.DUMMYFUNCTION("""COMPUTED_VALUE"""),1.0)</f>
        <v>1</v>
      </c>
      <c r="AM342" s="70"/>
      <c r="AN342" s="71" t="str">
        <f>IFERROR(__xludf.DUMMYFUNCTION("""COMPUTED_VALUE""")," CP")</f>
        <v>CP</v>
      </c>
      <c r="AO342" s="71" t="str">
        <f>IFERROR(__xludf.DUMMYFUNCTION("""COMPUTED_VALUE""")," CA100")</f>
        <v>CA100</v>
      </c>
      <c r="AP342" s="71" t="str">
        <f>IFERROR(__xludf.DUMMYFUNCTION("""COMPUTED_VALUE""")," PZA")</f>
        <v>PZA</v>
      </c>
      <c r="AQ342" s="71" t="str">
        <f>IFERROR(__xludf.DUMMYFUNCTION("""COMPUTED_VALUE""")," REF")</f>
        <v>REF</v>
      </c>
      <c r="AR342" s="71" t="str">
        <f>IFERROR(__xludf.DUMMYFUNCTION("""COMPUTED_VALUE""")," CATARINA 40B28 E.1"" C.1/4")</f>
        <v>CATARINA 40B28 E.1" C.1/4</v>
      </c>
      <c r="AS342" s="71" t="str">
        <f>IFERROR(__xludf.DUMMYFUNCTION("""COMPUTED_VALUE""")," CATARINA 40B28 E.1"" C.1/4")</f>
        <v>CATARINA 40B28 E.1" C.1/4</v>
      </c>
      <c r="AT342" s="71">
        <f>IFERROR(__xludf.DUMMYFUNCTION("""COMPUTED_VALUE"""),25.0)</f>
        <v>25</v>
      </c>
      <c r="AU342" s="71"/>
      <c r="AV342" s="71"/>
      <c r="AW342" s="71"/>
      <c r="AX342" s="71"/>
      <c r="AY342" s="71"/>
      <c r="AZ342" s="71">
        <f>IFERROR(__xludf.DUMMYFUNCTION("""COMPUTED_VALUE"""),343.0)</f>
        <v>343</v>
      </c>
      <c r="BA342" s="71">
        <f>IFERROR(__xludf.DUMMYFUNCTION("""COMPUTED_VALUE"""),150.0)</f>
        <v>150</v>
      </c>
      <c r="BB342" s="71">
        <f>IFERROR(__xludf.DUMMYFUNCTION("""COMPUTED_VALUE"""),150.0)</f>
        <v>150</v>
      </c>
      <c r="BC342" s="71">
        <f>IFERROR(__xludf.DUMMYFUNCTION("""COMPUTED_VALUE"""),158.0)</f>
        <v>158</v>
      </c>
      <c r="BD342" s="71">
        <f>IFERROR(__xludf.DUMMYFUNCTION("""COMPUTED_VALUE"""),166.0)</f>
        <v>166</v>
      </c>
      <c r="BE342" s="71">
        <f>IFERROR(__xludf.DUMMYFUNCTION("""COMPUTED_VALUE"""),26.560000000000002)</f>
        <v>26.56</v>
      </c>
      <c r="BF342" s="71">
        <f>IFERROR(__xludf.DUMMYFUNCTION("""COMPUTED_VALUE"""),192.56)</f>
        <v>192.56</v>
      </c>
      <c r="BG342" s="71">
        <f>IFERROR(__xludf.DUMMYFUNCTION("""COMPUTED_VALUE"""),0.05063291139240506)</f>
        <v>0.05063291139</v>
      </c>
      <c r="BH342" s="71">
        <f>IFERROR(__xludf.DUMMYFUNCTION("""COMPUTED_VALUE"""),157.7)</f>
        <v>157.7</v>
      </c>
      <c r="BI342" s="71">
        <f>IFERROR(__xludf.DUMMYFUNCTION("""COMPUTED_VALUE"""),25.232)</f>
        <v>25.232</v>
      </c>
      <c r="BJ342" s="71">
        <f>IFERROR(__xludf.DUMMYFUNCTION("""COMPUTED_VALUE"""),182.932)</f>
        <v>182.932</v>
      </c>
      <c r="BK342" s="71">
        <f>IFERROR(__xludf.DUMMYFUNCTION("""COMPUTED_VALUE"""),149.4)</f>
        <v>149.4</v>
      </c>
      <c r="BL342" s="71">
        <f>IFERROR(__xludf.DUMMYFUNCTION("""COMPUTED_VALUE"""),23.904)</f>
        <v>23.904</v>
      </c>
      <c r="BM342" s="71">
        <f>IFERROR(__xludf.DUMMYFUNCTION("""COMPUTED_VALUE"""),173.304)</f>
        <v>173.304</v>
      </c>
      <c r="BN342" s="71">
        <f>IFERROR(__xludf.DUMMYFUNCTION("""COMPUTED_VALUE"""),141.1)</f>
        <v>141.1</v>
      </c>
      <c r="BO342" s="71">
        <f>IFERROR(__xludf.DUMMYFUNCTION("""COMPUTED_VALUE"""),22.576)</f>
        <v>22.576</v>
      </c>
      <c r="BP342" s="71">
        <f>IFERROR(__xludf.DUMMYFUNCTION("""COMPUTED_VALUE"""),163.676)</f>
        <v>163.676</v>
      </c>
      <c r="BQ342" s="71">
        <f>IFERROR(__xludf.DUMMYFUNCTION("""COMPUTED_VALUE"""),137.78)</f>
        <v>137.78</v>
      </c>
      <c r="BR342" s="71">
        <f>IFERROR(__xludf.DUMMYFUNCTION("""COMPUTED_VALUE"""),22.044800000000002)</f>
        <v>22.0448</v>
      </c>
      <c r="BS342" s="71">
        <f>IFERROR(__xludf.DUMMYFUNCTION("""COMPUTED_VALUE"""),159.8248)</f>
        <v>159.8248</v>
      </c>
      <c r="BT342" s="71">
        <f>IFERROR(__xludf.DUMMYFUNCTION("""COMPUTED_VALUE"""),132.8)</f>
        <v>132.8</v>
      </c>
      <c r="BU342" s="71">
        <f>IFERROR(__xludf.DUMMYFUNCTION("""COMPUTED_VALUE"""),21.248)</f>
        <v>21.248</v>
      </c>
      <c r="BV342" s="71">
        <f>IFERROR(__xludf.DUMMYFUNCTION("""COMPUTED_VALUE"""),154.048)</f>
        <v>154.048</v>
      </c>
    </row>
    <row r="343">
      <c r="A343" s="53"/>
      <c r="B343" s="53">
        <v>3.0</v>
      </c>
      <c r="C343" s="53" t="s">
        <v>36</v>
      </c>
      <c r="D343" s="120" t="s">
        <v>868</v>
      </c>
      <c r="E343" s="54" t="s">
        <v>38</v>
      </c>
      <c r="F343" s="55" t="s">
        <v>866</v>
      </c>
      <c r="G343" s="134" t="s">
        <v>869</v>
      </c>
      <c r="H343" s="55"/>
      <c r="I343" s="54">
        <f t="shared" si="1"/>
        <v>0</v>
      </c>
      <c r="J343" s="56"/>
      <c r="K343" s="57"/>
      <c r="L343" s="76"/>
      <c r="M343" s="59"/>
      <c r="N343" s="60"/>
      <c r="O343" s="61">
        <v>20364.0</v>
      </c>
      <c r="P343" s="62">
        <v>21993.120000000003</v>
      </c>
      <c r="Q343" s="63">
        <v>21993.120000000003</v>
      </c>
      <c r="R343" s="64">
        <v>23093.0</v>
      </c>
      <c r="S343" s="111">
        <v>24248.0</v>
      </c>
      <c r="T343" s="65">
        <f t="shared" si="2"/>
        <v>3879.68</v>
      </c>
      <c r="U343" s="65">
        <f t="shared" si="3"/>
        <v>28127.68</v>
      </c>
      <c r="V343" s="66">
        <f t="shared" si="4"/>
        <v>0.05001515611</v>
      </c>
      <c r="W343" s="67">
        <f t="shared" si="5"/>
        <v>23035.6</v>
      </c>
      <c r="X343" s="67">
        <f t="shared" si="6"/>
        <v>3685.696</v>
      </c>
      <c r="Y343" s="67">
        <f t="shared" si="7"/>
        <v>26721.296</v>
      </c>
      <c r="Z343" s="67">
        <f t="shared" si="8"/>
        <v>21823.2</v>
      </c>
      <c r="AA343" s="67">
        <f t="shared" si="9"/>
        <v>3491.712</v>
      </c>
      <c r="AB343" s="67">
        <f t="shared" si="10"/>
        <v>25314.912</v>
      </c>
      <c r="AC343" s="67">
        <f t="shared" si="11"/>
        <v>21823.2</v>
      </c>
      <c r="AD343" s="67">
        <f t="shared" si="12"/>
        <v>3491.712</v>
      </c>
      <c r="AE343" s="67">
        <f t="shared" si="13"/>
        <v>25314.912</v>
      </c>
      <c r="AF343" s="67">
        <f t="shared" si="14"/>
        <v>21823.2</v>
      </c>
      <c r="AG343" s="67">
        <f t="shared" si="15"/>
        <v>3491.712</v>
      </c>
      <c r="AH343" s="67">
        <f t="shared" si="16"/>
        <v>25314.912</v>
      </c>
      <c r="AI343" s="67">
        <f t="shared" si="17"/>
        <v>21823.2</v>
      </c>
      <c r="AJ343" s="68">
        <f t="shared" si="20"/>
        <v>3491.712</v>
      </c>
      <c r="AK343" s="68">
        <f t="shared" si="21"/>
        <v>25314.912</v>
      </c>
      <c r="AL343" s="70">
        <f>IFERROR(__xludf.DUMMYFUNCTION("""COMPUTED_VALUE"""),1.0)</f>
        <v>1</v>
      </c>
      <c r="AM343" s="70"/>
      <c r="AN343" s="71" t="str">
        <f>IFERROR(__xludf.DUMMYFUNCTION("""COMPUTED_VALUE""")," CP")</f>
        <v>CP</v>
      </c>
      <c r="AO343" s="71" t="str">
        <f>IFERROR(__xludf.DUMMYFUNCTION("""COMPUTED_VALUE""")," CA81")</f>
        <v>CA81</v>
      </c>
      <c r="AP343" s="71" t="str">
        <f>IFERROR(__xludf.DUMMYFUNCTION("""COMPUTED_VALUE""")," PZA")</f>
        <v>PZA</v>
      </c>
      <c r="AQ343" s="71" t="str">
        <f>IFERROR(__xludf.DUMMYFUNCTION("""COMPUTED_VALUE""")," REF")</f>
        <v>REF</v>
      </c>
      <c r="AR343" s="71" t="str">
        <f>IFERROR(__xludf.DUMMYFUNCTION("""COMPUTED_VALUE""")," CATARINA 40B30 DOBLE E.15/16""")</f>
        <v>CATARINA 40B30 DOBLE E.15/16"</v>
      </c>
      <c r="AS343" s="71" t="str">
        <f>IFERROR(__xludf.DUMMYFUNCTION("""COMPUTED_VALUE""")," CATARINA 40B30 DOBLE E.15/16""")</f>
        <v>CATARINA 40B30 DOBLE E.15/16"</v>
      </c>
      <c r="AT343" s="71">
        <f>IFERROR(__xludf.DUMMYFUNCTION("""COMPUTED_VALUE"""),29.0)</f>
        <v>29</v>
      </c>
      <c r="AU343" s="71"/>
      <c r="AV343" s="71"/>
      <c r="AW343" s="71"/>
      <c r="AX343" s="71"/>
      <c r="AY343" s="71">
        <f>IFERROR(__xludf.DUMMYFUNCTION("""COMPUTED_VALUE"""),397.0)</f>
        <v>397</v>
      </c>
      <c r="AZ343" s="71">
        <f>IFERROR(__xludf.DUMMYFUNCTION("""COMPUTED_VALUE"""),428.0)</f>
        <v>428</v>
      </c>
      <c r="BA343" s="71">
        <f>IFERROR(__xludf.DUMMYFUNCTION("""COMPUTED_VALUE"""),195.0)</f>
        <v>195</v>
      </c>
      <c r="BB343" s="71">
        <f>IFERROR(__xludf.DUMMYFUNCTION("""COMPUTED_VALUE"""),195.0)</f>
        <v>195</v>
      </c>
      <c r="BC343" s="71">
        <f>IFERROR(__xludf.DUMMYFUNCTION("""COMPUTED_VALUE"""),224.0)</f>
        <v>224</v>
      </c>
      <c r="BD343" s="71">
        <f>IFERROR(__xludf.DUMMYFUNCTION("""COMPUTED_VALUE"""),235.0)</f>
        <v>235</v>
      </c>
      <c r="BE343" s="71">
        <f>IFERROR(__xludf.DUMMYFUNCTION("""COMPUTED_VALUE"""),37.6)</f>
        <v>37.6</v>
      </c>
      <c r="BF343" s="71">
        <f>IFERROR(__xludf.DUMMYFUNCTION("""COMPUTED_VALUE"""),272.6)</f>
        <v>272.6</v>
      </c>
      <c r="BG343" s="71">
        <f>IFERROR(__xludf.DUMMYFUNCTION("""COMPUTED_VALUE"""),0.049107142857142856)</f>
        <v>0.04910714286</v>
      </c>
      <c r="BH343" s="71">
        <f>IFERROR(__xludf.DUMMYFUNCTION("""COMPUTED_VALUE"""),223.25)</f>
        <v>223.25</v>
      </c>
      <c r="BI343" s="71">
        <f>IFERROR(__xludf.DUMMYFUNCTION("""COMPUTED_VALUE"""),35.72)</f>
        <v>35.72</v>
      </c>
      <c r="BJ343" s="71">
        <f>IFERROR(__xludf.DUMMYFUNCTION("""COMPUTED_VALUE"""),258.97)</f>
        <v>258.97</v>
      </c>
      <c r="BK343" s="71">
        <f>IFERROR(__xludf.DUMMYFUNCTION("""COMPUTED_VALUE"""),211.5)</f>
        <v>211.5</v>
      </c>
      <c r="BL343" s="71">
        <f>IFERROR(__xludf.DUMMYFUNCTION("""COMPUTED_VALUE"""),33.84)</f>
        <v>33.84</v>
      </c>
      <c r="BM343" s="71">
        <f>IFERROR(__xludf.DUMMYFUNCTION("""COMPUTED_VALUE"""),245.34)</f>
        <v>245.34</v>
      </c>
      <c r="BN343" s="71">
        <f>IFERROR(__xludf.DUMMYFUNCTION("""COMPUTED_VALUE"""),199.75)</f>
        <v>199.75</v>
      </c>
      <c r="BO343" s="71">
        <f>IFERROR(__xludf.DUMMYFUNCTION("""COMPUTED_VALUE"""),31.96)</f>
        <v>31.96</v>
      </c>
      <c r="BP343" s="71">
        <f>IFERROR(__xludf.DUMMYFUNCTION("""COMPUTED_VALUE"""),231.71)</f>
        <v>231.71</v>
      </c>
      <c r="BQ343" s="71">
        <f>IFERROR(__xludf.DUMMYFUNCTION("""COMPUTED_VALUE"""),195.04999999999998)</f>
        <v>195.05</v>
      </c>
      <c r="BR343" s="71">
        <f>IFERROR(__xludf.DUMMYFUNCTION("""COMPUTED_VALUE"""),31.208)</f>
        <v>31.208</v>
      </c>
      <c r="BS343" s="71">
        <f>IFERROR(__xludf.DUMMYFUNCTION("""COMPUTED_VALUE"""),226.25799999999998)</f>
        <v>226.258</v>
      </c>
      <c r="BT343" s="71">
        <f>IFERROR(__xludf.DUMMYFUNCTION("""COMPUTED_VALUE"""),188.0)</f>
        <v>188</v>
      </c>
      <c r="BU343" s="71">
        <f>IFERROR(__xludf.DUMMYFUNCTION("""COMPUTED_VALUE"""),30.080000000000002)</f>
        <v>30.08</v>
      </c>
      <c r="BV343" s="71">
        <f>IFERROR(__xludf.DUMMYFUNCTION("""COMPUTED_VALUE"""),218.08)</f>
        <v>218.08</v>
      </c>
    </row>
    <row r="344">
      <c r="A344" s="53"/>
      <c r="B344" s="53">
        <v>3.0</v>
      </c>
      <c r="C344" s="53" t="s">
        <v>36</v>
      </c>
      <c r="D344" s="120" t="s">
        <v>870</v>
      </c>
      <c r="E344" s="54" t="s">
        <v>38</v>
      </c>
      <c r="F344" s="55" t="s">
        <v>866</v>
      </c>
      <c r="G344" s="134" t="s">
        <v>871</v>
      </c>
      <c r="H344" s="55"/>
      <c r="I344" s="54">
        <f t="shared" si="1"/>
        <v>0</v>
      </c>
      <c r="J344" s="56"/>
      <c r="K344" s="57"/>
      <c r="L344" s="76"/>
      <c r="M344" s="59"/>
      <c r="N344" s="60"/>
      <c r="O344" s="61">
        <v>7980.0</v>
      </c>
      <c r="P344" s="62">
        <v>8618.400000000001</v>
      </c>
      <c r="Q344" s="63">
        <v>8618.400000000001</v>
      </c>
      <c r="R344" s="64">
        <v>9049.0</v>
      </c>
      <c r="S344" s="111">
        <v>9501.0</v>
      </c>
      <c r="T344" s="65">
        <f t="shared" si="2"/>
        <v>1520.16</v>
      </c>
      <c r="U344" s="65">
        <f t="shared" si="3"/>
        <v>11021.16</v>
      </c>
      <c r="V344" s="66">
        <f t="shared" si="4"/>
        <v>0.04995027075</v>
      </c>
      <c r="W344" s="67">
        <f t="shared" si="5"/>
        <v>9025.95</v>
      </c>
      <c r="X344" s="67">
        <f t="shared" si="6"/>
        <v>1444.152</v>
      </c>
      <c r="Y344" s="67">
        <f t="shared" si="7"/>
        <v>10470.102</v>
      </c>
      <c r="Z344" s="67">
        <f t="shared" si="8"/>
        <v>8550.9</v>
      </c>
      <c r="AA344" s="67">
        <f t="shared" si="9"/>
        <v>1368.144</v>
      </c>
      <c r="AB344" s="67">
        <f t="shared" si="10"/>
        <v>9919.044</v>
      </c>
      <c r="AC344" s="67">
        <f t="shared" si="11"/>
        <v>8550.9</v>
      </c>
      <c r="AD344" s="67">
        <f t="shared" si="12"/>
        <v>1368.144</v>
      </c>
      <c r="AE344" s="67">
        <f t="shared" si="13"/>
        <v>9919.044</v>
      </c>
      <c r="AF344" s="67">
        <f t="shared" si="14"/>
        <v>8550.9</v>
      </c>
      <c r="AG344" s="67">
        <f t="shared" si="15"/>
        <v>1368.144</v>
      </c>
      <c r="AH344" s="67">
        <f t="shared" si="16"/>
        <v>9919.044</v>
      </c>
      <c r="AI344" s="67">
        <f t="shared" si="17"/>
        <v>8550.9</v>
      </c>
      <c r="AJ344" s="68">
        <f t="shared" si="20"/>
        <v>1368.144</v>
      </c>
      <c r="AK344" s="68">
        <f t="shared" si="21"/>
        <v>9919.044</v>
      </c>
      <c r="AL344" s="70">
        <f>IFERROR(__xludf.DUMMYFUNCTION("""COMPUTED_VALUE"""),1.0)</f>
        <v>1</v>
      </c>
      <c r="AM344" s="70"/>
      <c r="AN344" s="71" t="str">
        <f>IFERROR(__xludf.DUMMYFUNCTION("""COMPUTED_VALUE""")," CP")</f>
        <v>CP</v>
      </c>
      <c r="AO344" s="71" t="str">
        <f>IFERROR(__xludf.DUMMYFUNCTION("""COMPUTED_VALUE""")," CA96")</f>
        <v>CA96</v>
      </c>
      <c r="AP344" s="71" t="str">
        <f>IFERROR(__xludf.DUMMYFUNCTION("""COMPUTED_VALUE""")," PZA")</f>
        <v>PZA</v>
      </c>
      <c r="AQ344" s="71" t="str">
        <f>IFERROR(__xludf.DUMMYFUNCTION("""COMPUTED_VALUE""")," REF")</f>
        <v>REF</v>
      </c>
      <c r="AR344" s="71" t="str">
        <f>IFERROR(__xludf.DUMMYFUNCTION("""COMPUTED_VALUE""")," CATARINA 40B30 E.1-1/4"" C.1/4")</f>
        <v>CATARINA 40B30 E.1-1/4" C.1/4</v>
      </c>
      <c r="AS344" s="71" t="str">
        <f>IFERROR(__xludf.DUMMYFUNCTION("""COMPUTED_VALUE""")," CATARINA 40B30 E.1-1/4"" C.1/4")</f>
        <v>CATARINA 40B30 E.1-1/4" C.1/4</v>
      </c>
      <c r="AT344" s="71">
        <f>IFERROR(__xludf.DUMMYFUNCTION("""COMPUTED_VALUE"""),29.0)</f>
        <v>29</v>
      </c>
      <c r="AU344" s="71"/>
      <c r="AV344" s="71"/>
      <c r="AW344" s="71"/>
      <c r="AX344" s="71"/>
      <c r="AY344" s="71"/>
      <c r="AZ344" s="71">
        <f>IFERROR(__xludf.DUMMYFUNCTION("""COMPUTED_VALUE"""),312.0)</f>
        <v>312</v>
      </c>
      <c r="BA344" s="71">
        <f>IFERROR(__xludf.DUMMYFUNCTION("""COMPUTED_VALUE"""),135.0)</f>
        <v>135</v>
      </c>
      <c r="BB344" s="71">
        <f>IFERROR(__xludf.DUMMYFUNCTION("""COMPUTED_VALUE"""),135.0)</f>
        <v>135</v>
      </c>
      <c r="BC344" s="71">
        <f>IFERROR(__xludf.DUMMYFUNCTION("""COMPUTED_VALUE"""),146.0)</f>
        <v>146</v>
      </c>
      <c r="BD344" s="71">
        <f>IFERROR(__xludf.DUMMYFUNCTION("""COMPUTED_VALUE"""),153.0)</f>
        <v>153</v>
      </c>
      <c r="BE344" s="71">
        <f>IFERROR(__xludf.DUMMYFUNCTION("""COMPUTED_VALUE"""),24.48)</f>
        <v>24.48</v>
      </c>
      <c r="BF344" s="71">
        <f>IFERROR(__xludf.DUMMYFUNCTION("""COMPUTED_VALUE"""),177.48)</f>
        <v>177.48</v>
      </c>
      <c r="BG344" s="71">
        <f>IFERROR(__xludf.DUMMYFUNCTION("""COMPUTED_VALUE"""),0.04794520547945205)</f>
        <v>0.04794520548</v>
      </c>
      <c r="BH344" s="71">
        <f>IFERROR(__xludf.DUMMYFUNCTION("""COMPUTED_VALUE"""),145.35)</f>
        <v>145.35</v>
      </c>
      <c r="BI344" s="71">
        <f>IFERROR(__xludf.DUMMYFUNCTION("""COMPUTED_VALUE"""),23.256)</f>
        <v>23.256</v>
      </c>
      <c r="BJ344" s="71">
        <f>IFERROR(__xludf.DUMMYFUNCTION("""COMPUTED_VALUE"""),168.606)</f>
        <v>168.606</v>
      </c>
      <c r="BK344" s="71">
        <f>IFERROR(__xludf.DUMMYFUNCTION("""COMPUTED_VALUE"""),137.70000000000002)</f>
        <v>137.7</v>
      </c>
      <c r="BL344" s="71">
        <f>IFERROR(__xludf.DUMMYFUNCTION("""COMPUTED_VALUE"""),22.032000000000004)</f>
        <v>22.032</v>
      </c>
      <c r="BM344" s="71">
        <f>IFERROR(__xludf.DUMMYFUNCTION("""COMPUTED_VALUE"""),159.73200000000003)</f>
        <v>159.732</v>
      </c>
      <c r="BN344" s="71">
        <f>IFERROR(__xludf.DUMMYFUNCTION("""COMPUTED_VALUE"""),130.04999999999998)</f>
        <v>130.05</v>
      </c>
      <c r="BO344" s="71">
        <f>IFERROR(__xludf.DUMMYFUNCTION("""COMPUTED_VALUE"""),20.807999999999996)</f>
        <v>20.808</v>
      </c>
      <c r="BP344" s="71">
        <f>IFERROR(__xludf.DUMMYFUNCTION("""COMPUTED_VALUE"""),150.85799999999998)</f>
        <v>150.858</v>
      </c>
      <c r="BQ344" s="71">
        <f>IFERROR(__xludf.DUMMYFUNCTION("""COMPUTED_VALUE"""),126.99)</f>
        <v>126.99</v>
      </c>
      <c r="BR344" s="71">
        <f>IFERROR(__xludf.DUMMYFUNCTION("""COMPUTED_VALUE"""),20.3184)</f>
        <v>20.3184</v>
      </c>
      <c r="BS344" s="71">
        <f>IFERROR(__xludf.DUMMYFUNCTION("""COMPUTED_VALUE"""),147.3084)</f>
        <v>147.3084</v>
      </c>
      <c r="BT344" s="71">
        <f>IFERROR(__xludf.DUMMYFUNCTION("""COMPUTED_VALUE"""),122.4)</f>
        <v>122.4</v>
      </c>
      <c r="BU344" s="71">
        <f>IFERROR(__xludf.DUMMYFUNCTION("""COMPUTED_VALUE"""),19.584)</f>
        <v>19.584</v>
      </c>
      <c r="BV344" s="71">
        <f>IFERROR(__xludf.DUMMYFUNCTION("""COMPUTED_VALUE"""),141.984)</f>
        <v>141.984</v>
      </c>
    </row>
    <row r="345">
      <c r="A345" s="53"/>
      <c r="B345" s="53">
        <v>3.0</v>
      </c>
      <c r="C345" s="53" t="s">
        <v>36</v>
      </c>
      <c r="D345" s="120" t="s">
        <v>872</v>
      </c>
      <c r="E345" s="54" t="s">
        <v>38</v>
      </c>
      <c r="F345" s="55" t="s">
        <v>866</v>
      </c>
      <c r="G345" s="134" t="s">
        <v>873</v>
      </c>
      <c r="H345" s="55"/>
      <c r="I345" s="54">
        <f t="shared" si="1"/>
        <v>0</v>
      </c>
      <c r="J345" s="56"/>
      <c r="K345" s="57"/>
      <c r="L345" s="76"/>
      <c r="M345" s="59"/>
      <c r="N345" s="60"/>
      <c r="O345" s="61">
        <v>13746.0</v>
      </c>
      <c r="P345" s="62">
        <v>14845.68</v>
      </c>
      <c r="Q345" s="63">
        <v>14845.68</v>
      </c>
      <c r="R345" s="64">
        <v>15589.0</v>
      </c>
      <c r="S345" s="111">
        <v>16368.0</v>
      </c>
      <c r="T345" s="65">
        <f t="shared" si="2"/>
        <v>2618.88</v>
      </c>
      <c r="U345" s="65">
        <f t="shared" si="3"/>
        <v>18986.88</v>
      </c>
      <c r="V345" s="66">
        <f t="shared" si="4"/>
        <v>0.04997113349</v>
      </c>
      <c r="W345" s="67">
        <f t="shared" si="5"/>
        <v>15549.6</v>
      </c>
      <c r="X345" s="67">
        <f t="shared" si="6"/>
        <v>2487.936</v>
      </c>
      <c r="Y345" s="67">
        <f t="shared" si="7"/>
        <v>18037.536</v>
      </c>
      <c r="Z345" s="67">
        <f t="shared" si="8"/>
        <v>14731.2</v>
      </c>
      <c r="AA345" s="67">
        <f t="shared" si="9"/>
        <v>2356.992</v>
      </c>
      <c r="AB345" s="67">
        <f t="shared" si="10"/>
        <v>17088.192</v>
      </c>
      <c r="AC345" s="67">
        <f t="shared" si="11"/>
        <v>14731.2</v>
      </c>
      <c r="AD345" s="67">
        <f t="shared" si="12"/>
        <v>2356.992</v>
      </c>
      <c r="AE345" s="67">
        <f t="shared" si="13"/>
        <v>17088.192</v>
      </c>
      <c r="AF345" s="67">
        <f t="shared" si="14"/>
        <v>14731.2</v>
      </c>
      <c r="AG345" s="67">
        <f t="shared" si="15"/>
        <v>2356.992</v>
      </c>
      <c r="AH345" s="67">
        <f t="shared" si="16"/>
        <v>17088.192</v>
      </c>
      <c r="AI345" s="67">
        <f t="shared" si="17"/>
        <v>14731.2</v>
      </c>
      <c r="AJ345" s="68">
        <f t="shared" si="20"/>
        <v>2356.992</v>
      </c>
      <c r="AK345" s="68">
        <f t="shared" si="21"/>
        <v>17088.192</v>
      </c>
      <c r="AL345" s="70">
        <f>IFERROR(__xludf.DUMMYFUNCTION("""COMPUTED_VALUE"""),1.0)</f>
        <v>1</v>
      </c>
      <c r="AM345" s="70"/>
      <c r="AN345" s="71" t="str">
        <f>IFERROR(__xludf.DUMMYFUNCTION("""COMPUTED_VALUE""")," CP")</f>
        <v>CP</v>
      </c>
      <c r="AO345" s="71" t="str">
        <f>IFERROR(__xludf.DUMMYFUNCTION("""COMPUTED_VALUE""")," CA91")</f>
        <v>CA91</v>
      </c>
      <c r="AP345" s="71" t="str">
        <f>IFERROR(__xludf.DUMMYFUNCTION("""COMPUTED_VALUE""")," PZA")</f>
        <v>PZA</v>
      </c>
      <c r="AQ345" s="71" t="str">
        <f>IFERROR(__xludf.DUMMYFUNCTION("""COMPUTED_VALUE""")," REF")</f>
        <v>REF</v>
      </c>
      <c r="AR345" s="71" t="str">
        <f>IFERROR(__xludf.DUMMYFUNCTION("""COMPUTED_VALUE""")," CATARINA 40B30 E.1"" C.1/4")</f>
        <v>CATARINA 40B30 E.1" C.1/4</v>
      </c>
      <c r="AS345" s="71" t="str">
        <f>IFERROR(__xludf.DUMMYFUNCTION("""COMPUTED_VALUE""")," CATARINA 40B30 E.1"" C.1/4")</f>
        <v>CATARINA 40B30 E.1" C.1/4</v>
      </c>
      <c r="AT345" s="71">
        <f>IFERROR(__xludf.DUMMYFUNCTION("""COMPUTED_VALUE"""),25.0)</f>
        <v>25</v>
      </c>
      <c r="AU345" s="71"/>
      <c r="AV345" s="71"/>
      <c r="AW345" s="71"/>
      <c r="AX345" s="71"/>
      <c r="AY345" s="71">
        <f>IFERROR(__xludf.DUMMYFUNCTION("""COMPUTED_VALUE"""),307.0)</f>
        <v>307</v>
      </c>
      <c r="AZ345" s="71">
        <f>IFERROR(__xludf.DUMMYFUNCTION("""COMPUTED_VALUE"""),331.0)</f>
        <v>331</v>
      </c>
      <c r="BA345" s="71">
        <f>IFERROR(__xludf.DUMMYFUNCTION("""COMPUTED_VALUE"""),135.0)</f>
        <v>135</v>
      </c>
      <c r="BB345" s="71">
        <f>IFERROR(__xludf.DUMMYFUNCTION("""COMPUTED_VALUE"""),135.0)</f>
        <v>135</v>
      </c>
      <c r="BC345" s="71">
        <f>IFERROR(__xludf.DUMMYFUNCTION("""COMPUTED_VALUE"""),146.0)</f>
        <v>146</v>
      </c>
      <c r="BD345" s="71">
        <f>IFERROR(__xludf.DUMMYFUNCTION("""COMPUTED_VALUE"""),153.0)</f>
        <v>153</v>
      </c>
      <c r="BE345" s="71">
        <f>IFERROR(__xludf.DUMMYFUNCTION("""COMPUTED_VALUE"""),24.48)</f>
        <v>24.48</v>
      </c>
      <c r="BF345" s="71">
        <f>IFERROR(__xludf.DUMMYFUNCTION("""COMPUTED_VALUE"""),177.48)</f>
        <v>177.48</v>
      </c>
      <c r="BG345" s="71">
        <f>IFERROR(__xludf.DUMMYFUNCTION("""COMPUTED_VALUE"""),0.04794520547945205)</f>
        <v>0.04794520548</v>
      </c>
      <c r="BH345" s="71">
        <f>IFERROR(__xludf.DUMMYFUNCTION("""COMPUTED_VALUE"""),145.35)</f>
        <v>145.35</v>
      </c>
      <c r="BI345" s="71">
        <f>IFERROR(__xludf.DUMMYFUNCTION("""COMPUTED_VALUE"""),23.256)</f>
        <v>23.256</v>
      </c>
      <c r="BJ345" s="71">
        <f>IFERROR(__xludf.DUMMYFUNCTION("""COMPUTED_VALUE"""),168.606)</f>
        <v>168.606</v>
      </c>
      <c r="BK345" s="71">
        <f>IFERROR(__xludf.DUMMYFUNCTION("""COMPUTED_VALUE"""),137.70000000000002)</f>
        <v>137.7</v>
      </c>
      <c r="BL345" s="71">
        <f>IFERROR(__xludf.DUMMYFUNCTION("""COMPUTED_VALUE"""),22.032000000000004)</f>
        <v>22.032</v>
      </c>
      <c r="BM345" s="71">
        <f>IFERROR(__xludf.DUMMYFUNCTION("""COMPUTED_VALUE"""),159.73200000000003)</f>
        <v>159.732</v>
      </c>
      <c r="BN345" s="71">
        <f>IFERROR(__xludf.DUMMYFUNCTION("""COMPUTED_VALUE"""),130.04999999999998)</f>
        <v>130.05</v>
      </c>
      <c r="BO345" s="71">
        <f>IFERROR(__xludf.DUMMYFUNCTION("""COMPUTED_VALUE"""),20.807999999999996)</f>
        <v>20.808</v>
      </c>
      <c r="BP345" s="71">
        <f>IFERROR(__xludf.DUMMYFUNCTION("""COMPUTED_VALUE"""),150.85799999999998)</f>
        <v>150.858</v>
      </c>
      <c r="BQ345" s="71">
        <f>IFERROR(__xludf.DUMMYFUNCTION("""COMPUTED_VALUE"""),126.99)</f>
        <v>126.99</v>
      </c>
      <c r="BR345" s="71">
        <f>IFERROR(__xludf.DUMMYFUNCTION("""COMPUTED_VALUE"""),20.3184)</f>
        <v>20.3184</v>
      </c>
      <c r="BS345" s="71">
        <f>IFERROR(__xludf.DUMMYFUNCTION("""COMPUTED_VALUE"""),147.3084)</f>
        <v>147.3084</v>
      </c>
      <c r="BT345" s="71">
        <f>IFERROR(__xludf.DUMMYFUNCTION("""COMPUTED_VALUE"""),122.4)</f>
        <v>122.4</v>
      </c>
      <c r="BU345" s="71">
        <f>IFERROR(__xludf.DUMMYFUNCTION("""COMPUTED_VALUE"""),19.584)</f>
        <v>19.584</v>
      </c>
      <c r="BV345" s="71">
        <f>IFERROR(__xludf.DUMMYFUNCTION("""COMPUTED_VALUE"""),141.984)</f>
        <v>141.984</v>
      </c>
    </row>
    <row r="346">
      <c r="A346" s="53">
        <v>1.0</v>
      </c>
      <c r="B346" s="72"/>
      <c r="C346" s="73" t="s">
        <v>53</v>
      </c>
      <c r="D346" s="74" t="s">
        <v>874</v>
      </c>
      <c r="E346" s="55" t="s">
        <v>38</v>
      </c>
      <c r="F346" s="54" t="s">
        <v>42</v>
      </c>
      <c r="G346" s="55" t="s">
        <v>875</v>
      </c>
      <c r="H346" s="54" t="s">
        <v>876</v>
      </c>
      <c r="I346" s="54">
        <f t="shared" si="1"/>
        <v>29</v>
      </c>
      <c r="J346" s="56"/>
      <c r="K346" s="75"/>
      <c r="L346" s="76"/>
      <c r="M346" s="59"/>
      <c r="N346" s="60">
        <v>85.0</v>
      </c>
      <c r="O346" s="61">
        <v>116.0</v>
      </c>
      <c r="P346" s="62">
        <v>125.28</v>
      </c>
      <c r="Q346" s="63">
        <v>125.28</v>
      </c>
      <c r="R346" s="64">
        <v>135.0</v>
      </c>
      <c r="S346" s="111">
        <v>142.0</v>
      </c>
      <c r="T346" s="65">
        <f t="shared" si="2"/>
        <v>22.72</v>
      </c>
      <c r="U346" s="65">
        <f t="shared" si="3"/>
        <v>164.72</v>
      </c>
      <c r="V346" s="66">
        <f t="shared" si="4"/>
        <v>0.05185185185</v>
      </c>
      <c r="W346" s="67">
        <f t="shared" si="5"/>
        <v>134.9</v>
      </c>
      <c r="X346" s="67">
        <f t="shared" si="6"/>
        <v>21.584</v>
      </c>
      <c r="Y346" s="67">
        <f t="shared" si="7"/>
        <v>156.484</v>
      </c>
      <c r="Z346" s="67">
        <f t="shared" si="8"/>
        <v>127.8</v>
      </c>
      <c r="AA346" s="67">
        <f t="shared" si="9"/>
        <v>20.448</v>
      </c>
      <c r="AB346" s="67">
        <f t="shared" si="10"/>
        <v>148.248</v>
      </c>
      <c r="AC346" s="67">
        <f t="shared" si="11"/>
        <v>120.7</v>
      </c>
      <c r="AD346" s="67">
        <f t="shared" si="12"/>
        <v>19.312</v>
      </c>
      <c r="AE346" s="67">
        <f t="shared" si="13"/>
        <v>140.012</v>
      </c>
      <c r="AF346" s="67">
        <f t="shared" si="14"/>
        <v>117.86</v>
      </c>
      <c r="AG346" s="67">
        <f t="shared" si="15"/>
        <v>18.8576</v>
      </c>
      <c r="AH346" s="67">
        <f t="shared" si="16"/>
        <v>136.7176</v>
      </c>
      <c r="AI346" s="67">
        <f t="shared" si="17"/>
        <v>113.6</v>
      </c>
      <c r="AJ346" s="68">
        <f t="shared" si="20"/>
        <v>18.176</v>
      </c>
      <c r="AK346" s="68">
        <f t="shared" si="21"/>
        <v>131.776</v>
      </c>
      <c r="AL346" s="70">
        <f>IFERROR(__xludf.DUMMYFUNCTION("""COMPUTED_VALUE"""),1.0)</f>
        <v>1</v>
      </c>
      <c r="AM346" s="70"/>
      <c r="AN346" s="71" t="str">
        <f>IFERROR(__xludf.DUMMYFUNCTION("""COMPUTED_VALUE""")," CP")</f>
        <v>CP</v>
      </c>
      <c r="AO346" s="71" t="str">
        <f>IFERROR(__xludf.DUMMYFUNCTION("""COMPUTED_VALUE""")," CA79")</f>
        <v>CA79</v>
      </c>
      <c r="AP346" s="71" t="str">
        <f>IFERROR(__xludf.DUMMYFUNCTION("""COMPUTED_VALUE""")," PZA")</f>
        <v>PZA</v>
      </c>
      <c r="AQ346" s="71" t="str">
        <f>IFERROR(__xludf.DUMMYFUNCTION("""COMPUTED_VALUE""")," REF")</f>
        <v>REF</v>
      </c>
      <c r="AR346" s="71" t="str">
        <f>IFERROR(__xludf.DUMMYFUNCTION("""COMPUTED_VALUE""")," CATARINA 40B30 E.15/16""")</f>
        <v>CATARINA 40B30 E.15/16"</v>
      </c>
      <c r="AS346" s="71" t="str">
        <f>IFERROR(__xludf.DUMMYFUNCTION("""COMPUTED_VALUE""")," CATARINA 40B30 E.15/16""")</f>
        <v>CATARINA 40B30 E.15/16"</v>
      </c>
      <c r="AT346" s="71">
        <f>IFERROR(__xludf.DUMMYFUNCTION("""COMPUTED_VALUE"""),23.0)</f>
        <v>23</v>
      </c>
      <c r="AU346" s="71"/>
      <c r="AV346" s="71"/>
      <c r="AW346" s="71"/>
      <c r="AX346" s="71"/>
      <c r="AY346" s="71">
        <f>IFERROR(__xludf.DUMMYFUNCTION("""COMPUTED_VALUE"""),228.0)</f>
        <v>228</v>
      </c>
      <c r="AZ346" s="71">
        <f>IFERROR(__xludf.DUMMYFUNCTION("""COMPUTED_VALUE"""),250.0)</f>
        <v>250</v>
      </c>
      <c r="BA346" s="71">
        <f>IFERROR(__xludf.DUMMYFUNCTION("""COMPUTED_VALUE"""),135.0)</f>
        <v>135</v>
      </c>
      <c r="BB346" s="71">
        <f>IFERROR(__xludf.DUMMYFUNCTION("""COMPUTED_VALUE"""),135.0)</f>
        <v>135</v>
      </c>
      <c r="BC346" s="71">
        <f>IFERROR(__xludf.DUMMYFUNCTION("""COMPUTED_VALUE"""),184.0)</f>
        <v>184</v>
      </c>
      <c r="BD346" s="71">
        <f>IFERROR(__xludf.DUMMYFUNCTION("""COMPUTED_VALUE"""),193.0)</f>
        <v>193</v>
      </c>
      <c r="BE346" s="71">
        <f>IFERROR(__xludf.DUMMYFUNCTION("""COMPUTED_VALUE"""),30.88)</f>
        <v>30.88</v>
      </c>
      <c r="BF346" s="71">
        <f>IFERROR(__xludf.DUMMYFUNCTION("""COMPUTED_VALUE"""),223.88)</f>
        <v>223.88</v>
      </c>
      <c r="BG346" s="71">
        <f>IFERROR(__xludf.DUMMYFUNCTION("""COMPUTED_VALUE"""),0.04891304347826087)</f>
        <v>0.04891304348</v>
      </c>
      <c r="BH346" s="71">
        <f>IFERROR(__xludf.DUMMYFUNCTION("""COMPUTED_VALUE"""),183.35)</f>
        <v>183.35</v>
      </c>
      <c r="BI346" s="71">
        <f>IFERROR(__xludf.DUMMYFUNCTION("""COMPUTED_VALUE"""),29.336)</f>
        <v>29.336</v>
      </c>
      <c r="BJ346" s="71">
        <f>IFERROR(__xludf.DUMMYFUNCTION("""COMPUTED_VALUE"""),212.68599999999998)</f>
        <v>212.686</v>
      </c>
      <c r="BK346" s="71">
        <f>IFERROR(__xludf.DUMMYFUNCTION("""COMPUTED_VALUE"""),173.70000000000002)</f>
        <v>173.7</v>
      </c>
      <c r="BL346" s="71">
        <f>IFERROR(__xludf.DUMMYFUNCTION("""COMPUTED_VALUE"""),27.792)</f>
        <v>27.792</v>
      </c>
      <c r="BM346" s="71">
        <f>IFERROR(__xludf.DUMMYFUNCTION("""COMPUTED_VALUE"""),201.49200000000002)</f>
        <v>201.492</v>
      </c>
      <c r="BN346" s="71">
        <f>IFERROR(__xludf.DUMMYFUNCTION("""COMPUTED_VALUE"""),164.04999999999998)</f>
        <v>164.05</v>
      </c>
      <c r="BO346" s="71">
        <f>IFERROR(__xludf.DUMMYFUNCTION("""COMPUTED_VALUE"""),26.247999999999998)</f>
        <v>26.248</v>
      </c>
      <c r="BP346" s="71">
        <f>IFERROR(__xludf.DUMMYFUNCTION("""COMPUTED_VALUE"""),190.29799999999997)</f>
        <v>190.298</v>
      </c>
      <c r="BQ346" s="71">
        <f>IFERROR(__xludf.DUMMYFUNCTION("""COMPUTED_VALUE"""),160.19)</f>
        <v>160.19</v>
      </c>
      <c r="BR346" s="71">
        <f>IFERROR(__xludf.DUMMYFUNCTION("""COMPUTED_VALUE"""),25.6304)</f>
        <v>25.6304</v>
      </c>
      <c r="BS346" s="71">
        <f>IFERROR(__xludf.DUMMYFUNCTION("""COMPUTED_VALUE"""),185.8204)</f>
        <v>185.8204</v>
      </c>
      <c r="BT346" s="71">
        <f>IFERROR(__xludf.DUMMYFUNCTION("""COMPUTED_VALUE"""),154.4)</f>
        <v>154.4</v>
      </c>
      <c r="BU346" s="71">
        <f>IFERROR(__xludf.DUMMYFUNCTION("""COMPUTED_VALUE"""),24.704)</f>
        <v>24.704</v>
      </c>
      <c r="BV346" s="71">
        <f>IFERROR(__xludf.DUMMYFUNCTION("""COMPUTED_VALUE"""),179.104)</f>
        <v>179.104</v>
      </c>
    </row>
    <row r="347">
      <c r="A347" s="53">
        <v>1.0</v>
      </c>
      <c r="B347" s="53"/>
      <c r="C347" s="73" t="s">
        <v>53</v>
      </c>
      <c r="D347" s="74" t="s">
        <v>877</v>
      </c>
      <c r="E347" s="55" t="s">
        <v>38</v>
      </c>
      <c r="F347" s="54" t="s">
        <v>42</v>
      </c>
      <c r="G347" s="55" t="s">
        <v>878</v>
      </c>
      <c r="H347" s="54" t="s">
        <v>879</v>
      </c>
      <c r="I347" s="54">
        <f t="shared" si="1"/>
        <v>39</v>
      </c>
      <c r="J347" s="56"/>
      <c r="K347" s="75"/>
      <c r="L347" s="76"/>
      <c r="M347" s="59"/>
      <c r="N347" s="60">
        <v>201.0</v>
      </c>
      <c r="O347" s="61">
        <v>217.0</v>
      </c>
      <c r="P347" s="62">
        <v>375.84</v>
      </c>
      <c r="Q347" s="63">
        <v>375.84</v>
      </c>
      <c r="R347" s="64">
        <v>395.0</v>
      </c>
      <c r="S347" s="111">
        <v>415.0</v>
      </c>
      <c r="T347" s="65">
        <f t="shared" si="2"/>
        <v>66.4</v>
      </c>
      <c r="U347" s="65">
        <f t="shared" si="3"/>
        <v>481.4</v>
      </c>
      <c r="V347" s="66">
        <f t="shared" si="4"/>
        <v>0.05063291139</v>
      </c>
      <c r="W347" s="67">
        <f t="shared" si="5"/>
        <v>394.25</v>
      </c>
      <c r="X347" s="67">
        <f t="shared" si="6"/>
        <v>63.08</v>
      </c>
      <c r="Y347" s="67">
        <f t="shared" si="7"/>
        <v>457.33</v>
      </c>
      <c r="Z347" s="67">
        <f t="shared" si="8"/>
        <v>373.5</v>
      </c>
      <c r="AA347" s="67">
        <f t="shared" si="9"/>
        <v>59.76</v>
      </c>
      <c r="AB347" s="67">
        <f t="shared" si="10"/>
        <v>433.26</v>
      </c>
      <c r="AC347" s="67">
        <f t="shared" si="11"/>
        <v>352.75</v>
      </c>
      <c r="AD347" s="67">
        <f t="shared" si="12"/>
        <v>56.44</v>
      </c>
      <c r="AE347" s="67">
        <f t="shared" si="13"/>
        <v>409.19</v>
      </c>
      <c r="AF347" s="67">
        <f t="shared" si="14"/>
        <v>344.45</v>
      </c>
      <c r="AG347" s="67">
        <f t="shared" si="15"/>
        <v>55.112</v>
      </c>
      <c r="AH347" s="67">
        <f t="shared" si="16"/>
        <v>399.562</v>
      </c>
      <c r="AI347" s="67">
        <f t="shared" si="17"/>
        <v>332</v>
      </c>
      <c r="AJ347" s="68">
        <f t="shared" si="20"/>
        <v>53.12</v>
      </c>
      <c r="AK347" s="68">
        <f t="shared" si="21"/>
        <v>385.12</v>
      </c>
      <c r="AL347" s="70">
        <f>IFERROR(__xludf.DUMMYFUNCTION("""COMPUTED_VALUE"""),1.0)</f>
        <v>1</v>
      </c>
      <c r="AM347" s="70"/>
      <c r="AN347" s="71" t="str">
        <f>IFERROR(__xludf.DUMMYFUNCTION("""COMPUTED_VALUE""")," CP")</f>
        <v>CP</v>
      </c>
      <c r="AO347" s="71" t="str">
        <f>IFERROR(__xludf.DUMMYFUNCTION("""COMPUTED_VALUE""")," CA80")</f>
        <v>CA80</v>
      </c>
      <c r="AP347" s="71" t="str">
        <f>IFERROR(__xludf.DUMMYFUNCTION("""COMPUTED_VALUE""")," PZA")</f>
        <v>PZA</v>
      </c>
      <c r="AQ347" s="71" t="str">
        <f>IFERROR(__xludf.DUMMYFUNCTION("""COMPUTED_VALUE""")," REF")</f>
        <v>REF</v>
      </c>
      <c r="AR347" s="71" t="str">
        <f>IFERROR(__xludf.DUMMYFUNCTION("""COMPUTED_VALUE""")," CATARINA 40B30 E.3/4"" P/ENFRI")</f>
        <v>CATARINA 40B30 E.3/4" P/ENFRI</v>
      </c>
      <c r="AS347" s="71" t="str">
        <f>IFERROR(__xludf.DUMMYFUNCTION("""COMPUTED_VALUE""")," CATARINA 40B30 E.3/4"" P/ENFRI")</f>
        <v>CATARINA 40B30 E.3/4" P/ENFRI</v>
      </c>
      <c r="AT347" s="71">
        <f>IFERROR(__xludf.DUMMYFUNCTION("""COMPUTED_VALUE"""),29.0)</f>
        <v>29</v>
      </c>
      <c r="AU347" s="71"/>
      <c r="AV347" s="71"/>
      <c r="AW347" s="71"/>
      <c r="AX347" s="71"/>
      <c r="AY347" s="71">
        <f>IFERROR(__xludf.DUMMYFUNCTION("""COMPUTED_VALUE"""),212.0)</f>
        <v>212</v>
      </c>
      <c r="AZ347" s="71">
        <f>IFERROR(__xludf.DUMMYFUNCTION("""COMPUTED_VALUE"""),251.0)</f>
        <v>251</v>
      </c>
      <c r="BA347" s="71">
        <f>IFERROR(__xludf.DUMMYFUNCTION("""COMPUTED_VALUE"""),135.0)</f>
        <v>135</v>
      </c>
      <c r="BB347" s="71">
        <f>IFERROR(__xludf.DUMMYFUNCTION("""COMPUTED_VALUE"""),135.0)</f>
        <v>135</v>
      </c>
      <c r="BC347" s="71">
        <f>IFERROR(__xludf.DUMMYFUNCTION("""COMPUTED_VALUE"""),184.0)</f>
        <v>184</v>
      </c>
      <c r="BD347" s="71">
        <f>IFERROR(__xludf.DUMMYFUNCTION("""COMPUTED_VALUE"""),193.0)</f>
        <v>193</v>
      </c>
      <c r="BE347" s="71">
        <f>IFERROR(__xludf.DUMMYFUNCTION("""COMPUTED_VALUE"""),30.88)</f>
        <v>30.88</v>
      </c>
      <c r="BF347" s="71">
        <f>IFERROR(__xludf.DUMMYFUNCTION("""COMPUTED_VALUE"""),223.88)</f>
        <v>223.88</v>
      </c>
      <c r="BG347" s="71">
        <f>IFERROR(__xludf.DUMMYFUNCTION("""COMPUTED_VALUE"""),0.04891304347826087)</f>
        <v>0.04891304348</v>
      </c>
      <c r="BH347" s="71">
        <f>IFERROR(__xludf.DUMMYFUNCTION("""COMPUTED_VALUE"""),183.35)</f>
        <v>183.35</v>
      </c>
      <c r="BI347" s="71">
        <f>IFERROR(__xludf.DUMMYFUNCTION("""COMPUTED_VALUE"""),29.336)</f>
        <v>29.336</v>
      </c>
      <c r="BJ347" s="71">
        <f>IFERROR(__xludf.DUMMYFUNCTION("""COMPUTED_VALUE"""),212.68599999999998)</f>
        <v>212.686</v>
      </c>
      <c r="BK347" s="71">
        <f>IFERROR(__xludf.DUMMYFUNCTION("""COMPUTED_VALUE"""),173.70000000000002)</f>
        <v>173.7</v>
      </c>
      <c r="BL347" s="71">
        <f>IFERROR(__xludf.DUMMYFUNCTION("""COMPUTED_VALUE"""),27.792)</f>
        <v>27.792</v>
      </c>
      <c r="BM347" s="71">
        <f>IFERROR(__xludf.DUMMYFUNCTION("""COMPUTED_VALUE"""),201.49200000000002)</f>
        <v>201.492</v>
      </c>
      <c r="BN347" s="71">
        <f>IFERROR(__xludf.DUMMYFUNCTION("""COMPUTED_VALUE"""),164.04999999999998)</f>
        <v>164.05</v>
      </c>
      <c r="BO347" s="71">
        <f>IFERROR(__xludf.DUMMYFUNCTION("""COMPUTED_VALUE"""),26.247999999999998)</f>
        <v>26.248</v>
      </c>
      <c r="BP347" s="71">
        <f>IFERROR(__xludf.DUMMYFUNCTION("""COMPUTED_VALUE"""),190.29799999999997)</f>
        <v>190.298</v>
      </c>
      <c r="BQ347" s="71">
        <f>IFERROR(__xludf.DUMMYFUNCTION("""COMPUTED_VALUE"""),160.19)</f>
        <v>160.19</v>
      </c>
      <c r="BR347" s="71">
        <f>IFERROR(__xludf.DUMMYFUNCTION("""COMPUTED_VALUE"""),25.6304)</f>
        <v>25.6304</v>
      </c>
      <c r="BS347" s="71">
        <f>IFERROR(__xludf.DUMMYFUNCTION("""COMPUTED_VALUE"""),185.8204)</f>
        <v>185.8204</v>
      </c>
      <c r="BT347" s="71">
        <f>IFERROR(__xludf.DUMMYFUNCTION("""COMPUTED_VALUE"""),154.4)</f>
        <v>154.4</v>
      </c>
      <c r="BU347" s="71">
        <f>IFERROR(__xludf.DUMMYFUNCTION("""COMPUTED_VALUE"""),24.704)</f>
        <v>24.704</v>
      </c>
      <c r="BV347" s="71">
        <f>IFERROR(__xludf.DUMMYFUNCTION("""COMPUTED_VALUE"""),179.104)</f>
        <v>179.104</v>
      </c>
    </row>
    <row r="348">
      <c r="A348" s="53">
        <v>1.0</v>
      </c>
      <c r="B348" s="72"/>
      <c r="C348" s="73" t="s">
        <v>53</v>
      </c>
      <c r="D348" s="74" t="s">
        <v>880</v>
      </c>
      <c r="E348" s="55" t="s">
        <v>38</v>
      </c>
      <c r="F348" s="54" t="s">
        <v>42</v>
      </c>
      <c r="G348" s="55" t="s">
        <v>881</v>
      </c>
      <c r="H348" s="54" t="s">
        <v>882</v>
      </c>
      <c r="I348" s="54">
        <f t="shared" si="1"/>
        <v>29</v>
      </c>
      <c r="J348" s="56"/>
      <c r="K348" s="75"/>
      <c r="L348" s="76"/>
      <c r="M348" s="59"/>
      <c r="N348" s="60">
        <v>85.0</v>
      </c>
      <c r="O348" s="61">
        <v>116.0</v>
      </c>
      <c r="P348" s="62">
        <v>125.28</v>
      </c>
      <c r="Q348" s="63">
        <v>125.28</v>
      </c>
      <c r="R348" s="64">
        <v>139.0</v>
      </c>
      <c r="S348" s="111">
        <v>146.0</v>
      </c>
      <c r="T348" s="65">
        <f t="shared" si="2"/>
        <v>23.36</v>
      </c>
      <c r="U348" s="65">
        <f t="shared" si="3"/>
        <v>169.36</v>
      </c>
      <c r="V348" s="66">
        <f t="shared" si="4"/>
        <v>0.05035971223</v>
      </c>
      <c r="W348" s="67">
        <f t="shared" si="5"/>
        <v>138.7</v>
      </c>
      <c r="X348" s="67">
        <f t="shared" si="6"/>
        <v>22.192</v>
      </c>
      <c r="Y348" s="67">
        <f t="shared" si="7"/>
        <v>160.892</v>
      </c>
      <c r="Z348" s="67">
        <f t="shared" si="8"/>
        <v>131.4</v>
      </c>
      <c r="AA348" s="67">
        <f t="shared" si="9"/>
        <v>21.024</v>
      </c>
      <c r="AB348" s="67">
        <f t="shared" si="10"/>
        <v>152.424</v>
      </c>
      <c r="AC348" s="67">
        <f t="shared" si="11"/>
        <v>124.1</v>
      </c>
      <c r="AD348" s="67">
        <f t="shared" si="12"/>
        <v>19.856</v>
      </c>
      <c r="AE348" s="67">
        <f t="shared" si="13"/>
        <v>143.956</v>
      </c>
      <c r="AF348" s="67">
        <f t="shared" si="14"/>
        <v>121.18</v>
      </c>
      <c r="AG348" s="67">
        <f t="shared" si="15"/>
        <v>19.3888</v>
      </c>
      <c r="AH348" s="67">
        <f t="shared" si="16"/>
        <v>140.5688</v>
      </c>
      <c r="AI348" s="67">
        <f t="shared" si="17"/>
        <v>116.8</v>
      </c>
      <c r="AJ348" s="68">
        <f t="shared" si="20"/>
        <v>18.688</v>
      </c>
      <c r="AK348" s="68">
        <f t="shared" si="21"/>
        <v>135.488</v>
      </c>
      <c r="AL348" s="70">
        <f>IFERROR(__xludf.DUMMYFUNCTION("""COMPUTED_VALUE"""),1.0)</f>
        <v>1</v>
      </c>
      <c r="AM348" s="70"/>
      <c r="AN348" s="71" t="str">
        <f>IFERROR(__xludf.DUMMYFUNCTION("""COMPUTED_VALUE""")," CP")</f>
        <v>CP</v>
      </c>
      <c r="AO348" s="71" t="str">
        <f>IFERROR(__xludf.DUMMYFUNCTION("""COMPUTED_VALUE""")," CA213")</f>
        <v>CA213</v>
      </c>
      <c r="AP348" s="71" t="str">
        <f>IFERROR(__xludf.DUMMYFUNCTION("""COMPUTED_VALUE""")," PZA")</f>
        <v>PZA</v>
      </c>
      <c r="AQ348" s="71" t="str">
        <f>IFERROR(__xludf.DUMMYFUNCTION("""COMPUTED_VALUE""")," REF")</f>
        <v>REF</v>
      </c>
      <c r="AR348" s="71" t="str">
        <f>IFERROR(__xludf.DUMMYFUNCTION("""COMPUTED_VALUE""")," CATARINA 40B35 E.1"" C.1/4")</f>
        <v>CATARINA 40B35 E.1" C.1/4</v>
      </c>
      <c r="AS348" s="71" t="str">
        <f>IFERROR(__xludf.DUMMYFUNCTION("""COMPUTED_VALUE""")," CATARINA 40B35 E.1"" C.1/4")</f>
        <v>CATARINA 40B35 E.1" C.1/4</v>
      </c>
      <c r="AT348" s="71">
        <f>IFERROR(__xludf.DUMMYFUNCTION("""COMPUTED_VALUE"""),25.0)</f>
        <v>25</v>
      </c>
      <c r="AU348" s="71"/>
      <c r="AV348" s="71"/>
      <c r="AW348" s="71"/>
      <c r="AX348" s="71"/>
      <c r="AY348" s="71"/>
      <c r="AZ348" s="71"/>
      <c r="BA348" s="71">
        <f>IFERROR(__xludf.DUMMYFUNCTION("""COMPUTED_VALUE"""),180.0)</f>
        <v>180</v>
      </c>
      <c r="BB348" s="71">
        <f>IFERROR(__xludf.DUMMYFUNCTION("""COMPUTED_VALUE"""),180.0)</f>
        <v>180</v>
      </c>
      <c r="BC348" s="71">
        <f>IFERROR(__xludf.DUMMYFUNCTION("""COMPUTED_VALUE"""),195.0)</f>
        <v>195</v>
      </c>
      <c r="BD348" s="71">
        <f>IFERROR(__xludf.DUMMYFUNCTION("""COMPUTED_VALUE"""),205.0)</f>
        <v>205</v>
      </c>
      <c r="BE348" s="71">
        <f>IFERROR(__xludf.DUMMYFUNCTION("""COMPUTED_VALUE"""),32.8)</f>
        <v>32.8</v>
      </c>
      <c r="BF348" s="71">
        <f>IFERROR(__xludf.DUMMYFUNCTION("""COMPUTED_VALUE"""),237.8)</f>
        <v>237.8</v>
      </c>
      <c r="BG348" s="71">
        <f>IFERROR(__xludf.DUMMYFUNCTION("""COMPUTED_VALUE"""),0.05128205128205128)</f>
        <v>0.05128205128</v>
      </c>
      <c r="BH348" s="71">
        <f>IFERROR(__xludf.DUMMYFUNCTION("""COMPUTED_VALUE"""),194.75)</f>
        <v>194.75</v>
      </c>
      <c r="BI348" s="71">
        <f>IFERROR(__xludf.DUMMYFUNCTION("""COMPUTED_VALUE"""),31.16)</f>
        <v>31.16</v>
      </c>
      <c r="BJ348" s="71">
        <f>IFERROR(__xludf.DUMMYFUNCTION("""COMPUTED_VALUE"""),225.91)</f>
        <v>225.91</v>
      </c>
      <c r="BK348" s="71">
        <f>IFERROR(__xludf.DUMMYFUNCTION("""COMPUTED_VALUE"""),184.5)</f>
        <v>184.5</v>
      </c>
      <c r="BL348" s="71">
        <f>IFERROR(__xludf.DUMMYFUNCTION("""COMPUTED_VALUE"""),29.52)</f>
        <v>29.52</v>
      </c>
      <c r="BM348" s="71">
        <f>IFERROR(__xludf.DUMMYFUNCTION("""COMPUTED_VALUE"""),214.02)</f>
        <v>214.02</v>
      </c>
      <c r="BN348" s="71">
        <f>IFERROR(__xludf.DUMMYFUNCTION("""COMPUTED_VALUE"""),174.25)</f>
        <v>174.25</v>
      </c>
      <c r="BO348" s="71">
        <f>IFERROR(__xludf.DUMMYFUNCTION("""COMPUTED_VALUE"""),27.88)</f>
        <v>27.88</v>
      </c>
      <c r="BP348" s="71">
        <f>IFERROR(__xludf.DUMMYFUNCTION("""COMPUTED_VALUE"""),202.13)</f>
        <v>202.13</v>
      </c>
      <c r="BQ348" s="71">
        <f>IFERROR(__xludf.DUMMYFUNCTION("""COMPUTED_VALUE"""),170.15)</f>
        <v>170.15</v>
      </c>
      <c r="BR348" s="71">
        <f>IFERROR(__xludf.DUMMYFUNCTION("""COMPUTED_VALUE"""),27.224)</f>
        <v>27.224</v>
      </c>
      <c r="BS348" s="71">
        <f>IFERROR(__xludf.DUMMYFUNCTION("""COMPUTED_VALUE"""),197.374)</f>
        <v>197.374</v>
      </c>
      <c r="BT348" s="71">
        <f>IFERROR(__xludf.DUMMYFUNCTION("""COMPUTED_VALUE"""),164.0)</f>
        <v>164</v>
      </c>
      <c r="BU348" s="71">
        <f>IFERROR(__xludf.DUMMYFUNCTION("""COMPUTED_VALUE"""),26.240000000000002)</f>
        <v>26.24</v>
      </c>
      <c r="BV348" s="71">
        <f>IFERROR(__xludf.DUMMYFUNCTION("""COMPUTED_VALUE"""),190.24)</f>
        <v>190.24</v>
      </c>
    </row>
    <row r="349">
      <c r="A349" s="53">
        <v>1.0</v>
      </c>
      <c r="B349" s="53"/>
      <c r="C349" s="73" t="s">
        <v>53</v>
      </c>
      <c r="D349" s="74" t="s">
        <v>883</v>
      </c>
      <c r="E349" s="55" t="s">
        <v>38</v>
      </c>
      <c r="F349" s="54" t="s">
        <v>42</v>
      </c>
      <c r="G349" s="55" t="s">
        <v>884</v>
      </c>
      <c r="H349" s="54" t="s">
        <v>885</v>
      </c>
      <c r="I349" s="54">
        <f t="shared" si="1"/>
        <v>34</v>
      </c>
      <c r="J349" s="56"/>
      <c r="K349" s="75"/>
      <c r="L349" s="76"/>
      <c r="M349" s="59"/>
      <c r="N349" s="60">
        <v>201.0</v>
      </c>
      <c r="O349" s="61">
        <v>217.0</v>
      </c>
      <c r="P349" s="62">
        <v>375.84</v>
      </c>
      <c r="Q349" s="63">
        <v>375.84</v>
      </c>
      <c r="R349" s="64">
        <v>395.0</v>
      </c>
      <c r="S349" s="111">
        <v>415.0</v>
      </c>
      <c r="T349" s="65">
        <f t="shared" si="2"/>
        <v>66.4</v>
      </c>
      <c r="U349" s="65">
        <f t="shared" si="3"/>
        <v>481.4</v>
      </c>
      <c r="V349" s="66">
        <f t="shared" si="4"/>
        <v>0.05063291139</v>
      </c>
      <c r="W349" s="67">
        <f t="shared" si="5"/>
        <v>394.25</v>
      </c>
      <c r="X349" s="67">
        <f t="shared" si="6"/>
        <v>63.08</v>
      </c>
      <c r="Y349" s="67">
        <f t="shared" si="7"/>
        <v>457.33</v>
      </c>
      <c r="Z349" s="67">
        <f t="shared" si="8"/>
        <v>373.5</v>
      </c>
      <c r="AA349" s="67">
        <f t="shared" si="9"/>
        <v>59.76</v>
      </c>
      <c r="AB349" s="67">
        <f t="shared" si="10"/>
        <v>433.26</v>
      </c>
      <c r="AC349" s="67">
        <f t="shared" si="11"/>
        <v>352.75</v>
      </c>
      <c r="AD349" s="67">
        <f t="shared" si="12"/>
        <v>56.44</v>
      </c>
      <c r="AE349" s="67">
        <f t="shared" si="13"/>
        <v>409.19</v>
      </c>
      <c r="AF349" s="67">
        <f t="shared" si="14"/>
        <v>344.45</v>
      </c>
      <c r="AG349" s="67">
        <f t="shared" si="15"/>
        <v>55.112</v>
      </c>
      <c r="AH349" s="67">
        <f t="shared" si="16"/>
        <v>399.562</v>
      </c>
      <c r="AI349" s="67">
        <f t="shared" si="17"/>
        <v>332</v>
      </c>
      <c r="AJ349" s="68">
        <f t="shared" si="20"/>
        <v>53.12</v>
      </c>
      <c r="AK349" s="68">
        <f t="shared" si="21"/>
        <v>385.12</v>
      </c>
      <c r="AL349" s="70">
        <f>IFERROR(__xludf.DUMMYFUNCTION("""COMPUTED_VALUE"""),1.0)</f>
        <v>1</v>
      </c>
      <c r="AM349" s="70"/>
      <c r="AN349" s="71" t="str">
        <f>IFERROR(__xludf.DUMMYFUNCTION("""COMPUTED_VALUE""")," C")</f>
        <v>C</v>
      </c>
      <c r="AO349" s="71" t="str">
        <f>IFERROR(__xludf.DUMMYFUNCTION("""COMPUTED_VALUE""")," CA110")</f>
        <v>CA110</v>
      </c>
      <c r="AP349" s="71" t="str">
        <f>IFERROR(__xludf.DUMMYFUNCTION("""COMPUTED_VALUE""")," PZA")</f>
        <v>PZA</v>
      </c>
      <c r="AQ349" s="71" t="str">
        <f>IFERROR(__xludf.DUMMYFUNCTION("""COMPUTED_VALUE""")," REF")</f>
        <v>REF</v>
      </c>
      <c r="AR349" s="71" t="str">
        <f>IFERROR(__xludf.DUMMYFUNCTION("""COMPUTED_VALUE""")," CATARINA 40B36 E.15/16""")</f>
        <v>CATARINA 40B36 E.15/16"</v>
      </c>
      <c r="AS349" s="71" t="str">
        <f>IFERROR(__xludf.DUMMYFUNCTION("""COMPUTED_VALUE""")," CATARINA 40B36 E.15/16""")</f>
        <v>CATARINA 40B36 E.15/16"</v>
      </c>
      <c r="AT349" s="71">
        <f>IFERROR(__xludf.DUMMYFUNCTION("""COMPUTED_VALUE"""),23.0)</f>
        <v>23</v>
      </c>
      <c r="AU349" s="71"/>
      <c r="AV349" s="71"/>
      <c r="AW349" s="71"/>
      <c r="AX349" s="71"/>
      <c r="AY349" s="71"/>
      <c r="AZ349" s="71">
        <f>IFERROR(__xludf.DUMMYFUNCTION("""COMPUTED_VALUE"""),360.0)</f>
        <v>360</v>
      </c>
      <c r="BA349" s="71">
        <f>IFERROR(__xludf.DUMMYFUNCTION("""COMPUTED_VALUE"""),200.0)</f>
        <v>200</v>
      </c>
      <c r="BB349" s="71">
        <f>IFERROR(__xludf.DUMMYFUNCTION("""COMPUTED_VALUE"""),200.0)</f>
        <v>200</v>
      </c>
      <c r="BC349" s="71">
        <f>IFERROR(__xludf.DUMMYFUNCTION("""COMPUTED_VALUE"""),216.0)</f>
        <v>216</v>
      </c>
      <c r="BD349" s="71">
        <f>IFERROR(__xludf.DUMMYFUNCTION("""COMPUTED_VALUE"""),227.0)</f>
        <v>227</v>
      </c>
      <c r="BE349" s="71">
        <f>IFERROR(__xludf.DUMMYFUNCTION("""COMPUTED_VALUE"""),36.32)</f>
        <v>36.32</v>
      </c>
      <c r="BF349" s="71">
        <f>IFERROR(__xludf.DUMMYFUNCTION("""COMPUTED_VALUE"""),263.32)</f>
        <v>263.32</v>
      </c>
      <c r="BG349" s="71">
        <f>IFERROR(__xludf.DUMMYFUNCTION("""COMPUTED_VALUE"""),0.05092592592592592)</f>
        <v>0.05092592593</v>
      </c>
      <c r="BH349" s="71">
        <f>IFERROR(__xludf.DUMMYFUNCTION("""COMPUTED_VALUE"""),215.64999999999998)</f>
        <v>215.65</v>
      </c>
      <c r="BI349" s="71">
        <f>IFERROR(__xludf.DUMMYFUNCTION("""COMPUTED_VALUE"""),34.504)</f>
        <v>34.504</v>
      </c>
      <c r="BJ349" s="71">
        <f>IFERROR(__xludf.DUMMYFUNCTION("""COMPUTED_VALUE"""),250.15399999999997)</f>
        <v>250.154</v>
      </c>
      <c r="BK349" s="71">
        <f>IFERROR(__xludf.DUMMYFUNCTION("""COMPUTED_VALUE"""),204.3)</f>
        <v>204.3</v>
      </c>
      <c r="BL349" s="71">
        <f>IFERROR(__xludf.DUMMYFUNCTION("""COMPUTED_VALUE"""),32.688)</f>
        <v>32.688</v>
      </c>
      <c r="BM349" s="71">
        <f>IFERROR(__xludf.DUMMYFUNCTION("""COMPUTED_VALUE"""),236.988)</f>
        <v>236.988</v>
      </c>
      <c r="BN349" s="71">
        <f>IFERROR(__xludf.DUMMYFUNCTION("""COMPUTED_VALUE"""),192.95)</f>
        <v>192.95</v>
      </c>
      <c r="BO349" s="71">
        <f>IFERROR(__xludf.DUMMYFUNCTION("""COMPUTED_VALUE"""),30.872)</f>
        <v>30.872</v>
      </c>
      <c r="BP349" s="71">
        <f>IFERROR(__xludf.DUMMYFUNCTION("""COMPUTED_VALUE"""),223.822)</f>
        <v>223.822</v>
      </c>
      <c r="BQ349" s="71">
        <f>IFERROR(__xludf.DUMMYFUNCTION("""COMPUTED_VALUE"""),188.41)</f>
        <v>188.41</v>
      </c>
      <c r="BR349" s="71">
        <f>IFERROR(__xludf.DUMMYFUNCTION("""COMPUTED_VALUE"""),30.1456)</f>
        <v>30.1456</v>
      </c>
      <c r="BS349" s="71">
        <f>IFERROR(__xludf.DUMMYFUNCTION("""COMPUTED_VALUE"""),218.5556)</f>
        <v>218.5556</v>
      </c>
      <c r="BT349" s="71">
        <f>IFERROR(__xludf.DUMMYFUNCTION("""COMPUTED_VALUE"""),181.60000000000002)</f>
        <v>181.6</v>
      </c>
      <c r="BU349" s="71">
        <f>IFERROR(__xludf.DUMMYFUNCTION("""COMPUTED_VALUE"""),29.056000000000004)</f>
        <v>29.056</v>
      </c>
      <c r="BV349" s="71">
        <f>IFERROR(__xludf.DUMMYFUNCTION("""COMPUTED_VALUE"""),210.65600000000003)</f>
        <v>210.656</v>
      </c>
    </row>
    <row r="350">
      <c r="A350" s="53">
        <v>1.0</v>
      </c>
      <c r="B350" s="72"/>
      <c r="C350" s="73" t="s">
        <v>53</v>
      </c>
      <c r="D350" s="74" t="s">
        <v>886</v>
      </c>
      <c r="E350" s="54" t="s">
        <v>38</v>
      </c>
      <c r="F350" s="54" t="s">
        <v>42</v>
      </c>
      <c r="G350" s="88" t="s">
        <v>887</v>
      </c>
      <c r="H350" s="54" t="s">
        <v>888</v>
      </c>
      <c r="I350" s="54">
        <f t="shared" si="1"/>
        <v>33</v>
      </c>
      <c r="J350" s="56"/>
      <c r="K350" s="75"/>
      <c r="L350" s="76"/>
      <c r="M350" s="59"/>
      <c r="N350" s="60">
        <v>86.0</v>
      </c>
      <c r="O350" s="61">
        <v>104.0</v>
      </c>
      <c r="P350" s="62">
        <v>112.32000000000001</v>
      </c>
      <c r="Q350" s="63">
        <v>112.32000000000001</v>
      </c>
      <c r="R350" s="64">
        <v>119.0</v>
      </c>
      <c r="S350" s="111">
        <v>125.0</v>
      </c>
      <c r="T350" s="65">
        <f t="shared" si="2"/>
        <v>20</v>
      </c>
      <c r="U350" s="65">
        <f t="shared" si="3"/>
        <v>145</v>
      </c>
      <c r="V350" s="66">
        <f t="shared" si="4"/>
        <v>0.05042016807</v>
      </c>
      <c r="W350" s="67">
        <f t="shared" si="5"/>
        <v>118.75</v>
      </c>
      <c r="X350" s="67">
        <f t="shared" si="6"/>
        <v>19</v>
      </c>
      <c r="Y350" s="67">
        <f t="shared" si="7"/>
        <v>137.75</v>
      </c>
      <c r="Z350" s="67">
        <f t="shared" si="8"/>
        <v>112.5</v>
      </c>
      <c r="AA350" s="67">
        <f t="shared" si="9"/>
        <v>18</v>
      </c>
      <c r="AB350" s="67">
        <f t="shared" si="10"/>
        <v>130.5</v>
      </c>
      <c r="AC350" s="67">
        <f t="shared" si="11"/>
        <v>106.25</v>
      </c>
      <c r="AD350" s="67">
        <f t="shared" si="12"/>
        <v>17</v>
      </c>
      <c r="AE350" s="67">
        <f t="shared" si="13"/>
        <v>123.25</v>
      </c>
      <c r="AF350" s="67">
        <f t="shared" si="14"/>
        <v>103.75</v>
      </c>
      <c r="AG350" s="67">
        <f t="shared" si="15"/>
        <v>16.6</v>
      </c>
      <c r="AH350" s="67">
        <f t="shared" si="16"/>
        <v>120.35</v>
      </c>
      <c r="AI350" s="67">
        <f t="shared" si="17"/>
        <v>100</v>
      </c>
      <c r="AJ350" s="68">
        <f t="shared" si="20"/>
        <v>16</v>
      </c>
      <c r="AK350" s="68">
        <f t="shared" si="21"/>
        <v>116</v>
      </c>
      <c r="AL350" s="70">
        <f>IFERROR(__xludf.DUMMYFUNCTION("""COMPUTED_VALUE"""),1.0)</f>
        <v>1</v>
      </c>
      <c r="AM350" s="70"/>
      <c r="AN350" s="71" t="str">
        <f>IFERROR(__xludf.DUMMYFUNCTION("""COMPUTED_VALUE""")," CP")</f>
        <v>CP</v>
      </c>
      <c r="AO350" s="71" t="str">
        <f>IFERROR(__xludf.DUMMYFUNCTION("""COMPUTED_VALUE""")," CA189")</f>
        <v>CA189</v>
      </c>
      <c r="AP350" s="71" t="str">
        <f>IFERROR(__xludf.DUMMYFUNCTION("""COMPUTED_VALUE""")," PZA")</f>
        <v>PZA</v>
      </c>
      <c r="AQ350" s="71" t="str">
        <f>IFERROR(__xludf.DUMMYFUNCTION("""COMPUTED_VALUE""")," REF")</f>
        <v>REF</v>
      </c>
      <c r="AR350" s="71" t="str">
        <f>IFERROR(__xludf.DUMMYFUNCTION("""COMPUTED_VALUE""")," CATARINA 40B36 E.15/16"" C.1/4")</f>
        <v>CATARINA 40B36 E.15/16" C.1/4</v>
      </c>
      <c r="AS350" s="71" t="str">
        <f>IFERROR(__xludf.DUMMYFUNCTION("""COMPUTED_VALUE""")," CATARINA 40B36 E.15/16"" C.1/4")</f>
        <v>CATARINA 40B36 E.15/16" C.1/4</v>
      </c>
      <c r="AT350" s="71">
        <f>IFERROR(__xludf.DUMMYFUNCTION("""COMPUTED_VALUE"""),29.0)</f>
        <v>29</v>
      </c>
      <c r="AU350" s="71"/>
      <c r="AV350" s="71"/>
      <c r="AW350" s="71"/>
      <c r="AX350" s="71"/>
      <c r="AY350" s="71">
        <f>IFERROR(__xludf.DUMMYFUNCTION("""COMPUTED_VALUE"""),386.40000000000003)</f>
        <v>386.4</v>
      </c>
      <c r="AZ350" s="71">
        <f>IFERROR(__xludf.DUMMYFUNCTION("""COMPUTED_VALUE"""),417.0)</f>
        <v>417</v>
      </c>
      <c r="BA350" s="71">
        <f>IFERROR(__xludf.DUMMYFUNCTION("""COMPUTED_VALUE"""),205.0)</f>
        <v>205</v>
      </c>
      <c r="BB350" s="71">
        <f>IFERROR(__xludf.DUMMYFUNCTION("""COMPUTED_VALUE"""),205.0)</f>
        <v>205</v>
      </c>
      <c r="BC350" s="71">
        <f>IFERROR(__xludf.DUMMYFUNCTION("""COMPUTED_VALUE"""),222.0)</f>
        <v>222</v>
      </c>
      <c r="BD350" s="71">
        <f>IFERROR(__xludf.DUMMYFUNCTION("""COMPUTED_VALUE"""),233.0)</f>
        <v>233</v>
      </c>
      <c r="BE350" s="71">
        <f>IFERROR(__xludf.DUMMYFUNCTION("""COMPUTED_VALUE"""),37.28)</f>
        <v>37.28</v>
      </c>
      <c r="BF350" s="71">
        <f>IFERROR(__xludf.DUMMYFUNCTION("""COMPUTED_VALUE"""),270.28)</f>
        <v>270.28</v>
      </c>
      <c r="BG350" s="71">
        <f>IFERROR(__xludf.DUMMYFUNCTION("""COMPUTED_VALUE"""),0.04954954954954955)</f>
        <v>0.04954954955</v>
      </c>
      <c r="BH350" s="71">
        <f>IFERROR(__xludf.DUMMYFUNCTION("""COMPUTED_VALUE"""),221.35)</f>
        <v>221.35</v>
      </c>
      <c r="BI350" s="71">
        <f>IFERROR(__xludf.DUMMYFUNCTION("""COMPUTED_VALUE"""),35.416)</f>
        <v>35.416</v>
      </c>
      <c r="BJ350" s="71">
        <f>IFERROR(__xludf.DUMMYFUNCTION("""COMPUTED_VALUE"""),256.76599999999996)</f>
        <v>256.766</v>
      </c>
      <c r="BK350" s="71">
        <f>IFERROR(__xludf.DUMMYFUNCTION("""COMPUTED_VALUE"""),209.70000000000002)</f>
        <v>209.7</v>
      </c>
      <c r="BL350" s="71">
        <f>IFERROR(__xludf.DUMMYFUNCTION("""COMPUTED_VALUE"""),33.55200000000001)</f>
        <v>33.552</v>
      </c>
      <c r="BM350" s="71">
        <f>IFERROR(__xludf.DUMMYFUNCTION("""COMPUTED_VALUE"""),243.252)</f>
        <v>243.252</v>
      </c>
      <c r="BN350" s="71">
        <f>IFERROR(__xludf.DUMMYFUNCTION("""COMPUTED_VALUE"""),198.04999999999998)</f>
        <v>198.05</v>
      </c>
      <c r="BO350" s="71">
        <f>IFERROR(__xludf.DUMMYFUNCTION("""COMPUTED_VALUE"""),31.688)</f>
        <v>31.688</v>
      </c>
      <c r="BP350" s="71">
        <f>IFERROR(__xludf.DUMMYFUNCTION("""COMPUTED_VALUE"""),229.73799999999997)</f>
        <v>229.738</v>
      </c>
      <c r="BQ350" s="71">
        <f>IFERROR(__xludf.DUMMYFUNCTION("""COMPUTED_VALUE"""),193.39)</f>
        <v>193.39</v>
      </c>
      <c r="BR350" s="71">
        <f>IFERROR(__xludf.DUMMYFUNCTION("""COMPUTED_VALUE"""),30.9424)</f>
        <v>30.9424</v>
      </c>
      <c r="BS350" s="71">
        <f>IFERROR(__xludf.DUMMYFUNCTION("""COMPUTED_VALUE"""),224.33239999999998)</f>
        <v>224.3324</v>
      </c>
      <c r="BT350" s="71">
        <f>IFERROR(__xludf.DUMMYFUNCTION("""COMPUTED_VALUE"""),186.4)</f>
        <v>186.4</v>
      </c>
      <c r="BU350" s="71">
        <f>IFERROR(__xludf.DUMMYFUNCTION("""COMPUTED_VALUE"""),29.824)</f>
        <v>29.824</v>
      </c>
      <c r="BV350" s="71">
        <f>IFERROR(__xludf.DUMMYFUNCTION("""COMPUTED_VALUE"""),216.22400000000002)</f>
        <v>216.224</v>
      </c>
    </row>
    <row r="351">
      <c r="A351" s="53">
        <v>1.0</v>
      </c>
      <c r="B351" s="72"/>
      <c r="C351" s="73" t="s">
        <v>53</v>
      </c>
      <c r="D351" s="74" t="s">
        <v>889</v>
      </c>
      <c r="E351" s="54" t="s">
        <v>38</v>
      </c>
      <c r="F351" s="54" t="s">
        <v>42</v>
      </c>
      <c r="G351" s="88" t="s">
        <v>890</v>
      </c>
      <c r="H351" s="54" t="s">
        <v>891</v>
      </c>
      <c r="I351" s="54">
        <f t="shared" si="1"/>
        <v>33</v>
      </c>
      <c r="J351" s="56"/>
      <c r="K351" s="75"/>
      <c r="L351" s="76"/>
      <c r="M351" s="59"/>
      <c r="N351" s="60">
        <v>86.0</v>
      </c>
      <c r="O351" s="61">
        <v>104.0</v>
      </c>
      <c r="P351" s="62">
        <v>112.32000000000001</v>
      </c>
      <c r="Q351" s="63">
        <v>112.32000000000001</v>
      </c>
      <c r="R351" s="64">
        <v>119.0</v>
      </c>
      <c r="S351" s="111">
        <v>125.0</v>
      </c>
      <c r="T351" s="65">
        <f t="shared" si="2"/>
        <v>20</v>
      </c>
      <c r="U351" s="65">
        <f t="shared" si="3"/>
        <v>145</v>
      </c>
      <c r="V351" s="66">
        <f t="shared" si="4"/>
        <v>0.05042016807</v>
      </c>
      <c r="W351" s="67">
        <f t="shared" si="5"/>
        <v>118.75</v>
      </c>
      <c r="X351" s="67">
        <f t="shared" si="6"/>
        <v>19</v>
      </c>
      <c r="Y351" s="67">
        <f t="shared" si="7"/>
        <v>137.75</v>
      </c>
      <c r="Z351" s="67">
        <f t="shared" si="8"/>
        <v>112.5</v>
      </c>
      <c r="AA351" s="67">
        <f t="shared" si="9"/>
        <v>18</v>
      </c>
      <c r="AB351" s="67">
        <f t="shared" si="10"/>
        <v>130.5</v>
      </c>
      <c r="AC351" s="67">
        <f t="shared" si="11"/>
        <v>106.25</v>
      </c>
      <c r="AD351" s="67">
        <f t="shared" si="12"/>
        <v>17</v>
      </c>
      <c r="AE351" s="67">
        <f t="shared" si="13"/>
        <v>123.25</v>
      </c>
      <c r="AF351" s="67">
        <f t="shared" si="14"/>
        <v>103.75</v>
      </c>
      <c r="AG351" s="67">
        <f t="shared" si="15"/>
        <v>16.6</v>
      </c>
      <c r="AH351" s="67">
        <f t="shared" si="16"/>
        <v>120.35</v>
      </c>
      <c r="AI351" s="67">
        <f t="shared" si="17"/>
        <v>100</v>
      </c>
      <c r="AJ351" s="68">
        <f t="shared" si="20"/>
        <v>16</v>
      </c>
      <c r="AK351" s="68">
        <f t="shared" si="21"/>
        <v>116</v>
      </c>
      <c r="AL351" s="70">
        <f>IFERROR(__xludf.DUMMYFUNCTION("""COMPUTED_VALUE"""),1.0)</f>
        <v>1</v>
      </c>
      <c r="AM351" s="70"/>
      <c r="AN351" s="71" t="str">
        <f>IFERROR(__xludf.DUMMYFUNCTION("""COMPUTED_VALUE""")," CP")</f>
        <v>CP</v>
      </c>
      <c r="AO351" s="71" t="str">
        <f>IFERROR(__xludf.DUMMYFUNCTION("""COMPUTED_VALUE""")," CA97")</f>
        <v>CA97</v>
      </c>
      <c r="AP351" s="71" t="str">
        <f>IFERROR(__xludf.DUMMYFUNCTION("""COMPUTED_VALUE""")," PZA")</f>
        <v>PZA</v>
      </c>
      <c r="AQ351" s="71" t="str">
        <f>IFERROR(__xludf.DUMMYFUNCTION("""COMPUTED_VALUE""")," REF")</f>
        <v>REF</v>
      </c>
      <c r="AR351" s="71" t="str">
        <f>IFERROR(__xludf.DUMMYFUNCTION("""COMPUTED_VALUE""")," CATARINA 40B37 E.1-1/4"" C.1/4")</f>
        <v>CATARINA 40B37 E.1-1/4" C.1/4</v>
      </c>
      <c r="AS351" s="71" t="str">
        <f>IFERROR(__xludf.DUMMYFUNCTION("""COMPUTED_VALUE""")," CATARINA 40B37 E.1-1/4"" C.1/4")</f>
        <v>CATARINA 40B37 E.1-1/4" C.1/4</v>
      </c>
      <c r="AT351" s="71">
        <f>IFERROR(__xludf.DUMMYFUNCTION("""COMPUTED_VALUE"""),29.0)</f>
        <v>29</v>
      </c>
      <c r="AU351" s="71"/>
      <c r="AV351" s="71"/>
      <c r="AW351" s="71"/>
      <c r="AX351" s="71"/>
      <c r="AY351" s="71"/>
      <c r="AZ351" s="71">
        <f>IFERROR(__xludf.DUMMYFUNCTION("""COMPUTED_VALUE"""),432.0)</f>
        <v>432</v>
      </c>
      <c r="BA351" s="71">
        <f>IFERROR(__xludf.DUMMYFUNCTION("""COMPUTED_VALUE"""),205.0)</f>
        <v>205</v>
      </c>
      <c r="BB351" s="71">
        <f>IFERROR(__xludf.DUMMYFUNCTION("""COMPUTED_VALUE"""),205.0)</f>
        <v>205</v>
      </c>
      <c r="BC351" s="71">
        <f>IFERROR(__xludf.DUMMYFUNCTION("""COMPUTED_VALUE"""),216.0)</f>
        <v>216</v>
      </c>
      <c r="BD351" s="71">
        <f>IFERROR(__xludf.DUMMYFUNCTION("""COMPUTED_VALUE"""),227.0)</f>
        <v>227</v>
      </c>
      <c r="BE351" s="71">
        <f>IFERROR(__xludf.DUMMYFUNCTION("""COMPUTED_VALUE"""),36.32)</f>
        <v>36.32</v>
      </c>
      <c r="BF351" s="71">
        <f>IFERROR(__xludf.DUMMYFUNCTION("""COMPUTED_VALUE"""),263.32)</f>
        <v>263.32</v>
      </c>
      <c r="BG351" s="71">
        <f>IFERROR(__xludf.DUMMYFUNCTION("""COMPUTED_VALUE"""),0.05092592592592592)</f>
        <v>0.05092592593</v>
      </c>
      <c r="BH351" s="71">
        <f>IFERROR(__xludf.DUMMYFUNCTION("""COMPUTED_VALUE"""),215.64999999999998)</f>
        <v>215.65</v>
      </c>
      <c r="BI351" s="71">
        <f>IFERROR(__xludf.DUMMYFUNCTION("""COMPUTED_VALUE"""),34.504)</f>
        <v>34.504</v>
      </c>
      <c r="BJ351" s="71">
        <f>IFERROR(__xludf.DUMMYFUNCTION("""COMPUTED_VALUE"""),250.15399999999997)</f>
        <v>250.154</v>
      </c>
      <c r="BK351" s="71">
        <f>IFERROR(__xludf.DUMMYFUNCTION("""COMPUTED_VALUE"""),204.3)</f>
        <v>204.3</v>
      </c>
      <c r="BL351" s="71">
        <f>IFERROR(__xludf.DUMMYFUNCTION("""COMPUTED_VALUE"""),32.688)</f>
        <v>32.688</v>
      </c>
      <c r="BM351" s="71">
        <f>IFERROR(__xludf.DUMMYFUNCTION("""COMPUTED_VALUE"""),236.988)</f>
        <v>236.988</v>
      </c>
      <c r="BN351" s="71">
        <f>IFERROR(__xludf.DUMMYFUNCTION("""COMPUTED_VALUE"""),192.95)</f>
        <v>192.95</v>
      </c>
      <c r="BO351" s="71">
        <f>IFERROR(__xludf.DUMMYFUNCTION("""COMPUTED_VALUE"""),30.872)</f>
        <v>30.872</v>
      </c>
      <c r="BP351" s="71">
        <f>IFERROR(__xludf.DUMMYFUNCTION("""COMPUTED_VALUE"""),223.822)</f>
        <v>223.822</v>
      </c>
      <c r="BQ351" s="71">
        <f>IFERROR(__xludf.DUMMYFUNCTION("""COMPUTED_VALUE"""),188.41)</f>
        <v>188.41</v>
      </c>
      <c r="BR351" s="71">
        <f>IFERROR(__xludf.DUMMYFUNCTION("""COMPUTED_VALUE"""),30.1456)</f>
        <v>30.1456</v>
      </c>
      <c r="BS351" s="71">
        <f>IFERROR(__xludf.DUMMYFUNCTION("""COMPUTED_VALUE"""),218.5556)</f>
        <v>218.5556</v>
      </c>
      <c r="BT351" s="71">
        <f>IFERROR(__xludf.DUMMYFUNCTION("""COMPUTED_VALUE"""),181.60000000000002)</f>
        <v>181.6</v>
      </c>
      <c r="BU351" s="71">
        <f>IFERROR(__xludf.DUMMYFUNCTION("""COMPUTED_VALUE"""),29.056000000000004)</f>
        <v>29.056</v>
      </c>
      <c r="BV351" s="71">
        <f>IFERROR(__xludf.DUMMYFUNCTION("""COMPUTED_VALUE"""),210.65600000000003)</f>
        <v>210.656</v>
      </c>
    </row>
    <row r="352">
      <c r="A352" s="53"/>
      <c r="B352" s="53"/>
      <c r="C352" s="73" t="s">
        <v>53</v>
      </c>
      <c r="D352" s="74" t="s">
        <v>892</v>
      </c>
      <c r="E352" s="55" t="s">
        <v>38</v>
      </c>
      <c r="F352" s="54" t="s">
        <v>42</v>
      </c>
      <c r="G352" s="55" t="s">
        <v>893</v>
      </c>
      <c r="H352" s="54" t="s">
        <v>894</v>
      </c>
      <c r="I352" s="54">
        <f t="shared" si="1"/>
        <v>38</v>
      </c>
      <c r="J352" s="56"/>
      <c r="K352" s="75"/>
      <c r="L352" s="76"/>
      <c r="M352" s="59"/>
      <c r="N352" s="60">
        <v>268.0</v>
      </c>
      <c r="O352" s="61">
        <v>289.0</v>
      </c>
      <c r="P352" s="62">
        <v>312.12</v>
      </c>
      <c r="Q352" s="63">
        <v>312.12</v>
      </c>
      <c r="R352" s="64">
        <v>348.0</v>
      </c>
      <c r="S352" s="111">
        <v>365.0</v>
      </c>
      <c r="T352" s="65">
        <f t="shared" si="2"/>
        <v>58.4</v>
      </c>
      <c r="U352" s="65">
        <f t="shared" si="3"/>
        <v>423.4</v>
      </c>
      <c r="V352" s="66">
        <f t="shared" si="4"/>
        <v>0.04885057471</v>
      </c>
      <c r="W352" s="67">
        <f t="shared" si="5"/>
        <v>346.75</v>
      </c>
      <c r="X352" s="67">
        <f t="shared" si="6"/>
        <v>55.48</v>
      </c>
      <c r="Y352" s="67">
        <f t="shared" si="7"/>
        <v>402.23</v>
      </c>
      <c r="Z352" s="67">
        <f t="shared" si="8"/>
        <v>328.5</v>
      </c>
      <c r="AA352" s="67">
        <f t="shared" si="9"/>
        <v>52.56</v>
      </c>
      <c r="AB352" s="67">
        <f t="shared" si="10"/>
        <v>381.06</v>
      </c>
      <c r="AC352" s="67">
        <f t="shared" si="11"/>
        <v>310.25</v>
      </c>
      <c r="AD352" s="67">
        <f t="shared" si="12"/>
        <v>49.64</v>
      </c>
      <c r="AE352" s="67">
        <f t="shared" si="13"/>
        <v>359.89</v>
      </c>
      <c r="AF352" s="67">
        <f t="shared" si="14"/>
        <v>302.95</v>
      </c>
      <c r="AG352" s="67">
        <f t="shared" si="15"/>
        <v>48.472</v>
      </c>
      <c r="AH352" s="67">
        <f t="shared" si="16"/>
        <v>351.422</v>
      </c>
      <c r="AI352" s="67">
        <f t="shared" si="17"/>
        <v>292</v>
      </c>
      <c r="AJ352" s="68">
        <f t="shared" si="20"/>
        <v>46.72</v>
      </c>
      <c r="AK352" s="68">
        <f t="shared" si="21"/>
        <v>338.72</v>
      </c>
      <c r="AL352" s="70">
        <f>IFERROR(__xludf.DUMMYFUNCTION("""COMPUTED_VALUE"""),1.0)</f>
        <v>1</v>
      </c>
      <c r="AM352" s="70"/>
      <c r="AN352" s="71" t="str">
        <f>IFERROR(__xludf.DUMMYFUNCTION("""COMPUTED_VALUE""")," E")</f>
        <v>E</v>
      </c>
      <c r="AO352" s="71" t="str">
        <f>IFERROR(__xludf.DUMMYFUNCTION("""COMPUTED_VALUE""")," CA102")</f>
        <v>CA102</v>
      </c>
      <c r="AP352" s="71" t="str">
        <f>IFERROR(__xludf.DUMMYFUNCTION("""COMPUTED_VALUE""")," PZA")</f>
        <v>PZA</v>
      </c>
      <c r="AQ352" s="71" t="str">
        <f>IFERROR(__xludf.DUMMYFUNCTION("""COMPUTED_VALUE""")," WAL")</f>
        <v>WAL</v>
      </c>
      <c r="AR352" s="71" t="str">
        <f>IFERROR(__xludf.DUMMYFUNCTION("""COMPUTED_VALUE""")," CATARINA 40B42 E.15/16""")</f>
        <v>CATARINA 40B42 E.15/16"</v>
      </c>
      <c r="AS352" s="71" t="str">
        <f>IFERROR(__xludf.DUMMYFUNCTION("""COMPUTED_VALUE""")," CATARINA 40B42 E.15/16""")</f>
        <v>CATARINA 40B42 E.15/16"</v>
      </c>
      <c r="AT352" s="71">
        <f>IFERROR(__xludf.DUMMYFUNCTION("""COMPUTED_VALUE"""),23.0)</f>
        <v>23</v>
      </c>
      <c r="AU352" s="71"/>
      <c r="AV352" s="71"/>
      <c r="AW352" s="71"/>
      <c r="AX352" s="71"/>
      <c r="AY352" s="71"/>
      <c r="AZ352" s="71">
        <f>IFERROR(__xludf.DUMMYFUNCTION("""COMPUTED_VALUE"""),638.95)</f>
        <v>638.95</v>
      </c>
      <c r="BA352" s="71">
        <f>IFERROR(__xludf.DUMMYFUNCTION("""COMPUTED_VALUE"""),240.0)</f>
        <v>240</v>
      </c>
      <c r="BB352" s="71">
        <f>IFERROR(__xludf.DUMMYFUNCTION("""COMPUTED_VALUE"""),240.0)</f>
        <v>240</v>
      </c>
      <c r="BC352" s="71">
        <f>IFERROR(__xludf.DUMMYFUNCTION("""COMPUTED_VALUE"""),252.0)</f>
        <v>252</v>
      </c>
      <c r="BD352" s="71">
        <f>IFERROR(__xludf.DUMMYFUNCTION("""COMPUTED_VALUE"""),265.0)</f>
        <v>265</v>
      </c>
      <c r="BE352" s="71">
        <f>IFERROR(__xludf.DUMMYFUNCTION("""COMPUTED_VALUE"""),42.4)</f>
        <v>42.4</v>
      </c>
      <c r="BF352" s="71">
        <f>IFERROR(__xludf.DUMMYFUNCTION("""COMPUTED_VALUE"""),307.4)</f>
        <v>307.4</v>
      </c>
      <c r="BG352" s="71">
        <f>IFERROR(__xludf.DUMMYFUNCTION("""COMPUTED_VALUE"""),0.051587301587301584)</f>
        <v>0.05158730159</v>
      </c>
      <c r="BH352" s="71">
        <f>IFERROR(__xludf.DUMMYFUNCTION("""COMPUTED_VALUE"""),251.75)</f>
        <v>251.75</v>
      </c>
      <c r="BI352" s="71">
        <f>IFERROR(__xludf.DUMMYFUNCTION("""COMPUTED_VALUE"""),40.28)</f>
        <v>40.28</v>
      </c>
      <c r="BJ352" s="71">
        <f>IFERROR(__xludf.DUMMYFUNCTION("""COMPUTED_VALUE"""),292.03)</f>
        <v>292.03</v>
      </c>
      <c r="BK352" s="71">
        <f>IFERROR(__xludf.DUMMYFUNCTION("""COMPUTED_VALUE"""),238.5)</f>
        <v>238.5</v>
      </c>
      <c r="BL352" s="71">
        <f>IFERROR(__xludf.DUMMYFUNCTION("""COMPUTED_VALUE"""),38.160000000000004)</f>
        <v>38.16</v>
      </c>
      <c r="BM352" s="71">
        <f>IFERROR(__xludf.DUMMYFUNCTION("""COMPUTED_VALUE"""),276.66)</f>
        <v>276.66</v>
      </c>
      <c r="BN352" s="71">
        <f>IFERROR(__xludf.DUMMYFUNCTION("""COMPUTED_VALUE"""),225.25)</f>
        <v>225.25</v>
      </c>
      <c r="BO352" s="71">
        <f>IFERROR(__xludf.DUMMYFUNCTION("""COMPUTED_VALUE"""),36.04)</f>
        <v>36.04</v>
      </c>
      <c r="BP352" s="71">
        <f>IFERROR(__xludf.DUMMYFUNCTION("""COMPUTED_VALUE"""),261.29)</f>
        <v>261.29</v>
      </c>
      <c r="BQ352" s="71">
        <f>IFERROR(__xludf.DUMMYFUNCTION("""COMPUTED_VALUE"""),219.95)</f>
        <v>219.95</v>
      </c>
      <c r="BR352" s="71">
        <f>IFERROR(__xludf.DUMMYFUNCTION("""COMPUTED_VALUE"""),35.192)</f>
        <v>35.192</v>
      </c>
      <c r="BS352" s="71">
        <f>IFERROR(__xludf.DUMMYFUNCTION("""COMPUTED_VALUE"""),255.142)</f>
        <v>255.142</v>
      </c>
      <c r="BT352" s="71">
        <f>IFERROR(__xludf.DUMMYFUNCTION("""COMPUTED_VALUE"""),212.0)</f>
        <v>212</v>
      </c>
      <c r="BU352" s="71">
        <f>IFERROR(__xludf.DUMMYFUNCTION("""COMPUTED_VALUE"""),33.92)</f>
        <v>33.92</v>
      </c>
      <c r="BV352" s="71">
        <f>IFERROR(__xludf.DUMMYFUNCTION("""COMPUTED_VALUE"""),245.92000000000002)</f>
        <v>245.92</v>
      </c>
    </row>
    <row r="353">
      <c r="A353" s="53"/>
      <c r="B353" s="53"/>
      <c r="C353" s="73" t="s">
        <v>53</v>
      </c>
      <c r="D353" s="74" t="s">
        <v>895</v>
      </c>
      <c r="E353" s="55" t="s">
        <v>38</v>
      </c>
      <c r="F353" s="54" t="s">
        <v>42</v>
      </c>
      <c r="G353" s="55" t="s">
        <v>896</v>
      </c>
      <c r="H353" s="54" t="s">
        <v>897</v>
      </c>
      <c r="I353" s="54">
        <f t="shared" si="1"/>
        <v>38</v>
      </c>
      <c r="J353" s="56"/>
      <c r="K353" s="75"/>
      <c r="L353" s="76"/>
      <c r="M353" s="59"/>
      <c r="N353" s="60">
        <v>268.0</v>
      </c>
      <c r="O353" s="61">
        <v>289.0</v>
      </c>
      <c r="P353" s="62">
        <v>312.12</v>
      </c>
      <c r="Q353" s="63">
        <v>312.12</v>
      </c>
      <c r="R353" s="64">
        <v>348.0</v>
      </c>
      <c r="S353" s="111">
        <v>365.0</v>
      </c>
      <c r="T353" s="65">
        <f t="shared" si="2"/>
        <v>58.4</v>
      </c>
      <c r="U353" s="65">
        <f t="shared" si="3"/>
        <v>423.4</v>
      </c>
      <c r="V353" s="66">
        <f t="shared" si="4"/>
        <v>0.04885057471</v>
      </c>
      <c r="W353" s="67">
        <f t="shared" si="5"/>
        <v>346.75</v>
      </c>
      <c r="X353" s="67">
        <f t="shared" si="6"/>
        <v>55.48</v>
      </c>
      <c r="Y353" s="67">
        <f t="shared" si="7"/>
        <v>402.23</v>
      </c>
      <c r="Z353" s="67">
        <f t="shared" si="8"/>
        <v>328.5</v>
      </c>
      <c r="AA353" s="67">
        <f t="shared" si="9"/>
        <v>52.56</v>
      </c>
      <c r="AB353" s="67">
        <f t="shared" si="10"/>
        <v>381.06</v>
      </c>
      <c r="AC353" s="67">
        <f t="shared" si="11"/>
        <v>310.25</v>
      </c>
      <c r="AD353" s="67">
        <f t="shared" si="12"/>
        <v>49.64</v>
      </c>
      <c r="AE353" s="67">
        <f t="shared" si="13"/>
        <v>359.89</v>
      </c>
      <c r="AF353" s="67">
        <f t="shared" si="14"/>
        <v>302.95</v>
      </c>
      <c r="AG353" s="67">
        <f t="shared" si="15"/>
        <v>48.472</v>
      </c>
      <c r="AH353" s="67">
        <f t="shared" si="16"/>
        <v>351.422</v>
      </c>
      <c r="AI353" s="67">
        <f t="shared" si="17"/>
        <v>292</v>
      </c>
      <c r="AJ353" s="68">
        <f t="shared" si="20"/>
        <v>46.72</v>
      </c>
      <c r="AK353" s="68">
        <f t="shared" si="21"/>
        <v>338.72</v>
      </c>
      <c r="AL353" s="70">
        <f>IFERROR(__xludf.DUMMYFUNCTION("""COMPUTED_VALUE"""),1.0)</f>
        <v>1</v>
      </c>
      <c r="AM353" s="70"/>
      <c r="AN353" s="71" t="str">
        <f>IFERROR(__xludf.DUMMYFUNCTION("""COMPUTED_VALUE""")," CP")</f>
        <v>CP</v>
      </c>
      <c r="AO353" s="71" t="str">
        <f>IFERROR(__xludf.DUMMYFUNCTION("""COMPUTED_VALUE""")," CA111")</f>
        <v>CA111</v>
      </c>
      <c r="AP353" s="71" t="str">
        <f>IFERROR(__xludf.DUMMYFUNCTION("""COMPUTED_VALUE""")," PZA")</f>
        <v>PZA</v>
      </c>
      <c r="AQ353" s="71" t="str">
        <f>IFERROR(__xludf.DUMMYFUNCTION("""COMPUTED_VALUE""")," REF")</f>
        <v>REF</v>
      </c>
      <c r="AR353" s="71" t="str">
        <f>IFERROR(__xludf.DUMMYFUNCTION("""COMPUTED_VALUE""")," CATARINA 40B43 E.15/16""")</f>
        <v>CATARINA 40B43 E.15/16"</v>
      </c>
      <c r="AS353" s="71" t="str">
        <f>IFERROR(__xludf.DUMMYFUNCTION("""COMPUTED_VALUE""")," CATARINA 40B43 E.15/16""")</f>
        <v>CATARINA 40B43 E.15/16"</v>
      </c>
      <c r="AT353" s="71">
        <f>IFERROR(__xludf.DUMMYFUNCTION("""COMPUTED_VALUE"""),23.0)</f>
        <v>23</v>
      </c>
      <c r="AU353" s="71"/>
      <c r="AV353" s="71"/>
      <c r="AW353" s="71"/>
      <c r="AX353" s="71"/>
      <c r="AY353" s="71"/>
      <c r="AZ353" s="71">
        <f>IFERROR(__xludf.DUMMYFUNCTION("""COMPUTED_VALUE"""),460.0)</f>
        <v>460</v>
      </c>
      <c r="BA353" s="71">
        <f>IFERROR(__xludf.DUMMYFUNCTION("""COMPUTED_VALUE"""),265.0)</f>
        <v>265</v>
      </c>
      <c r="BB353" s="71">
        <f>IFERROR(__xludf.DUMMYFUNCTION("""COMPUTED_VALUE"""),265.0)</f>
        <v>265</v>
      </c>
      <c r="BC353" s="71">
        <f>IFERROR(__xludf.DUMMYFUNCTION("""COMPUTED_VALUE"""),287.0)</f>
        <v>287</v>
      </c>
      <c r="BD353" s="71">
        <f>IFERROR(__xludf.DUMMYFUNCTION("""COMPUTED_VALUE"""),301.0)</f>
        <v>301</v>
      </c>
      <c r="BE353" s="71">
        <f>IFERROR(__xludf.DUMMYFUNCTION("""COMPUTED_VALUE"""),48.160000000000004)</f>
        <v>48.16</v>
      </c>
      <c r="BF353" s="71">
        <f>IFERROR(__xludf.DUMMYFUNCTION("""COMPUTED_VALUE"""),349.16)</f>
        <v>349.16</v>
      </c>
      <c r="BG353" s="71">
        <f>IFERROR(__xludf.DUMMYFUNCTION("""COMPUTED_VALUE"""),0.04878048780487805)</f>
        <v>0.0487804878</v>
      </c>
      <c r="BH353" s="71">
        <f>IFERROR(__xludf.DUMMYFUNCTION("""COMPUTED_VALUE"""),285.95)</f>
        <v>285.95</v>
      </c>
      <c r="BI353" s="71">
        <f>IFERROR(__xludf.DUMMYFUNCTION("""COMPUTED_VALUE"""),45.752)</f>
        <v>45.752</v>
      </c>
      <c r="BJ353" s="71">
        <f>IFERROR(__xludf.DUMMYFUNCTION("""COMPUTED_VALUE"""),331.702)</f>
        <v>331.702</v>
      </c>
      <c r="BK353" s="71">
        <f>IFERROR(__xludf.DUMMYFUNCTION("""COMPUTED_VALUE"""),270.90000000000003)</f>
        <v>270.9</v>
      </c>
      <c r="BL353" s="71">
        <f>IFERROR(__xludf.DUMMYFUNCTION("""COMPUTED_VALUE"""),43.34400000000001)</f>
        <v>43.344</v>
      </c>
      <c r="BM353" s="71">
        <f>IFERROR(__xludf.DUMMYFUNCTION("""COMPUTED_VALUE"""),314.244)</f>
        <v>314.244</v>
      </c>
      <c r="BN353" s="71">
        <f>IFERROR(__xludf.DUMMYFUNCTION("""COMPUTED_VALUE"""),255.85)</f>
        <v>255.85</v>
      </c>
      <c r="BO353" s="71">
        <f>IFERROR(__xludf.DUMMYFUNCTION("""COMPUTED_VALUE"""),40.936)</f>
        <v>40.936</v>
      </c>
      <c r="BP353" s="71">
        <f>IFERROR(__xludf.DUMMYFUNCTION("""COMPUTED_VALUE"""),296.786)</f>
        <v>296.786</v>
      </c>
      <c r="BQ353" s="71">
        <f>IFERROR(__xludf.DUMMYFUNCTION("""COMPUTED_VALUE"""),249.82999999999998)</f>
        <v>249.83</v>
      </c>
      <c r="BR353" s="71">
        <f>IFERROR(__xludf.DUMMYFUNCTION("""COMPUTED_VALUE"""),39.9728)</f>
        <v>39.9728</v>
      </c>
      <c r="BS353" s="71">
        <f>IFERROR(__xludf.DUMMYFUNCTION("""COMPUTED_VALUE"""),289.8028)</f>
        <v>289.8028</v>
      </c>
      <c r="BT353" s="71">
        <f>IFERROR(__xludf.DUMMYFUNCTION("""COMPUTED_VALUE"""),240.8)</f>
        <v>240.8</v>
      </c>
      <c r="BU353" s="71">
        <f>IFERROR(__xludf.DUMMYFUNCTION("""COMPUTED_VALUE"""),38.528000000000006)</f>
        <v>38.528</v>
      </c>
      <c r="BV353" s="71">
        <f>IFERROR(__xludf.DUMMYFUNCTION("""COMPUTED_VALUE"""),279.32800000000003)</f>
        <v>279.328</v>
      </c>
    </row>
    <row r="354">
      <c r="A354" s="53">
        <v>1.0</v>
      </c>
      <c r="B354" s="72"/>
      <c r="C354" s="73" t="s">
        <v>53</v>
      </c>
      <c r="D354" s="74" t="s">
        <v>898</v>
      </c>
      <c r="E354" s="54" t="s">
        <v>38</v>
      </c>
      <c r="F354" s="54" t="s">
        <v>42</v>
      </c>
      <c r="G354" s="88" t="s">
        <v>899</v>
      </c>
      <c r="H354" s="54" t="s">
        <v>900</v>
      </c>
      <c r="I354" s="54">
        <f t="shared" si="1"/>
        <v>38</v>
      </c>
      <c r="J354" s="56"/>
      <c r="K354" s="75"/>
      <c r="L354" s="76"/>
      <c r="M354" s="59"/>
      <c r="N354" s="60">
        <v>85.0</v>
      </c>
      <c r="O354" s="61">
        <v>104.0</v>
      </c>
      <c r="P354" s="62">
        <v>112.32000000000001</v>
      </c>
      <c r="Q354" s="63">
        <v>112.32000000000001</v>
      </c>
      <c r="R354" s="64">
        <v>134.0</v>
      </c>
      <c r="S354" s="111">
        <v>141.0</v>
      </c>
      <c r="T354" s="65">
        <f t="shared" si="2"/>
        <v>22.56</v>
      </c>
      <c r="U354" s="65">
        <f t="shared" si="3"/>
        <v>163.56</v>
      </c>
      <c r="V354" s="66">
        <f t="shared" si="4"/>
        <v>0.05223880597</v>
      </c>
      <c r="W354" s="67">
        <f t="shared" si="5"/>
        <v>133.95</v>
      </c>
      <c r="X354" s="67">
        <f t="shared" si="6"/>
        <v>21.432</v>
      </c>
      <c r="Y354" s="67">
        <f t="shared" si="7"/>
        <v>155.382</v>
      </c>
      <c r="Z354" s="67">
        <f t="shared" si="8"/>
        <v>126.9</v>
      </c>
      <c r="AA354" s="67">
        <f t="shared" si="9"/>
        <v>20.304</v>
      </c>
      <c r="AB354" s="67">
        <f t="shared" si="10"/>
        <v>147.204</v>
      </c>
      <c r="AC354" s="67">
        <f t="shared" si="11"/>
        <v>119.85</v>
      </c>
      <c r="AD354" s="67">
        <f t="shared" si="12"/>
        <v>19.176</v>
      </c>
      <c r="AE354" s="67">
        <f t="shared" si="13"/>
        <v>139.026</v>
      </c>
      <c r="AF354" s="67">
        <f t="shared" si="14"/>
        <v>117.03</v>
      </c>
      <c r="AG354" s="67">
        <f t="shared" si="15"/>
        <v>18.7248</v>
      </c>
      <c r="AH354" s="67">
        <f t="shared" si="16"/>
        <v>135.7548</v>
      </c>
      <c r="AI354" s="67">
        <f t="shared" si="17"/>
        <v>112.8</v>
      </c>
      <c r="AJ354" s="68">
        <f t="shared" si="20"/>
        <v>18.048</v>
      </c>
      <c r="AK354" s="68">
        <f t="shared" si="21"/>
        <v>130.848</v>
      </c>
      <c r="AL354" s="70">
        <f>IFERROR(__xludf.DUMMYFUNCTION("""COMPUTED_VALUE"""),1.0)</f>
        <v>1</v>
      </c>
      <c r="AM354" s="70"/>
      <c r="AN354" s="71" t="str">
        <f>IFERROR(__xludf.DUMMYFUNCTION("""COMPUTED_VALUE""")," CP")</f>
        <v>CP</v>
      </c>
      <c r="AO354" s="71" t="str">
        <f>IFERROR(__xludf.DUMMYFUNCTION("""COMPUTED_VALUE""")," CA214")</f>
        <v>CA214</v>
      </c>
      <c r="AP354" s="71" t="str">
        <f>IFERROR(__xludf.DUMMYFUNCTION("""COMPUTED_VALUE""")," PZA")</f>
        <v>PZA</v>
      </c>
      <c r="AQ354" s="71" t="str">
        <f>IFERROR(__xludf.DUMMYFUNCTION("""COMPUTED_VALUE""")," REF")</f>
        <v>REF</v>
      </c>
      <c r="AR354" s="71" t="str">
        <f>IFERROR(__xludf.DUMMYFUNCTION("""COMPUTED_VALUE""")," CATARINA 40B47 E.1"" C.1/4")</f>
        <v>CATARINA 40B47 E.1" C.1/4</v>
      </c>
      <c r="AS354" s="71" t="str">
        <f>IFERROR(__xludf.DUMMYFUNCTION("""COMPUTED_VALUE""")," CATARINA 40B47 E.1"" C.1/4")</f>
        <v>CATARINA 40B47 E.1" C.1/4</v>
      </c>
      <c r="AT354" s="71">
        <f>IFERROR(__xludf.DUMMYFUNCTION("""COMPUTED_VALUE"""),25.0)</f>
        <v>25</v>
      </c>
      <c r="AU354" s="71"/>
      <c r="AV354" s="71"/>
      <c r="AW354" s="71"/>
      <c r="AX354" s="71"/>
      <c r="AY354" s="71"/>
      <c r="AZ354" s="71"/>
      <c r="BA354" s="71">
        <f>IFERROR(__xludf.DUMMYFUNCTION("""COMPUTED_VALUE"""),300.0)</f>
        <v>300</v>
      </c>
      <c r="BB354" s="71">
        <f>IFERROR(__xludf.DUMMYFUNCTION("""COMPUTED_VALUE"""),300.0)</f>
        <v>300</v>
      </c>
      <c r="BC354" s="71">
        <f>IFERROR(__xludf.DUMMYFUNCTION("""COMPUTED_VALUE"""),324.0)</f>
        <v>324</v>
      </c>
      <c r="BD354" s="71">
        <f>IFERROR(__xludf.DUMMYFUNCTION("""COMPUTED_VALUE"""),340.0)</f>
        <v>340</v>
      </c>
      <c r="BE354" s="71">
        <f>IFERROR(__xludf.DUMMYFUNCTION("""COMPUTED_VALUE"""),54.4)</f>
        <v>54.4</v>
      </c>
      <c r="BF354" s="71">
        <f>IFERROR(__xludf.DUMMYFUNCTION("""COMPUTED_VALUE"""),394.4)</f>
        <v>394.4</v>
      </c>
      <c r="BG354" s="71">
        <f>IFERROR(__xludf.DUMMYFUNCTION("""COMPUTED_VALUE"""),0.04938271604938271)</f>
        <v>0.04938271605</v>
      </c>
      <c r="BH354" s="71">
        <f>IFERROR(__xludf.DUMMYFUNCTION("""COMPUTED_VALUE"""),323.0)</f>
        <v>323</v>
      </c>
      <c r="BI354" s="71">
        <f>IFERROR(__xludf.DUMMYFUNCTION("""COMPUTED_VALUE"""),51.68)</f>
        <v>51.68</v>
      </c>
      <c r="BJ354" s="71">
        <f>IFERROR(__xludf.DUMMYFUNCTION("""COMPUTED_VALUE"""),374.68)</f>
        <v>374.68</v>
      </c>
      <c r="BK354" s="71">
        <f>IFERROR(__xludf.DUMMYFUNCTION("""COMPUTED_VALUE"""),306.0)</f>
        <v>306</v>
      </c>
      <c r="BL354" s="71">
        <f>IFERROR(__xludf.DUMMYFUNCTION("""COMPUTED_VALUE"""),48.96)</f>
        <v>48.96</v>
      </c>
      <c r="BM354" s="71">
        <f>IFERROR(__xludf.DUMMYFUNCTION("""COMPUTED_VALUE"""),354.96)</f>
        <v>354.96</v>
      </c>
      <c r="BN354" s="71">
        <f>IFERROR(__xludf.DUMMYFUNCTION("""COMPUTED_VALUE"""),289.0)</f>
        <v>289</v>
      </c>
      <c r="BO354" s="71">
        <f>IFERROR(__xludf.DUMMYFUNCTION("""COMPUTED_VALUE"""),46.24)</f>
        <v>46.24</v>
      </c>
      <c r="BP354" s="71">
        <f>IFERROR(__xludf.DUMMYFUNCTION("""COMPUTED_VALUE"""),335.24)</f>
        <v>335.24</v>
      </c>
      <c r="BQ354" s="71">
        <f>IFERROR(__xludf.DUMMYFUNCTION("""COMPUTED_VALUE"""),282.2)</f>
        <v>282.2</v>
      </c>
      <c r="BR354" s="71">
        <f>IFERROR(__xludf.DUMMYFUNCTION("""COMPUTED_VALUE"""),45.152)</f>
        <v>45.152</v>
      </c>
      <c r="BS354" s="71">
        <f>IFERROR(__xludf.DUMMYFUNCTION("""COMPUTED_VALUE"""),327.352)</f>
        <v>327.352</v>
      </c>
      <c r="BT354" s="71">
        <f>IFERROR(__xludf.DUMMYFUNCTION("""COMPUTED_VALUE"""),272.0)</f>
        <v>272</v>
      </c>
      <c r="BU354" s="71">
        <f>IFERROR(__xludf.DUMMYFUNCTION("""COMPUTED_VALUE"""),43.52)</f>
        <v>43.52</v>
      </c>
      <c r="BV354" s="71">
        <f>IFERROR(__xludf.DUMMYFUNCTION("""COMPUTED_VALUE"""),315.52)</f>
        <v>315.52</v>
      </c>
    </row>
    <row r="355">
      <c r="A355" s="53">
        <v>1.0</v>
      </c>
      <c r="B355" s="53"/>
      <c r="C355" s="73" t="s">
        <v>53</v>
      </c>
      <c r="D355" s="74" t="s">
        <v>901</v>
      </c>
      <c r="E355" s="55" t="s">
        <v>38</v>
      </c>
      <c r="F355" s="54" t="s">
        <v>42</v>
      </c>
      <c r="G355" s="55" t="s">
        <v>902</v>
      </c>
      <c r="H355" s="54" t="s">
        <v>903</v>
      </c>
      <c r="I355" s="54">
        <f t="shared" si="1"/>
        <v>39</v>
      </c>
      <c r="J355" s="56"/>
      <c r="K355" s="75"/>
      <c r="L355" s="76"/>
      <c r="M355" s="59"/>
      <c r="N355" s="60">
        <v>189.0</v>
      </c>
      <c r="O355" s="61">
        <v>204.0</v>
      </c>
      <c r="P355" s="62">
        <v>336.96</v>
      </c>
      <c r="Q355" s="63">
        <v>336.96</v>
      </c>
      <c r="R355" s="64">
        <v>354.0</v>
      </c>
      <c r="S355" s="111">
        <v>372.0</v>
      </c>
      <c r="T355" s="65">
        <f t="shared" si="2"/>
        <v>59.52</v>
      </c>
      <c r="U355" s="65">
        <f t="shared" si="3"/>
        <v>431.52</v>
      </c>
      <c r="V355" s="66">
        <f t="shared" si="4"/>
        <v>0.05084745763</v>
      </c>
      <c r="W355" s="67">
        <f t="shared" si="5"/>
        <v>353.4</v>
      </c>
      <c r="X355" s="67">
        <f t="shared" si="6"/>
        <v>56.544</v>
      </c>
      <c r="Y355" s="67">
        <f t="shared" si="7"/>
        <v>409.944</v>
      </c>
      <c r="Z355" s="67">
        <f t="shared" si="8"/>
        <v>334.8</v>
      </c>
      <c r="AA355" s="67">
        <f t="shared" si="9"/>
        <v>53.568</v>
      </c>
      <c r="AB355" s="67">
        <f t="shared" si="10"/>
        <v>388.368</v>
      </c>
      <c r="AC355" s="67">
        <f t="shared" si="11"/>
        <v>316.2</v>
      </c>
      <c r="AD355" s="67">
        <f t="shared" si="12"/>
        <v>50.592</v>
      </c>
      <c r="AE355" s="67">
        <f t="shared" si="13"/>
        <v>366.792</v>
      </c>
      <c r="AF355" s="67">
        <f t="shared" si="14"/>
        <v>308.76</v>
      </c>
      <c r="AG355" s="67">
        <f t="shared" si="15"/>
        <v>49.4016</v>
      </c>
      <c r="AH355" s="67">
        <f t="shared" si="16"/>
        <v>358.1616</v>
      </c>
      <c r="AI355" s="67">
        <f t="shared" si="17"/>
        <v>297.6</v>
      </c>
      <c r="AJ355" s="68">
        <f t="shared" si="20"/>
        <v>47.616</v>
      </c>
      <c r="AK355" s="68">
        <f t="shared" si="21"/>
        <v>345.216</v>
      </c>
      <c r="AL355" s="70">
        <f>IFERROR(__xludf.DUMMYFUNCTION("""COMPUTED_VALUE"""),1.0)</f>
        <v>1</v>
      </c>
      <c r="AM355" s="70"/>
      <c r="AN355" s="71" t="str">
        <f>IFERROR(__xludf.DUMMYFUNCTION("""COMPUTED_VALUE""")," E")</f>
        <v>E</v>
      </c>
      <c r="AO355" s="71" t="str">
        <f>IFERROR(__xludf.DUMMYFUNCTION("""COMPUTED_VALUE""")," CA126")</f>
        <v>CA126</v>
      </c>
      <c r="AP355" s="71" t="str">
        <f>IFERROR(__xludf.DUMMYFUNCTION("""COMPUTED_VALUE""")," PZA")</f>
        <v>PZA</v>
      </c>
      <c r="AQ355" s="71" t="str">
        <f>IFERROR(__xludf.DUMMYFUNCTION("""COMPUTED_VALUE""")," WAL")</f>
        <v>WAL</v>
      </c>
      <c r="AR355" s="71" t="str">
        <f>IFERROR(__xludf.DUMMYFUNCTION("""COMPUTED_VALUE""")," CATARINA 40B59 E.1-1/4"" C.1/4")</f>
        <v>CATARINA 40B59 E.1-1/4" C.1/4</v>
      </c>
      <c r="AS355" s="71" t="str">
        <f>IFERROR(__xludf.DUMMYFUNCTION("""COMPUTED_VALUE""")," CATARINA 40B59 E.1-1/4"" C.1/4")</f>
        <v>CATARINA 40B59 E.1-1/4" C.1/4</v>
      </c>
      <c r="AT355" s="71">
        <f>IFERROR(__xludf.DUMMYFUNCTION("""COMPUTED_VALUE"""),29.0)</f>
        <v>29</v>
      </c>
      <c r="AU355" s="71"/>
      <c r="AV355" s="71"/>
      <c r="AW355" s="71"/>
      <c r="AX355" s="71"/>
      <c r="AY355" s="71"/>
      <c r="AZ355" s="71">
        <f>IFERROR(__xludf.DUMMYFUNCTION("""COMPUTED_VALUE"""),1363.2)</f>
        <v>1363.2</v>
      </c>
      <c r="BA355" s="71">
        <f>IFERROR(__xludf.DUMMYFUNCTION("""COMPUTED_VALUE"""),385.0)</f>
        <v>385</v>
      </c>
      <c r="BB355" s="71">
        <f>IFERROR(__xludf.DUMMYFUNCTION("""COMPUTED_VALUE"""),385.0)</f>
        <v>385</v>
      </c>
      <c r="BC355" s="71">
        <f>IFERROR(__xludf.DUMMYFUNCTION("""COMPUTED_VALUE"""),405.0)</f>
        <v>405</v>
      </c>
      <c r="BD355" s="71">
        <f>IFERROR(__xludf.DUMMYFUNCTION("""COMPUTED_VALUE"""),425.0)</f>
        <v>425</v>
      </c>
      <c r="BE355" s="71">
        <f>IFERROR(__xludf.DUMMYFUNCTION("""COMPUTED_VALUE"""),68.0)</f>
        <v>68</v>
      </c>
      <c r="BF355" s="71">
        <f>IFERROR(__xludf.DUMMYFUNCTION("""COMPUTED_VALUE"""),493.0)</f>
        <v>493</v>
      </c>
      <c r="BG355" s="71">
        <f>IFERROR(__xludf.DUMMYFUNCTION("""COMPUTED_VALUE"""),0.04938271604938271)</f>
        <v>0.04938271605</v>
      </c>
      <c r="BH355" s="71">
        <f>IFERROR(__xludf.DUMMYFUNCTION("""COMPUTED_VALUE"""),403.75)</f>
        <v>403.75</v>
      </c>
      <c r="BI355" s="71">
        <f>IFERROR(__xludf.DUMMYFUNCTION("""COMPUTED_VALUE"""),64.6)</f>
        <v>64.6</v>
      </c>
      <c r="BJ355" s="71">
        <f>IFERROR(__xludf.DUMMYFUNCTION("""COMPUTED_VALUE"""),468.35)</f>
        <v>468.35</v>
      </c>
      <c r="BK355" s="71">
        <f>IFERROR(__xludf.DUMMYFUNCTION("""COMPUTED_VALUE"""),382.5)</f>
        <v>382.5</v>
      </c>
      <c r="BL355" s="71">
        <f>IFERROR(__xludf.DUMMYFUNCTION("""COMPUTED_VALUE"""),61.2)</f>
        <v>61.2</v>
      </c>
      <c r="BM355" s="71">
        <f>IFERROR(__xludf.DUMMYFUNCTION("""COMPUTED_VALUE"""),443.7)</f>
        <v>443.7</v>
      </c>
      <c r="BN355" s="71">
        <f>IFERROR(__xludf.DUMMYFUNCTION("""COMPUTED_VALUE"""),361.25)</f>
        <v>361.25</v>
      </c>
      <c r="BO355" s="71">
        <f>IFERROR(__xludf.DUMMYFUNCTION("""COMPUTED_VALUE"""),57.800000000000004)</f>
        <v>57.8</v>
      </c>
      <c r="BP355" s="71">
        <f>IFERROR(__xludf.DUMMYFUNCTION("""COMPUTED_VALUE"""),419.05)</f>
        <v>419.05</v>
      </c>
      <c r="BQ355" s="71">
        <f>IFERROR(__xludf.DUMMYFUNCTION("""COMPUTED_VALUE"""),352.75)</f>
        <v>352.75</v>
      </c>
      <c r="BR355" s="71">
        <f>IFERROR(__xludf.DUMMYFUNCTION("""COMPUTED_VALUE"""),56.44)</f>
        <v>56.44</v>
      </c>
      <c r="BS355" s="71">
        <f>IFERROR(__xludf.DUMMYFUNCTION("""COMPUTED_VALUE"""),409.19)</f>
        <v>409.19</v>
      </c>
      <c r="BT355" s="71">
        <f>IFERROR(__xludf.DUMMYFUNCTION("""COMPUTED_VALUE"""),340.0)</f>
        <v>340</v>
      </c>
      <c r="BU355" s="71">
        <f>IFERROR(__xludf.DUMMYFUNCTION("""COMPUTED_VALUE"""),54.4)</f>
        <v>54.4</v>
      </c>
      <c r="BV355" s="71">
        <f>IFERROR(__xludf.DUMMYFUNCTION("""COMPUTED_VALUE"""),394.4)</f>
        <v>394.4</v>
      </c>
    </row>
    <row r="356">
      <c r="A356" s="53">
        <v>1.0</v>
      </c>
      <c r="B356" s="72"/>
      <c r="C356" s="73" t="s">
        <v>53</v>
      </c>
      <c r="D356" s="74" t="s">
        <v>904</v>
      </c>
      <c r="E356" s="54" t="s">
        <v>38</v>
      </c>
      <c r="F356" s="54" t="s">
        <v>42</v>
      </c>
      <c r="G356" s="88" t="s">
        <v>905</v>
      </c>
      <c r="H356" s="54" t="s">
        <v>906</v>
      </c>
      <c r="I356" s="54">
        <f t="shared" si="1"/>
        <v>38</v>
      </c>
      <c r="J356" s="56"/>
      <c r="K356" s="75"/>
      <c r="L356" s="76"/>
      <c r="M356" s="59"/>
      <c r="N356" s="60">
        <v>85.0</v>
      </c>
      <c r="O356" s="61">
        <v>104.0</v>
      </c>
      <c r="P356" s="62">
        <v>112.32000000000001</v>
      </c>
      <c r="Q356" s="63">
        <v>112.32000000000001</v>
      </c>
      <c r="R356" s="64">
        <v>134.0</v>
      </c>
      <c r="S356" s="111">
        <v>141.0</v>
      </c>
      <c r="T356" s="65">
        <f t="shared" si="2"/>
        <v>22.56</v>
      </c>
      <c r="U356" s="65">
        <f t="shared" si="3"/>
        <v>163.56</v>
      </c>
      <c r="V356" s="66">
        <f t="shared" si="4"/>
        <v>0.05223880597</v>
      </c>
      <c r="W356" s="67">
        <f t="shared" si="5"/>
        <v>133.95</v>
      </c>
      <c r="X356" s="67">
        <f t="shared" si="6"/>
        <v>21.432</v>
      </c>
      <c r="Y356" s="67">
        <f t="shared" si="7"/>
        <v>155.382</v>
      </c>
      <c r="Z356" s="67">
        <f t="shared" si="8"/>
        <v>126.9</v>
      </c>
      <c r="AA356" s="67">
        <f t="shared" si="9"/>
        <v>20.304</v>
      </c>
      <c r="AB356" s="67">
        <f t="shared" si="10"/>
        <v>147.204</v>
      </c>
      <c r="AC356" s="67">
        <f t="shared" si="11"/>
        <v>119.85</v>
      </c>
      <c r="AD356" s="67">
        <f t="shared" si="12"/>
        <v>19.176</v>
      </c>
      <c r="AE356" s="67">
        <f t="shared" si="13"/>
        <v>139.026</v>
      </c>
      <c r="AF356" s="67">
        <f t="shared" si="14"/>
        <v>117.03</v>
      </c>
      <c r="AG356" s="67">
        <f t="shared" si="15"/>
        <v>18.7248</v>
      </c>
      <c r="AH356" s="67">
        <f t="shared" si="16"/>
        <v>135.7548</v>
      </c>
      <c r="AI356" s="67">
        <f t="shared" si="17"/>
        <v>112.8</v>
      </c>
      <c r="AJ356" s="68">
        <f t="shared" si="20"/>
        <v>18.048</v>
      </c>
      <c r="AK356" s="68">
        <f t="shared" si="21"/>
        <v>130.848</v>
      </c>
      <c r="AL356" s="70">
        <f>IFERROR(__xludf.DUMMYFUNCTION("""COMPUTED_VALUE"""),1.0)</f>
        <v>1</v>
      </c>
      <c r="AM356" s="70"/>
      <c r="AN356" s="71" t="str">
        <f>IFERROR(__xludf.DUMMYFUNCTION("""COMPUTED_VALUE""")," CP")</f>
        <v>CP</v>
      </c>
      <c r="AO356" s="71" t="str">
        <f>IFERROR(__xludf.DUMMYFUNCTION("""COMPUTED_VALUE""")," CA211")</f>
        <v>CA211</v>
      </c>
      <c r="AP356" s="71" t="str">
        <f>IFERROR(__xludf.DUMMYFUNCTION("""COMPUTED_VALUE""")," PZA")</f>
        <v>PZA</v>
      </c>
      <c r="AQ356" s="71" t="str">
        <f>IFERROR(__xludf.DUMMYFUNCTION("""COMPUTED_VALUE""")," REF")</f>
        <v>REF</v>
      </c>
      <c r="AR356" s="71" t="str">
        <f>IFERROR(__xludf.DUMMYFUNCTION("""COMPUTED_VALUE""")," CATARINA 40B59 E.3/4""")</f>
        <v>CATARINA 40B59 E.3/4"</v>
      </c>
      <c r="AS356" s="71" t="str">
        <f>IFERROR(__xludf.DUMMYFUNCTION("""COMPUTED_VALUE""")," CATARINA 40B59 E.3/4""")</f>
        <v>CATARINA 40B59 E.3/4"</v>
      </c>
      <c r="AT356" s="71">
        <f>IFERROR(__xludf.DUMMYFUNCTION("""COMPUTED_VALUE"""),21.0)</f>
        <v>21</v>
      </c>
      <c r="AU356" s="71"/>
      <c r="AV356" s="71"/>
      <c r="AW356" s="71"/>
      <c r="AX356" s="71"/>
      <c r="AY356" s="71"/>
      <c r="AZ356" s="71"/>
      <c r="BA356" s="71">
        <f>IFERROR(__xludf.DUMMYFUNCTION("""COMPUTED_VALUE"""),385.0)</f>
        <v>385</v>
      </c>
      <c r="BB356" s="71">
        <f>IFERROR(__xludf.DUMMYFUNCTION("""COMPUTED_VALUE"""),385.0)</f>
        <v>385</v>
      </c>
      <c r="BC356" s="71">
        <f>IFERROR(__xludf.DUMMYFUNCTION("""COMPUTED_VALUE"""),416.0)</f>
        <v>416</v>
      </c>
      <c r="BD356" s="71">
        <f>IFERROR(__xludf.DUMMYFUNCTION("""COMPUTED_VALUE"""),437.0)</f>
        <v>437</v>
      </c>
      <c r="BE356" s="71">
        <f>IFERROR(__xludf.DUMMYFUNCTION("""COMPUTED_VALUE"""),69.92)</f>
        <v>69.92</v>
      </c>
      <c r="BF356" s="71">
        <f>IFERROR(__xludf.DUMMYFUNCTION("""COMPUTED_VALUE"""),506.92)</f>
        <v>506.92</v>
      </c>
      <c r="BG356" s="71">
        <f>IFERROR(__xludf.DUMMYFUNCTION("""COMPUTED_VALUE"""),0.05048076923076923)</f>
        <v>0.05048076923</v>
      </c>
      <c r="BH356" s="71">
        <f>IFERROR(__xludf.DUMMYFUNCTION("""COMPUTED_VALUE"""),415.15)</f>
        <v>415.15</v>
      </c>
      <c r="BI356" s="71">
        <f>IFERROR(__xludf.DUMMYFUNCTION("""COMPUTED_VALUE"""),66.42399999999999)</f>
        <v>66.424</v>
      </c>
      <c r="BJ356" s="71">
        <f>IFERROR(__xludf.DUMMYFUNCTION("""COMPUTED_VALUE"""),481.57399999999996)</f>
        <v>481.574</v>
      </c>
      <c r="BK356" s="71">
        <f>IFERROR(__xludf.DUMMYFUNCTION("""COMPUTED_VALUE"""),393.3)</f>
        <v>393.3</v>
      </c>
      <c r="BL356" s="71">
        <f>IFERROR(__xludf.DUMMYFUNCTION("""COMPUTED_VALUE"""),62.928000000000004)</f>
        <v>62.928</v>
      </c>
      <c r="BM356" s="71">
        <f>IFERROR(__xludf.DUMMYFUNCTION("""COMPUTED_VALUE"""),456.228)</f>
        <v>456.228</v>
      </c>
      <c r="BN356" s="71">
        <f>IFERROR(__xludf.DUMMYFUNCTION("""COMPUTED_VALUE"""),371.45)</f>
        <v>371.45</v>
      </c>
      <c r="BO356" s="71">
        <f>IFERROR(__xludf.DUMMYFUNCTION("""COMPUTED_VALUE"""),59.432)</f>
        <v>59.432</v>
      </c>
      <c r="BP356" s="71">
        <f>IFERROR(__xludf.DUMMYFUNCTION("""COMPUTED_VALUE"""),430.882)</f>
        <v>430.882</v>
      </c>
      <c r="BQ356" s="71">
        <f>IFERROR(__xludf.DUMMYFUNCTION("""COMPUTED_VALUE"""),362.71)</f>
        <v>362.71</v>
      </c>
      <c r="BR356" s="71">
        <f>IFERROR(__xludf.DUMMYFUNCTION("""COMPUTED_VALUE"""),58.0336)</f>
        <v>58.0336</v>
      </c>
      <c r="BS356" s="71">
        <f>IFERROR(__xludf.DUMMYFUNCTION("""COMPUTED_VALUE"""),420.74359999999996)</f>
        <v>420.7436</v>
      </c>
      <c r="BT356" s="71">
        <f>IFERROR(__xludf.DUMMYFUNCTION("""COMPUTED_VALUE"""),349.6)</f>
        <v>349.6</v>
      </c>
      <c r="BU356" s="71">
        <f>IFERROR(__xludf.DUMMYFUNCTION("""COMPUTED_VALUE"""),55.93600000000001)</f>
        <v>55.936</v>
      </c>
      <c r="BV356" s="71">
        <f>IFERROR(__xludf.DUMMYFUNCTION("""COMPUTED_VALUE"""),405.53600000000006)</f>
        <v>405.536</v>
      </c>
    </row>
    <row r="357">
      <c r="A357" s="53"/>
      <c r="B357" s="53"/>
      <c r="C357" s="73" t="s">
        <v>603</v>
      </c>
      <c r="D357" s="53" t="s">
        <v>907</v>
      </c>
      <c r="E357" s="54" t="s">
        <v>38</v>
      </c>
      <c r="F357" s="55" t="s">
        <v>309</v>
      </c>
      <c r="G357" s="54" t="s">
        <v>905</v>
      </c>
      <c r="H357" s="54" t="s">
        <v>908</v>
      </c>
      <c r="I357" s="54">
        <f t="shared" si="1"/>
        <v>38</v>
      </c>
      <c r="J357" s="56"/>
      <c r="K357" s="57"/>
      <c r="L357" s="76"/>
      <c r="M357" s="59"/>
      <c r="N357" s="60"/>
      <c r="O357" s="90">
        <v>91.0</v>
      </c>
      <c r="P357" s="62">
        <v>98.28</v>
      </c>
      <c r="Q357" s="63">
        <v>98.28</v>
      </c>
      <c r="R357" s="64">
        <v>131.0</v>
      </c>
      <c r="S357" s="111">
        <v>138.0</v>
      </c>
      <c r="T357" s="65">
        <f t="shared" si="2"/>
        <v>22.08</v>
      </c>
      <c r="U357" s="65">
        <f t="shared" si="3"/>
        <v>160.08</v>
      </c>
      <c r="V357" s="66">
        <f t="shared" si="4"/>
        <v>0.0534351145</v>
      </c>
      <c r="W357" s="67">
        <f t="shared" si="5"/>
        <v>131.1</v>
      </c>
      <c r="X357" s="67">
        <f t="shared" si="6"/>
        <v>20.976</v>
      </c>
      <c r="Y357" s="67">
        <f t="shared" si="7"/>
        <v>152.076</v>
      </c>
      <c r="Z357" s="67">
        <f t="shared" si="8"/>
        <v>124.2</v>
      </c>
      <c r="AA357" s="67">
        <f t="shared" si="9"/>
        <v>19.872</v>
      </c>
      <c r="AB357" s="67">
        <f t="shared" si="10"/>
        <v>144.072</v>
      </c>
      <c r="AC357" s="67">
        <f t="shared" si="11"/>
        <v>117.3</v>
      </c>
      <c r="AD357" s="67">
        <f t="shared" si="12"/>
        <v>18.768</v>
      </c>
      <c r="AE357" s="67">
        <f t="shared" si="13"/>
        <v>136.068</v>
      </c>
      <c r="AF357" s="67">
        <f t="shared" si="14"/>
        <v>114.54</v>
      </c>
      <c r="AG357" s="67">
        <f t="shared" si="15"/>
        <v>18.3264</v>
      </c>
      <c r="AH357" s="67">
        <f t="shared" si="16"/>
        <v>132.8664</v>
      </c>
      <c r="AI357" s="67">
        <f t="shared" si="17"/>
        <v>110.4</v>
      </c>
      <c r="AJ357" s="68">
        <f t="shared" si="20"/>
        <v>17.664</v>
      </c>
      <c r="AK357" s="68">
        <f t="shared" si="21"/>
        <v>128.064</v>
      </c>
      <c r="AL357" s="70">
        <f>IFERROR(__xludf.DUMMYFUNCTION("""COMPUTED_VALUE"""),1.0)</f>
        <v>1</v>
      </c>
      <c r="AM357" s="70"/>
      <c r="AN357" s="71" t="str">
        <f>IFERROR(__xludf.DUMMYFUNCTION("""COMPUTED_VALUE""")," CP")</f>
        <v>CP</v>
      </c>
      <c r="AO357" s="71" t="str">
        <f>IFERROR(__xludf.DUMMYFUNCTION("""COMPUTED_VALUE""")," CA11")</f>
        <v>CA11</v>
      </c>
      <c r="AP357" s="71" t="str">
        <f>IFERROR(__xludf.DUMMYFUNCTION("""COMPUTED_VALUE""")," PZA")</f>
        <v>PZA</v>
      </c>
      <c r="AQ357" s="71" t="str">
        <f>IFERROR(__xludf.DUMMYFUNCTION("""COMPUTED_VALUE""")," REF")</f>
        <v>REF</v>
      </c>
      <c r="AR357" s="71" t="str">
        <f>IFERROR(__xludf.DUMMYFUNCTION("""COMPUTED_VALUE""")," CATARINA 42B15 E.1-1/4"" C.1/4")</f>
        <v>CATARINA 42B15 E.1-1/4" C.1/4</v>
      </c>
      <c r="AS357" s="71" t="str">
        <f>IFERROR(__xludf.DUMMYFUNCTION("""COMPUTED_VALUE""")," CATARINA 42B15 E.1-1/4"" C.1/4")</f>
        <v>CATARINA 42B15 E.1-1/4" C.1/4</v>
      </c>
      <c r="AT357" s="71">
        <f>IFERROR(__xludf.DUMMYFUNCTION("""COMPUTED_VALUE"""),29.0)</f>
        <v>29</v>
      </c>
      <c r="AU357" s="71"/>
      <c r="AV357" s="71"/>
      <c r="AW357" s="71"/>
      <c r="AX357" s="71"/>
      <c r="AY357" s="71">
        <f>IFERROR(__xludf.DUMMYFUNCTION("""COMPUTED_VALUE"""),143.0)</f>
        <v>143</v>
      </c>
      <c r="AZ357" s="71">
        <f>IFERROR(__xludf.DUMMYFUNCTION("""COMPUTED_VALUE"""),154.0)</f>
        <v>154</v>
      </c>
      <c r="BA357" s="71">
        <f>IFERROR(__xludf.DUMMYFUNCTION("""COMPUTED_VALUE"""),75.0)</f>
        <v>75</v>
      </c>
      <c r="BB357" s="71">
        <f>IFERROR(__xludf.DUMMYFUNCTION("""COMPUTED_VALUE"""),75.0)</f>
        <v>75</v>
      </c>
      <c r="BC357" s="71">
        <f>IFERROR(__xludf.DUMMYFUNCTION("""COMPUTED_VALUE"""),110.0)</f>
        <v>110</v>
      </c>
      <c r="BD357" s="71">
        <f>IFERROR(__xludf.DUMMYFUNCTION("""COMPUTED_VALUE"""),116.0)</f>
        <v>116</v>
      </c>
      <c r="BE357" s="71">
        <f>IFERROR(__xludf.DUMMYFUNCTION("""COMPUTED_VALUE"""),18.56)</f>
        <v>18.56</v>
      </c>
      <c r="BF357" s="71">
        <f>IFERROR(__xludf.DUMMYFUNCTION("""COMPUTED_VALUE"""),134.56)</f>
        <v>134.56</v>
      </c>
      <c r="BG357" s="71">
        <f>IFERROR(__xludf.DUMMYFUNCTION("""COMPUTED_VALUE"""),0.05454545454545454)</f>
        <v>0.05454545455</v>
      </c>
      <c r="BH357" s="71">
        <f>IFERROR(__xludf.DUMMYFUNCTION("""COMPUTED_VALUE"""),110.19999999999999)</f>
        <v>110.2</v>
      </c>
      <c r="BI357" s="71">
        <f>IFERROR(__xludf.DUMMYFUNCTION("""COMPUTED_VALUE"""),17.631999999999998)</f>
        <v>17.632</v>
      </c>
      <c r="BJ357" s="71">
        <f>IFERROR(__xludf.DUMMYFUNCTION("""COMPUTED_VALUE"""),127.832)</f>
        <v>127.832</v>
      </c>
      <c r="BK357" s="71">
        <f>IFERROR(__xludf.DUMMYFUNCTION("""COMPUTED_VALUE"""),104.4)</f>
        <v>104.4</v>
      </c>
      <c r="BL357" s="71">
        <f>IFERROR(__xludf.DUMMYFUNCTION("""COMPUTED_VALUE"""),16.704)</f>
        <v>16.704</v>
      </c>
      <c r="BM357" s="71">
        <f>IFERROR(__xludf.DUMMYFUNCTION("""COMPUTED_VALUE"""),121.10400000000001)</f>
        <v>121.104</v>
      </c>
      <c r="BN357" s="71">
        <f>IFERROR(__xludf.DUMMYFUNCTION("""COMPUTED_VALUE"""),98.6)</f>
        <v>98.6</v>
      </c>
      <c r="BO357" s="71">
        <f>IFERROR(__xludf.DUMMYFUNCTION("""COMPUTED_VALUE"""),15.776)</f>
        <v>15.776</v>
      </c>
      <c r="BP357" s="71">
        <f>IFERROR(__xludf.DUMMYFUNCTION("""COMPUTED_VALUE"""),114.37599999999999)</f>
        <v>114.376</v>
      </c>
      <c r="BQ357" s="71">
        <f>IFERROR(__xludf.DUMMYFUNCTION("""COMPUTED_VALUE"""),96.28)</f>
        <v>96.28</v>
      </c>
      <c r="BR357" s="71">
        <f>IFERROR(__xludf.DUMMYFUNCTION("""COMPUTED_VALUE"""),15.4048)</f>
        <v>15.4048</v>
      </c>
      <c r="BS357" s="71">
        <f>IFERROR(__xludf.DUMMYFUNCTION("""COMPUTED_VALUE"""),111.6848)</f>
        <v>111.6848</v>
      </c>
      <c r="BT357" s="71">
        <f>IFERROR(__xludf.DUMMYFUNCTION("""COMPUTED_VALUE"""),92.80000000000001)</f>
        <v>92.8</v>
      </c>
      <c r="BU357" s="71">
        <f>IFERROR(__xludf.DUMMYFUNCTION("""COMPUTED_VALUE"""),14.848000000000003)</f>
        <v>14.848</v>
      </c>
      <c r="BV357" s="71">
        <f>IFERROR(__xludf.DUMMYFUNCTION("""COMPUTED_VALUE"""),107.64800000000001)</f>
        <v>107.648</v>
      </c>
    </row>
    <row r="358">
      <c r="A358" s="53">
        <v>1.0</v>
      </c>
      <c r="B358" s="53"/>
      <c r="C358" s="73" t="s">
        <v>53</v>
      </c>
      <c r="D358" s="74" t="s">
        <v>909</v>
      </c>
      <c r="E358" s="55" t="s">
        <v>38</v>
      </c>
      <c r="F358" s="54" t="s">
        <v>42</v>
      </c>
      <c r="G358" s="55" t="s">
        <v>910</v>
      </c>
      <c r="H358" s="54" t="s">
        <v>911</v>
      </c>
      <c r="I358" s="54">
        <f t="shared" si="1"/>
        <v>39</v>
      </c>
      <c r="J358" s="56"/>
      <c r="K358" s="75"/>
      <c r="L358" s="76"/>
      <c r="M358" s="59"/>
      <c r="N358" s="60">
        <v>189.0</v>
      </c>
      <c r="O358" s="61">
        <v>204.0</v>
      </c>
      <c r="P358" s="62">
        <v>336.96</v>
      </c>
      <c r="Q358" s="63">
        <v>336.96</v>
      </c>
      <c r="R358" s="64">
        <v>354.0</v>
      </c>
      <c r="S358" s="111">
        <v>372.0</v>
      </c>
      <c r="T358" s="65">
        <f t="shared" si="2"/>
        <v>59.52</v>
      </c>
      <c r="U358" s="65">
        <f t="shared" si="3"/>
        <v>431.52</v>
      </c>
      <c r="V358" s="66">
        <f t="shared" si="4"/>
        <v>0.05084745763</v>
      </c>
      <c r="W358" s="67">
        <f t="shared" si="5"/>
        <v>353.4</v>
      </c>
      <c r="X358" s="67">
        <f t="shared" si="6"/>
        <v>56.544</v>
      </c>
      <c r="Y358" s="67">
        <f t="shared" si="7"/>
        <v>409.944</v>
      </c>
      <c r="Z358" s="67">
        <f t="shared" si="8"/>
        <v>334.8</v>
      </c>
      <c r="AA358" s="67">
        <f t="shared" si="9"/>
        <v>53.568</v>
      </c>
      <c r="AB358" s="67">
        <f t="shared" si="10"/>
        <v>388.368</v>
      </c>
      <c r="AC358" s="67">
        <f t="shared" si="11"/>
        <v>316.2</v>
      </c>
      <c r="AD358" s="67">
        <f t="shared" si="12"/>
        <v>50.592</v>
      </c>
      <c r="AE358" s="67">
        <f t="shared" si="13"/>
        <v>366.792</v>
      </c>
      <c r="AF358" s="67">
        <f t="shared" si="14"/>
        <v>308.76</v>
      </c>
      <c r="AG358" s="67">
        <f t="shared" si="15"/>
        <v>49.4016</v>
      </c>
      <c r="AH358" s="67">
        <f t="shared" si="16"/>
        <v>358.1616</v>
      </c>
      <c r="AI358" s="67">
        <f t="shared" si="17"/>
        <v>297.6</v>
      </c>
      <c r="AJ358" s="68">
        <f t="shared" si="20"/>
        <v>47.616</v>
      </c>
      <c r="AK358" s="68">
        <f t="shared" si="21"/>
        <v>345.216</v>
      </c>
      <c r="AL358" s="70">
        <f>IFERROR(__xludf.DUMMYFUNCTION("""COMPUTED_VALUE"""),1.0)</f>
        <v>1</v>
      </c>
      <c r="AM358" s="70"/>
      <c r="AN358" s="71" t="str">
        <f>IFERROR(__xludf.DUMMYFUNCTION("""COMPUTED_VALUE""")," CP")</f>
        <v>CP</v>
      </c>
      <c r="AO358" s="71" t="str">
        <f>IFERROR(__xludf.DUMMYFUNCTION("""COMPUTED_VALUE""")," CA12")</f>
        <v>CA12</v>
      </c>
      <c r="AP358" s="71" t="str">
        <f>IFERROR(__xludf.DUMMYFUNCTION("""COMPUTED_VALUE""")," PZA")</f>
        <v>PZA</v>
      </c>
      <c r="AQ358" s="71" t="str">
        <f>IFERROR(__xludf.DUMMYFUNCTION("""COMPUTED_VALUE""")," REF")</f>
        <v>REF</v>
      </c>
      <c r="AR358" s="71" t="str">
        <f>IFERROR(__xludf.DUMMYFUNCTION("""COMPUTED_VALUE""")," CATARINA 42B15 E.15/16""")</f>
        <v>CATARINA 42B15 E.15/16"</v>
      </c>
      <c r="AS358" s="71" t="str">
        <f>IFERROR(__xludf.DUMMYFUNCTION("""COMPUTED_VALUE""")," CATARINA 42B15 E.15/16""")</f>
        <v>CATARINA 42B15 E.15/16"</v>
      </c>
      <c r="AT358" s="71">
        <f>IFERROR(__xludf.DUMMYFUNCTION("""COMPUTED_VALUE"""),23.0)</f>
        <v>23</v>
      </c>
      <c r="AU358" s="71"/>
      <c r="AV358" s="71"/>
      <c r="AW358" s="71"/>
      <c r="AX358" s="71"/>
      <c r="AY358" s="71">
        <f>IFERROR(__xludf.DUMMYFUNCTION("""COMPUTED_VALUE"""),143.0)</f>
        <v>143</v>
      </c>
      <c r="AZ358" s="71">
        <f>IFERROR(__xludf.DUMMYFUNCTION("""COMPUTED_VALUE"""),154.0)</f>
        <v>154</v>
      </c>
      <c r="BA358" s="71">
        <f>IFERROR(__xludf.DUMMYFUNCTION("""COMPUTED_VALUE"""),70.0)</f>
        <v>70</v>
      </c>
      <c r="BB358" s="71">
        <f>IFERROR(__xludf.DUMMYFUNCTION("""COMPUTED_VALUE"""),70.0)</f>
        <v>70</v>
      </c>
      <c r="BC358" s="71">
        <f>IFERROR(__xludf.DUMMYFUNCTION("""COMPUTED_VALUE"""),110.0)</f>
        <v>110</v>
      </c>
      <c r="BD358" s="71">
        <f>IFERROR(__xludf.DUMMYFUNCTION("""COMPUTED_VALUE"""),116.0)</f>
        <v>116</v>
      </c>
      <c r="BE358" s="71">
        <f>IFERROR(__xludf.DUMMYFUNCTION("""COMPUTED_VALUE"""),18.56)</f>
        <v>18.56</v>
      </c>
      <c r="BF358" s="71">
        <f>IFERROR(__xludf.DUMMYFUNCTION("""COMPUTED_VALUE"""),134.56)</f>
        <v>134.56</v>
      </c>
      <c r="BG358" s="71">
        <f>IFERROR(__xludf.DUMMYFUNCTION("""COMPUTED_VALUE"""),0.05454545454545454)</f>
        <v>0.05454545455</v>
      </c>
      <c r="BH358" s="71">
        <f>IFERROR(__xludf.DUMMYFUNCTION("""COMPUTED_VALUE"""),110.19999999999999)</f>
        <v>110.2</v>
      </c>
      <c r="BI358" s="71">
        <f>IFERROR(__xludf.DUMMYFUNCTION("""COMPUTED_VALUE"""),17.631999999999998)</f>
        <v>17.632</v>
      </c>
      <c r="BJ358" s="71">
        <f>IFERROR(__xludf.DUMMYFUNCTION("""COMPUTED_VALUE"""),127.832)</f>
        <v>127.832</v>
      </c>
      <c r="BK358" s="71">
        <f>IFERROR(__xludf.DUMMYFUNCTION("""COMPUTED_VALUE"""),104.4)</f>
        <v>104.4</v>
      </c>
      <c r="BL358" s="71">
        <f>IFERROR(__xludf.DUMMYFUNCTION("""COMPUTED_VALUE"""),16.704)</f>
        <v>16.704</v>
      </c>
      <c r="BM358" s="71">
        <f>IFERROR(__xludf.DUMMYFUNCTION("""COMPUTED_VALUE"""),121.10400000000001)</f>
        <v>121.104</v>
      </c>
      <c r="BN358" s="71">
        <f>IFERROR(__xludf.DUMMYFUNCTION("""COMPUTED_VALUE"""),98.6)</f>
        <v>98.6</v>
      </c>
      <c r="BO358" s="71">
        <f>IFERROR(__xludf.DUMMYFUNCTION("""COMPUTED_VALUE"""),15.776)</f>
        <v>15.776</v>
      </c>
      <c r="BP358" s="71">
        <f>IFERROR(__xludf.DUMMYFUNCTION("""COMPUTED_VALUE"""),114.37599999999999)</f>
        <v>114.376</v>
      </c>
      <c r="BQ358" s="71">
        <f>IFERROR(__xludf.DUMMYFUNCTION("""COMPUTED_VALUE"""),96.28)</f>
        <v>96.28</v>
      </c>
      <c r="BR358" s="71">
        <f>IFERROR(__xludf.DUMMYFUNCTION("""COMPUTED_VALUE"""),15.4048)</f>
        <v>15.4048</v>
      </c>
      <c r="BS358" s="71">
        <f>IFERROR(__xludf.DUMMYFUNCTION("""COMPUTED_VALUE"""),111.6848)</f>
        <v>111.6848</v>
      </c>
      <c r="BT358" s="71">
        <f>IFERROR(__xludf.DUMMYFUNCTION("""COMPUTED_VALUE"""),92.80000000000001)</f>
        <v>92.8</v>
      </c>
      <c r="BU358" s="71">
        <f>IFERROR(__xludf.DUMMYFUNCTION("""COMPUTED_VALUE"""),14.848000000000003)</f>
        <v>14.848</v>
      </c>
      <c r="BV358" s="71">
        <f>IFERROR(__xludf.DUMMYFUNCTION("""COMPUTED_VALUE"""),107.64800000000001)</f>
        <v>107.648</v>
      </c>
    </row>
    <row r="359">
      <c r="A359" s="53"/>
      <c r="B359" s="53"/>
      <c r="C359" s="73" t="s">
        <v>53</v>
      </c>
      <c r="D359" s="53" t="s">
        <v>912</v>
      </c>
      <c r="E359" s="54" t="s">
        <v>38</v>
      </c>
      <c r="F359" s="54" t="s">
        <v>42</v>
      </c>
      <c r="G359" s="55" t="s">
        <v>913</v>
      </c>
      <c r="H359" s="54" t="s">
        <v>914</v>
      </c>
      <c r="I359" s="54">
        <f t="shared" si="1"/>
        <v>37</v>
      </c>
      <c r="J359" s="56"/>
      <c r="K359" s="75"/>
      <c r="L359" s="76"/>
      <c r="M359" s="59"/>
      <c r="N359" s="79">
        <v>1506.0</v>
      </c>
      <c r="O359" s="61">
        <v>1626.0</v>
      </c>
      <c r="P359" s="62">
        <v>1756.0800000000002</v>
      </c>
      <c r="Q359" s="63">
        <v>1756.0800000000002</v>
      </c>
      <c r="R359" s="64">
        <v>1844.0</v>
      </c>
      <c r="S359" s="111">
        <v>1936.0</v>
      </c>
      <c r="T359" s="65">
        <f t="shared" si="2"/>
        <v>309.76</v>
      </c>
      <c r="U359" s="65">
        <f t="shared" si="3"/>
        <v>2245.76</v>
      </c>
      <c r="V359" s="66">
        <f t="shared" si="4"/>
        <v>0.04989154013</v>
      </c>
      <c r="W359" s="67">
        <f t="shared" si="5"/>
        <v>1839.2</v>
      </c>
      <c r="X359" s="67">
        <f t="shared" si="6"/>
        <v>294.272</v>
      </c>
      <c r="Y359" s="67">
        <f t="shared" si="7"/>
        <v>2133.472</v>
      </c>
      <c r="Z359" s="67">
        <f t="shared" si="8"/>
        <v>1742.4</v>
      </c>
      <c r="AA359" s="67">
        <f t="shared" si="9"/>
        <v>278.784</v>
      </c>
      <c r="AB359" s="67">
        <f t="shared" si="10"/>
        <v>2021.184</v>
      </c>
      <c r="AC359" s="67">
        <f t="shared" si="11"/>
        <v>1645.6</v>
      </c>
      <c r="AD359" s="67">
        <f t="shared" si="12"/>
        <v>263.296</v>
      </c>
      <c r="AE359" s="67">
        <f t="shared" si="13"/>
        <v>1908.896</v>
      </c>
      <c r="AF359" s="67">
        <f t="shared" si="14"/>
        <v>1606.88</v>
      </c>
      <c r="AG359" s="67">
        <f t="shared" si="15"/>
        <v>257.1008</v>
      </c>
      <c r="AH359" s="67">
        <f t="shared" si="16"/>
        <v>1863.9808</v>
      </c>
      <c r="AI359" s="67">
        <f t="shared" si="17"/>
        <v>1548.8</v>
      </c>
      <c r="AJ359" s="68">
        <f t="shared" si="20"/>
        <v>247.808</v>
      </c>
      <c r="AK359" s="68">
        <f t="shared" si="21"/>
        <v>1796.608</v>
      </c>
      <c r="AL359" s="70">
        <f>IFERROR(__xludf.DUMMYFUNCTION("""COMPUTED_VALUE"""),1.0)</f>
        <v>1</v>
      </c>
      <c r="AM359" s="70"/>
      <c r="AN359" s="71" t="str">
        <f>IFERROR(__xludf.DUMMYFUNCTION("""COMPUTED_VALUE""")," CP")</f>
        <v>CP</v>
      </c>
      <c r="AO359" s="71" t="str">
        <f>IFERROR(__xludf.DUMMYFUNCTION("""COMPUTED_VALUE""")," CA13")</f>
        <v>CA13</v>
      </c>
      <c r="AP359" s="71" t="str">
        <f>IFERROR(__xludf.DUMMYFUNCTION("""COMPUTED_VALUE""")," PZA")</f>
        <v>PZA</v>
      </c>
      <c r="AQ359" s="71" t="str">
        <f>IFERROR(__xludf.DUMMYFUNCTION("""COMPUTED_VALUE""")," REF")</f>
        <v>REF</v>
      </c>
      <c r="AR359" s="71" t="str">
        <f>IFERROR(__xludf.DUMMYFUNCTION("""COMPUTED_VALUE""")," CATARINA 42B15 E.3/4""")</f>
        <v>CATARINA 42B15 E.3/4"</v>
      </c>
      <c r="AS359" s="71" t="str">
        <f>IFERROR(__xludf.DUMMYFUNCTION("""COMPUTED_VALUE""")," CATARINA 42B15 E.3/4""")</f>
        <v>CATARINA 42B15 E.3/4"</v>
      </c>
      <c r="AT359" s="71">
        <f>IFERROR(__xludf.DUMMYFUNCTION("""COMPUTED_VALUE"""),21.0)</f>
        <v>21</v>
      </c>
      <c r="AU359" s="71"/>
      <c r="AV359" s="71"/>
      <c r="AW359" s="71"/>
      <c r="AX359" s="71"/>
      <c r="AY359" s="71">
        <f>IFERROR(__xludf.DUMMYFUNCTION("""COMPUTED_VALUE"""),149.0)</f>
        <v>149</v>
      </c>
      <c r="AZ359" s="71">
        <f>IFERROR(__xludf.DUMMYFUNCTION("""COMPUTED_VALUE"""),154.0)</f>
        <v>154</v>
      </c>
      <c r="BA359" s="71">
        <f>IFERROR(__xludf.DUMMYFUNCTION("""COMPUTED_VALUE"""),70.0)</f>
        <v>70</v>
      </c>
      <c r="BB359" s="71">
        <f>IFERROR(__xludf.DUMMYFUNCTION("""COMPUTED_VALUE"""),70.0)</f>
        <v>70</v>
      </c>
      <c r="BC359" s="71">
        <f>IFERROR(__xludf.DUMMYFUNCTION("""COMPUTED_VALUE"""),110.0)</f>
        <v>110</v>
      </c>
      <c r="BD359" s="71">
        <f>IFERROR(__xludf.DUMMYFUNCTION("""COMPUTED_VALUE"""),116.0)</f>
        <v>116</v>
      </c>
      <c r="BE359" s="71">
        <f>IFERROR(__xludf.DUMMYFUNCTION("""COMPUTED_VALUE"""),18.56)</f>
        <v>18.56</v>
      </c>
      <c r="BF359" s="71">
        <f>IFERROR(__xludf.DUMMYFUNCTION("""COMPUTED_VALUE"""),134.56)</f>
        <v>134.56</v>
      </c>
      <c r="BG359" s="71">
        <f>IFERROR(__xludf.DUMMYFUNCTION("""COMPUTED_VALUE"""),0.05454545454545454)</f>
        <v>0.05454545455</v>
      </c>
      <c r="BH359" s="71">
        <f>IFERROR(__xludf.DUMMYFUNCTION("""COMPUTED_VALUE"""),110.19999999999999)</f>
        <v>110.2</v>
      </c>
      <c r="BI359" s="71">
        <f>IFERROR(__xludf.DUMMYFUNCTION("""COMPUTED_VALUE"""),17.631999999999998)</f>
        <v>17.632</v>
      </c>
      <c r="BJ359" s="71">
        <f>IFERROR(__xludf.DUMMYFUNCTION("""COMPUTED_VALUE"""),127.832)</f>
        <v>127.832</v>
      </c>
      <c r="BK359" s="71">
        <f>IFERROR(__xludf.DUMMYFUNCTION("""COMPUTED_VALUE"""),104.4)</f>
        <v>104.4</v>
      </c>
      <c r="BL359" s="71">
        <f>IFERROR(__xludf.DUMMYFUNCTION("""COMPUTED_VALUE"""),16.704)</f>
        <v>16.704</v>
      </c>
      <c r="BM359" s="71">
        <f>IFERROR(__xludf.DUMMYFUNCTION("""COMPUTED_VALUE"""),121.10400000000001)</f>
        <v>121.104</v>
      </c>
      <c r="BN359" s="71">
        <f>IFERROR(__xludf.DUMMYFUNCTION("""COMPUTED_VALUE"""),98.6)</f>
        <v>98.6</v>
      </c>
      <c r="BO359" s="71">
        <f>IFERROR(__xludf.DUMMYFUNCTION("""COMPUTED_VALUE"""),15.776)</f>
        <v>15.776</v>
      </c>
      <c r="BP359" s="71">
        <f>IFERROR(__xludf.DUMMYFUNCTION("""COMPUTED_VALUE"""),114.37599999999999)</f>
        <v>114.376</v>
      </c>
      <c r="BQ359" s="71">
        <f>IFERROR(__xludf.DUMMYFUNCTION("""COMPUTED_VALUE"""),96.28)</f>
        <v>96.28</v>
      </c>
      <c r="BR359" s="71">
        <f>IFERROR(__xludf.DUMMYFUNCTION("""COMPUTED_VALUE"""),15.4048)</f>
        <v>15.4048</v>
      </c>
      <c r="BS359" s="71">
        <f>IFERROR(__xludf.DUMMYFUNCTION("""COMPUTED_VALUE"""),111.6848)</f>
        <v>111.6848</v>
      </c>
      <c r="BT359" s="71">
        <f>IFERROR(__xludf.DUMMYFUNCTION("""COMPUTED_VALUE"""),92.80000000000001)</f>
        <v>92.8</v>
      </c>
      <c r="BU359" s="71">
        <f>IFERROR(__xludf.DUMMYFUNCTION("""COMPUTED_VALUE"""),14.848000000000003)</f>
        <v>14.848</v>
      </c>
      <c r="BV359" s="71">
        <f>IFERROR(__xludf.DUMMYFUNCTION("""COMPUTED_VALUE"""),107.64800000000001)</f>
        <v>107.648</v>
      </c>
    </row>
    <row r="360">
      <c r="A360" s="53">
        <v>1.0</v>
      </c>
      <c r="B360" s="72"/>
      <c r="C360" s="73" t="s">
        <v>53</v>
      </c>
      <c r="D360" s="74" t="s">
        <v>915</v>
      </c>
      <c r="E360" s="54" t="s">
        <v>38</v>
      </c>
      <c r="F360" s="54" t="s">
        <v>42</v>
      </c>
      <c r="G360" s="88" t="s">
        <v>916</v>
      </c>
      <c r="H360" s="54" t="s">
        <v>917</v>
      </c>
      <c r="I360" s="54">
        <f t="shared" si="1"/>
        <v>36</v>
      </c>
      <c r="J360" s="56"/>
      <c r="K360" s="75"/>
      <c r="L360" s="76"/>
      <c r="M360" s="59"/>
      <c r="N360" s="60">
        <v>377.0</v>
      </c>
      <c r="O360" s="61">
        <v>583.0</v>
      </c>
      <c r="P360" s="62">
        <v>629.64</v>
      </c>
      <c r="Q360" s="63">
        <v>629.64</v>
      </c>
      <c r="R360" s="64">
        <v>702.0</v>
      </c>
      <c r="S360" s="111">
        <v>737.0</v>
      </c>
      <c r="T360" s="65">
        <f t="shared" si="2"/>
        <v>117.92</v>
      </c>
      <c r="U360" s="65">
        <f t="shared" si="3"/>
        <v>854.92</v>
      </c>
      <c r="V360" s="66">
        <f t="shared" si="4"/>
        <v>0.04985754986</v>
      </c>
      <c r="W360" s="67">
        <f t="shared" si="5"/>
        <v>700.15</v>
      </c>
      <c r="X360" s="67">
        <f t="shared" si="6"/>
        <v>112.024</v>
      </c>
      <c r="Y360" s="67">
        <f t="shared" si="7"/>
        <v>812.174</v>
      </c>
      <c r="Z360" s="67">
        <f t="shared" si="8"/>
        <v>663.3</v>
      </c>
      <c r="AA360" s="67">
        <f t="shared" si="9"/>
        <v>106.128</v>
      </c>
      <c r="AB360" s="67">
        <f t="shared" si="10"/>
        <v>769.428</v>
      </c>
      <c r="AC360" s="67">
        <f t="shared" si="11"/>
        <v>626.45</v>
      </c>
      <c r="AD360" s="67">
        <f t="shared" si="12"/>
        <v>100.232</v>
      </c>
      <c r="AE360" s="67">
        <f t="shared" si="13"/>
        <v>726.682</v>
      </c>
      <c r="AF360" s="67">
        <f t="shared" si="14"/>
        <v>611.71</v>
      </c>
      <c r="AG360" s="67">
        <f t="shared" si="15"/>
        <v>97.8736</v>
      </c>
      <c r="AH360" s="67">
        <f t="shared" si="16"/>
        <v>709.5836</v>
      </c>
      <c r="AI360" s="67">
        <f t="shared" si="17"/>
        <v>589.6</v>
      </c>
      <c r="AJ360" s="68">
        <f t="shared" si="20"/>
        <v>94.336</v>
      </c>
      <c r="AK360" s="68">
        <f t="shared" si="21"/>
        <v>683.936</v>
      </c>
      <c r="AL360" s="70">
        <f>IFERROR(__xludf.DUMMYFUNCTION("""COMPUTED_VALUE"""),1.0)</f>
        <v>1</v>
      </c>
      <c r="AM360" s="70"/>
      <c r="AN360" s="71" t="str">
        <f>IFERROR(__xludf.DUMMYFUNCTION("""COMPUTED_VALUE""")," CP")</f>
        <v>CP</v>
      </c>
      <c r="AO360" s="71" t="str">
        <f>IFERROR(__xludf.DUMMYFUNCTION("""COMPUTED_VALUE""")," CA20")</f>
        <v>CA20</v>
      </c>
      <c r="AP360" s="71" t="str">
        <f>IFERROR(__xludf.DUMMYFUNCTION("""COMPUTED_VALUE""")," PZA")</f>
        <v>PZA</v>
      </c>
      <c r="AQ360" s="71" t="str">
        <f>IFERROR(__xludf.DUMMYFUNCTION("""COMPUTED_VALUE""")," REF")</f>
        <v>REF</v>
      </c>
      <c r="AR360" s="71" t="str">
        <f>IFERROR(__xludf.DUMMYFUNCTION("""COMPUTED_VALUE""")," CATARINA 42B16 E.1-1/4"" C.1/4")</f>
        <v>CATARINA 42B16 E.1-1/4" C.1/4</v>
      </c>
      <c r="AS360" s="71" t="str">
        <f>IFERROR(__xludf.DUMMYFUNCTION("""COMPUTED_VALUE""")," CATARINA 42B16 E.1-1/4"" C.1/4")</f>
        <v>CATARINA 42B16 E.1-1/4" C.1/4</v>
      </c>
      <c r="AT360" s="71">
        <f>IFERROR(__xludf.DUMMYFUNCTION("""COMPUTED_VALUE"""),29.0)</f>
        <v>29</v>
      </c>
      <c r="AU360" s="71"/>
      <c r="AV360" s="71"/>
      <c r="AW360" s="71"/>
      <c r="AX360" s="71"/>
      <c r="AY360" s="71">
        <f>IFERROR(__xludf.DUMMYFUNCTION("""COMPUTED_VALUE"""),145.0)</f>
        <v>145</v>
      </c>
      <c r="AZ360" s="71">
        <f>IFERROR(__xludf.DUMMYFUNCTION("""COMPUTED_VALUE"""),156.0)</f>
        <v>156</v>
      </c>
      <c r="BA360" s="71">
        <f>IFERROR(__xludf.DUMMYFUNCTION("""COMPUTED_VALUE"""),80.0)</f>
        <v>80</v>
      </c>
      <c r="BB360" s="71">
        <f>IFERROR(__xludf.DUMMYFUNCTION("""COMPUTED_VALUE"""),80.0)</f>
        <v>80</v>
      </c>
      <c r="BC360" s="71">
        <f>IFERROR(__xludf.DUMMYFUNCTION("""COMPUTED_VALUE"""),115.0)</f>
        <v>115</v>
      </c>
      <c r="BD360" s="71">
        <f>IFERROR(__xludf.DUMMYFUNCTION("""COMPUTED_VALUE"""),121.0)</f>
        <v>121</v>
      </c>
      <c r="BE360" s="71">
        <f>IFERROR(__xludf.DUMMYFUNCTION("""COMPUTED_VALUE"""),19.36)</f>
        <v>19.36</v>
      </c>
      <c r="BF360" s="71">
        <f>IFERROR(__xludf.DUMMYFUNCTION("""COMPUTED_VALUE"""),140.36)</f>
        <v>140.36</v>
      </c>
      <c r="BG360" s="71">
        <f>IFERROR(__xludf.DUMMYFUNCTION("""COMPUTED_VALUE"""),0.05217391304347826)</f>
        <v>0.05217391304</v>
      </c>
      <c r="BH360" s="71">
        <f>IFERROR(__xludf.DUMMYFUNCTION("""COMPUTED_VALUE"""),114.94999999999999)</f>
        <v>114.95</v>
      </c>
      <c r="BI360" s="71">
        <f>IFERROR(__xludf.DUMMYFUNCTION("""COMPUTED_VALUE"""),18.392)</f>
        <v>18.392</v>
      </c>
      <c r="BJ360" s="71">
        <f>IFERROR(__xludf.DUMMYFUNCTION("""COMPUTED_VALUE"""),133.34199999999998)</f>
        <v>133.342</v>
      </c>
      <c r="BK360" s="71">
        <f>IFERROR(__xludf.DUMMYFUNCTION("""COMPUTED_VALUE"""),108.9)</f>
        <v>108.9</v>
      </c>
      <c r="BL360" s="71">
        <f>IFERROR(__xludf.DUMMYFUNCTION("""COMPUTED_VALUE"""),17.424000000000003)</f>
        <v>17.424</v>
      </c>
      <c r="BM360" s="71">
        <f>IFERROR(__xludf.DUMMYFUNCTION("""COMPUTED_VALUE"""),126.32400000000001)</f>
        <v>126.324</v>
      </c>
      <c r="BN360" s="71">
        <f>IFERROR(__xludf.DUMMYFUNCTION("""COMPUTED_VALUE"""),102.85)</f>
        <v>102.85</v>
      </c>
      <c r="BO360" s="71">
        <f>IFERROR(__xludf.DUMMYFUNCTION("""COMPUTED_VALUE"""),16.456)</f>
        <v>16.456</v>
      </c>
      <c r="BP360" s="71">
        <f>IFERROR(__xludf.DUMMYFUNCTION("""COMPUTED_VALUE"""),119.306)</f>
        <v>119.306</v>
      </c>
      <c r="BQ360" s="71">
        <f>IFERROR(__xludf.DUMMYFUNCTION("""COMPUTED_VALUE"""),100.42999999999999)</f>
        <v>100.43</v>
      </c>
      <c r="BR360" s="71">
        <f>IFERROR(__xludf.DUMMYFUNCTION("""COMPUTED_VALUE"""),16.0688)</f>
        <v>16.0688</v>
      </c>
      <c r="BS360" s="71">
        <f>IFERROR(__xludf.DUMMYFUNCTION("""COMPUTED_VALUE"""),116.49879999999999)</f>
        <v>116.4988</v>
      </c>
      <c r="BT360" s="71">
        <f>IFERROR(__xludf.DUMMYFUNCTION("""COMPUTED_VALUE"""),96.80000000000001)</f>
        <v>96.8</v>
      </c>
      <c r="BU360" s="71">
        <f>IFERROR(__xludf.DUMMYFUNCTION("""COMPUTED_VALUE"""),15.488000000000001)</f>
        <v>15.488</v>
      </c>
      <c r="BV360" s="71">
        <f>IFERROR(__xludf.DUMMYFUNCTION("""COMPUTED_VALUE"""),112.28800000000001)</f>
        <v>112.288</v>
      </c>
    </row>
    <row r="361">
      <c r="A361" s="53">
        <v>1.0</v>
      </c>
      <c r="B361" s="72"/>
      <c r="C361" s="73" t="s">
        <v>53</v>
      </c>
      <c r="D361" s="74" t="s">
        <v>918</v>
      </c>
      <c r="E361" s="54" t="s">
        <v>38</v>
      </c>
      <c r="F361" s="54" t="s">
        <v>42</v>
      </c>
      <c r="G361" s="88" t="s">
        <v>919</v>
      </c>
      <c r="H361" s="54" t="s">
        <v>920</v>
      </c>
      <c r="I361" s="54">
        <f t="shared" si="1"/>
        <v>34</v>
      </c>
      <c r="J361" s="56"/>
      <c r="K361" s="75"/>
      <c r="L361" s="76"/>
      <c r="M361" s="59"/>
      <c r="N361" s="60">
        <v>502.0</v>
      </c>
      <c r="O361" s="61">
        <v>623.0</v>
      </c>
      <c r="P361" s="62">
        <v>672.84</v>
      </c>
      <c r="Q361" s="63">
        <v>672.84</v>
      </c>
      <c r="R361" s="64">
        <v>750.0</v>
      </c>
      <c r="S361" s="111">
        <v>788.0</v>
      </c>
      <c r="T361" s="65">
        <f t="shared" si="2"/>
        <v>126.08</v>
      </c>
      <c r="U361" s="65">
        <f t="shared" si="3"/>
        <v>914.08</v>
      </c>
      <c r="V361" s="66">
        <f t="shared" si="4"/>
        <v>0.05066666667</v>
      </c>
      <c r="W361" s="67">
        <f t="shared" si="5"/>
        <v>748.6</v>
      </c>
      <c r="X361" s="67">
        <f t="shared" si="6"/>
        <v>119.776</v>
      </c>
      <c r="Y361" s="67">
        <f t="shared" si="7"/>
        <v>868.376</v>
      </c>
      <c r="Z361" s="67">
        <f t="shared" si="8"/>
        <v>709.2</v>
      </c>
      <c r="AA361" s="67">
        <f t="shared" si="9"/>
        <v>113.472</v>
      </c>
      <c r="AB361" s="67">
        <f t="shared" si="10"/>
        <v>822.672</v>
      </c>
      <c r="AC361" s="67">
        <f t="shared" si="11"/>
        <v>669.8</v>
      </c>
      <c r="AD361" s="67">
        <f t="shared" si="12"/>
        <v>107.168</v>
      </c>
      <c r="AE361" s="67">
        <f t="shared" si="13"/>
        <v>776.968</v>
      </c>
      <c r="AF361" s="67">
        <f t="shared" si="14"/>
        <v>654.04</v>
      </c>
      <c r="AG361" s="67">
        <f t="shared" si="15"/>
        <v>104.6464</v>
      </c>
      <c r="AH361" s="67">
        <f t="shared" si="16"/>
        <v>758.6864</v>
      </c>
      <c r="AI361" s="67">
        <f t="shared" si="17"/>
        <v>630.4</v>
      </c>
      <c r="AJ361" s="68">
        <f t="shared" si="20"/>
        <v>100.864</v>
      </c>
      <c r="AK361" s="68">
        <f t="shared" si="21"/>
        <v>731.264</v>
      </c>
      <c r="AL361" s="70">
        <f>IFERROR(__xludf.DUMMYFUNCTION("""COMPUTED_VALUE"""),1.0)</f>
        <v>1</v>
      </c>
      <c r="AM361" s="70"/>
      <c r="AN361" s="71" t="str">
        <f>IFERROR(__xludf.DUMMYFUNCTION("""COMPUTED_VALUE""")," CP")</f>
        <v>CP</v>
      </c>
      <c r="AO361" s="71" t="str">
        <f>IFERROR(__xludf.DUMMYFUNCTION("""COMPUTED_VALUE""")," CA21")</f>
        <v>CA21</v>
      </c>
      <c r="AP361" s="71" t="str">
        <f>IFERROR(__xludf.DUMMYFUNCTION("""COMPUTED_VALUE""")," PZA")</f>
        <v>PZA</v>
      </c>
      <c r="AQ361" s="71" t="str">
        <f>IFERROR(__xludf.DUMMYFUNCTION("""COMPUTED_VALUE""")," REF")</f>
        <v>REF</v>
      </c>
      <c r="AR361" s="71" t="str">
        <f>IFERROR(__xludf.DUMMYFUNCTION("""COMPUTED_VALUE""")," CATARINA 42B16 E.15/16""")</f>
        <v>CATARINA 42B16 E.15/16"</v>
      </c>
      <c r="AS361" s="71" t="str">
        <f>IFERROR(__xludf.DUMMYFUNCTION("""COMPUTED_VALUE""")," CATARINA 42B16 E.15/16""")</f>
        <v>CATARINA 42B16 E.15/16"</v>
      </c>
      <c r="AT361" s="71">
        <f>IFERROR(__xludf.DUMMYFUNCTION("""COMPUTED_VALUE"""),23.0)</f>
        <v>23</v>
      </c>
      <c r="AU361" s="71"/>
      <c r="AV361" s="71"/>
      <c r="AW361" s="71"/>
      <c r="AX361" s="71"/>
      <c r="AY361" s="71">
        <f>IFERROR(__xludf.DUMMYFUNCTION("""COMPUTED_VALUE"""),145.0)</f>
        <v>145</v>
      </c>
      <c r="AZ361" s="71">
        <f>IFERROR(__xludf.DUMMYFUNCTION("""COMPUTED_VALUE"""),156.0)</f>
        <v>156</v>
      </c>
      <c r="BA361" s="71">
        <f>IFERROR(__xludf.DUMMYFUNCTION("""COMPUTED_VALUE"""),75.0)</f>
        <v>75</v>
      </c>
      <c r="BB361" s="71">
        <f>IFERROR(__xludf.DUMMYFUNCTION("""COMPUTED_VALUE"""),75.0)</f>
        <v>75</v>
      </c>
      <c r="BC361" s="71">
        <f>IFERROR(__xludf.DUMMYFUNCTION("""COMPUTED_VALUE"""),115.0)</f>
        <v>115</v>
      </c>
      <c r="BD361" s="71">
        <f>IFERROR(__xludf.DUMMYFUNCTION("""COMPUTED_VALUE"""),121.0)</f>
        <v>121</v>
      </c>
      <c r="BE361" s="71">
        <f>IFERROR(__xludf.DUMMYFUNCTION("""COMPUTED_VALUE"""),19.36)</f>
        <v>19.36</v>
      </c>
      <c r="BF361" s="71">
        <f>IFERROR(__xludf.DUMMYFUNCTION("""COMPUTED_VALUE"""),140.36)</f>
        <v>140.36</v>
      </c>
      <c r="BG361" s="71">
        <f>IFERROR(__xludf.DUMMYFUNCTION("""COMPUTED_VALUE"""),0.05217391304347826)</f>
        <v>0.05217391304</v>
      </c>
      <c r="BH361" s="71">
        <f>IFERROR(__xludf.DUMMYFUNCTION("""COMPUTED_VALUE"""),114.94999999999999)</f>
        <v>114.95</v>
      </c>
      <c r="BI361" s="71">
        <f>IFERROR(__xludf.DUMMYFUNCTION("""COMPUTED_VALUE"""),18.392)</f>
        <v>18.392</v>
      </c>
      <c r="BJ361" s="71">
        <f>IFERROR(__xludf.DUMMYFUNCTION("""COMPUTED_VALUE"""),133.34199999999998)</f>
        <v>133.342</v>
      </c>
      <c r="BK361" s="71">
        <f>IFERROR(__xludf.DUMMYFUNCTION("""COMPUTED_VALUE"""),108.9)</f>
        <v>108.9</v>
      </c>
      <c r="BL361" s="71">
        <f>IFERROR(__xludf.DUMMYFUNCTION("""COMPUTED_VALUE"""),17.424000000000003)</f>
        <v>17.424</v>
      </c>
      <c r="BM361" s="71">
        <f>IFERROR(__xludf.DUMMYFUNCTION("""COMPUTED_VALUE"""),126.32400000000001)</f>
        <v>126.324</v>
      </c>
      <c r="BN361" s="71">
        <f>IFERROR(__xludf.DUMMYFUNCTION("""COMPUTED_VALUE"""),102.85)</f>
        <v>102.85</v>
      </c>
      <c r="BO361" s="71">
        <f>IFERROR(__xludf.DUMMYFUNCTION("""COMPUTED_VALUE"""),16.456)</f>
        <v>16.456</v>
      </c>
      <c r="BP361" s="71">
        <f>IFERROR(__xludf.DUMMYFUNCTION("""COMPUTED_VALUE"""),119.306)</f>
        <v>119.306</v>
      </c>
      <c r="BQ361" s="71">
        <f>IFERROR(__xludf.DUMMYFUNCTION("""COMPUTED_VALUE"""),100.42999999999999)</f>
        <v>100.43</v>
      </c>
      <c r="BR361" s="71">
        <f>IFERROR(__xludf.DUMMYFUNCTION("""COMPUTED_VALUE"""),16.0688)</f>
        <v>16.0688</v>
      </c>
      <c r="BS361" s="71">
        <f>IFERROR(__xludf.DUMMYFUNCTION("""COMPUTED_VALUE"""),116.49879999999999)</f>
        <v>116.4988</v>
      </c>
      <c r="BT361" s="71">
        <f>IFERROR(__xludf.DUMMYFUNCTION("""COMPUTED_VALUE"""),96.80000000000001)</f>
        <v>96.8</v>
      </c>
      <c r="BU361" s="71">
        <f>IFERROR(__xludf.DUMMYFUNCTION("""COMPUTED_VALUE"""),15.488000000000001)</f>
        <v>15.488</v>
      </c>
      <c r="BV361" s="71">
        <f>IFERROR(__xludf.DUMMYFUNCTION("""COMPUTED_VALUE"""),112.28800000000001)</f>
        <v>112.288</v>
      </c>
    </row>
    <row r="362">
      <c r="A362" s="53">
        <v>1.0</v>
      </c>
      <c r="B362" s="135"/>
      <c r="C362" s="73" t="s">
        <v>53</v>
      </c>
      <c r="D362" s="74" t="s">
        <v>921</v>
      </c>
      <c r="E362" s="55" t="s">
        <v>38</v>
      </c>
      <c r="F362" s="54" t="s">
        <v>42</v>
      </c>
      <c r="G362" s="55" t="s">
        <v>922</v>
      </c>
      <c r="H362" s="54" t="s">
        <v>923</v>
      </c>
      <c r="I362" s="54">
        <f t="shared" si="1"/>
        <v>39</v>
      </c>
      <c r="J362" s="56"/>
      <c r="K362" s="75"/>
      <c r="L362" s="76"/>
      <c r="M362" s="59"/>
      <c r="N362" s="60">
        <v>991.0</v>
      </c>
      <c r="O362" s="61">
        <v>1070.0</v>
      </c>
      <c r="P362" s="62">
        <v>2018.52</v>
      </c>
      <c r="Q362" s="63">
        <v>2018.52</v>
      </c>
      <c r="R362" s="64">
        <v>2247.0</v>
      </c>
      <c r="S362" s="111">
        <v>2359.0</v>
      </c>
      <c r="T362" s="65">
        <f t="shared" si="2"/>
        <v>377.44</v>
      </c>
      <c r="U362" s="65">
        <f t="shared" si="3"/>
        <v>2736.44</v>
      </c>
      <c r="V362" s="66">
        <f t="shared" si="4"/>
        <v>0.04984423676</v>
      </c>
      <c r="W362" s="67">
        <f t="shared" si="5"/>
        <v>2241.05</v>
      </c>
      <c r="X362" s="67">
        <f t="shared" si="6"/>
        <v>358.568</v>
      </c>
      <c r="Y362" s="67">
        <f t="shared" si="7"/>
        <v>2599.618</v>
      </c>
      <c r="Z362" s="67">
        <f t="shared" si="8"/>
        <v>2123.1</v>
      </c>
      <c r="AA362" s="67">
        <f t="shared" si="9"/>
        <v>339.696</v>
      </c>
      <c r="AB362" s="67">
        <f t="shared" si="10"/>
        <v>2462.796</v>
      </c>
      <c r="AC362" s="67">
        <f t="shared" si="11"/>
        <v>2005.15</v>
      </c>
      <c r="AD362" s="67">
        <f t="shared" si="12"/>
        <v>320.824</v>
      </c>
      <c r="AE362" s="67">
        <f t="shared" si="13"/>
        <v>2325.974</v>
      </c>
      <c r="AF362" s="67">
        <f t="shared" si="14"/>
        <v>1957.97</v>
      </c>
      <c r="AG362" s="67">
        <f t="shared" si="15"/>
        <v>313.2752</v>
      </c>
      <c r="AH362" s="67">
        <f t="shared" si="16"/>
        <v>2271.2452</v>
      </c>
      <c r="AI362" s="67">
        <f t="shared" si="17"/>
        <v>1887.2</v>
      </c>
      <c r="AJ362" s="68">
        <f t="shared" si="20"/>
        <v>301.952</v>
      </c>
      <c r="AK362" s="68">
        <f t="shared" si="21"/>
        <v>2189.152</v>
      </c>
      <c r="AL362" s="70">
        <f>IFERROR(__xludf.DUMMYFUNCTION("""COMPUTED_VALUE"""),1.0)</f>
        <v>1</v>
      </c>
      <c r="AM362" s="70"/>
      <c r="AN362" s="71" t="str">
        <f>IFERROR(__xludf.DUMMYFUNCTION("""COMPUTED_VALUE""")," CP")</f>
        <v>CP</v>
      </c>
      <c r="AO362" s="71" t="str">
        <f>IFERROR(__xludf.DUMMYFUNCTION("""COMPUTED_VALUE""")," CA22")</f>
        <v>CA22</v>
      </c>
      <c r="AP362" s="71" t="str">
        <f>IFERROR(__xludf.DUMMYFUNCTION("""COMPUTED_VALUE""")," PZA")</f>
        <v>PZA</v>
      </c>
      <c r="AQ362" s="71" t="str">
        <f>IFERROR(__xludf.DUMMYFUNCTION("""COMPUTED_VALUE""")," REF")</f>
        <v>REF</v>
      </c>
      <c r="AR362" s="71" t="str">
        <f>IFERROR(__xludf.DUMMYFUNCTION("""COMPUTED_VALUE""")," CATARINA 42B16 E.25MM C.1/4")</f>
        <v>CATARINA 42B16 E.25MM C.1/4</v>
      </c>
      <c r="AS362" s="71" t="str">
        <f>IFERROR(__xludf.DUMMYFUNCTION("""COMPUTED_VALUE""")," CATARINA 42B16 E.25MM C.1/4")</f>
        <v>CATARINA 42B16 E.25MM C.1/4</v>
      </c>
      <c r="AT362" s="71">
        <f>IFERROR(__xludf.DUMMYFUNCTION("""COMPUTED_VALUE"""),27.0)</f>
        <v>27</v>
      </c>
      <c r="AU362" s="71"/>
      <c r="AV362" s="71"/>
      <c r="AW362" s="71"/>
      <c r="AX362" s="71"/>
      <c r="AY362" s="71">
        <f>IFERROR(__xludf.DUMMYFUNCTION("""COMPUTED_VALUE"""),145.0)</f>
        <v>145</v>
      </c>
      <c r="AZ362" s="71">
        <f>IFERROR(__xludf.DUMMYFUNCTION("""COMPUTED_VALUE"""),156.0)</f>
        <v>156</v>
      </c>
      <c r="BA362" s="71">
        <f>IFERROR(__xludf.DUMMYFUNCTION("""COMPUTED_VALUE"""),80.0)</f>
        <v>80</v>
      </c>
      <c r="BB362" s="71">
        <f>IFERROR(__xludf.DUMMYFUNCTION("""COMPUTED_VALUE"""),80.0)</f>
        <v>80</v>
      </c>
      <c r="BC362" s="71">
        <f>IFERROR(__xludf.DUMMYFUNCTION("""COMPUTED_VALUE"""),115.0)</f>
        <v>115</v>
      </c>
      <c r="BD362" s="71">
        <f>IFERROR(__xludf.DUMMYFUNCTION("""COMPUTED_VALUE"""),121.0)</f>
        <v>121</v>
      </c>
      <c r="BE362" s="71">
        <f>IFERROR(__xludf.DUMMYFUNCTION("""COMPUTED_VALUE"""),19.36)</f>
        <v>19.36</v>
      </c>
      <c r="BF362" s="71">
        <f>IFERROR(__xludf.DUMMYFUNCTION("""COMPUTED_VALUE"""),140.36)</f>
        <v>140.36</v>
      </c>
      <c r="BG362" s="71">
        <f>IFERROR(__xludf.DUMMYFUNCTION("""COMPUTED_VALUE"""),0.05217391304347826)</f>
        <v>0.05217391304</v>
      </c>
      <c r="BH362" s="71">
        <f>IFERROR(__xludf.DUMMYFUNCTION("""COMPUTED_VALUE"""),114.94999999999999)</f>
        <v>114.95</v>
      </c>
      <c r="BI362" s="71">
        <f>IFERROR(__xludf.DUMMYFUNCTION("""COMPUTED_VALUE"""),18.392)</f>
        <v>18.392</v>
      </c>
      <c r="BJ362" s="71">
        <f>IFERROR(__xludf.DUMMYFUNCTION("""COMPUTED_VALUE"""),133.34199999999998)</f>
        <v>133.342</v>
      </c>
      <c r="BK362" s="71">
        <f>IFERROR(__xludf.DUMMYFUNCTION("""COMPUTED_VALUE"""),108.9)</f>
        <v>108.9</v>
      </c>
      <c r="BL362" s="71">
        <f>IFERROR(__xludf.DUMMYFUNCTION("""COMPUTED_VALUE"""),17.424000000000003)</f>
        <v>17.424</v>
      </c>
      <c r="BM362" s="71">
        <f>IFERROR(__xludf.DUMMYFUNCTION("""COMPUTED_VALUE"""),126.32400000000001)</f>
        <v>126.324</v>
      </c>
      <c r="BN362" s="71">
        <f>IFERROR(__xludf.DUMMYFUNCTION("""COMPUTED_VALUE"""),102.85)</f>
        <v>102.85</v>
      </c>
      <c r="BO362" s="71">
        <f>IFERROR(__xludf.DUMMYFUNCTION("""COMPUTED_VALUE"""),16.456)</f>
        <v>16.456</v>
      </c>
      <c r="BP362" s="71">
        <f>IFERROR(__xludf.DUMMYFUNCTION("""COMPUTED_VALUE"""),119.306)</f>
        <v>119.306</v>
      </c>
      <c r="BQ362" s="71">
        <f>IFERROR(__xludf.DUMMYFUNCTION("""COMPUTED_VALUE"""),100.42999999999999)</f>
        <v>100.43</v>
      </c>
      <c r="BR362" s="71">
        <f>IFERROR(__xludf.DUMMYFUNCTION("""COMPUTED_VALUE"""),16.0688)</f>
        <v>16.0688</v>
      </c>
      <c r="BS362" s="71">
        <f>IFERROR(__xludf.DUMMYFUNCTION("""COMPUTED_VALUE"""),116.49879999999999)</f>
        <v>116.4988</v>
      </c>
      <c r="BT362" s="71">
        <f>IFERROR(__xludf.DUMMYFUNCTION("""COMPUTED_VALUE"""),96.80000000000001)</f>
        <v>96.8</v>
      </c>
      <c r="BU362" s="71">
        <f>IFERROR(__xludf.DUMMYFUNCTION("""COMPUTED_VALUE"""),15.488000000000001)</f>
        <v>15.488</v>
      </c>
      <c r="BV362" s="71">
        <f>IFERROR(__xludf.DUMMYFUNCTION("""COMPUTED_VALUE"""),112.28800000000001)</f>
        <v>112.288</v>
      </c>
    </row>
    <row r="363">
      <c r="A363" s="53">
        <v>1.0</v>
      </c>
      <c r="B363" s="72"/>
      <c r="C363" s="73" t="s">
        <v>53</v>
      </c>
      <c r="D363" s="74" t="s">
        <v>924</v>
      </c>
      <c r="E363" s="54" t="s">
        <v>38</v>
      </c>
      <c r="F363" s="54" t="s">
        <v>42</v>
      </c>
      <c r="G363" s="88" t="s">
        <v>925</v>
      </c>
      <c r="H363" s="54" t="s">
        <v>926</v>
      </c>
      <c r="I363" s="54">
        <f t="shared" si="1"/>
        <v>39</v>
      </c>
      <c r="J363" s="56"/>
      <c r="K363" s="75"/>
      <c r="L363" s="76"/>
      <c r="M363" s="59"/>
      <c r="N363" s="60">
        <v>273.0</v>
      </c>
      <c r="O363" s="61">
        <v>358.0</v>
      </c>
      <c r="P363" s="62">
        <v>386.64000000000004</v>
      </c>
      <c r="Q363" s="63">
        <v>386.64000000000004</v>
      </c>
      <c r="R363" s="64">
        <v>474.0</v>
      </c>
      <c r="S363" s="111">
        <v>498.0</v>
      </c>
      <c r="T363" s="65">
        <f t="shared" si="2"/>
        <v>79.68</v>
      </c>
      <c r="U363" s="65">
        <f t="shared" si="3"/>
        <v>577.68</v>
      </c>
      <c r="V363" s="66">
        <f t="shared" si="4"/>
        <v>0.05063291139</v>
      </c>
      <c r="W363" s="67">
        <f t="shared" si="5"/>
        <v>473.1</v>
      </c>
      <c r="X363" s="67">
        <f t="shared" si="6"/>
        <v>75.696</v>
      </c>
      <c r="Y363" s="67">
        <f t="shared" si="7"/>
        <v>548.796</v>
      </c>
      <c r="Z363" s="67">
        <f t="shared" si="8"/>
        <v>448.2</v>
      </c>
      <c r="AA363" s="67">
        <f t="shared" si="9"/>
        <v>71.712</v>
      </c>
      <c r="AB363" s="67">
        <f t="shared" si="10"/>
        <v>519.912</v>
      </c>
      <c r="AC363" s="67">
        <f t="shared" si="11"/>
        <v>423.3</v>
      </c>
      <c r="AD363" s="67">
        <f t="shared" si="12"/>
        <v>67.728</v>
      </c>
      <c r="AE363" s="67">
        <f t="shared" si="13"/>
        <v>491.028</v>
      </c>
      <c r="AF363" s="67">
        <f t="shared" si="14"/>
        <v>413.34</v>
      </c>
      <c r="AG363" s="67">
        <f t="shared" si="15"/>
        <v>66.1344</v>
      </c>
      <c r="AH363" s="67">
        <f t="shared" si="16"/>
        <v>479.4744</v>
      </c>
      <c r="AI363" s="67">
        <f t="shared" si="17"/>
        <v>398.4</v>
      </c>
      <c r="AJ363" s="68">
        <f t="shared" si="20"/>
        <v>63.744</v>
      </c>
      <c r="AK363" s="68">
        <f t="shared" si="21"/>
        <v>462.144</v>
      </c>
      <c r="AL363" s="70">
        <f>IFERROR(__xludf.DUMMYFUNCTION("""COMPUTED_VALUE"""),1.0)</f>
        <v>1</v>
      </c>
      <c r="AM363" s="70"/>
      <c r="AN363" s="71" t="str">
        <f>IFERROR(__xludf.DUMMYFUNCTION("""COMPUTED_VALUE""")," CP")</f>
        <v>CP</v>
      </c>
      <c r="AO363" s="71" t="str">
        <f>IFERROR(__xludf.DUMMYFUNCTION("""COMPUTED_VALUE""")," CA23")</f>
        <v>CA23</v>
      </c>
      <c r="AP363" s="71" t="str">
        <f>IFERROR(__xludf.DUMMYFUNCTION("""COMPUTED_VALUE""")," PZA")</f>
        <v>PZA</v>
      </c>
      <c r="AQ363" s="71" t="str">
        <f>IFERROR(__xludf.DUMMYFUNCTION("""COMPUTED_VALUE""")," REF")</f>
        <v>REF</v>
      </c>
      <c r="AR363" s="71" t="str">
        <f>IFERROR(__xludf.DUMMYFUNCTION("""COMPUTED_VALUE""")," CATARINA 42B16 E.3/4""")</f>
        <v>CATARINA 42B16 E.3/4"</v>
      </c>
      <c r="AS363" s="71" t="str">
        <f>IFERROR(__xludf.DUMMYFUNCTION("""COMPUTED_VALUE""")," CATARINA 42B16 E.3/4""")</f>
        <v>CATARINA 42B16 E.3/4"</v>
      </c>
      <c r="AT363" s="71">
        <f>IFERROR(__xludf.DUMMYFUNCTION("""COMPUTED_VALUE"""),21.0)</f>
        <v>21</v>
      </c>
      <c r="AU363" s="71"/>
      <c r="AV363" s="71"/>
      <c r="AW363" s="71"/>
      <c r="AX363" s="71"/>
      <c r="AY363" s="71">
        <f>IFERROR(__xludf.DUMMYFUNCTION("""COMPUTED_VALUE"""),146.0)</f>
        <v>146</v>
      </c>
      <c r="AZ363" s="71">
        <f>IFERROR(__xludf.DUMMYFUNCTION("""COMPUTED_VALUE"""),157.0)</f>
        <v>157</v>
      </c>
      <c r="BA363" s="71">
        <f>IFERROR(__xludf.DUMMYFUNCTION("""COMPUTED_VALUE"""),75.0)</f>
        <v>75</v>
      </c>
      <c r="BB363" s="71">
        <f>IFERROR(__xludf.DUMMYFUNCTION("""COMPUTED_VALUE"""),75.0)</f>
        <v>75</v>
      </c>
      <c r="BC363" s="71">
        <f>IFERROR(__xludf.DUMMYFUNCTION("""COMPUTED_VALUE"""),115.0)</f>
        <v>115</v>
      </c>
      <c r="BD363" s="71">
        <f>IFERROR(__xludf.DUMMYFUNCTION("""COMPUTED_VALUE"""),121.0)</f>
        <v>121</v>
      </c>
      <c r="BE363" s="71">
        <f>IFERROR(__xludf.DUMMYFUNCTION("""COMPUTED_VALUE"""),19.36)</f>
        <v>19.36</v>
      </c>
      <c r="BF363" s="71">
        <f>IFERROR(__xludf.DUMMYFUNCTION("""COMPUTED_VALUE"""),140.36)</f>
        <v>140.36</v>
      </c>
      <c r="BG363" s="71">
        <f>IFERROR(__xludf.DUMMYFUNCTION("""COMPUTED_VALUE"""),0.05217391304347826)</f>
        <v>0.05217391304</v>
      </c>
      <c r="BH363" s="71">
        <f>IFERROR(__xludf.DUMMYFUNCTION("""COMPUTED_VALUE"""),114.94999999999999)</f>
        <v>114.95</v>
      </c>
      <c r="BI363" s="71">
        <f>IFERROR(__xludf.DUMMYFUNCTION("""COMPUTED_VALUE"""),18.392)</f>
        <v>18.392</v>
      </c>
      <c r="BJ363" s="71">
        <f>IFERROR(__xludf.DUMMYFUNCTION("""COMPUTED_VALUE"""),133.34199999999998)</f>
        <v>133.342</v>
      </c>
      <c r="BK363" s="71">
        <f>IFERROR(__xludf.DUMMYFUNCTION("""COMPUTED_VALUE"""),108.9)</f>
        <v>108.9</v>
      </c>
      <c r="BL363" s="71">
        <f>IFERROR(__xludf.DUMMYFUNCTION("""COMPUTED_VALUE"""),17.424000000000003)</f>
        <v>17.424</v>
      </c>
      <c r="BM363" s="71">
        <f>IFERROR(__xludf.DUMMYFUNCTION("""COMPUTED_VALUE"""),126.32400000000001)</f>
        <v>126.324</v>
      </c>
      <c r="BN363" s="71">
        <f>IFERROR(__xludf.DUMMYFUNCTION("""COMPUTED_VALUE"""),102.85)</f>
        <v>102.85</v>
      </c>
      <c r="BO363" s="71">
        <f>IFERROR(__xludf.DUMMYFUNCTION("""COMPUTED_VALUE"""),16.456)</f>
        <v>16.456</v>
      </c>
      <c r="BP363" s="71">
        <f>IFERROR(__xludf.DUMMYFUNCTION("""COMPUTED_VALUE"""),119.306)</f>
        <v>119.306</v>
      </c>
      <c r="BQ363" s="71">
        <f>IFERROR(__xludf.DUMMYFUNCTION("""COMPUTED_VALUE"""),100.42999999999999)</f>
        <v>100.43</v>
      </c>
      <c r="BR363" s="71">
        <f>IFERROR(__xludf.DUMMYFUNCTION("""COMPUTED_VALUE"""),16.0688)</f>
        <v>16.0688</v>
      </c>
      <c r="BS363" s="71">
        <f>IFERROR(__xludf.DUMMYFUNCTION("""COMPUTED_VALUE"""),116.49879999999999)</f>
        <v>116.4988</v>
      </c>
      <c r="BT363" s="71">
        <f>IFERROR(__xludf.DUMMYFUNCTION("""COMPUTED_VALUE"""),96.80000000000001)</f>
        <v>96.8</v>
      </c>
      <c r="BU363" s="71">
        <f>IFERROR(__xludf.DUMMYFUNCTION("""COMPUTED_VALUE"""),15.488000000000001)</f>
        <v>15.488</v>
      </c>
      <c r="BV363" s="71">
        <f>IFERROR(__xludf.DUMMYFUNCTION("""COMPUTED_VALUE"""),112.28800000000001)</f>
        <v>112.288</v>
      </c>
    </row>
    <row r="364">
      <c r="A364" s="53"/>
      <c r="B364" s="53"/>
      <c r="C364" s="73" t="s">
        <v>53</v>
      </c>
      <c r="D364" s="53" t="s">
        <v>927</v>
      </c>
      <c r="E364" s="54" t="s">
        <v>38</v>
      </c>
      <c r="F364" s="55" t="s">
        <v>309</v>
      </c>
      <c r="G364" s="54" t="s">
        <v>925</v>
      </c>
      <c r="H364" s="55" t="s">
        <v>928</v>
      </c>
      <c r="I364" s="54">
        <f t="shared" si="1"/>
        <v>39</v>
      </c>
      <c r="J364" s="56"/>
      <c r="K364" s="57"/>
      <c r="L364" s="76"/>
      <c r="M364" s="59"/>
      <c r="N364" s="60"/>
      <c r="O364" s="90">
        <v>294.0</v>
      </c>
      <c r="P364" s="62">
        <v>317.52000000000004</v>
      </c>
      <c r="Q364" s="63">
        <v>317.52000000000004</v>
      </c>
      <c r="R364" s="64">
        <v>474.0</v>
      </c>
      <c r="S364" s="111">
        <v>498.0</v>
      </c>
      <c r="T364" s="65">
        <f t="shared" si="2"/>
        <v>79.68</v>
      </c>
      <c r="U364" s="65">
        <f t="shared" si="3"/>
        <v>577.68</v>
      </c>
      <c r="V364" s="66">
        <f t="shared" si="4"/>
        <v>0.05063291139</v>
      </c>
      <c r="W364" s="67">
        <f t="shared" si="5"/>
        <v>473.1</v>
      </c>
      <c r="X364" s="67">
        <f t="shared" si="6"/>
        <v>75.696</v>
      </c>
      <c r="Y364" s="67">
        <f t="shared" si="7"/>
        <v>548.796</v>
      </c>
      <c r="Z364" s="67">
        <f t="shared" si="8"/>
        <v>448.2</v>
      </c>
      <c r="AA364" s="67">
        <f t="shared" si="9"/>
        <v>71.712</v>
      </c>
      <c r="AB364" s="67">
        <f t="shared" si="10"/>
        <v>519.912</v>
      </c>
      <c r="AC364" s="67">
        <f t="shared" si="11"/>
        <v>423.3</v>
      </c>
      <c r="AD364" s="67">
        <f t="shared" si="12"/>
        <v>67.728</v>
      </c>
      <c r="AE364" s="67">
        <f t="shared" si="13"/>
        <v>491.028</v>
      </c>
      <c r="AF364" s="67">
        <f t="shared" si="14"/>
        <v>413.34</v>
      </c>
      <c r="AG364" s="67">
        <f t="shared" si="15"/>
        <v>66.1344</v>
      </c>
      <c r="AH364" s="67">
        <f t="shared" si="16"/>
        <v>479.4744</v>
      </c>
      <c r="AI364" s="67">
        <f t="shared" si="17"/>
        <v>398.4</v>
      </c>
      <c r="AJ364" s="68">
        <f t="shared" si="20"/>
        <v>63.744</v>
      </c>
      <c r="AK364" s="68">
        <f t="shared" si="21"/>
        <v>462.144</v>
      </c>
      <c r="AL364" s="70">
        <f>IFERROR(__xludf.DUMMYFUNCTION("""COMPUTED_VALUE"""),1.0)</f>
        <v>1</v>
      </c>
      <c r="AM364" s="70"/>
      <c r="AN364" s="71" t="str">
        <f>IFERROR(__xludf.DUMMYFUNCTION("""COMPUTED_VALUE""")," CP")</f>
        <v>CP</v>
      </c>
      <c r="AO364" s="71" t="str">
        <f>IFERROR(__xludf.DUMMYFUNCTION("""COMPUTED_VALUE""")," CA30")</f>
        <v>CA30</v>
      </c>
      <c r="AP364" s="71" t="str">
        <f>IFERROR(__xludf.DUMMYFUNCTION("""COMPUTED_VALUE""")," PZA")</f>
        <v>PZA</v>
      </c>
      <c r="AQ364" s="71" t="str">
        <f>IFERROR(__xludf.DUMMYFUNCTION("""COMPUTED_VALUE""")," REF")</f>
        <v>REF</v>
      </c>
      <c r="AR364" s="71" t="str">
        <f>IFERROR(__xludf.DUMMYFUNCTION("""COMPUTED_VALUE""")," CATARINA 42B17 E.1-1/4"" C.1/4")</f>
        <v>CATARINA 42B17 E.1-1/4" C.1/4</v>
      </c>
      <c r="AS364" s="71" t="str">
        <f>IFERROR(__xludf.DUMMYFUNCTION("""COMPUTED_VALUE""")," CATARINA 42B17 E.1-1/4"" C.1/4")</f>
        <v>CATARINA 42B17 E.1-1/4" C.1/4</v>
      </c>
      <c r="AT364" s="71">
        <f>IFERROR(__xludf.DUMMYFUNCTION("""COMPUTED_VALUE"""),29.0)</f>
        <v>29</v>
      </c>
      <c r="AU364" s="71"/>
      <c r="AV364" s="71"/>
      <c r="AW364" s="71"/>
      <c r="AX364" s="71"/>
      <c r="AY364" s="71">
        <f>IFERROR(__xludf.DUMMYFUNCTION("""COMPUTED_VALUE"""),151.0)</f>
        <v>151</v>
      </c>
      <c r="AZ364" s="71">
        <f>IFERROR(__xludf.DUMMYFUNCTION("""COMPUTED_VALUE"""),161.0)</f>
        <v>161</v>
      </c>
      <c r="BA364" s="71">
        <f>IFERROR(__xludf.DUMMYFUNCTION("""COMPUTED_VALUE"""),90.0)</f>
        <v>90</v>
      </c>
      <c r="BB364" s="71">
        <f>IFERROR(__xludf.DUMMYFUNCTION("""COMPUTED_VALUE"""),90.0)</f>
        <v>90</v>
      </c>
      <c r="BC364" s="71">
        <f>IFERROR(__xludf.DUMMYFUNCTION("""COMPUTED_VALUE"""),121.0)</f>
        <v>121</v>
      </c>
      <c r="BD364" s="71">
        <f>IFERROR(__xludf.DUMMYFUNCTION("""COMPUTED_VALUE"""),127.0)</f>
        <v>127</v>
      </c>
      <c r="BE364" s="71">
        <f>IFERROR(__xludf.DUMMYFUNCTION("""COMPUTED_VALUE"""),20.32)</f>
        <v>20.32</v>
      </c>
      <c r="BF364" s="71">
        <f>IFERROR(__xludf.DUMMYFUNCTION("""COMPUTED_VALUE"""),147.32)</f>
        <v>147.32</v>
      </c>
      <c r="BG364" s="71">
        <f>IFERROR(__xludf.DUMMYFUNCTION("""COMPUTED_VALUE"""),0.049586776859504134)</f>
        <v>0.04958677686</v>
      </c>
      <c r="BH364" s="71">
        <f>IFERROR(__xludf.DUMMYFUNCTION("""COMPUTED_VALUE"""),120.64999999999999)</f>
        <v>120.65</v>
      </c>
      <c r="BI364" s="71">
        <f>IFERROR(__xludf.DUMMYFUNCTION("""COMPUTED_VALUE"""),19.304)</f>
        <v>19.304</v>
      </c>
      <c r="BJ364" s="71">
        <f>IFERROR(__xludf.DUMMYFUNCTION("""COMPUTED_VALUE"""),139.95399999999998)</f>
        <v>139.954</v>
      </c>
      <c r="BK364" s="71">
        <f>IFERROR(__xludf.DUMMYFUNCTION("""COMPUTED_VALUE"""),114.3)</f>
        <v>114.3</v>
      </c>
      <c r="BL364" s="71">
        <f>IFERROR(__xludf.DUMMYFUNCTION("""COMPUTED_VALUE"""),18.288)</f>
        <v>18.288</v>
      </c>
      <c r="BM364" s="71">
        <f>IFERROR(__xludf.DUMMYFUNCTION("""COMPUTED_VALUE"""),132.588)</f>
        <v>132.588</v>
      </c>
      <c r="BN364" s="71">
        <f>IFERROR(__xludf.DUMMYFUNCTION("""COMPUTED_VALUE"""),107.95)</f>
        <v>107.95</v>
      </c>
      <c r="BO364" s="71">
        <f>IFERROR(__xludf.DUMMYFUNCTION("""COMPUTED_VALUE"""),17.272000000000002)</f>
        <v>17.272</v>
      </c>
      <c r="BP364" s="71">
        <f>IFERROR(__xludf.DUMMYFUNCTION("""COMPUTED_VALUE"""),125.22200000000001)</f>
        <v>125.222</v>
      </c>
      <c r="BQ364" s="71">
        <f>IFERROR(__xludf.DUMMYFUNCTION("""COMPUTED_VALUE"""),105.41)</f>
        <v>105.41</v>
      </c>
      <c r="BR364" s="71">
        <f>IFERROR(__xludf.DUMMYFUNCTION("""COMPUTED_VALUE"""),16.8656)</f>
        <v>16.8656</v>
      </c>
      <c r="BS364" s="71">
        <f>IFERROR(__xludf.DUMMYFUNCTION("""COMPUTED_VALUE"""),122.2756)</f>
        <v>122.2756</v>
      </c>
      <c r="BT364" s="71">
        <f>IFERROR(__xludf.DUMMYFUNCTION("""COMPUTED_VALUE"""),101.60000000000001)</f>
        <v>101.6</v>
      </c>
      <c r="BU364" s="71">
        <f>IFERROR(__xludf.DUMMYFUNCTION("""COMPUTED_VALUE"""),16.256)</f>
        <v>16.256</v>
      </c>
      <c r="BV364" s="71">
        <f>IFERROR(__xludf.DUMMYFUNCTION("""COMPUTED_VALUE"""),117.85600000000001)</f>
        <v>117.856</v>
      </c>
    </row>
    <row r="365">
      <c r="A365" s="53">
        <v>1.0</v>
      </c>
      <c r="B365" s="72"/>
      <c r="C365" s="73" t="s">
        <v>53</v>
      </c>
      <c r="D365" s="74" t="s">
        <v>929</v>
      </c>
      <c r="E365" s="54" t="s">
        <v>38</v>
      </c>
      <c r="F365" s="54" t="s">
        <v>42</v>
      </c>
      <c r="G365" s="88" t="s">
        <v>930</v>
      </c>
      <c r="H365" s="54" t="s">
        <v>931</v>
      </c>
      <c r="I365" s="54">
        <f t="shared" si="1"/>
        <v>40</v>
      </c>
      <c r="J365" s="56"/>
      <c r="K365" s="75"/>
      <c r="L365" s="76"/>
      <c r="M365" s="59"/>
      <c r="N365" s="60">
        <v>380.0</v>
      </c>
      <c r="O365" s="61">
        <v>488.0</v>
      </c>
      <c r="P365" s="62">
        <v>527.0400000000001</v>
      </c>
      <c r="Q365" s="63">
        <v>527.0400000000001</v>
      </c>
      <c r="R365" s="64">
        <v>646.0</v>
      </c>
      <c r="S365" s="111">
        <v>678.0</v>
      </c>
      <c r="T365" s="65">
        <f t="shared" si="2"/>
        <v>108.48</v>
      </c>
      <c r="U365" s="65">
        <f t="shared" si="3"/>
        <v>786.48</v>
      </c>
      <c r="V365" s="66">
        <f t="shared" si="4"/>
        <v>0.04953560372</v>
      </c>
      <c r="W365" s="67">
        <f t="shared" si="5"/>
        <v>644.1</v>
      </c>
      <c r="X365" s="67">
        <f t="shared" si="6"/>
        <v>103.056</v>
      </c>
      <c r="Y365" s="67">
        <f t="shared" si="7"/>
        <v>747.156</v>
      </c>
      <c r="Z365" s="67">
        <f t="shared" si="8"/>
        <v>610.2</v>
      </c>
      <c r="AA365" s="67">
        <f t="shared" si="9"/>
        <v>97.632</v>
      </c>
      <c r="AB365" s="67">
        <f t="shared" si="10"/>
        <v>707.832</v>
      </c>
      <c r="AC365" s="67">
        <f t="shared" si="11"/>
        <v>576.3</v>
      </c>
      <c r="AD365" s="67">
        <f t="shared" si="12"/>
        <v>92.208</v>
      </c>
      <c r="AE365" s="67">
        <f t="shared" si="13"/>
        <v>668.508</v>
      </c>
      <c r="AF365" s="67">
        <f t="shared" si="14"/>
        <v>562.74</v>
      </c>
      <c r="AG365" s="67">
        <f t="shared" si="15"/>
        <v>90.0384</v>
      </c>
      <c r="AH365" s="67">
        <f t="shared" si="16"/>
        <v>652.7784</v>
      </c>
      <c r="AI365" s="67">
        <f t="shared" si="17"/>
        <v>542.4</v>
      </c>
      <c r="AJ365" s="68">
        <f t="shared" si="20"/>
        <v>86.784</v>
      </c>
      <c r="AK365" s="68">
        <f t="shared" si="21"/>
        <v>629.184</v>
      </c>
      <c r="AL365" s="70">
        <f>IFERROR(__xludf.DUMMYFUNCTION("""COMPUTED_VALUE"""),1.0)</f>
        <v>1</v>
      </c>
      <c r="AM365" s="70"/>
      <c r="AN365" s="71" t="str">
        <f>IFERROR(__xludf.DUMMYFUNCTION("""COMPUTED_VALUE""")," CP")</f>
        <v>CP</v>
      </c>
      <c r="AO365" s="71" t="str">
        <f>IFERROR(__xludf.DUMMYFUNCTION("""COMPUTED_VALUE""")," CA29")</f>
        <v>CA29</v>
      </c>
      <c r="AP365" s="71" t="str">
        <f>IFERROR(__xludf.DUMMYFUNCTION("""COMPUTED_VALUE""")," PZA")</f>
        <v>PZA</v>
      </c>
      <c r="AQ365" s="71" t="str">
        <f>IFERROR(__xludf.DUMMYFUNCTION("""COMPUTED_VALUE""")," REF")</f>
        <v>REF</v>
      </c>
      <c r="AR365" s="71" t="str">
        <f>IFERROR(__xludf.DUMMYFUNCTION("""COMPUTED_VALUE""")," CATARINA 42B17 E.1"" C.1/4")</f>
        <v>CATARINA 42B17 E.1" C.1/4</v>
      </c>
      <c r="AS365" s="71" t="str">
        <f>IFERROR(__xludf.DUMMYFUNCTION("""COMPUTED_VALUE""")," CATARINA 42B17 E.1"" C.1/4")</f>
        <v>CATARINA 42B17 E.1" C.1/4</v>
      </c>
      <c r="AT365" s="71">
        <f>IFERROR(__xludf.DUMMYFUNCTION("""COMPUTED_VALUE"""),25.0)</f>
        <v>25</v>
      </c>
      <c r="AU365" s="71"/>
      <c r="AV365" s="71"/>
      <c r="AW365" s="71"/>
      <c r="AX365" s="71"/>
      <c r="AY365" s="71">
        <f>IFERROR(__xludf.DUMMYFUNCTION("""COMPUTED_VALUE"""),149.0)</f>
        <v>149</v>
      </c>
      <c r="AZ365" s="71">
        <f>IFERROR(__xludf.DUMMYFUNCTION("""COMPUTED_VALUE"""),160.0)</f>
        <v>160</v>
      </c>
      <c r="BA365" s="71">
        <f>IFERROR(__xludf.DUMMYFUNCTION("""COMPUTED_VALUE"""),90.0)</f>
        <v>90</v>
      </c>
      <c r="BB365" s="71">
        <f>IFERROR(__xludf.DUMMYFUNCTION("""COMPUTED_VALUE"""),90.0)</f>
        <v>90</v>
      </c>
      <c r="BC365" s="71">
        <f>IFERROR(__xludf.DUMMYFUNCTION("""COMPUTED_VALUE"""),121.0)</f>
        <v>121</v>
      </c>
      <c r="BD365" s="71">
        <f>IFERROR(__xludf.DUMMYFUNCTION("""COMPUTED_VALUE"""),127.0)</f>
        <v>127</v>
      </c>
      <c r="BE365" s="71">
        <f>IFERROR(__xludf.DUMMYFUNCTION("""COMPUTED_VALUE"""),20.32)</f>
        <v>20.32</v>
      </c>
      <c r="BF365" s="71">
        <f>IFERROR(__xludf.DUMMYFUNCTION("""COMPUTED_VALUE"""),147.32)</f>
        <v>147.32</v>
      </c>
      <c r="BG365" s="71">
        <f>IFERROR(__xludf.DUMMYFUNCTION("""COMPUTED_VALUE"""),0.049586776859504134)</f>
        <v>0.04958677686</v>
      </c>
      <c r="BH365" s="71">
        <f>IFERROR(__xludf.DUMMYFUNCTION("""COMPUTED_VALUE"""),120.64999999999999)</f>
        <v>120.65</v>
      </c>
      <c r="BI365" s="71">
        <f>IFERROR(__xludf.DUMMYFUNCTION("""COMPUTED_VALUE"""),19.304)</f>
        <v>19.304</v>
      </c>
      <c r="BJ365" s="71">
        <f>IFERROR(__xludf.DUMMYFUNCTION("""COMPUTED_VALUE"""),139.95399999999998)</f>
        <v>139.954</v>
      </c>
      <c r="BK365" s="71">
        <f>IFERROR(__xludf.DUMMYFUNCTION("""COMPUTED_VALUE"""),114.3)</f>
        <v>114.3</v>
      </c>
      <c r="BL365" s="71">
        <f>IFERROR(__xludf.DUMMYFUNCTION("""COMPUTED_VALUE"""),18.288)</f>
        <v>18.288</v>
      </c>
      <c r="BM365" s="71">
        <f>IFERROR(__xludf.DUMMYFUNCTION("""COMPUTED_VALUE"""),132.588)</f>
        <v>132.588</v>
      </c>
      <c r="BN365" s="71">
        <f>IFERROR(__xludf.DUMMYFUNCTION("""COMPUTED_VALUE"""),107.95)</f>
        <v>107.95</v>
      </c>
      <c r="BO365" s="71">
        <f>IFERROR(__xludf.DUMMYFUNCTION("""COMPUTED_VALUE"""),17.272000000000002)</f>
        <v>17.272</v>
      </c>
      <c r="BP365" s="71">
        <f>IFERROR(__xludf.DUMMYFUNCTION("""COMPUTED_VALUE"""),125.22200000000001)</f>
        <v>125.222</v>
      </c>
      <c r="BQ365" s="71">
        <f>IFERROR(__xludf.DUMMYFUNCTION("""COMPUTED_VALUE"""),105.41)</f>
        <v>105.41</v>
      </c>
      <c r="BR365" s="71">
        <f>IFERROR(__xludf.DUMMYFUNCTION("""COMPUTED_VALUE"""),16.8656)</f>
        <v>16.8656</v>
      </c>
      <c r="BS365" s="71">
        <f>IFERROR(__xludf.DUMMYFUNCTION("""COMPUTED_VALUE"""),122.2756)</f>
        <v>122.2756</v>
      </c>
      <c r="BT365" s="71">
        <f>IFERROR(__xludf.DUMMYFUNCTION("""COMPUTED_VALUE"""),101.60000000000001)</f>
        <v>101.6</v>
      </c>
      <c r="BU365" s="71">
        <f>IFERROR(__xludf.DUMMYFUNCTION("""COMPUTED_VALUE"""),16.256)</f>
        <v>16.256</v>
      </c>
      <c r="BV365" s="71">
        <f>IFERROR(__xludf.DUMMYFUNCTION("""COMPUTED_VALUE"""),117.85600000000001)</f>
        <v>117.856</v>
      </c>
    </row>
    <row r="366">
      <c r="A366" s="53">
        <v>1.0</v>
      </c>
      <c r="B366" s="53"/>
      <c r="C366" s="73" t="s">
        <v>53</v>
      </c>
      <c r="D366" s="74" t="s">
        <v>932</v>
      </c>
      <c r="E366" s="55" t="s">
        <v>38</v>
      </c>
      <c r="F366" s="54" t="s">
        <v>42</v>
      </c>
      <c r="G366" s="55" t="s">
        <v>933</v>
      </c>
      <c r="H366" s="54" t="s">
        <v>934</v>
      </c>
      <c r="I366" s="54">
        <f t="shared" si="1"/>
        <v>35</v>
      </c>
      <c r="J366" s="56"/>
      <c r="K366" s="75"/>
      <c r="L366" s="76"/>
      <c r="M366" s="59"/>
      <c r="N366" s="60">
        <v>753.0</v>
      </c>
      <c r="O366" s="61">
        <v>813.0</v>
      </c>
      <c r="P366" s="62">
        <v>1582.2</v>
      </c>
      <c r="Q366" s="63">
        <v>1582.2</v>
      </c>
      <c r="R366" s="64">
        <v>1939.0</v>
      </c>
      <c r="S366" s="111">
        <v>2036.0</v>
      </c>
      <c r="T366" s="65">
        <f t="shared" si="2"/>
        <v>325.76</v>
      </c>
      <c r="U366" s="65">
        <f t="shared" si="3"/>
        <v>2361.76</v>
      </c>
      <c r="V366" s="66">
        <f t="shared" si="4"/>
        <v>0.05002578649</v>
      </c>
      <c r="W366" s="67">
        <f t="shared" si="5"/>
        <v>1934.2</v>
      </c>
      <c r="X366" s="67">
        <f t="shared" si="6"/>
        <v>309.472</v>
      </c>
      <c r="Y366" s="67">
        <f t="shared" si="7"/>
        <v>2243.672</v>
      </c>
      <c r="Z366" s="67">
        <f t="shared" si="8"/>
        <v>1832.4</v>
      </c>
      <c r="AA366" s="67">
        <f t="shared" si="9"/>
        <v>293.184</v>
      </c>
      <c r="AB366" s="67">
        <f t="shared" si="10"/>
        <v>2125.584</v>
      </c>
      <c r="AC366" s="67">
        <f t="shared" si="11"/>
        <v>1730.6</v>
      </c>
      <c r="AD366" s="67">
        <f t="shared" si="12"/>
        <v>276.896</v>
      </c>
      <c r="AE366" s="67">
        <f t="shared" si="13"/>
        <v>2007.496</v>
      </c>
      <c r="AF366" s="67">
        <f t="shared" si="14"/>
        <v>1689.88</v>
      </c>
      <c r="AG366" s="67">
        <f t="shared" si="15"/>
        <v>270.3808</v>
      </c>
      <c r="AH366" s="67">
        <f t="shared" si="16"/>
        <v>1960.2608</v>
      </c>
      <c r="AI366" s="67">
        <f t="shared" si="17"/>
        <v>1628.8</v>
      </c>
      <c r="AJ366" s="68">
        <f t="shared" si="20"/>
        <v>260.608</v>
      </c>
      <c r="AK366" s="68">
        <f t="shared" si="21"/>
        <v>1889.408</v>
      </c>
      <c r="AL366" s="70">
        <f>IFERROR(__xludf.DUMMYFUNCTION("""COMPUTED_VALUE"""),1.0)</f>
        <v>1</v>
      </c>
      <c r="AM366" s="70"/>
      <c r="AN366" s="71" t="str">
        <f>IFERROR(__xludf.DUMMYFUNCTION("""COMPUTED_VALUE""")," CP")</f>
        <v>CP</v>
      </c>
      <c r="AO366" s="71" t="str">
        <f>IFERROR(__xludf.DUMMYFUNCTION("""COMPUTED_VALUE""")," CA31")</f>
        <v>CA31</v>
      </c>
      <c r="AP366" s="71" t="str">
        <f>IFERROR(__xludf.DUMMYFUNCTION("""COMPUTED_VALUE""")," PZA")</f>
        <v>PZA</v>
      </c>
      <c r="AQ366" s="71" t="str">
        <f>IFERROR(__xludf.DUMMYFUNCTION("""COMPUTED_VALUE""")," REF")</f>
        <v>REF</v>
      </c>
      <c r="AR366" s="71" t="str">
        <f>IFERROR(__xludf.DUMMYFUNCTION("""COMPUTED_VALUE""")," CATARINA 42B17 E.15/16""")</f>
        <v>CATARINA 42B17 E.15/16"</v>
      </c>
      <c r="AS366" s="71" t="str">
        <f>IFERROR(__xludf.DUMMYFUNCTION("""COMPUTED_VALUE""")," CATARINA 42B17 E.15/16""")</f>
        <v>CATARINA 42B17 E.15/16"</v>
      </c>
      <c r="AT366" s="71">
        <f>IFERROR(__xludf.DUMMYFUNCTION("""COMPUTED_VALUE"""),23.0)</f>
        <v>23</v>
      </c>
      <c r="AU366" s="71"/>
      <c r="AV366" s="71"/>
      <c r="AW366" s="71"/>
      <c r="AX366" s="71"/>
      <c r="AY366" s="71">
        <f>IFERROR(__xludf.DUMMYFUNCTION("""COMPUTED_VALUE"""),149.0)</f>
        <v>149</v>
      </c>
      <c r="AZ366" s="71">
        <f>IFERROR(__xludf.DUMMYFUNCTION("""COMPUTED_VALUE"""),160.0)</f>
        <v>160</v>
      </c>
      <c r="BA366" s="71">
        <f>IFERROR(__xludf.DUMMYFUNCTION("""COMPUTED_VALUE"""),85.0)</f>
        <v>85</v>
      </c>
      <c r="BB366" s="71">
        <f>IFERROR(__xludf.DUMMYFUNCTION("""COMPUTED_VALUE"""),85.0)</f>
        <v>85</v>
      </c>
      <c r="BC366" s="71">
        <f>IFERROR(__xludf.DUMMYFUNCTION("""COMPUTED_VALUE"""),121.0)</f>
        <v>121</v>
      </c>
      <c r="BD366" s="71">
        <f>IFERROR(__xludf.DUMMYFUNCTION("""COMPUTED_VALUE"""),127.0)</f>
        <v>127</v>
      </c>
      <c r="BE366" s="71">
        <f>IFERROR(__xludf.DUMMYFUNCTION("""COMPUTED_VALUE"""),20.32)</f>
        <v>20.32</v>
      </c>
      <c r="BF366" s="71">
        <f>IFERROR(__xludf.DUMMYFUNCTION("""COMPUTED_VALUE"""),147.32)</f>
        <v>147.32</v>
      </c>
      <c r="BG366" s="71">
        <f>IFERROR(__xludf.DUMMYFUNCTION("""COMPUTED_VALUE"""),0.049586776859504134)</f>
        <v>0.04958677686</v>
      </c>
      <c r="BH366" s="71">
        <f>IFERROR(__xludf.DUMMYFUNCTION("""COMPUTED_VALUE"""),120.64999999999999)</f>
        <v>120.65</v>
      </c>
      <c r="BI366" s="71">
        <f>IFERROR(__xludf.DUMMYFUNCTION("""COMPUTED_VALUE"""),19.304)</f>
        <v>19.304</v>
      </c>
      <c r="BJ366" s="71">
        <f>IFERROR(__xludf.DUMMYFUNCTION("""COMPUTED_VALUE"""),139.95399999999998)</f>
        <v>139.954</v>
      </c>
      <c r="BK366" s="71">
        <f>IFERROR(__xludf.DUMMYFUNCTION("""COMPUTED_VALUE"""),114.3)</f>
        <v>114.3</v>
      </c>
      <c r="BL366" s="71">
        <f>IFERROR(__xludf.DUMMYFUNCTION("""COMPUTED_VALUE"""),18.288)</f>
        <v>18.288</v>
      </c>
      <c r="BM366" s="71">
        <f>IFERROR(__xludf.DUMMYFUNCTION("""COMPUTED_VALUE"""),132.588)</f>
        <v>132.588</v>
      </c>
      <c r="BN366" s="71">
        <f>IFERROR(__xludf.DUMMYFUNCTION("""COMPUTED_VALUE"""),107.95)</f>
        <v>107.95</v>
      </c>
      <c r="BO366" s="71">
        <f>IFERROR(__xludf.DUMMYFUNCTION("""COMPUTED_VALUE"""),17.272000000000002)</f>
        <v>17.272</v>
      </c>
      <c r="BP366" s="71">
        <f>IFERROR(__xludf.DUMMYFUNCTION("""COMPUTED_VALUE"""),125.22200000000001)</f>
        <v>125.222</v>
      </c>
      <c r="BQ366" s="71">
        <f>IFERROR(__xludf.DUMMYFUNCTION("""COMPUTED_VALUE"""),105.41)</f>
        <v>105.41</v>
      </c>
      <c r="BR366" s="71">
        <f>IFERROR(__xludf.DUMMYFUNCTION("""COMPUTED_VALUE"""),16.8656)</f>
        <v>16.8656</v>
      </c>
      <c r="BS366" s="71">
        <f>IFERROR(__xludf.DUMMYFUNCTION("""COMPUTED_VALUE"""),122.2756)</f>
        <v>122.2756</v>
      </c>
      <c r="BT366" s="71">
        <f>IFERROR(__xludf.DUMMYFUNCTION("""COMPUTED_VALUE"""),101.60000000000001)</f>
        <v>101.6</v>
      </c>
      <c r="BU366" s="71">
        <f>IFERROR(__xludf.DUMMYFUNCTION("""COMPUTED_VALUE"""),16.256)</f>
        <v>16.256</v>
      </c>
      <c r="BV366" s="71">
        <f>IFERROR(__xludf.DUMMYFUNCTION("""COMPUTED_VALUE"""),117.85600000000001)</f>
        <v>117.856</v>
      </c>
    </row>
    <row r="367">
      <c r="A367" s="53">
        <v>1.0</v>
      </c>
      <c r="B367" s="72"/>
      <c r="C367" s="73" t="s">
        <v>53</v>
      </c>
      <c r="D367" s="74" t="s">
        <v>935</v>
      </c>
      <c r="E367" s="54" t="s">
        <v>38</v>
      </c>
      <c r="F367" s="54" t="s">
        <v>42</v>
      </c>
      <c r="G367" s="88" t="s">
        <v>936</v>
      </c>
      <c r="H367" s="54" t="s">
        <v>937</v>
      </c>
      <c r="I367" s="54">
        <f t="shared" si="1"/>
        <v>40</v>
      </c>
      <c r="J367" s="56"/>
      <c r="K367" s="75"/>
      <c r="L367" s="76"/>
      <c r="M367" s="59"/>
      <c r="N367" s="60">
        <v>266.0</v>
      </c>
      <c r="O367" s="61">
        <v>358.0</v>
      </c>
      <c r="P367" s="62">
        <v>386.64000000000004</v>
      </c>
      <c r="Q367" s="63">
        <v>386.64000000000004</v>
      </c>
      <c r="R367" s="64">
        <v>488.0</v>
      </c>
      <c r="S367" s="111">
        <v>512.0</v>
      </c>
      <c r="T367" s="65">
        <f t="shared" si="2"/>
        <v>81.92</v>
      </c>
      <c r="U367" s="65">
        <f t="shared" si="3"/>
        <v>593.92</v>
      </c>
      <c r="V367" s="66">
        <f t="shared" si="4"/>
        <v>0.04918032787</v>
      </c>
      <c r="W367" s="67">
        <f t="shared" si="5"/>
        <v>486.4</v>
      </c>
      <c r="X367" s="67">
        <f t="shared" si="6"/>
        <v>77.824</v>
      </c>
      <c r="Y367" s="67">
        <f t="shared" si="7"/>
        <v>564.224</v>
      </c>
      <c r="Z367" s="67">
        <f t="shared" si="8"/>
        <v>460.8</v>
      </c>
      <c r="AA367" s="67">
        <f t="shared" si="9"/>
        <v>73.728</v>
      </c>
      <c r="AB367" s="67">
        <f t="shared" si="10"/>
        <v>534.528</v>
      </c>
      <c r="AC367" s="67">
        <f t="shared" si="11"/>
        <v>435.2</v>
      </c>
      <c r="AD367" s="67">
        <f t="shared" si="12"/>
        <v>69.632</v>
      </c>
      <c r="AE367" s="67">
        <f t="shared" si="13"/>
        <v>504.832</v>
      </c>
      <c r="AF367" s="67">
        <f t="shared" si="14"/>
        <v>424.96</v>
      </c>
      <c r="AG367" s="67">
        <f t="shared" si="15"/>
        <v>67.9936</v>
      </c>
      <c r="AH367" s="67">
        <f t="shared" si="16"/>
        <v>492.9536</v>
      </c>
      <c r="AI367" s="67">
        <f t="shared" si="17"/>
        <v>409.6</v>
      </c>
      <c r="AJ367" s="68">
        <f t="shared" si="20"/>
        <v>65.536</v>
      </c>
      <c r="AK367" s="68">
        <f t="shared" si="21"/>
        <v>475.136</v>
      </c>
      <c r="AL367" s="70">
        <f>IFERROR(__xludf.DUMMYFUNCTION("""COMPUTED_VALUE"""),1.0)</f>
        <v>1</v>
      </c>
      <c r="AM367" s="70"/>
      <c r="AN367" s="71" t="str">
        <f>IFERROR(__xludf.DUMMYFUNCTION("""COMPUTED_VALUE""")," CP")</f>
        <v>CP</v>
      </c>
      <c r="AO367" s="71" t="str">
        <f>IFERROR(__xludf.DUMMYFUNCTION("""COMPUTED_VALUE""")," CA32")</f>
        <v>CA32</v>
      </c>
      <c r="AP367" s="71" t="str">
        <f>IFERROR(__xludf.DUMMYFUNCTION("""COMPUTED_VALUE""")," PZA")</f>
        <v>PZA</v>
      </c>
      <c r="AQ367" s="71" t="str">
        <f>IFERROR(__xludf.DUMMYFUNCTION("""COMPUTED_VALUE""")," REF")</f>
        <v>REF</v>
      </c>
      <c r="AR367" s="71" t="str">
        <f>IFERROR(__xludf.DUMMYFUNCTION("""COMPUTED_VALUE""")," CATARINA 42B17 E.3/4""")</f>
        <v>CATARINA 42B17 E.3/4"</v>
      </c>
      <c r="AS367" s="71" t="str">
        <f>IFERROR(__xludf.DUMMYFUNCTION("""COMPUTED_VALUE""")," CATARINA 42B17 E.3/4""")</f>
        <v>CATARINA 42B17 E.3/4"</v>
      </c>
      <c r="AT367" s="71">
        <f>IFERROR(__xludf.DUMMYFUNCTION("""COMPUTED_VALUE"""),21.0)</f>
        <v>21</v>
      </c>
      <c r="AU367" s="71"/>
      <c r="AV367" s="71"/>
      <c r="AW367" s="71"/>
      <c r="AX367" s="71"/>
      <c r="AY367" s="71">
        <f>IFERROR(__xludf.DUMMYFUNCTION("""COMPUTED_VALUE"""),151.0)</f>
        <v>151</v>
      </c>
      <c r="AZ367" s="71">
        <f>IFERROR(__xludf.DUMMYFUNCTION("""COMPUTED_VALUE"""),160.0)</f>
        <v>160</v>
      </c>
      <c r="BA367" s="71">
        <f>IFERROR(__xludf.DUMMYFUNCTION("""COMPUTED_VALUE"""),85.0)</f>
        <v>85</v>
      </c>
      <c r="BB367" s="71">
        <f>IFERROR(__xludf.DUMMYFUNCTION("""COMPUTED_VALUE"""),85.0)</f>
        <v>85</v>
      </c>
      <c r="BC367" s="71">
        <f>IFERROR(__xludf.DUMMYFUNCTION("""COMPUTED_VALUE"""),127.0)</f>
        <v>127</v>
      </c>
      <c r="BD367" s="71">
        <f>IFERROR(__xludf.DUMMYFUNCTION("""COMPUTED_VALUE"""),133.0)</f>
        <v>133</v>
      </c>
      <c r="BE367" s="71">
        <f>IFERROR(__xludf.DUMMYFUNCTION("""COMPUTED_VALUE"""),21.28)</f>
        <v>21.28</v>
      </c>
      <c r="BF367" s="71">
        <f>IFERROR(__xludf.DUMMYFUNCTION("""COMPUTED_VALUE"""),154.28)</f>
        <v>154.28</v>
      </c>
      <c r="BG367" s="71">
        <f>IFERROR(__xludf.DUMMYFUNCTION("""COMPUTED_VALUE"""),0.047244094488188976)</f>
        <v>0.04724409449</v>
      </c>
      <c r="BH367" s="71">
        <f>IFERROR(__xludf.DUMMYFUNCTION("""COMPUTED_VALUE"""),126.35)</f>
        <v>126.35</v>
      </c>
      <c r="BI367" s="71">
        <f>IFERROR(__xludf.DUMMYFUNCTION("""COMPUTED_VALUE"""),20.216)</f>
        <v>20.216</v>
      </c>
      <c r="BJ367" s="71">
        <f>IFERROR(__xludf.DUMMYFUNCTION("""COMPUTED_VALUE"""),146.566)</f>
        <v>146.566</v>
      </c>
      <c r="BK367" s="71">
        <f>IFERROR(__xludf.DUMMYFUNCTION("""COMPUTED_VALUE"""),119.7)</f>
        <v>119.7</v>
      </c>
      <c r="BL367" s="71">
        <f>IFERROR(__xludf.DUMMYFUNCTION("""COMPUTED_VALUE"""),19.152)</f>
        <v>19.152</v>
      </c>
      <c r="BM367" s="71">
        <f>IFERROR(__xludf.DUMMYFUNCTION("""COMPUTED_VALUE"""),138.852)</f>
        <v>138.852</v>
      </c>
      <c r="BN367" s="71">
        <f>IFERROR(__xludf.DUMMYFUNCTION("""COMPUTED_VALUE"""),113.05)</f>
        <v>113.05</v>
      </c>
      <c r="BO367" s="71">
        <f>IFERROR(__xludf.DUMMYFUNCTION("""COMPUTED_VALUE"""),18.088)</f>
        <v>18.088</v>
      </c>
      <c r="BP367" s="71">
        <f>IFERROR(__xludf.DUMMYFUNCTION("""COMPUTED_VALUE"""),131.138)</f>
        <v>131.138</v>
      </c>
      <c r="BQ367" s="71">
        <f>IFERROR(__xludf.DUMMYFUNCTION("""COMPUTED_VALUE"""),110.39)</f>
        <v>110.39</v>
      </c>
      <c r="BR367" s="71">
        <f>IFERROR(__xludf.DUMMYFUNCTION("""COMPUTED_VALUE"""),17.6624)</f>
        <v>17.6624</v>
      </c>
      <c r="BS367" s="71">
        <f>IFERROR(__xludf.DUMMYFUNCTION("""COMPUTED_VALUE"""),128.0524)</f>
        <v>128.0524</v>
      </c>
      <c r="BT367" s="71">
        <f>IFERROR(__xludf.DUMMYFUNCTION("""COMPUTED_VALUE"""),106.4)</f>
        <v>106.4</v>
      </c>
      <c r="BU367" s="71">
        <f>IFERROR(__xludf.DUMMYFUNCTION("""COMPUTED_VALUE"""),17.024)</f>
        <v>17.024</v>
      </c>
      <c r="BV367" s="71">
        <f>IFERROR(__xludf.DUMMYFUNCTION("""COMPUTED_VALUE"""),123.424)</f>
        <v>123.424</v>
      </c>
    </row>
    <row r="368">
      <c r="A368" s="53">
        <v>1.0</v>
      </c>
      <c r="B368" s="72"/>
      <c r="C368" s="73" t="s">
        <v>53</v>
      </c>
      <c r="D368" s="74" t="s">
        <v>938</v>
      </c>
      <c r="E368" s="54" t="s">
        <v>38</v>
      </c>
      <c r="F368" s="54" t="s">
        <v>42</v>
      </c>
      <c r="G368" s="88" t="s">
        <v>939</v>
      </c>
      <c r="H368" s="54" t="s">
        <v>940</v>
      </c>
      <c r="I368" s="54">
        <f t="shared" si="1"/>
        <v>39</v>
      </c>
      <c r="J368" s="56"/>
      <c r="K368" s="75"/>
      <c r="L368" s="76"/>
      <c r="M368" s="59"/>
      <c r="N368" s="60">
        <v>380.0</v>
      </c>
      <c r="O368" s="61">
        <v>488.0</v>
      </c>
      <c r="P368" s="62">
        <v>527.0400000000001</v>
      </c>
      <c r="Q368" s="63">
        <v>527.0400000000001</v>
      </c>
      <c r="R368" s="64">
        <v>665.0</v>
      </c>
      <c r="S368" s="111">
        <v>698.0</v>
      </c>
      <c r="T368" s="65">
        <f t="shared" si="2"/>
        <v>111.68</v>
      </c>
      <c r="U368" s="65">
        <f t="shared" si="3"/>
        <v>809.68</v>
      </c>
      <c r="V368" s="66">
        <f t="shared" si="4"/>
        <v>0.04962406015</v>
      </c>
      <c r="W368" s="67">
        <f t="shared" si="5"/>
        <v>663.1</v>
      </c>
      <c r="X368" s="67">
        <f t="shared" si="6"/>
        <v>106.096</v>
      </c>
      <c r="Y368" s="67">
        <f t="shared" si="7"/>
        <v>769.196</v>
      </c>
      <c r="Z368" s="67">
        <f t="shared" si="8"/>
        <v>628.2</v>
      </c>
      <c r="AA368" s="67">
        <f t="shared" si="9"/>
        <v>100.512</v>
      </c>
      <c r="AB368" s="67">
        <f t="shared" si="10"/>
        <v>728.712</v>
      </c>
      <c r="AC368" s="67">
        <f t="shared" si="11"/>
        <v>593.3</v>
      </c>
      <c r="AD368" s="67">
        <f t="shared" si="12"/>
        <v>94.928</v>
      </c>
      <c r="AE368" s="67">
        <f t="shared" si="13"/>
        <v>688.228</v>
      </c>
      <c r="AF368" s="67">
        <f t="shared" si="14"/>
        <v>579.34</v>
      </c>
      <c r="AG368" s="67">
        <f t="shared" si="15"/>
        <v>92.6944</v>
      </c>
      <c r="AH368" s="67">
        <f t="shared" si="16"/>
        <v>672.0344</v>
      </c>
      <c r="AI368" s="67">
        <f t="shared" si="17"/>
        <v>558.4</v>
      </c>
      <c r="AJ368" s="68">
        <f t="shared" si="20"/>
        <v>89.344</v>
      </c>
      <c r="AK368" s="68">
        <f t="shared" si="21"/>
        <v>647.744</v>
      </c>
      <c r="AL368" s="70">
        <f>IFERROR(__xludf.DUMMYFUNCTION("""COMPUTED_VALUE"""),1.0)</f>
        <v>1</v>
      </c>
      <c r="AM368" s="70"/>
      <c r="AN368" s="71" t="str">
        <f>IFERROR(__xludf.DUMMYFUNCTION("""COMPUTED_VALUE""")," CP")</f>
        <v>CP</v>
      </c>
      <c r="AO368" s="71" t="str">
        <f>IFERROR(__xludf.DUMMYFUNCTION("""COMPUTED_VALUE""")," CA43")</f>
        <v>CA43</v>
      </c>
      <c r="AP368" s="71" t="str">
        <f>IFERROR(__xludf.DUMMYFUNCTION("""COMPUTED_VALUE""")," PZA")</f>
        <v>PZA</v>
      </c>
      <c r="AQ368" s="71" t="str">
        <f>IFERROR(__xludf.DUMMYFUNCTION("""COMPUTED_VALUE""")," REF")</f>
        <v>REF</v>
      </c>
      <c r="AR368" s="71" t="str">
        <f>IFERROR(__xludf.DUMMYFUNCTION("""COMPUTED_VALUE""")," CATARINA 42B18 E.15/16""")</f>
        <v>CATARINA 42B18 E.15/16"</v>
      </c>
      <c r="AS368" s="71" t="str">
        <f>IFERROR(__xludf.DUMMYFUNCTION("""COMPUTED_VALUE""")," CATARINA 42B18 E.15/16""")</f>
        <v>CATARINA 42B18 E.15/16"</v>
      </c>
      <c r="AT368" s="71">
        <f>IFERROR(__xludf.DUMMYFUNCTION("""COMPUTED_VALUE"""),23.0)</f>
        <v>23</v>
      </c>
      <c r="AU368" s="71"/>
      <c r="AV368" s="71"/>
      <c r="AW368" s="71"/>
      <c r="AX368" s="71"/>
      <c r="AY368" s="71">
        <f>IFERROR(__xludf.DUMMYFUNCTION("""COMPUTED_VALUE"""),162.0)</f>
        <v>162</v>
      </c>
      <c r="AZ368" s="71">
        <f>IFERROR(__xludf.DUMMYFUNCTION("""COMPUTED_VALUE"""),174.0)</f>
        <v>174</v>
      </c>
      <c r="BA368" s="71">
        <f>IFERROR(__xludf.DUMMYFUNCTION("""COMPUTED_VALUE"""),90.0)</f>
        <v>90</v>
      </c>
      <c r="BB368" s="71">
        <f>IFERROR(__xludf.DUMMYFUNCTION("""COMPUTED_VALUE"""),90.0)</f>
        <v>90</v>
      </c>
      <c r="BC368" s="71">
        <f>IFERROR(__xludf.DUMMYFUNCTION("""COMPUTED_VALUE"""),127.0)</f>
        <v>127</v>
      </c>
      <c r="BD368" s="71">
        <f>IFERROR(__xludf.DUMMYFUNCTION("""COMPUTED_VALUE"""),133.0)</f>
        <v>133</v>
      </c>
      <c r="BE368" s="71">
        <f>IFERROR(__xludf.DUMMYFUNCTION("""COMPUTED_VALUE"""),21.28)</f>
        <v>21.28</v>
      </c>
      <c r="BF368" s="71">
        <f>IFERROR(__xludf.DUMMYFUNCTION("""COMPUTED_VALUE"""),154.28)</f>
        <v>154.28</v>
      </c>
      <c r="BG368" s="71">
        <f>IFERROR(__xludf.DUMMYFUNCTION("""COMPUTED_VALUE"""),0.047244094488188976)</f>
        <v>0.04724409449</v>
      </c>
      <c r="BH368" s="71">
        <f>IFERROR(__xludf.DUMMYFUNCTION("""COMPUTED_VALUE"""),126.35)</f>
        <v>126.35</v>
      </c>
      <c r="BI368" s="71">
        <f>IFERROR(__xludf.DUMMYFUNCTION("""COMPUTED_VALUE"""),20.216)</f>
        <v>20.216</v>
      </c>
      <c r="BJ368" s="71">
        <f>IFERROR(__xludf.DUMMYFUNCTION("""COMPUTED_VALUE"""),146.566)</f>
        <v>146.566</v>
      </c>
      <c r="BK368" s="71">
        <f>IFERROR(__xludf.DUMMYFUNCTION("""COMPUTED_VALUE"""),119.7)</f>
        <v>119.7</v>
      </c>
      <c r="BL368" s="71">
        <f>IFERROR(__xludf.DUMMYFUNCTION("""COMPUTED_VALUE"""),19.152)</f>
        <v>19.152</v>
      </c>
      <c r="BM368" s="71">
        <f>IFERROR(__xludf.DUMMYFUNCTION("""COMPUTED_VALUE"""),138.852)</f>
        <v>138.852</v>
      </c>
      <c r="BN368" s="71">
        <f>IFERROR(__xludf.DUMMYFUNCTION("""COMPUTED_VALUE"""),113.05)</f>
        <v>113.05</v>
      </c>
      <c r="BO368" s="71">
        <f>IFERROR(__xludf.DUMMYFUNCTION("""COMPUTED_VALUE"""),18.088)</f>
        <v>18.088</v>
      </c>
      <c r="BP368" s="71">
        <f>IFERROR(__xludf.DUMMYFUNCTION("""COMPUTED_VALUE"""),131.138)</f>
        <v>131.138</v>
      </c>
      <c r="BQ368" s="71">
        <f>IFERROR(__xludf.DUMMYFUNCTION("""COMPUTED_VALUE"""),110.39)</f>
        <v>110.39</v>
      </c>
      <c r="BR368" s="71">
        <f>IFERROR(__xludf.DUMMYFUNCTION("""COMPUTED_VALUE"""),17.6624)</f>
        <v>17.6624</v>
      </c>
      <c r="BS368" s="71">
        <f>IFERROR(__xludf.DUMMYFUNCTION("""COMPUTED_VALUE"""),128.0524)</f>
        <v>128.0524</v>
      </c>
      <c r="BT368" s="71">
        <f>IFERROR(__xludf.DUMMYFUNCTION("""COMPUTED_VALUE"""),106.4)</f>
        <v>106.4</v>
      </c>
      <c r="BU368" s="71">
        <f>IFERROR(__xludf.DUMMYFUNCTION("""COMPUTED_VALUE"""),17.024)</f>
        <v>17.024</v>
      </c>
      <c r="BV368" s="71">
        <f>IFERROR(__xludf.DUMMYFUNCTION("""COMPUTED_VALUE"""),123.424)</f>
        <v>123.424</v>
      </c>
    </row>
    <row r="369">
      <c r="A369" s="53">
        <v>1.0</v>
      </c>
      <c r="B369" s="72"/>
      <c r="C369" s="73" t="s">
        <v>53</v>
      </c>
      <c r="D369" s="74" t="s">
        <v>941</v>
      </c>
      <c r="E369" s="54" t="s">
        <v>38</v>
      </c>
      <c r="F369" s="54" t="s">
        <v>42</v>
      </c>
      <c r="G369" s="88" t="s">
        <v>942</v>
      </c>
      <c r="H369" s="54" t="s">
        <v>943</v>
      </c>
      <c r="I369" s="54">
        <f t="shared" si="1"/>
        <v>40</v>
      </c>
      <c r="J369" s="56"/>
      <c r="K369" s="75"/>
      <c r="L369" s="76"/>
      <c r="M369" s="59"/>
      <c r="N369" s="60">
        <v>380.0</v>
      </c>
      <c r="O369" s="61">
        <v>488.0</v>
      </c>
      <c r="P369" s="62">
        <v>527.0400000000001</v>
      </c>
      <c r="Q369" s="63">
        <v>527.0400000000001</v>
      </c>
      <c r="R369" s="64">
        <v>665.0</v>
      </c>
      <c r="S369" s="111">
        <v>698.0</v>
      </c>
      <c r="T369" s="65">
        <f t="shared" si="2"/>
        <v>111.68</v>
      </c>
      <c r="U369" s="65">
        <f t="shared" si="3"/>
        <v>809.68</v>
      </c>
      <c r="V369" s="66">
        <f t="shared" si="4"/>
        <v>0.04962406015</v>
      </c>
      <c r="W369" s="67">
        <f t="shared" si="5"/>
        <v>663.1</v>
      </c>
      <c r="X369" s="67">
        <f t="shared" si="6"/>
        <v>106.096</v>
      </c>
      <c r="Y369" s="67">
        <f t="shared" si="7"/>
        <v>769.196</v>
      </c>
      <c r="Z369" s="67">
        <f t="shared" si="8"/>
        <v>628.2</v>
      </c>
      <c r="AA369" s="67">
        <f t="shared" si="9"/>
        <v>100.512</v>
      </c>
      <c r="AB369" s="67">
        <f t="shared" si="10"/>
        <v>728.712</v>
      </c>
      <c r="AC369" s="67">
        <f t="shared" si="11"/>
        <v>593.3</v>
      </c>
      <c r="AD369" s="67">
        <f t="shared" si="12"/>
        <v>94.928</v>
      </c>
      <c r="AE369" s="67">
        <f t="shared" si="13"/>
        <v>688.228</v>
      </c>
      <c r="AF369" s="67">
        <f t="shared" si="14"/>
        <v>579.34</v>
      </c>
      <c r="AG369" s="67">
        <f t="shared" si="15"/>
        <v>92.6944</v>
      </c>
      <c r="AH369" s="67">
        <f t="shared" si="16"/>
        <v>672.0344</v>
      </c>
      <c r="AI369" s="67">
        <f t="shared" si="17"/>
        <v>558.4</v>
      </c>
      <c r="AJ369" s="68">
        <f t="shared" si="20"/>
        <v>89.344</v>
      </c>
      <c r="AK369" s="68">
        <f t="shared" si="21"/>
        <v>647.744</v>
      </c>
      <c r="AL369" s="70">
        <f>IFERROR(__xludf.DUMMYFUNCTION("""COMPUTED_VALUE"""),1.0)</f>
        <v>1</v>
      </c>
      <c r="AM369" s="70"/>
      <c r="AN369" s="71" t="str">
        <f>IFERROR(__xludf.DUMMYFUNCTION("""COMPUTED_VALUE""")," CP")</f>
        <v>CP</v>
      </c>
      <c r="AO369" s="71" t="str">
        <f>IFERROR(__xludf.DUMMYFUNCTION("""COMPUTED_VALUE""")," CA44")</f>
        <v>CA44</v>
      </c>
      <c r="AP369" s="71" t="str">
        <f>IFERROR(__xludf.DUMMYFUNCTION("""COMPUTED_VALUE""")," PZA")</f>
        <v>PZA</v>
      </c>
      <c r="AQ369" s="71" t="str">
        <f>IFERROR(__xludf.DUMMYFUNCTION("""COMPUTED_VALUE""")," REF")</f>
        <v>REF</v>
      </c>
      <c r="AR369" s="71" t="str">
        <f>IFERROR(__xludf.DUMMYFUNCTION("""COMPUTED_VALUE""")," CATARINA 42B18 E.25MM C.1/4")</f>
        <v>CATARINA 42B18 E.25MM C.1/4</v>
      </c>
      <c r="AS369" s="71" t="str">
        <f>IFERROR(__xludf.DUMMYFUNCTION("""COMPUTED_VALUE""")," CATARINA 42B18 E.25MM C.1/4")</f>
        <v>CATARINA 42B18 E.25MM C.1/4</v>
      </c>
      <c r="AT369" s="71">
        <f>IFERROR(__xludf.DUMMYFUNCTION("""COMPUTED_VALUE"""),27.0)</f>
        <v>27</v>
      </c>
      <c r="AU369" s="71"/>
      <c r="AV369" s="71"/>
      <c r="AW369" s="71"/>
      <c r="AX369" s="71"/>
      <c r="AY369" s="71">
        <f>IFERROR(__xludf.DUMMYFUNCTION("""COMPUTED_VALUE"""),162.0)</f>
        <v>162</v>
      </c>
      <c r="AZ369" s="71">
        <f>IFERROR(__xludf.DUMMYFUNCTION("""COMPUTED_VALUE"""),174.0)</f>
        <v>174</v>
      </c>
      <c r="BA369" s="71">
        <f>IFERROR(__xludf.DUMMYFUNCTION("""COMPUTED_VALUE"""),95.0)</f>
        <v>95</v>
      </c>
      <c r="BB369" s="71">
        <f>IFERROR(__xludf.DUMMYFUNCTION("""COMPUTED_VALUE"""),95.0)</f>
        <v>95</v>
      </c>
      <c r="BC369" s="71">
        <f>IFERROR(__xludf.DUMMYFUNCTION("""COMPUTED_VALUE"""),127.0)</f>
        <v>127</v>
      </c>
      <c r="BD369" s="71">
        <f>IFERROR(__xludf.DUMMYFUNCTION("""COMPUTED_VALUE"""),133.0)</f>
        <v>133</v>
      </c>
      <c r="BE369" s="71">
        <f>IFERROR(__xludf.DUMMYFUNCTION("""COMPUTED_VALUE"""),21.28)</f>
        <v>21.28</v>
      </c>
      <c r="BF369" s="71">
        <f>IFERROR(__xludf.DUMMYFUNCTION("""COMPUTED_VALUE"""),154.28)</f>
        <v>154.28</v>
      </c>
      <c r="BG369" s="71">
        <f>IFERROR(__xludf.DUMMYFUNCTION("""COMPUTED_VALUE"""),0.047244094488188976)</f>
        <v>0.04724409449</v>
      </c>
      <c r="BH369" s="71">
        <f>IFERROR(__xludf.DUMMYFUNCTION("""COMPUTED_VALUE"""),126.35)</f>
        <v>126.35</v>
      </c>
      <c r="BI369" s="71">
        <f>IFERROR(__xludf.DUMMYFUNCTION("""COMPUTED_VALUE"""),20.216)</f>
        <v>20.216</v>
      </c>
      <c r="BJ369" s="71">
        <f>IFERROR(__xludf.DUMMYFUNCTION("""COMPUTED_VALUE"""),146.566)</f>
        <v>146.566</v>
      </c>
      <c r="BK369" s="71">
        <f>IFERROR(__xludf.DUMMYFUNCTION("""COMPUTED_VALUE"""),119.7)</f>
        <v>119.7</v>
      </c>
      <c r="BL369" s="71">
        <f>IFERROR(__xludf.DUMMYFUNCTION("""COMPUTED_VALUE"""),19.152)</f>
        <v>19.152</v>
      </c>
      <c r="BM369" s="71">
        <f>IFERROR(__xludf.DUMMYFUNCTION("""COMPUTED_VALUE"""),138.852)</f>
        <v>138.852</v>
      </c>
      <c r="BN369" s="71">
        <f>IFERROR(__xludf.DUMMYFUNCTION("""COMPUTED_VALUE"""),113.05)</f>
        <v>113.05</v>
      </c>
      <c r="BO369" s="71">
        <f>IFERROR(__xludf.DUMMYFUNCTION("""COMPUTED_VALUE"""),18.088)</f>
        <v>18.088</v>
      </c>
      <c r="BP369" s="71">
        <f>IFERROR(__xludf.DUMMYFUNCTION("""COMPUTED_VALUE"""),131.138)</f>
        <v>131.138</v>
      </c>
      <c r="BQ369" s="71">
        <f>IFERROR(__xludf.DUMMYFUNCTION("""COMPUTED_VALUE"""),110.39)</f>
        <v>110.39</v>
      </c>
      <c r="BR369" s="71">
        <f>IFERROR(__xludf.DUMMYFUNCTION("""COMPUTED_VALUE"""),17.6624)</f>
        <v>17.6624</v>
      </c>
      <c r="BS369" s="71">
        <f>IFERROR(__xludf.DUMMYFUNCTION("""COMPUTED_VALUE"""),128.0524)</f>
        <v>128.0524</v>
      </c>
      <c r="BT369" s="71">
        <f>IFERROR(__xludf.DUMMYFUNCTION("""COMPUTED_VALUE"""),106.4)</f>
        <v>106.4</v>
      </c>
      <c r="BU369" s="71">
        <f>IFERROR(__xludf.DUMMYFUNCTION("""COMPUTED_VALUE"""),17.024)</f>
        <v>17.024</v>
      </c>
      <c r="BV369" s="71">
        <f>IFERROR(__xludf.DUMMYFUNCTION("""COMPUTED_VALUE"""),123.424)</f>
        <v>123.424</v>
      </c>
    </row>
    <row r="370">
      <c r="A370" s="53">
        <v>1.0</v>
      </c>
      <c r="B370" s="53"/>
      <c r="C370" s="73" t="s">
        <v>53</v>
      </c>
      <c r="D370" s="74" t="s">
        <v>944</v>
      </c>
      <c r="E370" s="55" t="s">
        <v>38</v>
      </c>
      <c r="F370" s="54" t="s">
        <v>42</v>
      </c>
      <c r="G370" s="55" t="s">
        <v>945</v>
      </c>
      <c r="H370" s="54" t="s">
        <v>946</v>
      </c>
      <c r="I370" s="54">
        <f t="shared" si="1"/>
        <v>40</v>
      </c>
      <c r="J370" s="56"/>
      <c r="K370" s="75"/>
      <c r="L370" s="76"/>
      <c r="M370" s="59"/>
      <c r="N370" s="60">
        <v>753.0</v>
      </c>
      <c r="O370" s="61">
        <v>813.0</v>
      </c>
      <c r="P370" s="62">
        <v>1581.12</v>
      </c>
      <c r="Q370" s="63">
        <v>1581.12</v>
      </c>
      <c r="R370" s="64">
        <v>1937.0</v>
      </c>
      <c r="S370" s="111">
        <v>2034.0</v>
      </c>
      <c r="T370" s="65">
        <f t="shared" si="2"/>
        <v>325.44</v>
      </c>
      <c r="U370" s="65">
        <f t="shared" si="3"/>
        <v>2359.44</v>
      </c>
      <c r="V370" s="66">
        <f t="shared" si="4"/>
        <v>0.05007743934</v>
      </c>
      <c r="W370" s="67">
        <f t="shared" si="5"/>
        <v>1932.3</v>
      </c>
      <c r="X370" s="67">
        <f t="shared" si="6"/>
        <v>309.168</v>
      </c>
      <c r="Y370" s="67">
        <f t="shared" si="7"/>
        <v>2241.468</v>
      </c>
      <c r="Z370" s="67">
        <f t="shared" si="8"/>
        <v>1830.6</v>
      </c>
      <c r="AA370" s="67">
        <f t="shared" si="9"/>
        <v>292.896</v>
      </c>
      <c r="AB370" s="67">
        <f t="shared" si="10"/>
        <v>2123.496</v>
      </c>
      <c r="AC370" s="67">
        <f t="shared" si="11"/>
        <v>1728.9</v>
      </c>
      <c r="AD370" s="67">
        <f t="shared" si="12"/>
        <v>276.624</v>
      </c>
      <c r="AE370" s="67">
        <f t="shared" si="13"/>
        <v>2005.524</v>
      </c>
      <c r="AF370" s="67">
        <f t="shared" si="14"/>
        <v>1688.22</v>
      </c>
      <c r="AG370" s="67">
        <f t="shared" si="15"/>
        <v>270.1152</v>
      </c>
      <c r="AH370" s="67">
        <f t="shared" si="16"/>
        <v>1958.3352</v>
      </c>
      <c r="AI370" s="67">
        <f t="shared" si="17"/>
        <v>1627.2</v>
      </c>
      <c r="AJ370" s="68">
        <f t="shared" si="20"/>
        <v>260.352</v>
      </c>
      <c r="AK370" s="68">
        <f t="shared" si="21"/>
        <v>1887.552</v>
      </c>
      <c r="AL370" s="70">
        <f>IFERROR(__xludf.DUMMYFUNCTION("""COMPUTED_VALUE"""),1.0)</f>
        <v>1</v>
      </c>
      <c r="AM370" s="70"/>
      <c r="AN370" s="71" t="str">
        <f>IFERROR(__xludf.DUMMYFUNCTION("""COMPUTED_VALUE""")," CP")</f>
        <v>CP</v>
      </c>
      <c r="AO370" s="71" t="str">
        <f>IFERROR(__xludf.DUMMYFUNCTION("""COMPUTED_VALUE""")," CA45")</f>
        <v>CA45</v>
      </c>
      <c r="AP370" s="71" t="str">
        <f>IFERROR(__xludf.DUMMYFUNCTION("""COMPUTED_VALUE""")," PZA")</f>
        <v>PZA</v>
      </c>
      <c r="AQ370" s="71" t="str">
        <f>IFERROR(__xludf.DUMMYFUNCTION("""COMPUTED_VALUE""")," REF")</f>
        <v>REF</v>
      </c>
      <c r="AR370" s="71" t="str">
        <f>IFERROR(__xludf.DUMMYFUNCTION("""COMPUTED_VALUE""")," CATARINA 42B18 E.3/4""")</f>
        <v>CATARINA 42B18 E.3/4"</v>
      </c>
      <c r="AS370" s="71" t="str">
        <f>IFERROR(__xludf.DUMMYFUNCTION("""COMPUTED_VALUE""")," CATARINA 42B18 E.3/4""")</f>
        <v>CATARINA 42B18 E.3/4"</v>
      </c>
      <c r="AT370" s="71">
        <f>IFERROR(__xludf.DUMMYFUNCTION("""COMPUTED_VALUE"""),21.0)</f>
        <v>21</v>
      </c>
      <c r="AU370" s="71"/>
      <c r="AV370" s="71"/>
      <c r="AW370" s="71"/>
      <c r="AX370" s="71"/>
      <c r="AY370" s="71">
        <f>IFERROR(__xludf.DUMMYFUNCTION("""COMPUTED_VALUE"""),162.0)</f>
        <v>162</v>
      </c>
      <c r="AZ370" s="71">
        <f>IFERROR(__xludf.DUMMYFUNCTION("""COMPUTED_VALUE"""),174.0)</f>
        <v>174</v>
      </c>
      <c r="BA370" s="71">
        <f>IFERROR(__xludf.DUMMYFUNCTION("""COMPUTED_VALUE"""),90.0)</f>
        <v>90</v>
      </c>
      <c r="BB370" s="71">
        <f>IFERROR(__xludf.DUMMYFUNCTION("""COMPUTED_VALUE"""),90.0)</f>
        <v>90</v>
      </c>
      <c r="BC370" s="71">
        <f>IFERROR(__xludf.DUMMYFUNCTION("""COMPUTED_VALUE"""),127.0)</f>
        <v>127</v>
      </c>
      <c r="BD370" s="71">
        <f>IFERROR(__xludf.DUMMYFUNCTION("""COMPUTED_VALUE"""),133.0)</f>
        <v>133</v>
      </c>
      <c r="BE370" s="71">
        <f>IFERROR(__xludf.DUMMYFUNCTION("""COMPUTED_VALUE"""),21.28)</f>
        <v>21.28</v>
      </c>
      <c r="BF370" s="71">
        <f>IFERROR(__xludf.DUMMYFUNCTION("""COMPUTED_VALUE"""),154.28)</f>
        <v>154.28</v>
      </c>
      <c r="BG370" s="71">
        <f>IFERROR(__xludf.DUMMYFUNCTION("""COMPUTED_VALUE"""),0.047244094488188976)</f>
        <v>0.04724409449</v>
      </c>
      <c r="BH370" s="71">
        <f>IFERROR(__xludf.DUMMYFUNCTION("""COMPUTED_VALUE"""),126.35)</f>
        <v>126.35</v>
      </c>
      <c r="BI370" s="71">
        <f>IFERROR(__xludf.DUMMYFUNCTION("""COMPUTED_VALUE"""),20.216)</f>
        <v>20.216</v>
      </c>
      <c r="BJ370" s="71">
        <f>IFERROR(__xludf.DUMMYFUNCTION("""COMPUTED_VALUE"""),146.566)</f>
        <v>146.566</v>
      </c>
      <c r="BK370" s="71">
        <f>IFERROR(__xludf.DUMMYFUNCTION("""COMPUTED_VALUE"""),119.7)</f>
        <v>119.7</v>
      </c>
      <c r="BL370" s="71">
        <f>IFERROR(__xludf.DUMMYFUNCTION("""COMPUTED_VALUE"""),19.152)</f>
        <v>19.152</v>
      </c>
      <c r="BM370" s="71">
        <f>IFERROR(__xludf.DUMMYFUNCTION("""COMPUTED_VALUE"""),138.852)</f>
        <v>138.852</v>
      </c>
      <c r="BN370" s="71">
        <f>IFERROR(__xludf.DUMMYFUNCTION("""COMPUTED_VALUE"""),113.05)</f>
        <v>113.05</v>
      </c>
      <c r="BO370" s="71">
        <f>IFERROR(__xludf.DUMMYFUNCTION("""COMPUTED_VALUE"""),18.088)</f>
        <v>18.088</v>
      </c>
      <c r="BP370" s="71">
        <f>IFERROR(__xludf.DUMMYFUNCTION("""COMPUTED_VALUE"""),131.138)</f>
        <v>131.138</v>
      </c>
      <c r="BQ370" s="71">
        <f>IFERROR(__xludf.DUMMYFUNCTION("""COMPUTED_VALUE"""),110.39)</f>
        <v>110.39</v>
      </c>
      <c r="BR370" s="71">
        <f>IFERROR(__xludf.DUMMYFUNCTION("""COMPUTED_VALUE"""),17.6624)</f>
        <v>17.6624</v>
      </c>
      <c r="BS370" s="71">
        <f>IFERROR(__xludf.DUMMYFUNCTION("""COMPUTED_VALUE"""),128.0524)</f>
        <v>128.0524</v>
      </c>
      <c r="BT370" s="71">
        <f>IFERROR(__xludf.DUMMYFUNCTION("""COMPUTED_VALUE"""),106.4)</f>
        <v>106.4</v>
      </c>
      <c r="BU370" s="71">
        <f>IFERROR(__xludf.DUMMYFUNCTION("""COMPUTED_VALUE"""),17.024)</f>
        <v>17.024</v>
      </c>
      <c r="BV370" s="71">
        <f>IFERROR(__xludf.DUMMYFUNCTION("""COMPUTED_VALUE"""),123.424)</f>
        <v>123.424</v>
      </c>
    </row>
    <row r="371">
      <c r="A371" s="53"/>
      <c r="B371" s="53"/>
      <c r="C371" s="53" t="s">
        <v>36</v>
      </c>
      <c r="D371" s="85" t="s">
        <v>947</v>
      </c>
      <c r="E371" s="54" t="s">
        <v>38</v>
      </c>
      <c r="F371" s="55" t="s">
        <v>39</v>
      </c>
      <c r="G371" s="86" t="s">
        <v>948</v>
      </c>
      <c r="H371" s="86" t="s">
        <v>949</v>
      </c>
      <c r="I371" s="54">
        <f t="shared" si="1"/>
        <v>40</v>
      </c>
      <c r="J371" s="56"/>
      <c r="K371" s="57"/>
      <c r="L371" s="76"/>
      <c r="M371" s="59"/>
      <c r="N371" s="60"/>
      <c r="O371" s="61">
        <v>1286.4</v>
      </c>
      <c r="P371" s="62">
        <v>1460.0</v>
      </c>
      <c r="Q371" s="63">
        <v>1460.0</v>
      </c>
      <c r="R371" s="64">
        <v>1533.0</v>
      </c>
      <c r="S371" s="107">
        <v>1610.0</v>
      </c>
      <c r="T371" s="65">
        <f t="shared" si="2"/>
        <v>257.6</v>
      </c>
      <c r="U371" s="65">
        <f t="shared" si="3"/>
        <v>1867.6</v>
      </c>
      <c r="V371" s="66">
        <f t="shared" si="4"/>
        <v>0.0502283105</v>
      </c>
      <c r="W371" s="67">
        <f t="shared" si="5"/>
        <v>1529.5</v>
      </c>
      <c r="X371" s="67">
        <f t="shared" si="6"/>
        <v>244.72</v>
      </c>
      <c r="Y371" s="67">
        <f t="shared" si="7"/>
        <v>1774.22</v>
      </c>
      <c r="Z371" s="67">
        <f t="shared" si="8"/>
        <v>1449</v>
      </c>
      <c r="AA371" s="67">
        <f t="shared" si="9"/>
        <v>231.84</v>
      </c>
      <c r="AB371" s="67">
        <f t="shared" si="10"/>
        <v>1680.84</v>
      </c>
      <c r="AC371" s="67">
        <f t="shared" si="11"/>
        <v>1368.5</v>
      </c>
      <c r="AD371" s="67">
        <f t="shared" si="12"/>
        <v>218.96</v>
      </c>
      <c r="AE371" s="67">
        <f t="shared" si="13"/>
        <v>1587.46</v>
      </c>
      <c r="AF371" s="67">
        <f t="shared" si="14"/>
        <v>1336.3</v>
      </c>
      <c r="AG371" s="67">
        <f t="shared" si="15"/>
        <v>213.808</v>
      </c>
      <c r="AH371" s="67">
        <f t="shared" si="16"/>
        <v>1550.108</v>
      </c>
      <c r="AI371" s="67">
        <f t="shared" si="17"/>
        <v>1288</v>
      </c>
      <c r="AJ371" s="68">
        <f t="shared" si="20"/>
        <v>206.08</v>
      </c>
      <c r="AK371" s="68">
        <f t="shared" si="21"/>
        <v>1494.08</v>
      </c>
      <c r="AL371" s="70">
        <f>IFERROR(__xludf.DUMMYFUNCTION("""COMPUTED_VALUE"""),1.0)</f>
        <v>1</v>
      </c>
      <c r="AM371" s="70"/>
      <c r="AN371" s="71" t="str">
        <f>IFERROR(__xludf.DUMMYFUNCTION("""COMPUTED_VALUE""")," CP")</f>
        <v>CP</v>
      </c>
      <c r="AO371" s="71" t="str">
        <f>IFERROR(__xludf.DUMMYFUNCTION("""COMPUTED_VALUE""")," CA46")</f>
        <v>CA46</v>
      </c>
      <c r="AP371" s="71" t="str">
        <f>IFERROR(__xludf.DUMMYFUNCTION("""COMPUTED_VALUE""")," PZA")</f>
        <v>PZA</v>
      </c>
      <c r="AQ371" s="71" t="str">
        <f>IFERROR(__xludf.DUMMYFUNCTION("""COMPUTED_VALUE""")," REF")</f>
        <v>REF</v>
      </c>
      <c r="AR371" s="71" t="str">
        <f>IFERROR(__xludf.DUMMYFUNCTION("""COMPUTED_VALUE""")," CATARINA 42B18 E.5/8""")</f>
        <v>CATARINA 42B18 E.5/8"</v>
      </c>
      <c r="AS371" s="71" t="str">
        <f>IFERROR(__xludf.DUMMYFUNCTION("""COMPUTED_VALUE""")," CATARINA 42B18 E.5/8""")</f>
        <v>CATARINA 42B18 E.5/8"</v>
      </c>
      <c r="AT371" s="71">
        <f>IFERROR(__xludf.DUMMYFUNCTION("""COMPUTED_VALUE"""),21.0)</f>
        <v>21</v>
      </c>
      <c r="AU371" s="71"/>
      <c r="AV371" s="71"/>
      <c r="AW371" s="71"/>
      <c r="AX371" s="71"/>
      <c r="AY371" s="71">
        <f>IFERROR(__xludf.DUMMYFUNCTION("""COMPUTED_VALUE"""),164.0)</f>
        <v>164</v>
      </c>
      <c r="AZ371" s="71">
        <f>IFERROR(__xludf.DUMMYFUNCTION("""COMPUTED_VALUE"""),175.0)</f>
        <v>175</v>
      </c>
      <c r="BA371" s="71">
        <f>IFERROR(__xludf.DUMMYFUNCTION("""COMPUTED_VALUE"""),90.0)</f>
        <v>90</v>
      </c>
      <c r="BB371" s="71">
        <f>IFERROR(__xludf.DUMMYFUNCTION("""COMPUTED_VALUE"""),90.0)</f>
        <v>90</v>
      </c>
      <c r="BC371" s="71">
        <f>IFERROR(__xludf.DUMMYFUNCTION("""COMPUTED_VALUE"""),127.0)</f>
        <v>127</v>
      </c>
      <c r="BD371" s="71">
        <f>IFERROR(__xludf.DUMMYFUNCTION("""COMPUTED_VALUE"""),133.0)</f>
        <v>133</v>
      </c>
      <c r="BE371" s="71">
        <f>IFERROR(__xludf.DUMMYFUNCTION("""COMPUTED_VALUE"""),21.28)</f>
        <v>21.28</v>
      </c>
      <c r="BF371" s="71">
        <f>IFERROR(__xludf.DUMMYFUNCTION("""COMPUTED_VALUE"""),154.28)</f>
        <v>154.28</v>
      </c>
      <c r="BG371" s="71">
        <f>IFERROR(__xludf.DUMMYFUNCTION("""COMPUTED_VALUE"""),0.047244094488188976)</f>
        <v>0.04724409449</v>
      </c>
      <c r="BH371" s="71">
        <f>IFERROR(__xludf.DUMMYFUNCTION("""COMPUTED_VALUE"""),126.35)</f>
        <v>126.35</v>
      </c>
      <c r="BI371" s="71">
        <f>IFERROR(__xludf.DUMMYFUNCTION("""COMPUTED_VALUE"""),20.216)</f>
        <v>20.216</v>
      </c>
      <c r="BJ371" s="71">
        <f>IFERROR(__xludf.DUMMYFUNCTION("""COMPUTED_VALUE"""),146.566)</f>
        <v>146.566</v>
      </c>
      <c r="BK371" s="71">
        <f>IFERROR(__xludf.DUMMYFUNCTION("""COMPUTED_VALUE"""),119.7)</f>
        <v>119.7</v>
      </c>
      <c r="BL371" s="71">
        <f>IFERROR(__xludf.DUMMYFUNCTION("""COMPUTED_VALUE"""),19.152)</f>
        <v>19.152</v>
      </c>
      <c r="BM371" s="71">
        <f>IFERROR(__xludf.DUMMYFUNCTION("""COMPUTED_VALUE"""),138.852)</f>
        <v>138.852</v>
      </c>
      <c r="BN371" s="71">
        <f>IFERROR(__xludf.DUMMYFUNCTION("""COMPUTED_VALUE"""),113.05)</f>
        <v>113.05</v>
      </c>
      <c r="BO371" s="71">
        <f>IFERROR(__xludf.DUMMYFUNCTION("""COMPUTED_VALUE"""),18.088)</f>
        <v>18.088</v>
      </c>
      <c r="BP371" s="71">
        <f>IFERROR(__xludf.DUMMYFUNCTION("""COMPUTED_VALUE"""),131.138)</f>
        <v>131.138</v>
      </c>
      <c r="BQ371" s="71">
        <f>IFERROR(__xludf.DUMMYFUNCTION("""COMPUTED_VALUE"""),110.39)</f>
        <v>110.39</v>
      </c>
      <c r="BR371" s="71">
        <f>IFERROR(__xludf.DUMMYFUNCTION("""COMPUTED_VALUE"""),17.6624)</f>
        <v>17.6624</v>
      </c>
      <c r="BS371" s="71">
        <f>IFERROR(__xludf.DUMMYFUNCTION("""COMPUTED_VALUE"""),128.0524)</f>
        <v>128.0524</v>
      </c>
      <c r="BT371" s="71">
        <f>IFERROR(__xludf.DUMMYFUNCTION("""COMPUTED_VALUE"""),106.4)</f>
        <v>106.4</v>
      </c>
      <c r="BU371" s="71">
        <f>IFERROR(__xludf.DUMMYFUNCTION("""COMPUTED_VALUE"""),17.024)</f>
        <v>17.024</v>
      </c>
      <c r="BV371" s="71">
        <f>IFERROR(__xludf.DUMMYFUNCTION("""COMPUTED_VALUE"""),123.424)</f>
        <v>123.424</v>
      </c>
    </row>
    <row r="372">
      <c r="A372" s="53"/>
      <c r="B372" s="53"/>
      <c r="C372" s="73" t="s">
        <v>53</v>
      </c>
      <c r="D372" s="53" t="s">
        <v>950</v>
      </c>
      <c r="E372" s="54" t="s">
        <v>38</v>
      </c>
      <c r="F372" s="54" t="s">
        <v>42</v>
      </c>
      <c r="G372" s="55" t="s">
        <v>951</v>
      </c>
      <c r="H372" s="54" t="s">
        <v>951</v>
      </c>
      <c r="I372" s="54">
        <f t="shared" si="1"/>
        <v>24</v>
      </c>
      <c r="J372" s="56"/>
      <c r="K372" s="57"/>
      <c r="L372" s="76"/>
      <c r="M372" s="59"/>
      <c r="N372" s="79">
        <v>608.0</v>
      </c>
      <c r="O372" s="61">
        <v>656.0</v>
      </c>
      <c r="P372" s="62">
        <v>708.48</v>
      </c>
      <c r="Q372" s="63">
        <v>708.48</v>
      </c>
      <c r="R372" s="64">
        <v>744.0</v>
      </c>
      <c r="S372" s="111">
        <v>781.0</v>
      </c>
      <c r="T372" s="65">
        <f t="shared" si="2"/>
        <v>124.96</v>
      </c>
      <c r="U372" s="65">
        <f t="shared" si="3"/>
        <v>905.96</v>
      </c>
      <c r="V372" s="66">
        <f t="shared" si="4"/>
        <v>0.0497311828</v>
      </c>
      <c r="W372" s="67">
        <f t="shared" si="5"/>
        <v>741.95</v>
      </c>
      <c r="X372" s="67">
        <f t="shared" si="6"/>
        <v>118.712</v>
      </c>
      <c r="Y372" s="67">
        <f t="shared" si="7"/>
        <v>860.662</v>
      </c>
      <c r="Z372" s="67">
        <f t="shared" si="8"/>
        <v>702.9</v>
      </c>
      <c r="AA372" s="67">
        <f t="shared" si="9"/>
        <v>112.464</v>
      </c>
      <c r="AB372" s="67">
        <f t="shared" si="10"/>
        <v>815.364</v>
      </c>
      <c r="AC372" s="67">
        <f t="shared" si="11"/>
        <v>663.85</v>
      </c>
      <c r="AD372" s="67">
        <f t="shared" si="12"/>
        <v>106.216</v>
      </c>
      <c r="AE372" s="67">
        <f t="shared" si="13"/>
        <v>770.066</v>
      </c>
      <c r="AF372" s="67">
        <f t="shared" si="14"/>
        <v>648.23</v>
      </c>
      <c r="AG372" s="67">
        <f t="shared" si="15"/>
        <v>103.7168</v>
      </c>
      <c r="AH372" s="67">
        <f t="shared" si="16"/>
        <v>751.9468</v>
      </c>
      <c r="AI372" s="67">
        <f t="shared" si="17"/>
        <v>624.8</v>
      </c>
      <c r="AJ372" s="68">
        <f t="shared" si="20"/>
        <v>99.968</v>
      </c>
      <c r="AK372" s="68">
        <f t="shared" si="21"/>
        <v>724.768</v>
      </c>
      <c r="AL372" s="136">
        <f>IFERROR(__xludf.DUMMYFUNCTION("""COMPUTED_VALUE"""),1.0)</f>
        <v>1</v>
      </c>
      <c r="AM372" s="136"/>
      <c r="AN372" s="137" t="str">
        <f>IFERROR(__xludf.DUMMYFUNCTION("""COMPUTED_VALUE""")," C")</f>
        <v>C</v>
      </c>
      <c r="AO372" s="137" t="str">
        <f>IFERROR(__xludf.DUMMYFUNCTION("""COMPUTED_VALUE""")," CA201")</f>
        <v>CA201</v>
      </c>
      <c r="AP372" s="137" t="str">
        <f>IFERROR(__xludf.DUMMYFUNCTION("""COMPUTED_VALUE""")," PZA")</f>
        <v>PZA</v>
      </c>
      <c r="AQ372" s="137" t="str">
        <f>IFERROR(__xludf.DUMMYFUNCTION("""COMPUTED_VALUE""")," REF")</f>
        <v>REF</v>
      </c>
      <c r="AR372" s="137" t="str">
        <f>IFERROR(__xludf.DUMMYFUNCTION("""COMPUTED_VALUE""")," CATARINA 42B18 E.7/8""")</f>
        <v>CATARINA 42B18 E.7/8"</v>
      </c>
      <c r="AS372" s="137" t="str">
        <f>IFERROR(__xludf.DUMMYFUNCTION("""COMPUTED_VALUE""")," CATARINA 42B18 E.7/8""")</f>
        <v>CATARINA 42B18 E.7/8"</v>
      </c>
      <c r="AT372" s="137">
        <f>IFERROR(__xludf.DUMMYFUNCTION("""COMPUTED_VALUE"""),21.0)</f>
        <v>21</v>
      </c>
      <c r="AU372" s="137"/>
      <c r="AV372" s="137"/>
      <c r="AW372" s="137"/>
      <c r="AX372" s="137"/>
      <c r="AY372" s="137">
        <f>IFERROR(__xludf.DUMMYFUNCTION("""COMPUTED_VALUE"""),164.0)</f>
        <v>164</v>
      </c>
      <c r="AZ372" s="137">
        <f>IFERROR(__xludf.DUMMYFUNCTION("""COMPUTED_VALUE"""),177.0)</f>
        <v>177</v>
      </c>
      <c r="BA372" s="137">
        <f>IFERROR(__xludf.DUMMYFUNCTION("""COMPUTED_VALUE"""),90.0)</f>
        <v>90</v>
      </c>
      <c r="BB372" s="137">
        <f>IFERROR(__xludf.DUMMYFUNCTION("""COMPUTED_VALUE"""),90.0)</f>
        <v>90</v>
      </c>
      <c r="BC372" s="137">
        <f>IFERROR(__xludf.DUMMYFUNCTION("""COMPUTED_VALUE"""),98.0)</f>
        <v>98</v>
      </c>
      <c r="BD372" s="137">
        <f>IFERROR(__xludf.DUMMYFUNCTION("""COMPUTED_VALUE"""),103.0)</f>
        <v>103</v>
      </c>
      <c r="BE372" s="137">
        <f>IFERROR(__xludf.DUMMYFUNCTION("""COMPUTED_VALUE"""),16.48)</f>
        <v>16.48</v>
      </c>
      <c r="BF372" s="137">
        <f>IFERROR(__xludf.DUMMYFUNCTION("""COMPUTED_VALUE"""),119.48)</f>
        <v>119.48</v>
      </c>
      <c r="BG372" s="137">
        <f>IFERROR(__xludf.DUMMYFUNCTION("""COMPUTED_VALUE"""),0.05102040816326531)</f>
        <v>0.05102040816</v>
      </c>
      <c r="BH372" s="137">
        <f>IFERROR(__xludf.DUMMYFUNCTION("""COMPUTED_VALUE"""),97.85)</f>
        <v>97.85</v>
      </c>
      <c r="BI372" s="137">
        <f>IFERROR(__xludf.DUMMYFUNCTION("""COMPUTED_VALUE"""),15.655999999999999)</f>
        <v>15.656</v>
      </c>
      <c r="BJ372" s="137">
        <f>IFERROR(__xludf.DUMMYFUNCTION("""COMPUTED_VALUE"""),113.506)</f>
        <v>113.506</v>
      </c>
      <c r="BK372" s="137">
        <f>IFERROR(__xludf.DUMMYFUNCTION("""COMPUTED_VALUE"""),92.7)</f>
        <v>92.7</v>
      </c>
      <c r="BL372" s="137">
        <f>IFERROR(__xludf.DUMMYFUNCTION("""COMPUTED_VALUE"""),14.832)</f>
        <v>14.832</v>
      </c>
      <c r="BM372" s="137">
        <f>IFERROR(__xludf.DUMMYFUNCTION("""COMPUTED_VALUE"""),107.53200000000001)</f>
        <v>107.532</v>
      </c>
      <c r="BN372" s="137">
        <f>IFERROR(__xludf.DUMMYFUNCTION("""COMPUTED_VALUE"""),87.55)</f>
        <v>87.55</v>
      </c>
      <c r="BO372" s="137">
        <f>IFERROR(__xludf.DUMMYFUNCTION("""COMPUTED_VALUE"""),14.008)</f>
        <v>14.008</v>
      </c>
      <c r="BP372" s="137">
        <f>IFERROR(__xludf.DUMMYFUNCTION("""COMPUTED_VALUE"""),101.55799999999999)</f>
        <v>101.558</v>
      </c>
      <c r="BQ372" s="137">
        <f>IFERROR(__xludf.DUMMYFUNCTION("""COMPUTED_VALUE"""),85.49)</f>
        <v>85.49</v>
      </c>
      <c r="BR372" s="137">
        <f>IFERROR(__xludf.DUMMYFUNCTION("""COMPUTED_VALUE"""),13.6784)</f>
        <v>13.6784</v>
      </c>
      <c r="BS372" s="137">
        <f>IFERROR(__xludf.DUMMYFUNCTION("""COMPUTED_VALUE"""),99.16839999999999)</f>
        <v>99.1684</v>
      </c>
      <c r="BT372" s="137">
        <f>IFERROR(__xludf.DUMMYFUNCTION("""COMPUTED_VALUE"""),82.4)</f>
        <v>82.4</v>
      </c>
      <c r="BU372" s="137">
        <f>IFERROR(__xludf.DUMMYFUNCTION("""COMPUTED_VALUE"""),13.184000000000001)</f>
        <v>13.184</v>
      </c>
      <c r="BV372" s="137">
        <f>IFERROR(__xludf.DUMMYFUNCTION("""COMPUTED_VALUE"""),95.584)</f>
        <v>95.584</v>
      </c>
    </row>
    <row r="373">
      <c r="A373" s="53"/>
      <c r="B373" s="53"/>
      <c r="C373" s="73" t="s">
        <v>53</v>
      </c>
      <c r="D373" s="53" t="s">
        <v>952</v>
      </c>
      <c r="E373" s="54" t="s">
        <v>38</v>
      </c>
      <c r="F373" s="54" t="s">
        <v>42</v>
      </c>
      <c r="G373" s="55" t="s">
        <v>953</v>
      </c>
      <c r="H373" s="54" t="s">
        <v>953</v>
      </c>
      <c r="I373" s="54">
        <f t="shared" si="1"/>
        <v>37</v>
      </c>
      <c r="J373" s="56"/>
      <c r="K373" s="75"/>
      <c r="L373" s="76"/>
      <c r="M373" s="59"/>
      <c r="N373" s="79">
        <v>319.0</v>
      </c>
      <c r="O373" s="61">
        <v>429.0</v>
      </c>
      <c r="P373" s="62">
        <v>463.32000000000005</v>
      </c>
      <c r="Q373" s="63">
        <v>463.32000000000005</v>
      </c>
      <c r="R373" s="64">
        <v>552.0</v>
      </c>
      <c r="S373" s="111">
        <v>580.0</v>
      </c>
      <c r="T373" s="65">
        <f t="shared" si="2"/>
        <v>92.8</v>
      </c>
      <c r="U373" s="65">
        <f t="shared" si="3"/>
        <v>672.8</v>
      </c>
      <c r="V373" s="66">
        <f t="shared" si="4"/>
        <v>0.05072463768</v>
      </c>
      <c r="W373" s="67">
        <f t="shared" si="5"/>
        <v>551</v>
      </c>
      <c r="X373" s="67">
        <f t="shared" si="6"/>
        <v>88.16</v>
      </c>
      <c r="Y373" s="67">
        <f t="shared" si="7"/>
        <v>639.16</v>
      </c>
      <c r="Z373" s="67">
        <f t="shared" si="8"/>
        <v>522</v>
      </c>
      <c r="AA373" s="67">
        <f t="shared" si="9"/>
        <v>83.52</v>
      </c>
      <c r="AB373" s="67">
        <f t="shared" si="10"/>
        <v>605.52</v>
      </c>
      <c r="AC373" s="67">
        <f t="shared" si="11"/>
        <v>493</v>
      </c>
      <c r="AD373" s="67">
        <f t="shared" si="12"/>
        <v>78.88</v>
      </c>
      <c r="AE373" s="67">
        <f t="shared" si="13"/>
        <v>571.88</v>
      </c>
      <c r="AF373" s="67">
        <f t="shared" si="14"/>
        <v>481.4</v>
      </c>
      <c r="AG373" s="67">
        <f t="shared" si="15"/>
        <v>77.024</v>
      </c>
      <c r="AH373" s="67">
        <f t="shared" si="16"/>
        <v>558.424</v>
      </c>
      <c r="AI373" s="67">
        <f t="shared" si="17"/>
        <v>464</v>
      </c>
      <c r="AJ373" s="68">
        <f t="shared" si="20"/>
        <v>74.24</v>
      </c>
      <c r="AK373" s="68">
        <f t="shared" si="21"/>
        <v>538.24</v>
      </c>
      <c r="AL373" s="136">
        <f>IFERROR(__xludf.DUMMYFUNCTION("""COMPUTED_VALUE"""),1.0)</f>
        <v>1</v>
      </c>
      <c r="AM373" s="136"/>
      <c r="AN373" s="137" t="str">
        <f>IFERROR(__xludf.DUMMYFUNCTION("""COMPUTED_VALUE""")," CP")</f>
        <v>CP</v>
      </c>
      <c r="AO373" s="137" t="str">
        <f>IFERROR(__xludf.DUMMYFUNCTION("""COMPUTED_VALUE""")," CA51")</f>
        <v>CA51</v>
      </c>
      <c r="AP373" s="137" t="str">
        <f>IFERROR(__xludf.DUMMYFUNCTION("""COMPUTED_VALUE""")," PZA")</f>
        <v>PZA</v>
      </c>
      <c r="AQ373" s="137" t="str">
        <f>IFERROR(__xludf.DUMMYFUNCTION("""COMPUTED_VALUE""")," REF")</f>
        <v>REF</v>
      </c>
      <c r="AR373" s="137" t="str">
        <f>IFERROR(__xludf.DUMMYFUNCTION("""COMPUTED_VALUE""")," CATARINA 42B19 E.1-1/4"" C.1/4")</f>
        <v>CATARINA 42B19 E.1-1/4" C.1/4</v>
      </c>
      <c r="AS373" s="137" t="str">
        <f>IFERROR(__xludf.DUMMYFUNCTION("""COMPUTED_VALUE""")," CATARINA 42B19 E.1-1/4"" C.1/4")</f>
        <v>CATARINA 42B19 E.1-1/4" C.1/4</v>
      </c>
      <c r="AT373" s="137">
        <f>IFERROR(__xludf.DUMMYFUNCTION("""COMPUTED_VALUE"""),29.0)</f>
        <v>29</v>
      </c>
      <c r="AU373" s="137"/>
      <c r="AV373" s="137"/>
      <c r="AW373" s="137"/>
      <c r="AX373" s="137"/>
      <c r="AY373" s="137">
        <f>IFERROR(__xludf.DUMMYFUNCTION("""COMPUTED_VALUE"""),175.0)</f>
        <v>175</v>
      </c>
      <c r="AZ373" s="137">
        <f>IFERROR(__xludf.DUMMYFUNCTION("""COMPUTED_VALUE"""),189.0)</f>
        <v>189</v>
      </c>
      <c r="BA373" s="137">
        <f>IFERROR(__xludf.DUMMYFUNCTION("""COMPUTED_VALUE"""),100.0)</f>
        <v>100</v>
      </c>
      <c r="BB373" s="137">
        <f>IFERROR(__xludf.DUMMYFUNCTION("""COMPUTED_VALUE"""),100.0)</f>
        <v>100</v>
      </c>
      <c r="BC373" s="137">
        <f>IFERROR(__xludf.DUMMYFUNCTION("""COMPUTED_VALUE"""),130.0)</f>
        <v>130</v>
      </c>
      <c r="BD373" s="137">
        <f>IFERROR(__xludf.DUMMYFUNCTION("""COMPUTED_VALUE"""),137.0)</f>
        <v>137</v>
      </c>
      <c r="BE373" s="137">
        <f>IFERROR(__xludf.DUMMYFUNCTION("""COMPUTED_VALUE"""),21.92)</f>
        <v>21.92</v>
      </c>
      <c r="BF373" s="137">
        <f>IFERROR(__xludf.DUMMYFUNCTION("""COMPUTED_VALUE"""),158.92000000000002)</f>
        <v>158.92</v>
      </c>
      <c r="BG373" s="137">
        <f>IFERROR(__xludf.DUMMYFUNCTION("""COMPUTED_VALUE"""),0.05384615384615385)</f>
        <v>0.05384615385</v>
      </c>
      <c r="BH373" s="137">
        <f>IFERROR(__xludf.DUMMYFUNCTION("""COMPUTED_VALUE"""),130.15)</f>
        <v>130.15</v>
      </c>
      <c r="BI373" s="137">
        <f>IFERROR(__xludf.DUMMYFUNCTION("""COMPUTED_VALUE"""),20.824)</f>
        <v>20.824</v>
      </c>
      <c r="BJ373" s="137">
        <f>IFERROR(__xludf.DUMMYFUNCTION("""COMPUTED_VALUE"""),150.97400000000002)</f>
        <v>150.974</v>
      </c>
      <c r="BK373" s="137">
        <f>IFERROR(__xludf.DUMMYFUNCTION("""COMPUTED_VALUE"""),123.3)</f>
        <v>123.3</v>
      </c>
      <c r="BL373" s="137">
        <f>IFERROR(__xludf.DUMMYFUNCTION("""COMPUTED_VALUE"""),19.728)</f>
        <v>19.728</v>
      </c>
      <c r="BM373" s="137">
        <f>IFERROR(__xludf.DUMMYFUNCTION("""COMPUTED_VALUE"""),143.028)</f>
        <v>143.028</v>
      </c>
      <c r="BN373" s="137">
        <f>IFERROR(__xludf.DUMMYFUNCTION("""COMPUTED_VALUE"""),116.45)</f>
        <v>116.45</v>
      </c>
      <c r="BO373" s="137">
        <f>IFERROR(__xludf.DUMMYFUNCTION("""COMPUTED_VALUE"""),18.632)</f>
        <v>18.632</v>
      </c>
      <c r="BP373" s="137">
        <f>IFERROR(__xludf.DUMMYFUNCTION("""COMPUTED_VALUE"""),135.082)</f>
        <v>135.082</v>
      </c>
      <c r="BQ373" s="137">
        <f>IFERROR(__xludf.DUMMYFUNCTION("""COMPUTED_VALUE"""),113.71)</f>
        <v>113.71</v>
      </c>
      <c r="BR373" s="137">
        <f>IFERROR(__xludf.DUMMYFUNCTION("""COMPUTED_VALUE"""),18.1936)</f>
        <v>18.1936</v>
      </c>
      <c r="BS373" s="137">
        <f>IFERROR(__xludf.DUMMYFUNCTION("""COMPUTED_VALUE"""),131.90359999999998)</f>
        <v>131.9036</v>
      </c>
      <c r="BT373" s="137">
        <f>IFERROR(__xludf.DUMMYFUNCTION("""COMPUTED_VALUE"""),109.60000000000001)</f>
        <v>109.6</v>
      </c>
      <c r="BU373" s="137">
        <f>IFERROR(__xludf.DUMMYFUNCTION("""COMPUTED_VALUE"""),17.536)</f>
        <v>17.536</v>
      </c>
      <c r="BV373" s="137">
        <f>IFERROR(__xludf.DUMMYFUNCTION("""COMPUTED_VALUE"""),127.13600000000001)</f>
        <v>127.136</v>
      </c>
    </row>
    <row r="374">
      <c r="A374" s="53"/>
      <c r="B374" s="53"/>
      <c r="C374" s="73" t="s">
        <v>53</v>
      </c>
      <c r="D374" s="53" t="s">
        <v>954</v>
      </c>
      <c r="E374" s="54" t="s">
        <v>38</v>
      </c>
      <c r="F374" s="54" t="s">
        <v>42</v>
      </c>
      <c r="G374" s="55" t="s">
        <v>955</v>
      </c>
      <c r="H374" s="54" t="s">
        <v>955</v>
      </c>
      <c r="I374" s="54">
        <f t="shared" si="1"/>
        <v>38</v>
      </c>
      <c r="J374" s="56"/>
      <c r="K374" s="75"/>
      <c r="L374" s="76"/>
      <c r="M374" s="59"/>
      <c r="N374" s="79">
        <v>418.0</v>
      </c>
      <c r="O374" s="61">
        <v>586.0</v>
      </c>
      <c r="P374" s="62">
        <v>632.88</v>
      </c>
      <c r="Q374" s="63">
        <v>632.88</v>
      </c>
      <c r="R374" s="64">
        <v>748.0</v>
      </c>
      <c r="S374" s="111">
        <v>785.0</v>
      </c>
      <c r="T374" s="65">
        <f t="shared" si="2"/>
        <v>125.6</v>
      </c>
      <c r="U374" s="65">
        <f t="shared" si="3"/>
        <v>910.6</v>
      </c>
      <c r="V374" s="66">
        <f t="shared" si="4"/>
        <v>0.04946524064</v>
      </c>
      <c r="W374" s="67">
        <f t="shared" si="5"/>
        <v>745.75</v>
      </c>
      <c r="X374" s="67">
        <f t="shared" si="6"/>
        <v>119.32</v>
      </c>
      <c r="Y374" s="67">
        <f t="shared" si="7"/>
        <v>865.07</v>
      </c>
      <c r="Z374" s="67">
        <f t="shared" si="8"/>
        <v>706.5</v>
      </c>
      <c r="AA374" s="67">
        <f t="shared" si="9"/>
        <v>113.04</v>
      </c>
      <c r="AB374" s="67">
        <f t="shared" si="10"/>
        <v>819.54</v>
      </c>
      <c r="AC374" s="67">
        <f t="shared" si="11"/>
        <v>667.25</v>
      </c>
      <c r="AD374" s="67">
        <f t="shared" si="12"/>
        <v>106.76</v>
      </c>
      <c r="AE374" s="67">
        <f t="shared" si="13"/>
        <v>774.01</v>
      </c>
      <c r="AF374" s="67">
        <f t="shared" si="14"/>
        <v>651.55</v>
      </c>
      <c r="AG374" s="67">
        <f t="shared" si="15"/>
        <v>104.248</v>
      </c>
      <c r="AH374" s="67">
        <f t="shared" si="16"/>
        <v>755.798</v>
      </c>
      <c r="AI374" s="67">
        <f t="shared" si="17"/>
        <v>628</v>
      </c>
      <c r="AJ374" s="68">
        <f t="shared" si="20"/>
        <v>100.48</v>
      </c>
      <c r="AK374" s="68">
        <f t="shared" si="21"/>
        <v>728.48</v>
      </c>
      <c r="AL374" s="136">
        <f>IFERROR(__xludf.DUMMYFUNCTION("""COMPUTED_VALUE"""),1.0)</f>
        <v>1</v>
      </c>
      <c r="AM374" s="136"/>
      <c r="AN374" s="137" t="str">
        <f>IFERROR(__xludf.DUMMYFUNCTION("""COMPUTED_VALUE""")," CP")</f>
        <v>CP</v>
      </c>
      <c r="AO374" s="137" t="str">
        <f>IFERROR(__xludf.DUMMYFUNCTION("""COMPUTED_VALUE""")," CA50")</f>
        <v>CA50</v>
      </c>
      <c r="AP374" s="137" t="str">
        <f>IFERROR(__xludf.DUMMYFUNCTION("""COMPUTED_VALUE""")," PZA")</f>
        <v>PZA</v>
      </c>
      <c r="AQ374" s="137" t="str">
        <f>IFERROR(__xludf.DUMMYFUNCTION("""COMPUTED_VALUE""")," REF")</f>
        <v>REF</v>
      </c>
      <c r="AR374" s="137" t="str">
        <f>IFERROR(__xludf.DUMMYFUNCTION("""COMPUTED_VALUE""")," CATARINA 42B19 E.1"" C.1/4")</f>
        <v>CATARINA 42B19 E.1" C.1/4</v>
      </c>
      <c r="AS374" s="137" t="str">
        <f>IFERROR(__xludf.DUMMYFUNCTION("""COMPUTED_VALUE""")," CATARINA 42B19 E.1"" C.1/4")</f>
        <v>CATARINA 42B19 E.1" C.1/4</v>
      </c>
      <c r="AT374" s="137">
        <f>IFERROR(__xludf.DUMMYFUNCTION("""COMPUTED_VALUE"""),25.0)</f>
        <v>25</v>
      </c>
      <c r="AU374" s="137"/>
      <c r="AV374" s="137"/>
      <c r="AW374" s="137"/>
      <c r="AX374" s="137"/>
      <c r="AY374" s="137">
        <f>IFERROR(__xludf.DUMMYFUNCTION("""COMPUTED_VALUE"""),175.0)</f>
        <v>175</v>
      </c>
      <c r="AZ374" s="137">
        <f>IFERROR(__xludf.DUMMYFUNCTION("""COMPUTED_VALUE"""),189.0)</f>
        <v>189</v>
      </c>
      <c r="BA374" s="137">
        <f>IFERROR(__xludf.DUMMYFUNCTION("""COMPUTED_VALUE"""),100.0)</f>
        <v>100</v>
      </c>
      <c r="BB374" s="137">
        <f>IFERROR(__xludf.DUMMYFUNCTION("""COMPUTED_VALUE"""),100.0)</f>
        <v>100</v>
      </c>
      <c r="BC374" s="137">
        <f>IFERROR(__xludf.DUMMYFUNCTION("""COMPUTED_VALUE"""),130.0)</f>
        <v>130</v>
      </c>
      <c r="BD374" s="137">
        <f>IFERROR(__xludf.DUMMYFUNCTION("""COMPUTED_VALUE"""),137.0)</f>
        <v>137</v>
      </c>
      <c r="BE374" s="137">
        <f>IFERROR(__xludf.DUMMYFUNCTION("""COMPUTED_VALUE"""),21.92)</f>
        <v>21.92</v>
      </c>
      <c r="BF374" s="137">
        <f>IFERROR(__xludf.DUMMYFUNCTION("""COMPUTED_VALUE"""),158.92000000000002)</f>
        <v>158.92</v>
      </c>
      <c r="BG374" s="137">
        <f>IFERROR(__xludf.DUMMYFUNCTION("""COMPUTED_VALUE"""),0.05384615384615385)</f>
        <v>0.05384615385</v>
      </c>
      <c r="BH374" s="137">
        <f>IFERROR(__xludf.DUMMYFUNCTION("""COMPUTED_VALUE"""),130.15)</f>
        <v>130.15</v>
      </c>
      <c r="BI374" s="137">
        <f>IFERROR(__xludf.DUMMYFUNCTION("""COMPUTED_VALUE"""),20.824)</f>
        <v>20.824</v>
      </c>
      <c r="BJ374" s="137">
        <f>IFERROR(__xludf.DUMMYFUNCTION("""COMPUTED_VALUE"""),150.97400000000002)</f>
        <v>150.974</v>
      </c>
      <c r="BK374" s="137">
        <f>IFERROR(__xludf.DUMMYFUNCTION("""COMPUTED_VALUE"""),123.3)</f>
        <v>123.3</v>
      </c>
      <c r="BL374" s="137">
        <f>IFERROR(__xludf.DUMMYFUNCTION("""COMPUTED_VALUE"""),19.728)</f>
        <v>19.728</v>
      </c>
      <c r="BM374" s="137">
        <f>IFERROR(__xludf.DUMMYFUNCTION("""COMPUTED_VALUE"""),143.028)</f>
        <v>143.028</v>
      </c>
      <c r="BN374" s="137">
        <f>IFERROR(__xludf.DUMMYFUNCTION("""COMPUTED_VALUE"""),116.45)</f>
        <v>116.45</v>
      </c>
      <c r="BO374" s="137">
        <f>IFERROR(__xludf.DUMMYFUNCTION("""COMPUTED_VALUE"""),18.632)</f>
        <v>18.632</v>
      </c>
      <c r="BP374" s="137">
        <f>IFERROR(__xludf.DUMMYFUNCTION("""COMPUTED_VALUE"""),135.082)</f>
        <v>135.082</v>
      </c>
      <c r="BQ374" s="137">
        <f>IFERROR(__xludf.DUMMYFUNCTION("""COMPUTED_VALUE"""),113.71)</f>
        <v>113.71</v>
      </c>
      <c r="BR374" s="137">
        <f>IFERROR(__xludf.DUMMYFUNCTION("""COMPUTED_VALUE"""),18.1936)</f>
        <v>18.1936</v>
      </c>
      <c r="BS374" s="137">
        <f>IFERROR(__xludf.DUMMYFUNCTION("""COMPUTED_VALUE"""),131.90359999999998)</f>
        <v>131.9036</v>
      </c>
      <c r="BT374" s="137">
        <f>IFERROR(__xludf.DUMMYFUNCTION("""COMPUTED_VALUE"""),109.60000000000001)</f>
        <v>109.6</v>
      </c>
      <c r="BU374" s="137">
        <f>IFERROR(__xludf.DUMMYFUNCTION("""COMPUTED_VALUE"""),17.536)</f>
        <v>17.536</v>
      </c>
      <c r="BV374" s="137">
        <f>IFERROR(__xludf.DUMMYFUNCTION("""COMPUTED_VALUE"""),127.13600000000001)</f>
        <v>127.136</v>
      </c>
    </row>
    <row r="375">
      <c r="A375" s="53"/>
      <c r="B375" s="53">
        <v>3.0</v>
      </c>
      <c r="C375" s="53" t="s">
        <v>36</v>
      </c>
      <c r="D375" s="85" t="s">
        <v>956</v>
      </c>
      <c r="E375" s="54" t="s">
        <v>38</v>
      </c>
      <c r="F375" s="55" t="s">
        <v>866</v>
      </c>
      <c r="G375" s="138" t="s">
        <v>957</v>
      </c>
      <c r="H375" s="55"/>
      <c r="I375" s="54">
        <f t="shared" si="1"/>
        <v>0</v>
      </c>
      <c r="J375" s="56"/>
      <c r="K375" s="57"/>
      <c r="L375" s="76"/>
      <c r="M375" s="59"/>
      <c r="N375" s="60"/>
      <c r="O375" s="61">
        <v>22359.0</v>
      </c>
      <c r="P375" s="62">
        <v>24147.72</v>
      </c>
      <c r="Q375" s="63">
        <v>24147.72</v>
      </c>
      <c r="R375" s="64">
        <v>25356.0</v>
      </c>
      <c r="S375" s="107">
        <v>26624.0</v>
      </c>
      <c r="T375" s="65">
        <f t="shared" si="2"/>
        <v>4259.84</v>
      </c>
      <c r="U375" s="65">
        <f t="shared" si="3"/>
        <v>30883.84</v>
      </c>
      <c r="V375" s="66">
        <f t="shared" si="4"/>
        <v>0.05000788768</v>
      </c>
      <c r="W375" s="67">
        <f t="shared" si="5"/>
        <v>25292.8</v>
      </c>
      <c r="X375" s="67">
        <f t="shared" si="6"/>
        <v>4046.848</v>
      </c>
      <c r="Y375" s="67">
        <f t="shared" si="7"/>
        <v>29339.648</v>
      </c>
      <c r="Z375" s="67">
        <f t="shared" si="8"/>
        <v>23961.6</v>
      </c>
      <c r="AA375" s="67">
        <f t="shared" si="9"/>
        <v>3833.856</v>
      </c>
      <c r="AB375" s="67">
        <f t="shared" si="10"/>
        <v>27795.456</v>
      </c>
      <c r="AC375" s="67">
        <f t="shared" si="11"/>
        <v>23961.6</v>
      </c>
      <c r="AD375" s="67">
        <f t="shared" si="12"/>
        <v>3833.856</v>
      </c>
      <c r="AE375" s="67">
        <f t="shared" si="13"/>
        <v>27795.456</v>
      </c>
      <c r="AF375" s="67">
        <f t="shared" si="14"/>
        <v>23961.6</v>
      </c>
      <c r="AG375" s="67">
        <f t="shared" si="15"/>
        <v>3833.856</v>
      </c>
      <c r="AH375" s="67">
        <f t="shared" si="16"/>
        <v>27795.456</v>
      </c>
      <c r="AI375" s="67">
        <f t="shared" si="17"/>
        <v>23961.6</v>
      </c>
      <c r="AJ375" s="68">
        <f t="shared" si="20"/>
        <v>3833.856</v>
      </c>
      <c r="AK375" s="68">
        <f t="shared" si="21"/>
        <v>27795.456</v>
      </c>
      <c r="AL375" s="70">
        <f>IFERROR(__xludf.DUMMYFUNCTION("""COMPUTED_VALUE"""),1.0)</f>
        <v>1</v>
      </c>
      <c r="AM375" s="70"/>
      <c r="AN375" s="71" t="str">
        <f>IFERROR(__xludf.DUMMYFUNCTION("""COMPUTED_VALUE""")," CP")</f>
        <v>CP</v>
      </c>
      <c r="AO375" s="71" t="str">
        <f>IFERROR(__xludf.DUMMYFUNCTION("""COMPUTED_VALUE""")," CA52")</f>
        <v>CA52</v>
      </c>
      <c r="AP375" s="71" t="str">
        <f>IFERROR(__xludf.DUMMYFUNCTION("""COMPUTED_VALUE""")," PZA")</f>
        <v>PZA</v>
      </c>
      <c r="AQ375" s="71" t="str">
        <f>IFERROR(__xludf.DUMMYFUNCTION("""COMPUTED_VALUE""")," REF")</f>
        <v>REF</v>
      </c>
      <c r="AR375" s="71" t="str">
        <f>IFERROR(__xludf.DUMMYFUNCTION("""COMPUTED_VALUE""")," CATARINA 42B19 E.5/8"" C.1/4")</f>
        <v>CATARINA 42B19 E.5/8" C.1/4</v>
      </c>
      <c r="AS375" s="71" t="str">
        <f>IFERROR(__xludf.DUMMYFUNCTION("""COMPUTED_VALUE""")," CATARINA 42B19 E.5/8"" C.1/4")</f>
        <v>CATARINA 42B19 E.5/8" C.1/4</v>
      </c>
      <c r="AT375" s="71">
        <f>IFERROR(__xludf.DUMMYFUNCTION("""COMPUTED_VALUE"""),27.0)</f>
        <v>27</v>
      </c>
      <c r="AU375" s="71"/>
      <c r="AV375" s="71"/>
      <c r="AW375" s="71"/>
      <c r="AX375" s="71"/>
      <c r="AY375" s="71">
        <f>IFERROR(__xludf.DUMMYFUNCTION("""COMPUTED_VALUE"""),175.0)</f>
        <v>175</v>
      </c>
      <c r="AZ375" s="71">
        <f>IFERROR(__xludf.DUMMYFUNCTION("""COMPUTED_VALUE"""),189.0)</f>
        <v>189</v>
      </c>
      <c r="BA375" s="71">
        <f>IFERROR(__xludf.DUMMYFUNCTION("""COMPUTED_VALUE"""),100.0)</f>
        <v>100</v>
      </c>
      <c r="BB375" s="71">
        <f>IFERROR(__xludf.DUMMYFUNCTION("""COMPUTED_VALUE"""),100.0)</f>
        <v>100</v>
      </c>
      <c r="BC375" s="71">
        <f>IFERROR(__xludf.DUMMYFUNCTION("""COMPUTED_VALUE"""),130.0)</f>
        <v>130</v>
      </c>
      <c r="BD375" s="71">
        <f>IFERROR(__xludf.DUMMYFUNCTION("""COMPUTED_VALUE"""),137.0)</f>
        <v>137</v>
      </c>
      <c r="BE375" s="71">
        <f>IFERROR(__xludf.DUMMYFUNCTION("""COMPUTED_VALUE"""),21.92)</f>
        <v>21.92</v>
      </c>
      <c r="BF375" s="71">
        <f>IFERROR(__xludf.DUMMYFUNCTION("""COMPUTED_VALUE"""),158.92000000000002)</f>
        <v>158.92</v>
      </c>
      <c r="BG375" s="71">
        <f>IFERROR(__xludf.DUMMYFUNCTION("""COMPUTED_VALUE"""),0.05384615384615385)</f>
        <v>0.05384615385</v>
      </c>
      <c r="BH375" s="71">
        <f>IFERROR(__xludf.DUMMYFUNCTION("""COMPUTED_VALUE"""),130.15)</f>
        <v>130.15</v>
      </c>
      <c r="BI375" s="71">
        <f>IFERROR(__xludf.DUMMYFUNCTION("""COMPUTED_VALUE"""),20.824)</f>
        <v>20.824</v>
      </c>
      <c r="BJ375" s="71">
        <f>IFERROR(__xludf.DUMMYFUNCTION("""COMPUTED_VALUE"""),150.97400000000002)</f>
        <v>150.974</v>
      </c>
      <c r="BK375" s="71">
        <f>IFERROR(__xludf.DUMMYFUNCTION("""COMPUTED_VALUE"""),123.3)</f>
        <v>123.3</v>
      </c>
      <c r="BL375" s="71">
        <f>IFERROR(__xludf.DUMMYFUNCTION("""COMPUTED_VALUE"""),19.728)</f>
        <v>19.728</v>
      </c>
      <c r="BM375" s="71">
        <f>IFERROR(__xludf.DUMMYFUNCTION("""COMPUTED_VALUE"""),143.028)</f>
        <v>143.028</v>
      </c>
      <c r="BN375" s="71">
        <f>IFERROR(__xludf.DUMMYFUNCTION("""COMPUTED_VALUE"""),116.45)</f>
        <v>116.45</v>
      </c>
      <c r="BO375" s="71">
        <f>IFERROR(__xludf.DUMMYFUNCTION("""COMPUTED_VALUE"""),18.632)</f>
        <v>18.632</v>
      </c>
      <c r="BP375" s="71">
        <f>IFERROR(__xludf.DUMMYFUNCTION("""COMPUTED_VALUE"""),135.082)</f>
        <v>135.082</v>
      </c>
      <c r="BQ375" s="71">
        <f>IFERROR(__xludf.DUMMYFUNCTION("""COMPUTED_VALUE"""),113.71)</f>
        <v>113.71</v>
      </c>
      <c r="BR375" s="71">
        <f>IFERROR(__xludf.DUMMYFUNCTION("""COMPUTED_VALUE"""),18.1936)</f>
        <v>18.1936</v>
      </c>
      <c r="BS375" s="71">
        <f>IFERROR(__xludf.DUMMYFUNCTION("""COMPUTED_VALUE"""),131.90359999999998)</f>
        <v>131.9036</v>
      </c>
      <c r="BT375" s="71">
        <f>IFERROR(__xludf.DUMMYFUNCTION("""COMPUTED_VALUE"""),109.60000000000001)</f>
        <v>109.6</v>
      </c>
      <c r="BU375" s="71">
        <f>IFERROR(__xludf.DUMMYFUNCTION("""COMPUTED_VALUE"""),17.536)</f>
        <v>17.536</v>
      </c>
      <c r="BV375" s="71">
        <f>IFERROR(__xludf.DUMMYFUNCTION("""COMPUTED_VALUE"""),127.13600000000001)</f>
        <v>127.136</v>
      </c>
    </row>
    <row r="376">
      <c r="A376" s="53">
        <v>1.0</v>
      </c>
      <c r="B376" s="72"/>
      <c r="C376" s="73" t="s">
        <v>12</v>
      </c>
      <c r="D376" s="74" t="s">
        <v>958</v>
      </c>
      <c r="E376" s="55" t="s">
        <v>38</v>
      </c>
      <c r="F376" s="54" t="s">
        <v>42</v>
      </c>
      <c r="G376" s="55" t="s">
        <v>959</v>
      </c>
      <c r="H376" s="54" t="s">
        <v>959</v>
      </c>
      <c r="I376" s="54">
        <f t="shared" si="1"/>
        <v>23</v>
      </c>
      <c r="J376" s="56"/>
      <c r="K376" s="75"/>
      <c r="L376" s="76"/>
      <c r="M376" s="59"/>
      <c r="N376" s="60">
        <v>11.0</v>
      </c>
      <c r="O376" s="61">
        <v>11.0</v>
      </c>
      <c r="P376" s="62">
        <v>11.88</v>
      </c>
      <c r="Q376" s="63">
        <v>11.88</v>
      </c>
      <c r="R376" s="64">
        <v>14.0</v>
      </c>
      <c r="S376" s="111">
        <v>14.700000000000001</v>
      </c>
      <c r="T376" s="65">
        <f t="shared" si="2"/>
        <v>2.352</v>
      </c>
      <c r="U376" s="65">
        <f t="shared" si="3"/>
        <v>17.052</v>
      </c>
      <c r="V376" s="66">
        <f t="shared" si="4"/>
        <v>0.05</v>
      </c>
      <c r="W376" s="67">
        <f t="shared" si="5"/>
        <v>13.965</v>
      </c>
      <c r="X376" s="67">
        <f t="shared" si="6"/>
        <v>2.2344</v>
      </c>
      <c r="Y376" s="67">
        <f t="shared" si="7"/>
        <v>16.1994</v>
      </c>
      <c r="Z376" s="67">
        <f t="shared" si="8"/>
        <v>13.23</v>
      </c>
      <c r="AA376" s="67">
        <f t="shared" si="9"/>
        <v>2.1168</v>
      </c>
      <c r="AB376" s="67">
        <f t="shared" si="10"/>
        <v>15.3468</v>
      </c>
      <c r="AC376" s="67">
        <f t="shared" si="11"/>
        <v>12.495</v>
      </c>
      <c r="AD376" s="67">
        <f t="shared" si="12"/>
        <v>1.9992</v>
      </c>
      <c r="AE376" s="67">
        <f t="shared" si="13"/>
        <v>14.4942</v>
      </c>
      <c r="AF376" s="67">
        <f t="shared" si="14"/>
        <v>12.201</v>
      </c>
      <c r="AG376" s="67">
        <f t="shared" si="15"/>
        <v>1.95216</v>
      </c>
      <c r="AH376" s="67">
        <f t="shared" si="16"/>
        <v>14.15316</v>
      </c>
      <c r="AI376" s="67">
        <f t="shared" si="17"/>
        <v>11.76</v>
      </c>
      <c r="AJ376" s="68">
        <f t="shared" si="20"/>
        <v>1.8816</v>
      </c>
      <c r="AK376" s="68">
        <f t="shared" si="21"/>
        <v>13.6416</v>
      </c>
      <c r="AL376" s="70">
        <f>IFERROR(__xludf.DUMMYFUNCTION("""COMPUTED_VALUE"""),1.0)</f>
        <v>1</v>
      </c>
      <c r="AM376" s="70"/>
      <c r="AN376" s="71" t="str">
        <f>IFERROR(__xludf.DUMMYFUNCTION("""COMPUTED_VALUE""")," CP")</f>
        <v>CP</v>
      </c>
      <c r="AO376" s="71" t="str">
        <f>IFERROR(__xludf.DUMMYFUNCTION("""COMPUTED_VALUE""")," CA55")</f>
        <v>CA55</v>
      </c>
      <c r="AP376" s="71" t="str">
        <f>IFERROR(__xludf.DUMMYFUNCTION("""COMPUTED_VALUE""")," PZA")</f>
        <v>PZA</v>
      </c>
      <c r="AQ376" s="71" t="str">
        <f>IFERROR(__xludf.DUMMYFUNCTION("""COMPUTED_VALUE""")," REF")</f>
        <v>REF</v>
      </c>
      <c r="AR376" s="71" t="str">
        <f>IFERROR(__xludf.DUMMYFUNCTION("""COMPUTED_VALUE""")," CATARINA 42B20 E.1"" C.1/4")</f>
        <v>CATARINA 42B20 E.1" C.1/4</v>
      </c>
      <c r="AS376" s="71" t="str">
        <f>IFERROR(__xludf.DUMMYFUNCTION("""COMPUTED_VALUE""")," CATARINA 42B20 E.1"" C.1/4")</f>
        <v>CATARINA 42B20 E.1" C.1/4</v>
      </c>
      <c r="AT376" s="71">
        <f>IFERROR(__xludf.DUMMYFUNCTION("""COMPUTED_VALUE"""),25.0)</f>
        <v>25</v>
      </c>
      <c r="AU376" s="71"/>
      <c r="AV376" s="71"/>
      <c r="AW376" s="71"/>
      <c r="AX376" s="71"/>
      <c r="AY376" s="71">
        <f>IFERROR(__xludf.DUMMYFUNCTION("""COMPUTED_VALUE"""),191.0)</f>
        <v>191</v>
      </c>
      <c r="AZ376" s="71">
        <f>IFERROR(__xludf.DUMMYFUNCTION("""COMPUTED_VALUE"""),206.0)</f>
        <v>206</v>
      </c>
      <c r="BA376" s="71">
        <f>IFERROR(__xludf.DUMMYFUNCTION("""COMPUTED_VALUE"""),105.0)</f>
        <v>105</v>
      </c>
      <c r="BB376" s="71">
        <f>IFERROR(__xludf.DUMMYFUNCTION("""COMPUTED_VALUE"""),105.0)</f>
        <v>105</v>
      </c>
      <c r="BC376" s="71">
        <f>IFERROR(__xludf.DUMMYFUNCTION("""COMPUTED_VALUE"""),134.0)</f>
        <v>134</v>
      </c>
      <c r="BD376" s="71">
        <f>IFERROR(__xludf.DUMMYFUNCTION("""COMPUTED_VALUE"""),141.0)</f>
        <v>141</v>
      </c>
      <c r="BE376" s="71">
        <f>IFERROR(__xludf.DUMMYFUNCTION("""COMPUTED_VALUE"""),22.56)</f>
        <v>22.56</v>
      </c>
      <c r="BF376" s="71">
        <f>IFERROR(__xludf.DUMMYFUNCTION("""COMPUTED_VALUE"""),163.56)</f>
        <v>163.56</v>
      </c>
      <c r="BG376" s="71">
        <f>IFERROR(__xludf.DUMMYFUNCTION("""COMPUTED_VALUE"""),0.05223880597014925)</f>
        <v>0.05223880597</v>
      </c>
      <c r="BH376" s="71">
        <f>IFERROR(__xludf.DUMMYFUNCTION("""COMPUTED_VALUE"""),133.95)</f>
        <v>133.95</v>
      </c>
      <c r="BI376" s="71">
        <f>IFERROR(__xludf.DUMMYFUNCTION("""COMPUTED_VALUE"""),21.432)</f>
        <v>21.432</v>
      </c>
      <c r="BJ376" s="71">
        <f>IFERROR(__xludf.DUMMYFUNCTION("""COMPUTED_VALUE"""),155.38199999999998)</f>
        <v>155.382</v>
      </c>
      <c r="BK376" s="71">
        <f>IFERROR(__xludf.DUMMYFUNCTION("""COMPUTED_VALUE"""),126.9)</f>
        <v>126.9</v>
      </c>
      <c r="BL376" s="71">
        <f>IFERROR(__xludf.DUMMYFUNCTION("""COMPUTED_VALUE"""),20.304000000000002)</f>
        <v>20.304</v>
      </c>
      <c r="BM376" s="71">
        <f>IFERROR(__xludf.DUMMYFUNCTION("""COMPUTED_VALUE"""),147.204)</f>
        <v>147.204</v>
      </c>
      <c r="BN376" s="71">
        <f>IFERROR(__xludf.DUMMYFUNCTION("""COMPUTED_VALUE"""),119.85)</f>
        <v>119.85</v>
      </c>
      <c r="BO376" s="71">
        <f>IFERROR(__xludf.DUMMYFUNCTION("""COMPUTED_VALUE"""),19.176)</f>
        <v>19.176</v>
      </c>
      <c r="BP376" s="71">
        <f>IFERROR(__xludf.DUMMYFUNCTION("""COMPUTED_VALUE"""),139.02599999999998)</f>
        <v>139.026</v>
      </c>
      <c r="BQ376" s="71">
        <f>IFERROR(__xludf.DUMMYFUNCTION("""COMPUTED_VALUE"""),117.03)</f>
        <v>117.03</v>
      </c>
      <c r="BR376" s="71">
        <f>IFERROR(__xludf.DUMMYFUNCTION("""COMPUTED_VALUE"""),18.724800000000002)</f>
        <v>18.7248</v>
      </c>
      <c r="BS376" s="71">
        <f>IFERROR(__xludf.DUMMYFUNCTION("""COMPUTED_VALUE"""),135.7548)</f>
        <v>135.7548</v>
      </c>
      <c r="BT376" s="71">
        <f>IFERROR(__xludf.DUMMYFUNCTION("""COMPUTED_VALUE"""),112.80000000000001)</f>
        <v>112.8</v>
      </c>
      <c r="BU376" s="71">
        <f>IFERROR(__xludf.DUMMYFUNCTION("""COMPUTED_VALUE"""),18.048000000000002)</f>
        <v>18.048</v>
      </c>
      <c r="BV376" s="71">
        <f>IFERROR(__xludf.DUMMYFUNCTION("""COMPUTED_VALUE"""),130.848)</f>
        <v>130.848</v>
      </c>
    </row>
    <row r="377">
      <c r="A377" s="53">
        <v>1.0</v>
      </c>
      <c r="B377" s="72"/>
      <c r="C377" s="73" t="s">
        <v>12</v>
      </c>
      <c r="D377" s="74" t="s">
        <v>960</v>
      </c>
      <c r="E377" s="54" t="s">
        <v>38</v>
      </c>
      <c r="F377" s="54" t="s">
        <v>42</v>
      </c>
      <c r="G377" s="88" t="s">
        <v>961</v>
      </c>
      <c r="H377" s="54" t="s">
        <v>961</v>
      </c>
      <c r="I377" s="54">
        <f t="shared" si="1"/>
        <v>35</v>
      </c>
      <c r="J377" s="56"/>
      <c r="K377" s="75"/>
      <c r="L377" s="76"/>
      <c r="M377" s="59"/>
      <c r="N377" s="60">
        <v>18.0</v>
      </c>
      <c r="O377" s="61">
        <v>19.0</v>
      </c>
      <c r="P377" s="62">
        <v>20.520000000000003</v>
      </c>
      <c r="Q377" s="63">
        <v>20.520000000000003</v>
      </c>
      <c r="R377" s="64">
        <v>24.0</v>
      </c>
      <c r="S377" s="111">
        <v>25.0</v>
      </c>
      <c r="T377" s="65">
        <f t="shared" si="2"/>
        <v>4</v>
      </c>
      <c r="U377" s="65">
        <f t="shared" si="3"/>
        <v>29</v>
      </c>
      <c r="V377" s="66">
        <f t="shared" si="4"/>
        <v>0.04166666667</v>
      </c>
      <c r="W377" s="67">
        <f t="shared" si="5"/>
        <v>23.75</v>
      </c>
      <c r="X377" s="67">
        <f t="shared" si="6"/>
        <v>3.8</v>
      </c>
      <c r="Y377" s="67">
        <f t="shared" si="7"/>
        <v>27.55</v>
      </c>
      <c r="Z377" s="67">
        <f t="shared" si="8"/>
        <v>22.5</v>
      </c>
      <c r="AA377" s="67">
        <f t="shared" si="9"/>
        <v>3.6</v>
      </c>
      <c r="AB377" s="67">
        <f t="shared" si="10"/>
        <v>26.1</v>
      </c>
      <c r="AC377" s="67">
        <f t="shared" si="11"/>
        <v>21.25</v>
      </c>
      <c r="AD377" s="67">
        <f t="shared" si="12"/>
        <v>3.4</v>
      </c>
      <c r="AE377" s="67">
        <f t="shared" si="13"/>
        <v>24.65</v>
      </c>
      <c r="AF377" s="67">
        <f t="shared" si="14"/>
        <v>20.75</v>
      </c>
      <c r="AG377" s="67">
        <f t="shared" si="15"/>
        <v>3.32</v>
      </c>
      <c r="AH377" s="67">
        <f t="shared" si="16"/>
        <v>24.07</v>
      </c>
      <c r="AI377" s="67">
        <f t="shared" si="17"/>
        <v>20</v>
      </c>
      <c r="AJ377" s="68">
        <f t="shared" si="20"/>
        <v>3.2</v>
      </c>
      <c r="AK377" s="68">
        <f t="shared" si="21"/>
        <v>23.2</v>
      </c>
      <c r="AL377" s="70">
        <f>IFERROR(__xludf.DUMMYFUNCTION("""COMPUTED_VALUE"""),1.0)</f>
        <v>1</v>
      </c>
      <c r="AM377" s="70"/>
      <c r="AN377" s="71" t="str">
        <f>IFERROR(__xludf.DUMMYFUNCTION("""COMPUTED_VALUE""")," CP")</f>
        <v>CP</v>
      </c>
      <c r="AO377" s="71" t="str">
        <f>IFERROR(__xludf.DUMMYFUNCTION("""COMPUTED_VALUE""")," CA62")</f>
        <v>CA62</v>
      </c>
      <c r="AP377" s="71" t="str">
        <f>IFERROR(__xludf.DUMMYFUNCTION("""COMPUTED_VALUE""")," PZA")</f>
        <v>PZA</v>
      </c>
      <c r="AQ377" s="71" t="str">
        <f>IFERROR(__xludf.DUMMYFUNCTION("""COMPUTED_VALUE""")," REF")</f>
        <v>REF</v>
      </c>
      <c r="AR377" s="71" t="str">
        <f>IFERROR(__xludf.DUMMYFUNCTION("""COMPUTED_VALUE""")," CATARINA 42B21 E.1-1/4"" C.1/4")</f>
        <v>CATARINA 42B21 E.1-1/4" C.1/4</v>
      </c>
      <c r="AS377" s="71" t="str">
        <f>IFERROR(__xludf.DUMMYFUNCTION("""COMPUTED_VALUE""")," CATARINA 42B21 E.1-1/4"" C.1/4")</f>
        <v>CATARINA 42B21 E.1-1/4" C.1/4</v>
      </c>
      <c r="AT377" s="71">
        <f>IFERROR(__xludf.DUMMYFUNCTION("""COMPUTED_VALUE"""),29.0)</f>
        <v>29</v>
      </c>
      <c r="AU377" s="71"/>
      <c r="AV377" s="71"/>
      <c r="AW377" s="71"/>
      <c r="AX377" s="71"/>
      <c r="AY377" s="71">
        <f>IFERROR(__xludf.DUMMYFUNCTION("""COMPUTED_VALUE"""),201.0)</f>
        <v>201</v>
      </c>
      <c r="AZ377" s="71">
        <f>IFERROR(__xludf.DUMMYFUNCTION("""COMPUTED_VALUE"""),217.0)</f>
        <v>217</v>
      </c>
      <c r="BA377" s="71">
        <f>IFERROR(__xludf.DUMMYFUNCTION("""COMPUTED_VALUE"""),110.0)</f>
        <v>110</v>
      </c>
      <c r="BB377" s="71">
        <f>IFERROR(__xludf.DUMMYFUNCTION("""COMPUTED_VALUE"""),110.0)</f>
        <v>110</v>
      </c>
      <c r="BC377" s="71">
        <f>IFERROR(__xludf.DUMMYFUNCTION("""COMPUTED_VALUE"""),259.0)</f>
        <v>259</v>
      </c>
      <c r="BD377" s="71">
        <f>IFERROR(__xludf.DUMMYFUNCTION("""COMPUTED_VALUE"""),272.0)</f>
        <v>272</v>
      </c>
      <c r="BE377" s="71">
        <f>IFERROR(__xludf.DUMMYFUNCTION("""COMPUTED_VALUE"""),43.52)</f>
        <v>43.52</v>
      </c>
      <c r="BF377" s="71">
        <f>IFERROR(__xludf.DUMMYFUNCTION("""COMPUTED_VALUE"""),315.52)</f>
        <v>315.52</v>
      </c>
      <c r="BG377" s="71">
        <f>IFERROR(__xludf.DUMMYFUNCTION("""COMPUTED_VALUE"""),0.05019305019305019)</f>
        <v>0.05019305019</v>
      </c>
      <c r="BH377" s="71">
        <f>IFERROR(__xludf.DUMMYFUNCTION("""COMPUTED_VALUE"""),258.4)</f>
        <v>258.4</v>
      </c>
      <c r="BI377" s="71">
        <f>IFERROR(__xludf.DUMMYFUNCTION("""COMPUTED_VALUE"""),41.343999999999994)</f>
        <v>41.344</v>
      </c>
      <c r="BJ377" s="71">
        <f>IFERROR(__xludf.DUMMYFUNCTION("""COMPUTED_VALUE"""),299.74399999999997)</f>
        <v>299.744</v>
      </c>
      <c r="BK377" s="71">
        <f>IFERROR(__xludf.DUMMYFUNCTION("""COMPUTED_VALUE"""),244.8)</f>
        <v>244.8</v>
      </c>
      <c r="BL377" s="71">
        <f>IFERROR(__xludf.DUMMYFUNCTION("""COMPUTED_VALUE"""),39.168)</f>
        <v>39.168</v>
      </c>
      <c r="BM377" s="71">
        <f>IFERROR(__xludf.DUMMYFUNCTION("""COMPUTED_VALUE"""),283.968)</f>
        <v>283.968</v>
      </c>
      <c r="BN377" s="71">
        <f>IFERROR(__xludf.DUMMYFUNCTION("""COMPUTED_VALUE"""),231.2)</f>
        <v>231.2</v>
      </c>
      <c r="BO377" s="71">
        <f>IFERROR(__xludf.DUMMYFUNCTION("""COMPUTED_VALUE"""),36.992)</f>
        <v>36.992</v>
      </c>
      <c r="BP377" s="71">
        <f>IFERROR(__xludf.DUMMYFUNCTION("""COMPUTED_VALUE"""),268.192)</f>
        <v>268.192</v>
      </c>
      <c r="BQ377" s="71">
        <f>IFERROR(__xludf.DUMMYFUNCTION("""COMPUTED_VALUE"""),225.76)</f>
        <v>225.76</v>
      </c>
      <c r="BR377" s="71">
        <f>IFERROR(__xludf.DUMMYFUNCTION("""COMPUTED_VALUE"""),36.1216)</f>
        <v>36.1216</v>
      </c>
      <c r="BS377" s="71">
        <f>IFERROR(__xludf.DUMMYFUNCTION("""COMPUTED_VALUE"""),261.8816)</f>
        <v>261.8816</v>
      </c>
      <c r="BT377" s="71">
        <f>IFERROR(__xludf.DUMMYFUNCTION("""COMPUTED_VALUE"""),217.60000000000002)</f>
        <v>217.6</v>
      </c>
      <c r="BU377" s="71">
        <f>IFERROR(__xludf.DUMMYFUNCTION("""COMPUTED_VALUE"""),34.816)</f>
        <v>34.816</v>
      </c>
      <c r="BV377" s="71">
        <f>IFERROR(__xludf.DUMMYFUNCTION("""COMPUTED_VALUE"""),252.41600000000003)</f>
        <v>252.416</v>
      </c>
    </row>
    <row r="378">
      <c r="A378" s="53">
        <v>1.0</v>
      </c>
      <c r="B378" s="72"/>
      <c r="C378" s="73" t="s">
        <v>12</v>
      </c>
      <c r="D378" s="74" t="s">
        <v>962</v>
      </c>
      <c r="E378" s="54" t="s">
        <v>38</v>
      </c>
      <c r="F378" s="54" t="s">
        <v>42</v>
      </c>
      <c r="G378" s="88" t="s">
        <v>963</v>
      </c>
      <c r="H378" s="54" t="s">
        <v>964</v>
      </c>
      <c r="I378" s="54">
        <f t="shared" si="1"/>
        <v>34</v>
      </c>
      <c r="J378" s="56"/>
      <c r="K378" s="75"/>
      <c r="L378" s="76"/>
      <c r="M378" s="59"/>
      <c r="N378" s="60">
        <v>12.0</v>
      </c>
      <c r="O378" s="61">
        <v>13.0</v>
      </c>
      <c r="P378" s="62">
        <v>14.040000000000001</v>
      </c>
      <c r="Q378" s="63">
        <v>14.040000000000001</v>
      </c>
      <c r="R378" s="64">
        <v>16.0</v>
      </c>
      <c r="S378" s="111">
        <v>16.8</v>
      </c>
      <c r="T378" s="65">
        <f t="shared" si="2"/>
        <v>2.688</v>
      </c>
      <c r="U378" s="65">
        <f t="shared" si="3"/>
        <v>19.488</v>
      </c>
      <c r="V378" s="66">
        <f t="shared" si="4"/>
        <v>0.05</v>
      </c>
      <c r="W378" s="67">
        <f t="shared" si="5"/>
        <v>15.96</v>
      </c>
      <c r="X378" s="67">
        <f t="shared" si="6"/>
        <v>2.5536</v>
      </c>
      <c r="Y378" s="67">
        <f t="shared" si="7"/>
        <v>18.5136</v>
      </c>
      <c r="Z378" s="67">
        <f t="shared" si="8"/>
        <v>15.12</v>
      </c>
      <c r="AA378" s="67">
        <f t="shared" si="9"/>
        <v>2.4192</v>
      </c>
      <c r="AB378" s="67">
        <f t="shared" si="10"/>
        <v>17.5392</v>
      </c>
      <c r="AC378" s="67">
        <f t="shared" si="11"/>
        <v>14.28</v>
      </c>
      <c r="AD378" s="67">
        <f t="shared" si="12"/>
        <v>2.2848</v>
      </c>
      <c r="AE378" s="67">
        <f t="shared" si="13"/>
        <v>16.5648</v>
      </c>
      <c r="AF378" s="67">
        <f t="shared" si="14"/>
        <v>13.944</v>
      </c>
      <c r="AG378" s="67">
        <f t="shared" si="15"/>
        <v>2.23104</v>
      </c>
      <c r="AH378" s="67">
        <f t="shared" si="16"/>
        <v>16.17504</v>
      </c>
      <c r="AI378" s="67">
        <f t="shared" si="17"/>
        <v>13.44</v>
      </c>
      <c r="AJ378" s="68">
        <f t="shared" si="20"/>
        <v>2.1504</v>
      </c>
      <c r="AK378" s="68">
        <f t="shared" si="21"/>
        <v>15.5904</v>
      </c>
      <c r="AL378" s="70">
        <f>IFERROR(__xludf.DUMMYFUNCTION("""COMPUTED_VALUE"""),1.0)</f>
        <v>1</v>
      </c>
      <c r="AM378" s="70"/>
      <c r="AN378" s="71" t="str">
        <f>IFERROR(__xludf.DUMMYFUNCTION("""COMPUTED_VALUE""")," CP")</f>
        <v>CP</v>
      </c>
      <c r="AO378" s="71" t="str">
        <f>IFERROR(__xludf.DUMMYFUNCTION("""COMPUTED_VALUE""")," CA193")</f>
        <v>CA193</v>
      </c>
      <c r="AP378" s="71" t="str">
        <f>IFERROR(__xludf.DUMMYFUNCTION("""COMPUTED_VALUE""")," PZA")</f>
        <v>PZA</v>
      </c>
      <c r="AQ378" s="71" t="str">
        <f>IFERROR(__xludf.DUMMYFUNCTION("""COMPUTED_VALUE""")," REF")</f>
        <v>REF</v>
      </c>
      <c r="AR378" s="71" t="str">
        <f>IFERROR(__xludf.DUMMYFUNCTION("""COMPUTED_VALUE""")," CATARINA 42B21 E.1-1/8"" C.1/4")</f>
        <v>CATARINA 42B21 E.1-1/8" C.1/4</v>
      </c>
      <c r="AS378" s="71" t="str">
        <f>IFERROR(__xludf.DUMMYFUNCTION("""COMPUTED_VALUE""")," CATARINA 42B21 E.1-1/8"" C.1/4")</f>
        <v>CATARINA 42B21 E.1-1/8" C.1/4</v>
      </c>
      <c r="AT378" s="71">
        <f>IFERROR(__xludf.DUMMYFUNCTION("""COMPUTED_VALUE"""),29.0)</f>
        <v>29</v>
      </c>
      <c r="AU378" s="71"/>
      <c r="AV378" s="71"/>
      <c r="AW378" s="71"/>
      <c r="AX378" s="71"/>
      <c r="AY378" s="71">
        <f>IFERROR(__xludf.DUMMYFUNCTION("""COMPUTED_VALUE"""),201.0)</f>
        <v>201</v>
      </c>
      <c r="AZ378" s="71">
        <f>IFERROR(__xludf.DUMMYFUNCTION("""COMPUTED_VALUE"""),217.0)</f>
        <v>217</v>
      </c>
      <c r="BA378" s="71">
        <f>IFERROR(__xludf.DUMMYFUNCTION("""COMPUTED_VALUE"""),110.0)</f>
        <v>110</v>
      </c>
      <c r="BB378" s="71">
        <f>IFERROR(__xludf.DUMMYFUNCTION("""COMPUTED_VALUE"""),110.0)</f>
        <v>110</v>
      </c>
      <c r="BC378" s="71">
        <f>IFERROR(__xludf.DUMMYFUNCTION("""COMPUTED_VALUE"""),119.0)</f>
        <v>119</v>
      </c>
      <c r="BD378" s="71">
        <f>IFERROR(__xludf.DUMMYFUNCTION("""COMPUTED_VALUE"""),125.0)</f>
        <v>125</v>
      </c>
      <c r="BE378" s="71">
        <f>IFERROR(__xludf.DUMMYFUNCTION("""COMPUTED_VALUE"""),20.0)</f>
        <v>20</v>
      </c>
      <c r="BF378" s="71">
        <f>IFERROR(__xludf.DUMMYFUNCTION("""COMPUTED_VALUE"""),145.0)</f>
        <v>145</v>
      </c>
      <c r="BG378" s="71">
        <f>IFERROR(__xludf.DUMMYFUNCTION("""COMPUTED_VALUE"""),0.05042016806722689)</f>
        <v>0.05042016807</v>
      </c>
      <c r="BH378" s="71">
        <f>IFERROR(__xludf.DUMMYFUNCTION("""COMPUTED_VALUE"""),118.75)</f>
        <v>118.75</v>
      </c>
      <c r="BI378" s="71">
        <f>IFERROR(__xludf.DUMMYFUNCTION("""COMPUTED_VALUE"""),19.0)</f>
        <v>19</v>
      </c>
      <c r="BJ378" s="71">
        <f>IFERROR(__xludf.DUMMYFUNCTION("""COMPUTED_VALUE"""),137.75)</f>
        <v>137.75</v>
      </c>
      <c r="BK378" s="71">
        <f>IFERROR(__xludf.DUMMYFUNCTION("""COMPUTED_VALUE"""),112.5)</f>
        <v>112.5</v>
      </c>
      <c r="BL378" s="71">
        <f>IFERROR(__xludf.DUMMYFUNCTION("""COMPUTED_VALUE"""),18.0)</f>
        <v>18</v>
      </c>
      <c r="BM378" s="71">
        <f>IFERROR(__xludf.DUMMYFUNCTION("""COMPUTED_VALUE"""),130.5)</f>
        <v>130.5</v>
      </c>
      <c r="BN378" s="71">
        <f>IFERROR(__xludf.DUMMYFUNCTION("""COMPUTED_VALUE"""),106.25)</f>
        <v>106.25</v>
      </c>
      <c r="BO378" s="71">
        <f>IFERROR(__xludf.DUMMYFUNCTION("""COMPUTED_VALUE"""),17.0)</f>
        <v>17</v>
      </c>
      <c r="BP378" s="71">
        <f>IFERROR(__xludf.DUMMYFUNCTION("""COMPUTED_VALUE"""),123.25)</f>
        <v>123.25</v>
      </c>
      <c r="BQ378" s="71">
        <f>IFERROR(__xludf.DUMMYFUNCTION("""COMPUTED_VALUE"""),103.75)</f>
        <v>103.75</v>
      </c>
      <c r="BR378" s="71">
        <f>IFERROR(__xludf.DUMMYFUNCTION("""COMPUTED_VALUE"""),16.6)</f>
        <v>16.6</v>
      </c>
      <c r="BS378" s="71">
        <f>IFERROR(__xludf.DUMMYFUNCTION("""COMPUTED_VALUE"""),120.35)</f>
        <v>120.35</v>
      </c>
      <c r="BT378" s="71">
        <f>IFERROR(__xludf.DUMMYFUNCTION("""COMPUTED_VALUE"""),100.0)</f>
        <v>100</v>
      </c>
      <c r="BU378" s="71">
        <f>IFERROR(__xludf.DUMMYFUNCTION("""COMPUTED_VALUE"""),16.0)</f>
        <v>16</v>
      </c>
      <c r="BV378" s="71">
        <f>IFERROR(__xludf.DUMMYFUNCTION("""COMPUTED_VALUE"""),116.0)</f>
        <v>116</v>
      </c>
    </row>
    <row r="379">
      <c r="A379" s="53"/>
      <c r="B379" s="53"/>
      <c r="C379" s="53" t="s">
        <v>36</v>
      </c>
      <c r="D379" s="85" t="s">
        <v>965</v>
      </c>
      <c r="E379" s="54" t="s">
        <v>38</v>
      </c>
      <c r="F379" s="55" t="s">
        <v>39</v>
      </c>
      <c r="G379" s="86" t="s">
        <v>966</v>
      </c>
      <c r="H379" s="86" t="s">
        <v>966</v>
      </c>
      <c r="I379" s="54">
        <f t="shared" si="1"/>
        <v>16</v>
      </c>
      <c r="J379" s="56"/>
      <c r="K379" s="57"/>
      <c r="L379" s="76"/>
      <c r="M379" s="59"/>
      <c r="N379" s="60"/>
      <c r="O379" s="61">
        <v>122.88</v>
      </c>
      <c r="P379" s="62">
        <v>140.0</v>
      </c>
      <c r="Q379" s="63">
        <v>140.0</v>
      </c>
      <c r="R379" s="64">
        <v>147.0</v>
      </c>
      <c r="S379" s="107">
        <v>154.0</v>
      </c>
      <c r="T379" s="65">
        <f t="shared" si="2"/>
        <v>24.64</v>
      </c>
      <c r="U379" s="65">
        <f t="shared" si="3"/>
        <v>178.64</v>
      </c>
      <c r="V379" s="66">
        <f t="shared" si="4"/>
        <v>0.04761904762</v>
      </c>
      <c r="W379" s="67">
        <f t="shared" si="5"/>
        <v>146.3</v>
      </c>
      <c r="X379" s="67">
        <f t="shared" si="6"/>
        <v>23.408</v>
      </c>
      <c r="Y379" s="67">
        <f t="shared" si="7"/>
        <v>169.708</v>
      </c>
      <c r="Z379" s="67">
        <f t="shared" si="8"/>
        <v>138.6</v>
      </c>
      <c r="AA379" s="67">
        <f t="shared" si="9"/>
        <v>22.176</v>
      </c>
      <c r="AB379" s="67">
        <f t="shared" si="10"/>
        <v>160.776</v>
      </c>
      <c r="AC379" s="67">
        <f t="shared" si="11"/>
        <v>130.9</v>
      </c>
      <c r="AD379" s="67">
        <f t="shared" si="12"/>
        <v>20.944</v>
      </c>
      <c r="AE379" s="67">
        <f t="shared" si="13"/>
        <v>151.844</v>
      </c>
      <c r="AF379" s="67">
        <f t="shared" si="14"/>
        <v>127.82</v>
      </c>
      <c r="AG379" s="67">
        <f t="shared" si="15"/>
        <v>20.4512</v>
      </c>
      <c r="AH379" s="67">
        <f t="shared" si="16"/>
        <v>148.2712</v>
      </c>
      <c r="AI379" s="67">
        <f t="shared" si="17"/>
        <v>123.2</v>
      </c>
      <c r="AJ379" s="68">
        <f t="shared" si="20"/>
        <v>19.712</v>
      </c>
      <c r="AK379" s="68">
        <f t="shared" si="21"/>
        <v>142.912</v>
      </c>
      <c r="AL379" s="70">
        <f>IFERROR(__xludf.DUMMYFUNCTION("""COMPUTED_VALUE"""),1.0)</f>
        <v>1</v>
      </c>
      <c r="AM379" s="70"/>
      <c r="AN379" s="71" t="str">
        <f>IFERROR(__xludf.DUMMYFUNCTION("""COMPUTED_VALUE""")," C")</f>
        <v>C</v>
      </c>
      <c r="AO379" s="71" t="str">
        <f>IFERROR(__xludf.DUMMYFUNCTION("""COMPUTED_VALUE""")," CA202")</f>
        <v>CA202</v>
      </c>
      <c r="AP379" s="71" t="str">
        <f>IFERROR(__xludf.DUMMYFUNCTION("""COMPUTED_VALUE""")," PZA")</f>
        <v>PZA</v>
      </c>
      <c r="AQ379" s="71" t="str">
        <f>IFERROR(__xludf.DUMMYFUNCTION("""COMPUTED_VALUE""")," REF")</f>
        <v>REF</v>
      </c>
      <c r="AR379" s="71" t="str">
        <f>IFERROR(__xludf.DUMMYFUNCTION("""COMPUTED_VALUE""")," CATARINA 42B21 E.1"" 15/16 C.1/4")</f>
        <v>CATARINA 42B21 E.1" 15/16 C.1/4</v>
      </c>
      <c r="AS379" s="71" t="str">
        <f>IFERROR(__xludf.DUMMYFUNCTION("""COMPUTED_VALUE""")," CATARINA 42B21 E.1"" 15/16 C.1/4")</f>
        <v>CATARINA 42B21 E.1" 15/16 C.1/4</v>
      </c>
      <c r="AT379" s="71">
        <f>IFERROR(__xludf.DUMMYFUNCTION("""COMPUTED_VALUE"""),31.0)</f>
        <v>31</v>
      </c>
      <c r="AU379" s="71"/>
      <c r="AV379" s="71"/>
      <c r="AW379" s="71"/>
      <c r="AX379" s="71"/>
      <c r="AY379" s="71">
        <f>IFERROR(__xludf.DUMMYFUNCTION("""COMPUTED_VALUE"""),201.0)</f>
        <v>201</v>
      </c>
      <c r="AZ379" s="71">
        <f>IFERROR(__xludf.DUMMYFUNCTION("""COMPUTED_VALUE"""),217.0)</f>
        <v>217</v>
      </c>
      <c r="BA379" s="71">
        <f>IFERROR(__xludf.DUMMYFUNCTION("""COMPUTED_VALUE"""),110.0)</f>
        <v>110</v>
      </c>
      <c r="BB379" s="71">
        <f>IFERROR(__xludf.DUMMYFUNCTION("""COMPUTED_VALUE"""),110.0)</f>
        <v>110</v>
      </c>
      <c r="BC379" s="71">
        <f>IFERROR(__xludf.DUMMYFUNCTION("""COMPUTED_VALUE"""),119.0)</f>
        <v>119</v>
      </c>
      <c r="BD379" s="71">
        <f>IFERROR(__xludf.DUMMYFUNCTION("""COMPUTED_VALUE"""),125.0)</f>
        <v>125</v>
      </c>
      <c r="BE379" s="71">
        <f>IFERROR(__xludf.DUMMYFUNCTION("""COMPUTED_VALUE"""),20.0)</f>
        <v>20</v>
      </c>
      <c r="BF379" s="71">
        <f>IFERROR(__xludf.DUMMYFUNCTION("""COMPUTED_VALUE"""),145.0)</f>
        <v>145</v>
      </c>
      <c r="BG379" s="71">
        <f>IFERROR(__xludf.DUMMYFUNCTION("""COMPUTED_VALUE"""),0.05042016806722689)</f>
        <v>0.05042016807</v>
      </c>
      <c r="BH379" s="71">
        <f>IFERROR(__xludf.DUMMYFUNCTION("""COMPUTED_VALUE"""),118.75)</f>
        <v>118.75</v>
      </c>
      <c r="BI379" s="71">
        <f>IFERROR(__xludf.DUMMYFUNCTION("""COMPUTED_VALUE"""),19.0)</f>
        <v>19</v>
      </c>
      <c r="BJ379" s="71">
        <f>IFERROR(__xludf.DUMMYFUNCTION("""COMPUTED_VALUE"""),137.75)</f>
        <v>137.75</v>
      </c>
      <c r="BK379" s="71">
        <f>IFERROR(__xludf.DUMMYFUNCTION("""COMPUTED_VALUE"""),112.5)</f>
        <v>112.5</v>
      </c>
      <c r="BL379" s="71">
        <f>IFERROR(__xludf.DUMMYFUNCTION("""COMPUTED_VALUE"""),18.0)</f>
        <v>18</v>
      </c>
      <c r="BM379" s="71">
        <f>IFERROR(__xludf.DUMMYFUNCTION("""COMPUTED_VALUE"""),130.5)</f>
        <v>130.5</v>
      </c>
      <c r="BN379" s="71">
        <f>IFERROR(__xludf.DUMMYFUNCTION("""COMPUTED_VALUE"""),106.25)</f>
        <v>106.25</v>
      </c>
      <c r="BO379" s="71">
        <f>IFERROR(__xludf.DUMMYFUNCTION("""COMPUTED_VALUE"""),17.0)</f>
        <v>17</v>
      </c>
      <c r="BP379" s="71">
        <f>IFERROR(__xludf.DUMMYFUNCTION("""COMPUTED_VALUE"""),123.25)</f>
        <v>123.25</v>
      </c>
      <c r="BQ379" s="71">
        <f>IFERROR(__xludf.DUMMYFUNCTION("""COMPUTED_VALUE"""),103.75)</f>
        <v>103.75</v>
      </c>
      <c r="BR379" s="71">
        <f>IFERROR(__xludf.DUMMYFUNCTION("""COMPUTED_VALUE"""),16.6)</f>
        <v>16.6</v>
      </c>
      <c r="BS379" s="71">
        <f>IFERROR(__xludf.DUMMYFUNCTION("""COMPUTED_VALUE"""),120.35)</f>
        <v>120.35</v>
      </c>
      <c r="BT379" s="71">
        <f>IFERROR(__xludf.DUMMYFUNCTION("""COMPUTED_VALUE"""),100.0)</f>
        <v>100</v>
      </c>
      <c r="BU379" s="71">
        <f>IFERROR(__xludf.DUMMYFUNCTION("""COMPUTED_VALUE"""),16.0)</f>
        <v>16</v>
      </c>
      <c r="BV379" s="71">
        <f>IFERROR(__xludf.DUMMYFUNCTION("""COMPUTED_VALUE"""),116.0)</f>
        <v>116</v>
      </c>
    </row>
    <row r="380">
      <c r="A380" s="53">
        <v>1.0</v>
      </c>
      <c r="B380" s="72"/>
      <c r="C380" s="73" t="s">
        <v>12</v>
      </c>
      <c r="D380" s="74" t="s">
        <v>967</v>
      </c>
      <c r="E380" s="54" t="s">
        <v>38</v>
      </c>
      <c r="F380" s="54" t="s">
        <v>42</v>
      </c>
      <c r="G380" s="54" t="s">
        <v>968</v>
      </c>
      <c r="H380" s="54" t="s">
        <v>969</v>
      </c>
      <c r="I380" s="54">
        <f t="shared" si="1"/>
        <v>16</v>
      </c>
      <c r="J380" s="56"/>
      <c r="K380" s="57"/>
      <c r="L380" s="87"/>
      <c r="M380" s="59"/>
      <c r="N380" s="60">
        <v>140.0</v>
      </c>
      <c r="O380" s="61">
        <v>151.0</v>
      </c>
      <c r="P380" s="62">
        <v>163.08</v>
      </c>
      <c r="Q380" s="63">
        <v>163.08</v>
      </c>
      <c r="R380" s="64">
        <v>182.0</v>
      </c>
      <c r="S380" s="111">
        <v>191.0</v>
      </c>
      <c r="T380" s="65">
        <f t="shared" si="2"/>
        <v>30.56</v>
      </c>
      <c r="U380" s="65">
        <f t="shared" si="3"/>
        <v>221.56</v>
      </c>
      <c r="V380" s="66">
        <f t="shared" si="4"/>
        <v>0.04945054945</v>
      </c>
      <c r="W380" s="67">
        <f t="shared" si="5"/>
        <v>181.45</v>
      </c>
      <c r="X380" s="67">
        <f t="shared" si="6"/>
        <v>29.032</v>
      </c>
      <c r="Y380" s="67">
        <f t="shared" si="7"/>
        <v>210.482</v>
      </c>
      <c r="Z380" s="67">
        <f t="shared" si="8"/>
        <v>171.9</v>
      </c>
      <c r="AA380" s="67">
        <f t="shared" si="9"/>
        <v>27.504</v>
      </c>
      <c r="AB380" s="67">
        <f t="shared" si="10"/>
        <v>199.404</v>
      </c>
      <c r="AC380" s="67">
        <f t="shared" si="11"/>
        <v>162.35</v>
      </c>
      <c r="AD380" s="67">
        <f t="shared" si="12"/>
        <v>25.976</v>
      </c>
      <c r="AE380" s="67">
        <f t="shared" si="13"/>
        <v>188.326</v>
      </c>
      <c r="AF380" s="67">
        <f t="shared" si="14"/>
        <v>158.53</v>
      </c>
      <c r="AG380" s="67">
        <f t="shared" si="15"/>
        <v>25.3648</v>
      </c>
      <c r="AH380" s="67">
        <f t="shared" si="16"/>
        <v>183.8948</v>
      </c>
      <c r="AI380" s="67">
        <f t="shared" si="17"/>
        <v>152.8</v>
      </c>
      <c r="AJ380" s="68">
        <f t="shared" si="20"/>
        <v>24.448</v>
      </c>
      <c r="AK380" s="68">
        <f t="shared" si="21"/>
        <v>177.248</v>
      </c>
      <c r="AL380" s="70">
        <f>IFERROR(__xludf.DUMMYFUNCTION("""COMPUTED_VALUE"""),1.0)</f>
        <v>1</v>
      </c>
      <c r="AM380" s="70"/>
      <c r="AN380" s="71" t="str">
        <f>IFERROR(__xludf.DUMMYFUNCTION("""COMPUTED_VALUE""")," CP")</f>
        <v>CP</v>
      </c>
      <c r="AO380" s="71" t="str">
        <f>IFERROR(__xludf.DUMMYFUNCTION("""COMPUTED_VALUE""")," CA61")</f>
        <v>CA61</v>
      </c>
      <c r="AP380" s="71" t="str">
        <f>IFERROR(__xludf.DUMMYFUNCTION("""COMPUTED_VALUE""")," PZA")</f>
        <v>PZA</v>
      </c>
      <c r="AQ380" s="71" t="str">
        <f>IFERROR(__xludf.DUMMYFUNCTION("""COMPUTED_VALUE""")," REF")</f>
        <v>REF</v>
      </c>
      <c r="AR380" s="71" t="str">
        <f>IFERROR(__xludf.DUMMYFUNCTION("""COMPUTED_VALUE""")," CATARINA 42B21 E.1"" C.1/4")</f>
        <v>CATARINA 42B21 E.1" C.1/4</v>
      </c>
      <c r="AS380" s="71" t="str">
        <f>IFERROR(__xludf.DUMMYFUNCTION("""COMPUTED_VALUE""")," CATARINA 42B21 E.1"" C.1/4")</f>
        <v>CATARINA 42B21 E.1" C.1/4</v>
      </c>
      <c r="AT380" s="71">
        <f>IFERROR(__xludf.DUMMYFUNCTION("""COMPUTED_VALUE"""),25.0)</f>
        <v>25</v>
      </c>
      <c r="AU380" s="71"/>
      <c r="AV380" s="71"/>
      <c r="AW380" s="71"/>
      <c r="AX380" s="71"/>
      <c r="AY380" s="71">
        <f>IFERROR(__xludf.DUMMYFUNCTION("""COMPUTED_VALUE"""),201.0)</f>
        <v>201</v>
      </c>
      <c r="AZ380" s="71">
        <f>IFERROR(__xludf.DUMMYFUNCTION("""COMPUTED_VALUE"""),217.0)</f>
        <v>217</v>
      </c>
      <c r="BA380" s="71">
        <f>IFERROR(__xludf.DUMMYFUNCTION("""COMPUTED_VALUE"""),110.0)</f>
        <v>110</v>
      </c>
      <c r="BB380" s="71">
        <f>IFERROR(__xludf.DUMMYFUNCTION("""COMPUTED_VALUE"""),110.0)</f>
        <v>110</v>
      </c>
      <c r="BC380" s="71">
        <f>IFERROR(__xludf.DUMMYFUNCTION("""COMPUTED_VALUE"""),144.0)</f>
        <v>144</v>
      </c>
      <c r="BD380" s="71">
        <f>IFERROR(__xludf.DUMMYFUNCTION("""COMPUTED_VALUE"""),151.0)</f>
        <v>151</v>
      </c>
      <c r="BE380" s="71">
        <f>IFERROR(__xludf.DUMMYFUNCTION("""COMPUTED_VALUE"""),24.16)</f>
        <v>24.16</v>
      </c>
      <c r="BF380" s="71">
        <f>IFERROR(__xludf.DUMMYFUNCTION("""COMPUTED_VALUE"""),175.16)</f>
        <v>175.16</v>
      </c>
      <c r="BG380" s="71">
        <f>IFERROR(__xludf.DUMMYFUNCTION("""COMPUTED_VALUE"""),0.04861111111111111)</f>
        <v>0.04861111111</v>
      </c>
      <c r="BH380" s="71">
        <f>IFERROR(__xludf.DUMMYFUNCTION("""COMPUTED_VALUE"""),143.45)</f>
        <v>143.45</v>
      </c>
      <c r="BI380" s="71">
        <f>IFERROR(__xludf.DUMMYFUNCTION("""COMPUTED_VALUE"""),22.951999999999998)</f>
        <v>22.952</v>
      </c>
      <c r="BJ380" s="71">
        <f>IFERROR(__xludf.DUMMYFUNCTION("""COMPUTED_VALUE"""),166.402)</f>
        <v>166.402</v>
      </c>
      <c r="BK380" s="71">
        <f>IFERROR(__xludf.DUMMYFUNCTION("""COMPUTED_VALUE"""),135.9)</f>
        <v>135.9</v>
      </c>
      <c r="BL380" s="71">
        <f>IFERROR(__xludf.DUMMYFUNCTION("""COMPUTED_VALUE"""),21.744)</f>
        <v>21.744</v>
      </c>
      <c r="BM380" s="71">
        <f>IFERROR(__xludf.DUMMYFUNCTION("""COMPUTED_VALUE"""),157.644)</f>
        <v>157.644</v>
      </c>
      <c r="BN380" s="71">
        <f>IFERROR(__xludf.DUMMYFUNCTION("""COMPUTED_VALUE"""),128.35)</f>
        <v>128.35</v>
      </c>
      <c r="BO380" s="71">
        <f>IFERROR(__xludf.DUMMYFUNCTION("""COMPUTED_VALUE"""),20.535999999999998)</f>
        <v>20.536</v>
      </c>
      <c r="BP380" s="71">
        <f>IFERROR(__xludf.DUMMYFUNCTION("""COMPUTED_VALUE"""),148.886)</f>
        <v>148.886</v>
      </c>
      <c r="BQ380" s="71">
        <f>IFERROR(__xludf.DUMMYFUNCTION("""COMPUTED_VALUE"""),125.33)</f>
        <v>125.33</v>
      </c>
      <c r="BR380" s="71">
        <f>IFERROR(__xludf.DUMMYFUNCTION("""COMPUTED_VALUE"""),20.0528)</f>
        <v>20.0528</v>
      </c>
      <c r="BS380" s="71">
        <f>IFERROR(__xludf.DUMMYFUNCTION("""COMPUTED_VALUE"""),145.3828)</f>
        <v>145.3828</v>
      </c>
      <c r="BT380" s="71">
        <f>IFERROR(__xludf.DUMMYFUNCTION("""COMPUTED_VALUE"""),120.80000000000001)</f>
        <v>120.8</v>
      </c>
      <c r="BU380" s="71">
        <f>IFERROR(__xludf.DUMMYFUNCTION("""COMPUTED_VALUE"""),19.328000000000003)</f>
        <v>19.328</v>
      </c>
      <c r="BV380" s="71">
        <f>IFERROR(__xludf.DUMMYFUNCTION("""COMPUTED_VALUE"""),140.12800000000001)</f>
        <v>140.128</v>
      </c>
    </row>
    <row r="381">
      <c r="A381" s="53">
        <v>1.0</v>
      </c>
      <c r="B381" s="72"/>
      <c r="C381" s="73" t="s">
        <v>12</v>
      </c>
      <c r="D381" s="74" t="s">
        <v>970</v>
      </c>
      <c r="E381" s="54" t="s">
        <v>38</v>
      </c>
      <c r="F381" s="54" t="s">
        <v>42</v>
      </c>
      <c r="G381" s="88" t="s">
        <v>971</v>
      </c>
      <c r="H381" s="54" t="s">
        <v>972</v>
      </c>
      <c r="I381" s="54">
        <f t="shared" si="1"/>
        <v>25</v>
      </c>
      <c r="J381" s="56"/>
      <c r="K381" s="57"/>
      <c r="L381" s="87"/>
      <c r="M381" s="59"/>
      <c r="N381" s="60">
        <v>3343.0</v>
      </c>
      <c r="O381" s="61">
        <v>3610.0</v>
      </c>
      <c r="P381" s="62">
        <v>3898.8</v>
      </c>
      <c r="Q381" s="63">
        <v>3898.8</v>
      </c>
      <c r="R381" s="64">
        <v>4340.0</v>
      </c>
      <c r="S381" s="111">
        <v>4557.0</v>
      </c>
      <c r="T381" s="65">
        <f t="shared" si="2"/>
        <v>729.12</v>
      </c>
      <c r="U381" s="65">
        <f t="shared" si="3"/>
        <v>5286.12</v>
      </c>
      <c r="V381" s="66">
        <f t="shared" si="4"/>
        <v>0.05</v>
      </c>
      <c r="W381" s="67">
        <f t="shared" si="5"/>
        <v>4329.15</v>
      </c>
      <c r="X381" s="67">
        <f t="shared" si="6"/>
        <v>692.664</v>
      </c>
      <c r="Y381" s="67">
        <f t="shared" si="7"/>
        <v>5021.814</v>
      </c>
      <c r="Z381" s="67">
        <f t="shared" si="8"/>
        <v>4101.3</v>
      </c>
      <c r="AA381" s="67">
        <f t="shared" si="9"/>
        <v>656.208</v>
      </c>
      <c r="AB381" s="67">
        <f t="shared" si="10"/>
        <v>4757.508</v>
      </c>
      <c r="AC381" s="67">
        <f t="shared" si="11"/>
        <v>3873.45</v>
      </c>
      <c r="AD381" s="67">
        <f t="shared" si="12"/>
        <v>619.752</v>
      </c>
      <c r="AE381" s="67">
        <f t="shared" si="13"/>
        <v>4493.202</v>
      </c>
      <c r="AF381" s="67">
        <f t="shared" si="14"/>
        <v>3782.31</v>
      </c>
      <c r="AG381" s="67">
        <f t="shared" si="15"/>
        <v>605.1696</v>
      </c>
      <c r="AH381" s="67">
        <f t="shared" si="16"/>
        <v>4387.4796</v>
      </c>
      <c r="AI381" s="67">
        <f t="shared" si="17"/>
        <v>3645.6</v>
      </c>
      <c r="AJ381" s="68">
        <f t="shared" si="20"/>
        <v>583.296</v>
      </c>
      <c r="AK381" s="68">
        <f t="shared" si="21"/>
        <v>4228.896</v>
      </c>
      <c r="AL381" s="70">
        <f>IFERROR(__xludf.DUMMYFUNCTION("""COMPUTED_VALUE"""),1.0)</f>
        <v>1</v>
      </c>
      <c r="AM381" s="70"/>
      <c r="AN381" s="71" t="str">
        <f>IFERROR(__xludf.DUMMYFUNCTION("""COMPUTED_VALUE""")," CP")</f>
        <v>CP</v>
      </c>
      <c r="AO381" s="71" t="str">
        <f>IFERROR(__xludf.DUMMYFUNCTION("""COMPUTED_VALUE""")," CA67")</f>
        <v>CA67</v>
      </c>
      <c r="AP381" s="71" t="str">
        <f>IFERROR(__xludf.DUMMYFUNCTION("""COMPUTED_VALUE""")," PZA")</f>
        <v>PZA</v>
      </c>
      <c r="AQ381" s="71" t="str">
        <f>IFERROR(__xludf.DUMMYFUNCTION("""COMPUTED_VALUE""")," REF")</f>
        <v>REF</v>
      </c>
      <c r="AR381" s="71" t="str">
        <f>IFERROR(__xludf.DUMMYFUNCTION("""COMPUTED_VALUE""")," CATARINA 42B24 E.1-1/8"" C.1/4")</f>
        <v>CATARINA 42B24 E.1-1/8" C.1/4</v>
      </c>
      <c r="AS381" s="71" t="str">
        <f>IFERROR(__xludf.DUMMYFUNCTION("""COMPUTED_VALUE""")," CATARINA 42B24 E.1-1/8"" C.1/4")</f>
        <v>CATARINA 42B24 E.1-1/8" C.1/4</v>
      </c>
      <c r="AT381" s="71">
        <f>IFERROR(__xludf.DUMMYFUNCTION("""COMPUTED_VALUE"""),29.0)</f>
        <v>29</v>
      </c>
      <c r="AU381" s="71"/>
      <c r="AV381" s="71"/>
      <c r="AW381" s="71"/>
      <c r="AX381" s="71"/>
      <c r="AY381" s="71">
        <f>IFERROR(__xludf.DUMMYFUNCTION("""COMPUTED_VALUE"""),213.0)</f>
        <v>213</v>
      </c>
      <c r="AZ381" s="71">
        <f>IFERROR(__xludf.DUMMYFUNCTION("""COMPUTED_VALUE"""),230.0)</f>
        <v>230</v>
      </c>
      <c r="BA381" s="71">
        <f>IFERROR(__xludf.DUMMYFUNCTION("""COMPUTED_VALUE"""),130.0)</f>
        <v>130</v>
      </c>
      <c r="BB381" s="71">
        <f>IFERROR(__xludf.DUMMYFUNCTION("""COMPUTED_VALUE"""),130.0)</f>
        <v>130</v>
      </c>
      <c r="BC381" s="71">
        <f>IFERROR(__xludf.DUMMYFUNCTION("""COMPUTED_VALUE"""),161.0)</f>
        <v>161</v>
      </c>
      <c r="BD381" s="71">
        <f>IFERROR(__xludf.DUMMYFUNCTION("""COMPUTED_VALUE"""),169.0)</f>
        <v>169</v>
      </c>
      <c r="BE381" s="71">
        <f>IFERROR(__xludf.DUMMYFUNCTION("""COMPUTED_VALUE"""),27.04)</f>
        <v>27.04</v>
      </c>
      <c r="BF381" s="71">
        <f>IFERROR(__xludf.DUMMYFUNCTION("""COMPUTED_VALUE"""),196.04)</f>
        <v>196.04</v>
      </c>
      <c r="BG381" s="71">
        <f>IFERROR(__xludf.DUMMYFUNCTION("""COMPUTED_VALUE"""),0.049689440993788817)</f>
        <v>0.04968944099</v>
      </c>
      <c r="BH381" s="71">
        <f>IFERROR(__xludf.DUMMYFUNCTION("""COMPUTED_VALUE"""),160.54999999999998)</f>
        <v>160.55</v>
      </c>
      <c r="BI381" s="71">
        <f>IFERROR(__xludf.DUMMYFUNCTION("""COMPUTED_VALUE"""),25.688)</f>
        <v>25.688</v>
      </c>
      <c r="BJ381" s="71">
        <f>IFERROR(__xludf.DUMMYFUNCTION("""COMPUTED_VALUE"""),186.23799999999997)</f>
        <v>186.238</v>
      </c>
      <c r="BK381" s="71">
        <f>IFERROR(__xludf.DUMMYFUNCTION("""COMPUTED_VALUE"""),152.1)</f>
        <v>152.1</v>
      </c>
      <c r="BL381" s="71">
        <f>IFERROR(__xludf.DUMMYFUNCTION("""COMPUTED_VALUE"""),24.336)</f>
        <v>24.336</v>
      </c>
      <c r="BM381" s="71">
        <f>IFERROR(__xludf.DUMMYFUNCTION("""COMPUTED_VALUE"""),176.43599999999998)</f>
        <v>176.436</v>
      </c>
      <c r="BN381" s="71">
        <f>IFERROR(__xludf.DUMMYFUNCTION("""COMPUTED_VALUE"""),143.65)</f>
        <v>143.65</v>
      </c>
      <c r="BO381" s="71">
        <f>IFERROR(__xludf.DUMMYFUNCTION("""COMPUTED_VALUE"""),22.984)</f>
        <v>22.984</v>
      </c>
      <c r="BP381" s="71">
        <f>IFERROR(__xludf.DUMMYFUNCTION("""COMPUTED_VALUE"""),166.63400000000001)</f>
        <v>166.634</v>
      </c>
      <c r="BQ381" s="71">
        <f>IFERROR(__xludf.DUMMYFUNCTION("""COMPUTED_VALUE"""),140.26999999999998)</f>
        <v>140.27</v>
      </c>
      <c r="BR381" s="71">
        <f>IFERROR(__xludf.DUMMYFUNCTION("""COMPUTED_VALUE"""),22.443199999999997)</f>
        <v>22.4432</v>
      </c>
      <c r="BS381" s="71">
        <f>IFERROR(__xludf.DUMMYFUNCTION("""COMPUTED_VALUE"""),162.71319999999997)</f>
        <v>162.7132</v>
      </c>
      <c r="BT381" s="71">
        <f>IFERROR(__xludf.DUMMYFUNCTION("""COMPUTED_VALUE"""),135.20000000000002)</f>
        <v>135.2</v>
      </c>
      <c r="BU381" s="71">
        <f>IFERROR(__xludf.DUMMYFUNCTION("""COMPUTED_VALUE"""),21.632)</f>
        <v>21.632</v>
      </c>
      <c r="BV381" s="71">
        <f>IFERROR(__xludf.DUMMYFUNCTION("""COMPUTED_VALUE"""),156.83200000000002)</f>
        <v>156.832</v>
      </c>
    </row>
    <row r="382">
      <c r="A382" s="53">
        <v>1.0</v>
      </c>
      <c r="B382" s="72"/>
      <c r="C382" s="73" t="s">
        <v>12</v>
      </c>
      <c r="D382" s="74" t="s">
        <v>973</v>
      </c>
      <c r="E382" s="55" t="s">
        <v>38</v>
      </c>
      <c r="F382" s="54" t="s">
        <v>42</v>
      </c>
      <c r="G382" s="55" t="s">
        <v>974</v>
      </c>
      <c r="H382" s="54" t="s">
        <v>975</v>
      </c>
      <c r="I382" s="54">
        <f t="shared" si="1"/>
        <v>16</v>
      </c>
      <c r="J382" s="56"/>
      <c r="K382" s="57"/>
      <c r="L382" s="87"/>
      <c r="M382" s="59"/>
      <c r="N382" s="60">
        <v>684.0</v>
      </c>
      <c r="O382" s="61">
        <v>738.0</v>
      </c>
      <c r="P382" s="62">
        <v>797.0400000000001</v>
      </c>
      <c r="Q382" s="63">
        <v>797.0400000000001</v>
      </c>
      <c r="R382" s="64">
        <v>888.0</v>
      </c>
      <c r="S382" s="111">
        <v>932.0</v>
      </c>
      <c r="T382" s="65">
        <f t="shared" si="2"/>
        <v>149.12</v>
      </c>
      <c r="U382" s="65">
        <f t="shared" si="3"/>
        <v>1081.12</v>
      </c>
      <c r="V382" s="66">
        <f t="shared" si="4"/>
        <v>0.04954954955</v>
      </c>
      <c r="W382" s="67">
        <f t="shared" si="5"/>
        <v>885.4</v>
      </c>
      <c r="X382" s="67">
        <f t="shared" si="6"/>
        <v>141.664</v>
      </c>
      <c r="Y382" s="67">
        <f t="shared" si="7"/>
        <v>1027.064</v>
      </c>
      <c r="Z382" s="67">
        <f t="shared" si="8"/>
        <v>838.8</v>
      </c>
      <c r="AA382" s="67">
        <f t="shared" si="9"/>
        <v>134.208</v>
      </c>
      <c r="AB382" s="67">
        <f t="shared" si="10"/>
        <v>973.008</v>
      </c>
      <c r="AC382" s="67">
        <f t="shared" si="11"/>
        <v>792.2</v>
      </c>
      <c r="AD382" s="67">
        <f t="shared" si="12"/>
        <v>126.752</v>
      </c>
      <c r="AE382" s="67">
        <f t="shared" si="13"/>
        <v>918.952</v>
      </c>
      <c r="AF382" s="67">
        <f t="shared" si="14"/>
        <v>773.56</v>
      </c>
      <c r="AG382" s="67">
        <f t="shared" si="15"/>
        <v>123.7696</v>
      </c>
      <c r="AH382" s="67">
        <f t="shared" si="16"/>
        <v>897.3296</v>
      </c>
      <c r="AI382" s="67">
        <f t="shared" si="17"/>
        <v>745.6</v>
      </c>
      <c r="AJ382" s="68">
        <f t="shared" si="20"/>
        <v>119.296</v>
      </c>
      <c r="AK382" s="68">
        <f t="shared" si="21"/>
        <v>864.896</v>
      </c>
      <c r="AL382" s="70">
        <f>IFERROR(__xludf.DUMMYFUNCTION("""COMPUTED_VALUE"""),1.0)</f>
        <v>1</v>
      </c>
      <c r="AM382" s="70"/>
      <c r="AN382" s="71" t="str">
        <f>IFERROR(__xludf.DUMMYFUNCTION("""COMPUTED_VALUE""")," CP")</f>
        <v>CP</v>
      </c>
      <c r="AO382" s="71" t="str">
        <f>IFERROR(__xludf.DUMMYFUNCTION("""COMPUTED_VALUE""")," CA68")</f>
        <v>CA68</v>
      </c>
      <c r="AP382" s="71" t="str">
        <f>IFERROR(__xludf.DUMMYFUNCTION("""COMPUTED_VALUE""")," PZA")</f>
        <v>PZA</v>
      </c>
      <c r="AQ382" s="71" t="str">
        <f>IFERROR(__xludf.DUMMYFUNCTION("""COMPUTED_VALUE""")," REF")</f>
        <v>REF</v>
      </c>
      <c r="AR382" s="71" t="str">
        <f>IFERROR(__xludf.DUMMYFUNCTION("""COMPUTED_VALUE""")," CATARINA 42B24 E.15/16""")</f>
        <v>CATARINA 42B24 E.15/16"</v>
      </c>
      <c r="AS382" s="71" t="str">
        <f>IFERROR(__xludf.DUMMYFUNCTION("""COMPUTED_VALUE""")," CATARINA 42B24 E.15/16""")</f>
        <v>CATARINA 42B24 E.15/16"</v>
      </c>
      <c r="AT382" s="71">
        <f>IFERROR(__xludf.DUMMYFUNCTION("""COMPUTED_VALUE"""),23.0)</f>
        <v>23</v>
      </c>
      <c r="AU382" s="71"/>
      <c r="AV382" s="71"/>
      <c r="AW382" s="71"/>
      <c r="AX382" s="71"/>
      <c r="AY382" s="71">
        <f>IFERROR(__xludf.DUMMYFUNCTION("""COMPUTED_VALUE"""),213.0)</f>
        <v>213</v>
      </c>
      <c r="AZ382" s="71">
        <f>IFERROR(__xludf.DUMMYFUNCTION("""COMPUTED_VALUE"""),230.0)</f>
        <v>230</v>
      </c>
      <c r="BA382" s="71">
        <f>IFERROR(__xludf.DUMMYFUNCTION("""COMPUTED_VALUE"""),125.0)</f>
        <v>125</v>
      </c>
      <c r="BB382" s="71">
        <f>IFERROR(__xludf.DUMMYFUNCTION("""COMPUTED_VALUE"""),125.0)</f>
        <v>125</v>
      </c>
      <c r="BC382" s="71">
        <f>IFERROR(__xludf.DUMMYFUNCTION("""COMPUTED_VALUE"""),161.0)</f>
        <v>161</v>
      </c>
      <c r="BD382" s="71">
        <f>IFERROR(__xludf.DUMMYFUNCTION("""COMPUTED_VALUE"""),169.0)</f>
        <v>169</v>
      </c>
      <c r="BE382" s="71">
        <f>IFERROR(__xludf.DUMMYFUNCTION("""COMPUTED_VALUE"""),27.04)</f>
        <v>27.04</v>
      </c>
      <c r="BF382" s="71">
        <f>IFERROR(__xludf.DUMMYFUNCTION("""COMPUTED_VALUE"""),196.04)</f>
        <v>196.04</v>
      </c>
      <c r="BG382" s="71">
        <f>IFERROR(__xludf.DUMMYFUNCTION("""COMPUTED_VALUE"""),0.049689440993788817)</f>
        <v>0.04968944099</v>
      </c>
      <c r="BH382" s="71">
        <f>IFERROR(__xludf.DUMMYFUNCTION("""COMPUTED_VALUE"""),160.54999999999998)</f>
        <v>160.55</v>
      </c>
      <c r="BI382" s="71">
        <f>IFERROR(__xludf.DUMMYFUNCTION("""COMPUTED_VALUE"""),25.688)</f>
        <v>25.688</v>
      </c>
      <c r="BJ382" s="71">
        <f>IFERROR(__xludf.DUMMYFUNCTION("""COMPUTED_VALUE"""),186.23799999999997)</f>
        <v>186.238</v>
      </c>
      <c r="BK382" s="71">
        <f>IFERROR(__xludf.DUMMYFUNCTION("""COMPUTED_VALUE"""),152.1)</f>
        <v>152.1</v>
      </c>
      <c r="BL382" s="71">
        <f>IFERROR(__xludf.DUMMYFUNCTION("""COMPUTED_VALUE"""),24.336)</f>
        <v>24.336</v>
      </c>
      <c r="BM382" s="71">
        <f>IFERROR(__xludf.DUMMYFUNCTION("""COMPUTED_VALUE"""),176.43599999999998)</f>
        <v>176.436</v>
      </c>
      <c r="BN382" s="71">
        <f>IFERROR(__xludf.DUMMYFUNCTION("""COMPUTED_VALUE"""),143.65)</f>
        <v>143.65</v>
      </c>
      <c r="BO382" s="71">
        <f>IFERROR(__xludf.DUMMYFUNCTION("""COMPUTED_VALUE"""),22.984)</f>
        <v>22.984</v>
      </c>
      <c r="BP382" s="71">
        <f>IFERROR(__xludf.DUMMYFUNCTION("""COMPUTED_VALUE"""),166.63400000000001)</f>
        <v>166.634</v>
      </c>
      <c r="BQ382" s="71">
        <f>IFERROR(__xludf.DUMMYFUNCTION("""COMPUTED_VALUE"""),140.26999999999998)</f>
        <v>140.27</v>
      </c>
      <c r="BR382" s="71">
        <f>IFERROR(__xludf.DUMMYFUNCTION("""COMPUTED_VALUE"""),22.443199999999997)</f>
        <v>22.4432</v>
      </c>
      <c r="BS382" s="71">
        <f>IFERROR(__xludf.DUMMYFUNCTION("""COMPUTED_VALUE"""),162.71319999999997)</f>
        <v>162.7132</v>
      </c>
      <c r="BT382" s="71">
        <f>IFERROR(__xludf.DUMMYFUNCTION("""COMPUTED_VALUE"""),135.20000000000002)</f>
        <v>135.2</v>
      </c>
      <c r="BU382" s="71">
        <f>IFERROR(__xludf.DUMMYFUNCTION("""COMPUTED_VALUE"""),21.632)</f>
        <v>21.632</v>
      </c>
      <c r="BV382" s="71">
        <f>IFERROR(__xludf.DUMMYFUNCTION("""COMPUTED_VALUE"""),156.83200000000002)</f>
        <v>156.832</v>
      </c>
    </row>
    <row r="383">
      <c r="A383" s="53"/>
      <c r="B383" s="53">
        <v>3.0</v>
      </c>
      <c r="C383" s="53" t="s">
        <v>36</v>
      </c>
      <c r="D383" s="98" t="s">
        <v>976</v>
      </c>
      <c r="E383" s="54" t="s">
        <v>38</v>
      </c>
      <c r="F383" s="55" t="s">
        <v>866</v>
      </c>
      <c r="G383" s="139" t="s">
        <v>977</v>
      </c>
      <c r="H383" s="55"/>
      <c r="I383" s="54">
        <f t="shared" si="1"/>
        <v>0</v>
      </c>
      <c r="J383" s="56"/>
      <c r="K383" s="57"/>
      <c r="L383" s="76"/>
      <c r="M383" s="59"/>
      <c r="N383" s="60"/>
      <c r="O383" s="61">
        <v>103309.0</v>
      </c>
      <c r="P383" s="62">
        <v>111573.72</v>
      </c>
      <c r="Q383" s="63">
        <v>111573.72</v>
      </c>
      <c r="R383" s="64">
        <v>117153.0</v>
      </c>
      <c r="S383" s="107">
        <v>123011.0</v>
      </c>
      <c r="T383" s="65">
        <f t="shared" si="2"/>
        <v>19681.76</v>
      </c>
      <c r="U383" s="65">
        <f t="shared" si="3"/>
        <v>142692.76</v>
      </c>
      <c r="V383" s="66">
        <f t="shared" si="4"/>
        <v>0.05000298755</v>
      </c>
      <c r="W383" s="67">
        <f t="shared" si="5"/>
        <v>116860.45</v>
      </c>
      <c r="X383" s="67">
        <f t="shared" si="6"/>
        <v>18697.672</v>
      </c>
      <c r="Y383" s="67">
        <f t="shared" si="7"/>
        <v>135558.122</v>
      </c>
      <c r="Z383" s="67">
        <f t="shared" si="8"/>
        <v>110709.9</v>
      </c>
      <c r="AA383" s="67">
        <f t="shared" si="9"/>
        <v>17713.584</v>
      </c>
      <c r="AB383" s="67">
        <f t="shared" si="10"/>
        <v>128423.484</v>
      </c>
      <c r="AC383" s="67">
        <f t="shared" si="11"/>
        <v>110709.9</v>
      </c>
      <c r="AD383" s="67">
        <f t="shared" si="12"/>
        <v>17713.584</v>
      </c>
      <c r="AE383" s="67">
        <f t="shared" si="13"/>
        <v>128423.484</v>
      </c>
      <c r="AF383" s="67">
        <f t="shared" si="14"/>
        <v>110709.9</v>
      </c>
      <c r="AG383" s="67">
        <f t="shared" si="15"/>
        <v>17713.584</v>
      </c>
      <c r="AH383" s="67">
        <f t="shared" si="16"/>
        <v>128423.484</v>
      </c>
      <c r="AI383" s="67">
        <f t="shared" si="17"/>
        <v>110709.9</v>
      </c>
      <c r="AJ383" s="68">
        <f t="shared" si="20"/>
        <v>17713.584</v>
      </c>
      <c r="AK383" s="68">
        <f t="shared" si="21"/>
        <v>128423.484</v>
      </c>
      <c r="AL383" s="70">
        <f>IFERROR(__xludf.DUMMYFUNCTION("""COMPUTED_VALUE"""),1.0)</f>
        <v>1</v>
      </c>
      <c r="AM383" s="70"/>
      <c r="AN383" s="71" t="str">
        <f>IFERROR(__xludf.DUMMYFUNCTION("""COMPUTED_VALUE""")," CP")</f>
        <v>CP</v>
      </c>
      <c r="AO383" s="71" t="str">
        <f>IFERROR(__xludf.DUMMYFUNCTION("""COMPUTED_VALUE""")," CA78")</f>
        <v>CA78</v>
      </c>
      <c r="AP383" s="71" t="str">
        <f>IFERROR(__xludf.DUMMYFUNCTION("""COMPUTED_VALUE""")," PZA")</f>
        <v>PZA</v>
      </c>
      <c r="AQ383" s="71" t="str">
        <f>IFERROR(__xludf.DUMMYFUNCTION("""COMPUTED_VALUE""")," REF")</f>
        <v>REF</v>
      </c>
      <c r="AR383" s="71" t="str">
        <f>IFERROR(__xludf.DUMMYFUNCTION("""COMPUTED_VALUE""")," CATARINA 42B26 DOBLE E.1-1/4"" C.1/4")</f>
        <v>CATARINA 42B26 DOBLE E.1-1/4" C.1/4</v>
      </c>
      <c r="AS383" s="71" t="str">
        <f>IFERROR(__xludf.DUMMYFUNCTION("""COMPUTED_VALUE""")," CATARINA 42B26 DOBLE E.1-1/4"" C.1/4")</f>
        <v>CATARINA 42B26 DOBLE E.1-1/4" C.1/4</v>
      </c>
      <c r="AT383" s="71">
        <f>IFERROR(__xludf.DUMMYFUNCTION("""COMPUTED_VALUE"""),35.0)</f>
        <v>35</v>
      </c>
      <c r="AU383" s="71"/>
      <c r="AV383" s="71"/>
      <c r="AW383" s="71"/>
      <c r="AX383" s="71"/>
      <c r="AY383" s="71">
        <f>IFERROR(__xludf.DUMMYFUNCTION("""COMPUTED_VALUE"""),286.0)</f>
        <v>286</v>
      </c>
      <c r="AZ383" s="71">
        <f>IFERROR(__xludf.DUMMYFUNCTION("""COMPUTED_VALUE"""),308.0)</f>
        <v>308</v>
      </c>
      <c r="BA383" s="71">
        <f>IFERROR(__xludf.DUMMYFUNCTION("""COMPUTED_VALUE"""),225.0)</f>
        <v>225</v>
      </c>
      <c r="BB383" s="71">
        <f>IFERROR(__xludf.DUMMYFUNCTION("""COMPUTED_VALUE"""),225.0)</f>
        <v>225</v>
      </c>
      <c r="BC383" s="71">
        <f>IFERROR(__xludf.DUMMYFUNCTION("""COMPUTED_VALUE"""),382.0)</f>
        <v>382</v>
      </c>
      <c r="BD383" s="71">
        <f>IFERROR(__xludf.DUMMYFUNCTION("""COMPUTED_VALUE"""),401.0)</f>
        <v>401</v>
      </c>
      <c r="BE383" s="71">
        <f>IFERROR(__xludf.DUMMYFUNCTION("""COMPUTED_VALUE"""),64.16)</f>
        <v>64.16</v>
      </c>
      <c r="BF383" s="71">
        <f>IFERROR(__xludf.DUMMYFUNCTION("""COMPUTED_VALUE"""),465.15999999999997)</f>
        <v>465.16</v>
      </c>
      <c r="BG383" s="71">
        <f>IFERROR(__xludf.DUMMYFUNCTION("""COMPUTED_VALUE"""),0.049738219895287955)</f>
        <v>0.0497382199</v>
      </c>
      <c r="BH383" s="71">
        <f>IFERROR(__xludf.DUMMYFUNCTION("""COMPUTED_VALUE"""),380.95)</f>
        <v>380.95</v>
      </c>
      <c r="BI383" s="71">
        <f>IFERROR(__xludf.DUMMYFUNCTION("""COMPUTED_VALUE"""),60.952)</f>
        <v>60.952</v>
      </c>
      <c r="BJ383" s="71">
        <f>IFERROR(__xludf.DUMMYFUNCTION("""COMPUTED_VALUE"""),441.902)</f>
        <v>441.902</v>
      </c>
      <c r="BK383" s="71">
        <f>IFERROR(__xludf.DUMMYFUNCTION("""COMPUTED_VALUE"""),360.90000000000003)</f>
        <v>360.9</v>
      </c>
      <c r="BL383" s="71">
        <f>IFERROR(__xludf.DUMMYFUNCTION("""COMPUTED_VALUE"""),57.74400000000001)</f>
        <v>57.744</v>
      </c>
      <c r="BM383" s="71">
        <f>IFERROR(__xludf.DUMMYFUNCTION("""COMPUTED_VALUE"""),418.64400000000006)</f>
        <v>418.644</v>
      </c>
      <c r="BN383" s="71">
        <f>IFERROR(__xludf.DUMMYFUNCTION("""COMPUTED_VALUE"""),340.84999999999997)</f>
        <v>340.85</v>
      </c>
      <c r="BO383" s="71">
        <f>IFERROR(__xludf.DUMMYFUNCTION("""COMPUTED_VALUE"""),54.535999999999994)</f>
        <v>54.536</v>
      </c>
      <c r="BP383" s="71">
        <f>IFERROR(__xludf.DUMMYFUNCTION("""COMPUTED_VALUE"""),395.38599999999997)</f>
        <v>395.386</v>
      </c>
      <c r="BQ383" s="71">
        <f>IFERROR(__xludf.DUMMYFUNCTION("""COMPUTED_VALUE"""),332.83)</f>
        <v>332.83</v>
      </c>
      <c r="BR383" s="71">
        <f>IFERROR(__xludf.DUMMYFUNCTION("""COMPUTED_VALUE"""),53.2528)</f>
        <v>53.2528</v>
      </c>
      <c r="BS383" s="71">
        <f>IFERROR(__xludf.DUMMYFUNCTION("""COMPUTED_VALUE"""),386.08279999999996)</f>
        <v>386.0828</v>
      </c>
      <c r="BT383" s="71">
        <f>IFERROR(__xludf.DUMMYFUNCTION("""COMPUTED_VALUE"""),320.8)</f>
        <v>320.8</v>
      </c>
      <c r="BU383" s="71">
        <f>IFERROR(__xludf.DUMMYFUNCTION("""COMPUTED_VALUE"""),51.328)</f>
        <v>51.328</v>
      </c>
      <c r="BV383" s="71">
        <f>IFERROR(__xludf.DUMMYFUNCTION("""COMPUTED_VALUE"""),372.12800000000004)</f>
        <v>372.128</v>
      </c>
    </row>
    <row r="384">
      <c r="A384" s="53"/>
      <c r="B384" s="53">
        <v>3.0</v>
      </c>
      <c r="C384" s="53" t="s">
        <v>36</v>
      </c>
      <c r="D384" s="98" t="s">
        <v>978</v>
      </c>
      <c r="E384" s="54" t="s">
        <v>38</v>
      </c>
      <c r="F384" s="55" t="s">
        <v>866</v>
      </c>
      <c r="G384" s="139" t="s">
        <v>979</v>
      </c>
      <c r="H384" s="55"/>
      <c r="I384" s="54">
        <f t="shared" si="1"/>
        <v>0</v>
      </c>
      <c r="J384" s="56"/>
      <c r="K384" s="57"/>
      <c r="L384" s="76"/>
      <c r="M384" s="59"/>
      <c r="N384" s="60"/>
      <c r="O384" s="61">
        <v>70798.0</v>
      </c>
      <c r="P384" s="62">
        <v>76461.84000000001</v>
      </c>
      <c r="Q384" s="63">
        <v>76461.84000000001</v>
      </c>
      <c r="R384" s="64">
        <v>80286.0</v>
      </c>
      <c r="S384" s="107">
        <v>84300.0</v>
      </c>
      <c r="T384" s="65">
        <f t="shared" si="2"/>
        <v>13488</v>
      </c>
      <c r="U384" s="65">
        <f t="shared" si="3"/>
        <v>97788</v>
      </c>
      <c r="V384" s="66">
        <f t="shared" si="4"/>
        <v>0.04999626336</v>
      </c>
      <c r="W384" s="67">
        <f t="shared" si="5"/>
        <v>80085</v>
      </c>
      <c r="X384" s="67">
        <f t="shared" si="6"/>
        <v>12813.6</v>
      </c>
      <c r="Y384" s="67">
        <f t="shared" si="7"/>
        <v>92898.6</v>
      </c>
      <c r="Z384" s="67">
        <f t="shared" si="8"/>
        <v>75870</v>
      </c>
      <c r="AA384" s="67">
        <f t="shared" si="9"/>
        <v>12139.2</v>
      </c>
      <c r="AB384" s="67">
        <f t="shared" si="10"/>
        <v>88009.2</v>
      </c>
      <c r="AC384" s="67">
        <f t="shared" si="11"/>
        <v>75870</v>
      </c>
      <c r="AD384" s="67">
        <f t="shared" si="12"/>
        <v>12139.2</v>
      </c>
      <c r="AE384" s="67">
        <f t="shared" si="13"/>
        <v>88009.2</v>
      </c>
      <c r="AF384" s="67">
        <f t="shared" si="14"/>
        <v>75870</v>
      </c>
      <c r="AG384" s="67">
        <f t="shared" si="15"/>
        <v>12139.2</v>
      </c>
      <c r="AH384" s="67">
        <f t="shared" si="16"/>
        <v>88009.2</v>
      </c>
      <c r="AI384" s="67">
        <f t="shared" si="17"/>
        <v>75870</v>
      </c>
      <c r="AJ384" s="68">
        <f t="shared" si="20"/>
        <v>12139.2</v>
      </c>
      <c r="AK384" s="68">
        <f t="shared" si="21"/>
        <v>88009.2</v>
      </c>
      <c r="AL384" s="70">
        <f>IFERROR(__xludf.DUMMYFUNCTION("""COMPUTED_VALUE"""),1.0)</f>
        <v>1</v>
      </c>
      <c r="AM384" s="70"/>
      <c r="AN384" s="71" t="str">
        <f>IFERROR(__xludf.DUMMYFUNCTION("""COMPUTED_VALUE""")," CP")</f>
        <v>CP</v>
      </c>
      <c r="AO384" s="71" t="str">
        <f>IFERROR(__xludf.DUMMYFUNCTION("""COMPUTED_VALUE""")," CA77")</f>
        <v>CA77</v>
      </c>
      <c r="AP384" s="71" t="str">
        <f>IFERROR(__xludf.DUMMYFUNCTION("""COMPUTED_VALUE""")," PZA")</f>
        <v>PZA</v>
      </c>
      <c r="AQ384" s="71" t="str">
        <f>IFERROR(__xludf.DUMMYFUNCTION("""COMPUTED_VALUE""")," REF")</f>
        <v>REF</v>
      </c>
      <c r="AR384" s="71" t="str">
        <f>IFERROR(__xludf.DUMMYFUNCTION("""COMPUTED_VALUE""")," CATARINA 42B26 DOBLE E.1"" C.1/4")</f>
        <v>CATARINA 42B26 DOBLE E.1" C.1/4</v>
      </c>
      <c r="AS384" s="71" t="str">
        <f>IFERROR(__xludf.DUMMYFUNCTION("""COMPUTED_VALUE""")," CATARINA 42B26 DOBLE E.1"" C.1/4")</f>
        <v>CATARINA 42B26 DOBLE E.1" C.1/4</v>
      </c>
      <c r="AT384" s="71">
        <f>IFERROR(__xludf.DUMMYFUNCTION("""COMPUTED_VALUE"""),31.0)</f>
        <v>31</v>
      </c>
      <c r="AU384" s="71"/>
      <c r="AV384" s="71"/>
      <c r="AW384" s="71"/>
      <c r="AX384" s="71"/>
      <c r="AY384" s="71">
        <f>IFERROR(__xludf.DUMMYFUNCTION("""COMPUTED_VALUE"""),286.0)</f>
        <v>286</v>
      </c>
      <c r="AZ384" s="71">
        <f>IFERROR(__xludf.DUMMYFUNCTION("""COMPUTED_VALUE"""),308.0)</f>
        <v>308</v>
      </c>
      <c r="BA384" s="71">
        <f>IFERROR(__xludf.DUMMYFUNCTION("""COMPUTED_VALUE"""),225.0)</f>
        <v>225</v>
      </c>
      <c r="BB384" s="71">
        <f>IFERROR(__xludf.DUMMYFUNCTION("""COMPUTED_VALUE"""),225.0)</f>
        <v>225</v>
      </c>
      <c r="BC384" s="71">
        <f>IFERROR(__xludf.DUMMYFUNCTION("""COMPUTED_VALUE"""),382.0)</f>
        <v>382</v>
      </c>
      <c r="BD384" s="71">
        <f>IFERROR(__xludf.DUMMYFUNCTION("""COMPUTED_VALUE"""),401.0)</f>
        <v>401</v>
      </c>
      <c r="BE384" s="71">
        <f>IFERROR(__xludf.DUMMYFUNCTION("""COMPUTED_VALUE"""),64.16)</f>
        <v>64.16</v>
      </c>
      <c r="BF384" s="71">
        <f>IFERROR(__xludf.DUMMYFUNCTION("""COMPUTED_VALUE"""),465.15999999999997)</f>
        <v>465.16</v>
      </c>
      <c r="BG384" s="71">
        <f>IFERROR(__xludf.DUMMYFUNCTION("""COMPUTED_VALUE"""),0.049738219895287955)</f>
        <v>0.0497382199</v>
      </c>
      <c r="BH384" s="71">
        <f>IFERROR(__xludf.DUMMYFUNCTION("""COMPUTED_VALUE"""),380.95)</f>
        <v>380.95</v>
      </c>
      <c r="BI384" s="71">
        <f>IFERROR(__xludf.DUMMYFUNCTION("""COMPUTED_VALUE"""),60.952)</f>
        <v>60.952</v>
      </c>
      <c r="BJ384" s="71">
        <f>IFERROR(__xludf.DUMMYFUNCTION("""COMPUTED_VALUE"""),441.902)</f>
        <v>441.902</v>
      </c>
      <c r="BK384" s="71">
        <f>IFERROR(__xludf.DUMMYFUNCTION("""COMPUTED_VALUE"""),360.90000000000003)</f>
        <v>360.9</v>
      </c>
      <c r="BL384" s="71">
        <f>IFERROR(__xludf.DUMMYFUNCTION("""COMPUTED_VALUE"""),57.74400000000001)</f>
        <v>57.744</v>
      </c>
      <c r="BM384" s="71">
        <f>IFERROR(__xludf.DUMMYFUNCTION("""COMPUTED_VALUE"""),418.64400000000006)</f>
        <v>418.644</v>
      </c>
      <c r="BN384" s="71">
        <f>IFERROR(__xludf.DUMMYFUNCTION("""COMPUTED_VALUE"""),340.84999999999997)</f>
        <v>340.85</v>
      </c>
      <c r="BO384" s="71">
        <f>IFERROR(__xludf.DUMMYFUNCTION("""COMPUTED_VALUE"""),54.535999999999994)</f>
        <v>54.536</v>
      </c>
      <c r="BP384" s="71">
        <f>IFERROR(__xludf.DUMMYFUNCTION("""COMPUTED_VALUE"""),395.38599999999997)</f>
        <v>395.386</v>
      </c>
      <c r="BQ384" s="71">
        <f>IFERROR(__xludf.DUMMYFUNCTION("""COMPUTED_VALUE"""),332.83)</f>
        <v>332.83</v>
      </c>
      <c r="BR384" s="71">
        <f>IFERROR(__xludf.DUMMYFUNCTION("""COMPUTED_VALUE"""),53.2528)</f>
        <v>53.2528</v>
      </c>
      <c r="BS384" s="71">
        <f>IFERROR(__xludf.DUMMYFUNCTION("""COMPUTED_VALUE"""),386.08279999999996)</f>
        <v>386.0828</v>
      </c>
      <c r="BT384" s="71">
        <f>IFERROR(__xludf.DUMMYFUNCTION("""COMPUTED_VALUE"""),320.8)</f>
        <v>320.8</v>
      </c>
      <c r="BU384" s="71">
        <f>IFERROR(__xludf.DUMMYFUNCTION("""COMPUTED_VALUE"""),51.328)</f>
        <v>51.328</v>
      </c>
      <c r="BV384" s="71">
        <f>IFERROR(__xludf.DUMMYFUNCTION("""COMPUTED_VALUE"""),372.12800000000004)</f>
        <v>372.128</v>
      </c>
    </row>
    <row r="385">
      <c r="A385" s="53"/>
      <c r="B385" s="53">
        <v>3.0</v>
      </c>
      <c r="C385" s="53" t="s">
        <v>36</v>
      </c>
      <c r="D385" s="98" t="s">
        <v>980</v>
      </c>
      <c r="E385" s="54" t="s">
        <v>38</v>
      </c>
      <c r="F385" s="55" t="s">
        <v>866</v>
      </c>
      <c r="G385" s="139" t="s">
        <v>981</v>
      </c>
      <c r="H385" s="55"/>
      <c r="I385" s="54">
        <f t="shared" si="1"/>
        <v>0</v>
      </c>
      <c r="J385" s="56"/>
      <c r="K385" s="57"/>
      <c r="L385" s="76"/>
      <c r="M385" s="59"/>
      <c r="N385" s="60"/>
      <c r="O385" s="61">
        <v>78023.0</v>
      </c>
      <c r="P385" s="62">
        <v>84264.84000000001</v>
      </c>
      <c r="Q385" s="63">
        <v>84264.84000000001</v>
      </c>
      <c r="R385" s="64">
        <v>88479.0</v>
      </c>
      <c r="S385" s="107">
        <v>92903.0</v>
      </c>
      <c r="T385" s="65">
        <f t="shared" si="2"/>
        <v>14864.48</v>
      </c>
      <c r="U385" s="65">
        <f t="shared" si="3"/>
        <v>107767.48</v>
      </c>
      <c r="V385" s="66">
        <f t="shared" si="4"/>
        <v>0.05000056511</v>
      </c>
      <c r="W385" s="67">
        <f t="shared" si="5"/>
        <v>88257.85</v>
      </c>
      <c r="X385" s="67">
        <f t="shared" si="6"/>
        <v>14121.256</v>
      </c>
      <c r="Y385" s="67">
        <f t="shared" si="7"/>
        <v>102379.106</v>
      </c>
      <c r="Z385" s="67">
        <f t="shared" si="8"/>
        <v>83612.7</v>
      </c>
      <c r="AA385" s="67">
        <f t="shared" si="9"/>
        <v>13378.032</v>
      </c>
      <c r="AB385" s="67">
        <f t="shared" si="10"/>
        <v>96990.732</v>
      </c>
      <c r="AC385" s="67">
        <f t="shared" si="11"/>
        <v>83612.7</v>
      </c>
      <c r="AD385" s="67">
        <f t="shared" si="12"/>
        <v>13378.032</v>
      </c>
      <c r="AE385" s="67">
        <f t="shared" si="13"/>
        <v>96990.732</v>
      </c>
      <c r="AF385" s="67">
        <f t="shared" si="14"/>
        <v>83612.7</v>
      </c>
      <c r="AG385" s="67">
        <f t="shared" si="15"/>
        <v>13378.032</v>
      </c>
      <c r="AH385" s="67">
        <f t="shared" si="16"/>
        <v>96990.732</v>
      </c>
      <c r="AI385" s="67">
        <f t="shared" si="17"/>
        <v>83612.7</v>
      </c>
      <c r="AJ385" s="68">
        <f t="shared" si="20"/>
        <v>13378.032</v>
      </c>
      <c r="AK385" s="68">
        <f t="shared" si="21"/>
        <v>96990.732</v>
      </c>
      <c r="AL385" s="70">
        <f>IFERROR(__xludf.DUMMYFUNCTION("""COMPUTED_VALUE"""),1.0)</f>
        <v>1</v>
      </c>
      <c r="AM385" s="70"/>
      <c r="AN385" s="71" t="str">
        <f>IFERROR(__xludf.DUMMYFUNCTION("""COMPUTED_VALUE""")," CP")</f>
        <v>CP</v>
      </c>
      <c r="AO385" s="71" t="str">
        <f>IFERROR(__xludf.DUMMYFUNCTION("""COMPUTED_VALUE""")," CA76")</f>
        <v>CA76</v>
      </c>
      <c r="AP385" s="71" t="str">
        <f>IFERROR(__xludf.DUMMYFUNCTION("""COMPUTED_VALUE""")," PZA")</f>
        <v>PZA</v>
      </c>
      <c r="AQ385" s="71" t="str">
        <f>IFERROR(__xludf.DUMMYFUNCTION("""COMPUTED_VALUE""")," REF")</f>
        <v>REF</v>
      </c>
      <c r="AR385" s="71" t="str">
        <f>IFERROR(__xludf.DUMMYFUNCTION("""COMPUTED_VALUE""")," CATARINA 42B26 E.1-1/4"" C.1/4")</f>
        <v>CATARINA 42B26 E.1-1/4" C.1/4</v>
      </c>
      <c r="AS385" s="71" t="str">
        <f>IFERROR(__xludf.DUMMYFUNCTION("""COMPUTED_VALUE""")," CATARINA 42B26 E.1-1/4"" C.1/4")</f>
        <v>CATARINA 42B26 E.1-1/4" C.1/4</v>
      </c>
      <c r="AT385" s="71">
        <f>IFERROR(__xludf.DUMMYFUNCTION("""COMPUTED_VALUE"""),29.0)</f>
        <v>29</v>
      </c>
      <c r="AU385" s="71"/>
      <c r="AV385" s="71"/>
      <c r="AW385" s="71"/>
      <c r="AX385" s="71"/>
      <c r="AY385" s="71">
        <f>IFERROR(__xludf.DUMMYFUNCTION("""COMPUTED_VALUE"""),258.0)</f>
        <v>258</v>
      </c>
      <c r="AZ385" s="71">
        <f>IFERROR(__xludf.DUMMYFUNCTION("""COMPUTED_VALUE"""),278.0)</f>
        <v>278</v>
      </c>
      <c r="BA385" s="71">
        <f>IFERROR(__xludf.DUMMYFUNCTION("""COMPUTED_VALUE"""),145.0)</f>
        <v>145</v>
      </c>
      <c r="BB385" s="71">
        <f>IFERROR(__xludf.DUMMYFUNCTION("""COMPUTED_VALUE"""),145.0)</f>
        <v>145</v>
      </c>
      <c r="BC385" s="71">
        <f>IFERROR(__xludf.DUMMYFUNCTION("""COMPUTED_VALUE"""),172.0)</f>
        <v>172</v>
      </c>
      <c r="BD385" s="71">
        <f>IFERROR(__xludf.DUMMYFUNCTION("""COMPUTED_VALUE"""),181.0)</f>
        <v>181</v>
      </c>
      <c r="BE385" s="71">
        <f>IFERROR(__xludf.DUMMYFUNCTION("""COMPUTED_VALUE"""),28.96)</f>
        <v>28.96</v>
      </c>
      <c r="BF385" s="71">
        <f>IFERROR(__xludf.DUMMYFUNCTION("""COMPUTED_VALUE"""),209.96)</f>
        <v>209.96</v>
      </c>
      <c r="BG385" s="71">
        <f>IFERROR(__xludf.DUMMYFUNCTION("""COMPUTED_VALUE"""),0.05232558139534884)</f>
        <v>0.0523255814</v>
      </c>
      <c r="BH385" s="71">
        <f>IFERROR(__xludf.DUMMYFUNCTION("""COMPUTED_VALUE"""),171.95)</f>
        <v>171.95</v>
      </c>
      <c r="BI385" s="71">
        <f>IFERROR(__xludf.DUMMYFUNCTION("""COMPUTED_VALUE"""),27.512)</f>
        <v>27.512</v>
      </c>
      <c r="BJ385" s="71">
        <f>IFERROR(__xludf.DUMMYFUNCTION("""COMPUTED_VALUE"""),199.462)</f>
        <v>199.462</v>
      </c>
      <c r="BK385" s="71">
        <f>IFERROR(__xludf.DUMMYFUNCTION("""COMPUTED_VALUE"""),162.9)</f>
        <v>162.9</v>
      </c>
      <c r="BL385" s="71">
        <f>IFERROR(__xludf.DUMMYFUNCTION("""COMPUTED_VALUE"""),26.064)</f>
        <v>26.064</v>
      </c>
      <c r="BM385" s="71">
        <f>IFERROR(__xludf.DUMMYFUNCTION("""COMPUTED_VALUE"""),188.964)</f>
        <v>188.964</v>
      </c>
      <c r="BN385" s="71">
        <f>IFERROR(__xludf.DUMMYFUNCTION("""COMPUTED_VALUE"""),153.85)</f>
        <v>153.85</v>
      </c>
      <c r="BO385" s="71">
        <f>IFERROR(__xludf.DUMMYFUNCTION("""COMPUTED_VALUE"""),24.616)</f>
        <v>24.616</v>
      </c>
      <c r="BP385" s="71">
        <f>IFERROR(__xludf.DUMMYFUNCTION("""COMPUTED_VALUE"""),178.466)</f>
        <v>178.466</v>
      </c>
      <c r="BQ385" s="71">
        <f>IFERROR(__xludf.DUMMYFUNCTION("""COMPUTED_VALUE"""),150.23)</f>
        <v>150.23</v>
      </c>
      <c r="BR385" s="71">
        <f>IFERROR(__xludf.DUMMYFUNCTION("""COMPUTED_VALUE"""),24.0368)</f>
        <v>24.0368</v>
      </c>
      <c r="BS385" s="71">
        <f>IFERROR(__xludf.DUMMYFUNCTION("""COMPUTED_VALUE"""),174.2668)</f>
        <v>174.2668</v>
      </c>
      <c r="BT385" s="71">
        <f>IFERROR(__xludf.DUMMYFUNCTION("""COMPUTED_VALUE"""),144.8)</f>
        <v>144.8</v>
      </c>
      <c r="BU385" s="71">
        <f>IFERROR(__xludf.DUMMYFUNCTION("""COMPUTED_VALUE"""),23.168000000000003)</f>
        <v>23.168</v>
      </c>
      <c r="BV385" s="71">
        <f>IFERROR(__xludf.DUMMYFUNCTION("""COMPUTED_VALUE"""),167.96800000000002)</f>
        <v>167.968</v>
      </c>
    </row>
    <row r="386">
      <c r="A386" s="53"/>
      <c r="B386" s="53">
        <v>3.0</v>
      </c>
      <c r="C386" s="53" t="s">
        <v>36</v>
      </c>
      <c r="D386" s="98" t="s">
        <v>982</v>
      </c>
      <c r="E386" s="54" t="s">
        <v>38</v>
      </c>
      <c r="F386" s="55" t="s">
        <v>187</v>
      </c>
      <c r="G386" s="117" t="s">
        <v>983</v>
      </c>
      <c r="H386" s="55"/>
      <c r="I386" s="54">
        <f t="shared" si="1"/>
        <v>0</v>
      </c>
      <c r="J386" s="56"/>
      <c r="K386" s="57"/>
      <c r="L386" s="76"/>
      <c r="M386" s="59"/>
      <c r="N386" s="60"/>
      <c r="O386" s="61">
        <v>41385.0</v>
      </c>
      <c r="P386" s="62">
        <v>44695.8</v>
      </c>
      <c r="Q386" s="63">
        <v>44695.8</v>
      </c>
      <c r="R386" s="64">
        <v>49278.0</v>
      </c>
      <c r="S386" s="107">
        <v>51742.0</v>
      </c>
      <c r="T386" s="65">
        <f t="shared" si="2"/>
        <v>8278.72</v>
      </c>
      <c r="U386" s="65">
        <f t="shared" si="3"/>
        <v>60020.72</v>
      </c>
      <c r="V386" s="66">
        <f t="shared" si="4"/>
        <v>0.0500020293</v>
      </c>
      <c r="W386" s="67">
        <f t="shared" si="5"/>
        <v>49154.9</v>
      </c>
      <c r="X386" s="67">
        <f t="shared" si="6"/>
        <v>7864.784</v>
      </c>
      <c r="Y386" s="67">
        <f t="shared" si="7"/>
        <v>57019.684</v>
      </c>
      <c r="Z386" s="67">
        <f t="shared" si="8"/>
        <v>46567.8</v>
      </c>
      <c r="AA386" s="67">
        <f t="shared" si="9"/>
        <v>7450.848</v>
      </c>
      <c r="AB386" s="67">
        <f t="shared" si="10"/>
        <v>54018.648</v>
      </c>
      <c r="AC386" s="67">
        <f t="shared" si="11"/>
        <v>46567.8</v>
      </c>
      <c r="AD386" s="67">
        <f t="shared" si="12"/>
        <v>7450.848</v>
      </c>
      <c r="AE386" s="67">
        <f t="shared" si="13"/>
        <v>54018.648</v>
      </c>
      <c r="AF386" s="67">
        <f t="shared" si="14"/>
        <v>46567.8</v>
      </c>
      <c r="AG386" s="67">
        <f t="shared" si="15"/>
        <v>7450.848</v>
      </c>
      <c r="AH386" s="67">
        <f t="shared" si="16"/>
        <v>54018.648</v>
      </c>
      <c r="AI386" s="67">
        <f t="shared" si="17"/>
        <v>46567.8</v>
      </c>
      <c r="AJ386" s="68">
        <f t="shared" si="20"/>
        <v>7450.848</v>
      </c>
      <c r="AK386" s="68">
        <f t="shared" si="21"/>
        <v>54018.648</v>
      </c>
      <c r="AL386" s="70">
        <f>IFERROR(__xludf.DUMMYFUNCTION("""COMPUTED_VALUE"""),1.0)</f>
        <v>1</v>
      </c>
      <c r="AM386" s="70"/>
      <c r="AN386" s="71" t="str">
        <f>IFERROR(__xludf.DUMMYFUNCTION("""COMPUTED_VALUE""")," CP")</f>
        <v>CP</v>
      </c>
      <c r="AO386" s="71" t="str">
        <f>IFERROR(__xludf.DUMMYFUNCTION("""COMPUTED_VALUE""")," CA75")</f>
        <v>CA75</v>
      </c>
      <c r="AP386" s="71" t="str">
        <f>IFERROR(__xludf.DUMMYFUNCTION("""COMPUTED_VALUE""")," PZA")</f>
        <v>PZA</v>
      </c>
      <c r="AQ386" s="71" t="str">
        <f>IFERROR(__xludf.DUMMYFUNCTION("""COMPUTED_VALUE""")," REF")</f>
        <v>REF</v>
      </c>
      <c r="AR386" s="71" t="str">
        <f>IFERROR(__xludf.DUMMYFUNCTION("""COMPUTED_VALUE""")," CATARINA 42B26 E.1"" C.1/4")</f>
        <v>CATARINA 42B26 E.1" C.1/4</v>
      </c>
      <c r="AS386" s="71" t="str">
        <f>IFERROR(__xludf.DUMMYFUNCTION("""COMPUTED_VALUE""")," CATARINA 42B26 E.1"" C.1/4")</f>
        <v>CATARINA 42B26 E.1" C.1/4</v>
      </c>
      <c r="AT386" s="71">
        <f>IFERROR(__xludf.DUMMYFUNCTION("""COMPUTED_VALUE"""),25.0)</f>
        <v>25</v>
      </c>
      <c r="AU386" s="71"/>
      <c r="AV386" s="71"/>
      <c r="AW386" s="71"/>
      <c r="AX386" s="71"/>
      <c r="AY386" s="71">
        <f>IFERROR(__xludf.DUMMYFUNCTION("""COMPUTED_VALUE"""),258.0)</f>
        <v>258</v>
      </c>
      <c r="AZ386" s="71">
        <f>IFERROR(__xludf.DUMMYFUNCTION("""COMPUTED_VALUE"""),278.0)</f>
        <v>278</v>
      </c>
      <c r="BA386" s="71">
        <f>IFERROR(__xludf.DUMMYFUNCTION("""COMPUTED_VALUE"""),145.0)</f>
        <v>145</v>
      </c>
      <c r="BB386" s="71">
        <f>IFERROR(__xludf.DUMMYFUNCTION("""COMPUTED_VALUE"""),145.0)</f>
        <v>145</v>
      </c>
      <c r="BC386" s="71">
        <f>IFERROR(__xludf.DUMMYFUNCTION("""COMPUTED_VALUE"""),345.0)</f>
        <v>345</v>
      </c>
      <c r="BD386" s="71">
        <f>IFERROR(__xludf.DUMMYFUNCTION("""COMPUTED_VALUE"""),362.0)</f>
        <v>362</v>
      </c>
      <c r="BE386" s="71">
        <f>IFERROR(__xludf.DUMMYFUNCTION("""COMPUTED_VALUE"""),57.92)</f>
        <v>57.92</v>
      </c>
      <c r="BF386" s="71">
        <f>IFERROR(__xludf.DUMMYFUNCTION("""COMPUTED_VALUE"""),419.92)</f>
        <v>419.92</v>
      </c>
      <c r="BG386" s="71">
        <f>IFERROR(__xludf.DUMMYFUNCTION("""COMPUTED_VALUE"""),0.04927536231884058)</f>
        <v>0.04927536232</v>
      </c>
      <c r="BH386" s="71">
        <f>IFERROR(__xludf.DUMMYFUNCTION("""COMPUTED_VALUE"""),343.9)</f>
        <v>343.9</v>
      </c>
      <c r="BI386" s="71">
        <f>IFERROR(__xludf.DUMMYFUNCTION("""COMPUTED_VALUE"""),55.024)</f>
        <v>55.024</v>
      </c>
      <c r="BJ386" s="71">
        <f>IFERROR(__xludf.DUMMYFUNCTION("""COMPUTED_VALUE"""),398.924)</f>
        <v>398.924</v>
      </c>
      <c r="BK386" s="71">
        <f>IFERROR(__xludf.DUMMYFUNCTION("""COMPUTED_VALUE"""),325.8)</f>
        <v>325.8</v>
      </c>
      <c r="BL386" s="71">
        <f>IFERROR(__xludf.DUMMYFUNCTION("""COMPUTED_VALUE"""),52.128)</f>
        <v>52.128</v>
      </c>
      <c r="BM386" s="71">
        <f>IFERROR(__xludf.DUMMYFUNCTION("""COMPUTED_VALUE"""),377.928)</f>
        <v>377.928</v>
      </c>
      <c r="BN386" s="71">
        <f>IFERROR(__xludf.DUMMYFUNCTION("""COMPUTED_VALUE"""),307.7)</f>
        <v>307.7</v>
      </c>
      <c r="BO386" s="71">
        <f>IFERROR(__xludf.DUMMYFUNCTION("""COMPUTED_VALUE"""),49.232)</f>
        <v>49.232</v>
      </c>
      <c r="BP386" s="71">
        <f>IFERROR(__xludf.DUMMYFUNCTION("""COMPUTED_VALUE"""),356.932)</f>
        <v>356.932</v>
      </c>
      <c r="BQ386" s="71">
        <f>IFERROR(__xludf.DUMMYFUNCTION("""COMPUTED_VALUE"""),300.46)</f>
        <v>300.46</v>
      </c>
      <c r="BR386" s="71">
        <f>IFERROR(__xludf.DUMMYFUNCTION("""COMPUTED_VALUE"""),48.0736)</f>
        <v>48.0736</v>
      </c>
      <c r="BS386" s="71">
        <f>IFERROR(__xludf.DUMMYFUNCTION("""COMPUTED_VALUE"""),348.5336)</f>
        <v>348.5336</v>
      </c>
      <c r="BT386" s="71">
        <f>IFERROR(__xludf.DUMMYFUNCTION("""COMPUTED_VALUE"""),289.6)</f>
        <v>289.6</v>
      </c>
      <c r="BU386" s="71">
        <f>IFERROR(__xludf.DUMMYFUNCTION("""COMPUTED_VALUE"""),46.336000000000006)</f>
        <v>46.336</v>
      </c>
      <c r="BV386" s="71">
        <f>IFERROR(__xludf.DUMMYFUNCTION("""COMPUTED_VALUE"""),335.93600000000004)</f>
        <v>335.936</v>
      </c>
    </row>
    <row r="387">
      <c r="A387" s="53">
        <v>1.0</v>
      </c>
      <c r="B387" s="72">
        <v>4.0</v>
      </c>
      <c r="C387" s="73" t="s">
        <v>12</v>
      </c>
      <c r="D387" s="74" t="s">
        <v>984</v>
      </c>
      <c r="E387" s="55" t="s">
        <v>38</v>
      </c>
      <c r="F387" s="54" t="s">
        <v>42</v>
      </c>
      <c r="G387" s="55" t="s">
        <v>985</v>
      </c>
      <c r="H387" s="54" t="s">
        <v>986</v>
      </c>
      <c r="I387" s="54">
        <f t="shared" si="1"/>
        <v>39</v>
      </c>
      <c r="J387" s="56"/>
      <c r="K387" s="75"/>
      <c r="L387" s="76"/>
      <c r="M387" s="59"/>
      <c r="N387" s="79">
        <v>598.0</v>
      </c>
      <c r="O387" s="61">
        <v>697.0</v>
      </c>
      <c r="P387" s="62">
        <v>739.6</v>
      </c>
      <c r="Q387" s="63">
        <v>739.6</v>
      </c>
      <c r="R387" s="64">
        <v>864.0</v>
      </c>
      <c r="S387" s="111">
        <v>907.0</v>
      </c>
      <c r="T387" s="65">
        <f t="shared" si="2"/>
        <v>145.12</v>
      </c>
      <c r="U387" s="65">
        <f t="shared" si="3"/>
        <v>1052.12</v>
      </c>
      <c r="V387" s="66">
        <f t="shared" si="4"/>
        <v>0.04976851852</v>
      </c>
      <c r="W387" s="67">
        <f t="shared" si="5"/>
        <v>907</v>
      </c>
      <c r="X387" s="67">
        <f t="shared" si="6"/>
        <v>145.12</v>
      </c>
      <c r="Y387" s="67">
        <f t="shared" si="7"/>
        <v>1052.12</v>
      </c>
      <c r="Z387" s="67">
        <f t="shared" si="8"/>
        <v>907</v>
      </c>
      <c r="AA387" s="67">
        <f t="shared" si="9"/>
        <v>145.12</v>
      </c>
      <c r="AB387" s="67">
        <f t="shared" si="10"/>
        <v>1052.12</v>
      </c>
      <c r="AC387" s="67">
        <f t="shared" si="11"/>
        <v>907</v>
      </c>
      <c r="AD387" s="67">
        <f t="shared" si="12"/>
        <v>145.12</v>
      </c>
      <c r="AE387" s="67">
        <f t="shared" si="13"/>
        <v>1052.12</v>
      </c>
      <c r="AF387" s="67">
        <f t="shared" si="14"/>
        <v>907</v>
      </c>
      <c r="AG387" s="67">
        <f t="shared" si="15"/>
        <v>145.12</v>
      </c>
      <c r="AH387" s="67">
        <f t="shared" si="16"/>
        <v>1052.12</v>
      </c>
      <c r="AI387" s="67">
        <f t="shared" si="17"/>
        <v>907</v>
      </c>
      <c r="AJ387" s="68">
        <f t="shared" si="20"/>
        <v>145.12</v>
      </c>
      <c r="AK387" s="68">
        <f t="shared" si="21"/>
        <v>1052.12</v>
      </c>
      <c r="AL387" s="70">
        <f>IFERROR(__xludf.DUMMYFUNCTION("""COMPUTED_VALUE"""),1.0)</f>
        <v>1</v>
      </c>
      <c r="AM387" s="70"/>
      <c r="AN387" s="71" t="str">
        <f>IFERROR(__xludf.DUMMYFUNCTION("""COMPUTED_VALUE""")," CP")</f>
        <v>CP</v>
      </c>
      <c r="AO387" s="71" t="str">
        <f>IFERROR(__xludf.DUMMYFUNCTION("""COMPUTED_VALUE""")," CA83")</f>
        <v>CA83</v>
      </c>
      <c r="AP387" s="71" t="str">
        <f>IFERROR(__xludf.DUMMYFUNCTION("""COMPUTED_VALUE""")," PZA")</f>
        <v>PZA</v>
      </c>
      <c r="AQ387" s="71" t="str">
        <f>IFERROR(__xludf.DUMMYFUNCTION("""COMPUTED_VALUE""")," REF")</f>
        <v>REF</v>
      </c>
      <c r="AR387" s="71" t="str">
        <f>IFERROR(__xludf.DUMMYFUNCTION("""COMPUTED_VALUE""")," CATARINA 42B30 DOBLE E.15/16""")</f>
        <v>CATARINA 42B30 DOBLE E.15/16"</v>
      </c>
      <c r="AS387" s="71" t="str">
        <f>IFERROR(__xludf.DUMMYFUNCTION("""COMPUTED_VALUE""")," CATARINA 42B30 DOBLE E.15/16""")</f>
        <v>CATARINA 42B30 DOBLE E.15/16"</v>
      </c>
      <c r="AT387" s="71">
        <f>IFERROR(__xludf.DUMMYFUNCTION("""COMPUTED_VALUE"""),29.0)</f>
        <v>29</v>
      </c>
      <c r="AU387" s="71"/>
      <c r="AV387" s="71"/>
      <c r="AW387" s="71"/>
      <c r="AX387" s="71"/>
      <c r="AY387" s="71">
        <f>IFERROR(__xludf.DUMMYFUNCTION("""COMPUTED_VALUE"""),332.0)</f>
        <v>332</v>
      </c>
      <c r="AZ387" s="71">
        <f>IFERROR(__xludf.DUMMYFUNCTION("""COMPUTED_VALUE"""),358.0)</f>
        <v>358</v>
      </c>
      <c r="BA387" s="71">
        <f>IFERROR(__xludf.DUMMYFUNCTION("""COMPUTED_VALUE"""),280.0)</f>
        <v>280</v>
      </c>
      <c r="BB387" s="71">
        <f>IFERROR(__xludf.DUMMYFUNCTION("""COMPUTED_VALUE"""),280.0)</f>
        <v>280</v>
      </c>
      <c r="BC387" s="71">
        <f>IFERROR(__xludf.DUMMYFUNCTION("""COMPUTED_VALUE"""),443.0)</f>
        <v>443</v>
      </c>
      <c r="BD387" s="71">
        <f>IFERROR(__xludf.DUMMYFUNCTION("""COMPUTED_VALUE"""),465.0)</f>
        <v>465</v>
      </c>
      <c r="BE387" s="71">
        <f>IFERROR(__xludf.DUMMYFUNCTION("""COMPUTED_VALUE"""),74.4)</f>
        <v>74.4</v>
      </c>
      <c r="BF387" s="71">
        <f>IFERROR(__xludf.DUMMYFUNCTION("""COMPUTED_VALUE"""),539.4)</f>
        <v>539.4</v>
      </c>
      <c r="BG387" s="71">
        <f>IFERROR(__xludf.DUMMYFUNCTION("""COMPUTED_VALUE"""),0.04966139954853273)</f>
        <v>0.04966139955</v>
      </c>
      <c r="BH387" s="71">
        <f>IFERROR(__xludf.DUMMYFUNCTION("""COMPUTED_VALUE"""),441.75)</f>
        <v>441.75</v>
      </c>
      <c r="BI387" s="71">
        <f>IFERROR(__xludf.DUMMYFUNCTION("""COMPUTED_VALUE"""),70.68)</f>
        <v>70.68</v>
      </c>
      <c r="BJ387" s="71">
        <f>IFERROR(__xludf.DUMMYFUNCTION("""COMPUTED_VALUE"""),512.4300000000001)</f>
        <v>512.43</v>
      </c>
      <c r="BK387" s="71">
        <f>IFERROR(__xludf.DUMMYFUNCTION("""COMPUTED_VALUE"""),418.5)</f>
        <v>418.5</v>
      </c>
      <c r="BL387" s="71">
        <f>IFERROR(__xludf.DUMMYFUNCTION("""COMPUTED_VALUE"""),66.96000000000001)</f>
        <v>66.96</v>
      </c>
      <c r="BM387" s="71">
        <f>IFERROR(__xludf.DUMMYFUNCTION("""COMPUTED_VALUE"""),485.46000000000004)</f>
        <v>485.46</v>
      </c>
      <c r="BN387" s="71">
        <f>IFERROR(__xludf.DUMMYFUNCTION("""COMPUTED_VALUE"""),395.25)</f>
        <v>395.25</v>
      </c>
      <c r="BO387" s="71">
        <f>IFERROR(__xludf.DUMMYFUNCTION("""COMPUTED_VALUE"""),63.24)</f>
        <v>63.24</v>
      </c>
      <c r="BP387" s="71">
        <f>IFERROR(__xludf.DUMMYFUNCTION("""COMPUTED_VALUE"""),458.49)</f>
        <v>458.49</v>
      </c>
      <c r="BQ387" s="71">
        <f>IFERROR(__xludf.DUMMYFUNCTION("""COMPUTED_VALUE"""),385.95)</f>
        <v>385.95</v>
      </c>
      <c r="BR387" s="71">
        <f>IFERROR(__xludf.DUMMYFUNCTION("""COMPUTED_VALUE"""),61.752)</f>
        <v>61.752</v>
      </c>
      <c r="BS387" s="71">
        <f>IFERROR(__xludf.DUMMYFUNCTION("""COMPUTED_VALUE"""),447.702)</f>
        <v>447.702</v>
      </c>
      <c r="BT387" s="71">
        <f>IFERROR(__xludf.DUMMYFUNCTION("""COMPUTED_VALUE"""),372.0)</f>
        <v>372</v>
      </c>
      <c r="BU387" s="71">
        <f>IFERROR(__xludf.DUMMYFUNCTION("""COMPUTED_VALUE"""),59.52)</f>
        <v>59.52</v>
      </c>
      <c r="BV387" s="71">
        <f>IFERROR(__xludf.DUMMYFUNCTION("""COMPUTED_VALUE"""),431.52)</f>
        <v>431.52</v>
      </c>
    </row>
    <row r="388">
      <c r="A388" s="53">
        <v>1.0</v>
      </c>
      <c r="B388" s="72"/>
      <c r="C388" s="73" t="s">
        <v>12</v>
      </c>
      <c r="D388" s="74" t="s">
        <v>987</v>
      </c>
      <c r="E388" s="54" t="s">
        <v>38</v>
      </c>
      <c r="F388" s="54" t="s">
        <v>42</v>
      </c>
      <c r="G388" s="54" t="s">
        <v>988</v>
      </c>
      <c r="H388" s="54" t="s">
        <v>989</v>
      </c>
      <c r="I388" s="54">
        <f t="shared" si="1"/>
        <v>14</v>
      </c>
      <c r="J388" s="56"/>
      <c r="K388" s="75"/>
      <c r="L388" s="76"/>
      <c r="M388" s="59"/>
      <c r="N388" s="60">
        <v>140.0</v>
      </c>
      <c r="O388" s="61">
        <v>156.0</v>
      </c>
      <c r="P388" s="62">
        <v>140.0</v>
      </c>
      <c r="Q388" s="63">
        <v>140.0</v>
      </c>
      <c r="R388" s="64">
        <v>161.0</v>
      </c>
      <c r="S388" s="140">
        <v>169.0</v>
      </c>
      <c r="T388" s="65">
        <f t="shared" si="2"/>
        <v>27.04</v>
      </c>
      <c r="U388" s="65">
        <f t="shared" si="3"/>
        <v>196.04</v>
      </c>
      <c r="V388" s="66">
        <f t="shared" si="4"/>
        <v>0.04968944099</v>
      </c>
      <c r="W388" s="67">
        <f t="shared" si="5"/>
        <v>160.55</v>
      </c>
      <c r="X388" s="67">
        <f t="shared" si="6"/>
        <v>25.688</v>
      </c>
      <c r="Y388" s="67">
        <f t="shared" si="7"/>
        <v>186.238</v>
      </c>
      <c r="Z388" s="67">
        <f t="shared" si="8"/>
        <v>152.1</v>
      </c>
      <c r="AA388" s="67">
        <f t="shared" si="9"/>
        <v>24.336</v>
      </c>
      <c r="AB388" s="67">
        <f t="shared" si="10"/>
        <v>176.436</v>
      </c>
      <c r="AC388" s="67">
        <f t="shared" si="11"/>
        <v>143.65</v>
      </c>
      <c r="AD388" s="67">
        <f t="shared" si="12"/>
        <v>22.984</v>
      </c>
      <c r="AE388" s="67">
        <f t="shared" si="13"/>
        <v>166.634</v>
      </c>
      <c r="AF388" s="67">
        <f t="shared" si="14"/>
        <v>140.27</v>
      </c>
      <c r="AG388" s="67">
        <f t="shared" si="15"/>
        <v>22.4432</v>
      </c>
      <c r="AH388" s="67">
        <f t="shared" si="16"/>
        <v>162.7132</v>
      </c>
      <c r="AI388" s="67">
        <f t="shared" si="17"/>
        <v>135.2</v>
      </c>
      <c r="AJ388" s="68">
        <f t="shared" si="20"/>
        <v>21.632</v>
      </c>
      <c r="AK388" s="68">
        <f t="shared" si="21"/>
        <v>156.832</v>
      </c>
      <c r="AL388" s="70">
        <f>IFERROR(__xludf.DUMMYFUNCTION("""COMPUTED_VALUE"""),1.0)</f>
        <v>1</v>
      </c>
      <c r="AM388" s="70"/>
      <c r="AN388" s="71" t="str">
        <f>IFERROR(__xludf.DUMMYFUNCTION("""COMPUTED_VALUE""")," CP")</f>
        <v>CP</v>
      </c>
      <c r="AO388" s="71" t="str">
        <f>IFERROR(__xludf.DUMMYFUNCTION("""COMPUTED_VALUE""")," CA82")</f>
        <v>CA82</v>
      </c>
      <c r="AP388" s="71" t="str">
        <f>IFERROR(__xludf.DUMMYFUNCTION("""COMPUTED_VALUE""")," PZA")</f>
        <v>PZA</v>
      </c>
      <c r="AQ388" s="71" t="str">
        <f>IFERROR(__xludf.DUMMYFUNCTION("""COMPUTED_VALUE""")," REF")</f>
        <v>REF</v>
      </c>
      <c r="AR388" s="71" t="str">
        <f>IFERROR(__xludf.DUMMYFUNCTION("""COMPUTED_VALUE""")," CATARINA 42B30 E.15/16""")</f>
        <v>CATARINA 42B30 E.15/16"</v>
      </c>
      <c r="AS388" s="71" t="str">
        <f>IFERROR(__xludf.DUMMYFUNCTION("""COMPUTED_VALUE""")," CATARINA 42B30 E.15/16""")</f>
        <v>CATARINA 42B30 E.15/16"</v>
      </c>
      <c r="AT388" s="71">
        <f>IFERROR(__xludf.DUMMYFUNCTION("""COMPUTED_VALUE"""),23.0)</f>
        <v>23</v>
      </c>
      <c r="AU388" s="71"/>
      <c r="AV388" s="71"/>
      <c r="AW388" s="71"/>
      <c r="AX388" s="71"/>
      <c r="AY388" s="71">
        <f>IFERROR(__xludf.DUMMYFUNCTION("""COMPUTED_VALUE"""),212.0)</f>
        <v>212</v>
      </c>
      <c r="AZ388" s="71">
        <f>IFERROR(__xludf.DUMMYFUNCTION("""COMPUTED_VALUE"""),228.0)</f>
        <v>228</v>
      </c>
      <c r="BA388" s="71">
        <f>IFERROR(__xludf.DUMMYFUNCTION("""COMPUTED_VALUE"""),155.0)</f>
        <v>155</v>
      </c>
      <c r="BB388" s="71">
        <f>IFERROR(__xludf.DUMMYFUNCTION("""COMPUTED_VALUE"""),155.0)</f>
        <v>155</v>
      </c>
      <c r="BC388" s="71">
        <f>IFERROR(__xludf.DUMMYFUNCTION("""COMPUTED_VALUE"""),196.0)</f>
        <v>196</v>
      </c>
      <c r="BD388" s="71">
        <f>IFERROR(__xludf.DUMMYFUNCTION("""COMPUTED_VALUE"""),206.0)</f>
        <v>206</v>
      </c>
      <c r="BE388" s="71">
        <f>IFERROR(__xludf.DUMMYFUNCTION("""COMPUTED_VALUE"""),32.96)</f>
        <v>32.96</v>
      </c>
      <c r="BF388" s="71">
        <f>IFERROR(__xludf.DUMMYFUNCTION("""COMPUTED_VALUE"""),238.96)</f>
        <v>238.96</v>
      </c>
      <c r="BG388" s="71">
        <f>IFERROR(__xludf.DUMMYFUNCTION("""COMPUTED_VALUE"""),0.05102040816326531)</f>
        <v>0.05102040816</v>
      </c>
      <c r="BH388" s="71">
        <f>IFERROR(__xludf.DUMMYFUNCTION("""COMPUTED_VALUE"""),195.7)</f>
        <v>195.7</v>
      </c>
      <c r="BI388" s="71">
        <f>IFERROR(__xludf.DUMMYFUNCTION("""COMPUTED_VALUE"""),31.311999999999998)</f>
        <v>31.312</v>
      </c>
      <c r="BJ388" s="71">
        <f>IFERROR(__xludf.DUMMYFUNCTION("""COMPUTED_VALUE"""),227.012)</f>
        <v>227.012</v>
      </c>
      <c r="BK388" s="71">
        <f>IFERROR(__xludf.DUMMYFUNCTION("""COMPUTED_VALUE"""),185.4)</f>
        <v>185.4</v>
      </c>
      <c r="BL388" s="71">
        <f>IFERROR(__xludf.DUMMYFUNCTION("""COMPUTED_VALUE"""),29.664)</f>
        <v>29.664</v>
      </c>
      <c r="BM388" s="71">
        <f>IFERROR(__xludf.DUMMYFUNCTION("""COMPUTED_VALUE"""),215.06400000000002)</f>
        <v>215.064</v>
      </c>
      <c r="BN388" s="71">
        <f>IFERROR(__xludf.DUMMYFUNCTION("""COMPUTED_VALUE"""),175.1)</f>
        <v>175.1</v>
      </c>
      <c r="BO388" s="71">
        <f>IFERROR(__xludf.DUMMYFUNCTION("""COMPUTED_VALUE"""),28.016)</f>
        <v>28.016</v>
      </c>
      <c r="BP388" s="71">
        <f>IFERROR(__xludf.DUMMYFUNCTION("""COMPUTED_VALUE"""),203.11599999999999)</f>
        <v>203.116</v>
      </c>
      <c r="BQ388" s="71">
        <f>IFERROR(__xludf.DUMMYFUNCTION("""COMPUTED_VALUE"""),170.98)</f>
        <v>170.98</v>
      </c>
      <c r="BR388" s="71">
        <f>IFERROR(__xludf.DUMMYFUNCTION("""COMPUTED_VALUE"""),27.3568)</f>
        <v>27.3568</v>
      </c>
      <c r="BS388" s="71">
        <f>IFERROR(__xludf.DUMMYFUNCTION("""COMPUTED_VALUE"""),198.33679999999998)</f>
        <v>198.3368</v>
      </c>
      <c r="BT388" s="71">
        <f>IFERROR(__xludf.DUMMYFUNCTION("""COMPUTED_VALUE"""),164.8)</f>
        <v>164.8</v>
      </c>
      <c r="BU388" s="71">
        <f>IFERROR(__xludf.DUMMYFUNCTION("""COMPUTED_VALUE"""),26.368000000000002)</f>
        <v>26.368</v>
      </c>
      <c r="BV388" s="71">
        <f>IFERROR(__xludf.DUMMYFUNCTION("""COMPUTED_VALUE"""),191.168)</f>
        <v>191.168</v>
      </c>
    </row>
    <row r="389">
      <c r="A389" s="53">
        <v>1.0</v>
      </c>
      <c r="B389" s="53"/>
      <c r="C389" s="73" t="s">
        <v>12</v>
      </c>
      <c r="D389" s="53" t="s">
        <v>990</v>
      </c>
      <c r="E389" s="54" t="s">
        <v>38</v>
      </c>
      <c r="F389" s="54" t="s">
        <v>42</v>
      </c>
      <c r="G389" s="54" t="s">
        <v>991</v>
      </c>
      <c r="H389" s="54" t="s">
        <v>991</v>
      </c>
      <c r="I389" s="54">
        <f t="shared" si="1"/>
        <v>28</v>
      </c>
      <c r="J389" s="56"/>
      <c r="K389" s="75"/>
      <c r="L389" s="76"/>
      <c r="M389" s="59"/>
      <c r="N389" s="79">
        <v>149.0</v>
      </c>
      <c r="O389" s="61">
        <v>160.0</v>
      </c>
      <c r="P389" s="62">
        <v>172.8</v>
      </c>
      <c r="Q389" s="63">
        <v>172.8</v>
      </c>
      <c r="R389" s="64">
        <v>187.0</v>
      </c>
      <c r="S389" s="111">
        <v>196.0</v>
      </c>
      <c r="T389" s="65">
        <f t="shared" si="2"/>
        <v>31.36</v>
      </c>
      <c r="U389" s="65">
        <f t="shared" si="3"/>
        <v>227.36</v>
      </c>
      <c r="V389" s="66">
        <f t="shared" si="4"/>
        <v>0.04812834225</v>
      </c>
      <c r="W389" s="67">
        <f t="shared" si="5"/>
        <v>186.2</v>
      </c>
      <c r="X389" s="67">
        <f t="shared" si="6"/>
        <v>29.792</v>
      </c>
      <c r="Y389" s="67">
        <f t="shared" si="7"/>
        <v>215.992</v>
      </c>
      <c r="Z389" s="67">
        <f t="shared" si="8"/>
        <v>176.4</v>
      </c>
      <c r="AA389" s="67">
        <f t="shared" si="9"/>
        <v>28.224</v>
      </c>
      <c r="AB389" s="67">
        <f t="shared" si="10"/>
        <v>204.624</v>
      </c>
      <c r="AC389" s="67">
        <f t="shared" si="11"/>
        <v>166.6</v>
      </c>
      <c r="AD389" s="67">
        <f t="shared" si="12"/>
        <v>26.656</v>
      </c>
      <c r="AE389" s="67">
        <f t="shared" si="13"/>
        <v>193.256</v>
      </c>
      <c r="AF389" s="67">
        <f t="shared" si="14"/>
        <v>162.68</v>
      </c>
      <c r="AG389" s="67">
        <f t="shared" si="15"/>
        <v>26.0288</v>
      </c>
      <c r="AH389" s="67">
        <f t="shared" si="16"/>
        <v>188.7088</v>
      </c>
      <c r="AI389" s="67">
        <f t="shared" si="17"/>
        <v>156.8</v>
      </c>
      <c r="AJ389" s="68">
        <f t="shared" si="20"/>
        <v>25.088</v>
      </c>
      <c r="AK389" s="68">
        <f t="shared" si="21"/>
        <v>181.888</v>
      </c>
      <c r="AL389" s="70">
        <f>IFERROR(__xludf.DUMMYFUNCTION("""COMPUTED_VALUE"""),1.0)</f>
        <v>1</v>
      </c>
      <c r="AM389" s="70"/>
      <c r="AN389" s="71" t="str">
        <f>IFERROR(__xludf.DUMMYFUNCTION("""COMPUTED_VALUE""")," CP")</f>
        <v>CP</v>
      </c>
      <c r="AO389" s="71" t="str">
        <f>IFERROR(__xludf.DUMMYFUNCTION("""COMPUTED_VALUE""")," CA84")</f>
        <v>CA84</v>
      </c>
      <c r="AP389" s="71" t="str">
        <f>IFERROR(__xludf.DUMMYFUNCTION("""COMPUTED_VALUE""")," PZA")</f>
        <v>PZA</v>
      </c>
      <c r="AQ389" s="71" t="str">
        <f>IFERROR(__xludf.DUMMYFUNCTION("""COMPUTED_VALUE""")," REF")</f>
        <v>REF</v>
      </c>
      <c r="AR389" s="71" t="str">
        <f>IFERROR(__xludf.DUMMYFUNCTION("""COMPUTED_VALUE""")," CATARINA 42B30 E.3/4"" P/ENFRI")</f>
        <v>CATARINA 42B30 E.3/4" P/ENFRI</v>
      </c>
      <c r="AS389" s="71" t="str">
        <f>IFERROR(__xludf.DUMMYFUNCTION("""COMPUTED_VALUE""")," CATARINA 42B30 E.3/4"" P/ENFRI")</f>
        <v>CATARINA 42B30 E.3/4" P/ENFRI</v>
      </c>
      <c r="AT389" s="71">
        <f>IFERROR(__xludf.DUMMYFUNCTION("""COMPUTED_VALUE"""),29.0)</f>
        <v>29</v>
      </c>
      <c r="AU389" s="71"/>
      <c r="AV389" s="71"/>
      <c r="AW389" s="71"/>
      <c r="AX389" s="71"/>
      <c r="AY389" s="71">
        <f>IFERROR(__xludf.DUMMYFUNCTION("""COMPUTED_VALUE"""),212.0)</f>
        <v>212</v>
      </c>
      <c r="AZ389" s="71">
        <f>IFERROR(__xludf.DUMMYFUNCTION("""COMPUTED_VALUE"""),228.0)</f>
        <v>228</v>
      </c>
      <c r="BA389" s="71">
        <f>IFERROR(__xludf.DUMMYFUNCTION("""COMPUTED_VALUE"""),155.0)</f>
        <v>155</v>
      </c>
      <c r="BB389" s="71">
        <f>IFERROR(__xludf.DUMMYFUNCTION("""COMPUTED_VALUE"""),155.0)</f>
        <v>155</v>
      </c>
      <c r="BC389" s="71">
        <f>IFERROR(__xludf.DUMMYFUNCTION("""COMPUTED_VALUE"""),196.0)</f>
        <v>196</v>
      </c>
      <c r="BD389" s="71">
        <f>IFERROR(__xludf.DUMMYFUNCTION("""COMPUTED_VALUE"""),206.0)</f>
        <v>206</v>
      </c>
      <c r="BE389" s="71">
        <f>IFERROR(__xludf.DUMMYFUNCTION("""COMPUTED_VALUE"""),32.96)</f>
        <v>32.96</v>
      </c>
      <c r="BF389" s="71">
        <f>IFERROR(__xludf.DUMMYFUNCTION("""COMPUTED_VALUE"""),238.96)</f>
        <v>238.96</v>
      </c>
      <c r="BG389" s="71">
        <f>IFERROR(__xludf.DUMMYFUNCTION("""COMPUTED_VALUE"""),0.05102040816326531)</f>
        <v>0.05102040816</v>
      </c>
      <c r="BH389" s="71">
        <f>IFERROR(__xludf.DUMMYFUNCTION("""COMPUTED_VALUE"""),195.7)</f>
        <v>195.7</v>
      </c>
      <c r="BI389" s="71">
        <f>IFERROR(__xludf.DUMMYFUNCTION("""COMPUTED_VALUE"""),31.311999999999998)</f>
        <v>31.312</v>
      </c>
      <c r="BJ389" s="71">
        <f>IFERROR(__xludf.DUMMYFUNCTION("""COMPUTED_VALUE"""),227.012)</f>
        <v>227.012</v>
      </c>
      <c r="BK389" s="71">
        <f>IFERROR(__xludf.DUMMYFUNCTION("""COMPUTED_VALUE"""),185.4)</f>
        <v>185.4</v>
      </c>
      <c r="BL389" s="71">
        <f>IFERROR(__xludf.DUMMYFUNCTION("""COMPUTED_VALUE"""),29.664)</f>
        <v>29.664</v>
      </c>
      <c r="BM389" s="71">
        <f>IFERROR(__xludf.DUMMYFUNCTION("""COMPUTED_VALUE"""),215.06400000000002)</f>
        <v>215.064</v>
      </c>
      <c r="BN389" s="71">
        <f>IFERROR(__xludf.DUMMYFUNCTION("""COMPUTED_VALUE"""),175.1)</f>
        <v>175.1</v>
      </c>
      <c r="BO389" s="71">
        <f>IFERROR(__xludf.DUMMYFUNCTION("""COMPUTED_VALUE"""),28.016)</f>
        <v>28.016</v>
      </c>
      <c r="BP389" s="71">
        <f>IFERROR(__xludf.DUMMYFUNCTION("""COMPUTED_VALUE"""),203.11599999999999)</f>
        <v>203.116</v>
      </c>
      <c r="BQ389" s="71">
        <f>IFERROR(__xludf.DUMMYFUNCTION("""COMPUTED_VALUE"""),170.98)</f>
        <v>170.98</v>
      </c>
      <c r="BR389" s="71">
        <f>IFERROR(__xludf.DUMMYFUNCTION("""COMPUTED_VALUE"""),27.3568)</f>
        <v>27.3568</v>
      </c>
      <c r="BS389" s="71">
        <f>IFERROR(__xludf.DUMMYFUNCTION("""COMPUTED_VALUE"""),198.33679999999998)</f>
        <v>198.3368</v>
      </c>
      <c r="BT389" s="71">
        <f>IFERROR(__xludf.DUMMYFUNCTION("""COMPUTED_VALUE"""),164.8)</f>
        <v>164.8</v>
      </c>
      <c r="BU389" s="71">
        <f>IFERROR(__xludf.DUMMYFUNCTION("""COMPUTED_VALUE"""),26.368000000000002)</f>
        <v>26.368</v>
      </c>
      <c r="BV389" s="71">
        <f>IFERROR(__xludf.DUMMYFUNCTION("""COMPUTED_VALUE"""),191.168)</f>
        <v>191.168</v>
      </c>
    </row>
    <row r="390">
      <c r="A390" s="53"/>
      <c r="B390" s="53"/>
      <c r="C390" s="73" t="s">
        <v>12</v>
      </c>
      <c r="D390" s="53" t="s">
        <v>992</v>
      </c>
      <c r="E390" s="54" t="s">
        <v>38</v>
      </c>
      <c r="F390" s="54" t="s">
        <v>42</v>
      </c>
      <c r="G390" s="55" t="s">
        <v>993</v>
      </c>
      <c r="H390" s="54" t="s">
        <v>994</v>
      </c>
      <c r="I390" s="54">
        <f t="shared" si="1"/>
        <v>36</v>
      </c>
      <c r="J390" s="56"/>
      <c r="K390" s="57"/>
      <c r="L390" s="76"/>
      <c r="M390" s="59"/>
      <c r="N390" s="79">
        <v>350.0</v>
      </c>
      <c r="O390" s="61">
        <v>378.0</v>
      </c>
      <c r="P390" s="62">
        <v>408.24</v>
      </c>
      <c r="Q390" s="63">
        <v>408.24</v>
      </c>
      <c r="R390" s="64">
        <v>429.0</v>
      </c>
      <c r="S390" s="111">
        <v>450.0</v>
      </c>
      <c r="T390" s="65">
        <f t="shared" si="2"/>
        <v>72</v>
      </c>
      <c r="U390" s="65">
        <f t="shared" si="3"/>
        <v>522</v>
      </c>
      <c r="V390" s="66">
        <f t="shared" si="4"/>
        <v>0.04895104895</v>
      </c>
      <c r="W390" s="67">
        <f t="shared" si="5"/>
        <v>427.5</v>
      </c>
      <c r="X390" s="67">
        <f t="shared" si="6"/>
        <v>68.4</v>
      </c>
      <c r="Y390" s="67">
        <f t="shared" si="7"/>
        <v>495.9</v>
      </c>
      <c r="Z390" s="67">
        <f t="shared" si="8"/>
        <v>405</v>
      </c>
      <c r="AA390" s="67">
        <f t="shared" si="9"/>
        <v>64.8</v>
      </c>
      <c r="AB390" s="67">
        <f t="shared" si="10"/>
        <v>469.8</v>
      </c>
      <c r="AC390" s="67">
        <f t="shared" si="11"/>
        <v>382.5</v>
      </c>
      <c r="AD390" s="67">
        <f t="shared" si="12"/>
        <v>61.2</v>
      </c>
      <c r="AE390" s="67">
        <f t="shared" si="13"/>
        <v>443.7</v>
      </c>
      <c r="AF390" s="67">
        <f t="shared" si="14"/>
        <v>373.5</v>
      </c>
      <c r="AG390" s="67">
        <f t="shared" si="15"/>
        <v>59.76</v>
      </c>
      <c r="AH390" s="67">
        <f t="shared" si="16"/>
        <v>433.26</v>
      </c>
      <c r="AI390" s="67">
        <f t="shared" si="17"/>
        <v>360</v>
      </c>
      <c r="AJ390" s="68">
        <f t="shared" si="20"/>
        <v>57.6</v>
      </c>
      <c r="AK390" s="68">
        <f t="shared" si="21"/>
        <v>417.6</v>
      </c>
      <c r="AL390" s="136">
        <f>IFERROR(__xludf.DUMMYFUNCTION("""COMPUTED_VALUE"""),1.0)</f>
        <v>1</v>
      </c>
      <c r="AM390" s="136"/>
      <c r="AN390" s="137" t="str">
        <f>IFERROR(__xludf.DUMMYFUNCTION("""COMPUTED_VALUE""")," C")</f>
        <v>C</v>
      </c>
      <c r="AO390" s="137" t="str">
        <f>IFERROR(__xludf.DUMMYFUNCTION("""COMPUTED_VALUE""")," CA216")</f>
        <v>CA216</v>
      </c>
      <c r="AP390" s="137" t="str">
        <f>IFERROR(__xludf.DUMMYFUNCTION("""COMPUTED_VALUE""")," PZA")</f>
        <v>PZA</v>
      </c>
      <c r="AQ390" s="137" t="str">
        <f>IFERROR(__xludf.DUMMYFUNCTION("""COMPUTED_VALUE""")," REF")</f>
        <v>REF</v>
      </c>
      <c r="AR390" s="137" t="str">
        <f>IFERROR(__xludf.DUMMYFUNCTION("""COMPUTED_VALUE""")," CATARINA 50B11 E.1-1/4"" C1/4")</f>
        <v>CATARINA 50B11 E.1-1/4" C1/4</v>
      </c>
      <c r="AS390" s="137" t="str">
        <f>IFERROR(__xludf.DUMMYFUNCTION("""COMPUTED_VALUE""")," CATARINA 50B11 E.1-1/4"" C1/4")</f>
        <v>CATARINA 50B11 E.1-1/4" C1/4</v>
      </c>
      <c r="AT390" s="137">
        <f>IFERROR(__xludf.DUMMYFUNCTION("""COMPUTED_VALUE"""),28.0)</f>
        <v>28</v>
      </c>
      <c r="AU390" s="137"/>
      <c r="AV390" s="137"/>
      <c r="AW390" s="137"/>
      <c r="AX390" s="137"/>
      <c r="AY390" s="137"/>
      <c r="AZ390" s="137"/>
      <c r="BA390" s="137"/>
      <c r="BB390" s="137"/>
      <c r="BC390" s="137">
        <f>IFERROR(__xludf.DUMMYFUNCTION("""COMPUTED_VALUE"""),99.0)</f>
        <v>99</v>
      </c>
      <c r="BD390" s="137">
        <f>IFERROR(__xludf.DUMMYFUNCTION("""COMPUTED_VALUE"""),104.0)</f>
        <v>104</v>
      </c>
      <c r="BE390" s="137">
        <f>IFERROR(__xludf.DUMMYFUNCTION("""COMPUTED_VALUE"""),16.64)</f>
        <v>16.64</v>
      </c>
      <c r="BF390" s="137">
        <f>IFERROR(__xludf.DUMMYFUNCTION("""COMPUTED_VALUE"""),120.64)</f>
        <v>120.64</v>
      </c>
      <c r="BG390" s="137">
        <f>IFERROR(__xludf.DUMMYFUNCTION("""COMPUTED_VALUE"""),0.050505050505050504)</f>
        <v>0.05050505051</v>
      </c>
      <c r="BH390" s="137">
        <f>IFERROR(__xludf.DUMMYFUNCTION("""COMPUTED_VALUE"""),98.8)</f>
        <v>98.8</v>
      </c>
      <c r="BI390" s="137">
        <f>IFERROR(__xludf.DUMMYFUNCTION("""COMPUTED_VALUE"""),15.808)</f>
        <v>15.808</v>
      </c>
      <c r="BJ390" s="137">
        <f>IFERROR(__xludf.DUMMYFUNCTION("""COMPUTED_VALUE"""),114.608)</f>
        <v>114.608</v>
      </c>
      <c r="BK390" s="137">
        <f>IFERROR(__xludf.DUMMYFUNCTION("""COMPUTED_VALUE"""),93.60000000000001)</f>
        <v>93.6</v>
      </c>
      <c r="BL390" s="137">
        <f>IFERROR(__xludf.DUMMYFUNCTION("""COMPUTED_VALUE"""),14.976)</f>
        <v>14.976</v>
      </c>
      <c r="BM390" s="137">
        <f>IFERROR(__xludf.DUMMYFUNCTION("""COMPUTED_VALUE"""),108.57600000000001)</f>
        <v>108.576</v>
      </c>
      <c r="BN390" s="137">
        <f>IFERROR(__xludf.DUMMYFUNCTION("""COMPUTED_VALUE"""),88.39999999999999)</f>
        <v>88.4</v>
      </c>
      <c r="BO390" s="137">
        <f>IFERROR(__xludf.DUMMYFUNCTION("""COMPUTED_VALUE"""),14.143999999999998)</f>
        <v>14.144</v>
      </c>
      <c r="BP390" s="137">
        <f>IFERROR(__xludf.DUMMYFUNCTION("""COMPUTED_VALUE"""),102.54399999999998)</f>
        <v>102.544</v>
      </c>
      <c r="BQ390" s="137">
        <f>IFERROR(__xludf.DUMMYFUNCTION("""COMPUTED_VALUE"""),86.32)</f>
        <v>86.32</v>
      </c>
      <c r="BR390" s="137">
        <f>IFERROR(__xludf.DUMMYFUNCTION("""COMPUTED_VALUE"""),13.8112)</f>
        <v>13.8112</v>
      </c>
      <c r="BS390" s="137">
        <f>IFERROR(__xludf.DUMMYFUNCTION("""COMPUTED_VALUE"""),100.13119999999999)</f>
        <v>100.1312</v>
      </c>
      <c r="BT390" s="137">
        <f>IFERROR(__xludf.DUMMYFUNCTION("""COMPUTED_VALUE"""),83.2)</f>
        <v>83.2</v>
      </c>
      <c r="BU390" s="137"/>
      <c r="BV390" s="137"/>
    </row>
    <row r="391">
      <c r="A391" s="53"/>
      <c r="B391" s="53"/>
      <c r="C391" s="73" t="s">
        <v>53</v>
      </c>
      <c r="D391" s="53" t="s">
        <v>995</v>
      </c>
      <c r="E391" s="54" t="s">
        <v>38</v>
      </c>
      <c r="F391" s="54" t="s">
        <v>42</v>
      </c>
      <c r="G391" s="55" t="s">
        <v>996</v>
      </c>
      <c r="H391" s="54" t="s">
        <v>997</v>
      </c>
      <c r="I391" s="54">
        <f t="shared" si="1"/>
        <v>30</v>
      </c>
      <c r="J391" s="56"/>
      <c r="K391" s="57"/>
      <c r="L391" s="76"/>
      <c r="M391" s="59"/>
      <c r="N391" s="79">
        <v>5650.0</v>
      </c>
      <c r="O391" s="61">
        <v>6102.0</v>
      </c>
      <c r="P391" s="62">
        <v>6920.0</v>
      </c>
      <c r="Q391" s="63">
        <v>6920.0</v>
      </c>
      <c r="R391" s="64">
        <v>7266.0</v>
      </c>
      <c r="S391" s="111">
        <v>7629.0</v>
      </c>
      <c r="T391" s="65">
        <f t="shared" si="2"/>
        <v>1220.64</v>
      </c>
      <c r="U391" s="65">
        <f t="shared" si="3"/>
        <v>8849.64</v>
      </c>
      <c r="V391" s="66">
        <f t="shared" si="4"/>
        <v>0.04995871181</v>
      </c>
      <c r="W391" s="67">
        <f t="shared" si="5"/>
        <v>7247.55</v>
      </c>
      <c r="X391" s="67">
        <f t="shared" si="6"/>
        <v>1159.608</v>
      </c>
      <c r="Y391" s="67">
        <f t="shared" si="7"/>
        <v>8407.158</v>
      </c>
      <c r="Z391" s="67">
        <f t="shared" si="8"/>
        <v>6866.1</v>
      </c>
      <c r="AA391" s="67">
        <f t="shared" si="9"/>
        <v>1098.576</v>
      </c>
      <c r="AB391" s="67">
        <f t="shared" si="10"/>
        <v>7964.676</v>
      </c>
      <c r="AC391" s="67">
        <f t="shared" si="11"/>
        <v>6484.65</v>
      </c>
      <c r="AD391" s="67">
        <f t="shared" si="12"/>
        <v>1037.544</v>
      </c>
      <c r="AE391" s="67">
        <f t="shared" si="13"/>
        <v>7522.194</v>
      </c>
      <c r="AF391" s="67">
        <f t="shared" si="14"/>
        <v>6332.07</v>
      </c>
      <c r="AG391" s="67">
        <f t="shared" si="15"/>
        <v>1013.1312</v>
      </c>
      <c r="AH391" s="67">
        <f t="shared" si="16"/>
        <v>7345.2012</v>
      </c>
      <c r="AI391" s="67">
        <f t="shared" si="17"/>
        <v>6103.2</v>
      </c>
      <c r="AJ391" s="68">
        <f t="shared" si="20"/>
        <v>976.512</v>
      </c>
      <c r="AK391" s="68">
        <f t="shared" si="21"/>
        <v>7079.712</v>
      </c>
      <c r="AL391" s="136">
        <f>IFERROR(__xludf.DUMMYFUNCTION("""COMPUTED_VALUE"""),1.0)</f>
        <v>1</v>
      </c>
      <c r="AM391" s="136"/>
      <c r="AN391" s="137" t="str">
        <f>IFERROR(__xludf.DUMMYFUNCTION("""COMPUTED_VALUE""")," CP")</f>
        <v>CP</v>
      </c>
      <c r="AO391" s="137" t="str">
        <f>IFERROR(__xludf.DUMMYFUNCTION("""COMPUTED_VALUE""")," CA04")</f>
        <v>CA04</v>
      </c>
      <c r="AP391" s="137" t="str">
        <f>IFERROR(__xludf.DUMMYFUNCTION("""COMPUTED_VALUE""")," PZA")</f>
        <v>PZA</v>
      </c>
      <c r="AQ391" s="137" t="str">
        <f>IFERROR(__xludf.DUMMYFUNCTION("""COMPUTED_VALUE""")," REF")</f>
        <v>REF</v>
      </c>
      <c r="AR391" s="137" t="str">
        <f>IFERROR(__xludf.DUMMYFUNCTION("""COMPUTED_VALUE""")," CATARINA 50B12 E.1-1/4"" C.1/4")</f>
        <v>CATARINA 50B12 E.1-1/4" C.1/4</v>
      </c>
      <c r="AS391" s="137" t="str">
        <f>IFERROR(__xludf.DUMMYFUNCTION("""COMPUTED_VALUE""")," CATARINA 50B12 E.1-1/4"" C.1/4")</f>
        <v>CATARINA 50B12 E.1-1/4" C.1/4</v>
      </c>
      <c r="AT391" s="137">
        <f>IFERROR(__xludf.DUMMYFUNCTION("""COMPUTED_VALUE"""),29.0)</f>
        <v>29</v>
      </c>
      <c r="AU391" s="137"/>
      <c r="AV391" s="137"/>
      <c r="AW391" s="137"/>
      <c r="AX391" s="137"/>
      <c r="AY391" s="137">
        <f>IFERROR(__xludf.DUMMYFUNCTION("""COMPUTED_VALUE"""),172.0)</f>
        <v>172</v>
      </c>
      <c r="AZ391" s="137">
        <f>IFERROR(__xludf.DUMMYFUNCTION("""COMPUTED_VALUE"""),185.0)</f>
        <v>185</v>
      </c>
      <c r="BA391" s="137">
        <f>IFERROR(__xludf.DUMMYFUNCTION("""COMPUTED_VALUE"""),85.0)</f>
        <v>85</v>
      </c>
      <c r="BB391" s="137">
        <f>IFERROR(__xludf.DUMMYFUNCTION("""COMPUTED_VALUE"""),85.0)</f>
        <v>85</v>
      </c>
      <c r="BC391" s="137">
        <f>IFERROR(__xludf.DUMMYFUNCTION("""COMPUTED_VALUE"""),104.0)</f>
        <v>104</v>
      </c>
      <c r="BD391" s="137">
        <f>IFERROR(__xludf.DUMMYFUNCTION("""COMPUTED_VALUE"""),109.0)</f>
        <v>109</v>
      </c>
      <c r="BE391" s="137">
        <f>IFERROR(__xludf.DUMMYFUNCTION("""COMPUTED_VALUE"""),17.44)</f>
        <v>17.44</v>
      </c>
      <c r="BF391" s="137">
        <f>IFERROR(__xludf.DUMMYFUNCTION("""COMPUTED_VALUE"""),126.44)</f>
        <v>126.44</v>
      </c>
      <c r="BG391" s="137">
        <f>IFERROR(__xludf.DUMMYFUNCTION("""COMPUTED_VALUE"""),0.04807692307692308)</f>
        <v>0.04807692308</v>
      </c>
      <c r="BH391" s="137">
        <f>IFERROR(__xludf.DUMMYFUNCTION("""COMPUTED_VALUE"""),103.55)</f>
        <v>103.55</v>
      </c>
      <c r="BI391" s="137">
        <f>IFERROR(__xludf.DUMMYFUNCTION("""COMPUTED_VALUE"""),16.568)</f>
        <v>16.568</v>
      </c>
      <c r="BJ391" s="137">
        <f>IFERROR(__xludf.DUMMYFUNCTION("""COMPUTED_VALUE"""),120.118)</f>
        <v>120.118</v>
      </c>
      <c r="BK391" s="137">
        <f>IFERROR(__xludf.DUMMYFUNCTION("""COMPUTED_VALUE"""),98.10000000000001)</f>
        <v>98.1</v>
      </c>
      <c r="BL391" s="137">
        <f>IFERROR(__xludf.DUMMYFUNCTION("""COMPUTED_VALUE"""),15.696000000000002)</f>
        <v>15.696</v>
      </c>
      <c r="BM391" s="137">
        <f>IFERROR(__xludf.DUMMYFUNCTION("""COMPUTED_VALUE"""),113.796)</f>
        <v>113.796</v>
      </c>
      <c r="BN391" s="137">
        <f>IFERROR(__xludf.DUMMYFUNCTION("""COMPUTED_VALUE"""),92.64999999999999)</f>
        <v>92.65</v>
      </c>
      <c r="BO391" s="137">
        <f>IFERROR(__xludf.DUMMYFUNCTION("""COMPUTED_VALUE"""),14.823999999999998)</f>
        <v>14.824</v>
      </c>
      <c r="BP391" s="137">
        <f>IFERROR(__xludf.DUMMYFUNCTION("""COMPUTED_VALUE"""),107.47399999999999)</f>
        <v>107.474</v>
      </c>
      <c r="BQ391" s="137">
        <f>IFERROR(__xludf.DUMMYFUNCTION("""COMPUTED_VALUE"""),90.47)</f>
        <v>90.47</v>
      </c>
      <c r="BR391" s="137">
        <f>IFERROR(__xludf.DUMMYFUNCTION("""COMPUTED_VALUE"""),14.475200000000001)</f>
        <v>14.4752</v>
      </c>
      <c r="BS391" s="137">
        <f>IFERROR(__xludf.DUMMYFUNCTION("""COMPUTED_VALUE"""),104.9452)</f>
        <v>104.9452</v>
      </c>
      <c r="BT391" s="137">
        <f>IFERROR(__xludf.DUMMYFUNCTION("""COMPUTED_VALUE"""),87.2)</f>
        <v>87.2</v>
      </c>
      <c r="BU391" s="137">
        <f>IFERROR(__xludf.DUMMYFUNCTION("""COMPUTED_VALUE"""),13.952)</f>
        <v>13.952</v>
      </c>
      <c r="BV391" s="137">
        <f>IFERROR(__xludf.DUMMYFUNCTION("""COMPUTED_VALUE"""),101.152)</f>
        <v>101.152</v>
      </c>
    </row>
    <row r="392">
      <c r="A392" s="53"/>
      <c r="B392" s="53"/>
      <c r="C392" s="73" t="s">
        <v>12</v>
      </c>
      <c r="D392" s="53" t="s">
        <v>998</v>
      </c>
      <c r="E392" s="54" t="s">
        <v>38</v>
      </c>
      <c r="F392" s="54" t="s">
        <v>42</v>
      </c>
      <c r="G392" s="55" t="s">
        <v>999</v>
      </c>
      <c r="H392" s="54" t="s">
        <v>1000</v>
      </c>
      <c r="I392" s="54">
        <f t="shared" si="1"/>
        <v>39</v>
      </c>
      <c r="J392" s="56"/>
      <c r="K392" s="57"/>
      <c r="L392" s="76"/>
      <c r="M392" s="59"/>
      <c r="N392" s="79">
        <v>5172.0</v>
      </c>
      <c r="O392" s="61">
        <v>5585.0</v>
      </c>
      <c r="P392" s="62">
        <v>6031.8</v>
      </c>
      <c r="Q392" s="63">
        <v>6031.8</v>
      </c>
      <c r="R392" s="64">
        <v>6334.0</v>
      </c>
      <c r="S392" s="111">
        <v>6651.0</v>
      </c>
      <c r="T392" s="65">
        <f t="shared" si="2"/>
        <v>1064.16</v>
      </c>
      <c r="U392" s="65">
        <f t="shared" si="3"/>
        <v>7715.16</v>
      </c>
      <c r="V392" s="66">
        <f t="shared" si="4"/>
        <v>0.05004736344</v>
      </c>
      <c r="W392" s="67">
        <f t="shared" si="5"/>
        <v>6318.45</v>
      </c>
      <c r="X392" s="67">
        <f t="shared" si="6"/>
        <v>1010.952</v>
      </c>
      <c r="Y392" s="67">
        <f t="shared" si="7"/>
        <v>7329.402</v>
      </c>
      <c r="Z392" s="67">
        <f t="shared" si="8"/>
        <v>5985.9</v>
      </c>
      <c r="AA392" s="67">
        <f t="shared" si="9"/>
        <v>957.744</v>
      </c>
      <c r="AB392" s="67">
        <f t="shared" si="10"/>
        <v>6943.644</v>
      </c>
      <c r="AC392" s="67">
        <f t="shared" si="11"/>
        <v>5653.35</v>
      </c>
      <c r="AD392" s="67">
        <f t="shared" si="12"/>
        <v>904.536</v>
      </c>
      <c r="AE392" s="67">
        <f t="shared" si="13"/>
        <v>6557.886</v>
      </c>
      <c r="AF392" s="67">
        <f t="shared" si="14"/>
        <v>5520.33</v>
      </c>
      <c r="AG392" s="67">
        <f t="shared" si="15"/>
        <v>883.2528</v>
      </c>
      <c r="AH392" s="67">
        <f t="shared" si="16"/>
        <v>6403.5828</v>
      </c>
      <c r="AI392" s="67">
        <f t="shared" si="17"/>
        <v>5320.8</v>
      </c>
      <c r="AJ392" s="68">
        <f t="shared" si="20"/>
        <v>851.328</v>
      </c>
      <c r="AK392" s="68">
        <f t="shared" si="21"/>
        <v>6172.128</v>
      </c>
      <c r="AL392" s="136">
        <f>IFERROR(__xludf.DUMMYFUNCTION("""COMPUTED_VALUE"""),1.0)</f>
        <v>1</v>
      </c>
      <c r="AM392" s="136"/>
      <c r="AN392" s="137" t="str">
        <f>IFERROR(__xludf.DUMMYFUNCTION("""COMPUTED_VALUE""")," CP")</f>
        <v>CP</v>
      </c>
      <c r="AO392" s="137" t="str">
        <f>IFERROR(__xludf.DUMMYFUNCTION("""COMPUTED_VALUE""")," CA03")</f>
        <v>CA03</v>
      </c>
      <c r="AP392" s="137" t="str">
        <f>IFERROR(__xludf.DUMMYFUNCTION("""COMPUTED_VALUE""")," PZA")</f>
        <v>PZA</v>
      </c>
      <c r="AQ392" s="137" t="str">
        <f>IFERROR(__xludf.DUMMYFUNCTION("""COMPUTED_VALUE""")," REF")</f>
        <v>REF</v>
      </c>
      <c r="AR392" s="137" t="str">
        <f>IFERROR(__xludf.DUMMYFUNCTION("""COMPUTED_VALUE""")," CATARINA 50B12 E.1"" C.1/4")</f>
        <v>CATARINA 50B12 E.1" C.1/4</v>
      </c>
      <c r="AS392" s="137" t="str">
        <f>IFERROR(__xludf.DUMMYFUNCTION("""COMPUTED_VALUE""")," CATARINA 50B12 E.1"" C.1/4")</f>
        <v>CATARINA 50B12 E.1" C.1/4</v>
      </c>
      <c r="AT392" s="137">
        <f>IFERROR(__xludf.DUMMYFUNCTION("""COMPUTED_VALUE"""),25.0)</f>
        <v>25</v>
      </c>
      <c r="AU392" s="137"/>
      <c r="AV392" s="137"/>
      <c r="AW392" s="137"/>
      <c r="AX392" s="137"/>
      <c r="AY392" s="137">
        <f>IFERROR(__xludf.DUMMYFUNCTION("""COMPUTED_VALUE"""),172.0)</f>
        <v>172</v>
      </c>
      <c r="AZ392" s="137">
        <f>IFERROR(__xludf.DUMMYFUNCTION("""COMPUTED_VALUE"""),185.0)</f>
        <v>185</v>
      </c>
      <c r="BA392" s="137">
        <f>IFERROR(__xludf.DUMMYFUNCTION("""COMPUTED_VALUE"""),85.0)</f>
        <v>85</v>
      </c>
      <c r="BB392" s="137">
        <f>IFERROR(__xludf.DUMMYFUNCTION("""COMPUTED_VALUE"""),85.0)</f>
        <v>85</v>
      </c>
      <c r="BC392" s="137">
        <f>IFERROR(__xludf.DUMMYFUNCTION("""COMPUTED_VALUE"""),104.0)</f>
        <v>104</v>
      </c>
      <c r="BD392" s="137">
        <f>IFERROR(__xludf.DUMMYFUNCTION("""COMPUTED_VALUE"""),109.0)</f>
        <v>109</v>
      </c>
      <c r="BE392" s="137">
        <f>IFERROR(__xludf.DUMMYFUNCTION("""COMPUTED_VALUE"""),17.44)</f>
        <v>17.44</v>
      </c>
      <c r="BF392" s="137">
        <f>IFERROR(__xludf.DUMMYFUNCTION("""COMPUTED_VALUE"""),126.44)</f>
        <v>126.44</v>
      </c>
      <c r="BG392" s="137">
        <f>IFERROR(__xludf.DUMMYFUNCTION("""COMPUTED_VALUE"""),0.04807692307692308)</f>
        <v>0.04807692308</v>
      </c>
      <c r="BH392" s="137">
        <f>IFERROR(__xludf.DUMMYFUNCTION("""COMPUTED_VALUE"""),103.55)</f>
        <v>103.55</v>
      </c>
      <c r="BI392" s="137">
        <f>IFERROR(__xludf.DUMMYFUNCTION("""COMPUTED_VALUE"""),16.568)</f>
        <v>16.568</v>
      </c>
      <c r="BJ392" s="137">
        <f>IFERROR(__xludf.DUMMYFUNCTION("""COMPUTED_VALUE"""),120.118)</f>
        <v>120.118</v>
      </c>
      <c r="BK392" s="137">
        <f>IFERROR(__xludf.DUMMYFUNCTION("""COMPUTED_VALUE"""),98.10000000000001)</f>
        <v>98.1</v>
      </c>
      <c r="BL392" s="137">
        <f>IFERROR(__xludf.DUMMYFUNCTION("""COMPUTED_VALUE"""),15.696000000000002)</f>
        <v>15.696</v>
      </c>
      <c r="BM392" s="137">
        <f>IFERROR(__xludf.DUMMYFUNCTION("""COMPUTED_VALUE"""),113.796)</f>
        <v>113.796</v>
      </c>
      <c r="BN392" s="137">
        <f>IFERROR(__xludf.DUMMYFUNCTION("""COMPUTED_VALUE"""),92.64999999999999)</f>
        <v>92.65</v>
      </c>
      <c r="BO392" s="137">
        <f>IFERROR(__xludf.DUMMYFUNCTION("""COMPUTED_VALUE"""),14.823999999999998)</f>
        <v>14.824</v>
      </c>
      <c r="BP392" s="137">
        <f>IFERROR(__xludf.DUMMYFUNCTION("""COMPUTED_VALUE"""),107.47399999999999)</f>
        <v>107.474</v>
      </c>
      <c r="BQ392" s="137">
        <f>IFERROR(__xludf.DUMMYFUNCTION("""COMPUTED_VALUE"""),90.47)</f>
        <v>90.47</v>
      </c>
      <c r="BR392" s="137">
        <f>IFERROR(__xludf.DUMMYFUNCTION("""COMPUTED_VALUE"""),14.475200000000001)</f>
        <v>14.4752</v>
      </c>
      <c r="BS392" s="137">
        <f>IFERROR(__xludf.DUMMYFUNCTION("""COMPUTED_VALUE"""),104.9452)</f>
        <v>104.9452</v>
      </c>
      <c r="BT392" s="137">
        <f>IFERROR(__xludf.DUMMYFUNCTION("""COMPUTED_VALUE"""),87.2)</f>
        <v>87.2</v>
      </c>
      <c r="BU392" s="137">
        <f>IFERROR(__xludf.DUMMYFUNCTION("""COMPUTED_VALUE"""),13.952)</f>
        <v>13.952</v>
      </c>
      <c r="BV392" s="137">
        <f>IFERROR(__xludf.DUMMYFUNCTION("""COMPUTED_VALUE"""),101.152)</f>
        <v>101.152</v>
      </c>
    </row>
    <row r="393">
      <c r="A393" s="53"/>
      <c r="B393" s="53"/>
      <c r="C393" s="53" t="s">
        <v>36</v>
      </c>
      <c r="D393" s="85" t="s">
        <v>1001</v>
      </c>
      <c r="E393" s="54" t="s">
        <v>38</v>
      </c>
      <c r="F393" s="55" t="s">
        <v>39</v>
      </c>
      <c r="G393" s="86" t="s">
        <v>1002</v>
      </c>
      <c r="H393" s="55"/>
      <c r="I393" s="54">
        <f t="shared" si="1"/>
        <v>0</v>
      </c>
      <c r="J393" s="56"/>
      <c r="K393" s="57"/>
      <c r="L393" s="76"/>
      <c r="M393" s="59"/>
      <c r="N393" s="60"/>
      <c r="O393" s="61">
        <v>2841.6</v>
      </c>
      <c r="P393" s="62">
        <v>3068.928</v>
      </c>
      <c r="Q393" s="63">
        <v>3068.928</v>
      </c>
      <c r="R393" s="64">
        <v>3223.0</v>
      </c>
      <c r="S393" s="107">
        <v>3384.0</v>
      </c>
      <c r="T393" s="65">
        <f t="shared" si="2"/>
        <v>541.44</v>
      </c>
      <c r="U393" s="65">
        <f t="shared" si="3"/>
        <v>3925.44</v>
      </c>
      <c r="V393" s="66">
        <f t="shared" si="4"/>
        <v>0.04995345951</v>
      </c>
      <c r="W393" s="67">
        <f t="shared" si="5"/>
        <v>3214.8</v>
      </c>
      <c r="X393" s="67">
        <f t="shared" si="6"/>
        <v>514.368</v>
      </c>
      <c r="Y393" s="67">
        <f t="shared" si="7"/>
        <v>3729.168</v>
      </c>
      <c r="Z393" s="67">
        <f t="shared" si="8"/>
        <v>3045.6</v>
      </c>
      <c r="AA393" s="67">
        <f t="shared" si="9"/>
        <v>487.296</v>
      </c>
      <c r="AB393" s="67">
        <f t="shared" si="10"/>
        <v>3532.896</v>
      </c>
      <c r="AC393" s="67">
        <f t="shared" si="11"/>
        <v>2876.4</v>
      </c>
      <c r="AD393" s="67">
        <f t="shared" si="12"/>
        <v>460.224</v>
      </c>
      <c r="AE393" s="67">
        <f t="shared" si="13"/>
        <v>3336.624</v>
      </c>
      <c r="AF393" s="67">
        <f t="shared" si="14"/>
        <v>2808.72</v>
      </c>
      <c r="AG393" s="67">
        <f t="shared" si="15"/>
        <v>449.3952</v>
      </c>
      <c r="AH393" s="67">
        <f t="shared" si="16"/>
        <v>3258.1152</v>
      </c>
      <c r="AI393" s="67">
        <f t="shared" si="17"/>
        <v>2707.2</v>
      </c>
      <c r="AJ393" s="68">
        <f t="shared" si="20"/>
        <v>433.152</v>
      </c>
      <c r="AK393" s="68">
        <f t="shared" si="21"/>
        <v>3140.352</v>
      </c>
      <c r="AL393" s="70">
        <f>IFERROR(__xludf.DUMMYFUNCTION("""COMPUTED_VALUE"""),1.0)</f>
        <v>1</v>
      </c>
      <c r="AM393" s="70"/>
      <c r="AN393" s="71" t="str">
        <f>IFERROR(__xludf.DUMMYFUNCTION("""COMPUTED_VALUE""")," CP")</f>
        <v>CP</v>
      </c>
      <c r="AO393" s="71" t="str">
        <f>IFERROR(__xludf.DUMMYFUNCTION("""COMPUTED_VALUE""")," CA06")</f>
        <v>CA06</v>
      </c>
      <c r="AP393" s="71" t="str">
        <f>IFERROR(__xludf.DUMMYFUNCTION("""COMPUTED_VALUE""")," PZA")</f>
        <v>PZA</v>
      </c>
      <c r="AQ393" s="71" t="str">
        <f>IFERROR(__xludf.DUMMYFUNCTION("""COMPUTED_VALUE""")," REF")</f>
        <v>REF</v>
      </c>
      <c r="AR393" s="71" t="str">
        <f>IFERROR(__xludf.DUMMYFUNCTION("""COMPUTED_VALUE""")," CATARINA 50B13 E.1-1/4"" C.1/4")</f>
        <v>CATARINA 50B13 E.1-1/4" C.1/4</v>
      </c>
      <c r="AS393" s="71" t="str">
        <f>IFERROR(__xludf.DUMMYFUNCTION("""COMPUTED_VALUE""")," CATARINA 50B13 E.1-1/4"" C.1/4")</f>
        <v>CATARINA 50B13 E.1-1/4" C.1/4</v>
      </c>
      <c r="AT393" s="71">
        <f>IFERROR(__xludf.DUMMYFUNCTION("""COMPUTED_VALUE"""),29.0)</f>
        <v>29</v>
      </c>
      <c r="AU393" s="71"/>
      <c r="AV393" s="71"/>
      <c r="AW393" s="71"/>
      <c r="AX393" s="71"/>
      <c r="AY393" s="71">
        <f>IFERROR(__xludf.DUMMYFUNCTION("""COMPUTED_VALUE"""),172.0)</f>
        <v>172</v>
      </c>
      <c r="AZ393" s="71">
        <f>IFERROR(__xludf.DUMMYFUNCTION("""COMPUTED_VALUE"""),185.0)</f>
        <v>185</v>
      </c>
      <c r="BA393" s="71">
        <f>IFERROR(__xludf.DUMMYFUNCTION("""COMPUTED_VALUE"""),90.0)</f>
        <v>90</v>
      </c>
      <c r="BB393" s="71">
        <f>IFERROR(__xludf.DUMMYFUNCTION("""COMPUTED_VALUE"""),90.0)</f>
        <v>90</v>
      </c>
      <c r="BC393" s="71">
        <f>IFERROR(__xludf.DUMMYFUNCTION("""COMPUTED_VALUE"""),125.0)</f>
        <v>125</v>
      </c>
      <c r="BD393" s="71">
        <f>IFERROR(__xludf.DUMMYFUNCTION("""COMPUTED_VALUE"""),131.0)</f>
        <v>131</v>
      </c>
      <c r="BE393" s="71">
        <f>IFERROR(__xludf.DUMMYFUNCTION("""COMPUTED_VALUE"""),20.96)</f>
        <v>20.96</v>
      </c>
      <c r="BF393" s="71">
        <f>IFERROR(__xludf.DUMMYFUNCTION("""COMPUTED_VALUE"""),151.96)</f>
        <v>151.96</v>
      </c>
      <c r="BG393" s="71">
        <f>IFERROR(__xludf.DUMMYFUNCTION("""COMPUTED_VALUE"""),0.048)</f>
        <v>0.048</v>
      </c>
      <c r="BH393" s="71">
        <f>IFERROR(__xludf.DUMMYFUNCTION("""COMPUTED_VALUE"""),124.44999999999999)</f>
        <v>124.45</v>
      </c>
      <c r="BI393" s="71">
        <f>IFERROR(__xludf.DUMMYFUNCTION("""COMPUTED_VALUE"""),19.912)</f>
        <v>19.912</v>
      </c>
      <c r="BJ393" s="71">
        <f>IFERROR(__xludf.DUMMYFUNCTION("""COMPUTED_VALUE"""),144.362)</f>
        <v>144.362</v>
      </c>
      <c r="BK393" s="71">
        <f>IFERROR(__xludf.DUMMYFUNCTION("""COMPUTED_VALUE"""),117.9)</f>
        <v>117.9</v>
      </c>
      <c r="BL393" s="71">
        <f>IFERROR(__xludf.DUMMYFUNCTION("""COMPUTED_VALUE"""),18.864)</f>
        <v>18.864</v>
      </c>
      <c r="BM393" s="71">
        <f>IFERROR(__xludf.DUMMYFUNCTION("""COMPUTED_VALUE"""),136.764)</f>
        <v>136.764</v>
      </c>
      <c r="BN393" s="71">
        <f>IFERROR(__xludf.DUMMYFUNCTION("""COMPUTED_VALUE"""),111.35)</f>
        <v>111.35</v>
      </c>
      <c r="BO393" s="71">
        <f>IFERROR(__xludf.DUMMYFUNCTION("""COMPUTED_VALUE"""),17.816)</f>
        <v>17.816</v>
      </c>
      <c r="BP393" s="71">
        <f>IFERROR(__xludf.DUMMYFUNCTION("""COMPUTED_VALUE"""),129.166)</f>
        <v>129.166</v>
      </c>
      <c r="BQ393" s="71">
        <f>IFERROR(__xludf.DUMMYFUNCTION("""COMPUTED_VALUE"""),108.72999999999999)</f>
        <v>108.73</v>
      </c>
      <c r="BR393" s="71">
        <f>IFERROR(__xludf.DUMMYFUNCTION("""COMPUTED_VALUE"""),17.3968)</f>
        <v>17.3968</v>
      </c>
      <c r="BS393" s="71">
        <f>IFERROR(__xludf.DUMMYFUNCTION("""COMPUTED_VALUE"""),126.12679999999999)</f>
        <v>126.1268</v>
      </c>
      <c r="BT393" s="71">
        <f>IFERROR(__xludf.DUMMYFUNCTION("""COMPUTED_VALUE"""),104.80000000000001)</f>
        <v>104.8</v>
      </c>
      <c r="BU393" s="71">
        <f>IFERROR(__xludf.DUMMYFUNCTION("""COMPUTED_VALUE"""),16.768)</f>
        <v>16.768</v>
      </c>
      <c r="BV393" s="71">
        <f>IFERROR(__xludf.DUMMYFUNCTION("""COMPUTED_VALUE"""),121.56800000000001)</f>
        <v>121.568</v>
      </c>
    </row>
    <row r="394">
      <c r="A394" s="53"/>
      <c r="B394" s="53"/>
      <c r="C394" s="73" t="s">
        <v>12</v>
      </c>
      <c r="D394" s="53" t="s">
        <v>1003</v>
      </c>
      <c r="E394" s="54" t="s">
        <v>38</v>
      </c>
      <c r="F394" s="54" t="s">
        <v>42</v>
      </c>
      <c r="G394" s="55" t="s">
        <v>1004</v>
      </c>
      <c r="H394" s="54" t="s">
        <v>1004</v>
      </c>
      <c r="I394" s="54">
        <f t="shared" si="1"/>
        <v>35</v>
      </c>
      <c r="J394" s="56"/>
      <c r="K394" s="57"/>
      <c r="L394" s="76"/>
      <c r="M394" s="59"/>
      <c r="N394" s="79">
        <v>150.0</v>
      </c>
      <c r="O394" s="61">
        <v>162.0</v>
      </c>
      <c r="P394" s="62">
        <v>174.96</v>
      </c>
      <c r="Q394" s="63">
        <v>174.96</v>
      </c>
      <c r="R394" s="64">
        <v>184.0</v>
      </c>
      <c r="S394" s="111">
        <v>193.0</v>
      </c>
      <c r="T394" s="65">
        <f t="shared" si="2"/>
        <v>30.88</v>
      </c>
      <c r="U394" s="65">
        <f t="shared" si="3"/>
        <v>223.88</v>
      </c>
      <c r="V394" s="66">
        <f t="shared" si="4"/>
        <v>0.04891304348</v>
      </c>
      <c r="W394" s="67">
        <f t="shared" si="5"/>
        <v>183.35</v>
      </c>
      <c r="X394" s="67">
        <f t="shared" si="6"/>
        <v>29.336</v>
      </c>
      <c r="Y394" s="67">
        <f t="shared" si="7"/>
        <v>212.686</v>
      </c>
      <c r="Z394" s="67">
        <f t="shared" si="8"/>
        <v>173.7</v>
      </c>
      <c r="AA394" s="67">
        <f t="shared" si="9"/>
        <v>27.792</v>
      </c>
      <c r="AB394" s="67">
        <f t="shared" si="10"/>
        <v>201.492</v>
      </c>
      <c r="AC394" s="67">
        <f t="shared" si="11"/>
        <v>164.05</v>
      </c>
      <c r="AD394" s="67">
        <f t="shared" si="12"/>
        <v>26.248</v>
      </c>
      <c r="AE394" s="67">
        <f t="shared" si="13"/>
        <v>190.298</v>
      </c>
      <c r="AF394" s="67">
        <f t="shared" si="14"/>
        <v>160.19</v>
      </c>
      <c r="AG394" s="67">
        <f t="shared" si="15"/>
        <v>25.6304</v>
      </c>
      <c r="AH394" s="67">
        <f t="shared" si="16"/>
        <v>185.8204</v>
      </c>
      <c r="AI394" s="67">
        <f t="shared" si="17"/>
        <v>154.4</v>
      </c>
      <c r="AJ394" s="68">
        <f t="shared" si="20"/>
        <v>24.704</v>
      </c>
      <c r="AK394" s="68">
        <f t="shared" si="21"/>
        <v>179.104</v>
      </c>
      <c r="AL394" s="136">
        <f>IFERROR(__xludf.DUMMYFUNCTION("""COMPUTED_VALUE"""),1.0)</f>
        <v>1</v>
      </c>
      <c r="AM394" s="136"/>
      <c r="AN394" s="137" t="str">
        <f>IFERROR(__xludf.DUMMYFUNCTION("""COMPUTED_VALUE""")," CP")</f>
        <v>CP</v>
      </c>
      <c r="AO394" s="137" t="str">
        <f>IFERROR(__xludf.DUMMYFUNCTION("""COMPUTED_VALUE""")," CA05")</f>
        <v>CA05</v>
      </c>
      <c r="AP394" s="137" t="str">
        <f>IFERROR(__xludf.DUMMYFUNCTION("""COMPUTED_VALUE""")," PZA")</f>
        <v>PZA</v>
      </c>
      <c r="AQ394" s="137" t="str">
        <f>IFERROR(__xludf.DUMMYFUNCTION("""COMPUTED_VALUE""")," REF")</f>
        <v>REF</v>
      </c>
      <c r="AR394" s="137" t="str">
        <f>IFERROR(__xludf.DUMMYFUNCTION("""COMPUTED_VALUE""")," CATARINA 50B13 E.1"" C.1/4")</f>
        <v>CATARINA 50B13 E.1" C.1/4</v>
      </c>
      <c r="AS394" s="137" t="str">
        <f>IFERROR(__xludf.DUMMYFUNCTION("""COMPUTED_VALUE""")," CATARINA 50B13 E.1"" C.1/4")</f>
        <v>CATARINA 50B13 E.1" C.1/4</v>
      </c>
      <c r="AT394" s="137">
        <f>IFERROR(__xludf.DUMMYFUNCTION("""COMPUTED_VALUE"""),25.0)</f>
        <v>25</v>
      </c>
      <c r="AU394" s="137"/>
      <c r="AV394" s="137"/>
      <c r="AW394" s="137"/>
      <c r="AX394" s="137"/>
      <c r="AY394" s="137">
        <f>IFERROR(__xludf.DUMMYFUNCTION("""COMPUTED_VALUE"""),172.0)</f>
        <v>172</v>
      </c>
      <c r="AZ394" s="137">
        <f>IFERROR(__xludf.DUMMYFUNCTION("""COMPUTED_VALUE"""),185.0)</f>
        <v>185</v>
      </c>
      <c r="BA394" s="137">
        <f>IFERROR(__xludf.DUMMYFUNCTION("""COMPUTED_VALUE"""),90.0)</f>
        <v>90</v>
      </c>
      <c r="BB394" s="137">
        <f>IFERROR(__xludf.DUMMYFUNCTION("""COMPUTED_VALUE"""),90.0)</f>
        <v>90</v>
      </c>
      <c r="BC394" s="137">
        <f>IFERROR(__xludf.DUMMYFUNCTION("""COMPUTED_VALUE"""),125.0)</f>
        <v>125</v>
      </c>
      <c r="BD394" s="137">
        <f>IFERROR(__xludf.DUMMYFUNCTION("""COMPUTED_VALUE"""),131.0)</f>
        <v>131</v>
      </c>
      <c r="BE394" s="137">
        <f>IFERROR(__xludf.DUMMYFUNCTION("""COMPUTED_VALUE"""),20.96)</f>
        <v>20.96</v>
      </c>
      <c r="BF394" s="137">
        <f>IFERROR(__xludf.DUMMYFUNCTION("""COMPUTED_VALUE"""),151.96)</f>
        <v>151.96</v>
      </c>
      <c r="BG394" s="137">
        <f>IFERROR(__xludf.DUMMYFUNCTION("""COMPUTED_VALUE"""),0.048)</f>
        <v>0.048</v>
      </c>
      <c r="BH394" s="137">
        <f>IFERROR(__xludf.DUMMYFUNCTION("""COMPUTED_VALUE"""),124.44999999999999)</f>
        <v>124.45</v>
      </c>
      <c r="BI394" s="137">
        <f>IFERROR(__xludf.DUMMYFUNCTION("""COMPUTED_VALUE"""),19.912)</f>
        <v>19.912</v>
      </c>
      <c r="BJ394" s="137">
        <f>IFERROR(__xludf.DUMMYFUNCTION("""COMPUTED_VALUE"""),144.362)</f>
        <v>144.362</v>
      </c>
      <c r="BK394" s="137">
        <f>IFERROR(__xludf.DUMMYFUNCTION("""COMPUTED_VALUE"""),117.9)</f>
        <v>117.9</v>
      </c>
      <c r="BL394" s="137">
        <f>IFERROR(__xludf.DUMMYFUNCTION("""COMPUTED_VALUE"""),18.864)</f>
        <v>18.864</v>
      </c>
      <c r="BM394" s="137">
        <f>IFERROR(__xludf.DUMMYFUNCTION("""COMPUTED_VALUE"""),136.764)</f>
        <v>136.764</v>
      </c>
      <c r="BN394" s="137">
        <f>IFERROR(__xludf.DUMMYFUNCTION("""COMPUTED_VALUE"""),111.35)</f>
        <v>111.35</v>
      </c>
      <c r="BO394" s="137">
        <f>IFERROR(__xludf.DUMMYFUNCTION("""COMPUTED_VALUE"""),17.816)</f>
        <v>17.816</v>
      </c>
      <c r="BP394" s="137">
        <f>IFERROR(__xludf.DUMMYFUNCTION("""COMPUTED_VALUE"""),129.166)</f>
        <v>129.166</v>
      </c>
      <c r="BQ394" s="137">
        <f>IFERROR(__xludf.DUMMYFUNCTION("""COMPUTED_VALUE"""),108.72999999999999)</f>
        <v>108.73</v>
      </c>
      <c r="BR394" s="137">
        <f>IFERROR(__xludf.DUMMYFUNCTION("""COMPUTED_VALUE"""),17.3968)</f>
        <v>17.3968</v>
      </c>
      <c r="BS394" s="137">
        <f>IFERROR(__xludf.DUMMYFUNCTION("""COMPUTED_VALUE"""),126.12679999999999)</f>
        <v>126.1268</v>
      </c>
      <c r="BT394" s="137">
        <f>IFERROR(__xludf.DUMMYFUNCTION("""COMPUTED_VALUE"""),104.80000000000001)</f>
        <v>104.8</v>
      </c>
      <c r="BU394" s="137">
        <f>IFERROR(__xludf.DUMMYFUNCTION("""COMPUTED_VALUE"""),16.768)</f>
        <v>16.768</v>
      </c>
      <c r="BV394" s="137">
        <f>IFERROR(__xludf.DUMMYFUNCTION("""COMPUTED_VALUE"""),121.56800000000001)</f>
        <v>121.568</v>
      </c>
    </row>
    <row r="395">
      <c r="A395" s="53">
        <v>1.0</v>
      </c>
      <c r="B395" s="72"/>
      <c r="C395" s="73" t="s">
        <v>12</v>
      </c>
      <c r="D395" s="74" t="s">
        <v>1005</v>
      </c>
      <c r="E395" s="54" t="s">
        <v>38</v>
      </c>
      <c r="F395" s="54" t="s">
        <v>42</v>
      </c>
      <c r="G395" s="88" t="s">
        <v>1006</v>
      </c>
      <c r="H395" s="54" t="s">
        <v>1006</v>
      </c>
      <c r="I395" s="54">
        <f t="shared" si="1"/>
        <v>21</v>
      </c>
      <c r="J395" s="56"/>
      <c r="K395" s="75"/>
      <c r="L395" s="76"/>
      <c r="M395" s="59"/>
      <c r="N395" s="60">
        <v>11.0</v>
      </c>
      <c r="O395" s="61">
        <v>11.0</v>
      </c>
      <c r="P395" s="62">
        <v>11.88</v>
      </c>
      <c r="Q395" s="63">
        <v>11.88</v>
      </c>
      <c r="R395" s="64">
        <v>14.0</v>
      </c>
      <c r="S395" s="111">
        <v>14.700000000000001</v>
      </c>
      <c r="T395" s="65">
        <f t="shared" si="2"/>
        <v>2.352</v>
      </c>
      <c r="U395" s="65">
        <f t="shared" si="3"/>
        <v>17.052</v>
      </c>
      <c r="V395" s="66">
        <f t="shared" si="4"/>
        <v>0.05</v>
      </c>
      <c r="W395" s="67">
        <f t="shared" si="5"/>
        <v>13.965</v>
      </c>
      <c r="X395" s="67">
        <f t="shared" si="6"/>
        <v>2.2344</v>
      </c>
      <c r="Y395" s="67">
        <f t="shared" si="7"/>
        <v>16.1994</v>
      </c>
      <c r="Z395" s="67">
        <f t="shared" si="8"/>
        <v>13.23</v>
      </c>
      <c r="AA395" s="67">
        <f t="shared" si="9"/>
        <v>2.1168</v>
      </c>
      <c r="AB395" s="67">
        <f t="shared" si="10"/>
        <v>15.3468</v>
      </c>
      <c r="AC395" s="67">
        <f t="shared" si="11"/>
        <v>12.495</v>
      </c>
      <c r="AD395" s="67">
        <f t="shared" si="12"/>
        <v>1.9992</v>
      </c>
      <c r="AE395" s="67">
        <f t="shared" si="13"/>
        <v>14.4942</v>
      </c>
      <c r="AF395" s="67">
        <f t="shared" si="14"/>
        <v>12.201</v>
      </c>
      <c r="AG395" s="67">
        <f t="shared" si="15"/>
        <v>1.95216</v>
      </c>
      <c r="AH395" s="67">
        <f t="shared" si="16"/>
        <v>14.15316</v>
      </c>
      <c r="AI395" s="67">
        <f t="shared" si="17"/>
        <v>11.76</v>
      </c>
      <c r="AJ395" s="68">
        <f t="shared" si="20"/>
        <v>1.8816</v>
      </c>
      <c r="AK395" s="68">
        <f t="shared" si="21"/>
        <v>13.6416</v>
      </c>
      <c r="AL395" s="70">
        <f>IFERROR(__xludf.DUMMYFUNCTION("""COMPUTED_VALUE"""),1.0)</f>
        <v>1</v>
      </c>
      <c r="AM395" s="70"/>
      <c r="AN395" s="71" t="str">
        <f>IFERROR(__xludf.DUMMYFUNCTION("""COMPUTED_VALUE""")," C")</f>
        <v>C</v>
      </c>
      <c r="AO395" s="71" t="str">
        <f>IFERROR(__xludf.DUMMYFUNCTION("""COMPUTED_VALUE""")," CA217")</f>
        <v>CA217</v>
      </c>
      <c r="AP395" s="71" t="str">
        <f>IFERROR(__xludf.DUMMYFUNCTION("""COMPUTED_VALUE""")," PZA")</f>
        <v>PZA</v>
      </c>
      <c r="AQ395" s="71" t="str">
        <f>IFERROR(__xludf.DUMMYFUNCTION("""COMPUTED_VALUE""")," REF")</f>
        <v>REF</v>
      </c>
      <c r="AR395" s="71" t="str">
        <f>IFERROR(__xludf.DUMMYFUNCTION("""COMPUTED_VALUE""")," CATARINA 50B14 E.1-1/4"" C1/4")</f>
        <v>CATARINA 50B14 E.1-1/4" C1/4</v>
      </c>
      <c r="AS395" s="71" t="str">
        <f>IFERROR(__xludf.DUMMYFUNCTION("""COMPUTED_VALUE""")," CATARINA 50B14 E.1-1/4"" C1/4")</f>
        <v>CATARINA 50B14 E.1-1/4" C1/4</v>
      </c>
      <c r="AT395" s="71">
        <f>IFERROR(__xludf.DUMMYFUNCTION("""COMPUTED_VALUE"""),28.0)</f>
        <v>28</v>
      </c>
      <c r="AU395" s="71"/>
      <c r="AV395" s="71"/>
      <c r="AW395" s="71"/>
      <c r="AX395" s="71"/>
      <c r="AY395" s="71"/>
      <c r="AZ395" s="71"/>
      <c r="BA395" s="71"/>
      <c r="BB395" s="71"/>
      <c r="BC395" s="71">
        <f>IFERROR(__xludf.DUMMYFUNCTION("""COMPUTED_VALUE"""),127.0)</f>
        <v>127</v>
      </c>
      <c r="BD395" s="71">
        <f>IFERROR(__xludf.DUMMYFUNCTION("""COMPUTED_VALUE"""),133.0)</f>
        <v>133</v>
      </c>
      <c r="BE395" s="71">
        <f>IFERROR(__xludf.DUMMYFUNCTION("""COMPUTED_VALUE"""),21.28)</f>
        <v>21.28</v>
      </c>
      <c r="BF395" s="71">
        <f>IFERROR(__xludf.DUMMYFUNCTION("""COMPUTED_VALUE"""),154.28)</f>
        <v>154.28</v>
      </c>
      <c r="BG395" s="71">
        <f>IFERROR(__xludf.DUMMYFUNCTION("""COMPUTED_VALUE"""),0.047244094488188976)</f>
        <v>0.04724409449</v>
      </c>
      <c r="BH395" s="71">
        <f>IFERROR(__xludf.DUMMYFUNCTION("""COMPUTED_VALUE"""),126.35)</f>
        <v>126.35</v>
      </c>
      <c r="BI395" s="71">
        <f>IFERROR(__xludf.DUMMYFUNCTION("""COMPUTED_VALUE"""),20.216)</f>
        <v>20.216</v>
      </c>
      <c r="BJ395" s="71">
        <f>IFERROR(__xludf.DUMMYFUNCTION("""COMPUTED_VALUE"""),146.566)</f>
        <v>146.566</v>
      </c>
      <c r="BK395" s="71">
        <f>IFERROR(__xludf.DUMMYFUNCTION("""COMPUTED_VALUE"""),119.7)</f>
        <v>119.7</v>
      </c>
      <c r="BL395" s="71">
        <f>IFERROR(__xludf.DUMMYFUNCTION("""COMPUTED_VALUE"""),19.152)</f>
        <v>19.152</v>
      </c>
      <c r="BM395" s="71">
        <f>IFERROR(__xludf.DUMMYFUNCTION("""COMPUTED_VALUE"""),138.852)</f>
        <v>138.852</v>
      </c>
      <c r="BN395" s="71">
        <f>IFERROR(__xludf.DUMMYFUNCTION("""COMPUTED_VALUE"""),113.05)</f>
        <v>113.05</v>
      </c>
      <c r="BO395" s="71">
        <f>IFERROR(__xludf.DUMMYFUNCTION("""COMPUTED_VALUE"""),18.088)</f>
        <v>18.088</v>
      </c>
      <c r="BP395" s="71">
        <f>IFERROR(__xludf.DUMMYFUNCTION("""COMPUTED_VALUE"""),131.138)</f>
        <v>131.138</v>
      </c>
      <c r="BQ395" s="71">
        <f>IFERROR(__xludf.DUMMYFUNCTION("""COMPUTED_VALUE"""),110.39)</f>
        <v>110.39</v>
      </c>
      <c r="BR395" s="71">
        <f>IFERROR(__xludf.DUMMYFUNCTION("""COMPUTED_VALUE"""),17.6624)</f>
        <v>17.6624</v>
      </c>
      <c r="BS395" s="71">
        <f>IFERROR(__xludf.DUMMYFUNCTION("""COMPUTED_VALUE"""),128.0524)</f>
        <v>128.0524</v>
      </c>
      <c r="BT395" s="71">
        <f>IFERROR(__xludf.DUMMYFUNCTION("""COMPUTED_VALUE"""),106.4)</f>
        <v>106.4</v>
      </c>
      <c r="BU395" s="71"/>
      <c r="BV395" s="71"/>
    </row>
    <row r="396">
      <c r="A396" s="53">
        <v>1.0</v>
      </c>
      <c r="B396" s="72"/>
      <c r="C396" s="73" t="s">
        <v>12</v>
      </c>
      <c r="D396" s="74" t="s">
        <v>1007</v>
      </c>
      <c r="E396" s="54" t="s">
        <v>38</v>
      </c>
      <c r="F396" s="54" t="s">
        <v>42</v>
      </c>
      <c r="G396" s="88" t="s">
        <v>1008</v>
      </c>
      <c r="H396" s="54" t="s">
        <v>1008</v>
      </c>
      <c r="I396" s="54">
        <f t="shared" si="1"/>
        <v>29</v>
      </c>
      <c r="J396" s="56"/>
      <c r="K396" s="75"/>
      <c r="L396" s="76"/>
      <c r="M396" s="59"/>
      <c r="N396" s="60">
        <v>16.0</v>
      </c>
      <c r="O396" s="61">
        <v>17.0</v>
      </c>
      <c r="P396" s="62">
        <v>18.36</v>
      </c>
      <c r="Q396" s="63">
        <v>18.36</v>
      </c>
      <c r="R396" s="64">
        <v>21.0</v>
      </c>
      <c r="S396" s="111">
        <v>22.0</v>
      </c>
      <c r="T396" s="65">
        <f t="shared" si="2"/>
        <v>3.52</v>
      </c>
      <c r="U396" s="65">
        <f t="shared" si="3"/>
        <v>25.52</v>
      </c>
      <c r="V396" s="66">
        <f t="shared" si="4"/>
        <v>0.04761904762</v>
      </c>
      <c r="W396" s="67">
        <f t="shared" si="5"/>
        <v>20.9</v>
      </c>
      <c r="X396" s="67">
        <f t="shared" si="6"/>
        <v>3.344</v>
      </c>
      <c r="Y396" s="67">
        <f t="shared" si="7"/>
        <v>24.244</v>
      </c>
      <c r="Z396" s="67">
        <f t="shared" si="8"/>
        <v>19.8</v>
      </c>
      <c r="AA396" s="67">
        <f t="shared" si="9"/>
        <v>3.168</v>
      </c>
      <c r="AB396" s="67">
        <f t="shared" si="10"/>
        <v>22.968</v>
      </c>
      <c r="AC396" s="67">
        <f t="shared" si="11"/>
        <v>18.7</v>
      </c>
      <c r="AD396" s="67">
        <f t="shared" si="12"/>
        <v>2.992</v>
      </c>
      <c r="AE396" s="67">
        <f t="shared" si="13"/>
        <v>21.692</v>
      </c>
      <c r="AF396" s="67">
        <f t="shared" si="14"/>
        <v>18.26</v>
      </c>
      <c r="AG396" s="67">
        <f t="shared" si="15"/>
        <v>2.9216</v>
      </c>
      <c r="AH396" s="67">
        <f t="shared" si="16"/>
        <v>21.1816</v>
      </c>
      <c r="AI396" s="67">
        <f t="shared" si="17"/>
        <v>17.6</v>
      </c>
      <c r="AJ396" s="68">
        <f t="shared" si="20"/>
        <v>2.816</v>
      </c>
      <c r="AK396" s="68">
        <f t="shared" si="21"/>
        <v>20.416</v>
      </c>
      <c r="AL396" s="70">
        <f>IFERROR(__xludf.DUMMYFUNCTION("""COMPUTED_VALUE"""),1.0)</f>
        <v>1</v>
      </c>
      <c r="AM396" s="70"/>
      <c r="AN396" s="71" t="str">
        <f>IFERROR(__xludf.DUMMYFUNCTION("""COMPUTED_VALUE""")," CP")</f>
        <v>CP</v>
      </c>
      <c r="AO396" s="71" t="str">
        <f>IFERROR(__xludf.DUMMYFUNCTION("""COMPUTED_VALUE""")," CA15")</f>
        <v>CA15</v>
      </c>
      <c r="AP396" s="71" t="str">
        <f>IFERROR(__xludf.DUMMYFUNCTION("""COMPUTED_VALUE""")," PZA")</f>
        <v>PZA</v>
      </c>
      <c r="AQ396" s="71" t="str">
        <f>IFERROR(__xludf.DUMMYFUNCTION("""COMPUTED_VALUE""")," REF")</f>
        <v>REF</v>
      </c>
      <c r="AR396" s="71" t="str">
        <f>IFERROR(__xludf.DUMMYFUNCTION("""COMPUTED_VALUE""")," CATARINA 50B15 E.1-1/4"" C.1/4")</f>
        <v>CATARINA 50B15 E.1-1/4" C.1/4</v>
      </c>
      <c r="AS396" s="71" t="str">
        <f>IFERROR(__xludf.DUMMYFUNCTION("""COMPUTED_VALUE""")," CATARINA 50B15 E.1-1/4"" C.1/4")</f>
        <v>CATARINA 50B15 E.1-1/4" C.1/4</v>
      </c>
      <c r="AT396" s="71">
        <f>IFERROR(__xludf.DUMMYFUNCTION("""COMPUTED_VALUE"""),29.0)</f>
        <v>29</v>
      </c>
      <c r="AU396" s="71"/>
      <c r="AV396" s="71"/>
      <c r="AW396" s="71"/>
      <c r="AX396" s="71"/>
      <c r="AY396" s="71">
        <f>IFERROR(__xludf.DUMMYFUNCTION("""COMPUTED_VALUE"""),194.0)</f>
        <v>194</v>
      </c>
      <c r="AZ396" s="71">
        <f>IFERROR(__xludf.DUMMYFUNCTION("""COMPUTED_VALUE"""),209.0)</f>
        <v>209</v>
      </c>
      <c r="BA396" s="71">
        <f>IFERROR(__xludf.DUMMYFUNCTION("""COMPUTED_VALUE"""),100.0)</f>
        <v>100</v>
      </c>
      <c r="BB396" s="71">
        <f>IFERROR(__xludf.DUMMYFUNCTION("""COMPUTED_VALUE"""),100.0)</f>
        <v>100</v>
      </c>
      <c r="BC396" s="71">
        <f>IFERROR(__xludf.DUMMYFUNCTION("""COMPUTED_VALUE"""),131.0)</f>
        <v>131</v>
      </c>
      <c r="BD396" s="71">
        <f>IFERROR(__xludf.DUMMYFUNCTION("""COMPUTED_VALUE"""),138.0)</f>
        <v>138</v>
      </c>
      <c r="BE396" s="71">
        <f>IFERROR(__xludf.DUMMYFUNCTION("""COMPUTED_VALUE"""),22.080000000000002)</f>
        <v>22.08</v>
      </c>
      <c r="BF396" s="71">
        <f>IFERROR(__xludf.DUMMYFUNCTION("""COMPUTED_VALUE"""),160.08)</f>
        <v>160.08</v>
      </c>
      <c r="BG396" s="71">
        <f>IFERROR(__xludf.DUMMYFUNCTION("""COMPUTED_VALUE"""),0.05343511450381679)</f>
        <v>0.0534351145</v>
      </c>
      <c r="BH396" s="71">
        <f>IFERROR(__xludf.DUMMYFUNCTION("""COMPUTED_VALUE"""),131.1)</f>
        <v>131.1</v>
      </c>
      <c r="BI396" s="71">
        <f>IFERROR(__xludf.DUMMYFUNCTION("""COMPUTED_VALUE"""),20.976)</f>
        <v>20.976</v>
      </c>
      <c r="BJ396" s="71">
        <f>IFERROR(__xludf.DUMMYFUNCTION("""COMPUTED_VALUE"""),152.076)</f>
        <v>152.076</v>
      </c>
      <c r="BK396" s="71">
        <f>IFERROR(__xludf.DUMMYFUNCTION("""COMPUTED_VALUE"""),124.2)</f>
        <v>124.2</v>
      </c>
      <c r="BL396" s="71">
        <f>IFERROR(__xludf.DUMMYFUNCTION("""COMPUTED_VALUE"""),19.872)</f>
        <v>19.872</v>
      </c>
      <c r="BM396" s="71">
        <f>IFERROR(__xludf.DUMMYFUNCTION("""COMPUTED_VALUE"""),144.072)</f>
        <v>144.072</v>
      </c>
      <c r="BN396" s="71">
        <f>IFERROR(__xludf.DUMMYFUNCTION("""COMPUTED_VALUE"""),117.3)</f>
        <v>117.3</v>
      </c>
      <c r="BO396" s="71">
        <f>IFERROR(__xludf.DUMMYFUNCTION("""COMPUTED_VALUE"""),18.768)</f>
        <v>18.768</v>
      </c>
      <c r="BP396" s="71">
        <f>IFERROR(__xludf.DUMMYFUNCTION("""COMPUTED_VALUE"""),136.06799999999998)</f>
        <v>136.068</v>
      </c>
      <c r="BQ396" s="71">
        <f>IFERROR(__xludf.DUMMYFUNCTION("""COMPUTED_VALUE"""),114.53999999999999)</f>
        <v>114.54</v>
      </c>
      <c r="BR396" s="71">
        <f>IFERROR(__xludf.DUMMYFUNCTION("""COMPUTED_VALUE"""),18.3264)</f>
        <v>18.3264</v>
      </c>
      <c r="BS396" s="71">
        <f>IFERROR(__xludf.DUMMYFUNCTION("""COMPUTED_VALUE"""),132.8664)</f>
        <v>132.8664</v>
      </c>
      <c r="BT396" s="71">
        <f>IFERROR(__xludf.DUMMYFUNCTION("""COMPUTED_VALUE"""),110.4)</f>
        <v>110.4</v>
      </c>
      <c r="BU396" s="71">
        <f>IFERROR(__xludf.DUMMYFUNCTION("""COMPUTED_VALUE"""),17.664)</f>
        <v>17.664</v>
      </c>
      <c r="BV396" s="71">
        <f>IFERROR(__xludf.DUMMYFUNCTION("""COMPUTED_VALUE"""),128.06400000000002)</f>
        <v>128.064</v>
      </c>
    </row>
    <row r="397">
      <c r="A397" s="53">
        <v>1.0</v>
      </c>
      <c r="B397" s="72">
        <v>3.0</v>
      </c>
      <c r="C397" s="73" t="s">
        <v>12</v>
      </c>
      <c r="D397" s="74" t="s">
        <v>1009</v>
      </c>
      <c r="E397" s="55" t="s">
        <v>38</v>
      </c>
      <c r="F397" s="54" t="s">
        <v>42</v>
      </c>
      <c r="G397" s="55" t="s">
        <v>1010</v>
      </c>
      <c r="H397" s="54" t="s">
        <v>1011</v>
      </c>
      <c r="I397" s="54">
        <f t="shared" si="1"/>
        <v>30</v>
      </c>
      <c r="J397" s="56"/>
      <c r="K397" s="75"/>
      <c r="L397" s="76"/>
      <c r="M397" s="59"/>
      <c r="N397" s="60">
        <v>943.0</v>
      </c>
      <c r="O397" s="61">
        <v>1040.0</v>
      </c>
      <c r="P397" s="62">
        <v>1123.2</v>
      </c>
      <c r="Q397" s="63">
        <v>1123.2</v>
      </c>
      <c r="R397" s="64">
        <v>1251.0</v>
      </c>
      <c r="S397" s="111">
        <v>1314.0</v>
      </c>
      <c r="T397" s="65">
        <f t="shared" si="2"/>
        <v>210.24</v>
      </c>
      <c r="U397" s="65">
        <f t="shared" si="3"/>
        <v>1524.24</v>
      </c>
      <c r="V397" s="66">
        <f t="shared" si="4"/>
        <v>0.05035971223</v>
      </c>
      <c r="W397" s="67">
        <f t="shared" si="5"/>
        <v>1248.3</v>
      </c>
      <c r="X397" s="67">
        <f t="shared" si="6"/>
        <v>199.728</v>
      </c>
      <c r="Y397" s="67">
        <f t="shared" si="7"/>
        <v>1448.028</v>
      </c>
      <c r="Z397" s="67">
        <f t="shared" si="8"/>
        <v>1182.6</v>
      </c>
      <c r="AA397" s="67">
        <f t="shared" si="9"/>
        <v>189.216</v>
      </c>
      <c r="AB397" s="67">
        <f t="shared" si="10"/>
        <v>1371.816</v>
      </c>
      <c r="AC397" s="67">
        <f t="shared" si="11"/>
        <v>1182.6</v>
      </c>
      <c r="AD397" s="67">
        <f t="shared" si="12"/>
        <v>189.216</v>
      </c>
      <c r="AE397" s="67">
        <f t="shared" si="13"/>
        <v>1371.816</v>
      </c>
      <c r="AF397" s="67">
        <f t="shared" si="14"/>
        <v>1182.6</v>
      </c>
      <c r="AG397" s="67">
        <f t="shared" si="15"/>
        <v>189.216</v>
      </c>
      <c r="AH397" s="67">
        <f t="shared" si="16"/>
        <v>1371.816</v>
      </c>
      <c r="AI397" s="67">
        <f t="shared" si="17"/>
        <v>1182.6</v>
      </c>
      <c r="AJ397" s="68">
        <f t="shared" si="20"/>
        <v>189.216</v>
      </c>
      <c r="AK397" s="68">
        <f t="shared" si="21"/>
        <v>1371.816</v>
      </c>
      <c r="AL397" s="70">
        <f>IFERROR(__xludf.DUMMYFUNCTION("""COMPUTED_VALUE"""),1.0)</f>
        <v>1</v>
      </c>
      <c r="AM397" s="70"/>
      <c r="AN397" s="71" t="str">
        <f>IFERROR(__xludf.DUMMYFUNCTION("""COMPUTED_VALUE""")," CP")</f>
        <v>CP</v>
      </c>
      <c r="AO397" s="71" t="str">
        <f>IFERROR(__xludf.DUMMYFUNCTION("""COMPUTED_VALUE""")," CA14")</f>
        <v>CA14</v>
      </c>
      <c r="AP397" s="71" t="str">
        <f>IFERROR(__xludf.DUMMYFUNCTION("""COMPUTED_VALUE""")," PZA")</f>
        <v>PZA</v>
      </c>
      <c r="AQ397" s="71" t="str">
        <f>IFERROR(__xludf.DUMMYFUNCTION("""COMPUTED_VALUE""")," REF")</f>
        <v>REF</v>
      </c>
      <c r="AR397" s="71" t="str">
        <f>IFERROR(__xludf.DUMMYFUNCTION("""COMPUTED_VALUE""")," CATARINA 50B15 E.1"" C.1/4")</f>
        <v>CATARINA 50B15 E.1" C.1/4</v>
      </c>
      <c r="AS397" s="71" t="str">
        <f>IFERROR(__xludf.DUMMYFUNCTION("""COMPUTED_VALUE""")," CATARINA 50B15 E.1"" C.1/4")</f>
        <v>CATARINA 50B15 E.1" C.1/4</v>
      </c>
      <c r="AT397" s="71">
        <f>IFERROR(__xludf.DUMMYFUNCTION("""COMPUTED_VALUE"""),25.0)</f>
        <v>25</v>
      </c>
      <c r="AU397" s="71"/>
      <c r="AV397" s="71"/>
      <c r="AW397" s="71"/>
      <c r="AX397" s="71"/>
      <c r="AY397" s="71">
        <f>IFERROR(__xludf.DUMMYFUNCTION("""COMPUTED_VALUE"""),194.0)</f>
        <v>194</v>
      </c>
      <c r="AZ397" s="71">
        <f>IFERROR(__xludf.DUMMYFUNCTION("""COMPUTED_VALUE"""),209.0)</f>
        <v>209</v>
      </c>
      <c r="BA397" s="71">
        <f>IFERROR(__xludf.DUMMYFUNCTION("""COMPUTED_VALUE"""),100.0)</f>
        <v>100</v>
      </c>
      <c r="BB397" s="71">
        <f>IFERROR(__xludf.DUMMYFUNCTION("""COMPUTED_VALUE"""),100.0)</f>
        <v>100</v>
      </c>
      <c r="BC397" s="71">
        <f>IFERROR(__xludf.DUMMYFUNCTION("""COMPUTED_VALUE"""),131.0)</f>
        <v>131</v>
      </c>
      <c r="BD397" s="71">
        <f>IFERROR(__xludf.DUMMYFUNCTION("""COMPUTED_VALUE"""),138.0)</f>
        <v>138</v>
      </c>
      <c r="BE397" s="71">
        <f>IFERROR(__xludf.DUMMYFUNCTION("""COMPUTED_VALUE"""),22.080000000000002)</f>
        <v>22.08</v>
      </c>
      <c r="BF397" s="71">
        <f>IFERROR(__xludf.DUMMYFUNCTION("""COMPUTED_VALUE"""),160.08)</f>
        <v>160.08</v>
      </c>
      <c r="BG397" s="71">
        <f>IFERROR(__xludf.DUMMYFUNCTION("""COMPUTED_VALUE"""),0.05343511450381679)</f>
        <v>0.0534351145</v>
      </c>
      <c r="BH397" s="71">
        <f>IFERROR(__xludf.DUMMYFUNCTION("""COMPUTED_VALUE"""),131.1)</f>
        <v>131.1</v>
      </c>
      <c r="BI397" s="71">
        <f>IFERROR(__xludf.DUMMYFUNCTION("""COMPUTED_VALUE"""),20.976)</f>
        <v>20.976</v>
      </c>
      <c r="BJ397" s="71">
        <f>IFERROR(__xludf.DUMMYFUNCTION("""COMPUTED_VALUE"""),152.076)</f>
        <v>152.076</v>
      </c>
      <c r="BK397" s="71">
        <f>IFERROR(__xludf.DUMMYFUNCTION("""COMPUTED_VALUE"""),124.2)</f>
        <v>124.2</v>
      </c>
      <c r="BL397" s="71">
        <f>IFERROR(__xludf.DUMMYFUNCTION("""COMPUTED_VALUE"""),19.872)</f>
        <v>19.872</v>
      </c>
      <c r="BM397" s="71">
        <f>IFERROR(__xludf.DUMMYFUNCTION("""COMPUTED_VALUE"""),144.072)</f>
        <v>144.072</v>
      </c>
      <c r="BN397" s="71">
        <f>IFERROR(__xludf.DUMMYFUNCTION("""COMPUTED_VALUE"""),117.3)</f>
        <v>117.3</v>
      </c>
      <c r="BO397" s="71">
        <f>IFERROR(__xludf.DUMMYFUNCTION("""COMPUTED_VALUE"""),18.768)</f>
        <v>18.768</v>
      </c>
      <c r="BP397" s="71">
        <f>IFERROR(__xludf.DUMMYFUNCTION("""COMPUTED_VALUE"""),136.06799999999998)</f>
        <v>136.068</v>
      </c>
      <c r="BQ397" s="71">
        <f>IFERROR(__xludf.DUMMYFUNCTION("""COMPUTED_VALUE"""),114.53999999999999)</f>
        <v>114.54</v>
      </c>
      <c r="BR397" s="71">
        <f>IFERROR(__xludf.DUMMYFUNCTION("""COMPUTED_VALUE"""),18.3264)</f>
        <v>18.3264</v>
      </c>
      <c r="BS397" s="71">
        <f>IFERROR(__xludf.DUMMYFUNCTION("""COMPUTED_VALUE"""),132.8664)</f>
        <v>132.8664</v>
      </c>
      <c r="BT397" s="71">
        <f>IFERROR(__xludf.DUMMYFUNCTION("""COMPUTED_VALUE"""),110.4)</f>
        <v>110.4</v>
      </c>
      <c r="BU397" s="71">
        <f>IFERROR(__xludf.DUMMYFUNCTION("""COMPUTED_VALUE"""),17.664)</f>
        <v>17.664</v>
      </c>
      <c r="BV397" s="71">
        <f>IFERROR(__xludf.DUMMYFUNCTION("""COMPUTED_VALUE"""),128.06400000000002)</f>
        <v>128.064</v>
      </c>
    </row>
    <row r="398">
      <c r="A398" s="53">
        <v>1.0</v>
      </c>
      <c r="B398" s="72"/>
      <c r="C398" s="73" t="s">
        <v>12</v>
      </c>
      <c r="D398" s="53" t="s">
        <v>1012</v>
      </c>
      <c r="E398" s="54" t="s">
        <v>38</v>
      </c>
      <c r="F398" s="54" t="s">
        <v>42</v>
      </c>
      <c r="G398" s="54" t="s">
        <v>1013</v>
      </c>
      <c r="H398" s="54" t="s">
        <v>1014</v>
      </c>
      <c r="I398" s="54">
        <f t="shared" si="1"/>
        <v>16</v>
      </c>
      <c r="J398" s="56"/>
      <c r="K398" s="57"/>
      <c r="L398" s="76"/>
      <c r="M398" s="59"/>
      <c r="N398" s="60">
        <v>108.0</v>
      </c>
      <c r="O398" s="61">
        <v>116.0</v>
      </c>
      <c r="P398" s="62">
        <v>130.0</v>
      </c>
      <c r="Q398" s="63">
        <v>130.0</v>
      </c>
      <c r="R398" s="64">
        <v>140.0</v>
      </c>
      <c r="S398" s="111">
        <v>147.0</v>
      </c>
      <c r="T398" s="65">
        <f t="shared" si="2"/>
        <v>23.52</v>
      </c>
      <c r="U398" s="65">
        <f t="shared" si="3"/>
        <v>170.52</v>
      </c>
      <c r="V398" s="66">
        <f t="shared" si="4"/>
        <v>0.05</v>
      </c>
      <c r="W398" s="67">
        <f t="shared" si="5"/>
        <v>139.65</v>
      </c>
      <c r="X398" s="67">
        <f t="shared" si="6"/>
        <v>22.344</v>
      </c>
      <c r="Y398" s="67">
        <f t="shared" si="7"/>
        <v>161.994</v>
      </c>
      <c r="Z398" s="67">
        <f t="shared" si="8"/>
        <v>132.3</v>
      </c>
      <c r="AA398" s="67">
        <f t="shared" si="9"/>
        <v>21.168</v>
      </c>
      <c r="AB398" s="67">
        <f t="shared" si="10"/>
        <v>153.468</v>
      </c>
      <c r="AC398" s="67">
        <f t="shared" si="11"/>
        <v>124.95</v>
      </c>
      <c r="AD398" s="67">
        <f t="shared" si="12"/>
        <v>19.992</v>
      </c>
      <c r="AE398" s="67">
        <f t="shared" si="13"/>
        <v>144.942</v>
      </c>
      <c r="AF398" s="67">
        <f t="shared" si="14"/>
        <v>122.01</v>
      </c>
      <c r="AG398" s="67">
        <f t="shared" si="15"/>
        <v>19.5216</v>
      </c>
      <c r="AH398" s="67">
        <f t="shared" si="16"/>
        <v>141.5316</v>
      </c>
      <c r="AI398" s="67">
        <f t="shared" si="17"/>
        <v>117.6</v>
      </c>
      <c r="AJ398" s="68">
        <f t="shared" si="20"/>
        <v>18.816</v>
      </c>
      <c r="AK398" s="68">
        <f t="shared" si="21"/>
        <v>136.416</v>
      </c>
      <c r="AL398" s="70">
        <f>IFERROR(__xludf.DUMMYFUNCTION("""COMPUTED_VALUE"""),1.0)</f>
        <v>1</v>
      </c>
      <c r="AM398" s="70"/>
      <c r="AN398" s="71" t="str">
        <f>IFERROR(__xludf.DUMMYFUNCTION("""COMPUTED_VALUE""")," P")</f>
        <v>P</v>
      </c>
      <c r="AO398" s="71" t="str">
        <f>IFERROR(__xludf.DUMMYFUNCTION("""COMPUTED_VALUE""")," CA123")</f>
        <v>CA123</v>
      </c>
      <c r="AP398" s="71" t="str">
        <f>IFERROR(__xludf.DUMMYFUNCTION("""COMPUTED_VALUE""")," PZA")</f>
        <v>PZA</v>
      </c>
      <c r="AQ398" s="71" t="str">
        <f>IFERROR(__xludf.DUMMYFUNCTION("""COMPUTED_VALUE""")," REF")</f>
        <v>REF</v>
      </c>
      <c r="AR398" s="71" t="str">
        <f>IFERROR(__xludf.DUMMYFUNCTION("""COMPUTED_VALUE""")," CATARINA 50B16 E.1-1/4"" C.1/4")</f>
        <v>CATARINA 50B16 E.1-1/4" C.1/4</v>
      </c>
      <c r="AS398" s="71" t="str">
        <f>IFERROR(__xludf.DUMMYFUNCTION("""COMPUTED_VALUE""")," CATARINA 50B16 E.1-1/4"" C.1/4")</f>
        <v>CATARINA 50B16 E.1-1/4" C.1/4</v>
      </c>
      <c r="AT398" s="71">
        <f>IFERROR(__xludf.DUMMYFUNCTION("""COMPUTED_VALUE"""),29.0)</f>
        <v>29</v>
      </c>
      <c r="AU398" s="71"/>
      <c r="AV398" s="71"/>
      <c r="AW398" s="71"/>
      <c r="AX398" s="71"/>
      <c r="AY398" s="71"/>
      <c r="AZ398" s="71"/>
      <c r="BA398" s="71">
        <f>IFERROR(__xludf.DUMMYFUNCTION("""COMPUTED_VALUE"""),110.0)</f>
        <v>110</v>
      </c>
      <c r="BB398" s="71">
        <f>IFERROR(__xludf.DUMMYFUNCTION("""COMPUTED_VALUE"""),110.0)</f>
        <v>110</v>
      </c>
      <c r="BC398" s="71">
        <f>IFERROR(__xludf.DUMMYFUNCTION("""COMPUTED_VALUE"""),119.0)</f>
        <v>119</v>
      </c>
      <c r="BD398" s="71">
        <f>IFERROR(__xludf.DUMMYFUNCTION("""COMPUTED_VALUE"""),125.0)</f>
        <v>125</v>
      </c>
      <c r="BE398" s="71">
        <f>IFERROR(__xludf.DUMMYFUNCTION("""COMPUTED_VALUE"""),20.0)</f>
        <v>20</v>
      </c>
      <c r="BF398" s="71">
        <f>IFERROR(__xludf.DUMMYFUNCTION("""COMPUTED_VALUE"""),145.0)</f>
        <v>145</v>
      </c>
      <c r="BG398" s="71">
        <f>IFERROR(__xludf.DUMMYFUNCTION("""COMPUTED_VALUE"""),0.05042016806722689)</f>
        <v>0.05042016807</v>
      </c>
      <c r="BH398" s="71">
        <f>IFERROR(__xludf.DUMMYFUNCTION("""COMPUTED_VALUE"""),118.75)</f>
        <v>118.75</v>
      </c>
      <c r="BI398" s="71">
        <f>IFERROR(__xludf.DUMMYFUNCTION("""COMPUTED_VALUE"""),19.0)</f>
        <v>19</v>
      </c>
      <c r="BJ398" s="71">
        <f>IFERROR(__xludf.DUMMYFUNCTION("""COMPUTED_VALUE"""),137.75)</f>
        <v>137.75</v>
      </c>
      <c r="BK398" s="71">
        <f>IFERROR(__xludf.DUMMYFUNCTION("""COMPUTED_VALUE"""),112.5)</f>
        <v>112.5</v>
      </c>
      <c r="BL398" s="71">
        <f>IFERROR(__xludf.DUMMYFUNCTION("""COMPUTED_VALUE"""),18.0)</f>
        <v>18</v>
      </c>
      <c r="BM398" s="71">
        <f>IFERROR(__xludf.DUMMYFUNCTION("""COMPUTED_VALUE"""),130.5)</f>
        <v>130.5</v>
      </c>
      <c r="BN398" s="71">
        <f>IFERROR(__xludf.DUMMYFUNCTION("""COMPUTED_VALUE"""),106.25)</f>
        <v>106.25</v>
      </c>
      <c r="BO398" s="71">
        <f>IFERROR(__xludf.DUMMYFUNCTION("""COMPUTED_VALUE"""),17.0)</f>
        <v>17</v>
      </c>
      <c r="BP398" s="71">
        <f>IFERROR(__xludf.DUMMYFUNCTION("""COMPUTED_VALUE"""),123.25)</f>
        <v>123.25</v>
      </c>
      <c r="BQ398" s="71">
        <f>IFERROR(__xludf.DUMMYFUNCTION("""COMPUTED_VALUE"""),103.75)</f>
        <v>103.75</v>
      </c>
      <c r="BR398" s="71">
        <f>IFERROR(__xludf.DUMMYFUNCTION("""COMPUTED_VALUE"""),16.6)</f>
        <v>16.6</v>
      </c>
      <c r="BS398" s="71">
        <f>IFERROR(__xludf.DUMMYFUNCTION("""COMPUTED_VALUE"""),120.35)</f>
        <v>120.35</v>
      </c>
      <c r="BT398" s="71">
        <f>IFERROR(__xludf.DUMMYFUNCTION("""COMPUTED_VALUE"""),100.0)</f>
        <v>100</v>
      </c>
      <c r="BU398" s="71">
        <f>IFERROR(__xludf.DUMMYFUNCTION("""COMPUTED_VALUE"""),16.0)</f>
        <v>16</v>
      </c>
      <c r="BV398" s="71">
        <f>IFERROR(__xludf.DUMMYFUNCTION("""COMPUTED_VALUE"""),116.0)</f>
        <v>116</v>
      </c>
    </row>
    <row r="399">
      <c r="A399" s="53">
        <v>1.0</v>
      </c>
      <c r="B399" s="72"/>
      <c r="C399" s="73" t="s">
        <v>12</v>
      </c>
      <c r="D399" s="53" t="s">
        <v>1015</v>
      </c>
      <c r="E399" s="54" t="s">
        <v>38</v>
      </c>
      <c r="F399" s="54" t="s">
        <v>42</v>
      </c>
      <c r="G399" s="54" t="s">
        <v>1016</v>
      </c>
      <c r="H399" s="54" t="s">
        <v>1017</v>
      </c>
      <c r="I399" s="54">
        <f t="shared" si="1"/>
        <v>24</v>
      </c>
      <c r="J399" s="56"/>
      <c r="K399" s="57"/>
      <c r="L399" s="76"/>
      <c r="M399" s="59"/>
      <c r="N399" s="60">
        <v>122.0</v>
      </c>
      <c r="O399" s="61">
        <v>131.0</v>
      </c>
      <c r="P399" s="62">
        <v>150.0</v>
      </c>
      <c r="Q399" s="63">
        <v>150.0</v>
      </c>
      <c r="R399" s="64">
        <v>158.0</v>
      </c>
      <c r="S399" s="111">
        <v>166.0</v>
      </c>
      <c r="T399" s="65">
        <f t="shared" si="2"/>
        <v>26.56</v>
      </c>
      <c r="U399" s="65">
        <f t="shared" si="3"/>
        <v>192.56</v>
      </c>
      <c r="V399" s="66">
        <f t="shared" si="4"/>
        <v>0.05063291139</v>
      </c>
      <c r="W399" s="67">
        <f t="shared" si="5"/>
        <v>157.7</v>
      </c>
      <c r="X399" s="67">
        <f t="shared" si="6"/>
        <v>25.232</v>
      </c>
      <c r="Y399" s="67">
        <f t="shared" si="7"/>
        <v>182.932</v>
      </c>
      <c r="Z399" s="67">
        <f t="shared" si="8"/>
        <v>149.4</v>
      </c>
      <c r="AA399" s="67">
        <f t="shared" si="9"/>
        <v>23.904</v>
      </c>
      <c r="AB399" s="67">
        <f t="shared" si="10"/>
        <v>173.304</v>
      </c>
      <c r="AC399" s="67">
        <f t="shared" si="11"/>
        <v>141.1</v>
      </c>
      <c r="AD399" s="67">
        <f t="shared" si="12"/>
        <v>22.576</v>
      </c>
      <c r="AE399" s="67">
        <f t="shared" si="13"/>
        <v>163.676</v>
      </c>
      <c r="AF399" s="67">
        <f t="shared" si="14"/>
        <v>137.78</v>
      </c>
      <c r="AG399" s="67">
        <f t="shared" si="15"/>
        <v>22.0448</v>
      </c>
      <c r="AH399" s="67">
        <f t="shared" si="16"/>
        <v>159.8248</v>
      </c>
      <c r="AI399" s="67">
        <f t="shared" si="17"/>
        <v>132.8</v>
      </c>
      <c r="AJ399" s="68">
        <f t="shared" si="20"/>
        <v>21.248</v>
      </c>
      <c r="AK399" s="68">
        <f t="shared" si="21"/>
        <v>154.048</v>
      </c>
      <c r="AL399" s="70">
        <f>IFERROR(__xludf.DUMMYFUNCTION("""COMPUTED_VALUE"""),1.0)</f>
        <v>1</v>
      </c>
      <c r="AM399" s="70"/>
      <c r="AN399" s="71" t="str">
        <f>IFERROR(__xludf.DUMMYFUNCTION("""COMPUTED_VALUE""")," CP")</f>
        <v>CP</v>
      </c>
      <c r="AO399" s="71" t="str">
        <f>IFERROR(__xludf.DUMMYFUNCTION("""COMPUTED_VALUE""")," CA209")</f>
        <v>CA209</v>
      </c>
      <c r="AP399" s="71" t="str">
        <f>IFERROR(__xludf.DUMMYFUNCTION("""COMPUTED_VALUE""")," PZA")</f>
        <v>PZA</v>
      </c>
      <c r="AQ399" s="71" t="str">
        <f>IFERROR(__xludf.DUMMYFUNCTION("""COMPUTED_VALUE""")," REF")</f>
        <v>REF</v>
      </c>
      <c r="AR399" s="71" t="str">
        <f>IFERROR(__xludf.DUMMYFUNCTION("""COMPUTED_VALUE""")," CATARINA 50B16 E.1"" C.1/4")</f>
        <v>CATARINA 50B16 E.1" C.1/4</v>
      </c>
      <c r="AS399" s="71" t="str">
        <f>IFERROR(__xludf.DUMMYFUNCTION("""COMPUTED_VALUE""")," CATARINA 50B16 E.1"" C.1/4")</f>
        <v>CATARINA 50B16 E.1" C.1/4</v>
      </c>
      <c r="AT399" s="71">
        <f>IFERROR(__xludf.DUMMYFUNCTION("""COMPUTED_VALUE"""),25.0)</f>
        <v>25</v>
      </c>
      <c r="AU399" s="71"/>
      <c r="AV399" s="71"/>
      <c r="AW399" s="71"/>
      <c r="AX399" s="71"/>
      <c r="AY399" s="71"/>
      <c r="AZ399" s="71">
        <f>IFERROR(__xludf.DUMMYFUNCTION("""COMPUTED_VALUE"""),223.0)</f>
        <v>223</v>
      </c>
      <c r="BA399" s="71">
        <f>IFERROR(__xludf.DUMMYFUNCTION("""COMPUTED_VALUE"""),110.0)</f>
        <v>110</v>
      </c>
      <c r="BB399" s="71">
        <f>IFERROR(__xludf.DUMMYFUNCTION("""COMPUTED_VALUE"""),110.0)</f>
        <v>110</v>
      </c>
      <c r="BC399" s="71">
        <f>IFERROR(__xludf.DUMMYFUNCTION("""COMPUTED_VALUE"""),119.0)</f>
        <v>119</v>
      </c>
      <c r="BD399" s="71">
        <f>IFERROR(__xludf.DUMMYFUNCTION("""COMPUTED_VALUE"""),125.0)</f>
        <v>125</v>
      </c>
      <c r="BE399" s="71">
        <f>IFERROR(__xludf.DUMMYFUNCTION("""COMPUTED_VALUE"""),20.0)</f>
        <v>20</v>
      </c>
      <c r="BF399" s="71">
        <f>IFERROR(__xludf.DUMMYFUNCTION("""COMPUTED_VALUE"""),145.0)</f>
        <v>145</v>
      </c>
      <c r="BG399" s="71">
        <f>IFERROR(__xludf.DUMMYFUNCTION("""COMPUTED_VALUE"""),0.05042016806722689)</f>
        <v>0.05042016807</v>
      </c>
      <c r="BH399" s="71">
        <f>IFERROR(__xludf.DUMMYFUNCTION("""COMPUTED_VALUE"""),118.75)</f>
        <v>118.75</v>
      </c>
      <c r="BI399" s="71">
        <f>IFERROR(__xludf.DUMMYFUNCTION("""COMPUTED_VALUE"""),19.0)</f>
        <v>19</v>
      </c>
      <c r="BJ399" s="71">
        <f>IFERROR(__xludf.DUMMYFUNCTION("""COMPUTED_VALUE"""),137.75)</f>
        <v>137.75</v>
      </c>
      <c r="BK399" s="71">
        <f>IFERROR(__xludf.DUMMYFUNCTION("""COMPUTED_VALUE"""),112.5)</f>
        <v>112.5</v>
      </c>
      <c r="BL399" s="71">
        <f>IFERROR(__xludf.DUMMYFUNCTION("""COMPUTED_VALUE"""),18.0)</f>
        <v>18</v>
      </c>
      <c r="BM399" s="71">
        <f>IFERROR(__xludf.DUMMYFUNCTION("""COMPUTED_VALUE"""),130.5)</f>
        <v>130.5</v>
      </c>
      <c r="BN399" s="71">
        <f>IFERROR(__xludf.DUMMYFUNCTION("""COMPUTED_VALUE"""),106.25)</f>
        <v>106.25</v>
      </c>
      <c r="BO399" s="71">
        <f>IFERROR(__xludf.DUMMYFUNCTION("""COMPUTED_VALUE"""),17.0)</f>
        <v>17</v>
      </c>
      <c r="BP399" s="71">
        <f>IFERROR(__xludf.DUMMYFUNCTION("""COMPUTED_VALUE"""),123.25)</f>
        <v>123.25</v>
      </c>
      <c r="BQ399" s="71">
        <f>IFERROR(__xludf.DUMMYFUNCTION("""COMPUTED_VALUE"""),103.75)</f>
        <v>103.75</v>
      </c>
      <c r="BR399" s="71">
        <f>IFERROR(__xludf.DUMMYFUNCTION("""COMPUTED_VALUE"""),16.6)</f>
        <v>16.6</v>
      </c>
      <c r="BS399" s="71">
        <f>IFERROR(__xludf.DUMMYFUNCTION("""COMPUTED_VALUE"""),120.35)</f>
        <v>120.35</v>
      </c>
      <c r="BT399" s="71">
        <f>IFERROR(__xludf.DUMMYFUNCTION("""COMPUTED_VALUE"""),100.0)</f>
        <v>100</v>
      </c>
      <c r="BU399" s="71">
        <f>IFERROR(__xludf.DUMMYFUNCTION("""COMPUTED_VALUE"""),16.0)</f>
        <v>16</v>
      </c>
      <c r="BV399" s="71">
        <f>IFERROR(__xludf.DUMMYFUNCTION("""COMPUTED_VALUE"""),116.0)</f>
        <v>116</v>
      </c>
    </row>
    <row r="400">
      <c r="A400" s="53">
        <v>1.0</v>
      </c>
      <c r="B400" s="72"/>
      <c r="C400" s="73" t="s">
        <v>12</v>
      </c>
      <c r="D400" s="53" t="s">
        <v>1018</v>
      </c>
      <c r="E400" s="54" t="s">
        <v>38</v>
      </c>
      <c r="F400" s="54" t="s">
        <v>42</v>
      </c>
      <c r="G400" s="54" t="s">
        <v>1019</v>
      </c>
      <c r="H400" s="54" t="s">
        <v>1020</v>
      </c>
      <c r="I400" s="54">
        <f t="shared" si="1"/>
        <v>20</v>
      </c>
      <c r="J400" s="56"/>
      <c r="K400" s="57"/>
      <c r="L400" s="87"/>
      <c r="M400" s="59"/>
      <c r="N400" s="60">
        <v>111.0</v>
      </c>
      <c r="O400" s="61">
        <v>119.0</v>
      </c>
      <c r="P400" s="62">
        <v>128.52</v>
      </c>
      <c r="Q400" s="63">
        <v>128.52</v>
      </c>
      <c r="R400" s="64">
        <v>144.0</v>
      </c>
      <c r="S400" s="111">
        <v>151.0</v>
      </c>
      <c r="T400" s="65">
        <f t="shared" si="2"/>
        <v>24.16</v>
      </c>
      <c r="U400" s="65">
        <f t="shared" si="3"/>
        <v>175.16</v>
      </c>
      <c r="V400" s="66">
        <f t="shared" si="4"/>
        <v>0.04861111111</v>
      </c>
      <c r="W400" s="67">
        <f t="shared" si="5"/>
        <v>143.45</v>
      </c>
      <c r="X400" s="67">
        <f t="shared" si="6"/>
        <v>22.952</v>
      </c>
      <c r="Y400" s="67">
        <f t="shared" si="7"/>
        <v>166.402</v>
      </c>
      <c r="Z400" s="67">
        <f t="shared" si="8"/>
        <v>135.9</v>
      </c>
      <c r="AA400" s="67">
        <f t="shared" si="9"/>
        <v>21.744</v>
      </c>
      <c r="AB400" s="67">
        <f t="shared" si="10"/>
        <v>157.644</v>
      </c>
      <c r="AC400" s="67">
        <f t="shared" si="11"/>
        <v>128.35</v>
      </c>
      <c r="AD400" s="67">
        <f t="shared" si="12"/>
        <v>20.536</v>
      </c>
      <c r="AE400" s="67">
        <f t="shared" si="13"/>
        <v>148.886</v>
      </c>
      <c r="AF400" s="67">
        <f t="shared" si="14"/>
        <v>125.33</v>
      </c>
      <c r="AG400" s="67">
        <f t="shared" si="15"/>
        <v>20.0528</v>
      </c>
      <c r="AH400" s="67">
        <f t="shared" si="16"/>
        <v>145.3828</v>
      </c>
      <c r="AI400" s="67">
        <f t="shared" si="17"/>
        <v>120.8</v>
      </c>
      <c r="AJ400" s="68">
        <f t="shared" si="20"/>
        <v>19.328</v>
      </c>
      <c r="AK400" s="68">
        <f t="shared" si="21"/>
        <v>140.128</v>
      </c>
      <c r="AL400" s="70">
        <f>IFERROR(__xludf.DUMMYFUNCTION("""COMPUTED_VALUE"""),1.0)</f>
        <v>1</v>
      </c>
      <c r="AM400" s="70"/>
      <c r="AN400" s="71" t="str">
        <f>IFERROR(__xludf.DUMMYFUNCTION("""COMPUTED_VALUE""")," CP")</f>
        <v>CP</v>
      </c>
      <c r="AO400" s="71" t="str">
        <f>IFERROR(__xludf.DUMMYFUNCTION("""COMPUTED_VALUE""")," CA98")</f>
        <v>CA98</v>
      </c>
      <c r="AP400" s="71" t="str">
        <f>IFERROR(__xludf.DUMMYFUNCTION("""COMPUTED_VALUE""")," PZA")</f>
        <v>PZA</v>
      </c>
      <c r="AQ400" s="71" t="str">
        <f>IFERROR(__xludf.DUMMYFUNCTION("""COMPUTED_VALUE""")," REF")</f>
        <v>REF</v>
      </c>
      <c r="AR400" s="71" t="str">
        <f>IFERROR(__xludf.DUMMYFUNCTION("""COMPUTED_VALUE""")," CATARINA 50B16 E.25MM C.1/4")</f>
        <v>CATARINA 50B16 E.25MM C.1/4</v>
      </c>
      <c r="AS400" s="71" t="str">
        <f>IFERROR(__xludf.DUMMYFUNCTION("""COMPUTED_VALUE""")," CATARINA 50B16 E.25MM C.1/4")</f>
        <v>CATARINA 50B16 E.25MM C.1/4</v>
      </c>
      <c r="AT400" s="71">
        <f>IFERROR(__xludf.DUMMYFUNCTION("""COMPUTED_VALUE"""),27.0)</f>
        <v>27</v>
      </c>
      <c r="AU400" s="71"/>
      <c r="AV400" s="71"/>
      <c r="AW400" s="71" t="str">
        <f>IFERROR(__xludf.DUMMYFUNCTION("""COMPUTED_VALUE""")," dar de baja")</f>
        <v>dar de baja</v>
      </c>
      <c r="AX400" s="71"/>
      <c r="AY400" s="71"/>
      <c r="AZ400" s="71">
        <f>IFERROR(__xludf.DUMMYFUNCTION("""COMPUTED_VALUE"""),223.0)</f>
        <v>223</v>
      </c>
      <c r="BA400" s="71">
        <f>IFERROR(__xludf.DUMMYFUNCTION("""COMPUTED_VALUE"""),110.0)</f>
        <v>110</v>
      </c>
      <c r="BB400" s="71">
        <f>IFERROR(__xludf.DUMMYFUNCTION("""COMPUTED_VALUE"""),110.0)</f>
        <v>110</v>
      </c>
      <c r="BC400" s="71">
        <f>IFERROR(__xludf.DUMMYFUNCTION("""COMPUTED_VALUE"""),119.0)</f>
        <v>119</v>
      </c>
      <c r="BD400" s="71">
        <f>IFERROR(__xludf.DUMMYFUNCTION("""COMPUTED_VALUE"""),125.0)</f>
        <v>125</v>
      </c>
      <c r="BE400" s="71">
        <f>IFERROR(__xludf.DUMMYFUNCTION("""COMPUTED_VALUE"""),20.0)</f>
        <v>20</v>
      </c>
      <c r="BF400" s="71">
        <f>IFERROR(__xludf.DUMMYFUNCTION("""COMPUTED_VALUE"""),145.0)</f>
        <v>145</v>
      </c>
      <c r="BG400" s="71">
        <f>IFERROR(__xludf.DUMMYFUNCTION("""COMPUTED_VALUE"""),0.05042016806722689)</f>
        <v>0.05042016807</v>
      </c>
      <c r="BH400" s="71">
        <f>IFERROR(__xludf.DUMMYFUNCTION("""COMPUTED_VALUE"""),118.75)</f>
        <v>118.75</v>
      </c>
      <c r="BI400" s="71">
        <f>IFERROR(__xludf.DUMMYFUNCTION("""COMPUTED_VALUE"""),19.0)</f>
        <v>19</v>
      </c>
      <c r="BJ400" s="71">
        <f>IFERROR(__xludf.DUMMYFUNCTION("""COMPUTED_VALUE"""),137.75)</f>
        <v>137.75</v>
      </c>
      <c r="BK400" s="71">
        <f>IFERROR(__xludf.DUMMYFUNCTION("""COMPUTED_VALUE"""),112.5)</f>
        <v>112.5</v>
      </c>
      <c r="BL400" s="71">
        <f>IFERROR(__xludf.DUMMYFUNCTION("""COMPUTED_VALUE"""),18.0)</f>
        <v>18</v>
      </c>
      <c r="BM400" s="71">
        <f>IFERROR(__xludf.DUMMYFUNCTION("""COMPUTED_VALUE"""),130.5)</f>
        <v>130.5</v>
      </c>
      <c r="BN400" s="71">
        <f>IFERROR(__xludf.DUMMYFUNCTION("""COMPUTED_VALUE"""),106.25)</f>
        <v>106.25</v>
      </c>
      <c r="BO400" s="71">
        <f>IFERROR(__xludf.DUMMYFUNCTION("""COMPUTED_VALUE"""),17.0)</f>
        <v>17</v>
      </c>
      <c r="BP400" s="71">
        <f>IFERROR(__xludf.DUMMYFUNCTION("""COMPUTED_VALUE"""),123.25)</f>
        <v>123.25</v>
      </c>
      <c r="BQ400" s="71">
        <f>IFERROR(__xludf.DUMMYFUNCTION("""COMPUTED_VALUE"""),103.75)</f>
        <v>103.75</v>
      </c>
      <c r="BR400" s="71">
        <f>IFERROR(__xludf.DUMMYFUNCTION("""COMPUTED_VALUE"""),16.6)</f>
        <v>16.6</v>
      </c>
      <c r="BS400" s="71">
        <f>IFERROR(__xludf.DUMMYFUNCTION("""COMPUTED_VALUE"""),120.35)</f>
        <v>120.35</v>
      </c>
      <c r="BT400" s="71">
        <f>IFERROR(__xludf.DUMMYFUNCTION("""COMPUTED_VALUE"""),100.0)</f>
        <v>100</v>
      </c>
      <c r="BU400" s="71">
        <f>IFERROR(__xludf.DUMMYFUNCTION("""COMPUTED_VALUE"""),16.0)</f>
        <v>16</v>
      </c>
      <c r="BV400" s="71">
        <f>IFERROR(__xludf.DUMMYFUNCTION("""COMPUTED_VALUE"""),116.0)</f>
        <v>116</v>
      </c>
    </row>
    <row r="401">
      <c r="A401" s="53"/>
      <c r="B401" s="53"/>
      <c r="C401" s="73" t="s">
        <v>12</v>
      </c>
      <c r="D401" s="53" t="s">
        <v>1021</v>
      </c>
      <c r="E401" s="54" t="s">
        <v>38</v>
      </c>
      <c r="F401" s="54" t="s">
        <v>42</v>
      </c>
      <c r="G401" s="55" t="s">
        <v>1022</v>
      </c>
      <c r="H401" s="54" t="s">
        <v>1023</v>
      </c>
      <c r="I401" s="54">
        <f t="shared" si="1"/>
        <v>34</v>
      </c>
      <c r="J401" s="56"/>
      <c r="K401" s="57"/>
      <c r="L401" s="76"/>
      <c r="M401" s="59"/>
      <c r="N401" s="79">
        <v>202.0</v>
      </c>
      <c r="O401" s="61">
        <v>218.0</v>
      </c>
      <c r="P401" s="62">
        <v>235.44000000000003</v>
      </c>
      <c r="Q401" s="63">
        <v>235.44000000000003</v>
      </c>
      <c r="R401" s="64">
        <v>247.0</v>
      </c>
      <c r="S401" s="111">
        <v>259.0</v>
      </c>
      <c r="T401" s="65">
        <f t="shared" si="2"/>
        <v>41.44</v>
      </c>
      <c r="U401" s="65">
        <f t="shared" si="3"/>
        <v>300.44</v>
      </c>
      <c r="V401" s="66">
        <f t="shared" si="4"/>
        <v>0.04858299595</v>
      </c>
      <c r="W401" s="67">
        <f t="shared" si="5"/>
        <v>246.05</v>
      </c>
      <c r="X401" s="67">
        <f t="shared" si="6"/>
        <v>39.368</v>
      </c>
      <c r="Y401" s="67">
        <f t="shared" si="7"/>
        <v>285.418</v>
      </c>
      <c r="Z401" s="67">
        <f t="shared" si="8"/>
        <v>233.1</v>
      </c>
      <c r="AA401" s="67">
        <f t="shared" si="9"/>
        <v>37.296</v>
      </c>
      <c r="AB401" s="67">
        <f t="shared" si="10"/>
        <v>270.396</v>
      </c>
      <c r="AC401" s="67">
        <f t="shared" si="11"/>
        <v>220.15</v>
      </c>
      <c r="AD401" s="67">
        <f t="shared" si="12"/>
        <v>35.224</v>
      </c>
      <c r="AE401" s="67">
        <f t="shared" si="13"/>
        <v>255.374</v>
      </c>
      <c r="AF401" s="67">
        <f t="shared" si="14"/>
        <v>214.97</v>
      </c>
      <c r="AG401" s="67">
        <f t="shared" si="15"/>
        <v>34.3952</v>
      </c>
      <c r="AH401" s="67">
        <f t="shared" si="16"/>
        <v>249.3652</v>
      </c>
      <c r="AI401" s="67">
        <f t="shared" si="17"/>
        <v>207.2</v>
      </c>
      <c r="AJ401" s="68">
        <f t="shared" si="20"/>
        <v>33.152</v>
      </c>
      <c r="AK401" s="68">
        <f t="shared" si="21"/>
        <v>240.352</v>
      </c>
      <c r="AL401" s="136">
        <f>IFERROR(__xludf.DUMMYFUNCTION("""COMPUTED_VALUE"""),1.0)</f>
        <v>1</v>
      </c>
      <c r="AM401" s="136"/>
      <c r="AN401" s="137" t="str">
        <f>IFERROR(__xludf.DUMMYFUNCTION("""COMPUTED_VALUE""")," CP")</f>
        <v>CP</v>
      </c>
      <c r="AO401" s="137" t="str">
        <f>IFERROR(__xludf.DUMMYFUNCTION("""COMPUTED_VALUE""")," CA36")</f>
        <v>CA36</v>
      </c>
      <c r="AP401" s="137" t="str">
        <f>IFERROR(__xludf.DUMMYFUNCTION("""COMPUTED_VALUE""")," PZA")</f>
        <v>PZA</v>
      </c>
      <c r="AQ401" s="137" t="str">
        <f>IFERROR(__xludf.DUMMYFUNCTION("""COMPUTED_VALUE""")," REF")</f>
        <v>REF</v>
      </c>
      <c r="AR401" s="137" t="str">
        <f>IFERROR(__xludf.DUMMYFUNCTION("""COMPUTED_VALUE""")," CATARINA 50B17 E.1-1/4"" C.1/4")</f>
        <v>CATARINA 50B17 E.1-1/4" C.1/4</v>
      </c>
      <c r="AS401" s="137" t="str">
        <f>IFERROR(__xludf.DUMMYFUNCTION("""COMPUTED_VALUE""")," CATARINA 50B17 E.1-1/4"" C.1/4")</f>
        <v>CATARINA 50B17 E.1-1/4" C.1/4</v>
      </c>
      <c r="AT401" s="137">
        <f>IFERROR(__xludf.DUMMYFUNCTION("""COMPUTED_VALUE"""),29.0)</f>
        <v>29</v>
      </c>
      <c r="AU401" s="137"/>
      <c r="AV401" s="137"/>
      <c r="AW401" s="137"/>
      <c r="AX401" s="137"/>
      <c r="AY401" s="137">
        <f>IFERROR(__xludf.DUMMYFUNCTION("""COMPUTED_VALUE"""),221.0)</f>
        <v>221</v>
      </c>
      <c r="AZ401" s="137">
        <f>IFERROR(__xludf.DUMMYFUNCTION("""COMPUTED_VALUE"""),238.0)</f>
        <v>238</v>
      </c>
      <c r="BA401" s="137">
        <f>IFERROR(__xludf.DUMMYFUNCTION("""COMPUTED_VALUE"""),105.0)</f>
        <v>105</v>
      </c>
      <c r="BB401" s="137">
        <f>IFERROR(__xludf.DUMMYFUNCTION("""COMPUTED_VALUE"""),105.0)</f>
        <v>105</v>
      </c>
      <c r="BC401" s="137">
        <f>IFERROR(__xludf.DUMMYFUNCTION("""COMPUTED_VALUE"""),152.0)</f>
        <v>152</v>
      </c>
      <c r="BD401" s="137">
        <f>IFERROR(__xludf.DUMMYFUNCTION("""COMPUTED_VALUE"""),160.0)</f>
        <v>160</v>
      </c>
      <c r="BE401" s="137">
        <f>IFERROR(__xludf.DUMMYFUNCTION("""COMPUTED_VALUE"""),25.6)</f>
        <v>25.6</v>
      </c>
      <c r="BF401" s="137">
        <f>IFERROR(__xludf.DUMMYFUNCTION("""COMPUTED_VALUE"""),185.6)</f>
        <v>185.6</v>
      </c>
      <c r="BG401" s="137">
        <f>IFERROR(__xludf.DUMMYFUNCTION("""COMPUTED_VALUE"""),0.05263157894736842)</f>
        <v>0.05263157895</v>
      </c>
      <c r="BH401" s="137">
        <f>IFERROR(__xludf.DUMMYFUNCTION("""COMPUTED_VALUE"""),152.0)</f>
        <v>152</v>
      </c>
      <c r="BI401" s="137">
        <f>IFERROR(__xludf.DUMMYFUNCTION("""COMPUTED_VALUE"""),24.32)</f>
        <v>24.32</v>
      </c>
      <c r="BJ401" s="137">
        <f>IFERROR(__xludf.DUMMYFUNCTION("""COMPUTED_VALUE"""),176.32)</f>
        <v>176.32</v>
      </c>
      <c r="BK401" s="137">
        <f>IFERROR(__xludf.DUMMYFUNCTION("""COMPUTED_VALUE"""),144.0)</f>
        <v>144</v>
      </c>
      <c r="BL401" s="137">
        <f>IFERROR(__xludf.DUMMYFUNCTION("""COMPUTED_VALUE"""),23.04)</f>
        <v>23.04</v>
      </c>
      <c r="BM401" s="137">
        <f>IFERROR(__xludf.DUMMYFUNCTION("""COMPUTED_VALUE"""),167.04)</f>
        <v>167.04</v>
      </c>
      <c r="BN401" s="137">
        <f>IFERROR(__xludf.DUMMYFUNCTION("""COMPUTED_VALUE"""),136.0)</f>
        <v>136</v>
      </c>
      <c r="BO401" s="137">
        <f>IFERROR(__xludf.DUMMYFUNCTION("""COMPUTED_VALUE"""),21.76)</f>
        <v>21.76</v>
      </c>
      <c r="BP401" s="137">
        <f>IFERROR(__xludf.DUMMYFUNCTION("""COMPUTED_VALUE"""),157.76)</f>
        <v>157.76</v>
      </c>
      <c r="BQ401" s="137">
        <f>IFERROR(__xludf.DUMMYFUNCTION("""COMPUTED_VALUE"""),132.79999999999998)</f>
        <v>132.8</v>
      </c>
      <c r="BR401" s="137">
        <f>IFERROR(__xludf.DUMMYFUNCTION("""COMPUTED_VALUE"""),21.247999999999998)</f>
        <v>21.248</v>
      </c>
      <c r="BS401" s="137">
        <f>IFERROR(__xludf.DUMMYFUNCTION("""COMPUTED_VALUE"""),154.04799999999997)</f>
        <v>154.048</v>
      </c>
      <c r="BT401" s="137">
        <f>IFERROR(__xludf.DUMMYFUNCTION("""COMPUTED_VALUE"""),128.0)</f>
        <v>128</v>
      </c>
      <c r="BU401" s="137">
        <f>IFERROR(__xludf.DUMMYFUNCTION("""COMPUTED_VALUE"""),20.48)</f>
        <v>20.48</v>
      </c>
      <c r="BV401" s="137">
        <f>IFERROR(__xludf.DUMMYFUNCTION("""COMPUTED_VALUE"""),148.48)</f>
        <v>148.48</v>
      </c>
    </row>
    <row r="402">
      <c r="A402" s="53"/>
      <c r="B402" s="53"/>
      <c r="C402" s="53" t="s">
        <v>36</v>
      </c>
      <c r="D402" s="85" t="s">
        <v>1024</v>
      </c>
      <c r="E402" s="54" t="s">
        <v>38</v>
      </c>
      <c r="F402" s="55" t="s">
        <v>39</v>
      </c>
      <c r="G402" s="86" t="s">
        <v>1025</v>
      </c>
      <c r="H402" s="55"/>
      <c r="I402" s="54">
        <f t="shared" si="1"/>
        <v>0</v>
      </c>
      <c r="J402" s="56"/>
      <c r="K402" s="57"/>
      <c r="L402" s="77"/>
      <c r="M402" s="59"/>
      <c r="N402" s="60"/>
      <c r="O402" s="61">
        <v>470.4</v>
      </c>
      <c r="P402" s="62">
        <v>508.032</v>
      </c>
      <c r="Q402" s="63">
        <v>508.032</v>
      </c>
      <c r="R402" s="64">
        <v>534.0</v>
      </c>
      <c r="S402" s="107">
        <v>561.0</v>
      </c>
      <c r="T402" s="65">
        <f t="shared" si="2"/>
        <v>89.76</v>
      </c>
      <c r="U402" s="65">
        <f t="shared" si="3"/>
        <v>650.76</v>
      </c>
      <c r="V402" s="66">
        <f t="shared" si="4"/>
        <v>0.05056179775</v>
      </c>
      <c r="W402" s="67">
        <f t="shared" si="5"/>
        <v>532.95</v>
      </c>
      <c r="X402" s="67">
        <f t="shared" si="6"/>
        <v>85.272</v>
      </c>
      <c r="Y402" s="67">
        <f t="shared" si="7"/>
        <v>618.222</v>
      </c>
      <c r="Z402" s="67">
        <f t="shared" si="8"/>
        <v>504.9</v>
      </c>
      <c r="AA402" s="67">
        <f t="shared" si="9"/>
        <v>80.784</v>
      </c>
      <c r="AB402" s="67">
        <f t="shared" si="10"/>
        <v>585.684</v>
      </c>
      <c r="AC402" s="67">
        <f t="shared" si="11"/>
        <v>476.85</v>
      </c>
      <c r="AD402" s="67">
        <f t="shared" si="12"/>
        <v>76.296</v>
      </c>
      <c r="AE402" s="67">
        <f t="shared" si="13"/>
        <v>553.146</v>
      </c>
      <c r="AF402" s="67">
        <f t="shared" si="14"/>
        <v>465.63</v>
      </c>
      <c r="AG402" s="67">
        <f t="shared" si="15"/>
        <v>74.5008</v>
      </c>
      <c r="AH402" s="67">
        <f t="shared" si="16"/>
        <v>540.1308</v>
      </c>
      <c r="AI402" s="67">
        <f t="shared" si="17"/>
        <v>448.8</v>
      </c>
      <c r="AJ402" s="68">
        <f t="shared" si="20"/>
        <v>71.808</v>
      </c>
      <c r="AK402" s="68">
        <f t="shared" si="21"/>
        <v>520.608</v>
      </c>
      <c r="AL402" s="70">
        <f>IFERROR(__xludf.DUMMYFUNCTION("""COMPUTED_VALUE"""),1.0)</f>
        <v>1</v>
      </c>
      <c r="AM402" s="70"/>
      <c r="AN402" s="71" t="str">
        <f>IFERROR(__xludf.DUMMYFUNCTION("""COMPUTED_VALUE""")," CP")</f>
        <v>CP</v>
      </c>
      <c r="AO402" s="71" t="str">
        <f>IFERROR(__xludf.DUMMYFUNCTION("""COMPUTED_VALUE""")," CA33")</f>
        <v>CA33</v>
      </c>
      <c r="AP402" s="71" t="str">
        <f>IFERROR(__xludf.DUMMYFUNCTION("""COMPUTED_VALUE""")," PZA")</f>
        <v>PZA</v>
      </c>
      <c r="AQ402" s="71" t="str">
        <f>IFERROR(__xludf.DUMMYFUNCTION("""COMPUTED_VALUE""")," REF")</f>
        <v>REF</v>
      </c>
      <c r="AR402" s="71" t="str">
        <f>IFERROR(__xludf.DUMMYFUNCTION("""COMPUTED_VALUE""")," CATARINA 50B17 E.1"" C.1/4")</f>
        <v>CATARINA 50B17 E.1" C.1/4</v>
      </c>
      <c r="AS402" s="71" t="str">
        <f>IFERROR(__xludf.DUMMYFUNCTION("""COMPUTED_VALUE""")," CATARINA 50B17 E.1"" C.1/4")</f>
        <v>CATARINA 50B17 E.1" C.1/4</v>
      </c>
      <c r="AT402" s="71">
        <f>IFERROR(__xludf.DUMMYFUNCTION("""COMPUTED_VALUE"""),25.0)</f>
        <v>25</v>
      </c>
      <c r="AU402" s="71"/>
      <c r="AV402" s="71"/>
      <c r="AW402" s="71"/>
      <c r="AX402" s="71"/>
      <c r="AY402" s="71">
        <f>IFERROR(__xludf.DUMMYFUNCTION("""COMPUTED_VALUE"""),221.0)</f>
        <v>221</v>
      </c>
      <c r="AZ402" s="71">
        <f>IFERROR(__xludf.DUMMYFUNCTION("""COMPUTED_VALUE"""),238.0)</f>
        <v>238</v>
      </c>
      <c r="BA402" s="71">
        <f>IFERROR(__xludf.DUMMYFUNCTION("""COMPUTED_VALUE"""),115.0)</f>
        <v>115</v>
      </c>
      <c r="BB402" s="71">
        <f>IFERROR(__xludf.DUMMYFUNCTION("""COMPUTED_VALUE"""),115.0)</f>
        <v>115</v>
      </c>
      <c r="BC402" s="71">
        <f>IFERROR(__xludf.DUMMYFUNCTION("""COMPUTED_VALUE"""),143.0)</f>
        <v>143</v>
      </c>
      <c r="BD402" s="71">
        <f>IFERROR(__xludf.DUMMYFUNCTION("""COMPUTED_VALUE"""),150.0)</f>
        <v>150</v>
      </c>
      <c r="BE402" s="71">
        <f>IFERROR(__xludf.DUMMYFUNCTION("""COMPUTED_VALUE"""),24.0)</f>
        <v>24</v>
      </c>
      <c r="BF402" s="71">
        <f>IFERROR(__xludf.DUMMYFUNCTION("""COMPUTED_VALUE"""),174.0)</f>
        <v>174</v>
      </c>
      <c r="BG402" s="71">
        <f>IFERROR(__xludf.DUMMYFUNCTION("""COMPUTED_VALUE"""),0.04895104895104895)</f>
        <v>0.04895104895</v>
      </c>
      <c r="BH402" s="71">
        <f>IFERROR(__xludf.DUMMYFUNCTION("""COMPUTED_VALUE"""),142.5)</f>
        <v>142.5</v>
      </c>
      <c r="BI402" s="71">
        <f>IFERROR(__xludf.DUMMYFUNCTION("""COMPUTED_VALUE"""),22.8)</f>
        <v>22.8</v>
      </c>
      <c r="BJ402" s="71">
        <f>IFERROR(__xludf.DUMMYFUNCTION("""COMPUTED_VALUE"""),165.3)</f>
        <v>165.3</v>
      </c>
      <c r="BK402" s="71">
        <f>IFERROR(__xludf.DUMMYFUNCTION("""COMPUTED_VALUE"""),135.0)</f>
        <v>135</v>
      </c>
      <c r="BL402" s="71">
        <f>IFERROR(__xludf.DUMMYFUNCTION("""COMPUTED_VALUE"""),21.6)</f>
        <v>21.6</v>
      </c>
      <c r="BM402" s="71">
        <f>IFERROR(__xludf.DUMMYFUNCTION("""COMPUTED_VALUE"""),156.6)</f>
        <v>156.6</v>
      </c>
      <c r="BN402" s="71">
        <f>IFERROR(__xludf.DUMMYFUNCTION("""COMPUTED_VALUE"""),127.5)</f>
        <v>127.5</v>
      </c>
      <c r="BO402" s="71">
        <f>IFERROR(__xludf.DUMMYFUNCTION("""COMPUTED_VALUE"""),20.400000000000002)</f>
        <v>20.4</v>
      </c>
      <c r="BP402" s="71">
        <f>IFERROR(__xludf.DUMMYFUNCTION("""COMPUTED_VALUE"""),147.9)</f>
        <v>147.9</v>
      </c>
      <c r="BQ402" s="71">
        <f>IFERROR(__xludf.DUMMYFUNCTION("""COMPUTED_VALUE"""),124.5)</f>
        <v>124.5</v>
      </c>
      <c r="BR402" s="71">
        <f>IFERROR(__xludf.DUMMYFUNCTION("""COMPUTED_VALUE"""),19.92)</f>
        <v>19.92</v>
      </c>
      <c r="BS402" s="71">
        <f>IFERROR(__xludf.DUMMYFUNCTION("""COMPUTED_VALUE"""),144.42000000000002)</f>
        <v>144.42</v>
      </c>
      <c r="BT402" s="71">
        <f>IFERROR(__xludf.DUMMYFUNCTION("""COMPUTED_VALUE"""),120.0)</f>
        <v>120</v>
      </c>
      <c r="BU402" s="71">
        <f>IFERROR(__xludf.DUMMYFUNCTION("""COMPUTED_VALUE"""),19.2)</f>
        <v>19.2</v>
      </c>
      <c r="BV402" s="71">
        <f>IFERROR(__xludf.DUMMYFUNCTION("""COMPUTED_VALUE"""),139.2)</f>
        <v>139.2</v>
      </c>
    </row>
    <row r="403">
      <c r="A403" s="53">
        <v>1.0</v>
      </c>
      <c r="B403" s="72"/>
      <c r="C403" s="73" t="s">
        <v>53</v>
      </c>
      <c r="D403" s="53" t="s">
        <v>1026</v>
      </c>
      <c r="E403" s="55" t="s">
        <v>38</v>
      </c>
      <c r="F403" s="54" t="s">
        <v>42</v>
      </c>
      <c r="G403" s="55" t="s">
        <v>1027</v>
      </c>
      <c r="H403" s="55" t="s">
        <v>1027</v>
      </c>
      <c r="I403" s="54">
        <f t="shared" si="1"/>
        <v>39</v>
      </c>
      <c r="J403" s="56"/>
      <c r="K403" s="75"/>
      <c r="L403" s="76"/>
      <c r="M403" s="59"/>
      <c r="N403" s="60">
        <v>389.0</v>
      </c>
      <c r="O403" s="61">
        <v>420.0</v>
      </c>
      <c r="P403" s="62">
        <v>453.6</v>
      </c>
      <c r="Q403" s="63">
        <v>453.6</v>
      </c>
      <c r="R403" s="64">
        <v>506.0</v>
      </c>
      <c r="S403" s="111">
        <v>531.0</v>
      </c>
      <c r="T403" s="65">
        <f t="shared" si="2"/>
        <v>84.96</v>
      </c>
      <c r="U403" s="65">
        <f t="shared" si="3"/>
        <v>615.96</v>
      </c>
      <c r="V403" s="66">
        <f t="shared" si="4"/>
        <v>0.04940711462</v>
      </c>
      <c r="W403" s="67">
        <f t="shared" si="5"/>
        <v>504.45</v>
      </c>
      <c r="X403" s="67">
        <f t="shared" si="6"/>
        <v>80.712</v>
      </c>
      <c r="Y403" s="67">
        <f t="shared" si="7"/>
        <v>585.162</v>
      </c>
      <c r="Z403" s="67">
        <f t="shared" si="8"/>
        <v>477.9</v>
      </c>
      <c r="AA403" s="67">
        <f t="shared" si="9"/>
        <v>76.464</v>
      </c>
      <c r="AB403" s="67">
        <f t="shared" si="10"/>
        <v>554.364</v>
      </c>
      <c r="AC403" s="67">
        <f t="shared" si="11"/>
        <v>451.35</v>
      </c>
      <c r="AD403" s="67">
        <f t="shared" si="12"/>
        <v>72.216</v>
      </c>
      <c r="AE403" s="67">
        <f t="shared" si="13"/>
        <v>523.566</v>
      </c>
      <c r="AF403" s="67">
        <f t="shared" si="14"/>
        <v>440.73</v>
      </c>
      <c r="AG403" s="67">
        <f t="shared" si="15"/>
        <v>70.5168</v>
      </c>
      <c r="AH403" s="67">
        <f t="shared" si="16"/>
        <v>511.2468</v>
      </c>
      <c r="AI403" s="67">
        <f t="shared" si="17"/>
        <v>424.8</v>
      </c>
      <c r="AJ403" s="68">
        <f t="shared" si="20"/>
        <v>67.968</v>
      </c>
      <c r="AK403" s="68">
        <f t="shared" si="21"/>
        <v>492.768</v>
      </c>
      <c r="AL403" s="70">
        <f>IFERROR(__xludf.DUMMYFUNCTION("""COMPUTED_VALUE"""),1.0)</f>
        <v>1</v>
      </c>
      <c r="AM403" s="70"/>
      <c r="AN403" s="71" t="str">
        <f>IFERROR(__xludf.DUMMYFUNCTION("""COMPUTED_VALUE""")," CP")</f>
        <v>CP</v>
      </c>
      <c r="AO403" s="71" t="str">
        <f>IFERROR(__xludf.DUMMYFUNCTION("""COMPUTED_VALUE""")," CA54")</f>
        <v>CA54</v>
      </c>
      <c r="AP403" s="71" t="str">
        <f>IFERROR(__xludf.DUMMYFUNCTION("""COMPUTED_VALUE""")," PZA")</f>
        <v>PZA</v>
      </c>
      <c r="AQ403" s="71" t="str">
        <f>IFERROR(__xludf.DUMMYFUNCTION("""COMPUTED_VALUE""")," REF")</f>
        <v>REF</v>
      </c>
      <c r="AR403" s="71" t="str">
        <f>IFERROR(__xludf.DUMMYFUNCTION("""COMPUTED_VALUE""")," CATARINA 50B19 E.1-1/4"" C.1/4")</f>
        <v>CATARINA 50B19 E.1-1/4" C.1/4</v>
      </c>
      <c r="AS403" s="71" t="str">
        <f>IFERROR(__xludf.DUMMYFUNCTION("""COMPUTED_VALUE""")," CATARINA 50B19 E.1-1/4"" C.1/4")</f>
        <v>CATARINA 50B19 E.1-1/4" C.1/4</v>
      </c>
      <c r="AT403" s="71">
        <f>IFERROR(__xludf.DUMMYFUNCTION("""COMPUTED_VALUE"""),29.0)</f>
        <v>29</v>
      </c>
      <c r="AU403" s="71"/>
      <c r="AV403" s="71"/>
      <c r="AW403" s="71"/>
      <c r="AX403" s="71"/>
      <c r="AY403" s="71">
        <f>IFERROR(__xludf.DUMMYFUNCTION("""COMPUTED_VALUE"""),231.0)</f>
        <v>231</v>
      </c>
      <c r="AZ403" s="71">
        <f>IFERROR(__xludf.DUMMYFUNCTION("""COMPUTED_VALUE"""),249.0)</f>
        <v>249</v>
      </c>
      <c r="BA403" s="71">
        <f>IFERROR(__xludf.DUMMYFUNCTION("""COMPUTED_VALUE"""),135.0)</f>
        <v>135</v>
      </c>
      <c r="BB403" s="71">
        <f>IFERROR(__xludf.DUMMYFUNCTION("""COMPUTED_VALUE"""),135.0)</f>
        <v>135</v>
      </c>
      <c r="BC403" s="71">
        <f>IFERROR(__xludf.DUMMYFUNCTION("""COMPUTED_VALUE"""),154.0)</f>
        <v>154</v>
      </c>
      <c r="BD403" s="71">
        <f>IFERROR(__xludf.DUMMYFUNCTION("""COMPUTED_VALUE"""),162.0)</f>
        <v>162</v>
      </c>
      <c r="BE403" s="71">
        <f>IFERROR(__xludf.DUMMYFUNCTION("""COMPUTED_VALUE"""),25.92)</f>
        <v>25.92</v>
      </c>
      <c r="BF403" s="71">
        <f>IFERROR(__xludf.DUMMYFUNCTION("""COMPUTED_VALUE"""),187.92000000000002)</f>
        <v>187.92</v>
      </c>
      <c r="BG403" s="71">
        <f>IFERROR(__xludf.DUMMYFUNCTION("""COMPUTED_VALUE"""),0.05194805194805195)</f>
        <v>0.05194805195</v>
      </c>
      <c r="BH403" s="71">
        <f>IFERROR(__xludf.DUMMYFUNCTION("""COMPUTED_VALUE"""),153.9)</f>
        <v>153.9</v>
      </c>
      <c r="BI403" s="71">
        <f>IFERROR(__xludf.DUMMYFUNCTION("""COMPUTED_VALUE"""),24.624000000000002)</f>
        <v>24.624</v>
      </c>
      <c r="BJ403" s="71">
        <f>IFERROR(__xludf.DUMMYFUNCTION("""COMPUTED_VALUE"""),178.524)</f>
        <v>178.524</v>
      </c>
      <c r="BK403" s="71">
        <f>IFERROR(__xludf.DUMMYFUNCTION("""COMPUTED_VALUE"""),145.8)</f>
        <v>145.8</v>
      </c>
      <c r="BL403" s="71">
        <f>IFERROR(__xludf.DUMMYFUNCTION("""COMPUTED_VALUE"""),23.328000000000003)</f>
        <v>23.328</v>
      </c>
      <c r="BM403" s="71">
        <f>IFERROR(__xludf.DUMMYFUNCTION("""COMPUTED_VALUE"""),169.12800000000001)</f>
        <v>169.128</v>
      </c>
      <c r="BN403" s="71">
        <f>IFERROR(__xludf.DUMMYFUNCTION("""COMPUTED_VALUE"""),137.7)</f>
        <v>137.7</v>
      </c>
      <c r="BO403" s="71">
        <f>IFERROR(__xludf.DUMMYFUNCTION("""COMPUTED_VALUE"""),22.032)</f>
        <v>22.032</v>
      </c>
      <c r="BP403" s="71">
        <f>IFERROR(__xludf.DUMMYFUNCTION("""COMPUTED_VALUE"""),159.732)</f>
        <v>159.732</v>
      </c>
      <c r="BQ403" s="71">
        <f>IFERROR(__xludf.DUMMYFUNCTION("""COMPUTED_VALUE"""),134.45999999999998)</f>
        <v>134.46</v>
      </c>
      <c r="BR403" s="71">
        <f>IFERROR(__xludf.DUMMYFUNCTION("""COMPUTED_VALUE"""),21.513599999999997)</f>
        <v>21.5136</v>
      </c>
      <c r="BS403" s="71">
        <f>IFERROR(__xludf.DUMMYFUNCTION("""COMPUTED_VALUE"""),155.97359999999998)</f>
        <v>155.9736</v>
      </c>
      <c r="BT403" s="71">
        <f>IFERROR(__xludf.DUMMYFUNCTION("""COMPUTED_VALUE"""),129.6)</f>
        <v>129.6</v>
      </c>
      <c r="BU403" s="71">
        <f>IFERROR(__xludf.DUMMYFUNCTION("""COMPUTED_VALUE"""),20.736)</f>
        <v>20.736</v>
      </c>
      <c r="BV403" s="71">
        <f>IFERROR(__xludf.DUMMYFUNCTION("""COMPUTED_VALUE"""),150.33599999999998)</f>
        <v>150.336</v>
      </c>
    </row>
    <row r="404">
      <c r="A404" s="53"/>
      <c r="B404" s="53"/>
      <c r="C404" s="53" t="s">
        <v>36</v>
      </c>
      <c r="D404" s="85" t="s">
        <v>1028</v>
      </c>
      <c r="E404" s="54" t="s">
        <v>38</v>
      </c>
      <c r="F404" s="55" t="s">
        <v>39</v>
      </c>
      <c r="G404" s="86" t="s">
        <v>1029</v>
      </c>
      <c r="H404" s="55" t="s">
        <v>1030</v>
      </c>
      <c r="I404" s="54">
        <f t="shared" si="1"/>
        <v>38</v>
      </c>
      <c r="J404" s="56"/>
      <c r="K404" s="57"/>
      <c r="L404" s="76"/>
      <c r="M404" s="59"/>
      <c r="N404" s="60"/>
      <c r="O404" s="61">
        <v>172.8</v>
      </c>
      <c r="P404" s="62">
        <v>200.0</v>
      </c>
      <c r="Q404" s="63">
        <v>200.0</v>
      </c>
      <c r="R404" s="64">
        <v>210.0</v>
      </c>
      <c r="S404" s="107">
        <v>221.0</v>
      </c>
      <c r="T404" s="65">
        <f t="shared" si="2"/>
        <v>35.36</v>
      </c>
      <c r="U404" s="65">
        <f t="shared" si="3"/>
        <v>256.36</v>
      </c>
      <c r="V404" s="66">
        <f t="shared" si="4"/>
        <v>0.05238095238</v>
      </c>
      <c r="W404" s="67">
        <f t="shared" si="5"/>
        <v>209.95</v>
      </c>
      <c r="X404" s="67">
        <f t="shared" si="6"/>
        <v>33.592</v>
      </c>
      <c r="Y404" s="67">
        <f t="shared" si="7"/>
        <v>243.542</v>
      </c>
      <c r="Z404" s="67">
        <f t="shared" si="8"/>
        <v>198.9</v>
      </c>
      <c r="AA404" s="67">
        <f t="shared" si="9"/>
        <v>31.824</v>
      </c>
      <c r="AB404" s="67">
        <f t="shared" si="10"/>
        <v>230.724</v>
      </c>
      <c r="AC404" s="67">
        <f t="shared" si="11"/>
        <v>187.85</v>
      </c>
      <c r="AD404" s="67">
        <f t="shared" si="12"/>
        <v>30.056</v>
      </c>
      <c r="AE404" s="67">
        <f t="shared" si="13"/>
        <v>217.906</v>
      </c>
      <c r="AF404" s="67">
        <f t="shared" si="14"/>
        <v>183.43</v>
      </c>
      <c r="AG404" s="67">
        <f t="shared" si="15"/>
        <v>29.3488</v>
      </c>
      <c r="AH404" s="67">
        <f t="shared" si="16"/>
        <v>212.7788</v>
      </c>
      <c r="AI404" s="67">
        <f t="shared" si="17"/>
        <v>176.8</v>
      </c>
      <c r="AJ404" s="68">
        <f t="shared" si="20"/>
        <v>28.288</v>
      </c>
      <c r="AK404" s="68">
        <f t="shared" si="21"/>
        <v>205.088</v>
      </c>
      <c r="AL404" s="70">
        <f>IFERROR(__xludf.DUMMYFUNCTION("""COMPUTED_VALUE"""),1.0)</f>
        <v>1</v>
      </c>
      <c r="AM404" s="70"/>
      <c r="AN404" s="71" t="str">
        <f>IFERROR(__xludf.DUMMYFUNCTION("""COMPUTED_VALUE""")," CP")</f>
        <v>CP</v>
      </c>
      <c r="AO404" s="71" t="str">
        <f>IFERROR(__xludf.DUMMYFUNCTION("""COMPUTED_VALUE""")," CA53")</f>
        <v>CA53</v>
      </c>
      <c r="AP404" s="71" t="str">
        <f>IFERROR(__xludf.DUMMYFUNCTION("""COMPUTED_VALUE""")," PZA")</f>
        <v>PZA</v>
      </c>
      <c r="AQ404" s="71" t="str">
        <f>IFERROR(__xludf.DUMMYFUNCTION("""COMPUTED_VALUE""")," REF")</f>
        <v>REF</v>
      </c>
      <c r="AR404" s="71" t="str">
        <f>IFERROR(__xludf.DUMMYFUNCTION("""COMPUTED_VALUE""")," CATARINA 50B19 E.1"" C.1/4")</f>
        <v>CATARINA 50B19 E.1" C.1/4</v>
      </c>
      <c r="AS404" s="71" t="str">
        <f>IFERROR(__xludf.DUMMYFUNCTION("""COMPUTED_VALUE""")," CATARINA 50B19 E.1"" C.1/4")</f>
        <v>CATARINA 50B19 E.1" C.1/4</v>
      </c>
      <c r="AT404" s="71">
        <f>IFERROR(__xludf.DUMMYFUNCTION("""COMPUTED_VALUE"""),25.0)</f>
        <v>25</v>
      </c>
      <c r="AU404" s="71"/>
      <c r="AV404" s="71"/>
      <c r="AW404" s="71"/>
      <c r="AX404" s="71"/>
      <c r="AY404" s="71">
        <f>IFERROR(__xludf.DUMMYFUNCTION("""COMPUTED_VALUE"""),231.0)</f>
        <v>231</v>
      </c>
      <c r="AZ404" s="71">
        <f>IFERROR(__xludf.DUMMYFUNCTION("""COMPUTED_VALUE"""),249.0)</f>
        <v>249</v>
      </c>
      <c r="BA404" s="71">
        <f>IFERROR(__xludf.DUMMYFUNCTION("""COMPUTED_VALUE"""),135.0)</f>
        <v>135</v>
      </c>
      <c r="BB404" s="71">
        <f>IFERROR(__xludf.DUMMYFUNCTION("""COMPUTED_VALUE"""),135.0)</f>
        <v>135</v>
      </c>
      <c r="BC404" s="71">
        <f>IFERROR(__xludf.DUMMYFUNCTION("""COMPUTED_VALUE"""),154.0)</f>
        <v>154</v>
      </c>
      <c r="BD404" s="71">
        <f>IFERROR(__xludf.DUMMYFUNCTION("""COMPUTED_VALUE"""),162.0)</f>
        <v>162</v>
      </c>
      <c r="BE404" s="71">
        <f>IFERROR(__xludf.DUMMYFUNCTION("""COMPUTED_VALUE"""),25.92)</f>
        <v>25.92</v>
      </c>
      <c r="BF404" s="71">
        <f>IFERROR(__xludf.DUMMYFUNCTION("""COMPUTED_VALUE"""),187.92000000000002)</f>
        <v>187.92</v>
      </c>
      <c r="BG404" s="71">
        <f>IFERROR(__xludf.DUMMYFUNCTION("""COMPUTED_VALUE"""),0.05194805194805195)</f>
        <v>0.05194805195</v>
      </c>
      <c r="BH404" s="71">
        <f>IFERROR(__xludf.DUMMYFUNCTION("""COMPUTED_VALUE"""),153.9)</f>
        <v>153.9</v>
      </c>
      <c r="BI404" s="71">
        <f>IFERROR(__xludf.DUMMYFUNCTION("""COMPUTED_VALUE"""),24.624000000000002)</f>
        <v>24.624</v>
      </c>
      <c r="BJ404" s="71">
        <f>IFERROR(__xludf.DUMMYFUNCTION("""COMPUTED_VALUE"""),178.524)</f>
        <v>178.524</v>
      </c>
      <c r="BK404" s="71">
        <f>IFERROR(__xludf.DUMMYFUNCTION("""COMPUTED_VALUE"""),145.8)</f>
        <v>145.8</v>
      </c>
      <c r="BL404" s="71">
        <f>IFERROR(__xludf.DUMMYFUNCTION("""COMPUTED_VALUE"""),23.328000000000003)</f>
        <v>23.328</v>
      </c>
      <c r="BM404" s="71">
        <f>IFERROR(__xludf.DUMMYFUNCTION("""COMPUTED_VALUE"""),169.12800000000001)</f>
        <v>169.128</v>
      </c>
      <c r="BN404" s="71">
        <f>IFERROR(__xludf.DUMMYFUNCTION("""COMPUTED_VALUE"""),137.7)</f>
        <v>137.7</v>
      </c>
      <c r="BO404" s="71">
        <f>IFERROR(__xludf.DUMMYFUNCTION("""COMPUTED_VALUE"""),22.032)</f>
        <v>22.032</v>
      </c>
      <c r="BP404" s="71">
        <f>IFERROR(__xludf.DUMMYFUNCTION("""COMPUTED_VALUE"""),159.732)</f>
        <v>159.732</v>
      </c>
      <c r="BQ404" s="71">
        <f>IFERROR(__xludf.DUMMYFUNCTION("""COMPUTED_VALUE"""),134.45999999999998)</f>
        <v>134.46</v>
      </c>
      <c r="BR404" s="71">
        <f>IFERROR(__xludf.DUMMYFUNCTION("""COMPUTED_VALUE"""),21.513599999999997)</f>
        <v>21.5136</v>
      </c>
      <c r="BS404" s="71">
        <f>IFERROR(__xludf.DUMMYFUNCTION("""COMPUTED_VALUE"""),155.97359999999998)</f>
        <v>155.9736</v>
      </c>
      <c r="BT404" s="71">
        <f>IFERROR(__xludf.DUMMYFUNCTION("""COMPUTED_VALUE"""),129.6)</f>
        <v>129.6</v>
      </c>
      <c r="BU404" s="71">
        <f>IFERROR(__xludf.DUMMYFUNCTION("""COMPUTED_VALUE"""),20.736)</f>
        <v>20.736</v>
      </c>
      <c r="BV404" s="71">
        <f>IFERROR(__xludf.DUMMYFUNCTION("""COMPUTED_VALUE"""),150.33599999999998)</f>
        <v>150.336</v>
      </c>
    </row>
    <row r="405">
      <c r="A405" s="53"/>
      <c r="B405" s="72"/>
      <c r="C405" s="73" t="s">
        <v>53</v>
      </c>
      <c r="D405" s="53" t="s">
        <v>1031</v>
      </c>
      <c r="E405" s="54" t="s">
        <v>38</v>
      </c>
      <c r="F405" s="54" t="s">
        <v>42</v>
      </c>
      <c r="G405" s="54" t="s">
        <v>1032</v>
      </c>
      <c r="H405" s="54" t="s">
        <v>1033</v>
      </c>
      <c r="I405" s="54">
        <f t="shared" si="1"/>
        <v>33</v>
      </c>
      <c r="J405" s="56"/>
      <c r="K405" s="57"/>
      <c r="L405" s="76"/>
      <c r="M405" s="59"/>
      <c r="N405" s="60"/>
      <c r="O405" s="61">
        <v>177.0</v>
      </c>
      <c r="P405" s="62">
        <v>191.16000000000003</v>
      </c>
      <c r="Q405" s="63">
        <v>191.16000000000003</v>
      </c>
      <c r="R405" s="64">
        <v>201.0</v>
      </c>
      <c r="S405" s="111">
        <v>211.0</v>
      </c>
      <c r="T405" s="65">
        <f t="shared" si="2"/>
        <v>33.76</v>
      </c>
      <c r="U405" s="65">
        <f t="shared" si="3"/>
        <v>244.76</v>
      </c>
      <c r="V405" s="66">
        <f t="shared" si="4"/>
        <v>0.04975124378</v>
      </c>
      <c r="W405" s="67">
        <f t="shared" si="5"/>
        <v>200.45</v>
      </c>
      <c r="X405" s="67">
        <f t="shared" si="6"/>
        <v>32.072</v>
      </c>
      <c r="Y405" s="67">
        <f t="shared" si="7"/>
        <v>232.522</v>
      </c>
      <c r="Z405" s="67">
        <f t="shared" si="8"/>
        <v>189.9</v>
      </c>
      <c r="AA405" s="67">
        <f t="shared" si="9"/>
        <v>30.384</v>
      </c>
      <c r="AB405" s="67">
        <f t="shared" si="10"/>
        <v>220.284</v>
      </c>
      <c r="AC405" s="67">
        <f t="shared" si="11"/>
        <v>179.35</v>
      </c>
      <c r="AD405" s="67">
        <f t="shared" si="12"/>
        <v>28.696</v>
      </c>
      <c r="AE405" s="67">
        <f t="shared" si="13"/>
        <v>208.046</v>
      </c>
      <c r="AF405" s="67">
        <f t="shared" si="14"/>
        <v>175.13</v>
      </c>
      <c r="AG405" s="67">
        <f t="shared" si="15"/>
        <v>28.0208</v>
      </c>
      <c r="AH405" s="67">
        <f t="shared" si="16"/>
        <v>203.1508</v>
      </c>
      <c r="AI405" s="67">
        <f t="shared" si="17"/>
        <v>168.8</v>
      </c>
      <c r="AJ405" s="68">
        <f t="shared" si="20"/>
        <v>27.008</v>
      </c>
      <c r="AK405" s="68">
        <f t="shared" si="21"/>
        <v>195.808</v>
      </c>
      <c r="AL405" s="70">
        <f>IFERROR(__xludf.DUMMYFUNCTION("""COMPUTED_VALUE"""),1.0)</f>
        <v>1</v>
      </c>
      <c r="AM405" s="70"/>
      <c r="AN405" s="71" t="str">
        <f>IFERROR(__xludf.DUMMYFUNCTION("""COMPUTED_VALUE""")," C")</f>
        <v>C</v>
      </c>
      <c r="AO405" s="71" t="str">
        <f>IFERROR(__xludf.DUMMYFUNCTION("""COMPUTED_VALUE""")," CA218")</f>
        <v>CA218</v>
      </c>
      <c r="AP405" s="71" t="str">
        <f>IFERROR(__xludf.DUMMYFUNCTION("""COMPUTED_VALUE""")," PZA")</f>
        <v>PZA</v>
      </c>
      <c r="AQ405" s="71" t="str">
        <f>IFERROR(__xludf.DUMMYFUNCTION("""COMPUTED_VALUE""")," REF")</f>
        <v>REF</v>
      </c>
      <c r="AR405" s="71" t="str">
        <f>IFERROR(__xludf.DUMMYFUNCTION("""COMPUTED_VALUE""")," CATARINA 50B20 E.1-1/4"" C1/4")</f>
        <v>CATARINA 50B20 E.1-1/4" C1/4</v>
      </c>
      <c r="AS405" s="71" t="str">
        <f>IFERROR(__xludf.DUMMYFUNCTION("""COMPUTED_VALUE""")," CATARINA 50B20 E.1-1/4"" C1/4")</f>
        <v>CATARINA 50B20 E.1-1/4" C1/4</v>
      </c>
      <c r="AT405" s="71">
        <f>IFERROR(__xludf.DUMMYFUNCTION("""COMPUTED_VALUE"""),28.0)</f>
        <v>28</v>
      </c>
      <c r="AU405" s="71"/>
      <c r="AV405" s="71"/>
      <c r="AW405" s="71"/>
      <c r="AX405" s="71"/>
      <c r="AY405" s="71"/>
      <c r="AZ405" s="71"/>
      <c r="BA405" s="71"/>
      <c r="BB405" s="71"/>
      <c r="BC405" s="71">
        <f>IFERROR(__xludf.DUMMYFUNCTION("""COMPUTED_VALUE"""),155.0)</f>
        <v>155</v>
      </c>
      <c r="BD405" s="71">
        <f>IFERROR(__xludf.DUMMYFUNCTION("""COMPUTED_VALUE"""),163.0)</f>
        <v>163</v>
      </c>
      <c r="BE405" s="71">
        <f>IFERROR(__xludf.DUMMYFUNCTION("""COMPUTED_VALUE"""),26.080000000000002)</f>
        <v>26.08</v>
      </c>
      <c r="BF405" s="71">
        <f>IFERROR(__xludf.DUMMYFUNCTION("""COMPUTED_VALUE"""),189.08)</f>
        <v>189.08</v>
      </c>
      <c r="BG405" s="71">
        <f>IFERROR(__xludf.DUMMYFUNCTION("""COMPUTED_VALUE"""),0.05161290322580645)</f>
        <v>0.05161290323</v>
      </c>
      <c r="BH405" s="71">
        <f>IFERROR(__xludf.DUMMYFUNCTION("""COMPUTED_VALUE"""),154.85)</f>
        <v>154.85</v>
      </c>
      <c r="BI405" s="71">
        <f>IFERROR(__xludf.DUMMYFUNCTION("""COMPUTED_VALUE"""),24.776)</f>
        <v>24.776</v>
      </c>
      <c r="BJ405" s="71">
        <f>IFERROR(__xludf.DUMMYFUNCTION("""COMPUTED_VALUE"""),179.626)</f>
        <v>179.626</v>
      </c>
      <c r="BK405" s="71">
        <f>IFERROR(__xludf.DUMMYFUNCTION("""COMPUTED_VALUE"""),146.70000000000002)</f>
        <v>146.7</v>
      </c>
      <c r="BL405" s="71">
        <f>IFERROR(__xludf.DUMMYFUNCTION("""COMPUTED_VALUE"""),23.472000000000005)</f>
        <v>23.472</v>
      </c>
      <c r="BM405" s="71">
        <f>IFERROR(__xludf.DUMMYFUNCTION("""COMPUTED_VALUE"""),170.17200000000003)</f>
        <v>170.172</v>
      </c>
      <c r="BN405" s="71">
        <f>IFERROR(__xludf.DUMMYFUNCTION("""COMPUTED_VALUE"""),138.54999999999998)</f>
        <v>138.55</v>
      </c>
      <c r="BO405" s="71">
        <f>IFERROR(__xludf.DUMMYFUNCTION("""COMPUTED_VALUE"""),22.168)</f>
        <v>22.168</v>
      </c>
      <c r="BP405" s="71">
        <f>IFERROR(__xludf.DUMMYFUNCTION("""COMPUTED_VALUE"""),160.718)</f>
        <v>160.718</v>
      </c>
      <c r="BQ405" s="71">
        <f>IFERROR(__xludf.DUMMYFUNCTION("""COMPUTED_VALUE"""),135.29)</f>
        <v>135.29</v>
      </c>
      <c r="BR405" s="71">
        <f>IFERROR(__xludf.DUMMYFUNCTION("""COMPUTED_VALUE"""),21.6464)</f>
        <v>21.6464</v>
      </c>
      <c r="BS405" s="71">
        <f>IFERROR(__xludf.DUMMYFUNCTION("""COMPUTED_VALUE"""),156.9364)</f>
        <v>156.9364</v>
      </c>
      <c r="BT405" s="71">
        <f>IFERROR(__xludf.DUMMYFUNCTION("""COMPUTED_VALUE"""),130.4)</f>
        <v>130.4</v>
      </c>
      <c r="BU405" s="71"/>
      <c r="BV405" s="71"/>
    </row>
    <row r="406">
      <c r="A406" s="53">
        <v>1.0</v>
      </c>
      <c r="B406" s="72"/>
      <c r="C406" s="73" t="s">
        <v>53</v>
      </c>
      <c r="D406" s="74" t="s">
        <v>1034</v>
      </c>
      <c r="E406" s="54" t="s">
        <v>38</v>
      </c>
      <c r="F406" s="54" t="s">
        <v>42</v>
      </c>
      <c r="G406" s="88" t="s">
        <v>1035</v>
      </c>
      <c r="H406" s="54" t="s">
        <v>1036</v>
      </c>
      <c r="I406" s="54">
        <f t="shared" si="1"/>
        <v>38</v>
      </c>
      <c r="J406" s="56"/>
      <c r="K406" s="75"/>
      <c r="L406" s="76"/>
      <c r="M406" s="59"/>
      <c r="N406" s="60">
        <v>179.0</v>
      </c>
      <c r="O406" s="61">
        <v>193.0</v>
      </c>
      <c r="P406" s="62">
        <v>208.44000000000003</v>
      </c>
      <c r="Q406" s="63">
        <v>208.44000000000003</v>
      </c>
      <c r="R406" s="64">
        <v>237.0</v>
      </c>
      <c r="S406" s="111">
        <v>249.0</v>
      </c>
      <c r="T406" s="65">
        <f t="shared" si="2"/>
        <v>39.84</v>
      </c>
      <c r="U406" s="65">
        <f t="shared" si="3"/>
        <v>288.84</v>
      </c>
      <c r="V406" s="66">
        <f t="shared" si="4"/>
        <v>0.05063291139</v>
      </c>
      <c r="W406" s="67">
        <f t="shared" si="5"/>
        <v>236.55</v>
      </c>
      <c r="X406" s="67">
        <f t="shared" si="6"/>
        <v>37.848</v>
      </c>
      <c r="Y406" s="67">
        <f t="shared" si="7"/>
        <v>274.398</v>
      </c>
      <c r="Z406" s="67">
        <f t="shared" si="8"/>
        <v>224.1</v>
      </c>
      <c r="AA406" s="67">
        <f t="shared" si="9"/>
        <v>35.856</v>
      </c>
      <c r="AB406" s="67">
        <f t="shared" si="10"/>
        <v>259.956</v>
      </c>
      <c r="AC406" s="67">
        <f t="shared" si="11"/>
        <v>211.65</v>
      </c>
      <c r="AD406" s="67">
        <f t="shared" si="12"/>
        <v>33.864</v>
      </c>
      <c r="AE406" s="67">
        <f t="shared" si="13"/>
        <v>245.514</v>
      </c>
      <c r="AF406" s="67">
        <f t="shared" si="14"/>
        <v>206.67</v>
      </c>
      <c r="AG406" s="67">
        <f t="shared" si="15"/>
        <v>33.0672</v>
      </c>
      <c r="AH406" s="67">
        <f t="shared" si="16"/>
        <v>239.7372</v>
      </c>
      <c r="AI406" s="67">
        <f t="shared" si="17"/>
        <v>199.2</v>
      </c>
      <c r="AJ406" s="68">
        <f t="shared" si="20"/>
        <v>31.872</v>
      </c>
      <c r="AK406" s="68">
        <f t="shared" si="21"/>
        <v>231.072</v>
      </c>
      <c r="AL406" s="70">
        <f>IFERROR(__xludf.DUMMYFUNCTION("""COMPUTED_VALUE"""),1.0)</f>
        <v>1</v>
      </c>
      <c r="AM406" s="70"/>
      <c r="AN406" s="71" t="str">
        <f>IFERROR(__xludf.DUMMYFUNCTION("""COMPUTED_VALUE""")," C")</f>
        <v>C</v>
      </c>
      <c r="AO406" s="71" t="str">
        <f>IFERROR(__xludf.DUMMYFUNCTION("""COMPUTED_VALUE""")," CA219")</f>
        <v>CA219</v>
      </c>
      <c r="AP406" s="71" t="str">
        <f>IFERROR(__xludf.DUMMYFUNCTION("""COMPUTED_VALUE""")," PZA")</f>
        <v>PZA</v>
      </c>
      <c r="AQ406" s="71" t="str">
        <f>IFERROR(__xludf.DUMMYFUNCTION("""COMPUTED_VALUE""")," REF")</f>
        <v>REF</v>
      </c>
      <c r="AR406" s="71" t="str">
        <f>IFERROR(__xludf.DUMMYFUNCTION("""COMPUTED_VALUE""")," CATARINA 50B21 E.1-1/4"" C1/4")</f>
        <v>CATARINA 50B21 E.1-1/4" C1/4</v>
      </c>
      <c r="AS406" s="71" t="str">
        <f>IFERROR(__xludf.DUMMYFUNCTION("""COMPUTED_VALUE""")," CATARINA 50B21 E.1-1/4"" C1/4")</f>
        <v>CATARINA 50B21 E.1-1/4" C1/4</v>
      </c>
      <c r="AT406" s="71">
        <f>IFERROR(__xludf.DUMMYFUNCTION("""COMPUTED_VALUE"""),28.0)</f>
        <v>28</v>
      </c>
      <c r="AU406" s="71"/>
      <c r="AV406" s="71"/>
      <c r="AW406" s="71"/>
      <c r="AX406" s="71"/>
      <c r="AY406" s="71"/>
      <c r="AZ406" s="71"/>
      <c r="BA406" s="71"/>
      <c r="BB406" s="71"/>
      <c r="BC406" s="71">
        <f>IFERROR(__xludf.DUMMYFUNCTION("""COMPUTED_VALUE"""),165.0)</f>
        <v>165</v>
      </c>
      <c r="BD406" s="71">
        <f>IFERROR(__xludf.DUMMYFUNCTION("""COMPUTED_VALUE"""),173.0)</f>
        <v>173</v>
      </c>
      <c r="BE406" s="71">
        <f>IFERROR(__xludf.DUMMYFUNCTION("""COMPUTED_VALUE"""),27.68)</f>
        <v>27.68</v>
      </c>
      <c r="BF406" s="71">
        <f>IFERROR(__xludf.DUMMYFUNCTION("""COMPUTED_VALUE"""),200.68)</f>
        <v>200.68</v>
      </c>
      <c r="BG406" s="71">
        <f>IFERROR(__xludf.DUMMYFUNCTION("""COMPUTED_VALUE"""),0.048484848484848485)</f>
        <v>0.04848484848</v>
      </c>
      <c r="BH406" s="71">
        <f>IFERROR(__xludf.DUMMYFUNCTION("""COMPUTED_VALUE"""),164.35)</f>
        <v>164.35</v>
      </c>
      <c r="BI406" s="71">
        <f>IFERROR(__xludf.DUMMYFUNCTION("""COMPUTED_VALUE"""),26.296)</f>
        <v>26.296</v>
      </c>
      <c r="BJ406" s="71">
        <f>IFERROR(__xludf.DUMMYFUNCTION("""COMPUTED_VALUE"""),190.646)</f>
        <v>190.646</v>
      </c>
      <c r="BK406" s="71">
        <f>IFERROR(__xludf.DUMMYFUNCTION("""COMPUTED_VALUE"""),155.70000000000002)</f>
        <v>155.7</v>
      </c>
      <c r="BL406" s="71">
        <f>IFERROR(__xludf.DUMMYFUNCTION("""COMPUTED_VALUE"""),24.912000000000003)</f>
        <v>24.912</v>
      </c>
      <c r="BM406" s="71">
        <f>IFERROR(__xludf.DUMMYFUNCTION("""COMPUTED_VALUE"""),180.61200000000002)</f>
        <v>180.612</v>
      </c>
      <c r="BN406" s="71">
        <f>IFERROR(__xludf.DUMMYFUNCTION("""COMPUTED_VALUE"""),147.04999999999998)</f>
        <v>147.05</v>
      </c>
      <c r="BO406" s="71">
        <f>IFERROR(__xludf.DUMMYFUNCTION("""COMPUTED_VALUE"""),23.528)</f>
        <v>23.528</v>
      </c>
      <c r="BP406" s="71">
        <f>IFERROR(__xludf.DUMMYFUNCTION("""COMPUTED_VALUE"""),170.57799999999997)</f>
        <v>170.578</v>
      </c>
      <c r="BQ406" s="71">
        <f>IFERROR(__xludf.DUMMYFUNCTION("""COMPUTED_VALUE"""),143.59)</f>
        <v>143.59</v>
      </c>
      <c r="BR406" s="71">
        <f>IFERROR(__xludf.DUMMYFUNCTION("""COMPUTED_VALUE"""),22.9744)</f>
        <v>22.9744</v>
      </c>
      <c r="BS406" s="71">
        <f>IFERROR(__xludf.DUMMYFUNCTION("""COMPUTED_VALUE"""),166.5644)</f>
        <v>166.5644</v>
      </c>
      <c r="BT406" s="71">
        <f>IFERROR(__xludf.DUMMYFUNCTION("""COMPUTED_VALUE"""),138.4)</f>
        <v>138.4</v>
      </c>
      <c r="BU406" s="71"/>
      <c r="BV406" s="71"/>
    </row>
    <row r="407">
      <c r="A407" s="53">
        <v>1.0</v>
      </c>
      <c r="B407" s="72"/>
      <c r="C407" s="73" t="s">
        <v>53</v>
      </c>
      <c r="D407" s="74" t="s">
        <v>1037</v>
      </c>
      <c r="E407" s="54" t="s">
        <v>38</v>
      </c>
      <c r="F407" s="54" t="s">
        <v>42</v>
      </c>
      <c r="G407" s="88" t="s">
        <v>1038</v>
      </c>
      <c r="H407" s="54" t="s">
        <v>1039</v>
      </c>
      <c r="I407" s="54">
        <f t="shared" si="1"/>
        <v>37</v>
      </c>
      <c r="J407" s="56"/>
      <c r="K407" s="75"/>
      <c r="L407" s="76"/>
      <c r="M407" s="59"/>
      <c r="N407" s="60">
        <v>143.0</v>
      </c>
      <c r="O407" s="61">
        <v>154.0</v>
      </c>
      <c r="P407" s="62">
        <v>166.32000000000002</v>
      </c>
      <c r="Q407" s="63">
        <v>166.32000000000002</v>
      </c>
      <c r="R407" s="64">
        <v>192.0</v>
      </c>
      <c r="S407" s="111">
        <v>202.0</v>
      </c>
      <c r="T407" s="65">
        <f t="shared" si="2"/>
        <v>32.32</v>
      </c>
      <c r="U407" s="65">
        <f t="shared" si="3"/>
        <v>234.32</v>
      </c>
      <c r="V407" s="66">
        <f t="shared" si="4"/>
        <v>0.05208333333</v>
      </c>
      <c r="W407" s="67">
        <f t="shared" si="5"/>
        <v>191.9</v>
      </c>
      <c r="X407" s="67">
        <f t="shared" si="6"/>
        <v>30.704</v>
      </c>
      <c r="Y407" s="67">
        <f t="shared" si="7"/>
        <v>222.604</v>
      </c>
      <c r="Z407" s="67">
        <f t="shared" si="8"/>
        <v>181.8</v>
      </c>
      <c r="AA407" s="67">
        <f t="shared" si="9"/>
        <v>29.088</v>
      </c>
      <c r="AB407" s="67">
        <f t="shared" si="10"/>
        <v>210.888</v>
      </c>
      <c r="AC407" s="67">
        <f t="shared" si="11"/>
        <v>171.7</v>
      </c>
      <c r="AD407" s="67">
        <f t="shared" si="12"/>
        <v>27.472</v>
      </c>
      <c r="AE407" s="67">
        <f t="shared" si="13"/>
        <v>199.172</v>
      </c>
      <c r="AF407" s="67">
        <f t="shared" si="14"/>
        <v>167.66</v>
      </c>
      <c r="AG407" s="67">
        <f t="shared" si="15"/>
        <v>26.8256</v>
      </c>
      <c r="AH407" s="67">
        <f t="shared" si="16"/>
        <v>194.4856</v>
      </c>
      <c r="AI407" s="67">
        <f t="shared" si="17"/>
        <v>161.6</v>
      </c>
      <c r="AJ407" s="68">
        <f t="shared" si="20"/>
        <v>25.856</v>
      </c>
      <c r="AK407" s="68">
        <f t="shared" si="21"/>
        <v>187.456</v>
      </c>
      <c r="AL407" s="70">
        <f>IFERROR(__xludf.DUMMYFUNCTION("""COMPUTED_VALUE"""),1.0)</f>
        <v>1</v>
      </c>
      <c r="AM407" s="70"/>
      <c r="AN407" s="71" t="str">
        <f>IFERROR(__xludf.DUMMYFUNCTION("""COMPUTED_VALUE""")," C")</f>
        <v>C</v>
      </c>
      <c r="AO407" s="71" t="str">
        <f>IFERROR(__xludf.DUMMYFUNCTION("""COMPUTED_VALUE""")," CA220")</f>
        <v>CA220</v>
      </c>
      <c r="AP407" s="71" t="str">
        <f>IFERROR(__xludf.DUMMYFUNCTION("""COMPUTED_VALUE""")," PZA")</f>
        <v>PZA</v>
      </c>
      <c r="AQ407" s="71" t="str">
        <f>IFERROR(__xludf.DUMMYFUNCTION("""COMPUTED_VALUE""")," REF")</f>
        <v>REF</v>
      </c>
      <c r="AR407" s="71" t="str">
        <f>IFERROR(__xludf.DUMMYFUNCTION("""COMPUTED_VALUE""")," CATARINA 50B22 E.1-1/4"" C1/4")</f>
        <v>CATARINA 50B22 E.1-1/4" C1/4</v>
      </c>
      <c r="AS407" s="71" t="str">
        <f>IFERROR(__xludf.DUMMYFUNCTION("""COMPUTED_VALUE""")," CATARINA 50B22 E.1-1/4"" C1/4")</f>
        <v>CATARINA 50B22 E.1-1/4" C1/4</v>
      </c>
      <c r="AT407" s="71">
        <f>IFERROR(__xludf.DUMMYFUNCTION("""COMPUTED_VALUE"""),28.0)</f>
        <v>28</v>
      </c>
      <c r="AU407" s="71"/>
      <c r="AV407" s="71"/>
      <c r="AW407" s="71"/>
      <c r="AX407" s="71"/>
      <c r="AY407" s="71"/>
      <c r="AZ407" s="71"/>
      <c r="BA407" s="71"/>
      <c r="BB407" s="71"/>
      <c r="BC407" s="71">
        <f>IFERROR(__xludf.DUMMYFUNCTION("""COMPUTED_VALUE"""),175.0)</f>
        <v>175</v>
      </c>
      <c r="BD407" s="71">
        <f>IFERROR(__xludf.DUMMYFUNCTION("""COMPUTED_VALUE"""),184.0)</f>
        <v>184</v>
      </c>
      <c r="BE407" s="71">
        <f>IFERROR(__xludf.DUMMYFUNCTION("""COMPUTED_VALUE"""),29.44)</f>
        <v>29.44</v>
      </c>
      <c r="BF407" s="71">
        <f>IFERROR(__xludf.DUMMYFUNCTION("""COMPUTED_VALUE"""),213.44)</f>
        <v>213.44</v>
      </c>
      <c r="BG407" s="71">
        <f>IFERROR(__xludf.DUMMYFUNCTION("""COMPUTED_VALUE"""),0.05142857142857143)</f>
        <v>0.05142857143</v>
      </c>
      <c r="BH407" s="71">
        <f>IFERROR(__xludf.DUMMYFUNCTION("""COMPUTED_VALUE"""),174.79999999999998)</f>
        <v>174.8</v>
      </c>
      <c r="BI407" s="71">
        <f>IFERROR(__xludf.DUMMYFUNCTION("""COMPUTED_VALUE"""),27.967999999999996)</f>
        <v>27.968</v>
      </c>
      <c r="BJ407" s="71">
        <f>IFERROR(__xludf.DUMMYFUNCTION("""COMPUTED_VALUE"""),202.76799999999997)</f>
        <v>202.768</v>
      </c>
      <c r="BK407" s="71">
        <f>IFERROR(__xludf.DUMMYFUNCTION("""COMPUTED_VALUE"""),165.6)</f>
        <v>165.6</v>
      </c>
      <c r="BL407" s="71">
        <f>IFERROR(__xludf.DUMMYFUNCTION("""COMPUTED_VALUE"""),26.496)</f>
        <v>26.496</v>
      </c>
      <c r="BM407" s="71">
        <f>IFERROR(__xludf.DUMMYFUNCTION("""COMPUTED_VALUE"""),192.096)</f>
        <v>192.096</v>
      </c>
      <c r="BN407" s="71">
        <f>IFERROR(__xludf.DUMMYFUNCTION("""COMPUTED_VALUE"""),156.4)</f>
        <v>156.4</v>
      </c>
      <c r="BO407" s="71">
        <f>IFERROR(__xludf.DUMMYFUNCTION("""COMPUTED_VALUE"""),25.024)</f>
        <v>25.024</v>
      </c>
      <c r="BP407" s="71">
        <f>IFERROR(__xludf.DUMMYFUNCTION("""COMPUTED_VALUE"""),181.424)</f>
        <v>181.424</v>
      </c>
      <c r="BQ407" s="71">
        <f>IFERROR(__xludf.DUMMYFUNCTION("""COMPUTED_VALUE"""),152.72)</f>
        <v>152.72</v>
      </c>
      <c r="BR407" s="71">
        <f>IFERROR(__xludf.DUMMYFUNCTION("""COMPUTED_VALUE"""),24.435200000000002)</f>
        <v>24.4352</v>
      </c>
      <c r="BS407" s="71">
        <f>IFERROR(__xludf.DUMMYFUNCTION("""COMPUTED_VALUE"""),177.1552)</f>
        <v>177.1552</v>
      </c>
      <c r="BT407" s="71">
        <f>IFERROR(__xludf.DUMMYFUNCTION("""COMPUTED_VALUE"""),147.20000000000002)</f>
        <v>147.2</v>
      </c>
      <c r="BU407" s="71"/>
      <c r="BV407" s="71"/>
    </row>
    <row r="408">
      <c r="A408" s="53">
        <v>1.0</v>
      </c>
      <c r="B408" s="72"/>
      <c r="C408" s="73" t="s">
        <v>53</v>
      </c>
      <c r="D408" s="74" t="s">
        <v>1040</v>
      </c>
      <c r="E408" s="54" t="s">
        <v>38</v>
      </c>
      <c r="F408" s="54" t="s">
        <v>42</v>
      </c>
      <c r="G408" s="88" t="s">
        <v>1041</v>
      </c>
      <c r="H408" s="54" t="s">
        <v>1042</v>
      </c>
      <c r="I408" s="54">
        <f t="shared" si="1"/>
        <v>40</v>
      </c>
      <c r="J408" s="56"/>
      <c r="K408" s="75"/>
      <c r="L408" s="76"/>
      <c r="M408" s="59"/>
      <c r="N408" s="60">
        <v>246.0</v>
      </c>
      <c r="O408" s="61">
        <v>274.0</v>
      </c>
      <c r="P408" s="62">
        <v>295.92</v>
      </c>
      <c r="Q408" s="63">
        <v>295.92</v>
      </c>
      <c r="R408" s="64">
        <v>340.0</v>
      </c>
      <c r="S408" s="111">
        <v>357.0</v>
      </c>
      <c r="T408" s="65">
        <f t="shared" si="2"/>
        <v>57.12</v>
      </c>
      <c r="U408" s="65">
        <f t="shared" si="3"/>
        <v>414.12</v>
      </c>
      <c r="V408" s="66">
        <f t="shared" si="4"/>
        <v>0.05</v>
      </c>
      <c r="W408" s="67">
        <f t="shared" si="5"/>
        <v>339.15</v>
      </c>
      <c r="X408" s="67">
        <f t="shared" si="6"/>
        <v>54.264</v>
      </c>
      <c r="Y408" s="67">
        <f t="shared" si="7"/>
        <v>393.414</v>
      </c>
      <c r="Z408" s="67">
        <f t="shared" si="8"/>
        <v>321.3</v>
      </c>
      <c r="AA408" s="67">
        <f t="shared" si="9"/>
        <v>51.408</v>
      </c>
      <c r="AB408" s="67">
        <f t="shared" si="10"/>
        <v>372.708</v>
      </c>
      <c r="AC408" s="67">
        <f t="shared" si="11"/>
        <v>303.45</v>
      </c>
      <c r="AD408" s="67">
        <f t="shared" si="12"/>
        <v>48.552</v>
      </c>
      <c r="AE408" s="67">
        <f t="shared" si="13"/>
        <v>352.002</v>
      </c>
      <c r="AF408" s="67">
        <f t="shared" si="14"/>
        <v>296.31</v>
      </c>
      <c r="AG408" s="67">
        <f t="shared" si="15"/>
        <v>47.4096</v>
      </c>
      <c r="AH408" s="67">
        <f t="shared" si="16"/>
        <v>343.7196</v>
      </c>
      <c r="AI408" s="67">
        <f t="shared" si="17"/>
        <v>285.6</v>
      </c>
      <c r="AJ408" s="68">
        <f t="shared" si="20"/>
        <v>45.696</v>
      </c>
      <c r="AK408" s="68">
        <f t="shared" si="21"/>
        <v>331.296</v>
      </c>
      <c r="AL408" s="70">
        <f>IFERROR(__xludf.DUMMYFUNCTION("""COMPUTED_VALUE"""),1.0)</f>
        <v>1</v>
      </c>
      <c r="AM408" s="70"/>
      <c r="AN408" s="71" t="str">
        <f>IFERROR(__xludf.DUMMYFUNCTION("""COMPUTED_VALUE""")," C")</f>
        <v>C</v>
      </c>
      <c r="AO408" s="71" t="str">
        <f>IFERROR(__xludf.DUMMYFUNCTION("""COMPUTED_VALUE""")," CA221")</f>
        <v>CA221</v>
      </c>
      <c r="AP408" s="71" t="str">
        <f>IFERROR(__xludf.DUMMYFUNCTION("""COMPUTED_VALUE""")," PZA")</f>
        <v>PZA</v>
      </c>
      <c r="AQ408" s="71" t="str">
        <f>IFERROR(__xludf.DUMMYFUNCTION("""COMPUTED_VALUE""")," REF")</f>
        <v>REF</v>
      </c>
      <c r="AR408" s="71" t="str">
        <f>IFERROR(__xludf.DUMMYFUNCTION("""COMPUTED_VALUE""")," CATARINA 50B23 E.1-1/4"" C1/4")</f>
        <v>CATARINA 50B23 E.1-1/4" C1/4</v>
      </c>
      <c r="AS408" s="71" t="str">
        <f>IFERROR(__xludf.DUMMYFUNCTION("""COMPUTED_VALUE""")," CATARINA 50B23 E.1-1/4"" C1/4")</f>
        <v>CATARINA 50B23 E.1-1/4" C1/4</v>
      </c>
      <c r="AT408" s="71">
        <f>IFERROR(__xludf.DUMMYFUNCTION("""COMPUTED_VALUE"""),28.0)</f>
        <v>28</v>
      </c>
      <c r="AU408" s="71"/>
      <c r="AV408" s="71"/>
      <c r="AW408" s="71"/>
      <c r="AX408" s="71"/>
      <c r="AY408" s="71"/>
      <c r="AZ408" s="71"/>
      <c r="BA408" s="71"/>
      <c r="BB408" s="71"/>
      <c r="BC408" s="71">
        <f>IFERROR(__xludf.DUMMYFUNCTION("""COMPUTED_VALUE"""),177.0)</f>
        <v>177</v>
      </c>
      <c r="BD408" s="71">
        <f>IFERROR(__xludf.DUMMYFUNCTION("""COMPUTED_VALUE"""),186.0)</f>
        <v>186</v>
      </c>
      <c r="BE408" s="71">
        <f>IFERROR(__xludf.DUMMYFUNCTION("""COMPUTED_VALUE"""),29.76)</f>
        <v>29.76</v>
      </c>
      <c r="BF408" s="71">
        <f>IFERROR(__xludf.DUMMYFUNCTION("""COMPUTED_VALUE"""),215.76)</f>
        <v>215.76</v>
      </c>
      <c r="BG408" s="71">
        <f>IFERROR(__xludf.DUMMYFUNCTION("""COMPUTED_VALUE"""),0.05084745762711865)</f>
        <v>0.05084745763</v>
      </c>
      <c r="BH408" s="71">
        <f>IFERROR(__xludf.DUMMYFUNCTION("""COMPUTED_VALUE"""),176.7)</f>
        <v>176.7</v>
      </c>
      <c r="BI408" s="71">
        <f>IFERROR(__xludf.DUMMYFUNCTION("""COMPUTED_VALUE"""),28.272)</f>
        <v>28.272</v>
      </c>
      <c r="BJ408" s="71">
        <f>IFERROR(__xludf.DUMMYFUNCTION("""COMPUTED_VALUE"""),204.97199999999998)</f>
        <v>204.972</v>
      </c>
      <c r="BK408" s="71">
        <f>IFERROR(__xludf.DUMMYFUNCTION("""COMPUTED_VALUE"""),167.4)</f>
        <v>167.4</v>
      </c>
      <c r="BL408" s="71">
        <f>IFERROR(__xludf.DUMMYFUNCTION("""COMPUTED_VALUE"""),26.784000000000002)</f>
        <v>26.784</v>
      </c>
      <c r="BM408" s="71">
        <f>IFERROR(__xludf.DUMMYFUNCTION("""COMPUTED_VALUE"""),194.184)</f>
        <v>194.184</v>
      </c>
      <c r="BN408" s="71">
        <f>IFERROR(__xludf.DUMMYFUNCTION("""COMPUTED_VALUE"""),158.1)</f>
        <v>158.1</v>
      </c>
      <c r="BO408" s="71">
        <f>IFERROR(__xludf.DUMMYFUNCTION("""COMPUTED_VALUE"""),25.296)</f>
        <v>25.296</v>
      </c>
      <c r="BP408" s="71">
        <f>IFERROR(__xludf.DUMMYFUNCTION("""COMPUTED_VALUE"""),183.396)</f>
        <v>183.396</v>
      </c>
      <c r="BQ408" s="71">
        <f>IFERROR(__xludf.DUMMYFUNCTION("""COMPUTED_VALUE"""),154.38)</f>
        <v>154.38</v>
      </c>
      <c r="BR408" s="71">
        <f>IFERROR(__xludf.DUMMYFUNCTION("""COMPUTED_VALUE"""),24.7008)</f>
        <v>24.7008</v>
      </c>
      <c r="BS408" s="71">
        <f>IFERROR(__xludf.DUMMYFUNCTION("""COMPUTED_VALUE"""),179.0808)</f>
        <v>179.0808</v>
      </c>
      <c r="BT408" s="71">
        <f>IFERROR(__xludf.DUMMYFUNCTION("""COMPUTED_VALUE"""),148.8)</f>
        <v>148.8</v>
      </c>
      <c r="BU408" s="71"/>
      <c r="BV408" s="71"/>
    </row>
    <row r="409">
      <c r="A409" s="53">
        <v>1.0</v>
      </c>
      <c r="B409" s="72"/>
      <c r="C409" s="73" t="s">
        <v>53</v>
      </c>
      <c r="D409" s="74" t="s">
        <v>1043</v>
      </c>
      <c r="E409" s="54" t="s">
        <v>38</v>
      </c>
      <c r="F409" s="54" t="s">
        <v>42</v>
      </c>
      <c r="G409" s="88" t="s">
        <v>1044</v>
      </c>
      <c r="H409" s="54" t="s">
        <v>1045</v>
      </c>
      <c r="I409" s="54">
        <f t="shared" si="1"/>
        <v>37</v>
      </c>
      <c r="J409" s="56"/>
      <c r="K409" s="75"/>
      <c r="L409" s="76"/>
      <c r="M409" s="59"/>
      <c r="N409" s="60">
        <v>246.0</v>
      </c>
      <c r="O409" s="61">
        <v>274.0</v>
      </c>
      <c r="P409" s="62">
        <v>295.92</v>
      </c>
      <c r="Q409" s="63">
        <v>295.92</v>
      </c>
      <c r="R409" s="64">
        <v>340.0</v>
      </c>
      <c r="S409" s="111">
        <v>357.0</v>
      </c>
      <c r="T409" s="65">
        <f t="shared" si="2"/>
        <v>57.12</v>
      </c>
      <c r="U409" s="65">
        <f t="shared" si="3"/>
        <v>414.12</v>
      </c>
      <c r="V409" s="66">
        <f t="shared" si="4"/>
        <v>0.05</v>
      </c>
      <c r="W409" s="67">
        <f t="shared" si="5"/>
        <v>339.15</v>
      </c>
      <c r="X409" s="67">
        <f t="shared" si="6"/>
        <v>54.264</v>
      </c>
      <c r="Y409" s="67">
        <f t="shared" si="7"/>
        <v>393.414</v>
      </c>
      <c r="Z409" s="67">
        <f t="shared" si="8"/>
        <v>321.3</v>
      </c>
      <c r="AA409" s="67">
        <f t="shared" si="9"/>
        <v>51.408</v>
      </c>
      <c r="AB409" s="67">
        <f t="shared" si="10"/>
        <v>372.708</v>
      </c>
      <c r="AC409" s="67">
        <f t="shared" si="11"/>
        <v>303.45</v>
      </c>
      <c r="AD409" s="67">
        <f t="shared" si="12"/>
        <v>48.552</v>
      </c>
      <c r="AE409" s="67">
        <f t="shared" si="13"/>
        <v>352.002</v>
      </c>
      <c r="AF409" s="67">
        <f t="shared" si="14"/>
        <v>296.31</v>
      </c>
      <c r="AG409" s="67">
        <f t="shared" si="15"/>
        <v>47.4096</v>
      </c>
      <c r="AH409" s="67">
        <f t="shared" si="16"/>
        <v>343.7196</v>
      </c>
      <c r="AI409" s="67">
        <f t="shared" si="17"/>
        <v>285.6</v>
      </c>
      <c r="AJ409" s="68">
        <f t="shared" si="20"/>
        <v>45.696</v>
      </c>
      <c r="AK409" s="68">
        <f t="shared" si="21"/>
        <v>331.296</v>
      </c>
      <c r="AL409" s="70">
        <f>IFERROR(__xludf.DUMMYFUNCTION("""COMPUTED_VALUE"""),1.0)</f>
        <v>1</v>
      </c>
      <c r="AM409" s="70"/>
      <c r="AN409" s="71" t="str">
        <f>IFERROR(__xludf.DUMMYFUNCTION("""COMPUTED_VALUE""")," P")</f>
        <v>P</v>
      </c>
      <c r="AO409" s="71" t="str">
        <f>IFERROR(__xludf.DUMMYFUNCTION("""COMPUTED_VALUE""")," CA127")</f>
        <v>CA127</v>
      </c>
      <c r="AP409" s="71" t="str">
        <f>IFERROR(__xludf.DUMMYFUNCTION("""COMPUTED_VALUE""")," PZA")</f>
        <v>PZA</v>
      </c>
      <c r="AQ409" s="71" t="str">
        <f>IFERROR(__xludf.DUMMYFUNCTION("""COMPUTED_VALUE""")," REF")</f>
        <v>REF</v>
      </c>
      <c r="AR409" s="71" t="str">
        <f>IFERROR(__xludf.DUMMYFUNCTION("""COMPUTED_VALUE""")," CATARINA 50B24 E.1-1/4"" C.1/4")</f>
        <v>CATARINA 50B24 E.1-1/4" C.1/4</v>
      </c>
      <c r="AS409" s="71" t="str">
        <f>IFERROR(__xludf.DUMMYFUNCTION("""COMPUTED_VALUE""")," CATARINA 50B24 E.1-1/4"" C.1/4")</f>
        <v>CATARINA 50B24 E.1-1/4" C.1/4</v>
      </c>
      <c r="AT409" s="71">
        <f>IFERROR(__xludf.DUMMYFUNCTION("""COMPUTED_VALUE"""),29.0)</f>
        <v>29</v>
      </c>
      <c r="AU409" s="71"/>
      <c r="AV409" s="71"/>
      <c r="AW409" s="71"/>
      <c r="AX409" s="71"/>
      <c r="AY409" s="71"/>
      <c r="AZ409" s="71"/>
      <c r="BA409" s="71">
        <f>IFERROR(__xludf.DUMMYFUNCTION("""COMPUTED_VALUE"""),165.0)</f>
        <v>165</v>
      </c>
      <c r="BB409" s="71">
        <f>IFERROR(__xludf.DUMMYFUNCTION("""COMPUTED_VALUE"""),165.0)</f>
        <v>165</v>
      </c>
      <c r="BC409" s="71">
        <f>IFERROR(__xludf.DUMMYFUNCTION("""COMPUTED_VALUE"""),179.0)</f>
        <v>179</v>
      </c>
      <c r="BD409" s="71">
        <f>IFERROR(__xludf.DUMMYFUNCTION("""COMPUTED_VALUE"""),188.0)</f>
        <v>188</v>
      </c>
      <c r="BE409" s="71">
        <f>IFERROR(__xludf.DUMMYFUNCTION("""COMPUTED_VALUE"""),30.080000000000002)</f>
        <v>30.08</v>
      </c>
      <c r="BF409" s="71">
        <f>IFERROR(__xludf.DUMMYFUNCTION("""COMPUTED_VALUE"""),218.08)</f>
        <v>218.08</v>
      </c>
      <c r="BG409" s="71">
        <f>IFERROR(__xludf.DUMMYFUNCTION("""COMPUTED_VALUE"""),0.05027932960893855)</f>
        <v>0.05027932961</v>
      </c>
      <c r="BH409" s="71">
        <f>IFERROR(__xludf.DUMMYFUNCTION("""COMPUTED_VALUE"""),178.6)</f>
        <v>178.6</v>
      </c>
      <c r="BI409" s="71">
        <f>IFERROR(__xludf.DUMMYFUNCTION("""COMPUTED_VALUE"""),28.576)</f>
        <v>28.576</v>
      </c>
      <c r="BJ409" s="71">
        <f>IFERROR(__xludf.DUMMYFUNCTION("""COMPUTED_VALUE"""),207.176)</f>
        <v>207.176</v>
      </c>
      <c r="BK409" s="71">
        <f>IFERROR(__xludf.DUMMYFUNCTION("""COMPUTED_VALUE"""),169.20000000000002)</f>
        <v>169.2</v>
      </c>
      <c r="BL409" s="71">
        <f>IFERROR(__xludf.DUMMYFUNCTION("""COMPUTED_VALUE"""),27.072000000000003)</f>
        <v>27.072</v>
      </c>
      <c r="BM409" s="71">
        <f>IFERROR(__xludf.DUMMYFUNCTION("""COMPUTED_VALUE"""),196.27200000000002)</f>
        <v>196.272</v>
      </c>
      <c r="BN409" s="71">
        <f>IFERROR(__xludf.DUMMYFUNCTION("""COMPUTED_VALUE"""),159.79999999999998)</f>
        <v>159.8</v>
      </c>
      <c r="BO409" s="71">
        <f>IFERROR(__xludf.DUMMYFUNCTION("""COMPUTED_VALUE"""),25.567999999999998)</f>
        <v>25.568</v>
      </c>
      <c r="BP409" s="71">
        <f>IFERROR(__xludf.DUMMYFUNCTION("""COMPUTED_VALUE"""),185.368)</f>
        <v>185.368</v>
      </c>
      <c r="BQ409" s="71">
        <f>IFERROR(__xludf.DUMMYFUNCTION("""COMPUTED_VALUE"""),156.04)</f>
        <v>156.04</v>
      </c>
      <c r="BR409" s="71">
        <f>IFERROR(__xludf.DUMMYFUNCTION("""COMPUTED_VALUE"""),24.9664)</f>
        <v>24.9664</v>
      </c>
      <c r="BS409" s="71">
        <f>IFERROR(__xludf.DUMMYFUNCTION("""COMPUTED_VALUE"""),181.00639999999999)</f>
        <v>181.0064</v>
      </c>
      <c r="BT409" s="71">
        <f>IFERROR(__xludf.DUMMYFUNCTION("""COMPUTED_VALUE"""),150.4)</f>
        <v>150.4</v>
      </c>
      <c r="BU409" s="71">
        <f>IFERROR(__xludf.DUMMYFUNCTION("""COMPUTED_VALUE"""),24.064)</f>
        <v>24.064</v>
      </c>
      <c r="BV409" s="71">
        <f>IFERROR(__xludf.DUMMYFUNCTION("""COMPUTED_VALUE"""),174.464)</f>
        <v>174.464</v>
      </c>
    </row>
    <row r="410">
      <c r="A410" s="53">
        <v>1.0</v>
      </c>
      <c r="B410" s="72"/>
      <c r="C410" s="73" t="s">
        <v>53</v>
      </c>
      <c r="D410" s="74" t="s">
        <v>1046</v>
      </c>
      <c r="E410" s="54" t="s">
        <v>38</v>
      </c>
      <c r="F410" s="54" t="s">
        <v>42</v>
      </c>
      <c r="G410" s="88" t="s">
        <v>1047</v>
      </c>
      <c r="H410" s="54" t="s">
        <v>1048</v>
      </c>
      <c r="I410" s="54">
        <f t="shared" si="1"/>
        <v>22</v>
      </c>
      <c r="J410" s="56"/>
      <c r="K410" s="75"/>
      <c r="L410" s="76"/>
      <c r="M410" s="59"/>
      <c r="N410" s="60">
        <v>97.0</v>
      </c>
      <c r="O410" s="61">
        <v>104.0</v>
      </c>
      <c r="P410" s="62">
        <v>112.32000000000001</v>
      </c>
      <c r="Q410" s="63">
        <v>112.32000000000001</v>
      </c>
      <c r="R410" s="64">
        <v>126.0</v>
      </c>
      <c r="S410" s="111">
        <v>132.0</v>
      </c>
      <c r="T410" s="65">
        <f t="shared" si="2"/>
        <v>21.12</v>
      </c>
      <c r="U410" s="65">
        <f t="shared" si="3"/>
        <v>153.12</v>
      </c>
      <c r="V410" s="66">
        <f t="shared" si="4"/>
        <v>0.04761904762</v>
      </c>
      <c r="W410" s="67">
        <f t="shared" si="5"/>
        <v>125.4</v>
      </c>
      <c r="X410" s="67">
        <f t="shared" si="6"/>
        <v>20.064</v>
      </c>
      <c r="Y410" s="67">
        <f t="shared" si="7"/>
        <v>145.464</v>
      </c>
      <c r="Z410" s="67">
        <f t="shared" si="8"/>
        <v>118.8</v>
      </c>
      <c r="AA410" s="67">
        <f t="shared" si="9"/>
        <v>19.008</v>
      </c>
      <c r="AB410" s="67">
        <f t="shared" si="10"/>
        <v>137.808</v>
      </c>
      <c r="AC410" s="67">
        <f t="shared" si="11"/>
        <v>112.2</v>
      </c>
      <c r="AD410" s="67">
        <f t="shared" si="12"/>
        <v>17.952</v>
      </c>
      <c r="AE410" s="67">
        <f t="shared" si="13"/>
        <v>130.152</v>
      </c>
      <c r="AF410" s="67">
        <f t="shared" si="14"/>
        <v>109.56</v>
      </c>
      <c r="AG410" s="67">
        <f t="shared" si="15"/>
        <v>17.5296</v>
      </c>
      <c r="AH410" s="67">
        <f t="shared" si="16"/>
        <v>127.0896</v>
      </c>
      <c r="AI410" s="67">
        <f t="shared" si="17"/>
        <v>105.6</v>
      </c>
      <c r="AJ410" s="68">
        <f t="shared" si="20"/>
        <v>16.896</v>
      </c>
      <c r="AK410" s="68">
        <f t="shared" si="21"/>
        <v>122.496</v>
      </c>
      <c r="AL410" s="70">
        <f>IFERROR(__xludf.DUMMYFUNCTION("""COMPUTED_VALUE"""),1.0)</f>
        <v>1</v>
      </c>
      <c r="AM410" s="70"/>
      <c r="AN410" s="71" t="str">
        <f>IFERROR(__xludf.DUMMYFUNCTION("""COMPUTED_VALUE""")," CP")</f>
        <v>CP</v>
      </c>
      <c r="AO410" s="71" t="str">
        <f>IFERROR(__xludf.DUMMYFUNCTION("""COMPUTED_VALUE""")," CA69")</f>
        <v>CA69</v>
      </c>
      <c r="AP410" s="71" t="str">
        <f>IFERROR(__xludf.DUMMYFUNCTION("""COMPUTED_VALUE""")," PZA")</f>
        <v>PZA</v>
      </c>
      <c r="AQ410" s="71" t="str">
        <f>IFERROR(__xludf.DUMMYFUNCTION("""COMPUTED_VALUE""")," REF")</f>
        <v>REF</v>
      </c>
      <c r="AR410" s="71" t="str">
        <f>IFERROR(__xludf.DUMMYFUNCTION("""COMPUTED_VALUE""")," CATARINA 50B24 E.1"" C.1/4")</f>
        <v>CATARINA 50B24 E.1" C.1/4</v>
      </c>
      <c r="AS410" s="71" t="str">
        <f>IFERROR(__xludf.DUMMYFUNCTION("""COMPUTED_VALUE""")," CATARINA 50B24 E.1"" C.1/4")</f>
        <v>CATARINA 50B24 E.1" C.1/4</v>
      </c>
      <c r="AT410" s="71">
        <f>IFERROR(__xludf.DUMMYFUNCTION("""COMPUTED_VALUE"""),25.0)</f>
        <v>25</v>
      </c>
      <c r="AU410" s="71"/>
      <c r="AV410" s="71"/>
      <c r="AW410" s="71"/>
      <c r="AX410" s="71"/>
      <c r="AY410" s="71">
        <f>IFERROR(__xludf.DUMMYFUNCTION("""COMPUTED_VALUE"""),339.0)</f>
        <v>339</v>
      </c>
      <c r="AZ410" s="71">
        <f>IFERROR(__xludf.DUMMYFUNCTION("""COMPUTED_VALUE"""),366.0)</f>
        <v>366</v>
      </c>
      <c r="BA410" s="71">
        <f>IFERROR(__xludf.DUMMYFUNCTION("""COMPUTED_VALUE"""),165.0)</f>
        <v>165</v>
      </c>
      <c r="BB410" s="71">
        <f>IFERROR(__xludf.DUMMYFUNCTION("""COMPUTED_VALUE"""),165.0)</f>
        <v>165</v>
      </c>
      <c r="BC410" s="71">
        <f>IFERROR(__xludf.DUMMYFUNCTION("""COMPUTED_VALUE"""),229.0)</f>
        <v>229</v>
      </c>
      <c r="BD410" s="71">
        <f>IFERROR(__xludf.DUMMYFUNCTION("""COMPUTED_VALUE"""),240.0)</f>
        <v>240</v>
      </c>
      <c r="BE410" s="71">
        <f>IFERROR(__xludf.DUMMYFUNCTION("""COMPUTED_VALUE"""),38.4)</f>
        <v>38.4</v>
      </c>
      <c r="BF410" s="71">
        <f>IFERROR(__xludf.DUMMYFUNCTION("""COMPUTED_VALUE"""),278.4)</f>
        <v>278.4</v>
      </c>
      <c r="BG410" s="71">
        <f>IFERROR(__xludf.DUMMYFUNCTION("""COMPUTED_VALUE"""),0.048034934497816595)</f>
        <v>0.0480349345</v>
      </c>
      <c r="BH410" s="71">
        <f>IFERROR(__xludf.DUMMYFUNCTION("""COMPUTED_VALUE"""),228.0)</f>
        <v>228</v>
      </c>
      <c r="BI410" s="71">
        <f>IFERROR(__xludf.DUMMYFUNCTION("""COMPUTED_VALUE"""),36.480000000000004)</f>
        <v>36.48</v>
      </c>
      <c r="BJ410" s="71">
        <f>IFERROR(__xludf.DUMMYFUNCTION("""COMPUTED_VALUE"""),264.48)</f>
        <v>264.48</v>
      </c>
      <c r="BK410" s="71">
        <f>IFERROR(__xludf.DUMMYFUNCTION("""COMPUTED_VALUE"""),216.0)</f>
        <v>216</v>
      </c>
      <c r="BL410" s="71">
        <f>IFERROR(__xludf.DUMMYFUNCTION("""COMPUTED_VALUE"""),34.56)</f>
        <v>34.56</v>
      </c>
      <c r="BM410" s="71">
        <f>IFERROR(__xludf.DUMMYFUNCTION("""COMPUTED_VALUE"""),250.56)</f>
        <v>250.56</v>
      </c>
      <c r="BN410" s="71">
        <f>IFERROR(__xludf.DUMMYFUNCTION("""COMPUTED_VALUE"""),204.0)</f>
        <v>204</v>
      </c>
      <c r="BO410" s="71">
        <f>IFERROR(__xludf.DUMMYFUNCTION("""COMPUTED_VALUE"""),32.64)</f>
        <v>32.64</v>
      </c>
      <c r="BP410" s="71">
        <f>IFERROR(__xludf.DUMMYFUNCTION("""COMPUTED_VALUE"""),236.64)</f>
        <v>236.64</v>
      </c>
      <c r="BQ410" s="71">
        <f>IFERROR(__xludf.DUMMYFUNCTION("""COMPUTED_VALUE"""),199.2)</f>
        <v>199.2</v>
      </c>
      <c r="BR410" s="71">
        <f>IFERROR(__xludf.DUMMYFUNCTION("""COMPUTED_VALUE"""),31.872)</f>
        <v>31.872</v>
      </c>
      <c r="BS410" s="71">
        <f>IFERROR(__xludf.DUMMYFUNCTION("""COMPUTED_VALUE"""),231.072)</f>
        <v>231.072</v>
      </c>
      <c r="BT410" s="71">
        <f>IFERROR(__xludf.DUMMYFUNCTION("""COMPUTED_VALUE"""),192.0)</f>
        <v>192</v>
      </c>
      <c r="BU410" s="71">
        <f>IFERROR(__xludf.DUMMYFUNCTION("""COMPUTED_VALUE"""),30.72)</f>
        <v>30.72</v>
      </c>
      <c r="BV410" s="71">
        <f>IFERROR(__xludf.DUMMYFUNCTION("""COMPUTED_VALUE"""),222.72)</f>
        <v>222.72</v>
      </c>
    </row>
    <row r="411">
      <c r="A411" s="53">
        <v>1.0</v>
      </c>
      <c r="B411" s="72"/>
      <c r="C411" s="73" t="s">
        <v>53</v>
      </c>
      <c r="D411" s="74" t="s">
        <v>1049</v>
      </c>
      <c r="E411" s="54" t="s">
        <v>38</v>
      </c>
      <c r="F411" s="54" t="s">
        <v>42</v>
      </c>
      <c r="G411" s="88" t="s">
        <v>1050</v>
      </c>
      <c r="H411" s="54" t="s">
        <v>1051</v>
      </c>
      <c r="I411" s="54">
        <f t="shared" si="1"/>
        <v>37</v>
      </c>
      <c r="J411" s="56"/>
      <c r="K411" s="75"/>
      <c r="L411" s="76"/>
      <c r="M411" s="59"/>
      <c r="N411" s="60">
        <v>533.0</v>
      </c>
      <c r="O411" s="61">
        <v>575.0</v>
      </c>
      <c r="P411" s="62">
        <v>621.0</v>
      </c>
      <c r="Q411" s="63">
        <v>621.0</v>
      </c>
      <c r="R411" s="64">
        <v>692.0</v>
      </c>
      <c r="S411" s="111">
        <v>727.0</v>
      </c>
      <c r="T411" s="65">
        <f t="shared" si="2"/>
        <v>116.32</v>
      </c>
      <c r="U411" s="65">
        <f t="shared" si="3"/>
        <v>843.32</v>
      </c>
      <c r="V411" s="66">
        <f t="shared" si="4"/>
        <v>0.05057803468</v>
      </c>
      <c r="W411" s="67">
        <f t="shared" si="5"/>
        <v>690.65</v>
      </c>
      <c r="X411" s="67">
        <f t="shared" si="6"/>
        <v>110.504</v>
      </c>
      <c r="Y411" s="67">
        <f t="shared" si="7"/>
        <v>801.154</v>
      </c>
      <c r="Z411" s="67">
        <f t="shared" si="8"/>
        <v>654.3</v>
      </c>
      <c r="AA411" s="67">
        <f t="shared" si="9"/>
        <v>104.688</v>
      </c>
      <c r="AB411" s="67">
        <f t="shared" si="10"/>
        <v>758.988</v>
      </c>
      <c r="AC411" s="67">
        <f t="shared" si="11"/>
        <v>617.95</v>
      </c>
      <c r="AD411" s="67">
        <f t="shared" si="12"/>
        <v>98.872</v>
      </c>
      <c r="AE411" s="67">
        <f t="shared" si="13"/>
        <v>716.822</v>
      </c>
      <c r="AF411" s="67">
        <f t="shared" si="14"/>
        <v>603.41</v>
      </c>
      <c r="AG411" s="67">
        <f t="shared" si="15"/>
        <v>96.5456</v>
      </c>
      <c r="AH411" s="67">
        <f t="shared" si="16"/>
        <v>699.9556</v>
      </c>
      <c r="AI411" s="67">
        <f t="shared" si="17"/>
        <v>581.6</v>
      </c>
      <c r="AJ411" s="68">
        <f t="shared" si="20"/>
        <v>93.056</v>
      </c>
      <c r="AK411" s="68">
        <f t="shared" si="21"/>
        <v>674.656</v>
      </c>
      <c r="AL411" s="70">
        <f>IFERROR(__xludf.DUMMYFUNCTION("""COMPUTED_VALUE"""),1.0)</f>
        <v>1</v>
      </c>
      <c r="AM411" s="70"/>
      <c r="AN411" s="71" t="str">
        <f>IFERROR(__xludf.DUMMYFUNCTION("""COMPUTED_VALUE""")," CP")</f>
        <v>CP</v>
      </c>
      <c r="AO411" s="71" t="str">
        <f>IFERROR(__xludf.DUMMYFUNCTION("""COMPUTED_VALUE""")," CA70")</f>
        <v>CA70</v>
      </c>
      <c r="AP411" s="71" t="str">
        <f>IFERROR(__xludf.DUMMYFUNCTION("""COMPUTED_VALUE""")," PZA")</f>
        <v>PZA</v>
      </c>
      <c r="AQ411" s="71" t="str">
        <f>IFERROR(__xludf.DUMMYFUNCTION("""COMPUTED_VALUE""")," REF")</f>
        <v>REF</v>
      </c>
      <c r="AR411" s="71" t="str">
        <f>IFERROR(__xludf.DUMMYFUNCTION("""COMPUTED_VALUE""")," CATARINA 50B24 E.15/16""")</f>
        <v>CATARINA 50B24 E.15/16"</v>
      </c>
      <c r="AS411" s="71" t="str">
        <f>IFERROR(__xludf.DUMMYFUNCTION("""COMPUTED_VALUE""")," CATARINA 50B24 E.15/16""")</f>
        <v>CATARINA 50B24 E.15/16"</v>
      </c>
      <c r="AT411" s="71">
        <f>IFERROR(__xludf.DUMMYFUNCTION("""COMPUTED_VALUE"""),23.0)</f>
        <v>23</v>
      </c>
      <c r="AU411" s="71"/>
      <c r="AV411" s="71"/>
      <c r="AW411" s="71"/>
      <c r="AX411" s="71"/>
      <c r="AY411" s="71">
        <f>IFERROR(__xludf.DUMMYFUNCTION("""COMPUTED_VALUE"""),339.0)</f>
        <v>339</v>
      </c>
      <c r="AZ411" s="71">
        <f>IFERROR(__xludf.DUMMYFUNCTION("""COMPUTED_VALUE"""),366.0)</f>
        <v>366</v>
      </c>
      <c r="BA411" s="71">
        <f>IFERROR(__xludf.DUMMYFUNCTION("""COMPUTED_VALUE"""),160.0)</f>
        <v>160</v>
      </c>
      <c r="BB411" s="71">
        <f>IFERROR(__xludf.DUMMYFUNCTION("""COMPUTED_VALUE"""),160.0)</f>
        <v>160</v>
      </c>
      <c r="BC411" s="71">
        <f>IFERROR(__xludf.DUMMYFUNCTION("""COMPUTED_VALUE"""),229.0)</f>
        <v>229</v>
      </c>
      <c r="BD411" s="71">
        <f>IFERROR(__xludf.DUMMYFUNCTION("""COMPUTED_VALUE"""),240.0)</f>
        <v>240</v>
      </c>
      <c r="BE411" s="71">
        <f>IFERROR(__xludf.DUMMYFUNCTION("""COMPUTED_VALUE"""),38.4)</f>
        <v>38.4</v>
      </c>
      <c r="BF411" s="71">
        <f>IFERROR(__xludf.DUMMYFUNCTION("""COMPUTED_VALUE"""),278.4)</f>
        <v>278.4</v>
      </c>
      <c r="BG411" s="71">
        <f>IFERROR(__xludf.DUMMYFUNCTION("""COMPUTED_VALUE"""),0.048034934497816595)</f>
        <v>0.0480349345</v>
      </c>
      <c r="BH411" s="71">
        <f>IFERROR(__xludf.DUMMYFUNCTION("""COMPUTED_VALUE"""),228.0)</f>
        <v>228</v>
      </c>
      <c r="BI411" s="71">
        <f>IFERROR(__xludf.DUMMYFUNCTION("""COMPUTED_VALUE"""),36.480000000000004)</f>
        <v>36.48</v>
      </c>
      <c r="BJ411" s="71">
        <f>IFERROR(__xludf.DUMMYFUNCTION("""COMPUTED_VALUE"""),264.48)</f>
        <v>264.48</v>
      </c>
      <c r="BK411" s="71">
        <f>IFERROR(__xludf.DUMMYFUNCTION("""COMPUTED_VALUE"""),216.0)</f>
        <v>216</v>
      </c>
      <c r="BL411" s="71">
        <f>IFERROR(__xludf.DUMMYFUNCTION("""COMPUTED_VALUE"""),34.56)</f>
        <v>34.56</v>
      </c>
      <c r="BM411" s="71">
        <f>IFERROR(__xludf.DUMMYFUNCTION("""COMPUTED_VALUE"""),250.56)</f>
        <v>250.56</v>
      </c>
      <c r="BN411" s="71">
        <f>IFERROR(__xludf.DUMMYFUNCTION("""COMPUTED_VALUE"""),204.0)</f>
        <v>204</v>
      </c>
      <c r="BO411" s="71">
        <f>IFERROR(__xludf.DUMMYFUNCTION("""COMPUTED_VALUE"""),32.64)</f>
        <v>32.64</v>
      </c>
      <c r="BP411" s="71">
        <f>IFERROR(__xludf.DUMMYFUNCTION("""COMPUTED_VALUE"""),236.64)</f>
        <v>236.64</v>
      </c>
      <c r="BQ411" s="71">
        <f>IFERROR(__xludf.DUMMYFUNCTION("""COMPUTED_VALUE"""),199.2)</f>
        <v>199.2</v>
      </c>
      <c r="BR411" s="71">
        <f>IFERROR(__xludf.DUMMYFUNCTION("""COMPUTED_VALUE"""),31.872)</f>
        <v>31.872</v>
      </c>
      <c r="BS411" s="71">
        <f>IFERROR(__xludf.DUMMYFUNCTION("""COMPUTED_VALUE"""),231.072)</f>
        <v>231.072</v>
      </c>
      <c r="BT411" s="71">
        <f>IFERROR(__xludf.DUMMYFUNCTION("""COMPUTED_VALUE"""),192.0)</f>
        <v>192</v>
      </c>
      <c r="BU411" s="71">
        <f>IFERROR(__xludf.DUMMYFUNCTION("""COMPUTED_VALUE"""),30.72)</f>
        <v>30.72</v>
      </c>
      <c r="BV411" s="71">
        <f>IFERROR(__xludf.DUMMYFUNCTION("""COMPUTED_VALUE"""),222.72)</f>
        <v>222.72</v>
      </c>
    </row>
    <row r="412">
      <c r="A412" s="53">
        <v>1.0</v>
      </c>
      <c r="B412" s="72"/>
      <c r="C412" s="73" t="s">
        <v>53</v>
      </c>
      <c r="D412" s="74" t="s">
        <v>1052</v>
      </c>
      <c r="E412" s="54" t="s">
        <v>38</v>
      </c>
      <c r="F412" s="54" t="s">
        <v>42</v>
      </c>
      <c r="G412" s="88" t="s">
        <v>1053</v>
      </c>
      <c r="H412" s="54" t="s">
        <v>1054</v>
      </c>
      <c r="I412" s="54">
        <f t="shared" si="1"/>
        <v>38</v>
      </c>
      <c r="J412" s="56"/>
      <c r="K412" s="75"/>
      <c r="L412" s="76"/>
      <c r="M412" s="59"/>
      <c r="N412" s="60">
        <v>533.0</v>
      </c>
      <c r="O412" s="61">
        <v>575.0</v>
      </c>
      <c r="P412" s="62">
        <v>621.0</v>
      </c>
      <c r="Q412" s="63">
        <v>621.0</v>
      </c>
      <c r="R412" s="64">
        <v>692.0</v>
      </c>
      <c r="S412" s="111">
        <v>727.0</v>
      </c>
      <c r="T412" s="65">
        <f t="shared" si="2"/>
        <v>116.32</v>
      </c>
      <c r="U412" s="65">
        <f t="shared" si="3"/>
        <v>843.32</v>
      </c>
      <c r="V412" s="66">
        <f t="shared" si="4"/>
        <v>0.05057803468</v>
      </c>
      <c r="W412" s="67">
        <f t="shared" si="5"/>
        <v>690.65</v>
      </c>
      <c r="X412" s="67">
        <f t="shared" si="6"/>
        <v>110.504</v>
      </c>
      <c r="Y412" s="67">
        <f t="shared" si="7"/>
        <v>801.154</v>
      </c>
      <c r="Z412" s="67">
        <f t="shared" si="8"/>
        <v>654.3</v>
      </c>
      <c r="AA412" s="67">
        <f t="shared" si="9"/>
        <v>104.688</v>
      </c>
      <c r="AB412" s="67">
        <f t="shared" si="10"/>
        <v>758.988</v>
      </c>
      <c r="AC412" s="67">
        <f t="shared" si="11"/>
        <v>617.95</v>
      </c>
      <c r="AD412" s="67">
        <f t="shared" si="12"/>
        <v>98.872</v>
      </c>
      <c r="AE412" s="67">
        <f t="shared" si="13"/>
        <v>716.822</v>
      </c>
      <c r="AF412" s="67">
        <f t="shared" si="14"/>
        <v>603.41</v>
      </c>
      <c r="AG412" s="67">
        <f t="shared" si="15"/>
        <v>96.5456</v>
      </c>
      <c r="AH412" s="67">
        <f t="shared" si="16"/>
        <v>699.9556</v>
      </c>
      <c r="AI412" s="67">
        <f t="shared" si="17"/>
        <v>581.6</v>
      </c>
      <c r="AJ412" s="68">
        <f t="shared" si="20"/>
        <v>93.056</v>
      </c>
      <c r="AK412" s="68">
        <f t="shared" si="21"/>
        <v>674.656</v>
      </c>
      <c r="AL412" s="70">
        <f>IFERROR(__xludf.DUMMYFUNCTION("""COMPUTED_VALUE"""),1.0)</f>
        <v>1</v>
      </c>
      <c r="AM412" s="70"/>
      <c r="AN412" s="71"/>
      <c r="AO412" s="71" t="str">
        <f>IFERROR(__xludf.DUMMYFUNCTION("""COMPUTED_VALUE""")," CA116")</f>
        <v>CA116</v>
      </c>
      <c r="AP412" s="71" t="str">
        <f>IFERROR(__xludf.DUMMYFUNCTION("""COMPUTED_VALUE""")," PZA")</f>
        <v>PZA</v>
      </c>
      <c r="AQ412" s="71" t="str">
        <f>IFERROR(__xludf.DUMMYFUNCTION("""COMPUTED_VALUE""")," REF")</f>
        <v>REF</v>
      </c>
      <c r="AR412" s="71" t="str">
        <f>IFERROR(__xludf.DUMMYFUNCTION("""COMPUTED_VALUE""")," CATARINA 50B33 E.1-1/4"" C.1/4")</f>
        <v>CATARINA 50B33 E.1-1/4" C.1/4</v>
      </c>
      <c r="AS412" s="71" t="str">
        <f>IFERROR(__xludf.DUMMYFUNCTION("""COMPUTED_VALUE""")," CATARINA 50B33 E.1-1/4"" C.1/4")</f>
        <v>CATARINA 50B33 E.1-1/4" C.1/4</v>
      </c>
      <c r="AT412" s="71">
        <f>IFERROR(__xludf.DUMMYFUNCTION("""COMPUTED_VALUE"""),29.0)</f>
        <v>29</v>
      </c>
      <c r="AU412" s="71"/>
      <c r="AV412" s="71"/>
      <c r="AW412" s="71"/>
      <c r="AX412" s="71"/>
      <c r="AY412" s="71"/>
      <c r="AZ412" s="71"/>
      <c r="BA412" s="71">
        <f>IFERROR(__xludf.DUMMYFUNCTION("""COMPUTED_VALUE"""),250.0)</f>
        <v>250</v>
      </c>
      <c r="BB412" s="71">
        <f>IFERROR(__xludf.DUMMYFUNCTION("""COMPUTED_VALUE"""),250.0)</f>
        <v>250</v>
      </c>
      <c r="BC412" s="71">
        <f>IFERROR(__xludf.DUMMYFUNCTION("""COMPUTED_VALUE"""),270.0)</f>
        <v>270</v>
      </c>
      <c r="BD412" s="71">
        <f>IFERROR(__xludf.DUMMYFUNCTION("""COMPUTED_VALUE"""),284.0)</f>
        <v>284</v>
      </c>
      <c r="BE412" s="71">
        <f>IFERROR(__xludf.DUMMYFUNCTION("""COMPUTED_VALUE"""),45.44)</f>
        <v>45.44</v>
      </c>
      <c r="BF412" s="71">
        <f>IFERROR(__xludf.DUMMYFUNCTION("""COMPUTED_VALUE"""),329.44)</f>
        <v>329.44</v>
      </c>
      <c r="BG412" s="71">
        <f>IFERROR(__xludf.DUMMYFUNCTION("""COMPUTED_VALUE"""),0.05185185185185185)</f>
        <v>0.05185185185</v>
      </c>
      <c r="BH412" s="71">
        <f>IFERROR(__xludf.DUMMYFUNCTION("""COMPUTED_VALUE"""),269.8)</f>
        <v>269.8</v>
      </c>
      <c r="BI412" s="71">
        <f>IFERROR(__xludf.DUMMYFUNCTION("""COMPUTED_VALUE"""),43.168)</f>
        <v>43.168</v>
      </c>
      <c r="BJ412" s="71">
        <f>IFERROR(__xludf.DUMMYFUNCTION("""COMPUTED_VALUE"""),312.968)</f>
        <v>312.968</v>
      </c>
      <c r="BK412" s="71">
        <f>IFERROR(__xludf.DUMMYFUNCTION("""COMPUTED_VALUE"""),255.6)</f>
        <v>255.6</v>
      </c>
      <c r="BL412" s="71">
        <f>IFERROR(__xludf.DUMMYFUNCTION("""COMPUTED_VALUE"""),40.896)</f>
        <v>40.896</v>
      </c>
      <c r="BM412" s="71">
        <f>IFERROR(__xludf.DUMMYFUNCTION("""COMPUTED_VALUE"""),296.496)</f>
        <v>296.496</v>
      </c>
      <c r="BN412" s="71">
        <f>IFERROR(__xludf.DUMMYFUNCTION("""COMPUTED_VALUE"""),241.4)</f>
        <v>241.4</v>
      </c>
      <c r="BO412" s="71">
        <f>IFERROR(__xludf.DUMMYFUNCTION("""COMPUTED_VALUE"""),38.624)</f>
        <v>38.624</v>
      </c>
      <c r="BP412" s="71">
        <f>IFERROR(__xludf.DUMMYFUNCTION("""COMPUTED_VALUE"""),280.024)</f>
        <v>280.024</v>
      </c>
      <c r="BQ412" s="71">
        <f>IFERROR(__xludf.DUMMYFUNCTION("""COMPUTED_VALUE"""),235.72)</f>
        <v>235.72</v>
      </c>
      <c r="BR412" s="71">
        <f>IFERROR(__xludf.DUMMYFUNCTION("""COMPUTED_VALUE"""),37.7152)</f>
        <v>37.7152</v>
      </c>
      <c r="BS412" s="71">
        <f>IFERROR(__xludf.DUMMYFUNCTION("""COMPUTED_VALUE"""),273.4352)</f>
        <v>273.4352</v>
      </c>
      <c r="BT412" s="71">
        <f>IFERROR(__xludf.DUMMYFUNCTION("""COMPUTED_VALUE"""),227.20000000000002)</f>
        <v>227.2</v>
      </c>
      <c r="BU412" s="71">
        <f>IFERROR(__xludf.DUMMYFUNCTION("""COMPUTED_VALUE"""),36.352000000000004)</f>
        <v>36.352</v>
      </c>
      <c r="BV412" s="71">
        <f>IFERROR(__xludf.DUMMYFUNCTION("""COMPUTED_VALUE"""),263.552)</f>
        <v>263.552</v>
      </c>
    </row>
    <row r="413">
      <c r="A413" s="53">
        <v>1.0</v>
      </c>
      <c r="B413" s="72"/>
      <c r="C413" s="73" t="s">
        <v>53</v>
      </c>
      <c r="D413" s="74" t="s">
        <v>1055</v>
      </c>
      <c r="E413" s="54" t="s">
        <v>38</v>
      </c>
      <c r="F413" s="54" t="s">
        <v>42</v>
      </c>
      <c r="G413" s="88" t="s">
        <v>1056</v>
      </c>
      <c r="H413" s="54" t="s">
        <v>1056</v>
      </c>
      <c r="I413" s="54">
        <f t="shared" si="1"/>
        <v>28</v>
      </c>
      <c r="J413" s="56"/>
      <c r="K413" s="75"/>
      <c r="L413" s="76"/>
      <c r="M413" s="59"/>
      <c r="N413" s="60">
        <v>30.0</v>
      </c>
      <c r="O413" s="61">
        <v>34.0</v>
      </c>
      <c r="P413" s="62">
        <v>36.72</v>
      </c>
      <c r="Q413" s="63">
        <v>36.72</v>
      </c>
      <c r="R413" s="64">
        <v>43.0</v>
      </c>
      <c r="S413" s="111">
        <v>45.0</v>
      </c>
      <c r="T413" s="65">
        <f t="shared" si="2"/>
        <v>7.2</v>
      </c>
      <c r="U413" s="65">
        <f t="shared" si="3"/>
        <v>52.2</v>
      </c>
      <c r="V413" s="66">
        <f t="shared" si="4"/>
        <v>0.04651162791</v>
      </c>
      <c r="W413" s="67">
        <f t="shared" si="5"/>
        <v>42.75</v>
      </c>
      <c r="X413" s="67">
        <f t="shared" si="6"/>
        <v>6.84</v>
      </c>
      <c r="Y413" s="67">
        <f t="shared" si="7"/>
        <v>49.59</v>
      </c>
      <c r="Z413" s="67">
        <f t="shared" si="8"/>
        <v>40.5</v>
      </c>
      <c r="AA413" s="67">
        <f t="shared" si="9"/>
        <v>6.48</v>
      </c>
      <c r="AB413" s="67">
        <f t="shared" si="10"/>
        <v>46.98</v>
      </c>
      <c r="AC413" s="67">
        <f t="shared" si="11"/>
        <v>38.25</v>
      </c>
      <c r="AD413" s="67">
        <f t="shared" si="12"/>
        <v>6.12</v>
      </c>
      <c r="AE413" s="67">
        <f t="shared" si="13"/>
        <v>44.37</v>
      </c>
      <c r="AF413" s="67">
        <f t="shared" si="14"/>
        <v>37.35</v>
      </c>
      <c r="AG413" s="67">
        <f t="shared" si="15"/>
        <v>5.976</v>
      </c>
      <c r="AH413" s="67">
        <f t="shared" si="16"/>
        <v>43.326</v>
      </c>
      <c r="AI413" s="67">
        <f t="shared" si="17"/>
        <v>36</v>
      </c>
      <c r="AJ413" s="68">
        <f t="shared" si="20"/>
        <v>5.76</v>
      </c>
      <c r="AK413" s="68">
        <f t="shared" si="21"/>
        <v>41.76</v>
      </c>
      <c r="AL413" s="70">
        <f>IFERROR(__xludf.DUMMYFUNCTION("""COMPUTED_VALUE"""),1.0)</f>
        <v>1</v>
      </c>
      <c r="AM413" s="70"/>
      <c r="AN413" s="71"/>
      <c r="AO413" s="71" t="str">
        <f>IFERROR(__xludf.DUMMYFUNCTION("""COMPUTED_VALUE""")," CA117")</f>
        <v>CA117</v>
      </c>
      <c r="AP413" s="71" t="str">
        <f>IFERROR(__xludf.DUMMYFUNCTION("""COMPUTED_VALUE""")," PZA")</f>
        <v>PZA</v>
      </c>
      <c r="AQ413" s="71" t="str">
        <f>IFERROR(__xludf.DUMMYFUNCTION("""COMPUTED_VALUE""")," REF")</f>
        <v>REF</v>
      </c>
      <c r="AR413" s="71" t="str">
        <f>IFERROR(__xludf.DUMMYFUNCTION("""COMPUTED_VALUE""")," CATARINA 50B33 E.1"" C.1/4")</f>
        <v>CATARINA 50B33 E.1" C.1/4</v>
      </c>
      <c r="AS413" s="71" t="str">
        <f>IFERROR(__xludf.DUMMYFUNCTION("""COMPUTED_VALUE""")," CATARINA 50B33 E.1"" C.1/4")</f>
        <v>CATARINA 50B33 E.1" C.1/4</v>
      </c>
      <c r="AT413" s="71">
        <f>IFERROR(__xludf.DUMMYFUNCTION("""COMPUTED_VALUE"""),25.0)</f>
        <v>25</v>
      </c>
      <c r="AU413" s="71"/>
      <c r="AV413" s="71"/>
      <c r="AW413" s="71"/>
      <c r="AX413" s="71"/>
      <c r="AY413" s="71"/>
      <c r="AZ413" s="71"/>
      <c r="BA413" s="71">
        <f>IFERROR(__xludf.DUMMYFUNCTION("""COMPUTED_VALUE"""),250.0)</f>
        <v>250</v>
      </c>
      <c r="BB413" s="71">
        <f>IFERROR(__xludf.DUMMYFUNCTION("""COMPUTED_VALUE"""),250.0)</f>
        <v>250</v>
      </c>
      <c r="BC413" s="71">
        <f>IFERROR(__xludf.DUMMYFUNCTION("""COMPUTED_VALUE"""),270.0)</f>
        <v>270</v>
      </c>
      <c r="BD413" s="71">
        <f>IFERROR(__xludf.DUMMYFUNCTION("""COMPUTED_VALUE"""),284.0)</f>
        <v>284</v>
      </c>
      <c r="BE413" s="71">
        <f>IFERROR(__xludf.DUMMYFUNCTION("""COMPUTED_VALUE"""),45.44)</f>
        <v>45.44</v>
      </c>
      <c r="BF413" s="71">
        <f>IFERROR(__xludf.DUMMYFUNCTION("""COMPUTED_VALUE"""),329.44)</f>
        <v>329.44</v>
      </c>
      <c r="BG413" s="71">
        <f>IFERROR(__xludf.DUMMYFUNCTION("""COMPUTED_VALUE"""),0.05185185185185185)</f>
        <v>0.05185185185</v>
      </c>
      <c r="BH413" s="71">
        <f>IFERROR(__xludf.DUMMYFUNCTION("""COMPUTED_VALUE"""),269.8)</f>
        <v>269.8</v>
      </c>
      <c r="BI413" s="71">
        <f>IFERROR(__xludf.DUMMYFUNCTION("""COMPUTED_VALUE"""),43.168)</f>
        <v>43.168</v>
      </c>
      <c r="BJ413" s="71">
        <f>IFERROR(__xludf.DUMMYFUNCTION("""COMPUTED_VALUE"""),312.968)</f>
        <v>312.968</v>
      </c>
      <c r="BK413" s="71">
        <f>IFERROR(__xludf.DUMMYFUNCTION("""COMPUTED_VALUE"""),255.6)</f>
        <v>255.6</v>
      </c>
      <c r="BL413" s="71">
        <f>IFERROR(__xludf.DUMMYFUNCTION("""COMPUTED_VALUE"""),40.896)</f>
        <v>40.896</v>
      </c>
      <c r="BM413" s="71">
        <f>IFERROR(__xludf.DUMMYFUNCTION("""COMPUTED_VALUE"""),296.496)</f>
        <v>296.496</v>
      </c>
      <c r="BN413" s="71">
        <f>IFERROR(__xludf.DUMMYFUNCTION("""COMPUTED_VALUE"""),241.4)</f>
        <v>241.4</v>
      </c>
      <c r="BO413" s="71">
        <f>IFERROR(__xludf.DUMMYFUNCTION("""COMPUTED_VALUE"""),38.624)</f>
        <v>38.624</v>
      </c>
      <c r="BP413" s="71">
        <f>IFERROR(__xludf.DUMMYFUNCTION("""COMPUTED_VALUE"""),280.024)</f>
        <v>280.024</v>
      </c>
      <c r="BQ413" s="71">
        <f>IFERROR(__xludf.DUMMYFUNCTION("""COMPUTED_VALUE"""),235.72)</f>
        <v>235.72</v>
      </c>
      <c r="BR413" s="71">
        <f>IFERROR(__xludf.DUMMYFUNCTION("""COMPUTED_VALUE"""),37.7152)</f>
        <v>37.7152</v>
      </c>
      <c r="BS413" s="71">
        <f>IFERROR(__xludf.DUMMYFUNCTION("""COMPUTED_VALUE"""),273.4352)</f>
        <v>273.4352</v>
      </c>
      <c r="BT413" s="71">
        <f>IFERROR(__xludf.DUMMYFUNCTION("""COMPUTED_VALUE"""),227.20000000000002)</f>
        <v>227.2</v>
      </c>
      <c r="BU413" s="71">
        <f>IFERROR(__xludf.DUMMYFUNCTION("""COMPUTED_VALUE"""),36.352000000000004)</f>
        <v>36.352</v>
      </c>
      <c r="BV413" s="71">
        <f>IFERROR(__xludf.DUMMYFUNCTION("""COMPUTED_VALUE"""),263.552)</f>
        <v>263.552</v>
      </c>
    </row>
    <row r="414">
      <c r="A414" s="53">
        <v>1.0</v>
      </c>
      <c r="B414" s="72"/>
      <c r="C414" s="73" t="s">
        <v>53</v>
      </c>
      <c r="D414" s="74" t="s">
        <v>1057</v>
      </c>
      <c r="E414" s="54" t="s">
        <v>38</v>
      </c>
      <c r="F414" s="54" t="s">
        <v>42</v>
      </c>
      <c r="G414" s="88" t="s">
        <v>1058</v>
      </c>
      <c r="H414" s="54" t="s">
        <v>1059</v>
      </c>
      <c r="I414" s="54">
        <f t="shared" si="1"/>
        <v>39</v>
      </c>
      <c r="J414" s="56"/>
      <c r="K414" s="75"/>
      <c r="L414" s="76"/>
      <c r="M414" s="59"/>
      <c r="N414" s="60">
        <v>100.0</v>
      </c>
      <c r="O414" s="61">
        <v>108.0</v>
      </c>
      <c r="P414" s="62">
        <v>116.64000000000001</v>
      </c>
      <c r="Q414" s="63">
        <v>116.64000000000001</v>
      </c>
      <c r="R414" s="64">
        <v>134.0</v>
      </c>
      <c r="S414" s="111">
        <v>141.0</v>
      </c>
      <c r="T414" s="65">
        <f t="shared" si="2"/>
        <v>22.56</v>
      </c>
      <c r="U414" s="65">
        <f t="shared" si="3"/>
        <v>163.56</v>
      </c>
      <c r="V414" s="66">
        <f t="shared" si="4"/>
        <v>0.05223880597</v>
      </c>
      <c r="W414" s="67">
        <f t="shared" si="5"/>
        <v>133.95</v>
      </c>
      <c r="X414" s="67">
        <f t="shared" si="6"/>
        <v>21.432</v>
      </c>
      <c r="Y414" s="67">
        <f t="shared" si="7"/>
        <v>155.382</v>
      </c>
      <c r="Z414" s="67">
        <f t="shared" si="8"/>
        <v>126.9</v>
      </c>
      <c r="AA414" s="67">
        <f t="shared" si="9"/>
        <v>20.304</v>
      </c>
      <c r="AB414" s="67">
        <f t="shared" si="10"/>
        <v>147.204</v>
      </c>
      <c r="AC414" s="67">
        <f t="shared" si="11"/>
        <v>119.85</v>
      </c>
      <c r="AD414" s="67">
        <f t="shared" si="12"/>
        <v>19.176</v>
      </c>
      <c r="AE414" s="67">
        <f t="shared" si="13"/>
        <v>139.026</v>
      </c>
      <c r="AF414" s="67">
        <f t="shared" si="14"/>
        <v>117.03</v>
      </c>
      <c r="AG414" s="67">
        <f t="shared" si="15"/>
        <v>18.7248</v>
      </c>
      <c r="AH414" s="67">
        <f t="shared" si="16"/>
        <v>135.7548</v>
      </c>
      <c r="AI414" s="67">
        <f t="shared" si="17"/>
        <v>112.8</v>
      </c>
      <c r="AJ414" s="68">
        <f t="shared" si="20"/>
        <v>18.048</v>
      </c>
      <c r="AK414" s="68">
        <f t="shared" si="21"/>
        <v>130.848</v>
      </c>
      <c r="AL414" s="70">
        <f>IFERROR(__xludf.DUMMYFUNCTION("""COMPUTED_VALUE"""),1.0)</f>
        <v>1</v>
      </c>
      <c r="AM414" s="70"/>
      <c r="AN414" s="71"/>
      <c r="AO414" s="71" t="str">
        <f>IFERROR(__xludf.DUMMYFUNCTION("""COMPUTED_VALUE""")," CA118")</f>
        <v>CA118</v>
      </c>
      <c r="AP414" s="71" t="str">
        <f>IFERROR(__xludf.DUMMYFUNCTION("""COMPUTED_VALUE""")," PZA")</f>
        <v>PZA</v>
      </c>
      <c r="AQ414" s="71" t="str">
        <f>IFERROR(__xludf.DUMMYFUNCTION("""COMPUTED_VALUE""")," REF")</f>
        <v>REF</v>
      </c>
      <c r="AR414" s="71" t="str">
        <f>IFERROR(__xludf.DUMMYFUNCTION("""COMPUTED_VALUE""")," CATARINA 50B36 E.1-1/4"" C.1/4")</f>
        <v>CATARINA 50B36 E.1-1/4" C.1/4</v>
      </c>
      <c r="AS414" s="71" t="str">
        <f>IFERROR(__xludf.DUMMYFUNCTION("""COMPUTED_VALUE""")," CATARINA 50B36 E.1-1/4"" C.1/4")</f>
        <v>CATARINA 50B36 E.1-1/4" C.1/4</v>
      </c>
      <c r="AT414" s="71">
        <f>IFERROR(__xludf.DUMMYFUNCTION("""COMPUTED_VALUE"""),29.0)</f>
        <v>29</v>
      </c>
      <c r="AU414" s="71"/>
      <c r="AV414" s="71"/>
      <c r="AW414" s="71"/>
      <c r="AX414" s="71"/>
      <c r="AY414" s="71"/>
      <c r="AZ414" s="71"/>
      <c r="BA414" s="71">
        <f>IFERROR(__xludf.DUMMYFUNCTION("""COMPUTED_VALUE"""),280.0)</f>
        <v>280</v>
      </c>
      <c r="BB414" s="71">
        <f>IFERROR(__xludf.DUMMYFUNCTION("""COMPUTED_VALUE"""),280.0)</f>
        <v>280</v>
      </c>
      <c r="BC414" s="71">
        <f>IFERROR(__xludf.DUMMYFUNCTION("""COMPUTED_VALUE"""),303.0)</f>
        <v>303</v>
      </c>
      <c r="BD414" s="71">
        <f>IFERROR(__xludf.DUMMYFUNCTION("""COMPUTED_VALUE"""),318.0)</f>
        <v>318</v>
      </c>
      <c r="BE414" s="71">
        <f>IFERROR(__xludf.DUMMYFUNCTION("""COMPUTED_VALUE"""),50.88)</f>
        <v>50.88</v>
      </c>
      <c r="BF414" s="71">
        <f>IFERROR(__xludf.DUMMYFUNCTION("""COMPUTED_VALUE"""),368.88)</f>
        <v>368.88</v>
      </c>
      <c r="BG414" s="71">
        <f>IFERROR(__xludf.DUMMYFUNCTION("""COMPUTED_VALUE"""),0.04950495049504951)</f>
        <v>0.0495049505</v>
      </c>
      <c r="BH414" s="71">
        <f>IFERROR(__xludf.DUMMYFUNCTION("""COMPUTED_VALUE"""),302.09999999999997)</f>
        <v>302.1</v>
      </c>
      <c r="BI414" s="71">
        <f>IFERROR(__xludf.DUMMYFUNCTION("""COMPUTED_VALUE"""),48.336)</f>
        <v>48.336</v>
      </c>
      <c r="BJ414" s="71">
        <f>IFERROR(__xludf.DUMMYFUNCTION("""COMPUTED_VALUE"""),350.436)</f>
        <v>350.436</v>
      </c>
      <c r="BK414" s="71">
        <f>IFERROR(__xludf.DUMMYFUNCTION("""COMPUTED_VALUE"""),286.2)</f>
        <v>286.2</v>
      </c>
      <c r="BL414" s="71">
        <f>IFERROR(__xludf.DUMMYFUNCTION("""COMPUTED_VALUE"""),45.792)</f>
        <v>45.792</v>
      </c>
      <c r="BM414" s="71">
        <f>IFERROR(__xludf.DUMMYFUNCTION("""COMPUTED_VALUE"""),331.99199999999996)</f>
        <v>331.992</v>
      </c>
      <c r="BN414" s="71">
        <f>IFERROR(__xludf.DUMMYFUNCTION("""COMPUTED_VALUE"""),270.3)</f>
        <v>270.3</v>
      </c>
      <c r="BO414" s="71">
        <f>IFERROR(__xludf.DUMMYFUNCTION("""COMPUTED_VALUE"""),43.248000000000005)</f>
        <v>43.248</v>
      </c>
      <c r="BP414" s="71">
        <f>IFERROR(__xludf.DUMMYFUNCTION("""COMPUTED_VALUE"""),313.548)</f>
        <v>313.548</v>
      </c>
      <c r="BQ414" s="71">
        <f>IFERROR(__xludf.DUMMYFUNCTION("""COMPUTED_VALUE"""),263.94)</f>
        <v>263.94</v>
      </c>
      <c r="BR414" s="71">
        <f>IFERROR(__xludf.DUMMYFUNCTION("""COMPUTED_VALUE"""),42.2304)</f>
        <v>42.2304</v>
      </c>
      <c r="BS414" s="71">
        <f>IFERROR(__xludf.DUMMYFUNCTION("""COMPUTED_VALUE"""),306.1704)</f>
        <v>306.1704</v>
      </c>
      <c r="BT414" s="71">
        <f>IFERROR(__xludf.DUMMYFUNCTION("""COMPUTED_VALUE"""),254.4)</f>
        <v>254.4</v>
      </c>
      <c r="BU414" s="71">
        <f>IFERROR(__xludf.DUMMYFUNCTION("""COMPUTED_VALUE"""),40.704)</f>
        <v>40.704</v>
      </c>
      <c r="BV414" s="71">
        <f>IFERROR(__xludf.DUMMYFUNCTION("""COMPUTED_VALUE"""),295.104)</f>
        <v>295.104</v>
      </c>
    </row>
    <row r="415">
      <c r="A415" s="53">
        <v>1.0</v>
      </c>
      <c r="B415" s="72"/>
      <c r="C415" s="73" t="s">
        <v>53</v>
      </c>
      <c r="D415" s="74" t="s">
        <v>1060</v>
      </c>
      <c r="E415" s="54" t="s">
        <v>38</v>
      </c>
      <c r="F415" s="54" t="s">
        <v>42</v>
      </c>
      <c r="G415" s="88" t="s">
        <v>1061</v>
      </c>
      <c r="H415" s="54" t="s">
        <v>1061</v>
      </c>
      <c r="I415" s="54">
        <f t="shared" si="1"/>
        <v>36</v>
      </c>
      <c r="J415" s="56"/>
      <c r="K415" s="75"/>
      <c r="L415" s="76"/>
      <c r="M415" s="59"/>
      <c r="N415" s="60">
        <v>89.0</v>
      </c>
      <c r="O415" s="61">
        <v>96.0</v>
      </c>
      <c r="P415" s="62">
        <v>103.68</v>
      </c>
      <c r="Q415" s="63">
        <v>103.68</v>
      </c>
      <c r="R415" s="64">
        <v>119.0</v>
      </c>
      <c r="S415" s="111">
        <v>125.0</v>
      </c>
      <c r="T415" s="65">
        <f t="shared" si="2"/>
        <v>20</v>
      </c>
      <c r="U415" s="65">
        <f t="shared" si="3"/>
        <v>145</v>
      </c>
      <c r="V415" s="66">
        <f t="shared" si="4"/>
        <v>0.05042016807</v>
      </c>
      <c r="W415" s="67">
        <f t="shared" si="5"/>
        <v>118.75</v>
      </c>
      <c r="X415" s="67">
        <f t="shared" si="6"/>
        <v>19</v>
      </c>
      <c r="Y415" s="67">
        <f t="shared" si="7"/>
        <v>137.75</v>
      </c>
      <c r="Z415" s="67">
        <f t="shared" si="8"/>
        <v>112.5</v>
      </c>
      <c r="AA415" s="67">
        <f t="shared" si="9"/>
        <v>18</v>
      </c>
      <c r="AB415" s="67">
        <f t="shared" si="10"/>
        <v>130.5</v>
      </c>
      <c r="AC415" s="67">
        <f t="shared" si="11"/>
        <v>106.25</v>
      </c>
      <c r="AD415" s="67">
        <f t="shared" si="12"/>
        <v>17</v>
      </c>
      <c r="AE415" s="67">
        <f t="shared" si="13"/>
        <v>123.25</v>
      </c>
      <c r="AF415" s="67">
        <f t="shared" si="14"/>
        <v>103.75</v>
      </c>
      <c r="AG415" s="67">
        <f t="shared" si="15"/>
        <v>16.6</v>
      </c>
      <c r="AH415" s="67">
        <f t="shared" si="16"/>
        <v>120.35</v>
      </c>
      <c r="AI415" s="67">
        <f t="shared" si="17"/>
        <v>100</v>
      </c>
      <c r="AJ415" s="68">
        <f t="shared" si="20"/>
        <v>16</v>
      </c>
      <c r="AK415" s="68">
        <f t="shared" si="21"/>
        <v>116</v>
      </c>
      <c r="AL415" s="70">
        <f>IFERROR(__xludf.DUMMYFUNCTION("""COMPUTED_VALUE"""),1.0)</f>
        <v>1</v>
      </c>
      <c r="AM415" s="70"/>
      <c r="AN415" s="71"/>
      <c r="AO415" s="71" t="str">
        <f>IFERROR(__xludf.DUMMYFUNCTION("""COMPUTED_VALUE""")," CA121")</f>
        <v>CA121</v>
      </c>
      <c r="AP415" s="71" t="str">
        <f>IFERROR(__xludf.DUMMYFUNCTION("""COMPUTED_VALUE""")," PZA")</f>
        <v>PZA</v>
      </c>
      <c r="AQ415" s="71" t="str">
        <f>IFERROR(__xludf.DUMMYFUNCTION("""COMPUTED_VALUE""")," REF")</f>
        <v>REF</v>
      </c>
      <c r="AR415" s="71" t="str">
        <f>IFERROR(__xludf.DUMMYFUNCTION("""COMPUTED_VALUE""")," CATARINA 50B36 E.1"" C.1/4")</f>
        <v>CATARINA 50B36 E.1" C.1/4</v>
      </c>
      <c r="AS415" s="71" t="str">
        <f>IFERROR(__xludf.DUMMYFUNCTION("""COMPUTED_VALUE""")," CATARINA 50B36 E.1"" C.1/4")</f>
        <v>CATARINA 50B36 E.1" C.1/4</v>
      </c>
      <c r="AT415" s="71">
        <f>IFERROR(__xludf.DUMMYFUNCTION("""COMPUTED_VALUE"""),25.0)</f>
        <v>25</v>
      </c>
      <c r="AU415" s="71"/>
      <c r="AV415" s="71"/>
      <c r="AW415" s="71"/>
      <c r="AX415" s="71"/>
      <c r="AY415" s="71"/>
      <c r="AZ415" s="71"/>
      <c r="BA415" s="71">
        <f>IFERROR(__xludf.DUMMYFUNCTION("""COMPUTED_VALUE"""),280.0)</f>
        <v>280</v>
      </c>
      <c r="BB415" s="71">
        <f>IFERROR(__xludf.DUMMYFUNCTION("""COMPUTED_VALUE"""),280.0)</f>
        <v>280</v>
      </c>
      <c r="BC415" s="71">
        <f>IFERROR(__xludf.DUMMYFUNCTION("""COMPUTED_VALUE"""),303.0)</f>
        <v>303</v>
      </c>
      <c r="BD415" s="71">
        <f>IFERROR(__xludf.DUMMYFUNCTION("""COMPUTED_VALUE"""),318.0)</f>
        <v>318</v>
      </c>
      <c r="BE415" s="71">
        <f>IFERROR(__xludf.DUMMYFUNCTION("""COMPUTED_VALUE"""),50.88)</f>
        <v>50.88</v>
      </c>
      <c r="BF415" s="71">
        <f>IFERROR(__xludf.DUMMYFUNCTION("""COMPUTED_VALUE"""),368.88)</f>
        <v>368.88</v>
      </c>
      <c r="BG415" s="71">
        <f>IFERROR(__xludf.DUMMYFUNCTION("""COMPUTED_VALUE"""),0.04950495049504951)</f>
        <v>0.0495049505</v>
      </c>
      <c r="BH415" s="71">
        <f>IFERROR(__xludf.DUMMYFUNCTION("""COMPUTED_VALUE"""),302.09999999999997)</f>
        <v>302.1</v>
      </c>
      <c r="BI415" s="71">
        <f>IFERROR(__xludf.DUMMYFUNCTION("""COMPUTED_VALUE"""),48.336)</f>
        <v>48.336</v>
      </c>
      <c r="BJ415" s="71">
        <f>IFERROR(__xludf.DUMMYFUNCTION("""COMPUTED_VALUE"""),350.436)</f>
        <v>350.436</v>
      </c>
      <c r="BK415" s="71">
        <f>IFERROR(__xludf.DUMMYFUNCTION("""COMPUTED_VALUE"""),286.2)</f>
        <v>286.2</v>
      </c>
      <c r="BL415" s="71">
        <f>IFERROR(__xludf.DUMMYFUNCTION("""COMPUTED_VALUE"""),45.792)</f>
        <v>45.792</v>
      </c>
      <c r="BM415" s="71">
        <f>IFERROR(__xludf.DUMMYFUNCTION("""COMPUTED_VALUE"""),331.99199999999996)</f>
        <v>331.992</v>
      </c>
      <c r="BN415" s="71">
        <f>IFERROR(__xludf.DUMMYFUNCTION("""COMPUTED_VALUE"""),270.3)</f>
        <v>270.3</v>
      </c>
      <c r="BO415" s="71">
        <f>IFERROR(__xludf.DUMMYFUNCTION("""COMPUTED_VALUE"""),43.248000000000005)</f>
        <v>43.248</v>
      </c>
      <c r="BP415" s="71">
        <f>IFERROR(__xludf.DUMMYFUNCTION("""COMPUTED_VALUE"""),313.548)</f>
        <v>313.548</v>
      </c>
      <c r="BQ415" s="71">
        <f>IFERROR(__xludf.DUMMYFUNCTION("""COMPUTED_VALUE"""),263.94)</f>
        <v>263.94</v>
      </c>
      <c r="BR415" s="71">
        <f>IFERROR(__xludf.DUMMYFUNCTION("""COMPUTED_VALUE"""),42.2304)</f>
        <v>42.2304</v>
      </c>
      <c r="BS415" s="71">
        <f>IFERROR(__xludf.DUMMYFUNCTION("""COMPUTED_VALUE"""),306.1704)</f>
        <v>306.1704</v>
      </c>
      <c r="BT415" s="71">
        <f>IFERROR(__xludf.DUMMYFUNCTION("""COMPUTED_VALUE"""),254.4)</f>
        <v>254.4</v>
      </c>
      <c r="BU415" s="71">
        <f>IFERROR(__xludf.DUMMYFUNCTION("""COMPUTED_VALUE"""),40.704)</f>
        <v>40.704</v>
      </c>
      <c r="BV415" s="71">
        <f>IFERROR(__xludf.DUMMYFUNCTION("""COMPUTED_VALUE"""),295.104)</f>
        <v>295.104</v>
      </c>
    </row>
    <row r="416">
      <c r="A416" s="53"/>
      <c r="B416" s="53"/>
      <c r="C416" s="53" t="s">
        <v>36</v>
      </c>
      <c r="D416" s="85" t="s">
        <v>1062</v>
      </c>
      <c r="E416" s="54" t="s">
        <v>38</v>
      </c>
      <c r="F416" s="55" t="s">
        <v>39</v>
      </c>
      <c r="G416" s="86" t="s">
        <v>1063</v>
      </c>
      <c r="H416" s="55"/>
      <c r="I416" s="54">
        <f t="shared" si="1"/>
        <v>0</v>
      </c>
      <c r="J416" s="56"/>
      <c r="K416" s="57"/>
      <c r="L416" s="76"/>
      <c r="M416" s="59"/>
      <c r="N416" s="60"/>
      <c r="O416" s="61">
        <v>234.0</v>
      </c>
      <c r="P416" s="62">
        <v>252.72000000000003</v>
      </c>
      <c r="Q416" s="63">
        <v>252.72000000000003</v>
      </c>
      <c r="R416" s="64">
        <v>266.0</v>
      </c>
      <c r="S416" s="107">
        <v>279.0</v>
      </c>
      <c r="T416" s="65">
        <f t="shared" si="2"/>
        <v>44.64</v>
      </c>
      <c r="U416" s="65">
        <f t="shared" si="3"/>
        <v>323.64</v>
      </c>
      <c r="V416" s="66">
        <f t="shared" si="4"/>
        <v>0.04887218045</v>
      </c>
      <c r="W416" s="67">
        <f t="shared" si="5"/>
        <v>265.05</v>
      </c>
      <c r="X416" s="67">
        <f t="shared" si="6"/>
        <v>42.408</v>
      </c>
      <c r="Y416" s="67">
        <f t="shared" si="7"/>
        <v>307.458</v>
      </c>
      <c r="Z416" s="67">
        <f t="shared" si="8"/>
        <v>251.1</v>
      </c>
      <c r="AA416" s="67">
        <f t="shared" si="9"/>
        <v>40.176</v>
      </c>
      <c r="AB416" s="67">
        <f t="shared" si="10"/>
        <v>291.276</v>
      </c>
      <c r="AC416" s="67">
        <f t="shared" si="11"/>
        <v>237.15</v>
      </c>
      <c r="AD416" s="67">
        <f t="shared" si="12"/>
        <v>37.944</v>
      </c>
      <c r="AE416" s="67">
        <f t="shared" si="13"/>
        <v>275.094</v>
      </c>
      <c r="AF416" s="67">
        <f t="shared" si="14"/>
        <v>231.57</v>
      </c>
      <c r="AG416" s="67">
        <f t="shared" si="15"/>
        <v>37.0512</v>
      </c>
      <c r="AH416" s="67">
        <f t="shared" si="16"/>
        <v>268.6212</v>
      </c>
      <c r="AI416" s="67">
        <f t="shared" si="17"/>
        <v>223.2</v>
      </c>
      <c r="AJ416" s="68">
        <f t="shared" si="20"/>
        <v>35.712</v>
      </c>
      <c r="AK416" s="68">
        <f t="shared" si="21"/>
        <v>258.912</v>
      </c>
      <c r="AL416" s="70">
        <f>IFERROR(__xludf.DUMMYFUNCTION("""COMPUTED_VALUE"""),1.0)</f>
        <v>1</v>
      </c>
      <c r="AM416" s="70"/>
      <c r="AN416" s="71" t="str">
        <f>IFERROR(__xludf.DUMMYFUNCTION("""COMPUTED_VALUE""")," C")</f>
        <v>C</v>
      </c>
      <c r="AO416" s="71" t="str">
        <f>IFERROR(__xludf.DUMMYFUNCTION("""COMPUTED_VALUE""")," CA90")</f>
        <v>CA90</v>
      </c>
      <c r="AP416" s="71" t="str">
        <f>IFERROR(__xludf.DUMMYFUNCTION("""COMPUTED_VALUE""")," PZA")</f>
        <v>PZA</v>
      </c>
      <c r="AQ416" s="71" t="str">
        <f>IFERROR(__xludf.DUMMYFUNCTION("""COMPUTED_VALUE""")," REF")</f>
        <v>REF</v>
      </c>
      <c r="AR416" s="71" t="str">
        <f>IFERROR(__xludf.DUMMYFUNCTION("""COMPUTED_VALUE""")," CATARINA 50B70 E.1"" C.1/4")</f>
        <v>CATARINA 50B70 E.1" C.1/4</v>
      </c>
      <c r="AS416" s="71" t="str">
        <f>IFERROR(__xludf.DUMMYFUNCTION("""COMPUTED_VALUE""")," CATARINA 50B70 E.1"" C.1/4")</f>
        <v>CATARINA 50B70 E.1" C.1/4</v>
      </c>
      <c r="AT416" s="71">
        <f>IFERROR(__xludf.DUMMYFUNCTION("""COMPUTED_VALUE"""),25.0)</f>
        <v>25</v>
      </c>
      <c r="AU416" s="71"/>
      <c r="AV416" s="71"/>
      <c r="AW416" s="71"/>
      <c r="AX416" s="71"/>
      <c r="AY416" s="71">
        <f>IFERROR(__xludf.DUMMYFUNCTION("""COMPUTED_VALUE"""),1490.0)</f>
        <v>1490</v>
      </c>
      <c r="AZ416" s="71">
        <f>IFERROR(__xludf.DUMMYFUNCTION("""COMPUTED_VALUE"""),1609.0)</f>
        <v>1609</v>
      </c>
      <c r="BA416" s="71">
        <f>IFERROR(__xludf.DUMMYFUNCTION("""COMPUTED_VALUE"""),915.0)</f>
        <v>915</v>
      </c>
      <c r="BB416" s="71">
        <f>IFERROR(__xludf.DUMMYFUNCTION("""COMPUTED_VALUE"""),915.0)</f>
        <v>915</v>
      </c>
      <c r="BC416" s="71">
        <f>IFERROR(__xludf.DUMMYFUNCTION("""COMPUTED_VALUE"""),961.0)</f>
        <v>961</v>
      </c>
      <c r="BD416" s="71">
        <f>IFERROR(__xludf.DUMMYFUNCTION("""COMPUTED_VALUE"""),1009.0)</f>
        <v>1009</v>
      </c>
      <c r="BE416" s="71">
        <f>IFERROR(__xludf.DUMMYFUNCTION("""COMPUTED_VALUE"""),161.44)</f>
        <v>161.44</v>
      </c>
      <c r="BF416" s="71">
        <f>IFERROR(__xludf.DUMMYFUNCTION("""COMPUTED_VALUE"""),1170.44)</f>
        <v>1170.44</v>
      </c>
      <c r="BG416" s="71">
        <f>IFERROR(__xludf.DUMMYFUNCTION("""COMPUTED_VALUE"""),0.04994797086368366)</f>
        <v>0.04994797086</v>
      </c>
      <c r="BH416" s="71">
        <f>IFERROR(__xludf.DUMMYFUNCTION("""COMPUTED_VALUE"""),958.55)</f>
        <v>958.55</v>
      </c>
      <c r="BI416" s="71">
        <f>IFERROR(__xludf.DUMMYFUNCTION("""COMPUTED_VALUE"""),153.368)</f>
        <v>153.368</v>
      </c>
      <c r="BJ416" s="71">
        <f>IFERROR(__xludf.DUMMYFUNCTION("""COMPUTED_VALUE"""),1111.918)</f>
        <v>1111.918</v>
      </c>
      <c r="BK416" s="71">
        <f>IFERROR(__xludf.DUMMYFUNCTION("""COMPUTED_VALUE"""),908.1)</f>
        <v>908.1</v>
      </c>
      <c r="BL416" s="71">
        <f>IFERROR(__xludf.DUMMYFUNCTION("""COMPUTED_VALUE"""),145.29600000000002)</f>
        <v>145.296</v>
      </c>
      <c r="BM416" s="71">
        <f>IFERROR(__xludf.DUMMYFUNCTION("""COMPUTED_VALUE"""),1053.396)</f>
        <v>1053.396</v>
      </c>
      <c r="BN416" s="71">
        <f>IFERROR(__xludf.DUMMYFUNCTION("""COMPUTED_VALUE"""),857.65)</f>
        <v>857.65</v>
      </c>
      <c r="BO416" s="71">
        <f>IFERROR(__xludf.DUMMYFUNCTION("""COMPUTED_VALUE"""),137.224)</f>
        <v>137.224</v>
      </c>
      <c r="BP416" s="71">
        <f>IFERROR(__xludf.DUMMYFUNCTION("""COMPUTED_VALUE"""),994.874)</f>
        <v>994.874</v>
      </c>
      <c r="BQ416" s="71">
        <f>IFERROR(__xludf.DUMMYFUNCTION("""COMPUTED_VALUE"""),837.4699999999999)</f>
        <v>837.47</v>
      </c>
      <c r="BR416" s="71">
        <f>IFERROR(__xludf.DUMMYFUNCTION("""COMPUTED_VALUE"""),133.99519999999998)</f>
        <v>133.9952</v>
      </c>
      <c r="BS416" s="71">
        <f>IFERROR(__xludf.DUMMYFUNCTION("""COMPUTED_VALUE"""),971.4651999999999)</f>
        <v>971.4652</v>
      </c>
      <c r="BT416" s="71">
        <f>IFERROR(__xludf.DUMMYFUNCTION("""COMPUTED_VALUE"""),807.2)</f>
        <v>807.2</v>
      </c>
      <c r="BU416" s="71">
        <f>IFERROR(__xludf.DUMMYFUNCTION("""COMPUTED_VALUE"""),129.15200000000002)</f>
        <v>129.152</v>
      </c>
      <c r="BV416" s="71">
        <f>IFERROR(__xludf.DUMMYFUNCTION("""COMPUTED_VALUE"""),936.3520000000001)</f>
        <v>936.352</v>
      </c>
    </row>
    <row r="417">
      <c r="A417" s="53"/>
      <c r="B417" s="53"/>
      <c r="C417" s="73" t="s">
        <v>53</v>
      </c>
      <c r="D417" s="53" t="s">
        <v>1064</v>
      </c>
      <c r="E417" s="54" t="s">
        <v>38</v>
      </c>
      <c r="F417" s="54" t="s">
        <v>42</v>
      </c>
      <c r="G417" s="55" t="s">
        <v>1065</v>
      </c>
      <c r="H417" s="54" t="s">
        <v>1066</v>
      </c>
      <c r="I417" s="54">
        <f t="shared" si="1"/>
        <v>36</v>
      </c>
      <c r="J417" s="56"/>
      <c r="K417" s="57"/>
      <c r="L417" s="76"/>
      <c r="M417" s="59"/>
      <c r="N417" s="60"/>
      <c r="O417" s="61">
        <v>349.0</v>
      </c>
      <c r="P417" s="62">
        <v>376.92</v>
      </c>
      <c r="Q417" s="63">
        <v>376.92</v>
      </c>
      <c r="R417" s="64">
        <v>396.0</v>
      </c>
      <c r="S417" s="111">
        <v>416.0</v>
      </c>
      <c r="T417" s="65">
        <f t="shared" si="2"/>
        <v>66.56</v>
      </c>
      <c r="U417" s="65">
        <f t="shared" si="3"/>
        <v>482.56</v>
      </c>
      <c r="V417" s="66">
        <f t="shared" si="4"/>
        <v>0.05050505051</v>
      </c>
      <c r="W417" s="67">
        <f t="shared" si="5"/>
        <v>395.2</v>
      </c>
      <c r="X417" s="67">
        <f t="shared" si="6"/>
        <v>63.232</v>
      </c>
      <c r="Y417" s="67">
        <f t="shared" si="7"/>
        <v>458.432</v>
      </c>
      <c r="Z417" s="67">
        <f t="shared" si="8"/>
        <v>374.4</v>
      </c>
      <c r="AA417" s="67">
        <f t="shared" si="9"/>
        <v>59.904</v>
      </c>
      <c r="AB417" s="67">
        <f t="shared" si="10"/>
        <v>434.304</v>
      </c>
      <c r="AC417" s="67">
        <f t="shared" si="11"/>
        <v>353.6</v>
      </c>
      <c r="AD417" s="67">
        <f t="shared" si="12"/>
        <v>56.576</v>
      </c>
      <c r="AE417" s="67">
        <f t="shared" si="13"/>
        <v>410.176</v>
      </c>
      <c r="AF417" s="67">
        <f t="shared" si="14"/>
        <v>345.28</v>
      </c>
      <c r="AG417" s="67">
        <f t="shared" si="15"/>
        <v>55.2448</v>
      </c>
      <c r="AH417" s="67">
        <f t="shared" si="16"/>
        <v>400.5248</v>
      </c>
      <c r="AI417" s="67">
        <f t="shared" si="17"/>
        <v>332.8</v>
      </c>
      <c r="AJ417" s="68">
        <f t="shared" si="20"/>
        <v>53.248</v>
      </c>
      <c r="AK417" s="68">
        <f t="shared" si="21"/>
        <v>386.048</v>
      </c>
      <c r="AL417" s="70">
        <f>IFERROR(__xludf.DUMMYFUNCTION("""COMPUTED_VALUE"""),1.0)</f>
        <v>1</v>
      </c>
      <c r="AM417" s="70"/>
      <c r="AN417" s="71" t="str">
        <f>IFERROR(__xludf.DUMMYFUNCTION("""COMPUTED_VALUE""")," CP")</f>
        <v>CP</v>
      </c>
      <c r="AO417" s="71" t="str">
        <f>IFERROR(__xludf.DUMMYFUNCTION("""COMPUTED_VALUE""")," CA86")</f>
        <v>CA86</v>
      </c>
      <c r="AP417" s="71" t="str">
        <f>IFERROR(__xludf.DUMMYFUNCTION("""COMPUTED_VALUE""")," PZA")</f>
        <v>PZA</v>
      </c>
      <c r="AQ417" s="71" t="str">
        <f>IFERROR(__xludf.DUMMYFUNCTION("""COMPUTED_VALUE""")," REF")</f>
        <v>REF</v>
      </c>
      <c r="AR417" s="71" t="str">
        <f>IFERROR(__xludf.DUMMYFUNCTION("""COMPUTED_VALUE""")," CATARINA 50B72 E.1-1/4"" C.1/4")</f>
        <v>CATARINA 50B72 E.1-1/4" C.1/4</v>
      </c>
      <c r="AS417" s="71" t="str">
        <f>IFERROR(__xludf.DUMMYFUNCTION("""COMPUTED_VALUE""")," CATARINA 50B72 E.1-1/4"" C.1/4")</f>
        <v>CATARINA 50B72 E.1-1/4" C.1/4</v>
      </c>
      <c r="AT417" s="71">
        <f>IFERROR(__xludf.DUMMYFUNCTION("""COMPUTED_VALUE"""),29.0)</f>
        <v>29</v>
      </c>
      <c r="AU417" s="71"/>
      <c r="AV417" s="71"/>
      <c r="AW417" s="71"/>
      <c r="AX417" s="71"/>
      <c r="AY417" s="71">
        <f>IFERROR(__xludf.DUMMYFUNCTION("""COMPUTED_VALUE"""),1460.0)</f>
        <v>1460</v>
      </c>
      <c r="AZ417" s="71">
        <f>IFERROR(__xludf.DUMMYFUNCTION("""COMPUTED_VALUE"""),1576.0)</f>
        <v>1576</v>
      </c>
      <c r="BA417" s="71">
        <f>IFERROR(__xludf.DUMMYFUNCTION("""COMPUTED_VALUE"""),955.0)</f>
        <v>955</v>
      </c>
      <c r="BB417" s="71">
        <f>IFERROR(__xludf.DUMMYFUNCTION("""COMPUTED_VALUE"""),955.0)</f>
        <v>955</v>
      </c>
      <c r="BC417" s="71">
        <f>IFERROR(__xludf.DUMMYFUNCTION("""COMPUTED_VALUE"""),1485.0)</f>
        <v>1485</v>
      </c>
      <c r="BD417" s="71">
        <f>IFERROR(__xludf.DUMMYFUNCTION("""COMPUTED_VALUE"""),1559.0)</f>
        <v>1559</v>
      </c>
      <c r="BE417" s="71">
        <f>IFERROR(__xludf.DUMMYFUNCTION("""COMPUTED_VALUE"""),249.44)</f>
        <v>249.44</v>
      </c>
      <c r="BF417" s="71">
        <f>IFERROR(__xludf.DUMMYFUNCTION("""COMPUTED_VALUE"""),1808.44)</f>
        <v>1808.44</v>
      </c>
      <c r="BG417" s="71">
        <f>IFERROR(__xludf.DUMMYFUNCTION("""COMPUTED_VALUE"""),0.04983164983164983)</f>
        <v>0.04983164983</v>
      </c>
      <c r="BH417" s="71">
        <f>IFERROR(__xludf.DUMMYFUNCTION("""COMPUTED_VALUE"""),1481.05)</f>
        <v>1481.05</v>
      </c>
      <c r="BI417" s="71">
        <f>IFERROR(__xludf.DUMMYFUNCTION("""COMPUTED_VALUE"""),236.968)</f>
        <v>236.968</v>
      </c>
      <c r="BJ417" s="71">
        <f>IFERROR(__xludf.DUMMYFUNCTION("""COMPUTED_VALUE"""),1718.018)</f>
        <v>1718.018</v>
      </c>
      <c r="BK417" s="71">
        <f>IFERROR(__xludf.DUMMYFUNCTION("""COMPUTED_VALUE"""),1403.1000000000001)</f>
        <v>1403.1</v>
      </c>
      <c r="BL417" s="71">
        <f>IFERROR(__xludf.DUMMYFUNCTION("""COMPUTED_VALUE"""),224.49600000000004)</f>
        <v>224.496</v>
      </c>
      <c r="BM417" s="71">
        <f>IFERROR(__xludf.DUMMYFUNCTION("""COMPUTED_VALUE"""),1627.5960000000002)</f>
        <v>1627.596</v>
      </c>
      <c r="BN417" s="71">
        <f>IFERROR(__xludf.DUMMYFUNCTION("""COMPUTED_VALUE"""),1325.1499999999999)</f>
        <v>1325.15</v>
      </c>
      <c r="BO417" s="71">
        <f>IFERROR(__xludf.DUMMYFUNCTION("""COMPUTED_VALUE"""),212.02399999999997)</f>
        <v>212.024</v>
      </c>
      <c r="BP417" s="71">
        <f>IFERROR(__xludf.DUMMYFUNCTION("""COMPUTED_VALUE"""),1537.1739999999998)</f>
        <v>1537.174</v>
      </c>
      <c r="BQ417" s="71">
        <f>IFERROR(__xludf.DUMMYFUNCTION("""COMPUTED_VALUE"""),1293.97)</f>
        <v>1293.97</v>
      </c>
      <c r="BR417" s="71">
        <f>IFERROR(__xludf.DUMMYFUNCTION("""COMPUTED_VALUE"""),207.0352)</f>
        <v>207.0352</v>
      </c>
      <c r="BS417" s="71">
        <f>IFERROR(__xludf.DUMMYFUNCTION("""COMPUTED_VALUE"""),1501.0052)</f>
        <v>1501.0052</v>
      </c>
      <c r="BT417" s="71">
        <f>IFERROR(__xludf.DUMMYFUNCTION("""COMPUTED_VALUE"""),1247.2)</f>
        <v>1247.2</v>
      </c>
      <c r="BU417" s="71">
        <f>IFERROR(__xludf.DUMMYFUNCTION("""COMPUTED_VALUE"""),199.55200000000002)</f>
        <v>199.552</v>
      </c>
      <c r="BV417" s="71">
        <f>IFERROR(__xludf.DUMMYFUNCTION("""COMPUTED_VALUE"""),1446.752)</f>
        <v>1446.752</v>
      </c>
    </row>
    <row r="418">
      <c r="A418" s="53">
        <v>1.0</v>
      </c>
      <c r="B418" s="53"/>
      <c r="C418" s="73" t="s">
        <v>603</v>
      </c>
      <c r="D418" s="53" t="s">
        <v>1067</v>
      </c>
      <c r="E418" s="55" t="s">
        <v>38</v>
      </c>
      <c r="F418" s="54" t="s">
        <v>42</v>
      </c>
      <c r="G418" s="55" t="s">
        <v>1068</v>
      </c>
      <c r="H418" s="54" t="s">
        <v>1069</v>
      </c>
      <c r="I418" s="54">
        <f t="shared" si="1"/>
        <v>40</v>
      </c>
      <c r="J418" s="56"/>
      <c r="K418" s="75"/>
      <c r="L418" s="76"/>
      <c r="M418" s="59"/>
      <c r="N418" s="60">
        <v>277.0</v>
      </c>
      <c r="O418" s="61">
        <v>299.0</v>
      </c>
      <c r="P418" s="62">
        <v>322.92</v>
      </c>
      <c r="Q418" s="63">
        <v>322.92</v>
      </c>
      <c r="R418" s="64">
        <v>361.0</v>
      </c>
      <c r="S418" s="111">
        <v>379.0</v>
      </c>
      <c r="T418" s="65">
        <f t="shared" si="2"/>
        <v>60.64</v>
      </c>
      <c r="U418" s="65">
        <f t="shared" si="3"/>
        <v>439.64</v>
      </c>
      <c r="V418" s="66">
        <f t="shared" si="4"/>
        <v>0.04986149584</v>
      </c>
      <c r="W418" s="67">
        <f t="shared" si="5"/>
        <v>360.05</v>
      </c>
      <c r="X418" s="67">
        <f t="shared" si="6"/>
        <v>57.608</v>
      </c>
      <c r="Y418" s="67">
        <f t="shared" si="7"/>
        <v>417.658</v>
      </c>
      <c r="Z418" s="67">
        <f t="shared" si="8"/>
        <v>341.1</v>
      </c>
      <c r="AA418" s="67">
        <f t="shared" si="9"/>
        <v>54.576</v>
      </c>
      <c r="AB418" s="67">
        <f t="shared" si="10"/>
        <v>395.676</v>
      </c>
      <c r="AC418" s="67">
        <f t="shared" si="11"/>
        <v>322.15</v>
      </c>
      <c r="AD418" s="67">
        <f t="shared" si="12"/>
        <v>51.544</v>
      </c>
      <c r="AE418" s="67">
        <f t="shared" si="13"/>
        <v>373.694</v>
      </c>
      <c r="AF418" s="67">
        <f t="shared" si="14"/>
        <v>314.57</v>
      </c>
      <c r="AG418" s="67">
        <f t="shared" si="15"/>
        <v>50.3312</v>
      </c>
      <c r="AH418" s="67">
        <f t="shared" si="16"/>
        <v>364.9012</v>
      </c>
      <c r="AI418" s="67">
        <f t="shared" si="17"/>
        <v>303.2</v>
      </c>
      <c r="AJ418" s="68">
        <f t="shared" si="20"/>
        <v>48.512</v>
      </c>
      <c r="AK418" s="68">
        <f t="shared" si="21"/>
        <v>351.712</v>
      </c>
      <c r="AL418" s="70">
        <f>IFERROR(__xludf.DUMMYFUNCTION("""COMPUTED_VALUE"""),1.0)</f>
        <v>1</v>
      </c>
      <c r="AM418" s="70"/>
      <c r="AN418" s="71" t="str">
        <f>IFERROR(__xludf.DUMMYFUNCTION("""COMPUTED_VALUE""")," CP")</f>
        <v>CP</v>
      </c>
      <c r="AO418" s="71" t="str">
        <f>IFERROR(__xludf.DUMMYFUNCTION("""COMPUTED_VALUE""")," CA85")</f>
        <v>CA85</v>
      </c>
      <c r="AP418" s="71" t="str">
        <f>IFERROR(__xludf.DUMMYFUNCTION("""COMPUTED_VALUE""")," PZA")</f>
        <v>PZA</v>
      </c>
      <c r="AQ418" s="71" t="str">
        <f>IFERROR(__xludf.DUMMYFUNCTION("""COMPUTED_VALUE""")," REF")</f>
        <v>REF</v>
      </c>
      <c r="AR418" s="71" t="str">
        <f>IFERROR(__xludf.DUMMYFUNCTION("""COMPUTED_VALUE""")," CATARINA 50B72 E.1"" C.1/4")</f>
        <v>CATARINA 50B72 E.1" C.1/4</v>
      </c>
      <c r="AS418" s="71" t="str">
        <f>IFERROR(__xludf.DUMMYFUNCTION("""COMPUTED_VALUE""")," CATARINA 50B72 E.1"" C.1/4")</f>
        <v>CATARINA 50B72 E.1" C.1/4</v>
      </c>
      <c r="AT418" s="71">
        <f>IFERROR(__xludf.DUMMYFUNCTION("""COMPUTED_VALUE"""),25.0)</f>
        <v>25</v>
      </c>
      <c r="AU418" s="71"/>
      <c r="AV418" s="71"/>
      <c r="AW418" s="71"/>
      <c r="AX418" s="71"/>
      <c r="AY418" s="71">
        <f>IFERROR(__xludf.DUMMYFUNCTION("""COMPUTED_VALUE"""),1460.0)</f>
        <v>1460</v>
      </c>
      <c r="AZ418" s="71">
        <f>IFERROR(__xludf.DUMMYFUNCTION("""COMPUTED_VALUE"""),1576.0)</f>
        <v>1576</v>
      </c>
      <c r="BA418" s="71">
        <f>IFERROR(__xludf.DUMMYFUNCTION("""COMPUTED_VALUE"""),955.0)</f>
        <v>955</v>
      </c>
      <c r="BB418" s="71">
        <f>IFERROR(__xludf.DUMMYFUNCTION("""COMPUTED_VALUE"""),955.0)</f>
        <v>955</v>
      </c>
      <c r="BC418" s="71">
        <f>IFERROR(__xludf.DUMMYFUNCTION("""COMPUTED_VALUE"""),1485.0)</f>
        <v>1485</v>
      </c>
      <c r="BD418" s="71">
        <f>IFERROR(__xludf.DUMMYFUNCTION("""COMPUTED_VALUE"""),1559.0)</f>
        <v>1559</v>
      </c>
      <c r="BE418" s="71">
        <f>IFERROR(__xludf.DUMMYFUNCTION("""COMPUTED_VALUE"""),249.44)</f>
        <v>249.44</v>
      </c>
      <c r="BF418" s="71">
        <f>IFERROR(__xludf.DUMMYFUNCTION("""COMPUTED_VALUE"""),1808.44)</f>
        <v>1808.44</v>
      </c>
      <c r="BG418" s="71">
        <f>IFERROR(__xludf.DUMMYFUNCTION("""COMPUTED_VALUE"""),0.04983164983164983)</f>
        <v>0.04983164983</v>
      </c>
      <c r="BH418" s="71">
        <f>IFERROR(__xludf.DUMMYFUNCTION("""COMPUTED_VALUE"""),1481.05)</f>
        <v>1481.05</v>
      </c>
      <c r="BI418" s="71">
        <f>IFERROR(__xludf.DUMMYFUNCTION("""COMPUTED_VALUE"""),236.968)</f>
        <v>236.968</v>
      </c>
      <c r="BJ418" s="71">
        <f>IFERROR(__xludf.DUMMYFUNCTION("""COMPUTED_VALUE"""),1718.018)</f>
        <v>1718.018</v>
      </c>
      <c r="BK418" s="71">
        <f>IFERROR(__xludf.DUMMYFUNCTION("""COMPUTED_VALUE"""),1403.1000000000001)</f>
        <v>1403.1</v>
      </c>
      <c r="BL418" s="71">
        <f>IFERROR(__xludf.DUMMYFUNCTION("""COMPUTED_VALUE"""),224.49600000000004)</f>
        <v>224.496</v>
      </c>
      <c r="BM418" s="71">
        <f>IFERROR(__xludf.DUMMYFUNCTION("""COMPUTED_VALUE"""),1627.5960000000002)</f>
        <v>1627.596</v>
      </c>
      <c r="BN418" s="71">
        <f>IFERROR(__xludf.DUMMYFUNCTION("""COMPUTED_VALUE"""),1325.1499999999999)</f>
        <v>1325.15</v>
      </c>
      <c r="BO418" s="71">
        <f>IFERROR(__xludf.DUMMYFUNCTION("""COMPUTED_VALUE"""),212.02399999999997)</f>
        <v>212.024</v>
      </c>
      <c r="BP418" s="71">
        <f>IFERROR(__xludf.DUMMYFUNCTION("""COMPUTED_VALUE"""),1537.1739999999998)</f>
        <v>1537.174</v>
      </c>
      <c r="BQ418" s="71">
        <f>IFERROR(__xludf.DUMMYFUNCTION("""COMPUTED_VALUE"""),1293.97)</f>
        <v>1293.97</v>
      </c>
      <c r="BR418" s="71">
        <f>IFERROR(__xludf.DUMMYFUNCTION("""COMPUTED_VALUE"""),207.0352)</f>
        <v>207.0352</v>
      </c>
      <c r="BS418" s="71">
        <f>IFERROR(__xludf.DUMMYFUNCTION("""COMPUTED_VALUE"""),1501.0052)</f>
        <v>1501.0052</v>
      </c>
      <c r="BT418" s="71">
        <f>IFERROR(__xludf.DUMMYFUNCTION("""COMPUTED_VALUE"""),1247.2)</f>
        <v>1247.2</v>
      </c>
      <c r="BU418" s="71">
        <f>IFERROR(__xludf.DUMMYFUNCTION("""COMPUTED_VALUE"""),199.55200000000002)</f>
        <v>199.552</v>
      </c>
      <c r="BV418" s="71">
        <f>IFERROR(__xludf.DUMMYFUNCTION("""COMPUTED_VALUE"""),1446.752)</f>
        <v>1446.752</v>
      </c>
    </row>
    <row r="419">
      <c r="A419" s="53">
        <v>1.0</v>
      </c>
      <c r="B419" s="53"/>
      <c r="C419" s="73" t="s">
        <v>603</v>
      </c>
      <c r="D419" s="74" t="s">
        <v>1070</v>
      </c>
      <c r="E419" s="54" t="s">
        <v>38</v>
      </c>
      <c r="F419" s="54" t="s">
        <v>42</v>
      </c>
      <c r="G419" s="54" t="s">
        <v>1071</v>
      </c>
      <c r="H419" s="54" t="s">
        <v>1072</v>
      </c>
      <c r="I419" s="54">
        <f t="shared" si="1"/>
        <v>40</v>
      </c>
      <c r="J419" s="56"/>
      <c r="K419" s="75"/>
      <c r="L419" s="76"/>
      <c r="M419" s="59"/>
      <c r="N419" s="60">
        <v>23.0</v>
      </c>
      <c r="O419" s="61">
        <v>24.0</v>
      </c>
      <c r="P419" s="62">
        <v>25.92</v>
      </c>
      <c r="Q419" s="63">
        <v>25.92</v>
      </c>
      <c r="R419" s="64">
        <v>30.0</v>
      </c>
      <c r="S419" s="111">
        <v>32.0</v>
      </c>
      <c r="T419" s="65">
        <f t="shared" si="2"/>
        <v>5.12</v>
      </c>
      <c r="U419" s="65">
        <f t="shared" si="3"/>
        <v>37.12</v>
      </c>
      <c r="V419" s="66">
        <f t="shared" si="4"/>
        <v>0.06666666667</v>
      </c>
      <c r="W419" s="67">
        <f t="shared" si="5"/>
        <v>30.4</v>
      </c>
      <c r="X419" s="67">
        <f t="shared" si="6"/>
        <v>4.864</v>
      </c>
      <c r="Y419" s="67">
        <f t="shared" si="7"/>
        <v>35.264</v>
      </c>
      <c r="Z419" s="67">
        <f t="shared" si="8"/>
        <v>28.8</v>
      </c>
      <c r="AA419" s="67">
        <f t="shared" si="9"/>
        <v>4.608</v>
      </c>
      <c r="AB419" s="67">
        <f t="shared" si="10"/>
        <v>33.408</v>
      </c>
      <c r="AC419" s="67">
        <f t="shared" si="11"/>
        <v>27.2</v>
      </c>
      <c r="AD419" s="67">
        <f t="shared" si="12"/>
        <v>4.352</v>
      </c>
      <c r="AE419" s="67">
        <f t="shared" si="13"/>
        <v>31.552</v>
      </c>
      <c r="AF419" s="67">
        <f t="shared" si="14"/>
        <v>26.56</v>
      </c>
      <c r="AG419" s="67">
        <f t="shared" si="15"/>
        <v>4.2496</v>
      </c>
      <c r="AH419" s="67">
        <f t="shared" si="16"/>
        <v>30.8096</v>
      </c>
      <c r="AI419" s="67">
        <f t="shared" si="17"/>
        <v>25.6</v>
      </c>
      <c r="AJ419" s="68">
        <f t="shared" si="20"/>
        <v>4.096</v>
      </c>
      <c r="AK419" s="68">
        <f t="shared" si="21"/>
        <v>29.696</v>
      </c>
      <c r="AL419" s="70">
        <f>IFERROR(__xludf.DUMMYFUNCTION("""COMPUTED_VALUE"""),1.0)</f>
        <v>1</v>
      </c>
      <c r="AM419" s="70"/>
      <c r="AN419" s="71" t="str">
        <f>IFERROR(__xludf.DUMMYFUNCTION("""COMPUTED_VALUE""")," CP")</f>
        <v>CP</v>
      </c>
      <c r="AO419" s="71" t="str">
        <f>IFERROR(__xludf.DUMMYFUNCTION("""COMPUTED_VALUE""")," CA87")</f>
        <v>CA87</v>
      </c>
      <c r="AP419" s="71" t="str">
        <f>IFERROR(__xludf.DUMMYFUNCTION("""COMPUTED_VALUE""")," PZA")</f>
        <v>PZA</v>
      </c>
      <c r="AQ419" s="71" t="str">
        <f>IFERROR(__xludf.DUMMYFUNCTION("""COMPUTED_VALUE""")," REF")</f>
        <v>REF</v>
      </c>
      <c r="AR419" s="71" t="str">
        <f>IFERROR(__xludf.DUMMYFUNCTION("""COMPUTED_VALUE""")," CATARINA 50B72 E.3/4""")</f>
        <v>CATARINA 50B72 E.3/4"</v>
      </c>
      <c r="AS419" s="71" t="str">
        <f>IFERROR(__xludf.DUMMYFUNCTION("""COMPUTED_VALUE""")," CATARINA 50B72 E.3/4""")</f>
        <v>CATARINA 50B72 E.3/4"</v>
      </c>
      <c r="AT419" s="71">
        <f>IFERROR(__xludf.DUMMYFUNCTION("""COMPUTED_VALUE"""),21.0)</f>
        <v>21</v>
      </c>
      <c r="AU419" s="71"/>
      <c r="AV419" s="71"/>
      <c r="AW419" s="71"/>
      <c r="AX419" s="71"/>
      <c r="AY419" s="71">
        <f>IFERROR(__xludf.DUMMYFUNCTION("""COMPUTED_VALUE"""),1460.0)</f>
        <v>1460</v>
      </c>
      <c r="AZ419" s="71">
        <f>IFERROR(__xludf.DUMMYFUNCTION("""COMPUTED_VALUE"""),1576.0)</f>
        <v>1576</v>
      </c>
      <c r="BA419" s="71">
        <f>IFERROR(__xludf.DUMMYFUNCTION("""COMPUTED_VALUE"""),950.0)</f>
        <v>950</v>
      </c>
      <c r="BB419" s="71">
        <f>IFERROR(__xludf.DUMMYFUNCTION("""COMPUTED_VALUE"""),950.0)</f>
        <v>950</v>
      </c>
      <c r="BC419" s="71">
        <f>IFERROR(__xludf.DUMMYFUNCTION("""COMPUTED_VALUE"""),1485.0)</f>
        <v>1485</v>
      </c>
      <c r="BD419" s="71">
        <f>IFERROR(__xludf.DUMMYFUNCTION("""COMPUTED_VALUE"""),1559.0)</f>
        <v>1559</v>
      </c>
      <c r="BE419" s="71">
        <f>IFERROR(__xludf.DUMMYFUNCTION("""COMPUTED_VALUE"""),249.44)</f>
        <v>249.44</v>
      </c>
      <c r="BF419" s="71">
        <f>IFERROR(__xludf.DUMMYFUNCTION("""COMPUTED_VALUE"""),1808.44)</f>
        <v>1808.44</v>
      </c>
      <c r="BG419" s="71">
        <f>IFERROR(__xludf.DUMMYFUNCTION("""COMPUTED_VALUE"""),0.04983164983164983)</f>
        <v>0.04983164983</v>
      </c>
      <c r="BH419" s="71">
        <f>IFERROR(__xludf.DUMMYFUNCTION("""COMPUTED_VALUE"""),1481.05)</f>
        <v>1481.05</v>
      </c>
      <c r="BI419" s="71">
        <f>IFERROR(__xludf.DUMMYFUNCTION("""COMPUTED_VALUE"""),236.968)</f>
        <v>236.968</v>
      </c>
      <c r="BJ419" s="71">
        <f>IFERROR(__xludf.DUMMYFUNCTION("""COMPUTED_VALUE"""),1718.018)</f>
        <v>1718.018</v>
      </c>
      <c r="BK419" s="71">
        <f>IFERROR(__xludf.DUMMYFUNCTION("""COMPUTED_VALUE"""),1403.1000000000001)</f>
        <v>1403.1</v>
      </c>
      <c r="BL419" s="71">
        <f>IFERROR(__xludf.DUMMYFUNCTION("""COMPUTED_VALUE"""),224.49600000000004)</f>
        <v>224.496</v>
      </c>
      <c r="BM419" s="71">
        <f>IFERROR(__xludf.DUMMYFUNCTION("""COMPUTED_VALUE"""),1627.5960000000002)</f>
        <v>1627.596</v>
      </c>
      <c r="BN419" s="71">
        <f>IFERROR(__xludf.DUMMYFUNCTION("""COMPUTED_VALUE"""),1325.1499999999999)</f>
        <v>1325.15</v>
      </c>
      <c r="BO419" s="71">
        <f>IFERROR(__xludf.DUMMYFUNCTION("""COMPUTED_VALUE"""),212.02399999999997)</f>
        <v>212.024</v>
      </c>
      <c r="BP419" s="71">
        <f>IFERROR(__xludf.DUMMYFUNCTION("""COMPUTED_VALUE"""),1537.1739999999998)</f>
        <v>1537.174</v>
      </c>
      <c r="BQ419" s="71">
        <f>IFERROR(__xludf.DUMMYFUNCTION("""COMPUTED_VALUE"""),1293.97)</f>
        <v>1293.97</v>
      </c>
      <c r="BR419" s="71">
        <f>IFERROR(__xludf.DUMMYFUNCTION("""COMPUTED_VALUE"""),207.0352)</f>
        <v>207.0352</v>
      </c>
      <c r="BS419" s="71">
        <f>IFERROR(__xludf.DUMMYFUNCTION("""COMPUTED_VALUE"""),1501.0052)</f>
        <v>1501.0052</v>
      </c>
      <c r="BT419" s="71">
        <f>IFERROR(__xludf.DUMMYFUNCTION("""COMPUTED_VALUE"""),1247.2)</f>
        <v>1247.2</v>
      </c>
      <c r="BU419" s="71">
        <f>IFERROR(__xludf.DUMMYFUNCTION("""COMPUTED_VALUE"""),199.55200000000002)</f>
        <v>199.552</v>
      </c>
      <c r="BV419" s="71">
        <f>IFERROR(__xludf.DUMMYFUNCTION("""COMPUTED_VALUE"""),1446.752)</f>
        <v>1446.752</v>
      </c>
    </row>
    <row r="420">
      <c r="A420" s="53">
        <v>1.0</v>
      </c>
      <c r="B420" s="53"/>
      <c r="C420" s="73" t="s">
        <v>603</v>
      </c>
      <c r="D420" s="74" t="s">
        <v>1073</v>
      </c>
      <c r="E420" s="54" t="s">
        <v>38</v>
      </c>
      <c r="F420" s="54" t="s">
        <v>42</v>
      </c>
      <c r="G420" s="54" t="s">
        <v>1074</v>
      </c>
      <c r="H420" s="54" t="s">
        <v>1075</v>
      </c>
      <c r="I420" s="54">
        <f t="shared" si="1"/>
        <v>34</v>
      </c>
      <c r="J420" s="56"/>
      <c r="K420" s="75"/>
      <c r="L420" s="76"/>
      <c r="M420" s="59"/>
      <c r="N420" s="60">
        <v>23.0</v>
      </c>
      <c r="O420" s="61">
        <v>24.0</v>
      </c>
      <c r="P420" s="62">
        <v>25.92</v>
      </c>
      <c r="Q420" s="63">
        <v>25.92</v>
      </c>
      <c r="R420" s="64">
        <v>30.0</v>
      </c>
      <c r="S420" s="111">
        <v>32.0</v>
      </c>
      <c r="T420" s="65">
        <f t="shared" si="2"/>
        <v>5.12</v>
      </c>
      <c r="U420" s="65">
        <f t="shared" si="3"/>
        <v>37.12</v>
      </c>
      <c r="V420" s="66">
        <f t="shared" si="4"/>
        <v>0.06666666667</v>
      </c>
      <c r="W420" s="67">
        <f t="shared" si="5"/>
        <v>30.4</v>
      </c>
      <c r="X420" s="67">
        <f t="shared" si="6"/>
        <v>4.864</v>
      </c>
      <c r="Y420" s="67">
        <f t="shared" si="7"/>
        <v>35.264</v>
      </c>
      <c r="Z420" s="67">
        <f t="shared" si="8"/>
        <v>28.8</v>
      </c>
      <c r="AA420" s="67">
        <f t="shared" si="9"/>
        <v>4.608</v>
      </c>
      <c r="AB420" s="67">
        <f t="shared" si="10"/>
        <v>33.408</v>
      </c>
      <c r="AC420" s="67">
        <f t="shared" si="11"/>
        <v>27.2</v>
      </c>
      <c r="AD420" s="67">
        <f t="shared" si="12"/>
        <v>4.352</v>
      </c>
      <c r="AE420" s="67">
        <f t="shared" si="13"/>
        <v>31.552</v>
      </c>
      <c r="AF420" s="67">
        <f t="shared" si="14"/>
        <v>26.56</v>
      </c>
      <c r="AG420" s="67">
        <f t="shared" si="15"/>
        <v>4.2496</v>
      </c>
      <c r="AH420" s="67">
        <f t="shared" si="16"/>
        <v>30.8096</v>
      </c>
      <c r="AI420" s="67">
        <f t="shared" si="17"/>
        <v>25.6</v>
      </c>
      <c r="AJ420" s="68">
        <f t="shared" si="20"/>
        <v>4.096</v>
      </c>
      <c r="AK420" s="68">
        <f t="shared" si="21"/>
        <v>29.696</v>
      </c>
      <c r="AL420" s="70">
        <f>IFERROR(__xludf.DUMMYFUNCTION("""COMPUTED_VALUE"""),1.0)</f>
        <v>1</v>
      </c>
      <c r="AM420" s="70"/>
      <c r="AN420" s="71" t="str">
        <f>IFERROR(__xludf.DUMMYFUNCTION("""COMPUTED_VALUE""")," C")</f>
        <v>C</v>
      </c>
      <c r="AO420" s="71" t="str">
        <f>IFERROR(__xludf.DUMMYFUNCTION("""COMPUTED_VALUE""")," CA194")</f>
        <v>CA194</v>
      </c>
      <c r="AP420" s="71" t="str">
        <f>IFERROR(__xludf.DUMMYFUNCTION("""COMPUTED_VALUE""")," PZA")</f>
        <v>PZA</v>
      </c>
      <c r="AQ420" s="71" t="str">
        <f>IFERROR(__xludf.DUMMYFUNCTION("""COMPUTED_VALUE""")," REF")</f>
        <v>REF</v>
      </c>
      <c r="AR420" s="71" t="str">
        <f>IFERROR(__xludf.DUMMYFUNCTION("""COMPUTED_VALUE""")," CATARINA 50B74 E.1-1/4"" C.1/4")</f>
        <v>CATARINA 50B74 E.1-1/4" C.1/4</v>
      </c>
      <c r="AS420" s="71" t="str">
        <f>IFERROR(__xludf.DUMMYFUNCTION("""COMPUTED_VALUE""")," CATARINA 50B74 E.1-1/4"" C.1/4")</f>
        <v>CATARINA 50B74 E.1-1/4" C.1/4</v>
      </c>
      <c r="AT420" s="71">
        <f>IFERROR(__xludf.DUMMYFUNCTION("""COMPUTED_VALUE"""),29.0)</f>
        <v>29</v>
      </c>
      <c r="AU420" s="71"/>
      <c r="AV420" s="71"/>
      <c r="AW420" s="71"/>
      <c r="AX420" s="71"/>
      <c r="AY420" s="71">
        <f>IFERROR(__xludf.DUMMYFUNCTION("""COMPUTED_VALUE"""),1560.0)</f>
        <v>1560</v>
      </c>
      <c r="AZ420" s="71">
        <f>IFERROR(__xludf.DUMMYFUNCTION("""COMPUTED_VALUE"""),1684.0)</f>
        <v>1684</v>
      </c>
      <c r="BA420" s="71">
        <f>IFERROR(__xludf.DUMMYFUNCTION("""COMPUTED_VALUE"""),995.0)</f>
        <v>995</v>
      </c>
      <c r="BB420" s="71">
        <f>IFERROR(__xludf.DUMMYFUNCTION("""COMPUTED_VALUE"""),995.0)</f>
        <v>995</v>
      </c>
      <c r="BC420" s="71">
        <f>IFERROR(__xludf.DUMMYFUNCTION("""COMPUTED_VALUE"""),1045.0)</f>
        <v>1045</v>
      </c>
      <c r="BD420" s="71">
        <f>IFERROR(__xludf.DUMMYFUNCTION("""COMPUTED_VALUE"""),1097.0)</f>
        <v>1097</v>
      </c>
      <c r="BE420" s="71">
        <f>IFERROR(__xludf.DUMMYFUNCTION("""COMPUTED_VALUE"""),175.52)</f>
        <v>175.52</v>
      </c>
      <c r="BF420" s="71">
        <f>IFERROR(__xludf.DUMMYFUNCTION("""COMPUTED_VALUE"""),1272.52)</f>
        <v>1272.52</v>
      </c>
      <c r="BG420" s="71">
        <f>IFERROR(__xludf.DUMMYFUNCTION("""COMPUTED_VALUE"""),0.049760765550239235)</f>
        <v>0.04976076555</v>
      </c>
      <c r="BH420" s="71">
        <f>IFERROR(__xludf.DUMMYFUNCTION("""COMPUTED_VALUE"""),1042.1499999999999)</f>
        <v>1042.15</v>
      </c>
      <c r="BI420" s="71">
        <f>IFERROR(__xludf.DUMMYFUNCTION("""COMPUTED_VALUE"""),166.74399999999997)</f>
        <v>166.744</v>
      </c>
      <c r="BJ420" s="71">
        <f>IFERROR(__xludf.DUMMYFUNCTION("""COMPUTED_VALUE"""),1208.8939999999998)</f>
        <v>1208.894</v>
      </c>
      <c r="BK420" s="71">
        <f>IFERROR(__xludf.DUMMYFUNCTION("""COMPUTED_VALUE"""),987.3000000000001)</f>
        <v>987.3</v>
      </c>
      <c r="BL420" s="71">
        <f>IFERROR(__xludf.DUMMYFUNCTION("""COMPUTED_VALUE"""),157.96800000000002)</f>
        <v>157.968</v>
      </c>
      <c r="BM420" s="71">
        <f>IFERROR(__xludf.DUMMYFUNCTION("""COMPUTED_VALUE"""),1145.268)</f>
        <v>1145.268</v>
      </c>
      <c r="BN420" s="71">
        <f>IFERROR(__xludf.DUMMYFUNCTION("""COMPUTED_VALUE"""),932.4499999999999)</f>
        <v>932.45</v>
      </c>
      <c r="BO420" s="71">
        <f>IFERROR(__xludf.DUMMYFUNCTION("""COMPUTED_VALUE"""),149.19199999999998)</f>
        <v>149.192</v>
      </c>
      <c r="BP420" s="71">
        <f>IFERROR(__xludf.DUMMYFUNCTION("""COMPUTED_VALUE"""),1081.6419999999998)</f>
        <v>1081.642</v>
      </c>
      <c r="BQ420" s="71">
        <f>IFERROR(__xludf.DUMMYFUNCTION("""COMPUTED_VALUE"""),910.51)</f>
        <v>910.51</v>
      </c>
      <c r="BR420" s="71">
        <f>IFERROR(__xludf.DUMMYFUNCTION("""COMPUTED_VALUE"""),145.6816)</f>
        <v>145.6816</v>
      </c>
      <c r="BS420" s="71">
        <f>IFERROR(__xludf.DUMMYFUNCTION("""COMPUTED_VALUE"""),1056.1916)</f>
        <v>1056.1916</v>
      </c>
      <c r="BT420" s="71">
        <f>IFERROR(__xludf.DUMMYFUNCTION("""COMPUTED_VALUE"""),877.6)</f>
        <v>877.6</v>
      </c>
      <c r="BU420" s="71">
        <f>IFERROR(__xludf.DUMMYFUNCTION("""COMPUTED_VALUE"""),140.416)</f>
        <v>140.416</v>
      </c>
      <c r="BV420" s="71">
        <f>IFERROR(__xludf.DUMMYFUNCTION("""COMPUTED_VALUE"""),1018.0160000000001)</f>
        <v>1018.016</v>
      </c>
    </row>
    <row r="421">
      <c r="A421" s="53">
        <v>1.0</v>
      </c>
      <c r="B421" s="72"/>
      <c r="C421" s="73" t="s">
        <v>53</v>
      </c>
      <c r="D421" s="53" t="s">
        <v>1076</v>
      </c>
      <c r="E421" s="54" t="s">
        <v>38</v>
      </c>
      <c r="F421" s="54" t="s">
        <v>42</v>
      </c>
      <c r="G421" s="55" t="s">
        <v>1077</v>
      </c>
      <c r="H421" s="54" t="s">
        <v>1077</v>
      </c>
      <c r="I421" s="54">
        <f t="shared" si="1"/>
        <v>30</v>
      </c>
      <c r="J421" s="56"/>
      <c r="K421" s="75"/>
      <c r="L421" s="76"/>
      <c r="M421" s="59"/>
      <c r="N421" s="60"/>
      <c r="O421" s="61">
        <v>287.0</v>
      </c>
      <c r="P421" s="62">
        <v>309.96000000000004</v>
      </c>
      <c r="Q421" s="63">
        <v>309.96000000000004</v>
      </c>
      <c r="R421" s="64">
        <v>326.0</v>
      </c>
      <c r="S421" s="111">
        <v>342.0</v>
      </c>
      <c r="T421" s="65">
        <f t="shared" si="2"/>
        <v>54.72</v>
      </c>
      <c r="U421" s="65">
        <f t="shared" si="3"/>
        <v>396.72</v>
      </c>
      <c r="V421" s="66">
        <f t="shared" si="4"/>
        <v>0.0490797546</v>
      </c>
      <c r="W421" s="67">
        <f t="shared" si="5"/>
        <v>324.9</v>
      </c>
      <c r="X421" s="67">
        <f t="shared" si="6"/>
        <v>51.984</v>
      </c>
      <c r="Y421" s="67">
        <f t="shared" si="7"/>
        <v>376.884</v>
      </c>
      <c r="Z421" s="67">
        <f t="shared" si="8"/>
        <v>307.8</v>
      </c>
      <c r="AA421" s="67">
        <f t="shared" si="9"/>
        <v>49.248</v>
      </c>
      <c r="AB421" s="67">
        <f t="shared" si="10"/>
        <v>357.048</v>
      </c>
      <c r="AC421" s="67">
        <f t="shared" si="11"/>
        <v>290.7</v>
      </c>
      <c r="AD421" s="67">
        <f t="shared" si="12"/>
        <v>46.512</v>
      </c>
      <c r="AE421" s="67">
        <f t="shared" si="13"/>
        <v>337.212</v>
      </c>
      <c r="AF421" s="67">
        <f t="shared" si="14"/>
        <v>283.86</v>
      </c>
      <c r="AG421" s="67">
        <f t="shared" si="15"/>
        <v>45.4176</v>
      </c>
      <c r="AH421" s="67">
        <f t="shared" si="16"/>
        <v>329.2776</v>
      </c>
      <c r="AI421" s="67">
        <f t="shared" si="17"/>
        <v>273.6</v>
      </c>
      <c r="AJ421" s="68">
        <f t="shared" si="20"/>
        <v>43.776</v>
      </c>
      <c r="AK421" s="68">
        <f t="shared" si="21"/>
        <v>317.376</v>
      </c>
      <c r="AL421" s="70">
        <f>IFERROR(__xludf.DUMMYFUNCTION("""COMPUTED_VALUE"""),1.0)</f>
        <v>1</v>
      </c>
      <c r="AM421" s="70"/>
      <c r="AN421" s="71"/>
      <c r="AO421" s="71" t="str">
        <f>IFERROR(__xludf.DUMMYFUNCTION("""COMPUTED_VALUE""")," CA88")</f>
        <v>CA88</v>
      </c>
      <c r="AP421" s="71" t="str">
        <f>IFERROR(__xludf.DUMMYFUNCTION("""COMPUTED_VALUE""")," PZA")</f>
        <v>PZA</v>
      </c>
      <c r="AQ421" s="71" t="str">
        <f>IFERROR(__xludf.DUMMYFUNCTION("""COMPUTED_VALUE""")," REF")</f>
        <v>REF</v>
      </c>
      <c r="AR421" s="71" t="str">
        <f>IFERROR(__xludf.DUMMYFUNCTION("""COMPUTED_VALUE""")," CATARINA 50B80 E.1"" C.1/4")</f>
        <v>CATARINA 50B80 E.1" C.1/4</v>
      </c>
      <c r="AS421" s="71" t="str">
        <f>IFERROR(__xludf.DUMMYFUNCTION("""COMPUTED_VALUE""")," CATARINA 50B80 E.1"" C.1/4")</f>
        <v>CATARINA 50B80 E.1" C.1/4</v>
      </c>
      <c r="AT421" s="71">
        <f>IFERROR(__xludf.DUMMYFUNCTION("""COMPUTED_VALUE"""),25.0)</f>
        <v>25</v>
      </c>
      <c r="AU421" s="71"/>
      <c r="AV421" s="71"/>
      <c r="AW421" s="71"/>
      <c r="AX421" s="71"/>
      <c r="AY421" s="71"/>
      <c r="AZ421" s="71"/>
      <c r="BA421" s="71">
        <f>IFERROR(__xludf.DUMMYFUNCTION("""COMPUTED_VALUE"""),1100.0)</f>
        <v>1100</v>
      </c>
      <c r="BB421" s="71">
        <f>IFERROR(__xludf.DUMMYFUNCTION("""COMPUTED_VALUE"""),1100.0)</f>
        <v>1100</v>
      </c>
      <c r="BC421" s="71">
        <f>IFERROR(__xludf.DUMMYFUNCTION("""COMPUTED_VALUE"""),1188.0)</f>
        <v>1188</v>
      </c>
      <c r="BD421" s="71">
        <f>IFERROR(__xludf.DUMMYFUNCTION("""COMPUTED_VALUE"""),1247.0)</f>
        <v>1247</v>
      </c>
      <c r="BE421" s="71">
        <f>IFERROR(__xludf.DUMMYFUNCTION("""COMPUTED_VALUE"""),199.52)</f>
        <v>199.52</v>
      </c>
      <c r="BF421" s="71">
        <f>IFERROR(__xludf.DUMMYFUNCTION("""COMPUTED_VALUE"""),1446.52)</f>
        <v>1446.52</v>
      </c>
      <c r="BG421" s="71">
        <f>IFERROR(__xludf.DUMMYFUNCTION("""COMPUTED_VALUE"""),0.049663299663299666)</f>
        <v>0.04966329966</v>
      </c>
      <c r="BH421" s="71">
        <f>IFERROR(__xludf.DUMMYFUNCTION("""COMPUTED_VALUE"""),1184.6499999999999)</f>
        <v>1184.65</v>
      </c>
      <c r="BI421" s="71">
        <f>IFERROR(__xludf.DUMMYFUNCTION("""COMPUTED_VALUE"""),189.54399999999998)</f>
        <v>189.544</v>
      </c>
      <c r="BJ421" s="71">
        <f>IFERROR(__xludf.DUMMYFUNCTION("""COMPUTED_VALUE"""),1374.194)</f>
        <v>1374.194</v>
      </c>
      <c r="BK421" s="71">
        <f>IFERROR(__xludf.DUMMYFUNCTION("""COMPUTED_VALUE"""),1122.3)</f>
        <v>1122.3</v>
      </c>
      <c r="BL421" s="71">
        <f>IFERROR(__xludf.DUMMYFUNCTION("""COMPUTED_VALUE"""),179.56799999999998)</f>
        <v>179.568</v>
      </c>
      <c r="BM421" s="71">
        <f>IFERROR(__xludf.DUMMYFUNCTION("""COMPUTED_VALUE"""),1301.868)</f>
        <v>1301.868</v>
      </c>
      <c r="BN421" s="71">
        <f>IFERROR(__xludf.DUMMYFUNCTION("""COMPUTED_VALUE"""),1059.95)</f>
        <v>1059.95</v>
      </c>
      <c r="BO421" s="71">
        <f>IFERROR(__xludf.DUMMYFUNCTION("""COMPUTED_VALUE"""),169.592)</f>
        <v>169.592</v>
      </c>
      <c r="BP421" s="71">
        <f>IFERROR(__xludf.DUMMYFUNCTION("""COMPUTED_VALUE"""),1229.5420000000001)</f>
        <v>1229.542</v>
      </c>
      <c r="BQ421" s="71">
        <f>IFERROR(__xludf.DUMMYFUNCTION("""COMPUTED_VALUE"""),1035.01)</f>
        <v>1035.01</v>
      </c>
      <c r="BR421" s="71">
        <f>IFERROR(__xludf.DUMMYFUNCTION("""COMPUTED_VALUE"""),165.6016)</f>
        <v>165.6016</v>
      </c>
      <c r="BS421" s="71">
        <f>IFERROR(__xludf.DUMMYFUNCTION("""COMPUTED_VALUE"""),1200.6116)</f>
        <v>1200.6116</v>
      </c>
      <c r="BT421" s="71">
        <f>IFERROR(__xludf.DUMMYFUNCTION("""COMPUTED_VALUE"""),997.6)</f>
        <v>997.6</v>
      </c>
      <c r="BU421" s="71">
        <f>IFERROR(__xludf.DUMMYFUNCTION("""COMPUTED_VALUE"""),159.616)</f>
        <v>159.616</v>
      </c>
      <c r="BV421" s="71">
        <f>IFERROR(__xludf.DUMMYFUNCTION("""COMPUTED_VALUE"""),1157.2160000000001)</f>
        <v>1157.216</v>
      </c>
    </row>
    <row r="422">
      <c r="A422" s="53"/>
      <c r="B422" s="53"/>
      <c r="C422" s="53" t="s">
        <v>36</v>
      </c>
      <c r="D422" s="85" t="s">
        <v>1078</v>
      </c>
      <c r="E422" s="54" t="s">
        <v>38</v>
      </c>
      <c r="F422" s="55" t="s">
        <v>39</v>
      </c>
      <c r="G422" s="86" t="s">
        <v>1079</v>
      </c>
      <c r="H422" s="55"/>
      <c r="I422" s="54">
        <f t="shared" si="1"/>
        <v>0</v>
      </c>
      <c r="J422" s="56"/>
      <c r="K422" s="57"/>
      <c r="L422" s="76"/>
      <c r="M422" s="59"/>
      <c r="N422" s="60"/>
      <c r="O422" s="61">
        <v>364.8</v>
      </c>
      <c r="P422" s="62">
        <v>393.98400000000004</v>
      </c>
      <c r="Q422" s="63">
        <v>393.98400000000004</v>
      </c>
      <c r="R422" s="64">
        <v>414.0</v>
      </c>
      <c r="S422" s="107">
        <v>435.0</v>
      </c>
      <c r="T422" s="65">
        <f t="shared" si="2"/>
        <v>69.6</v>
      </c>
      <c r="U422" s="65">
        <f t="shared" si="3"/>
        <v>504.6</v>
      </c>
      <c r="V422" s="66">
        <f t="shared" si="4"/>
        <v>0.05072463768</v>
      </c>
      <c r="W422" s="67">
        <f t="shared" si="5"/>
        <v>413.25</v>
      </c>
      <c r="X422" s="67">
        <f t="shared" si="6"/>
        <v>66.12</v>
      </c>
      <c r="Y422" s="67">
        <f t="shared" si="7"/>
        <v>479.37</v>
      </c>
      <c r="Z422" s="67">
        <f t="shared" si="8"/>
        <v>391.5</v>
      </c>
      <c r="AA422" s="67">
        <f t="shared" si="9"/>
        <v>62.64</v>
      </c>
      <c r="AB422" s="67">
        <f t="shared" si="10"/>
        <v>454.14</v>
      </c>
      <c r="AC422" s="67">
        <f t="shared" si="11"/>
        <v>369.75</v>
      </c>
      <c r="AD422" s="67">
        <f t="shared" si="12"/>
        <v>59.16</v>
      </c>
      <c r="AE422" s="67">
        <f t="shared" si="13"/>
        <v>428.91</v>
      </c>
      <c r="AF422" s="67">
        <f t="shared" si="14"/>
        <v>361.05</v>
      </c>
      <c r="AG422" s="67">
        <f t="shared" si="15"/>
        <v>57.768</v>
      </c>
      <c r="AH422" s="67">
        <f t="shared" si="16"/>
        <v>418.818</v>
      </c>
      <c r="AI422" s="67">
        <f t="shared" si="17"/>
        <v>348</v>
      </c>
      <c r="AJ422" s="68">
        <f t="shared" si="20"/>
        <v>55.68</v>
      </c>
      <c r="AK422" s="68">
        <f t="shared" si="21"/>
        <v>403.68</v>
      </c>
      <c r="AL422" s="70">
        <f>IFERROR(__xludf.DUMMYFUNCTION("""COMPUTED_VALUE"""),1.0)</f>
        <v>1</v>
      </c>
      <c r="AM422" s="70">
        <f>IFERROR(__xludf.DUMMYFUNCTION("""COMPUTED_VALUE"""),0.0)</f>
        <v>0</v>
      </c>
      <c r="AN422" s="71" t="str">
        <f>IFERROR(__xludf.DUMMYFUNCTION("""COMPUTED_VALUE""")," CP")</f>
        <v>CP</v>
      </c>
      <c r="AO422" s="71" t="str">
        <f>IFERROR(__xludf.DUMMYFUNCTION("""COMPUTED_VALUE""")," CA89")</f>
        <v>CA89</v>
      </c>
      <c r="AP422" s="71" t="str">
        <f>IFERROR(__xludf.DUMMYFUNCTION("""COMPUTED_VALUE""")," PZA")</f>
        <v>PZA</v>
      </c>
      <c r="AQ422" s="71" t="str">
        <f>IFERROR(__xludf.DUMMYFUNCTION("""COMPUTED_VALUE""")," REF")</f>
        <v>REF</v>
      </c>
      <c r="AR422" s="71" t="str">
        <f>IFERROR(__xludf.DUMMYFUNCTION("""COMPUTED_VALUE""")," CATARINA 50B80 E.1"" C.1/4")</f>
        <v>CATARINA 50B80 E.1" C.1/4</v>
      </c>
      <c r="AS422" s="71" t="str">
        <f>IFERROR(__xludf.DUMMYFUNCTION("""COMPUTED_VALUE""")," CATARINA 50B80 E.1"" C.1/4")</f>
        <v>CATARINA 50B80 E.1" C.1/4</v>
      </c>
      <c r="AT422" s="71">
        <f>IFERROR(__xludf.DUMMYFUNCTION("""COMPUTED_VALUE"""),25.0)</f>
        <v>25</v>
      </c>
      <c r="AU422" s="71"/>
      <c r="AV422" s="71"/>
      <c r="AW422" s="71" t="str">
        <f>IFERROR(__xludf.DUMMYFUNCTION("""COMPUTED_VALUE""")," DAR DE BAJA")</f>
        <v>DAR DE BAJA</v>
      </c>
      <c r="AX422" s="71"/>
      <c r="AY422" s="71">
        <f>IFERROR(__xludf.DUMMYFUNCTION("""COMPUTED_VALUE"""),1703.0)</f>
        <v>1703</v>
      </c>
      <c r="AZ422" s="71">
        <f>IFERROR(__xludf.DUMMYFUNCTION("""COMPUTED_VALUE"""),1839.0)</f>
        <v>1839</v>
      </c>
      <c r="BA422" s="71">
        <f>IFERROR(__xludf.DUMMYFUNCTION("""COMPUTED_VALUE"""),1100.0)</f>
        <v>1100</v>
      </c>
      <c r="BB422" s="71">
        <f>IFERROR(__xludf.DUMMYFUNCTION("""COMPUTED_VALUE"""),1100.0)</f>
        <v>1100</v>
      </c>
      <c r="BC422" s="71">
        <f>IFERROR(__xludf.DUMMYFUNCTION("""COMPUTED_VALUE"""),1188.0)</f>
        <v>1188</v>
      </c>
      <c r="BD422" s="71">
        <f>IFERROR(__xludf.DUMMYFUNCTION("""COMPUTED_VALUE"""),1247.0)</f>
        <v>1247</v>
      </c>
      <c r="BE422" s="71">
        <f>IFERROR(__xludf.DUMMYFUNCTION("""COMPUTED_VALUE"""),199.52)</f>
        <v>199.52</v>
      </c>
      <c r="BF422" s="71">
        <f>IFERROR(__xludf.DUMMYFUNCTION("""COMPUTED_VALUE"""),1446.52)</f>
        <v>1446.52</v>
      </c>
      <c r="BG422" s="71">
        <f>IFERROR(__xludf.DUMMYFUNCTION("""COMPUTED_VALUE"""),0.049663299663299666)</f>
        <v>0.04966329966</v>
      </c>
      <c r="BH422" s="71" t="b">
        <f>IFERROR(__xludf.DUMMYFUNCTION("""COMPUTED_VALUE"""),FALSE)</f>
        <v>0</v>
      </c>
      <c r="BI422" s="71">
        <f>IFERROR(__xludf.DUMMYFUNCTION("""COMPUTED_VALUE"""),0.0)</f>
        <v>0</v>
      </c>
      <c r="BJ422" s="71">
        <f>IFERROR(__xludf.DUMMYFUNCTION("""COMPUTED_VALUE"""),0.0)</f>
        <v>0</v>
      </c>
      <c r="BK422" s="71" t="b">
        <f>IFERROR(__xludf.DUMMYFUNCTION("""COMPUTED_VALUE"""),FALSE)</f>
        <v>0</v>
      </c>
      <c r="BL422" s="71">
        <f>IFERROR(__xludf.DUMMYFUNCTION("""COMPUTED_VALUE"""),0.0)</f>
        <v>0</v>
      </c>
      <c r="BM422" s="71">
        <f>IFERROR(__xludf.DUMMYFUNCTION("""COMPUTED_VALUE"""),0.0)</f>
        <v>0</v>
      </c>
      <c r="BN422" s="71" t="b">
        <f>IFERROR(__xludf.DUMMYFUNCTION("""COMPUTED_VALUE"""),FALSE)</f>
        <v>0</v>
      </c>
      <c r="BO422" s="71">
        <f>IFERROR(__xludf.DUMMYFUNCTION("""COMPUTED_VALUE"""),0.0)</f>
        <v>0</v>
      </c>
      <c r="BP422" s="71">
        <f>IFERROR(__xludf.DUMMYFUNCTION("""COMPUTED_VALUE"""),0.0)</f>
        <v>0</v>
      </c>
      <c r="BQ422" s="71" t="b">
        <f>IFERROR(__xludf.DUMMYFUNCTION("""COMPUTED_VALUE"""),FALSE)</f>
        <v>0</v>
      </c>
      <c r="BR422" s="71">
        <f>IFERROR(__xludf.DUMMYFUNCTION("""COMPUTED_VALUE"""),0.0)</f>
        <v>0</v>
      </c>
      <c r="BS422" s="71">
        <f>IFERROR(__xludf.DUMMYFUNCTION("""COMPUTED_VALUE"""),0.0)</f>
        <v>0</v>
      </c>
      <c r="BT422" s="71" t="b">
        <f>IFERROR(__xludf.DUMMYFUNCTION("""COMPUTED_VALUE"""),FALSE)</f>
        <v>0</v>
      </c>
      <c r="BU422" s="71">
        <f>IFERROR(__xludf.DUMMYFUNCTION("""COMPUTED_VALUE"""),0.0)</f>
        <v>0</v>
      </c>
      <c r="BV422" s="71">
        <f>IFERROR(__xludf.DUMMYFUNCTION("""COMPUTED_VALUE"""),0.0)</f>
        <v>0</v>
      </c>
    </row>
    <row r="423">
      <c r="A423" s="53"/>
      <c r="B423" s="53"/>
      <c r="C423" s="53" t="s">
        <v>53</v>
      </c>
      <c r="D423" s="53" t="s">
        <v>1080</v>
      </c>
      <c r="E423" s="54" t="s">
        <v>38</v>
      </c>
      <c r="F423" s="54" t="s">
        <v>42</v>
      </c>
      <c r="G423" s="55" t="s">
        <v>1081</v>
      </c>
      <c r="H423" s="55" t="s">
        <v>1082</v>
      </c>
      <c r="I423" s="54">
        <f t="shared" si="1"/>
        <v>40</v>
      </c>
      <c r="J423" s="56"/>
      <c r="K423" s="75"/>
      <c r="L423" s="76"/>
      <c r="M423" s="59"/>
      <c r="N423" s="60"/>
      <c r="O423" s="61">
        <v>212.0</v>
      </c>
      <c r="P423" s="62">
        <v>228.96</v>
      </c>
      <c r="Q423" s="63">
        <v>228.96</v>
      </c>
      <c r="R423" s="64">
        <v>241.0</v>
      </c>
      <c r="S423" s="111">
        <v>253.0</v>
      </c>
      <c r="T423" s="65">
        <f t="shared" si="2"/>
        <v>40.48</v>
      </c>
      <c r="U423" s="65">
        <f t="shared" si="3"/>
        <v>293.48</v>
      </c>
      <c r="V423" s="66">
        <f t="shared" si="4"/>
        <v>0.04979253112</v>
      </c>
      <c r="W423" s="67">
        <f t="shared" si="5"/>
        <v>240.35</v>
      </c>
      <c r="X423" s="67">
        <f t="shared" si="6"/>
        <v>38.456</v>
      </c>
      <c r="Y423" s="67">
        <f t="shared" si="7"/>
        <v>278.806</v>
      </c>
      <c r="Z423" s="67">
        <f t="shared" si="8"/>
        <v>227.7</v>
      </c>
      <c r="AA423" s="67">
        <f t="shared" si="9"/>
        <v>36.432</v>
      </c>
      <c r="AB423" s="67">
        <f t="shared" si="10"/>
        <v>264.132</v>
      </c>
      <c r="AC423" s="67">
        <f t="shared" si="11"/>
        <v>215.05</v>
      </c>
      <c r="AD423" s="67">
        <f t="shared" si="12"/>
        <v>34.408</v>
      </c>
      <c r="AE423" s="67">
        <f t="shared" si="13"/>
        <v>249.458</v>
      </c>
      <c r="AF423" s="67">
        <f t="shared" si="14"/>
        <v>209.99</v>
      </c>
      <c r="AG423" s="67">
        <f t="shared" si="15"/>
        <v>33.5984</v>
      </c>
      <c r="AH423" s="67">
        <f t="shared" si="16"/>
        <v>243.5884</v>
      </c>
      <c r="AI423" s="67">
        <f t="shared" si="17"/>
        <v>202.4</v>
      </c>
      <c r="AJ423" s="68">
        <f t="shared" si="20"/>
        <v>32.384</v>
      </c>
      <c r="AK423" s="68">
        <f t="shared" si="21"/>
        <v>234.784</v>
      </c>
      <c r="AL423" s="70">
        <f>IFERROR(__xludf.DUMMYFUNCTION("""COMPUTED_VALUE"""),1.0)</f>
        <v>1</v>
      </c>
      <c r="AM423" s="70"/>
      <c r="AN423" s="71" t="str">
        <f>IFERROR(__xludf.DUMMYFUNCTION("""COMPUTED_VALUE""")," C")</f>
        <v>C</v>
      </c>
      <c r="AO423" s="71" t="str">
        <f>IFERROR(__xludf.DUMMYFUNCTION("""COMPUTED_VALUE""")," CA199")</f>
        <v>CA199</v>
      </c>
      <c r="AP423" s="71" t="str">
        <f>IFERROR(__xludf.DUMMYFUNCTION("""COMPUTED_VALUE""")," PZA")</f>
        <v>PZA</v>
      </c>
      <c r="AQ423" s="71" t="str">
        <f>IFERROR(__xludf.DUMMYFUNCTION("""COMPUTED_VALUE""")," REF")</f>
        <v>REF</v>
      </c>
      <c r="AR423" s="71" t="str">
        <f>IFERROR(__xludf.DUMMYFUNCTION("""COMPUTED_VALUE""")," CATARINA 50B88 E.1-1/4"" C.1/4")</f>
        <v>CATARINA 50B88 E.1-1/4" C.1/4</v>
      </c>
      <c r="AS423" s="71" t="str">
        <f>IFERROR(__xludf.DUMMYFUNCTION("""COMPUTED_VALUE""")," CATARINA 50B88 E.1-1/4"" C.1/4")</f>
        <v>CATARINA 50B88 E.1-1/4" C.1/4</v>
      </c>
      <c r="AT423" s="71">
        <f>IFERROR(__xludf.DUMMYFUNCTION("""COMPUTED_VALUE"""),29.0)</f>
        <v>29</v>
      </c>
      <c r="AU423" s="71"/>
      <c r="AV423" s="71"/>
      <c r="AW423" s="71"/>
      <c r="AX423" s="71"/>
      <c r="AY423" s="71">
        <f>IFERROR(__xludf.DUMMYFUNCTION("""COMPUTED_VALUE"""),1873.0)</f>
        <v>1873</v>
      </c>
      <c r="AZ423" s="71">
        <f>IFERROR(__xludf.DUMMYFUNCTION("""COMPUTED_VALUE"""),2022.0)</f>
        <v>2022</v>
      </c>
      <c r="BA423" s="71">
        <f>IFERROR(__xludf.DUMMYFUNCTION("""COMPUTED_VALUE"""),1200.0)</f>
        <v>1200</v>
      </c>
      <c r="BB423" s="71">
        <f>IFERROR(__xludf.DUMMYFUNCTION("""COMPUTED_VALUE"""),1200.0)</f>
        <v>1200</v>
      </c>
      <c r="BC423" s="71">
        <f>IFERROR(__xludf.DUMMYFUNCTION("""COMPUTED_VALUE"""),1260.0)</f>
        <v>1260</v>
      </c>
      <c r="BD423" s="71">
        <f>IFERROR(__xludf.DUMMYFUNCTION("""COMPUTED_VALUE"""),1323.0)</f>
        <v>1323</v>
      </c>
      <c r="BE423" s="71">
        <f>IFERROR(__xludf.DUMMYFUNCTION("""COMPUTED_VALUE"""),211.68)</f>
        <v>211.68</v>
      </c>
      <c r="BF423" s="71">
        <f>IFERROR(__xludf.DUMMYFUNCTION("""COMPUTED_VALUE"""),1534.68)</f>
        <v>1534.68</v>
      </c>
      <c r="BG423" s="71">
        <f>IFERROR(__xludf.DUMMYFUNCTION("""COMPUTED_VALUE"""),0.05)</f>
        <v>0.05</v>
      </c>
      <c r="BH423" s="71">
        <f>IFERROR(__xludf.DUMMYFUNCTION("""COMPUTED_VALUE"""),1256.85)</f>
        <v>1256.85</v>
      </c>
      <c r="BI423" s="71">
        <f>IFERROR(__xludf.DUMMYFUNCTION("""COMPUTED_VALUE"""),201.096)</f>
        <v>201.096</v>
      </c>
      <c r="BJ423" s="71">
        <f>IFERROR(__xludf.DUMMYFUNCTION("""COMPUTED_VALUE"""),1457.946)</f>
        <v>1457.946</v>
      </c>
      <c r="BK423" s="71">
        <f>IFERROR(__xludf.DUMMYFUNCTION("""COMPUTED_VALUE"""),1190.7)</f>
        <v>1190.7</v>
      </c>
      <c r="BL423" s="71">
        <f>IFERROR(__xludf.DUMMYFUNCTION("""COMPUTED_VALUE"""),190.512)</f>
        <v>190.512</v>
      </c>
      <c r="BM423" s="71">
        <f>IFERROR(__xludf.DUMMYFUNCTION("""COMPUTED_VALUE"""),1381.212)</f>
        <v>1381.212</v>
      </c>
      <c r="BN423" s="71">
        <f>IFERROR(__xludf.DUMMYFUNCTION("""COMPUTED_VALUE"""),1124.55)</f>
        <v>1124.55</v>
      </c>
      <c r="BO423" s="71">
        <f>IFERROR(__xludf.DUMMYFUNCTION("""COMPUTED_VALUE"""),179.928)</f>
        <v>179.928</v>
      </c>
      <c r="BP423" s="71">
        <f>IFERROR(__xludf.DUMMYFUNCTION("""COMPUTED_VALUE"""),1304.478)</f>
        <v>1304.478</v>
      </c>
      <c r="BQ423" s="71">
        <f>IFERROR(__xludf.DUMMYFUNCTION("""COMPUTED_VALUE"""),1098.09)</f>
        <v>1098.09</v>
      </c>
      <c r="BR423" s="71">
        <f>IFERROR(__xludf.DUMMYFUNCTION("""COMPUTED_VALUE"""),175.6944)</f>
        <v>175.6944</v>
      </c>
      <c r="BS423" s="71">
        <f>IFERROR(__xludf.DUMMYFUNCTION("""COMPUTED_VALUE"""),1273.7844)</f>
        <v>1273.7844</v>
      </c>
      <c r="BT423" s="71">
        <f>IFERROR(__xludf.DUMMYFUNCTION("""COMPUTED_VALUE"""),1058.4)</f>
        <v>1058.4</v>
      </c>
      <c r="BU423" s="71">
        <f>IFERROR(__xludf.DUMMYFUNCTION("""COMPUTED_VALUE"""),169.34400000000002)</f>
        <v>169.344</v>
      </c>
      <c r="BV423" s="71">
        <f>IFERROR(__xludf.DUMMYFUNCTION("""COMPUTED_VALUE"""),1227.7440000000001)</f>
        <v>1227.744</v>
      </c>
    </row>
    <row r="424">
      <c r="A424" s="53"/>
      <c r="B424" s="53"/>
      <c r="C424" s="53" t="s">
        <v>12</v>
      </c>
      <c r="D424" s="53" t="s">
        <v>1083</v>
      </c>
      <c r="E424" s="54" t="s">
        <v>38</v>
      </c>
      <c r="F424" s="54" t="s">
        <v>42</v>
      </c>
      <c r="G424" s="55" t="s">
        <v>1084</v>
      </c>
      <c r="H424" s="55" t="s">
        <v>1084</v>
      </c>
      <c r="I424" s="54">
        <f t="shared" si="1"/>
        <v>19</v>
      </c>
      <c r="J424" s="56"/>
      <c r="K424" s="57"/>
      <c r="L424" s="76"/>
      <c r="M424" s="59"/>
      <c r="N424" s="60"/>
      <c r="O424" s="61">
        <v>54.0</v>
      </c>
      <c r="P424" s="62">
        <v>58.32000000000001</v>
      </c>
      <c r="Q424" s="63">
        <v>58.32000000000001</v>
      </c>
      <c r="R424" s="64">
        <v>61.0</v>
      </c>
      <c r="S424" s="111">
        <v>64.0</v>
      </c>
      <c r="T424" s="65">
        <f t="shared" si="2"/>
        <v>10.24</v>
      </c>
      <c r="U424" s="65">
        <f t="shared" si="3"/>
        <v>74.24</v>
      </c>
      <c r="V424" s="66">
        <f t="shared" si="4"/>
        <v>0.04918032787</v>
      </c>
      <c r="W424" s="67">
        <f t="shared" si="5"/>
        <v>60.8</v>
      </c>
      <c r="X424" s="67">
        <f t="shared" si="6"/>
        <v>9.728</v>
      </c>
      <c r="Y424" s="67">
        <f t="shared" si="7"/>
        <v>70.528</v>
      </c>
      <c r="Z424" s="67">
        <f t="shared" si="8"/>
        <v>57.6</v>
      </c>
      <c r="AA424" s="67">
        <f t="shared" si="9"/>
        <v>9.216</v>
      </c>
      <c r="AB424" s="67">
        <f t="shared" si="10"/>
        <v>66.816</v>
      </c>
      <c r="AC424" s="67">
        <f t="shared" si="11"/>
        <v>54.4</v>
      </c>
      <c r="AD424" s="67">
        <f t="shared" si="12"/>
        <v>8.704</v>
      </c>
      <c r="AE424" s="67">
        <f t="shared" si="13"/>
        <v>63.104</v>
      </c>
      <c r="AF424" s="67">
        <f t="shared" si="14"/>
        <v>53.12</v>
      </c>
      <c r="AG424" s="67">
        <f t="shared" si="15"/>
        <v>8.4992</v>
      </c>
      <c r="AH424" s="67">
        <f t="shared" si="16"/>
        <v>61.6192</v>
      </c>
      <c r="AI424" s="67">
        <f t="shared" si="17"/>
        <v>51.2</v>
      </c>
      <c r="AJ424" s="68">
        <f t="shared" si="20"/>
        <v>8.192</v>
      </c>
      <c r="AK424" s="68">
        <f t="shared" si="21"/>
        <v>59.392</v>
      </c>
      <c r="AL424" s="70">
        <f>IFERROR(__xludf.DUMMYFUNCTION("""COMPUTED_VALUE"""),1.0)</f>
        <v>1</v>
      </c>
      <c r="AM424" s="70"/>
      <c r="AN424" s="71" t="str">
        <f>IFERROR(__xludf.DUMMYFUNCTION("""COMPUTED_VALUE""")," CP")</f>
        <v>CP</v>
      </c>
      <c r="AO424" s="71" t="str">
        <f>IFERROR(__xludf.DUMMYFUNCTION("""COMPUTED_VALUE""")," CA01")</f>
        <v>CA01</v>
      </c>
      <c r="AP424" s="71" t="str">
        <f>IFERROR(__xludf.DUMMYFUNCTION("""COMPUTED_VALUE""")," PZA")</f>
        <v>PZA</v>
      </c>
      <c r="AQ424" s="71" t="str">
        <f>IFERROR(__xludf.DUMMYFUNCTION("""COMPUTED_VALUE""")," REF")</f>
        <v>REF</v>
      </c>
      <c r="AR424" s="71" t="str">
        <f>IFERROR(__xludf.DUMMYFUNCTION("""COMPUTED_VALUE""")," CATARINA 9 DTES P50 P/DIFERENCIAL")</f>
        <v>CATARINA 9 DTES P50 P/DIFERENCIAL</v>
      </c>
      <c r="AS424" s="71" t="str">
        <f>IFERROR(__xludf.DUMMYFUNCTION("""COMPUTED_VALUE""")," CATARINA 9 DTES P50 P/DIFERENCIAL")</f>
        <v>CATARINA 9 DTES P50 P/DIFERENCIAL</v>
      </c>
      <c r="AT424" s="71">
        <f>IFERROR(__xludf.DUMMYFUNCTION("""COMPUTED_VALUE"""),33.0)</f>
        <v>33</v>
      </c>
      <c r="AU424" s="71"/>
      <c r="AV424" s="71"/>
      <c r="AW424" s="71"/>
      <c r="AX424" s="71"/>
      <c r="AY424" s="71">
        <f>IFERROR(__xludf.DUMMYFUNCTION("""COMPUTED_VALUE"""),254.0)</f>
        <v>254</v>
      </c>
      <c r="AZ424" s="71">
        <f>IFERROR(__xludf.DUMMYFUNCTION("""COMPUTED_VALUE"""),274.0)</f>
        <v>274</v>
      </c>
      <c r="BA424" s="71">
        <f>IFERROR(__xludf.DUMMYFUNCTION("""COMPUTED_VALUE"""),295.92)</f>
        <v>295.92</v>
      </c>
      <c r="BB424" s="71">
        <f>IFERROR(__xludf.DUMMYFUNCTION("""COMPUTED_VALUE"""),295.92)</f>
        <v>295.92</v>
      </c>
      <c r="BC424" s="71">
        <f>IFERROR(__xludf.DUMMYFUNCTION("""COMPUTED_VALUE"""),340.0)</f>
        <v>340</v>
      </c>
      <c r="BD424" s="71">
        <f>IFERROR(__xludf.DUMMYFUNCTION("""COMPUTED_VALUE"""),357.0)</f>
        <v>357</v>
      </c>
      <c r="BE424" s="71">
        <f>IFERROR(__xludf.DUMMYFUNCTION("""COMPUTED_VALUE"""),57.120000000000005)</f>
        <v>57.12</v>
      </c>
      <c r="BF424" s="71">
        <f>IFERROR(__xludf.DUMMYFUNCTION("""COMPUTED_VALUE"""),414.12)</f>
        <v>414.12</v>
      </c>
      <c r="BG424" s="71">
        <f>IFERROR(__xludf.DUMMYFUNCTION("""COMPUTED_VALUE"""),0.05)</f>
        <v>0.05</v>
      </c>
      <c r="BH424" s="71">
        <f>IFERROR(__xludf.DUMMYFUNCTION("""COMPUTED_VALUE"""),339.15)</f>
        <v>339.15</v>
      </c>
      <c r="BI424" s="71">
        <f>IFERROR(__xludf.DUMMYFUNCTION("""COMPUTED_VALUE"""),54.263999999999996)</f>
        <v>54.264</v>
      </c>
      <c r="BJ424" s="71">
        <f>IFERROR(__xludf.DUMMYFUNCTION("""COMPUTED_VALUE"""),393.414)</f>
        <v>393.414</v>
      </c>
      <c r="BK424" s="71">
        <f>IFERROR(__xludf.DUMMYFUNCTION("""COMPUTED_VALUE"""),321.3)</f>
        <v>321.3</v>
      </c>
      <c r="BL424" s="71">
        <f>IFERROR(__xludf.DUMMYFUNCTION("""COMPUTED_VALUE"""),51.408)</f>
        <v>51.408</v>
      </c>
      <c r="BM424" s="71">
        <f>IFERROR(__xludf.DUMMYFUNCTION("""COMPUTED_VALUE"""),372.708)</f>
        <v>372.708</v>
      </c>
      <c r="BN424" s="71">
        <f>IFERROR(__xludf.DUMMYFUNCTION("""COMPUTED_VALUE"""),303.45)</f>
        <v>303.45</v>
      </c>
      <c r="BO424" s="71">
        <f>IFERROR(__xludf.DUMMYFUNCTION("""COMPUTED_VALUE"""),48.552)</f>
        <v>48.552</v>
      </c>
      <c r="BP424" s="71">
        <f>IFERROR(__xludf.DUMMYFUNCTION("""COMPUTED_VALUE"""),352.002)</f>
        <v>352.002</v>
      </c>
      <c r="BQ424" s="71">
        <f>IFERROR(__xludf.DUMMYFUNCTION("""COMPUTED_VALUE"""),296.31)</f>
        <v>296.31</v>
      </c>
      <c r="BR424" s="71">
        <f>IFERROR(__xludf.DUMMYFUNCTION("""COMPUTED_VALUE"""),47.409600000000005)</f>
        <v>47.4096</v>
      </c>
      <c r="BS424" s="71">
        <f>IFERROR(__xludf.DUMMYFUNCTION("""COMPUTED_VALUE"""),343.7196)</f>
        <v>343.7196</v>
      </c>
      <c r="BT424" s="71">
        <f>IFERROR(__xludf.DUMMYFUNCTION("""COMPUTED_VALUE"""),285.6)</f>
        <v>285.6</v>
      </c>
      <c r="BU424" s="71">
        <f>IFERROR(__xludf.DUMMYFUNCTION("""COMPUTED_VALUE"""),45.696000000000005)</f>
        <v>45.696</v>
      </c>
      <c r="BV424" s="71">
        <f>IFERROR(__xludf.DUMMYFUNCTION("""COMPUTED_VALUE"""),331.29600000000005)</f>
        <v>331.296</v>
      </c>
    </row>
    <row r="425">
      <c r="A425" s="53"/>
      <c r="B425" s="53"/>
      <c r="C425" s="53" t="s">
        <v>36</v>
      </c>
      <c r="D425" s="85" t="s">
        <v>1085</v>
      </c>
      <c r="E425" s="54" t="s">
        <v>38</v>
      </c>
      <c r="F425" s="55" t="s">
        <v>39</v>
      </c>
      <c r="G425" s="86" t="s">
        <v>1086</v>
      </c>
      <c r="H425" s="55"/>
      <c r="I425" s="54">
        <f t="shared" si="1"/>
        <v>0</v>
      </c>
      <c r="J425" s="56"/>
      <c r="K425" s="57"/>
      <c r="L425" s="76"/>
      <c r="M425" s="59"/>
      <c r="N425" s="60"/>
      <c r="O425" s="61">
        <v>3189.12</v>
      </c>
      <c r="P425" s="62">
        <v>1966.0</v>
      </c>
      <c r="Q425" s="63">
        <v>1966.0</v>
      </c>
      <c r="R425" s="64">
        <v>1736.0</v>
      </c>
      <c r="S425" s="107">
        <v>1823.0</v>
      </c>
      <c r="T425" s="65">
        <f t="shared" si="2"/>
        <v>291.68</v>
      </c>
      <c r="U425" s="65">
        <f t="shared" si="3"/>
        <v>2114.68</v>
      </c>
      <c r="V425" s="66">
        <f t="shared" si="4"/>
        <v>0.05011520737</v>
      </c>
      <c r="W425" s="67">
        <f t="shared" si="5"/>
        <v>1731.85</v>
      </c>
      <c r="X425" s="67">
        <f t="shared" si="6"/>
        <v>277.096</v>
      </c>
      <c r="Y425" s="67">
        <f t="shared" si="7"/>
        <v>2008.946</v>
      </c>
      <c r="Z425" s="67">
        <f t="shared" si="8"/>
        <v>1640.7</v>
      </c>
      <c r="AA425" s="67">
        <f t="shared" si="9"/>
        <v>262.512</v>
      </c>
      <c r="AB425" s="67">
        <f t="shared" si="10"/>
        <v>1903.212</v>
      </c>
      <c r="AC425" s="67">
        <f t="shared" si="11"/>
        <v>1549.55</v>
      </c>
      <c r="AD425" s="67">
        <f t="shared" si="12"/>
        <v>247.928</v>
      </c>
      <c r="AE425" s="67">
        <f t="shared" si="13"/>
        <v>1797.478</v>
      </c>
      <c r="AF425" s="67">
        <f t="shared" si="14"/>
        <v>1513.09</v>
      </c>
      <c r="AG425" s="67">
        <f t="shared" si="15"/>
        <v>242.0944</v>
      </c>
      <c r="AH425" s="67">
        <f t="shared" si="16"/>
        <v>1755.1844</v>
      </c>
      <c r="AI425" s="67">
        <f t="shared" si="17"/>
        <v>1458.4</v>
      </c>
      <c r="AJ425" s="68">
        <f t="shared" si="20"/>
        <v>233.344</v>
      </c>
      <c r="AK425" s="68">
        <f t="shared" si="21"/>
        <v>1691.744</v>
      </c>
      <c r="AL425" s="70">
        <f>IFERROR(__xludf.DUMMYFUNCTION("""COMPUTED_VALUE"""),1.0)</f>
        <v>1</v>
      </c>
      <c r="AM425" s="70"/>
      <c r="AN425" s="71" t="str">
        <f>IFERROR(__xludf.DUMMYFUNCTION("""COMPUTED_VALUE""")," P")</f>
        <v>P</v>
      </c>
      <c r="AO425" s="71" t="str">
        <f>IFERROR(__xludf.DUMMYFUNCTION("""COMPUTED_VALUE""")," CV01")</f>
        <v>CV01</v>
      </c>
      <c r="AP425" s="71" t="str">
        <f>IFERROR(__xludf.DUMMYFUNCTION("""COMPUTED_VALUE""")," PZA")</f>
        <v>PZA</v>
      </c>
      <c r="AQ425" s="71" t="str">
        <f>IFERROR(__xludf.DUMMYFUNCTION("""COMPUTED_VALUE""")," REF")</f>
        <v>REF</v>
      </c>
      <c r="AR425" s="71" t="str">
        <f>IFERROR(__xludf.DUMMYFUNCTION("""COMPUTED_VALUE""")," CENTRO DE VENTILADOR NORMAL ARMADO")</f>
        <v>CENTRO DE VENTILADOR NORMAL ARMADO</v>
      </c>
      <c r="AS425" s="71" t="str">
        <f>IFERROR(__xludf.DUMMYFUNCTION("""COMPUTED_VALUE""")," CENTRO DE VENTILADOR NORMAL ARMADO")</f>
        <v>CENTRO DE VENTILADOR NORMAL ARMADO</v>
      </c>
      <c r="AT425" s="71">
        <f>IFERROR(__xludf.DUMMYFUNCTION("""COMPUTED_VALUE"""),34.0)</f>
        <v>34</v>
      </c>
      <c r="AU425" s="71"/>
      <c r="AV425" s="71"/>
      <c r="AW425" s="71"/>
      <c r="AX425" s="71"/>
      <c r="AY425" s="71">
        <f>IFERROR(__xludf.DUMMYFUNCTION("""COMPUTED_VALUE"""),756.0)</f>
        <v>756</v>
      </c>
      <c r="AZ425" s="71">
        <f>IFERROR(__xludf.DUMMYFUNCTION("""COMPUTED_VALUE"""),816.0)</f>
        <v>816</v>
      </c>
      <c r="BA425" s="71">
        <f>IFERROR(__xludf.DUMMYFUNCTION("""COMPUTED_VALUE"""),881.2800000000001)</f>
        <v>881.28</v>
      </c>
      <c r="BB425" s="71">
        <f>IFERROR(__xludf.DUMMYFUNCTION("""COMPUTED_VALUE"""),881.2800000000001)</f>
        <v>881.28</v>
      </c>
      <c r="BC425" s="71">
        <f>IFERROR(__xludf.DUMMYFUNCTION("""COMPUTED_VALUE"""),982.0)</f>
        <v>982</v>
      </c>
      <c r="BD425" s="71">
        <f>IFERROR(__xludf.DUMMYFUNCTION("""COMPUTED_VALUE"""),1031.0)</f>
        <v>1031</v>
      </c>
      <c r="BE425" s="71">
        <f>IFERROR(__xludf.DUMMYFUNCTION("""COMPUTED_VALUE"""),164.96)</f>
        <v>164.96</v>
      </c>
      <c r="BF425" s="71">
        <f>IFERROR(__xludf.DUMMYFUNCTION("""COMPUTED_VALUE"""),1195.96)</f>
        <v>1195.96</v>
      </c>
      <c r="BG425" s="71">
        <f>IFERROR(__xludf.DUMMYFUNCTION("""COMPUTED_VALUE"""),0.04989816700610998)</f>
        <v>0.04989816701</v>
      </c>
      <c r="BH425" s="71">
        <f>IFERROR(__xludf.DUMMYFUNCTION("""COMPUTED_VALUE"""),979.4499999999999)</f>
        <v>979.45</v>
      </c>
      <c r="BI425" s="71">
        <f>IFERROR(__xludf.DUMMYFUNCTION("""COMPUTED_VALUE"""),156.712)</f>
        <v>156.712</v>
      </c>
      <c r="BJ425" s="71">
        <f>IFERROR(__xludf.DUMMYFUNCTION("""COMPUTED_VALUE"""),1136.1619999999998)</f>
        <v>1136.162</v>
      </c>
      <c r="BK425" s="71">
        <f>IFERROR(__xludf.DUMMYFUNCTION("""COMPUTED_VALUE"""),927.9)</f>
        <v>927.9</v>
      </c>
      <c r="BL425" s="71">
        <f>IFERROR(__xludf.DUMMYFUNCTION("""COMPUTED_VALUE"""),148.464)</f>
        <v>148.464</v>
      </c>
      <c r="BM425" s="71">
        <f>IFERROR(__xludf.DUMMYFUNCTION("""COMPUTED_VALUE"""),1076.364)</f>
        <v>1076.364</v>
      </c>
      <c r="BN425" s="71">
        <f>IFERROR(__xludf.DUMMYFUNCTION("""COMPUTED_VALUE"""),876.35)</f>
        <v>876.35</v>
      </c>
      <c r="BO425" s="71">
        <f>IFERROR(__xludf.DUMMYFUNCTION("""COMPUTED_VALUE"""),140.216)</f>
        <v>140.216</v>
      </c>
      <c r="BP425" s="71">
        <f>IFERROR(__xludf.DUMMYFUNCTION("""COMPUTED_VALUE"""),1016.566)</f>
        <v>1016.566</v>
      </c>
      <c r="BQ425" s="71">
        <f>IFERROR(__xludf.DUMMYFUNCTION("""COMPUTED_VALUE"""),855.7299999999999)</f>
        <v>855.73</v>
      </c>
      <c r="BR425" s="71">
        <f>IFERROR(__xludf.DUMMYFUNCTION("""COMPUTED_VALUE"""),136.9168)</f>
        <v>136.9168</v>
      </c>
      <c r="BS425" s="71">
        <f>IFERROR(__xludf.DUMMYFUNCTION("""COMPUTED_VALUE"""),992.6467999999999)</f>
        <v>992.6468</v>
      </c>
      <c r="BT425" s="71">
        <f>IFERROR(__xludf.DUMMYFUNCTION("""COMPUTED_VALUE"""),824.8000000000001)</f>
        <v>824.8</v>
      </c>
      <c r="BU425" s="71">
        <f>IFERROR(__xludf.DUMMYFUNCTION("""COMPUTED_VALUE"""),131.96800000000002)</f>
        <v>131.968</v>
      </c>
      <c r="BV425" s="71">
        <f>IFERROR(__xludf.DUMMYFUNCTION("""COMPUTED_VALUE"""),956.768)</f>
        <v>956.768</v>
      </c>
    </row>
    <row r="426">
      <c r="A426" s="53"/>
      <c r="B426" s="53">
        <v>3.0</v>
      </c>
      <c r="C426" s="53" t="s">
        <v>36</v>
      </c>
      <c r="D426" s="85" t="s">
        <v>1087</v>
      </c>
      <c r="E426" s="54" t="s">
        <v>38</v>
      </c>
      <c r="F426" s="55" t="s">
        <v>96</v>
      </c>
      <c r="G426" s="84" t="s">
        <v>1088</v>
      </c>
      <c r="H426" s="84"/>
      <c r="I426" s="54">
        <f t="shared" si="1"/>
        <v>0</v>
      </c>
      <c r="J426" s="102"/>
      <c r="K426" s="102"/>
      <c r="L426" s="76"/>
      <c r="M426" s="59"/>
      <c r="N426" s="60"/>
      <c r="O426" s="100">
        <v>40805.0</v>
      </c>
      <c r="P426" s="62">
        <v>44069.4</v>
      </c>
      <c r="Q426" s="63">
        <v>44069.4</v>
      </c>
      <c r="R426" s="64">
        <v>48586.0</v>
      </c>
      <c r="S426" s="107">
        <v>51015.0</v>
      </c>
      <c r="T426" s="65">
        <f t="shared" si="2"/>
        <v>8162.4</v>
      </c>
      <c r="U426" s="65">
        <f t="shared" si="3"/>
        <v>59177.4</v>
      </c>
      <c r="V426" s="66">
        <f t="shared" si="4"/>
        <v>0.04999382538</v>
      </c>
      <c r="W426" s="67">
        <f t="shared" si="5"/>
        <v>48464.25</v>
      </c>
      <c r="X426" s="67">
        <f t="shared" si="6"/>
        <v>7754.28</v>
      </c>
      <c r="Y426" s="67">
        <f t="shared" si="7"/>
        <v>56218.53</v>
      </c>
      <c r="Z426" s="67">
        <f t="shared" si="8"/>
        <v>45913.5</v>
      </c>
      <c r="AA426" s="67">
        <f t="shared" si="9"/>
        <v>7346.16</v>
      </c>
      <c r="AB426" s="67">
        <f t="shared" si="10"/>
        <v>53259.66</v>
      </c>
      <c r="AC426" s="67">
        <f t="shared" si="11"/>
        <v>45913.5</v>
      </c>
      <c r="AD426" s="67">
        <f t="shared" si="12"/>
        <v>7346.16</v>
      </c>
      <c r="AE426" s="67">
        <f t="shared" si="13"/>
        <v>53259.66</v>
      </c>
      <c r="AF426" s="67">
        <f t="shared" si="14"/>
        <v>45913.5</v>
      </c>
      <c r="AG426" s="67">
        <f t="shared" si="15"/>
        <v>7346.16</v>
      </c>
      <c r="AH426" s="67">
        <f t="shared" si="16"/>
        <v>53259.66</v>
      </c>
      <c r="AI426" s="67">
        <f t="shared" si="17"/>
        <v>45913.5</v>
      </c>
      <c r="AJ426" s="68">
        <f t="shared" si="20"/>
        <v>7346.16</v>
      </c>
      <c r="AK426" s="68">
        <f t="shared" si="21"/>
        <v>53259.66</v>
      </c>
      <c r="AL426" s="70">
        <f>IFERROR(__xludf.DUMMYFUNCTION("""COMPUTED_VALUE"""),1.0)</f>
        <v>1</v>
      </c>
      <c r="AM426" s="70"/>
      <c r="AN426" s="71" t="str">
        <f>IFERROR(__xludf.DUMMYFUNCTION("""COMPUTED_VALUE""")," P")</f>
        <v>P</v>
      </c>
      <c r="AO426" s="71" t="str">
        <f>IFERROR(__xludf.DUMMYFUNCTION("""COMPUTED_VALUE""")," CV02")</f>
        <v>CV02</v>
      </c>
      <c r="AP426" s="71" t="str">
        <f>IFERROR(__xludf.DUMMYFUNCTION("""COMPUTED_VALUE""")," PZA")</f>
        <v>PZA</v>
      </c>
      <c r="AQ426" s="71" t="str">
        <f>IFERROR(__xludf.DUMMYFUNCTION("""COMPUTED_VALUE""")," REF")</f>
        <v>REF</v>
      </c>
      <c r="AR426" s="71" t="str">
        <f>IFERROR(__xludf.DUMMYFUNCTION("""COMPUTED_VALUE""")," CENTRO DE VENTILADOR NORMAL SOLO")</f>
        <v>CENTRO DE VENTILADOR NORMAL SOLO</v>
      </c>
      <c r="AS426" s="71" t="str">
        <f>IFERROR(__xludf.DUMMYFUNCTION("""COMPUTED_VALUE""")," CENTRO DE VENTILADOR NORMAL SOLO")</f>
        <v>CENTRO DE VENTILADOR NORMAL SOLO</v>
      </c>
      <c r="AT426" s="71">
        <f>IFERROR(__xludf.DUMMYFUNCTION("""COMPUTED_VALUE"""),32.0)</f>
        <v>32</v>
      </c>
      <c r="AU426" s="71"/>
      <c r="AV426" s="71"/>
      <c r="AW426" s="71"/>
      <c r="AX426" s="71"/>
      <c r="AY426" s="71">
        <f>IFERROR(__xludf.DUMMYFUNCTION("""COMPUTED_VALUE"""),256.0)</f>
        <v>256</v>
      </c>
      <c r="AZ426" s="71">
        <f>IFERROR(__xludf.DUMMYFUNCTION("""COMPUTED_VALUE"""),276.0)</f>
        <v>276</v>
      </c>
      <c r="BA426" s="71">
        <f>IFERROR(__xludf.DUMMYFUNCTION("""COMPUTED_VALUE"""),298.08000000000004)</f>
        <v>298.08</v>
      </c>
      <c r="BB426" s="71">
        <f>IFERROR(__xludf.DUMMYFUNCTION("""COMPUTED_VALUE"""),298.08000000000004)</f>
        <v>298.08</v>
      </c>
      <c r="BC426" s="71">
        <f>IFERROR(__xludf.DUMMYFUNCTION("""COMPUTED_VALUE"""),332.0)</f>
        <v>332</v>
      </c>
      <c r="BD426" s="71">
        <f>IFERROR(__xludf.DUMMYFUNCTION("""COMPUTED_VALUE"""),349.0)</f>
        <v>349</v>
      </c>
      <c r="BE426" s="71">
        <f>IFERROR(__xludf.DUMMYFUNCTION("""COMPUTED_VALUE"""),55.84)</f>
        <v>55.84</v>
      </c>
      <c r="BF426" s="71">
        <f>IFERROR(__xludf.DUMMYFUNCTION("""COMPUTED_VALUE"""),404.84000000000003)</f>
        <v>404.84</v>
      </c>
      <c r="BG426" s="71">
        <f>IFERROR(__xludf.DUMMYFUNCTION("""COMPUTED_VALUE"""),0.05120481927710843)</f>
        <v>0.05120481928</v>
      </c>
      <c r="BH426" s="71">
        <f>IFERROR(__xludf.DUMMYFUNCTION("""COMPUTED_VALUE"""),331.55)</f>
        <v>331.55</v>
      </c>
      <c r="BI426" s="71">
        <f>IFERROR(__xludf.DUMMYFUNCTION("""COMPUTED_VALUE"""),53.048)</f>
        <v>53.048</v>
      </c>
      <c r="BJ426" s="71">
        <f>IFERROR(__xludf.DUMMYFUNCTION("""COMPUTED_VALUE"""),384.598)</f>
        <v>384.598</v>
      </c>
      <c r="BK426" s="71">
        <f>IFERROR(__xludf.DUMMYFUNCTION("""COMPUTED_VALUE"""),314.1)</f>
        <v>314.1</v>
      </c>
      <c r="BL426" s="71">
        <f>IFERROR(__xludf.DUMMYFUNCTION("""COMPUTED_VALUE"""),50.25600000000001)</f>
        <v>50.256</v>
      </c>
      <c r="BM426" s="71">
        <f>IFERROR(__xludf.DUMMYFUNCTION("""COMPUTED_VALUE"""),364.35600000000005)</f>
        <v>364.356</v>
      </c>
      <c r="BN426" s="71">
        <f>IFERROR(__xludf.DUMMYFUNCTION("""COMPUTED_VALUE"""),296.65)</f>
        <v>296.65</v>
      </c>
      <c r="BO426" s="71">
        <f>IFERROR(__xludf.DUMMYFUNCTION("""COMPUTED_VALUE"""),47.464)</f>
        <v>47.464</v>
      </c>
      <c r="BP426" s="71">
        <f>IFERROR(__xludf.DUMMYFUNCTION("""COMPUTED_VALUE"""),344.114)</f>
        <v>344.114</v>
      </c>
      <c r="BQ426" s="71">
        <f>IFERROR(__xludf.DUMMYFUNCTION("""COMPUTED_VALUE"""),289.66999999999996)</f>
        <v>289.67</v>
      </c>
      <c r="BR426" s="71">
        <f>IFERROR(__xludf.DUMMYFUNCTION("""COMPUTED_VALUE"""),46.347199999999994)</f>
        <v>46.3472</v>
      </c>
      <c r="BS426" s="71">
        <f>IFERROR(__xludf.DUMMYFUNCTION("""COMPUTED_VALUE"""),336.01719999999995)</f>
        <v>336.0172</v>
      </c>
      <c r="BT426" s="71">
        <f>IFERROR(__xludf.DUMMYFUNCTION("""COMPUTED_VALUE"""),279.2)</f>
        <v>279.2</v>
      </c>
      <c r="BU426" s="71">
        <f>IFERROR(__xludf.DUMMYFUNCTION("""COMPUTED_VALUE"""),44.672)</f>
        <v>44.672</v>
      </c>
      <c r="BV426" s="71">
        <f>IFERROR(__xludf.DUMMYFUNCTION("""COMPUTED_VALUE"""),323.87199999999996)</f>
        <v>323.872</v>
      </c>
    </row>
    <row r="427">
      <c r="A427" s="53"/>
      <c r="B427" s="53">
        <v>3.0</v>
      </c>
      <c r="C427" s="53" t="s">
        <v>36</v>
      </c>
      <c r="D427" s="85" t="s">
        <v>1089</v>
      </c>
      <c r="E427" s="54" t="s">
        <v>38</v>
      </c>
      <c r="F427" s="55" t="s">
        <v>96</v>
      </c>
      <c r="G427" s="106" t="s">
        <v>1090</v>
      </c>
      <c r="H427" s="106"/>
      <c r="I427" s="54">
        <f t="shared" si="1"/>
        <v>0</v>
      </c>
      <c r="J427" s="103"/>
      <c r="K427" s="103"/>
      <c r="L427" s="76"/>
      <c r="M427" s="59"/>
      <c r="N427" s="60"/>
      <c r="O427" s="104">
        <v>162378.0</v>
      </c>
      <c r="P427" s="62">
        <v>175368.24000000002</v>
      </c>
      <c r="Q427" s="63">
        <v>175368.24000000002</v>
      </c>
      <c r="R427" s="64">
        <v>193343.0</v>
      </c>
      <c r="S427" s="107">
        <v>203010.0</v>
      </c>
      <c r="T427" s="65">
        <f t="shared" si="2"/>
        <v>32481.6</v>
      </c>
      <c r="U427" s="65">
        <f t="shared" si="3"/>
        <v>235491.6</v>
      </c>
      <c r="V427" s="66">
        <f t="shared" si="4"/>
        <v>0.04999922418</v>
      </c>
      <c r="W427" s="67">
        <f t="shared" si="5"/>
        <v>192859.5</v>
      </c>
      <c r="X427" s="67">
        <f t="shared" si="6"/>
        <v>30857.52</v>
      </c>
      <c r="Y427" s="67">
        <f t="shared" si="7"/>
        <v>223717.02</v>
      </c>
      <c r="Z427" s="67">
        <f t="shared" si="8"/>
        <v>182709</v>
      </c>
      <c r="AA427" s="67">
        <f t="shared" si="9"/>
        <v>29233.44</v>
      </c>
      <c r="AB427" s="67">
        <f t="shared" si="10"/>
        <v>211942.44</v>
      </c>
      <c r="AC427" s="67">
        <f t="shared" si="11"/>
        <v>182709</v>
      </c>
      <c r="AD427" s="67">
        <f t="shared" si="12"/>
        <v>29233.44</v>
      </c>
      <c r="AE427" s="67">
        <f t="shared" si="13"/>
        <v>211942.44</v>
      </c>
      <c r="AF427" s="67">
        <f t="shared" si="14"/>
        <v>182709</v>
      </c>
      <c r="AG427" s="67">
        <f t="shared" si="15"/>
        <v>29233.44</v>
      </c>
      <c r="AH427" s="67">
        <f t="shared" si="16"/>
        <v>211942.44</v>
      </c>
      <c r="AI427" s="67">
        <f t="shared" si="17"/>
        <v>182709</v>
      </c>
      <c r="AJ427" s="68">
        <f t="shared" si="20"/>
        <v>29233.44</v>
      </c>
      <c r="AK427" s="68">
        <f t="shared" si="21"/>
        <v>211942.44</v>
      </c>
      <c r="AL427" s="70">
        <f>IFERROR(__xludf.DUMMYFUNCTION("""COMPUTED_VALUE"""),1.0)</f>
        <v>1</v>
      </c>
      <c r="AM427" s="70"/>
      <c r="AN427" s="71" t="str">
        <f>IFERROR(__xludf.DUMMYFUNCTION("""COMPUTED_VALUE""")," P")</f>
        <v>P</v>
      </c>
      <c r="AO427" s="71" t="str">
        <f>IFERROR(__xludf.DUMMYFUNCTION("""COMPUTED_VALUE""")," CV03")</f>
        <v>CV03</v>
      </c>
      <c r="AP427" s="71" t="str">
        <f>IFERROR(__xludf.DUMMYFUNCTION("""COMPUTED_VALUE""")," PZA")</f>
        <v>PZA</v>
      </c>
      <c r="AQ427" s="71" t="str">
        <f>IFERROR(__xludf.DUMMYFUNCTION("""COMPUTED_VALUE""")," REF")</f>
        <v>REF</v>
      </c>
      <c r="AR427" s="71" t="str">
        <f>IFERROR(__xludf.DUMMYFUNCTION("""COMPUTED_VALUE""")," CENTRO DE VENTILADOR REFORZADO ARMADO")</f>
        <v>CENTRO DE VENTILADOR REFORZADO ARMADO</v>
      </c>
      <c r="AS427" s="71" t="str">
        <f>IFERROR(__xludf.DUMMYFUNCTION("""COMPUTED_VALUE""")," CENTRO DE VENTILADOR REFORZADO ARMADO")</f>
        <v>CENTRO DE VENTILADOR REFORZADO ARMADO</v>
      </c>
      <c r="AT427" s="71">
        <f>IFERROR(__xludf.DUMMYFUNCTION("""COMPUTED_VALUE"""),37.0)</f>
        <v>37</v>
      </c>
      <c r="AU427" s="71"/>
      <c r="AV427" s="71"/>
      <c r="AW427" s="71"/>
      <c r="AX427" s="71"/>
      <c r="AY427" s="71">
        <f>IFERROR(__xludf.DUMMYFUNCTION("""COMPUTED_VALUE"""),802.0)</f>
        <v>802</v>
      </c>
      <c r="AZ427" s="71">
        <f>IFERROR(__xludf.DUMMYFUNCTION("""COMPUTED_VALUE"""),866.0)</f>
        <v>866</v>
      </c>
      <c r="BA427" s="71">
        <f>IFERROR(__xludf.DUMMYFUNCTION("""COMPUTED_VALUE"""),935.2800000000001)</f>
        <v>935.28</v>
      </c>
      <c r="BB427" s="71">
        <f>IFERROR(__xludf.DUMMYFUNCTION("""COMPUTED_VALUE"""),935.2800000000001)</f>
        <v>935.28</v>
      </c>
      <c r="BC427" s="71">
        <f>IFERROR(__xludf.DUMMYFUNCTION("""COMPUTED_VALUE"""),1042.0)</f>
        <v>1042</v>
      </c>
      <c r="BD427" s="71">
        <f>IFERROR(__xludf.DUMMYFUNCTION("""COMPUTED_VALUE"""),1094.0)</f>
        <v>1094</v>
      </c>
      <c r="BE427" s="71">
        <f>IFERROR(__xludf.DUMMYFUNCTION("""COMPUTED_VALUE"""),175.04)</f>
        <v>175.04</v>
      </c>
      <c r="BF427" s="71">
        <f>IFERROR(__xludf.DUMMYFUNCTION("""COMPUTED_VALUE"""),1269.04)</f>
        <v>1269.04</v>
      </c>
      <c r="BG427" s="71">
        <f>IFERROR(__xludf.DUMMYFUNCTION("""COMPUTED_VALUE"""),0.04990403071017274)</f>
        <v>0.04990403071</v>
      </c>
      <c r="BH427" s="71">
        <f>IFERROR(__xludf.DUMMYFUNCTION("""COMPUTED_VALUE"""),1039.3)</f>
        <v>1039.3</v>
      </c>
      <c r="BI427" s="71">
        <f>IFERROR(__xludf.DUMMYFUNCTION("""COMPUTED_VALUE"""),166.28799999999998)</f>
        <v>166.288</v>
      </c>
      <c r="BJ427" s="71">
        <f>IFERROR(__xludf.DUMMYFUNCTION("""COMPUTED_VALUE"""),1205.588)</f>
        <v>1205.588</v>
      </c>
      <c r="BK427" s="71">
        <f>IFERROR(__xludf.DUMMYFUNCTION("""COMPUTED_VALUE"""),984.6)</f>
        <v>984.6</v>
      </c>
      <c r="BL427" s="71">
        <f>IFERROR(__xludf.DUMMYFUNCTION("""COMPUTED_VALUE"""),157.536)</f>
        <v>157.536</v>
      </c>
      <c r="BM427" s="71">
        <f>IFERROR(__xludf.DUMMYFUNCTION("""COMPUTED_VALUE"""),1142.136)</f>
        <v>1142.136</v>
      </c>
      <c r="BN427" s="71">
        <f>IFERROR(__xludf.DUMMYFUNCTION("""COMPUTED_VALUE"""),929.9)</f>
        <v>929.9</v>
      </c>
      <c r="BO427" s="71">
        <f>IFERROR(__xludf.DUMMYFUNCTION("""COMPUTED_VALUE"""),148.784)</f>
        <v>148.784</v>
      </c>
      <c r="BP427" s="71">
        <f>IFERROR(__xludf.DUMMYFUNCTION("""COMPUTED_VALUE"""),1078.684)</f>
        <v>1078.684</v>
      </c>
      <c r="BQ427" s="71">
        <f>IFERROR(__xludf.DUMMYFUNCTION("""COMPUTED_VALUE"""),908.02)</f>
        <v>908.02</v>
      </c>
      <c r="BR427" s="71">
        <f>IFERROR(__xludf.DUMMYFUNCTION("""COMPUTED_VALUE"""),145.2832)</f>
        <v>145.2832</v>
      </c>
      <c r="BS427" s="71">
        <f>IFERROR(__xludf.DUMMYFUNCTION("""COMPUTED_VALUE"""),1053.3032)</f>
        <v>1053.3032</v>
      </c>
      <c r="BT427" s="71">
        <f>IFERROR(__xludf.DUMMYFUNCTION("""COMPUTED_VALUE"""),875.2)</f>
        <v>875.2</v>
      </c>
      <c r="BU427" s="71">
        <f>IFERROR(__xludf.DUMMYFUNCTION("""COMPUTED_VALUE"""),140.032)</f>
        <v>140.032</v>
      </c>
      <c r="BV427" s="71">
        <f>IFERROR(__xludf.DUMMYFUNCTION("""COMPUTED_VALUE"""),1015.2320000000001)</f>
        <v>1015.232</v>
      </c>
    </row>
    <row r="428">
      <c r="A428" s="53"/>
      <c r="B428" s="53">
        <v>3.0</v>
      </c>
      <c r="C428" s="53" t="s">
        <v>36</v>
      </c>
      <c r="D428" s="121" t="s">
        <v>1091</v>
      </c>
      <c r="E428" s="54" t="s">
        <v>38</v>
      </c>
      <c r="F428" s="55" t="s">
        <v>61</v>
      </c>
      <c r="G428" s="101" t="s">
        <v>1092</v>
      </c>
      <c r="H428" s="55"/>
      <c r="I428" s="54">
        <f t="shared" si="1"/>
        <v>0</v>
      </c>
      <c r="J428" s="56"/>
      <c r="K428" s="57"/>
      <c r="L428" s="76"/>
      <c r="M428" s="59"/>
      <c r="N428" s="60"/>
      <c r="O428" s="61">
        <v>62594.0</v>
      </c>
      <c r="P428" s="62">
        <v>67601.52</v>
      </c>
      <c r="Q428" s="63">
        <v>67601.52</v>
      </c>
      <c r="R428" s="64">
        <v>74532.0</v>
      </c>
      <c r="S428" s="107">
        <v>78259.0</v>
      </c>
      <c r="T428" s="65">
        <f t="shared" si="2"/>
        <v>12521.44</v>
      </c>
      <c r="U428" s="65">
        <f t="shared" si="3"/>
        <v>90780.44</v>
      </c>
      <c r="V428" s="66">
        <f t="shared" si="4"/>
        <v>0.05000536682</v>
      </c>
      <c r="W428" s="67">
        <f t="shared" si="5"/>
        <v>74346.05</v>
      </c>
      <c r="X428" s="67">
        <f t="shared" si="6"/>
        <v>11895.368</v>
      </c>
      <c r="Y428" s="67">
        <f t="shared" si="7"/>
        <v>86241.418</v>
      </c>
      <c r="Z428" s="67">
        <f t="shared" si="8"/>
        <v>70433.1</v>
      </c>
      <c r="AA428" s="67">
        <f t="shared" si="9"/>
        <v>11269.296</v>
      </c>
      <c r="AB428" s="67">
        <f t="shared" si="10"/>
        <v>81702.396</v>
      </c>
      <c r="AC428" s="67">
        <f t="shared" si="11"/>
        <v>70433.1</v>
      </c>
      <c r="AD428" s="67">
        <f t="shared" si="12"/>
        <v>11269.296</v>
      </c>
      <c r="AE428" s="67">
        <f t="shared" si="13"/>
        <v>81702.396</v>
      </c>
      <c r="AF428" s="67">
        <f t="shared" si="14"/>
        <v>70433.1</v>
      </c>
      <c r="AG428" s="67">
        <f t="shared" si="15"/>
        <v>11269.296</v>
      </c>
      <c r="AH428" s="67">
        <f t="shared" si="16"/>
        <v>81702.396</v>
      </c>
      <c r="AI428" s="67">
        <f t="shared" si="17"/>
        <v>70433.1</v>
      </c>
      <c r="AJ428" s="68">
        <f t="shared" si="20"/>
        <v>11269.296</v>
      </c>
      <c r="AK428" s="68">
        <f t="shared" si="21"/>
        <v>81702.396</v>
      </c>
      <c r="AL428" s="70">
        <f>IFERROR(__xludf.DUMMYFUNCTION("""COMPUTED_VALUE"""),1.0)</f>
        <v>1</v>
      </c>
      <c r="AM428" s="70"/>
      <c r="AN428" s="71" t="str">
        <f>IFERROR(__xludf.DUMMYFUNCTION("""COMPUTED_VALUE""")," P")</f>
        <v>P</v>
      </c>
      <c r="AO428" s="71" t="str">
        <f>IFERROR(__xludf.DUMMYFUNCTION("""COMPUTED_VALUE""")," CV04")</f>
        <v>CV04</v>
      </c>
      <c r="AP428" s="71" t="str">
        <f>IFERROR(__xludf.DUMMYFUNCTION("""COMPUTED_VALUE""")," PZA")</f>
        <v>PZA</v>
      </c>
      <c r="AQ428" s="71" t="str">
        <f>IFERROR(__xludf.DUMMYFUNCTION("""COMPUTED_VALUE""")," REF")</f>
        <v>REF</v>
      </c>
      <c r="AR428" s="71" t="str">
        <f>IFERROR(__xludf.DUMMYFUNCTION("""COMPUTED_VALUE""")," CENTRO DE VENTILADOR REFORZADO SOLO")</f>
        <v>CENTRO DE VENTILADOR REFORZADO SOLO</v>
      </c>
      <c r="AS428" s="71" t="str">
        <f>IFERROR(__xludf.DUMMYFUNCTION("""COMPUTED_VALUE""")," CENTRO DE VENTILADOR REFORZADO SOLO")</f>
        <v>CENTRO DE VENTILADOR REFORZADO SOLO</v>
      </c>
      <c r="AT428" s="71">
        <f>IFERROR(__xludf.DUMMYFUNCTION("""COMPUTED_VALUE"""),35.0)</f>
        <v>35</v>
      </c>
      <c r="AU428" s="71"/>
      <c r="AV428" s="71"/>
      <c r="AW428" s="71"/>
      <c r="AX428" s="71"/>
      <c r="AY428" s="71">
        <f>IFERROR(__xludf.DUMMYFUNCTION("""COMPUTED_VALUE"""),289.0)</f>
        <v>289</v>
      </c>
      <c r="AZ428" s="71">
        <f>IFERROR(__xludf.DUMMYFUNCTION("""COMPUTED_VALUE"""),312.0)</f>
        <v>312</v>
      </c>
      <c r="BA428" s="71">
        <f>IFERROR(__xludf.DUMMYFUNCTION("""COMPUTED_VALUE"""),336.96000000000004)</f>
        <v>336.96</v>
      </c>
      <c r="BB428" s="71">
        <f>IFERROR(__xludf.DUMMYFUNCTION("""COMPUTED_VALUE"""),336.96000000000004)</f>
        <v>336.96</v>
      </c>
      <c r="BC428" s="71">
        <f>IFERROR(__xludf.DUMMYFUNCTION("""COMPUTED_VALUE"""),376.0)</f>
        <v>376</v>
      </c>
      <c r="BD428" s="71">
        <f>IFERROR(__xludf.DUMMYFUNCTION("""COMPUTED_VALUE"""),395.0)</f>
        <v>395</v>
      </c>
      <c r="BE428" s="71">
        <f>IFERROR(__xludf.DUMMYFUNCTION("""COMPUTED_VALUE"""),63.2)</f>
        <v>63.2</v>
      </c>
      <c r="BF428" s="71">
        <f>IFERROR(__xludf.DUMMYFUNCTION("""COMPUTED_VALUE"""),458.2)</f>
        <v>458.2</v>
      </c>
      <c r="BG428" s="71">
        <f>IFERROR(__xludf.DUMMYFUNCTION("""COMPUTED_VALUE"""),0.05053191489361702)</f>
        <v>0.05053191489</v>
      </c>
      <c r="BH428" s="71">
        <f>IFERROR(__xludf.DUMMYFUNCTION("""COMPUTED_VALUE"""),375.25)</f>
        <v>375.25</v>
      </c>
      <c r="BI428" s="71">
        <f>IFERROR(__xludf.DUMMYFUNCTION("""COMPUTED_VALUE"""),60.04)</f>
        <v>60.04</v>
      </c>
      <c r="BJ428" s="71">
        <f>IFERROR(__xludf.DUMMYFUNCTION("""COMPUTED_VALUE"""),435.29)</f>
        <v>435.29</v>
      </c>
      <c r="BK428" s="71">
        <f>IFERROR(__xludf.DUMMYFUNCTION("""COMPUTED_VALUE"""),355.5)</f>
        <v>355.5</v>
      </c>
      <c r="BL428" s="71">
        <f>IFERROR(__xludf.DUMMYFUNCTION("""COMPUTED_VALUE"""),56.88)</f>
        <v>56.88</v>
      </c>
      <c r="BM428" s="71">
        <f>IFERROR(__xludf.DUMMYFUNCTION("""COMPUTED_VALUE"""),412.38)</f>
        <v>412.38</v>
      </c>
      <c r="BN428" s="71">
        <f>IFERROR(__xludf.DUMMYFUNCTION("""COMPUTED_VALUE"""),335.75)</f>
        <v>335.75</v>
      </c>
      <c r="BO428" s="71">
        <f>IFERROR(__xludf.DUMMYFUNCTION("""COMPUTED_VALUE"""),53.72)</f>
        <v>53.72</v>
      </c>
      <c r="BP428" s="71">
        <f>IFERROR(__xludf.DUMMYFUNCTION("""COMPUTED_VALUE"""),389.47)</f>
        <v>389.47</v>
      </c>
      <c r="BQ428" s="71">
        <f>IFERROR(__xludf.DUMMYFUNCTION("""COMPUTED_VALUE"""),327.84999999999997)</f>
        <v>327.85</v>
      </c>
      <c r="BR428" s="71">
        <f>IFERROR(__xludf.DUMMYFUNCTION("""COMPUTED_VALUE"""),52.455999999999996)</f>
        <v>52.456</v>
      </c>
      <c r="BS428" s="71">
        <f>IFERROR(__xludf.DUMMYFUNCTION("""COMPUTED_VALUE"""),380.306)</f>
        <v>380.306</v>
      </c>
      <c r="BT428" s="71">
        <f>IFERROR(__xludf.DUMMYFUNCTION("""COMPUTED_VALUE"""),316.0)</f>
        <v>316</v>
      </c>
      <c r="BU428" s="71">
        <f>IFERROR(__xludf.DUMMYFUNCTION("""COMPUTED_VALUE"""),50.56)</f>
        <v>50.56</v>
      </c>
      <c r="BV428" s="71">
        <f>IFERROR(__xludf.DUMMYFUNCTION("""COMPUTED_VALUE"""),366.56)</f>
        <v>366.56</v>
      </c>
    </row>
    <row r="429">
      <c r="A429" s="53"/>
      <c r="B429" s="53">
        <v>3.0</v>
      </c>
      <c r="C429" s="53" t="s">
        <v>36</v>
      </c>
      <c r="D429" s="53" t="s">
        <v>1093</v>
      </c>
      <c r="E429" s="54" t="s">
        <v>38</v>
      </c>
      <c r="F429" s="55" t="s">
        <v>96</v>
      </c>
      <c r="G429" s="84" t="s">
        <v>1094</v>
      </c>
      <c r="H429" s="84"/>
      <c r="I429" s="54">
        <f t="shared" si="1"/>
        <v>0</v>
      </c>
      <c r="J429" s="102"/>
      <c r="K429" s="102"/>
      <c r="L429" s="76"/>
      <c r="M429" s="59"/>
      <c r="N429" s="60"/>
      <c r="O429" s="100">
        <v>69190.0</v>
      </c>
      <c r="P429" s="62">
        <v>74725.20000000001</v>
      </c>
      <c r="Q429" s="63">
        <v>74725.20000000001</v>
      </c>
      <c r="R429" s="64">
        <v>82385.0</v>
      </c>
      <c r="S429" s="107">
        <v>86504.0</v>
      </c>
      <c r="T429" s="65">
        <f t="shared" si="2"/>
        <v>13840.64</v>
      </c>
      <c r="U429" s="65">
        <f t="shared" si="3"/>
        <v>100344.64</v>
      </c>
      <c r="V429" s="66">
        <f t="shared" si="4"/>
        <v>0.04999696547</v>
      </c>
      <c r="W429" s="67">
        <f t="shared" si="5"/>
        <v>82178.8</v>
      </c>
      <c r="X429" s="67">
        <f t="shared" si="6"/>
        <v>13148.608</v>
      </c>
      <c r="Y429" s="67">
        <f t="shared" si="7"/>
        <v>95327.408</v>
      </c>
      <c r="Z429" s="67">
        <f t="shared" si="8"/>
        <v>77853.6</v>
      </c>
      <c r="AA429" s="67">
        <f t="shared" si="9"/>
        <v>12456.576</v>
      </c>
      <c r="AB429" s="67">
        <f t="shared" si="10"/>
        <v>90310.176</v>
      </c>
      <c r="AC429" s="67">
        <f t="shared" si="11"/>
        <v>77853.6</v>
      </c>
      <c r="AD429" s="67">
        <f t="shared" si="12"/>
        <v>12456.576</v>
      </c>
      <c r="AE429" s="67">
        <f t="shared" si="13"/>
        <v>90310.176</v>
      </c>
      <c r="AF429" s="67">
        <f t="shared" si="14"/>
        <v>77853.6</v>
      </c>
      <c r="AG429" s="67">
        <f t="shared" si="15"/>
        <v>12456.576</v>
      </c>
      <c r="AH429" s="67">
        <f t="shared" si="16"/>
        <v>90310.176</v>
      </c>
      <c r="AI429" s="67">
        <f t="shared" si="17"/>
        <v>77853.6</v>
      </c>
      <c r="AJ429" s="68">
        <f t="shared" si="20"/>
        <v>12456.576</v>
      </c>
      <c r="AK429" s="68">
        <f t="shared" si="21"/>
        <v>90310.176</v>
      </c>
      <c r="AL429" s="70">
        <f>IFERROR(__xludf.DUMMYFUNCTION("""COMPUTED_VALUE"""),1.0)</f>
        <v>1</v>
      </c>
      <c r="AM429" s="70"/>
      <c r="AN429" s="71" t="str">
        <f>IFERROR(__xludf.DUMMYFUNCTION("""COMPUTED_VALUE""")," P")</f>
        <v>P</v>
      </c>
      <c r="AO429" s="71" t="str">
        <f>IFERROR(__xludf.DUMMYFUNCTION("""COMPUTED_VALUE""")," CS03")</f>
        <v>CS03</v>
      </c>
      <c r="AP429" s="71" t="str">
        <f>IFERROR(__xludf.DUMMYFUNCTION("""COMPUTED_VALUE""")," PZA")</f>
        <v>PZA</v>
      </c>
      <c r="AQ429" s="71" t="str">
        <f>IFERROR(__xludf.DUMMYFUNCTION("""COMPUTED_VALUE""")," REF")</f>
        <v>REF</v>
      </c>
      <c r="AR429" s="71" t="str">
        <f>IFERROR(__xludf.DUMMYFUNCTION("""COMPUTED_VALUE""")," CHAROLA PARA AMASADORA DE 100 KG.")</f>
        <v>CHAROLA PARA AMASADORA DE 100 KG.</v>
      </c>
      <c r="AS429" s="71" t="str">
        <f>IFERROR(__xludf.DUMMYFUNCTION("""COMPUTED_VALUE""")," CHAROLA PARA AMASADORA DE 100 KG")</f>
        <v>CHAROLA PARA AMASADORA DE 100 KG</v>
      </c>
      <c r="AT429" s="71">
        <f>IFERROR(__xludf.DUMMYFUNCTION("""COMPUTED_VALUE"""),32.0)</f>
        <v>32</v>
      </c>
      <c r="AU429" s="71"/>
      <c r="AV429" s="71"/>
      <c r="AW429" s="71"/>
      <c r="AX429" s="71"/>
      <c r="AY429" s="71">
        <f>IFERROR(__xludf.DUMMYFUNCTION("""COMPUTED_VALUE"""),2029.0)</f>
        <v>2029</v>
      </c>
      <c r="AZ429" s="71">
        <f>IFERROR(__xludf.DUMMYFUNCTION("""COMPUTED_VALUE"""),2191.0)</f>
        <v>2191</v>
      </c>
      <c r="BA429" s="71">
        <f>IFERROR(__xludf.DUMMYFUNCTION("""COMPUTED_VALUE"""),2366.28)</f>
        <v>2366.28</v>
      </c>
      <c r="BB429" s="71">
        <f>IFERROR(__xludf.DUMMYFUNCTION("""COMPUTED_VALUE"""),2366.28)</f>
        <v>2366.28</v>
      </c>
      <c r="BC429" s="71">
        <f>IFERROR(__xludf.DUMMYFUNCTION("""COMPUTED_VALUE"""),2635.0)</f>
        <v>2635</v>
      </c>
      <c r="BD429" s="71">
        <f>IFERROR(__xludf.DUMMYFUNCTION("""COMPUTED_VALUE"""),2767.0)</f>
        <v>2767</v>
      </c>
      <c r="BE429" s="71">
        <f>IFERROR(__xludf.DUMMYFUNCTION("""COMPUTED_VALUE"""),442.72)</f>
        <v>442.72</v>
      </c>
      <c r="BF429" s="71">
        <f>IFERROR(__xludf.DUMMYFUNCTION("""COMPUTED_VALUE"""),3209.7200000000003)</f>
        <v>3209.72</v>
      </c>
      <c r="BG429" s="71">
        <f>IFERROR(__xludf.DUMMYFUNCTION("""COMPUTED_VALUE"""),0.050094876660341556)</f>
        <v>0.05009487666</v>
      </c>
      <c r="BH429" s="71">
        <f>IFERROR(__xludf.DUMMYFUNCTION("""COMPUTED_VALUE"""),2628.65)</f>
        <v>2628.65</v>
      </c>
      <c r="BI429" s="71">
        <f>IFERROR(__xludf.DUMMYFUNCTION("""COMPUTED_VALUE"""),420.584)</f>
        <v>420.584</v>
      </c>
      <c r="BJ429" s="71">
        <f>IFERROR(__xludf.DUMMYFUNCTION("""COMPUTED_VALUE"""),3049.234)</f>
        <v>3049.234</v>
      </c>
      <c r="BK429" s="71">
        <f>IFERROR(__xludf.DUMMYFUNCTION("""COMPUTED_VALUE"""),2490.3)</f>
        <v>2490.3</v>
      </c>
      <c r="BL429" s="71">
        <f>IFERROR(__xludf.DUMMYFUNCTION("""COMPUTED_VALUE"""),398.44800000000004)</f>
        <v>398.448</v>
      </c>
      <c r="BM429" s="71">
        <f>IFERROR(__xludf.DUMMYFUNCTION("""COMPUTED_VALUE"""),2888.748)</f>
        <v>2888.748</v>
      </c>
      <c r="BN429" s="71">
        <f>IFERROR(__xludf.DUMMYFUNCTION("""COMPUTED_VALUE"""),2351.95)</f>
        <v>2351.95</v>
      </c>
      <c r="BO429" s="71">
        <f>IFERROR(__xludf.DUMMYFUNCTION("""COMPUTED_VALUE"""),376.31199999999995)</f>
        <v>376.312</v>
      </c>
      <c r="BP429" s="71">
        <f>IFERROR(__xludf.DUMMYFUNCTION("""COMPUTED_VALUE"""),2728.2619999999997)</f>
        <v>2728.262</v>
      </c>
      <c r="BQ429" s="71">
        <f>IFERROR(__xludf.DUMMYFUNCTION("""COMPUTED_VALUE"""),2296.6099999999997)</f>
        <v>2296.61</v>
      </c>
      <c r="BR429" s="71">
        <f>IFERROR(__xludf.DUMMYFUNCTION("""COMPUTED_VALUE"""),367.45759999999996)</f>
        <v>367.4576</v>
      </c>
      <c r="BS429" s="71">
        <f>IFERROR(__xludf.DUMMYFUNCTION("""COMPUTED_VALUE"""),2664.0675999999994)</f>
        <v>2664.0676</v>
      </c>
      <c r="BT429" s="71">
        <f>IFERROR(__xludf.DUMMYFUNCTION("""COMPUTED_VALUE"""),2213.6)</f>
        <v>2213.6</v>
      </c>
      <c r="BU429" s="71">
        <f>IFERROR(__xludf.DUMMYFUNCTION("""COMPUTED_VALUE"""),354.176)</f>
        <v>354.176</v>
      </c>
      <c r="BV429" s="71">
        <f>IFERROR(__xludf.DUMMYFUNCTION("""COMPUTED_VALUE"""),2567.776)</f>
        <v>2567.776</v>
      </c>
    </row>
    <row r="430">
      <c r="A430" s="53"/>
      <c r="B430" s="53">
        <v>3.0</v>
      </c>
      <c r="C430" s="53" t="s">
        <v>36</v>
      </c>
      <c r="D430" s="98" t="s">
        <v>1095</v>
      </c>
      <c r="E430" s="54" t="s">
        <v>38</v>
      </c>
      <c r="F430" s="55" t="s">
        <v>96</v>
      </c>
      <c r="G430" s="84" t="s">
        <v>1096</v>
      </c>
      <c r="H430" s="84"/>
      <c r="I430" s="54">
        <f t="shared" si="1"/>
        <v>0</v>
      </c>
      <c r="J430" s="102"/>
      <c r="K430" s="102"/>
      <c r="L430" s="76"/>
      <c r="M430" s="59"/>
      <c r="N430" s="60"/>
      <c r="O430" s="100">
        <v>57072.0</v>
      </c>
      <c r="P430" s="62">
        <v>61637.76</v>
      </c>
      <c r="Q430" s="63">
        <v>61637.76</v>
      </c>
      <c r="R430" s="64">
        <v>67956.0</v>
      </c>
      <c r="S430" s="107">
        <v>71354.0</v>
      </c>
      <c r="T430" s="65">
        <f t="shared" si="2"/>
        <v>11416.64</v>
      </c>
      <c r="U430" s="65">
        <f t="shared" si="3"/>
        <v>82770.64</v>
      </c>
      <c r="V430" s="66">
        <f t="shared" si="4"/>
        <v>0.05000294308</v>
      </c>
      <c r="W430" s="67">
        <f t="shared" si="5"/>
        <v>67786.3</v>
      </c>
      <c r="X430" s="67">
        <f t="shared" si="6"/>
        <v>10845.808</v>
      </c>
      <c r="Y430" s="67">
        <f t="shared" si="7"/>
        <v>78632.108</v>
      </c>
      <c r="Z430" s="67">
        <f t="shared" si="8"/>
        <v>64218.6</v>
      </c>
      <c r="AA430" s="67">
        <f t="shared" si="9"/>
        <v>10274.976</v>
      </c>
      <c r="AB430" s="67">
        <f t="shared" si="10"/>
        <v>74493.576</v>
      </c>
      <c r="AC430" s="67">
        <f t="shared" si="11"/>
        <v>64218.6</v>
      </c>
      <c r="AD430" s="67">
        <f t="shared" si="12"/>
        <v>10274.976</v>
      </c>
      <c r="AE430" s="67">
        <f t="shared" si="13"/>
        <v>74493.576</v>
      </c>
      <c r="AF430" s="67">
        <f t="shared" si="14"/>
        <v>64218.6</v>
      </c>
      <c r="AG430" s="67">
        <f t="shared" si="15"/>
        <v>10274.976</v>
      </c>
      <c r="AH430" s="67">
        <f t="shared" si="16"/>
        <v>74493.576</v>
      </c>
      <c r="AI430" s="67">
        <f t="shared" si="17"/>
        <v>64218.6</v>
      </c>
      <c r="AJ430" s="68">
        <f t="shared" si="20"/>
        <v>10274.976</v>
      </c>
      <c r="AK430" s="68">
        <f t="shared" si="21"/>
        <v>74493.576</v>
      </c>
      <c r="AL430" s="70">
        <f>IFERROR(__xludf.DUMMYFUNCTION("""COMPUTED_VALUE"""),1.0)</f>
        <v>1</v>
      </c>
      <c r="AM430" s="70"/>
      <c r="AN430" s="71" t="str">
        <f>IFERROR(__xludf.DUMMYFUNCTION("""COMPUTED_VALUE""")," P")</f>
        <v>P</v>
      </c>
      <c r="AO430" s="71" t="str">
        <f>IFERROR(__xludf.DUMMYFUNCTION("""COMPUTED_VALUE""")," CS01")</f>
        <v>CS01</v>
      </c>
      <c r="AP430" s="71" t="str">
        <f>IFERROR(__xludf.DUMMYFUNCTION("""COMPUTED_VALUE""")," PZA")</f>
        <v>PZA</v>
      </c>
      <c r="AQ430" s="71" t="str">
        <f>IFERROR(__xludf.DUMMYFUNCTION("""COMPUTED_VALUE""")," REF")</f>
        <v>REF</v>
      </c>
      <c r="AR430" s="71" t="str">
        <f>IFERROR(__xludf.DUMMYFUNCTION("""COMPUTED_VALUE""")," CHAROLA PARA AMASADORA DE 25 KG.")</f>
        <v>CHAROLA PARA AMASADORA DE 25 KG.</v>
      </c>
      <c r="AS430" s="71" t="str">
        <f>IFERROR(__xludf.DUMMYFUNCTION("""COMPUTED_VALUE""")," CHAROLA PARA AMASADORA DE 25 KG")</f>
        <v>CHAROLA PARA AMASADORA DE 25 KG</v>
      </c>
      <c r="AT430" s="71">
        <f>IFERROR(__xludf.DUMMYFUNCTION("""COMPUTED_VALUE"""),31.0)</f>
        <v>31</v>
      </c>
      <c r="AU430" s="71"/>
      <c r="AV430" s="71"/>
      <c r="AW430" s="71"/>
      <c r="AX430" s="71"/>
      <c r="AY430" s="71">
        <f>IFERROR(__xludf.DUMMYFUNCTION("""COMPUTED_VALUE"""),1715.0)</f>
        <v>1715</v>
      </c>
      <c r="AZ430" s="71">
        <f>IFERROR(__xludf.DUMMYFUNCTION("""COMPUTED_VALUE"""),1852.0)</f>
        <v>1852</v>
      </c>
      <c r="BA430" s="71">
        <f>IFERROR(__xludf.DUMMYFUNCTION("""COMPUTED_VALUE"""),2000.16)</f>
        <v>2000.16</v>
      </c>
      <c r="BB430" s="71">
        <f>IFERROR(__xludf.DUMMYFUNCTION("""COMPUTED_VALUE"""),2000.16)</f>
        <v>2000.16</v>
      </c>
      <c r="BC430" s="71">
        <f>IFERROR(__xludf.DUMMYFUNCTION("""COMPUTED_VALUE"""),2228.0)</f>
        <v>2228</v>
      </c>
      <c r="BD430" s="71">
        <f>IFERROR(__xludf.DUMMYFUNCTION("""COMPUTED_VALUE"""),2339.0)</f>
        <v>2339</v>
      </c>
      <c r="BE430" s="71">
        <f>IFERROR(__xludf.DUMMYFUNCTION("""COMPUTED_VALUE"""),374.24)</f>
        <v>374.24</v>
      </c>
      <c r="BF430" s="71">
        <f>IFERROR(__xludf.DUMMYFUNCTION("""COMPUTED_VALUE"""),2713.24)</f>
        <v>2713.24</v>
      </c>
      <c r="BG430" s="71">
        <f>IFERROR(__xludf.DUMMYFUNCTION("""COMPUTED_VALUE"""),0.049820466786355475)</f>
        <v>0.04982046679</v>
      </c>
      <c r="BH430" s="71">
        <f>IFERROR(__xludf.DUMMYFUNCTION("""COMPUTED_VALUE"""),2222.0499999999997)</f>
        <v>2222.05</v>
      </c>
      <c r="BI430" s="71">
        <f>IFERROR(__xludf.DUMMYFUNCTION("""COMPUTED_VALUE"""),355.52799999999996)</f>
        <v>355.528</v>
      </c>
      <c r="BJ430" s="71">
        <f>IFERROR(__xludf.DUMMYFUNCTION("""COMPUTED_VALUE"""),2577.5779999999995)</f>
        <v>2577.578</v>
      </c>
      <c r="BK430" s="71">
        <f>IFERROR(__xludf.DUMMYFUNCTION("""COMPUTED_VALUE"""),2105.1)</f>
        <v>2105.1</v>
      </c>
      <c r="BL430" s="71">
        <f>IFERROR(__xludf.DUMMYFUNCTION("""COMPUTED_VALUE"""),336.816)</f>
        <v>336.816</v>
      </c>
      <c r="BM430" s="71">
        <f>IFERROR(__xludf.DUMMYFUNCTION("""COMPUTED_VALUE"""),2441.9159999999997)</f>
        <v>2441.916</v>
      </c>
      <c r="BN430" s="71">
        <f>IFERROR(__xludf.DUMMYFUNCTION("""COMPUTED_VALUE"""),1988.1499999999999)</f>
        <v>1988.15</v>
      </c>
      <c r="BO430" s="71">
        <f>IFERROR(__xludf.DUMMYFUNCTION("""COMPUTED_VALUE"""),318.104)</f>
        <v>318.104</v>
      </c>
      <c r="BP430" s="71">
        <f>IFERROR(__xludf.DUMMYFUNCTION("""COMPUTED_VALUE"""),2306.254)</f>
        <v>2306.254</v>
      </c>
      <c r="BQ430" s="71">
        <f>IFERROR(__xludf.DUMMYFUNCTION("""COMPUTED_VALUE"""),1941.37)</f>
        <v>1941.37</v>
      </c>
      <c r="BR430" s="71">
        <f>IFERROR(__xludf.DUMMYFUNCTION("""COMPUTED_VALUE"""),310.6192)</f>
        <v>310.6192</v>
      </c>
      <c r="BS430" s="71">
        <f>IFERROR(__xludf.DUMMYFUNCTION("""COMPUTED_VALUE"""),2251.9892)</f>
        <v>2251.9892</v>
      </c>
      <c r="BT430" s="71">
        <f>IFERROR(__xludf.DUMMYFUNCTION("""COMPUTED_VALUE"""),1871.2)</f>
        <v>1871.2</v>
      </c>
      <c r="BU430" s="71">
        <f>IFERROR(__xludf.DUMMYFUNCTION("""COMPUTED_VALUE"""),299.392)</f>
        <v>299.392</v>
      </c>
      <c r="BV430" s="71">
        <f>IFERROR(__xludf.DUMMYFUNCTION("""COMPUTED_VALUE"""),2170.592)</f>
        <v>2170.592</v>
      </c>
    </row>
    <row r="431">
      <c r="A431" s="53"/>
      <c r="B431" s="53">
        <v>3.0</v>
      </c>
      <c r="C431" s="53" t="s">
        <v>36</v>
      </c>
      <c r="D431" s="98" t="s">
        <v>1097</v>
      </c>
      <c r="E431" s="54" t="s">
        <v>38</v>
      </c>
      <c r="F431" s="55" t="s">
        <v>61</v>
      </c>
      <c r="G431" s="101" t="s">
        <v>1098</v>
      </c>
      <c r="H431" s="55"/>
      <c r="I431" s="54">
        <f t="shared" si="1"/>
        <v>0</v>
      </c>
      <c r="J431" s="56"/>
      <c r="K431" s="57"/>
      <c r="L431" s="76"/>
      <c r="M431" s="59"/>
      <c r="N431" s="60"/>
      <c r="O431" s="61">
        <v>44032.0</v>
      </c>
      <c r="P431" s="62">
        <v>47554.560000000005</v>
      </c>
      <c r="Q431" s="63">
        <v>47554.560000000005</v>
      </c>
      <c r="R431" s="64">
        <v>52430.0</v>
      </c>
      <c r="S431" s="107">
        <v>55052.0</v>
      </c>
      <c r="T431" s="65">
        <f t="shared" si="2"/>
        <v>8808.32</v>
      </c>
      <c r="U431" s="65">
        <f t="shared" si="3"/>
        <v>63860.32</v>
      </c>
      <c r="V431" s="66">
        <f t="shared" si="4"/>
        <v>0.05000953652</v>
      </c>
      <c r="W431" s="67">
        <f t="shared" si="5"/>
        <v>52299.4</v>
      </c>
      <c r="X431" s="67">
        <f t="shared" si="6"/>
        <v>8367.904</v>
      </c>
      <c r="Y431" s="67">
        <f t="shared" si="7"/>
        <v>60667.304</v>
      </c>
      <c r="Z431" s="67">
        <f t="shared" si="8"/>
        <v>49546.8</v>
      </c>
      <c r="AA431" s="67">
        <f t="shared" si="9"/>
        <v>7927.488</v>
      </c>
      <c r="AB431" s="67">
        <f t="shared" si="10"/>
        <v>57474.288</v>
      </c>
      <c r="AC431" s="67">
        <f t="shared" si="11"/>
        <v>49546.8</v>
      </c>
      <c r="AD431" s="67">
        <f t="shared" si="12"/>
        <v>7927.488</v>
      </c>
      <c r="AE431" s="67">
        <f t="shared" si="13"/>
        <v>57474.288</v>
      </c>
      <c r="AF431" s="67">
        <f t="shared" si="14"/>
        <v>49546.8</v>
      </c>
      <c r="AG431" s="67">
        <f t="shared" si="15"/>
        <v>7927.488</v>
      </c>
      <c r="AH431" s="67">
        <f t="shared" si="16"/>
        <v>57474.288</v>
      </c>
      <c r="AI431" s="67">
        <f t="shared" si="17"/>
        <v>49546.8</v>
      </c>
      <c r="AJ431" s="68">
        <f t="shared" si="20"/>
        <v>7927.488</v>
      </c>
      <c r="AK431" s="68">
        <f t="shared" si="21"/>
        <v>57474.288</v>
      </c>
      <c r="AL431" s="70">
        <f>IFERROR(__xludf.DUMMYFUNCTION("""COMPUTED_VALUE"""),1.0)</f>
        <v>1</v>
      </c>
      <c r="AM431" s="70"/>
      <c r="AN431" s="71" t="str">
        <f>IFERROR(__xludf.DUMMYFUNCTION("""COMPUTED_VALUE""")," P")</f>
        <v>P</v>
      </c>
      <c r="AO431" s="71" t="str">
        <f>IFERROR(__xludf.DUMMYFUNCTION("""COMPUTED_VALUE""")," CS02")</f>
        <v>CS02</v>
      </c>
      <c r="AP431" s="71" t="str">
        <f>IFERROR(__xludf.DUMMYFUNCTION("""COMPUTED_VALUE""")," PZA")</f>
        <v>PZA</v>
      </c>
      <c r="AQ431" s="71" t="str">
        <f>IFERROR(__xludf.DUMMYFUNCTION("""COMPUTED_VALUE""")," REF")</f>
        <v>REF</v>
      </c>
      <c r="AR431" s="71" t="str">
        <f>IFERROR(__xludf.DUMMYFUNCTION("""COMPUTED_VALUE""")," CHAROLA PARA AMASADORA DE 50 KG.")</f>
        <v>CHAROLA PARA AMASADORA DE 50 KG.</v>
      </c>
      <c r="AS431" s="71" t="str">
        <f>IFERROR(__xludf.DUMMYFUNCTION("""COMPUTED_VALUE""")," CHAROLA PARA AMASADORA DE 50 KG")</f>
        <v>CHAROLA PARA AMASADORA DE 50 KG</v>
      </c>
      <c r="AT431" s="71">
        <f>IFERROR(__xludf.DUMMYFUNCTION("""COMPUTED_VALUE"""),31.0)</f>
        <v>31</v>
      </c>
      <c r="AU431" s="71"/>
      <c r="AV431" s="71"/>
      <c r="AW431" s="71"/>
      <c r="AX431" s="71"/>
      <c r="AY431" s="71">
        <f>IFERROR(__xludf.DUMMYFUNCTION("""COMPUTED_VALUE"""),1915.0)</f>
        <v>1915</v>
      </c>
      <c r="AZ431" s="71">
        <f>IFERROR(__xludf.DUMMYFUNCTION("""COMPUTED_VALUE"""),2068.0)</f>
        <v>2068</v>
      </c>
      <c r="BA431" s="71">
        <f>IFERROR(__xludf.DUMMYFUNCTION("""COMPUTED_VALUE"""),2233.44)</f>
        <v>2233.44</v>
      </c>
      <c r="BB431" s="71">
        <f>IFERROR(__xludf.DUMMYFUNCTION("""COMPUTED_VALUE"""),2233.44)</f>
        <v>2233.44</v>
      </c>
      <c r="BC431" s="71">
        <f>IFERROR(__xludf.DUMMYFUNCTION("""COMPUTED_VALUE"""),2487.0)</f>
        <v>2487</v>
      </c>
      <c r="BD431" s="71">
        <f>IFERROR(__xludf.DUMMYFUNCTION("""COMPUTED_VALUE"""),2611.0)</f>
        <v>2611</v>
      </c>
      <c r="BE431" s="71">
        <f>IFERROR(__xludf.DUMMYFUNCTION("""COMPUTED_VALUE"""),417.76)</f>
        <v>417.76</v>
      </c>
      <c r="BF431" s="71">
        <f>IFERROR(__xludf.DUMMYFUNCTION("""COMPUTED_VALUE"""),3028.76)</f>
        <v>3028.76</v>
      </c>
      <c r="BG431" s="71">
        <f>IFERROR(__xludf.DUMMYFUNCTION("""COMPUTED_VALUE"""),0.049859268194611985)</f>
        <v>0.04985926819</v>
      </c>
      <c r="BH431" s="71">
        <f>IFERROR(__xludf.DUMMYFUNCTION("""COMPUTED_VALUE"""),2480.45)</f>
        <v>2480.45</v>
      </c>
      <c r="BI431" s="71">
        <f>IFERROR(__xludf.DUMMYFUNCTION("""COMPUTED_VALUE"""),396.87199999999996)</f>
        <v>396.872</v>
      </c>
      <c r="BJ431" s="71">
        <f>IFERROR(__xludf.DUMMYFUNCTION("""COMPUTED_VALUE"""),2877.3219999999997)</f>
        <v>2877.322</v>
      </c>
      <c r="BK431" s="71">
        <f>IFERROR(__xludf.DUMMYFUNCTION("""COMPUTED_VALUE"""),2349.9)</f>
        <v>2349.9</v>
      </c>
      <c r="BL431" s="71">
        <f>IFERROR(__xludf.DUMMYFUNCTION("""COMPUTED_VALUE"""),375.98400000000004)</f>
        <v>375.984</v>
      </c>
      <c r="BM431" s="71">
        <f>IFERROR(__xludf.DUMMYFUNCTION("""COMPUTED_VALUE"""),2725.884)</f>
        <v>2725.884</v>
      </c>
      <c r="BN431" s="71">
        <f>IFERROR(__xludf.DUMMYFUNCTION("""COMPUTED_VALUE"""),2219.35)</f>
        <v>2219.35</v>
      </c>
      <c r="BO431" s="71">
        <f>IFERROR(__xludf.DUMMYFUNCTION("""COMPUTED_VALUE"""),355.096)</f>
        <v>355.096</v>
      </c>
      <c r="BP431" s="71">
        <f>IFERROR(__xludf.DUMMYFUNCTION("""COMPUTED_VALUE"""),2574.446)</f>
        <v>2574.446</v>
      </c>
      <c r="BQ431" s="71">
        <f>IFERROR(__xludf.DUMMYFUNCTION("""COMPUTED_VALUE"""),2167.13)</f>
        <v>2167.13</v>
      </c>
      <c r="BR431" s="71">
        <f>IFERROR(__xludf.DUMMYFUNCTION("""COMPUTED_VALUE"""),346.74080000000004)</f>
        <v>346.7408</v>
      </c>
      <c r="BS431" s="71">
        <f>IFERROR(__xludf.DUMMYFUNCTION("""COMPUTED_VALUE"""),2513.8708)</f>
        <v>2513.8708</v>
      </c>
      <c r="BT431" s="71">
        <f>IFERROR(__xludf.DUMMYFUNCTION("""COMPUTED_VALUE"""),2088.8)</f>
        <v>2088.8</v>
      </c>
      <c r="BU431" s="71">
        <f>IFERROR(__xludf.DUMMYFUNCTION("""COMPUTED_VALUE"""),334.208)</f>
        <v>334.208</v>
      </c>
      <c r="BV431" s="71">
        <f>IFERROR(__xludf.DUMMYFUNCTION("""COMPUTED_VALUE"""),2423.0080000000003)</f>
        <v>2423.008</v>
      </c>
    </row>
    <row r="432">
      <c r="A432" s="53"/>
      <c r="B432" s="53">
        <v>3.0</v>
      </c>
      <c r="C432" s="53" t="s">
        <v>36</v>
      </c>
      <c r="D432" s="121" t="s">
        <v>1099</v>
      </c>
      <c r="E432" s="54" t="s">
        <v>38</v>
      </c>
      <c r="F432" s="55" t="s">
        <v>61</v>
      </c>
      <c r="G432" s="101" t="s">
        <v>1100</v>
      </c>
      <c r="H432" s="55"/>
      <c r="I432" s="54">
        <f t="shared" si="1"/>
        <v>0</v>
      </c>
      <c r="J432" s="56"/>
      <c r="K432" s="57"/>
      <c r="L432" s="76"/>
      <c r="M432" s="59"/>
      <c r="N432" s="60"/>
      <c r="O432" s="61">
        <v>44032.0</v>
      </c>
      <c r="P432" s="62">
        <v>47554.560000000005</v>
      </c>
      <c r="Q432" s="63">
        <v>47554.560000000005</v>
      </c>
      <c r="R432" s="64">
        <v>52430.0</v>
      </c>
      <c r="S432" s="107">
        <v>55052.0</v>
      </c>
      <c r="T432" s="65">
        <f t="shared" si="2"/>
        <v>8808.32</v>
      </c>
      <c r="U432" s="65">
        <f t="shared" si="3"/>
        <v>63860.32</v>
      </c>
      <c r="V432" s="66">
        <f t="shared" si="4"/>
        <v>0.05000953652</v>
      </c>
      <c r="W432" s="67">
        <f t="shared" si="5"/>
        <v>52299.4</v>
      </c>
      <c r="X432" s="67">
        <f t="shared" si="6"/>
        <v>8367.904</v>
      </c>
      <c r="Y432" s="67">
        <f t="shared" si="7"/>
        <v>60667.304</v>
      </c>
      <c r="Z432" s="67">
        <f t="shared" si="8"/>
        <v>49546.8</v>
      </c>
      <c r="AA432" s="67">
        <f t="shared" si="9"/>
        <v>7927.488</v>
      </c>
      <c r="AB432" s="67">
        <f t="shared" si="10"/>
        <v>57474.288</v>
      </c>
      <c r="AC432" s="67">
        <f t="shared" si="11"/>
        <v>49546.8</v>
      </c>
      <c r="AD432" s="67">
        <f t="shared" si="12"/>
        <v>7927.488</v>
      </c>
      <c r="AE432" s="67">
        <f t="shared" si="13"/>
        <v>57474.288</v>
      </c>
      <c r="AF432" s="67">
        <f t="shared" si="14"/>
        <v>49546.8</v>
      </c>
      <c r="AG432" s="67">
        <f t="shared" si="15"/>
        <v>7927.488</v>
      </c>
      <c r="AH432" s="67">
        <f t="shared" si="16"/>
        <v>57474.288</v>
      </c>
      <c r="AI432" s="67">
        <f t="shared" si="17"/>
        <v>49546.8</v>
      </c>
      <c r="AJ432" s="68">
        <f t="shared" si="20"/>
        <v>7927.488</v>
      </c>
      <c r="AK432" s="68">
        <f t="shared" si="21"/>
        <v>57474.288</v>
      </c>
      <c r="AL432" s="70">
        <f>IFERROR(__xludf.DUMMYFUNCTION("""COMPUTED_VALUE"""),1.0)</f>
        <v>1</v>
      </c>
      <c r="AM432" s="70"/>
      <c r="AN432" s="71" t="str">
        <f>IFERROR(__xludf.DUMMYFUNCTION("""COMPUTED_VALUE""")," P")</f>
        <v>P</v>
      </c>
      <c r="AO432" s="71" t="str">
        <f>IFERROR(__xludf.DUMMYFUNCTION("""COMPUTED_VALUE""")," CS04")</f>
        <v>CS04</v>
      </c>
      <c r="AP432" s="71" t="str">
        <f>IFERROR(__xludf.DUMMYFUNCTION("""COMPUTED_VALUE""")," PZA")</f>
        <v>PZA</v>
      </c>
      <c r="AQ432" s="71" t="str">
        <f>IFERROR(__xludf.DUMMYFUNCTION("""COMPUTED_VALUE""")," REF")</f>
        <v>REF</v>
      </c>
      <c r="AR432" s="71" t="str">
        <f>IFERROR(__xludf.DUMMYFUNCTION("""COMPUTED_VALUE""")," CHAROLA PARA BANCO DÚPLEX EN ACERO INOX.")</f>
        <v>CHAROLA PARA BANCO DÚPLEX EN ACERO INOX.</v>
      </c>
      <c r="AS432" s="71" t="str">
        <f>IFERROR(__xludf.DUMMYFUNCTION("""COMPUTED_VALUE""")," CHAROLA PARA BANCO DPLX INOX")</f>
        <v>CHAROLA PARA BANCO DPLX INOX</v>
      </c>
      <c r="AT432" s="71">
        <f>IFERROR(__xludf.DUMMYFUNCTION("""COMPUTED_VALUE"""),28.0)</f>
        <v>28</v>
      </c>
      <c r="AU432" s="71"/>
      <c r="AV432" s="71"/>
      <c r="AW432" s="71"/>
      <c r="AX432" s="71"/>
      <c r="AY432" s="71">
        <f>IFERROR(__xludf.DUMMYFUNCTION("""COMPUTED_VALUE"""),260.0)</f>
        <v>260</v>
      </c>
      <c r="AZ432" s="71">
        <f>IFERROR(__xludf.DUMMYFUNCTION("""COMPUTED_VALUE"""),280.0)</f>
        <v>280</v>
      </c>
      <c r="BA432" s="71">
        <f>IFERROR(__xludf.DUMMYFUNCTION("""COMPUTED_VALUE"""),302.40000000000003)</f>
        <v>302.4</v>
      </c>
      <c r="BB432" s="71">
        <f>IFERROR(__xludf.DUMMYFUNCTION("""COMPUTED_VALUE"""),302.40000000000003)</f>
        <v>302.4</v>
      </c>
      <c r="BC432" s="71">
        <f>IFERROR(__xludf.DUMMYFUNCTION("""COMPUTED_VALUE"""),338.0)</f>
        <v>338</v>
      </c>
      <c r="BD432" s="71">
        <f>IFERROR(__xludf.DUMMYFUNCTION("""COMPUTED_VALUE"""),355.0)</f>
        <v>355</v>
      </c>
      <c r="BE432" s="71">
        <f>IFERROR(__xludf.DUMMYFUNCTION("""COMPUTED_VALUE"""),56.800000000000004)</f>
        <v>56.8</v>
      </c>
      <c r="BF432" s="71">
        <f>IFERROR(__xludf.DUMMYFUNCTION("""COMPUTED_VALUE"""),411.8)</f>
        <v>411.8</v>
      </c>
      <c r="BG432" s="71">
        <f>IFERROR(__xludf.DUMMYFUNCTION("""COMPUTED_VALUE"""),0.05029585798816568)</f>
        <v>0.05029585799</v>
      </c>
      <c r="BH432" s="71">
        <f>IFERROR(__xludf.DUMMYFUNCTION("""COMPUTED_VALUE"""),337.25)</f>
        <v>337.25</v>
      </c>
      <c r="BI432" s="71">
        <f>IFERROR(__xludf.DUMMYFUNCTION("""COMPUTED_VALUE"""),53.96)</f>
        <v>53.96</v>
      </c>
      <c r="BJ432" s="71">
        <f>IFERROR(__xludf.DUMMYFUNCTION("""COMPUTED_VALUE"""),391.21)</f>
        <v>391.21</v>
      </c>
      <c r="BK432" s="71">
        <f>IFERROR(__xludf.DUMMYFUNCTION("""COMPUTED_VALUE"""),319.5)</f>
        <v>319.5</v>
      </c>
      <c r="BL432" s="71">
        <f>IFERROR(__xludf.DUMMYFUNCTION("""COMPUTED_VALUE"""),51.120000000000005)</f>
        <v>51.12</v>
      </c>
      <c r="BM432" s="71">
        <f>IFERROR(__xludf.DUMMYFUNCTION("""COMPUTED_VALUE"""),370.62)</f>
        <v>370.62</v>
      </c>
      <c r="BN432" s="71">
        <f>IFERROR(__xludf.DUMMYFUNCTION("""COMPUTED_VALUE"""),301.75)</f>
        <v>301.75</v>
      </c>
      <c r="BO432" s="71">
        <f>IFERROR(__xludf.DUMMYFUNCTION("""COMPUTED_VALUE"""),48.28)</f>
        <v>48.28</v>
      </c>
      <c r="BP432" s="71">
        <f>IFERROR(__xludf.DUMMYFUNCTION("""COMPUTED_VALUE"""),350.03)</f>
        <v>350.03</v>
      </c>
      <c r="BQ432" s="71">
        <f>IFERROR(__xludf.DUMMYFUNCTION("""COMPUTED_VALUE"""),294.65)</f>
        <v>294.65</v>
      </c>
      <c r="BR432" s="71">
        <f>IFERROR(__xludf.DUMMYFUNCTION("""COMPUTED_VALUE"""),47.144)</f>
        <v>47.144</v>
      </c>
      <c r="BS432" s="71">
        <f>IFERROR(__xludf.DUMMYFUNCTION("""COMPUTED_VALUE"""),341.794)</f>
        <v>341.794</v>
      </c>
      <c r="BT432" s="71">
        <f>IFERROR(__xludf.DUMMYFUNCTION("""COMPUTED_VALUE"""),284.0)</f>
        <v>284</v>
      </c>
      <c r="BU432" s="71">
        <f>IFERROR(__xludf.DUMMYFUNCTION("""COMPUTED_VALUE"""),45.44)</f>
        <v>45.44</v>
      </c>
      <c r="BV432" s="71">
        <f>IFERROR(__xludf.DUMMYFUNCTION("""COMPUTED_VALUE"""),329.44)</f>
        <v>329.44</v>
      </c>
    </row>
    <row r="433">
      <c r="A433" s="53"/>
      <c r="B433" s="53">
        <v>3.0</v>
      </c>
      <c r="C433" s="53" t="s">
        <v>36</v>
      </c>
      <c r="D433" s="98" t="s">
        <v>1101</v>
      </c>
      <c r="E433" s="54" t="s">
        <v>38</v>
      </c>
      <c r="F433" s="55" t="s">
        <v>96</v>
      </c>
      <c r="G433" s="84" t="s">
        <v>1102</v>
      </c>
      <c r="H433" s="84"/>
      <c r="I433" s="54">
        <f t="shared" si="1"/>
        <v>0</v>
      </c>
      <c r="J433" s="102"/>
      <c r="K433" s="102"/>
      <c r="L433" s="76"/>
      <c r="M433" s="59"/>
      <c r="N433" s="60"/>
      <c r="O433" s="100">
        <v>39733.0</v>
      </c>
      <c r="P433" s="62">
        <v>42911.64</v>
      </c>
      <c r="Q433" s="63">
        <v>42911.64</v>
      </c>
      <c r="R433" s="64">
        <v>47311.0</v>
      </c>
      <c r="S433" s="107">
        <v>49677.0</v>
      </c>
      <c r="T433" s="65">
        <f t="shared" si="2"/>
        <v>7948.32</v>
      </c>
      <c r="U433" s="65">
        <f t="shared" si="3"/>
        <v>57625.32</v>
      </c>
      <c r="V433" s="66">
        <f t="shared" si="4"/>
        <v>0.05000951153</v>
      </c>
      <c r="W433" s="67">
        <f t="shared" si="5"/>
        <v>47193.15</v>
      </c>
      <c r="X433" s="67">
        <f t="shared" si="6"/>
        <v>7550.904</v>
      </c>
      <c r="Y433" s="67">
        <f t="shared" si="7"/>
        <v>54744.054</v>
      </c>
      <c r="Z433" s="67">
        <f t="shared" si="8"/>
        <v>44709.3</v>
      </c>
      <c r="AA433" s="67">
        <f t="shared" si="9"/>
        <v>7153.488</v>
      </c>
      <c r="AB433" s="67">
        <f t="shared" si="10"/>
        <v>51862.788</v>
      </c>
      <c r="AC433" s="67">
        <f t="shared" si="11"/>
        <v>44709.3</v>
      </c>
      <c r="AD433" s="67">
        <f t="shared" si="12"/>
        <v>7153.488</v>
      </c>
      <c r="AE433" s="67">
        <f t="shared" si="13"/>
        <v>51862.788</v>
      </c>
      <c r="AF433" s="67">
        <f t="shared" si="14"/>
        <v>44709.3</v>
      </c>
      <c r="AG433" s="67">
        <f t="shared" si="15"/>
        <v>7153.488</v>
      </c>
      <c r="AH433" s="67">
        <f t="shared" si="16"/>
        <v>51862.788</v>
      </c>
      <c r="AI433" s="67">
        <f t="shared" si="17"/>
        <v>44709.3</v>
      </c>
      <c r="AJ433" s="68">
        <f t="shared" si="20"/>
        <v>7153.488</v>
      </c>
      <c r="AK433" s="68">
        <f t="shared" si="21"/>
        <v>51862.788</v>
      </c>
      <c r="AL433" s="70">
        <f>IFERROR(__xludf.DUMMYFUNCTION("""COMPUTED_VALUE"""),1.0)</f>
        <v>1</v>
      </c>
      <c r="AM433" s="70"/>
      <c r="AN433" s="71" t="str">
        <f>IFERROR(__xludf.DUMMYFUNCTION("""COMPUTED_VALUE""")," P")</f>
        <v>P</v>
      </c>
      <c r="AO433" s="71" t="str">
        <f>IFERROR(__xludf.DUMMYFUNCTION("""COMPUTED_VALUE""")," CS05")</f>
        <v>CS05</v>
      </c>
      <c r="AP433" s="71" t="str">
        <f>IFERROR(__xludf.DUMMYFUNCTION("""COMPUTED_VALUE""")," PZA")</f>
        <v>PZA</v>
      </c>
      <c r="AQ433" s="71" t="str">
        <f>IFERROR(__xludf.DUMMYFUNCTION("""COMPUTED_VALUE""")," REF")</f>
        <v>REF</v>
      </c>
      <c r="AR433" s="71" t="str">
        <f>IFERROR(__xludf.DUMMYFUNCTION("""COMPUTED_VALUE""")," CHAROLA PARA BANCO SENCILLA MODELO ANTERIOR, TV-40 Y TV-30 EN ACERO INOX.")</f>
        <v>CHAROLA PARA BANCO SENCILLA MODELO ANTERIOR, TV-40 Y TV-30 EN ACERO INOX.</v>
      </c>
      <c r="AS433" s="71" t="str">
        <f>IFERROR(__xludf.DUMMYFUNCTION("""COMPUTED_VALUE""")," CHAROLA PARA BANCO SENC MA TV30/40 INOX")</f>
        <v>CHAROLA PARA BANCO SENC MA TV30/40 INOX</v>
      </c>
      <c r="AT433" s="71">
        <f>IFERROR(__xludf.DUMMYFUNCTION("""COMPUTED_VALUE"""),39.0)</f>
        <v>39</v>
      </c>
      <c r="AU433" s="71"/>
      <c r="AV433" s="71"/>
      <c r="AW433" s="71"/>
      <c r="AX433" s="71"/>
      <c r="AY433" s="71">
        <f>IFERROR(__xludf.DUMMYFUNCTION("""COMPUTED_VALUE"""),191.0)</f>
        <v>191</v>
      </c>
      <c r="AZ433" s="71">
        <f>IFERROR(__xludf.DUMMYFUNCTION("""COMPUTED_VALUE"""),206.0)</f>
        <v>206</v>
      </c>
      <c r="BA433" s="71">
        <f>IFERROR(__xludf.DUMMYFUNCTION("""COMPUTED_VALUE"""),222.48000000000002)</f>
        <v>222.48</v>
      </c>
      <c r="BB433" s="71">
        <f>IFERROR(__xludf.DUMMYFUNCTION("""COMPUTED_VALUE"""),222.48000000000002)</f>
        <v>222.48</v>
      </c>
      <c r="BC433" s="71">
        <f>IFERROR(__xludf.DUMMYFUNCTION("""COMPUTED_VALUE"""),248.0)</f>
        <v>248</v>
      </c>
      <c r="BD433" s="71">
        <f>IFERROR(__xludf.DUMMYFUNCTION("""COMPUTED_VALUE"""),260.0)</f>
        <v>260</v>
      </c>
      <c r="BE433" s="71">
        <f>IFERROR(__xludf.DUMMYFUNCTION("""COMPUTED_VALUE"""),41.6)</f>
        <v>41.6</v>
      </c>
      <c r="BF433" s="71">
        <f>IFERROR(__xludf.DUMMYFUNCTION("""COMPUTED_VALUE"""),301.6)</f>
        <v>301.6</v>
      </c>
      <c r="BG433" s="71">
        <f>IFERROR(__xludf.DUMMYFUNCTION("""COMPUTED_VALUE"""),0.04838709677419355)</f>
        <v>0.04838709677</v>
      </c>
      <c r="BH433" s="71">
        <f>IFERROR(__xludf.DUMMYFUNCTION("""COMPUTED_VALUE"""),247.0)</f>
        <v>247</v>
      </c>
      <c r="BI433" s="71">
        <f>IFERROR(__xludf.DUMMYFUNCTION("""COMPUTED_VALUE"""),39.52)</f>
        <v>39.52</v>
      </c>
      <c r="BJ433" s="71">
        <f>IFERROR(__xludf.DUMMYFUNCTION("""COMPUTED_VALUE"""),286.52)</f>
        <v>286.52</v>
      </c>
      <c r="BK433" s="71">
        <f>IFERROR(__xludf.DUMMYFUNCTION("""COMPUTED_VALUE"""),234.0)</f>
        <v>234</v>
      </c>
      <c r="BL433" s="71">
        <f>IFERROR(__xludf.DUMMYFUNCTION("""COMPUTED_VALUE"""),37.44)</f>
        <v>37.44</v>
      </c>
      <c r="BM433" s="71">
        <f>IFERROR(__xludf.DUMMYFUNCTION("""COMPUTED_VALUE"""),271.44)</f>
        <v>271.44</v>
      </c>
      <c r="BN433" s="71">
        <f>IFERROR(__xludf.DUMMYFUNCTION("""COMPUTED_VALUE"""),221.0)</f>
        <v>221</v>
      </c>
      <c r="BO433" s="71">
        <f>IFERROR(__xludf.DUMMYFUNCTION("""COMPUTED_VALUE"""),35.36)</f>
        <v>35.36</v>
      </c>
      <c r="BP433" s="71">
        <f>IFERROR(__xludf.DUMMYFUNCTION("""COMPUTED_VALUE"""),256.36)</f>
        <v>256.36</v>
      </c>
      <c r="BQ433" s="71">
        <f>IFERROR(__xludf.DUMMYFUNCTION("""COMPUTED_VALUE"""),215.79999999999998)</f>
        <v>215.8</v>
      </c>
      <c r="BR433" s="71">
        <f>IFERROR(__xludf.DUMMYFUNCTION("""COMPUTED_VALUE"""),34.528)</f>
        <v>34.528</v>
      </c>
      <c r="BS433" s="71">
        <f>IFERROR(__xludf.DUMMYFUNCTION("""COMPUTED_VALUE"""),250.32799999999997)</f>
        <v>250.328</v>
      </c>
      <c r="BT433" s="71">
        <f>IFERROR(__xludf.DUMMYFUNCTION("""COMPUTED_VALUE"""),208.0)</f>
        <v>208</v>
      </c>
      <c r="BU433" s="71">
        <f>IFERROR(__xludf.DUMMYFUNCTION("""COMPUTED_VALUE"""),33.28)</f>
        <v>33.28</v>
      </c>
      <c r="BV433" s="71">
        <f>IFERROR(__xludf.DUMMYFUNCTION("""COMPUTED_VALUE"""),241.28)</f>
        <v>241.28</v>
      </c>
    </row>
    <row r="434">
      <c r="A434" s="53"/>
      <c r="B434" s="53">
        <v>3.0</v>
      </c>
      <c r="C434" s="53" t="s">
        <v>36</v>
      </c>
      <c r="D434" s="98" t="s">
        <v>1103</v>
      </c>
      <c r="E434" s="54" t="s">
        <v>38</v>
      </c>
      <c r="F434" s="55" t="s">
        <v>96</v>
      </c>
      <c r="G434" s="81" t="s">
        <v>1104</v>
      </c>
      <c r="H434" s="81"/>
      <c r="I434" s="54">
        <f t="shared" si="1"/>
        <v>0</v>
      </c>
      <c r="J434" s="99"/>
      <c r="K434" s="99"/>
      <c r="L434" s="76"/>
      <c r="M434" s="59"/>
      <c r="N434" s="60"/>
      <c r="O434" s="100">
        <v>126310.0</v>
      </c>
      <c r="P434" s="62">
        <v>136414.80000000002</v>
      </c>
      <c r="Q434" s="63">
        <v>136414.80000000002</v>
      </c>
      <c r="R434" s="64">
        <v>150398.0</v>
      </c>
      <c r="S434" s="107">
        <v>157918.0</v>
      </c>
      <c r="T434" s="65">
        <f t="shared" si="2"/>
        <v>25266.88</v>
      </c>
      <c r="U434" s="65">
        <f t="shared" si="3"/>
        <v>183184.88</v>
      </c>
      <c r="V434" s="66">
        <f t="shared" si="4"/>
        <v>0.0500006649</v>
      </c>
      <c r="W434" s="67">
        <f t="shared" si="5"/>
        <v>150022.1</v>
      </c>
      <c r="X434" s="67">
        <f t="shared" si="6"/>
        <v>24003.536</v>
      </c>
      <c r="Y434" s="67">
        <f t="shared" si="7"/>
        <v>174025.636</v>
      </c>
      <c r="Z434" s="67">
        <f t="shared" si="8"/>
        <v>142126.2</v>
      </c>
      <c r="AA434" s="67">
        <f t="shared" si="9"/>
        <v>22740.192</v>
      </c>
      <c r="AB434" s="67">
        <f t="shared" si="10"/>
        <v>164866.392</v>
      </c>
      <c r="AC434" s="67">
        <f t="shared" si="11"/>
        <v>142126.2</v>
      </c>
      <c r="AD434" s="67">
        <f t="shared" si="12"/>
        <v>22740.192</v>
      </c>
      <c r="AE434" s="67">
        <f t="shared" si="13"/>
        <v>164866.392</v>
      </c>
      <c r="AF434" s="67">
        <f t="shared" si="14"/>
        <v>142126.2</v>
      </c>
      <c r="AG434" s="67">
        <f t="shared" si="15"/>
        <v>22740.192</v>
      </c>
      <c r="AH434" s="67">
        <f t="shared" si="16"/>
        <v>164866.392</v>
      </c>
      <c r="AI434" s="67">
        <f t="shared" si="17"/>
        <v>142126.2</v>
      </c>
      <c r="AJ434" s="68">
        <f t="shared" si="20"/>
        <v>22740.192</v>
      </c>
      <c r="AK434" s="68">
        <f t="shared" si="21"/>
        <v>164866.392</v>
      </c>
      <c r="AL434" s="70">
        <f>IFERROR(__xludf.DUMMYFUNCTION("""COMPUTED_VALUE"""),1.0)</f>
        <v>1</v>
      </c>
      <c r="AM434" s="70"/>
      <c r="AN434" s="71" t="str">
        <f>IFERROR(__xludf.DUMMYFUNCTION("""COMPUTED_VALUE""")," P")</f>
        <v>P</v>
      </c>
      <c r="AO434" s="71" t="str">
        <f>IFERROR(__xludf.DUMMYFUNCTION("""COMPUTED_VALUE""")," CS06")</f>
        <v>CS06</v>
      </c>
      <c r="AP434" s="71" t="str">
        <f>IFERROR(__xludf.DUMMYFUNCTION("""COMPUTED_VALUE""")," PZA")</f>
        <v>PZA</v>
      </c>
      <c r="AQ434" s="71" t="str">
        <f>IFERROR(__xludf.DUMMYFUNCTION("""COMPUTED_VALUE""")," REF")</f>
        <v>REF</v>
      </c>
      <c r="AR434" s="71" t="str">
        <f>IFERROR(__xludf.DUMMYFUNCTION("""COMPUTED_VALUE""")," CHAROLA PARA BANCO SENCILLO TV-50 (B.C.)")</f>
        <v>CHAROLA PARA BANCO SENCILLO TV-50 (B.C.)</v>
      </c>
      <c r="AS434" s="71" t="str">
        <f>IFERROR(__xludf.DUMMYFUNCTION("""COMPUTED_VALUE""")," CHAROLA PARA BANCO SENCILLO TV50 BC")</f>
        <v>CHAROLA PARA BANCO SENCILLO TV50 BC</v>
      </c>
      <c r="AT434" s="71">
        <f>IFERROR(__xludf.DUMMYFUNCTION("""COMPUTED_VALUE"""),35.0)</f>
        <v>35</v>
      </c>
      <c r="AU434" s="71"/>
      <c r="AV434" s="71"/>
      <c r="AW434" s="71"/>
      <c r="AX434" s="71"/>
      <c r="AY434" s="71">
        <f>IFERROR(__xludf.DUMMYFUNCTION("""COMPUTED_VALUE"""),176.0)</f>
        <v>176</v>
      </c>
      <c r="AZ434" s="71">
        <f>IFERROR(__xludf.DUMMYFUNCTION("""COMPUTED_VALUE"""),190.0)</f>
        <v>190</v>
      </c>
      <c r="BA434" s="71">
        <f>IFERROR(__xludf.DUMMYFUNCTION("""COMPUTED_VALUE"""),205.20000000000002)</f>
        <v>205.2</v>
      </c>
      <c r="BB434" s="71">
        <f>IFERROR(__xludf.DUMMYFUNCTION("""COMPUTED_VALUE"""),205.20000000000002)</f>
        <v>205.2</v>
      </c>
      <c r="BC434" s="71">
        <f>IFERROR(__xludf.DUMMYFUNCTION("""COMPUTED_VALUE"""),229.0)</f>
        <v>229</v>
      </c>
      <c r="BD434" s="71">
        <f>IFERROR(__xludf.DUMMYFUNCTION("""COMPUTED_VALUE"""),240.0)</f>
        <v>240</v>
      </c>
      <c r="BE434" s="71">
        <f>IFERROR(__xludf.DUMMYFUNCTION("""COMPUTED_VALUE"""),38.4)</f>
        <v>38.4</v>
      </c>
      <c r="BF434" s="71">
        <f>IFERROR(__xludf.DUMMYFUNCTION("""COMPUTED_VALUE"""),278.4)</f>
        <v>278.4</v>
      </c>
      <c r="BG434" s="71">
        <f>IFERROR(__xludf.DUMMYFUNCTION("""COMPUTED_VALUE"""),0.048034934497816595)</f>
        <v>0.0480349345</v>
      </c>
      <c r="BH434" s="71">
        <f>IFERROR(__xludf.DUMMYFUNCTION("""COMPUTED_VALUE"""),228.0)</f>
        <v>228</v>
      </c>
      <c r="BI434" s="71">
        <f>IFERROR(__xludf.DUMMYFUNCTION("""COMPUTED_VALUE"""),36.480000000000004)</f>
        <v>36.48</v>
      </c>
      <c r="BJ434" s="71">
        <f>IFERROR(__xludf.DUMMYFUNCTION("""COMPUTED_VALUE"""),264.48)</f>
        <v>264.48</v>
      </c>
      <c r="BK434" s="71">
        <f>IFERROR(__xludf.DUMMYFUNCTION("""COMPUTED_VALUE"""),216.0)</f>
        <v>216</v>
      </c>
      <c r="BL434" s="71">
        <f>IFERROR(__xludf.DUMMYFUNCTION("""COMPUTED_VALUE"""),34.56)</f>
        <v>34.56</v>
      </c>
      <c r="BM434" s="71">
        <f>IFERROR(__xludf.DUMMYFUNCTION("""COMPUTED_VALUE"""),250.56)</f>
        <v>250.56</v>
      </c>
      <c r="BN434" s="71">
        <f>IFERROR(__xludf.DUMMYFUNCTION("""COMPUTED_VALUE"""),204.0)</f>
        <v>204</v>
      </c>
      <c r="BO434" s="71">
        <f>IFERROR(__xludf.DUMMYFUNCTION("""COMPUTED_VALUE"""),32.64)</f>
        <v>32.64</v>
      </c>
      <c r="BP434" s="71">
        <f>IFERROR(__xludf.DUMMYFUNCTION("""COMPUTED_VALUE"""),236.64)</f>
        <v>236.64</v>
      </c>
      <c r="BQ434" s="71">
        <f>IFERROR(__xludf.DUMMYFUNCTION("""COMPUTED_VALUE"""),199.2)</f>
        <v>199.2</v>
      </c>
      <c r="BR434" s="71">
        <f>IFERROR(__xludf.DUMMYFUNCTION("""COMPUTED_VALUE"""),31.872)</f>
        <v>31.872</v>
      </c>
      <c r="BS434" s="71">
        <f>IFERROR(__xludf.DUMMYFUNCTION("""COMPUTED_VALUE"""),231.072)</f>
        <v>231.072</v>
      </c>
      <c r="BT434" s="71">
        <f>IFERROR(__xludf.DUMMYFUNCTION("""COMPUTED_VALUE"""),192.0)</f>
        <v>192</v>
      </c>
      <c r="BU434" s="71">
        <f>IFERROR(__xludf.DUMMYFUNCTION("""COMPUTED_VALUE"""),30.72)</f>
        <v>30.72</v>
      </c>
      <c r="BV434" s="71">
        <f>IFERROR(__xludf.DUMMYFUNCTION("""COMPUTED_VALUE"""),222.72)</f>
        <v>222.72</v>
      </c>
    </row>
    <row r="435">
      <c r="A435" s="53"/>
      <c r="B435" s="53">
        <v>3.0</v>
      </c>
      <c r="C435" s="53" t="s">
        <v>36</v>
      </c>
      <c r="D435" s="98" t="s">
        <v>1105</v>
      </c>
      <c r="E435" s="54" t="s">
        <v>38</v>
      </c>
      <c r="F435" s="55" t="s">
        <v>187</v>
      </c>
      <c r="G435" s="117" t="s">
        <v>1106</v>
      </c>
      <c r="H435" s="55"/>
      <c r="I435" s="54">
        <f t="shared" si="1"/>
        <v>0</v>
      </c>
      <c r="J435" s="56"/>
      <c r="K435" s="57"/>
      <c r="L435" s="76"/>
      <c r="M435" s="59"/>
      <c r="N435" s="60"/>
      <c r="O435" s="61">
        <v>70092.0</v>
      </c>
      <c r="P435" s="62">
        <v>75699.36</v>
      </c>
      <c r="Q435" s="63">
        <v>75699.36</v>
      </c>
      <c r="R435" s="64">
        <v>83459.0</v>
      </c>
      <c r="S435" s="107">
        <v>87632.0</v>
      </c>
      <c r="T435" s="65">
        <f t="shared" si="2"/>
        <v>14021.12</v>
      </c>
      <c r="U435" s="65">
        <f t="shared" si="3"/>
        <v>101653.12</v>
      </c>
      <c r="V435" s="66">
        <f t="shared" si="4"/>
        <v>0.0500005991</v>
      </c>
      <c r="W435" s="67">
        <f t="shared" si="5"/>
        <v>83250.4</v>
      </c>
      <c r="X435" s="67">
        <f t="shared" si="6"/>
        <v>13320.064</v>
      </c>
      <c r="Y435" s="67">
        <f t="shared" si="7"/>
        <v>96570.464</v>
      </c>
      <c r="Z435" s="67">
        <f t="shared" si="8"/>
        <v>78868.8</v>
      </c>
      <c r="AA435" s="67">
        <f t="shared" si="9"/>
        <v>12619.008</v>
      </c>
      <c r="AB435" s="67">
        <f t="shared" si="10"/>
        <v>91487.808</v>
      </c>
      <c r="AC435" s="67">
        <f t="shared" si="11"/>
        <v>78868.8</v>
      </c>
      <c r="AD435" s="67">
        <f t="shared" si="12"/>
        <v>12619.008</v>
      </c>
      <c r="AE435" s="67">
        <f t="shared" si="13"/>
        <v>91487.808</v>
      </c>
      <c r="AF435" s="67">
        <f t="shared" si="14"/>
        <v>78868.8</v>
      </c>
      <c r="AG435" s="67">
        <f t="shared" si="15"/>
        <v>12619.008</v>
      </c>
      <c r="AH435" s="67">
        <f t="shared" si="16"/>
        <v>91487.808</v>
      </c>
      <c r="AI435" s="67">
        <f t="shared" si="17"/>
        <v>78868.8</v>
      </c>
      <c r="AJ435" s="68">
        <f t="shared" si="20"/>
        <v>12619.008</v>
      </c>
      <c r="AK435" s="68">
        <f t="shared" si="21"/>
        <v>91487.808</v>
      </c>
      <c r="AL435" s="70">
        <f>IFERROR(__xludf.DUMMYFUNCTION("""COMPUTED_VALUE"""),1.0)</f>
        <v>1</v>
      </c>
      <c r="AM435" s="70"/>
      <c r="AN435" s="71" t="str">
        <f>IFERROR(__xludf.DUMMYFUNCTION("""COMPUTED_VALUE""")," P")</f>
        <v>P</v>
      </c>
      <c r="AO435" s="71" t="str">
        <f>IFERROR(__xludf.DUMMYFUNCTION("""COMPUTED_VALUE""")," CH73")</f>
        <v>CH73</v>
      </c>
      <c r="AP435" s="71" t="str">
        <f>IFERROR(__xludf.DUMMYFUNCTION("""COMPUTED_VALUE""")," PZA")</f>
        <v>PZA</v>
      </c>
      <c r="AQ435" s="71" t="str">
        <f>IFERROR(__xludf.DUMMYFUNCTION("""COMPUTED_VALUE""")," REF")</f>
        <v>REF</v>
      </c>
      <c r="AR435" s="71" t="str">
        <f>IFERROR(__xludf.DUMMYFUNCTION("""COMPUTED_VALUE""")," CHUMACERA AUTOALINEABLE ALTA ARMADA CON RÓTULA DE BRONCE")</f>
        <v>CHUMACERA AUTOALINEABLE ALTA ARMADA CON RÓTULA DE BRONCE</v>
      </c>
      <c r="AS435" s="71" t="str">
        <f>IFERROR(__xludf.DUMMYFUNCTION("""COMPUTED_VALUE""")," CHUMACERA AUTALIN ALTA ARM ROTULA BRONCE")</f>
        <v>CHUMACERA AUTALIN ALTA ARM ROTULA BRONCE</v>
      </c>
      <c r="AT435" s="71">
        <f>IFERROR(__xludf.DUMMYFUNCTION("""COMPUTED_VALUE"""),40.0)</f>
        <v>40</v>
      </c>
      <c r="AU435" s="71"/>
      <c r="AV435" s="71"/>
      <c r="AW435" s="71"/>
      <c r="AX435" s="71"/>
      <c r="AY435" s="71">
        <f>IFERROR(__xludf.DUMMYFUNCTION("""COMPUTED_VALUE"""),607.0)</f>
        <v>607</v>
      </c>
      <c r="AZ435" s="71">
        <f>IFERROR(__xludf.DUMMYFUNCTION("""COMPUTED_VALUE"""),655.0)</f>
        <v>655</v>
      </c>
      <c r="BA435" s="71">
        <f>IFERROR(__xludf.DUMMYFUNCTION("""COMPUTED_VALUE"""),707.4000000000001)</f>
        <v>707.4</v>
      </c>
      <c r="BB435" s="71">
        <f>IFERROR(__xludf.DUMMYFUNCTION("""COMPUTED_VALUE"""),707.4000000000001)</f>
        <v>707.4</v>
      </c>
      <c r="BC435" s="71">
        <f>IFERROR(__xludf.DUMMYFUNCTION("""COMPUTED_VALUE"""),788.0)</f>
        <v>788</v>
      </c>
      <c r="BD435" s="71">
        <f>IFERROR(__xludf.DUMMYFUNCTION("""COMPUTED_VALUE"""),827.0)</f>
        <v>827</v>
      </c>
      <c r="BE435" s="71">
        <f>IFERROR(__xludf.DUMMYFUNCTION("""COMPUTED_VALUE"""),132.32)</f>
        <v>132.32</v>
      </c>
      <c r="BF435" s="71">
        <f>IFERROR(__xludf.DUMMYFUNCTION("""COMPUTED_VALUE"""),959.3199999999999)</f>
        <v>959.32</v>
      </c>
      <c r="BG435" s="71">
        <f>IFERROR(__xludf.DUMMYFUNCTION("""COMPUTED_VALUE"""),0.04949238578680203)</f>
        <v>0.04949238579</v>
      </c>
      <c r="BH435" s="71">
        <f>IFERROR(__xludf.DUMMYFUNCTION("""COMPUTED_VALUE"""),785.65)</f>
        <v>785.65</v>
      </c>
      <c r="BI435" s="71">
        <f>IFERROR(__xludf.DUMMYFUNCTION("""COMPUTED_VALUE"""),125.704)</f>
        <v>125.704</v>
      </c>
      <c r="BJ435" s="71">
        <f>IFERROR(__xludf.DUMMYFUNCTION("""COMPUTED_VALUE"""),911.3539999999999)</f>
        <v>911.354</v>
      </c>
      <c r="BK435" s="71">
        <f>IFERROR(__xludf.DUMMYFUNCTION("""COMPUTED_VALUE"""),744.3000000000001)</f>
        <v>744.3</v>
      </c>
      <c r="BL435" s="71">
        <f>IFERROR(__xludf.DUMMYFUNCTION("""COMPUTED_VALUE"""),119.08800000000001)</f>
        <v>119.088</v>
      </c>
      <c r="BM435" s="71">
        <f>IFERROR(__xludf.DUMMYFUNCTION("""COMPUTED_VALUE"""),863.388)</f>
        <v>863.388</v>
      </c>
      <c r="BN435" s="71">
        <f>IFERROR(__xludf.DUMMYFUNCTION("""COMPUTED_VALUE"""),702.9499999999999)</f>
        <v>702.95</v>
      </c>
      <c r="BO435" s="71">
        <f>IFERROR(__xludf.DUMMYFUNCTION("""COMPUTED_VALUE"""),112.472)</f>
        <v>112.472</v>
      </c>
      <c r="BP435" s="71">
        <f>IFERROR(__xludf.DUMMYFUNCTION("""COMPUTED_VALUE"""),815.4219999999999)</f>
        <v>815.422</v>
      </c>
      <c r="BQ435" s="71">
        <f>IFERROR(__xludf.DUMMYFUNCTION("""COMPUTED_VALUE"""),686.41)</f>
        <v>686.41</v>
      </c>
      <c r="BR435" s="71">
        <f>IFERROR(__xludf.DUMMYFUNCTION("""COMPUTED_VALUE"""),109.8256)</f>
        <v>109.8256</v>
      </c>
      <c r="BS435" s="71">
        <f>IFERROR(__xludf.DUMMYFUNCTION("""COMPUTED_VALUE"""),796.2356)</f>
        <v>796.2356</v>
      </c>
      <c r="BT435" s="71">
        <f>IFERROR(__xludf.DUMMYFUNCTION("""COMPUTED_VALUE"""),661.6)</f>
        <v>661.6</v>
      </c>
      <c r="BU435" s="71">
        <f>IFERROR(__xludf.DUMMYFUNCTION("""COMPUTED_VALUE"""),105.85600000000001)</f>
        <v>105.856</v>
      </c>
      <c r="BV435" s="71">
        <f>IFERROR(__xludf.DUMMYFUNCTION("""COMPUTED_VALUE"""),767.456)</f>
        <v>767.456</v>
      </c>
    </row>
    <row r="436">
      <c r="A436" s="53"/>
      <c r="B436" s="53">
        <v>3.0</v>
      </c>
      <c r="C436" s="53" t="s">
        <v>36</v>
      </c>
      <c r="D436" s="98" t="s">
        <v>1107</v>
      </c>
      <c r="E436" s="54" t="s">
        <v>38</v>
      </c>
      <c r="F436" s="55" t="s">
        <v>187</v>
      </c>
      <c r="G436" s="117" t="s">
        <v>1108</v>
      </c>
      <c r="H436" s="55"/>
      <c r="I436" s="54">
        <f t="shared" si="1"/>
        <v>0</v>
      </c>
      <c r="J436" s="56"/>
      <c r="K436" s="57"/>
      <c r="L436" s="76"/>
      <c r="M436" s="59"/>
      <c r="N436" s="60"/>
      <c r="O436" s="61">
        <v>43237.0</v>
      </c>
      <c r="P436" s="62">
        <v>46695.96000000001</v>
      </c>
      <c r="Q436" s="63">
        <v>46695.96000000001</v>
      </c>
      <c r="R436" s="64">
        <v>51483.0</v>
      </c>
      <c r="S436" s="107">
        <v>54057.0</v>
      </c>
      <c r="T436" s="65">
        <f t="shared" si="2"/>
        <v>8649.12</v>
      </c>
      <c r="U436" s="65">
        <f t="shared" si="3"/>
        <v>62706.12</v>
      </c>
      <c r="V436" s="66">
        <f t="shared" si="4"/>
        <v>0.04999708642</v>
      </c>
      <c r="W436" s="67">
        <f t="shared" si="5"/>
        <v>51354.15</v>
      </c>
      <c r="X436" s="67">
        <f t="shared" si="6"/>
        <v>8216.664</v>
      </c>
      <c r="Y436" s="67">
        <f t="shared" si="7"/>
        <v>59570.814</v>
      </c>
      <c r="Z436" s="67">
        <f t="shared" si="8"/>
        <v>48651.3</v>
      </c>
      <c r="AA436" s="67">
        <f t="shared" si="9"/>
        <v>7784.208</v>
      </c>
      <c r="AB436" s="67">
        <f t="shared" si="10"/>
        <v>56435.508</v>
      </c>
      <c r="AC436" s="67">
        <f t="shared" si="11"/>
        <v>48651.3</v>
      </c>
      <c r="AD436" s="67">
        <f t="shared" si="12"/>
        <v>7784.208</v>
      </c>
      <c r="AE436" s="67">
        <f t="shared" si="13"/>
        <v>56435.508</v>
      </c>
      <c r="AF436" s="67">
        <f t="shared" si="14"/>
        <v>48651.3</v>
      </c>
      <c r="AG436" s="67">
        <f t="shared" si="15"/>
        <v>7784.208</v>
      </c>
      <c r="AH436" s="67">
        <f t="shared" si="16"/>
        <v>56435.508</v>
      </c>
      <c r="AI436" s="67">
        <f t="shared" si="17"/>
        <v>48651.3</v>
      </c>
      <c r="AJ436" s="68">
        <f t="shared" si="20"/>
        <v>7784.208</v>
      </c>
      <c r="AK436" s="68">
        <f t="shared" si="21"/>
        <v>56435.508</v>
      </c>
      <c r="AL436" s="70">
        <f>IFERROR(__xludf.DUMMYFUNCTION("""COMPUTED_VALUE"""),1.0)</f>
        <v>1</v>
      </c>
      <c r="AM436" s="70"/>
      <c r="AN436" s="71" t="str">
        <f>IFERROR(__xludf.DUMMYFUNCTION("""COMPUTED_VALUE""")," P")</f>
        <v>P</v>
      </c>
      <c r="AO436" s="71" t="str">
        <f>IFERROR(__xludf.DUMMYFUNCTION("""COMPUTED_VALUE""")," CH72")</f>
        <v>CH72</v>
      </c>
      <c r="AP436" s="71" t="str">
        <f>IFERROR(__xludf.DUMMYFUNCTION("""COMPUTED_VALUE""")," PZA")</f>
        <v>PZA</v>
      </c>
      <c r="AQ436" s="71" t="str">
        <f>IFERROR(__xludf.DUMMYFUNCTION("""COMPUTED_VALUE""")," REF")</f>
        <v>REF</v>
      </c>
      <c r="AR436" s="71" t="str">
        <f>IFERROR(__xludf.DUMMYFUNCTION("""COMPUTED_VALUE""")," CHUMACERA AUTOALINEABLE ALTA ARMADA CON RÓTULA DE ESTÉREO CARBÓN")</f>
        <v>CHUMACERA AUTOALINEABLE ALTA ARMADA CON RÓTULA DE ESTÉREO CARBÓN</v>
      </c>
      <c r="AS436" s="71" t="str">
        <f>IFERROR(__xludf.DUMMYFUNCTION("""COMPUTED_VALUE""")," CHUMACERA AUTALIN ALTA ARM RUTUL ESTCARB")</f>
        <v>CHUMACERA AUTALIN ALTA ARM RUTUL ESTCARB</v>
      </c>
      <c r="AT436" s="71">
        <f>IFERROR(__xludf.DUMMYFUNCTION("""COMPUTED_VALUE"""),40.0)</f>
        <v>40</v>
      </c>
      <c r="AU436" s="71"/>
      <c r="AV436" s="71"/>
      <c r="AW436" s="71"/>
      <c r="AX436" s="71"/>
      <c r="AY436" s="71">
        <f>IFERROR(__xludf.DUMMYFUNCTION("""COMPUTED_VALUE"""),596.0)</f>
        <v>596</v>
      </c>
      <c r="AZ436" s="71">
        <f>IFERROR(__xludf.DUMMYFUNCTION("""COMPUTED_VALUE"""),643.0)</f>
        <v>643</v>
      </c>
      <c r="BA436" s="71">
        <f>IFERROR(__xludf.DUMMYFUNCTION("""COMPUTED_VALUE"""),694.44)</f>
        <v>694.44</v>
      </c>
      <c r="BB436" s="71">
        <f>IFERROR(__xludf.DUMMYFUNCTION("""COMPUTED_VALUE"""),694.44)</f>
        <v>694.44</v>
      </c>
      <c r="BC436" s="71">
        <f>IFERROR(__xludf.DUMMYFUNCTION("""COMPUTED_VALUE"""),774.0)</f>
        <v>774</v>
      </c>
      <c r="BD436" s="71">
        <f>IFERROR(__xludf.DUMMYFUNCTION("""COMPUTED_VALUE"""),813.0)</f>
        <v>813</v>
      </c>
      <c r="BE436" s="71">
        <f>IFERROR(__xludf.DUMMYFUNCTION("""COMPUTED_VALUE"""),130.08)</f>
        <v>130.08</v>
      </c>
      <c r="BF436" s="71">
        <f>IFERROR(__xludf.DUMMYFUNCTION("""COMPUTED_VALUE"""),943.08)</f>
        <v>943.08</v>
      </c>
      <c r="BG436" s="71">
        <f>IFERROR(__xludf.DUMMYFUNCTION("""COMPUTED_VALUE"""),0.050387596899224806)</f>
        <v>0.0503875969</v>
      </c>
      <c r="BH436" s="71">
        <f>IFERROR(__xludf.DUMMYFUNCTION("""COMPUTED_VALUE"""),772.3499999999999)</f>
        <v>772.35</v>
      </c>
      <c r="BI436" s="71">
        <f>IFERROR(__xludf.DUMMYFUNCTION("""COMPUTED_VALUE"""),123.576)</f>
        <v>123.576</v>
      </c>
      <c r="BJ436" s="71">
        <f>IFERROR(__xludf.DUMMYFUNCTION("""COMPUTED_VALUE"""),895.9259999999999)</f>
        <v>895.926</v>
      </c>
      <c r="BK436" s="71">
        <f>IFERROR(__xludf.DUMMYFUNCTION("""COMPUTED_VALUE"""),731.7)</f>
        <v>731.7</v>
      </c>
      <c r="BL436" s="71">
        <f>IFERROR(__xludf.DUMMYFUNCTION("""COMPUTED_VALUE"""),117.072)</f>
        <v>117.072</v>
      </c>
      <c r="BM436" s="71">
        <f>IFERROR(__xludf.DUMMYFUNCTION("""COMPUTED_VALUE"""),848.772)</f>
        <v>848.772</v>
      </c>
      <c r="BN436" s="71">
        <f>IFERROR(__xludf.DUMMYFUNCTION("""COMPUTED_VALUE"""),691.05)</f>
        <v>691.05</v>
      </c>
      <c r="BO436" s="71">
        <f>IFERROR(__xludf.DUMMYFUNCTION("""COMPUTED_VALUE"""),110.568)</f>
        <v>110.568</v>
      </c>
      <c r="BP436" s="71">
        <f>IFERROR(__xludf.DUMMYFUNCTION("""COMPUTED_VALUE"""),801.6179999999999)</f>
        <v>801.618</v>
      </c>
      <c r="BQ436" s="71">
        <f>IFERROR(__xludf.DUMMYFUNCTION("""COMPUTED_VALUE"""),674.79)</f>
        <v>674.79</v>
      </c>
      <c r="BR436" s="71">
        <f>IFERROR(__xludf.DUMMYFUNCTION("""COMPUTED_VALUE"""),107.9664)</f>
        <v>107.9664</v>
      </c>
      <c r="BS436" s="71">
        <f>IFERROR(__xludf.DUMMYFUNCTION("""COMPUTED_VALUE"""),782.7564)</f>
        <v>782.7564</v>
      </c>
      <c r="BT436" s="71">
        <f>IFERROR(__xludf.DUMMYFUNCTION("""COMPUTED_VALUE"""),650.4000000000001)</f>
        <v>650.4</v>
      </c>
      <c r="BU436" s="71">
        <f>IFERROR(__xludf.DUMMYFUNCTION("""COMPUTED_VALUE"""),104.06400000000002)</f>
        <v>104.064</v>
      </c>
      <c r="BV436" s="71">
        <f>IFERROR(__xludf.DUMMYFUNCTION("""COMPUTED_VALUE"""),754.4640000000002)</f>
        <v>754.464</v>
      </c>
    </row>
    <row r="437">
      <c r="A437" s="53"/>
      <c r="B437" s="53"/>
      <c r="C437" s="53"/>
      <c r="D437" s="53" t="s">
        <v>1109</v>
      </c>
      <c r="E437" s="55" t="s">
        <v>38</v>
      </c>
      <c r="F437" s="89"/>
      <c r="G437" s="84" t="s">
        <v>1110</v>
      </c>
      <c r="H437" s="55"/>
      <c r="I437" s="54">
        <f t="shared" si="1"/>
        <v>0</v>
      </c>
      <c r="J437" s="56"/>
      <c r="K437" s="57"/>
      <c r="L437" s="55"/>
      <c r="M437" s="59"/>
      <c r="N437" s="60"/>
      <c r="O437" s="90"/>
      <c r="P437" s="62">
        <v>401024.0</v>
      </c>
      <c r="Q437" s="63">
        <v>401024.0</v>
      </c>
      <c r="R437" s="64">
        <v>442129.0</v>
      </c>
      <c r="S437" s="111">
        <v>464235.0</v>
      </c>
      <c r="T437" s="65">
        <f t="shared" si="2"/>
        <v>74277.6</v>
      </c>
      <c r="U437" s="65">
        <f t="shared" si="3"/>
        <v>538512.6</v>
      </c>
      <c r="V437" s="66">
        <f t="shared" si="4"/>
        <v>0.0499989822</v>
      </c>
      <c r="W437" s="67">
        <f t="shared" si="5"/>
        <v>441023.25</v>
      </c>
      <c r="X437" s="67">
        <f t="shared" si="6"/>
        <v>70563.72</v>
      </c>
      <c r="Y437" s="67">
        <f t="shared" si="7"/>
        <v>511586.97</v>
      </c>
      <c r="Z437" s="67">
        <f t="shared" si="8"/>
        <v>417811.5</v>
      </c>
      <c r="AA437" s="67">
        <f t="shared" si="9"/>
        <v>66849.84</v>
      </c>
      <c r="AB437" s="67">
        <f t="shared" si="10"/>
        <v>484661.34</v>
      </c>
      <c r="AC437" s="67">
        <f t="shared" si="11"/>
        <v>394599.75</v>
      </c>
      <c r="AD437" s="67">
        <f t="shared" si="12"/>
        <v>63135.96</v>
      </c>
      <c r="AE437" s="67">
        <f t="shared" si="13"/>
        <v>457735.71</v>
      </c>
      <c r="AF437" s="67">
        <f t="shared" si="14"/>
        <v>385315.05</v>
      </c>
      <c r="AG437" s="67">
        <f t="shared" si="15"/>
        <v>61650.408</v>
      </c>
      <c r="AH437" s="67">
        <f t="shared" si="16"/>
        <v>446965.458</v>
      </c>
      <c r="AI437" s="67">
        <f t="shared" si="17"/>
        <v>371388</v>
      </c>
      <c r="AJ437" s="68">
        <f t="shared" si="20"/>
        <v>59422.08</v>
      </c>
      <c r="AK437" s="68">
        <f t="shared" si="21"/>
        <v>430810.08</v>
      </c>
      <c r="AL437" s="70">
        <f>IFERROR(__xludf.DUMMYFUNCTION("""COMPUTED_VALUE"""),1.0)</f>
        <v>1</v>
      </c>
      <c r="AM437" s="70"/>
      <c r="AN437" s="71" t="str">
        <f>IFERROR(__xludf.DUMMYFUNCTION("""COMPUTED_VALUE""")," P")</f>
        <v>P</v>
      </c>
      <c r="AO437" s="71" t="str">
        <f>IFERROR(__xludf.DUMMYFUNCTION("""COMPUTED_VALUE""")," CH74")</f>
        <v>CH74</v>
      </c>
      <c r="AP437" s="71" t="str">
        <f>IFERROR(__xludf.DUMMYFUNCTION("""COMPUTED_VALUE""")," PZA")</f>
        <v>PZA</v>
      </c>
      <c r="AQ437" s="71" t="str">
        <f>IFERROR(__xludf.DUMMYFUNCTION("""COMPUTED_VALUE""")," REF")</f>
        <v>REF</v>
      </c>
      <c r="AR437" s="71" t="str">
        <f>IFERROR(__xludf.DUMMYFUNCTION("""COMPUTED_VALUE""")," CHUMACERA AUTOALINEABLE ALTA ARMADA CON RÓTULA DE FIERRO")</f>
        <v>CHUMACERA AUTOALINEABLE ALTA ARMADA CON RÓTULA DE FIERRO</v>
      </c>
      <c r="AS437" s="71" t="str">
        <f>IFERROR(__xludf.DUMMYFUNCTION("""COMPUTED_VALUE""")," CHUMACERA AUTALIN ALTA ARM ROTULA FIERRO")</f>
        <v>CHUMACERA AUTALIN ALTA ARM ROTULA FIERRO</v>
      </c>
      <c r="AT437" s="71">
        <f>IFERROR(__xludf.DUMMYFUNCTION("""COMPUTED_VALUE"""),40.0)</f>
        <v>40</v>
      </c>
      <c r="AU437" s="71"/>
      <c r="AV437" s="71"/>
      <c r="AW437" s="71"/>
      <c r="AX437" s="71"/>
      <c r="AY437" s="71">
        <f>IFERROR(__xludf.DUMMYFUNCTION("""COMPUTED_VALUE"""),457.0)</f>
        <v>457</v>
      </c>
      <c r="AZ437" s="71">
        <f>IFERROR(__xludf.DUMMYFUNCTION("""COMPUTED_VALUE"""),493.0)</f>
        <v>493</v>
      </c>
      <c r="BA437" s="71">
        <f>IFERROR(__xludf.DUMMYFUNCTION("""COMPUTED_VALUE"""),532.44)</f>
        <v>532.44</v>
      </c>
      <c r="BB437" s="71">
        <f>IFERROR(__xludf.DUMMYFUNCTION("""COMPUTED_VALUE"""),532.44)</f>
        <v>532.44</v>
      </c>
      <c r="BC437" s="71">
        <f>IFERROR(__xludf.DUMMYFUNCTION("""COMPUTED_VALUE"""),594.0)</f>
        <v>594</v>
      </c>
      <c r="BD437" s="71">
        <f>IFERROR(__xludf.DUMMYFUNCTION("""COMPUTED_VALUE"""),624.0)</f>
        <v>624</v>
      </c>
      <c r="BE437" s="71">
        <f>IFERROR(__xludf.DUMMYFUNCTION("""COMPUTED_VALUE"""),99.84)</f>
        <v>99.84</v>
      </c>
      <c r="BF437" s="71">
        <f>IFERROR(__xludf.DUMMYFUNCTION("""COMPUTED_VALUE"""),723.84)</f>
        <v>723.84</v>
      </c>
      <c r="BG437" s="71">
        <f>IFERROR(__xludf.DUMMYFUNCTION("""COMPUTED_VALUE"""),0.050505050505050504)</f>
        <v>0.05050505051</v>
      </c>
      <c r="BH437" s="71">
        <f>IFERROR(__xludf.DUMMYFUNCTION("""COMPUTED_VALUE"""),592.8)</f>
        <v>592.8</v>
      </c>
      <c r="BI437" s="71">
        <f>IFERROR(__xludf.DUMMYFUNCTION("""COMPUTED_VALUE"""),94.848)</f>
        <v>94.848</v>
      </c>
      <c r="BJ437" s="71">
        <f>IFERROR(__xludf.DUMMYFUNCTION("""COMPUTED_VALUE"""),687.6479999999999)</f>
        <v>687.648</v>
      </c>
      <c r="BK437" s="71">
        <f>IFERROR(__xludf.DUMMYFUNCTION("""COMPUTED_VALUE"""),561.6)</f>
        <v>561.6</v>
      </c>
      <c r="BL437" s="71">
        <f>IFERROR(__xludf.DUMMYFUNCTION("""COMPUTED_VALUE"""),89.85600000000001)</f>
        <v>89.856</v>
      </c>
      <c r="BM437" s="71">
        <f>IFERROR(__xludf.DUMMYFUNCTION("""COMPUTED_VALUE"""),651.456)</f>
        <v>651.456</v>
      </c>
      <c r="BN437" s="71">
        <f>IFERROR(__xludf.DUMMYFUNCTION("""COMPUTED_VALUE"""),530.4)</f>
        <v>530.4</v>
      </c>
      <c r="BO437" s="71">
        <f>IFERROR(__xludf.DUMMYFUNCTION("""COMPUTED_VALUE"""),84.864)</f>
        <v>84.864</v>
      </c>
      <c r="BP437" s="71">
        <f>IFERROR(__xludf.DUMMYFUNCTION("""COMPUTED_VALUE"""),615.264)</f>
        <v>615.264</v>
      </c>
      <c r="BQ437" s="71">
        <f>IFERROR(__xludf.DUMMYFUNCTION("""COMPUTED_VALUE"""),517.92)</f>
        <v>517.92</v>
      </c>
      <c r="BR437" s="71">
        <f>IFERROR(__xludf.DUMMYFUNCTION("""COMPUTED_VALUE"""),82.8672)</f>
        <v>82.8672</v>
      </c>
      <c r="BS437" s="71">
        <f>IFERROR(__xludf.DUMMYFUNCTION("""COMPUTED_VALUE"""),600.7872)</f>
        <v>600.7872</v>
      </c>
      <c r="BT437" s="71">
        <f>IFERROR(__xludf.DUMMYFUNCTION("""COMPUTED_VALUE"""),499.20000000000005)</f>
        <v>499.2</v>
      </c>
      <c r="BU437" s="71">
        <f>IFERROR(__xludf.DUMMYFUNCTION("""COMPUTED_VALUE"""),79.87200000000001)</f>
        <v>79.872</v>
      </c>
      <c r="BV437" s="71">
        <f>IFERROR(__xludf.DUMMYFUNCTION("""COMPUTED_VALUE"""),579.0720000000001)</f>
        <v>579.072</v>
      </c>
    </row>
    <row r="438">
      <c r="A438" s="53">
        <v>1.0</v>
      </c>
      <c r="B438" s="72"/>
      <c r="C438" s="73" t="s">
        <v>53</v>
      </c>
      <c r="D438" s="74" t="s">
        <v>1111</v>
      </c>
      <c r="E438" s="54" t="s">
        <v>38</v>
      </c>
      <c r="F438" s="54" t="s">
        <v>42</v>
      </c>
      <c r="G438" s="88" t="s">
        <v>1112</v>
      </c>
      <c r="H438" s="54" t="s">
        <v>1113</v>
      </c>
      <c r="I438" s="54">
        <f t="shared" si="1"/>
        <v>35</v>
      </c>
      <c r="J438" s="56"/>
      <c r="K438" s="75"/>
      <c r="L438" s="76"/>
      <c r="M438" s="59"/>
      <c r="N438" s="60">
        <v>184.0</v>
      </c>
      <c r="O438" s="61">
        <v>198.0</v>
      </c>
      <c r="P438" s="62">
        <v>213.84</v>
      </c>
      <c r="Q438" s="63">
        <v>213.84</v>
      </c>
      <c r="R438" s="64">
        <v>239.0</v>
      </c>
      <c r="S438" s="111">
        <v>251.0</v>
      </c>
      <c r="T438" s="65">
        <f t="shared" si="2"/>
        <v>40.16</v>
      </c>
      <c r="U438" s="65">
        <f t="shared" si="3"/>
        <v>291.16</v>
      </c>
      <c r="V438" s="66">
        <f t="shared" si="4"/>
        <v>0.05020920502</v>
      </c>
      <c r="W438" s="67">
        <f t="shared" si="5"/>
        <v>238.45</v>
      </c>
      <c r="X438" s="67">
        <f t="shared" si="6"/>
        <v>38.152</v>
      </c>
      <c r="Y438" s="67">
        <f t="shared" si="7"/>
        <v>276.602</v>
      </c>
      <c r="Z438" s="67">
        <f t="shared" si="8"/>
        <v>225.9</v>
      </c>
      <c r="AA438" s="67">
        <f t="shared" si="9"/>
        <v>36.144</v>
      </c>
      <c r="AB438" s="67">
        <f t="shared" si="10"/>
        <v>262.044</v>
      </c>
      <c r="AC438" s="67">
        <f t="shared" si="11"/>
        <v>213.35</v>
      </c>
      <c r="AD438" s="67">
        <f t="shared" si="12"/>
        <v>34.136</v>
      </c>
      <c r="AE438" s="67">
        <f t="shared" si="13"/>
        <v>247.486</v>
      </c>
      <c r="AF438" s="67">
        <f t="shared" si="14"/>
        <v>208.33</v>
      </c>
      <c r="AG438" s="67">
        <f t="shared" si="15"/>
        <v>33.3328</v>
      </c>
      <c r="AH438" s="67">
        <f t="shared" si="16"/>
        <v>241.6628</v>
      </c>
      <c r="AI438" s="67">
        <f t="shared" si="17"/>
        <v>200.8</v>
      </c>
      <c r="AJ438" s="68">
        <f t="shared" si="20"/>
        <v>32.128</v>
      </c>
      <c r="AK438" s="68">
        <f t="shared" si="21"/>
        <v>232.928</v>
      </c>
      <c r="AL438" s="70">
        <f>IFERROR(__xludf.DUMMYFUNCTION("""COMPUTED_VALUE"""),1.0)</f>
        <v>1</v>
      </c>
      <c r="AM438" s="70"/>
      <c r="AN438" s="71" t="str">
        <f>IFERROR(__xludf.DUMMYFUNCTION("""COMPUTED_VALUE""")," P")</f>
        <v>P</v>
      </c>
      <c r="AO438" s="71" t="str">
        <f>IFERROR(__xludf.DUMMYFUNCTION("""COMPUTED_VALUE""")," CH04")</f>
        <v>CH04</v>
      </c>
      <c r="AP438" s="71" t="str">
        <f>IFERROR(__xludf.DUMMYFUNCTION("""COMPUTED_VALUE""")," PZA")</f>
        <v>PZA</v>
      </c>
      <c r="AQ438" s="71" t="str">
        <f>IFERROR(__xludf.DUMMYFUNCTION("""COMPUTED_VALUE""")," REF")</f>
        <v>REF</v>
      </c>
      <c r="AR438" s="71" t="str">
        <f>IFERROR(__xludf.DUMMYFUNCTION("""COMPUTED_VALUE""")," CHUMACERA AUTOALINEABLE ALTA SOLA")</f>
        <v>CHUMACERA AUTOALINEABLE ALTA SOLA</v>
      </c>
      <c r="AS438" s="71" t="str">
        <f>IFERROR(__xludf.DUMMYFUNCTION("""COMPUTED_VALUE""")," CHUMACERA AUTALIN ALTA SOLA")</f>
        <v>CHUMACERA AUTALIN ALTA SOLA</v>
      </c>
      <c r="AT438" s="71">
        <f>IFERROR(__xludf.DUMMYFUNCTION("""COMPUTED_VALUE"""),27.0)</f>
        <v>27</v>
      </c>
      <c r="AU438" s="71"/>
      <c r="AV438" s="71"/>
      <c r="AW438" s="71"/>
      <c r="AX438" s="71"/>
      <c r="AY438" s="71">
        <f>IFERROR(__xludf.DUMMYFUNCTION("""COMPUTED_VALUE"""),341.0)</f>
        <v>341</v>
      </c>
      <c r="AZ438" s="71">
        <f>IFERROR(__xludf.DUMMYFUNCTION("""COMPUTED_VALUE"""),368.0)</f>
        <v>368</v>
      </c>
      <c r="BA438" s="71">
        <f>IFERROR(__xludf.DUMMYFUNCTION("""COMPUTED_VALUE"""),397.44000000000005)</f>
        <v>397.44</v>
      </c>
      <c r="BB438" s="71">
        <f>IFERROR(__xludf.DUMMYFUNCTION("""COMPUTED_VALUE"""),397.44000000000005)</f>
        <v>397.44</v>
      </c>
      <c r="BC438" s="71">
        <f>IFERROR(__xludf.DUMMYFUNCTION("""COMPUTED_VALUE"""),444.0)</f>
        <v>444</v>
      </c>
      <c r="BD438" s="71">
        <f>IFERROR(__xludf.DUMMYFUNCTION("""COMPUTED_VALUE"""),372.8)</f>
        <v>372.8</v>
      </c>
      <c r="BE438" s="71">
        <f>IFERROR(__xludf.DUMMYFUNCTION("""COMPUTED_VALUE"""),59.648)</f>
        <v>59.648</v>
      </c>
      <c r="BF438" s="71">
        <f>IFERROR(__xludf.DUMMYFUNCTION("""COMPUTED_VALUE"""),432.44800000000004)</f>
        <v>432.448</v>
      </c>
      <c r="BG438" s="71">
        <f>IFERROR(__xludf.DUMMYFUNCTION("""COMPUTED_VALUE"""),-0.16036036036036033)</f>
        <v>-0.1603603604</v>
      </c>
      <c r="BH438" s="71">
        <f>IFERROR(__xludf.DUMMYFUNCTION("""COMPUTED_VALUE"""),354.15999999999997)</f>
        <v>354.16</v>
      </c>
      <c r="BI438" s="71">
        <f>IFERROR(__xludf.DUMMYFUNCTION("""COMPUTED_VALUE"""),56.6656)</f>
        <v>56.6656</v>
      </c>
      <c r="BJ438" s="71">
        <f>IFERROR(__xludf.DUMMYFUNCTION("""COMPUTED_VALUE"""),410.82559999999995)</f>
        <v>410.8256</v>
      </c>
      <c r="BK438" s="71">
        <f>IFERROR(__xludf.DUMMYFUNCTION("""COMPUTED_VALUE"""),335.52000000000004)</f>
        <v>335.52</v>
      </c>
      <c r="BL438" s="71">
        <f>IFERROR(__xludf.DUMMYFUNCTION("""COMPUTED_VALUE"""),53.68320000000001)</f>
        <v>53.6832</v>
      </c>
      <c r="BM438" s="71">
        <f>IFERROR(__xludf.DUMMYFUNCTION("""COMPUTED_VALUE"""),389.20320000000004)</f>
        <v>389.2032</v>
      </c>
      <c r="BN438" s="71">
        <f>IFERROR(__xludf.DUMMYFUNCTION("""COMPUTED_VALUE"""),316.88)</f>
        <v>316.88</v>
      </c>
      <c r="BO438" s="71">
        <f>IFERROR(__xludf.DUMMYFUNCTION("""COMPUTED_VALUE"""),50.7008)</f>
        <v>50.7008</v>
      </c>
      <c r="BP438" s="71">
        <f>IFERROR(__xludf.DUMMYFUNCTION("""COMPUTED_VALUE"""),367.5808)</f>
        <v>367.5808</v>
      </c>
      <c r="BQ438" s="71">
        <f>IFERROR(__xludf.DUMMYFUNCTION("""COMPUTED_VALUE"""),309.424)</f>
        <v>309.424</v>
      </c>
      <c r="BR438" s="71">
        <f>IFERROR(__xludf.DUMMYFUNCTION("""COMPUTED_VALUE"""),49.507839999999995)</f>
        <v>49.50784</v>
      </c>
      <c r="BS438" s="71">
        <f>IFERROR(__xludf.DUMMYFUNCTION("""COMPUTED_VALUE"""),358.93183999999997)</f>
        <v>358.93184</v>
      </c>
      <c r="BT438" s="71">
        <f>IFERROR(__xludf.DUMMYFUNCTION("""COMPUTED_VALUE"""),298.24)</f>
        <v>298.24</v>
      </c>
      <c r="BU438" s="71">
        <f>IFERROR(__xludf.DUMMYFUNCTION("""COMPUTED_VALUE"""),47.7184)</f>
        <v>47.7184</v>
      </c>
      <c r="BV438" s="71">
        <f>IFERROR(__xludf.DUMMYFUNCTION("""COMPUTED_VALUE"""),345.9584)</f>
        <v>345.9584</v>
      </c>
    </row>
    <row r="439">
      <c r="A439" s="53">
        <v>1.0</v>
      </c>
      <c r="B439" s="72"/>
      <c r="C439" s="73" t="s">
        <v>53</v>
      </c>
      <c r="D439" s="74" t="s">
        <v>1114</v>
      </c>
      <c r="E439" s="54" t="s">
        <v>38</v>
      </c>
      <c r="F439" s="54" t="s">
        <v>42</v>
      </c>
      <c r="G439" s="88" t="s">
        <v>1115</v>
      </c>
      <c r="H439" s="54" t="s">
        <v>1116</v>
      </c>
      <c r="I439" s="54">
        <f t="shared" si="1"/>
        <v>37</v>
      </c>
      <c r="J439" s="56"/>
      <c r="K439" s="75"/>
      <c r="L439" s="76"/>
      <c r="M439" s="59"/>
      <c r="N439" s="60">
        <v>184.0</v>
      </c>
      <c r="O439" s="61">
        <v>198.0</v>
      </c>
      <c r="P439" s="62">
        <v>213.84</v>
      </c>
      <c r="Q439" s="63">
        <v>213.84</v>
      </c>
      <c r="R439" s="64">
        <v>239.0</v>
      </c>
      <c r="S439" s="111">
        <v>251.0</v>
      </c>
      <c r="T439" s="65">
        <f t="shared" si="2"/>
        <v>40.16</v>
      </c>
      <c r="U439" s="65">
        <f t="shared" si="3"/>
        <v>291.16</v>
      </c>
      <c r="V439" s="66">
        <f t="shared" si="4"/>
        <v>0.05020920502</v>
      </c>
      <c r="W439" s="67">
        <f t="shared" si="5"/>
        <v>238.45</v>
      </c>
      <c r="X439" s="67">
        <f t="shared" si="6"/>
        <v>38.152</v>
      </c>
      <c r="Y439" s="67">
        <f t="shared" si="7"/>
        <v>276.602</v>
      </c>
      <c r="Z439" s="67">
        <f t="shared" si="8"/>
        <v>225.9</v>
      </c>
      <c r="AA439" s="67">
        <f t="shared" si="9"/>
        <v>36.144</v>
      </c>
      <c r="AB439" s="67">
        <f t="shared" si="10"/>
        <v>262.044</v>
      </c>
      <c r="AC439" s="67">
        <f t="shared" si="11"/>
        <v>213.35</v>
      </c>
      <c r="AD439" s="67">
        <f t="shared" si="12"/>
        <v>34.136</v>
      </c>
      <c r="AE439" s="67">
        <f t="shared" si="13"/>
        <v>247.486</v>
      </c>
      <c r="AF439" s="67">
        <f t="shared" si="14"/>
        <v>208.33</v>
      </c>
      <c r="AG439" s="67">
        <f t="shared" si="15"/>
        <v>33.3328</v>
      </c>
      <c r="AH439" s="67">
        <f t="shared" si="16"/>
        <v>241.6628</v>
      </c>
      <c r="AI439" s="67">
        <f t="shared" si="17"/>
        <v>200.8</v>
      </c>
      <c r="AJ439" s="68">
        <f t="shared" si="20"/>
        <v>32.128</v>
      </c>
      <c r="AK439" s="68">
        <f t="shared" si="21"/>
        <v>232.928</v>
      </c>
      <c r="AL439" s="70">
        <f>IFERROR(__xludf.DUMMYFUNCTION("""COMPUTED_VALUE"""),1.0)</f>
        <v>1</v>
      </c>
      <c r="AM439" s="70"/>
      <c r="AN439" s="71" t="str">
        <f>IFERROR(__xludf.DUMMYFUNCTION("""COMPUTED_VALUE""")," P")</f>
        <v>P</v>
      </c>
      <c r="AO439" s="71" t="str">
        <f>IFERROR(__xludf.DUMMYFUNCTION("""COMPUTED_VALUE""")," CH75")</f>
        <v>CH75</v>
      </c>
      <c r="AP439" s="71" t="str">
        <f>IFERROR(__xludf.DUMMYFUNCTION("""COMPUTED_VALUE""")," PZA")</f>
        <v>PZA</v>
      </c>
      <c r="AQ439" s="71" t="str">
        <f>IFERROR(__xludf.DUMMYFUNCTION("""COMPUTED_VALUE""")," REF")</f>
        <v>REF</v>
      </c>
      <c r="AR439" s="71" t="str">
        <f>IFERROR(__xludf.DUMMYFUNCTION("""COMPUTED_VALUE""")," CHUMACERA AUTOALINEABLE BAJA ARMADA CON RÓTULA DE BRONCE")</f>
        <v>CHUMACERA AUTOALINEABLE BAJA ARMADA CON RÓTULA DE BRONCE</v>
      </c>
      <c r="AS439" s="71" t="str">
        <f>IFERROR(__xludf.DUMMYFUNCTION("""COMPUTED_VALUE""")," CHUMACERA AUTALIN BAJA ARM ROTULA BRONCE")</f>
        <v>CHUMACERA AUTALIN BAJA ARM ROTULA BRONCE</v>
      </c>
      <c r="AT439" s="71">
        <f>IFERROR(__xludf.DUMMYFUNCTION("""COMPUTED_VALUE"""),40.0)</f>
        <v>40</v>
      </c>
      <c r="AU439" s="71"/>
      <c r="AV439" s="71"/>
      <c r="AW439" s="71"/>
      <c r="AX439" s="71"/>
      <c r="AY439" s="71">
        <f>IFERROR(__xludf.DUMMYFUNCTION("""COMPUTED_VALUE"""),607.0)</f>
        <v>607</v>
      </c>
      <c r="AZ439" s="71">
        <f>IFERROR(__xludf.DUMMYFUNCTION("""COMPUTED_VALUE"""),655.0)</f>
        <v>655</v>
      </c>
      <c r="BA439" s="71">
        <f>IFERROR(__xludf.DUMMYFUNCTION("""COMPUTED_VALUE"""),707.4000000000001)</f>
        <v>707.4</v>
      </c>
      <c r="BB439" s="71">
        <f>IFERROR(__xludf.DUMMYFUNCTION("""COMPUTED_VALUE"""),707.4000000000001)</f>
        <v>707.4</v>
      </c>
      <c r="BC439" s="71">
        <f>IFERROR(__xludf.DUMMYFUNCTION("""COMPUTED_VALUE"""),788.0)</f>
        <v>788</v>
      </c>
      <c r="BD439" s="71">
        <f>IFERROR(__xludf.DUMMYFUNCTION("""COMPUTED_VALUE"""),827.0)</f>
        <v>827</v>
      </c>
      <c r="BE439" s="71">
        <f>IFERROR(__xludf.DUMMYFUNCTION("""COMPUTED_VALUE"""),132.32)</f>
        <v>132.32</v>
      </c>
      <c r="BF439" s="71">
        <f>IFERROR(__xludf.DUMMYFUNCTION("""COMPUTED_VALUE"""),959.3199999999999)</f>
        <v>959.32</v>
      </c>
      <c r="BG439" s="71">
        <f>IFERROR(__xludf.DUMMYFUNCTION("""COMPUTED_VALUE"""),0.04949238578680203)</f>
        <v>0.04949238579</v>
      </c>
      <c r="BH439" s="71">
        <f>IFERROR(__xludf.DUMMYFUNCTION("""COMPUTED_VALUE"""),785.65)</f>
        <v>785.65</v>
      </c>
      <c r="BI439" s="71">
        <f>IFERROR(__xludf.DUMMYFUNCTION("""COMPUTED_VALUE"""),125.704)</f>
        <v>125.704</v>
      </c>
      <c r="BJ439" s="71">
        <f>IFERROR(__xludf.DUMMYFUNCTION("""COMPUTED_VALUE"""),911.3539999999999)</f>
        <v>911.354</v>
      </c>
      <c r="BK439" s="71">
        <f>IFERROR(__xludf.DUMMYFUNCTION("""COMPUTED_VALUE"""),744.3000000000001)</f>
        <v>744.3</v>
      </c>
      <c r="BL439" s="71">
        <f>IFERROR(__xludf.DUMMYFUNCTION("""COMPUTED_VALUE"""),119.08800000000001)</f>
        <v>119.088</v>
      </c>
      <c r="BM439" s="71">
        <f>IFERROR(__xludf.DUMMYFUNCTION("""COMPUTED_VALUE"""),863.388)</f>
        <v>863.388</v>
      </c>
      <c r="BN439" s="71">
        <f>IFERROR(__xludf.DUMMYFUNCTION("""COMPUTED_VALUE"""),702.9499999999999)</f>
        <v>702.95</v>
      </c>
      <c r="BO439" s="71">
        <f>IFERROR(__xludf.DUMMYFUNCTION("""COMPUTED_VALUE"""),112.472)</f>
        <v>112.472</v>
      </c>
      <c r="BP439" s="71">
        <f>IFERROR(__xludf.DUMMYFUNCTION("""COMPUTED_VALUE"""),815.4219999999999)</f>
        <v>815.422</v>
      </c>
      <c r="BQ439" s="71">
        <f>IFERROR(__xludf.DUMMYFUNCTION("""COMPUTED_VALUE"""),686.41)</f>
        <v>686.41</v>
      </c>
      <c r="BR439" s="71">
        <f>IFERROR(__xludf.DUMMYFUNCTION("""COMPUTED_VALUE"""),109.8256)</f>
        <v>109.8256</v>
      </c>
      <c r="BS439" s="71">
        <f>IFERROR(__xludf.DUMMYFUNCTION("""COMPUTED_VALUE"""),796.2356)</f>
        <v>796.2356</v>
      </c>
      <c r="BT439" s="71">
        <f>IFERROR(__xludf.DUMMYFUNCTION("""COMPUTED_VALUE"""),661.6)</f>
        <v>661.6</v>
      </c>
      <c r="BU439" s="71">
        <f>IFERROR(__xludf.DUMMYFUNCTION("""COMPUTED_VALUE"""),105.85600000000001)</f>
        <v>105.856</v>
      </c>
      <c r="BV439" s="71">
        <f>IFERROR(__xludf.DUMMYFUNCTION("""COMPUTED_VALUE"""),767.456)</f>
        <v>767.456</v>
      </c>
    </row>
    <row r="440">
      <c r="A440" s="53">
        <v>1.0</v>
      </c>
      <c r="B440" s="72"/>
      <c r="C440" s="73" t="s">
        <v>53</v>
      </c>
      <c r="D440" s="74" t="s">
        <v>1117</v>
      </c>
      <c r="E440" s="54" t="s">
        <v>38</v>
      </c>
      <c r="F440" s="54" t="s">
        <v>42</v>
      </c>
      <c r="G440" s="88" t="s">
        <v>1118</v>
      </c>
      <c r="H440" s="54" t="s">
        <v>1119</v>
      </c>
      <c r="I440" s="54">
        <f t="shared" si="1"/>
        <v>33</v>
      </c>
      <c r="J440" s="56"/>
      <c r="K440" s="75"/>
      <c r="L440" s="76"/>
      <c r="M440" s="59"/>
      <c r="N440" s="60">
        <v>184.0</v>
      </c>
      <c r="O440" s="61">
        <v>198.0</v>
      </c>
      <c r="P440" s="62">
        <v>213.84</v>
      </c>
      <c r="Q440" s="63">
        <v>213.84</v>
      </c>
      <c r="R440" s="64">
        <v>239.0</v>
      </c>
      <c r="S440" s="111">
        <v>251.0</v>
      </c>
      <c r="T440" s="65">
        <f t="shared" si="2"/>
        <v>40.16</v>
      </c>
      <c r="U440" s="65">
        <f t="shared" si="3"/>
        <v>291.16</v>
      </c>
      <c r="V440" s="66">
        <f t="shared" si="4"/>
        <v>0.05020920502</v>
      </c>
      <c r="W440" s="67">
        <f t="shared" si="5"/>
        <v>238.45</v>
      </c>
      <c r="X440" s="67">
        <f t="shared" si="6"/>
        <v>38.152</v>
      </c>
      <c r="Y440" s="67">
        <f t="shared" si="7"/>
        <v>276.602</v>
      </c>
      <c r="Z440" s="67">
        <f t="shared" si="8"/>
        <v>225.9</v>
      </c>
      <c r="AA440" s="67">
        <f t="shared" si="9"/>
        <v>36.144</v>
      </c>
      <c r="AB440" s="67">
        <f t="shared" si="10"/>
        <v>262.044</v>
      </c>
      <c r="AC440" s="67">
        <f t="shared" si="11"/>
        <v>213.35</v>
      </c>
      <c r="AD440" s="67">
        <f t="shared" si="12"/>
        <v>34.136</v>
      </c>
      <c r="AE440" s="67">
        <f t="shared" si="13"/>
        <v>247.486</v>
      </c>
      <c r="AF440" s="67">
        <f t="shared" si="14"/>
        <v>208.33</v>
      </c>
      <c r="AG440" s="67">
        <f t="shared" si="15"/>
        <v>33.3328</v>
      </c>
      <c r="AH440" s="67">
        <f t="shared" si="16"/>
        <v>241.6628</v>
      </c>
      <c r="AI440" s="67">
        <f t="shared" si="17"/>
        <v>200.8</v>
      </c>
      <c r="AJ440" s="68">
        <f t="shared" si="20"/>
        <v>32.128</v>
      </c>
      <c r="AK440" s="68">
        <f t="shared" si="21"/>
        <v>232.928</v>
      </c>
      <c r="AL440" s="70">
        <f>IFERROR(__xludf.DUMMYFUNCTION("""COMPUTED_VALUE"""),1.0)</f>
        <v>1</v>
      </c>
      <c r="AM440" s="70"/>
      <c r="AN440" s="71" t="str">
        <f>IFERROR(__xludf.DUMMYFUNCTION("""COMPUTED_VALUE""")," P")</f>
        <v>P</v>
      </c>
      <c r="AO440" s="71" t="str">
        <f>IFERROR(__xludf.DUMMYFUNCTION("""COMPUTED_VALUE""")," CH76")</f>
        <v>CH76</v>
      </c>
      <c r="AP440" s="71" t="str">
        <f>IFERROR(__xludf.DUMMYFUNCTION("""COMPUTED_VALUE""")," PZA")</f>
        <v>PZA</v>
      </c>
      <c r="AQ440" s="71" t="str">
        <f>IFERROR(__xludf.DUMMYFUNCTION("""COMPUTED_VALUE""")," REF")</f>
        <v>REF</v>
      </c>
      <c r="AR440" s="71" t="str">
        <f>IFERROR(__xludf.DUMMYFUNCTION("""COMPUTED_VALUE""")," CHUMACERA AUTOALINEABLE BAJA ARMADA CON RÓTULA DE ESTÉREO CARBÓN")</f>
        <v>CHUMACERA AUTOALINEABLE BAJA ARMADA CON RÓTULA DE ESTÉREO CARBÓN</v>
      </c>
      <c r="AS440" s="71" t="str">
        <f>IFERROR(__xludf.DUMMYFUNCTION("""COMPUTED_VALUE""")," CHUMACERA AUTALIN BAJA ARM ROTUL ESTCARB")</f>
        <v>CHUMACERA AUTALIN BAJA ARM ROTUL ESTCARB</v>
      </c>
      <c r="AT440" s="71">
        <f>IFERROR(__xludf.DUMMYFUNCTION("""COMPUTED_VALUE"""),40.0)</f>
        <v>40</v>
      </c>
      <c r="AU440" s="71"/>
      <c r="AV440" s="71"/>
      <c r="AW440" s="71"/>
      <c r="AX440" s="71"/>
      <c r="AY440" s="71">
        <f>IFERROR(__xludf.DUMMYFUNCTION("""COMPUTED_VALUE"""),570.0)</f>
        <v>570</v>
      </c>
      <c r="AZ440" s="71">
        <f>IFERROR(__xludf.DUMMYFUNCTION("""COMPUTED_VALUE"""),615.0)</f>
        <v>615</v>
      </c>
      <c r="BA440" s="71">
        <f>IFERROR(__xludf.DUMMYFUNCTION("""COMPUTED_VALUE"""),664.2)</f>
        <v>664.2</v>
      </c>
      <c r="BB440" s="71">
        <f>IFERROR(__xludf.DUMMYFUNCTION("""COMPUTED_VALUE"""),664.2)</f>
        <v>664.2</v>
      </c>
      <c r="BC440" s="71">
        <f>IFERROR(__xludf.DUMMYFUNCTION("""COMPUTED_VALUE"""),741.0)</f>
        <v>741</v>
      </c>
      <c r="BD440" s="71">
        <f>IFERROR(__xludf.DUMMYFUNCTION("""COMPUTED_VALUE"""),778.0)</f>
        <v>778</v>
      </c>
      <c r="BE440" s="71">
        <f>IFERROR(__xludf.DUMMYFUNCTION("""COMPUTED_VALUE"""),124.48)</f>
        <v>124.48</v>
      </c>
      <c r="BF440" s="71">
        <f>IFERROR(__xludf.DUMMYFUNCTION("""COMPUTED_VALUE"""),902.48)</f>
        <v>902.48</v>
      </c>
      <c r="BG440" s="71">
        <f>IFERROR(__xludf.DUMMYFUNCTION("""COMPUTED_VALUE"""),0.04993252361673414)</f>
        <v>0.04993252362</v>
      </c>
      <c r="BH440" s="71">
        <f>IFERROR(__xludf.DUMMYFUNCTION("""COMPUTED_VALUE"""),739.0999999999999)</f>
        <v>739.1</v>
      </c>
      <c r="BI440" s="71">
        <f>IFERROR(__xludf.DUMMYFUNCTION("""COMPUTED_VALUE"""),118.25599999999999)</f>
        <v>118.256</v>
      </c>
      <c r="BJ440" s="71">
        <f>IFERROR(__xludf.DUMMYFUNCTION("""COMPUTED_VALUE"""),857.3559999999999)</f>
        <v>857.356</v>
      </c>
      <c r="BK440" s="71">
        <f>IFERROR(__xludf.DUMMYFUNCTION("""COMPUTED_VALUE"""),700.2)</f>
        <v>700.2</v>
      </c>
      <c r="BL440" s="71">
        <f>IFERROR(__xludf.DUMMYFUNCTION("""COMPUTED_VALUE"""),112.03200000000001)</f>
        <v>112.032</v>
      </c>
      <c r="BM440" s="71">
        <f>IFERROR(__xludf.DUMMYFUNCTION("""COMPUTED_VALUE"""),812.2320000000001)</f>
        <v>812.232</v>
      </c>
      <c r="BN440" s="71">
        <f>IFERROR(__xludf.DUMMYFUNCTION("""COMPUTED_VALUE"""),661.3)</f>
        <v>661.3</v>
      </c>
      <c r="BO440" s="71">
        <f>IFERROR(__xludf.DUMMYFUNCTION("""COMPUTED_VALUE"""),105.80799999999999)</f>
        <v>105.808</v>
      </c>
      <c r="BP440" s="71">
        <f>IFERROR(__xludf.DUMMYFUNCTION("""COMPUTED_VALUE"""),767.108)</f>
        <v>767.108</v>
      </c>
      <c r="BQ440" s="71">
        <f>IFERROR(__xludf.DUMMYFUNCTION("""COMPUTED_VALUE"""),645.74)</f>
        <v>645.74</v>
      </c>
      <c r="BR440" s="71">
        <f>IFERROR(__xludf.DUMMYFUNCTION("""COMPUTED_VALUE"""),103.3184)</f>
        <v>103.3184</v>
      </c>
      <c r="BS440" s="71">
        <f>IFERROR(__xludf.DUMMYFUNCTION("""COMPUTED_VALUE"""),749.0584)</f>
        <v>749.0584</v>
      </c>
      <c r="BT440" s="71">
        <f>IFERROR(__xludf.DUMMYFUNCTION("""COMPUTED_VALUE"""),622.4000000000001)</f>
        <v>622.4</v>
      </c>
      <c r="BU440" s="71">
        <f>IFERROR(__xludf.DUMMYFUNCTION("""COMPUTED_VALUE"""),99.58400000000002)</f>
        <v>99.584</v>
      </c>
      <c r="BV440" s="71">
        <f>IFERROR(__xludf.DUMMYFUNCTION("""COMPUTED_VALUE"""),721.9840000000002)</f>
        <v>721.984</v>
      </c>
    </row>
    <row r="441">
      <c r="A441" s="53">
        <v>1.0</v>
      </c>
      <c r="B441" s="72"/>
      <c r="C441" s="73" t="s">
        <v>53</v>
      </c>
      <c r="D441" s="74" t="s">
        <v>1120</v>
      </c>
      <c r="E441" s="54" t="s">
        <v>38</v>
      </c>
      <c r="F441" s="54" t="s">
        <v>42</v>
      </c>
      <c r="G441" s="88" t="s">
        <v>1121</v>
      </c>
      <c r="H441" s="54" t="s">
        <v>1122</v>
      </c>
      <c r="I441" s="54">
        <f t="shared" si="1"/>
        <v>36</v>
      </c>
      <c r="J441" s="56"/>
      <c r="K441" s="75"/>
      <c r="L441" s="76"/>
      <c r="M441" s="59"/>
      <c r="N441" s="60">
        <v>193.0</v>
      </c>
      <c r="O441" s="61">
        <v>208.0</v>
      </c>
      <c r="P441" s="62">
        <v>224.64000000000001</v>
      </c>
      <c r="Q441" s="63">
        <v>224.64000000000001</v>
      </c>
      <c r="R441" s="64">
        <v>251.0</v>
      </c>
      <c r="S441" s="111">
        <v>264.0</v>
      </c>
      <c r="T441" s="65">
        <f t="shared" si="2"/>
        <v>42.24</v>
      </c>
      <c r="U441" s="65">
        <f t="shared" si="3"/>
        <v>306.24</v>
      </c>
      <c r="V441" s="66">
        <f t="shared" si="4"/>
        <v>0.05179282869</v>
      </c>
      <c r="W441" s="67">
        <f t="shared" si="5"/>
        <v>250.8</v>
      </c>
      <c r="X441" s="67">
        <f t="shared" si="6"/>
        <v>40.128</v>
      </c>
      <c r="Y441" s="67">
        <f t="shared" si="7"/>
        <v>290.928</v>
      </c>
      <c r="Z441" s="67">
        <f t="shared" si="8"/>
        <v>237.6</v>
      </c>
      <c r="AA441" s="67">
        <f t="shared" si="9"/>
        <v>38.016</v>
      </c>
      <c r="AB441" s="67">
        <f t="shared" si="10"/>
        <v>275.616</v>
      </c>
      <c r="AC441" s="67">
        <f t="shared" si="11"/>
        <v>224.4</v>
      </c>
      <c r="AD441" s="67">
        <f t="shared" si="12"/>
        <v>35.904</v>
      </c>
      <c r="AE441" s="67">
        <f t="shared" si="13"/>
        <v>260.304</v>
      </c>
      <c r="AF441" s="67">
        <f t="shared" si="14"/>
        <v>219.12</v>
      </c>
      <c r="AG441" s="67">
        <f t="shared" si="15"/>
        <v>35.0592</v>
      </c>
      <c r="AH441" s="67">
        <f t="shared" si="16"/>
        <v>254.1792</v>
      </c>
      <c r="AI441" s="67">
        <f t="shared" si="17"/>
        <v>211.2</v>
      </c>
      <c r="AJ441" s="68">
        <f t="shared" si="20"/>
        <v>33.792</v>
      </c>
      <c r="AK441" s="68">
        <f t="shared" si="21"/>
        <v>244.992</v>
      </c>
      <c r="AL441" s="70">
        <f>IFERROR(__xludf.DUMMYFUNCTION("""COMPUTED_VALUE"""),1.0)</f>
        <v>1</v>
      </c>
      <c r="AM441" s="70"/>
      <c r="AN441" s="71" t="str">
        <f>IFERROR(__xludf.DUMMYFUNCTION("""COMPUTED_VALUE""")," P")</f>
        <v>P</v>
      </c>
      <c r="AO441" s="71" t="str">
        <f>IFERROR(__xludf.DUMMYFUNCTION("""COMPUTED_VALUE""")," CH77")</f>
        <v>CH77</v>
      </c>
      <c r="AP441" s="71" t="str">
        <f>IFERROR(__xludf.DUMMYFUNCTION("""COMPUTED_VALUE""")," PZA")</f>
        <v>PZA</v>
      </c>
      <c r="AQ441" s="71" t="str">
        <f>IFERROR(__xludf.DUMMYFUNCTION("""COMPUTED_VALUE""")," REF")</f>
        <v>REF</v>
      </c>
      <c r="AR441" s="71" t="str">
        <f>IFERROR(__xludf.DUMMYFUNCTION("""COMPUTED_VALUE""")," CHUMACERA AUTOALINEABLE BAJA ARMADA CON RÓTULA DE FIERRO")</f>
        <v>CHUMACERA AUTOALINEABLE BAJA ARMADA CON RÓTULA DE FIERRO</v>
      </c>
      <c r="AS441" s="71" t="str">
        <f>IFERROR(__xludf.DUMMYFUNCTION("""COMPUTED_VALUE""")," CHUMACERA AUTALIN BAJA ARM ROTULA FIERRO")</f>
        <v>CHUMACERA AUTALIN BAJA ARM ROTULA FIERRO</v>
      </c>
      <c r="AT441" s="71">
        <f>IFERROR(__xludf.DUMMYFUNCTION("""COMPUTED_VALUE"""),40.0)</f>
        <v>40</v>
      </c>
      <c r="AU441" s="71"/>
      <c r="AV441" s="71"/>
      <c r="AW441" s="71"/>
      <c r="AX441" s="71"/>
      <c r="AY441" s="71">
        <f>IFERROR(__xludf.DUMMYFUNCTION("""COMPUTED_VALUE"""),457.0)</f>
        <v>457</v>
      </c>
      <c r="AZ441" s="71">
        <f>IFERROR(__xludf.DUMMYFUNCTION("""COMPUTED_VALUE"""),493.0)</f>
        <v>493</v>
      </c>
      <c r="BA441" s="71">
        <f>IFERROR(__xludf.DUMMYFUNCTION("""COMPUTED_VALUE"""),532.44)</f>
        <v>532.44</v>
      </c>
      <c r="BB441" s="71">
        <f>IFERROR(__xludf.DUMMYFUNCTION("""COMPUTED_VALUE"""),532.44)</f>
        <v>532.44</v>
      </c>
      <c r="BC441" s="71">
        <f>IFERROR(__xludf.DUMMYFUNCTION("""COMPUTED_VALUE"""),594.0)</f>
        <v>594</v>
      </c>
      <c r="BD441" s="71">
        <f>IFERROR(__xludf.DUMMYFUNCTION("""COMPUTED_VALUE"""),624.0)</f>
        <v>624</v>
      </c>
      <c r="BE441" s="71">
        <f>IFERROR(__xludf.DUMMYFUNCTION("""COMPUTED_VALUE"""),99.84)</f>
        <v>99.84</v>
      </c>
      <c r="BF441" s="71">
        <f>IFERROR(__xludf.DUMMYFUNCTION("""COMPUTED_VALUE"""),723.84)</f>
        <v>723.84</v>
      </c>
      <c r="BG441" s="71">
        <f>IFERROR(__xludf.DUMMYFUNCTION("""COMPUTED_VALUE"""),0.050505050505050504)</f>
        <v>0.05050505051</v>
      </c>
      <c r="BH441" s="71">
        <f>IFERROR(__xludf.DUMMYFUNCTION("""COMPUTED_VALUE"""),592.8)</f>
        <v>592.8</v>
      </c>
      <c r="BI441" s="71">
        <f>IFERROR(__xludf.DUMMYFUNCTION("""COMPUTED_VALUE"""),94.848)</f>
        <v>94.848</v>
      </c>
      <c r="BJ441" s="71">
        <f>IFERROR(__xludf.DUMMYFUNCTION("""COMPUTED_VALUE"""),687.6479999999999)</f>
        <v>687.648</v>
      </c>
      <c r="BK441" s="71">
        <f>IFERROR(__xludf.DUMMYFUNCTION("""COMPUTED_VALUE"""),561.6)</f>
        <v>561.6</v>
      </c>
      <c r="BL441" s="71">
        <f>IFERROR(__xludf.DUMMYFUNCTION("""COMPUTED_VALUE"""),89.85600000000001)</f>
        <v>89.856</v>
      </c>
      <c r="BM441" s="71">
        <f>IFERROR(__xludf.DUMMYFUNCTION("""COMPUTED_VALUE"""),651.456)</f>
        <v>651.456</v>
      </c>
      <c r="BN441" s="71">
        <f>IFERROR(__xludf.DUMMYFUNCTION("""COMPUTED_VALUE"""),530.4)</f>
        <v>530.4</v>
      </c>
      <c r="BO441" s="71">
        <f>IFERROR(__xludf.DUMMYFUNCTION("""COMPUTED_VALUE"""),84.864)</f>
        <v>84.864</v>
      </c>
      <c r="BP441" s="71">
        <f>IFERROR(__xludf.DUMMYFUNCTION("""COMPUTED_VALUE"""),615.264)</f>
        <v>615.264</v>
      </c>
      <c r="BQ441" s="71">
        <f>IFERROR(__xludf.DUMMYFUNCTION("""COMPUTED_VALUE"""),517.92)</f>
        <v>517.92</v>
      </c>
      <c r="BR441" s="71">
        <f>IFERROR(__xludf.DUMMYFUNCTION("""COMPUTED_VALUE"""),82.8672)</f>
        <v>82.8672</v>
      </c>
      <c r="BS441" s="71">
        <f>IFERROR(__xludf.DUMMYFUNCTION("""COMPUTED_VALUE"""),600.7872)</f>
        <v>600.7872</v>
      </c>
      <c r="BT441" s="71">
        <f>IFERROR(__xludf.DUMMYFUNCTION("""COMPUTED_VALUE"""),499.20000000000005)</f>
        <v>499.2</v>
      </c>
      <c r="BU441" s="71">
        <f>IFERROR(__xludf.DUMMYFUNCTION("""COMPUTED_VALUE"""),79.87200000000001)</f>
        <v>79.872</v>
      </c>
      <c r="BV441" s="71">
        <f>IFERROR(__xludf.DUMMYFUNCTION("""COMPUTED_VALUE"""),579.0720000000001)</f>
        <v>579.072</v>
      </c>
    </row>
    <row r="442">
      <c r="A442" s="53">
        <v>1.0</v>
      </c>
      <c r="B442" s="72"/>
      <c r="C442" s="73" t="s">
        <v>53</v>
      </c>
      <c r="D442" s="74" t="s">
        <v>1123</v>
      </c>
      <c r="E442" s="54" t="s">
        <v>38</v>
      </c>
      <c r="F442" s="54" t="s">
        <v>42</v>
      </c>
      <c r="G442" s="88" t="s">
        <v>1124</v>
      </c>
      <c r="H442" s="54" t="s">
        <v>1125</v>
      </c>
      <c r="I442" s="54">
        <f t="shared" si="1"/>
        <v>38</v>
      </c>
      <c r="J442" s="56"/>
      <c r="K442" s="75"/>
      <c r="L442" s="76"/>
      <c r="M442" s="59"/>
      <c r="N442" s="60">
        <v>193.0</v>
      </c>
      <c r="O442" s="61">
        <v>208.0</v>
      </c>
      <c r="P442" s="62">
        <v>224.64000000000001</v>
      </c>
      <c r="Q442" s="63">
        <v>224.64000000000001</v>
      </c>
      <c r="R442" s="64">
        <v>251.0</v>
      </c>
      <c r="S442" s="111">
        <v>264.0</v>
      </c>
      <c r="T442" s="65">
        <f t="shared" si="2"/>
        <v>42.24</v>
      </c>
      <c r="U442" s="65">
        <f t="shared" si="3"/>
        <v>306.24</v>
      </c>
      <c r="V442" s="66">
        <f t="shared" si="4"/>
        <v>0.05179282869</v>
      </c>
      <c r="W442" s="67">
        <f t="shared" si="5"/>
        <v>250.8</v>
      </c>
      <c r="X442" s="67">
        <f t="shared" si="6"/>
        <v>40.128</v>
      </c>
      <c r="Y442" s="67">
        <f t="shared" si="7"/>
        <v>290.928</v>
      </c>
      <c r="Z442" s="67">
        <f t="shared" si="8"/>
        <v>237.6</v>
      </c>
      <c r="AA442" s="67">
        <f t="shared" si="9"/>
        <v>38.016</v>
      </c>
      <c r="AB442" s="67">
        <f t="shared" si="10"/>
        <v>275.616</v>
      </c>
      <c r="AC442" s="67">
        <f t="shared" si="11"/>
        <v>224.4</v>
      </c>
      <c r="AD442" s="67">
        <f t="shared" si="12"/>
        <v>35.904</v>
      </c>
      <c r="AE442" s="67">
        <f t="shared" si="13"/>
        <v>260.304</v>
      </c>
      <c r="AF442" s="67">
        <f t="shared" si="14"/>
        <v>219.12</v>
      </c>
      <c r="AG442" s="67">
        <f t="shared" si="15"/>
        <v>35.0592</v>
      </c>
      <c r="AH442" s="67">
        <f t="shared" si="16"/>
        <v>254.1792</v>
      </c>
      <c r="AI442" s="67">
        <f t="shared" si="17"/>
        <v>211.2</v>
      </c>
      <c r="AJ442" s="68">
        <f t="shared" si="20"/>
        <v>33.792</v>
      </c>
      <c r="AK442" s="68">
        <f t="shared" si="21"/>
        <v>244.992</v>
      </c>
      <c r="AL442" s="70">
        <f>IFERROR(__xludf.DUMMYFUNCTION("""COMPUTED_VALUE"""),1.0)</f>
        <v>1</v>
      </c>
      <c r="AM442" s="70"/>
      <c r="AN442" s="71" t="str">
        <f>IFERROR(__xludf.DUMMYFUNCTION("""COMPUTED_VALUE""")," P")</f>
        <v>P</v>
      </c>
      <c r="AO442" s="71" t="str">
        <f>IFERROR(__xludf.DUMMYFUNCTION("""COMPUTED_VALUE""")," CH05")</f>
        <v>CH05</v>
      </c>
      <c r="AP442" s="71" t="str">
        <f>IFERROR(__xludf.DUMMYFUNCTION("""COMPUTED_VALUE""")," PZA")</f>
        <v>PZA</v>
      </c>
      <c r="AQ442" s="71" t="str">
        <f>IFERROR(__xludf.DUMMYFUNCTION("""COMPUTED_VALUE""")," REF")</f>
        <v>REF</v>
      </c>
      <c r="AR442" s="71" t="str">
        <f>IFERROR(__xludf.DUMMYFUNCTION("""COMPUTED_VALUE""")," CHUMACERA AUTOALINEABLE BAJA SOLA")</f>
        <v>CHUMACERA AUTOALINEABLE BAJA SOLA</v>
      </c>
      <c r="AS442" s="71" t="str">
        <f>IFERROR(__xludf.DUMMYFUNCTION("""COMPUTED_VALUE""")," CHUMACERA AUTALIN BAJA SOLA")</f>
        <v>CHUMACERA AUTALIN BAJA SOLA</v>
      </c>
      <c r="AT442" s="71">
        <f>IFERROR(__xludf.DUMMYFUNCTION("""COMPUTED_VALUE"""),27.0)</f>
        <v>27</v>
      </c>
      <c r="AU442" s="71"/>
      <c r="AV442" s="71"/>
      <c r="AW442" s="71"/>
      <c r="AX442" s="71"/>
      <c r="AY442" s="71">
        <f>IFERROR(__xludf.DUMMYFUNCTION("""COMPUTED_VALUE"""),348.0)</f>
        <v>348</v>
      </c>
      <c r="AZ442" s="71">
        <f>IFERROR(__xludf.DUMMYFUNCTION("""COMPUTED_VALUE"""),375.0)</f>
        <v>375</v>
      </c>
      <c r="BA442" s="71">
        <f>IFERROR(__xludf.DUMMYFUNCTION("""COMPUTED_VALUE"""),405.0)</f>
        <v>405</v>
      </c>
      <c r="BB442" s="71">
        <f>IFERROR(__xludf.DUMMYFUNCTION("""COMPUTED_VALUE"""),405.0)</f>
        <v>405</v>
      </c>
      <c r="BC442" s="71">
        <f>IFERROR(__xludf.DUMMYFUNCTION("""COMPUTED_VALUE"""),452.0)</f>
        <v>452</v>
      </c>
      <c r="BD442" s="71">
        <f>IFERROR(__xludf.DUMMYFUNCTION("""COMPUTED_VALUE"""),475.0)</f>
        <v>475</v>
      </c>
      <c r="BE442" s="71">
        <f>IFERROR(__xludf.DUMMYFUNCTION("""COMPUTED_VALUE"""),76.0)</f>
        <v>76</v>
      </c>
      <c r="BF442" s="71">
        <f>IFERROR(__xludf.DUMMYFUNCTION("""COMPUTED_VALUE"""),551.0)</f>
        <v>551</v>
      </c>
      <c r="BG442" s="71">
        <f>IFERROR(__xludf.DUMMYFUNCTION("""COMPUTED_VALUE"""),0.05088495575221239)</f>
        <v>0.05088495575</v>
      </c>
      <c r="BH442" s="71">
        <f>IFERROR(__xludf.DUMMYFUNCTION("""COMPUTED_VALUE"""),451.25)</f>
        <v>451.25</v>
      </c>
      <c r="BI442" s="71">
        <f>IFERROR(__xludf.DUMMYFUNCTION("""COMPUTED_VALUE"""),72.2)</f>
        <v>72.2</v>
      </c>
      <c r="BJ442" s="71">
        <f>IFERROR(__xludf.DUMMYFUNCTION("""COMPUTED_VALUE"""),523.45)</f>
        <v>523.45</v>
      </c>
      <c r="BK442" s="71">
        <f>IFERROR(__xludf.DUMMYFUNCTION("""COMPUTED_VALUE"""),427.5)</f>
        <v>427.5</v>
      </c>
      <c r="BL442" s="71">
        <f>IFERROR(__xludf.DUMMYFUNCTION("""COMPUTED_VALUE"""),68.4)</f>
        <v>68.4</v>
      </c>
      <c r="BM442" s="71">
        <f>IFERROR(__xludf.DUMMYFUNCTION("""COMPUTED_VALUE"""),495.9)</f>
        <v>495.9</v>
      </c>
      <c r="BN442" s="71">
        <f>IFERROR(__xludf.DUMMYFUNCTION("""COMPUTED_VALUE"""),403.75)</f>
        <v>403.75</v>
      </c>
      <c r="BO442" s="71">
        <f>IFERROR(__xludf.DUMMYFUNCTION("""COMPUTED_VALUE"""),64.6)</f>
        <v>64.6</v>
      </c>
      <c r="BP442" s="71">
        <f>IFERROR(__xludf.DUMMYFUNCTION("""COMPUTED_VALUE"""),468.35)</f>
        <v>468.35</v>
      </c>
      <c r="BQ442" s="71">
        <f>IFERROR(__xludf.DUMMYFUNCTION("""COMPUTED_VALUE"""),394.25)</f>
        <v>394.25</v>
      </c>
      <c r="BR442" s="71">
        <f>IFERROR(__xludf.DUMMYFUNCTION("""COMPUTED_VALUE"""),63.08)</f>
        <v>63.08</v>
      </c>
      <c r="BS442" s="71">
        <f>IFERROR(__xludf.DUMMYFUNCTION("""COMPUTED_VALUE"""),457.33)</f>
        <v>457.33</v>
      </c>
      <c r="BT442" s="71">
        <f>IFERROR(__xludf.DUMMYFUNCTION("""COMPUTED_VALUE"""),380.0)</f>
        <v>380</v>
      </c>
      <c r="BU442" s="71">
        <f>IFERROR(__xludf.DUMMYFUNCTION("""COMPUTED_VALUE"""),60.800000000000004)</f>
        <v>60.8</v>
      </c>
      <c r="BV442" s="71">
        <f>IFERROR(__xludf.DUMMYFUNCTION("""COMPUTED_VALUE"""),440.8)</f>
        <v>440.8</v>
      </c>
    </row>
    <row r="443">
      <c r="A443" s="53"/>
      <c r="B443" s="53"/>
      <c r="C443" s="53"/>
      <c r="D443" s="53" t="s">
        <v>1126</v>
      </c>
      <c r="E443" s="55" t="s">
        <v>38</v>
      </c>
      <c r="F443" s="89"/>
      <c r="G443" s="84" t="s">
        <v>1127</v>
      </c>
      <c r="H443" s="55"/>
      <c r="I443" s="54">
        <f t="shared" si="1"/>
        <v>0</v>
      </c>
      <c r="J443" s="56"/>
      <c r="K443" s="57"/>
      <c r="L443" s="55"/>
      <c r="M443" s="59"/>
      <c r="N443" s="60"/>
      <c r="O443" s="90"/>
      <c r="P443" s="62">
        <v>28254.0</v>
      </c>
      <c r="Q443" s="63">
        <v>28254.0</v>
      </c>
      <c r="R443" s="64">
        <v>31151.0</v>
      </c>
      <c r="S443" s="111">
        <v>32709.0</v>
      </c>
      <c r="T443" s="65">
        <f t="shared" si="2"/>
        <v>5233.44</v>
      </c>
      <c r="U443" s="65">
        <f t="shared" si="3"/>
        <v>37942.44</v>
      </c>
      <c r="V443" s="66">
        <f t="shared" si="4"/>
        <v>0.05001444576</v>
      </c>
      <c r="W443" s="67">
        <f t="shared" si="5"/>
        <v>31073.55</v>
      </c>
      <c r="X443" s="67">
        <f t="shared" si="6"/>
        <v>4971.768</v>
      </c>
      <c r="Y443" s="67">
        <f t="shared" si="7"/>
        <v>36045.318</v>
      </c>
      <c r="Z443" s="67">
        <f t="shared" si="8"/>
        <v>29438.1</v>
      </c>
      <c r="AA443" s="67">
        <f t="shared" si="9"/>
        <v>4710.096</v>
      </c>
      <c r="AB443" s="67">
        <f t="shared" si="10"/>
        <v>34148.196</v>
      </c>
      <c r="AC443" s="67">
        <f t="shared" si="11"/>
        <v>27802.65</v>
      </c>
      <c r="AD443" s="67">
        <f t="shared" si="12"/>
        <v>4448.424</v>
      </c>
      <c r="AE443" s="67">
        <f t="shared" si="13"/>
        <v>32251.074</v>
      </c>
      <c r="AF443" s="67">
        <f t="shared" si="14"/>
        <v>27148.47</v>
      </c>
      <c r="AG443" s="67">
        <f t="shared" si="15"/>
        <v>4343.7552</v>
      </c>
      <c r="AH443" s="67">
        <f t="shared" si="16"/>
        <v>31492.2252</v>
      </c>
      <c r="AI443" s="67">
        <f t="shared" si="17"/>
        <v>26167.2</v>
      </c>
      <c r="AJ443" s="68">
        <f t="shared" si="20"/>
        <v>4186.752</v>
      </c>
      <c r="AK443" s="68">
        <f t="shared" si="21"/>
        <v>30353.952</v>
      </c>
      <c r="AL443" s="70">
        <f>IFERROR(__xludf.DUMMYFUNCTION("""COMPUTED_VALUE"""),1.0)</f>
        <v>1</v>
      </c>
      <c r="AM443" s="70"/>
      <c r="AN443" s="71" t="str">
        <f>IFERROR(__xludf.DUMMYFUNCTION("""COMPUTED_VALUE""")," P")</f>
        <v>P</v>
      </c>
      <c r="AO443" s="71" t="str">
        <f>IFERROR(__xludf.DUMMYFUNCTION("""COMPUTED_VALUE""")," CH09")</f>
        <v>CH09</v>
      </c>
      <c r="AP443" s="71" t="str">
        <f>IFERROR(__xludf.DUMMYFUNCTION("""COMPUTED_VALUE""")," PZA")</f>
        <v>PZA</v>
      </c>
      <c r="AQ443" s="71" t="str">
        <f>IFERROR(__xludf.DUMMYFUNCTION("""COMPUTED_VALUE""")," REF")</f>
        <v>REF</v>
      </c>
      <c r="AR443" s="71" t="str">
        <f>IFERROR(__xludf.DUMMYFUNCTION("""COMPUTED_VALUE""")," CHUMACERA CUADRADA DÚPLEX ENTRADA 3/4")</f>
        <v>CHUMACERA CUADRADA DÚPLEX ENTRADA 3/4</v>
      </c>
      <c r="AS443" s="71" t="str">
        <f>IFERROR(__xludf.DUMMYFUNCTION("""COMPUTED_VALUE""")," CHUMACERA CUADRADA DPLX ENTRADA 3/4")</f>
        <v>CHUMACERA CUADRADA DPLX ENTRADA 3/4</v>
      </c>
      <c r="AT443" s="71">
        <f>IFERROR(__xludf.DUMMYFUNCTION("""COMPUTED_VALUE"""),35.0)</f>
        <v>35</v>
      </c>
      <c r="AU443" s="71"/>
      <c r="AV443" s="71"/>
      <c r="AW443" s="71"/>
      <c r="AX443" s="71"/>
      <c r="AY443" s="71">
        <f>IFERROR(__xludf.DUMMYFUNCTION("""COMPUTED_VALUE"""),69.0)</f>
        <v>69</v>
      </c>
      <c r="AZ443" s="71">
        <f>IFERROR(__xludf.DUMMYFUNCTION("""COMPUTED_VALUE"""),74.0)</f>
        <v>74</v>
      </c>
      <c r="BA443" s="71">
        <f>IFERROR(__xludf.DUMMYFUNCTION("""COMPUTED_VALUE"""),79.92)</f>
        <v>79.92</v>
      </c>
      <c r="BB443" s="71">
        <f>IFERROR(__xludf.DUMMYFUNCTION("""COMPUTED_VALUE"""),79.92)</f>
        <v>79.92</v>
      </c>
      <c r="BC443" s="71">
        <f>IFERROR(__xludf.DUMMYFUNCTION("""COMPUTED_VALUE"""),92.0)</f>
        <v>92</v>
      </c>
      <c r="BD443" s="71">
        <f>IFERROR(__xludf.DUMMYFUNCTION("""COMPUTED_VALUE"""),97.0)</f>
        <v>97</v>
      </c>
      <c r="BE443" s="71">
        <f>IFERROR(__xludf.DUMMYFUNCTION("""COMPUTED_VALUE"""),15.52)</f>
        <v>15.52</v>
      </c>
      <c r="BF443" s="71">
        <f>IFERROR(__xludf.DUMMYFUNCTION("""COMPUTED_VALUE"""),112.52)</f>
        <v>112.52</v>
      </c>
      <c r="BG443" s="71">
        <f>IFERROR(__xludf.DUMMYFUNCTION("""COMPUTED_VALUE"""),0.05434782608695652)</f>
        <v>0.05434782609</v>
      </c>
      <c r="BH443" s="71">
        <f>IFERROR(__xludf.DUMMYFUNCTION("""COMPUTED_VALUE"""),92.14999999999999)</f>
        <v>92.15</v>
      </c>
      <c r="BI443" s="71">
        <f>IFERROR(__xludf.DUMMYFUNCTION("""COMPUTED_VALUE"""),14.744)</f>
        <v>14.744</v>
      </c>
      <c r="BJ443" s="71">
        <f>IFERROR(__xludf.DUMMYFUNCTION("""COMPUTED_VALUE"""),106.89399999999999)</f>
        <v>106.894</v>
      </c>
      <c r="BK443" s="71">
        <f>IFERROR(__xludf.DUMMYFUNCTION("""COMPUTED_VALUE"""),87.3)</f>
        <v>87.3</v>
      </c>
      <c r="BL443" s="71">
        <f>IFERROR(__xludf.DUMMYFUNCTION("""COMPUTED_VALUE"""),13.968)</f>
        <v>13.968</v>
      </c>
      <c r="BM443" s="71">
        <f>IFERROR(__xludf.DUMMYFUNCTION("""COMPUTED_VALUE"""),101.268)</f>
        <v>101.268</v>
      </c>
      <c r="BN443" s="71">
        <f>IFERROR(__xludf.DUMMYFUNCTION("""COMPUTED_VALUE"""),82.45)</f>
        <v>82.45</v>
      </c>
      <c r="BO443" s="71">
        <f>IFERROR(__xludf.DUMMYFUNCTION("""COMPUTED_VALUE"""),13.192)</f>
        <v>13.192</v>
      </c>
      <c r="BP443" s="71">
        <f>IFERROR(__xludf.DUMMYFUNCTION("""COMPUTED_VALUE"""),95.642)</f>
        <v>95.642</v>
      </c>
      <c r="BQ443" s="71">
        <f>IFERROR(__xludf.DUMMYFUNCTION("""COMPUTED_VALUE"""),80.50999999999999)</f>
        <v>80.51</v>
      </c>
      <c r="BR443" s="71">
        <f>IFERROR(__xludf.DUMMYFUNCTION("""COMPUTED_VALUE"""),12.881599999999999)</f>
        <v>12.8816</v>
      </c>
      <c r="BS443" s="71">
        <f>IFERROR(__xludf.DUMMYFUNCTION("""COMPUTED_VALUE"""),93.39159999999998)</f>
        <v>93.3916</v>
      </c>
      <c r="BT443" s="71">
        <f>IFERROR(__xludf.DUMMYFUNCTION("""COMPUTED_VALUE"""),77.60000000000001)</f>
        <v>77.6</v>
      </c>
      <c r="BU443" s="71">
        <f>IFERROR(__xludf.DUMMYFUNCTION("""COMPUTED_VALUE"""),12.416000000000002)</f>
        <v>12.416</v>
      </c>
      <c r="BV443" s="71">
        <f>IFERROR(__xludf.DUMMYFUNCTION("""COMPUTED_VALUE"""),90.016)</f>
        <v>90.016</v>
      </c>
    </row>
    <row r="444">
      <c r="A444" s="53"/>
      <c r="B444" s="53"/>
      <c r="C444" s="53"/>
      <c r="D444" s="53" t="s">
        <v>1128</v>
      </c>
      <c r="E444" s="55" t="s">
        <v>38</v>
      </c>
      <c r="F444" s="89"/>
      <c r="G444" s="84" t="s">
        <v>1129</v>
      </c>
      <c r="H444" s="55"/>
      <c r="I444" s="54">
        <f t="shared" si="1"/>
        <v>0</v>
      </c>
      <c r="J444" s="56"/>
      <c r="K444" s="57"/>
      <c r="L444" s="55"/>
      <c r="M444" s="59"/>
      <c r="N444" s="60"/>
      <c r="O444" s="90"/>
      <c r="P444" s="62">
        <v>33858.0</v>
      </c>
      <c r="Q444" s="63">
        <v>33858.0</v>
      </c>
      <c r="R444" s="64">
        <v>37329.0</v>
      </c>
      <c r="S444" s="111">
        <v>39195.0</v>
      </c>
      <c r="T444" s="65">
        <f t="shared" si="2"/>
        <v>6271.2</v>
      </c>
      <c r="U444" s="65">
        <f t="shared" si="3"/>
        <v>45466.2</v>
      </c>
      <c r="V444" s="66">
        <f t="shared" si="4"/>
        <v>0.04998794503</v>
      </c>
      <c r="W444" s="67">
        <f t="shared" si="5"/>
        <v>37235.25</v>
      </c>
      <c r="X444" s="67">
        <f t="shared" si="6"/>
        <v>5957.64</v>
      </c>
      <c r="Y444" s="67">
        <f t="shared" si="7"/>
        <v>43192.89</v>
      </c>
      <c r="Z444" s="67">
        <f t="shared" si="8"/>
        <v>35275.5</v>
      </c>
      <c r="AA444" s="67">
        <f t="shared" si="9"/>
        <v>5644.08</v>
      </c>
      <c r="AB444" s="67">
        <f t="shared" si="10"/>
        <v>40919.58</v>
      </c>
      <c r="AC444" s="67">
        <f t="shared" si="11"/>
        <v>33315.75</v>
      </c>
      <c r="AD444" s="67">
        <f t="shared" si="12"/>
        <v>5330.52</v>
      </c>
      <c r="AE444" s="67">
        <f t="shared" si="13"/>
        <v>38646.27</v>
      </c>
      <c r="AF444" s="67">
        <f t="shared" si="14"/>
        <v>32531.85</v>
      </c>
      <c r="AG444" s="67">
        <f t="shared" si="15"/>
        <v>5205.096</v>
      </c>
      <c r="AH444" s="67">
        <f t="shared" si="16"/>
        <v>37736.946</v>
      </c>
      <c r="AI444" s="67">
        <f t="shared" si="17"/>
        <v>31356</v>
      </c>
      <c r="AJ444" s="68">
        <f t="shared" si="20"/>
        <v>5016.96</v>
      </c>
      <c r="AK444" s="68">
        <f t="shared" si="21"/>
        <v>36372.96</v>
      </c>
      <c r="AL444" s="70">
        <f>IFERROR(__xludf.DUMMYFUNCTION("""COMPUTED_VALUE"""),1.0)</f>
        <v>1</v>
      </c>
      <c r="AM444" s="70"/>
      <c r="AN444" s="71" t="str">
        <f>IFERROR(__xludf.DUMMYFUNCTION("""COMPUTED_VALUE""")," P")</f>
        <v>P</v>
      </c>
      <c r="AO444" s="71" t="str">
        <f>IFERROR(__xludf.DUMMYFUNCTION("""COMPUTED_VALUE""")," CH10")</f>
        <v>CH10</v>
      </c>
      <c r="AP444" s="71" t="str">
        <f>IFERROR(__xludf.DUMMYFUNCTION("""COMPUTED_VALUE""")," PZA")</f>
        <v>PZA</v>
      </c>
      <c r="AQ444" s="71" t="str">
        <f>IFERROR(__xludf.DUMMYFUNCTION("""COMPUTED_VALUE""")," REF")</f>
        <v>REF</v>
      </c>
      <c r="AR444" s="71" t="str">
        <f>IFERROR(__xludf.DUMMYFUNCTION("""COMPUTED_VALUE""")," CHUMACERA CUADRADA SENCILLA ENTRADA 5/8")</f>
        <v>CHUMACERA CUADRADA SENCILLA ENTRADA 5/8</v>
      </c>
      <c r="AS444" s="71" t="str">
        <f>IFERROR(__xludf.DUMMYFUNCTION("""COMPUTED_VALUE""")," CHUMACERA CUADRADA SENCILLA ENTRADA 5/8")</f>
        <v>CHUMACERA CUADRADA SENCILLA ENTRADA 5/8</v>
      </c>
      <c r="AT444" s="71">
        <f>IFERROR(__xludf.DUMMYFUNCTION("""COMPUTED_VALUE"""),39.0)</f>
        <v>39</v>
      </c>
      <c r="AU444" s="71"/>
      <c r="AV444" s="71"/>
      <c r="AW444" s="71"/>
      <c r="AX444" s="71"/>
      <c r="AY444" s="71">
        <f>IFERROR(__xludf.DUMMYFUNCTION("""COMPUTED_VALUE"""),68.0)</f>
        <v>68</v>
      </c>
      <c r="AZ444" s="71">
        <f>IFERROR(__xludf.DUMMYFUNCTION("""COMPUTED_VALUE"""),73.0)</f>
        <v>73</v>
      </c>
      <c r="BA444" s="71">
        <f>IFERROR(__xludf.DUMMYFUNCTION("""COMPUTED_VALUE"""),78.84)</f>
        <v>78.84</v>
      </c>
      <c r="BB444" s="71">
        <f>IFERROR(__xludf.DUMMYFUNCTION("""COMPUTED_VALUE"""),78.84)</f>
        <v>78.84</v>
      </c>
      <c r="BC444" s="71">
        <f>IFERROR(__xludf.DUMMYFUNCTION("""COMPUTED_VALUE"""),105.0)</f>
        <v>105</v>
      </c>
      <c r="BD444" s="71">
        <f>IFERROR(__xludf.DUMMYFUNCTION("""COMPUTED_VALUE"""),110.0)</f>
        <v>110</v>
      </c>
      <c r="BE444" s="71">
        <f>IFERROR(__xludf.DUMMYFUNCTION("""COMPUTED_VALUE"""),17.6)</f>
        <v>17.6</v>
      </c>
      <c r="BF444" s="71">
        <f>IFERROR(__xludf.DUMMYFUNCTION("""COMPUTED_VALUE"""),127.6)</f>
        <v>127.6</v>
      </c>
      <c r="BG444" s="71">
        <f>IFERROR(__xludf.DUMMYFUNCTION("""COMPUTED_VALUE"""),0.047619047619047616)</f>
        <v>0.04761904762</v>
      </c>
      <c r="BH444" s="71">
        <f>IFERROR(__xludf.DUMMYFUNCTION("""COMPUTED_VALUE"""),104.5)</f>
        <v>104.5</v>
      </c>
      <c r="BI444" s="71">
        <f>IFERROR(__xludf.DUMMYFUNCTION("""COMPUTED_VALUE"""),16.72)</f>
        <v>16.72</v>
      </c>
      <c r="BJ444" s="71">
        <f>IFERROR(__xludf.DUMMYFUNCTION("""COMPUTED_VALUE"""),121.22)</f>
        <v>121.22</v>
      </c>
      <c r="BK444" s="71">
        <f>IFERROR(__xludf.DUMMYFUNCTION("""COMPUTED_VALUE"""),99.0)</f>
        <v>99</v>
      </c>
      <c r="BL444" s="71">
        <f>IFERROR(__xludf.DUMMYFUNCTION("""COMPUTED_VALUE"""),15.84)</f>
        <v>15.84</v>
      </c>
      <c r="BM444" s="71">
        <f>IFERROR(__xludf.DUMMYFUNCTION("""COMPUTED_VALUE"""),114.84)</f>
        <v>114.84</v>
      </c>
      <c r="BN444" s="71">
        <f>IFERROR(__xludf.DUMMYFUNCTION("""COMPUTED_VALUE"""),93.5)</f>
        <v>93.5</v>
      </c>
      <c r="BO444" s="71">
        <f>IFERROR(__xludf.DUMMYFUNCTION("""COMPUTED_VALUE"""),14.96)</f>
        <v>14.96</v>
      </c>
      <c r="BP444" s="71">
        <f>IFERROR(__xludf.DUMMYFUNCTION("""COMPUTED_VALUE"""),108.46000000000001)</f>
        <v>108.46</v>
      </c>
      <c r="BQ444" s="71">
        <f>IFERROR(__xludf.DUMMYFUNCTION("""COMPUTED_VALUE"""),91.3)</f>
        <v>91.3</v>
      </c>
      <c r="BR444" s="71">
        <f>IFERROR(__xludf.DUMMYFUNCTION("""COMPUTED_VALUE"""),14.608)</f>
        <v>14.608</v>
      </c>
      <c r="BS444" s="71">
        <f>IFERROR(__xludf.DUMMYFUNCTION("""COMPUTED_VALUE"""),105.908)</f>
        <v>105.908</v>
      </c>
      <c r="BT444" s="71">
        <f>IFERROR(__xludf.DUMMYFUNCTION("""COMPUTED_VALUE"""),88.0)</f>
        <v>88</v>
      </c>
      <c r="BU444" s="71">
        <f>IFERROR(__xludf.DUMMYFUNCTION("""COMPUTED_VALUE"""),14.08)</f>
        <v>14.08</v>
      </c>
      <c r="BV444" s="71">
        <f>IFERROR(__xludf.DUMMYFUNCTION("""COMPUTED_VALUE"""),102.08)</f>
        <v>102.08</v>
      </c>
    </row>
    <row r="445">
      <c r="A445" s="53"/>
      <c r="B445" s="53"/>
      <c r="C445" s="53"/>
      <c r="D445" s="53" t="s">
        <v>1130</v>
      </c>
      <c r="E445" s="55" t="s">
        <v>38</v>
      </c>
      <c r="F445" s="89"/>
      <c r="G445" s="84" t="s">
        <v>1131</v>
      </c>
      <c r="H445" s="55"/>
      <c r="I445" s="54">
        <f t="shared" si="1"/>
        <v>0</v>
      </c>
      <c r="J445" s="56"/>
      <c r="K445" s="57"/>
      <c r="L445" s="55"/>
      <c r="M445" s="59"/>
      <c r="N445" s="60"/>
      <c r="O445" s="90"/>
      <c r="P445" s="62">
        <v>96850.0</v>
      </c>
      <c r="Q445" s="63">
        <v>96850.0</v>
      </c>
      <c r="R445" s="64">
        <v>106778.0</v>
      </c>
      <c r="S445" s="111">
        <v>112117.0</v>
      </c>
      <c r="T445" s="65">
        <f t="shared" si="2"/>
        <v>17938.72</v>
      </c>
      <c r="U445" s="65">
        <f t="shared" si="3"/>
        <v>130055.72</v>
      </c>
      <c r="V445" s="66">
        <f t="shared" si="4"/>
        <v>0.05000093652</v>
      </c>
      <c r="W445" s="67">
        <f t="shared" si="5"/>
        <v>106511.15</v>
      </c>
      <c r="X445" s="67">
        <f t="shared" si="6"/>
        <v>17041.784</v>
      </c>
      <c r="Y445" s="67">
        <f t="shared" si="7"/>
        <v>123552.934</v>
      </c>
      <c r="Z445" s="67">
        <f t="shared" si="8"/>
        <v>100905.3</v>
      </c>
      <c r="AA445" s="67">
        <f t="shared" si="9"/>
        <v>16144.848</v>
      </c>
      <c r="AB445" s="67">
        <f t="shared" si="10"/>
        <v>117050.148</v>
      </c>
      <c r="AC445" s="67">
        <f t="shared" si="11"/>
        <v>95299.45</v>
      </c>
      <c r="AD445" s="67">
        <f t="shared" si="12"/>
        <v>15247.912</v>
      </c>
      <c r="AE445" s="67">
        <f t="shared" si="13"/>
        <v>110547.362</v>
      </c>
      <c r="AF445" s="67">
        <f t="shared" si="14"/>
        <v>93057.11</v>
      </c>
      <c r="AG445" s="67">
        <f t="shared" si="15"/>
        <v>14889.1376</v>
      </c>
      <c r="AH445" s="67">
        <f t="shared" si="16"/>
        <v>107946.2476</v>
      </c>
      <c r="AI445" s="67">
        <f t="shared" si="17"/>
        <v>89693.6</v>
      </c>
      <c r="AJ445" s="68">
        <f t="shared" si="20"/>
        <v>14350.976</v>
      </c>
      <c r="AK445" s="68">
        <f t="shared" si="21"/>
        <v>104044.576</v>
      </c>
      <c r="AL445" s="70">
        <f>IFERROR(__xludf.DUMMYFUNCTION("""COMPUTED_VALUE"""),1.0)</f>
        <v>1</v>
      </c>
      <c r="AM445" s="70"/>
      <c r="AN445" s="71" t="str">
        <f>IFERROR(__xludf.DUMMYFUNCTION("""COMPUTED_VALUE""")," P")</f>
        <v>P</v>
      </c>
      <c r="AO445" s="71" t="str">
        <f>IFERROR(__xludf.DUMMYFUNCTION("""COMPUTED_VALUE""")," CH56")</f>
        <v>CH56</v>
      </c>
      <c r="AP445" s="71" t="str">
        <f>IFERROR(__xludf.DUMMYFUNCTION("""COMPUTED_VALUE""")," PZA")</f>
        <v>PZA</v>
      </c>
      <c r="AQ445" s="71" t="str">
        <f>IFERROR(__xludf.DUMMYFUNCTION("""COMPUTED_VALUE""")," REF")</f>
        <v>REF</v>
      </c>
      <c r="AR445" s="71" t="str">
        <f>IFERROR(__xludf.DUMMYFUNCTION("""COMPUTED_VALUE""")," CHUMACERA CUADRADA SENCILLA ENTRADA 5/8 CON BALERO")</f>
        <v>CHUMACERA CUADRADA SENCILLA ENTRADA 5/8 CON BALERO</v>
      </c>
      <c r="AS445" s="71" t="str">
        <f>IFERROR(__xludf.DUMMYFUNCTION("""COMPUTED_VALUE""")," CHUMACERA CUADRADA SENC ENT 5/8 C/BALERO")</f>
        <v>CHUMACERA CUADRADA SENC ENT 5/8 C/BALERO</v>
      </c>
      <c r="AT445" s="71">
        <f>IFERROR(__xludf.DUMMYFUNCTION("""COMPUTED_VALUE"""),40.0)</f>
        <v>40</v>
      </c>
      <c r="AU445" s="71"/>
      <c r="AV445" s="71"/>
      <c r="AW445" s="71"/>
      <c r="AX445" s="71"/>
      <c r="AY445" s="71">
        <f>IFERROR(__xludf.DUMMYFUNCTION("""COMPUTED_VALUE"""),125.0)</f>
        <v>125</v>
      </c>
      <c r="AZ445" s="71">
        <f>IFERROR(__xludf.DUMMYFUNCTION("""COMPUTED_VALUE"""),135.0)</f>
        <v>135</v>
      </c>
      <c r="BA445" s="71">
        <f>IFERROR(__xludf.DUMMYFUNCTION("""COMPUTED_VALUE"""),145.8)</f>
        <v>145.8</v>
      </c>
      <c r="BB445" s="71">
        <f>IFERROR(__xludf.DUMMYFUNCTION("""COMPUTED_VALUE"""),145.8)</f>
        <v>145.8</v>
      </c>
      <c r="BC445" s="71">
        <f>IFERROR(__xludf.DUMMYFUNCTION("""COMPUTED_VALUE"""),163.0)</f>
        <v>163</v>
      </c>
      <c r="BD445" s="71">
        <f>IFERROR(__xludf.DUMMYFUNCTION("""COMPUTED_VALUE"""),171.0)</f>
        <v>171</v>
      </c>
      <c r="BE445" s="71">
        <f>IFERROR(__xludf.DUMMYFUNCTION("""COMPUTED_VALUE"""),27.36)</f>
        <v>27.36</v>
      </c>
      <c r="BF445" s="71">
        <f>IFERROR(__xludf.DUMMYFUNCTION("""COMPUTED_VALUE"""),198.36)</f>
        <v>198.36</v>
      </c>
      <c r="BG445" s="71">
        <f>IFERROR(__xludf.DUMMYFUNCTION("""COMPUTED_VALUE"""),0.049079754601226995)</f>
        <v>0.0490797546</v>
      </c>
      <c r="BH445" s="71">
        <f>IFERROR(__xludf.DUMMYFUNCTION("""COMPUTED_VALUE"""),162.45)</f>
        <v>162.45</v>
      </c>
      <c r="BI445" s="71">
        <f>IFERROR(__xludf.DUMMYFUNCTION("""COMPUTED_VALUE"""),25.991999999999997)</f>
        <v>25.992</v>
      </c>
      <c r="BJ445" s="71">
        <f>IFERROR(__xludf.DUMMYFUNCTION("""COMPUTED_VALUE"""),188.44199999999998)</f>
        <v>188.442</v>
      </c>
      <c r="BK445" s="71">
        <f>IFERROR(__xludf.DUMMYFUNCTION("""COMPUTED_VALUE"""),153.9)</f>
        <v>153.9</v>
      </c>
      <c r="BL445" s="71">
        <f>IFERROR(__xludf.DUMMYFUNCTION("""COMPUTED_VALUE"""),24.624000000000002)</f>
        <v>24.624</v>
      </c>
      <c r="BM445" s="71">
        <f>IFERROR(__xludf.DUMMYFUNCTION("""COMPUTED_VALUE"""),178.524)</f>
        <v>178.524</v>
      </c>
      <c r="BN445" s="71">
        <f>IFERROR(__xludf.DUMMYFUNCTION("""COMPUTED_VALUE"""),145.35)</f>
        <v>145.35</v>
      </c>
      <c r="BO445" s="71">
        <f>IFERROR(__xludf.DUMMYFUNCTION("""COMPUTED_VALUE"""),23.256)</f>
        <v>23.256</v>
      </c>
      <c r="BP445" s="71">
        <f>IFERROR(__xludf.DUMMYFUNCTION("""COMPUTED_VALUE"""),168.606)</f>
        <v>168.606</v>
      </c>
      <c r="BQ445" s="71">
        <f>IFERROR(__xludf.DUMMYFUNCTION("""COMPUTED_VALUE"""),141.93)</f>
        <v>141.93</v>
      </c>
      <c r="BR445" s="71">
        <f>IFERROR(__xludf.DUMMYFUNCTION("""COMPUTED_VALUE"""),22.7088)</f>
        <v>22.7088</v>
      </c>
      <c r="BS445" s="71">
        <f>IFERROR(__xludf.DUMMYFUNCTION("""COMPUTED_VALUE"""),164.6388)</f>
        <v>164.6388</v>
      </c>
      <c r="BT445" s="71">
        <f>IFERROR(__xludf.DUMMYFUNCTION("""COMPUTED_VALUE"""),136.8)</f>
        <v>136.8</v>
      </c>
      <c r="BU445" s="71">
        <f>IFERROR(__xludf.DUMMYFUNCTION("""COMPUTED_VALUE"""),21.888)</f>
        <v>21.888</v>
      </c>
      <c r="BV445" s="71">
        <f>IFERROR(__xludf.DUMMYFUNCTION("""COMPUTED_VALUE"""),158.68800000000002)</f>
        <v>158.688</v>
      </c>
    </row>
    <row r="446">
      <c r="A446" s="53"/>
      <c r="B446" s="53">
        <v>3.0</v>
      </c>
      <c r="C446" s="53" t="s">
        <v>36</v>
      </c>
      <c r="D446" s="98" t="s">
        <v>1132</v>
      </c>
      <c r="E446" s="54" t="s">
        <v>38</v>
      </c>
      <c r="F446" s="55" t="s">
        <v>61</v>
      </c>
      <c r="G446" s="101" t="s">
        <v>1133</v>
      </c>
      <c r="H446" s="55"/>
      <c r="I446" s="54">
        <f t="shared" si="1"/>
        <v>0</v>
      </c>
      <c r="J446" s="56"/>
      <c r="K446" s="57"/>
      <c r="L446" s="76"/>
      <c r="M446" s="59"/>
      <c r="N446" s="60"/>
      <c r="O446" s="61">
        <v>61826.0</v>
      </c>
      <c r="P446" s="62">
        <v>66772.08</v>
      </c>
      <c r="Q446" s="63">
        <v>66772.08</v>
      </c>
      <c r="R446" s="64">
        <v>73617.0</v>
      </c>
      <c r="S446" s="107">
        <v>77298.0</v>
      </c>
      <c r="T446" s="65">
        <f t="shared" si="2"/>
        <v>12367.68</v>
      </c>
      <c r="U446" s="65">
        <f t="shared" si="3"/>
        <v>89665.68</v>
      </c>
      <c r="V446" s="66">
        <f t="shared" si="4"/>
        <v>0.05000203757</v>
      </c>
      <c r="W446" s="67">
        <f t="shared" si="5"/>
        <v>73433.1</v>
      </c>
      <c r="X446" s="67">
        <f t="shared" si="6"/>
        <v>11749.296</v>
      </c>
      <c r="Y446" s="67">
        <f t="shared" si="7"/>
        <v>85182.396</v>
      </c>
      <c r="Z446" s="67">
        <f t="shared" si="8"/>
        <v>69568.2</v>
      </c>
      <c r="AA446" s="67">
        <f t="shared" si="9"/>
        <v>11130.912</v>
      </c>
      <c r="AB446" s="67">
        <f t="shared" si="10"/>
        <v>80699.112</v>
      </c>
      <c r="AC446" s="67">
        <f t="shared" si="11"/>
        <v>69568.2</v>
      </c>
      <c r="AD446" s="67">
        <f t="shared" si="12"/>
        <v>11130.912</v>
      </c>
      <c r="AE446" s="67">
        <f t="shared" si="13"/>
        <v>80699.112</v>
      </c>
      <c r="AF446" s="67">
        <f t="shared" si="14"/>
        <v>69568.2</v>
      </c>
      <c r="AG446" s="67">
        <f t="shared" si="15"/>
        <v>11130.912</v>
      </c>
      <c r="AH446" s="67">
        <f t="shared" si="16"/>
        <v>80699.112</v>
      </c>
      <c r="AI446" s="67">
        <f t="shared" si="17"/>
        <v>69568.2</v>
      </c>
      <c r="AJ446" s="68">
        <f t="shared" si="20"/>
        <v>11130.912</v>
      </c>
      <c r="AK446" s="68">
        <f t="shared" si="21"/>
        <v>80699.112</v>
      </c>
      <c r="AL446" s="70">
        <f>IFERROR(__xludf.DUMMYFUNCTION("""COMPUTED_VALUE"""),1.0)</f>
        <v>1</v>
      </c>
      <c r="AM446" s="70"/>
      <c r="AN446" s="71" t="str">
        <f>IFERROR(__xludf.DUMMYFUNCTION("""COMPUTED_VALUE""")," P")</f>
        <v>P</v>
      </c>
      <c r="AO446" s="71" t="str">
        <f>IFERROR(__xludf.DUMMYFUNCTION("""COMPUTED_VALUE""")," CH11")</f>
        <v>CH11</v>
      </c>
      <c r="AP446" s="71" t="str">
        <f>IFERROR(__xludf.DUMMYFUNCTION("""COMPUTED_VALUE""")," PZA")</f>
        <v>PZA</v>
      </c>
      <c r="AQ446" s="71" t="str">
        <f>IFERROR(__xludf.DUMMYFUNCTION("""COMPUTED_VALUE""")," REF")</f>
        <v>REF</v>
      </c>
      <c r="AR446" s="71" t="str">
        <f>IFERROR(__xludf.DUMMYFUNCTION("""COMPUTED_VALUE""")," CHUMACERA DE 45 GRADOS PARA RODILLO TRANSPORTADOR")</f>
        <v>CHUMACERA DE 45 GRADOS PARA RODILLO TRANSPORTADOR</v>
      </c>
      <c r="AS446" s="71" t="str">
        <f>IFERROR(__xludf.DUMMYFUNCTION("""COMPUTED_VALUE""")," CHUMACERA 45 GRADOS P/RODILLO TRANSPORT")</f>
        <v>CHUMACERA 45 GRADOS P/RODILLO TRANSPORT</v>
      </c>
      <c r="AT446" s="71">
        <f>IFERROR(__xludf.DUMMYFUNCTION("""COMPUTED_VALUE"""),39.0)</f>
        <v>39</v>
      </c>
      <c r="AU446" s="71"/>
      <c r="AV446" s="71"/>
      <c r="AW446" s="71"/>
      <c r="AX446" s="71"/>
      <c r="AY446" s="71">
        <f>IFERROR(__xludf.DUMMYFUNCTION("""COMPUTED_VALUE"""),77.0)</f>
        <v>77</v>
      </c>
      <c r="AZ446" s="71">
        <f>IFERROR(__xludf.DUMMYFUNCTION("""COMPUTED_VALUE"""),83.0)</f>
        <v>83</v>
      </c>
      <c r="BA446" s="71">
        <f>IFERROR(__xludf.DUMMYFUNCTION("""COMPUTED_VALUE"""),89.64)</f>
        <v>89.64</v>
      </c>
      <c r="BB446" s="71">
        <f>IFERROR(__xludf.DUMMYFUNCTION("""COMPUTED_VALUE"""),89.64)</f>
        <v>89.64</v>
      </c>
      <c r="BC446" s="71">
        <f>IFERROR(__xludf.DUMMYFUNCTION("""COMPUTED_VALUE"""),101.0)</f>
        <v>101</v>
      </c>
      <c r="BD446" s="71">
        <f>IFERROR(__xludf.DUMMYFUNCTION("""COMPUTED_VALUE"""),106.0)</f>
        <v>106</v>
      </c>
      <c r="BE446" s="71">
        <f>IFERROR(__xludf.DUMMYFUNCTION("""COMPUTED_VALUE"""),16.96)</f>
        <v>16.96</v>
      </c>
      <c r="BF446" s="71">
        <f>IFERROR(__xludf.DUMMYFUNCTION("""COMPUTED_VALUE"""),122.96000000000001)</f>
        <v>122.96</v>
      </c>
      <c r="BG446" s="71">
        <f>IFERROR(__xludf.DUMMYFUNCTION("""COMPUTED_VALUE"""),0.04950495049504951)</f>
        <v>0.0495049505</v>
      </c>
      <c r="BH446" s="71">
        <f>IFERROR(__xludf.DUMMYFUNCTION("""COMPUTED_VALUE"""),100.69999999999999)</f>
        <v>100.7</v>
      </c>
      <c r="BI446" s="71">
        <f>IFERROR(__xludf.DUMMYFUNCTION("""COMPUTED_VALUE"""),16.112)</f>
        <v>16.112</v>
      </c>
      <c r="BJ446" s="71">
        <f>IFERROR(__xludf.DUMMYFUNCTION("""COMPUTED_VALUE"""),116.81199999999998)</f>
        <v>116.812</v>
      </c>
      <c r="BK446" s="71">
        <f>IFERROR(__xludf.DUMMYFUNCTION("""COMPUTED_VALUE"""),95.4)</f>
        <v>95.4</v>
      </c>
      <c r="BL446" s="71">
        <f>IFERROR(__xludf.DUMMYFUNCTION("""COMPUTED_VALUE"""),15.264000000000001)</f>
        <v>15.264</v>
      </c>
      <c r="BM446" s="71">
        <f>IFERROR(__xludf.DUMMYFUNCTION("""COMPUTED_VALUE"""),110.664)</f>
        <v>110.664</v>
      </c>
      <c r="BN446" s="71">
        <f>IFERROR(__xludf.DUMMYFUNCTION("""COMPUTED_VALUE"""),90.1)</f>
        <v>90.1</v>
      </c>
      <c r="BO446" s="71">
        <f>IFERROR(__xludf.DUMMYFUNCTION("""COMPUTED_VALUE"""),14.415999999999999)</f>
        <v>14.416</v>
      </c>
      <c r="BP446" s="71">
        <f>IFERROR(__xludf.DUMMYFUNCTION("""COMPUTED_VALUE"""),104.51599999999999)</f>
        <v>104.516</v>
      </c>
      <c r="BQ446" s="71">
        <f>IFERROR(__xludf.DUMMYFUNCTION("""COMPUTED_VALUE"""),87.97999999999999)</f>
        <v>87.98</v>
      </c>
      <c r="BR446" s="71">
        <f>IFERROR(__xludf.DUMMYFUNCTION("""COMPUTED_VALUE"""),14.076799999999999)</f>
        <v>14.0768</v>
      </c>
      <c r="BS446" s="71">
        <f>IFERROR(__xludf.DUMMYFUNCTION("""COMPUTED_VALUE"""),102.05679999999998)</f>
        <v>102.0568</v>
      </c>
      <c r="BT446" s="71">
        <f>IFERROR(__xludf.DUMMYFUNCTION("""COMPUTED_VALUE"""),84.80000000000001)</f>
        <v>84.8</v>
      </c>
      <c r="BU446" s="71">
        <f>IFERROR(__xludf.DUMMYFUNCTION("""COMPUTED_VALUE"""),13.568000000000001)</f>
        <v>13.568</v>
      </c>
      <c r="BV446" s="71">
        <f>IFERROR(__xludf.DUMMYFUNCTION("""COMPUTED_VALUE"""),98.36800000000001)</f>
        <v>98.368</v>
      </c>
    </row>
    <row r="447">
      <c r="A447" s="53"/>
      <c r="B447" s="53">
        <v>3.0</v>
      </c>
      <c r="C447" s="53" t="s">
        <v>36</v>
      </c>
      <c r="D447" s="121" t="s">
        <v>1134</v>
      </c>
      <c r="E447" s="54" t="s">
        <v>38</v>
      </c>
      <c r="F447" s="55" t="s">
        <v>61</v>
      </c>
      <c r="G447" s="101" t="s">
        <v>1135</v>
      </c>
      <c r="H447" s="55"/>
      <c r="I447" s="54">
        <f t="shared" si="1"/>
        <v>0</v>
      </c>
      <c r="J447" s="56"/>
      <c r="K447" s="57"/>
      <c r="L447" s="76"/>
      <c r="M447" s="59"/>
      <c r="N447" s="60"/>
      <c r="O447" s="61">
        <v>23363.0</v>
      </c>
      <c r="P447" s="62">
        <v>25232.04</v>
      </c>
      <c r="Q447" s="63">
        <v>25232.04</v>
      </c>
      <c r="R447" s="64">
        <v>27819.0</v>
      </c>
      <c r="S447" s="107">
        <v>29210.0</v>
      </c>
      <c r="T447" s="65">
        <f t="shared" si="2"/>
        <v>4673.6</v>
      </c>
      <c r="U447" s="65">
        <f t="shared" si="3"/>
        <v>33883.6</v>
      </c>
      <c r="V447" s="66">
        <f t="shared" si="4"/>
        <v>0.05000179733</v>
      </c>
      <c r="W447" s="67">
        <f t="shared" si="5"/>
        <v>27749.5</v>
      </c>
      <c r="X447" s="67">
        <f t="shared" si="6"/>
        <v>4439.92</v>
      </c>
      <c r="Y447" s="67">
        <f t="shared" si="7"/>
        <v>32189.42</v>
      </c>
      <c r="Z447" s="67">
        <f t="shared" si="8"/>
        <v>26289</v>
      </c>
      <c r="AA447" s="67">
        <f t="shared" si="9"/>
        <v>4206.24</v>
      </c>
      <c r="AB447" s="67">
        <f t="shared" si="10"/>
        <v>30495.24</v>
      </c>
      <c r="AC447" s="67">
        <f t="shared" si="11"/>
        <v>26289</v>
      </c>
      <c r="AD447" s="67">
        <f t="shared" si="12"/>
        <v>4206.24</v>
      </c>
      <c r="AE447" s="67">
        <f t="shared" si="13"/>
        <v>30495.24</v>
      </c>
      <c r="AF447" s="67">
        <f t="shared" si="14"/>
        <v>26289</v>
      </c>
      <c r="AG447" s="67">
        <f t="shared" si="15"/>
        <v>4206.24</v>
      </c>
      <c r="AH447" s="67">
        <f t="shared" si="16"/>
        <v>30495.24</v>
      </c>
      <c r="AI447" s="67">
        <f t="shared" si="17"/>
        <v>26289</v>
      </c>
      <c r="AJ447" s="68">
        <f t="shared" si="20"/>
        <v>4206.24</v>
      </c>
      <c r="AK447" s="68">
        <f t="shared" si="21"/>
        <v>30495.24</v>
      </c>
      <c r="AL447" s="70">
        <f>IFERROR(__xludf.DUMMYFUNCTION("""COMPUTED_VALUE"""),1.0)</f>
        <v>1</v>
      </c>
      <c r="AM447" s="70"/>
      <c r="AN447" s="71" t="str">
        <f>IFERROR(__xludf.DUMMYFUNCTION("""COMPUTED_VALUE""")," P")</f>
        <v>P</v>
      </c>
      <c r="AO447" s="71" t="str">
        <f>IFERROR(__xludf.DUMMYFUNCTION("""COMPUTED_VALUE""")," CH12")</f>
        <v>CH12</v>
      </c>
      <c r="AP447" s="71" t="str">
        <f>IFERROR(__xludf.DUMMYFUNCTION("""COMPUTED_VALUE""")," PZA")</f>
        <v>PZA</v>
      </c>
      <c r="AQ447" s="71" t="str">
        <f>IFERROR(__xludf.DUMMYFUNCTION("""COMPUTED_VALUE""")," REF")</f>
        <v>REF</v>
      </c>
      <c r="AR447" s="71" t="str">
        <f>IFERROR(__xludf.DUMMYFUNCTION("""COMPUTED_VALUE""")," CHUMACERA DE ACEITE PARA RODILLO TV-50 (B.C.)")</f>
        <v>CHUMACERA DE ACEITE PARA RODILLO TV-50 (B.C.)</v>
      </c>
      <c r="AS447" s="71" t="str">
        <f>IFERROR(__xludf.DUMMYFUNCTION("""COMPUTED_VALUE""")," CHUMACERA DE ACEITE PARA RODILLO TV50 BC")</f>
        <v>CHUMACERA DE ACEITE PARA RODILLO TV50 BC</v>
      </c>
      <c r="AT447" s="71">
        <f>IFERROR(__xludf.DUMMYFUNCTION("""COMPUTED_VALUE"""),40.0)</f>
        <v>40</v>
      </c>
      <c r="AU447" s="71"/>
      <c r="AV447" s="71"/>
      <c r="AW447" s="71"/>
      <c r="AX447" s="71"/>
      <c r="AY447" s="71">
        <f>IFERROR(__xludf.DUMMYFUNCTION("""COMPUTED_VALUE"""),179.0)</f>
        <v>179</v>
      </c>
      <c r="AZ447" s="71">
        <f>IFERROR(__xludf.DUMMYFUNCTION("""COMPUTED_VALUE"""),193.0)</f>
        <v>193</v>
      </c>
      <c r="BA447" s="71">
        <f>IFERROR(__xludf.DUMMYFUNCTION("""COMPUTED_VALUE"""),208.44000000000003)</f>
        <v>208.44</v>
      </c>
      <c r="BB447" s="71">
        <f>IFERROR(__xludf.DUMMYFUNCTION("""COMPUTED_VALUE"""),208.44000000000003)</f>
        <v>208.44</v>
      </c>
      <c r="BC447" s="71">
        <f>IFERROR(__xludf.DUMMYFUNCTION("""COMPUTED_VALUE"""),233.0)</f>
        <v>233</v>
      </c>
      <c r="BD447" s="71">
        <f>IFERROR(__xludf.DUMMYFUNCTION("""COMPUTED_VALUE"""),245.0)</f>
        <v>245</v>
      </c>
      <c r="BE447" s="71">
        <f>IFERROR(__xludf.DUMMYFUNCTION("""COMPUTED_VALUE"""),39.2)</f>
        <v>39.2</v>
      </c>
      <c r="BF447" s="71">
        <f>IFERROR(__xludf.DUMMYFUNCTION("""COMPUTED_VALUE"""),284.2)</f>
        <v>284.2</v>
      </c>
      <c r="BG447" s="71">
        <f>IFERROR(__xludf.DUMMYFUNCTION("""COMPUTED_VALUE"""),0.05150214592274678)</f>
        <v>0.05150214592</v>
      </c>
      <c r="BH447" s="71">
        <f>IFERROR(__xludf.DUMMYFUNCTION("""COMPUTED_VALUE"""),232.75)</f>
        <v>232.75</v>
      </c>
      <c r="BI447" s="71">
        <f>IFERROR(__xludf.DUMMYFUNCTION("""COMPUTED_VALUE"""),37.24)</f>
        <v>37.24</v>
      </c>
      <c r="BJ447" s="71">
        <f>IFERROR(__xludf.DUMMYFUNCTION("""COMPUTED_VALUE"""),269.99)</f>
        <v>269.99</v>
      </c>
      <c r="BK447" s="71">
        <f>IFERROR(__xludf.DUMMYFUNCTION("""COMPUTED_VALUE"""),220.5)</f>
        <v>220.5</v>
      </c>
      <c r="BL447" s="71">
        <f>IFERROR(__xludf.DUMMYFUNCTION("""COMPUTED_VALUE"""),35.28)</f>
        <v>35.28</v>
      </c>
      <c r="BM447" s="71">
        <f>IFERROR(__xludf.DUMMYFUNCTION("""COMPUTED_VALUE"""),255.78)</f>
        <v>255.78</v>
      </c>
      <c r="BN447" s="71">
        <f>IFERROR(__xludf.DUMMYFUNCTION("""COMPUTED_VALUE"""),208.25)</f>
        <v>208.25</v>
      </c>
      <c r="BO447" s="71">
        <f>IFERROR(__xludf.DUMMYFUNCTION("""COMPUTED_VALUE"""),33.32)</f>
        <v>33.32</v>
      </c>
      <c r="BP447" s="71">
        <f>IFERROR(__xludf.DUMMYFUNCTION("""COMPUTED_VALUE"""),241.57)</f>
        <v>241.57</v>
      </c>
      <c r="BQ447" s="71">
        <f>IFERROR(__xludf.DUMMYFUNCTION("""COMPUTED_VALUE"""),203.35)</f>
        <v>203.35</v>
      </c>
      <c r="BR447" s="71">
        <f>IFERROR(__xludf.DUMMYFUNCTION("""COMPUTED_VALUE"""),32.536)</f>
        <v>32.536</v>
      </c>
      <c r="BS447" s="71">
        <f>IFERROR(__xludf.DUMMYFUNCTION("""COMPUTED_VALUE"""),235.886)</f>
        <v>235.886</v>
      </c>
      <c r="BT447" s="71">
        <f>IFERROR(__xludf.DUMMYFUNCTION("""COMPUTED_VALUE"""),196.0)</f>
        <v>196</v>
      </c>
      <c r="BU447" s="71">
        <f>IFERROR(__xludf.DUMMYFUNCTION("""COMPUTED_VALUE"""),31.36)</f>
        <v>31.36</v>
      </c>
      <c r="BV447" s="71">
        <f>IFERROR(__xludf.DUMMYFUNCTION("""COMPUTED_VALUE"""),227.36)</f>
        <v>227.36</v>
      </c>
    </row>
    <row r="448">
      <c r="A448" s="53"/>
      <c r="B448" s="53">
        <v>3.0</v>
      </c>
      <c r="C448" s="53" t="s">
        <v>36</v>
      </c>
      <c r="D448" s="85" t="s">
        <v>1136</v>
      </c>
      <c r="E448" s="54" t="s">
        <v>38</v>
      </c>
      <c r="F448" s="55" t="s">
        <v>96</v>
      </c>
      <c r="G448" s="84" t="s">
        <v>1137</v>
      </c>
      <c r="H448" s="84"/>
      <c r="I448" s="54">
        <f t="shared" si="1"/>
        <v>0</v>
      </c>
      <c r="J448" s="102"/>
      <c r="K448" s="102"/>
      <c r="L448" s="76"/>
      <c r="M448" s="59"/>
      <c r="N448" s="60"/>
      <c r="O448" s="100">
        <v>65898.0</v>
      </c>
      <c r="P448" s="62">
        <v>71169.84000000001</v>
      </c>
      <c r="Q448" s="63">
        <v>71169.84000000001</v>
      </c>
      <c r="R448" s="64">
        <v>78466.0</v>
      </c>
      <c r="S448" s="107">
        <v>82389.0</v>
      </c>
      <c r="T448" s="65">
        <f t="shared" si="2"/>
        <v>13182.24</v>
      </c>
      <c r="U448" s="65">
        <f t="shared" si="3"/>
        <v>95571.24</v>
      </c>
      <c r="V448" s="66">
        <f t="shared" si="4"/>
        <v>0.04999617669</v>
      </c>
      <c r="W448" s="67">
        <f t="shared" si="5"/>
        <v>78269.55</v>
      </c>
      <c r="X448" s="67">
        <f t="shared" si="6"/>
        <v>12523.128</v>
      </c>
      <c r="Y448" s="67">
        <f t="shared" si="7"/>
        <v>90792.678</v>
      </c>
      <c r="Z448" s="67">
        <f t="shared" si="8"/>
        <v>74150.1</v>
      </c>
      <c r="AA448" s="67">
        <f t="shared" si="9"/>
        <v>11864.016</v>
      </c>
      <c r="AB448" s="67">
        <f t="shared" si="10"/>
        <v>86014.116</v>
      </c>
      <c r="AC448" s="67">
        <f t="shared" si="11"/>
        <v>74150.1</v>
      </c>
      <c r="AD448" s="67">
        <f t="shared" si="12"/>
        <v>11864.016</v>
      </c>
      <c r="AE448" s="67">
        <f t="shared" si="13"/>
        <v>86014.116</v>
      </c>
      <c r="AF448" s="67">
        <f t="shared" si="14"/>
        <v>74150.1</v>
      </c>
      <c r="AG448" s="67">
        <f t="shared" si="15"/>
        <v>11864.016</v>
      </c>
      <c r="AH448" s="67">
        <f t="shared" si="16"/>
        <v>86014.116</v>
      </c>
      <c r="AI448" s="67">
        <f t="shared" si="17"/>
        <v>74150.1</v>
      </c>
      <c r="AJ448" s="68">
        <f t="shared" si="20"/>
        <v>11864.016</v>
      </c>
      <c r="AK448" s="68">
        <f t="shared" si="21"/>
        <v>86014.116</v>
      </c>
      <c r="AL448" s="70">
        <f>IFERROR(__xludf.DUMMYFUNCTION("""COMPUTED_VALUE"""),1.0)</f>
        <v>1</v>
      </c>
      <c r="AM448" s="70"/>
      <c r="AN448" s="71" t="str">
        <f>IFERROR(__xludf.DUMMYFUNCTION("""COMPUTED_VALUE""")," P")</f>
        <v>P</v>
      </c>
      <c r="AO448" s="71" t="str">
        <f>IFERROR(__xludf.DUMMYFUNCTION("""COMPUTED_VALUE""")," CH13")</f>
        <v>CH13</v>
      </c>
      <c r="AP448" s="71" t="str">
        <f>IFERROR(__xludf.DUMMYFUNCTION("""COMPUTED_VALUE""")," PZA")</f>
        <v>PZA</v>
      </c>
      <c r="AQ448" s="71" t="str">
        <f>IFERROR(__xludf.DUMMYFUNCTION("""COMPUTED_VALUE""")," REF")</f>
        <v>REF</v>
      </c>
      <c r="AR448" s="71" t="str">
        <f>IFERROR(__xludf.DUMMYFUNCTION("""COMPUTED_VALUE""")," CHUMACERA DE BASE PLANA PARA RODILLO MODELO ANTERIOR")</f>
        <v>CHUMACERA DE BASE PLANA PARA RODILLO MODELO ANTERIOR</v>
      </c>
      <c r="AS448" s="71" t="str">
        <f>IFERROR(__xludf.DUMMYFUNCTION("""COMPUTED_VALUE""")," CHUMACERA DE BASE PLANA PARA RODILLO MA")</f>
        <v>CHUMACERA DE BASE PLANA PARA RODILLO MA</v>
      </c>
      <c r="AT448" s="71">
        <f>IFERROR(__xludf.DUMMYFUNCTION("""COMPUTED_VALUE"""),39.0)</f>
        <v>39</v>
      </c>
      <c r="AU448" s="71"/>
      <c r="AV448" s="71"/>
      <c r="AW448" s="71"/>
      <c r="AX448" s="71"/>
      <c r="AY448" s="71">
        <f>IFERROR(__xludf.DUMMYFUNCTION("""COMPUTED_VALUE"""),133.0)</f>
        <v>133</v>
      </c>
      <c r="AZ448" s="71">
        <f>IFERROR(__xludf.DUMMYFUNCTION("""COMPUTED_VALUE"""),143.0)</f>
        <v>143</v>
      </c>
      <c r="BA448" s="71">
        <f>IFERROR(__xludf.DUMMYFUNCTION("""COMPUTED_VALUE"""),154.44)</f>
        <v>154.44</v>
      </c>
      <c r="BB448" s="71">
        <f>IFERROR(__xludf.DUMMYFUNCTION("""COMPUTED_VALUE"""),154.44)</f>
        <v>154.44</v>
      </c>
      <c r="BC448" s="71">
        <f>IFERROR(__xludf.DUMMYFUNCTION("""COMPUTED_VALUE"""),173.0)</f>
        <v>173</v>
      </c>
      <c r="BD448" s="71">
        <f>IFERROR(__xludf.DUMMYFUNCTION("""COMPUTED_VALUE"""),182.0)</f>
        <v>182</v>
      </c>
      <c r="BE448" s="71">
        <f>IFERROR(__xludf.DUMMYFUNCTION("""COMPUTED_VALUE"""),29.12)</f>
        <v>29.12</v>
      </c>
      <c r="BF448" s="71">
        <f>IFERROR(__xludf.DUMMYFUNCTION("""COMPUTED_VALUE"""),211.12)</f>
        <v>211.12</v>
      </c>
      <c r="BG448" s="71">
        <f>IFERROR(__xludf.DUMMYFUNCTION("""COMPUTED_VALUE"""),0.05202312138728324)</f>
        <v>0.05202312139</v>
      </c>
      <c r="BH448" s="71">
        <f>IFERROR(__xludf.DUMMYFUNCTION("""COMPUTED_VALUE"""),172.9)</f>
        <v>172.9</v>
      </c>
      <c r="BI448" s="71">
        <f>IFERROR(__xludf.DUMMYFUNCTION("""COMPUTED_VALUE"""),27.664)</f>
        <v>27.664</v>
      </c>
      <c r="BJ448" s="71">
        <f>IFERROR(__xludf.DUMMYFUNCTION("""COMPUTED_VALUE"""),200.56400000000002)</f>
        <v>200.564</v>
      </c>
      <c r="BK448" s="71">
        <f>IFERROR(__xludf.DUMMYFUNCTION("""COMPUTED_VALUE"""),163.8)</f>
        <v>163.8</v>
      </c>
      <c r="BL448" s="71">
        <f>IFERROR(__xludf.DUMMYFUNCTION("""COMPUTED_VALUE"""),26.208000000000002)</f>
        <v>26.208</v>
      </c>
      <c r="BM448" s="71">
        <f>IFERROR(__xludf.DUMMYFUNCTION("""COMPUTED_VALUE"""),190.008)</f>
        <v>190.008</v>
      </c>
      <c r="BN448" s="71">
        <f>IFERROR(__xludf.DUMMYFUNCTION("""COMPUTED_VALUE"""),154.7)</f>
        <v>154.7</v>
      </c>
      <c r="BO448" s="71">
        <f>IFERROR(__xludf.DUMMYFUNCTION("""COMPUTED_VALUE"""),24.752)</f>
        <v>24.752</v>
      </c>
      <c r="BP448" s="71">
        <f>IFERROR(__xludf.DUMMYFUNCTION("""COMPUTED_VALUE"""),179.452)</f>
        <v>179.452</v>
      </c>
      <c r="BQ448" s="71">
        <f>IFERROR(__xludf.DUMMYFUNCTION("""COMPUTED_VALUE"""),151.06)</f>
        <v>151.06</v>
      </c>
      <c r="BR448" s="71">
        <f>IFERROR(__xludf.DUMMYFUNCTION("""COMPUTED_VALUE"""),24.169600000000003)</f>
        <v>24.1696</v>
      </c>
      <c r="BS448" s="71">
        <f>IFERROR(__xludf.DUMMYFUNCTION("""COMPUTED_VALUE"""),175.2296)</f>
        <v>175.2296</v>
      </c>
      <c r="BT448" s="71">
        <f>IFERROR(__xludf.DUMMYFUNCTION("""COMPUTED_VALUE"""),145.6)</f>
        <v>145.6</v>
      </c>
      <c r="BU448" s="71">
        <f>IFERROR(__xludf.DUMMYFUNCTION("""COMPUTED_VALUE"""),23.296)</f>
        <v>23.296</v>
      </c>
      <c r="BV448" s="71">
        <f>IFERROR(__xludf.DUMMYFUNCTION("""COMPUTED_VALUE"""),168.896)</f>
        <v>168.896</v>
      </c>
    </row>
    <row r="449">
      <c r="A449" s="53"/>
      <c r="B449" s="53">
        <v>3.0</v>
      </c>
      <c r="C449" s="53" t="s">
        <v>36</v>
      </c>
      <c r="D449" s="74" t="s">
        <v>1138</v>
      </c>
      <c r="E449" s="54" t="s">
        <v>38</v>
      </c>
      <c r="F449" s="55" t="s">
        <v>96</v>
      </c>
      <c r="G449" s="81" t="s">
        <v>1139</v>
      </c>
      <c r="H449" s="81"/>
      <c r="I449" s="54">
        <f t="shared" si="1"/>
        <v>0</v>
      </c>
      <c r="J449" s="99"/>
      <c r="K449" s="99"/>
      <c r="L449" s="76"/>
      <c r="M449" s="59"/>
      <c r="N449" s="60"/>
      <c r="O449" s="100">
        <v>94346.0</v>
      </c>
      <c r="P449" s="62">
        <v>101893.68000000001</v>
      </c>
      <c r="Q449" s="63">
        <v>101893.68000000001</v>
      </c>
      <c r="R449" s="64">
        <v>112339.0</v>
      </c>
      <c r="S449" s="107">
        <v>117956.0</v>
      </c>
      <c r="T449" s="65">
        <f t="shared" si="2"/>
        <v>18872.96</v>
      </c>
      <c r="U449" s="65">
        <f t="shared" si="3"/>
        <v>136828.96</v>
      </c>
      <c r="V449" s="66">
        <f t="shared" si="4"/>
        <v>0.05000044508</v>
      </c>
      <c r="W449" s="67">
        <f t="shared" si="5"/>
        <v>112058.2</v>
      </c>
      <c r="X449" s="67">
        <f t="shared" si="6"/>
        <v>17929.312</v>
      </c>
      <c r="Y449" s="67">
        <f t="shared" si="7"/>
        <v>129987.512</v>
      </c>
      <c r="Z449" s="67">
        <f t="shared" si="8"/>
        <v>106160.4</v>
      </c>
      <c r="AA449" s="67">
        <f t="shared" si="9"/>
        <v>16985.664</v>
      </c>
      <c r="AB449" s="67">
        <f t="shared" si="10"/>
        <v>123146.064</v>
      </c>
      <c r="AC449" s="67">
        <f t="shared" si="11"/>
        <v>106160.4</v>
      </c>
      <c r="AD449" s="67">
        <f t="shared" si="12"/>
        <v>16985.664</v>
      </c>
      <c r="AE449" s="67">
        <f t="shared" si="13"/>
        <v>123146.064</v>
      </c>
      <c r="AF449" s="67">
        <f t="shared" si="14"/>
        <v>106160.4</v>
      </c>
      <c r="AG449" s="67">
        <f t="shared" si="15"/>
        <v>16985.664</v>
      </c>
      <c r="AH449" s="67">
        <f t="shared" si="16"/>
        <v>123146.064</v>
      </c>
      <c r="AI449" s="67">
        <f t="shared" si="17"/>
        <v>106160.4</v>
      </c>
      <c r="AJ449" s="68">
        <f t="shared" si="20"/>
        <v>16985.664</v>
      </c>
      <c r="AK449" s="68">
        <f t="shared" si="21"/>
        <v>123146.064</v>
      </c>
      <c r="AL449" s="70">
        <f>IFERROR(__xludf.DUMMYFUNCTION("""COMPUTED_VALUE"""),1.0)</f>
        <v>1</v>
      </c>
      <c r="AM449" s="70"/>
      <c r="AN449" s="71" t="str">
        <f>IFERROR(__xludf.DUMMYFUNCTION("""COMPUTED_VALUE""")," P")</f>
        <v>P</v>
      </c>
      <c r="AO449" s="71" t="str">
        <f>IFERROR(__xludf.DUMMYFUNCTION("""COMPUTED_VALUE""")," CH14")</f>
        <v>CH14</v>
      </c>
      <c r="AP449" s="71" t="str">
        <f>IFERROR(__xludf.DUMMYFUNCTION("""COMPUTED_VALUE""")," PZA")</f>
        <v>PZA</v>
      </c>
      <c r="AQ449" s="71" t="str">
        <f>IFERROR(__xludf.DUMMYFUNCTION("""COMPUTED_VALUE""")," REF")</f>
        <v>REF</v>
      </c>
      <c r="AR449" s="71" t="str">
        <f>IFERROR(__xludf.DUMMYFUNCTION("""COMPUTED_VALUE""")," CHUMACERA DE BRONCE ARMADA PARA TRANSPORTADOR")</f>
        <v>CHUMACERA DE BRONCE ARMADA PARA TRANSPORTADOR</v>
      </c>
      <c r="AS449" s="71" t="str">
        <f>IFERROR(__xludf.DUMMYFUNCTION("""COMPUTED_VALUE""")," CHUMACERA BRONCE ARM PARA TRANSPORTADOR")</f>
        <v>CHUMACERA BRONCE ARM PARA TRANSPORTADOR</v>
      </c>
      <c r="AT449" s="71">
        <f>IFERROR(__xludf.DUMMYFUNCTION("""COMPUTED_VALUE"""),39.0)</f>
        <v>39</v>
      </c>
      <c r="AU449" s="71"/>
      <c r="AV449" s="71"/>
      <c r="AW449" s="71"/>
      <c r="AX449" s="71"/>
      <c r="AY449" s="71">
        <f>IFERROR(__xludf.DUMMYFUNCTION("""COMPUTED_VALUE"""),850.0)</f>
        <v>850</v>
      </c>
      <c r="AZ449" s="71">
        <f>IFERROR(__xludf.DUMMYFUNCTION("""COMPUTED_VALUE"""),918.0)</f>
        <v>918</v>
      </c>
      <c r="BA449" s="71">
        <f>IFERROR(__xludf.DUMMYFUNCTION("""COMPUTED_VALUE"""),991.44)</f>
        <v>991.44</v>
      </c>
      <c r="BB449" s="71">
        <f>IFERROR(__xludf.DUMMYFUNCTION("""COMPUTED_VALUE"""),991.44)</f>
        <v>991.44</v>
      </c>
      <c r="BC449" s="71">
        <f>IFERROR(__xludf.DUMMYFUNCTION("""COMPUTED_VALUE"""),1095.0)</f>
        <v>1095</v>
      </c>
      <c r="BD449" s="71">
        <f>IFERROR(__xludf.DUMMYFUNCTION("""COMPUTED_VALUE"""),1150.0)</f>
        <v>1150</v>
      </c>
      <c r="BE449" s="71">
        <f>IFERROR(__xludf.DUMMYFUNCTION("""COMPUTED_VALUE"""),184.0)</f>
        <v>184</v>
      </c>
      <c r="BF449" s="71">
        <f>IFERROR(__xludf.DUMMYFUNCTION("""COMPUTED_VALUE"""),1334.0)</f>
        <v>1334</v>
      </c>
      <c r="BG449" s="71">
        <f>IFERROR(__xludf.DUMMYFUNCTION("""COMPUTED_VALUE"""),0.0502283105022831)</f>
        <v>0.0502283105</v>
      </c>
      <c r="BH449" s="71">
        <f>IFERROR(__xludf.DUMMYFUNCTION("""COMPUTED_VALUE"""),1092.5)</f>
        <v>1092.5</v>
      </c>
      <c r="BI449" s="71">
        <f>IFERROR(__xludf.DUMMYFUNCTION("""COMPUTED_VALUE"""),174.8)</f>
        <v>174.8</v>
      </c>
      <c r="BJ449" s="71">
        <f>IFERROR(__xludf.DUMMYFUNCTION("""COMPUTED_VALUE"""),1267.3)</f>
        <v>1267.3</v>
      </c>
      <c r="BK449" s="71">
        <f>IFERROR(__xludf.DUMMYFUNCTION("""COMPUTED_VALUE"""),1035.0)</f>
        <v>1035</v>
      </c>
      <c r="BL449" s="71">
        <f>IFERROR(__xludf.DUMMYFUNCTION("""COMPUTED_VALUE"""),165.6)</f>
        <v>165.6</v>
      </c>
      <c r="BM449" s="71">
        <f>IFERROR(__xludf.DUMMYFUNCTION("""COMPUTED_VALUE"""),1200.6)</f>
        <v>1200.6</v>
      </c>
      <c r="BN449" s="71">
        <f>IFERROR(__xludf.DUMMYFUNCTION("""COMPUTED_VALUE"""),977.5)</f>
        <v>977.5</v>
      </c>
      <c r="BO449" s="71">
        <f>IFERROR(__xludf.DUMMYFUNCTION("""COMPUTED_VALUE"""),156.4)</f>
        <v>156.4</v>
      </c>
      <c r="BP449" s="71">
        <f>IFERROR(__xludf.DUMMYFUNCTION("""COMPUTED_VALUE"""),1133.9)</f>
        <v>1133.9</v>
      </c>
      <c r="BQ449" s="71">
        <f>IFERROR(__xludf.DUMMYFUNCTION("""COMPUTED_VALUE"""),954.5)</f>
        <v>954.5</v>
      </c>
      <c r="BR449" s="71">
        <f>IFERROR(__xludf.DUMMYFUNCTION("""COMPUTED_VALUE"""),152.72)</f>
        <v>152.72</v>
      </c>
      <c r="BS449" s="71">
        <f>IFERROR(__xludf.DUMMYFUNCTION("""COMPUTED_VALUE"""),1107.22)</f>
        <v>1107.22</v>
      </c>
      <c r="BT449" s="71">
        <f>IFERROR(__xludf.DUMMYFUNCTION("""COMPUTED_VALUE"""),920.0)</f>
        <v>920</v>
      </c>
      <c r="BU449" s="71">
        <f>IFERROR(__xludf.DUMMYFUNCTION("""COMPUTED_VALUE"""),147.20000000000002)</f>
        <v>147.2</v>
      </c>
      <c r="BV449" s="71">
        <f>IFERROR(__xludf.DUMMYFUNCTION("""COMPUTED_VALUE"""),1067.2)</f>
        <v>1067.2</v>
      </c>
    </row>
    <row r="450">
      <c r="A450" s="53"/>
      <c r="B450" s="53">
        <v>3.0</v>
      </c>
      <c r="C450" s="53" t="s">
        <v>36</v>
      </c>
      <c r="D450" s="85" t="s">
        <v>1140</v>
      </c>
      <c r="E450" s="54" t="s">
        <v>38</v>
      </c>
      <c r="F450" s="55" t="s">
        <v>96</v>
      </c>
      <c r="G450" s="84" t="s">
        <v>1141</v>
      </c>
      <c r="H450" s="84"/>
      <c r="I450" s="54">
        <f t="shared" si="1"/>
        <v>0</v>
      </c>
      <c r="J450" s="102"/>
      <c r="K450" s="102"/>
      <c r="L450" s="76"/>
      <c r="M450" s="59"/>
      <c r="N450" s="60"/>
      <c r="O450" s="100">
        <v>95977.0</v>
      </c>
      <c r="P450" s="62">
        <v>103655.16</v>
      </c>
      <c r="Q450" s="63">
        <v>103655.16</v>
      </c>
      <c r="R450" s="64">
        <v>114280.0</v>
      </c>
      <c r="S450" s="107">
        <v>119994.0</v>
      </c>
      <c r="T450" s="65">
        <f t="shared" si="2"/>
        <v>19199.04</v>
      </c>
      <c r="U450" s="65">
        <f t="shared" si="3"/>
        <v>139193.04</v>
      </c>
      <c r="V450" s="66">
        <f t="shared" si="4"/>
        <v>0.05</v>
      </c>
      <c r="W450" s="67">
        <f t="shared" si="5"/>
        <v>113994.3</v>
      </c>
      <c r="X450" s="67">
        <f t="shared" si="6"/>
        <v>18239.088</v>
      </c>
      <c r="Y450" s="67">
        <f t="shared" si="7"/>
        <v>132233.388</v>
      </c>
      <c r="Z450" s="67">
        <f t="shared" si="8"/>
        <v>107994.6</v>
      </c>
      <c r="AA450" s="67">
        <f t="shared" si="9"/>
        <v>17279.136</v>
      </c>
      <c r="AB450" s="67">
        <f t="shared" si="10"/>
        <v>125273.736</v>
      </c>
      <c r="AC450" s="67">
        <f t="shared" si="11"/>
        <v>107994.6</v>
      </c>
      <c r="AD450" s="67">
        <f t="shared" si="12"/>
        <v>17279.136</v>
      </c>
      <c r="AE450" s="67">
        <f t="shared" si="13"/>
        <v>125273.736</v>
      </c>
      <c r="AF450" s="67">
        <f t="shared" si="14"/>
        <v>107994.6</v>
      </c>
      <c r="AG450" s="67">
        <f t="shared" si="15"/>
        <v>17279.136</v>
      </c>
      <c r="AH450" s="67">
        <f t="shared" si="16"/>
        <v>125273.736</v>
      </c>
      <c r="AI450" s="67">
        <f t="shared" si="17"/>
        <v>107994.6</v>
      </c>
      <c r="AJ450" s="68">
        <f t="shared" si="20"/>
        <v>17279.136</v>
      </c>
      <c r="AK450" s="68">
        <f t="shared" si="21"/>
        <v>125273.736</v>
      </c>
      <c r="AL450" s="70">
        <f>IFERROR(__xludf.DUMMYFUNCTION("""COMPUTED_VALUE"""),1.0)</f>
        <v>1</v>
      </c>
      <c r="AM450" s="70"/>
      <c r="AN450" s="71" t="str">
        <f>IFERROR(__xludf.DUMMYFUNCTION("""COMPUTED_VALUE""")," P")</f>
        <v>P</v>
      </c>
      <c r="AO450" s="71" t="str">
        <f>IFERROR(__xludf.DUMMYFUNCTION("""COMPUTED_VALUE""")," CH15")</f>
        <v>CH15</v>
      </c>
      <c r="AP450" s="71" t="str">
        <f>IFERROR(__xludf.DUMMYFUNCTION("""COMPUTED_VALUE""")," PZA")</f>
        <v>PZA</v>
      </c>
      <c r="AQ450" s="71" t="str">
        <f>IFERROR(__xludf.DUMMYFUNCTION("""COMPUTED_VALUE""")," REF")</f>
        <v>REF</v>
      </c>
      <c r="AR450" s="71" t="str">
        <f>IFERROR(__xludf.DUMMYFUNCTION("""COMPUTED_VALUE""")," CHUMACERA DE BRONCE SOLA PARA TRANSPORTADOR")</f>
        <v>CHUMACERA DE BRONCE SOLA PARA TRANSPORTADOR</v>
      </c>
      <c r="AS450" s="71" t="str">
        <f>IFERROR(__xludf.DUMMYFUNCTION("""COMPUTED_VALUE""")," CHUMACERA BRONCE SOLA PARA TRANSPORTADOR")</f>
        <v>CHUMACERA BRONCE SOLA PARA TRANSPORTADOR</v>
      </c>
      <c r="AT450" s="71">
        <f>IFERROR(__xludf.DUMMYFUNCTION("""COMPUTED_VALUE"""),40.0)</f>
        <v>40</v>
      </c>
      <c r="AU450" s="71"/>
      <c r="AV450" s="71"/>
      <c r="AW450" s="71"/>
      <c r="AX450" s="71"/>
      <c r="AY450" s="71">
        <f>IFERROR(__xludf.DUMMYFUNCTION("""COMPUTED_VALUE"""),323.0)</f>
        <v>323</v>
      </c>
      <c r="AZ450" s="71">
        <f>IFERROR(__xludf.DUMMYFUNCTION("""COMPUTED_VALUE"""),348.0)</f>
        <v>348</v>
      </c>
      <c r="BA450" s="71">
        <f>IFERROR(__xludf.DUMMYFUNCTION("""COMPUTED_VALUE"""),375.84000000000003)</f>
        <v>375.84</v>
      </c>
      <c r="BB450" s="71">
        <f>IFERROR(__xludf.DUMMYFUNCTION("""COMPUTED_VALUE"""),375.84000000000003)</f>
        <v>375.84</v>
      </c>
      <c r="BC450" s="71">
        <f>IFERROR(__xludf.DUMMYFUNCTION("""COMPUTED_VALUE"""),419.0)</f>
        <v>419</v>
      </c>
      <c r="BD450" s="71">
        <f>IFERROR(__xludf.DUMMYFUNCTION("""COMPUTED_VALUE"""),440.0)</f>
        <v>440</v>
      </c>
      <c r="BE450" s="71">
        <f>IFERROR(__xludf.DUMMYFUNCTION("""COMPUTED_VALUE"""),70.4)</f>
        <v>70.4</v>
      </c>
      <c r="BF450" s="71">
        <f>IFERROR(__xludf.DUMMYFUNCTION("""COMPUTED_VALUE"""),510.4)</f>
        <v>510.4</v>
      </c>
      <c r="BG450" s="71">
        <f>IFERROR(__xludf.DUMMYFUNCTION("""COMPUTED_VALUE"""),0.050119331742243436)</f>
        <v>0.05011933174</v>
      </c>
      <c r="BH450" s="71">
        <f>IFERROR(__xludf.DUMMYFUNCTION("""COMPUTED_VALUE"""),418.0)</f>
        <v>418</v>
      </c>
      <c r="BI450" s="71">
        <f>IFERROR(__xludf.DUMMYFUNCTION("""COMPUTED_VALUE"""),66.88)</f>
        <v>66.88</v>
      </c>
      <c r="BJ450" s="71">
        <f>IFERROR(__xludf.DUMMYFUNCTION("""COMPUTED_VALUE"""),484.88)</f>
        <v>484.88</v>
      </c>
      <c r="BK450" s="71">
        <f>IFERROR(__xludf.DUMMYFUNCTION("""COMPUTED_VALUE"""),396.0)</f>
        <v>396</v>
      </c>
      <c r="BL450" s="71">
        <f>IFERROR(__xludf.DUMMYFUNCTION("""COMPUTED_VALUE"""),63.36)</f>
        <v>63.36</v>
      </c>
      <c r="BM450" s="71">
        <f>IFERROR(__xludf.DUMMYFUNCTION("""COMPUTED_VALUE"""),459.36)</f>
        <v>459.36</v>
      </c>
      <c r="BN450" s="71">
        <f>IFERROR(__xludf.DUMMYFUNCTION("""COMPUTED_VALUE"""),374.0)</f>
        <v>374</v>
      </c>
      <c r="BO450" s="71">
        <f>IFERROR(__xludf.DUMMYFUNCTION("""COMPUTED_VALUE"""),59.84)</f>
        <v>59.84</v>
      </c>
      <c r="BP450" s="71">
        <f>IFERROR(__xludf.DUMMYFUNCTION("""COMPUTED_VALUE"""),433.84000000000003)</f>
        <v>433.84</v>
      </c>
      <c r="BQ450" s="71">
        <f>IFERROR(__xludf.DUMMYFUNCTION("""COMPUTED_VALUE"""),365.2)</f>
        <v>365.2</v>
      </c>
      <c r="BR450" s="71">
        <f>IFERROR(__xludf.DUMMYFUNCTION("""COMPUTED_VALUE"""),58.432)</f>
        <v>58.432</v>
      </c>
      <c r="BS450" s="71">
        <f>IFERROR(__xludf.DUMMYFUNCTION("""COMPUTED_VALUE"""),423.632)</f>
        <v>423.632</v>
      </c>
      <c r="BT450" s="71">
        <f>IFERROR(__xludf.DUMMYFUNCTION("""COMPUTED_VALUE"""),352.0)</f>
        <v>352</v>
      </c>
      <c r="BU450" s="71">
        <f>IFERROR(__xludf.DUMMYFUNCTION("""COMPUTED_VALUE"""),56.32)</f>
        <v>56.32</v>
      </c>
      <c r="BV450" s="71">
        <f>IFERROR(__xludf.DUMMYFUNCTION("""COMPUTED_VALUE"""),408.32)</f>
        <v>408.32</v>
      </c>
    </row>
    <row r="451">
      <c r="A451" s="53"/>
      <c r="B451" s="53"/>
      <c r="C451" s="53" t="s">
        <v>36</v>
      </c>
      <c r="D451" s="53" t="s">
        <v>1142</v>
      </c>
      <c r="E451" s="86" t="s">
        <v>38</v>
      </c>
      <c r="F451" s="91" t="s">
        <v>96</v>
      </c>
      <c r="G451" s="84" t="s">
        <v>1143</v>
      </c>
      <c r="H451" s="84" t="s">
        <v>1144</v>
      </c>
      <c r="I451" s="54">
        <f t="shared" ref="I451:I453" si="22">IF($D$2731="","",LEN(H451))</f>
        <v>40</v>
      </c>
      <c r="J451" s="56"/>
      <c r="K451" s="57"/>
      <c r="L451" s="119"/>
      <c r="M451" s="124"/>
      <c r="N451" s="93"/>
      <c r="O451" s="61"/>
      <c r="P451" s="90"/>
      <c r="Q451" s="94"/>
      <c r="R451" s="95"/>
      <c r="S451" s="65">
        <v>39288.0</v>
      </c>
      <c r="T451" s="65">
        <f t="shared" si="2"/>
        <v>6286.08</v>
      </c>
      <c r="U451" s="65">
        <f t="shared" si="3"/>
        <v>45574.08</v>
      </c>
      <c r="V451" s="66" t="str">
        <f t="shared" si="4"/>
        <v>#DIV/0!</v>
      </c>
      <c r="W451" s="67">
        <f t="shared" si="5"/>
        <v>37323.6</v>
      </c>
      <c r="X451" s="67">
        <f t="shared" si="6"/>
        <v>5971.776</v>
      </c>
      <c r="Y451" s="67">
        <f t="shared" si="7"/>
        <v>43295.376</v>
      </c>
      <c r="Z451" s="67">
        <f t="shared" si="8"/>
        <v>35359.2</v>
      </c>
      <c r="AA451" s="67">
        <f t="shared" si="9"/>
        <v>5657.472</v>
      </c>
      <c r="AB451" s="67">
        <f t="shared" si="10"/>
        <v>41016.672</v>
      </c>
      <c r="AC451" s="67">
        <f t="shared" si="11"/>
        <v>33394.8</v>
      </c>
      <c r="AD451" s="67">
        <f t="shared" si="12"/>
        <v>5343.168</v>
      </c>
      <c r="AE451" s="67">
        <f t="shared" si="13"/>
        <v>38737.968</v>
      </c>
      <c r="AF451" s="67">
        <f t="shared" si="14"/>
        <v>32609.04</v>
      </c>
      <c r="AG451" s="67">
        <f t="shared" si="15"/>
        <v>5217.4464</v>
      </c>
      <c r="AH451" s="67">
        <f t="shared" si="16"/>
        <v>37826.4864</v>
      </c>
      <c r="AI451" s="67">
        <f t="shared" si="17"/>
        <v>31430.4</v>
      </c>
      <c r="AJ451" s="68">
        <f t="shared" si="20"/>
        <v>5028.864</v>
      </c>
      <c r="AK451" s="68">
        <f t="shared" si="21"/>
        <v>36459.264</v>
      </c>
      <c r="AL451" s="70">
        <f>IFERROR(__xludf.DUMMYFUNCTION("""COMPUTED_VALUE"""),1.0)</f>
        <v>1</v>
      </c>
      <c r="AM451" s="70"/>
      <c r="AN451" s="71" t="str">
        <f>IFERROR(__xludf.DUMMYFUNCTION("""COMPUTED_VALUE""")," P")</f>
        <v>P</v>
      </c>
      <c r="AO451" s="71" t="str">
        <f>IFERROR(__xludf.DUMMYFUNCTION("""COMPUTED_VALUE""")," CH16")</f>
        <v>CH16</v>
      </c>
      <c r="AP451" s="71" t="str">
        <f>IFERROR(__xludf.DUMMYFUNCTION("""COMPUTED_VALUE""")," PZA")</f>
        <v>PZA</v>
      </c>
      <c r="AQ451" s="71" t="str">
        <f>IFERROR(__xludf.DUMMYFUNCTION("""COMPUTED_VALUE""")," REF")</f>
        <v>REF</v>
      </c>
      <c r="AR451" s="71" t="str">
        <f>IFERROR(__xludf.DUMMYFUNCTION("""COMPUTED_VALUE""")," CHUMACERA DE CAJA PARA FLECHA DE LEVA MODELO ANTERIOR")</f>
        <v>CHUMACERA DE CAJA PARA FLECHA DE LEVA MODELO ANTERIOR</v>
      </c>
      <c r="AS451" s="71" t="str">
        <f>IFERROR(__xludf.DUMMYFUNCTION("""COMPUTED_VALUE""")," CHUMACERA CAJA P/FLECHA D/LEVA MA")</f>
        <v>CHUMACERA CAJA P/FLECHA D/LEVA MA</v>
      </c>
      <c r="AT451" s="71">
        <f>IFERROR(__xludf.DUMMYFUNCTION("""COMPUTED_VALUE"""),33.0)</f>
        <v>33</v>
      </c>
      <c r="AU451" s="71"/>
      <c r="AV451" s="71"/>
      <c r="AW451" s="71"/>
      <c r="AX451" s="71"/>
      <c r="AY451" s="71">
        <f>IFERROR(__xludf.DUMMYFUNCTION("""COMPUTED_VALUE"""),128.0)</f>
        <v>128</v>
      </c>
      <c r="AZ451" s="71">
        <f>IFERROR(__xludf.DUMMYFUNCTION("""COMPUTED_VALUE"""),138.0)</f>
        <v>138</v>
      </c>
      <c r="BA451" s="71">
        <f>IFERROR(__xludf.DUMMYFUNCTION("""COMPUTED_VALUE"""),149.04000000000002)</f>
        <v>149.04</v>
      </c>
      <c r="BB451" s="71">
        <f>IFERROR(__xludf.DUMMYFUNCTION("""COMPUTED_VALUE"""),149.04000000000002)</f>
        <v>149.04</v>
      </c>
      <c r="BC451" s="71">
        <f>IFERROR(__xludf.DUMMYFUNCTION("""COMPUTED_VALUE"""),166.0)</f>
        <v>166</v>
      </c>
      <c r="BD451" s="71">
        <f>IFERROR(__xludf.DUMMYFUNCTION("""COMPUTED_VALUE"""),174.0)</f>
        <v>174</v>
      </c>
      <c r="BE451" s="71">
        <f>IFERROR(__xludf.DUMMYFUNCTION("""COMPUTED_VALUE"""),27.84)</f>
        <v>27.84</v>
      </c>
      <c r="BF451" s="71">
        <f>IFERROR(__xludf.DUMMYFUNCTION("""COMPUTED_VALUE"""),201.84)</f>
        <v>201.84</v>
      </c>
      <c r="BG451" s="71">
        <f>IFERROR(__xludf.DUMMYFUNCTION("""COMPUTED_VALUE"""),0.04819277108433735)</f>
        <v>0.04819277108</v>
      </c>
      <c r="BH451" s="71">
        <f>IFERROR(__xludf.DUMMYFUNCTION("""COMPUTED_VALUE"""),165.29999999999998)</f>
        <v>165.3</v>
      </c>
      <c r="BI451" s="71">
        <f>IFERROR(__xludf.DUMMYFUNCTION("""COMPUTED_VALUE"""),26.447999999999997)</f>
        <v>26.448</v>
      </c>
      <c r="BJ451" s="71">
        <f>IFERROR(__xludf.DUMMYFUNCTION("""COMPUTED_VALUE"""),191.748)</f>
        <v>191.748</v>
      </c>
      <c r="BK451" s="71">
        <f>IFERROR(__xludf.DUMMYFUNCTION("""COMPUTED_VALUE"""),156.6)</f>
        <v>156.6</v>
      </c>
      <c r="BL451" s="71">
        <f>IFERROR(__xludf.DUMMYFUNCTION("""COMPUTED_VALUE"""),25.056)</f>
        <v>25.056</v>
      </c>
      <c r="BM451" s="71">
        <f>IFERROR(__xludf.DUMMYFUNCTION("""COMPUTED_VALUE"""),181.656)</f>
        <v>181.656</v>
      </c>
      <c r="BN451" s="71">
        <f>IFERROR(__xludf.DUMMYFUNCTION("""COMPUTED_VALUE"""),147.9)</f>
        <v>147.9</v>
      </c>
      <c r="BO451" s="71">
        <f>IFERROR(__xludf.DUMMYFUNCTION("""COMPUTED_VALUE"""),23.664)</f>
        <v>23.664</v>
      </c>
      <c r="BP451" s="71">
        <f>IFERROR(__xludf.DUMMYFUNCTION("""COMPUTED_VALUE"""),171.56400000000002)</f>
        <v>171.564</v>
      </c>
      <c r="BQ451" s="71">
        <f>IFERROR(__xludf.DUMMYFUNCTION("""COMPUTED_VALUE"""),144.42)</f>
        <v>144.42</v>
      </c>
      <c r="BR451" s="71">
        <f>IFERROR(__xludf.DUMMYFUNCTION("""COMPUTED_VALUE"""),23.1072)</f>
        <v>23.1072</v>
      </c>
      <c r="BS451" s="71">
        <f>IFERROR(__xludf.DUMMYFUNCTION("""COMPUTED_VALUE"""),167.5272)</f>
        <v>167.5272</v>
      </c>
      <c r="BT451" s="71">
        <f>IFERROR(__xludf.DUMMYFUNCTION("""COMPUTED_VALUE"""),139.20000000000002)</f>
        <v>139.2</v>
      </c>
      <c r="BU451" s="71">
        <f>IFERROR(__xludf.DUMMYFUNCTION("""COMPUTED_VALUE"""),22.272000000000002)</f>
        <v>22.272</v>
      </c>
      <c r="BV451" s="71">
        <f>IFERROR(__xludf.DUMMYFUNCTION("""COMPUTED_VALUE"""),161.472)</f>
        <v>161.472</v>
      </c>
    </row>
    <row r="452">
      <c r="A452" s="53"/>
      <c r="B452" s="53"/>
      <c r="C452" s="53" t="s">
        <v>36</v>
      </c>
      <c r="D452" s="53" t="s">
        <v>1145</v>
      </c>
      <c r="E452" s="86" t="s">
        <v>38</v>
      </c>
      <c r="F452" s="91" t="s">
        <v>96</v>
      </c>
      <c r="G452" s="84" t="s">
        <v>1146</v>
      </c>
      <c r="H452" s="84" t="s">
        <v>1147</v>
      </c>
      <c r="I452" s="54">
        <f t="shared" si="22"/>
        <v>40</v>
      </c>
      <c r="J452" s="56"/>
      <c r="K452" s="57"/>
      <c r="L452" s="119"/>
      <c r="M452" s="124"/>
      <c r="N452" s="93"/>
      <c r="O452" s="61"/>
      <c r="P452" s="90"/>
      <c r="Q452" s="94"/>
      <c r="R452" s="95"/>
      <c r="S452" s="65">
        <v>37788.0</v>
      </c>
      <c r="T452" s="65">
        <f t="shared" si="2"/>
        <v>6046.08</v>
      </c>
      <c r="U452" s="65">
        <f t="shared" si="3"/>
        <v>43834.08</v>
      </c>
      <c r="V452" s="66" t="str">
        <f t="shared" si="4"/>
        <v>#DIV/0!</v>
      </c>
      <c r="W452" s="67">
        <f t="shared" si="5"/>
        <v>35898.6</v>
      </c>
      <c r="X452" s="67">
        <f t="shared" si="6"/>
        <v>5743.776</v>
      </c>
      <c r="Y452" s="67">
        <f t="shared" si="7"/>
        <v>41642.376</v>
      </c>
      <c r="Z452" s="67">
        <f t="shared" si="8"/>
        <v>34009.2</v>
      </c>
      <c r="AA452" s="67">
        <f t="shared" si="9"/>
        <v>5441.472</v>
      </c>
      <c r="AB452" s="67">
        <f t="shared" si="10"/>
        <v>39450.672</v>
      </c>
      <c r="AC452" s="67">
        <f t="shared" si="11"/>
        <v>32119.8</v>
      </c>
      <c r="AD452" s="67">
        <f t="shared" si="12"/>
        <v>5139.168</v>
      </c>
      <c r="AE452" s="67">
        <f t="shared" si="13"/>
        <v>37258.968</v>
      </c>
      <c r="AF452" s="67">
        <f t="shared" si="14"/>
        <v>31364.04</v>
      </c>
      <c r="AG452" s="67">
        <f t="shared" si="15"/>
        <v>5018.2464</v>
      </c>
      <c r="AH452" s="67">
        <f t="shared" si="16"/>
        <v>36382.2864</v>
      </c>
      <c r="AI452" s="67">
        <f t="shared" si="17"/>
        <v>30230.4</v>
      </c>
      <c r="AJ452" s="68">
        <f t="shared" si="20"/>
        <v>4836.864</v>
      </c>
      <c r="AK452" s="68">
        <f t="shared" si="21"/>
        <v>35067.264</v>
      </c>
      <c r="AL452" s="70">
        <f>IFERROR(__xludf.DUMMYFUNCTION("""COMPUTED_VALUE"""),1.0)</f>
        <v>1</v>
      </c>
      <c r="AM452" s="70"/>
      <c r="AN452" s="71" t="str">
        <f>IFERROR(__xludf.DUMMYFUNCTION("""COMPUTED_VALUE""")," P")</f>
        <v>P</v>
      </c>
      <c r="AO452" s="71" t="str">
        <f>IFERROR(__xludf.DUMMYFUNCTION("""COMPUTED_VALUE""")," CH17")</f>
        <v>CH17</v>
      </c>
      <c r="AP452" s="71" t="str">
        <f>IFERROR(__xludf.DUMMYFUNCTION("""COMPUTED_VALUE""")," PZA")</f>
        <v>PZA</v>
      </c>
      <c r="AQ452" s="71" t="str">
        <f>IFERROR(__xludf.DUMMYFUNCTION("""COMPUTED_VALUE""")," REF")</f>
        <v>REF</v>
      </c>
      <c r="AR452" s="71" t="str">
        <f>IFERROR(__xludf.DUMMYFUNCTION("""COMPUTED_VALUE""")," CHUMACERA DE CAJA PARA FLECHA DE LEVA TV-50 (B.C.)")</f>
        <v>CHUMACERA DE CAJA PARA FLECHA DE LEVA TV-50 (B.C.)</v>
      </c>
      <c r="AS452" s="71" t="str">
        <f>IFERROR(__xludf.DUMMYFUNCTION("""COMPUTED_VALUE""")," CHUMACERA D/CAJA P/FLECHA D/LEVA TV50 BC")</f>
        <v>CHUMACERA D/CAJA P/FLECHA D/LEVA TV50 BC</v>
      </c>
      <c r="AT452" s="71">
        <f>IFERROR(__xludf.DUMMYFUNCTION("""COMPUTED_VALUE"""),40.0)</f>
        <v>40</v>
      </c>
      <c r="AU452" s="71"/>
      <c r="AV452" s="71"/>
      <c r="AW452" s="71"/>
      <c r="AX452" s="71"/>
      <c r="AY452" s="71">
        <f>IFERROR(__xludf.DUMMYFUNCTION("""COMPUTED_VALUE"""),137.0)</f>
        <v>137</v>
      </c>
      <c r="AZ452" s="71">
        <f>IFERROR(__xludf.DUMMYFUNCTION("""COMPUTED_VALUE"""),147.0)</f>
        <v>147</v>
      </c>
      <c r="BA452" s="71">
        <f>IFERROR(__xludf.DUMMYFUNCTION("""COMPUTED_VALUE"""),158.76000000000002)</f>
        <v>158.76</v>
      </c>
      <c r="BB452" s="71">
        <f>IFERROR(__xludf.DUMMYFUNCTION("""COMPUTED_VALUE"""),158.76000000000002)</f>
        <v>158.76</v>
      </c>
      <c r="BC452" s="71">
        <f>IFERROR(__xludf.DUMMYFUNCTION("""COMPUTED_VALUE"""),178.0)</f>
        <v>178</v>
      </c>
      <c r="BD452" s="71">
        <f>IFERROR(__xludf.DUMMYFUNCTION("""COMPUTED_VALUE"""),187.0)</f>
        <v>187</v>
      </c>
      <c r="BE452" s="71">
        <f>IFERROR(__xludf.DUMMYFUNCTION("""COMPUTED_VALUE"""),29.92)</f>
        <v>29.92</v>
      </c>
      <c r="BF452" s="71">
        <f>IFERROR(__xludf.DUMMYFUNCTION("""COMPUTED_VALUE"""),216.92000000000002)</f>
        <v>216.92</v>
      </c>
      <c r="BG452" s="71">
        <f>IFERROR(__xludf.DUMMYFUNCTION("""COMPUTED_VALUE"""),0.05056179775280899)</f>
        <v>0.05056179775</v>
      </c>
      <c r="BH452" s="71">
        <f>IFERROR(__xludf.DUMMYFUNCTION("""COMPUTED_VALUE"""),177.65)</f>
        <v>177.65</v>
      </c>
      <c r="BI452" s="71">
        <f>IFERROR(__xludf.DUMMYFUNCTION("""COMPUTED_VALUE"""),28.424000000000003)</f>
        <v>28.424</v>
      </c>
      <c r="BJ452" s="71">
        <f>IFERROR(__xludf.DUMMYFUNCTION("""COMPUTED_VALUE"""),206.074)</f>
        <v>206.074</v>
      </c>
      <c r="BK452" s="71">
        <f>IFERROR(__xludf.DUMMYFUNCTION("""COMPUTED_VALUE"""),168.3)</f>
        <v>168.3</v>
      </c>
      <c r="BL452" s="71">
        <f>IFERROR(__xludf.DUMMYFUNCTION("""COMPUTED_VALUE"""),26.928)</f>
        <v>26.928</v>
      </c>
      <c r="BM452" s="71">
        <f>IFERROR(__xludf.DUMMYFUNCTION("""COMPUTED_VALUE"""),195.228)</f>
        <v>195.228</v>
      </c>
      <c r="BN452" s="71">
        <f>IFERROR(__xludf.DUMMYFUNCTION("""COMPUTED_VALUE"""),158.95)</f>
        <v>158.95</v>
      </c>
      <c r="BO452" s="71">
        <f>IFERROR(__xludf.DUMMYFUNCTION("""COMPUTED_VALUE"""),25.432)</f>
        <v>25.432</v>
      </c>
      <c r="BP452" s="71">
        <f>IFERROR(__xludf.DUMMYFUNCTION("""COMPUTED_VALUE"""),184.38199999999998)</f>
        <v>184.382</v>
      </c>
      <c r="BQ452" s="71">
        <f>IFERROR(__xludf.DUMMYFUNCTION("""COMPUTED_VALUE"""),155.20999999999998)</f>
        <v>155.21</v>
      </c>
      <c r="BR452" s="71">
        <f>IFERROR(__xludf.DUMMYFUNCTION("""COMPUTED_VALUE"""),24.833599999999997)</f>
        <v>24.8336</v>
      </c>
      <c r="BS452" s="71">
        <f>IFERROR(__xludf.DUMMYFUNCTION("""COMPUTED_VALUE"""),180.04359999999997)</f>
        <v>180.0436</v>
      </c>
      <c r="BT452" s="71">
        <f>IFERROR(__xludf.DUMMYFUNCTION("""COMPUTED_VALUE"""),149.6)</f>
        <v>149.6</v>
      </c>
      <c r="BU452" s="71">
        <f>IFERROR(__xludf.DUMMYFUNCTION("""COMPUTED_VALUE"""),23.936)</f>
        <v>23.936</v>
      </c>
      <c r="BV452" s="71">
        <f>IFERROR(__xludf.DUMMYFUNCTION("""COMPUTED_VALUE"""),173.536)</f>
        <v>173.536</v>
      </c>
    </row>
    <row r="453">
      <c r="A453" s="53"/>
      <c r="B453" s="53"/>
      <c r="C453" s="53" t="s">
        <v>36</v>
      </c>
      <c r="D453" s="53" t="s">
        <v>1148</v>
      </c>
      <c r="E453" s="86" t="s">
        <v>38</v>
      </c>
      <c r="F453" s="91" t="s">
        <v>96</v>
      </c>
      <c r="G453" s="84" t="s">
        <v>1149</v>
      </c>
      <c r="H453" s="84" t="s">
        <v>1150</v>
      </c>
      <c r="I453" s="54">
        <f t="shared" si="22"/>
        <v>40</v>
      </c>
      <c r="J453" s="56"/>
      <c r="K453" s="57"/>
      <c r="L453" s="119"/>
      <c r="M453" s="124"/>
      <c r="N453" s="93"/>
      <c r="O453" s="61"/>
      <c r="P453" s="90"/>
      <c r="Q453" s="94"/>
      <c r="R453" s="95"/>
      <c r="S453" s="65">
        <v>40300.0</v>
      </c>
      <c r="T453" s="65">
        <f t="shared" si="2"/>
        <v>6448</v>
      </c>
      <c r="U453" s="65">
        <f t="shared" si="3"/>
        <v>46748</v>
      </c>
      <c r="V453" s="66" t="str">
        <f t="shared" si="4"/>
        <v>#DIV/0!</v>
      </c>
      <c r="W453" s="67">
        <f t="shared" si="5"/>
        <v>38285</v>
      </c>
      <c r="X453" s="67">
        <f t="shared" si="6"/>
        <v>6125.6</v>
      </c>
      <c r="Y453" s="67">
        <f t="shared" si="7"/>
        <v>44410.6</v>
      </c>
      <c r="Z453" s="67">
        <f t="shared" si="8"/>
        <v>36270</v>
      </c>
      <c r="AA453" s="67">
        <f t="shared" si="9"/>
        <v>5803.2</v>
      </c>
      <c r="AB453" s="67">
        <f t="shared" si="10"/>
        <v>42073.2</v>
      </c>
      <c r="AC453" s="67">
        <f t="shared" si="11"/>
        <v>34255</v>
      </c>
      <c r="AD453" s="67">
        <f t="shared" si="12"/>
        <v>5480.8</v>
      </c>
      <c r="AE453" s="67">
        <f t="shared" si="13"/>
        <v>39735.8</v>
      </c>
      <c r="AF453" s="67">
        <f t="shared" si="14"/>
        <v>33449</v>
      </c>
      <c r="AG453" s="67">
        <f t="shared" si="15"/>
        <v>5351.84</v>
      </c>
      <c r="AH453" s="67">
        <f t="shared" si="16"/>
        <v>38800.84</v>
      </c>
      <c r="AI453" s="67">
        <f t="shared" si="17"/>
        <v>32240</v>
      </c>
      <c r="AJ453" s="68">
        <f t="shared" si="20"/>
        <v>5158.4</v>
      </c>
      <c r="AK453" s="68">
        <f t="shared" si="21"/>
        <v>37398.4</v>
      </c>
      <c r="AL453" s="70">
        <f>IFERROR(__xludf.DUMMYFUNCTION("""COMPUTED_VALUE"""),1.0)</f>
        <v>1</v>
      </c>
      <c r="AM453" s="70"/>
      <c r="AN453" s="71" t="str">
        <f>IFERROR(__xludf.DUMMYFUNCTION("""COMPUTED_VALUE""")," P")</f>
        <v>P</v>
      </c>
      <c r="AO453" s="71" t="str">
        <f>IFERROR(__xludf.DUMMYFUNCTION("""COMPUTED_VALUE""")," CH18")</f>
        <v>CH18</v>
      </c>
      <c r="AP453" s="71" t="str">
        <f>IFERROR(__xludf.DUMMYFUNCTION("""COMPUTED_VALUE""")," PZA")</f>
        <v>PZA</v>
      </c>
      <c r="AQ453" s="71" t="str">
        <f>IFERROR(__xludf.DUMMYFUNCTION("""COMPUTED_VALUE""")," REF")</f>
        <v>REF</v>
      </c>
      <c r="AR453" s="71" t="str">
        <f>IFERROR(__xludf.DUMMYFUNCTION("""COMPUTED_VALUE""")," CHUMACERA DE CAJA PARA FLECHA PRINCIPAL DÚPLEX")</f>
        <v>CHUMACERA DE CAJA PARA FLECHA PRINCIPAL DÚPLEX</v>
      </c>
      <c r="AS453" s="71" t="str">
        <f>IFERROR(__xludf.DUMMYFUNCTION("""COMPUTED_VALUE""")," CHUMACERA D/CAJA P/FLECHA PRINCIPAL DPLX")</f>
        <v>CHUMACERA D/CAJA P/FLECHA PRINCIPAL DPLX</v>
      </c>
      <c r="AT453" s="71">
        <f>IFERROR(__xludf.DUMMYFUNCTION("""COMPUTED_VALUE"""),40.0)</f>
        <v>40</v>
      </c>
      <c r="AU453" s="71"/>
      <c r="AV453" s="71"/>
      <c r="AW453" s="71"/>
      <c r="AX453" s="71"/>
      <c r="AY453" s="71">
        <f>IFERROR(__xludf.DUMMYFUNCTION("""COMPUTED_VALUE"""),164.0)</f>
        <v>164</v>
      </c>
      <c r="AZ453" s="71">
        <f>IFERROR(__xludf.DUMMYFUNCTION("""COMPUTED_VALUE"""),177.0)</f>
        <v>177</v>
      </c>
      <c r="BA453" s="71">
        <f>IFERROR(__xludf.DUMMYFUNCTION("""COMPUTED_VALUE"""),191.16000000000003)</f>
        <v>191.16</v>
      </c>
      <c r="BB453" s="71">
        <f>IFERROR(__xludf.DUMMYFUNCTION("""COMPUTED_VALUE"""),191.16000000000003)</f>
        <v>191.16</v>
      </c>
      <c r="BC453" s="71">
        <f>IFERROR(__xludf.DUMMYFUNCTION("""COMPUTED_VALUE"""),214.0)</f>
        <v>214</v>
      </c>
      <c r="BD453" s="71">
        <f>IFERROR(__xludf.DUMMYFUNCTION("""COMPUTED_VALUE"""),225.0)</f>
        <v>225</v>
      </c>
      <c r="BE453" s="71">
        <f>IFERROR(__xludf.DUMMYFUNCTION("""COMPUTED_VALUE"""),36.0)</f>
        <v>36</v>
      </c>
      <c r="BF453" s="71">
        <f>IFERROR(__xludf.DUMMYFUNCTION("""COMPUTED_VALUE"""),261.0)</f>
        <v>261</v>
      </c>
      <c r="BG453" s="71">
        <f>IFERROR(__xludf.DUMMYFUNCTION("""COMPUTED_VALUE"""),0.0514018691588785)</f>
        <v>0.05140186916</v>
      </c>
      <c r="BH453" s="71">
        <f>IFERROR(__xludf.DUMMYFUNCTION("""COMPUTED_VALUE"""),213.75)</f>
        <v>213.75</v>
      </c>
      <c r="BI453" s="71">
        <f>IFERROR(__xludf.DUMMYFUNCTION("""COMPUTED_VALUE"""),34.2)</f>
        <v>34.2</v>
      </c>
      <c r="BJ453" s="71">
        <f>IFERROR(__xludf.DUMMYFUNCTION("""COMPUTED_VALUE"""),247.95)</f>
        <v>247.95</v>
      </c>
      <c r="BK453" s="71">
        <f>IFERROR(__xludf.DUMMYFUNCTION("""COMPUTED_VALUE"""),202.5)</f>
        <v>202.5</v>
      </c>
      <c r="BL453" s="71">
        <f>IFERROR(__xludf.DUMMYFUNCTION("""COMPUTED_VALUE"""),32.4)</f>
        <v>32.4</v>
      </c>
      <c r="BM453" s="71">
        <f>IFERROR(__xludf.DUMMYFUNCTION("""COMPUTED_VALUE"""),234.9)</f>
        <v>234.9</v>
      </c>
      <c r="BN453" s="71">
        <f>IFERROR(__xludf.DUMMYFUNCTION("""COMPUTED_VALUE"""),191.25)</f>
        <v>191.25</v>
      </c>
      <c r="BO453" s="71">
        <f>IFERROR(__xludf.DUMMYFUNCTION("""COMPUTED_VALUE"""),30.6)</f>
        <v>30.6</v>
      </c>
      <c r="BP453" s="71">
        <f>IFERROR(__xludf.DUMMYFUNCTION("""COMPUTED_VALUE"""),221.85)</f>
        <v>221.85</v>
      </c>
      <c r="BQ453" s="71">
        <f>IFERROR(__xludf.DUMMYFUNCTION("""COMPUTED_VALUE"""),186.75)</f>
        <v>186.75</v>
      </c>
      <c r="BR453" s="71">
        <f>IFERROR(__xludf.DUMMYFUNCTION("""COMPUTED_VALUE"""),29.88)</f>
        <v>29.88</v>
      </c>
      <c r="BS453" s="71">
        <f>IFERROR(__xludf.DUMMYFUNCTION("""COMPUTED_VALUE"""),216.63)</f>
        <v>216.63</v>
      </c>
      <c r="BT453" s="71">
        <f>IFERROR(__xludf.DUMMYFUNCTION("""COMPUTED_VALUE"""),180.0)</f>
        <v>180</v>
      </c>
      <c r="BU453" s="71">
        <f>IFERROR(__xludf.DUMMYFUNCTION("""COMPUTED_VALUE"""),28.8)</f>
        <v>28.8</v>
      </c>
      <c r="BV453" s="71">
        <f>IFERROR(__xludf.DUMMYFUNCTION("""COMPUTED_VALUE"""),208.8)</f>
        <v>208.8</v>
      </c>
    </row>
    <row r="454">
      <c r="A454" s="53"/>
      <c r="B454" s="53"/>
      <c r="C454" s="53" t="s">
        <v>36</v>
      </c>
      <c r="D454" s="53" t="s">
        <v>1151</v>
      </c>
      <c r="E454" s="86" t="s">
        <v>38</v>
      </c>
      <c r="F454" s="91" t="s">
        <v>96</v>
      </c>
      <c r="G454" s="84" t="s">
        <v>1152</v>
      </c>
      <c r="H454" s="84" t="s">
        <v>1153</v>
      </c>
      <c r="I454" s="54">
        <f t="shared" ref="I454:I455" si="23">IF(D454="","",LEN(H454))</f>
        <v>38</v>
      </c>
      <c r="J454" s="56"/>
      <c r="K454" s="57"/>
      <c r="L454" s="119"/>
      <c r="M454" s="59"/>
      <c r="N454" s="93"/>
      <c r="O454" s="61"/>
      <c r="P454" s="90"/>
      <c r="Q454" s="94"/>
      <c r="R454" s="95"/>
      <c r="S454" s="65">
        <v>36288.0</v>
      </c>
      <c r="T454" s="65">
        <f t="shared" si="2"/>
        <v>5806.08</v>
      </c>
      <c r="U454" s="65">
        <f t="shared" si="3"/>
        <v>42094.08</v>
      </c>
      <c r="V454" s="66" t="str">
        <f t="shared" si="4"/>
        <v>#DIV/0!</v>
      </c>
      <c r="W454" s="67">
        <f t="shared" si="5"/>
        <v>34473.6</v>
      </c>
      <c r="X454" s="67">
        <f t="shared" si="6"/>
        <v>5515.776</v>
      </c>
      <c r="Y454" s="67">
        <f t="shared" si="7"/>
        <v>39989.376</v>
      </c>
      <c r="Z454" s="67">
        <f t="shared" si="8"/>
        <v>32659.2</v>
      </c>
      <c r="AA454" s="67">
        <f t="shared" si="9"/>
        <v>5225.472</v>
      </c>
      <c r="AB454" s="67">
        <f t="shared" si="10"/>
        <v>37884.672</v>
      </c>
      <c r="AC454" s="67">
        <f t="shared" si="11"/>
        <v>30844.8</v>
      </c>
      <c r="AD454" s="67">
        <f t="shared" si="12"/>
        <v>4935.168</v>
      </c>
      <c r="AE454" s="67">
        <f t="shared" si="13"/>
        <v>35779.968</v>
      </c>
      <c r="AF454" s="67">
        <f t="shared" si="14"/>
        <v>30119.04</v>
      </c>
      <c r="AG454" s="67">
        <f t="shared" si="15"/>
        <v>4819.0464</v>
      </c>
      <c r="AH454" s="67">
        <f t="shared" si="16"/>
        <v>34938.0864</v>
      </c>
      <c r="AI454" s="67">
        <f t="shared" si="17"/>
        <v>29030.4</v>
      </c>
      <c r="AJ454" s="68">
        <f t="shared" si="20"/>
        <v>4644.864</v>
      </c>
      <c r="AK454" s="68">
        <f t="shared" si="21"/>
        <v>33675.264</v>
      </c>
      <c r="AL454" s="70">
        <f>IFERROR(__xludf.DUMMYFUNCTION("""COMPUTED_VALUE"""),1.0)</f>
        <v>1</v>
      </c>
      <c r="AM454" s="70"/>
      <c r="AN454" s="71" t="str">
        <f>IFERROR(__xludf.DUMMYFUNCTION("""COMPUTED_VALUE""")," P")</f>
        <v>P</v>
      </c>
      <c r="AO454" s="71" t="str">
        <f>IFERROR(__xludf.DUMMYFUNCTION("""COMPUTED_VALUE""")," CH34")</f>
        <v>CH34</v>
      </c>
      <c r="AP454" s="71" t="str">
        <f>IFERROR(__xludf.DUMMYFUNCTION("""COMPUTED_VALUE""")," PZA")</f>
        <v>PZA</v>
      </c>
      <c r="AQ454" s="71" t="str">
        <f>IFERROR(__xludf.DUMMYFUNCTION("""COMPUTED_VALUE""")," REF")</f>
        <v>REF</v>
      </c>
      <c r="AR454" s="71" t="str">
        <f>IFERROR(__xludf.DUMMYFUNCTION("""COMPUTED_VALUE""")," CHUMACERA DE COCOL 1"" UCFL 205-16")</f>
        <v>CHUMACERA DE COCOL 1" UCFL 205-16</v>
      </c>
      <c r="AS454" s="71" t="str">
        <f>IFERROR(__xludf.DUMMYFUNCTION("""COMPUTED_VALUE""")," CHUMACERA DE COCOL 1"" UCFL 205-16")</f>
        <v>CHUMACERA DE COCOL 1" UCFL 205-16</v>
      </c>
      <c r="AT454" s="71">
        <f>IFERROR(__xludf.DUMMYFUNCTION("""COMPUTED_VALUE"""),33.0)</f>
        <v>33</v>
      </c>
      <c r="AU454" s="71"/>
      <c r="AV454" s="71"/>
      <c r="AW454" s="71"/>
      <c r="AX454" s="71"/>
      <c r="AY454" s="71">
        <f>IFERROR(__xludf.DUMMYFUNCTION("""COMPUTED_VALUE"""),194.0)</f>
        <v>194</v>
      </c>
      <c r="AZ454" s="71">
        <f>IFERROR(__xludf.DUMMYFUNCTION("""COMPUTED_VALUE"""),209.0)</f>
        <v>209</v>
      </c>
      <c r="BA454" s="71">
        <f>IFERROR(__xludf.DUMMYFUNCTION("""COMPUTED_VALUE"""),129.6)</f>
        <v>129.6</v>
      </c>
      <c r="BB454" s="71">
        <f>IFERROR(__xludf.DUMMYFUNCTION("""COMPUTED_VALUE"""),129.6)</f>
        <v>129.6</v>
      </c>
      <c r="BC454" s="71">
        <f>IFERROR(__xludf.DUMMYFUNCTION("""COMPUTED_VALUE"""),141.0)</f>
        <v>141</v>
      </c>
      <c r="BD454" s="71">
        <f>IFERROR(__xludf.DUMMYFUNCTION("""COMPUTED_VALUE"""),148.0)</f>
        <v>148</v>
      </c>
      <c r="BE454" s="71">
        <f>IFERROR(__xludf.DUMMYFUNCTION("""COMPUTED_VALUE"""),23.68)</f>
        <v>23.68</v>
      </c>
      <c r="BF454" s="71">
        <f>IFERROR(__xludf.DUMMYFUNCTION("""COMPUTED_VALUE"""),171.68)</f>
        <v>171.68</v>
      </c>
      <c r="BG454" s="71">
        <f>IFERROR(__xludf.DUMMYFUNCTION("""COMPUTED_VALUE"""),0.04964539007092199)</f>
        <v>0.04964539007</v>
      </c>
      <c r="BH454" s="71">
        <f>IFERROR(__xludf.DUMMYFUNCTION("""COMPUTED_VALUE"""),140.6)</f>
        <v>140.6</v>
      </c>
      <c r="BI454" s="71">
        <f>IFERROR(__xludf.DUMMYFUNCTION("""COMPUTED_VALUE"""),22.496)</f>
        <v>22.496</v>
      </c>
      <c r="BJ454" s="71">
        <f>IFERROR(__xludf.DUMMYFUNCTION("""COMPUTED_VALUE"""),163.096)</f>
        <v>163.096</v>
      </c>
      <c r="BK454" s="71">
        <f>IFERROR(__xludf.DUMMYFUNCTION("""COMPUTED_VALUE"""),133.20000000000002)</f>
        <v>133.2</v>
      </c>
      <c r="BL454" s="71">
        <f>IFERROR(__xludf.DUMMYFUNCTION("""COMPUTED_VALUE"""),21.312000000000005)</f>
        <v>21.312</v>
      </c>
      <c r="BM454" s="71">
        <f>IFERROR(__xludf.DUMMYFUNCTION("""COMPUTED_VALUE"""),154.51200000000003)</f>
        <v>154.512</v>
      </c>
      <c r="BN454" s="71">
        <f>IFERROR(__xludf.DUMMYFUNCTION("""COMPUTED_VALUE"""),125.8)</f>
        <v>125.8</v>
      </c>
      <c r="BO454" s="71">
        <f>IFERROR(__xludf.DUMMYFUNCTION("""COMPUTED_VALUE"""),20.128)</f>
        <v>20.128</v>
      </c>
      <c r="BP454" s="71">
        <f>IFERROR(__xludf.DUMMYFUNCTION("""COMPUTED_VALUE"""),145.928)</f>
        <v>145.928</v>
      </c>
      <c r="BQ454" s="71">
        <f>IFERROR(__xludf.DUMMYFUNCTION("""COMPUTED_VALUE"""),122.83999999999999)</f>
        <v>122.84</v>
      </c>
      <c r="BR454" s="71">
        <f>IFERROR(__xludf.DUMMYFUNCTION("""COMPUTED_VALUE"""),19.6544)</f>
        <v>19.6544</v>
      </c>
      <c r="BS454" s="71">
        <f>IFERROR(__xludf.DUMMYFUNCTION("""COMPUTED_VALUE"""),142.49439999999998)</f>
        <v>142.4944</v>
      </c>
      <c r="BT454" s="71">
        <f>IFERROR(__xludf.DUMMYFUNCTION("""COMPUTED_VALUE"""),118.4)</f>
        <v>118.4</v>
      </c>
      <c r="BU454" s="71">
        <f>IFERROR(__xludf.DUMMYFUNCTION("""COMPUTED_VALUE"""),18.944000000000003)</f>
        <v>18.944</v>
      </c>
      <c r="BV454" s="71">
        <f>IFERROR(__xludf.DUMMYFUNCTION("""COMPUTED_VALUE"""),137.344)</f>
        <v>137.344</v>
      </c>
    </row>
    <row r="455">
      <c r="A455" s="53"/>
      <c r="B455" s="53">
        <v>3.0</v>
      </c>
      <c r="C455" s="53" t="s">
        <v>36</v>
      </c>
      <c r="D455" s="74" t="s">
        <v>1154</v>
      </c>
      <c r="E455" s="54" t="s">
        <v>38</v>
      </c>
      <c r="F455" s="55" t="s">
        <v>96</v>
      </c>
      <c r="G455" s="84" t="s">
        <v>1155</v>
      </c>
      <c r="H455" s="84"/>
      <c r="I455" s="54">
        <f t="shared" si="23"/>
        <v>0</v>
      </c>
      <c r="J455" s="102"/>
      <c r="K455" s="102"/>
      <c r="L455" s="76"/>
      <c r="M455" s="59"/>
      <c r="N455" s="60"/>
      <c r="O455" s="100">
        <v>69505.0</v>
      </c>
      <c r="P455" s="62">
        <v>75065.40000000001</v>
      </c>
      <c r="Q455" s="63">
        <v>75065.40000000001</v>
      </c>
      <c r="R455" s="64">
        <v>82759.0</v>
      </c>
      <c r="S455" s="107">
        <v>86897.0</v>
      </c>
      <c r="T455" s="65">
        <f t="shared" si="2"/>
        <v>13903.52</v>
      </c>
      <c r="U455" s="65">
        <f t="shared" si="3"/>
        <v>100800.52</v>
      </c>
      <c r="V455" s="66">
        <f t="shared" si="4"/>
        <v>0.05000060416</v>
      </c>
      <c r="W455" s="67">
        <f t="shared" si="5"/>
        <v>82552.15</v>
      </c>
      <c r="X455" s="67">
        <f t="shared" si="6"/>
        <v>13208.344</v>
      </c>
      <c r="Y455" s="67">
        <f t="shared" si="7"/>
        <v>95760.494</v>
      </c>
      <c r="Z455" s="67">
        <f t="shared" si="8"/>
        <v>78207.3</v>
      </c>
      <c r="AA455" s="67">
        <f t="shared" si="9"/>
        <v>12513.168</v>
      </c>
      <c r="AB455" s="67">
        <f t="shared" si="10"/>
        <v>90720.468</v>
      </c>
      <c r="AC455" s="67">
        <f t="shared" si="11"/>
        <v>78207.3</v>
      </c>
      <c r="AD455" s="67">
        <f t="shared" si="12"/>
        <v>12513.168</v>
      </c>
      <c r="AE455" s="67">
        <f t="shared" si="13"/>
        <v>90720.468</v>
      </c>
      <c r="AF455" s="67">
        <f t="shared" si="14"/>
        <v>78207.3</v>
      </c>
      <c r="AG455" s="67">
        <f t="shared" si="15"/>
        <v>12513.168</v>
      </c>
      <c r="AH455" s="67">
        <f t="shared" si="16"/>
        <v>90720.468</v>
      </c>
      <c r="AI455" s="67">
        <f t="shared" si="17"/>
        <v>78207.3</v>
      </c>
      <c r="AJ455" s="68">
        <f t="shared" si="20"/>
        <v>12513.168</v>
      </c>
      <c r="AK455" s="68">
        <f t="shared" si="21"/>
        <v>90720.468</v>
      </c>
      <c r="AL455" s="70">
        <f>IFERROR(__xludf.DUMMYFUNCTION("""COMPUTED_VALUE"""),1.0)</f>
        <v>1</v>
      </c>
      <c r="AM455" s="70"/>
      <c r="AN455" s="71" t="str">
        <f>IFERROR(__xludf.DUMMYFUNCTION("""COMPUTED_VALUE""")," C")</f>
        <v>C</v>
      </c>
      <c r="AO455" s="71" t="str">
        <f>IFERROR(__xludf.DUMMYFUNCTION("""COMPUTED_VALUE""")," CH50")</f>
        <v>CH50</v>
      </c>
      <c r="AP455" s="71" t="str">
        <f>IFERROR(__xludf.DUMMYFUNCTION("""COMPUTED_VALUE""")," PZA")</f>
        <v>PZA</v>
      </c>
      <c r="AQ455" s="71" t="str">
        <f>IFERROR(__xludf.DUMMYFUNCTION("""COMPUTED_VALUE""")," REF")</f>
        <v>REF</v>
      </c>
      <c r="AR455" s="71" t="str">
        <f>IFERROR(__xludf.DUMMYFUNCTION("""COMPUTED_VALUE""")," CHUMACERA DE COCOL DE 1 1/2 (UCFL208-24) PARA MOLINO CAMARADA")</f>
        <v>CHUMACERA DE COCOL DE 1 1/2 (UCFL208-24) PARA MOLINO CAMARADA</v>
      </c>
      <c r="AS455" s="71" t="str">
        <f>IFERROR(__xludf.DUMMYFUNCTION("""COMPUTED_VALUE""")," CHUMACERA COCOL 1 1/2 UCFL208-24 MOL CAM")</f>
        <v>CHUMACERA COCOL 1 1/2 UCFL208-24 MOL CAM</v>
      </c>
      <c r="AT455" s="71">
        <f>IFERROR(__xludf.DUMMYFUNCTION("""COMPUTED_VALUE"""),40.0)</f>
        <v>40</v>
      </c>
      <c r="AU455" s="71"/>
      <c r="AV455" s="71"/>
      <c r="AW455" s="71"/>
      <c r="AX455" s="71"/>
      <c r="AY455" s="71">
        <f>IFERROR(__xludf.DUMMYFUNCTION("""COMPUTED_VALUE"""),483.0)</f>
        <v>483</v>
      </c>
      <c r="AZ455" s="71">
        <f>IFERROR(__xludf.DUMMYFUNCTION("""COMPUTED_VALUE"""),521.0)</f>
        <v>521</v>
      </c>
      <c r="BA455" s="71">
        <f>IFERROR(__xludf.DUMMYFUNCTION("""COMPUTED_VALUE"""),562.6800000000001)</f>
        <v>562.68</v>
      </c>
      <c r="BB455" s="71">
        <f>IFERROR(__xludf.DUMMYFUNCTION("""COMPUTED_VALUE"""),562.6800000000001)</f>
        <v>562.68</v>
      </c>
      <c r="BC455" s="71">
        <f>IFERROR(__xludf.DUMMYFUNCTION("""COMPUTED_VALUE"""),627.0)</f>
        <v>627</v>
      </c>
      <c r="BD455" s="71">
        <f>IFERROR(__xludf.DUMMYFUNCTION("""COMPUTED_VALUE"""),658.0)</f>
        <v>658</v>
      </c>
      <c r="BE455" s="71">
        <f>IFERROR(__xludf.DUMMYFUNCTION("""COMPUTED_VALUE"""),105.28)</f>
        <v>105.28</v>
      </c>
      <c r="BF455" s="71">
        <f>IFERROR(__xludf.DUMMYFUNCTION("""COMPUTED_VALUE"""),763.28)</f>
        <v>763.28</v>
      </c>
      <c r="BG455" s="71">
        <f>IFERROR(__xludf.DUMMYFUNCTION("""COMPUTED_VALUE"""),0.049441786283891544)</f>
        <v>0.04944178628</v>
      </c>
      <c r="BH455" s="71">
        <f>IFERROR(__xludf.DUMMYFUNCTION("""COMPUTED_VALUE"""),625.1)</f>
        <v>625.1</v>
      </c>
      <c r="BI455" s="71">
        <f>IFERROR(__xludf.DUMMYFUNCTION("""COMPUTED_VALUE"""),100.016)</f>
        <v>100.016</v>
      </c>
      <c r="BJ455" s="71">
        <f>IFERROR(__xludf.DUMMYFUNCTION("""COMPUTED_VALUE"""),725.116)</f>
        <v>725.116</v>
      </c>
      <c r="BK455" s="71">
        <f>IFERROR(__xludf.DUMMYFUNCTION("""COMPUTED_VALUE"""),592.2)</f>
        <v>592.2</v>
      </c>
      <c r="BL455" s="71">
        <f>IFERROR(__xludf.DUMMYFUNCTION("""COMPUTED_VALUE"""),94.75200000000001)</f>
        <v>94.752</v>
      </c>
      <c r="BM455" s="71">
        <f>IFERROR(__xludf.DUMMYFUNCTION("""COMPUTED_VALUE"""),686.952)</f>
        <v>686.952</v>
      </c>
      <c r="BN455" s="71">
        <f>IFERROR(__xludf.DUMMYFUNCTION("""COMPUTED_VALUE"""),559.3)</f>
        <v>559.3</v>
      </c>
      <c r="BO455" s="71">
        <f>IFERROR(__xludf.DUMMYFUNCTION("""COMPUTED_VALUE"""),89.488)</f>
        <v>89.488</v>
      </c>
      <c r="BP455" s="71">
        <f>IFERROR(__xludf.DUMMYFUNCTION("""COMPUTED_VALUE"""),648.788)</f>
        <v>648.788</v>
      </c>
      <c r="BQ455" s="71">
        <f>IFERROR(__xludf.DUMMYFUNCTION("""COMPUTED_VALUE"""),546.14)</f>
        <v>546.14</v>
      </c>
      <c r="BR455" s="71">
        <f>IFERROR(__xludf.DUMMYFUNCTION("""COMPUTED_VALUE"""),87.3824)</f>
        <v>87.3824</v>
      </c>
      <c r="BS455" s="71">
        <f>IFERROR(__xludf.DUMMYFUNCTION("""COMPUTED_VALUE"""),633.5224)</f>
        <v>633.5224</v>
      </c>
      <c r="BT455" s="71">
        <f>IFERROR(__xludf.DUMMYFUNCTION("""COMPUTED_VALUE"""),526.4)</f>
        <v>526.4</v>
      </c>
      <c r="BU455" s="71">
        <f>IFERROR(__xludf.DUMMYFUNCTION("""COMPUTED_VALUE"""),84.224)</f>
        <v>84.224</v>
      </c>
      <c r="BV455" s="71">
        <f>IFERROR(__xludf.DUMMYFUNCTION("""COMPUTED_VALUE"""),610.624)</f>
        <v>610.624</v>
      </c>
    </row>
    <row r="456">
      <c r="A456" s="53"/>
      <c r="B456" s="53"/>
      <c r="C456" s="53" t="s">
        <v>36</v>
      </c>
      <c r="D456" s="53" t="s">
        <v>1156</v>
      </c>
      <c r="E456" s="86" t="s">
        <v>38</v>
      </c>
      <c r="F456" s="91" t="s">
        <v>96</v>
      </c>
      <c r="G456" s="84" t="s">
        <v>1157</v>
      </c>
      <c r="H456" s="84" t="s">
        <v>1158</v>
      </c>
      <c r="I456" s="54">
        <f>IF($D$2731="","",LEN(H456))</f>
        <v>40</v>
      </c>
      <c r="J456" s="56"/>
      <c r="K456" s="57"/>
      <c r="L456" s="119"/>
      <c r="M456" s="124"/>
      <c r="N456" s="93"/>
      <c r="O456" s="61"/>
      <c r="P456" s="90"/>
      <c r="Q456" s="94"/>
      <c r="R456" s="95"/>
      <c r="S456" s="65">
        <v>42100.0</v>
      </c>
      <c r="T456" s="65">
        <f t="shared" si="2"/>
        <v>6736</v>
      </c>
      <c r="U456" s="65">
        <f t="shared" si="3"/>
        <v>48836</v>
      </c>
      <c r="V456" s="66" t="str">
        <f t="shared" si="4"/>
        <v>#DIV/0!</v>
      </c>
      <c r="W456" s="67">
        <f t="shared" si="5"/>
        <v>39995</v>
      </c>
      <c r="X456" s="67">
        <f t="shared" si="6"/>
        <v>6399.2</v>
      </c>
      <c r="Y456" s="67">
        <f t="shared" si="7"/>
        <v>46394.2</v>
      </c>
      <c r="Z456" s="67">
        <f t="shared" si="8"/>
        <v>37890</v>
      </c>
      <c r="AA456" s="67">
        <f t="shared" si="9"/>
        <v>6062.4</v>
      </c>
      <c r="AB456" s="67">
        <f t="shared" si="10"/>
        <v>43952.4</v>
      </c>
      <c r="AC456" s="67">
        <f t="shared" si="11"/>
        <v>35785</v>
      </c>
      <c r="AD456" s="67">
        <f t="shared" si="12"/>
        <v>5725.6</v>
      </c>
      <c r="AE456" s="67">
        <f t="shared" si="13"/>
        <v>41510.6</v>
      </c>
      <c r="AF456" s="67">
        <f t="shared" si="14"/>
        <v>34943</v>
      </c>
      <c r="AG456" s="67">
        <f t="shared" si="15"/>
        <v>5590.88</v>
      </c>
      <c r="AH456" s="67">
        <f t="shared" si="16"/>
        <v>40533.88</v>
      </c>
      <c r="AI456" s="67">
        <f t="shared" si="17"/>
        <v>33680</v>
      </c>
      <c r="AJ456" s="68">
        <f t="shared" si="20"/>
        <v>5388.8</v>
      </c>
      <c r="AK456" s="68">
        <f t="shared" si="21"/>
        <v>39068.8</v>
      </c>
      <c r="AL456" s="70">
        <f>IFERROR(__xludf.DUMMYFUNCTION("""COMPUTED_VALUE"""),1.0)</f>
        <v>1</v>
      </c>
      <c r="AM456" s="70"/>
      <c r="AN456" s="71" t="str">
        <f>IFERROR(__xludf.DUMMYFUNCTION("""COMPUTED_VALUE""")," P")</f>
        <v>P</v>
      </c>
      <c r="AO456" s="71" t="str">
        <f>IFERROR(__xludf.DUMMYFUNCTION("""COMPUTED_VALUE""")," CH49")</f>
        <v>CH49</v>
      </c>
      <c r="AP456" s="71" t="str">
        <f>IFERROR(__xludf.DUMMYFUNCTION("""COMPUTED_VALUE""")," PZA")</f>
        <v>PZA</v>
      </c>
      <c r="AQ456" s="71" t="str">
        <f>IFERROR(__xludf.DUMMYFUNCTION("""COMPUTED_VALUE""")," REF")</f>
        <v>REF</v>
      </c>
      <c r="AR456" s="71" t="str">
        <f>IFERROR(__xludf.DUMMYFUNCTION("""COMPUTED_VALUE""")," CHUMACERA DE FIERRO COLADO CON AJUSTE DE BALERO 32209 CON BALERO PARA MOLINO CAMARADA")</f>
        <v>CHUMACERA DE FIERRO COLADO CON AJUSTE DE BALERO 32209 CON BALERO PARA MOLINO CAMARADA</v>
      </c>
      <c r="AS456" s="71" t="str">
        <f>IFERROR(__xludf.DUMMYFUNCTION("""COMPUTED_VALUE""")," CHUMACERA F.COLAD BALR 32209  MOL CAMARD")</f>
        <v>CHUMACERA F.COLAD BALR 32209  MOL CAMARD</v>
      </c>
      <c r="AT456" s="71">
        <f>IFERROR(__xludf.DUMMYFUNCTION("""COMPUTED_VALUE"""),40.0)</f>
        <v>40</v>
      </c>
      <c r="AU456" s="71"/>
      <c r="AV456" s="71"/>
      <c r="AW456" s="71"/>
      <c r="AX456" s="71"/>
      <c r="AY456" s="71">
        <f>IFERROR(__xludf.DUMMYFUNCTION("""COMPUTED_VALUE"""),1726.0)</f>
        <v>1726</v>
      </c>
      <c r="AZ456" s="71">
        <f>IFERROR(__xludf.DUMMYFUNCTION("""COMPUTED_VALUE"""),1864.0)</f>
        <v>1864</v>
      </c>
      <c r="BA456" s="71">
        <f>IFERROR(__xludf.DUMMYFUNCTION("""COMPUTED_VALUE"""),2013.1200000000001)</f>
        <v>2013.12</v>
      </c>
      <c r="BB456" s="71">
        <f>IFERROR(__xludf.DUMMYFUNCTION("""COMPUTED_VALUE"""),2013.1200000000001)</f>
        <v>2013.12</v>
      </c>
      <c r="BC456" s="71">
        <f>IFERROR(__xludf.DUMMYFUNCTION("""COMPUTED_VALUE"""),2241.0)</f>
        <v>2241</v>
      </c>
      <c r="BD456" s="71">
        <f>IFERROR(__xludf.DUMMYFUNCTION("""COMPUTED_VALUE"""),2353.0)</f>
        <v>2353</v>
      </c>
      <c r="BE456" s="71">
        <f>IFERROR(__xludf.DUMMYFUNCTION("""COMPUTED_VALUE"""),376.48)</f>
        <v>376.48</v>
      </c>
      <c r="BF456" s="71">
        <f>IFERROR(__xludf.DUMMYFUNCTION("""COMPUTED_VALUE"""),2729.48)</f>
        <v>2729.48</v>
      </c>
      <c r="BG456" s="71">
        <f>IFERROR(__xludf.DUMMYFUNCTION("""COMPUTED_VALUE"""),0.0499776885319054)</f>
        <v>0.04997768853</v>
      </c>
      <c r="BH456" s="71">
        <f>IFERROR(__xludf.DUMMYFUNCTION("""COMPUTED_VALUE"""),2235.35)</f>
        <v>2235.35</v>
      </c>
      <c r="BI456" s="71">
        <f>IFERROR(__xludf.DUMMYFUNCTION("""COMPUTED_VALUE"""),357.656)</f>
        <v>357.656</v>
      </c>
      <c r="BJ456" s="71">
        <f>IFERROR(__xludf.DUMMYFUNCTION("""COMPUTED_VALUE"""),2593.006)</f>
        <v>2593.006</v>
      </c>
      <c r="BK456" s="71">
        <f>IFERROR(__xludf.DUMMYFUNCTION("""COMPUTED_VALUE"""),2117.7000000000003)</f>
        <v>2117.7</v>
      </c>
      <c r="BL456" s="71">
        <f>IFERROR(__xludf.DUMMYFUNCTION("""COMPUTED_VALUE"""),338.83200000000005)</f>
        <v>338.832</v>
      </c>
      <c r="BM456" s="71">
        <f>IFERROR(__xludf.DUMMYFUNCTION("""COMPUTED_VALUE"""),2456.532)</f>
        <v>2456.532</v>
      </c>
      <c r="BN456" s="71">
        <f>IFERROR(__xludf.DUMMYFUNCTION("""COMPUTED_VALUE"""),2000.05)</f>
        <v>2000.05</v>
      </c>
      <c r="BO456" s="71">
        <f>IFERROR(__xludf.DUMMYFUNCTION("""COMPUTED_VALUE"""),320.008)</f>
        <v>320.008</v>
      </c>
      <c r="BP456" s="71">
        <f>IFERROR(__xludf.DUMMYFUNCTION("""COMPUTED_VALUE"""),2320.058)</f>
        <v>2320.058</v>
      </c>
      <c r="BQ456" s="71">
        <f>IFERROR(__xludf.DUMMYFUNCTION("""COMPUTED_VALUE"""),1952.99)</f>
        <v>1952.99</v>
      </c>
      <c r="BR456" s="71">
        <f>IFERROR(__xludf.DUMMYFUNCTION("""COMPUTED_VALUE"""),312.4784)</f>
        <v>312.4784</v>
      </c>
      <c r="BS456" s="71">
        <f>IFERROR(__xludf.DUMMYFUNCTION("""COMPUTED_VALUE"""),2265.4684)</f>
        <v>2265.4684</v>
      </c>
      <c r="BT456" s="71">
        <f>IFERROR(__xludf.DUMMYFUNCTION("""COMPUTED_VALUE"""),1882.4)</f>
        <v>1882.4</v>
      </c>
      <c r="BU456" s="71">
        <f>IFERROR(__xludf.DUMMYFUNCTION("""COMPUTED_VALUE"""),301.184)</f>
        <v>301.184</v>
      </c>
      <c r="BV456" s="71">
        <f>IFERROR(__xludf.DUMMYFUNCTION("""COMPUTED_VALUE"""),2183.5840000000003)</f>
        <v>2183.584</v>
      </c>
    </row>
    <row r="457">
      <c r="A457" s="53"/>
      <c r="B457" s="53"/>
      <c r="C457" s="53" t="s">
        <v>36</v>
      </c>
      <c r="D457" s="53" t="s">
        <v>1159</v>
      </c>
      <c r="E457" s="86" t="s">
        <v>38</v>
      </c>
      <c r="F457" s="91" t="s">
        <v>96</v>
      </c>
      <c r="G457" s="84" t="s">
        <v>1160</v>
      </c>
      <c r="H457" s="84" t="s">
        <v>1161</v>
      </c>
      <c r="I457" s="54">
        <f t="shared" ref="I457:I2474" si="24">IF(D457="","",LEN(H457))</f>
        <v>38</v>
      </c>
      <c r="J457" s="56"/>
      <c r="K457" s="57"/>
      <c r="L457" s="119"/>
      <c r="M457" s="59"/>
      <c r="N457" s="93"/>
      <c r="O457" s="61"/>
      <c r="P457" s="90"/>
      <c r="Q457" s="94"/>
      <c r="R457" s="95"/>
      <c r="S457" s="65">
        <v>38500.0</v>
      </c>
      <c r="T457" s="65">
        <f t="shared" si="2"/>
        <v>6160</v>
      </c>
      <c r="U457" s="65">
        <f t="shared" si="3"/>
        <v>44660</v>
      </c>
      <c r="V457" s="66" t="str">
        <f t="shared" si="4"/>
        <v>#DIV/0!</v>
      </c>
      <c r="W457" s="67">
        <f t="shared" si="5"/>
        <v>36575</v>
      </c>
      <c r="X457" s="67">
        <f t="shared" si="6"/>
        <v>5852</v>
      </c>
      <c r="Y457" s="67">
        <f t="shared" si="7"/>
        <v>42427</v>
      </c>
      <c r="Z457" s="67">
        <f t="shared" si="8"/>
        <v>34650</v>
      </c>
      <c r="AA457" s="67">
        <f t="shared" si="9"/>
        <v>5544</v>
      </c>
      <c r="AB457" s="67">
        <f t="shared" si="10"/>
        <v>40194</v>
      </c>
      <c r="AC457" s="67">
        <f t="shared" si="11"/>
        <v>32725</v>
      </c>
      <c r="AD457" s="67">
        <f t="shared" si="12"/>
        <v>5236</v>
      </c>
      <c r="AE457" s="67">
        <f t="shared" si="13"/>
        <v>37961</v>
      </c>
      <c r="AF457" s="67">
        <f t="shared" si="14"/>
        <v>31955</v>
      </c>
      <c r="AG457" s="67">
        <f t="shared" si="15"/>
        <v>5112.8</v>
      </c>
      <c r="AH457" s="67">
        <f t="shared" si="16"/>
        <v>37067.8</v>
      </c>
      <c r="AI457" s="67">
        <f t="shared" si="17"/>
        <v>30800</v>
      </c>
      <c r="AJ457" s="68">
        <f t="shared" si="20"/>
        <v>4928</v>
      </c>
      <c r="AK457" s="68">
        <f t="shared" si="21"/>
        <v>35728</v>
      </c>
      <c r="AL457" s="70">
        <f>IFERROR(__xludf.DUMMYFUNCTION("""COMPUTED_VALUE"""),1.0)</f>
        <v>1</v>
      </c>
      <c r="AM457" s="70"/>
      <c r="AN457" s="71" t="str">
        <f>IFERROR(__xludf.DUMMYFUNCTION("""COMPUTED_VALUE""")," C")</f>
        <v>C</v>
      </c>
      <c r="AO457" s="71" t="str">
        <f>IFERROR(__xludf.DUMMYFUNCTION("""COMPUTED_VALUE""")," CH20")</f>
        <v>CH20</v>
      </c>
      <c r="AP457" s="71" t="str">
        <f>IFERROR(__xludf.DUMMYFUNCTION("""COMPUTED_VALUE""")," PZA")</f>
        <v>PZA</v>
      </c>
      <c r="AQ457" s="71" t="str">
        <f>IFERROR(__xludf.DUMMYFUNCTION("""COMPUTED_VALUE""")," REF")</f>
        <v>REF</v>
      </c>
      <c r="AR457" s="71" t="str">
        <f>IFERROR(__xludf.DUMMYFUNCTION("""COMPUTED_VALUE""")," CHUMACERA DE PARED 1"" UCF205-16")</f>
        <v>CHUMACERA DE PARED 1" UCF205-16</v>
      </c>
      <c r="AS457" s="71" t="str">
        <f>IFERROR(__xludf.DUMMYFUNCTION("""COMPUTED_VALUE""")," CHUMACERA PARED 1 UCF205-16")</f>
        <v>CHUMACERA PARED 1 UCF205-16</v>
      </c>
      <c r="AT457" s="71">
        <f>IFERROR(__xludf.DUMMYFUNCTION("""COMPUTED_VALUE"""),27.0)</f>
        <v>27</v>
      </c>
      <c r="AU457" s="71"/>
      <c r="AV457" s="71"/>
      <c r="AW457" s="71"/>
      <c r="AX457" s="71"/>
      <c r="AY457" s="71">
        <f>IFERROR(__xludf.DUMMYFUNCTION("""COMPUTED_VALUE"""),112.0)</f>
        <v>112</v>
      </c>
      <c r="AZ457" s="71">
        <f>IFERROR(__xludf.DUMMYFUNCTION("""COMPUTED_VALUE"""),120.0)</f>
        <v>120</v>
      </c>
      <c r="BA457" s="71">
        <f>IFERROR(__xludf.DUMMYFUNCTION("""COMPUTED_VALUE"""),129.60000000000002)</f>
        <v>129.6</v>
      </c>
      <c r="BB457" s="71">
        <f>IFERROR(__xludf.DUMMYFUNCTION("""COMPUTED_VALUE"""),129.60000000000002)</f>
        <v>129.6</v>
      </c>
      <c r="BC457" s="71">
        <f>IFERROR(__xludf.DUMMYFUNCTION("""COMPUTED_VALUE"""),150.0)</f>
        <v>150</v>
      </c>
      <c r="BD457" s="71">
        <f>IFERROR(__xludf.DUMMYFUNCTION("""COMPUTED_VALUE"""),158.0)</f>
        <v>158</v>
      </c>
      <c r="BE457" s="71">
        <f>IFERROR(__xludf.DUMMYFUNCTION("""COMPUTED_VALUE"""),25.28)</f>
        <v>25.28</v>
      </c>
      <c r="BF457" s="71">
        <f>IFERROR(__xludf.DUMMYFUNCTION("""COMPUTED_VALUE"""),183.28)</f>
        <v>183.28</v>
      </c>
      <c r="BG457" s="71">
        <f>IFERROR(__xludf.DUMMYFUNCTION("""COMPUTED_VALUE"""),0.05333333333333334)</f>
        <v>0.05333333333</v>
      </c>
      <c r="BH457" s="71">
        <f>IFERROR(__xludf.DUMMYFUNCTION("""COMPUTED_VALUE"""),150.1)</f>
        <v>150.1</v>
      </c>
      <c r="BI457" s="71">
        <f>IFERROR(__xludf.DUMMYFUNCTION("""COMPUTED_VALUE"""),24.016)</f>
        <v>24.016</v>
      </c>
      <c r="BJ457" s="71">
        <f>IFERROR(__xludf.DUMMYFUNCTION("""COMPUTED_VALUE"""),174.11599999999999)</f>
        <v>174.116</v>
      </c>
      <c r="BK457" s="71">
        <f>IFERROR(__xludf.DUMMYFUNCTION("""COMPUTED_VALUE"""),142.20000000000002)</f>
        <v>142.2</v>
      </c>
      <c r="BL457" s="71">
        <f>IFERROR(__xludf.DUMMYFUNCTION("""COMPUTED_VALUE"""),22.752000000000002)</f>
        <v>22.752</v>
      </c>
      <c r="BM457" s="71">
        <f>IFERROR(__xludf.DUMMYFUNCTION("""COMPUTED_VALUE"""),164.95200000000003)</f>
        <v>164.952</v>
      </c>
      <c r="BN457" s="71">
        <f>IFERROR(__xludf.DUMMYFUNCTION("""COMPUTED_VALUE"""),134.29999999999998)</f>
        <v>134.3</v>
      </c>
      <c r="BO457" s="71">
        <f>IFERROR(__xludf.DUMMYFUNCTION("""COMPUTED_VALUE"""),21.487999999999996)</f>
        <v>21.488</v>
      </c>
      <c r="BP457" s="71">
        <f>IFERROR(__xludf.DUMMYFUNCTION("""COMPUTED_VALUE"""),155.78799999999998)</f>
        <v>155.788</v>
      </c>
      <c r="BQ457" s="71">
        <f>IFERROR(__xludf.DUMMYFUNCTION("""COMPUTED_VALUE"""),131.14)</f>
        <v>131.14</v>
      </c>
      <c r="BR457" s="71">
        <f>IFERROR(__xludf.DUMMYFUNCTION("""COMPUTED_VALUE"""),20.9824)</f>
        <v>20.9824</v>
      </c>
      <c r="BS457" s="71">
        <f>IFERROR(__xludf.DUMMYFUNCTION("""COMPUTED_VALUE"""),152.12239999999997)</f>
        <v>152.1224</v>
      </c>
      <c r="BT457" s="71">
        <f>IFERROR(__xludf.DUMMYFUNCTION("""COMPUTED_VALUE"""),126.4)</f>
        <v>126.4</v>
      </c>
      <c r="BU457" s="71">
        <f>IFERROR(__xludf.DUMMYFUNCTION("""COMPUTED_VALUE"""),20.224)</f>
        <v>20.224</v>
      </c>
      <c r="BV457" s="71">
        <f>IFERROR(__xludf.DUMMYFUNCTION("""COMPUTED_VALUE"""),146.624)</f>
        <v>146.624</v>
      </c>
    </row>
    <row r="458">
      <c r="A458" s="53"/>
      <c r="B458" s="53">
        <v>3.0</v>
      </c>
      <c r="C458" s="53" t="s">
        <v>36</v>
      </c>
      <c r="D458" s="53" t="s">
        <v>1162</v>
      </c>
      <c r="E458" s="54" t="s">
        <v>38</v>
      </c>
      <c r="F458" s="55" t="s">
        <v>96</v>
      </c>
      <c r="G458" s="84" t="s">
        <v>1163</v>
      </c>
      <c r="H458" s="84"/>
      <c r="I458" s="54">
        <f t="shared" si="24"/>
        <v>0</v>
      </c>
      <c r="J458" s="102"/>
      <c r="K458" s="102"/>
      <c r="L458" s="76"/>
      <c r="M458" s="59"/>
      <c r="N458" s="60"/>
      <c r="O458" s="100">
        <v>69905.0</v>
      </c>
      <c r="P458" s="62">
        <v>75497.40000000001</v>
      </c>
      <c r="Q458" s="63">
        <v>75497.40000000001</v>
      </c>
      <c r="R458" s="64">
        <v>83236.0</v>
      </c>
      <c r="S458" s="107">
        <v>87398.0</v>
      </c>
      <c r="T458" s="65">
        <f t="shared" si="2"/>
        <v>13983.68</v>
      </c>
      <c r="U458" s="65">
        <f t="shared" si="3"/>
        <v>101381.68</v>
      </c>
      <c r="V458" s="66">
        <f t="shared" si="4"/>
        <v>0.05000240281</v>
      </c>
      <c r="W458" s="67">
        <f t="shared" si="5"/>
        <v>83028.1</v>
      </c>
      <c r="X458" s="67">
        <f t="shared" si="6"/>
        <v>13284.496</v>
      </c>
      <c r="Y458" s="67">
        <f t="shared" si="7"/>
        <v>96312.596</v>
      </c>
      <c r="Z458" s="67">
        <f t="shared" si="8"/>
        <v>78658.2</v>
      </c>
      <c r="AA458" s="67">
        <f t="shared" si="9"/>
        <v>12585.312</v>
      </c>
      <c r="AB458" s="67">
        <f t="shared" si="10"/>
        <v>91243.512</v>
      </c>
      <c r="AC458" s="67">
        <f t="shared" si="11"/>
        <v>78658.2</v>
      </c>
      <c r="AD458" s="67">
        <f t="shared" si="12"/>
        <v>12585.312</v>
      </c>
      <c r="AE458" s="67">
        <f t="shared" si="13"/>
        <v>91243.512</v>
      </c>
      <c r="AF458" s="67">
        <f t="shared" si="14"/>
        <v>78658.2</v>
      </c>
      <c r="AG458" s="67">
        <f t="shared" si="15"/>
        <v>12585.312</v>
      </c>
      <c r="AH458" s="67">
        <f t="shared" si="16"/>
        <v>91243.512</v>
      </c>
      <c r="AI458" s="67">
        <f t="shared" si="17"/>
        <v>78658.2</v>
      </c>
      <c r="AJ458" s="68">
        <f t="shared" si="20"/>
        <v>12585.312</v>
      </c>
      <c r="AK458" s="68">
        <f t="shared" si="21"/>
        <v>91243.512</v>
      </c>
      <c r="AL458" s="70">
        <f>IFERROR(__xludf.DUMMYFUNCTION("""COMPUTED_VALUE"""),1.0)</f>
        <v>1</v>
      </c>
      <c r="AM458" s="70"/>
      <c r="AN458" s="71" t="str">
        <f>IFERROR(__xludf.DUMMYFUNCTION("""COMPUTED_VALUE""")," C")</f>
        <v>C</v>
      </c>
      <c r="AO458" s="71" t="str">
        <f>IFERROR(__xludf.DUMMYFUNCTION("""COMPUTED_VALUE""")," CH21")</f>
        <v>CH21</v>
      </c>
      <c r="AP458" s="71" t="str">
        <f>IFERROR(__xludf.DUMMYFUNCTION("""COMPUTED_VALUE""")," PZA")</f>
        <v>PZA</v>
      </c>
      <c r="AQ458" s="71" t="str">
        <f>IFERROR(__xludf.DUMMYFUNCTION("""COMPUTED_VALUE""")," REF")</f>
        <v>REF</v>
      </c>
      <c r="AR458" s="71" t="str">
        <f>IFERROR(__xludf.DUMMYFUNCTION("""COMPUTED_VALUE""")," CHUMACERA DE PARED 1""1/4 UCF207-20")</f>
        <v>CHUMACERA DE PARED 1"1/4 UCF207-20</v>
      </c>
      <c r="AS458" s="71" t="str">
        <f>IFERROR(__xludf.DUMMYFUNCTION("""COMPUTED_VALUE""")," CHUMACERA PARED 1 1/4 UCF207-20")</f>
        <v>CHUMACERA PARED 1 1/4 UCF207-20</v>
      </c>
      <c r="AT458" s="71">
        <f>IFERROR(__xludf.DUMMYFUNCTION("""COMPUTED_VALUE"""),31.0)</f>
        <v>31</v>
      </c>
      <c r="AU458" s="71"/>
      <c r="AV458" s="71"/>
      <c r="AW458" s="71"/>
      <c r="AX458" s="71"/>
      <c r="AY458" s="71">
        <f>IFERROR(__xludf.DUMMYFUNCTION("""COMPUTED_VALUE"""),160.0)</f>
        <v>160</v>
      </c>
      <c r="AZ458" s="71">
        <f>IFERROR(__xludf.DUMMYFUNCTION("""COMPUTED_VALUE"""),205.0)</f>
        <v>205</v>
      </c>
      <c r="BA458" s="71">
        <f>IFERROR(__xludf.DUMMYFUNCTION("""COMPUTED_VALUE"""),221.4)</f>
        <v>221.4</v>
      </c>
      <c r="BB458" s="71">
        <f>IFERROR(__xludf.DUMMYFUNCTION("""COMPUTED_VALUE"""),221.4)</f>
        <v>221.4</v>
      </c>
      <c r="BC458" s="71">
        <f>IFERROR(__xludf.DUMMYFUNCTION("""COMPUTED_VALUE"""),254.0)</f>
        <v>254</v>
      </c>
      <c r="BD458" s="71">
        <f>IFERROR(__xludf.DUMMYFUNCTION("""COMPUTED_VALUE"""),267.0)</f>
        <v>267</v>
      </c>
      <c r="BE458" s="71">
        <f>IFERROR(__xludf.DUMMYFUNCTION("""COMPUTED_VALUE"""),42.72)</f>
        <v>42.72</v>
      </c>
      <c r="BF458" s="71">
        <f>IFERROR(__xludf.DUMMYFUNCTION("""COMPUTED_VALUE"""),309.72)</f>
        <v>309.72</v>
      </c>
      <c r="BG458" s="71">
        <f>IFERROR(__xludf.DUMMYFUNCTION("""COMPUTED_VALUE"""),0.051181102362204724)</f>
        <v>0.05118110236</v>
      </c>
      <c r="BH458" s="71">
        <f>IFERROR(__xludf.DUMMYFUNCTION("""COMPUTED_VALUE"""),253.64999999999998)</f>
        <v>253.65</v>
      </c>
      <c r="BI458" s="71">
        <f>IFERROR(__xludf.DUMMYFUNCTION("""COMPUTED_VALUE"""),40.583999999999996)</f>
        <v>40.584</v>
      </c>
      <c r="BJ458" s="71">
        <f>IFERROR(__xludf.DUMMYFUNCTION("""COMPUTED_VALUE"""),294.234)</f>
        <v>294.234</v>
      </c>
      <c r="BK458" s="71">
        <f>IFERROR(__xludf.DUMMYFUNCTION("""COMPUTED_VALUE"""),240.3)</f>
        <v>240.3</v>
      </c>
      <c r="BL458" s="71">
        <f>IFERROR(__xludf.DUMMYFUNCTION("""COMPUTED_VALUE"""),38.448)</f>
        <v>38.448</v>
      </c>
      <c r="BM458" s="71">
        <f>IFERROR(__xludf.DUMMYFUNCTION("""COMPUTED_VALUE"""),278.748)</f>
        <v>278.748</v>
      </c>
      <c r="BN458" s="71">
        <f>IFERROR(__xludf.DUMMYFUNCTION("""COMPUTED_VALUE"""),226.95)</f>
        <v>226.95</v>
      </c>
      <c r="BO458" s="71">
        <f>IFERROR(__xludf.DUMMYFUNCTION("""COMPUTED_VALUE"""),36.312)</f>
        <v>36.312</v>
      </c>
      <c r="BP458" s="71">
        <f>IFERROR(__xludf.DUMMYFUNCTION("""COMPUTED_VALUE"""),263.262)</f>
        <v>263.262</v>
      </c>
      <c r="BQ458" s="71">
        <f>IFERROR(__xludf.DUMMYFUNCTION("""COMPUTED_VALUE"""),221.60999999999999)</f>
        <v>221.61</v>
      </c>
      <c r="BR458" s="71">
        <f>IFERROR(__xludf.DUMMYFUNCTION("""COMPUTED_VALUE"""),35.4576)</f>
        <v>35.4576</v>
      </c>
      <c r="BS458" s="71">
        <f>IFERROR(__xludf.DUMMYFUNCTION("""COMPUTED_VALUE"""),257.06759999999997)</f>
        <v>257.0676</v>
      </c>
      <c r="BT458" s="71">
        <f>IFERROR(__xludf.DUMMYFUNCTION("""COMPUTED_VALUE"""),213.60000000000002)</f>
        <v>213.6</v>
      </c>
      <c r="BU458" s="71">
        <f>IFERROR(__xludf.DUMMYFUNCTION("""COMPUTED_VALUE"""),34.176)</f>
        <v>34.176</v>
      </c>
      <c r="BV458" s="71">
        <f>IFERROR(__xludf.DUMMYFUNCTION("""COMPUTED_VALUE"""),247.776)</f>
        <v>247.776</v>
      </c>
    </row>
    <row r="459">
      <c r="A459" s="53"/>
      <c r="B459" s="53">
        <v>3.0</v>
      </c>
      <c r="C459" s="53" t="s">
        <v>36</v>
      </c>
      <c r="D459" s="74" t="s">
        <v>1164</v>
      </c>
      <c r="E459" s="54" t="s">
        <v>38</v>
      </c>
      <c r="F459" s="55" t="s">
        <v>96</v>
      </c>
      <c r="G459" s="84" t="s">
        <v>1165</v>
      </c>
      <c r="H459" s="84"/>
      <c r="I459" s="54">
        <f t="shared" si="24"/>
        <v>0</v>
      </c>
      <c r="J459" s="102"/>
      <c r="K459" s="102"/>
      <c r="L459" s="76"/>
      <c r="M459" s="59"/>
      <c r="N459" s="60"/>
      <c r="O459" s="100">
        <v>55436.0</v>
      </c>
      <c r="P459" s="62">
        <v>59870.880000000005</v>
      </c>
      <c r="Q459" s="63">
        <v>59870.880000000005</v>
      </c>
      <c r="R459" s="64">
        <v>66009.0</v>
      </c>
      <c r="S459" s="107">
        <v>69309.0</v>
      </c>
      <c r="T459" s="65">
        <f t="shared" si="2"/>
        <v>11089.44</v>
      </c>
      <c r="U459" s="65">
        <f t="shared" si="3"/>
        <v>80398.44</v>
      </c>
      <c r="V459" s="66">
        <f t="shared" si="4"/>
        <v>0.04999318275</v>
      </c>
      <c r="W459" s="67">
        <f t="shared" si="5"/>
        <v>65843.55</v>
      </c>
      <c r="X459" s="67">
        <f t="shared" si="6"/>
        <v>10534.968</v>
      </c>
      <c r="Y459" s="67">
        <f t="shared" si="7"/>
        <v>76378.518</v>
      </c>
      <c r="Z459" s="67">
        <f t="shared" si="8"/>
        <v>62378.1</v>
      </c>
      <c r="AA459" s="67">
        <f t="shared" si="9"/>
        <v>9980.496</v>
      </c>
      <c r="AB459" s="67">
        <f t="shared" si="10"/>
        <v>72358.596</v>
      </c>
      <c r="AC459" s="67">
        <f t="shared" si="11"/>
        <v>62378.1</v>
      </c>
      <c r="AD459" s="67">
        <f t="shared" si="12"/>
        <v>9980.496</v>
      </c>
      <c r="AE459" s="67">
        <f t="shared" si="13"/>
        <v>72358.596</v>
      </c>
      <c r="AF459" s="67">
        <f t="shared" si="14"/>
        <v>62378.1</v>
      </c>
      <c r="AG459" s="67">
        <f t="shared" si="15"/>
        <v>9980.496</v>
      </c>
      <c r="AH459" s="67">
        <f t="shared" si="16"/>
        <v>72358.596</v>
      </c>
      <c r="AI459" s="67">
        <f t="shared" si="17"/>
        <v>62378.1</v>
      </c>
      <c r="AJ459" s="68">
        <f t="shared" si="20"/>
        <v>9980.496</v>
      </c>
      <c r="AK459" s="68">
        <f t="shared" si="21"/>
        <v>72358.596</v>
      </c>
      <c r="AL459" s="70">
        <f>IFERROR(__xludf.DUMMYFUNCTION("""COMPUTED_VALUE"""),1.0)</f>
        <v>1</v>
      </c>
      <c r="AM459" s="70"/>
      <c r="AN459" s="71" t="str">
        <f>IFERROR(__xludf.DUMMYFUNCTION("""COMPUTED_VALUE""")," C")</f>
        <v>C</v>
      </c>
      <c r="AO459" s="71" t="str">
        <f>IFERROR(__xludf.DUMMYFUNCTION("""COMPUTED_VALUE""")," CH19")</f>
        <v>CH19</v>
      </c>
      <c r="AP459" s="71" t="str">
        <f>IFERROR(__xludf.DUMMYFUNCTION("""COMPUTED_VALUE""")," PZA")</f>
        <v>PZA</v>
      </c>
      <c r="AQ459" s="71" t="str">
        <f>IFERROR(__xludf.DUMMYFUNCTION("""COMPUTED_VALUE""")," REF")</f>
        <v>REF</v>
      </c>
      <c r="AR459" s="71" t="str">
        <f>IFERROR(__xludf.DUMMYFUNCTION("""COMPUTED_VALUE""")," CHUMACERA DE PARED 3/4 UCF204-12")</f>
        <v>CHUMACERA DE PARED 3/4 UCF204-12</v>
      </c>
      <c r="AS459" s="71" t="str">
        <f>IFERROR(__xludf.DUMMYFUNCTION("""COMPUTED_VALUE""")," CHUMACERA PARED 3/4 UCF204-12")</f>
        <v>CHUMACERA PARED 3/4 UCF204-12</v>
      </c>
      <c r="AT459" s="71">
        <f>IFERROR(__xludf.DUMMYFUNCTION("""COMPUTED_VALUE"""),29.0)</f>
        <v>29</v>
      </c>
      <c r="AU459" s="71"/>
      <c r="AV459" s="71"/>
      <c r="AW459" s="71"/>
      <c r="AX459" s="71"/>
      <c r="AY459" s="71">
        <f>IFERROR(__xludf.DUMMYFUNCTION("""COMPUTED_VALUE"""),110.0)</f>
        <v>110</v>
      </c>
      <c r="AZ459" s="71">
        <f>IFERROR(__xludf.DUMMYFUNCTION("""COMPUTED_VALUE"""),118.0)</f>
        <v>118</v>
      </c>
      <c r="BA459" s="71">
        <f>IFERROR(__xludf.DUMMYFUNCTION("""COMPUTED_VALUE"""),127.44000000000001)</f>
        <v>127.44</v>
      </c>
      <c r="BB459" s="71">
        <f>IFERROR(__xludf.DUMMYFUNCTION("""COMPUTED_VALUE"""),127.44000000000001)</f>
        <v>127.44</v>
      </c>
      <c r="BC459" s="71">
        <f>IFERROR(__xludf.DUMMYFUNCTION("""COMPUTED_VALUE"""),147.0)</f>
        <v>147</v>
      </c>
      <c r="BD459" s="71">
        <f>IFERROR(__xludf.DUMMYFUNCTION("""COMPUTED_VALUE"""),154.0)</f>
        <v>154</v>
      </c>
      <c r="BE459" s="71">
        <f>IFERROR(__xludf.DUMMYFUNCTION("""COMPUTED_VALUE"""),24.64)</f>
        <v>24.64</v>
      </c>
      <c r="BF459" s="71">
        <f>IFERROR(__xludf.DUMMYFUNCTION("""COMPUTED_VALUE"""),178.64)</f>
        <v>178.64</v>
      </c>
      <c r="BG459" s="71">
        <f>IFERROR(__xludf.DUMMYFUNCTION("""COMPUTED_VALUE"""),0.047619047619047616)</f>
        <v>0.04761904762</v>
      </c>
      <c r="BH459" s="71">
        <f>IFERROR(__xludf.DUMMYFUNCTION("""COMPUTED_VALUE"""),146.29999999999998)</f>
        <v>146.3</v>
      </c>
      <c r="BI459" s="71">
        <f>IFERROR(__xludf.DUMMYFUNCTION("""COMPUTED_VALUE"""),23.407999999999998)</f>
        <v>23.408</v>
      </c>
      <c r="BJ459" s="71">
        <f>IFERROR(__xludf.DUMMYFUNCTION("""COMPUTED_VALUE"""),169.70799999999997)</f>
        <v>169.708</v>
      </c>
      <c r="BK459" s="71">
        <f>IFERROR(__xludf.DUMMYFUNCTION("""COMPUTED_VALUE"""),138.6)</f>
        <v>138.6</v>
      </c>
      <c r="BL459" s="71">
        <f>IFERROR(__xludf.DUMMYFUNCTION("""COMPUTED_VALUE"""),22.176)</f>
        <v>22.176</v>
      </c>
      <c r="BM459" s="71">
        <f>IFERROR(__xludf.DUMMYFUNCTION("""COMPUTED_VALUE"""),160.77599999999998)</f>
        <v>160.776</v>
      </c>
      <c r="BN459" s="71">
        <f>IFERROR(__xludf.DUMMYFUNCTION("""COMPUTED_VALUE"""),130.9)</f>
        <v>130.9</v>
      </c>
      <c r="BO459" s="71">
        <f>IFERROR(__xludf.DUMMYFUNCTION("""COMPUTED_VALUE"""),20.944000000000003)</f>
        <v>20.944</v>
      </c>
      <c r="BP459" s="71">
        <f>IFERROR(__xludf.DUMMYFUNCTION("""COMPUTED_VALUE"""),151.844)</f>
        <v>151.844</v>
      </c>
      <c r="BQ459" s="71">
        <f>IFERROR(__xludf.DUMMYFUNCTION("""COMPUTED_VALUE"""),127.82)</f>
        <v>127.82</v>
      </c>
      <c r="BR459" s="71">
        <f>IFERROR(__xludf.DUMMYFUNCTION("""COMPUTED_VALUE"""),20.4512)</f>
        <v>20.4512</v>
      </c>
      <c r="BS459" s="71">
        <f>IFERROR(__xludf.DUMMYFUNCTION("""COMPUTED_VALUE"""),148.2712)</f>
        <v>148.2712</v>
      </c>
      <c r="BT459" s="71">
        <f>IFERROR(__xludf.DUMMYFUNCTION("""COMPUTED_VALUE"""),123.2)</f>
        <v>123.2</v>
      </c>
      <c r="BU459" s="71">
        <f>IFERROR(__xludf.DUMMYFUNCTION("""COMPUTED_VALUE"""),19.712)</f>
        <v>19.712</v>
      </c>
      <c r="BV459" s="71">
        <f>IFERROR(__xludf.DUMMYFUNCTION("""COMPUTED_VALUE"""),142.912)</f>
        <v>142.912</v>
      </c>
    </row>
    <row r="460">
      <c r="A460" s="53"/>
      <c r="B460" s="53">
        <v>3.0</v>
      </c>
      <c r="C460" s="53" t="s">
        <v>36</v>
      </c>
      <c r="D460" s="85" t="s">
        <v>1166</v>
      </c>
      <c r="E460" s="54" t="s">
        <v>38</v>
      </c>
      <c r="F460" s="55" t="s">
        <v>96</v>
      </c>
      <c r="G460" s="84" t="s">
        <v>1167</v>
      </c>
      <c r="H460" s="84"/>
      <c r="I460" s="54">
        <f t="shared" si="24"/>
        <v>0</v>
      </c>
      <c r="J460" s="102"/>
      <c r="K460" s="102"/>
      <c r="L460" s="76"/>
      <c r="M460" s="59"/>
      <c r="N460" s="60"/>
      <c r="O460" s="100">
        <v>25869.0</v>
      </c>
      <c r="P460" s="62">
        <v>27938.52</v>
      </c>
      <c r="Q460" s="63">
        <v>27938.52</v>
      </c>
      <c r="R460" s="64">
        <v>30803.0</v>
      </c>
      <c r="S460" s="112">
        <v>32343.0</v>
      </c>
      <c r="T460" s="65">
        <f t="shared" si="2"/>
        <v>5174.88</v>
      </c>
      <c r="U460" s="65">
        <f t="shared" si="3"/>
        <v>37517.88</v>
      </c>
      <c r="V460" s="66">
        <f t="shared" si="4"/>
        <v>0.04999513034</v>
      </c>
      <c r="W460" s="67">
        <f t="shared" si="5"/>
        <v>30725.85</v>
      </c>
      <c r="X460" s="67">
        <f t="shared" si="6"/>
        <v>4916.136</v>
      </c>
      <c r="Y460" s="67">
        <f t="shared" si="7"/>
        <v>35641.986</v>
      </c>
      <c r="Z460" s="67">
        <f t="shared" si="8"/>
        <v>29108.7</v>
      </c>
      <c r="AA460" s="67">
        <f t="shared" si="9"/>
        <v>4657.392</v>
      </c>
      <c r="AB460" s="67">
        <f t="shared" si="10"/>
        <v>33766.092</v>
      </c>
      <c r="AC460" s="67">
        <f t="shared" si="11"/>
        <v>29108.7</v>
      </c>
      <c r="AD460" s="67">
        <f t="shared" si="12"/>
        <v>4657.392</v>
      </c>
      <c r="AE460" s="67">
        <f t="shared" si="13"/>
        <v>33766.092</v>
      </c>
      <c r="AF460" s="67">
        <f t="shared" si="14"/>
        <v>29108.7</v>
      </c>
      <c r="AG460" s="67">
        <f t="shared" si="15"/>
        <v>4657.392</v>
      </c>
      <c r="AH460" s="67">
        <f t="shared" si="16"/>
        <v>33766.092</v>
      </c>
      <c r="AI460" s="67">
        <f t="shared" si="17"/>
        <v>29108.7</v>
      </c>
      <c r="AJ460" s="68">
        <f t="shared" si="20"/>
        <v>4657.392</v>
      </c>
      <c r="AK460" s="68">
        <f t="shared" si="21"/>
        <v>33766.092</v>
      </c>
      <c r="AL460" s="70">
        <f>IFERROR(__xludf.DUMMYFUNCTION("""COMPUTED_VALUE"""),1.0)</f>
        <v>1</v>
      </c>
      <c r="AM460" s="70"/>
      <c r="AN460" s="71" t="str">
        <f>IFERROR(__xludf.DUMMYFUNCTION("""COMPUTED_VALUE""")," C")</f>
        <v>C</v>
      </c>
      <c r="AO460" s="71" t="str">
        <f>IFERROR(__xludf.DUMMYFUNCTION("""COMPUTED_VALUE""")," CH23")</f>
        <v>CH23</v>
      </c>
      <c r="AP460" s="71" t="str">
        <f>IFERROR(__xludf.DUMMYFUNCTION("""COMPUTED_VALUE""")," PZA")</f>
        <v>PZA</v>
      </c>
      <c r="AQ460" s="71" t="str">
        <f>IFERROR(__xludf.DUMMYFUNCTION("""COMPUTED_VALUE""")," REF")</f>
        <v>REF</v>
      </c>
      <c r="AR460" s="71" t="str">
        <f>IFERROR(__xludf.DUMMYFUNCTION("""COMPUTED_VALUE""")," CHUMACERA DE PISO 1"" UCP205-16")</f>
        <v>CHUMACERA DE PISO 1" UCP205-16</v>
      </c>
      <c r="AS460" s="71" t="str">
        <f>IFERROR(__xludf.DUMMYFUNCTION("""COMPUTED_VALUE""")," CHUMACERA PISO 1 UCP205-16")</f>
        <v>CHUMACERA PISO 1 UCP205-16</v>
      </c>
      <c r="AT460" s="71">
        <f>IFERROR(__xludf.DUMMYFUNCTION("""COMPUTED_VALUE"""),26.0)</f>
        <v>26</v>
      </c>
      <c r="AU460" s="71"/>
      <c r="AV460" s="71"/>
      <c r="AW460" s="71"/>
      <c r="AX460" s="71"/>
      <c r="AY460" s="71">
        <f>IFERROR(__xludf.DUMMYFUNCTION("""COMPUTED_VALUE"""),112.0)</f>
        <v>112</v>
      </c>
      <c r="AZ460" s="71">
        <f>IFERROR(__xludf.DUMMYFUNCTION("""COMPUTED_VALUE"""),120.0)</f>
        <v>120</v>
      </c>
      <c r="BA460" s="71">
        <f>IFERROR(__xludf.DUMMYFUNCTION("""COMPUTED_VALUE"""),129.60000000000002)</f>
        <v>129.6</v>
      </c>
      <c r="BB460" s="71">
        <f>IFERROR(__xludf.DUMMYFUNCTION("""COMPUTED_VALUE"""),129.60000000000002)</f>
        <v>129.6</v>
      </c>
      <c r="BC460" s="71">
        <f>IFERROR(__xludf.DUMMYFUNCTION("""COMPUTED_VALUE"""),150.0)</f>
        <v>150</v>
      </c>
      <c r="BD460" s="71">
        <f>IFERROR(__xludf.DUMMYFUNCTION("""COMPUTED_VALUE"""),158.0)</f>
        <v>158</v>
      </c>
      <c r="BE460" s="71">
        <f>IFERROR(__xludf.DUMMYFUNCTION("""COMPUTED_VALUE"""),25.28)</f>
        <v>25.28</v>
      </c>
      <c r="BF460" s="71">
        <f>IFERROR(__xludf.DUMMYFUNCTION("""COMPUTED_VALUE"""),183.28)</f>
        <v>183.28</v>
      </c>
      <c r="BG460" s="71">
        <f>IFERROR(__xludf.DUMMYFUNCTION("""COMPUTED_VALUE"""),0.05333333333333334)</f>
        <v>0.05333333333</v>
      </c>
      <c r="BH460" s="71">
        <f>IFERROR(__xludf.DUMMYFUNCTION("""COMPUTED_VALUE"""),150.1)</f>
        <v>150.1</v>
      </c>
      <c r="BI460" s="71">
        <f>IFERROR(__xludf.DUMMYFUNCTION("""COMPUTED_VALUE"""),24.016)</f>
        <v>24.016</v>
      </c>
      <c r="BJ460" s="71">
        <f>IFERROR(__xludf.DUMMYFUNCTION("""COMPUTED_VALUE"""),174.11599999999999)</f>
        <v>174.116</v>
      </c>
      <c r="BK460" s="71">
        <f>IFERROR(__xludf.DUMMYFUNCTION("""COMPUTED_VALUE"""),142.20000000000002)</f>
        <v>142.2</v>
      </c>
      <c r="BL460" s="71">
        <f>IFERROR(__xludf.DUMMYFUNCTION("""COMPUTED_VALUE"""),22.752000000000002)</f>
        <v>22.752</v>
      </c>
      <c r="BM460" s="71">
        <f>IFERROR(__xludf.DUMMYFUNCTION("""COMPUTED_VALUE"""),164.95200000000003)</f>
        <v>164.952</v>
      </c>
      <c r="BN460" s="71">
        <f>IFERROR(__xludf.DUMMYFUNCTION("""COMPUTED_VALUE"""),134.29999999999998)</f>
        <v>134.3</v>
      </c>
      <c r="BO460" s="71">
        <f>IFERROR(__xludf.DUMMYFUNCTION("""COMPUTED_VALUE"""),21.487999999999996)</f>
        <v>21.488</v>
      </c>
      <c r="BP460" s="71">
        <f>IFERROR(__xludf.DUMMYFUNCTION("""COMPUTED_VALUE"""),155.78799999999998)</f>
        <v>155.788</v>
      </c>
      <c r="BQ460" s="71">
        <f>IFERROR(__xludf.DUMMYFUNCTION("""COMPUTED_VALUE"""),131.14)</f>
        <v>131.14</v>
      </c>
      <c r="BR460" s="71">
        <f>IFERROR(__xludf.DUMMYFUNCTION("""COMPUTED_VALUE"""),20.9824)</f>
        <v>20.9824</v>
      </c>
      <c r="BS460" s="71">
        <f>IFERROR(__xludf.DUMMYFUNCTION("""COMPUTED_VALUE"""),152.12239999999997)</f>
        <v>152.1224</v>
      </c>
      <c r="BT460" s="71">
        <f>IFERROR(__xludf.DUMMYFUNCTION("""COMPUTED_VALUE"""),126.4)</f>
        <v>126.4</v>
      </c>
      <c r="BU460" s="71">
        <f>IFERROR(__xludf.DUMMYFUNCTION("""COMPUTED_VALUE"""),20.224)</f>
        <v>20.224</v>
      </c>
      <c r="BV460" s="71">
        <f>IFERROR(__xludf.DUMMYFUNCTION("""COMPUTED_VALUE"""),146.624)</f>
        <v>146.624</v>
      </c>
    </row>
    <row r="461">
      <c r="A461" s="53"/>
      <c r="B461" s="53">
        <v>3.0</v>
      </c>
      <c r="C461" s="53" t="s">
        <v>36</v>
      </c>
      <c r="D461" s="85" t="s">
        <v>1168</v>
      </c>
      <c r="E461" s="54" t="s">
        <v>38</v>
      </c>
      <c r="F461" s="55" t="s">
        <v>96</v>
      </c>
      <c r="G461" s="84" t="s">
        <v>1169</v>
      </c>
      <c r="H461" s="84"/>
      <c r="I461" s="54">
        <f t="shared" si="24"/>
        <v>0</v>
      </c>
      <c r="J461" s="102"/>
      <c r="K461" s="102"/>
      <c r="L461" s="76"/>
      <c r="M461" s="59"/>
      <c r="N461" s="60"/>
      <c r="O461" s="100">
        <v>27318.0</v>
      </c>
      <c r="P461" s="62">
        <v>29503.440000000002</v>
      </c>
      <c r="Q461" s="63">
        <v>29503.440000000002</v>
      </c>
      <c r="R461" s="64">
        <v>32527.0</v>
      </c>
      <c r="S461" s="112">
        <v>34153.0</v>
      </c>
      <c r="T461" s="65">
        <f t="shared" si="2"/>
        <v>5464.48</v>
      </c>
      <c r="U461" s="65">
        <f t="shared" si="3"/>
        <v>39617.48</v>
      </c>
      <c r="V461" s="66">
        <f t="shared" si="4"/>
        <v>0.04998923971</v>
      </c>
      <c r="W461" s="67">
        <f t="shared" si="5"/>
        <v>32445.35</v>
      </c>
      <c r="X461" s="67">
        <f t="shared" si="6"/>
        <v>5191.256</v>
      </c>
      <c r="Y461" s="67">
        <f t="shared" si="7"/>
        <v>37636.606</v>
      </c>
      <c r="Z461" s="67">
        <f t="shared" si="8"/>
        <v>30737.7</v>
      </c>
      <c r="AA461" s="67">
        <f t="shared" si="9"/>
        <v>4918.032</v>
      </c>
      <c r="AB461" s="67">
        <f t="shared" si="10"/>
        <v>35655.732</v>
      </c>
      <c r="AC461" s="67">
        <f t="shared" si="11"/>
        <v>30737.7</v>
      </c>
      <c r="AD461" s="67">
        <f t="shared" si="12"/>
        <v>4918.032</v>
      </c>
      <c r="AE461" s="67">
        <f t="shared" si="13"/>
        <v>35655.732</v>
      </c>
      <c r="AF461" s="67">
        <f t="shared" si="14"/>
        <v>30737.7</v>
      </c>
      <c r="AG461" s="67">
        <f t="shared" si="15"/>
        <v>4918.032</v>
      </c>
      <c r="AH461" s="67">
        <f t="shared" si="16"/>
        <v>35655.732</v>
      </c>
      <c r="AI461" s="67">
        <f t="shared" si="17"/>
        <v>30737.7</v>
      </c>
      <c r="AJ461" s="68">
        <f t="shared" si="20"/>
        <v>4918.032</v>
      </c>
      <c r="AK461" s="68">
        <f t="shared" si="21"/>
        <v>35655.732</v>
      </c>
      <c r="AL461" s="70">
        <f>IFERROR(__xludf.DUMMYFUNCTION("""COMPUTED_VALUE"""),1.0)</f>
        <v>1</v>
      </c>
      <c r="AM461" s="70"/>
      <c r="AN461" s="71" t="str">
        <f>IFERROR(__xludf.DUMMYFUNCTION("""COMPUTED_VALUE""")," C")</f>
        <v>C</v>
      </c>
      <c r="AO461" s="71" t="str">
        <f>IFERROR(__xludf.DUMMYFUNCTION("""COMPUTED_VALUE""")," CH24")</f>
        <v>CH24</v>
      </c>
      <c r="AP461" s="71" t="str">
        <f>IFERROR(__xludf.DUMMYFUNCTION("""COMPUTED_VALUE""")," PZA")</f>
        <v>PZA</v>
      </c>
      <c r="AQ461" s="71" t="str">
        <f>IFERROR(__xludf.DUMMYFUNCTION("""COMPUTED_VALUE""")," REF")</f>
        <v>REF</v>
      </c>
      <c r="AR461" s="71" t="str">
        <f>IFERROR(__xludf.DUMMYFUNCTION("""COMPUTED_VALUE""")," CHUMACERA DE PISO 1""1/4 UCP207-20")</f>
        <v>CHUMACERA DE PISO 1"1/4 UCP207-20</v>
      </c>
      <c r="AS461" s="71" t="str">
        <f>IFERROR(__xludf.DUMMYFUNCTION("""COMPUTED_VALUE""")," CHUMACERA PISO 1 1/4 UCP207-20")</f>
        <v>CHUMACERA PISO 1 1/4 UCP207-20</v>
      </c>
      <c r="AT461" s="71">
        <f>IFERROR(__xludf.DUMMYFUNCTION("""COMPUTED_VALUE"""),30.0)</f>
        <v>30</v>
      </c>
      <c r="AU461" s="71"/>
      <c r="AV461" s="71"/>
      <c r="AW461" s="71"/>
      <c r="AX461" s="71"/>
      <c r="AY461" s="71">
        <f>IFERROR(__xludf.DUMMYFUNCTION("""COMPUTED_VALUE"""),160.0)</f>
        <v>160</v>
      </c>
      <c r="AZ461" s="71">
        <f>IFERROR(__xludf.DUMMYFUNCTION("""COMPUTED_VALUE"""),202.0)</f>
        <v>202</v>
      </c>
      <c r="BA461" s="71">
        <f>IFERROR(__xludf.DUMMYFUNCTION("""COMPUTED_VALUE"""),218.16000000000003)</f>
        <v>218.16</v>
      </c>
      <c r="BB461" s="71">
        <f>IFERROR(__xludf.DUMMYFUNCTION("""COMPUTED_VALUE"""),218.16000000000003)</f>
        <v>218.16</v>
      </c>
      <c r="BC461" s="71">
        <f>IFERROR(__xludf.DUMMYFUNCTION("""COMPUTED_VALUE"""),251.0)</f>
        <v>251</v>
      </c>
      <c r="BD461" s="71">
        <f>IFERROR(__xludf.DUMMYFUNCTION("""COMPUTED_VALUE"""),264.0)</f>
        <v>264</v>
      </c>
      <c r="BE461" s="71">
        <f>IFERROR(__xludf.DUMMYFUNCTION("""COMPUTED_VALUE"""),42.24)</f>
        <v>42.24</v>
      </c>
      <c r="BF461" s="71">
        <f>IFERROR(__xludf.DUMMYFUNCTION("""COMPUTED_VALUE"""),306.24)</f>
        <v>306.24</v>
      </c>
      <c r="BG461" s="71">
        <f>IFERROR(__xludf.DUMMYFUNCTION("""COMPUTED_VALUE"""),0.05179282868525897)</f>
        <v>0.05179282869</v>
      </c>
      <c r="BH461" s="71">
        <f>IFERROR(__xludf.DUMMYFUNCTION("""COMPUTED_VALUE"""),250.79999999999998)</f>
        <v>250.8</v>
      </c>
      <c r="BI461" s="71">
        <f>IFERROR(__xludf.DUMMYFUNCTION("""COMPUTED_VALUE"""),40.128)</f>
        <v>40.128</v>
      </c>
      <c r="BJ461" s="71">
        <f>IFERROR(__xludf.DUMMYFUNCTION("""COMPUTED_VALUE"""),290.928)</f>
        <v>290.928</v>
      </c>
      <c r="BK461" s="71">
        <f>IFERROR(__xludf.DUMMYFUNCTION("""COMPUTED_VALUE"""),237.6)</f>
        <v>237.6</v>
      </c>
      <c r="BL461" s="71">
        <f>IFERROR(__xludf.DUMMYFUNCTION("""COMPUTED_VALUE"""),38.016)</f>
        <v>38.016</v>
      </c>
      <c r="BM461" s="71">
        <f>IFERROR(__xludf.DUMMYFUNCTION("""COMPUTED_VALUE"""),275.616)</f>
        <v>275.616</v>
      </c>
      <c r="BN461" s="71">
        <f>IFERROR(__xludf.DUMMYFUNCTION("""COMPUTED_VALUE"""),224.4)</f>
        <v>224.4</v>
      </c>
      <c r="BO461" s="71">
        <f>IFERROR(__xludf.DUMMYFUNCTION("""COMPUTED_VALUE"""),35.904)</f>
        <v>35.904</v>
      </c>
      <c r="BP461" s="71">
        <f>IFERROR(__xludf.DUMMYFUNCTION("""COMPUTED_VALUE"""),260.30400000000003)</f>
        <v>260.304</v>
      </c>
      <c r="BQ461" s="71">
        <f>IFERROR(__xludf.DUMMYFUNCTION("""COMPUTED_VALUE"""),219.11999999999998)</f>
        <v>219.12</v>
      </c>
      <c r="BR461" s="71">
        <f>IFERROR(__xludf.DUMMYFUNCTION("""COMPUTED_VALUE"""),35.0592)</f>
        <v>35.0592</v>
      </c>
      <c r="BS461" s="71">
        <f>IFERROR(__xludf.DUMMYFUNCTION("""COMPUTED_VALUE"""),254.17919999999998)</f>
        <v>254.1792</v>
      </c>
      <c r="BT461" s="71">
        <f>IFERROR(__xludf.DUMMYFUNCTION("""COMPUTED_VALUE"""),211.20000000000002)</f>
        <v>211.2</v>
      </c>
      <c r="BU461" s="71">
        <f>IFERROR(__xludf.DUMMYFUNCTION("""COMPUTED_VALUE"""),33.792)</f>
        <v>33.792</v>
      </c>
      <c r="BV461" s="71">
        <f>IFERROR(__xludf.DUMMYFUNCTION("""COMPUTED_VALUE"""),244.99200000000002)</f>
        <v>244.992</v>
      </c>
    </row>
    <row r="462">
      <c r="A462" s="53"/>
      <c r="B462" s="53">
        <v>3.0</v>
      </c>
      <c r="C462" s="53" t="s">
        <v>36</v>
      </c>
      <c r="D462" s="85" t="s">
        <v>1170</v>
      </c>
      <c r="E462" s="54" t="s">
        <v>38</v>
      </c>
      <c r="F462" s="55" t="s">
        <v>96</v>
      </c>
      <c r="G462" s="84" t="s">
        <v>1171</v>
      </c>
      <c r="H462" s="84"/>
      <c r="I462" s="54">
        <f t="shared" si="24"/>
        <v>0</v>
      </c>
      <c r="J462" s="102"/>
      <c r="K462" s="102"/>
      <c r="L462" s="76"/>
      <c r="M462" s="59"/>
      <c r="N462" s="60"/>
      <c r="O462" s="100">
        <v>29055.0</v>
      </c>
      <c r="P462" s="62">
        <v>31379.4</v>
      </c>
      <c r="Q462" s="63">
        <v>31379.4</v>
      </c>
      <c r="R462" s="64">
        <v>34596.0</v>
      </c>
      <c r="S462" s="107">
        <v>36326.0</v>
      </c>
      <c r="T462" s="65">
        <f t="shared" si="2"/>
        <v>5812.16</v>
      </c>
      <c r="U462" s="65">
        <f t="shared" si="3"/>
        <v>42138.16</v>
      </c>
      <c r="V462" s="66">
        <f t="shared" si="4"/>
        <v>0.05000578102</v>
      </c>
      <c r="W462" s="67">
        <f t="shared" si="5"/>
        <v>34509.7</v>
      </c>
      <c r="X462" s="67">
        <f t="shared" si="6"/>
        <v>5521.552</v>
      </c>
      <c r="Y462" s="67">
        <f t="shared" si="7"/>
        <v>40031.252</v>
      </c>
      <c r="Z462" s="67">
        <f t="shared" si="8"/>
        <v>32693.4</v>
      </c>
      <c r="AA462" s="67">
        <f t="shared" si="9"/>
        <v>5230.944</v>
      </c>
      <c r="AB462" s="67">
        <f t="shared" si="10"/>
        <v>37924.344</v>
      </c>
      <c r="AC462" s="67">
        <f t="shared" si="11"/>
        <v>32693.4</v>
      </c>
      <c r="AD462" s="67">
        <f t="shared" si="12"/>
        <v>5230.944</v>
      </c>
      <c r="AE462" s="67">
        <f t="shared" si="13"/>
        <v>37924.344</v>
      </c>
      <c r="AF462" s="67">
        <f t="shared" si="14"/>
        <v>32693.4</v>
      </c>
      <c r="AG462" s="67">
        <f t="shared" si="15"/>
        <v>5230.944</v>
      </c>
      <c r="AH462" s="67">
        <f t="shared" si="16"/>
        <v>37924.344</v>
      </c>
      <c r="AI462" s="67">
        <f t="shared" si="17"/>
        <v>32693.4</v>
      </c>
      <c r="AJ462" s="68">
        <f t="shared" si="20"/>
        <v>5230.944</v>
      </c>
      <c r="AK462" s="68">
        <f t="shared" si="21"/>
        <v>37924.344</v>
      </c>
      <c r="AL462" s="70">
        <f>IFERROR(__xludf.DUMMYFUNCTION("""COMPUTED_VALUE"""),1.0)</f>
        <v>1</v>
      </c>
      <c r="AM462" s="70"/>
      <c r="AN462" s="71" t="str">
        <f>IFERROR(__xludf.DUMMYFUNCTION("""COMPUTED_VALUE""")," C")</f>
        <v>C</v>
      </c>
      <c r="AO462" s="71" t="str">
        <f>IFERROR(__xludf.DUMMYFUNCTION("""COMPUTED_VALUE""")," CH22")</f>
        <v>CH22</v>
      </c>
      <c r="AP462" s="71" t="str">
        <f>IFERROR(__xludf.DUMMYFUNCTION("""COMPUTED_VALUE""")," PZA")</f>
        <v>PZA</v>
      </c>
      <c r="AQ462" s="71" t="str">
        <f>IFERROR(__xludf.DUMMYFUNCTION("""COMPUTED_VALUE""")," REF")</f>
        <v>REF</v>
      </c>
      <c r="AR462" s="71" t="str">
        <f>IFERROR(__xludf.DUMMYFUNCTION("""COMPUTED_VALUE""")," CHUMACERA DE PISO 3/4 UCP204-12")</f>
        <v>CHUMACERA DE PISO 3/4 UCP204-12</v>
      </c>
      <c r="AS462" s="71" t="str">
        <f>IFERROR(__xludf.DUMMYFUNCTION("""COMPUTED_VALUE""")," CHUMACERA PISO 3/4 UCP204-12")</f>
        <v>CHUMACERA PISO 3/4 UCP204-12</v>
      </c>
      <c r="AT462" s="71">
        <f>IFERROR(__xludf.DUMMYFUNCTION("""COMPUTED_VALUE"""),28.0)</f>
        <v>28</v>
      </c>
      <c r="AU462" s="71"/>
      <c r="AV462" s="71"/>
      <c r="AW462" s="71"/>
      <c r="AX462" s="71"/>
      <c r="AY462" s="71">
        <f>IFERROR(__xludf.DUMMYFUNCTION("""COMPUTED_VALUE"""),110.0)</f>
        <v>110</v>
      </c>
      <c r="AZ462" s="71">
        <f>IFERROR(__xludf.DUMMYFUNCTION("""COMPUTED_VALUE"""),118.0)</f>
        <v>118</v>
      </c>
      <c r="BA462" s="71">
        <f>IFERROR(__xludf.DUMMYFUNCTION("""COMPUTED_VALUE"""),127.44000000000001)</f>
        <v>127.44</v>
      </c>
      <c r="BB462" s="71">
        <f>IFERROR(__xludf.DUMMYFUNCTION("""COMPUTED_VALUE"""),127.44000000000001)</f>
        <v>127.44</v>
      </c>
      <c r="BC462" s="71">
        <f>IFERROR(__xludf.DUMMYFUNCTION("""COMPUTED_VALUE"""),147.0)</f>
        <v>147</v>
      </c>
      <c r="BD462" s="71">
        <f>IFERROR(__xludf.DUMMYFUNCTION("""COMPUTED_VALUE"""),154.0)</f>
        <v>154</v>
      </c>
      <c r="BE462" s="71">
        <f>IFERROR(__xludf.DUMMYFUNCTION("""COMPUTED_VALUE"""),24.64)</f>
        <v>24.64</v>
      </c>
      <c r="BF462" s="71">
        <f>IFERROR(__xludf.DUMMYFUNCTION("""COMPUTED_VALUE"""),178.64)</f>
        <v>178.64</v>
      </c>
      <c r="BG462" s="71">
        <f>IFERROR(__xludf.DUMMYFUNCTION("""COMPUTED_VALUE"""),0.047619047619047616)</f>
        <v>0.04761904762</v>
      </c>
      <c r="BH462" s="71">
        <f>IFERROR(__xludf.DUMMYFUNCTION("""COMPUTED_VALUE"""),146.29999999999998)</f>
        <v>146.3</v>
      </c>
      <c r="BI462" s="71">
        <f>IFERROR(__xludf.DUMMYFUNCTION("""COMPUTED_VALUE"""),23.407999999999998)</f>
        <v>23.408</v>
      </c>
      <c r="BJ462" s="71">
        <f>IFERROR(__xludf.DUMMYFUNCTION("""COMPUTED_VALUE"""),169.70799999999997)</f>
        <v>169.708</v>
      </c>
      <c r="BK462" s="71">
        <f>IFERROR(__xludf.DUMMYFUNCTION("""COMPUTED_VALUE"""),138.6)</f>
        <v>138.6</v>
      </c>
      <c r="BL462" s="71">
        <f>IFERROR(__xludf.DUMMYFUNCTION("""COMPUTED_VALUE"""),22.176)</f>
        <v>22.176</v>
      </c>
      <c r="BM462" s="71">
        <f>IFERROR(__xludf.DUMMYFUNCTION("""COMPUTED_VALUE"""),160.77599999999998)</f>
        <v>160.776</v>
      </c>
      <c r="BN462" s="71">
        <f>IFERROR(__xludf.DUMMYFUNCTION("""COMPUTED_VALUE"""),130.9)</f>
        <v>130.9</v>
      </c>
      <c r="BO462" s="71">
        <f>IFERROR(__xludf.DUMMYFUNCTION("""COMPUTED_VALUE"""),20.944000000000003)</f>
        <v>20.944</v>
      </c>
      <c r="BP462" s="71">
        <f>IFERROR(__xludf.DUMMYFUNCTION("""COMPUTED_VALUE"""),151.844)</f>
        <v>151.844</v>
      </c>
      <c r="BQ462" s="71">
        <f>IFERROR(__xludf.DUMMYFUNCTION("""COMPUTED_VALUE"""),127.82)</f>
        <v>127.82</v>
      </c>
      <c r="BR462" s="71">
        <f>IFERROR(__xludf.DUMMYFUNCTION("""COMPUTED_VALUE"""),20.4512)</f>
        <v>20.4512</v>
      </c>
      <c r="BS462" s="71">
        <f>IFERROR(__xludf.DUMMYFUNCTION("""COMPUTED_VALUE"""),148.2712)</f>
        <v>148.2712</v>
      </c>
      <c r="BT462" s="71">
        <f>IFERROR(__xludf.DUMMYFUNCTION("""COMPUTED_VALUE"""),123.2)</f>
        <v>123.2</v>
      </c>
      <c r="BU462" s="71">
        <f>IFERROR(__xludf.DUMMYFUNCTION("""COMPUTED_VALUE"""),19.712)</f>
        <v>19.712</v>
      </c>
      <c r="BV462" s="71">
        <f>IFERROR(__xludf.DUMMYFUNCTION("""COMPUTED_VALUE"""),142.912)</f>
        <v>142.912</v>
      </c>
    </row>
    <row r="463">
      <c r="A463" s="53"/>
      <c r="B463" s="53">
        <v>3.0</v>
      </c>
      <c r="C463" s="53" t="s">
        <v>36</v>
      </c>
      <c r="D463" s="85" t="s">
        <v>1172</v>
      </c>
      <c r="E463" s="54" t="s">
        <v>38</v>
      </c>
      <c r="F463" s="55" t="s">
        <v>96</v>
      </c>
      <c r="G463" s="84" t="s">
        <v>1173</v>
      </c>
      <c r="H463" s="84"/>
      <c r="I463" s="54">
        <f t="shared" si="24"/>
        <v>0</v>
      </c>
      <c r="J463" s="102"/>
      <c r="K463" s="102"/>
      <c r="L463" s="76"/>
      <c r="M463" s="59"/>
      <c r="N463" s="60"/>
      <c r="O463" s="100">
        <v>23349.0</v>
      </c>
      <c r="P463" s="62">
        <v>25216.920000000002</v>
      </c>
      <c r="Q463" s="63">
        <v>25216.920000000002</v>
      </c>
      <c r="R463" s="64">
        <v>27802.0</v>
      </c>
      <c r="S463" s="112">
        <v>29192.0</v>
      </c>
      <c r="T463" s="65">
        <f t="shared" si="2"/>
        <v>4670.72</v>
      </c>
      <c r="U463" s="65">
        <f t="shared" si="3"/>
        <v>33862.72</v>
      </c>
      <c r="V463" s="66">
        <f t="shared" si="4"/>
        <v>0.04999640314</v>
      </c>
      <c r="W463" s="67">
        <f t="shared" si="5"/>
        <v>27732.4</v>
      </c>
      <c r="X463" s="67">
        <f t="shared" si="6"/>
        <v>4437.184</v>
      </c>
      <c r="Y463" s="67">
        <f t="shared" si="7"/>
        <v>32169.584</v>
      </c>
      <c r="Z463" s="67">
        <f t="shared" si="8"/>
        <v>26272.8</v>
      </c>
      <c r="AA463" s="67">
        <f t="shared" si="9"/>
        <v>4203.648</v>
      </c>
      <c r="AB463" s="67">
        <f t="shared" si="10"/>
        <v>30476.448</v>
      </c>
      <c r="AC463" s="67">
        <f t="shared" si="11"/>
        <v>26272.8</v>
      </c>
      <c r="AD463" s="67">
        <f t="shared" si="12"/>
        <v>4203.648</v>
      </c>
      <c r="AE463" s="67">
        <f t="shared" si="13"/>
        <v>30476.448</v>
      </c>
      <c r="AF463" s="67">
        <f t="shared" si="14"/>
        <v>26272.8</v>
      </c>
      <c r="AG463" s="67">
        <f t="shared" si="15"/>
        <v>4203.648</v>
      </c>
      <c r="AH463" s="67">
        <f t="shared" si="16"/>
        <v>30476.448</v>
      </c>
      <c r="AI463" s="67">
        <f t="shared" si="17"/>
        <v>26272.8</v>
      </c>
      <c r="AJ463" s="68">
        <f t="shared" si="20"/>
        <v>4203.648</v>
      </c>
      <c r="AK463" s="68">
        <f t="shared" si="21"/>
        <v>30476.448</v>
      </c>
      <c r="AL463" s="70">
        <f>IFERROR(__xludf.DUMMYFUNCTION("""COMPUTED_VALUE"""),1.0)</f>
        <v>1</v>
      </c>
      <c r="AM463" s="70"/>
      <c r="AN463" s="71" t="str">
        <f>IFERROR(__xludf.DUMMYFUNCTION("""COMPUTED_VALUE""")," P")</f>
        <v>P</v>
      </c>
      <c r="AO463" s="71" t="str">
        <f>IFERROR(__xludf.DUMMYFUNCTION("""COMPUTED_VALUE""")," CH25")</f>
        <v>CH25</v>
      </c>
      <c r="AP463" s="71" t="str">
        <f>IFERROR(__xludf.DUMMYFUNCTION("""COMPUTED_VALUE""")," PZA")</f>
        <v>PZA</v>
      </c>
      <c r="AQ463" s="71" t="str">
        <f>IFERROR(__xludf.DUMMYFUNCTION("""COMPUTED_VALUE""")," REF")</f>
        <v>REF</v>
      </c>
      <c r="AR463" s="71" t="str">
        <f>IFERROR(__xludf.DUMMYFUNCTION("""COMPUTED_VALUE""")," CHUMACERA ESCUADRA DÚPLEX DERECHA ""TIPO J"" PARA FLECHA EXCÉNTRICA")</f>
        <v>CHUMACERA ESCUADRA DÚPLEX DERECHA "TIPO J" PARA FLECHA EXCÉNTRICA</v>
      </c>
      <c r="AS463" s="71" t="str">
        <f>IFERROR(__xludf.DUMMYFUNCTION("""COMPUTED_VALUE""")," CHUMACERA ESCUDR DPLX DER J FLE EXCNTRIC")</f>
        <v>CHUMACERA ESCUDR DPLX DER J FLE EXCNTRIC</v>
      </c>
      <c r="AT463" s="71">
        <f>IFERROR(__xludf.DUMMYFUNCTION("""COMPUTED_VALUE"""),40.0)</f>
        <v>40</v>
      </c>
      <c r="AU463" s="71"/>
      <c r="AV463" s="71"/>
      <c r="AW463" s="71"/>
      <c r="AX463" s="71"/>
      <c r="AY463" s="71">
        <f>IFERROR(__xludf.DUMMYFUNCTION("""COMPUTED_VALUE"""),159.0)</f>
        <v>159</v>
      </c>
      <c r="AZ463" s="71">
        <f>IFERROR(__xludf.DUMMYFUNCTION("""COMPUTED_VALUE"""),171.0)</f>
        <v>171</v>
      </c>
      <c r="BA463" s="71">
        <f>IFERROR(__xludf.DUMMYFUNCTION("""COMPUTED_VALUE"""),184.68)</f>
        <v>184.68</v>
      </c>
      <c r="BB463" s="71">
        <f>IFERROR(__xludf.DUMMYFUNCTION("""COMPUTED_VALUE"""),184.68)</f>
        <v>184.68</v>
      </c>
      <c r="BC463" s="71">
        <f>IFERROR(__xludf.DUMMYFUNCTION("""COMPUTED_VALUE"""),206.0)</f>
        <v>206</v>
      </c>
      <c r="BD463" s="71">
        <f>IFERROR(__xludf.DUMMYFUNCTION("""COMPUTED_VALUE"""),216.0)</f>
        <v>216</v>
      </c>
      <c r="BE463" s="71">
        <f>IFERROR(__xludf.DUMMYFUNCTION("""COMPUTED_VALUE"""),34.56)</f>
        <v>34.56</v>
      </c>
      <c r="BF463" s="71">
        <f>IFERROR(__xludf.DUMMYFUNCTION("""COMPUTED_VALUE"""),250.56)</f>
        <v>250.56</v>
      </c>
      <c r="BG463" s="71">
        <f>IFERROR(__xludf.DUMMYFUNCTION("""COMPUTED_VALUE"""),0.04854368932038835)</f>
        <v>0.04854368932</v>
      </c>
      <c r="BH463" s="71">
        <f>IFERROR(__xludf.DUMMYFUNCTION("""COMPUTED_VALUE"""),205.2)</f>
        <v>205.2</v>
      </c>
      <c r="BI463" s="71">
        <f>IFERROR(__xludf.DUMMYFUNCTION("""COMPUTED_VALUE"""),32.832)</f>
        <v>32.832</v>
      </c>
      <c r="BJ463" s="71">
        <f>IFERROR(__xludf.DUMMYFUNCTION("""COMPUTED_VALUE"""),238.03199999999998)</f>
        <v>238.032</v>
      </c>
      <c r="BK463" s="71">
        <f>IFERROR(__xludf.DUMMYFUNCTION("""COMPUTED_VALUE"""),194.4)</f>
        <v>194.4</v>
      </c>
      <c r="BL463" s="71">
        <f>IFERROR(__xludf.DUMMYFUNCTION("""COMPUTED_VALUE"""),31.104000000000003)</f>
        <v>31.104</v>
      </c>
      <c r="BM463" s="71">
        <f>IFERROR(__xludf.DUMMYFUNCTION("""COMPUTED_VALUE"""),225.50400000000002)</f>
        <v>225.504</v>
      </c>
      <c r="BN463" s="71">
        <f>IFERROR(__xludf.DUMMYFUNCTION("""COMPUTED_VALUE"""),183.6)</f>
        <v>183.6</v>
      </c>
      <c r="BO463" s="71">
        <f>IFERROR(__xludf.DUMMYFUNCTION("""COMPUTED_VALUE"""),29.376)</f>
        <v>29.376</v>
      </c>
      <c r="BP463" s="71">
        <f>IFERROR(__xludf.DUMMYFUNCTION("""COMPUTED_VALUE"""),212.976)</f>
        <v>212.976</v>
      </c>
      <c r="BQ463" s="71">
        <f>IFERROR(__xludf.DUMMYFUNCTION("""COMPUTED_VALUE"""),179.28)</f>
        <v>179.28</v>
      </c>
      <c r="BR463" s="71">
        <f>IFERROR(__xludf.DUMMYFUNCTION("""COMPUTED_VALUE"""),28.6848)</f>
        <v>28.6848</v>
      </c>
      <c r="BS463" s="71">
        <f>IFERROR(__xludf.DUMMYFUNCTION("""COMPUTED_VALUE"""),207.9648)</f>
        <v>207.9648</v>
      </c>
      <c r="BT463" s="71">
        <f>IFERROR(__xludf.DUMMYFUNCTION("""COMPUTED_VALUE"""),172.8)</f>
        <v>172.8</v>
      </c>
      <c r="BU463" s="71">
        <f>IFERROR(__xludf.DUMMYFUNCTION("""COMPUTED_VALUE"""),27.648000000000003)</f>
        <v>27.648</v>
      </c>
      <c r="BV463" s="71">
        <f>IFERROR(__xludf.DUMMYFUNCTION("""COMPUTED_VALUE"""),200.448)</f>
        <v>200.448</v>
      </c>
    </row>
    <row r="464">
      <c r="A464" s="53"/>
      <c r="B464" s="53">
        <v>3.0</v>
      </c>
      <c r="C464" s="53" t="s">
        <v>36</v>
      </c>
      <c r="D464" s="85" t="s">
        <v>1174</v>
      </c>
      <c r="E464" s="54" t="s">
        <v>38</v>
      </c>
      <c r="F464" s="55" t="s">
        <v>96</v>
      </c>
      <c r="G464" s="84" t="s">
        <v>1175</v>
      </c>
      <c r="H464" s="84"/>
      <c r="I464" s="54">
        <f t="shared" si="24"/>
        <v>0</v>
      </c>
      <c r="J464" s="102"/>
      <c r="K464" s="102"/>
      <c r="L464" s="76"/>
      <c r="M464" s="59"/>
      <c r="N464" s="60"/>
      <c r="O464" s="100">
        <v>25333.0</v>
      </c>
      <c r="P464" s="62">
        <v>27359.640000000003</v>
      </c>
      <c r="Q464" s="63">
        <v>27359.640000000003</v>
      </c>
      <c r="R464" s="64">
        <v>30165.0</v>
      </c>
      <c r="S464" s="107">
        <v>31673.0</v>
      </c>
      <c r="T464" s="65">
        <f t="shared" si="2"/>
        <v>5067.68</v>
      </c>
      <c r="U464" s="65">
        <f t="shared" si="3"/>
        <v>36740.68</v>
      </c>
      <c r="V464" s="66">
        <f t="shared" si="4"/>
        <v>0.04999171225</v>
      </c>
      <c r="W464" s="67">
        <f t="shared" si="5"/>
        <v>30089.35</v>
      </c>
      <c r="X464" s="67">
        <f t="shared" si="6"/>
        <v>4814.296</v>
      </c>
      <c r="Y464" s="67">
        <f t="shared" si="7"/>
        <v>34903.646</v>
      </c>
      <c r="Z464" s="67">
        <f t="shared" si="8"/>
        <v>28505.7</v>
      </c>
      <c r="AA464" s="67">
        <f t="shared" si="9"/>
        <v>4560.912</v>
      </c>
      <c r="AB464" s="67">
        <f t="shared" si="10"/>
        <v>33066.612</v>
      </c>
      <c r="AC464" s="67">
        <f t="shared" si="11"/>
        <v>28505.7</v>
      </c>
      <c r="AD464" s="67">
        <f t="shared" si="12"/>
        <v>4560.912</v>
      </c>
      <c r="AE464" s="67">
        <f t="shared" si="13"/>
        <v>33066.612</v>
      </c>
      <c r="AF464" s="67">
        <f t="shared" si="14"/>
        <v>28505.7</v>
      </c>
      <c r="AG464" s="67">
        <f t="shared" si="15"/>
        <v>4560.912</v>
      </c>
      <c r="AH464" s="67">
        <f t="shared" si="16"/>
        <v>33066.612</v>
      </c>
      <c r="AI464" s="67">
        <f t="shared" si="17"/>
        <v>28505.7</v>
      </c>
      <c r="AJ464" s="68">
        <f t="shared" si="20"/>
        <v>4560.912</v>
      </c>
      <c r="AK464" s="68">
        <f t="shared" si="21"/>
        <v>33066.612</v>
      </c>
      <c r="AL464" s="70">
        <f>IFERROR(__xludf.DUMMYFUNCTION("""COMPUTED_VALUE"""),1.0)</f>
        <v>1</v>
      </c>
      <c r="AM464" s="70"/>
      <c r="AN464" s="71" t="str">
        <f>IFERROR(__xludf.DUMMYFUNCTION("""COMPUTED_VALUE""")," P")</f>
        <v>P</v>
      </c>
      <c r="AO464" s="71" t="str">
        <f>IFERROR(__xludf.DUMMYFUNCTION("""COMPUTED_VALUE""")," CH26")</f>
        <v>CH26</v>
      </c>
      <c r="AP464" s="71" t="str">
        <f>IFERROR(__xludf.DUMMYFUNCTION("""COMPUTED_VALUE""")," PZA")</f>
        <v>PZA</v>
      </c>
      <c r="AQ464" s="71" t="str">
        <f>IFERROR(__xludf.DUMMYFUNCTION("""COMPUTED_VALUE""")," REF")</f>
        <v>REF</v>
      </c>
      <c r="AR464" s="71" t="str">
        <f>IFERROR(__xludf.DUMMYFUNCTION("""COMPUTED_VALUE""")," CHUMACERA ESCUADRA DÚPLEX IZQUIERDA ""TIPO L"" PARA FLECHA EXCÉNTRICA")</f>
        <v>CHUMACERA ESCUADRA DÚPLEX IZQUIERDA "TIPO L" PARA FLECHA EXCÉNTRICA</v>
      </c>
      <c r="AS464" s="71" t="str">
        <f>IFERROR(__xludf.DUMMYFUNCTION("""COMPUTED_VALUE""")," CHUMACERA ESCUDR DPLX IZQ L FLE EXCNTRIC")</f>
        <v>CHUMACERA ESCUDR DPLX IZQ L FLE EXCNTRIC</v>
      </c>
      <c r="AT464" s="71">
        <f>IFERROR(__xludf.DUMMYFUNCTION("""COMPUTED_VALUE"""),40.0)</f>
        <v>40</v>
      </c>
      <c r="AU464" s="71"/>
      <c r="AV464" s="71"/>
      <c r="AW464" s="71"/>
      <c r="AX464" s="71"/>
      <c r="AY464" s="71">
        <f>IFERROR(__xludf.DUMMYFUNCTION("""COMPUTED_VALUE"""),159.0)</f>
        <v>159</v>
      </c>
      <c r="AZ464" s="71">
        <f>IFERROR(__xludf.DUMMYFUNCTION("""COMPUTED_VALUE"""),171.0)</f>
        <v>171</v>
      </c>
      <c r="BA464" s="71">
        <f>IFERROR(__xludf.DUMMYFUNCTION("""COMPUTED_VALUE"""),184.68)</f>
        <v>184.68</v>
      </c>
      <c r="BB464" s="71">
        <f>IFERROR(__xludf.DUMMYFUNCTION("""COMPUTED_VALUE"""),184.68)</f>
        <v>184.68</v>
      </c>
      <c r="BC464" s="71">
        <f>IFERROR(__xludf.DUMMYFUNCTION("""COMPUTED_VALUE"""),206.0)</f>
        <v>206</v>
      </c>
      <c r="BD464" s="71">
        <f>IFERROR(__xludf.DUMMYFUNCTION("""COMPUTED_VALUE"""),216.0)</f>
        <v>216</v>
      </c>
      <c r="BE464" s="71">
        <f>IFERROR(__xludf.DUMMYFUNCTION("""COMPUTED_VALUE"""),34.56)</f>
        <v>34.56</v>
      </c>
      <c r="BF464" s="71">
        <f>IFERROR(__xludf.DUMMYFUNCTION("""COMPUTED_VALUE"""),250.56)</f>
        <v>250.56</v>
      </c>
      <c r="BG464" s="71">
        <f>IFERROR(__xludf.DUMMYFUNCTION("""COMPUTED_VALUE"""),0.04854368932038835)</f>
        <v>0.04854368932</v>
      </c>
      <c r="BH464" s="71">
        <f>IFERROR(__xludf.DUMMYFUNCTION("""COMPUTED_VALUE"""),205.2)</f>
        <v>205.2</v>
      </c>
      <c r="BI464" s="71">
        <f>IFERROR(__xludf.DUMMYFUNCTION("""COMPUTED_VALUE"""),32.832)</f>
        <v>32.832</v>
      </c>
      <c r="BJ464" s="71">
        <f>IFERROR(__xludf.DUMMYFUNCTION("""COMPUTED_VALUE"""),238.03199999999998)</f>
        <v>238.032</v>
      </c>
      <c r="BK464" s="71">
        <f>IFERROR(__xludf.DUMMYFUNCTION("""COMPUTED_VALUE"""),194.4)</f>
        <v>194.4</v>
      </c>
      <c r="BL464" s="71">
        <f>IFERROR(__xludf.DUMMYFUNCTION("""COMPUTED_VALUE"""),31.104000000000003)</f>
        <v>31.104</v>
      </c>
      <c r="BM464" s="71">
        <f>IFERROR(__xludf.DUMMYFUNCTION("""COMPUTED_VALUE"""),225.50400000000002)</f>
        <v>225.504</v>
      </c>
      <c r="BN464" s="71">
        <f>IFERROR(__xludf.DUMMYFUNCTION("""COMPUTED_VALUE"""),183.6)</f>
        <v>183.6</v>
      </c>
      <c r="BO464" s="71">
        <f>IFERROR(__xludf.DUMMYFUNCTION("""COMPUTED_VALUE"""),29.376)</f>
        <v>29.376</v>
      </c>
      <c r="BP464" s="71">
        <f>IFERROR(__xludf.DUMMYFUNCTION("""COMPUTED_VALUE"""),212.976)</f>
        <v>212.976</v>
      </c>
      <c r="BQ464" s="71">
        <f>IFERROR(__xludf.DUMMYFUNCTION("""COMPUTED_VALUE"""),179.28)</f>
        <v>179.28</v>
      </c>
      <c r="BR464" s="71">
        <f>IFERROR(__xludf.DUMMYFUNCTION("""COMPUTED_VALUE"""),28.6848)</f>
        <v>28.6848</v>
      </c>
      <c r="BS464" s="71">
        <f>IFERROR(__xludf.DUMMYFUNCTION("""COMPUTED_VALUE"""),207.9648)</f>
        <v>207.9648</v>
      </c>
      <c r="BT464" s="71">
        <f>IFERROR(__xludf.DUMMYFUNCTION("""COMPUTED_VALUE"""),172.8)</f>
        <v>172.8</v>
      </c>
      <c r="BU464" s="71">
        <f>IFERROR(__xludf.DUMMYFUNCTION("""COMPUTED_VALUE"""),27.648000000000003)</f>
        <v>27.648</v>
      </c>
      <c r="BV464" s="71">
        <f>IFERROR(__xludf.DUMMYFUNCTION("""COMPUTED_VALUE"""),200.448)</f>
        <v>200.448</v>
      </c>
    </row>
    <row r="465">
      <c r="A465" s="53"/>
      <c r="B465" s="53"/>
      <c r="C465" s="73" t="s">
        <v>12</v>
      </c>
      <c r="D465" s="53" t="s">
        <v>1176</v>
      </c>
      <c r="E465" s="54" t="s">
        <v>1177</v>
      </c>
      <c r="F465" s="54" t="s">
        <v>42</v>
      </c>
      <c r="G465" s="55" t="s">
        <v>1178</v>
      </c>
      <c r="H465" s="54" t="s">
        <v>1178</v>
      </c>
      <c r="I465" s="54">
        <f t="shared" si="24"/>
        <v>25</v>
      </c>
      <c r="J465" s="56"/>
      <c r="K465" s="57"/>
      <c r="L465" s="76"/>
      <c r="M465" s="59"/>
      <c r="N465" s="79">
        <v>120.0</v>
      </c>
      <c r="O465" s="61">
        <v>129.0</v>
      </c>
      <c r="P465" s="62">
        <v>139.32000000000002</v>
      </c>
      <c r="Q465" s="63">
        <v>139.32000000000002</v>
      </c>
      <c r="R465" s="64">
        <v>146.0</v>
      </c>
      <c r="S465" s="111">
        <v>153.0</v>
      </c>
      <c r="T465" s="65">
        <f t="shared" si="2"/>
        <v>24.48</v>
      </c>
      <c r="U465" s="65">
        <f t="shared" si="3"/>
        <v>177.48</v>
      </c>
      <c r="V465" s="66">
        <f t="shared" si="4"/>
        <v>0.04794520548</v>
      </c>
      <c r="W465" s="67">
        <f t="shared" si="5"/>
        <v>145.35</v>
      </c>
      <c r="X465" s="67">
        <f t="shared" si="6"/>
        <v>23.256</v>
      </c>
      <c r="Y465" s="67">
        <f t="shared" si="7"/>
        <v>168.606</v>
      </c>
      <c r="Z465" s="67">
        <f t="shared" si="8"/>
        <v>137.7</v>
      </c>
      <c r="AA465" s="67">
        <f t="shared" si="9"/>
        <v>22.032</v>
      </c>
      <c r="AB465" s="67">
        <f t="shared" si="10"/>
        <v>159.732</v>
      </c>
      <c r="AC465" s="67">
        <f t="shared" si="11"/>
        <v>130.05</v>
      </c>
      <c r="AD465" s="67">
        <f t="shared" si="12"/>
        <v>20.808</v>
      </c>
      <c r="AE465" s="67">
        <f t="shared" si="13"/>
        <v>150.858</v>
      </c>
      <c r="AF465" s="67">
        <f t="shared" si="14"/>
        <v>126.99</v>
      </c>
      <c r="AG465" s="67">
        <f t="shared" si="15"/>
        <v>20.3184</v>
      </c>
      <c r="AH465" s="67">
        <f t="shared" si="16"/>
        <v>147.3084</v>
      </c>
      <c r="AI465" s="67">
        <f t="shared" si="17"/>
        <v>122.4</v>
      </c>
      <c r="AJ465" s="68">
        <f t="shared" si="20"/>
        <v>19.584</v>
      </c>
      <c r="AK465" s="68">
        <f t="shared" si="21"/>
        <v>141.984</v>
      </c>
      <c r="AL465" s="136">
        <f>IFERROR(__xludf.DUMMYFUNCTION("""COMPUTED_VALUE"""),1.0)</f>
        <v>1</v>
      </c>
      <c r="AM465" s="136"/>
      <c r="AN465" s="137" t="str">
        <f>IFERROR(__xludf.DUMMYFUNCTION("""COMPUTED_VALUE""")," P")</f>
        <v>P</v>
      </c>
      <c r="AO465" s="137" t="str">
        <f>IFERROR(__xludf.DUMMYFUNCTION("""COMPUTED_VALUE""")," CH27")</f>
        <v>CH27</v>
      </c>
      <c r="AP465" s="137" t="str">
        <f>IFERROR(__xludf.DUMMYFUNCTION("""COMPUTED_VALUE""")," PZA")</f>
        <v>PZA</v>
      </c>
      <c r="AQ465" s="137" t="str">
        <f>IFERROR(__xludf.DUMMYFUNCTION("""COMPUTED_VALUE""")," REF")</f>
        <v>REF</v>
      </c>
      <c r="AR465" s="137" t="str">
        <f>IFERROR(__xludf.DUMMYFUNCTION("""COMPUTED_VALUE""")," CHUMACERA ESCUADRA SENCILLA DERECHA ""TIPO J"" PARA FLECHA EXCÉNTRICA")</f>
        <v>CHUMACERA ESCUADRA SENCILLA DERECHA "TIPO J" PARA FLECHA EXCÉNTRICA</v>
      </c>
      <c r="AS465" s="137" t="str">
        <f>IFERROR(__xludf.DUMMYFUNCTION("""COMPUTED_VALUE""")," CHUMACERA ESCUDR SENC DER J FLE EXCNTRIC")</f>
        <v>CHUMACERA ESCUDR SENC DER J FLE EXCNTRIC</v>
      </c>
      <c r="AT465" s="137">
        <f>IFERROR(__xludf.DUMMYFUNCTION("""COMPUTED_VALUE"""),40.0)</f>
        <v>40</v>
      </c>
      <c r="AU465" s="137"/>
      <c r="AV465" s="137"/>
      <c r="AW465" s="137"/>
      <c r="AX465" s="137"/>
      <c r="AY465" s="137">
        <f>IFERROR(__xludf.DUMMYFUNCTION("""COMPUTED_VALUE"""),87.0)</f>
        <v>87</v>
      </c>
      <c r="AZ465" s="137">
        <f>IFERROR(__xludf.DUMMYFUNCTION("""COMPUTED_VALUE"""),93.0)</f>
        <v>93</v>
      </c>
      <c r="BA465" s="137">
        <f>IFERROR(__xludf.DUMMYFUNCTION("""COMPUTED_VALUE"""),100.44000000000001)</f>
        <v>100.44</v>
      </c>
      <c r="BB465" s="137">
        <f>IFERROR(__xludf.DUMMYFUNCTION("""COMPUTED_VALUE"""),100.44000000000001)</f>
        <v>100.44</v>
      </c>
      <c r="BC465" s="137">
        <f>IFERROR(__xludf.DUMMYFUNCTION("""COMPUTED_VALUE"""),113.0)</f>
        <v>113</v>
      </c>
      <c r="BD465" s="137">
        <f>IFERROR(__xludf.DUMMYFUNCTION("""COMPUTED_VALUE"""),119.0)</f>
        <v>119</v>
      </c>
      <c r="BE465" s="137">
        <f>IFERROR(__xludf.DUMMYFUNCTION("""COMPUTED_VALUE"""),19.04)</f>
        <v>19.04</v>
      </c>
      <c r="BF465" s="137">
        <f>IFERROR(__xludf.DUMMYFUNCTION("""COMPUTED_VALUE"""),138.04)</f>
        <v>138.04</v>
      </c>
      <c r="BG465" s="137">
        <f>IFERROR(__xludf.DUMMYFUNCTION("""COMPUTED_VALUE"""),0.05309734513274336)</f>
        <v>0.05309734513</v>
      </c>
      <c r="BH465" s="137">
        <f>IFERROR(__xludf.DUMMYFUNCTION("""COMPUTED_VALUE"""),113.05)</f>
        <v>113.05</v>
      </c>
      <c r="BI465" s="137">
        <f>IFERROR(__xludf.DUMMYFUNCTION("""COMPUTED_VALUE"""),18.088)</f>
        <v>18.088</v>
      </c>
      <c r="BJ465" s="137">
        <f>IFERROR(__xludf.DUMMYFUNCTION("""COMPUTED_VALUE"""),131.138)</f>
        <v>131.138</v>
      </c>
      <c r="BK465" s="137">
        <f>IFERROR(__xludf.DUMMYFUNCTION("""COMPUTED_VALUE"""),107.10000000000001)</f>
        <v>107.1</v>
      </c>
      <c r="BL465" s="137">
        <f>IFERROR(__xludf.DUMMYFUNCTION("""COMPUTED_VALUE"""),17.136000000000003)</f>
        <v>17.136</v>
      </c>
      <c r="BM465" s="137">
        <f>IFERROR(__xludf.DUMMYFUNCTION("""COMPUTED_VALUE"""),124.23600000000002)</f>
        <v>124.236</v>
      </c>
      <c r="BN465" s="137">
        <f>IFERROR(__xludf.DUMMYFUNCTION("""COMPUTED_VALUE"""),101.14999999999999)</f>
        <v>101.15</v>
      </c>
      <c r="BO465" s="137">
        <f>IFERROR(__xludf.DUMMYFUNCTION("""COMPUTED_VALUE"""),16.183999999999997)</f>
        <v>16.184</v>
      </c>
      <c r="BP465" s="137">
        <f>IFERROR(__xludf.DUMMYFUNCTION("""COMPUTED_VALUE"""),117.33399999999999)</f>
        <v>117.334</v>
      </c>
      <c r="BQ465" s="137">
        <f>IFERROR(__xludf.DUMMYFUNCTION("""COMPUTED_VALUE"""),98.77)</f>
        <v>98.77</v>
      </c>
      <c r="BR465" s="137">
        <f>IFERROR(__xludf.DUMMYFUNCTION("""COMPUTED_VALUE"""),15.8032)</f>
        <v>15.8032</v>
      </c>
      <c r="BS465" s="137">
        <f>IFERROR(__xludf.DUMMYFUNCTION("""COMPUTED_VALUE"""),114.5732)</f>
        <v>114.5732</v>
      </c>
      <c r="BT465" s="137">
        <f>IFERROR(__xludf.DUMMYFUNCTION("""COMPUTED_VALUE"""),95.2)</f>
        <v>95.2</v>
      </c>
      <c r="BU465" s="137">
        <f>IFERROR(__xludf.DUMMYFUNCTION("""COMPUTED_VALUE"""),15.232000000000001)</f>
        <v>15.232</v>
      </c>
      <c r="BV465" s="137">
        <f>IFERROR(__xludf.DUMMYFUNCTION("""COMPUTED_VALUE"""),110.432)</f>
        <v>110.432</v>
      </c>
    </row>
    <row r="466">
      <c r="A466" s="53"/>
      <c r="B466" s="53"/>
      <c r="C466" s="53" t="s">
        <v>36</v>
      </c>
      <c r="D466" s="85" t="s">
        <v>1179</v>
      </c>
      <c r="E466" s="54" t="s">
        <v>1177</v>
      </c>
      <c r="F466" s="55" t="s">
        <v>39</v>
      </c>
      <c r="G466" s="86" t="s">
        <v>1180</v>
      </c>
      <c r="H466" s="55"/>
      <c r="I466" s="54">
        <f t="shared" si="24"/>
        <v>0</v>
      </c>
      <c r="J466" s="56"/>
      <c r="K466" s="57"/>
      <c r="L466" s="76"/>
      <c r="M466" s="59"/>
      <c r="N466" s="60"/>
      <c r="O466" s="61">
        <v>172.8</v>
      </c>
      <c r="P466" s="62">
        <v>186.62400000000002</v>
      </c>
      <c r="Q466" s="63">
        <v>186.62400000000002</v>
      </c>
      <c r="R466" s="64">
        <v>197.0</v>
      </c>
      <c r="S466" s="107">
        <v>207.0</v>
      </c>
      <c r="T466" s="65">
        <f t="shared" si="2"/>
        <v>33.12</v>
      </c>
      <c r="U466" s="65">
        <f t="shared" si="3"/>
        <v>240.12</v>
      </c>
      <c r="V466" s="66">
        <f t="shared" si="4"/>
        <v>0.05076142132</v>
      </c>
      <c r="W466" s="67">
        <f t="shared" si="5"/>
        <v>196.65</v>
      </c>
      <c r="X466" s="67">
        <f t="shared" si="6"/>
        <v>31.464</v>
      </c>
      <c r="Y466" s="67">
        <f t="shared" si="7"/>
        <v>228.114</v>
      </c>
      <c r="Z466" s="67">
        <f t="shared" si="8"/>
        <v>186.3</v>
      </c>
      <c r="AA466" s="67">
        <f t="shared" si="9"/>
        <v>29.808</v>
      </c>
      <c r="AB466" s="67">
        <f t="shared" si="10"/>
        <v>216.108</v>
      </c>
      <c r="AC466" s="67">
        <f t="shared" si="11"/>
        <v>175.95</v>
      </c>
      <c r="AD466" s="67">
        <f t="shared" si="12"/>
        <v>28.152</v>
      </c>
      <c r="AE466" s="67">
        <f t="shared" si="13"/>
        <v>204.102</v>
      </c>
      <c r="AF466" s="67">
        <f t="shared" si="14"/>
        <v>171.81</v>
      </c>
      <c r="AG466" s="67">
        <f t="shared" si="15"/>
        <v>27.4896</v>
      </c>
      <c r="AH466" s="67">
        <f t="shared" si="16"/>
        <v>199.2996</v>
      </c>
      <c r="AI466" s="67">
        <f t="shared" si="17"/>
        <v>165.6</v>
      </c>
      <c r="AJ466" s="68">
        <f t="shared" si="20"/>
        <v>26.496</v>
      </c>
      <c r="AK466" s="68">
        <f t="shared" si="21"/>
        <v>192.096</v>
      </c>
      <c r="AL466" s="70">
        <f>IFERROR(__xludf.DUMMYFUNCTION("""COMPUTED_VALUE"""),1.0)</f>
        <v>1</v>
      </c>
      <c r="AM466" s="70"/>
      <c r="AN466" s="71" t="str">
        <f>IFERROR(__xludf.DUMMYFUNCTION("""COMPUTED_VALUE""")," P")</f>
        <v>P</v>
      </c>
      <c r="AO466" s="71" t="str">
        <f>IFERROR(__xludf.DUMMYFUNCTION("""COMPUTED_VALUE""")," CH28")</f>
        <v>CH28</v>
      </c>
      <c r="AP466" s="71" t="str">
        <f>IFERROR(__xludf.DUMMYFUNCTION("""COMPUTED_VALUE""")," PZA")</f>
        <v>PZA</v>
      </c>
      <c r="AQ466" s="71" t="str">
        <f>IFERROR(__xludf.DUMMYFUNCTION("""COMPUTED_VALUE""")," REF")</f>
        <v>REF</v>
      </c>
      <c r="AR466" s="71" t="str">
        <f>IFERROR(__xludf.DUMMYFUNCTION("""COMPUTED_VALUE""")," CHUMACERA ESCUADRA SENCILLA IZQUIERDA ""TIPO L"" PARA FLECHA EXCÉNTRICA")</f>
        <v>CHUMACERA ESCUADRA SENCILLA IZQUIERDA "TIPO L" PARA FLECHA EXCÉNTRICA</v>
      </c>
      <c r="AS466" s="71" t="str">
        <f>IFERROR(__xludf.DUMMYFUNCTION("""COMPUTED_VALUE""")," CHUMACERA ESCUDR SENC IZQ L FLE EXCNTRIC")</f>
        <v>CHUMACERA ESCUDR SENC IZQ L FLE EXCNTRIC</v>
      </c>
      <c r="AT466" s="71">
        <f>IFERROR(__xludf.DUMMYFUNCTION("""COMPUTED_VALUE"""),40.0)</f>
        <v>40</v>
      </c>
      <c r="AU466" s="71"/>
      <c r="AV466" s="71"/>
      <c r="AW466" s="71"/>
      <c r="AX466" s="71"/>
      <c r="AY466" s="71">
        <f>IFERROR(__xludf.DUMMYFUNCTION("""COMPUTED_VALUE"""),87.0)</f>
        <v>87</v>
      </c>
      <c r="AZ466" s="71">
        <f>IFERROR(__xludf.DUMMYFUNCTION("""COMPUTED_VALUE"""),93.0)</f>
        <v>93</v>
      </c>
      <c r="BA466" s="71">
        <f>IFERROR(__xludf.DUMMYFUNCTION("""COMPUTED_VALUE"""),100.44000000000001)</f>
        <v>100.44</v>
      </c>
      <c r="BB466" s="71">
        <f>IFERROR(__xludf.DUMMYFUNCTION("""COMPUTED_VALUE"""),100.44000000000001)</f>
        <v>100.44</v>
      </c>
      <c r="BC466" s="71">
        <f>IFERROR(__xludf.DUMMYFUNCTION("""COMPUTED_VALUE"""),113.0)</f>
        <v>113</v>
      </c>
      <c r="BD466" s="71">
        <f>IFERROR(__xludf.DUMMYFUNCTION("""COMPUTED_VALUE"""),119.0)</f>
        <v>119</v>
      </c>
      <c r="BE466" s="71">
        <f>IFERROR(__xludf.DUMMYFUNCTION("""COMPUTED_VALUE"""),19.04)</f>
        <v>19.04</v>
      </c>
      <c r="BF466" s="71">
        <f>IFERROR(__xludf.DUMMYFUNCTION("""COMPUTED_VALUE"""),138.04)</f>
        <v>138.04</v>
      </c>
      <c r="BG466" s="71">
        <f>IFERROR(__xludf.DUMMYFUNCTION("""COMPUTED_VALUE"""),0.05309734513274336)</f>
        <v>0.05309734513</v>
      </c>
      <c r="BH466" s="71">
        <f>IFERROR(__xludf.DUMMYFUNCTION("""COMPUTED_VALUE"""),113.05)</f>
        <v>113.05</v>
      </c>
      <c r="BI466" s="71">
        <f>IFERROR(__xludf.DUMMYFUNCTION("""COMPUTED_VALUE"""),18.088)</f>
        <v>18.088</v>
      </c>
      <c r="BJ466" s="71">
        <f>IFERROR(__xludf.DUMMYFUNCTION("""COMPUTED_VALUE"""),131.138)</f>
        <v>131.138</v>
      </c>
      <c r="BK466" s="71">
        <f>IFERROR(__xludf.DUMMYFUNCTION("""COMPUTED_VALUE"""),107.10000000000001)</f>
        <v>107.1</v>
      </c>
      <c r="BL466" s="71">
        <f>IFERROR(__xludf.DUMMYFUNCTION("""COMPUTED_VALUE"""),17.136000000000003)</f>
        <v>17.136</v>
      </c>
      <c r="BM466" s="71">
        <f>IFERROR(__xludf.DUMMYFUNCTION("""COMPUTED_VALUE"""),124.23600000000002)</f>
        <v>124.236</v>
      </c>
      <c r="BN466" s="71">
        <f>IFERROR(__xludf.DUMMYFUNCTION("""COMPUTED_VALUE"""),101.14999999999999)</f>
        <v>101.15</v>
      </c>
      <c r="BO466" s="71">
        <f>IFERROR(__xludf.DUMMYFUNCTION("""COMPUTED_VALUE"""),16.183999999999997)</f>
        <v>16.184</v>
      </c>
      <c r="BP466" s="71">
        <f>IFERROR(__xludf.DUMMYFUNCTION("""COMPUTED_VALUE"""),117.33399999999999)</f>
        <v>117.334</v>
      </c>
      <c r="BQ466" s="71">
        <f>IFERROR(__xludf.DUMMYFUNCTION("""COMPUTED_VALUE"""),98.77)</f>
        <v>98.77</v>
      </c>
      <c r="BR466" s="71">
        <f>IFERROR(__xludf.DUMMYFUNCTION("""COMPUTED_VALUE"""),15.8032)</f>
        <v>15.8032</v>
      </c>
      <c r="BS466" s="71">
        <f>IFERROR(__xludf.DUMMYFUNCTION("""COMPUTED_VALUE"""),114.5732)</f>
        <v>114.5732</v>
      </c>
      <c r="BT466" s="71">
        <f>IFERROR(__xludf.DUMMYFUNCTION("""COMPUTED_VALUE"""),95.2)</f>
        <v>95.2</v>
      </c>
      <c r="BU466" s="71">
        <f>IFERROR(__xludf.DUMMYFUNCTION("""COMPUTED_VALUE"""),15.232000000000001)</f>
        <v>15.232</v>
      </c>
      <c r="BV466" s="71">
        <f>IFERROR(__xludf.DUMMYFUNCTION("""COMPUTED_VALUE"""),110.432)</f>
        <v>110.432</v>
      </c>
    </row>
    <row r="467">
      <c r="A467" s="53"/>
      <c r="B467" s="53"/>
      <c r="C467" s="53" t="s">
        <v>12</v>
      </c>
      <c r="D467" s="53" t="s">
        <v>1181</v>
      </c>
      <c r="E467" s="54" t="s">
        <v>38</v>
      </c>
      <c r="F467" s="54" t="s">
        <v>42</v>
      </c>
      <c r="G467" s="55" t="s">
        <v>1182</v>
      </c>
      <c r="H467" s="54" t="s">
        <v>1182</v>
      </c>
      <c r="I467" s="54">
        <f t="shared" si="24"/>
        <v>34</v>
      </c>
      <c r="J467" s="56"/>
      <c r="K467" s="57"/>
      <c r="L467" s="76"/>
      <c r="M467" s="59"/>
      <c r="N467" s="79">
        <v>10342.0</v>
      </c>
      <c r="O467" s="61">
        <v>11169.0</v>
      </c>
      <c r="P467" s="63">
        <v>12062.52</v>
      </c>
      <c r="Q467" s="63">
        <v>12062.52</v>
      </c>
      <c r="R467" s="64">
        <v>12667.0</v>
      </c>
      <c r="S467" s="111">
        <v>13300.0</v>
      </c>
      <c r="T467" s="65">
        <f t="shared" si="2"/>
        <v>2128</v>
      </c>
      <c r="U467" s="65">
        <f t="shared" si="3"/>
        <v>15428</v>
      </c>
      <c r="V467" s="66">
        <f t="shared" si="4"/>
        <v>0.04997236915</v>
      </c>
      <c r="W467" s="67">
        <f t="shared" si="5"/>
        <v>12635</v>
      </c>
      <c r="X467" s="67">
        <f t="shared" si="6"/>
        <v>2021.6</v>
      </c>
      <c r="Y467" s="67">
        <f t="shared" si="7"/>
        <v>14656.6</v>
      </c>
      <c r="Z467" s="67">
        <f t="shared" si="8"/>
        <v>11970</v>
      </c>
      <c r="AA467" s="67">
        <f t="shared" si="9"/>
        <v>1915.2</v>
      </c>
      <c r="AB467" s="67">
        <f t="shared" si="10"/>
        <v>13885.2</v>
      </c>
      <c r="AC467" s="67">
        <f t="shared" si="11"/>
        <v>11305</v>
      </c>
      <c r="AD467" s="67">
        <f t="shared" si="12"/>
        <v>1808.8</v>
      </c>
      <c r="AE467" s="67">
        <f t="shared" si="13"/>
        <v>13113.8</v>
      </c>
      <c r="AF467" s="67">
        <f t="shared" si="14"/>
        <v>11039</v>
      </c>
      <c r="AG467" s="67">
        <f t="shared" si="15"/>
        <v>1766.24</v>
      </c>
      <c r="AH467" s="67">
        <f t="shared" si="16"/>
        <v>12805.24</v>
      </c>
      <c r="AI467" s="67">
        <f t="shared" si="17"/>
        <v>10640</v>
      </c>
      <c r="AJ467" s="68">
        <f t="shared" si="20"/>
        <v>1702.4</v>
      </c>
      <c r="AK467" s="68">
        <f t="shared" si="21"/>
        <v>12342.4</v>
      </c>
      <c r="AL467" s="136">
        <f>IFERROR(__xludf.DUMMYFUNCTION("""COMPUTED_VALUE"""),1.0)</f>
        <v>1</v>
      </c>
      <c r="AM467" s="136"/>
      <c r="AN467" s="137" t="str">
        <f>IFERROR(__xludf.DUMMYFUNCTION("""COMPUTED_VALUE""")," P")</f>
        <v>P</v>
      </c>
      <c r="AO467" s="137" t="str">
        <f>IFERROR(__xludf.DUMMYFUNCTION("""COMPUTED_VALUE""")," CH29")</f>
        <v>CH29</v>
      </c>
      <c r="AP467" s="137" t="str">
        <f>IFERROR(__xludf.DUMMYFUNCTION("""COMPUTED_VALUE""")," PZA")</f>
        <v>PZA</v>
      </c>
      <c r="AQ467" s="137" t="str">
        <f>IFERROR(__xludf.DUMMYFUNCTION("""COMPUTED_VALUE""")," REF")</f>
        <v>REF</v>
      </c>
      <c r="AR467" s="137" t="str">
        <f>IFERROR(__xludf.DUMMYFUNCTION("""COMPUTED_VALUE""")," CHUMACERA ESPECIAL PARA FLECHA SENCILLA REFORZADA")</f>
        <v>CHUMACERA ESPECIAL PARA FLECHA SENCILLA REFORZADA</v>
      </c>
      <c r="AS467" s="137" t="str">
        <f>IFERROR(__xludf.DUMMYFUNCTION("""COMPUTED_VALUE""")," CHUMACERA ESP P/FLECHA SENC REFORZADA")</f>
        <v>CHUMACERA ESP P/FLECHA SENC REFORZADA</v>
      </c>
      <c r="AT467" s="137">
        <f>IFERROR(__xludf.DUMMYFUNCTION("""COMPUTED_VALUE"""),37.0)</f>
        <v>37</v>
      </c>
      <c r="AU467" s="137"/>
      <c r="AV467" s="137"/>
      <c r="AW467" s="137"/>
      <c r="AX467" s="137"/>
      <c r="AY467" s="137">
        <f>IFERROR(__xludf.DUMMYFUNCTION("""COMPUTED_VALUE"""),166.0)</f>
        <v>166</v>
      </c>
      <c r="AZ467" s="137">
        <f>IFERROR(__xludf.DUMMYFUNCTION("""COMPUTED_VALUE"""),179.0)</f>
        <v>179</v>
      </c>
      <c r="BA467" s="137">
        <f>IFERROR(__xludf.DUMMYFUNCTION("""COMPUTED_VALUE"""),193.32000000000002)</f>
        <v>193.32</v>
      </c>
      <c r="BB467" s="137">
        <f>IFERROR(__xludf.DUMMYFUNCTION("""COMPUTED_VALUE"""),193.32000000000002)</f>
        <v>193.32</v>
      </c>
      <c r="BC467" s="137">
        <f>IFERROR(__xludf.DUMMYFUNCTION("""COMPUTED_VALUE"""),216.0)</f>
        <v>216</v>
      </c>
      <c r="BD467" s="137">
        <f>IFERROR(__xludf.DUMMYFUNCTION("""COMPUTED_VALUE"""),227.0)</f>
        <v>227</v>
      </c>
      <c r="BE467" s="137">
        <f>IFERROR(__xludf.DUMMYFUNCTION("""COMPUTED_VALUE"""),36.32)</f>
        <v>36.32</v>
      </c>
      <c r="BF467" s="137">
        <f>IFERROR(__xludf.DUMMYFUNCTION("""COMPUTED_VALUE"""),263.32)</f>
        <v>263.32</v>
      </c>
      <c r="BG467" s="137">
        <f>IFERROR(__xludf.DUMMYFUNCTION("""COMPUTED_VALUE"""),0.05092592592592592)</f>
        <v>0.05092592593</v>
      </c>
      <c r="BH467" s="137">
        <f>IFERROR(__xludf.DUMMYFUNCTION("""COMPUTED_VALUE"""),215.64999999999998)</f>
        <v>215.65</v>
      </c>
      <c r="BI467" s="137">
        <f>IFERROR(__xludf.DUMMYFUNCTION("""COMPUTED_VALUE"""),34.504)</f>
        <v>34.504</v>
      </c>
      <c r="BJ467" s="137">
        <f>IFERROR(__xludf.DUMMYFUNCTION("""COMPUTED_VALUE"""),250.15399999999997)</f>
        <v>250.154</v>
      </c>
      <c r="BK467" s="137">
        <f>IFERROR(__xludf.DUMMYFUNCTION("""COMPUTED_VALUE"""),204.3)</f>
        <v>204.3</v>
      </c>
      <c r="BL467" s="137">
        <f>IFERROR(__xludf.DUMMYFUNCTION("""COMPUTED_VALUE"""),32.688)</f>
        <v>32.688</v>
      </c>
      <c r="BM467" s="137">
        <f>IFERROR(__xludf.DUMMYFUNCTION("""COMPUTED_VALUE"""),236.988)</f>
        <v>236.988</v>
      </c>
      <c r="BN467" s="137">
        <f>IFERROR(__xludf.DUMMYFUNCTION("""COMPUTED_VALUE"""),192.95)</f>
        <v>192.95</v>
      </c>
      <c r="BO467" s="137">
        <f>IFERROR(__xludf.DUMMYFUNCTION("""COMPUTED_VALUE"""),30.872)</f>
        <v>30.872</v>
      </c>
      <c r="BP467" s="137">
        <f>IFERROR(__xludf.DUMMYFUNCTION("""COMPUTED_VALUE"""),223.822)</f>
        <v>223.822</v>
      </c>
      <c r="BQ467" s="137">
        <f>IFERROR(__xludf.DUMMYFUNCTION("""COMPUTED_VALUE"""),188.41)</f>
        <v>188.41</v>
      </c>
      <c r="BR467" s="137">
        <f>IFERROR(__xludf.DUMMYFUNCTION("""COMPUTED_VALUE"""),30.1456)</f>
        <v>30.1456</v>
      </c>
      <c r="BS467" s="137">
        <f>IFERROR(__xludf.DUMMYFUNCTION("""COMPUTED_VALUE"""),218.5556)</f>
        <v>218.5556</v>
      </c>
      <c r="BT467" s="137">
        <f>IFERROR(__xludf.DUMMYFUNCTION("""COMPUTED_VALUE"""),181.60000000000002)</f>
        <v>181.6</v>
      </c>
      <c r="BU467" s="137">
        <f>IFERROR(__xludf.DUMMYFUNCTION("""COMPUTED_VALUE"""),29.056000000000004)</f>
        <v>29.056</v>
      </c>
      <c r="BV467" s="137">
        <f>IFERROR(__xludf.DUMMYFUNCTION("""COMPUTED_VALUE"""),210.65600000000003)</f>
        <v>210.656</v>
      </c>
    </row>
    <row r="468">
      <c r="A468" s="53">
        <v>1.0</v>
      </c>
      <c r="B468" s="72"/>
      <c r="C468" s="73" t="s">
        <v>12</v>
      </c>
      <c r="D468" s="74" t="s">
        <v>1183</v>
      </c>
      <c r="E468" s="54" t="s">
        <v>38</v>
      </c>
      <c r="F468" s="54" t="s">
        <v>42</v>
      </c>
      <c r="G468" s="54" t="s">
        <v>1184</v>
      </c>
      <c r="H468" s="54" t="s">
        <v>1184</v>
      </c>
      <c r="I468" s="54">
        <f t="shared" si="24"/>
        <v>16</v>
      </c>
      <c r="J468" s="56"/>
      <c r="K468" s="75"/>
      <c r="L468" s="76"/>
      <c r="M468" s="59"/>
      <c r="N468" s="60">
        <v>256.0</v>
      </c>
      <c r="O468" s="61">
        <v>276.0</v>
      </c>
      <c r="P468" s="62">
        <v>215.0</v>
      </c>
      <c r="Q468" s="63">
        <v>215.0</v>
      </c>
      <c r="R468" s="64">
        <v>342.0</v>
      </c>
      <c r="S468" s="111">
        <v>359.0</v>
      </c>
      <c r="T468" s="65">
        <f t="shared" si="2"/>
        <v>57.44</v>
      </c>
      <c r="U468" s="65">
        <f t="shared" si="3"/>
        <v>416.44</v>
      </c>
      <c r="V468" s="66">
        <f t="shared" si="4"/>
        <v>0.04970760234</v>
      </c>
      <c r="W468" s="67">
        <f t="shared" si="5"/>
        <v>341.05</v>
      </c>
      <c r="X468" s="67">
        <f t="shared" si="6"/>
        <v>54.568</v>
      </c>
      <c r="Y468" s="67">
        <f t="shared" si="7"/>
        <v>395.618</v>
      </c>
      <c r="Z468" s="67">
        <f t="shared" si="8"/>
        <v>323.1</v>
      </c>
      <c r="AA468" s="67">
        <f t="shared" si="9"/>
        <v>51.696</v>
      </c>
      <c r="AB468" s="67">
        <f t="shared" si="10"/>
        <v>374.796</v>
      </c>
      <c r="AC468" s="67">
        <f t="shared" si="11"/>
        <v>305.15</v>
      </c>
      <c r="AD468" s="67">
        <f t="shared" si="12"/>
        <v>48.824</v>
      </c>
      <c r="AE468" s="67">
        <f t="shared" si="13"/>
        <v>353.974</v>
      </c>
      <c r="AF468" s="67">
        <f t="shared" si="14"/>
        <v>297.97</v>
      </c>
      <c r="AG468" s="67">
        <f t="shared" si="15"/>
        <v>47.6752</v>
      </c>
      <c r="AH468" s="67">
        <f t="shared" si="16"/>
        <v>345.6452</v>
      </c>
      <c r="AI468" s="67">
        <f t="shared" si="17"/>
        <v>287.2</v>
      </c>
      <c r="AJ468" s="68">
        <f t="shared" si="20"/>
        <v>45.952</v>
      </c>
      <c r="AK468" s="68">
        <f t="shared" si="21"/>
        <v>333.152</v>
      </c>
      <c r="AL468" s="70">
        <f>IFERROR(__xludf.DUMMYFUNCTION("""COMPUTED_VALUE"""),1.0)</f>
        <v>1</v>
      </c>
      <c r="AM468" s="70"/>
      <c r="AN468" s="71" t="str">
        <f>IFERROR(__xludf.DUMMYFUNCTION("""COMPUTED_VALUE""")," P")</f>
        <v>P</v>
      </c>
      <c r="AO468" s="71" t="str">
        <f>IFERROR(__xludf.DUMMYFUNCTION("""COMPUTED_VALUE""")," CH30")</f>
        <v>CH30</v>
      </c>
      <c r="AP468" s="71" t="str">
        <f>IFERROR(__xludf.DUMMYFUNCTION("""COMPUTED_VALUE""")," PZA")</f>
        <v>PZA</v>
      </c>
      <c r="AQ468" s="71" t="str">
        <f>IFERROR(__xludf.DUMMYFUNCTION("""COMPUTED_VALUE""")," REF")</f>
        <v>REF</v>
      </c>
      <c r="AR468" s="71" t="str">
        <f>IFERROR(__xludf.DUMMYFUNCTION("""COMPUTED_VALUE""")," CHUMACERA P/ENFRIADOR DE FIERRO COLADO")</f>
        <v>CHUMACERA P/ENFRIADOR DE FIERRO COLADO</v>
      </c>
      <c r="AS468" s="71" t="str">
        <f>IFERROR(__xludf.DUMMYFUNCTION("""COMPUTED_VALUE""")," CHUMACERA P/ENFRIADOR DE FIERRO COLADO")</f>
        <v>CHUMACERA P/ENFRIADOR DE FIERRO COLADO</v>
      </c>
      <c r="AT468" s="71">
        <f>IFERROR(__xludf.DUMMYFUNCTION("""COMPUTED_VALUE"""),38.0)</f>
        <v>38</v>
      </c>
      <c r="AU468" s="71"/>
      <c r="AV468" s="71"/>
      <c r="AW468" s="71"/>
      <c r="AX468" s="71"/>
      <c r="AY468" s="71">
        <f>IFERROR(__xludf.DUMMYFUNCTION("""COMPUTED_VALUE"""),77.0)</f>
        <v>77</v>
      </c>
      <c r="AZ468" s="71">
        <f>IFERROR(__xludf.DUMMYFUNCTION("""COMPUTED_VALUE"""),83.0)</f>
        <v>83</v>
      </c>
      <c r="BA468" s="71">
        <f>IFERROR(__xludf.DUMMYFUNCTION("""COMPUTED_VALUE"""),89.64)</f>
        <v>89.64</v>
      </c>
      <c r="BB468" s="71">
        <f>IFERROR(__xludf.DUMMYFUNCTION("""COMPUTED_VALUE"""),89.64)</f>
        <v>89.64</v>
      </c>
      <c r="BC468" s="71">
        <f>IFERROR(__xludf.DUMMYFUNCTION("""COMPUTED_VALUE"""),101.0)</f>
        <v>101</v>
      </c>
      <c r="BD468" s="71">
        <f>IFERROR(__xludf.DUMMYFUNCTION("""COMPUTED_VALUE"""),106.0)</f>
        <v>106</v>
      </c>
      <c r="BE468" s="71">
        <f>IFERROR(__xludf.DUMMYFUNCTION("""COMPUTED_VALUE"""),16.96)</f>
        <v>16.96</v>
      </c>
      <c r="BF468" s="71">
        <f>IFERROR(__xludf.DUMMYFUNCTION("""COMPUTED_VALUE"""),122.96000000000001)</f>
        <v>122.96</v>
      </c>
      <c r="BG468" s="71">
        <f>IFERROR(__xludf.DUMMYFUNCTION("""COMPUTED_VALUE"""),0.04950495049504951)</f>
        <v>0.0495049505</v>
      </c>
      <c r="BH468" s="71">
        <f>IFERROR(__xludf.DUMMYFUNCTION("""COMPUTED_VALUE"""),100.69999999999999)</f>
        <v>100.7</v>
      </c>
      <c r="BI468" s="71">
        <f>IFERROR(__xludf.DUMMYFUNCTION("""COMPUTED_VALUE"""),16.112)</f>
        <v>16.112</v>
      </c>
      <c r="BJ468" s="71">
        <f>IFERROR(__xludf.DUMMYFUNCTION("""COMPUTED_VALUE"""),116.81199999999998)</f>
        <v>116.812</v>
      </c>
      <c r="BK468" s="71">
        <f>IFERROR(__xludf.DUMMYFUNCTION("""COMPUTED_VALUE"""),95.4)</f>
        <v>95.4</v>
      </c>
      <c r="BL468" s="71">
        <f>IFERROR(__xludf.DUMMYFUNCTION("""COMPUTED_VALUE"""),15.264000000000001)</f>
        <v>15.264</v>
      </c>
      <c r="BM468" s="71">
        <f>IFERROR(__xludf.DUMMYFUNCTION("""COMPUTED_VALUE"""),110.664)</f>
        <v>110.664</v>
      </c>
      <c r="BN468" s="71">
        <f>IFERROR(__xludf.DUMMYFUNCTION("""COMPUTED_VALUE"""),90.1)</f>
        <v>90.1</v>
      </c>
      <c r="BO468" s="71">
        <f>IFERROR(__xludf.DUMMYFUNCTION("""COMPUTED_VALUE"""),14.415999999999999)</f>
        <v>14.416</v>
      </c>
      <c r="BP468" s="71">
        <f>IFERROR(__xludf.DUMMYFUNCTION("""COMPUTED_VALUE"""),104.51599999999999)</f>
        <v>104.516</v>
      </c>
      <c r="BQ468" s="71">
        <f>IFERROR(__xludf.DUMMYFUNCTION("""COMPUTED_VALUE"""),87.97999999999999)</f>
        <v>87.98</v>
      </c>
      <c r="BR468" s="71">
        <f>IFERROR(__xludf.DUMMYFUNCTION("""COMPUTED_VALUE"""),14.076799999999999)</f>
        <v>14.0768</v>
      </c>
      <c r="BS468" s="71">
        <f>IFERROR(__xludf.DUMMYFUNCTION("""COMPUTED_VALUE"""),102.05679999999998)</f>
        <v>102.0568</v>
      </c>
      <c r="BT468" s="71">
        <f>IFERROR(__xludf.DUMMYFUNCTION("""COMPUTED_VALUE"""),84.80000000000001)</f>
        <v>84.8</v>
      </c>
      <c r="BU468" s="71">
        <f>IFERROR(__xludf.DUMMYFUNCTION("""COMPUTED_VALUE"""),13.568000000000001)</f>
        <v>13.568</v>
      </c>
      <c r="BV468" s="71">
        <f>IFERROR(__xludf.DUMMYFUNCTION("""COMPUTED_VALUE"""),98.36800000000001)</f>
        <v>98.368</v>
      </c>
    </row>
    <row r="469">
      <c r="A469" s="53">
        <v>1.0</v>
      </c>
      <c r="B469" s="72"/>
      <c r="C469" s="73" t="s">
        <v>12</v>
      </c>
      <c r="D469" s="74" t="s">
        <v>1185</v>
      </c>
      <c r="E469" s="54" t="s">
        <v>38</v>
      </c>
      <c r="F469" s="54" t="s">
        <v>42</v>
      </c>
      <c r="G469" s="54" t="s">
        <v>1186</v>
      </c>
      <c r="H469" s="54" t="s">
        <v>1186</v>
      </c>
      <c r="I469" s="54">
        <f t="shared" si="24"/>
        <v>16</v>
      </c>
      <c r="J469" s="56"/>
      <c r="K469" s="75"/>
      <c r="L469" s="76"/>
      <c r="M469" s="59"/>
      <c r="N469" s="60">
        <v>256.0</v>
      </c>
      <c r="O469" s="61">
        <v>285.0</v>
      </c>
      <c r="P469" s="62">
        <v>215.0</v>
      </c>
      <c r="Q469" s="63">
        <v>215.0</v>
      </c>
      <c r="R469" s="64">
        <v>354.0</v>
      </c>
      <c r="S469" s="111">
        <v>372.0</v>
      </c>
      <c r="T469" s="65">
        <f t="shared" si="2"/>
        <v>59.52</v>
      </c>
      <c r="U469" s="65">
        <f t="shared" si="3"/>
        <v>431.52</v>
      </c>
      <c r="V469" s="66">
        <f t="shared" si="4"/>
        <v>0.05084745763</v>
      </c>
      <c r="W469" s="67">
        <f t="shared" si="5"/>
        <v>353.4</v>
      </c>
      <c r="X469" s="67">
        <f t="shared" si="6"/>
        <v>56.544</v>
      </c>
      <c r="Y469" s="67">
        <f t="shared" si="7"/>
        <v>409.944</v>
      </c>
      <c r="Z469" s="67">
        <f t="shared" si="8"/>
        <v>334.8</v>
      </c>
      <c r="AA469" s="67">
        <f t="shared" si="9"/>
        <v>53.568</v>
      </c>
      <c r="AB469" s="67">
        <f t="shared" si="10"/>
        <v>388.368</v>
      </c>
      <c r="AC469" s="67">
        <f t="shared" si="11"/>
        <v>316.2</v>
      </c>
      <c r="AD469" s="67">
        <f t="shared" si="12"/>
        <v>50.592</v>
      </c>
      <c r="AE469" s="67">
        <f t="shared" si="13"/>
        <v>366.792</v>
      </c>
      <c r="AF469" s="67">
        <f t="shared" si="14"/>
        <v>308.76</v>
      </c>
      <c r="AG469" s="67">
        <f t="shared" si="15"/>
        <v>49.4016</v>
      </c>
      <c r="AH469" s="67">
        <f t="shared" si="16"/>
        <v>358.1616</v>
      </c>
      <c r="AI469" s="67">
        <f t="shared" si="17"/>
        <v>297.6</v>
      </c>
      <c r="AJ469" s="68">
        <f t="shared" si="20"/>
        <v>47.616</v>
      </c>
      <c r="AK469" s="68">
        <f t="shared" si="21"/>
        <v>345.216</v>
      </c>
      <c r="AL469" s="70">
        <f>IFERROR(__xludf.DUMMYFUNCTION("""COMPUTED_VALUE"""),1.0)</f>
        <v>1</v>
      </c>
      <c r="AM469" s="70"/>
      <c r="AN469" s="71" t="str">
        <f>IFERROR(__xludf.DUMMYFUNCTION("""COMPUTED_VALUE""")," P")</f>
        <v>P</v>
      </c>
      <c r="AO469" s="71" t="str">
        <f>IFERROR(__xludf.DUMMYFUNCTION("""COMPUTED_VALUE""")," CH31")</f>
        <v>CH31</v>
      </c>
      <c r="AP469" s="71" t="str">
        <f>IFERROR(__xludf.DUMMYFUNCTION("""COMPUTED_VALUE""")," PZA")</f>
        <v>PZA</v>
      </c>
      <c r="AQ469" s="71" t="str">
        <f>IFERROR(__xludf.DUMMYFUNCTION("""COMPUTED_VALUE""")," REF")</f>
        <v>REF</v>
      </c>
      <c r="AR469" s="71" t="str">
        <f>IFERROR(__xludf.DUMMYFUNCTION("""COMPUTED_VALUE""")," CHUMACERA REDONDA CHICA PARA RODILLO MODELO ANTERIOR")</f>
        <v>CHUMACERA REDONDA CHICA PARA RODILLO MODELO ANTERIOR</v>
      </c>
      <c r="AS469" s="71" t="str">
        <f>IFERROR(__xludf.DUMMYFUNCTION("""COMPUTED_VALUE""")," CHUMACERA REDONDA CHICA P/RODILLO MA")</f>
        <v>CHUMACERA REDONDA CHICA P/RODILLO MA</v>
      </c>
      <c r="AT469" s="71">
        <f>IFERROR(__xludf.DUMMYFUNCTION("""COMPUTED_VALUE"""),36.0)</f>
        <v>36</v>
      </c>
      <c r="AU469" s="71"/>
      <c r="AV469" s="71"/>
      <c r="AW469" s="71"/>
      <c r="AX469" s="71"/>
      <c r="AY469" s="71">
        <f>IFERROR(__xludf.DUMMYFUNCTION("""COMPUTED_VALUE"""),111.0)</f>
        <v>111</v>
      </c>
      <c r="AZ469" s="71">
        <f>IFERROR(__xludf.DUMMYFUNCTION("""COMPUTED_VALUE"""),119.0)</f>
        <v>119</v>
      </c>
      <c r="BA469" s="71">
        <f>IFERROR(__xludf.DUMMYFUNCTION("""COMPUTED_VALUE"""),128.52)</f>
        <v>128.52</v>
      </c>
      <c r="BB469" s="71">
        <f>IFERROR(__xludf.DUMMYFUNCTION("""COMPUTED_VALUE"""),128.52)</f>
        <v>128.52</v>
      </c>
      <c r="BC469" s="71">
        <f>IFERROR(__xludf.DUMMYFUNCTION("""COMPUTED_VALUE"""),144.0)</f>
        <v>144</v>
      </c>
      <c r="BD469" s="71">
        <f>IFERROR(__xludf.DUMMYFUNCTION("""COMPUTED_VALUE"""),151.0)</f>
        <v>151</v>
      </c>
      <c r="BE469" s="71">
        <f>IFERROR(__xludf.DUMMYFUNCTION("""COMPUTED_VALUE"""),24.16)</f>
        <v>24.16</v>
      </c>
      <c r="BF469" s="71">
        <f>IFERROR(__xludf.DUMMYFUNCTION("""COMPUTED_VALUE"""),175.16)</f>
        <v>175.16</v>
      </c>
      <c r="BG469" s="71">
        <f>IFERROR(__xludf.DUMMYFUNCTION("""COMPUTED_VALUE"""),0.04861111111111111)</f>
        <v>0.04861111111</v>
      </c>
      <c r="BH469" s="71">
        <f>IFERROR(__xludf.DUMMYFUNCTION("""COMPUTED_VALUE"""),143.45)</f>
        <v>143.45</v>
      </c>
      <c r="BI469" s="71">
        <f>IFERROR(__xludf.DUMMYFUNCTION("""COMPUTED_VALUE"""),22.951999999999998)</f>
        <v>22.952</v>
      </c>
      <c r="BJ469" s="71">
        <f>IFERROR(__xludf.DUMMYFUNCTION("""COMPUTED_VALUE"""),166.402)</f>
        <v>166.402</v>
      </c>
      <c r="BK469" s="71">
        <f>IFERROR(__xludf.DUMMYFUNCTION("""COMPUTED_VALUE"""),135.9)</f>
        <v>135.9</v>
      </c>
      <c r="BL469" s="71">
        <f>IFERROR(__xludf.DUMMYFUNCTION("""COMPUTED_VALUE"""),21.744)</f>
        <v>21.744</v>
      </c>
      <c r="BM469" s="71">
        <f>IFERROR(__xludf.DUMMYFUNCTION("""COMPUTED_VALUE"""),157.644)</f>
        <v>157.644</v>
      </c>
      <c r="BN469" s="71">
        <f>IFERROR(__xludf.DUMMYFUNCTION("""COMPUTED_VALUE"""),128.35)</f>
        <v>128.35</v>
      </c>
      <c r="BO469" s="71">
        <f>IFERROR(__xludf.DUMMYFUNCTION("""COMPUTED_VALUE"""),20.535999999999998)</f>
        <v>20.536</v>
      </c>
      <c r="BP469" s="71">
        <f>IFERROR(__xludf.DUMMYFUNCTION("""COMPUTED_VALUE"""),148.886)</f>
        <v>148.886</v>
      </c>
      <c r="BQ469" s="71">
        <f>IFERROR(__xludf.DUMMYFUNCTION("""COMPUTED_VALUE"""),125.33)</f>
        <v>125.33</v>
      </c>
      <c r="BR469" s="71">
        <f>IFERROR(__xludf.DUMMYFUNCTION("""COMPUTED_VALUE"""),20.0528)</f>
        <v>20.0528</v>
      </c>
      <c r="BS469" s="71">
        <f>IFERROR(__xludf.DUMMYFUNCTION("""COMPUTED_VALUE"""),145.3828)</f>
        <v>145.3828</v>
      </c>
      <c r="BT469" s="71">
        <f>IFERROR(__xludf.DUMMYFUNCTION("""COMPUTED_VALUE"""),120.80000000000001)</f>
        <v>120.8</v>
      </c>
      <c r="BU469" s="71">
        <f>IFERROR(__xludf.DUMMYFUNCTION("""COMPUTED_VALUE"""),19.328000000000003)</f>
        <v>19.328</v>
      </c>
      <c r="BV469" s="71">
        <f>IFERROR(__xludf.DUMMYFUNCTION("""COMPUTED_VALUE"""),140.12800000000001)</f>
        <v>140.128</v>
      </c>
    </row>
    <row r="470">
      <c r="A470" s="53">
        <v>1.0</v>
      </c>
      <c r="B470" s="72"/>
      <c r="C470" s="73" t="s">
        <v>12</v>
      </c>
      <c r="D470" s="74" t="s">
        <v>1187</v>
      </c>
      <c r="E470" s="54" t="s">
        <v>38</v>
      </c>
      <c r="F470" s="54" t="s">
        <v>42</v>
      </c>
      <c r="G470" s="54" t="s">
        <v>1188</v>
      </c>
      <c r="H470" s="54" t="s">
        <v>1188</v>
      </c>
      <c r="I470" s="54">
        <f t="shared" si="24"/>
        <v>16</v>
      </c>
      <c r="J470" s="56"/>
      <c r="K470" s="75"/>
      <c r="L470" s="76"/>
      <c r="M470" s="59"/>
      <c r="N470" s="60">
        <v>412.0</v>
      </c>
      <c r="O470" s="61">
        <v>444.0</v>
      </c>
      <c r="P470" s="62">
        <v>305.0</v>
      </c>
      <c r="Q470" s="63">
        <v>305.0</v>
      </c>
      <c r="R470" s="64">
        <v>550.0</v>
      </c>
      <c r="S470" s="111">
        <v>578.0</v>
      </c>
      <c r="T470" s="65">
        <f t="shared" si="2"/>
        <v>92.48</v>
      </c>
      <c r="U470" s="65">
        <f t="shared" si="3"/>
        <v>670.48</v>
      </c>
      <c r="V470" s="66">
        <f t="shared" si="4"/>
        <v>0.05090909091</v>
      </c>
      <c r="W470" s="67">
        <f t="shared" si="5"/>
        <v>549.1</v>
      </c>
      <c r="X470" s="67">
        <f t="shared" si="6"/>
        <v>87.856</v>
      </c>
      <c r="Y470" s="67">
        <f t="shared" si="7"/>
        <v>636.956</v>
      </c>
      <c r="Z470" s="67">
        <f t="shared" si="8"/>
        <v>520.2</v>
      </c>
      <c r="AA470" s="67">
        <f t="shared" si="9"/>
        <v>83.232</v>
      </c>
      <c r="AB470" s="67">
        <f t="shared" si="10"/>
        <v>603.432</v>
      </c>
      <c r="AC470" s="67">
        <f t="shared" si="11"/>
        <v>491.3</v>
      </c>
      <c r="AD470" s="67">
        <f t="shared" si="12"/>
        <v>78.608</v>
      </c>
      <c r="AE470" s="67">
        <f t="shared" si="13"/>
        <v>569.908</v>
      </c>
      <c r="AF470" s="67">
        <f t="shared" si="14"/>
        <v>479.74</v>
      </c>
      <c r="AG470" s="67">
        <f t="shared" si="15"/>
        <v>76.7584</v>
      </c>
      <c r="AH470" s="67">
        <f t="shared" si="16"/>
        <v>556.4984</v>
      </c>
      <c r="AI470" s="67">
        <f t="shared" si="17"/>
        <v>462.4</v>
      </c>
      <c r="AJ470" s="68">
        <f t="shared" si="20"/>
        <v>73.984</v>
      </c>
      <c r="AK470" s="68">
        <f t="shared" si="21"/>
        <v>536.384</v>
      </c>
      <c r="AL470" s="70">
        <f>IFERROR(__xludf.DUMMYFUNCTION("""COMPUTED_VALUE"""),1.0)</f>
        <v>1</v>
      </c>
      <c r="AM470" s="70"/>
      <c r="AN470" s="71" t="str">
        <f>IFERROR(__xludf.DUMMYFUNCTION("""COMPUTED_VALUE""")," P")</f>
        <v>P</v>
      </c>
      <c r="AO470" s="71" t="str">
        <f>IFERROR(__xludf.DUMMYFUNCTION("""COMPUTED_VALUE""")," CH32")</f>
        <v>CH32</v>
      </c>
      <c r="AP470" s="71" t="str">
        <f>IFERROR(__xludf.DUMMYFUNCTION("""COMPUTED_VALUE""")," PZA")</f>
        <v>PZA</v>
      </c>
      <c r="AQ470" s="71" t="str">
        <f>IFERROR(__xludf.DUMMYFUNCTION("""COMPUTED_VALUE""")," REF")</f>
        <v>REF</v>
      </c>
      <c r="AR470" s="71" t="str">
        <f>IFERROR(__xludf.DUMMYFUNCTION("""COMPUTED_VALUE""")," CHUMACERA REDONDA GRANDE PARA RODILLO MODELO ANTERIOR")</f>
        <v>CHUMACERA REDONDA GRANDE PARA RODILLO MODELO ANTERIOR</v>
      </c>
      <c r="AS470" s="71" t="str">
        <f>IFERROR(__xludf.DUMMYFUNCTION("""COMPUTED_VALUE""")," CHUMACERA REDONDA GDE P/RODILLO MA")</f>
        <v>CHUMACERA REDONDA GDE P/RODILLO MA</v>
      </c>
      <c r="AT470" s="71">
        <f>IFERROR(__xludf.DUMMYFUNCTION("""COMPUTED_VALUE"""),34.0)</f>
        <v>34</v>
      </c>
      <c r="AU470" s="71"/>
      <c r="AV470" s="71"/>
      <c r="AW470" s="71"/>
      <c r="AX470" s="71"/>
      <c r="AY470" s="71">
        <f>IFERROR(__xludf.DUMMYFUNCTION("""COMPUTED_VALUE"""),131.0)</f>
        <v>131</v>
      </c>
      <c r="AZ470" s="71">
        <f>IFERROR(__xludf.DUMMYFUNCTION("""COMPUTED_VALUE"""),141.0)</f>
        <v>141</v>
      </c>
      <c r="BA470" s="71">
        <f>IFERROR(__xludf.DUMMYFUNCTION("""COMPUTED_VALUE"""),152.28)</f>
        <v>152.28</v>
      </c>
      <c r="BB470" s="71">
        <f>IFERROR(__xludf.DUMMYFUNCTION("""COMPUTED_VALUE"""),152.28)</f>
        <v>152.28</v>
      </c>
      <c r="BC470" s="71">
        <f>IFERROR(__xludf.DUMMYFUNCTION("""COMPUTED_VALUE"""),171.0)</f>
        <v>171</v>
      </c>
      <c r="BD470" s="71">
        <f>IFERROR(__xludf.DUMMYFUNCTION("""COMPUTED_VALUE"""),180.0)</f>
        <v>180</v>
      </c>
      <c r="BE470" s="71">
        <f>IFERROR(__xludf.DUMMYFUNCTION("""COMPUTED_VALUE"""),28.8)</f>
        <v>28.8</v>
      </c>
      <c r="BF470" s="71">
        <f>IFERROR(__xludf.DUMMYFUNCTION("""COMPUTED_VALUE"""),208.8)</f>
        <v>208.8</v>
      </c>
      <c r="BG470" s="71">
        <f>IFERROR(__xludf.DUMMYFUNCTION("""COMPUTED_VALUE"""),0.05263157894736842)</f>
        <v>0.05263157895</v>
      </c>
      <c r="BH470" s="71">
        <f>IFERROR(__xludf.DUMMYFUNCTION("""COMPUTED_VALUE"""),171.0)</f>
        <v>171</v>
      </c>
      <c r="BI470" s="71">
        <f>IFERROR(__xludf.DUMMYFUNCTION("""COMPUTED_VALUE"""),27.36)</f>
        <v>27.36</v>
      </c>
      <c r="BJ470" s="71">
        <f>IFERROR(__xludf.DUMMYFUNCTION("""COMPUTED_VALUE"""),198.36)</f>
        <v>198.36</v>
      </c>
      <c r="BK470" s="71">
        <f>IFERROR(__xludf.DUMMYFUNCTION("""COMPUTED_VALUE"""),162.0)</f>
        <v>162</v>
      </c>
      <c r="BL470" s="71">
        <f>IFERROR(__xludf.DUMMYFUNCTION("""COMPUTED_VALUE"""),25.92)</f>
        <v>25.92</v>
      </c>
      <c r="BM470" s="71">
        <f>IFERROR(__xludf.DUMMYFUNCTION("""COMPUTED_VALUE"""),187.92000000000002)</f>
        <v>187.92</v>
      </c>
      <c r="BN470" s="71">
        <f>IFERROR(__xludf.DUMMYFUNCTION("""COMPUTED_VALUE"""),153.0)</f>
        <v>153</v>
      </c>
      <c r="BO470" s="71">
        <f>IFERROR(__xludf.DUMMYFUNCTION("""COMPUTED_VALUE"""),24.48)</f>
        <v>24.48</v>
      </c>
      <c r="BP470" s="71">
        <f>IFERROR(__xludf.DUMMYFUNCTION("""COMPUTED_VALUE"""),177.48)</f>
        <v>177.48</v>
      </c>
      <c r="BQ470" s="71">
        <f>IFERROR(__xludf.DUMMYFUNCTION("""COMPUTED_VALUE"""),149.4)</f>
        <v>149.4</v>
      </c>
      <c r="BR470" s="71">
        <f>IFERROR(__xludf.DUMMYFUNCTION("""COMPUTED_VALUE"""),23.904)</f>
        <v>23.904</v>
      </c>
      <c r="BS470" s="71">
        <f>IFERROR(__xludf.DUMMYFUNCTION("""COMPUTED_VALUE"""),173.304)</f>
        <v>173.304</v>
      </c>
      <c r="BT470" s="71">
        <f>IFERROR(__xludf.DUMMYFUNCTION("""COMPUTED_VALUE"""),144.0)</f>
        <v>144</v>
      </c>
      <c r="BU470" s="71">
        <f>IFERROR(__xludf.DUMMYFUNCTION("""COMPUTED_VALUE"""),23.04)</f>
        <v>23.04</v>
      </c>
      <c r="BV470" s="71">
        <f>IFERROR(__xludf.DUMMYFUNCTION("""COMPUTED_VALUE"""),167.04)</f>
        <v>167.04</v>
      </c>
    </row>
    <row r="471">
      <c r="A471" s="53">
        <v>1.0</v>
      </c>
      <c r="B471" s="53"/>
      <c r="C471" s="73" t="s">
        <v>53</v>
      </c>
      <c r="D471" s="128" t="s">
        <v>1189</v>
      </c>
      <c r="E471" s="54" t="s">
        <v>38</v>
      </c>
      <c r="F471" s="54" t="s">
        <v>42</v>
      </c>
      <c r="G471" s="55" t="s">
        <v>1190</v>
      </c>
      <c r="H471" s="54" t="s">
        <v>1190</v>
      </c>
      <c r="I471" s="54">
        <f t="shared" si="24"/>
        <v>38</v>
      </c>
      <c r="J471" s="56"/>
      <c r="K471" s="57"/>
      <c r="L471" s="87"/>
      <c r="M471" s="59"/>
      <c r="N471" s="60">
        <v>4413.0</v>
      </c>
      <c r="O471" s="61">
        <v>4766.0</v>
      </c>
      <c r="P471" s="62">
        <v>5147.280000000001</v>
      </c>
      <c r="Q471" s="63">
        <v>5147.280000000001</v>
      </c>
      <c r="R471" s="64">
        <v>5730.0</v>
      </c>
      <c r="S471" s="111">
        <v>6017.0</v>
      </c>
      <c r="T471" s="65">
        <f t="shared" si="2"/>
        <v>962.72</v>
      </c>
      <c r="U471" s="65">
        <f t="shared" si="3"/>
        <v>6979.72</v>
      </c>
      <c r="V471" s="66">
        <f t="shared" si="4"/>
        <v>0.05008726003</v>
      </c>
      <c r="W471" s="67">
        <f t="shared" si="5"/>
        <v>5716.15</v>
      </c>
      <c r="X471" s="67">
        <f t="shared" si="6"/>
        <v>914.584</v>
      </c>
      <c r="Y471" s="67">
        <f t="shared" si="7"/>
        <v>6630.734</v>
      </c>
      <c r="Z471" s="67">
        <f t="shared" si="8"/>
        <v>5415.3</v>
      </c>
      <c r="AA471" s="67">
        <f t="shared" si="9"/>
        <v>866.448</v>
      </c>
      <c r="AB471" s="67">
        <f t="shared" si="10"/>
        <v>6281.748</v>
      </c>
      <c r="AC471" s="67">
        <f t="shared" si="11"/>
        <v>5114.45</v>
      </c>
      <c r="AD471" s="67">
        <f t="shared" si="12"/>
        <v>818.312</v>
      </c>
      <c r="AE471" s="67">
        <f t="shared" si="13"/>
        <v>5932.762</v>
      </c>
      <c r="AF471" s="67">
        <f t="shared" si="14"/>
        <v>4994.11</v>
      </c>
      <c r="AG471" s="67">
        <f t="shared" si="15"/>
        <v>799.0576</v>
      </c>
      <c r="AH471" s="67">
        <f t="shared" si="16"/>
        <v>5793.1676</v>
      </c>
      <c r="AI471" s="67">
        <f t="shared" si="17"/>
        <v>4813.6</v>
      </c>
      <c r="AJ471" s="68">
        <f t="shared" si="20"/>
        <v>770.176</v>
      </c>
      <c r="AK471" s="68">
        <f t="shared" si="21"/>
        <v>5583.776</v>
      </c>
      <c r="AL471" s="70">
        <f>IFERROR(__xludf.DUMMYFUNCTION("""COMPUTED_VALUE"""),1.0)</f>
        <v>1</v>
      </c>
      <c r="AM471" s="70"/>
      <c r="AN471" s="71" t="str">
        <f>IFERROR(__xludf.DUMMYFUNCTION("""COMPUTED_VALUE""")," E")</f>
        <v>E</v>
      </c>
      <c r="AO471" s="71" t="str">
        <f>IFERROR(__xludf.DUMMYFUNCTION("""COMPUTED_VALUE""")," CH64")</f>
        <v>CH64</v>
      </c>
      <c r="AP471" s="71" t="str">
        <f>IFERROR(__xludf.DUMMYFUNCTION("""COMPUTED_VALUE""")," PZA")</f>
        <v>PZA</v>
      </c>
      <c r="AQ471" s="71" t="str">
        <f>IFERROR(__xludf.DUMMYFUNCTION("""COMPUTED_VALUE""")," WAL")</f>
        <v>WAL</v>
      </c>
      <c r="AR471" s="71" t="str">
        <f>IFERROR(__xludf.DUMMYFUNCTION("""COMPUTED_VALUE""")," CHUMACERA TENSORA DE 1 1/4""")</f>
        <v>CHUMACERA TENSORA DE 1 1/4"</v>
      </c>
      <c r="AS471" s="71"/>
      <c r="AT471" s="71">
        <f>IFERROR(__xludf.DUMMYFUNCTION("""COMPUTED_VALUE"""),0.0)</f>
        <v>0</v>
      </c>
      <c r="AU471" s="71"/>
      <c r="AV471" s="71"/>
      <c r="AW471" s="71"/>
      <c r="AX471" s="71"/>
      <c r="AY471" s="71"/>
      <c r="AZ471" s="71">
        <f>IFERROR(__xludf.DUMMYFUNCTION("""COMPUTED_VALUE"""),297.6)</f>
        <v>297.6</v>
      </c>
      <c r="BA471" s="71">
        <f>IFERROR(__xludf.DUMMYFUNCTION("""COMPUTED_VALUE"""),219.0)</f>
        <v>219</v>
      </c>
      <c r="BB471" s="71">
        <f>IFERROR(__xludf.DUMMYFUNCTION("""COMPUTED_VALUE"""),219.0)</f>
        <v>219</v>
      </c>
      <c r="BC471" s="71">
        <f>IFERROR(__xludf.DUMMYFUNCTION("""COMPUTED_VALUE"""),230.0)</f>
        <v>230</v>
      </c>
      <c r="BD471" s="71">
        <f>IFERROR(__xludf.DUMMYFUNCTION("""COMPUTED_VALUE"""),242.0)</f>
        <v>242</v>
      </c>
      <c r="BE471" s="71">
        <f>IFERROR(__xludf.DUMMYFUNCTION("""COMPUTED_VALUE"""),38.72)</f>
        <v>38.72</v>
      </c>
      <c r="BF471" s="71">
        <f>IFERROR(__xludf.DUMMYFUNCTION("""COMPUTED_VALUE"""),280.72)</f>
        <v>280.72</v>
      </c>
      <c r="BG471" s="71">
        <f>IFERROR(__xludf.DUMMYFUNCTION("""COMPUTED_VALUE"""),0.05217391304347826)</f>
        <v>0.05217391304</v>
      </c>
      <c r="BH471" s="71">
        <f>IFERROR(__xludf.DUMMYFUNCTION("""COMPUTED_VALUE"""),229.89999999999998)</f>
        <v>229.9</v>
      </c>
      <c r="BI471" s="71">
        <f>IFERROR(__xludf.DUMMYFUNCTION("""COMPUTED_VALUE"""),36.784)</f>
        <v>36.784</v>
      </c>
      <c r="BJ471" s="71">
        <f>IFERROR(__xludf.DUMMYFUNCTION("""COMPUTED_VALUE"""),266.68399999999997)</f>
        <v>266.684</v>
      </c>
      <c r="BK471" s="71">
        <f>IFERROR(__xludf.DUMMYFUNCTION("""COMPUTED_VALUE"""),217.8)</f>
        <v>217.8</v>
      </c>
      <c r="BL471" s="71">
        <f>IFERROR(__xludf.DUMMYFUNCTION("""COMPUTED_VALUE"""),34.848000000000006)</f>
        <v>34.848</v>
      </c>
      <c r="BM471" s="71">
        <f>IFERROR(__xludf.DUMMYFUNCTION("""COMPUTED_VALUE"""),252.64800000000002)</f>
        <v>252.648</v>
      </c>
      <c r="BN471" s="71">
        <f>IFERROR(__xludf.DUMMYFUNCTION("""COMPUTED_VALUE"""),205.7)</f>
        <v>205.7</v>
      </c>
      <c r="BO471" s="71">
        <f>IFERROR(__xludf.DUMMYFUNCTION("""COMPUTED_VALUE"""),32.912)</f>
        <v>32.912</v>
      </c>
      <c r="BP471" s="71">
        <f>IFERROR(__xludf.DUMMYFUNCTION("""COMPUTED_VALUE"""),238.612)</f>
        <v>238.612</v>
      </c>
      <c r="BQ471" s="71">
        <f>IFERROR(__xludf.DUMMYFUNCTION("""COMPUTED_VALUE"""),200.85999999999999)</f>
        <v>200.86</v>
      </c>
      <c r="BR471" s="71">
        <f>IFERROR(__xludf.DUMMYFUNCTION("""COMPUTED_VALUE"""),32.1376)</f>
        <v>32.1376</v>
      </c>
      <c r="BS471" s="71">
        <f>IFERROR(__xludf.DUMMYFUNCTION("""COMPUTED_VALUE"""),232.99759999999998)</f>
        <v>232.9976</v>
      </c>
      <c r="BT471" s="71">
        <f>IFERROR(__xludf.DUMMYFUNCTION("""COMPUTED_VALUE"""),193.60000000000002)</f>
        <v>193.6</v>
      </c>
      <c r="BU471" s="71">
        <f>IFERROR(__xludf.DUMMYFUNCTION("""COMPUTED_VALUE"""),30.976000000000003)</f>
        <v>30.976</v>
      </c>
      <c r="BV471" s="71">
        <f>IFERROR(__xludf.DUMMYFUNCTION("""COMPUTED_VALUE"""),224.57600000000002)</f>
        <v>224.576</v>
      </c>
    </row>
    <row r="472">
      <c r="A472" s="53"/>
      <c r="B472" s="72"/>
      <c r="C472" s="73" t="s">
        <v>53</v>
      </c>
      <c r="D472" s="53" t="s">
        <v>1191</v>
      </c>
      <c r="E472" s="54" t="s">
        <v>38</v>
      </c>
      <c r="F472" s="54" t="s">
        <v>42</v>
      </c>
      <c r="G472" s="55" t="s">
        <v>1192</v>
      </c>
      <c r="H472" s="54" t="s">
        <v>1193</v>
      </c>
      <c r="I472" s="54">
        <f t="shared" si="24"/>
        <v>39</v>
      </c>
      <c r="J472" s="56"/>
      <c r="K472" s="57"/>
      <c r="L472" s="76"/>
      <c r="M472" s="59"/>
      <c r="N472" s="79">
        <v>5162.0</v>
      </c>
      <c r="O472" s="61">
        <v>5574.0</v>
      </c>
      <c r="P472" s="62">
        <v>6019.92</v>
      </c>
      <c r="Q472" s="63">
        <v>6019.92</v>
      </c>
      <c r="R472" s="64">
        <v>6321.0</v>
      </c>
      <c r="S472" s="111">
        <v>6637.0</v>
      </c>
      <c r="T472" s="65">
        <f t="shared" si="2"/>
        <v>1061.92</v>
      </c>
      <c r="U472" s="65">
        <f t="shared" si="3"/>
        <v>7698.92</v>
      </c>
      <c r="V472" s="66">
        <f t="shared" si="4"/>
        <v>0.04999208986</v>
      </c>
      <c r="W472" s="67">
        <f t="shared" si="5"/>
        <v>6305.15</v>
      </c>
      <c r="X472" s="67">
        <f t="shared" si="6"/>
        <v>1008.824</v>
      </c>
      <c r="Y472" s="67">
        <f t="shared" si="7"/>
        <v>7313.974</v>
      </c>
      <c r="Z472" s="67">
        <f t="shared" si="8"/>
        <v>5973.3</v>
      </c>
      <c r="AA472" s="67">
        <f t="shared" si="9"/>
        <v>955.728</v>
      </c>
      <c r="AB472" s="67">
        <f t="shared" si="10"/>
        <v>6929.028</v>
      </c>
      <c r="AC472" s="67">
        <f t="shared" si="11"/>
        <v>5641.45</v>
      </c>
      <c r="AD472" s="67">
        <f t="shared" si="12"/>
        <v>902.632</v>
      </c>
      <c r="AE472" s="67">
        <f t="shared" si="13"/>
        <v>6544.082</v>
      </c>
      <c r="AF472" s="67">
        <f t="shared" si="14"/>
        <v>5508.71</v>
      </c>
      <c r="AG472" s="67">
        <f t="shared" si="15"/>
        <v>881.3936</v>
      </c>
      <c r="AH472" s="67">
        <f t="shared" si="16"/>
        <v>6390.1036</v>
      </c>
      <c r="AI472" s="67">
        <f t="shared" si="17"/>
        <v>5309.6</v>
      </c>
      <c r="AJ472" s="68">
        <f t="shared" si="20"/>
        <v>849.536</v>
      </c>
      <c r="AK472" s="68">
        <f t="shared" si="21"/>
        <v>6159.136</v>
      </c>
      <c r="AL472" s="70">
        <f>IFERROR(__xludf.DUMMYFUNCTION("""COMPUTED_VALUE"""),1.0)</f>
        <v>1</v>
      </c>
      <c r="AM472" s="70"/>
      <c r="AN472" s="71" t="str">
        <f>IFERROR(__xludf.DUMMYFUNCTION("""COMPUTED_VALUE""")," P")</f>
        <v>P</v>
      </c>
      <c r="AO472" s="71" t="str">
        <f>IFERROR(__xludf.DUMMYFUNCTION("""COMPUTED_VALUE""")," CH62")</f>
        <v>CH62</v>
      </c>
      <c r="AP472" s="71" t="str">
        <f>IFERROR(__xludf.DUMMYFUNCTION("""COMPUTED_VALUE""")," PZA")</f>
        <v>PZA</v>
      </c>
      <c r="AQ472" s="71" t="str">
        <f>IFERROR(__xludf.DUMMYFUNCTION("""COMPUTED_VALUE""")," REF")</f>
        <v>REF</v>
      </c>
      <c r="AR472" s="71" t="str">
        <f>IFERROR(__xludf.DUMMYFUNCTION("""COMPUTED_VALUE""")," CHUMACERA TENSORA DE 1''")</f>
        <v>CHUMACERA TENSORA DE 1''</v>
      </c>
      <c r="AS472" s="71" t="str">
        <f>IFERROR(__xludf.DUMMYFUNCTION("""COMPUTED_VALUE""")," CHUMACERA TENSORA DE 1''")</f>
        <v>CHUMACERA TENSORA DE 1''</v>
      </c>
      <c r="AT472" s="71">
        <f>IFERROR(__xludf.DUMMYFUNCTION("""COMPUTED_VALUE"""),24.0)</f>
        <v>24</v>
      </c>
      <c r="AU472" s="71"/>
      <c r="AV472" s="71"/>
      <c r="AW472" s="71"/>
      <c r="AX472" s="71"/>
      <c r="AY472" s="71"/>
      <c r="AZ472" s="71">
        <f>IFERROR(__xludf.DUMMYFUNCTION("""COMPUTED_VALUE"""),230.0)</f>
        <v>230</v>
      </c>
      <c r="BA472" s="71">
        <f>IFERROR(__xludf.DUMMYFUNCTION("""COMPUTED_VALUE"""),149.04)</f>
        <v>149.04</v>
      </c>
      <c r="BB472" s="71">
        <f>IFERROR(__xludf.DUMMYFUNCTION("""COMPUTED_VALUE"""),149.04)</f>
        <v>149.04</v>
      </c>
      <c r="BC472" s="71">
        <f>IFERROR(__xludf.DUMMYFUNCTION("""COMPUTED_VALUE"""),161.0)</f>
        <v>161</v>
      </c>
      <c r="BD472" s="71">
        <f>IFERROR(__xludf.DUMMYFUNCTION("""COMPUTED_VALUE"""),169.0)</f>
        <v>169</v>
      </c>
      <c r="BE472" s="71">
        <f>IFERROR(__xludf.DUMMYFUNCTION("""COMPUTED_VALUE"""),27.04)</f>
        <v>27.04</v>
      </c>
      <c r="BF472" s="71">
        <f>IFERROR(__xludf.DUMMYFUNCTION("""COMPUTED_VALUE"""),196.04)</f>
        <v>196.04</v>
      </c>
      <c r="BG472" s="71">
        <f>IFERROR(__xludf.DUMMYFUNCTION("""COMPUTED_VALUE"""),0.049689440993788817)</f>
        <v>0.04968944099</v>
      </c>
      <c r="BH472" s="71">
        <f>IFERROR(__xludf.DUMMYFUNCTION("""COMPUTED_VALUE"""),160.54999999999998)</f>
        <v>160.55</v>
      </c>
      <c r="BI472" s="71">
        <f>IFERROR(__xludf.DUMMYFUNCTION("""COMPUTED_VALUE"""),25.688)</f>
        <v>25.688</v>
      </c>
      <c r="BJ472" s="71">
        <f>IFERROR(__xludf.DUMMYFUNCTION("""COMPUTED_VALUE"""),186.23799999999997)</f>
        <v>186.238</v>
      </c>
      <c r="BK472" s="71">
        <f>IFERROR(__xludf.DUMMYFUNCTION("""COMPUTED_VALUE"""),152.1)</f>
        <v>152.1</v>
      </c>
      <c r="BL472" s="71">
        <f>IFERROR(__xludf.DUMMYFUNCTION("""COMPUTED_VALUE"""),24.336)</f>
        <v>24.336</v>
      </c>
      <c r="BM472" s="71">
        <f>IFERROR(__xludf.DUMMYFUNCTION("""COMPUTED_VALUE"""),176.43599999999998)</f>
        <v>176.436</v>
      </c>
      <c r="BN472" s="71">
        <f>IFERROR(__xludf.DUMMYFUNCTION("""COMPUTED_VALUE"""),143.65)</f>
        <v>143.65</v>
      </c>
      <c r="BO472" s="71">
        <f>IFERROR(__xludf.DUMMYFUNCTION("""COMPUTED_VALUE"""),22.984)</f>
        <v>22.984</v>
      </c>
      <c r="BP472" s="71">
        <f>IFERROR(__xludf.DUMMYFUNCTION("""COMPUTED_VALUE"""),166.63400000000001)</f>
        <v>166.634</v>
      </c>
      <c r="BQ472" s="71">
        <f>IFERROR(__xludf.DUMMYFUNCTION("""COMPUTED_VALUE"""),140.26999999999998)</f>
        <v>140.27</v>
      </c>
      <c r="BR472" s="71">
        <f>IFERROR(__xludf.DUMMYFUNCTION("""COMPUTED_VALUE"""),22.443199999999997)</f>
        <v>22.4432</v>
      </c>
      <c r="BS472" s="71">
        <f>IFERROR(__xludf.DUMMYFUNCTION("""COMPUTED_VALUE"""),162.71319999999997)</f>
        <v>162.7132</v>
      </c>
      <c r="BT472" s="71">
        <f>IFERROR(__xludf.DUMMYFUNCTION("""COMPUTED_VALUE"""),135.20000000000002)</f>
        <v>135.2</v>
      </c>
      <c r="BU472" s="71">
        <f>IFERROR(__xludf.DUMMYFUNCTION("""COMPUTED_VALUE"""),21.632)</f>
        <v>21.632</v>
      </c>
      <c r="BV472" s="71">
        <f>IFERROR(__xludf.DUMMYFUNCTION("""COMPUTED_VALUE"""),156.83200000000002)</f>
        <v>156.832</v>
      </c>
    </row>
    <row r="473">
      <c r="A473" s="53"/>
      <c r="B473" s="53"/>
      <c r="C473" s="53" t="s">
        <v>36</v>
      </c>
      <c r="D473" s="85" t="s">
        <v>1194</v>
      </c>
      <c r="E473" s="54" t="s">
        <v>38</v>
      </c>
      <c r="F473" s="55" t="s">
        <v>39</v>
      </c>
      <c r="G473" s="86" t="s">
        <v>1195</v>
      </c>
      <c r="H473" s="55"/>
      <c r="I473" s="54">
        <f t="shared" si="24"/>
        <v>0</v>
      </c>
      <c r="J473" s="56"/>
      <c r="K473" s="57"/>
      <c r="L473" s="76"/>
      <c r="M473" s="59"/>
      <c r="N473" s="60"/>
      <c r="O473" s="61">
        <v>174.0</v>
      </c>
      <c r="P473" s="62">
        <v>187.92000000000002</v>
      </c>
      <c r="Q473" s="63">
        <v>187.92000000000002</v>
      </c>
      <c r="R473" s="64">
        <v>198.0</v>
      </c>
      <c r="S473" s="107">
        <v>208.0</v>
      </c>
      <c r="T473" s="65">
        <f t="shared" si="2"/>
        <v>33.28</v>
      </c>
      <c r="U473" s="65">
        <f t="shared" si="3"/>
        <v>241.28</v>
      </c>
      <c r="V473" s="66">
        <f t="shared" si="4"/>
        <v>0.05050505051</v>
      </c>
      <c r="W473" s="67">
        <f t="shared" si="5"/>
        <v>197.6</v>
      </c>
      <c r="X473" s="67">
        <f t="shared" si="6"/>
        <v>31.616</v>
      </c>
      <c r="Y473" s="67">
        <f t="shared" si="7"/>
        <v>229.216</v>
      </c>
      <c r="Z473" s="67">
        <f t="shared" si="8"/>
        <v>187.2</v>
      </c>
      <c r="AA473" s="67">
        <f t="shared" si="9"/>
        <v>29.952</v>
      </c>
      <c r="AB473" s="67">
        <f t="shared" si="10"/>
        <v>217.152</v>
      </c>
      <c r="AC473" s="67">
        <f t="shared" si="11"/>
        <v>176.8</v>
      </c>
      <c r="AD473" s="67">
        <f t="shared" si="12"/>
        <v>28.288</v>
      </c>
      <c r="AE473" s="67">
        <f t="shared" si="13"/>
        <v>205.088</v>
      </c>
      <c r="AF473" s="67">
        <f t="shared" si="14"/>
        <v>172.64</v>
      </c>
      <c r="AG473" s="67">
        <f t="shared" si="15"/>
        <v>27.6224</v>
      </c>
      <c r="AH473" s="67">
        <f t="shared" si="16"/>
        <v>200.2624</v>
      </c>
      <c r="AI473" s="67">
        <f t="shared" si="17"/>
        <v>166.4</v>
      </c>
      <c r="AJ473" s="68">
        <f t="shared" si="20"/>
        <v>26.624</v>
      </c>
      <c r="AK473" s="68">
        <f t="shared" si="21"/>
        <v>193.024</v>
      </c>
      <c r="AL473" s="70">
        <f>IFERROR(__xludf.DUMMYFUNCTION("""COMPUTED_VALUE"""),1.0)</f>
        <v>1</v>
      </c>
      <c r="AM473" s="70"/>
      <c r="AN473" s="71" t="str">
        <f>IFERROR(__xludf.DUMMYFUNCTION("""COMPUTED_VALUE""")," C")</f>
        <v>C</v>
      </c>
      <c r="AO473" s="71" t="str">
        <f>IFERROR(__xludf.DUMMYFUNCTION("""COMPUTED_VALUE""")," CI102")</f>
        <v>CI102</v>
      </c>
      <c r="AP473" s="71" t="str">
        <f>IFERROR(__xludf.DUMMYFUNCTION("""COMPUTED_VALUE""")," PZA")</f>
        <v>PZA</v>
      </c>
      <c r="AQ473" s="71" t="str">
        <f>IFERROR(__xludf.DUMMYFUNCTION("""COMPUTED_VALUE""")," REF")</f>
        <v>REF</v>
      </c>
      <c r="AR473" s="71" t="str">
        <f>IFERROR(__xludf.DUMMYFUNCTION("""COMPUTED_VALUE""")," CINCHO PARA MÁQUINA DE (RODILLOS 4"") RESTAURANTERA CHICO")</f>
        <v>CINCHO PARA MÁQUINA DE (RODILLOS 4") RESTAURANTERA CHICO</v>
      </c>
      <c r="AS473" s="71" t="str">
        <f>IFERROR(__xludf.DUMMYFUNCTION("""COMPUTED_VALUE""")," CINCHO P/MAQ DE RODILLO 4PULG REST CHICO")</f>
        <v>CINCHO P/MAQ DE RODILLO 4PULG REST CHICO</v>
      </c>
      <c r="AT473" s="71">
        <f>IFERROR(__xludf.DUMMYFUNCTION("""COMPUTED_VALUE"""),40.0)</f>
        <v>40</v>
      </c>
      <c r="AU473" s="71"/>
      <c r="AV473" s="71"/>
      <c r="AW473" s="71" t="str">
        <f>IFERROR(__xludf.DUMMYFUNCTION("""COMPUTED_VALUE""")," cambiar precio")</f>
        <v>cambiar precio</v>
      </c>
      <c r="AX473" s="71"/>
      <c r="AY473" s="71">
        <f>IFERROR(__xludf.DUMMYFUNCTION("""COMPUTED_VALUE"""),80.0)</f>
        <v>80</v>
      </c>
      <c r="AZ473" s="71">
        <f>IFERROR(__xludf.DUMMYFUNCTION("""COMPUTED_VALUE"""),86.0)</f>
        <v>86</v>
      </c>
      <c r="BA473" s="71">
        <f>IFERROR(__xludf.DUMMYFUNCTION("""COMPUTED_VALUE"""),92.88000000000001)</f>
        <v>92.88</v>
      </c>
      <c r="BB473" s="71">
        <f>IFERROR(__xludf.DUMMYFUNCTION("""COMPUTED_VALUE"""),92.88000000000001)</f>
        <v>92.88</v>
      </c>
      <c r="BC473" s="71">
        <f>IFERROR(__xludf.DUMMYFUNCTION("""COMPUTED_VALUE"""),104.0)</f>
        <v>104</v>
      </c>
      <c r="BD473" s="71">
        <f>IFERROR(__xludf.DUMMYFUNCTION("""COMPUTED_VALUE"""),84.0)</f>
        <v>84</v>
      </c>
      <c r="BE473" s="71">
        <f>IFERROR(__xludf.DUMMYFUNCTION("""COMPUTED_VALUE"""),13.44)</f>
        <v>13.44</v>
      </c>
      <c r="BF473" s="71">
        <f>IFERROR(__xludf.DUMMYFUNCTION("""COMPUTED_VALUE"""),97.44)</f>
        <v>97.44</v>
      </c>
      <c r="BG473" s="71">
        <f>IFERROR(__xludf.DUMMYFUNCTION("""COMPUTED_VALUE"""),-0.19230769230769232)</f>
        <v>-0.1923076923</v>
      </c>
      <c r="BH473" s="71">
        <f>IFERROR(__xludf.DUMMYFUNCTION("""COMPUTED_VALUE"""),79.8)</f>
        <v>79.8</v>
      </c>
      <c r="BI473" s="71">
        <f>IFERROR(__xludf.DUMMYFUNCTION("""COMPUTED_VALUE"""),12.768)</f>
        <v>12.768</v>
      </c>
      <c r="BJ473" s="71">
        <f>IFERROR(__xludf.DUMMYFUNCTION("""COMPUTED_VALUE"""),92.568)</f>
        <v>92.568</v>
      </c>
      <c r="BK473" s="71">
        <f>IFERROR(__xludf.DUMMYFUNCTION("""COMPUTED_VALUE"""),75.60000000000001)</f>
        <v>75.6</v>
      </c>
      <c r="BL473" s="71">
        <f>IFERROR(__xludf.DUMMYFUNCTION("""COMPUTED_VALUE"""),12.096000000000002)</f>
        <v>12.096</v>
      </c>
      <c r="BM473" s="71">
        <f>IFERROR(__xludf.DUMMYFUNCTION("""COMPUTED_VALUE"""),87.69600000000001)</f>
        <v>87.696</v>
      </c>
      <c r="BN473" s="71">
        <f>IFERROR(__xludf.DUMMYFUNCTION("""COMPUTED_VALUE"""),71.39999999999999)</f>
        <v>71.4</v>
      </c>
      <c r="BO473" s="71">
        <f>IFERROR(__xludf.DUMMYFUNCTION("""COMPUTED_VALUE"""),11.424)</f>
        <v>11.424</v>
      </c>
      <c r="BP473" s="71">
        <f>IFERROR(__xludf.DUMMYFUNCTION("""COMPUTED_VALUE"""),82.82399999999998)</f>
        <v>82.824</v>
      </c>
      <c r="BQ473" s="71">
        <f>IFERROR(__xludf.DUMMYFUNCTION("""COMPUTED_VALUE"""),69.72)</f>
        <v>69.72</v>
      </c>
      <c r="BR473" s="71">
        <f>IFERROR(__xludf.DUMMYFUNCTION("""COMPUTED_VALUE"""),11.1552)</f>
        <v>11.1552</v>
      </c>
      <c r="BS473" s="71">
        <f>IFERROR(__xludf.DUMMYFUNCTION("""COMPUTED_VALUE"""),80.8752)</f>
        <v>80.8752</v>
      </c>
      <c r="BT473" s="71">
        <f>IFERROR(__xludf.DUMMYFUNCTION("""COMPUTED_VALUE"""),67.2)</f>
        <v>67.2</v>
      </c>
      <c r="BU473" s="71">
        <f>IFERROR(__xludf.DUMMYFUNCTION("""COMPUTED_VALUE"""),10.752)</f>
        <v>10.752</v>
      </c>
      <c r="BV473" s="71">
        <f>IFERROR(__xludf.DUMMYFUNCTION("""COMPUTED_VALUE"""),77.952)</f>
        <v>77.952</v>
      </c>
    </row>
    <row r="474">
      <c r="A474" s="53">
        <v>1.0</v>
      </c>
      <c r="B474" s="72"/>
      <c r="C474" s="73" t="s">
        <v>53</v>
      </c>
      <c r="D474" s="53" t="s">
        <v>1196</v>
      </c>
      <c r="E474" s="54" t="s">
        <v>77</v>
      </c>
      <c r="F474" s="54" t="s">
        <v>42</v>
      </c>
      <c r="G474" s="55" t="s">
        <v>1197</v>
      </c>
      <c r="H474" s="54" t="s">
        <v>1197</v>
      </c>
      <c r="I474" s="54">
        <f t="shared" si="24"/>
        <v>31</v>
      </c>
      <c r="J474" s="56"/>
      <c r="K474" s="75"/>
      <c r="L474" s="76"/>
      <c r="M474" s="59"/>
      <c r="N474" s="60">
        <v>2170.0</v>
      </c>
      <c r="O474" s="61">
        <v>2343.0</v>
      </c>
      <c r="P474" s="62">
        <v>2530.44</v>
      </c>
      <c r="Q474" s="63">
        <v>2530.44</v>
      </c>
      <c r="R474" s="64">
        <v>2818.0</v>
      </c>
      <c r="S474" s="111">
        <v>2959.0</v>
      </c>
      <c r="T474" s="65">
        <f t="shared" si="2"/>
        <v>473.44</v>
      </c>
      <c r="U474" s="65">
        <f t="shared" si="3"/>
        <v>3432.44</v>
      </c>
      <c r="V474" s="66">
        <f t="shared" si="4"/>
        <v>0.05003548616</v>
      </c>
      <c r="W474" s="67">
        <f t="shared" si="5"/>
        <v>2811.05</v>
      </c>
      <c r="X474" s="67">
        <f t="shared" si="6"/>
        <v>449.768</v>
      </c>
      <c r="Y474" s="67">
        <f t="shared" si="7"/>
        <v>3260.818</v>
      </c>
      <c r="Z474" s="67">
        <f t="shared" si="8"/>
        <v>2663.1</v>
      </c>
      <c r="AA474" s="67">
        <f t="shared" si="9"/>
        <v>426.096</v>
      </c>
      <c r="AB474" s="67">
        <f t="shared" si="10"/>
        <v>3089.196</v>
      </c>
      <c r="AC474" s="67">
        <f t="shared" si="11"/>
        <v>2515.15</v>
      </c>
      <c r="AD474" s="67">
        <f t="shared" si="12"/>
        <v>402.424</v>
      </c>
      <c r="AE474" s="67">
        <f t="shared" si="13"/>
        <v>2917.574</v>
      </c>
      <c r="AF474" s="67">
        <f t="shared" si="14"/>
        <v>2455.97</v>
      </c>
      <c r="AG474" s="67">
        <f t="shared" si="15"/>
        <v>392.9552</v>
      </c>
      <c r="AH474" s="67">
        <f t="shared" si="16"/>
        <v>2848.9252</v>
      </c>
      <c r="AI474" s="67">
        <f t="shared" si="17"/>
        <v>2367.2</v>
      </c>
      <c r="AJ474" s="68">
        <f t="shared" si="20"/>
        <v>378.752</v>
      </c>
      <c r="AK474" s="68">
        <f t="shared" si="21"/>
        <v>2745.952</v>
      </c>
      <c r="AL474" s="70">
        <f>IFERROR(__xludf.DUMMYFUNCTION("""COMPUTED_VALUE"""),1.0)</f>
        <v>1</v>
      </c>
      <c r="AM474" s="70"/>
      <c r="AN474" s="71" t="str">
        <f>IFERROR(__xludf.DUMMYFUNCTION("""COMPUTED_VALUE""")," C")</f>
        <v>C</v>
      </c>
      <c r="AO474" s="71" t="str">
        <f>IFERROR(__xludf.DUMMYFUNCTION("""COMPUTED_VALUE""")," CI98")</f>
        <v>CI98</v>
      </c>
      <c r="AP474" s="71" t="str">
        <f>IFERROR(__xludf.DUMMYFUNCTION("""COMPUTED_VALUE""")," PZA")</f>
        <v>PZA</v>
      </c>
      <c r="AQ474" s="71" t="str">
        <f>IFERROR(__xludf.DUMMYFUNCTION("""COMPUTED_VALUE""")," REF")</f>
        <v>REF</v>
      </c>
      <c r="AR474" s="71" t="str">
        <f>IFERROR(__xludf.DUMMYFUNCTION("""COMPUTED_VALUE""")," CINCHO PARA MÁQUINA DE (RODILLOS 6"") PONY")</f>
        <v>CINCHO PARA MÁQUINA DE (RODILLOS 6") PONY</v>
      </c>
      <c r="AS474" s="71" t="str">
        <f>IFERROR(__xludf.DUMMYFUNCTION("""COMPUTED_VALUE""")," CINCHO P/MAQUINA DE RODILLOS 6PULG PONY")</f>
        <v>CINCHO P/MAQUINA DE RODILLOS 6PULG PONY</v>
      </c>
      <c r="AT474" s="71">
        <f>IFERROR(__xludf.DUMMYFUNCTION("""COMPUTED_VALUE"""),39.0)</f>
        <v>39</v>
      </c>
      <c r="AU474" s="71"/>
      <c r="AV474" s="71"/>
      <c r="AW474" s="71" t="str">
        <f>IFERROR(__xludf.DUMMYFUNCTION("""COMPUTED_VALUE""")," cambiar precio")</f>
        <v>cambiar precio</v>
      </c>
      <c r="AX474" s="71"/>
      <c r="AY474" s="71">
        <f>IFERROR(__xludf.DUMMYFUNCTION("""COMPUTED_VALUE"""),80.0)</f>
        <v>80</v>
      </c>
      <c r="AZ474" s="71">
        <f>IFERROR(__xludf.DUMMYFUNCTION("""COMPUTED_VALUE"""),86.0)</f>
        <v>86</v>
      </c>
      <c r="BA474" s="71">
        <f>IFERROR(__xludf.DUMMYFUNCTION("""COMPUTED_VALUE"""),92.88000000000001)</f>
        <v>92.88</v>
      </c>
      <c r="BB474" s="71">
        <f>IFERROR(__xludf.DUMMYFUNCTION("""COMPUTED_VALUE"""),92.88000000000001)</f>
        <v>92.88</v>
      </c>
      <c r="BC474" s="71">
        <f>IFERROR(__xludf.DUMMYFUNCTION("""COMPUTED_VALUE"""),104.0)</f>
        <v>104</v>
      </c>
      <c r="BD474" s="71">
        <f>IFERROR(__xludf.DUMMYFUNCTION("""COMPUTED_VALUE"""),99.0)</f>
        <v>99</v>
      </c>
      <c r="BE474" s="71">
        <f>IFERROR(__xludf.DUMMYFUNCTION("""COMPUTED_VALUE"""),15.84)</f>
        <v>15.84</v>
      </c>
      <c r="BF474" s="71">
        <f>IFERROR(__xludf.DUMMYFUNCTION("""COMPUTED_VALUE"""),114.84)</f>
        <v>114.84</v>
      </c>
      <c r="BG474" s="71">
        <f>IFERROR(__xludf.DUMMYFUNCTION("""COMPUTED_VALUE"""),-0.04807692307692308)</f>
        <v>-0.04807692308</v>
      </c>
      <c r="BH474" s="71">
        <f>IFERROR(__xludf.DUMMYFUNCTION("""COMPUTED_VALUE"""),94.05)</f>
        <v>94.05</v>
      </c>
      <c r="BI474" s="71">
        <f>IFERROR(__xludf.DUMMYFUNCTION("""COMPUTED_VALUE"""),15.048)</f>
        <v>15.048</v>
      </c>
      <c r="BJ474" s="71">
        <f>IFERROR(__xludf.DUMMYFUNCTION("""COMPUTED_VALUE"""),109.098)</f>
        <v>109.098</v>
      </c>
      <c r="BK474" s="71">
        <f>IFERROR(__xludf.DUMMYFUNCTION("""COMPUTED_VALUE"""),89.10000000000001)</f>
        <v>89.1</v>
      </c>
      <c r="BL474" s="71">
        <f>IFERROR(__xludf.DUMMYFUNCTION("""COMPUTED_VALUE"""),14.256000000000002)</f>
        <v>14.256</v>
      </c>
      <c r="BM474" s="71">
        <f>IFERROR(__xludf.DUMMYFUNCTION("""COMPUTED_VALUE"""),103.35600000000001)</f>
        <v>103.356</v>
      </c>
      <c r="BN474" s="71">
        <f>IFERROR(__xludf.DUMMYFUNCTION("""COMPUTED_VALUE"""),84.14999999999999)</f>
        <v>84.15</v>
      </c>
      <c r="BO474" s="71">
        <f>IFERROR(__xludf.DUMMYFUNCTION("""COMPUTED_VALUE"""),13.463999999999999)</f>
        <v>13.464</v>
      </c>
      <c r="BP474" s="71">
        <f>IFERROR(__xludf.DUMMYFUNCTION("""COMPUTED_VALUE"""),97.61399999999999)</f>
        <v>97.614</v>
      </c>
      <c r="BQ474" s="71">
        <f>IFERROR(__xludf.DUMMYFUNCTION("""COMPUTED_VALUE"""),82.17)</f>
        <v>82.17</v>
      </c>
      <c r="BR474" s="71">
        <f>IFERROR(__xludf.DUMMYFUNCTION("""COMPUTED_VALUE"""),13.1472)</f>
        <v>13.1472</v>
      </c>
      <c r="BS474" s="71">
        <f>IFERROR(__xludf.DUMMYFUNCTION("""COMPUTED_VALUE"""),95.3172)</f>
        <v>95.3172</v>
      </c>
      <c r="BT474" s="71">
        <f>IFERROR(__xludf.DUMMYFUNCTION("""COMPUTED_VALUE"""),79.2)</f>
        <v>79.2</v>
      </c>
      <c r="BU474" s="71">
        <f>IFERROR(__xludf.DUMMYFUNCTION("""COMPUTED_VALUE"""),12.672)</f>
        <v>12.672</v>
      </c>
      <c r="BV474" s="71">
        <f>IFERROR(__xludf.DUMMYFUNCTION("""COMPUTED_VALUE"""),91.872)</f>
        <v>91.872</v>
      </c>
    </row>
    <row r="475">
      <c r="A475" s="53">
        <v>1.0</v>
      </c>
      <c r="B475" s="72"/>
      <c r="C475" s="73" t="s">
        <v>53</v>
      </c>
      <c r="D475" s="74" t="s">
        <v>1198</v>
      </c>
      <c r="E475" s="54" t="s">
        <v>38</v>
      </c>
      <c r="F475" s="54" t="s">
        <v>42</v>
      </c>
      <c r="G475" s="55" t="s">
        <v>1199</v>
      </c>
      <c r="H475" s="54" t="s">
        <v>1199</v>
      </c>
      <c r="I475" s="54">
        <f t="shared" si="24"/>
        <v>31</v>
      </c>
      <c r="J475" s="56"/>
      <c r="K475" s="75"/>
      <c r="L475" s="76"/>
      <c r="M475" s="59"/>
      <c r="N475" s="60">
        <v>1710.0</v>
      </c>
      <c r="O475" s="61">
        <v>1846.0</v>
      </c>
      <c r="P475" s="62">
        <v>1993.68</v>
      </c>
      <c r="Q475" s="63">
        <v>1993.68</v>
      </c>
      <c r="R475" s="64">
        <v>2220.0</v>
      </c>
      <c r="S475" s="111">
        <v>2331.0</v>
      </c>
      <c r="T475" s="65">
        <f t="shared" si="2"/>
        <v>372.96</v>
      </c>
      <c r="U475" s="65">
        <f t="shared" si="3"/>
        <v>2703.96</v>
      </c>
      <c r="V475" s="66">
        <f t="shared" si="4"/>
        <v>0.05</v>
      </c>
      <c r="W475" s="67">
        <f t="shared" si="5"/>
        <v>2214.45</v>
      </c>
      <c r="X475" s="67">
        <f t="shared" si="6"/>
        <v>354.312</v>
      </c>
      <c r="Y475" s="67">
        <f t="shared" si="7"/>
        <v>2568.762</v>
      </c>
      <c r="Z475" s="67">
        <f t="shared" si="8"/>
        <v>2097.9</v>
      </c>
      <c r="AA475" s="67">
        <f t="shared" si="9"/>
        <v>335.664</v>
      </c>
      <c r="AB475" s="67">
        <f t="shared" si="10"/>
        <v>2433.564</v>
      </c>
      <c r="AC475" s="67">
        <f t="shared" si="11"/>
        <v>1981.35</v>
      </c>
      <c r="AD475" s="67">
        <f t="shared" si="12"/>
        <v>317.016</v>
      </c>
      <c r="AE475" s="67">
        <f t="shared" si="13"/>
        <v>2298.366</v>
      </c>
      <c r="AF475" s="67">
        <f t="shared" si="14"/>
        <v>1934.73</v>
      </c>
      <c r="AG475" s="67">
        <f t="shared" si="15"/>
        <v>309.5568</v>
      </c>
      <c r="AH475" s="67">
        <f t="shared" si="16"/>
        <v>2244.2868</v>
      </c>
      <c r="AI475" s="67">
        <f t="shared" si="17"/>
        <v>1864.8</v>
      </c>
      <c r="AJ475" s="68">
        <f t="shared" si="20"/>
        <v>298.368</v>
      </c>
      <c r="AK475" s="68">
        <f t="shared" si="21"/>
        <v>2163.168</v>
      </c>
      <c r="AL475" s="70">
        <f>IFERROR(__xludf.DUMMYFUNCTION("""COMPUTED_VALUE"""),1.0)</f>
        <v>1</v>
      </c>
      <c r="AM475" s="70"/>
      <c r="AN475" s="71" t="str">
        <f>IFERROR(__xludf.DUMMYFUNCTION("""COMPUTED_VALUE""")," P")</f>
        <v>P</v>
      </c>
      <c r="AO475" s="71" t="str">
        <f>IFERROR(__xludf.DUMMYFUNCTION("""COMPUTED_VALUE""")," CI99")</f>
        <v>CI99</v>
      </c>
      <c r="AP475" s="71" t="str">
        <f>IFERROR(__xludf.DUMMYFUNCTION("""COMPUTED_VALUE""")," PZA")</f>
        <v>PZA</v>
      </c>
      <c r="AQ475" s="71" t="str">
        <f>IFERROR(__xludf.DUMMYFUNCTION("""COMPUTED_VALUE""")," REF")</f>
        <v>REF</v>
      </c>
      <c r="AR475" s="71" t="str">
        <f>IFERROR(__xludf.DUMMYFUNCTION("""COMPUTED_VALUE""")," CINCHO PARA MÁQUINA DE (RODILLOS 8"") SENCILLA")</f>
        <v>CINCHO PARA MÁQUINA DE (RODILLOS 8") SENCILLA</v>
      </c>
      <c r="AS475" s="71" t="str">
        <f>IFERROR(__xludf.DUMMYFUNCTION("""COMPUTED_VALUE""")," CINCHO P/MAQUINA DE RODILLOS 8PULG SENC")</f>
        <v>CINCHO P/MAQUINA DE RODILLOS 8PULG SENC</v>
      </c>
      <c r="AT475" s="71">
        <f>IFERROR(__xludf.DUMMYFUNCTION("""COMPUTED_VALUE"""),39.0)</f>
        <v>39</v>
      </c>
      <c r="AU475" s="71"/>
      <c r="AV475" s="71"/>
      <c r="AW475" s="71"/>
      <c r="AX475" s="71"/>
      <c r="AY475" s="71">
        <f>IFERROR(__xludf.DUMMYFUNCTION("""COMPUTED_VALUE"""),80.0)</f>
        <v>80</v>
      </c>
      <c r="AZ475" s="71">
        <f>IFERROR(__xludf.DUMMYFUNCTION("""COMPUTED_VALUE"""),86.0)</f>
        <v>86</v>
      </c>
      <c r="BA475" s="71">
        <f>IFERROR(__xludf.DUMMYFUNCTION("""COMPUTED_VALUE"""),92.88000000000001)</f>
        <v>92.88</v>
      </c>
      <c r="BB475" s="71">
        <f>IFERROR(__xludf.DUMMYFUNCTION("""COMPUTED_VALUE"""),92.88000000000001)</f>
        <v>92.88</v>
      </c>
      <c r="BC475" s="71">
        <f>IFERROR(__xludf.DUMMYFUNCTION("""COMPUTED_VALUE"""),104.0)</f>
        <v>104</v>
      </c>
      <c r="BD475" s="71">
        <f>IFERROR(__xludf.DUMMYFUNCTION("""COMPUTED_VALUE"""),109.0)</f>
        <v>109</v>
      </c>
      <c r="BE475" s="71">
        <f>IFERROR(__xludf.DUMMYFUNCTION("""COMPUTED_VALUE"""),17.44)</f>
        <v>17.44</v>
      </c>
      <c r="BF475" s="71">
        <f>IFERROR(__xludf.DUMMYFUNCTION("""COMPUTED_VALUE"""),126.44)</f>
        <v>126.44</v>
      </c>
      <c r="BG475" s="71">
        <f>IFERROR(__xludf.DUMMYFUNCTION("""COMPUTED_VALUE"""),0.04807692307692308)</f>
        <v>0.04807692308</v>
      </c>
      <c r="BH475" s="71">
        <f>IFERROR(__xludf.DUMMYFUNCTION("""COMPUTED_VALUE"""),103.55)</f>
        <v>103.55</v>
      </c>
      <c r="BI475" s="71">
        <f>IFERROR(__xludf.DUMMYFUNCTION("""COMPUTED_VALUE"""),16.568)</f>
        <v>16.568</v>
      </c>
      <c r="BJ475" s="71">
        <f>IFERROR(__xludf.DUMMYFUNCTION("""COMPUTED_VALUE"""),120.118)</f>
        <v>120.118</v>
      </c>
      <c r="BK475" s="71">
        <f>IFERROR(__xludf.DUMMYFUNCTION("""COMPUTED_VALUE"""),98.10000000000001)</f>
        <v>98.1</v>
      </c>
      <c r="BL475" s="71">
        <f>IFERROR(__xludf.DUMMYFUNCTION("""COMPUTED_VALUE"""),15.696000000000002)</f>
        <v>15.696</v>
      </c>
      <c r="BM475" s="71">
        <f>IFERROR(__xludf.DUMMYFUNCTION("""COMPUTED_VALUE"""),113.796)</f>
        <v>113.796</v>
      </c>
      <c r="BN475" s="71">
        <f>IFERROR(__xludf.DUMMYFUNCTION("""COMPUTED_VALUE"""),92.64999999999999)</f>
        <v>92.65</v>
      </c>
      <c r="BO475" s="71">
        <f>IFERROR(__xludf.DUMMYFUNCTION("""COMPUTED_VALUE"""),14.823999999999998)</f>
        <v>14.824</v>
      </c>
      <c r="BP475" s="71">
        <f>IFERROR(__xludf.DUMMYFUNCTION("""COMPUTED_VALUE"""),107.47399999999999)</f>
        <v>107.474</v>
      </c>
      <c r="BQ475" s="71">
        <f>IFERROR(__xludf.DUMMYFUNCTION("""COMPUTED_VALUE"""),90.47)</f>
        <v>90.47</v>
      </c>
      <c r="BR475" s="71">
        <f>IFERROR(__xludf.DUMMYFUNCTION("""COMPUTED_VALUE"""),14.475200000000001)</f>
        <v>14.4752</v>
      </c>
      <c r="BS475" s="71">
        <f>IFERROR(__xludf.DUMMYFUNCTION("""COMPUTED_VALUE"""),104.9452)</f>
        <v>104.9452</v>
      </c>
      <c r="BT475" s="71">
        <f>IFERROR(__xludf.DUMMYFUNCTION("""COMPUTED_VALUE"""),87.2)</f>
        <v>87.2</v>
      </c>
      <c r="BU475" s="71">
        <f>IFERROR(__xludf.DUMMYFUNCTION("""COMPUTED_VALUE"""),13.952)</f>
        <v>13.952</v>
      </c>
      <c r="BV475" s="71">
        <f>IFERROR(__xludf.DUMMYFUNCTION("""COMPUTED_VALUE"""),101.152)</f>
        <v>101.152</v>
      </c>
    </row>
    <row r="476">
      <c r="A476" s="53">
        <v>1.0</v>
      </c>
      <c r="B476" s="72"/>
      <c r="C476" s="73" t="s">
        <v>53</v>
      </c>
      <c r="D476" s="74" t="s">
        <v>1200</v>
      </c>
      <c r="E476" s="54" t="s">
        <v>38</v>
      </c>
      <c r="F476" s="54" t="s">
        <v>42</v>
      </c>
      <c r="G476" s="88" t="s">
        <v>1201</v>
      </c>
      <c r="H476" s="54" t="s">
        <v>1202</v>
      </c>
      <c r="I476" s="54">
        <f t="shared" si="24"/>
        <v>22</v>
      </c>
      <c r="J476" s="56"/>
      <c r="K476" s="75"/>
      <c r="L476" s="76"/>
      <c r="M476" s="59"/>
      <c r="N476" s="60">
        <v>690.0</v>
      </c>
      <c r="O476" s="61">
        <v>745.0</v>
      </c>
      <c r="P476" s="62">
        <v>1206.0</v>
      </c>
      <c r="Q476" s="63">
        <v>1206.0</v>
      </c>
      <c r="R476" s="64">
        <v>1267.0</v>
      </c>
      <c r="S476" s="111">
        <v>1330.0</v>
      </c>
      <c r="T476" s="65">
        <f t="shared" si="2"/>
        <v>212.8</v>
      </c>
      <c r="U476" s="65">
        <f t="shared" si="3"/>
        <v>1542.8</v>
      </c>
      <c r="V476" s="66">
        <f t="shared" si="4"/>
        <v>0.04972375691</v>
      </c>
      <c r="W476" s="67">
        <f t="shared" si="5"/>
        <v>1263.5</v>
      </c>
      <c r="X476" s="67">
        <f t="shared" si="6"/>
        <v>202.16</v>
      </c>
      <c r="Y476" s="67">
        <f t="shared" si="7"/>
        <v>1465.66</v>
      </c>
      <c r="Z476" s="67">
        <f t="shared" si="8"/>
        <v>1197</v>
      </c>
      <c r="AA476" s="67">
        <f t="shared" si="9"/>
        <v>191.52</v>
      </c>
      <c r="AB476" s="67">
        <f t="shared" si="10"/>
        <v>1388.52</v>
      </c>
      <c r="AC476" s="67">
        <f t="shared" si="11"/>
        <v>1130.5</v>
      </c>
      <c r="AD476" s="67">
        <f t="shared" si="12"/>
        <v>180.88</v>
      </c>
      <c r="AE476" s="67">
        <f t="shared" si="13"/>
        <v>1311.38</v>
      </c>
      <c r="AF476" s="67">
        <f t="shared" si="14"/>
        <v>1103.9</v>
      </c>
      <c r="AG476" s="67">
        <f t="shared" si="15"/>
        <v>176.624</v>
      </c>
      <c r="AH476" s="67">
        <f t="shared" si="16"/>
        <v>1280.524</v>
      </c>
      <c r="AI476" s="67">
        <f t="shared" si="17"/>
        <v>1064</v>
      </c>
      <c r="AJ476" s="68">
        <f t="shared" si="20"/>
        <v>170.24</v>
      </c>
      <c r="AK476" s="68">
        <f t="shared" si="21"/>
        <v>1234.24</v>
      </c>
      <c r="AL476" s="70">
        <f>IFERROR(__xludf.DUMMYFUNCTION("""COMPUTED_VALUE"""),1.0)</f>
        <v>1</v>
      </c>
      <c r="AM476" s="70"/>
      <c r="AN476" s="71" t="str">
        <f>IFERROR(__xludf.DUMMYFUNCTION("""COMPUTED_VALUE""")," P")</f>
        <v>P</v>
      </c>
      <c r="AO476" s="71" t="str">
        <f>IFERROR(__xludf.DUMMYFUNCTION("""COMPUTED_VALUE""")," CT01")</f>
        <v>CT01</v>
      </c>
      <c r="AP476" s="71" t="str">
        <f>IFERROR(__xludf.DUMMYFUNCTION("""COMPUTED_VALUE""")," PZA")</f>
        <v>PZA</v>
      </c>
      <c r="AQ476" s="71" t="str">
        <f>IFERROR(__xludf.DUMMYFUNCTION("""COMPUTED_VALUE""")," REF")</f>
        <v>REF</v>
      </c>
      <c r="AR476" s="71" t="str">
        <f>IFERROR(__xludf.DUMMYFUNCTION("""COMPUTED_VALUE""")," CINTURÓN PARA TRINQUETE")</f>
        <v>CINTURÓN PARA TRINQUETE</v>
      </c>
      <c r="AS476" s="71" t="str">
        <f>IFERROR(__xludf.DUMMYFUNCTION("""COMPUTED_VALUE""")," CINTURON PARA TRINQUETE")</f>
        <v>CINTURON PARA TRINQUETE</v>
      </c>
      <c r="AT476" s="71">
        <f>IFERROR(__xludf.DUMMYFUNCTION("""COMPUTED_VALUE"""),23.0)</f>
        <v>23</v>
      </c>
      <c r="AU476" s="71"/>
      <c r="AV476" s="71"/>
      <c r="AW476" s="71"/>
      <c r="AX476" s="71"/>
      <c r="AY476" s="71">
        <f>IFERROR(__xludf.DUMMYFUNCTION("""COMPUTED_VALUE"""),26.0)</f>
        <v>26</v>
      </c>
      <c r="AZ476" s="71">
        <f>IFERROR(__xludf.DUMMYFUNCTION("""COMPUTED_VALUE"""),28.0)</f>
        <v>28</v>
      </c>
      <c r="BA476" s="71">
        <f>IFERROR(__xludf.DUMMYFUNCTION("""COMPUTED_VALUE"""),30.240000000000002)</f>
        <v>30.24</v>
      </c>
      <c r="BB476" s="71">
        <f>IFERROR(__xludf.DUMMYFUNCTION("""COMPUTED_VALUE"""),30.240000000000002)</f>
        <v>30.24</v>
      </c>
      <c r="BC476" s="71">
        <f>IFERROR(__xludf.DUMMYFUNCTION("""COMPUTED_VALUE"""),35.0)</f>
        <v>35</v>
      </c>
      <c r="BD476" s="71">
        <f>IFERROR(__xludf.DUMMYFUNCTION("""COMPUTED_VALUE"""),37.0)</f>
        <v>37</v>
      </c>
      <c r="BE476" s="71">
        <f>IFERROR(__xludf.DUMMYFUNCTION("""COMPUTED_VALUE"""),5.92)</f>
        <v>5.92</v>
      </c>
      <c r="BF476" s="71">
        <f>IFERROR(__xludf.DUMMYFUNCTION("""COMPUTED_VALUE"""),42.92)</f>
        <v>42.92</v>
      </c>
      <c r="BG476" s="71">
        <f>IFERROR(__xludf.DUMMYFUNCTION("""COMPUTED_VALUE"""),0.05714285714285714)</f>
        <v>0.05714285714</v>
      </c>
      <c r="BH476" s="71">
        <f>IFERROR(__xludf.DUMMYFUNCTION("""COMPUTED_VALUE"""),35.15)</f>
        <v>35.15</v>
      </c>
      <c r="BI476" s="71">
        <f>IFERROR(__xludf.DUMMYFUNCTION("""COMPUTED_VALUE"""),5.624)</f>
        <v>5.624</v>
      </c>
      <c r="BJ476" s="71">
        <f>IFERROR(__xludf.DUMMYFUNCTION("""COMPUTED_VALUE"""),40.774)</f>
        <v>40.774</v>
      </c>
      <c r="BK476" s="71">
        <f>IFERROR(__xludf.DUMMYFUNCTION("""COMPUTED_VALUE"""),33.300000000000004)</f>
        <v>33.3</v>
      </c>
      <c r="BL476" s="71">
        <f>IFERROR(__xludf.DUMMYFUNCTION("""COMPUTED_VALUE"""),5.328000000000001)</f>
        <v>5.328</v>
      </c>
      <c r="BM476" s="71">
        <f>IFERROR(__xludf.DUMMYFUNCTION("""COMPUTED_VALUE"""),38.62800000000001)</f>
        <v>38.628</v>
      </c>
      <c r="BN476" s="71">
        <f>IFERROR(__xludf.DUMMYFUNCTION("""COMPUTED_VALUE"""),31.45)</f>
        <v>31.45</v>
      </c>
      <c r="BO476" s="71">
        <f>IFERROR(__xludf.DUMMYFUNCTION("""COMPUTED_VALUE"""),5.032)</f>
        <v>5.032</v>
      </c>
      <c r="BP476" s="71">
        <f>IFERROR(__xludf.DUMMYFUNCTION("""COMPUTED_VALUE"""),36.482)</f>
        <v>36.482</v>
      </c>
      <c r="BQ476" s="71">
        <f>IFERROR(__xludf.DUMMYFUNCTION("""COMPUTED_VALUE"""),30.709999999999997)</f>
        <v>30.71</v>
      </c>
      <c r="BR476" s="71">
        <f>IFERROR(__xludf.DUMMYFUNCTION("""COMPUTED_VALUE"""),4.9136)</f>
        <v>4.9136</v>
      </c>
      <c r="BS476" s="71">
        <f>IFERROR(__xludf.DUMMYFUNCTION("""COMPUTED_VALUE"""),35.623599999999996)</f>
        <v>35.6236</v>
      </c>
      <c r="BT476" s="71">
        <f>IFERROR(__xludf.DUMMYFUNCTION("""COMPUTED_VALUE"""),29.6)</f>
        <v>29.6</v>
      </c>
      <c r="BU476" s="71">
        <f>IFERROR(__xludf.DUMMYFUNCTION("""COMPUTED_VALUE"""),4.736000000000001)</f>
        <v>4.736</v>
      </c>
      <c r="BV476" s="71">
        <f>IFERROR(__xludf.DUMMYFUNCTION("""COMPUTED_VALUE"""),34.336)</f>
        <v>34.336</v>
      </c>
    </row>
    <row r="477">
      <c r="A477" s="53"/>
      <c r="B477" s="53"/>
      <c r="C477" s="53" t="s">
        <v>53</v>
      </c>
      <c r="D477" s="53" t="s">
        <v>1203</v>
      </c>
      <c r="E477" s="54" t="s">
        <v>38</v>
      </c>
      <c r="F477" s="54" t="s">
        <v>42</v>
      </c>
      <c r="G477" s="55" t="s">
        <v>1204</v>
      </c>
      <c r="H477" s="54" t="s">
        <v>1204</v>
      </c>
      <c r="I477" s="54">
        <f t="shared" si="24"/>
        <v>33</v>
      </c>
      <c r="J477" s="56"/>
      <c r="K477" s="75"/>
      <c r="L477" s="76"/>
      <c r="M477" s="59"/>
      <c r="N477" s="79">
        <v>781.0</v>
      </c>
      <c r="O477" s="61">
        <v>843.0</v>
      </c>
      <c r="P477" s="63">
        <v>910.44</v>
      </c>
      <c r="Q477" s="63">
        <v>910.44</v>
      </c>
      <c r="R477" s="64">
        <v>956.0</v>
      </c>
      <c r="S477" s="111">
        <v>1004.0</v>
      </c>
      <c r="T477" s="65">
        <f t="shared" si="2"/>
        <v>160.64</v>
      </c>
      <c r="U477" s="65">
        <f t="shared" si="3"/>
        <v>1164.64</v>
      </c>
      <c r="V477" s="66">
        <f t="shared" si="4"/>
        <v>0.05020920502</v>
      </c>
      <c r="W477" s="67">
        <f t="shared" si="5"/>
        <v>953.8</v>
      </c>
      <c r="X477" s="67">
        <f t="shared" si="6"/>
        <v>152.608</v>
      </c>
      <c r="Y477" s="67">
        <f t="shared" si="7"/>
        <v>1106.408</v>
      </c>
      <c r="Z477" s="67">
        <f t="shared" si="8"/>
        <v>903.6</v>
      </c>
      <c r="AA477" s="67">
        <f t="shared" si="9"/>
        <v>144.576</v>
      </c>
      <c r="AB477" s="67">
        <f t="shared" si="10"/>
        <v>1048.176</v>
      </c>
      <c r="AC477" s="67">
        <f t="shared" si="11"/>
        <v>853.4</v>
      </c>
      <c r="AD477" s="67">
        <f t="shared" si="12"/>
        <v>136.544</v>
      </c>
      <c r="AE477" s="67">
        <f t="shared" si="13"/>
        <v>989.944</v>
      </c>
      <c r="AF477" s="67">
        <f t="shared" si="14"/>
        <v>833.32</v>
      </c>
      <c r="AG477" s="67">
        <f t="shared" si="15"/>
        <v>133.3312</v>
      </c>
      <c r="AH477" s="67">
        <f t="shared" si="16"/>
        <v>966.6512</v>
      </c>
      <c r="AI477" s="67">
        <f t="shared" si="17"/>
        <v>803.2</v>
      </c>
      <c r="AJ477" s="68">
        <f t="shared" si="20"/>
        <v>128.512</v>
      </c>
      <c r="AK477" s="68">
        <f t="shared" si="21"/>
        <v>931.712</v>
      </c>
      <c r="AL477" s="136">
        <f>IFERROR(__xludf.DUMMYFUNCTION("""COMPUTED_VALUE"""),1.0)</f>
        <v>1</v>
      </c>
      <c r="AM477" s="136"/>
      <c r="AN477" s="137" t="str">
        <f>IFERROR(__xludf.DUMMYFUNCTION("""COMPUTED_VALUE""")," P")</f>
        <v>P</v>
      </c>
      <c r="AO477" s="137" t="str">
        <f>IFERROR(__xludf.DUMMYFUNCTION("""COMPUTED_VALUE""")," CC01")</f>
        <v>CC01</v>
      </c>
      <c r="AP477" s="137" t="str">
        <f>IFERROR(__xludf.DUMMYFUNCTION("""COMPUTED_VALUE""")," PZA")</f>
        <v>PZA</v>
      </c>
      <c r="AQ477" s="137" t="str">
        <f>IFERROR(__xludf.DUMMYFUNCTION("""COMPUTED_VALUE""")," REF")</f>
        <v>REF</v>
      </c>
      <c r="AR477" s="137" t="str">
        <f>IFERROR(__xludf.DUMMYFUNCTION("""COMPUTED_VALUE""")," COLA DE MILANO DÚPLEX")</f>
        <v>COLA DE MILANO DÚPLEX</v>
      </c>
      <c r="AS477" s="137" t="str">
        <f>IFERROR(__xludf.DUMMYFUNCTION("""COMPUTED_VALUE""")," COLA DE MILANO DPLX")</f>
        <v>COLA DE MILANO DPLX</v>
      </c>
      <c r="AT477" s="137">
        <f>IFERROR(__xludf.DUMMYFUNCTION("""COMPUTED_VALUE"""),19.0)</f>
        <v>19</v>
      </c>
      <c r="AU477" s="137"/>
      <c r="AV477" s="137"/>
      <c r="AW477" s="137"/>
      <c r="AX477" s="137"/>
      <c r="AY477" s="137">
        <f>IFERROR(__xludf.DUMMYFUNCTION("""COMPUTED_VALUE"""),279.0)</f>
        <v>279</v>
      </c>
      <c r="AZ477" s="137">
        <f>IFERROR(__xludf.DUMMYFUNCTION("""COMPUTED_VALUE"""),301.0)</f>
        <v>301</v>
      </c>
      <c r="BA477" s="137">
        <f>IFERROR(__xludf.DUMMYFUNCTION("""COMPUTED_VALUE"""),325.08000000000004)</f>
        <v>325.08</v>
      </c>
      <c r="BB477" s="137">
        <f>IFERROR(__xludf.DUMMYFUNCTION("""COMPUTED_VALUE"""),325.08000000000004)</f>
        <v>325.08</v>
      </c>
      <c r="BC477" s="137">
        <f>IFERROR(__xludf.DUMMYFUNCTION("""COMPUTED_VALUE"""),360.0)</f>
        <v>360</v>
      </c>
      <c r="BD477" s="137">
        <f>IFERROR(__xludf.DUMMYFUNCTION("""COMPUTED_VALUE"""),378.0)</f>
        <v>378</v>
      </c>
      <c r="BE477" s="137">
        <f>IFERROR(__xludf.DUMMYFUNCTION("""COMPUTED_VALUE"""),60.480000000000004)</f>
        <v>60.48</v>
      </c>
      <c r="BF477" s="137">
        <f>IFERROR(__xludf.DUMMYFUNCTION("""COMPUTED_VALUE"""),438.48)</f>
        <v>438.48</v>
      </c>
      <c r="BG477" s="137">
        <f>IFERROR(__xludf.DUMMYFUNCTION("""COMPUTED_VALUE"""),0.05)</f>
        <v>0.05</v>
      </c>
      <c r="BH477" s="137">
        <f>IFERROR(__xludf.DUMMYFUNCTION("""COMPUTED_VALUE"""),359.09999999999997)</f>
        <v>359.1</v>
      </c>
      <c r="BI477" s="137">
        <f>IFERROR(__xludf.DUMMYFUNCTION("""COMPUTED_VALUE"""),57.455999999999996)</f>
        <v>57.456</v>
      </c>
      <c r="BJ477" s="137">
        <f>IFERROR(__xludf.DUMMYFUNCTION("""COMPUTED_VALUE"""),416.556)</f>
        <v>416.556</v>
      </c>
      <c r="BK477" s="137">
        <f>IFERROR(__xludf.DUMMYFUNCTION("""COMPUTED_VALUE"""),340.2)</f>
        <v>340.2</v>
      </c>
      <c r="BL477" s="137">
        <f>IFERROR(__xludf.DUMMYFUNCTION("""COMPUTED_VALUE"""),54.432)</f>
        <v>54.432</v>
      </c>
      <c r="BM477" s="137">
        <f>IFERROR(__xludf.DUMMYFUNCTION("""COMPUTED_VALUE"""),394.632)</f>
        <v>394.632</v>
      </c>
      <c r="BN477" s="137">
        <f>IFERROR(__xludf.DUMMYFUNCTION("""COMPUTED_VALUE"""),321.3)</f>
        <v>321.3</v>
      </c>
      <c r="BO477" s="137">
        <f>IFERROR(__xludf.DUMMYFUNCTION("""COMPUTED_VALUE"""),51.408)</f>
        <v>51.408</v>
      </c>
      <c r="BP477" s="137">
        <f>IFERROR(__xludf.DUMMYFUNCTION("""COMPUTED_VALUE"""),372.708)</f>
        <v>372.708</v>
      </c>
      <c r="BQ477" s="137">
        <f>IFERROR(__xludf.DUMMYFUNCTION("""COMPUTED_VALUE"""),313.74)</f>
        <v>313.74</v>
      </c>
      <c r="BR477" s="137">
        <f>IFERROR(__xludf.DUMMYFUNCTION("""COMPUTED_VALUE"""),50.1984)</f>
        <v>50.1984</v>
      </c>
      <c r="BS477" s="137">
        <f>IFERROR(__xludf.DUMMYFUNCTION("""COMPUTED_VALUE"""),363.9384)</f>
        <v>363.9384</v>
      </c>
      <c r="BT477" s="137">
        <f>IFERROR(__xludf.DUMMYFUNCTION("""COMPUTED_VALUE"""),302.40000000000003)</f>
        <v>302.4</v>
      </c>
      <c r="BU477" s="137">
        <f>IFERROR(__xludf.DUMMYFUNCTION("""COMPUTED_VALUE"""),48.38400000000001)</f>
        <v>48.384</v>
      </c>
      <c r="BV477" s="137">
        <f>IFERROR(__xludf.DUMMYFUNCTION("""COMPUTED_VALUE"""),350.78400000000005)</f>
        <v>350.784</v>
      </c>
    </row>
    <row r="478">
      <c r="A478" s="53">
        <v>1.0</v>
      </c>
      <c r="B478" s="72"/>
      <c r="C478" s="73" t="s">
        <v>53</v>
      </c>
      <c r="D478" s="74" t="s">
        <v>1205</v>
      </c>
      <c r="E478" s="54" t="s">
        <v>38</v>
      </c>
      <c r="F478" s="54" t="s">
        <v>42</v>
      </c>
      <c r="G478" s="88" t="s">
        <v>1206</v>
      </c>
      <c r="H478" s="54" t="s">
        <v>1207</v>
      </c>
      <c r="I478" s="54">
        <f t="shared" si="24"/>
        <v>32</v>
      </c>
      <c r="J478" s="56"/>
      <c r="K478" s="75"/>
      <c r="L478" s="76"/>
      <c r="M478" s="59"/>
      <c r="N478" s="60">
        <v>447.0</v>
      </c>
      <c r="O478" s="61">
        <v>482.0</v>
      </c>
      <c r="P478" s="62">
        <v>520.5600000000001</v>
      </c>
      <c r="Q478" s="63">
        <v>520.5600000000001</v>
      </c>
      <c r="R478" s="64">
        <v>580.0</v>
      </c>
      <c r="S478" s="111">
        <v>609.0</v>
      </c>
      <c r="T478" s="65">
        <f t="shared" si="2"/>
        <v>97.44</v>
      </c>
      <c r="U478" s="65">
        <f t="shared" si="3"/>
        <v>706.44</v>
      </c>
      <c r="V478" s="66">
        <f t="shared" si="4"/>
        <v>0.05</v>
      </c>
      <c r="W478" s="67">
        <f t="shared" si="5"/>
        <v>578.55</v>
      </c>
      <c r="X478" s="67">
        <f t="shared" si="6"/>
        <v>92.568</v>
      </c>
      <c r="Y478" s="67">
        <f t="shared" si="7"/>
        <v>671.118</v>
      </c>
      <c r="Z478" s="67">
        <f t="shared" si="8"/>
        <v>548.1</v>
      </c>
      <c r="AA478" s="67">
        <f t="shared" si="9"/>
        <v>87.696</v>
      </c>
      <c r="AB478" s="67">
        <f t="shared" si="10"/>
        <v>635.796</v>
      </c>
      <c r="AC478" s="67">
        <f t="shared" si="11"/>
        <v>517.65</v>
      </c>
      <c r="AD478" s="67">
        <f t="shared" si="12"/>
        <v>82.824</v>
      </c>
      <c r="AE478" s="67">
        <f t="shared" si="13"/>
        <v>600.474</v>
      </c>
      <c r="AF478" s="67">
        <f t="shared" si="14"/>
        <v>505.47</v>
      </c>
      <c r="AG478" s="67">
        <f t="shared" si="15"/>
        <v>80.8752</v>
      </c>
      <c r="AH478" s="67">
        <f t="shared" si="16"/>
        <v>586.3452</v>
      </c>
      <c r="AI478" s="67">
        <f t="shared" si="17"/>
        <v>487.2</v>
      </c>
      <c r="AJ478" s="68">
        <f t="shared" si="20"/>
        <v>77.952</v>
      </c>
      <c r="AK478" s="68">
        <f t="shared" si="21"/>
        <v>565.152</v>
      </c>
      <c r="AL478" s="70">
        <f>IFERROR(__xludf.DUMMYFUNCTION("""COMPUTED_VALUE"""),1.0)</f>
        <v>1</v>
      </c>
      <c r="AM478" s="70"/>
      <c r="AN478" s="71" t="str">
        <f>IFERROR(__xludf.DUMMYFUNCTION("""COMPUTED_VALUE""")," P")</f>
        <v>P</v>
      </c>
      <c r="AO478" s="71" t="str">
        <f>IFERROR(__xludf.DUMMYFUNCTION("""COMPUTED_VALUE""")," CC02")</f>
        <v>CC02</v>
      </c>
      <c r="AP478" s="71" t="str">
        <f>IFERROR(__xludf.DUMMYFUNCTION("""COMPUTED_VALUE""")," PZA")</f>
        <v>PZA</v>
      </c>
      <c r="AQ478" s="71" t="str">
        <f>IFERROR(__xludf.DUMMYFUNCTION("""COMPUTED_VALUE""")," REF")</f>
        <v>REF</v>
      </c>
      <c r="AR478" s="71" t="str">
        <f>IFERROR(__xludf.DUMMYFUNCTION("""COMPUTED_VALUE""")," COLA DE MILANO SENCILLA")</f>
        <v>COLA DE MILANO SENCILLA</v>
      </c>
      <c r="AS478" s="71" t="str">
        <f>IFERROR(__xludf.DUMMYFUNCTION("""COMPUTED_VALUE""")," COLA DE MILANO SENCILLA")</f>
        <v>COLA DE MILANO SENCILLA</v>
      </c>
      <c r="AT478" s="71">
        <f>IFERROR(__xludf.DUMMYFUNCTION("""COMPUTED_VALUE"""),23.0)</f>
        <v>23</v>
      </c>
      <c r="AU478" s="71"/>
      <c r="AV478" s="71"/>
      <c r="AW478" s="71"/>
      <c r="AX478" s="71"/>
      <c r="AY478" s="71">
        <f>IFERROR(__xludf.DUMMYFUNCTION("""COMPUTED_VALUE"""),264.0)</f>
        <v>264</v>
      </c>
      <c r="AZ478" s="71">
        <f>IFERROR(__xludf.DUMMYFUNCTION("""COMPUTED_VALUE"""),285.0)</f>
        <v>285</v>
      </c>
      <c r="BA478" s="71">
        <f>IFERROR(__xludf.DUMMYFUNCTION("""COMPUTED_VALUE"""),307.8)</f>
        <v>307.8</v>
      </c>
      <c r="BB478" s="71">
        <f>IFERROR(__xludf.DUMMYFUNCTION("""COMPUTED_VALUE"""),307.8)</f>
        <v>307.8</v>
      </c>
      <c r="BC478" s="71">
        <f>IFERROR(__xludf.DUMMYFUNCTION("""COMPUTED_VALUE"""),341.0)</f>
        <v>341</v>
      </c>
      <c r="BD478" s="71">
        <f>IFERROR(__xludf.DUMMYFUNCTION("""COMPUTED_VALUE"""),426.0)</f>
        <v>426</v>
      </c>
      <c r="BE478" s="71">
        <f>IFERROR(__xludf.DUMMYFUNCTION("""COMPUTED_VALUE"""),68.16)</f>
        <v>68.16</v>
      </c>
      <c r="BF478" s="71">
        <f>IFERROR(__xludf.DUMMYFUNCTION("""COMPUTED_VALUE"""),494.15999999999997)</f>
        <v>494.16</v>
      </c>
      <c r="BG478" s="71">
        <f>IFERROR(__xludf.DUMMYFUNCTION("""COMPUTED_VALUE"""),0.24926686217008798)</f>
        <v>0.2492668622</v>
      </c>
      <c r="BH478" s="71">
        <f>IFERROR(__xludf.DUMMYFUNCTION("""COMPUTED_VALUE"""),404.7)</f>
        <v>404.7</v>
      </c>
      <c r="BI478" s="71">
        <f>IFERROR(__xludf.DUMMYFUNCTION("""COMPUTED_VALUE"""),64.752)</f>
        <v>64.752</v>
      </c>
      <c r="BJ478" s="71">
        <f>IFERROR(__xludf.DUMMYFUNCTION("""COMPUTED_VALUE"""),469.452)</f>
        <v>469.452</v>
      </c>
      <c r="BK478" s="71">
        <f>IFERROR(__xludf.DUMMYFUNCTION("""COMPUTED_VALUE"""),383.40000000000003)</f>
        <v>383.4</v>
      </c>
      <c r="BL478" s="71">
        <f>IFERROR(__xludf.DUMMYFUNCTION("""COMPUTED_VALUE"""),61.34400000000001)</f>
        <v>61.344</v>
      </c>
      <c r="BM478" s="71">
        <f>IFERROR(__xludf.DUMMYFUNCTION("""COMPUTED_VALUE"""),444.744)</f>
        <v>444.744</v>
      </c>
      <c r="BN478" s="71">
        <f>IFERROR(__xludf.DUMMYFUNCTION("""COMPUTED_VALUE"""),362.09999999999997)</f>
        <v>362.1</v>
      </c>
      <c r="BO478" s="71">
        <f>IFERROR(__xludf.DUMMYFUNCTION("""COMPUTED_VALUE"""),57.93599999999999)</f>
        <v>57.936</v>
      </c>
      <c r="BP478" s="71">
        <f>IFERROR(__xludf.DUMMYFUNCTION("""COMPUTED_VALUE"""),420.03599999999994)</f>
        <v>420.036</v>
      </c>
      <c r="BQ478" s="71">
        <f>IFERROR(__xludf.DUMMYFUNCTION("""COMPUTED_VALUE"""),353.58)</f>
        <v>353.58</v>
      </c>
      <c r="BR478" s="71">
        <f>IFERROR(__xludf.DUMMYFUNCTION("""COMPUTED_VALUE"""),56.5728)</f>
        <v>56.5728</v>
      </c>
      <c r="BS478" s="71">
        <f>IFERROR(__xludf.DUMMYFUNCTION("""COMPUTED_VALUE"""),410.15279999999996)</f>
        <v>410.1528</v>
      </c>
      <c r="BT478" s="71">
        <f>IFERROR(__xludf.DUMMYFUNCTION("""COMPUTED_VALUE"""),340.8)</f>
        <v>340.8</v>
      </c>
      <c r="BU478" s="71">
        <f>IFERROR(__xludf.DUMMYFUNCTION("""COMPUTED_VALUE"""),54.528000000000006)</f>
        <v>54.528</v>
      </c>
      <c r="BV478" s="71">
        <f>IFERROR(__xludf.DUMMYFUNCTION("""COMPUTED_VALUE"""),395.32800000000003)</f>
        <v>395.328</v>
      </c>
    </row>
    <row r="479">
      <c r="A479" s="53"/>
      <c r="B479" s="53"/>
      <c r="C479" s="73" t="s">
        <v>53</v>
      </c>
      <c r="D479" s="53" t="s">
        <v>1208</v>
      </c>
      <c r="E479" s="54" t="s">
        <v>38</v>
      </c>
      <c r="F479" s="55" t="s">
        <v>309</v>
      </c>
      <c r="G479" s="54" t="s">
        <v>1209</v>
      </c>
      <c r="H479" s="54" t="s">
        <v>1209</v>
      </c>
      <c r="I479" s="54">
        <f t="shared" si="24"/>
        <v>26</v>
      </c>
      <c r="J479" s="56"/>
      <c r="K479" s="57"/>
      <c r="L479" s="77"/>
      <c r="M479" s="59"/>
      <c r="N479" s="60"/>
      <c r="O479" s="90">
        <v>468.0</v>
      </c>
      <c r="P479" s="62">
        <v>505.44000000000005</v>
      </c>
      <c r="Q479" s="63">
        <v>505.44000000000005</v>
      </c>
      <c r="R479" s="64">
        <v>563.0</v>
      </c>
      <c r="S479" s="111">
        <v>591.0</v>
      </c>
      <c r="T479" s="65">
        <f t="shared" si="2"/>
        <v>94.56</v>
      </c>
      <c r="U479" s="65">
        <f t="shared" si="3"/>
        <v>685.56</v>
      </c>
      <c r="V479" s="66">
        <f t="shared" si="4"/>
        <v>0.04973357016</v>
      </c>
      <c r="W479" s="67">
        <f t="shared" si="5"/>
        <v>561.45</v>
      </c>
      <c r="X479" s="67">
        <f t="shared" si="6"/>
        <v>89.832</v>
      </c>
      <c r="Y479" s="67">
        <f t="shared" si="7"/>
        <v>651.282</v>
      </c>
      <c r="Z479" s="67">
        <f t="shared" si="8"/>
        <v>531.9</v>
      </c>
      <c r="AA479" s="67">
        <f t="shared" si="9"/>
        <v>85.104</v>
      </c>
      <c r="AB479" s="67">
        <f t="shared" si="10"/>
        <v>617.004</v>
      </c>
      <c r="AC479" s="67">
        <f t="shared" si="11"/>
        <v>502.35</v>
      </c>
      <c r="AD479" s="67">
        <f t="shared" si="12"/>
        <v>80.376</v>
      </c>
      <c r="AE479" s="67">
        <f t="shared" si="13"/>
        <v>582.726</v>
      </c>
      <c r="AF479" s="67">
        <f t="shared" si="14"/>
        <v>490.53</v>
      </c>
      <c r="AG479" s="67">
        <f t="shared" si="15"/>
        <v>78.4848</v>
      </c>
      <c r="AH479" s="67">
        <f t="shared" si="16"/>
        <v>569.0148</v>
      </c>
      <c r="AI479" s="67">
        <f t="shared" si="17"/>
        <v>472.8</v>
      </c>
      <c r="AJ479" s="68">
        <f t="shared" si="20"/>
        <v>75.648</v>
      </c>
      <c r="AK479" s="68">
        <f t="shared" si="21"/>
        <v>548.448</v>
      </c>
      <c r="AL479" s="70">
        <f>IFERROR(__xludf.DUMMYFUNCTION("""COMPUTED_VALUE"""),1.0)</f>
        <v>1</v>
      </c>
      <c r="AM479" s="70"/>
      <c r="AN479" s="71" t="str">
        <f>IFERROR(__xludf.DUMMYFUNCTION("""COMPUTED_VALUE""")," P")</f>
        <v>P</v>
      </c>
      <c r="AO479" s="71" t="str">
        <f>IFERROR(__xludf.DUMMYFUNCTION("""COMPUTED_VALUE""")," CL01")</f>
        <v>CL01</v>
      </c>
      <c r="AP479" s="71" t="str">
        <f>IFERROR(__xludf.DUMMYFUNCTION("""COMPUTED_VALUE""")," PZA")</f>
        <v>PZA</v>
      </c>
      <c r="AQ479" s="71" t="str">
        <f>IFERROR(__xludf.DUMMYFUNCTION("""COMPUTED_VALUE""")," REF")</f>
        <v>REF</v>
      </c>
      <c r="AR479" s="71" t="str">
        <f>IFERROR(__xludf.DUMMYFUNCTION("""COMPUTED_VALUE""")," COLLARÍN DE BRONCE")</f>
        <v>COLLARÍN DE BRONCE</v>
      </c>
      <c r="AS479" s="71" t="str">
        <f>IFERROR(__xludf.DUMMYFUNCTION("""COMPUTED_VALUE""")," COLLARIN DE BRONCE")</f>
        <v>COLLARIN DE BRONCE</v>
      </c>
      <c r="AT479" s="71">
        <f>IFERROR(__xludf.DUMMYFUNCTION("""COMPUTED_VALUE"""),18.0)</f>
        <v>18</v>
      </c>
      <c r="AU479" s="71"/>
      <c r="AV479" s="71"/>
      <c r="AW479" s="71"/>
      <c r="AX479" s="71"/>
      <c r="AY479" s="71">
        <f>IFERROR(__xludf.DUMMYFUNCTION("""COMPUTED_VALUE"""),184.0)</f>
        <v>184</v>
      </c>
      <c r="AZ479" s="71">
        <f>IFERROR(__xludf.DUMMYFUNCTION("""COMPUTED_VALUE"""),230.0)</f>
        <v>230</v>
      </c>
      <c r="BA479" s="71">
        <f>IFERROR(__xludf.DUMMYFUNCTION("""COMPUTED_VALUE"""),248.4)</f>
        <v>248.4</v>
      </c>
      <c r="BB479" s="71">
        <f>IFERROR(__xludf.DUMMYFUNCTION("""COMPUTED_VALUE"""),248.4)</f>
        <v>248.4</v>
      </c>
      <c r="BC479" s="71">
        <f>IFERROR(__xludf.DUMMYFUNCTION("""COMPUTED_VALUE"""),278.0)</f>
        <v>278</v>
      </c>
      <c r="BD479" s="71">
        <f>IFERROR(__xludf.DUMMYFUNCTION("""COMPUTED_VALUE"""),292.0)</f>
        <v>292</v>
      </c>
      <c r="BE479" s="71">
        <f>IFERROR(__xludf.DUMMYFUNCTION("""COMPUTED_VALUE"""),46.72)</f>
        <v>46.72</v>
      </c>
      <c r="BF479" s="71">
        <f>IFERROR(__xludf.DUMMYFUNCTION("""COMPUTED_VALUE"""),338.72)</f>
        <v>338.72</v>
      </c>
      <c r="BG479" s="71">
        <f>IFERROR(__xludf.DUMMYFUNCTION("""COMPUTED_VALUE"""),0.050359712230215826)</f>
        <v>0.05035971223</v>
      </c>
      <c r="BH479" s="71">
        <f>IFERROR(__xludf.DUMMYFUNCTION("""COMPUTED_VALUE"""),277.4)</f>
        <v>277.4</v>
      </c>
      <c r="BI479" s="71">
        <f>IFERROR(__xludf.DUMMYFUNCTION("""COMPUTED_VALUE"""),44.384)</f>
        <v>44.384</v>
      </c>
      <c r="BJ479" s="71">
        <f>IFERROR(__xludf.DUMMYFUNCTION("""COMPUTED_VALUE"""),321.784)</f>
        <v>321.784</v>
      </c>
      <c r="BK479" s="71">
        <f>IFERROR(__xludf.DUMMYFUNCTION("""COMPUTED_VALUE"""),262.8)</f>
        <v>262.8</v>
      </c>
      <c r="BL479" s="71">
        <f>IFERROR(__xludf.DUMMYFUNCTION("""COMPUTED_VALUE"""),42.048)</f>
        <v>42.048</v>
      </c>
      <c r="BM479" s="71">
        <f>IFERROR(__xludf.DUMMYFUNCTION("""COMPUTED_VALUE"""),304.848)</f>
        <v>304.848</v>
      </c>
      <c r="BN479" s="71">
        <f>IFERROR(__xludf.DUMMYFUNCTION("""COMPUTED_VALUE"""),248.2)</f>
        <v>248.2</v>
      </c>
      <c r="BO479" s="71">
        <f>IFERROR(__xludf.DUMMYFUNCTION("""COMPUTED_VALUE"""),39.711999999999996)</f>
        <v>39.712</v>
      </c>
      <c r="BP479" s="71">
        <f>IFERROR(__xludf.DUMMYFUNCTION("""COMPUTED_VALUE"""),287.912)</f>
        <v>287.912</v>
      </c>
      <c r="BQ479" s="71">
        <f>IFERROR(__xludf.DUMMYFUNCTION("""COMPUTED_VALUE"""),242.35999999999999)</f>
        <v>242.36</v>
      </c>
      <c r="BR479" s="71">
        <f>IFERROR(__xludf.DUMMYFUNCTION("""COMPUTED_VALUE"""),38.7776)</f>
        <v>38.7776</v>
      </c>
      <c r="BS479" s="71">
        <f>IFERROR(__xludf.DUMMYFUNCTION("""COMPUTED_VALUE"""),281.13759999999996)</f>
        <v>281.1376</v>
      </c>
      <c r="BT479" s="71">
        <f>IFERROR(__xludf.DUMMYFUNCTION("""COMPUTED_VALUE"""),233.60000000000002)</f>
        <v>233.6</v>
      </c>
      <c r="BU479" s="71">
        <f>IFERROR(__xludf.DUMMYFUNCTION("""COMPUTED_VALUE"""),37.376000000000005)</f>
        <v>37.376</v>
      </c>
      <c r="BV479" s="71">
        <f>IFERROR(__xludf.DUMMYFUNCTION("""COMPUTED_VALUE"""),270.976)</f>
        <v>270.976</v>
      </c>
    </row>
    <row r="480">
      <c r="A480" s="53">
        <v>1.0</v>
      </c>
      <c r="B480" s="72"/>
      <c r="C480" s="73" t="s">
        <v>53</v>
      </c>
      <c r="D480" s="74" t="s">
        <v>1210</v>
      </c>
      <c r="E480" s="54" t="s">
        <v>38</v>
      </c>
      <c r="F480" s="54" t="s">
        <v>42</v>
      </c>
      <c r="G480" s="88" t="s">
        <v>1211</v>
      </c>
      <c r="H480" s="54" t="s">
        <v>1209</v>
      </c>
      <c r="I480" s="54">
        <f t="shared" si="24"/>
        <v>26</v>
      </c>
      <c r="J480" s="56"/>
      <c r="K480" s="75"/>
      <c r="L480" s="76"/>
      <c r="M480" s="59"/>
      <c r="N480" s="60">
        <v>434.0</v>
      </c>
      <c r="O480" s="61">
        <v>468.0</v>
      </c>
      <c r="P480" s="62">
        <v>505.44000000000005</v>
      </c>
      <c r="Q480" s="63">
        <v>505.44000000000005</v>
      </c>
      <c r="R480" s="64">
        <v>563.0</v>
      </c>
      <c r="S480" s="111">
        <v>591.0</v>
      </c>
      <c r="T480" s="65">
        <f t="shared" si="2"/>
        <v>94.56</v>
      </c>
      <c r="U480" s="65">
        <f t="shared" si="3"/>
        <v>685.56</v>
      </c>
      <c r="V480" s="66">
        <f t="shared" si="4"/>
        <v>0.04973357016</v>
      </c>
      <c r="W480" s="67">
        <f t="shared" si="5"/>
        <v>561.45</v>
      </c>
      <c r="X480" s="67">
        <f t="shared" si="6"/>
        <v>89.832</v>
      </c>
      <c r="Y480" s="67">
        <f t="shared" si="7"/>
        <v>651.282</v>
      </c>
      <c r="Z480" s="67">
        <f t="shared" si="8"/>
        <v>531.9</v>
      </c>
      <c r="AA480" s="67">
        <f t="shared" si="9"/>
        <v>85.104</v>
      </c>
      <c r="AB480" s="67">
        <f t="shared" si="10"/>
        <v>617.004</v>
      </c>
      <c r="AC480" s="67">
        <f t="shared" si="11"/>
        <v>502.35</v>
      </c>
      <c r="AD480" s="67">
        <f t="shared" si="12"/>
        <v>80.376</v>
      </c>
      <c r="AE480" s="67">
        <f t="shared" si="13"/>
        <v>582.726</v>
      </c>
      <c r="AF480" s="67">
        <f t="shared" si="14"/>
        <v>490.53</v>
      </c>
      <c r="AG480" s="67">
        <f t="shared" si="15"/>
        <v>78.4848</v>
      </c>
      <c r="AH480" s="67">
        <f t="shared" si="16"/>
        <v>569.0148</v>
      </c>
      <c r="AI480" s="67">
        <f t="shared" si="17"/>
        <v>472.8</v>
      </c>
      <c r="AJ480" s="68">
        <f t="shared" si="20"/>
        <v>75.648</v>
      </c>
      <c r="AK480" s="68">
        <f t="shared" si="21"/>
        <v>548.448</v>
      </c>
      <c r="AL480" s="70">
        <f>IFERROR(__xludf.DUMMYFUNCTION("""COMPUTED_VALUE"""),1.0)</f>
        <v>1</v>
      </c>
      <c r="AM480" s="70"/>
      <c r="AN480" s="71" t="str">
        <f>IFERROR(__xludf.DUMMYFUNCTION("""COMPUTED_VALUE""")," P")</f>
        <v>P</v>
      </c>
      <c r="AO480" s="71" t="str">
        <f>IFERROR(__xludf.DUMMYFUNCTION("""COMPUTED_VALUE""")," CL02")</f>
        <v>CL02</v>
      </c>
      <c r="AP480" s="71" t="str">
        <f>IFERROR(__xludf.DUMMYFUNCTION("""COMPUTED_VALUE""")," PZA")</f>
        <v>PZA</v>
      </c>
      <c r="AQ480" s="71" t="str">
        <f>IFERROR(__xludf.DUMMYFUNCTION("""COMPUTED_VALUE""")," REF")</f>
        <v>REF</v>
      </c>
      <c r="AR480" s="71" t="str">
        <f>IFERROR(__xludf.DUMMYFUNCTION("""COMPUTED_VALUE""")," COLLARÍN DE FIERRO DÚPLEX CON RANURA")</f>
        <v>COLLARÍN DE FIERRO DÚPLEX CON RANURA</v>
      </c>
      <c r="AS480" s="71" t="str">
        <f>IFERROR(__xludf.DUMMYFUNCTION("""COMPUTED_VALUE""")," COLLARIN DE FIERRO DPLX CON RANURA")</f>
        <v>COLLARIN DE FIERRO DPLX CON RANURA</v>
      </c>
      <c r="AT480" s="71">
        <f>IFERROR(__xludf.DUMMYFUNCTION("""COMPUTED_VALUE"""),34.0)</f>
        <v>34</v>
      </c>
      <c r="AU480" s="71"/>
      <c r="AV480" s="71"/>
      <c r="AW480" s="71"/>
      <c r="AX480" s="71"/>
      <c r="AY480" s="71">
        <f>IFERROR(__xludf.DUMMYFUNCTION("""COMPUTED_VALUE"""),75.0)</f>
        <v>75</v>
      </c>
      <c r="AZ480" s="71">
        <f>IFERROR(__xludf.DUMMYFUNCTION("""COMPUTED_VALUE"""),81.0)</f>
        <v>81</v>
      </c>
      <c r="BA480" s="71">
        <f>IFERROR(__xludf.DUMMYFUNCTION("""COMPUTED_VALUE"""),87.48)</f>
        <v>87.48</v>
      </c>
      <c r="BB480" s="71">
        <f>IFERROR(__xludf.DUMMYFUNCTION("""COMPUTED_VALUE"""),87.48)</f>
        <v>87.48</v>
      </c>
      <c r="BC480" s="71">
        <f>IFERROR(__xludf.DUMMYFUNCTION("""COMPUTED_VALUE"""),97.0)</f>
        <v>97</v>
      </c>
      <c r="BD480" s="71">
        <f>IFERROR(__xludf.DUMMYFUNCTION("""COMPUTED_VALUE"""),102.0)</f>
        <v>102</v>
      </c>
      <c r="BE480" s="71">
        <f>IFERROR(__xludf.DUMMYFUNCTION("""COMPUTED_VALUE"""),16.32)</f>
        <v>16.32</v>
      </c>
      <c r="BF480" s="71">
        <f>IFERROR(__xludf.DUMMYFUNCTION("""COMPUTED_VALUE"""),118.32)</f>
        <v>118.32</v>
      </c>
      <c r="BG480" s="71">
        <f>IFERROR(__xludf.DUMMYFUNCTION("""COMPUTED_VALUE"""),0.05154639175257732)</f>
        <v>0.05154639175</v>
      </c>
      <c r="BH480" s="71">
        <f>IFERROR(__xludf.DUMMYFUNCTION("""COMPUTED_VALUE"""),96.89999999999999)</f>
        <v>96.9</v>
      </c>
      <c r="BI480" s="71">
        <f>IFERROR(__xludf.DUMMYFUNCTION("""COMPUTED_VALUE"""),15.504)</f>
        <v>15.504</v>
      </c>
      <c r="BJ480" s="71">
        <f>IFERROR(__xludf.DUMMYFUNCTION("""COMPUTED_VALUE"""),112.404)</f>
        <v>112.404</v>
      </c>
      <c r="BK480" s="71">
        <f>IFERROR(__xludf.DUMMYFUNCTION("""COMPUTED_VALUE"""),91.8)</f>
        <v>91.8</v>
      </c>
      <c r="BL480" s="71">
        <f>IFERROR(__xludf.DUMMYFUNCTION("""COMPUTED_VALUE"""),14.688)</f>
        <v>14.688</v>
      </c>
      <c r="BM480" s="71">
        <f>IFERROR(__xludf.DUMMYFUNCTION("""COMPUTED_VALUE"""),106.488)</f>
        <v>106.488</v>
      </c>
      <c r="BN480" s="71">
        <f>IFERROR(__xludf.DUMMYFUNCTION("""COMPUTED_VALUE"""),86.7)</f>
        <v>86.7</v>
      </c>
      <c r="BO480" s="71">
        <f>IFERROR(__xludf.DUMMYFUNCTION("""COMPUTED_VALUE"""),13.872)</f>
        <v>13.872</v>
      </c>
      <c r="BP480" s="71">
        <f>IFERROR(__xludf.DUMMYFUNCTION("""COMPUTED_VALUE"""),100.572)</f>
        <v>100.572</v>
      </c>
      <c r="BQ480" s="71">
        <f>IFERROR(__xludf.DUMMYFUNCTION("""COMPUTED_VALUE"""),84.66)</f>
        <v>84.66</v>
      </c>
      <c r="BR480" s="71">
        <f>IFERROR(__xludf.DUMMYFUNCTION("""COMPUTED_VALUE"""),13.5456)</f>
        <v>13.5456</v>
      </c>
      <c r="BS480" s="71">
        <f>IFERROR(__xludf.DUMMYFUNCTION("""COMPUTED_VALUE"""),98.2056)</f>
        <v>98.2056</v>
      </c>
      <c r="BT480" s="71">
        <f>IFERROR(__xludf.DUMMYFUNCTION("""COMPUTED_VALUE"""),81.60000000000001)</f>
        <v>81.6</v>
      </c>
      <c r="BU480" s="71">
        <f>IFERROR(__xludf.DUMMYFUNCTION("""COMPUTED_VALUE"""),13.056000000000001)</f>
        <v>13.056</v>
      </c>
      <c r="BV480" s="71">
        <f>IFERROR(__xludf.DUMMYFUNCTION("""COMPUTED_VALUE"""),94.656)</f>
        <v>94.656</v>
      </c>
    </row>
    <row r="481">
      <c r="A481" s="53"/>
      <c r="B481" s="53"/>
      <c r="C481" s="73" t="s">
        <v>53</v>
      </c>
      <c r="D481" s="53" t="s">
        <v>1212</v>
      </c>
      <c r="E481" s="54" t="s">
        <v>38</v>
      </c>
      <c r="F481" s="54" t="s">
        <v>42</v>
      </c>
      <c r="G481" s="55" t="s">
        <v>1213</v>
      </c>
      <c r="H481" s="55" t="s">
        <v>1214</v>
      </c>
      <c r="I481" s="54">
        <f t="shared" si="24"/>
        <v>40</v>
      </c>
      <c r="J481" s="56"/>
      <c r="K481" s="57"/>
      <c r="L481" s="87"/>
      <c r="M481" s="59"/>
      <c r="N481" s="60"/>
      <c r="O481" s="61">
        <v>1800.0</v>
      </c>
      <c r="P481" s="62">
        <v>1944.0000000000002</v>
      </c>
      <c r="Q481" s="63">
        <v>1944.0000000000002</v>
      </c>
      <c r="R481" s="64">
        <v>2042.0</v>
      </c>
      <c r="S481" s="111">
        <v>2144.0</v>
      </c>
      <c r="T481" s="65">
        <f t="shared" si="2"/>
        <v>343.04</v>
      </c>
      <c r="U481" s="65">
        <f t="shared" si="3"/>
        <v>2487.04</v>
      </c>
      <c r="V481" s="66">
        <f t="shared" si="4"/>
        <v>0.0499510284</v>
      </c>
      <c r="W481" s="67">
        <f t="shared" si="5"/>
        <v>2036.8</v>
      </c>
      <c r="X481" s="67">
        <f t="shared" si="6"/>
        <v>325.888</v>
      </c>
      <c r="Y481" s="67">
        <f t="shared" si="7"/>
        <v>2362.688</v>
      </c>
      <c r="Z481" s="67">
        <f t="shared" si="8"/>
        <v>1929.6</v>
      </c>
      <c r="AA481" s="67">
        <f t="shared" si="9"/>
        <v>308.736</v>
      </c>
      <c r="AB481" s="67">
        <f t="shared" si="10"/>
        <v>2238.336</v>
      </c>
      <c r="AC481" s="67">
        <f t="shared" si="11"/>
        <v>1822.4</v>
      </c>
      <c r="AD481" s="67">
        <f t="shared" si="12"/>
        <v>291.584</v>
      </c>
      <c r="AE481" s="67">
        <f t="shared" si="13"/>
        <v>2113.984</v>
      </c>
      <c r="AF481" s="67">
        <f t="shared" si="14"/>
        <v>1779.52</v>
      </c>
      <c r="AG481" s="67">
        <f t="shared" si="15"/>
        <v>284.7232</v>
      </c>
      <c r="AH481" s="67">
        <f t="shared" si="16"/>
        <v>2064.2432</v>
      </c>
      <c r="AI481" s="67">
        <f t="shared" si="17"/>
        <v>1715.2</v>
      </c>
      <c r="AJ481" s="68">
        <f t="shared" si="20"/>
        <v>274.432</v>
      </c>
      <c r="AK481" s="68">
        <f t="shared" si="21"/>
        <v>1989.632</v>
      </c>
      <c r="AL481" s="70">
        <f>IFERROR(__xludf.DUMMYFUNCTION("""COMPUTED_VALUE"""),1.0)</f>
        <v>1</v>
      </c>
      <c r="AM481" s="70"/>
      <c r="AN481" s="71" t="str">
        <f>IFERROR(__xludf.DUMMYFUNCTION("""COMPUTED_VALUE""")," P")</f>
        <v>P</v>
      </c>
      <c r="AO481" s="71" t="str">
        <f>IFERROR(__xludf.DUMMYFUNCTION("""COMPUTED_VALUE""")," CL03")</f>
        <v>CL03</v>
      </c>
      <c r="AP481" s="71" t="str">
        <f>IFERROR(__xludf.DUMMYFUNCTION("""COMPUTED_VALUE""")," PZA")</f>
        <v>PZA</v>
      </c>
      <c r="AQ481" s="71" t="str">
        <f>IFERROR(__xludf.DUMMYFUNCTION("""COMPUTED_VALUE""")," REF")</f>
        <v>REF</v>
      </c>
      <c r="AR481" s="71" t="str">
        <f>IFERROR(__xludf.DUMMYFUNCTION("""COMPUTED_VALUE""")," COLLARÍN DE FIERRO DÚPLEX SIN RANURA")</f>
        <v>COLLARÍN DE FIERRO DÚPLEX SIN RANURA</v>
      </c>
      <c r="AS481" s="71" t="str">
        <f>IFERROR(__xludf.DUMMYFUNCTION("""COMPUTED_VALUE""")," COLLARIN DE FIERRO DPLX SIN RANURA")</f>
        <v>COLLARIN DE FIERRO DPLX SIN RANURA</v>
      </c>
      <c r="AT481" s="71">
        <f>IFERROR(__xludf.DUMMYFUNCTION("""COMPUTED_VALUE"""),34.0)</f>
        <v>34</v>
      </c>
      <c r="AU481" s="71"/>
      <c r="AV481" s="71"/>
      <c r="AW481" s="71"/>
      <c r="AX481" s="71"/>
      <c r="AY481" s="71">
        <f>IFERROR(__xludf.DUMMYFUNCTION("""COMPUTED_VALUE"""),71.0)</f>
        <v>71</v>
      </c>
      <c r="AZ481" s="71">
        <f>IFERROR(__xludf.DUMMYFUNCTION("""COMPUTED_VALUE"""),76.0)</f>
        <v>76</v>
      </c>
      <c r="BA481" s="71">
        <f>IFERROR(__xludf.DUMMYFUNCTION("""COMPUTED_VALUE"""),82.08000000000001)</f>
        <v>82.08</v>
      </c>
      <c r="BB481" s="71">
        <f>IFERROR(__xludf.DUMMYFUNCTION("""COMPUTED_VALUE"""),82.08000000000001)</f>
        <v>82.08</v>
      </c>
      <c r="BC481" s="71">
        <f>IFERROR(__xludf.DUMMYFUNCTION("""COMPUTED_VALUE"""),92.0)</f>
        <v>92</v>
      </c>
      <c r="BD481" s="71">
        <f>IFERROR(__xludf.DUMMYFUNCTION("""COMPUTED_VALUE"""),97.0)</f>
        <v>97</v>
      </c>
      <c r="BE481" s="71">
        <f>IFERROR(__xludf.DUMMYFUNCTION("""COMPUTED_VALUE"""),15.52)</f>
        <v>15.52</v>
      </c>
      <c r="BF481" s="71">
        <f>IFERROR(__xludf.DUMMYFUNCTION("""COMPUTED_VALUE"""),112.52)</f>
        <v>112.52</v>
      </c>
      <c r="BG481" s="71">
        <f>IFERROR(__xludf.DUMMYFUNCTION("""COMPUTED_VALUE"""),0.05434782608695652)</f>
        <v>0.05434782609</v>
      </c>
      <c r="BH481" s="71">
        <f>IFERROR(__xludf.DUMMYFUNCTION("""COMPUTED_VALUE"""),92.14999999999999)</f>
        <v>92.15</v>
      </c>
      <c r="BI481" s="71">
        <f>IFERROR(__xludf.DUMMYFUNCTION("""COMPUTED_VALUE"""),14.744)</f>
        <v>14.744</v>
      </c>
      <c r="BJ481" s="71">
        <f>IFERROR(__xludf.DUMMYFUNCTION("""COMPUTED_VALUE"""),106.89399999999999)</f>
        <v>106.894</v>
      </c>
      <c r="BK481" s="71">
        <f>IFERROR(__xludf.DUMMYFUNCTION("""COMPUTED_VALUE"""),87.3)</f>
        <v>87.3</v>
      </c>
      <c r="BL481" s="71">
        <f>IFERROR(__xludf.DUMMYFUNCTION("""COMPUTED_VALUE"""),13.968)</f>
        <v>13.968</v>
      </c>
      <c r="BM481" s="71">
        <f>IFERROR(__xludf.DUMMYFUNCTION("""COMPUTED_VALUE"""),101.268)</f>
        <v>101.268</v>
      </c>
      <c r="BN481" s="71">
        <f>IFERROR(__xludf.DUMMYFUNCTION("""COMPUTED_VALUE"""),82.45)</f>
        <v>82.45</v>
      </c>
      <c r="BO481" s="71">
        <f>IFERROR(__xludf.DUMMYFUNCTION("""COMPUTED_VALUE"""),13.192)</f>
        <v>13.192</v>
      </c>
      <c r="BP481" s="71">
        <f>IFERROR(__xludf.DUMMYFUNCTION("""COMPUTED_VALUE"""),95.642)</f>
        <v>95.642</v>
      </c>
      <c r="BQ481" s="71">
        <f>IFERROR(__xludf.DUMMYFUNCTION("""COMPUTED_VALUE"""),80.50999999999999)</f>
        <v>80.51</v>
      </c>
      <c r="BR481" s="71">
        <f>IFERROR(__xludf.DUMMYFUNCTION("""COMPUTED_VALUE"""),12.881599999999999)</f>
        <v>12.8816</v>
      </c>
      <c r="BS481" s="71">
        <f>IFERROR(__xludf.DUMMYFUNCTION("""COMPUTED_VALUE"""),93.39159999999998)</f>
        <v>93.3916</v>
      </c>
      <c r="BT481" s="71">
        <f>IFERROR(__xludf.DUMMYFUNCTION("""COMPUTED_VALUE"""),77.60000000000001)</f>
        <v>77.6</v>
      </c>
      <c r="BU481" s="71">
        <f>IFERROR(__xludf.DUMMYFUNCTION("""COMPUTED_VALUE"""),12.416000000000002)</f>
        <v>12.416</v>
      </c>
      <c r="BV481" s="71">
        <f>IFERROR(__xludf.DUMMYFUNCTION("""COMPUTED_VALUE"""),90.016)</f>
        <v>90.016</v>
      </c>
    </row>
    <row r="482">
      <c r="A482" s="53">
        <v>1.0</v>
      </c>
      <c r="B482" s="53"/>
      <c r="C482" s="73" t="s">
        <v>53</v>
      </c>
      <c r="D482" s="74" t="s">
        <v>1215</v>
      </c>
      <c r="E482" s="54" t="s">
        <v>38</v>
      </c>
      <c r="F482" s="54" t="s">
        <v>42</v>
      </c>
      <c r="G482" s="55" t="s">
        <v>1216</v>
      </c>
      <c r="H482" s="54" t="s">
        <v>1217</v>
      </c>
      <c r="I482" s="54">
        <f t="shared" si="24"/>
        <v>31</v>
      </c>
      <c r="J482" s="56"/>
      <c r="K482" s="57"/>
      <c r="L482" s="87"/>
      <c r="M482" s="59"/>
      <c r="N482" s="60">
        <v>2779.0</v>
      </c>
      <c r="O482" s="61">
        <v>3001.0</v>
      </c>
      <c r="P482" s="62">
        <v>3241.0800000000004</v>
      </c>
      <c r="Q482" s="63">
        <v>3241.0800000000004</v>
      </c>
      <c r="R482" s="64">
        <v>3608.0</v>
      </c>
      <c r="S482" s="111">
        <v>3788.0</v>
      </c>
      <c r="T482" s="65">
        <f t="shared" si="2"/>
        <v>606.08</v>
      </c>
      <c r="U482" s="65">
        <f t="shared" si="3"/>
        <v>4394.08</v>
      </c>
      <c r="V482" s="66">
        <f t="shared" si="4"/>
        <v>0.04988913525</v>
      </c>
      <c r="W482" s="67">
        <f t="shared" si="5"/>
        <v>3598.6</v>
      </c>
      <c r="X482" s="67">
        <f t="shared" si="6"/>
        <v>575.776</v>
      </c>
      <c r="Y482" s="67">
        <f t="shared" si="7"/>
        <v>4174.376</v>
      </c>
      <c r="Z482" s="67">
        <f t="shared" si="8"/>
        <v>3409.2</v>
      </c>
      <c r="AA482" s="67">
        <f t="shared" si="9"/>
        <v>545.472</v>
      </c>
      <c r="AB482" s="67">
        <f t="shared" si="10"/>
        <v>3954.672</v>
      </c>
      <c r="AC482" s="67">
        <f t="shared" si="11"/>
        <v>3219.8</v>
      </c>
      <c r="AD482" s="67">
        <f t="shared" si="12"/>
        <v>515.168</v>
      </c>
      <c r="AE482" s="67">
        <f t="shared" si="13"/>
        <v>3734.968</v>
      </c>
      <c r="AF482" s="67">
        <f t="shared" si="14"/>
        <v>3144.04</v>
      </c>
      <c r="AG482" s="67">
        <f t="shared" si="15"/>
        <v>503.0464</v>
      </c>
      <c r="AH482" s="67">
        <f t="shared" si="16"/>
        <v>3647.0864</v>
      </c>
      <c r="AI482" s="67">
        <f t="shared" si="17"/>
        <v>3030.4</v>
      </c>
      <c r="AJ482" s="68">
        <f t="shared" si="20"/>
        <v>484.864</v>
      </c>
      <c r="AK482" s="68">
        <f t="shared" si="21"/>
        <v>3515.264</v>
      </c>
      <c r="AL482" s="70">
        <f>IFERROR(__xludf.DUMMYFUNCTION("""COMPUTED_VALUE"""),1.0)</f>
        <v>1</v>
      </c>
      <c r="AM482" s="70"/>
      <c r="AN482" s="71" t="str">
        <f>IFERROR(__xludf.DUMMYFUNCTION("""COMPUTED_VALUE""")," P")</f>
        <v>P</v>
      </c>
      <c r="AO482" s="71" t="str">
        <f>IFERROR(__xludf.DUMMYFUNCTION("""COMPUTED_VALUE""")," CL04")</f>
        <v>CL04</v>
      </c>
      <c r="AP482" s="71" t="str">
        <f>IFERROR(__xludf.DUMMYFUNCTION("""COMPUTED_VALUE""")," PZA")</f>
        <v>PZA</v>
      </c>
      <c r="AQ482" s="71" t="str">
        <f>IFERROR(__xludf.DUMMYFUNCTION("""COMPUTED_VALUE""")," REF")</f>
        <v>REF</v>
      </c>
      <c r="AR482" s="71" t="str">
        <f>IFERROR(__xludf.DUMMYFUNCTION("""COMPUTED_VALUE""")," COLLARÍN DE FIERRO SENCILLO CON RANURA")</f>
        <v>COLLARÍN DE FIERRO SENCILLO CON RANURA</v>
      </c>
      <c r="AS482" s="71" t="str">
        <f>IFERROR(__xludf.DUMMYFUNCTION("""COMPUTED_VALUE""")," COLLARIN DE FIERRO SENCILLO CON RANURA")</f>
        <v>COLLARIN DE FIERRO SENCILLO CON RANURA</v>
      </c>
      <c r="AT482" s="71">
        <f>IFERROR(__xludf.DUMMYFUNCTION("""COMPUTED_VALUE"""),38.0)</f>
        <v>38</v>
      </c>
      <c r="AU482" s="71"/>
      <c r="AV482" s="71"/>
      <c r="AW482" s="71"/>
      <c r="AX482" s="71"/>
      <c r="AY482" s="71">
        <f>IFERROR(__xludf.DUMMYFUNCTION("""COMPUTED_VALUE"""),57.0)</f>
        <v>57</v>
      </c>
      <c r="AZ482" s="71">
        <f>IFERROR(__xludf.DUMMYFUNCTION("""COMPUTED_VALUE"""),61.0)</f>
        <v>61</v>
      </c>
      <c r="BA482" s="71">
        <f>IFERROR(__xludf.DUMMYFUNCTION("""COMPUTED_VALUE"""),65.88000000000001)</f>
        <v>65.88</v>
      </c>
      <c r="BB482" s="71">
        <f>IFERROR(__xludf.DUMMYFUNCTION("""COMPUTED_VALUE"""),65.88000000000001)</f>
        <v>65.88</v>
      </c>
      <c r="BC482" s="71">
        <f>IFERROR(__xludf.DUMMYFUNCTION("""COMPUTED_VALUE"""),97.0)</f>
        <v>97</v>
      </c>
      <c r="BD482" s="71">
        <f>IFERROR(__xludf.DUMMYFUNCTION("""COMPUTED_VALUE"""),102.0)</f>
        <v>102</v>
      </c>
      <c r="BE482" s="71">
        <f>IFERROR(__xludf.DUMMYFUNCTION("""COMPUTED_VALUE"""),16.32)</f>
        <v>16.32</v>
      </c>
      <c r="BF482" s="71">
        <f>IFERROR(__xludf.DUMMYFUNCTION("""COMPUTED_VALUE"""),118.32)</f>
        <v>118.32</v>
      </c>
      <c r="BG482" s="71">
        <f>IFERROR(__xludf.DUMMYFUNCTION("""COMPUTED_VALUE"""),0.05154639175257732)</f>
        <v>0.05154639175</v>
      </c>
      <c r="BH482" s="71">
        <f>IFERROR(__xludf.DUMMYFUNCTION("""COMPUTED_VALUE"""),96.89999999999999)</f>
        <v>96.9</v>
      </c>
      <c r="BI482" s="71">
        <f>IFERROR(__xludf.DUMMYFUNCTION("""COMPUTED_VALUE"""),15.504)</f>
        <v>15.504</v>
      </c>
      <c r="BJ482" s="71">
        <f>IFERROR(__xludf.DUMMYFUNCTION("""COMPUTED_VALUE"""),112.404)</f>
        <v>112.404</v>
      </c>
      <c r="BK482" s="71">
        <f>IFERROR(__xludf.DUMMYFUNCTION("""COMPUTED_VALUE"""),91.8)</f>
        <v>91.8</v>
      </c>
      <c r="BL482" s="71">
        <f>IFERROR(__xludf.DUMMYFUNCTION("""COMPUTED_VALUE"""),14.688)</f>
        <v>14.688</v>
      </c>
      <c r="BM482" s="71">
        <f>IFERROR(__xludf.DUMMYFUNCTION("""COMPUTED_VALUE"""),106.488)</f>
        <v>106.488</v>
      </c>
      <c r="BN482" s="71">
        <f>IFERROR(__xludf.DUMMYFUNCTION("""COMPUTED_VALUE"""),86.7)</f>
        <v>86.7</v>
      </c>
      <c r="BO482" s="71">
        <f>IFERROR(__xludf.DUMMYFUNCTION("""COMPUTED_VALUE"""),13.872)</f>
        <v>13.872</v>
      </c>
      <c r="BP482" s="71">
        <f>IFERROR(__xludf.DUMMYFUNCTION("""COMPUTED_VALUE"""),100.572)</f>
        <v>100.572</v>
      </c>
      <c r="BQ482" s="71">
        <f>IFERROR(__xludf.DUMMYFUNCTION("""COMPUTED_VALUE"""),84.66)</f>
        <v>84.66</v>
      </c>
      <c r="BR482" s="71">
        <f>IFERROR(__xludf.DUMMYFUNCTION("""COMPUTED_VALUE"""),13.5456)</f>
        <v>13.5456</v>
      </c>
      <c r="BS482" s="71">
        <f>IFERROR(__xludf.DUMMYFUNCTION("""COMPUTED_VALUE"""),98.2056)</f>
        <v>98.2056</v>
      </c>
      <c r="BT482" s="71">
        <f>IFERROR(__xludf.DUMMYFUNCTION("""COMPUTED_VALUE"""),81.60000000000001)</f>
        <v>81.6</v>
      </c>
      <c r="BU482" s="71">
        <f>IFERROR(__xludf.DUMMYFUNCTION("""COMPUTED_VALUE"""),13.056000000000001)</f>
        <v>13.056</v>
      </c>
      <c r="BV482" s="71">
        <f>IFERROR(__xludf.DUMMYFUNCTION("""COMPUTED_VALUE"""),94.656)</f>
        <v>94.656</v>
      </c>
    </row>
    <row r="483">
      <c r="A483" s="53">
        <v>1.0</v>
      </c>
      <c r="B483" s="53"/>
      <c r="C483" s="73" t="s">
        <v>53</v>
      </c>
      <c r="D483" s="74" t="s">
        <v>1218</v>
      </c>
      <c r="E483" s="54" t="s">
        <v>38</v>
      </c>
      <c r="F483" s="54" t="s">
        <v>42</v>
      </c>
      <c r="G483" s="54" t="s">
        <v>1219</v>
      </c>
      <c r="H483" s="54" t="s">
        <v>1220</v>
      </c>
      <c r="I483" s="54">
        <f t="shared" si="24"/>
        <v>39</v>
      </c>
      <c r="J483" s="56"/>
      <c r="K483" s="57"/>
      <c r="L483" s="87"/>
      <c r="M483" s="59"/>
      <c r="N483" s="60">
        <v>4932.0</v>
      </c>
      <c r="O483" s="61">
        <v>5326.0</v>
      </c>
      <c r="P483" s="62">
        <v>5752.08</v>
      </c>
      <c r="Q483" s="63">
        <v>5752.08</v>
      </c>
      <c r="R483" s="64">
        <v>6403.0</v>
      </c>
      <c r="S483" s="111">
        <v>6723.0</v>
      </c>
      <c r="T483" s="65">
        <f t="shared" si="2"/>
        <v>1075.68</v>
      </c>
      <c r="U483" s="65">
        <f t="shared" si="3"/>
        <v>7798.68</v>
      </c>
      <c r="V483" s="66">
        <f t="shared" si="4"/>
        <v>0.04997657348</v>
      </c>
      <c r="W483" s="67">
        <f t="shared" si="5"/>
        <v>6386.85</v>
      </c>
      <c r="X483" s="67">
        <f t="shared" si="6"/>
        <v>1021.896</v>
      </c>
      <c r="Y483" s="67">
        <f t="shared" si="7"/>
        <v>7408.746</v>
      </c>
      <c r="Z483" s="67">
        <f t="shared" si="8"/>
        <v>6050.7</v>
      </c>
      <c r="AA483" s="67">
        <f t="shared" si="9"/>
        <v>968.112</v>
      </c>
      <c r="AB483" s="67">
        <f t="shared" si="10"/>
        <v>7018.812</v>
      </c>
      <c r="AC483" s="67">
        <f t="shared" si="11"/>
        <v>5714.55</v>
      </c>
      <c r="AD483" s="67">
        <f t="shared" si="12"/>
        <v>914.328</v>
      </c>
      <c r="AE483" s="67">
        <f t="shared" si="13"/>
        <v>6628.878</v>
      </c>
      <c r="AF483" s="67">
        <f t="shared" si="14"/>
        <v>5580.09</v>
      </c>
      <c r="AG483" s="67">
        <f t="shared" si="15"/>
        <v>892.8144</v>
      </c>
      <c r="AH483" s="67">
        <f t="shared" si="16"/>
        <v>6472.9044</v>
      </c>
      <c r="AI483" s="67">
        <f t="shared" si="17"/>
        <v>5378.4</v>
      </c>
      <c r="AJ483" s="68">
        <f t="shared" si="20"/>
        <v>860.544</v>
      </c>
      <c r="AK483" s="68">
        <f t="shared" si="21"/>
        <v>6238.944</v>
      </c>
      <c r="AL483" s="70">
        <f>IFERROR(__xludf.DUMMYFUNCTION("""COMPUTED_VALUE"""),1.0)</f>
        <v>1</v>
      </c>
      <c r="AM483" s="70"/>
      <c r="AN483" s="71" t="str">
        <f>IFERROR(__xludf.DUMMYFUNCTION("""COMPUTED_VALUE""")," P")</f>
        <v>P</v>
      </c>
      <c r="AO483" s="71" t="str">
        <f>IFERROR(__xludf.DUMMYFUNCTION("""COMPUTED_VALUE""")," CL05")</f>
        <v>CL05</v>
      </c>
      <c r="AP483" s="71" t="str">
        <f>IFERROR(__xludf.DUMMYFUNCTION("""COMPUTED_VALUE""")," PZA")</f>
        <v>PZA</v>
      </c>
      <c r="AQ483" s="71" t="str">
        <f>IFERROR(__xludf.DUMMYFUNCTION("""COMPUTED_VALUE""")," REF")</f>
        <v>REF</v>
      </c>
      <c r="AR483" s="71" t="str">
        <f>IFERROR(__xludf.DUMMYFUNCTION("""COMPUTED_VALUE""")," COLLARÍN DE FIERRO SENCILLO SIN RANURA")</f>
        <v>COLLARÍN DE FIERRO SENCILLO SIN RANURA</v>
      </c>
      <c r="AS483" s="71" t="str">
        <f>IFERROR(__xludf.DUMMYFUNCTION("""COMPUTED_VALUE""")," COLLARIN DE FIERRO SENCILLO SIN RANURA")</f>
        <v>COLLARIN DE FIERRO SENCILLO SIN RANURA</v>
      </c>
      <c r="AT483" s="71">
        <f>IFERROR(__xludf.DUMMYFUNCTION("""COMPUTED_VALUE"""),38.0)</f>
        <v>38</v>
      </c>
      <c r="AU483" s="71"/>
      <c r="AV483" s="71"/>
      <c r="AW483" s="71"/>
      <c r="AX483" s="71"/>
      <c r="AY483" s="71">
        <f>IFERROR(__xludf.DUMMYFUNCTION("""COMPUTED_VALUE"""),55.0)</f>
        <v>55</v>
      </c>
      <c r="AZ483" s="71">
        <f>IFERROR(__xludf.DUMMYFUNCTION("""COMPUTED_VALUE"""),59.0)</f>
        <v>59</v>
      </c>
      <c r="BA483" s="71">
        <f>IFERROR(__xludf.DUMMYFUNCTION("""COMPUTED_VALUE"""),63.720000000000006)</f>
        <v>63.72</v>
      </c>
      <c r="BB483" s="71">
        <f>IFERROR(__xludf.DUMMYFUNCTION("""COMPUTED_VALUE"""),63.720000000000006)</f>
        <v>63.72</v>
      </c>
      <c r="BC483" s="71">
        <f>IFERROR(__xludf.DUMMYFUNCTION("""COMPUTED_VALUE"""),72.0)</f>
        <v>72</v>
      </c>
      <c r="BD483" s="71">
        <f>IFERROR(__xludf.DUMMYFUNCTION("""COMPUTED_VALUE"""),76.0)</f>
        <v>76</v>
      </c>
      <c r="BE483" s="71">
        <f>IFERROR(__xludf.DUMMYFUNCTION("""COMPUTED_VALUE"""),12.16)</f>
        <v>12.16</v>
      </c>
      <c r="BF483" s="71">
        <f>IFERROR(__xludf.DUMMYFUNCTION("""COMPUTED_VALUE"""),88.16)</f>
        <v>88.16</v>
      </c>
      <c r="BG483" s="71">
        <f>IFERROR(__xludf.DUMMYFUNCTION("""COMPUTED_VALUE"""),0.05555555555555555)</f>
        <v>0.05555555556</v>
      </c>
      <c r="BH483" s="71">
        <f>IFERROR(__xludf.DUMMYFUNCTION("""COMPUTED_VALUE"""),72.2)</f>
        <v>72.2</v>
      </c>
      <c r="BI483" s="71">
        <f>IFERROR(__xludf.DUMMYFUNCTION("""COMPUTED_VALUE"""),11.552000000000001)</f>
        <v>11.552</v>
      </c>
      <c r="BJ483" s="71">
        <f>IFERROR(__xludf.DUMMYFUNCTION("""COMPUTED_VALUE"""),83.75200000000001)</f>
        <v>83.752</v>
      </c>
      <c r="BK483" s="71">
        <f>IFERROR(__xludf.DUMMYFUNCTION("""COMPUTED_VALUE"""),68.4)</f>
        <v>68.4</v>
      </c>
      <c r="BL483" s="71">
        <f>IFERROR(__xludf.DUMMYFUNCTION("""COMPUTED_VALUE"""),10.944)</f>
        <v>10.944</v>
      </c>
      <c r="BM483" s="71">
        <f>IFERROR(__xludf.DUMMYFUNCTION("""COMPUTED_VALUE"""),79.34400000000001)</f>
        <v>79.344</v>
      </c>
      <c r="BN483" s="71">
        <f>IFERROR(__xludf.DUMMYFUNCTION("""COMPUTED_VALUE"""),64.6)</f>
        <v>64.6</v>
      </c>
      <c r="BO483" s="71">
        <f>IFERROR(__xludf.DUMMYFUNCTION("""COMPUTED_VALUE"""),10.335999999999999)</f>
        <v>10.336</v>
      </c>
      <c r="BP483" s="71">
        <f>IFERROR(__xludf.DUMMYFUNCTION("""COMPUTED_VALUE"""),74.93599999999999)</f>
        <v>74.936</v>
      </c>
      <c r="BQ483" s="71">
        <f>IFERROR(__xludf.DUMMYFUNCTION("""COMPUTED_VALUE"""),63.08)</f>
        <v>63.08</v>
      </c>
      <c r="BR483" s="71">
        <f>IFERROR(__xludf.DUMMYFUNCTION("""COMPUTED_VALUE"""),10.0928)</f>
        <v>10.0928</v>
      </c>
      <c r="BS483" s="71">
        <f>IFERROR(__xludf.DUMMYFUNCTION("""COMPUTED_VALUE"""),73.1728)</f>
        <v>73.1728</v>
      </c>
      <c r="BT483" s="71">
        <f>IFERROR(__xludf.DUMMYFUNCTION("""COMPUTED_VALUE"""),60.800000000000004)</f>
        <v>60.8</v>
      </c>
      <c r="BU483" s="71">
        <f>IFERROR(__xludf.DUMMYFUNCTION("""COMPUTED_VALUE"""),9.728000000000002)</f>
        <v>9.728</v>
      </c>
      <c r="BV483" s="71">
        <f>IFERROR(__xludf.DUMMYFUNCTION("""COMPUTED_VALUE"""),70.528)</f>
        <v>70.528</v>
      </c>
    </row>
    <row r="484">
      <c r="A484" s="53">
        <v>1.0</v>
      </c>
      <c r="B484" s="53"/>
      <c r="C484" s="73" t="s">
        <v>53</v>
      </c>
      <c r="D484" s="74" t="s">
        <v>1221</v>
      </c>
      <c r="E484" s="54" t="s">
        <v>38</v>
      </c>
      <c r="F484" s="54" t="s">
        <v>42</v>
      </c>
      <c r="G484" s="54" t="s">
        <v>1222</v>
      </c>
      <c r="H484" s="54" t="s">
        <v>1223</v>
      </c>
      <c r="I484" s="54">
        <f t="shared" si="24"/>
        <v>37</v>
      </c>
      <c r="J484" s="56"/>
      <c r="K484" s="75"/>
      <c r="L484" s="76"/>
      <c r="M484" s="59"/>
      <c r="N484" s="60">
        <v>157.0</v>
      </c>
      <c r="O484" s="61">
        <v>157.0</v>
      </c>
      <c r="P484" s="62">
        <v>169.56</v>
      </c>
      <c r="Q484" s="63">
        <v>169.56</v>
      </c>
      <c r="R484" s="64">
        <v>189.0</v>
      </c>
      <c r="S484" s="111">
        <v>198.0</v>
      </c>
      <c r="T484" s="65">
        <f t="shared" si="2"/>
        <v>31.68</v>
      </c>
      <c r="U484" s="65">
        <f t="shared" si="3"/>
        <v>229.68</v>
      </c>
      <c r="V484" s="66">
        <f t="shared" si="4"/>
        <v>0.04761904762</v>
      </c>
      <c r="W484" s="67">
        <f t="shared" si="5"/>
        <v>188.1</v>
      </c>
      <c r="X484" s="67">
        <f t="shared" si="6"/>
        <v>30.096</v>
      </c>
      <c r="Y484" s="67">
        <f t="shared" si="7"/>
        <v>218.196</v>
      </c>
      <c r="Z484" s="67">
        <f t="shared" si="8"/>
        <v>178.2</v>
      </c>
      <c r="AA484" s="67">
        <f t="shared" si="9"/>
        <v>28.512</v>
      </c>
      <c r="AB484" s="67">
        <f t="shared" si="10"/>
        <v>206.712</v>
      </c>
      <c r="AC484" s="67">
        <f t="shared" si="11"/>
        <v>168.3</v>
      </c>
      <c r="AD484" s="67">
        <f t="shared" si="12"/>
        <v>26.928</v>
      </c>
      <c r="AE484" s="67">
        <f t="shared" si="13"/>
        <v>195.228</v>
      </c>
      <c r="AF484" s="67">
        <f t="shared" si="14"/>
        <v>164.34</v>
      </c>
      <c r="AG484" s="67">
        <f t="shared" si="15"/>
        <v>26.2944</v>
      </c>
      <c r="AH484" s="67">
        <f t="shared" si="16"/>
        <v>190.6344</v>
      </c>
      <c r="AI484" s="67">
        <f t="shared" si="17"/>
        <v>158.4</v>
      </c>
      <c r="AJ484" s="68">
        <f t="shared" si="20"/>
        <v>25.344</v>
      </c>
      <c r="AK484" s="68">
        <f t="shared" si="21"/>
        <v>183.744</v>
      </c>
      <c r="AL484" s="70">
        <f>IFERROR(__xludf.DUMMYFUNCTION("""COMPUTED_VALUE"""),1.0)</f>
        <v>1</v>
      </c>
      <c r="AM484" s="70"/>
      <c r="AN484" s="71" t="str">
        <f>IFERROR(__xludf.DUMMYFUNCTION("""COMPUTED_VALUE""")," P")</f>
        <v>P</v>
      </c>
      <c r="AO484" s="71" t="str">
        <f>IFERROR(__xludf.DUMMYFUNCTION("""COMPUTED_VALUE""")," CL06")</f>
        <v>CL06</v>
      </c>
      <c r="AP484" s="71" t="str">
        <f>IFERROR(__xludf.DUMMYFUNCTION("""COMPUTED_VALUE""")," PZA")</f>
        <v>PZA</v>
      </c>
      <c r="AQ484" s="71" t="str">
        <f>IFERROR(__xludf.DUMMYFUNCTION("""COMPUTED_VALUE""")," REF")</f>
        <v>REF</v>
      </c>
      <c r="AR484" s="71" t="str">
        <f>IFERROR(__xludf.DUMMYFUNCTION("""COMPUTED_VALUE""")," COLLARÍN ESPECIAL DÚPLEX EN ACERO 9840")</f>
        <v>COLLARÍN ESPECIAL DÚPLEX EN ACERO 9840</v>
      </c>
      <c r="AS484" s="71" t="str">
        <f>IFERROR(__xludf.DUMMYFUNCTION("""COMPUTED_VALUE""")," COLLARIN ESPECIAL DPLX EN ACERO 9840")</f>
        <v>COLLARIN ESPECIAL DPLX EN ACERO 9840</v>
      </c>
      <c r="AT484" s="71">
        <f>IFERROR(__xludf.DUMMYFUNCTION("""COMPUTED_VALUE"""),36.0)</f>
        <v>36</v>
      </c>
      <c r="AU484" s="71"/>
      <c r="AV484" s="71"/>
      <c r="AW484" s="71"/>
      <c r="AX484" s="71"/>
      <c r="AY484" s="71">
        <f>IFERROR(__xludf.DUMMYFUNCTION("""COMPUTED_VALUE"""),170.0)</f>
        <v>170</v>
      </c>
      <c r="AZ484" s="71">
        <f>IFERROR(__xludf.DUMMYFUNCTION("""COMPUTED_VALUE"""),183.0)</f>
        <v>183</v>
      </c>
      <c r="BA484" s="71">
        <f>IFERROR(__xludf.DUMMYFUNCTION("""COMPUTED_VALUE"""),197.64000000000001)</f>
        <v>197.64</v>
      </c>
      <c r="BB484" s="71">
        <f>IFERROR(__xludf.DUMMYFUNCTION("""COMPUTED_VALUE"""),197.64000000000001)</f>
        <v>197.64</v>
      </c>
      <c r="BC484" s="71">
        <f>IFERROR(__xludf.DUMMYFUNCTION("""COMPUTED_VALUE"""),221.0)</f>
        <v>221</v>
      </c>
      <c r="BD484" s="71">
        <f>IFERROR(__xludf.DUMMYFUNCTION("""COMPUTED_VALUE"""),232.0)</f>
        <v>232</v>
      </c>
      <c r="BE484" s="71">
        <f>IFERROR(__xludf.DUMMYFUNCTION("""COMPUTED_VALUE"""),37.12)</f>
        <v>37.12</v>
      </c>
      <c r="BF484" s="71">
        <f>IFERROR(__xludf.DUMMYFUNCTION("""COMPUTED_VALUE"""),269.12)</f>
        <v>269.12</v>
      </c>
      <c r="BG484" s="71">
        <f>IFERROR(__xludf.DUMMYFUNCTION("""COMPUTED_VALUE"""),0.049773755656108594)</f>
        <v>0.04977375566</v>
      </c>
      <c r="BH484" s="71">
        <f>IFERROR(__xludf.DUMMYFUNCTION("""COMPUTED_VALUE"""),220.39999999999998)</f>
        <v>220.4</v>
      </c>
      <c r="BI484" s="71">
        <f>IFERROR(__xludf.DUMMYFUNCTION("""COMPUTED_VALUE"""),35.263999999999996)</f>
        <v>35.264</v>
      </c>
      <c r="BJ484" s="71">
        <f>IFERROR(__xludf.DUMMYFUNCTION("""COMPUTED_VALUE"""),255.664)</f>
        <v>255.664</v>
      </c>
      <c r="BK484" s="71">
        <f>IFERROR(__xludf.DUMMYFUNCTION("""COMPUTED_VALUE"""),208.8)</f>
        <v>208.8</v>
      </c>
      <c r="BL484" s="71">
        <f>IFERROR(__xludf.DUMMYFUNCTION("""COMPUTED_VALUE"""),33.408)</f>
        <v>33.408</v>
      </c>
      <c r="BM484" s="71">
        <f>IFERROR(__xludf.DUMMYFUNCTION("""COMPUTED_VALUE"""),242.20800000000003)</f>
        <v>242.208</v>
      </c>
      <c r="BN484" s="71">
        <f>IFERROR(__xludf.DUMMYFUNCTION("""COMPUTED_VALUE"""),197.2)</f>
        <v>197.2</v>
      </c>
      <c r="BO484" s="71">
        <f>IFERROR(__xludf.DUMMYFUNCTION("""COMPUTED_VALUE"""),31.552)</f>
        <v>31.552</v>
      </c>
      <c r="BP484" s="71">
        <f>IFERROR(__xludf.DUMMYFUNCTION("""COMPUTED_VALUE"""),228.75199999999998)</f>
        <v>228.752</v>
      </c>
      <c r="BQ484" s="71">
        <f>IFERROR(__xludf.DUMMYFUNCTION("""COMPUTED_VALUE"""),192.56)</f>
        <v>192.56</v>
      </c>
      <c r="BR484" s="71">
        <f>IFERROR(__xludf.DUMMYFUNCTION("""COMPUTED_VALUE"""),30.8096)</f>
        <v>30.8096</v>
      </c>
      <c r="BS484" s="71">
        <f>IFERROR(__xludf.DUMMYFUNCTION("""COMPUTED_VALUE"""),223.3696)</f>
        <v>223.3696</v>
      </c>
      <c r="BT484" s="71">
        <f>IFERROR(__xludf.DUMMYFUNCTION("""COMPUTED_VALUE"""),185.60000000000002)</f>
        <v>185.6</v>
      </c>
      <c r="BU484" s="71">
        <f>IFERROR(__xludf.DUMMYFUNCTION("""COMPUTED_VALUE"""),29.696000000000005)</f>
        <v>29.696</v>
      </c>
      <c r="BV484" s="71">
        <f>IFERROR(__xludf.DUMMYFUNCTION("""COMPUTED_VALUE"""),215.29600000000002)</f>
        <v>215.296</v>
      </c>
    </row>
    <row r="485">
      <c r="A485" s="53">
        <v>1.0</v>
      </c>
      <c r="B485" s="53"/>
      <c r="C485" s="73" t="s">
        <v>53</v>
      </c>
      <c r="D485" s="74" t="s">
        <v>1224</v>
      </c>
      <c r="E485" s="54" t="s">
        <v>38</v>
      </c>
      <c r="F485" s="54" t="s">
        <v>42</v>
      </c>
      <c r="G485" s="54" t="s">
        <v>1225</v>
      </c>
      <c r="H485" s="54" t="s">
        <v>1226</v>
      </c>
      <c r="I485" s="54">
        <f t="shared" si="24"/>
        <v>40</v>
      </c>
      <c r="J485" s="56"/>
      <c r="K485" s="75"/>
      <c r="L485" s="76"/>
      <c r="M485" s="59"/>
      <c r="N485" s="60">
        <v>61.0</v>
      </c>
      <c r="O485" s="61">
        <v>65.0</v>
      </c>
      <c r="P485" s="62">
        <v>70.2</v>
      </c>
      <c r="Q485" s="63">
        <v>70.2</v>
      </c>
      <c r="R485" s="64">
        <v>79.0</v>
      </c>
      <c r="S485" s="111">
        <v>83.0</v>
      </c>
      <c r="T485" s="65">
        <f t="shared" si="2"/>
        <v>13.28</v>
      </c>
      <c r="U485" s="65">
        <f t="shared" si="3"/>
        <v>96.28</v>
      </c>
      <c r="V485" s="66">
        <f t="shared" si="4"/>
        <v>0.05063291139</v>
      </c>
      <c r="W485" s="67">
        <f t="shared" si="5"/>
        <v>78.85</v>
      </c>
      <c r="X485" s="67">
        <f t="shared" si="6"/>
        <v>12.616</v>
      </c>
      <c r="Y485" s="67">
        <f t="shared" si="7"/>
        <v>91.466</v>
      </c>
      <c r="Z485" s="67">
        <f t="shared" si="8"/>
        <v>74.7</v>
      </c>
      <c r="AA485" s="67">
        <f t="shared" si="9"/>
        <v>11.952</v>
      </c>
      <c r="AB485" s="67">
        <f t="shared" si="10"/>
        <v>86.652</v>
      </c>
      <c r="AC485" s="67">
        <f t="shared" si="11"/>
        <v>70.55</v>
      </c>
      <c r="AD485" s="67">
        <f t="shared" si="12"/>
        <v>11.288</v>
      </c>
      <c r="AE485" s="67">
        <f t="shared" si="13"/>
        <v>81.838</v>
      </c>
      <c r="AF485" s="67">
        <f t="shared" si="14"/>
        <v>68.89</v>
      </c>
      <c r="AG485" s="67">
        <f t="shared" si="15"/>
        <v>11.0224</v>
      </c>
      <c r="AH485" s="67">
        <f t="shared" si="16"/>
        <v>79.9124</v>
      </c>
      <c r="AI485" s="67">
        <f t="shared" si="17"/>
        <v>66.4</v>
      </c>
      <c r="AJ485" s="68">
        <f t="shared" si="20"/>
        <v>10.624</v>
      </c>
      <c r="AK485" s="68">
        <f t="shared" si="21"/>
        <v>77.024</v>
      </c>
      <c r="AL485" s="70">
        <f>IFERROR(__xludf.DUMMYFUNCTION("""COMPUTED_VALUE"""),1.0)</f>
        <v>1</v>
      </c>
      <c r="AM485" s="70"/>
      <c r="AN485" s="71" t="str">
        <f>IFERROR(__xludf.DUMMYFUNCTION("""COMPUTED_VALUE""")," P")</f>
        <v>P</v>
      </c>
      <c r="AO485" s="71" t="str">
        <f>IFERROR(__xludf.DUMMYFUNCTION("""COMPUTED_VALUE""")," CL07")</f>
        <v>CL07</v>
      </c>
      <c r="AP485" s="71" t="str">
        <f>IFERROR(__xludf.DUMMYFUNCTION("""COMPUTED_VALUE""")," PZA")</f>
        <v>PZA</v>
      </c>
      <c r="AQ485" s="71" t="str">
        <f>IFERROR(__xludf.DUMMYFUNCTION("""COMPUTED_VALUE""")," REF")</f>
        <v>REF</v>
      </c>
      <c r="AR485" s="71" t="str">
        <f>IFERROR(__xludf.DUMMYFUNCTION("""COMPUTED_VALUE""")," COLLARÍN ESPECIAL SENCILLO EN ACERO 9840")</f>
        <v>COLLARÍN ESPECIAL SENCILLO EN ACERO 9840</v>
      </c>
      <c r="AS485" s="71" t="str">
        <f>IFERROR(__xludf.DUMMYFUNCTION("""COMPUTED_VALUE""")," COLLARIN ESPECIAL SENCILLO EN ACERO 9840")</f>
        <v>COLLARIN ESPECIAL SENCILLO EN ACERO 9840</v>
      </c>
      <c r="AT485" s="71">
        <f>IFERROR(__xludf.DUMMYFUNCTION("""COMPUTED_VALUE"""),40.0)</f>
        <v>40</v>
      </c>
      <c r="AU485" s="71"/>
      <c r="AV485" s="71"/>
      <c r="AW485" s="71"/>
      <c r="AX485" s="71"/>
      <c r="AY485" s="71">
        <f>IFERROR(__xludf.DUMMYFUNCTION("""COMPUTED_VALUE"""),166.0)</f>
        <v>166</v>
      </c>
      <c r="AZ485" s="71">
        <f>IFERROR(__xludf.DUMMYFUNCTION("""COMPUTED_VALUE"""),179.0)</f>
        <v>179</v>
      </c>
      <c r="BA485" s="71">
        <f>IFERROR(__xludf.DUMMYFUNCTION("""COMPUTED_VALUE"""),193.32000000000002)</f>
        <v>193.32</v>
      </c>
      <c r="BB485" s="71">
        <f>IFERROR(__xludf.DUMMYFUNCTION("""COMPUTED_VALUE"""),193.32000000000002)</f>
        <v>193.32</v>
      </c>
      <c r="BC485" s="71">
        <f>IFERROR(__xludf.DUMMYFUNCTION("""COMPUTED_VALUE"""),216.0)</f>
        <v>216</v>
      </c>
      <c r="BD485" s="71">
        <f>IFERROR(__xludf.DUMMYFUNCTION("""COMPUTED_VALUE"""),227.0)</f>
        <v>227</v>
      </c>
      <c r="BE485" s="71">
        <f>IFERROR(__xludf.DUMMYFUNCTION("""COMPUTED_VALUE"""),36.32)</f>
        <v>36.32</v>
      </c>
      <c r="BF485" s="71">
        <f>IFERROR(__xludf.DUMMYFUNCTION("""COMPUTED_VALUE"""),263.32)</f>
        <v>263.32</v>
      </c>
      <c r="BG485" s="71">
        <f>IFERROR(__xludf.DUMMYFUNCTION("""COMPUTED_VALUE"""),0.05092592592592592)</f>
        <v>0.05092592593</v>
      </c>
      <c r="BH485" s="71">
        <f>IFERROR(__xludf.DUMMYFUNCTION("""COMPUTED_VALUE"""),215.64999999999998)</f>
        <v>215.65</v>
      </c>
      <c r="BI485" s="71">
        <f>IFERROR(__xludf.DUMMYFUNCTION("""COMPUTED_VALUE"""),34.504)</f>
        <v>34.504</v>
      </c>
      <c r="BJ485" s="71">
        <f>IFERROR(__xludf.DUMMYFUNCTION("""COMPUTED_VALUE"""),250.15399999999997)</f>
        <v>250.154</v>
      </c>
      <c r="BK485" s="71">
        <f>IFERROR(__xludf.DUMMYFUNCTION("""COMPUTED_VALUE"""),204.3)</f>
        <v>204.3</v>
      </c>
      <c r="BL485" s="71">
        <f>IFERROR(__xludf.DUMMYFUNCTION("""COMPUTED_VALUE"""),32.688)</f>
        <v>32.688</v>
      </c>
      <c r="BM485" s="71">
        <f>IFERROR(__xludf.DUMMYFUNCTION("""COMPUTED_VALUE"""),236.988)</f>
        <v>236.988</v>
      </c>
      <c r="BN485" s="71">
        <f>IFERROR(__xludf.DUMMYFUNCTION("""COMPUTED_VALUE"""),192.95)</f>
        <v>192.95</v>
      </c>
      <c r="BO485" s="71">
        <f>IFERROR(__xludf.DUMMYFUNCTION("""COMPUTED_VALUE"""),30.872)</f>
        <v>30.872</v>
      </c>
      <c r="BP485" s="71">
        <f>IFERROR(__xludf.DUMMYFUNCTION("""COMPUTED_VALUE"""),223.822)</f>
        <v>223.822</v>
      </c>
      <c r="BQ485" s="71">
        <f>IFERROR(__xludf.DUMMYFUNCTION("""COMPUTED_VALUE"""),188.41)</f>
        <v>188.41</v>
      </c>
      <c r="BR485" s="71">
        <f>IFERROR(__xludf.DUMMYFUNCTION("""COMPUTED_VALUE"""),30.1456)</f>
        <v>30.1456</v>
      </c>
      <c r="BS485" s="71">
        <f>IFERROR(__xludf.DUMMYFUNCTION("""COMPUTED_VALUE"""),218.5556)</f>
        <v>218.5556</v>
      </c>
      <c r="BT485" s="71">
        <f>IFERROR(__xludf.DUMMYFUNCTION("""COMPUTED_VALUE"""),181.60000000000002)</f>
        <v>181.6</v>
      </c>
      <c r="BU485" s="71">
        <f>IFERROR(__xludf.DUMMYFUNCTION("""COMPUTED_VALUE"""),29.056000000000004)</f>
        <v>29.056</v>
      </c>
      <c r="BV485" s="71">
        <f>IFERROR(__xludf.DUMMYFUNCTION("""COMPUTED_VALUE"""),210.65600000000003)</f>
        <v>210.656</v>
      </c>
    </row>
    <row r="486">
      <c r="A486" s="53"/>
      <c r="B486" s="53"/>
      <c r="C486" s="53"/>
      <c r="D486" s="53" t="s">
        <v>1227</v>
      </c>
      <c r="E486" s="55" t="s">
        <v>38</v>
      </c>
      <c r="F486" s="89"/>
      <c r="G486" s="84" t="s">
        <v>1228</v>
      </c>
      <c r="H486" s="55"/>
      <c r="I486" s="54">
        <f t="shared" si="24"/>
        <v>0</v>
      </c>
      <c r="J486" s="56"/>
      <c r="K486" s="57"/>
      <c r="L486" s="55"/>
      <c r="M486" s="59"/>
      <c r="N486" s="60"/>
      <c r="O486" s="90"/>
      <c r="P486" s="62">
        <v>14472.0</v>
      </c>
      <c r="Q486" s="63">
        <v>14472.0</v>
      </c>
      <c r="R486" s="64">
        <v>15956.0</v>
      </c>
      <c r="S486" s="111">
        <v>16754.0</v>
      </c>
      <c r="T486" s="65">
        <f t="shared" si="2"/>
        <v>2680.64</v>
      </c>
      <c r="U486" s="65">
        <f t="shared" si="3"/>
        <v>19434.64</v>
      </c>
      <c r="V486" s="66">
        <f t="shared" si="4"/>
        <v>0.05001253447</v>
      </c>
      <c r="W486" s="67">
        <f t="shared" si="5"/>
        <v>15916.3</v>
      </c>
      <c r="X486" s="67">
        <f t="shared" si="6"/>
        <v>2546.608</v>
      </c>
      <c r="Y486" s="67">
        <f t="shared" si="7"/>
        <v>18462.908</v>
      </c>
      <c r="Z486" s="67">
        <f t="shared" si="8"/>
        <v>15078.6</v>
      </c>
      <c r="AA486" s="67">
        <f t="shared" si="9"/>
        <v>2412.576</v>
      </c>
      <c r="AB486" s="67">
        <f t="shared" si="10"/>
        <v>17491.176</v>
      </c>
      <c r="AC486" s="67">
        <f t="shared" si="11"/>
        <v>14240.9</v>
      </c>
      <c r="AD486" s="67">
        <f t="shared" si="12"/>
        <v>2278.544</v>
      </c>
      <c r="AE486" s="67">
        <f t="shared" si="13"/>
        <v>16519.444</v>
      </c>
      <c r="AF486" s="67">
        <f t="shared" si="14"/>
        <v>13905.82</v>
      </c>
      <c r="AG486" s="67">
        <f t="shared" si="15"/>
        <v>2224.9312</v>
      </c>
      <c r="AH486" s="67">
        <f t="shared" si="16"/>
        <v>16130.7512</v>
      </c>
      <c r="AI486" s="67">
        <f t="shared" si="17"/>
        <v>13403.2</v>
      </c>
      <c r="AJ486" s="68">
        <f t="shared" si="20"/>
        <v>2144.512</v>
      </c>
      <c r="AK486" s="68">
        <f t="shared" si="21"/>
        <v>15547.712</v>
      </c>
      <c r="AL486" s="70">
        <f>IFERROR(__xludf.DUMMYFUNCTION("""COMPUTED_VALUE"""),1.0)</f>
        <v>1</v>
      </c>
      <c r="AM486" s="70"/>
      <c r="AN486" s="71" t="str">
        <f>IFERROR(__xludf.DUMMYFUNCTION("""COMPUTED_VALUE""")," P")</f>
        <v>P</v>
      </c>
      <c r="AO486" s="71" t="str">
        <f>IFERROR(__xludf.DUMMYFUNCTION("""COMPUTED_VALUE""")," CL08")</f>
        <v>CL08</v>
      </c>
      <c r="AP486" s="71" t="str">
        <f>IFERROR(__xludf.DUMMYFUNCTION("""COMPUTED_VALUE""")," PZA")</f>
        <v>PZA</v>
      </c>
      <c r="AQ486" s="71" t="str">
        <f>IFERROR(__xludf.DUMMYFUNCTION("""COMPUTED_VALUE""")," REF")</f>
        <v>REF</v>
      </c>
      <c r="AR486" s="71" t="str">
        <f>IFERROR(__xludf.DUMMYFUNCTION("""COMPUTED_VALUE""")," COLLARÍN PARA ENGRANE DE 16 DTS PARA VÁLVULA CARBURADORA")</f>
        <v>COLLARÍN PARA ENGRANE DE 16 DTS PARA VÁLVULA CARBURADORA</v>
      </c>
      <c r="AS486" s="71" t="str">
        <f>IFERROR(__xludf.DUMMYFUNCTION("""COMPUTED_VALUE""")," COLLARIN P/ENGRANE 16 DTS PARA VALV CARB")</f>
        <v>COLLARIN P/ENGRANE 16 DTS PARA VALV CARB</v>
      </c>
      <c r="AT486" s="71">
        <f>IFERROR(__xludf.DUMMYFUNCTION("""COMPUTED_VALUE"""),40.0)</f>
        <v>40</v>
      </c>
      <c r="AU486" s="71"/>
      <c r="AV486" s="71"/>
      <c r="AW486" s="71"/>
      <c r="AX486" s="71"/>
      <c r="AY486" s="71">
        <f>IFERROR(__xludf.DUMMYFUNCTION("""COMPUTED_VALUE"""),23.0)</f>
        <v>23</v>
      </c>
      <c r="AZ486" s="71">
        <f>IFERROR(__xludf.DUMMYFUNCTION("""COMPUTED_VALUE"""),24.0)</f>
        <v>24</v>
      </c>
      <c r="BA486" s="71">
        <f>IFERROR(__xludf.DUMMYFUNCTION("""COMPUTED_VALUE"""),25.92)</f>
        <v>25.92</v>
      </c>
      <c r="BB486" s="71">
        <f>IFERROR(__xludf.DUMMYFUNCTION("""COMPUTED_VALUE"""),25.92)</f>
        <v>25.92</v>
      </c>
      <c r="BC486" s="71">
        <f>IFERROR(__xludf.DUMMYFUNCTION("""COMPUTED_VALUE"""),30.0)</f>
        <v>30</v>
      </c>
      <c r="BD486" s="71">
        <f>IFERROR(__xludf.DUMMYFUNCTION("""COMPUTED_VALUE"""),32.0)</f>
        <v>32</v>
      </c>
      <c r="BE486" s="71">
        <f>IFERROR(__xludf.DUMMYFUNCTION("""COMPUTED_VALUE"""),5.12)</f>
        <v>5.12</v>
      </c>
      <c r="BF486" s="71">
        <f>IFERROR(__xludf.DUMMYFUNCTION("""COMPUTED_VALUE"""),37.12)</f>
        <v>37.12</v>
      </c>
      <c r="BG486" s="71">
        <f>IFERROR(__xludf.DUMMYFUNCTION("""COMPUTED_VALUE"""),0.06666666666666667)</f>
        <v>0.06666666667</v>
      </c>
      <c r="BH486" s="71">
        <f>IFERROR(__xludf.DUMMYFUNCTION("""COMPUTED_VALUE"""),30.4)</f>
        <v>30.4</v>
      </c>
      <c r="BI486" s="71">
        <f>IFERROR(__xludf.DUMMYFUNCTION("""COMPUTED_VALUE"""),4.864)</f>
        <v>4.864</v>
      </c>
      <c r="BJ486" s="71">
        <f>IFERROR(__xludf.DUMMYFUNCTION("""COMPUTED_VALUE"""),35.263999999999996)</f>
        <v>35.264</v>
      </c>
      <c r="BK486" s="71">
        <f>IFERROR(__xludf.DUMMYFUNCTION("""COMPUTED_VALUE"""),28.8)</f>
        <v>28.8</v>
      </c>
      <c r="BL486" s="71">
        <f>IFERROR(__xludf.DUMMYFUNCTION("""COMPUTED_VALUE"""),4.6080000000000005)</f>
        <v>4.608</v>
      </c>
      <c r="BM486" s="71">
        <f>IFERROR(__xludf.DUMMYFUNCTION("""COMPUTED_VALUE"""),33.408)</f>
        <v>33.408</v>
      </c>
      <c r="BN486" s="71">
        <f>IFERROR(__xludf.DUMMYFUNCTION("""COMPUTED_VALUE"""),27.2)</f>
        <v>27.2</v>
      </c>
      <c r="BO486" s="71">
        <f>IFERROR(__xludf.DUMMYFUNCTION("""COMPUTED_VALUE"""),4.352)</f>
        <v>4.352</v>
      </c>
      <c r="BP486" s="71">
        <f>IFERROR(__xludf.DUMMYFUNCTION("""COMPUTED_VALUE"""),31.552)</f>
        <v>31.552</v>
      </c>
      <c r="BQ486" s="71">
        <f>IFERROR(__xludf.DUMMYFUNCTION("""COMPUTED_VALUE"""),26.56)</f>
        <v>26.56</v>
      </c>
      <c r="BR486" s="71">
        <f>IFERROR(__xludf.DUMMYFUNCTION("""COMPUTED_VALUE"""),4.2496)</f>
        <v>4.2496</v>
      </c>
      <c r="BS486" s="71">
        <f>IFERROR(__xludf.DUMMYFUNCTION("""COMPUTED_VALUE"""),30.8096)</f>
        <v>30.8096</v>
      </c>
      <c r="BT486" s="71">
        <f>IFERROR(__xludf.DUMMYFUNCTION("""COMPUTED_VALUE"""),25.6)</f>
        <v>25.6</v>
      </c>
      <c r="BU486" s="71">
        <f>IFERROR(__xludf.DUMMYFUNCTION("""COMPUTED_VALUE"""),4.096)</f>
        <v>4.096</v>
      </c>
      <c r="BV486" s="71">
        <f>IFERROR(__xludf.DUMMYFUNCTION("""COMPUTED_VALUE"""),29.696)</f>
        <v>29.696</v>
      </c>
    </row>
    <row r="487">
      <c r="A487" s="53"/>
      <c r="B487" s="53"/>
      <c r="C487" s="53" t="s">
        <v>53</v>
      </c>
      <c r="D487" s="53" t="s">
        <v>1229</v>
      </c>
      <c r="E487" s="54" t="s">
        <v>38</v>
      </c>
      <c r="F487" s="54" t="s">
        <v>42</v>
      </c>
      <c r="G487" s="55" t="s">
        <v>1230</v>
      </c>
      <c r="H487" s="54" t="s">
        <v>1231</v>
      </c>
      <c r="I487" s="54">
        <f t="shared" si="24"/>
        <v>26</v>
      </c>
      <c r="J487" s="56"/>
      <c r="K487" s="57"/>
      <c r="L487" s="76"/>
      <c r="M487" s="59"/>
      <c r="N487" s="79">
        <v>5900.0</v>
      </c>
      <c r="O487" s="61">
        <v>6372.0</v>
      </c>
      <c r="P487" s="62">
        <v>6881.76</v>
      </c>
      <c r="Q487" s="63">
        <v>6881.76</v>
      </c>
      <c r="R487" s="64">
        <v>7227.0</v>
      </c>
      <c r="S487" s="111">
        <v>7588.0</v>
      </c>
      <c r="T487" s="65">
        <f t="shared" si="2"/>
        <v>1214.08</v>
      </c>
      <c r="U487" s="65">
        <f t="shared" si="3"/>
        <v>8802.08</v>
      </c>
      <c r="V487" s="66">
        <f t="shared" si="4"/>
        <v>0.0499515705</v>
      </c>
      <c r="W487" s="67">
        <f t="shared" si="5"/>
        <v>7208.6</v>
      </c>
      <c r="X487" s="67">
        <f t="shared" si="6"/>
        <v>1153.376</v>
      </c>
      <c r="Y487" s="67">
        <f t="shared" si="7"/>
        <v>8361.976</v>
      </c>
      <c r="Z487" s="67">
        <f t="shared" si="8"/>
        <v>6829.2</v>
      </c>
      <c r="AA487" s="67">
        <f t="shared" si="9"/>
        <v>1092.672</v>
      </c>
      <c r="AB487" s="67">
        <f t="shared" si="10"/>
        <v>7921.872</v>
      </c>
      <c r="AC487" s="67">
        <f t="shared" si="11"/>
        <v>6449.8</v>
      </c>
      <c r="AD487" s="67">
        <f t="shared" si="12"/>
        <v>1031.968</v>
      </c>
      <c r="AE487" s="67">
        <f t="shared" si="13"/>
        <v>7481.768</v>
      </c>
      <c r="AF487" s="67">
        <f t="shared" si="14"/>
        <v>6298.04</v>
      </c>
      <c r="AG487" s="67">
        <f t="shared" si="15"/>
        <v>1007.6864</v>
      </c>
      <c r="AH487" s="67">
        <f t="shared" si="16"/>
        <v>7305.7264</v>
      </c>
      <c r="AI487" s="67">
        <f t="shared" si="17"/>
        <v>6070.4</v>
      </c>
      <c r="AJ487" s="68">
        <f t="shared" si="20"/>
        <v>971.264</v>
      </c>
      <c r="AK487" s="68">
        <f t="shared" si="21"/>
        <v>7041.664</v>
      </c>
      <c r="AL487" s="136">
        <f>IFERROR(__xludf.DUMMYFUNCTION("""COMPUTED_VALUE"""),1.0)</f>
        <v>1</v>
      </c>
      <c r="AM487" s="136"/>
      <c r="AN487" s="137" t="str">
        <f>IFERROR(__xludf.DUMMYFUNCTION("""COMPUTED_VALUE""")," P")</f>
        <v>P</v>
      </c>
      <c r="AO487" s="137" t="str">
        <f>IFERROR(__xludf.DUMMYFUNCTION("""COMPUTED_VALUE""")," CL09")</f>
        <v>CL09</v>
      </c>
      <c r="AP487" s="137" t="str">
        <f>IFERROR(__xludf.DUMMYFUNCTION("""COMPUTED_VALUE""")," PZA")</f>
        <v>PZA</v>
      </c>
      <c r="AQ487" s="137" t="str">
        <f>IFERROR(__xludf.DUMMYFUNCTION("""COMPUTED_VALUE""")," REF")</f>
        <v>REF</v>
      </c>
      <c r="AR487" s="137" t="str">
        <f>IFERROR(__xludf.DUMMYFUNCTION("""COMPUTED_VALUE""")," COLLARÍN PARA RODILLO (B.C.) 15/16")</f>
        <v>COLLARÍN PARA RODILLO (B.C.) 15/16</v>
      </c>
      <c r="AS487" s="137" t="str">
        <f>IFERROR(__xludf.DUMMYFUNCTION("""COMPUTED_VALUE""")," COLLARIN PARA RODILLO BC 15/16")</f>
        <v>COLLARIN PARA RODILLO BC 15/16</v>
      </c>
      <c r="AT487" s="137">
        <f>IFERROR(__xludf.DUMMYFUNCTION("""COMPUTED_VALUE"""),30.0)</f>
        <v>30</v>
      </c>
      <c r="AU487" s="137"/>
      <c r="AV487" s="137"/>
      <c r="AW487" s="137"/>
      <c r="AX487" s="137"/>
      <c r="AY487" s="137">
        <f>IFERROR(__xludf.DUMMYFUNCTION("""COMPUTED_VALUE"""),20.0)</f>
        <v>20</v>
      </c>
      <c r="AZ487" s="137">
        <f>IFERROR(__xludf.DUMMYFUNCTION("""COMPUTED_VALUE"""),21.0)</f>
        <v>21</v>
      </c>
      <c r="BA487" s="137">
        <f>IFERROR(__xludf.DUMMYFUNCTION("""COMPUTED_VALUE"""),22.68)</f>
        <v>22.68</v>
      </c>
      <c r="BB487" s="137">
        <f>IFERROR(__xludf.DUMMYFUNCTION("""COMPUTED_VALUE"""),22.68)</f>
        <v>22.68</v>
      </c>
      <c r="BC487" s="137">
        <f>IFERROR(__xludf.DUMMYFUNCTION("""COMPUTED_VALUE"""),26.0)</f>
        <v>26</v>
      </c>
      <c r="BD487" s="137">
        <f>IFERROR(__xludf.DUMMYFUNCTION("""COMPUTED_VALUE"""),27.0)</f>
        <v>27</v>
      </c>
      <c r="BE487" s="137">
        <f>IFERROR(__xludf.DUMMYFUNCTION("""COMPUTED_VALUE"""),4.32)</f>
        <v>4.32</v>
      </c>
      <c r="BF487" s="137">
        <f>IFERROR(__xludf.DUMMYFUNCTION("""COMPUTED_VALUE"""),31.32)</f>
        <v>31.32</v>
      </c>
      <c r="BG487" s="137">
        <f>IFERROR(__xludf.DUMMYFUNCTION("""COMPUTED_VALUE"""),0.038461538461538464)</f>
        <v>0.03846153846</v>
      </c>
      <c r="BH487" s="137">
        <f>IFERROR(__xludf.DUMMYFUNCTION("""COMPUTED_VALUE"""),25.65)</f>
        <v>25.65</v>
      </c>
      <c r="BI487" s="137">
        <f>IFERROR(__xludf.DUMMYFUNCTION("""COMPUTED_VALUE"""),4.104)</f>
        <v>4.104</v>
      </c>
      <c r="BJ487" s="137">
        <f>IFERROR(__xludf.DUMMYFUNCTION("""COMPUTED_VALUE"""),29.753999999999998)</f>
        <v>29.754</v>
      </c>
      <c r="BK487" s="137">
        <f>IFERROR(__xludf.DUMMYFUNCTION("""COMPUTED_VALUE"""),24.3)</f>
        <v>24.3</v>
      </c>
      <c r="BL487" s="137">
        <f>IFERROR(__xludf.DUMMYFUNCTION("""COMPUTED_VALUE"""),3.8880000000000003)</f>
        <v>3.888</v>
      </c>
      <c r="BM487" s="137">
        <f>IFERROR(__xludf.DUMMYFUNCTION("""COMPUTED_VALUE"""),28.188000000000002)</f>
        <v>28.188</v>
      </c>
      <c r="BN487" s="137">
        <f>IFERROR(__xludf.DUMMYFUNCTION("""COMPUTED_VALUE"""),22.95)</f>
        <v>22.95</v>
      </c>
      <c r="BO487" s="137">
        <f>IFERROR(__xludf.DUMMYFUNCTION("""COMPUTED_VALUE"""),3.672)</f>
        <v>3.672</v>
      </c>
      <c r="BP487" s="137">
        <f>IFERROR(__xludf.DUMMYFUNCTION("""COMPUTED_VALUE"""),26.622)</f>
        <v>26.622</v>
      </c>
      <c r="BQ487" s="137">
        <f>IFERROR(__xludf.DUMMYFUNCTION("""COMPUTED_VALUE"""),22.41)</f>
        <v>22.41</v>
      </c>
      <c r="BR487" s="137">
        <f>IFERROR(__xludf.DUMMYFUNCTION("""COMPUTED_VALUE"""),3.5856)</f>
        <v>3.5856</v>
      </c>
      <c r="BS487" s="137">
        <f>IFERROR(__xludf.DUMMYFUNCTION("""COMPUTED_VALUE"""),25.9956)</f>
        <v>25.9956</v>
      </c>
      <c r="BT487" s="137">
        <f>IFERROR(__xludf.DUMMYFUNCTION("""COMPUTED_VALUE"""),21.6)</f>
        <v>21.6</v>
      </c>
      <c r="BU487" s="137">
        <f>IFERROR(__xludf.DUMMYFUNCTION("""COMPUTED_VALUE"""),3.4560000000000004)</f>
        <v>3.456</v>
      </c>
      <c r="BV487" s="137">
        <f>IFERROR(__xludf.DUMMYFUNCTION("""COMPUTED_VALUE"""),25.056)</f>
        <v>25.056</v>
      </c>
    </row>
    <row r="488">
      <c r="A488" s="53"/>
      <c r="B488" s="53"/>
      <c r="C488" s="53" t="s">
        <v>53</v>
      </c>
      <c r="D488" s="53" t="s">
        <v>1232</v>
      </c>
      <c r="E488" s="54" t="s">
        <v>38</v>
      </c>
      <c r="F488" s="54" t="s">
        <v>42</v>
      </c>
      <c r="G488" s="55" t="s">
        <v>1233</v>
      </c>
      <c r="H488" s="54" t="s">
        <v>1234</v>
      </c>
      <c r="I488" s="54">
        <f t="shared" si="24"/>
        <v>26</v>
      </c>
      <c r="J488" s="56"/>
      <c r="K488" s="57"/>
      <c r="L488" s="76"/>
      <c r="M488" s="59"/>
      <c r="N488" s="79">
        <v>6700.0</v>
      </c>
      <c r="O488" s="61">
        <v>7236.0</v>
      </c>
      <c r="P488" s="62">
        <v>7814.88</v>
      </c>
      <c r="Q488" s="63">
        <v>7814.88</v>
      </c>
      <c r="R488" s="64">
        <v>8206.0</v>
      </c>
      <c r="S488" s="111">
        <v>8616.0</v>
      </c>
      <c r="T488" s="65">
        <f t="shared" si="2"/>
        <v>1378.56</v>
      </c>
      <c r="U488" s="65">
        <f t="shared" si="3"/>
        <v>9994.56</v>
      </c>
      <c r="V488" s="66">
        <f t="shared" si="4"/>
        <v>0.04996344138</v>
      </c>
      <c r="W488" s="67">
        <f t="shared" si="5"/>
        <v>8185.2</v>
      </c>
      <c r="X488" s="67">
        <f t="shared" si="6"/>
        <v>1309.632</v>
      </c>
      <c r="Y488" s="67">
        <f t="shared" si="7"/>
        <v>9494.832</v>
      </c>
      <c r="Z488" s="67">
        <f t="shared" si="8"/>
        <v>7754.4</v>
      </c>
      <c r="AA488" s="67">
        <f t="shared" si="9"/>
        <v>1240.704</v>
      </c>
      <c r="AB488" s="67">
        <f t="shared" si="10"/>
        <v>8995.104</v>
      </c>
      <c r="AC488" s="67">
        <f t="shared" si="11"/>
        <v>7323.6</v>
      </c>
      <c r="AD488" s="67">
        <f t="shared" si="12"/>
        <v>1171.776</v>
      </c>
      <c r="AE488" s="67">
        <f t="shared" si="13"/>
        <v>8495.376</v>
      </c>
      <c r="AF488" s="67">
        <f t="shared" si="14"/>
        <v>7151.28</v>
      </c>
      <c r="AG488" s="67">
        <f t="shared" si="15"/>
        <v>1144.2048</v>
      </c>
      <c r="AH488" s="67">
        <f t="shared" si="16"/>
        <v>8295.4848</v>
      </c>
      <c r="AI488" s="67">
        <f t="shared" si="17"/>
        <v>6892.8</v>
      </c>
      <c r="AJ488" s="68">
        <f t="shared" si="20"/>
        <v>1102.848</v>
      </c>
      <c r="AK488" s="68">
        <f t="shared" si="21"/>
        <v>7995.648</v>
      </c>
      <c r="AL488" s="136">
        <f>IFERROR(__xludf.DUMMYFUNCTION("""COMPUTED_VALUE"""),1.0)</f>
        <v>1</v>
      </c>
      <c r="AM488" s="136"/>
      <c r="AN488" s="137" t="str">
        <f>IFERROR(__xludf.DUMMYFUNCTION("""COMPUTED_VALUE""")," P")</f>
        <v>P</v>
      </c>
      <c r="AO488" s="137" t="str">
        <f>IFERROR(__xludf.DUMMYFUNCTION("""COMPUTED_VALUE""")," CU01")</f>
        <v>CU01</v>
      </c>
      <c r="AP488" s="137" t="str">
        <f>IFERROR(__xludf.DUMMYFUNCTION("""COMPUTED_VALUE""")," PZA")</f>
        <v>PZA</v>
      </c>
      <c r="AQ488" s="137" t="str">
        <f>IFERROR(__xludf.DUMMYFUNCTION("""COMPUTED_VALUE""")," REF")</f>
        <v>REF</v>
      </c>
      <c r="AR488" s="137" t="str">
        <f>IFERROR(__xludf.DUMMYFUNCTION("""COMPUTED_VALUE""")," COLUMPIO DÚPLEX")</f>
        <v>COLUMPIO DÚPLEX</v>
      </c>
      <c r="AS488" s="137" t="str">
        <f>IFERROR(__xludf.DUMMYFUNCTION("""COMPUTED_VALUE""")," COLUMPIO DPLX")</f>
        <v>COLUMPIO DPLX</v>
      </c>
      <c r="AT488" s="137">
        <f>IFERROR(__xludf.DUMMYFUNCTION("""COMPUTED_VALUE"""),13.0)</f>
        <v>13</v>
      </c>
      <c r="AU488" s="137"/>
      <c r="AV488" s="137"/>
      <c r="AW488" s="137"/>
      <c r="AX488" s="137"/>
      <c r="AY488" s="137">
        <f>IFERROR(__xludf.DUMMYFUNCTION("""COMPUTED_VALUE"""),1074.0)</f>
        <v>1074</v>
      </c>
      <c r="AZ488" s="137">
        <f>IFERROR(__xludf.DUMMYFUNCTION("""COMPUTED_VALUE"""),1159.0)</f>
        <v>1159</v>
      </c>
      <c r="BA488" s="137">
        <f>IFERROR(__xludf.DUMMYFUNCTION("""COMPUTED_VALUE"""),1251.72)</f>
        <v>1251.72</v>
      </c>
      <c r="BB488" s="137">
        <f>IFERROR(__xludf.DUMMYFUNCTION("""COMPUTED_VALUE"""),1251.72)</f>
        <v>1251.72</v>
      </c>
      <c r="BC488" s="137">
        <f>IFERROR(__xludf.DUMMYFUNCTION("""COMPUTED_VALUE"""),1394.0)</f>
        <v>1394</v>
      </c>
      <c r="BD488" s="137">
        <f>IFERROR(__xludf.DUMMYFUNCTION("""COMPUTED_VALUE"""),1464.0)</f>
        <v>1464</v>
      </c>
      <c r="BE488" s="137">
        <f>IFERROR(__xludf.DUMMYFUNCTION("""COMPUTED_VALUE"""),234.24)</f>
        <v>234.24</v>
      </c>
      <c r="BF488" s="137">
        <f>IFERROR(__xludf.DUMMYFUNCTION("""COMPUTED_VALUE"""),1698.24)</f>
        <v>1698.24</v>
      </c>
      <c r="BG488" s="137">
        <f>IFERROR(__xludf.DUMMYFUNCTION("""COMPUTED_VALUE"""),0.05021520803443329)</f>
        <v>0.05021520803</v>
      </c>
      <c r="BH488" s="137">
        <f>IFERROR(__xludf.DUMMYFUNCTION("""COMPUTED_VALUE"""),1390.8)</f>
        <v>1390.8</v>
      </c>
      <c r="BI488" s="137">
        <f>IFERROR(__xludf.DUMMYFUNCTION("""COMPUTED_VALUE"""),222.528)</f>
        <v>222.528</v>
      </c>
      <c r="BJ488" s="137">
        <f>IFERROR(__xludf.DUMMYFUNCTION("""COMPUTED_VALUE"""),1613.328)</f>
        <v>1613.328</v>
      </c>
      <c r="BK488" s="137">
        <f>IFERROR(__xludf.DUMMYFUNCTION("""COMPUTED_VALUE"""),1317.6000000000001)</f>
        <v>1317.6</v>
      </c>
      <c r="BL488" s="137">
        <f>IFERROR(__xludf.DUMMYFUNCTION("""COMPUTED_VALUE"""),210.81600000000003)</f>
        <v>210.816</v>
      </c>
      <c r="BM488" s="137">
        <f>IFERROR(__xludf.DUMMYFUNCTION("""COMPUTED_VALUE"""),1528.4160000000002)</f>
        <v>1528.416</v>
      </c>
      <c r="BN488" s="137">
        <f>IFERROR(__xludf.DUMMYFUNCTION("""COMPUTED_VALUE"""),1244.3999999999999)</f>
        <v>1244.4</v>
      </c>
      <c r="BO488" s="137">
        <f>IFERROR(__xludf.DUMMYFUNCTION("""COMPUTED_VALUE"""),199.10399999999998)</f>
        <v>199.104</v>
      </c>
      <c r="BP488" s="137">
        <f>IFERROR(__xludf.DUMMYFUNCTION("""COMPUTED_VALUE"""),1443.504)</f>
        <v>1443.504</v>
      </c>
      <c r="BQ488" s="137">
        <f>IFERROR(__xludf.DUMMYFUNCTION("""COMPUTED_VALUE"""),1215.12)</f>
        <v>1215.12</v>
      </c>
      <c r="BR488" s="137">
        <f>IFERROR(__xludf.DUMMYFUNCTION("""COMPUTED_VALUE"""),194.4192)</f>
        <v>194.4192</v>
      </c>
      <c r="BS488" s="137">
        <f>IFERROR(__xludf.DUMMYFUNCTION("""COMPUTED_VALUE"""),1409.5392)</f>
        <v>1409.5392</v>
      </c>
      <c r="BT488" s="137">
        <f>IFERROR(__xludf.DUMMYFUNCTION("""COMPUTED_VALUE"""),1171.2)</f>
        <v>1171.2</v>
      </c>
      <c r="BU488" s="137">
        <f>IFERROR(__xludf.DUMMYFUNCTION("""COMPUTED_VALUE"""),187.39200000000002)</f>
        <v>187.392</v>
      </c>
      <c r="BV488" s="137">
        <f>IFERROR(__xludf.DUMMYFUNCTION("""COMPUTED_VALUE"""),1358.592)</f>
        <v>1358.592</v>
      </c>
    </row>
    <row r="489">
      <c r="A489" s="53"/>
      <c r="B489" s="53"/>
      <c r="C489" s="73" t="s">
        <v>53</v>
      </c>
      <c r="D489" s="128" t="s">
        <v>1235</v>
      </c>
      <c r="E489" s="54" t="s">
        <v>38</v>
      </c>
      <c r="F489" s="54" t="s">
        <v>42</v>
      </c>
      <c r="G489" s="130" t="s">
        <v>1236</v>
      </c>
      <c r="H489" s="54" t="s">
        <v>1237</v>
      </c>
      <c r="I489" s="54">
        <f t="shared" si="24"/>
        <v>37</v>
      </c>
      <c r="J489" s="56"/>
      <c r="K489" s="57"/>
      <c r="L489" s="87"/>
      <c r="M489" s="59"/>
      <c r="N489" s="79">
        <v>7500.0</v>
      </c>
      <c r="O489" s="129">
        <v>8100.0</v>
      </c>
      <c r="P489" s="62">
        <v>8748.0</v>
      </c>
      <c r="Q489" s="63">
        <v>8748.0</v>
      </c>
      <c r="R489" s="64">
        <v>9186.0</v>
      </c>
      <c r="S489" s="111">
        <v>9645.0</v>
      </c>
      <c r="T489" s="65">
        <f t="shared" si="2"/>
        <v>1543.2</v>
      </c>
      <c r="U489" s="65">
        <f t="shared" si="3"/>
        <v>11188.2</v>
      </c>
      <c r="V489" s="66">
        <f t="shared" si="4"/>
        <v>0.04996734161</v>
      </c>
      <c r="W489" s="67">
        <f t="shared" si="5"/>
        <v>9162.75</v>
      </c>
      <c r="X489" s="67">
        <f t="shared" si="6"/>
        <v>1466.04</v>
      </c>
      <c r="Y489" s="67">
        <f t="shared" si="7"/>
        <v>10628.79</v>
      </c>
      <c r="Z489" s="67">
        <f t="shared" si="8"/>
        <v>8680.5</v>
      </c>
      <c r="AA489" s="67">
        <f t="shared" si="9"/>
        <v>1388.88</v>
      </c>
      <c r="AB489" s="67">
        <f t="shared" si="10"/>
        <v>10069.38</v>
      </c>
      <c r="AC489" s="67">
        <f t="shared" si="11"/>
        <v>8198.25</v>
      </c>
      <c r="AD489" s="67">
        <f t="shared" si="12"/>
        <v>1311.72</v>
      </c>
      <c r="AE489" s="67">
        <f t="shared" si="13"/>
        <v>9509.97</v>
      </c>
      <c r="AF489" s="67">
        <f t="shared" si="14"/>
        <v>8005.35</v>
      </c>
      <c r="AG489" s="67">
        <f t="shared" si="15"/>
        <v>1280.856</v>
      </c>
      <c r="AH489" s="67">
        <f t="shared" si="16"/>
        <v>9286.206</v>
      </c>
      <c r="AI489" s="67">
        <f t="shared" si="17"/>
        <v>7716</v>
      </c>
      <c r="AJ489" s="68">
        <f t="shared" si="20"/>
        <v>1234.56</v>
      </c>
      <c r="AK489" s="68">
        <f t="shared" si="21"/>
        <v>8950.56</v>
      </c>
      <c r="AL489" s="70">
        <f>IFERROR(__xludf.DUMMYFUNCTION("""COMPUTED_VALUE"""),1.0)</f>
        <v>1</v>
      </c>
      <c r="AM489" s="70"/>
      <c r="AN489" s="71" t="str">
        <f>IFERROR(__xludf.DUMMYFUNCTION("""COMPUTED_VALUE""")," P")</f>
        <v>P</v>
      </c>
      <c r="AO489" s="71" t="str">
        <f>IFERROR(__xludf.DUMMYFUNCTION("""COMPUTED_VALUE""")," CU03")</f>
        <v>CU03</v>
      </c>
      <c r="AP489" s="71" t="str">
        <f>IFERROR(__xludf.DUMMYFUNCTION("""COMPUTED_VALUE""")," PZA")</f>
        <v>PZA</v>
      </c>
      <c r="AQ489" s="71" t="str">
        <f>IFERROR(__xludf.DUMMYFUNCTION("""COMPUTED_VALUE""")," REF")</f>
        <v>REF</v>
      </c>
      <c r="AR489" s="71" t="str">
        <f>IFERROR(__xludf.DUMMYFUNCTION("""COMPUTED_VALUE""")," COLUMPIO MERIDA")</f>
        <v>COLUMPIO MERIDA</v>
      </c>
      <c r="AS489" s="71" t="str">
        <f>IFERROR(__xludf.DUMMYFUNCTION("""COMPUTED_VALUE""")," COLUMPIO MERIDA")</f>
        <v>COLUMPIO MERIDA</v>
      </c>
      <c r="AT489" s="71">
        <f>IFERROR(__xludf.DUMMYFUNCTION("""COMPUTED_VALUE"""),15.0)</f>
        <v>15</v>
      </c>
      <c r="AU489" s="71"/>
      <c r="AV489" s="71"/>
      <c r="AW489" s="71"/>
      <c r="AX489" s="71"/>
      <c r="AY489" s="71">
        <f>IFERROR(__xludf.DUMMYFUNCTION("""COMPUTED_VALUE"""),987.0)</f>
        <v>987</v>
      </c>
      <c r="AZ489" s="71">
        <f>IFERROR(__xludf.DUMMYFUNCTION("""COMPUTED_VALUE"""),1065.0)</f>
        <v>1065</v>
      </c>
      <c r="BA489" s="71">
        <f>IFERROR(__xludf.DUMMYFUNCTION("""COMPUTED_VALUE"""),1150.2)</f>
        <v>1150.2</v>
      </c>
      <c r="BB489" s="71">
        <f>IFERROR(__xludf.DUMMYFUNCTION("""COMPUTED_VALUE"""),1150.2)</f>
        <v>1150.2</v>
      </c>
      <c r="BC489" s="71">
        <f>IFERROR(__xludf.DUMMYFUNCTION("""COMPUTED_VALUE"""),1281.0)</f>
        <v>1281</v>
      </c>
      <c r="BD489" s="71">
        <f>IFERROR(__xludf.DUMMYFUNCTION("""COMPUTED_VALUE"""),1345.0)</f>
        <v>1345</v>
      </c>
      <c r="BE489" s="71">
        <f>IFERROR(__xludf.DUMMYFUNCTION("""COMPUTED_VALUE"""),215.20000000000002)</f>
        <v>215.2</v>
      </c>
      <c r="BF489" s="71">
        <f>IFERROR(__xludf.DUMMYFUNCTION("""COMPUTED_VALUE"""),1560.2)</f>
        <v>1560.2</v>
      </c>
      <c r="BG489" s="71">
        <f>IFERROR(__xludf.DUMMYFUNCTION("""COMPUTED_VALUE"""),0.04996096799375488)</f>
        <v>0.04996096799</v>
      </c>
      <c r="BH489" s="71">
        <f>IFERROR(__xludf.DUMMYFUNCTION("""COMPUTED_VALUE"""),1277.75)</f>
        <v>1277.75</v>
      </c>
      <c r="BI489" s="71">
        <f>IFERROR(__xludf.DUMMYFUNCTION("""COMPUTED_VALUE"""),204.44)</f>
        <v>204.44</v>
      </c>
      <c r="BJ489" s="71">
        <f>IFERROR(__xludf.DUMMYFUNCTION("""COMPUTED_VALUE"""),1482.19)</f>
        <v>1482.19</v>
      </c>
      <c r="BK489" s="71">
        <f>IFERROR(__xludf.DUMMYFUNCTION("""COMPUTED_VALUE"""),1210.5)</f>
        <v>1210.5</v>
      </c>
      <c r="BL489" s="71">
        <f>IFERROR(__xludf.DUMMYFUNCTION("""COMPUTED_VALUE"""),193.68)</f>
        <v>193.68</v>
      </c>
      <c r="BM489" s="71">
        <f>IFERROR(__xludf.DUMMYFUNCTION("""COMPUTED_VALUE"""),1404.18)</f>
        <v>1404.18</v>
      </c>
      <c r="BN489" s="71">
        <f>IFERROR(__xludf.DUMMYFUNCTION("""COMPUTED_VALUE"""),1143.25)</f>
        <v>1143.25</v>
      </c>
      <c r="BO489" s="71">
        <f>IFERROR(__xludf.DUMMYFUNCTION("""COMPUTED_VALUE"""),182.92000000000002)</f>
        <v>182.92</v>
      </c>
      <c r="BP489" s="71">
        <f>IFERROR(__xludf.DUMMYFUNCTION("""COMPUTED_VALUE"""),1326.17)</f>
        <v>1326.17</v>
      </c>
      <c r="BQ489" s="71">
        <f>IFERROR(__xludf.DUMMYFUNCTION("""COMPUTED_VALUE"""),1116.35)</f>
        <v>1116.35</v>
      </c>
      <c r="BR489" s="71">
        <f>IFERROR(__xludf.DUMMYFUNCTION("""COMPUTED_VALUE"""),178.61599999999999)</f>
        <v>178.616</v>
      </c>
      <c r="BS489" s="71">
        <f>IFERROR(__xludf.DUMMYFUNCTION("""COMPUTED_VALUE"""),1294.966)</f>
        <v>1294.966</v>
      </c>
      <c r="BT489" s="71">
        <f>IFERROR(__xludf.DUMMYFUNCTION("""COMPUTED_VALUE"""),1076.0)</f>
        <v>1076</v>
      </c>
      <c r="BU489" s="71">
        <f>IFERROR(__xludf.DUMMYFUNCTION("""COMPUTED_VALUE"""),172.16)</f>
        <v>172.16</v>
      </c>
      <c r="BV489" s="71">
        <f>IFERROR(__xludf.DUMMYFUNCTION("""COMPUTED_VALUE"""),1248.16)</f>
        <v>1248.16</v>
      </c>
    </row>
    <row r="490">
      <c r="A490" s="53">
        <v>1.0</v>
      </c>
      <c r="B490" s="72"/>
      <c r="C490" s="73" t="s">
        <v>12</v>
      </c>
      <c r="D490" s="74" t="s">
        <v>1238</v>
      </c>
      <c r="E490" s="54" t="s">
        <v>38</v>
      </c>
      <c r="F490" s="54" t="s">
        <v>42</v>
      </c>
      <c r="G490" s="54" t="s">
        <v>1239</v>
      </c>
      <c r="H490" s="54" t="s">
        <v>1239</v>
      </c>
      <c r="I490" s="54">
        <f t="shared" si="24"/>
        <v>11</v>
      </c>
      <c r="J490" s="56"/>
      <c r="K490" s="75"/>
      <c r="L490" s="76"/>
      <c r="M490" s="59"/>
      <c r="N490" s="60">
        <v>8.0</v>
      </c>
      <c r="O490" s="61">
        <v>8.0</v>
      </c>
      <c r="P490" s="62">
        <v>10.0</v>
      </c>
      <c r="Q490" s="63">
        <v>10.0</v>
      </c>
      <c r="R490" s="78">
        <v>10.0</v>
      </c>
      <c r="S490" s="111">
        <v>10.5</v>
      </c>
      <c r="T490" s="65">
        <f t="shared" si="2"/>
        <v>1.68</v>
      </c>
      <c r="U490" s="65">
        <f t="shared" si="3"/>
        <v>12.18</v>
      </c>
      <c r="V490" s="66">
        <f t="shared" si="4"/>
        <v>0.05</v>
      </c>
      <c r="W490" s="67">
        <f t="shared" si="5"/>
        <v>9.975</v>
      </c>
      <c r="X490" s="67">
        <f t="shared" si="6"/>
        <v>1.596</v>
      </c>
      <c r="Y490" s="67">
        <f t="shared" si="7"/>
        <v>11.571</v>
      </c>
      <c r="Z490" s="67">
        <f t="shared" si="8"/>
        <v>9.45</v>
      </c>
      <c r="AA490" s="67">
        <f t="shared" si="9"/>
        <v>1.512</v>
      </c>
      <c r="AB490" s="67">
        <f t="shared" si="10"/>
        <v>10.962</v>
      </c>
      <c r="AC490" s="67">
        <f t="shared" si="11"/>
        <v>8.925</v>
      </c>
      <c r="AD490" s="67">
        <f t="shared" si="12"/>
        <v>1.428</v>
      </c>
      <c r="AE490" s="67">
        <f t="shared" si="13"/>
        <v>10.353</v>
      </c>
      <c r="AF490" s="67">
        <f t="shared" si="14"/>
        <v>8.715</v>
      </c>
      <c r="AG490" s="67">
        <f t="shared" si="15"/>
        <v>1.3944</v>
      </c>
      <c r="AH490" s="67">
        <f t="shared" si="16"/>
        <v>10.1094</v>
      </c>
      <c r="AI490" s="67">
        <f t="shared" si="17"/>
        <v>8.4</v>
      </c>
      <c r="AJ490" s="68">
        <f t="shared" si="20"/>
        <v>1.344</v>
      </c>
      <c r="AK490" s="68">
        <f t="shared" si="21"/>
        <v>9.744</v>
      </c>
      <c r="AL490" s="70">
        <f>IFERROR(__xludf.DUMMYFUNCTION("""COMPUTED_VALUE"""),1.0)</f>
        <v>1</v>
      </c>
      <c r="AM490" s="70"/>
      <c r="AN490" s="71" t="str">
        <f>IFERROR(__xludf.DUMMYFUNCTION("""COMPUTED_VALUE""")," P")</f>
        <v>P</v>
      </c>
      <c r="AO490" s="71" t="str">
        <f>IFERROR(__xludf.DUMMYFUNCTION("""COMPUTED_VALUE""")," CU02")</f>
        <v>CU02</v>
      </c>
      <c r="AP490" s="71" t="str">
        <f>IFERROR(__xludf.DUMMYFUNCTION("""COMPUTED_VALUE""")," PZA")</f>
        <v>PZA</v>
      </c>
      <c r="AQ490" s="71" t="str">
        <f>IFERROR(__xludf.DUMMYFUNCTION("""COMPUTED_VALUE""")," REF")</f>
        <v>REF</v>
      </c>
      <c r="AR490" s="71" t="str">
        <f>IFERROR(__xludf.DUMMYFUNCTION("""COMPUTED_VALUE""")," COLUMPIO SENCILLO")</f>
        <v>COLUMPIO SENCILLO</v>
      </c>
      <c r="AS490" s="71" t="str">
        <f>IFERROR(__xludf.DUMMYFUNCTION("""COMPUTED_VALUE""")," COLUMPIO SENCILLO")</f>
        <v>COLUMPIO SENCILLO</v>
      </c>
      <c r="AT490" s="71">
        <f>IFERROR(__xludf.DUMMYFUNCTION("""COMPUTED_VALUE"""),17.0)</f>
        <v>17</v>
      </c>
      <c r="AU490" s="71"/>
      <c r="AV490" s="71"/>
      <c r="AW490" s="71"/>
      <c r="AX490" s="71"/>
      <c r="AY490" s="71">
        <f>IFERROR(__xludf.DUMMYFUNCTION("""COMPUTED_VALUE"""),806.0)</f>
        <v>806</v>
      </c>
      <c r="AZ490" s="71">
        <f>IFERROR(__xludf.DUMMYFUNCTION("""COMPUTED_VALUE"""),870.0)</f>
        <v>870</v>
      </c>
      <c r="BA490" s="71">
        <f>IFERROR(__xludf.DUMMYFUNCTION("""COMPUTED_VALUE"""),939.6)</f>
        <v>939.6</v>
      </c>
      <c r="BB490" s="71">
        <f>IFERROR(__xludf.DUMMYFUNCTION("""COMPUTED_VALUE"""),939.6)</f>
        <v>939.6</v>
      </c>
      <c r="BC490" s="71">
        <f>IFERROR(__xludf.DUMMYFUNCTION("""COMPUTED_VALUE"""),1046.0)</f>
        <v>1046</v>
      </c>
      <c r="BD490" s="71">
        <f>IFERROR(__xludf.DUMMYFUNCTION("""COMPUTED_VALUE"""),1098.0)</f>
        <v>1098</v>
      </c>
      <c r="BE490" s="71">
        <f>IFERROR(__xludf.DUMMYFUNCTION("""COMPUTED_VALUE"""),175.68)</f>
        <v>175.68</v>
      </c>
      <c r="BF490" s="71">
        <f>IFERROR(__xludf.DUMMYFUNCTION("""COMPUTED_VALUE"""),1273.68)</f>
        <v>1273.68</v>
      </c>
      <c r="BG490" s="71">
        <f>IFERROR(__xludf.DUMMYFUNCTION("""COMPUTED_VALUE"""),0.0497131931166348)</f>
        <v>0.04971319312</v>
      </c>
      <c r="BH490" s="71">
        <f>IFERROR(__xludf.DUMMYFUNCTION("""COMPUTED_VALUE"""),1043.1)</f>
        <v>1043.1</v>
      </c>
      <c r="BI490" s="71">
        <f>IFERROR(__xludf.DUMMYFUNCTION("""COMPUTED_VALUE"""),166.896)</f>
        <v>166.896</v>
      </c>
      <c r="BJ490" s="71">
        <f>IFERROR(__xludf.DUMMYFUNCTION("""COMPUTED_VALUE"""),1209.9959999999999)</f>
        <v>1209.996</v>
      </c>
      <c r="BK490" s="71">
        <f>IFERROR(__xludf.DUMMYFUNCTION("""COMPUTED_VALUE"""),988.2)</f>
        <v>988.2</v>
      </c>
      <c r="BL490" s="71">
        <f>IFERROR(__xludf.DUMMYFUNCTION("""COMPUTED_VALUE"""),158.11200000000002)</f>
        <v>158.112</v>
      </c>
      <c r="BM490" s="71">
        <f>IFERROR(__xludf.DUMMYFUNCTION("""COMPUTED_VALUE"""),1146.3120000000001)</f>
        <v>1146.312</v>
      </c>
      <c r="BN490" s="71">
        <f>IFERROR(__xludf.DUMMYFUNCTION("""COMPUTED_VALUE"""),933.3)</f>
        <v>933.3</v>
      </c>
      <c r="BO490" s="71">
        <f>IFERROR(__xludf.DUMMYFUNCTION("""COMPUTED_VALUE"""),149.328)</f>
        <v>149.328</v>
      </c>
      <c r="BP490" s="71">
        <f>IFERROR(__xludf.DUMMYFUNCTION("""COMPUTED_VALUE"""),1082.628)</f>
        <v>1082.628</v>
      </c>
      <c r="BQ490" s="71">
        <f>IFERROR(__xludf.DUMMYFUNCTION("""COMPUTED_VALUE"""),911.3399999999999)</f>
        <v>911.34</v>
      </c>
      <c r="BR490" s="71">
        <f>IFERROR(__xludf.DUMMYFUNCTION("""COMPUTED_VALUE"""),145.81439999999998)</f>
        <v>145.8144</v>
      </c>
      <c r="BS490" s="71">
        <f>IFERROR(__xludf.DUMMYFUNCTION("""COMPUTED_VALUE"""),1057.1544)</f>
        <v>1057.1544</v>
      </c>
      <c r="BT490" s="71">
        <f>IFERROR(__xludf.DUMMYFUNCTION("""COMPUTED_VALUE"""),878.4000000000001)</f>
        <v>878.4</v>
      </c>
      <c r="BU490" s="71">
        <f>IFERROR(__xludf.DUMMYFUNCTION("""COMPUTED_VALUE"""),140.544)</f>
        <v>140.544</v>
      </c>
      <c r="BV490" s="71">
        <f>IFERROR(__xludf.DUMMYFUNCTION("""COMPUTED_VALUE"""),1018.9440000000001)</f>
        <v>1018.944</v>
      </c>
    </row>
    <row r="491">
      <c r="A491" s="53">
        <v>1.0</v>
      </c>
      <c r="B491" s="72"/>
      <c r="C491" s="73" t="s">
        <v>12</v>
      </c>
      <c r="D491" s="74" t="s">
        <v>1240</v>
      </c>
      <c r="E491" s="54" t="s">
        <v>38</v>
      </c>
      <c r="F491" s="54" t="s">
        <v>42</v>
      </c>
      <c r="G491" s="54" t="s">
        <v>1241</v>
      </c>
      <c r="H491" s="54" t="s">
        <v>1241</v>
      </c>
      <c r="I491" s="54">
        <f t="shared" si="24"/>
        <v>11</v>
      </c>
      <c r="J491" s="56"/>
      <c r="K491" s="75"/>
      <c r="L491" s="76"/>
      <c r="M491" s="59"/>
      <c r="N491" s="60">
        <v>8.0</v>
      </c>
      <c r="O491" s="61">
        <v>8.0</v>
      </c>
      <c r="P491" s="62">
        <v>10.0</v>
      </c>
      <c r="Q491" s="63">
        <v>10.0</v>
      </c>
      <c r="R491" s="78">
        <v>10.0</v>
      </c>
      <c r="S491" s="111">
        <v>10.5</v>
      </c>
      <c r="T491" s="65">
        <f t="shared" si="2"/>
        <v>1.68</v>
      </c>
      <c r="U491" s="65">
        <f t="shared" si="3"/>
        <v>12.18</v>
      </c>
      <c r="V491" s="66">
        <f t="shared" si="4"/>
        <v>0.05</v>
      </c>
      <c r="W491" s="67">
        <f t="shared" si="5"/>
        <v>9.975</v>
      </c>
      <c r="X491" s="67">
        <f t="shared" si="6"/>
        <v>1.596</v>
      </c>
      <c r="Y491" s="67">
        <f t="shared" si="7"/>
        <v>11.571</v>
      </c>
      <c r="Z491" s="67">
        <f t="shared" si="8"/>
        <v>9.45</v>
      </c>
      <c r="AA491" s="67">
        <f t="shared" si="9"/>
        <v>1.512</v>
      </c>
      <c r="AB491" s="67">
        <f t="shared" si="10"/>
        <v>10.962</v>
      </c>
      <c r="AC491" s="67">
        <f t="shared" si="11"/>
        <v>8.925</v>
      </c>
      <c r="AD491" s="67">
        <f t="shared" si="12"/>
        <v>1.428</v>
      </c>
      <c r="AE491" s="67">
        <f t="shared" si="13"/>
        <v>10.353</v>
      </c>
      <c r="AF491" s="67">
        <f t="shared" si="14"/>
        <v>8.715</v>
      </c>
      <c r="AG491" s="67">
        <f t="shared" si="15"/>
        <v>1.3944</v>
      </c>
      <c r="AH491" s="67">
        <f t="shared" si="16"/>
        <v>10.1094</v>
      </c>
      <c r="AI491" s="67">
        <f t="shared" si="17"/>
        <v>8.4</v>
      </c>
      <c r="AJ491" s="68">
        <f t="shared" si="20"/>
        <v>1.344</v>
      </c>
      <c r="AK491" s="68">
        <f t="shared" si="21"/>
        <v>9.744</v>
      </c>
      <c r="AL491" s="70">
        <f>IFERROR(__xludf.DUMMYFUNCTION("""COMPUTED_VALUE"""),1.0)</f>
        <v>1</v>
      </c>
      <c r="AM491" s="70"/>
      <c r="AN491" s="71" t="str">
        <f>IFERROR(__xludf.DUMMYFUNCTION("""COMPUTED_VALUE""")," P")</f>
        <v>P</v>
      </c>
      <c r="AO491" s="71" t="str">
        <f>IFERROR(__xludf.DUMMYFUNCTION("""COMPUTED_VALUE""")," CY01")</f>
        <v>CY01</v>
      </c>
      <c r="AP491" s="71" t="str">
        <f>IFERROR(__xludf.DUMMYFUNCTION("""COMPUTED_VALUE""")," PZA")</f>
        <v>PZA</v>
      </c>
      <c r="AQ491" s="71" t="str">
        <f>IFERROR(__xludf.DUMMYFUNCTION("""COMPUTED_VALUE""")," REF")</f>
        <v>REF</v>
      </c>
      <c r="AR491" s="71" t="str">
        <f>IFERROR(__xludf.DUMMYFUNCTION("""COMPUTED_VALUE""")," COMPUERTA PARA VÁLVULA")</f>
        <v>COMPUERTA PARA VÁLVULA</v>
      </c>
      <c r="AS491" s="71" t="str">
        <f>IFERROR(__xludf.DUMMYFUNCTION("""COMPUTED_VALUE""")," COMPUERTA PARA VALVULA")</f>
        <v>COMPUERTA PARA VALVULA</v>
      </c>
      <c r="AT491" s="71">
        <f>IFERROR(__xludf.DUMMYFUNCTION("""COMPUTED_VALUE"""),22.0)</f>
        <v>22</v>
      </c>
      <c r="AU491" s="71"/>
      <c r="AV491" s="71"/>
      <c r="AW491" s="71"/>
      <c r="AX491" s="71"/>
      <c r="AY491" s="71">
        <f>IFERROR(__xludf.DUMMYFUNCTION("""COMPUTED_VALUE"""),20.0)</f>
        <v>20</v>
      </c>
      <c r="AZ491" s="71">
        <f>IFERROR(__xludf.DUMMYFUNCTION("""COMPUTED_VALUE"""),21.0)</f>
        <v>21</v>
      </c>
      <c r="BA491" s="71">
        <f>IFERROR(__xludf.DUMMYFUNCTION("""COMPUTED_VALUE"""),22.68)</f>
        <v>22.68</v>
      </c>
      <c r="BB491" s="71">
        <f>IFERROR(__xludf.DUMMYFUNCTION("""COMPUTED_VALUE"""),22.68)</f>
        <v>22.68</v>
      </c>
      <c r="BC491" s="71">
        <f>IFERROR(__xludf.DUMMYFUNCTION("""COMPUTED_VALUE"""),26.0)</f>
        <v>26</v>
      </c>
      <c r="BD491" s="71">
        <f>IFERROR(__xludf.DUMMYFUNCTION("""COMPUTED_VALUE"""),27.0)</f>
        <v>27</v>
      </c>
      <c r="BE491" s="71">
        <f>IFERROR(__xludf.DUMMYFUNCTION("""COMPUTED_VALUE"""),4.32)</f>
        <v>4.32</v>
      </c>
      <c r="BF491" s="71">
        <f>IFERROR(__xludf.DUMMYFUNCTION("""COMPUTED_VALUE"""),31.32)</f>
        <v>31.32</v>
      </c>
      <c r="BG491" s="71">
        <f>IFERROR(__xludf.DUMMYFUNCTION("""COMPUTED_VALUE"""),0.038461538461538464)</f>
        <v>0.03846153846</v>
      </c>
      <c r="BH491" s="71">
        <f>IFERROR(__xludf.DUMMYFUNCTION("""COMPUTED_VALUE"""),25.65)</f>
        <v>25.65</v>
      </c>
      <c r="BI491" s="71">
        <f>IFERROR(__xludf.DUMMYFUNCTION("""COMPUTED_VALUE"""),4.104)</f>
        <v>4.104</v>
      </c>
      <c r="BJ491" s="71">
        <f>IFERROR(__xludf.DUMMYFUNCTION("""COMPUTED_VALUE"""),29.753999999999998)</f>
        <v>29.754</v>
      </c>
      <c r="BK491" s="71">
        <f>IFERROR(__xludf.DUMMYFUNCTION("""COMPUTED_VALUE"""),24.3)</f>
        <v>24.3</v>
      </c>
      <c r="BL491" s="71">
        <f>IFERROR(__xludf.DUMMYFUNCTION("""COMPUTED_VALUE"""),3.8880000000000003)</f>
        <v>3.888</v>
      </c>
      <c r="BM491" s="71">
        <f>IFERROR(__xludf.DUMMYFUNCTION("""COMPUTED_VALUE"""),28.188000000000002)</f>
        <v>28.188</v>
      </c>
      <c r="BN491" s="71">
        <f>IFERROR(__xludf.DUMMYFUNCTION("""COMPUTED_VALUE"""),22.95)</f>
        <v>22.95</v>
      </c>
      <c r="BO491" s="71">
        <f>IFERROR(__xludf.DUMMYFUNCTION("""COMPUTED_VALUE"""),3.672)</f>
        <v>3.672</v>
      </c>
      <c r="BP491" s="71">
        <f>IFERROR(__xludf.DUMMYFUNCTION("""COMPUTED_VALUE"""),26.622)</f>
        <v>26.622</v>
      </c>
      <c r="BQ491" s="71">
        <f>IFERROR(__xludf.DUMMYFUNCTION("""COMPUTED_VALUE"""),22.41)</f>
        <v>22.41</v>
      </c>
      <c r="BR491" s="71">
        <f>IFERROR(__xludf.DUMMYFUNCTION("""COMPUTED_VALUE"""),3.5856)</f>
        <v>3.5856</v>
      </c>
      <c r="BS491" s="71">
        <f>IFERROR(__xludf.DUMMYFUNCTION("""COMPUTED_VALUE"""),25.9956)</f>
        <v>25.9956</v>
      </c>
      <c r="BT491" s="71">
        <f>IFERROR(__xludf.DUMMYFUNCTION("""COMPUTED_VALUE"""),21.6)</f>
        <v>21.6</v>
      </c>
      <c r="BU491" s="71">
        <f>IFERROR(__xludf.DUMMYFUNCTION("""COMPUTED_VALUE"""),3.4560000000000004)</f>
        <v>3.456</v>
      </c>
      <c r="BV491" s="71">
        <f>IFERROR(__xludf.DUMMYFUNCTION("""COMPUTED_VALUE"""),25.056)</f>
        <v>25.056</v>
      </c>
    </row>
    <row r="492">
      <c r="A492" s="53">
        <v>1.0</v>
      </c>
      <c r="B492" s="72"/>
      <c r="C492" s="73" t="s">
        <v>12</v>
      </c>
      <c r="D492" s="74" t="s">
        <v>1242</v>
      </c>
      <c r="E492" s="54" t="s">
        <v>38</v>
      </c>
      <c r="F492" s="54" t="s">
        <v>42</v>
      </c>
      <c r="G492" s="54" t="s">
        <v>1243</v>
      </c>
      <c r="H492" s="54" t="s">
        <v>1243</v>
      </c>
      <c r="I492" s="54">
        <f t="shared" si="24"/>
        <v>11</v>
      </c>
      <c r="J492" s="56"/>
      <c r="K492" s="75"/>
      <c r="L492" s="76"/>
      <c r="M492" s="59"/>
      <c r="N492" s="60">
        <v>10.0</v>
      </c>
      <c r="O492" s="61">
        <v>10.0</v>
      </c>
      <c r="P492" s="62">
        <v>10.0</v>
      </c>
      <c r="Q492" s="63">
        <v>10.0</v>
      </c>
      <c r="R492" s="64">
        <v>13.0</v>
      </c>
      <c r="S492" s="111">
        <v>13.65</v>
      </c>
      <c r="T492" s="65">
        <f t="shared" si="2"/>
        <v>2.184</v>
      </c>
      <c r="U492" s="65">
        <f t="shared" si="3"/>
        <v>15.834</v>
      </c>
      <c r="V492" s="66">
        <f t="shared" si="4"/>
        <v>0.05</v>
      </c>
      <c r="W492" s="67">
        <f t="shared" si="5"/>
        <v>12.9675</v>
      </c>
      <c r="X492" s="67">
        <f t="shared" si="6"/>
        <v>2.0748</v>
      </c>
      <c r="Y492" s="67">
        <f t="shared" si="7"/>
        <v>15.0423</v>
      </c>
      <c r="Z492" s="67">
        <f t="shared" si="8"/>
        <v>12.285</v>
      </c>
      <c r="AA492" s="67">
        <f t="shared" si="9"/>
        <v>1.9656</v>
      </c>
      <c r="AB492" s="67">
        <f t="shared" si="10"/>
        <v>14.2506</v>
      </c>
      <c r="AC492" s="67">
        <f t="shared" si="11"/>
        <v>11.6025</v>
      </c>
      <c r="AD492" s="67">
        <f t="shared" si="12"/>
        <v>1.8564</v>
      </c>
      <c r="AE492" s="67">
        <f t="shared" si="13"/>
        <v>13.4589</v>
      </c>
      <c r="AF492" s="67">
        <f t="shared" si="14"/>
        <v>11.3295</v>
      </c>
      <c r="AG492" s="67">
        <f t="shared" si="15"/>
        <v>1.81272</v>
      </c>
      <c r="AH492" s="67">
        <f t="shared" si="16"/>
        <v>13.14222</v>
      </c>
      <c r="AI492" s="67">
        <f t="shared" si="17"/>
        <v>10.92</v>
      </c>
      <c r="AJ492" s="68">
        <f t="shared" si="20"/>
        <v>1.7472</v>
      </c>
      <c r="AK492" s="68">
        <f t="shared" si="21"/>
        <v>12.6672</v>
      </c>
      <c r="AL492" s="70">
        <f>IFERROR(__xludf.DUMMYFUNCTION("""COMPUTED_VALUE"""),1.0)</f>
        <v>1</v>
      </c>
      <c r="AM492" s="70"/>
      <c r="AN492" s="71" t="str">
        <f>IFERROR(__xludf.DUMMYFUNCTION("""COMPUTED_VALUE""")," P")</f>
        <v>P</v>
      </c>
      <c r="AO492" s="71" t="str">
        <f>IFERROR(__xludf.DUMMYFUNCTION("""COMPUTED_VALUE""")," CQ01")</f>
        <v>CQ01</v>
      </c>
      <c r="AP492" s="71" t="str">
        <f>IFERROR(__xludf.DUMMYFUNCTION("""COMPUTED_VALUE""")," PZA")</f>
        <v>PZA</v>
      </c>
      <c r="AQ492" s="71" t="str">
        <f>IFERROR(__xludf.DUMMYFUNCTION("""COMPUTED_VALUE""")," REF")</f>
        <v>REF</v>
      </c>
      <c r="AR492" s="71" t="str">
        <f>IFERROR(__xludf.DUMMYFUNCTION("""COMPUTED_VALUE""")," CONDUCTO ARMADO MODELO ANTERIOR")</f>
        <v>CONDUCTO ARMADO MODELO ANTERIOR</v>
      </c>
      <c r="AS492" s="71" t="str">
        <f>IFERROR(__xludf.DUMMYFUNCTION("""COMPUTED_VALUE""")," CONDUCTO ARMADO MODELO ANTERIOR")</f>
        <v>CONDUCTO ARMADO MODELO ANTERIOR</v>
      </c>
      <c r="AT492" s="71">
        <f>IFERROR(__xludf.DUMMYFUNCTION("""COMPUTED_VALUE"""),31.0)</f>
        <v>31</v>
      </c>
      <c r="AU492" s="71"/>
      <c r="AV492" s="71"/>
      <c r="AW492" s="71"/>
      <c r="AX492" s="71"/>
      <c r="AY492" s="71">
        <f>IFERROR(__xludf.DUMMYFUNCTION("""COMPUTED_VALUE"""),328.0)</f>
        <v>328</v>
      </c>
      <c r="AZ492" s="71">
        <f>IFERROR(__xludf.DUMMYFUNCTION("""COMPUTED_VALUE"""),354.0)</f>
        <v>354</v>
      </c>
      <c r="BA492" s="71">
        <f>IFERROR(__xludf.DUMMYFUNCTION("""COMPUTED_VALUE"""),382.32000000000005)</f>
        <v>382.32</v>
      </c>
      <c r="BB492" s="71">
        <f>IFERROR(__xludf.DUMMYFUNCTION("""COMPUTED_VALUE"""),382.32000000000005)</f>
        <v>382.32</v>
      </c>
      <c r="BC492" s="71">
        <f>IFERROR(__xludf.DUMMYFUNCTION("""COMPUTED_VALUE"""),427.0)</f>
        <v>427</v>
      </c>
      <c r="BD492" s="71">
        <f>IFERROR(__xludf.DUMMYFUNCTION("""COMPUTED_VALUE"""),448.0)</f>
        <v>448</v>
      </c>
      <c r="BE492" s="71">
        <f>IFERROR(__xludf.DUMMYFUNCTION("""COMPUTED_VALUE"""),71.68)</f>
        <v>71.68</v>
      </c>
      <c r="BF492" s="71">
        <f>IFERROR(__xludf.DUMMYFUNCTION("""COMPUTED_VALUE"""),519.6800000000001)</f>
        <v>519.68</v>
      </c>
      <c r="BG492" s="71">
        <f>IFERROR(__xludf.DUMMYFUNCTION("""COMPUTED_VALUE"""),0.04918032786885246)</f>
        <v>0.04918032787</v>
      </c>
      <c r="BH492" s="71">
        <f>IFERROR(__xludf.DUMMYFUNCTION("""COMPUTED_VALUE"""),425.59999999999997)</f>
        <v>425.6</v>
      </c>
      <c r="BI492" s="71">
        <f>IFERROR(__xludf.DUMMYFUNCTION("""COMPUTED_VALUE"""),68.09599999999999)</f>
        <v>68.096</v>
      </c>
      <c r="BJ492" s="71">
        <f>IFERROR(__xludf.DUMMYFUNCTION("""COMPUTED_VALUE"""),493.69599999999997)</f>
        <v>493.696</v>
      </c>
      <c r="BK492" s="71">
        <f>IFERROR(__xludf.DUMMYFUNCTION("""COMPUTED_VALUE"""),403.2)</f>
        <v>403.2</v>
      </c>
      <c r="BL492" s="71">
        <f>IFERROR(__xludf.DUMMYFUNCTION("""COMPUTED_VALUE"""),64.512)</f>
        <v>64.512</v>
      </c>
      <c r="BM492" s="71">
        <f>IFERROR(__xludf.DUMMYFUNCTION("""COMPUTED_VALUE"""),467.712)</f>
        <v>467.712</v>
      </c>
      <c r="BN492" s="71">
        <f>IFERROR(__xludf.DUMMYFUNCTION("""COMPUTED_VALUE"""),380.8)</f>
        <v>380.8</v>
      </c>
      <c r="BO492" s="71">
        <f>IFERROR(__xludf.DUMMYFUNCTION("""COMPUTED_VALUE"""),60.928000000000004)</f>
        <v>60.928</v>
      </c>
      <c r="BP492" s="71">
        <f>IFERROR(__xludf.DUMMYFUNCTION("""COMPUTED_VALUE"""),441.728)</f>
        <v>441.728</v>
      </c>
      <c r="BQ492" s="71">
        <f>IFERROR(__xludf.DUMMYFUNCTION("""COMPUTED_VALUE"""),371.84)</f>
        <v>371.84</v>
      </c>
      <c r="BR492" s="71">
        <f>IFERROR(__xludf.DUMMYFUNCTION("""COMPUTED_VALUE"""),59.4944)</f>
        <v>59.4944</v>
      </c>
      <c r="BS492" s="71">
        <f>IFERROR(__xludf.DUMMYFUNCTION("""COMPUTED_VALUE"""),431.33439999999996)</f>
        <v>431.3344</v>
      </c>
      <c r="BT492" s="71">
        <f>IFERROR(__xludf.DUMMYFUNCTION("""COMPUTED_VALUE"""),358.40000000000003)</f>
        <v>358.4</v>
      </c>
      <c r="BU492" s="71">
        <f>IFERROR(__xludf.DUMMYFUNCTION("""COMPUTED_VALUE"""),57.34400000000001)</f>
        <v>57.344</v>
      </c>
      <c r="BV492" s="71">
        <f>IFERROR(__xludf.DUMMYFUNCTION("""COMPUTED_VALUE"""),415.744)</f>
        <v>415.744</v>
      </c>
    </row>
    <row r="493">
      <c r="A493" s="53">
        <v>1.0</v>
      </c>
      <c r="B493" s="72"/>
      <c r="C493" s="73" t="s">
        <v>12</v>
      </c>
      <c r="D493" s="74" t="s">
        <v>1244</v>
      </c>
      <c r="E493" s="54" t="s">
        <v>38</v>
      </c>
      <c r="F493" s="54" t="s">
        <v>42</v>
      </c>
      <c r="G493" s="88" t="s">
        <v>1245</v>
      </c>
      <c r="H493" s="54" t="s">
        <v>1246</v>
      </c>
      <c r="I493" s="54">
        <f t="shared" si="24"/>
        <v>30</v>
      </c>
      <c r="J493" s="56"/>
      <c r="K493" s="75"/>
      <c r="L493" s="76"/>
      <c r="M493" s="59"/>
      <c r="N493" s="60">
        <v>10.0</v>
      </c>
      <c r="O493" s="61">
        <v>10.0</v>
      </c>
      <c r="P493" s="62">
        <v>10.8</v>
      </c>
      <c r="Q493" s="63">
        <v>10.8</v>
      </c>
      <c r="R493" s="64">
        <v>13.0</v>
      </c>
      <c r="S493" s="111">
        <v>13.65</v>
      </c>
      <c r="T493" s="65">
        <f t="shared" si="2"/>
        <v>2.184</v>
      </c>
      <c r="U493" s="65">
        <f t="shared" si="3"/>
        <v>15.834</v>
      </c>
      <c r="V493" s="66">
        <f t="shared" si="4"/>
        <v>0.05</v>
      </c>
      <c r="W493" s="67">
        <f t="shared" si="5"/>
        <v>12.9675</v>
      </c>
      <c r="X493" s="67">
        <f t="shared" si="6"/>
        <v>2.0748</v>
      </c>
      <c r="Y493" s="67">
        <f t="shared" si="7"/>
        <v>15.0423</v>
      </c>
      <c r="Z493" s="67">
        <f t="shared" si="8"/>
        <v>12.285</v>
      </c>
      <c r="AA493" s="67">
        <f t="shared" si="9"/>
        <v>1.9656</v>
      </c>
      <c r="AB493" s="67">
        <f t="shared" si="10"/>
        <v>14.2506</v>
      </c>
      <c r="AC493" s="67">
        <f t="shared" si="11"/>
        <v>11.6025</v>
      </c>
      <c r="AD493" s="67">
        <f t="shared" si="12"/>
        <v>1.8564</v>
      </c>
      <c r="AE493" s="67">
        <f t="shared" si="13"/>
        <v>13.4589</v>
      </c>
      <c r="AF493" s="67">
        <f t="shared" si="14"/>
        <v>11.3295</v>
      </c>
      <c r="AG493" s="67">
        <f t="shared" si="15"/>
        <v>1.81272</v>
      </c>
      <c r="AH493" s="67">
        <f t="shared" si="16"/>
        <v>13.14222</v>
      </c>
      <c r="AI493" s="67">
        <f t="shared" si="17"/>
        <v>10.92</v>
      </c>
      <c r="AJ493" s="68">
        <f t="shared" si="20"/>
        <v>1.7472</v>
      </c>
      <c r="AK493" s="68">
        <f t="shared" si="21"/>
        <v>12.6672</v>
      </c>
      <c r="AL493" s="70">
        <f>IFERROR(__xludf.DUMMYFUNCTION("""COMPUTED_VALUE"""),1.0)</f>
        <v>1</v>
      </c>
      <c r="AM493" s="70"/>
      <c r="AN493" s="71" t="str">
        <f>IFERROR(__xludf.DUMMYFUNCTION("""COMPUTED_VALUE""")," P")</f>
        <v>P</v>
      </c>
      <c r="AO493" s="71" t="str">
        <f>IFERROR(__xludf.DUMMYFUNCTION("""COMPUTED_VALUE""")," CQ02")</f>
        <v>CQ02</v>
      </c>
      <c r="AP493" s="71" t="str">
        <f>IFERROR(__xludf.DUMMYFUNCTION("""COMPUTED_VALUE""")," PZA")</f>
        <v>PZA</v>
      </c>
      <c r="AQ493" s="71" t="str">
        <f>IFERROR(__xludf.DUMMYFUNCTION("""COMPUTED_VALUE""")," REF")</f>
        <v>REF</v>
      </c>
      <c r="AR493" s="71" t="str">
        <f>IFERROR(__xludf.DUMMYFUNCTION("""COMPUTED_VALUE""")," CONDUCTO ARMADO TV-50 (B.C.),TV-30 TV-40")</f>
        <v>CONDUCTO ARMADO TV-50 (B.C.),TV-30 TV-40</v>
      </c>
      <c r="AS493" s="71" t="str">
        <f>IFERROR(__xludf.DUMMYFUNCTION("""COMPUTED_VALUE""")," CONDUCTO ARMADO TV-50 BC,TV-30 TV-40")</f>
        <v>CONDUCTO ARMADO TV-50 BC,TV-30 TV-40</v>
      </c>
      <c r="AT493" s="71">
        <f>IFERROR(__xludf.DUMMYFUNCTION("""COMPUTED_VALUE"""),36.0)</f>
        <v>36</v>
      </c>
      <c r="AU493" s="71"/>
      <c r="AV493" s="71"/>
      <c r="AW493" s="71"/>
      <c r="AX493" s="71"/>
      <c r="AY493" s="71">
        <f>IFERROR(__xludf.DUMMYFUNCTION("""COMPUTED_VALUE"""),412.0)</f>
        <v>412</v>
      </c>
      <c r="AZ493" s="71">
        <f>IFERROR(__xludf.DUMMYFUNCTION("""COMPUTED_VALUE"""),444.0)</f>
        <v>444</v>
      </c>
      <c r="BA493" s="71">
        <f>IFERROR(__xludf.DUMMYFUNCTION("""COMPUTED_VALUE"""),479.52000000000004)</f>
        <v>479.52</v>
      </c>
      <c r="BB493" s="71">
        <f>IFERROR(__xludf.DUMMYFUNCTION("""COMPUTED_VALUE"""),479.52000000000004)</f>
        <v>479.52</v>
      </c>
      <c r="BC493" s="71">
        <f>IFERROR(__xludf.DUMMYFUNCTION("""COMPUTED_VALUE"""),535.0)</f>
        <v>535</v>
      </c>
      <c r="BD493" s="71">
        <f>IFERROR(__xludf.DUMMYFUNCTION("""COMPUTED_VALUE"""),562.0)</f>
        <v>562</v>
      </c>
      <c r="BE493" s="71">
        <f>IFERROR(__xludf.DUMMYFUNCTION("""COMPUTED_VALUE"""),89.92)</f>
        <v>89.92</v>
      </c>
      <c r="BF493" s="71">
        <f>IFERROR(__xludf.DUMMYFUNCTION("""COMPUTED_VALUE"""),651.92)</f>
        <v>651.92</v>
      </c>
      <c r="BG493" s="71">
        <f>IFERROR(__xludf.DUMMYFUNCTION("""COMPUTED_VALUE"""),0.05046728971962617)</f>
        <v>0.05046728972</v>
      </c>
      <c r="BH493" s="71">
        <f>IFERROR(__xludf.DUMMYFUNCTION("""COMPUTED_VALUE"""),533.9)</f>
        <v>533.9</v>
      </c>
      <c r="BI493" s="71">
        <f>IFERROR(__xludf.DUMMYFUNCTION("""COMPUTED_VALUE"""),85.42399999999999)</f>
        <v>85.424</v>
      </c>
      <c r="BJ493" s="71">
        <f>IFERROR(__xludf.DUMMYFUNCTION("""COMPUTED_VALUE"""),619.324)</f>
        <v>619.324</v>
      </c>
      <c r="BK493" s="71">
        <f>IFERROR(__xludf.DUMMYFUNCTION("""COMPUTED_VALUE"""),505.8)</f>
        <v>505.8</v>
      </c>
      <c r="BL493" s="71">
        <f>IFERROR(__xludf.DUMMYFUNCTION("""COMPUTED_VALUE"""),80.928)</f>
        <v>80.928</v>
      </c>
      <c r="BM493" s="71">
        <f>IFERROR(__xludf.DUMMYFUNCTION("""COMPUTED_VALUE"""),586.7280000000001)</f>
        <v>586.728</v>
      </c>
      <c r="BN493" s="71">
        <f>IFERROR(__xludf.DUMMYFUNCTION("""COMPUTED_VALUE"""),477.7)</f>
        <v>477.7</v>
      </c>
      <c r="BO493" s="71">
        <f>IFERROR(__xludf.DUMMYFUNCTION("""COMPUTED_VALUE"""),76.432)</f>
        <v>76.432</v>
      </c>
      <c r="BP493" s="71">
        <f>IFERROR(__xludf.DUMMYFUNCTION("""COMPUTED_VALUE"""),554.132)</f>
        <v>554.132</v>
      </c>
      <c r="BQ493" s="71">
        <f>IFERROR(__xludf.DUMMYFUNCTION("""COMPUTED_VALUE"""),466.46)</f>
        <v>466.46</v>
      </c>
      <c r="BR493" s="71">
        <f>IFERROR(__xludf.DUMMYFUNCTION("""COMPUTED_VALUE"""),74.6336)</f>
        <v>74.6336</v>
      </c>
      <c r="BS493" s="71">
        <f>IFERROR(__xludf.DUMMYFUNCTION("""COMPUTED_VALUE"""),541.0935999999999)</f>
        <v>541.0936</v>
      </c>
      <c r="BT493" s="71">
        <f>IFERROR(__xludf.DUMMYFUNCTION("""COMPUTED_VALUE"""),449.6)</f>
        <v>449.6</v>
      </c>
      <c r="BU493" s="71">
        <f>IFERROR(__xludf.DUMMYFUNCTION("""COMPUTED_VALUE"""),71.936)</f>
        <v>71.936</v>
      </c>
      <c r="BV493" s="71">
        <f>IFERROR(__xludf.DUMMYFUNCTION("""COMPUTED_VALUE"""),521.5360000000001)</f>
        <v>521.536</v>
      </c>
    </row>
    <row r="494">
      <c r="A494" s="53"/>
      <c r="B494" s="53"/>
      <c r="C494" s="53" t="s">
        <v>12</v>
      </c>
      <c r="D494" s="53" t="s">
        <v>1247</v>
      </c>
      <c r="E494" s="54" t="s">
        <v>38</v>
      </c>
      <c r="F494" s="54" t="s">
        <v>42</v>
      </c>
      <c r="G494" s="54" t="s">
        <v>1248</v>
      </c>
      <c r="H494" s="54" t="s">
        <v>1248</v>
      </c>
      <c r="I494" s="54">
        <f t="shared" si="24"/>
        <v>25</v>
      </c>
      <c r="J494" s="56"/>
      <c r="K494" s="75"/>
      <c r="L494" s="77" t="s">
        <v>1249</v>
      </c>
      <c r="M494" s="59"/>
      <c r="N494" s="79">
        <v>13.0</v>
      </c>
      <c r="O494" s="61">
        <v>14.0</v>
      </c>
      <c r="P494" s="62">
        <v>96.12</v>
      </c>
      <c r="Q494" s="63">
        <v>96.12</v>
      </c>
      <c r="R494" s="64">
        <v>101.0</v>
      </c>
      <c r="S494" s="111">
        <v>106.0</v>
      </c>
      <c r="T494" s="65">
        <f t="shared" si="2"/>
        <v>16.96</v>
      </c>
      <c r="U494" s="65">
        <f t="shared" si="3"/>
        <v>122.96</v>
      </c>
      <c r="V494" s="66">
        <f t="shared" si="4"/>
        <v>0.0495049505</v>
      </c>
      <c r="W494" s="67">
        <f t="shared" si="5"/>
        <v>100.7</v>
      </c>
      <c r="X494" s="67">
        <f t="shared" si="6"/>
        <v>16.112</v>
      </c>
      <c r="Y494" s="67">
        <f t="shared" si="7"/>
        <v>116.812</v>
      </c>
      <c r="Z494" s="67">
        <f t="shared" si="8"/>
        <v>95.4</v>
      </c>
      <c r="AA494" s="67">
        <f t="shared" si="9"/>
        <v>15.264</v>
      </c>
      <c r="AB494" s="67">
        <f t="shared" si="10"/>
        <v>110.664</v>
      </c>
      <c r="AC494" s="67">
        <f t="shared" si="11"/>
        <v>90.1</v>
      </c>
      <c r="AD494" s="67">
        <f t="shared" si="12"/>
        <v>14.416</v>
      </c>
      <c r="AE494" s="67">
        <f t="shared" si="13"/>
        <v>104.516</v>
      </c>
      <c r="AF494" s="67">
        <f t="shared" si="14"/>
        <v>87.98</v>
      </c>
      <c r="AG494" s="67">
        <f t="shared" si="15"/>
        <v>14.0768</v>
      </c>
      <c r="AH494" s="67">
        <f t="shared" si="16"/>
        <v>102.0568</v>
      </c>
      <c r="AI494" s="67">
        <f t="shared" si="17"/>
        <v>84.8</v>
      </c>
      <c r="AJ494" s="68">
        <f t="shared" si="20"/>
        <v>13.568</v>
      </c>
      <c r="AK494" s="68">
        <f t="shared" si="21"/>
        <v>98.368</v>
      </c>
      <c r="AL494" s="136">
        <f>IFERROR(__xludf.DUMMYFUNCTION("""COMPUTED_VALUE"""),1.0)</f>
        <v>1</v>
      </c>
      <c r="AM494" s="136"/>
      <c r="AN494" s="137" t="str">
        <f>IFERROR(__xludf.DUMMYFUNCTION("""COMPUTED_VALUE""")," P")</f>
        <v>P</v>
      </c>
      <c r="AO494" s="137" t="str">
        <f>IFERROR(__xludf.DUMMYFUNCTION("""COMPUTED_VALUE""")," CQ03")</f>
        <v>CQ03</v>
      </c>
      <c r="AP494" s="137" t="str">
        <f>IFERROR(__xludf.DUMMYFUNCTION("""COMPUTED_VALUE""")," PZA")</f>
        <v>PZA</v>
      </c>
      <c r="AQ494" s="137" t="str">
        <f>IFERROR(__xludf.DUMMYFUNCTION("""COMPUTED_VALUE""")," REF")</f>
        <v>REF</v>
      </c>
      <c r="AR494" s="137" t="str">
        <f>IFERROR(__xludf.DUMMYFUNCTION("""COMPUTED_VALUE""")," CONDUCTO SOLO MODELO ANTERIOR")</f>
        <v>CONDUCTO SOLO MODELO ANTERIOR</v>
      </c>
      <c r="AS494" s="137" t="str">
        <f>IFERROR(__xludf.DUMMYFUNCTION("""COMPUTED_VALUE""")," CONDUCTO SOLO MODELO ANTERIOR")</f>
        <v>CONDUCTO SOLO MODELO ANTERIOR</v>
      </c>
      <c r="AT494" s="137">
        <f>IFERROR(__xludf.DUMMYFUNCTION("""COMPUTED_VALUE"""),29.0)</f>
        <v>29</v>
      </c>
      <c r="AU494" s="137"/>
      <c r="AV494" s="137"/>
      <c r="AW494" s="137"/>
      <c r="AX494" s="137"/>
      <c r="AY494" s="137">
        <f>IFERROR(__xludf.DUMMYFUNCTION("""COMPUTED_VALUE"""),279.0)</f>
        <v>279</v>
      </c>
      <c r="AZ494" s="137">
        <f>IFERROR(__xludf.DUMMYFUNCTION("""COMPUTED_VALUE"""),301.0)</f>
        <v>301</v>
      </c>
      <c r="BA494" s="137">
        <f>IFERROR(__xludf.DUMMYFUNCTION("""COMPUTED_VALUE"""),325.08000000000004)</f>
        <v>325.08</v>
      </c>
      <c r="BB494" s="137">
        <f>IFERROR(__xludf.DUMMYFUNCTION("""COMPUTED_VALUE"""),325.08000000000004)</f>
        <v>325.08</v>
      </c>
      <c r="BC494" s="137">
        <f>IFERROR(__xludf.DUMMYFUNCTION("""COMPUTED_VALUE"""),363.0)</f>
        <v>363</v>
      </c>
      <c r="BD494" s="137">
        <f>IFERROR(__xludf.DUMMYFUNCTION("""COMPUTED_VALUE"""),381.0)</f>
        <v>381</v>
      </c>
      <c r="BE494" s="137">
        <f>IFERROR(__xludf.DUMMYFUNCTION("""COMPUTED_VALUE"""),60.96)</f>
        <v>60.96</v>
      </c>
      <c r="BF494" s="137">
        <f>IFERROR(__xludf.DUMMYFUNCTION("""COMPUTED_VALUE"""),441.96)</f>
        <v>441.96</v>
      </c>
      <c r="BG494" s="137">
        <f>IFERROR(__xludf.DUMMYFUNCTION("""COMPUTED_VALUE"""),0.049586776859504134)</f>
        <v>0.04958677686</v>
      </c>
      <c r="BH494" s="137">
        <f>IFERROR(__xludf.DUMMYFUNCTION("""COMPUTED_VALUE"""),361.95)</f>
        <v>361.95</v>
      </c>
      <c r="BI494" s="137">
        <f>IFERROR(__xludf.DUMMYFUNCTION("""COMPUTED_VALUE"""),57.912)</f>
        <v>57.912</v>
      </c>
      <c r="BJ494" s="137">
        <f>IFERROR(__xludf.DUMMYFUNCTION("""COMPUTED_VALUE"""),419.86199999999997)</f>
        <v>419.862</v>
      </c>
      <c r="BK494" s="137">
        <f>IFERROR(__xludf.DUMMYFUNCTION("""COMPUTED_VALUE"""),342.90000000000003)</f>
        <v>342.9</v>
      </c>
      <c r="BL494" s="137">
        <f>IFERROR(__xludf.DUMMYFUNCTION("""COMPUTED_VALUE"""),54.864000000000004)</f>
        <v>54.864</v>
      </c>
      <c r="BM494" s="137">
        <f>IFERROR(__xludf.DUMMYFUNCTION("""COMPUTED_VALUE"""),397.764)</f>
        <v>397.764</v>
      </c>
      <c r="BN494" s="137">
        <f>IFERROR(__xludf.DUMMYFUNCTION("""COMPUTED_VALUE"""),323.84999999999997)</f>
        <v>323.85</v>
      </c>
      <c r="BO494" s="137">
        <f>IFERROR(__xludf.DUMMYFUNCTION("""COMPUTED_VALUE"""),51.815999999999995)</f>
        <v>51.816</v>
      </c>
      <c r="BP494" s="137">
        <f>IFERROR(__xludf.DUMMYFUNCTION("""COMPUTED_VALUE"""),375.66599999999994)</f>
        <v>375.666</v>
      </c>
      <c r="BQ494" s="137">
        <f>IFERROR(__xludf.DUMMYFUNCTION("""COMPUTED_VALUE"""),316.22999999999996)</f>
        <v>316.23</v>
      </c>
      <c r="BR494" s="137">
        <f>IFERROR(__xludf.DUMMYFUNCTION("""COMPUTED_VALUE"""),50.596799999999995)</f>
        <v>50.5968</v>
      </c>
      <c r="BS494" s="137">
        <f>IFERROR(__xludf.DUMMYFUNCTION("""COMPUTED_VALUE"""),366.82679999999993)</f>
        <v>366.8268</v>
      </c>
      <c r="BT494" s="137">
        <f>IFERROR(__xludf.DUMMYFUNCTION("""COMPUTED_VALUE"""),304.8)</f>
        <v>304.8</v>
      </c>
      <c r="BU494" s="137">
        <f>IFERROR(__xludf.DUMMYFUNCTION("""COMPUTED_VALUE"""),48.768)</f>
        <v>48.768</v>
      </c>
      <c r="BV494" s="137">
        <f>IFERROR(__xludf.DUMMYFUNCTION("""COMPUTED_VALUE"""),353.568)</f>
        <v>353.568</v>
      </c>
    </row>
    <row r="495">
      <c r="A495" s="53">
        <v>1.0</v>
      </c>
      <c r="B495" s="53"/>
      <c r="C495" s="53" t="s">
        <v>53</v>
      </c>
      <c r="D495" s="53" t="s">
        <v>1250</v>
      </c>
      <c r="E495" s="86" t="s">
        <v>38</v>
      </c>
      <c r="F495" s="91" t="s">
        <v>42</v>
      </c>
      <c r="G495" s="84" t="s">
        <v>1251</v>
      </c>
      <c r="H495" s="84" t="s">
        <v>1251</v>
      </c>
      <c r="I495" s="54">
        <f t="shared" si="24"/>
        <v>18</v>
      </c>
      <c r="J495" s="56"/>
      <c r="K495" s="57"/>
      <c r="L495" s="76"/>
      <c r="M495" s="59"/>
      <c r="N495" s="60"/>
      <c r="O495" s="90"/>
      <c r="P495" s="62">
        <v>78.0</v>
      </c>
      <c r="Q495" s="63">
        <v>78.0</v>
      </c>
      <c r="R495" s="64">
        <v>82.0</v>
      </c>
      <c r="S495" s="111">
        <v>86.0</v>
      </c>
      <c r="T495" s="65">
        <f t="shared" si="2"/>
        <v>13.76</v>
      </c>
      <c r="U495" s="65">
        <f t="shared" si="3"/>
        <v>99.76</v>
      </c>
      <c r="V495" s="66">
        <f t="shared" si="4"/>
        <v>0.0487804878</v>
      </c>
      <c r="W495" s="67">
        <f t="shared" si="5"/>
        <v>81.7</v>
      </c>
      <c r="X495" s="67">
        <f t="shared" si="6"/>
        <v>13.072</v>
      </c>
      <c r="Y495" s="67">
        <f t="shared" si="7"/>
        <v>94.772</v>
      </c>
      <c r="Z495" s="67">
        <f t="shared" si="8"/>
        <v>77.4</v>
      </c>
      <c r="AA495" s="67">
        <f t="shared" si="9"/>
        <v>12.384</v>
      </c>
      <c r="AB495" s="67">
        <f t="shared" si="10"/>
        <v>89.784</v>
      </c>
      <c r="AC495" s="67">
        <f t="shared" si="11"/>
        <v>73.1</v>
      </c>
      <c r="AD495" s="67">
        <f t="shared" si="12"/>
        <v>11.696</v>
      </c>
      <c r="AE495" s="67">
        <f t="shared" si="13"/>
        <v>84.796</v>
      </c>
      <c r="AF495" s="67">
        <f t="shared" si="14"/>
        <v>71.38</v>
      </c>
      <c r="AG495" s="67">
        <f t="shared" si="15"/>
        <v>11.4208</v>
      </c>
      <c r="AH495" s="67">
        <f t="shared" si="16"/>
        <v>82.8008</v>
      </c>
      <c r="AI495" s="67">
        <f t="shared" si="17"/>
        <v>68.8</v>
      </c>
      <c r="AJ495" s="68">
        <f t="shared" si="20"/>
        <v>11.008</v>
      </c>
      <c r="AK495" s="68">
        <f t="shared" si="21"/>
        <v>79.808</v>
      </c>
      <c r="AL495" s="70">
        <f>IFERROR(__xludf.DUMMYFUNCTION("""COMPUTED_VALUE"""),1.0)</f>
        <v>1</v>
      </c>
      <c r="AM495" s="70"/>
      <c r="AN495" s="71" t="str">
        <f>IFERROR(__xludf.DUMMYFUNCTION("""COMPUTED_VALUE""")," P")</f>
        <v>P</v>
      </c>
      <c r="AO495" s="71" t="str">
        <f>IFERROR(__xludf.DUMMYFUNCTION("""COMPUTED_VALUE""")," CQ04")</f>
        <v>CQ04</v>
      </c>
      <c r="AP495" s="71" t="str">
        <f>IFERROR(__xludf.DUMMYFUNCTION("""COMPUTED_VALUE""")," PZA")</f>
        <v>PZA</v>
      </c>
      <c r="AQ495" s="71" t="str">
        <f>IFERROR(__xludf.DUMMYFUNCTION("""COMPUTED_VALUE""")," REF")</f>
        <v>REF</v>
      </c>
      <c r="AR495" s="71" t="str">
        <f>IFERROR(__xludf.DUMMYFUNCTION("""COMPUTED_VALUE""")," CONDUCTO SOLO TV-50 (B.C.),TV-30 TV-40")</f>
        <v>CONDUCTO SOLO TV-50 (B.C.),TV-30 TV-40</v>
      </c>
      <c r="AS495" s="71" t="str">
        <f>IFERROR(__xludf.DUMMYFUNCTION("""COMPUTED_VALUE""")," CONDUCTO SOLO TV30/40/50/BC")</f>
        <v>CONDUCTO SOLO TV30/40/50/BC</v>
      </c>
      <c r="AT495" s="71">
        <f>IFERROR(__xludf.DUMMYFUNCTION("""COMPUTED_VALUE"""),27.0)</f>
        <v>27</v>
      </c>
      <c r="AU495" s="71"/>
      <c r="AV495" s="71"/>
      <c r="AW495" s="71"/>
      <c r="AX495" s="71"/>
      <c r="AY495" s="71">
        <f>IFERROR(__xludf.DUMMYFUNCTION("""COMPUTED_VALUE"""),291.0)</f>
        <v>291</v>
      </c>
      <c r="AZ495" s="71">
        <f>IFERROR(__xludf.DUMMYFUNCTION("""COMPUTED_VALUE"""),314.0)</f>
        <v>314</v>
      </c>
      <c r="BA495" s="71">
        <f>IFERROR(__xludf.DUMMYFUNCTION("""COMPUTED_VALUE"""),339.12)</f>
        <v>339.12</v>
      </c>
      <c r="BB495" s="71">
        <f>IFERROR(__xludf.DUMMYFUNCTION("""COMPUTED_VALUE"""),339.12)</f>
        <v>339.12</v>
      </c>
      <c r="BC495" s="71">
        <f>IFERROR(__xludf.DUMMYFUNCTION("""COMPUTED_VALUE"""),378.0)</f>
        <v>378</v>
      </c>
      <c r="BD495" s="71">
        <f>IFERROR(__xludf.DUMMYFUNCTION("""COMPUTED_VALUE"""),397.0)</f>
        <v>397</v>
      </c>
      <c r="BE495" s="71">
        <f>IFERROR(__xludf.DUMMYFUNCTION("""COMPUTED_VALUE"""),63.52)</f>
        <v>63.52</v>
      </c>
      <c r="BF495" s="71">
        <f>IFERROR(__xludf.DUMMYFUNCTION("""COMPUTED_VALUE"""),460.52)</f>
        <v>460.52</v>
      </c>
      <c r="BG495" s="71">
        <f>IFERROR(__xludf.DUMMYFUNCTION("""COMPUTED_VALUE"""),0.05026455026455026)</f>
        <v>0.05026455026</v>
      </c>
      <c r="BH495" s="71">
        <f>IFERROR(__xludf.DUMMYFUNCTION("""COMPUTED_VALUE"""),377.15)</f>
        <v>377.15</v>
      </c>
      <c r="BI495" s="71">
        <f>IFERROR(__xludf.DUMMYFUNCTION("""COMPUTED_VALUE"""),60.343999999999994)</f>
        <v>60.344</v>
      </c>
      <c r="BJ495" s="71">
        <f>IFERROR(__xludf.DUMMYFUNCTION("""COMPUTED_VALUE"""),437.49399999999997)</f>
        <v>437.494</v>
      </c>
      <c r="BK495" s="71">
        <f>IFERROR(__xludf.DUMMYFUNCTION("""COMPUTED_VALUE"""),357.3)</f>
        <v>357.3</v>
      </c>
      <c r="BL495" s="71">
        <f>IFERROR(__xludf.DUMMYFUNCTION("""COMPUTED_VALUE"""),57.168000000000006)</f>
        <v>57.168</v>
      </c>
      <c r="BM495" s="71">
        <f>IFERROR(__xludf.DUMMYFUNCTION("""COMPUTED_VALUE"""),414.468)</f>
        <v>414.468</v>
      </c>
      <c r="BN495" s="71">
        <f>IFERROR(__xludf.DUMMYFUNCTION("""COMPUTED_VALUE"""),337.45)</f>
        <v>337.45</v>
      </c>
      <c r="BO495" s="71">
        <f>IFERROR(__xludf.DUMMYFUNCTION("""COMPUTED_VALUE"""),53.992)</f>
        <v>53.992</v>
      </c>
      <c r="BP495" s="71">
        <f>IFERROR(__xludf.DUMMYFUNCTION("""COMPUTED_VALUE"""),391.442)</f>
        <v>391.442</v>
      </c>
      <c r="BQ495" s="71">
        <f>IFERROR(__xludf.DUMMYFUNCTION("""COMPUTED_VALUE"""),329.51)</f>
        <v>329.51</v>
      </c>
      <c r="BR495" s="71">
        <f>IFERROR(__xludf.DUMMYFUNCTION("""COMPUTED_VALUE"""),52.7216)</f>
        <v>52.7216</v>
      </c>
      <c r="BS495" s="71">
        <f>IFERROR(__xludf.DUMMYFUNCTION("""COMPUTED_VALUE"""),382.2316)</f>
        <v>382.2316</v>
      </c>
      <c r="BT495" s="71">
        <f>IFERROR(__xludf.DUMMYFUNCTION("""COMPUTED_VALUE"""),317.6)</f>
        <v>317.6</v>
      </c>
      <c r="BU495" s="71">
        <f>IFERROR(__xludf.DUMMYFUNCTION("""COMPUTED_VALUE"""),50.816)</f>
        <v>50.816</v>
      </c>
      <c r="BV495" s="71">
        <f>IFERROR(__xludf.DUMMYFUNCTION("""COMPUTED_VALUE"""),368.41600000000005)</f>
        <v>368.416</v>
      </c>
    </row>
    <row r="496">
      <c r="A496" s="53">
        <v>1.0</v>
      </c>
      <c r="B496" s="53"/>
      <c r="C496" s="53" t="s">
        <v>53</v>
      </c>
      <c r="D496" s="53" t="s">
        <v>1252</v>
      </c>
      <c r="E496" s="86" t="s">
        <v>38</v>
      </c>
      <c r="F496" s="91" t="s">
        <v>42</v>
      </c>
      <c r="G496" s="84" t="s">
        <v>1253</v>
      </c>
      <c r="H496" s="84" t="s">
        <v>1253</v>
      </c>
      <c r="I496" s="54">
        <f t="shared" si="24"/>
        <v>18</v>
      </c>
      <c r="J496" s="56"/>
      <c r="K496" s="57"/>
      <c r="L496" s="76"/>
      <c r="M496" s="59"/>
      <c r="N496" s="60"/>
      <c r="O496" s="90"/>
      <c r="P496" s="62">
        <v>83.0</v>
      </c>
      <c r="Q496" s="63">
        <v>83.0</v>
      </c>
      <c r="R496" s="64">
        <v>88.0</v>
      </c>
      <c r="S496" s="111">
        <v>92.0</v>
      </c>
      <c r="T496" s="65">
        <f t="shared" si="2"/>
        <v>14.72</v>
      </c>
      <c r="U496" s="65">
        <f t="shared" si="3"/>
        <v>106.72</v>
      </c>
      <c r="V496" s="66">
        <f t="shared" si="4"/>
        <v>0.04545454545</v>
      </c>
      <c r="W496" s="67">
        <f t="shared" si="5"/>
        <v>87.4</v>
      </c>
      <c r="X496" s="67">
        <f t="shared" si="6"/>
        <v>13.984</v>
      </c>
      <c r="Y496" s="67">
        <f t="shared" si="7"/>
        <v>101.384</v>
      </c>
      <c r="Z496" s="67">
        <f t="shared" si="8"/>
        <v>82.8</v>
      </c>
      <c r="AA496" s="67">
        <f t="shared" si="9"/>
        <v>13.248</v>
      </c>
      <c r="AB496" s="67">
        <f t="shared" si="10"/>
        <v>96.048</v>
      </c>
      <c r="AC496" s="67">
        <f t="shared" si="11"/>
        <v>78.2</v>
      </c>
      <c r="AD496" s="67">
        <f t="shared" si="12"/>
        <v>12.512</v>
      </c>
      <c r="AE496" s="67">
        <f t="shared" si="13"/>
        <v>90.712</v>
      </c>
      <c r="AF496" s="67">
        <f t="shared" si="14"/>
        <v>76.36</v>
      </c>
      <c r="AG496" s="67">
        <f t="shared" si="15"/>
        <v>12.2176</v>
      </c>
      <c r="AH496" s="67">
        <f t="shared" si="16"/>
        <v>88.5776</v>
      </c>
      <c r="AI496" s="67">
        <f t="shared" si="17"/>
        <v>73.6</v>
      </c>
      <c r="AJ496" s="68">
        <f t="shared" si="20"/>
        <v>11.776</v>
      </c>
      <c r="AK496" s="68">
        <f t="shared" si="21"/>
        <v>85.376</v>
      </c>
      <c r="AL496" s="70">
        <f>IFERROR(__xludf.DUMMYFUNCTION("""COMPUTED_VALUE"""),1.0)</f>
        <v>1</v>
      </c>
      <c r="AM496" s="70"/>
      <c r="AN496" s="71" t="str">
        <f>IFERROR(__xludf.DUMMYFUNCTION("""COMPUTED_VALUE""")," C")</f>
        <v>C</v>
      </c>
      <c r="AO496" s="71" t="str">
        <f>IFERROR(__xludf.DUMMYFUNCTION("""COMPUTED_VALUE""")," CN01")</f>
        <v>CN01</v>
      </c>
      <c r="AP496" s="71" t="str">
        <f>IFERROR(__xludf.DUMMYFUNCTION("""COMPUTED_VALUE""")," PZA")</f>
        <v>PZA</v>
      </c>
      <c r="AQ496" s="71" t="str">
        <f>IFERROR(__xludf.DUMMYFUNCTION("""COMPUTED_VALUE""")," REF")</f>
        <v>REF</v>
      </c>
      <c r="AR496" s="71" t="str">
        <f>IFERROR(__xludf.DUMMYFUNCTION("""COMPUTED_VALUE""")," CONSERVADOR I ULTRA 1 KG.")</f>
        <v>CONSERVADOR I ULTRA 1 KG.</v>
      </c>
      <c r="AS496" s="71" t="str">
        <f>IFERROR(__xludf.DUMMYFUNCTION("""COMPUTED_VALUE""")," CONSERVADOR I ULTRA 1 KG")</f>
        <v>CONSERVADOR I ULTRA 1 KG</v>
      </c>
      <c r="AT496" s="71">
        <f>IFERROR(__xludf.DUMMYFUNCTION("""COMPUTED_VALUE"""),24.0)</f>
        <v>24</v>
      </c>
      <c r="AU496" s="71"/>
      <c r="AV496" s="71"/>
      <c r="AW496" s="71"/>
      <c r="AX496" s="71"/>
      <c r="AY496" s="71">
        <f>IFERROR(__xludf.DUMMYFUNCTION("""COMPUTED_VALUE"""),160.0)</f>
        <v>160</v>
      </c>
      <c r="AZ496" s="71">
        <f>IFERROR(__xludf.DUMMYFUNCTION("""COMPUTED_VALUE"""),213.0)</f>
        <v>213</v>
      </c>
      <c r="BA496" s="71">
        <f>IFERROR(__xludf.DUMMYFUNCTION("""COMPUTED_VALUE"""),230.04000000000002)</f>
        <v>230.04</v>
      </c>
      <c r="BB496" s="71">
        <f>IFERROR(__xludf.DUMMYFUNCTION("""COMPUTED_VALUE"""),230.04000000000002)</f>
        <v>230.04</v>
      </c>
      <c r="BC496" s="71">
        <f>IFERROR(__xludf.DUMMYFUNCTION("""COMPUTED_VALUE"""),257.0)</f>
        <v>257</v>
      </c>
      <c r="BD496" s="71">
        <f>IFERROR(__xludf.DUMMYFUNCTION("""COMPUTED_VALUE"""),270.0)</f>
        <v>270</v>
      </c>
      <c r="BE496" s="71">
        <f>IFERROR(__xludf.DUMMYFUNCTION("""COMPUTED_VALUE"""),43.2)</f>
        <v>43.2</v>
      </c>
      <c r="BF496" s="71">
        <f>IFERROR(__xludf.DUMMYFUNCTION("""COMPUTED_VALUE"""),313.2)</f>
        <v>313.2</v>
      </c>
      <c r="BG496" s="71">
        <f>IFERROR(__xludf.DUMMYFUNCTION("""COMPUTED_VALUE"""),0.05058365758754864)</f>
        <v>0.05058365759</v>
      </c>
      <c r="BH496" s="71">
        <f>IFERROR(__xludf.DUMMYFUNCTION("""COMPUTED_VALUE"""),256.5)</f>
        <v>256.5</v>
      </c>
      <c r="BI496" s="71">
        <f>IFERROR(__xludf.DUMMYFUNCTION("""COMPUTED_VALUE"""),41.04)</f>
        <v>41.04</v>
      </c>
      <c r="BJ496" s="71">
        <f>IFERROR(__xludf.DUMMYFUNCTION("""COMPUTED_VALUE"""),297.54)</f>
        <v>297.54</v>
      </c>
      <c r="BK496" s="71">
        <f>IFERROR(__xludf.DUMMYFUNCTION("""COMPUTED_VALUE"""),243.0)</f>
        <v>243</v>
      </c>
      <c r="BL496" s="71">
        <f>IFERROR(__xludf.DUMMYFUNCTION("""COMPUTED_VALUE"""),38.88)</f>
        <v>38.88</v>
      </c>
      <c r="BM496" s="71">
        <f>IFERROR(__xludf.DUMMYFUNCTION("""COMPUTED_VALUE"""),281.88)</f>
        <v>281.88</v>
      </c>
      <c r="BN496" s="71">
        <f>IFERROR(__xludf.DUMMYFUNCTION("""COMPUTED_VALUE"""),229.5)</f>
        <v>229.5</v>
      </c>
      <c r="BO496" s="71">
        <f>IFERROR(__xludf.DUMMYFUNCTION("""COMPUTED_VALUE"""),36.72)</f>
        <v>36.72</v>
      </c>
      <c r="BP496" s="71">
        <f>IFERROR(__xludf.DUMMYFUNCTION("""COMPUTED_VALUE"""),266.22)</f>
        <v>266.22</v>
      </c>
      <c r="BQ496" s="71">
        <f>IFERROR(__xludf.DUMMYFUNCTION("""COMPUTED_VALUE"""),224.1)</f>
        <v>224.1</v>
      </c>
      <c r="BR496" s="71">
        <f>IFERROR(__xludf.DUMMYFUNCTION("""COMPUTED_VALUE"""),35.856)</f>
        <v>35.856</v>
      </c>
      <c r="BS496" s="71">
        <f>IFERROR(__xludf.DUMMYFUNCTION("""COMPUTED_VALUE"""),259.956)</f>
        <v>259.956</v>
      </c>
      <c r="BT496" s="71">
        <f>IFERROR(__xludf.DUMMYFUNCTION("""COMPUTED_VALUE"""),216.0)</f>
        <v>216</v>
      </c>
      <c r="BU496" s="71">
        <f>IFERROR(__xludf.DUMMYFUNCTION("""COMPUTED_VALUE"""),34.56)</f>
        <v>34.56</v>
      </c>
      <c r="BV496" s="71">
        <f>IFERROR(__xludf.DUMMYFUNCTION("""COMPUTED_VALUE"""),250.56)</f>
        <v>250.56</v>
      </c>
    </row>
    <row r="497">
      <c r="A497" s="53">
        <v>1.0</v>
      </c>
      <c r="B497" s="53"/>
      <c r="C497" s="53" t="s">
        <v>53</v>
      </c>
      <c r="D497" s="53" t="s">
        <v>1254</v>
      </c>
      <c r="E497" s="86" t="s">
        <v>38</v>
      </c>
      <c r="F497" s="91" t="s">
        <v>42</v>
      </c>
      <c r="G497" s="84" t="s">
        <v>1255</v>
      </c>
      <c r="H497" s="84" t="s">
        <v>1255</v>
      </c>
      <c r="I497" s="54">
        <f t="shared" si="24"/>
        <v>18</v>
      </c>
      <c r="J497" s="56"/>
      <c r="K497" s="57"/>
      <c r="L497" s="76"/>
      <c r="M497" s="59"/>
      <c r="N497" s="60"/>
      <c r="O497" s="90"/>
      <c r="P497" s="62">
        <v>120.0</v>
      </c>
      <c r="Q497" s="63">
        <v>120.0</v>
      </c>
      <c r="R497" s="64">
        <v>126.0</v>
      </c>
      <c r="S497" s="111">
        <v>132.0</v>
      </c>
      <c r="T497" s="65">
        <f t="shared" si="2"/>
        <v>21.12</v>
      </c>
      <c r="U497" s="65">
        <f t="shared" si="3"/>
        <v>153.12</v>
      </c>
      <c r="V497" s="66">
        <f t="shared" si="4"/>
        <v>0.04761904762</v>
      </c>
      <c r="W497" s="67">
        <f t="shared" si="5"/>
        <v>125.4</v>
      </c>
      <c r="X497" s="67">
        <f t="shared" si="6"/>
        <v>20.064</v>
      </c>
      <c r="Y497" s="67">
        <f t="shared" si="7"/>
        <v>145.464</v>
      </c>
      <c r="Z497" s="67">
        <f t="shared" si="8"/>
        <v>118.8</v>
      </c>
      <c r="AA497" s="67">
        <f t="shared" si="9"/>
        <v>19.008</v>
      </c>
      <c r="AB497" s="67">
        <f t="shared" si="10"/>
        <v>137.808</v>
      </c>
      <c r="AC497" s="67">
        <f t="shared" si="11"/>
        <v>112.2</v>
      </c>
      <c r="AD497" s="67">
        <f t="shared" si="12"/>
        <v>17.952</v>
      </c>
      <c r="AE497" s="67">
        <f t="shared" si="13"/>
        <v>130.152</v>
      </c>
      <c r="AF497" s="67">
        <f t="shared" si="14"/>
        <v>109.56</v>
      </c>
      <c r="AG497" s="67">
        <f t="shared" si="15"/>
        <v>17.5296</v>
      </c>
      <c r="AH497" s="67">
        <f t="shared" si="16"/>
        <v>127.0896</v>
      </c>
      <c r="AI497" s="67">
        <f t="shared" si="17"/>
        <v>105.6</v>
      </c>
      <c r="AJ497" s="68">
        <f t="shared" si="20"/>
        <v>16.896</v>
      </c>
      <c r="AK497" s="68">
        <f t="shared" si="21"/>
        <v>122.496</v>
      </c>
      <c r="AL497" s="70">
        <f>IFERROR(__xludf.DUMMYFUNCTION("""COMPUTED_VALUE"""),1.0)</f>
        <v>1</v>
      </c>
      <c r="AM497" s="70"/>
      <c r="AN497" s="71" t="str">
        <f>IFERROR(__xludf.DUMMYFUNCTION("""COMPUTED_VALUE""")," C")</f>
        <v>C</v>
      </c>
      <c r="AO497" s="71" t="str">
        <f>IFERROR(__xludf.DUMMYFUNCTION("""COMPUTED_VALUE""")," CN03")</f>
        <v>CN03</v>
      </c>
      <c r="AP497" s="71" t="str">
        <f>IFERROR(__xludf.DUMMYFUNCTION("""COMPUTED_VALUE""")," PZA")</f>
        <v>PZA</v>
      </c>
      <c r="AQ497" s="71" t="str">
        <f>IFERROR(__xludf.DUMMYFUNCTION("""COMPUTED_VALUE""")," REF")</f>
        <v>REF</v>
      </c>
      <c r="AR497" s="71" t="str">
        <f>IFERROR(__xludf.DUMMYFUNCTION("""COMPUTED_VALUE""")," CONSERVADOR I ULTRA 25 KG. (BULTO)")</f>
        <v>CONSERVADOR I ULTRA 25 KG. (BULTO)</v>
      </c>
      <c r="AS497" s="71" t="str">
        <f>IFERROR(__xludf.DUMMYFUNCTION("""COMPUTED_VALUE""")," CONSERVADOR I ULTRA 25 KG BULTO")</f>
        <v>CONSERVADOR I ULTRA 25 KG BULTO</v>
      </c>
      <c r="AT497" s="71">
        <f>IFERROR(__xludf.DUMMYFUNCTION("""COMPUTED_VALUE"""),31.0)</f>
        <v>31</v>
      </c>
      <c r="AU497" s="71"/>
      <c r="AV497" s="71"/>
      <c r="AW497" s="71"/>
      <c r="AX497" s="71"/>
      <c r="AY497" s="71">
        <f>IFERROR(__xludf.DUMMYFUNCTION("""COMPUTED_VALUE"""),3767.0)</f>
        <v>3767</v>
      </c>
      <c r="AZ497" s="71">
        <f>IFERROR(__xludf.DUMMYFUNCTION("""COMPUTED_VALUE"""),5325.0)</f>
        <v>5325</v>
      </c>
      <c r="BA497" s="71">
        <f>IFERROR(__xludf.DUMMYFUNCTION("""COMPUTED_VALUE"""),5751.0)</f>
        <v>5751</v>
      </c>
      <c r="BB497" s="71">
        <f>IFERROR(__xludf.DUMMYFUNCTION("""COMPUTED_VALUE"""),5751.0)</f>
        <v>5751</v>
      </c>
      <c r="BC497" s="71">
        <f>IFERROR(__xludf.DUMMYFUNCTION("""COMPUTED_VALUE"""),6402.0)</f>
        <v>6402</v>
      </c>
      <c r="BD497" s="71">
        <f>IFERROR(__xludf.DUMMYFUNCTION("""COMPUTED_VALUE"""),6722.0)</f>
        <v>6722</v>
      </c>
      <c r="BE497" s="71">
        <f>IFERROR(__xludf.DUMMYFUNCTION("""COMPUTED_VALUE"""),1075.52)</f>
        <v>1075.52</v>
      </c>
      <c r="BF497" s="71">
        <f>IFERROR(__xludf.DUMMYFUNCTION("""COMPUTED_VALUE"""),7797.52)</f>
        <v>7797.52</v>
      </c>
      <c r="BG497" s="71">
        <f>IFERROR(__xludf.DUMMYFUNCTION("""COMPUTED_VALUE"""),0.0499843798812871)</f>
        <v>0.04998437988</v>
      </c>
      <c r="BH497" s="71">
        <f>IFERROR(__xludf.DUMMYFUNCTION("""COMPUTED_VALUE"""),6385.9)</f>
        <v>6385.9</v>
      </c>
      <c r="BI497" s="71">
        <f>IFERROR(__xludf.DUMMYFUNCTION("""COMPUTED_VALUE"""),1021.7439999999999)</f>
        <v>1021.744</v>
      </c>
      <c r="BJ497" s="71">
        <f>IFERROR(__xludf.DUMMYFUNCTION("""COMPUTED_VALUE"""),7407.643999999999)</f>
        <v>7407.644</v>
      </c>
      <c r="BK497" s="71">
        <f>IFERROR(__xludf.DUMMYFUNCTION("""COMPUTED_VALUE"""),6049.8)</f>
        <v>6049.8</v>
      </c>
      <c r="BL497" s="71">
        <f>IFERROR(__xludf.DUMMYFUNCTION("""COMPUTED_VALUE"""),967.9680000000001)</f>
        <v>967.968</v>
      </c>
      <c r="BM497" s="71">
        <f>IFERROR(__xludf.DUMMYFUNCTION("""COMPUTED_VALUE"""),7017.768)</f>
        <v>7017.768</v>
      </c>
      <c r="BN497" s="71">
        <f>IFERROR(__xludf.DUMMYFUNCTION("""COMPUTED_VALUE"""),5713.7)</f>
        <v>5713.7</v>
      </c>
      <c r="BO497" s="71">
        <f>IFERROR(__xludf.DUMMYFUNCTION("""COMPUTED_VALUE"""),914.192)</f>
        <v>914.192</v>
      </c>
      <c r="BP497" s="71">
        <f>IFERROR(__xludf.DUMMYFUNCTION("""COMPUTED_VALUE"""),6627.892)</f>
        <v>6627.892</v>
      </c>
      <c r="BQ497" s="71">
        <f>IFERROR(__xludf.DUMMYFUNCTION("""COMPUTED_VALUE"""),5579.259999999999)</f>
        <v>5579.26</v>
      </c>
      <c r="BR497" s="71">
        <f>IFERROR(__xludf.DUMMYFUNCTION("""COMPUTED_VALUE"""),892.6815999999999)</f>
        <v>892.6816</v>
      </c>
      <c r="BS497" s="71">
        <f>IFERROR(__xludf.DUMMYFUNCTION("""COMPUTED_VALUE"""),6471.941599999999)</f>
        <v>6471.9416</v>
      </c>
      <c r="BT497" s="71">
        <f>IFERROR(__xludf.DUMMYFUNCTION("""COMPUTED_VALUE"""),5377.6)</f>
        <v>5377.6</v>
      </c>
      <c r="BU497" s="71">
        <f>IFERROR(__xludf.DUMMYFUNCTION("""COMPUTED_VALUE"""),860.416)</f>
        <v>860.416</v>
      </c>
      <c r="BV497" s="71">
        <f>IFERROR(__xludf.DUMMYFUNCTION("""COMPUTED_VALUE"""),6238.0160000000005)</f>
        <v>6238.016</v>
      </c>
    </row>
    <row r="498">
      <c r="A498" s="53">
        <v>1.0</v>
      </c>
      <c r="B498" s="53"/>
      <c r="C498" s="53" t="s">
        <v>53</v>
      </c>
      <c r="D498" s="53" t="s">
        <v>1256</v>
      </c>
      <c r="E498" s="86" t="s">
        <v>38</v>
      </c>
      <c r="F498" s="91" t="s">
        <v>42</v>
      </c>
      <c r="G498" s="84" t="s">
        <v>1257</v>
      </c>
      <c r="H498" s="84" t="s">
        <v>1257</v>
      </c>
      <c r="I498" s="54">
        <f t="shared" si="24"/>
        <v>18</v>
      </c>
      <c r="J498" s="56"/>
      <c r="K498" s="57"/>
      <c r="L498" s="76"/>
      <c r="M498" s="59"/>
      <c r="N498" s="60"/>
      <c r="O498" s="90"/>
      <c r="P498" s="62">
        <v>129.0</v>
      </c>
      <c r="Q498" s="63">
        <v>129.0</v>
      </c>
      <c r="R498" s="64">
        <v>136.0</v>
      </c>
      <c r="S498" s="111">
        <v>143.0</v>
      </c>
      <c r="T498" s="65">
        <f t="shared" si="2"/>
        <v>22.88</v>
      </c>
      <c r="U498" s="65">
        <f t="shared" si="3"/>
        <v>165.88</v>
      </c>
      <c r="V498" s="66">
        <f t="shared" si="4"/>
        <v>0.05147058824</v>
      </c>
      <c r="W498" s="67">
        <f t="shared" si="5"/>
        <v>135.85</v>
      </c>
      <c r="X498" s="67">
        <f t="shared" si="6"/>
        <v>21.736</v>
      </c>
      <c r="Y498" s="67">
        <f t="shared" si="7"/>
        <v>157.586</v>
      </c>
      <c r="Z498" s="67">
        <f t="shared" si="8"/>
        <v>128.7</v>
      </c>
      <c r="AA498" s="67">
        <f t="shared" si="9"/>
        <v>20.592</v>
      </c>
      <c r="AB498" s="67">
        <f t="shared" si="10"/>
        <v>149.292</v>
      </c>
      <c r="AC498" s="67">
        <f t="shared" si="11"/>
        <v>121.55</v>
      </c>
      <c r="AD498" s="67">
        <f t="shared" si="12"/>
        <v>19.448</v>
      </c>
      <c r="AE498" s="67">
        <f t="shared" si="13"/>
        <v>140.998</v>
      </c>
      <c r="AF498" s="67">
        <f t="shared" si="14"/>
        <v>118.69</v>
      </c>
      <c r="AG498" s="67">
        <f t="shared" si="15"/>
        <v>18.9904</v>
      </c>
      <c r="AH498" s="67">
        <f t="shared" si="16"/>
        <v>137.6804</v>
      </c>
      <c r="AI498" s="67">
        <f t="shared" si="17"/>
        <v>114.4</v>
      </c>
      <c r="AJ498" s="68">
        <f t="shared" si="20"/>
        <v>18.304</v>
      </c>
      <c r="AK498" s="68">
        <f t="shared" si="21"/>
        <v>132.704</v>
      </c>
      <c r="AL498" s="70">
        <f>IFERROR(__xludf.DUMMYFUNCTION("""COMPUTED_VALUE"""),1.0)</f>
        <v>1</v>
      </c>
      <c r="AM498" s="70"/>
      <c r="AN498" s="71" t="str">
        <f>IFERROR(__xludf.DUMMYFUNCTION("""COMPUTED_VALUE""")," C")</f>
        <v>C</v>
      </c>
      <c r="AO498" s="71" t="str">
        <f>IFERROR(__xludf.DUMMYFUNCTION("""COMPUTED_VALUE""")," CN02")</f>
        <v>CN02</v>
      </c>
      <c r="AP498" s="71" t="str">
        <f>IFERROR(__xludf.DUMMYFUNCTION("""COMPUTED_VALUE""")," PZA")</f>
        <v>PZA</v>
      </c>
      <c r="AQ498" s="71" t="str">
        <f>IFERROR(__xludf.DUMMYFUNCTION("""COMPUTED_VALUE""")," REF")</f>
        <v>REF</v>
      </c>
      <c r="AR498" s="71" t="str">
        <f>IFERROR(__xludf.DUMMYFUNCTION("""COMPUTED_VALUE""")," CONSERVADOR I ULTRA 5 KG.")</f>
        <v>CONSERVADOR I ULTRA 5 KG.</v>
      </c>
      <c r="AS498" s="71" t="str">
        <f>IFERROR(__xludf.DUMMYFUNCTION("""COMPUTED_VALUE""")," CONSERVADOR I ULTRA 5 KG")</f>
        <v>CONSERVADOR I ULTRA 5 KG</v>
      </c>
      <c r="AT498" s="71">
        <f>IFERROR(__xludf.DUMMYFUNCTION("""COMPUTED_VALUE"""),24.0)</f>
        <v>24</v>
      </c>
      <c r="AU498" s="71"/>
      <c r="AV498" s="71"/>
      <c r="AW498" s="71"/>
      <c r="AX498" s="71"/>
      <c r="AY498" s="71">
        <f>IFERROR(__xludf.DUMMYFUNCTION("""COMPUTED_VALUE"""),776.0)</f>
        <v>776</v>
      </c>
      <c r="AZ498" s="71">
        <f>IFERROR(__xludf.DUMMYFUNCTION("""COMPUTED_VALUE"""),838.0)</f>
        <v>838</v>
      </c>
      <c r="BA498" s="71">
        <f>IFERROR(__xludf.DUMMYFUNCTION("""COMPUTED_VALUE"""),905.0400000000001)</f>
        <v>905.04</v>
      </c>
      <c r="BB498" s="71">
        <f>IFERROR(__xludf.DUMMYFUNCTION("""COMPUTED_VALUE"""),905.0400000000001)</f>
        <v>905.04</v>
      </c>
      <c r="BC498" s="71">
        <f>IFERROR(__xludf.DUMMYFUNCTION("""COMPUTED_VALUE"""),1008.0)</f>
        <v>1008</v>
      </c>
      <c r="BD498" s="71">
        <f>IFERROR(__xludf.DUMMYFUNCTION("""COMPUTED_VALUE"""),1058.0)</f>
        <v>1058</v>
      </c>
      <c r="BE498" s="71">
        <f>IFERROR(__xludf.DUMMYFUNCTION("""COMPUTED_VALUE"""),169.28)</f>
        <v>169.28</v>
      </c>
      <c r="BF498" s="71">
        <f>IFERROR(__xludf.DUMMYFUNCTION("""COMPUTED_VALUE"""),1227.28)</f>
        <v>1227.28</v>
      </c>
      <c r="BG498" s="71">
        <f>IFERROR(__xludf.DUMMYFUNCTION("""COMPUTED_VALUE"""),0.0496031746031746)</f>
        <v>0.0496031746</v>
      </c>
      <c r="BH498" s="71">
        <f>IFERROR(__xludf.DUMMYFUNCTION("""COMPUTED_VALUE"""),1005.0999999999999)</f>
        <v>1005.1</v>
      </c>
      <c r="BI498" s="71">
        <f>IFERROR(__xludf.DUMMYFUNCTION("""COMPUTED_VALUE"""),160.816)</f>
        <v>160.816</v>
      </c>
      <c r="BJ498" s="71">
        <f>IFERROR(__xludf.DUMMYFUNCTION("""COMPUTED_VALUE"""),1165.916)</f>
        <v>1165.916</v>
      </c>
      <c r="BK498" s="71">
        <f>IFERROR(__xludf.DUMMYFUNCTION("""COMPUTED_VALUE"""),952.2)</f>
        <v>952.2</v>
      </c>
      <c r="BL498" s="71">
        <f>IFERROR(__xludf.DUMMYFUNCTION("""COMPUTED_VALUE"""),152.352)</f>
        <v>152.352</v>
      </c>
      <c r="BM498" s="71">
        <f>IFERROR(__xludf.DUMMYFUNCTION("""COMPUTED_VALUE"""),1104.5520000000001)</f>
        <v>1104.552</v>
      </c>
      <c r="BN498" s="71">
        <f>IFERROR(__xludf.DUMMYFUNCTION("""COMPUTED_VALUE"""),899.3)</f>
        <v>899.3</v>
      </c>
      <c r="BO498" s="71">
        <f>IFERROR(__xludf.DUMMYFUNCTION("""COMPUTED_VALUE"""),143.888)</f>
        <v>143.888</v>
      </c>
      <c r="BP498" s="71">
        <f>IFERROR(__xludf.DUMMYFUNCTION("""COMPUTED_VALUE"""),1043.1879999999999)</f>
        <v>1043.188</v>
      </c>
      <c r="BQ498" s="71">
        <f>IFERROR(__xludf.DUMMYFUNCTION("""COMPUTED_VALUE"""),878.14)</f>
        <v>878.14</v>
      </c>
      <c r="BR498" s="71">
        <f>IFERROR(__xludf.DUMMYFUNCTION("""COMPUTED_VALUE"""),140.5024)</f>
        <v>140.5024</v>
      </c>
      <c r="BS498" s="71">
        <f>IFERROR(__xludf.DUMMYFUNCTION("""COMPUTED_VALUE"""),1018.6424)</f>
        <v>1018.6424</v>
      </c>
      <c r="BT498" s="71">
        <f>IFERROR(__xludf.DUMMYFUNCTION("""COMPUTED_VALUE"""),846.4000000000001)</f>
        <v>846.4</v>
      </c>
      <c r="BU498" s="71">
        <f>IFERROR(__xludf.DUMMYFUNCTION("""COMPUTED_VALUE"""),135.424)</f>
        <v>135.424</v>
      </c>
      <c r="BV498" s="71">
        <f>IFERROR(__xludf.DUMMYFUNCTION("""COMPUTED_VALUE"""),981.8240000000001)</f>
        <v>981.824</v>
      </c>
    </row>
    <row r="499">
      <c r="A499" s="53">
        <v>1.0</v>
      </c>
      <c r="B499" s="53"/>
      <c r="C499" s="53" t="s">
        <v>53</v>
      </c>
      <c r="D499" s="53" t="s">
        <v>1258</v>
      </c>
      <c r="E499" s="86" t="s">
        <v>38</v>
      </c>
      <c r="F499" s="91" t="s">
        <v>42</v>
      </c>
      <c r="G499" s="84" t="s">
        <v>1259</v>
      </c>
      <c r="H499" s="84" t="s">
        <v>1259</v>
      </c>
      <c r="I499" s="54">
        <f t="shared" si="24"/>
        <v>18</v>
      </c>
      <c r="J499" s="56"/>
      <c r="K499" s="57"/>
      <c r="L499" s="76"/>
      <c r="M499" s="59"/>
      <c r="N499" s="60"/>
      <c r="O499" s="90"/>
      <c r="P499" s="62">
        <v>184.0</v>
      </c>
      <c r="Q499" s="63">
        <v>184.0</v>
      </c>
      <c r="R499" s="64">
        <v>194.0</v>
      </c>
      <c r="S499" s="111">
        <v>204.0</v>
      </c>
      <c r="T499" s="65">
        <f t="shared" si="2"/>
        <v>32.64</v>
      </c>
      <c r="U499" s="65">
        <f t="shared" si="3"/>
        <v>236.64</v>
      </c>
      <c r="V499" s="66">
        <f t="shared" si="4"/>
        <v>0.05154639175</v>
      </c>
      <c r="W499" s="67">
        <f t="shared" si="5"/>
        <v>193.8</v>
      </c>
      <c r="X499" s="67">
        <f t="shared" si="6"/>
        <v>31.008</v>
      </c>
      <c r="Y499" s="67">
        <f t="shared" si="7"/>
        <v>224.808</v>
      </c>
      <c r="Z499" s="67">
        <f t="shared" si="8"/>
        <v>183.6</v>
      </c>
      <c r="AA499" s="67">
        <f t="shared" si="9"/>
        <v>29.376</v>
      </c>
      <c r="AB499" s="67">
        <f t="shared" si="10"/>
        <v>212.976</v>
      </c>
      <c r="AC499" s="67">
        <f t="shared" si="11"/>
        <v>173.4</v>
      </c>
      <c r="AD499" s="67">
        <f t="shared" si="12"/>
        <v>27.744</v>
      </c>
      <c r="AE499" s="67">
        <f t="shared" si="13"/>
        <v>201.144</v>
      </c>
      <c r="AF499" s="67">
        <f t="shared" si="14"/>
        <v>169.32</v>
      </c>
      <c r="AG499" s="67">
        <f t="shared" si="15"/>
        <v>27.0912</v>
      </c>
      <c r="AH499" s="67">
        <f t="shared" si="16"/>
        <v>196.4112</v>
      </c>
      <c r="AI499" s="67">
        <f t="shared" si="17"/>
        <v>163.2</v>
      </c>
      <c r="AJ499" s="68">
        <f t="shared" si="20"/>
        <v>26.112</v>
      </c>
      <c r="AK499" s="68">
        <f t="shared" si="21"/>
        <v>189.312</v>
      </c>
      <c r="AL499" s="70">
        <f>IFERROR(__xludf.DUMMYFUNCTION("""COMPUTED_VALUE"""),1.0)</f>
        <v>1</v>
      </c>
      <c r="AM499" s="70"/>
      <c r="AN499" s="71" t="str">
        <f>IFERROR(__xludf.DUMMYFUNCTION("""COMPUTED_VALUE""")," C")</f>
        <v>C</v>
      </c>
      <c r="AO499" s="71" t="str">
        <f>IFERROR(__xludf.DUMMYFUNCTION("""COMPUTED_VALUE""")," CN04")</f>
        <v>CN04</v>
      </c>
      <c r="AP499" s="71" t="str">
        <f>IFERROR(__xludf.DUMMYFUNCTION("""COMPUTED_VALUE""")," PZA")</f>
        <v>PZA</v>
      </c>
      <c r="AQ499" s="71" t="str">
        <f>IFERROR(__xludf.DUMMYFUNCTION("""COMPUTED_VALUE""")," REF")</f>
        <v>REF</v>
      </c>
      <c r="AR499" s="71" t="str">
        <f>IFERROR(__xludf.DUMMYFUNCTION("""COMPUTED_VALUE""")," CONSERVADOR II ULTRA 1 KG.")</f>
        <v>CONSERVADOR II ULTRA 1 KG.</v>
      </c>
      <c r="AS499" s="71" t="str">
        <f>IFERROR(__xludf.DUMMYFUNCTION("""COMPUTED_VALUE""")," CONSERVADOR II ULTRA 1 KG")</f>
        <v>CONSERVADOR II ULTRA 1 KG</v>
      </c>
      <c r="AT499" s="71">
        <f>IFERROR(__xludf.DUMMYFUNCTION("""COMPUTED_VALUE"""),25.0)</f>
        <v>25</v>
      </c>
      <c r="AU499" s="71"/>
      <c r="AV499" s="71"/>
      <c r="AW499" s="71"/>
      <c r="AX499" s="71"/>
      <c r="AY499" s="71">
        <f>IFERROR(__xludf.DUMMYFUNCTION("""COMPUTED_VALUE"""),73.0)</f>
        <v>73</v>
      </c>
      <c r="AZ499" s="71">
        <f>IFERROR(__xludf.DUMMYFUNCTION("""COMPUTED_VALUE"""),82.0)</f>
        <v>82</v>
      </c>
      <c r="BA499" s="71">
        <f>IFERROR(__xludf.DUMMYFUNCTION("""COMPUTED_VALUE"""),88.56)</f>
        <v>88.56</v>
      </c>
      <c r="BB499" s="71">
        <f>IFERROR(__xludf.DUMMYFUNCTION("""COMPUTED_VALUE"""),88.56)</f>
        <v>88.56</v>
      </c>
      <c r="BC499" s="71">
        <f>IFERROR(__xludf.DUMMYFUNCTION("""COMPUTED_VALUE"""),99.0)</f>
        <v>99</v>
      </c>
      <c r="BD499" s="71">
        <f>IFERROR(__xludf.DUMMYFUNCTION("""COMPUTED_VALUE"""),104.0)</f>
        <v>104</v>
      </c>
      <c r="BE499" s="71">
        <f>IFERROR(__xludf.DUMMYFUNCTION("""COMPUTED_VALUE"""),16.64)</f>
        <v>16.64</v>
      </c>
      <c r="BF499" s="71">
        <f>IFERROR(__xludf.DUMMYFUNCTION("""COMPUTED_VALUE"""),120.64)</f>
        <v>120.64</v>
      </c>
      <c r="BG499" s="71">
        <f>IFERROR(__xludf.DUMMYFUNCTION("""COMPUTED_VALUE"""),0.050505050505050504)</f>
        <v>0.05050505051</v>
      </c>
      <c r="BH499" s="71">
        <f>IFERROR(__xludf.DUMMYFUNCTION("""COMPUTED_VALUE"""),98.8)</f>
        <v>98.8</v>
      </c>
      <c r="BI499" s="71">
        <f>IFERROR(__xludf.DUMMYFUNCTION("""COMPUTED_VALUE"""),15.808)</f>
        <v>15.808</v>
      </c>
      <c r="BJ499" s="71">
        <f>IFERROR(__xludf.DUMMYFUNCTION("""COMPUTED_VALUE"""),114.608)</f>
        <v>114.608</v>
      </c>
      <c r="BK499" s="71">
        <f>IFERROR(__xludf.DUMMYFUNCTION("""COMPUTED_VALUE"""),93.60000000000001)</f>
        <v>93.6</v>
      </c>
      <c r="BL499" s="71">
        <f>IFERROR(__xludf.DUMMYFUNCTION("""COMPUTED_VALUE"""),14.976)</f>
        <v>14.976</v>
      </c>
      <c r="BM499" s="71">
        <f>IFERROR(__xludf.DUMMYFUNCTION("""COMPUTED_VALUE"""),108.57600000000001)</f>
        <v>108.576</v>
      </c>
      <c r="BN499" s="71">
        <f>IFERROR(__xludf.DUMMYFUNCTION("""COMPUTED_VALUE"""),88.39999999999999)</f>
        <v>88.4</v>
      </c>
      <c r="BO499" s="71">
        <f>IFERROR(__xludf.DUMMYFUNCTION("""COMPUTED_VALUE"""),14.143999999999998)</f>
        <v>14.144</v>
      </c>
      <c r="BP499" s="71">
        <f>IFERROR(__xludf.DUMMYFUNCTION("""COMPUTED_VALUE"""),102.54399999999998)</f>
        <v>102.544</v>
      </c>
      <c r="BQ499" s="71">
        <f>IFERROR(__xludf.DUMMYFUNCTION("""COMPUTED_VALUE"""),86.32)</f>
        <v>86.32</v>
      </c>
      <c r="BR499" s="71">
        <f>IFERROR(__xludf.DUMMYFUNCTION("""COMPUTED_VALUE"""),13.8112)</f>
        <v>13.8112</v>
      </c>
      <c r="BS499" s="71">
        <f>IFERROR(__xludf.DUMMYFUNCTION("""COMPUTED_VALUE"""),100.13119999999999)</f>
        <v>100.1312</v>
      </c>
      <c r="BT499" s="71">
        <f>IFERROR(__xludf.DUMMYFUNCTION("""COMPUTED_VALUE"""),83.2)</f>
        <v>83.2</v>
      </c>
      <c r="BU499" s="71">
        <f>IFERROR(__xludf.DUMMYFUNCTION("""COMPUTED_VALUE"""),13.312000000000001)</f>
        <v>13.312</v>
      </c>
      <c r="BV499" s="71">
        <f>IFERROR(__xludf.DUMMYFUNCTION("""COMPUTED_VALUE"""),96.512)</f>
        <v>96.512</v>
      </c>
    </row>
    <row r="500">
      <c r="A500" s="53">
        <v>1.0</v>
      </c>
      <c r="B500" s="53"/>
      <c r="C500" s="53" t="s">
        <v>53</v>
      </c>
      <c r="D500" s="53" t="s">
        <v>1260</v>
      </c>
      <c r="E500" s="86" t="s">
        <v>38</v>
      </c>
      <c r="F500" s="91" t="s">
        <v>42</v>
      </c>
      <c r="G500" s="84" t="s">
        <v>1261</v>
      </c>
      <c r="H500" s="84" t="s">
        <v>1261</v>
      </c>
      <c r="I500" s="54">
        <f t="shared" si="24"/>
        <v>18</v>
      </c>
      <c r="J500" s="56"/>
      <c r="K500" s="57"/>
      <c r="L500" s="76"/>
      <c r="M500" s="59"/>
      <c r="N500" s="60"/>
      <c r="O500" s="90"/>
      <c r="P500" s="62">
        <v>290.0</v>
      </c>
      <c r="Q500" s="63">
        <v>290.0</v>
      </c>
      <c r="R500" s="64">
        <v>305.0</v>
      </c>
      <c r="S500" s="111">
        <v>320.0</v>
      </c>
      <c r="T500" s="65">
        <f t="shared" si="2"/>
        <v>51.2</v>
      </c>
      <c r="U500" s="65">
        <f t="shared" si="3"/>
        <v>371.2</v>
      </c>
      <c r="V500" s="66">
        <f t="shared" si="4"/>
        <v>0.04918032787</v>
      </c>
      <c r="W500" s="67">
        <f t="shared" si="5"/>
        <v>304</v>
      </c>
      <c r="X500" s="67">
        <f t="shared" si="6"/>
        <v>48.64</v>
      </c>
      <c r="Y500" s="67">
        <f t="shared" si="7"/>
        <v>352.64</v>
      </c>
      <c r="Z500" s="67">
        <f t="shared" si="8"/>
        <v>288</v>
      </c>
      <c r="AA500" s="67">
        <f t="shared" si="9"/>
        <v>46.08</v>
      </c>
      <c r="AB500" s="67">
        <f t="shared" si="10"/>
        <v>334.08</v>
      </c>
      <c r="AC500" s="67">
        <f t="shared" si="11"/>
        <v>272</v>
      </c>
      <c r="AD500" s="67">
        <f t="shared" si="12"/>
        <v>43.52</v>
      </c>
      <c r="AE500" s="67">
        <f t="shared" si="13"/>
        <v>315.52</v>
      </c>
      <c r="AF500" s="67">
        <f t="shared" si="14"/>
        <v>265.6</v>
      </c>
      <c r="AG500" s="67">
        <f t="shared" si="15"/>
        <v>42.496</v>
      </c>
      <c r="AH500" s="67">
        <f t="shared" si="16"/>
        <v>308.096</v>
      </c>
      <c r="AI500" s="67">
        <f t="shared" si="17"/>
        <v>256</v>
      </c>
      <c r="AJ500" s="68">
        <f t="shared" si="20"/>
        <v>40.96</v>
      </c>
      <c r="AK500" s="68">
        <f t="shared" si="21"/>
        <v>296.96</v>
      </c>
      <c r="AL500" s="70">
        <f>IFERROR(__xludf.DUMMYFUNCTION("""COMPUTED_VALUE"""),1.0)</f>
        <v>1</v>
      </c>
      <c r="AM500" s="70"/>
      <c r="AN500" s="71" t="str">
        <f>IFERROR(__xludf.DUMMYFUNCTION("""COMPUTED_VALUE""")," C")</f>
        <v>C</v>
      </c>
      <c r="AO500" s="71" t="str">
        <f>IFERROR(__xludf.DUMMYFUNCTION("""COMPUTED_VALUE""")," CN06")</f>
        <v>CN06</v>
      </c>
      <c r="AP500" s="71" t="str">
        <f>IFERROR(__xludf.DUMMYFUNCTION("""COMPUTED_VALUE""")," PZA")</f>
        <v>PZA</v>
      </c>
      <c r="AQ500" s="71" t="str">
        <f>IFERROR(__xludf.DUMMYFUNCTION("""COMPUTED_VALUE""")," REF")</f>
        <v>REF</v>
      </c>
      <c r="AR500" s="71" t="str">
        <f>IFERROR(__xludf.DUMMYFUNCTION("""COMPUTED_VALUE""")," CONSERVADOR II ULTRA 25 KG. (BULTO)")</f>
        <v>CONSERVADOR II ULTRA 25 KG. (BULTO)</v>
      </c>
      <c r="AS500" s="71" t="str">
        <f>IFERROR(__xludf.DUMMYFUNCTION("""COMPUTED_VALUE""")," CONSERVADOR II ULTRA 25 KG BULTO")</f>
        <v>CONSERVADOR II ULTRA 25 KG BULTO</v>
      </c>
      <c r="AT500" s="71">
        <f>IFERROR(__xludf.DUMMYFUNCTION("""COMPUTED_VALUE"""),32.0)</f>
        <v>32</v>
      </c>
      <c r="AU500" s="71"/>
      <c r="AV500" s="71"/>
      <c r="AW500" s="71"/>
      <c r="AX500" s="71"/>
      <c r="AY500" s="71">
        <f>IFERROR(__xludf.DUMMYFUNCTION("""COMPUTED_VALUE"""),1705.0)</f>
        <v>1705</v>
      </c>
      <c r="AZ500" s="71">
        <f>IFERROR(__xludf.DUMMYFUNCTION("""COMPUTED_VALUE"""),1841.0)</f>
        <v>1841</v>
      </c>
      <c r="BA500" s="71">
        <f>IFERROR(__xludf.DUMMYFUNCTION("""COMPUTED_VALUE"""),1988.2800000000002)</f>
        <v>1988.28</v>
      </c>
      <c r="BB500" s="71">
        <f>IFERROR(__xludf.DUMMYFUNCTION("""COMPUTED_VALUE"""),1988.2800000000002)</f>
        <v>1988.28</v>
      </c>
      <c r="BC500" s="71">
        <f>IFERROR(__xludf.DUMMYFUNCTION("""COMPUTED_VALUE"""),2214.0)</f>
        <v>2214</v>
      </c>
      <c r="BD500" s="71">
        <f>IFERROR(__xludf.DUMMYFUNCTION("""COMPUTED_VALUE"""),2325.0)</f>
        <v>2325</v>
      </c>
      <c r="BE500" s="71">
        <f>IFERROR(__xludf.DUMMYFUNCTION("""COMPUTED_VALUE"""),372.0)</f>
        <v>372</v>
      </c>
      <c r="BF500" s="71">
        <f>IFERROR(__xludf.DUMMYFUNCTION("""COMPUTED_VALUE"""),2697.0)</f>
        <v>2697</v>
      </c>
      <c r="BG500" s="71">
        <f>IFERROR(__xludf.DUMMYFUNCTION("""COMPUTED_VALUE"""),0.05013550135501355)</f>
        <v>0.05013550136</v>
      </c>
      <c r="BH500" s="71">
        <f>IFERROR(__xludf.DUMMYFUNCTION("""COMPUTED_VALUE"""),2208.75)</f>
        <v>2208.75</v>
      </c>
      <c r="BI500" s="71">
        <f>IFERROR(__xludf.DUMMYFUNCTION("""COMPUTED_VALUE"""),353.40000000000003)</f>
        <v>353.4</v>
      </c>
      <c r="BJ500" s="71">
        <f>IFERROR(__xludf.DUMMYFUNCTION("""COMPUTED_VALUE"""),2562.15)</f>
        <v>2562.15</v>
      </c>
      <c r="BK500" s="71">
        <f>IFERROR(__xludf.DUMMYFUNCTION("""COMPUTED_VALUE"""),2092.5)</f>
        <v>2092.5</v>
      </c>
      <c r="BL500" s="71">
        <f>IFERROR(__xludf.DUMMYFUNCTION("""COMPUTED_VALUE"""),334.8)</f>
        <v>334.8</v>
      </c>
      <c r="BM500" s="71">
        <f>IFERROR(__xludf.DUMMYFUNCTION("""COMPUTED_VALUE"""),2427.3)</f>
        <v>2427.3</v>
      </c>
      <c r="BN500" s="71">
        <f>IFERROR(__xludf.DUMMYFUNCTION("""COMPUTED_VALUE"""),1976.25)</f>
        <v>1976.25</v>
      </c>
      <c r="BO500" s="71">
        <f>IFERROR(__xludf.DUMMYFUNCTION("""COMPUTED_VALUE"""),316.2)</f>
        <v>316.2</v>
      </c>
      <c r="BP500" s="71">
        <f>IFERROR(__xludf.DUMMYFUNCTION("""COMPUTED_VALUE"""),2292.45)</f>
        <v>2292.45</v>
      </c>
      <c r="BQ500" s="71">
        <f>IFERROR(__xludf.DUMMYFUNCTION("""COMPUTED_VALUE"""),1929.75)</f>
        <v>1929.75</v>
      </c>
      <c r="BR500" s="71">
        <f>IFERROR(__xludf.DUMMYFUNCTION("""COMPUTED_VALUE"""),308.76)</f>
        <v>308.76</v>
      </c>
      <c r="BS500" s="71">
        <f>IFERROR(__xludf.DUMMYFUNCTION("""COMPUTED_VALUE"""),2238.51)</f>
        <v>2238.51</v>
      </c>
      <c r="BT500" s="71">
        <f>IFERROR(__xludf.DUMMYFUNCTION("""COMPUTED_VALUE"""),1860.0)</f>
        <v>1860</v>
      </c>
      <c r="BU500" s="71">
        <f>IFERROR(__xludf.DUMMYFUNCTION("""COMPUTED_VALUE"""),297.6)</f>
        <v>297.6</v>
      </c>
      <c r="BV500" s="71">
        <f>IFERROR(__xludf.DUMMYFUNCTION("""COMPUTED_VALUE"""),2157.6)</f>
        <v>2157.6</v>
      </c>
    </row>
    <row r="501">
      <c r="A501" s="53"/>
      <c r="B501" s="53"/>
      <c r="C501" s="53" t="s">
        <v>36</v>
      </c>
      <c r="D501" s="85" t="s">
        <v>1262</v>
      </c>
      <c r="E501" s="54" t="s">
        <v>38</v>
      </c>
      <c r="F501" s="55" t="s">
        <v>39</v>
      </c>
      <c r="G501" s="86" t="s">
        <v>1263</v>
      </c>
      <c r="H501" s="55"/>
      <c r="I501" s="54">
        <f t="shared" si="24"/>
        <v>0</v>
      </c>
      <c r="J501" s="56"/>
      <c r="K501" s="57"/>
      <c r="L501" s="76"/>
      <c r="M501" s="59"/>
      <c r="N501" s="60"/>
      <c r="O501" s="61">
        <v>134.4</v>
      </c>
      <c r="P501" s="62">
        <v>145.15200000000002</v>
      </c>
      <c r="Q501" s="63">
        <v>145.15200000000002</v>
      </c>
      <c r="R501" s="64">
        <v>153.0</v>
      </c>
      <c r="S501" s="107">
        <v>161.0</v>
      </c>
      <c r="T501" s="65">
        <f t="shared" si="2"/>
        <v>25.76</v>
      </c>
      <c r="U501" s="65">
        <f t="shared" si="3"/>
        <v>186.76</v>
      </c>
      <c r="V501" s="66">
        <f t="shared" si="4"/>
        <v>0.0522875817</v>
      </c>
      <c r="W501" s="67">
        <f t="shared" si="5"/>
        <v>152.95</v>
      </c>
      <c r="X501" s="67">
        <f t="shared" si="6"/>
        <v>24.472</v>
      </c>
      <c r="Y501" s="67">
        <f t="shared" si="7"/>
        <v>177.422</v>
      </c>
      <c r="Z501" s="67">
        <f t="shared" si="8"/>
        <v>144.9</v>
      </c>
      <c r="AA501" s="67">
        <f t="shared" si="9"/>
        <v>23.184</v>
      </c>
      <c r="AB501" s="67">
        <f t="shared" si="10"/>
        <v>168.084</v>
      </c>
      <c r="AC501" s="67">
        <f t="shared" si="11"/>
        <v>136.85</v>
      </c>
      <c r="AD501" s="67">
        <f t="shared" si="12"/>
        <v>21.896</v>
      </c>
      <c r="AE501" s="67">
        <f t="shared" si="13"/>
        <v>158.746</v>
      </c>
      <c r="AF501" s="67">
        <f t="shared" si="14"/>
        <v>133.63</v>
      </c>
      <c r="AG501" s="67">
        <f t="shared" si="15"/>
        <v>21.3808</v>
      </c>
      <c r="AH501" s="67">
        <f t="shared" si="16"/>
        <v>155.0108</v>
      </c>
      <c r="AI501" s="67">
        <f t="shared" si="17"/>
        <v>128.8</v>
      </c>
      <c r="AJ501" s="68">
        <f t="shared" si="20"/>
        <v>20.608</v>
      </c>
      <c r="AK501" s="68">
        <f t="shared" si="21"/>
        <v>149.408</v>
      </c>
      <c r="AL501" s="70">
        <f>IFERROR(__xludf.DUMMYFUNCTION("""COMPUTED_VALUE"""),1.0)</f>
        <v>1</v>
      </c>
      <c r="AM501" s="70"/>
      <c r="AN501" s="71" t="str">
        <f>IFERROR(__xludf.DUMMYFUNCTION("""COMPUTED_VALUE""")," C")</f>
        <v>C</v>
      </c>
      <c r="AO501" s="71" t="str">
        <f>IFERROR(__xludf.DUMMYFUNCTION("""COMPUTED_VALUE""")," CN05")</f>
        <v>CN05</v>
      </c>
      <c r="AP501" s="71" t="str">
        <f>IFERROR(__xludf.DUMMYFUNCTION("""COMPUTED_VALUE""")," PZA")</f>
        <v>PZA</v>
      </c>
      <c r="AQ501" s="71" t="str">
        <f>IFERROR(__xludf.DUMMYFUNCTION("""COMPUTED_VALUE""")," REF")</f>
        <v>REF</v>
      </c>
      <c r="AR501" s="71" t="str">
        <f>IFERROR(__xludf.DUMMYFUNCTION("""COMPUTED_VALUE""")," CONSERVADOR II ULTRA 5 KG.")</f>
        <v>CONSERVADOR II ULTRA 5 KG.</v>
      </c>
      <c r="AS501" s="71" t="str">
        <f>IFERROR(__xludf.DUMMYFUNCTION("""COMPUTED_VALUE""")," CONSERVADOR II ULTRA 5 KG")</f>
        <v>CONSERVADOR II ULTRA 5 KG</v>
      </c>
      <c r="AT501" s="71">
        <f>IFERROR(__xludf.DUMMYFUNCTION("""COMPUTED_VALUE"""),25.0)</f>
        <v>25</v>
      </c>
      <c r="AU501" s="71"/>
      <c r="AV501" s="71"/>
      <c r="AW501" s="71"/>
      <c r="AX501" s="71"/>
      <c r="AY501" s="71">
        <f>IFERROR(__xludf.DUMMYFUNCTION("""COMPUTED_VALUE"""),352.0)</f>
        <v>352</v>
      </c>
      <c r="AZ501" s="71">
        <f>IFERROR(__xludf.DUMMYFUNCTION("""COMPUTED_VALUE"""),380.0)</f>
        <v>380</v>
      </c>
      <c r="BA501" s="71">
        <f>IFERROR(__xludf.DUMMYFUNCTION("""COMPUTED_VALUE"""),410.40000000000003)</f>
        <v>410.4</v>
      </c>
      <c r="BB501" s="71">
        <f>IFERROR(__xludf.DUMMYFUNCTION("""COMPUTED_VALUE"""),410.40000000000003)</f>
        <v>410.4</v>
      </c>
      <c r="BC501" s="71">
        <f>IFERROR(__xludf.DUMMYFUNCTION("""COMPUTED_VALUE"""),458.0)</f>
        <v>458</v>
      </c>
      <c r="BD501" s="71">
        <f>IFERROR(__xludf.DUMMYFUNCTION("""COMPUTED_VALUE"""),481.0)</f>
        <v>481</v>
      </c>
      <c r="BE501" s="71">
        <f>IFERROR(__xludf.DUMMYFUNCTION("""COMPUTED_VALUE"""),76.96000000000001)</f>
        <v>76.96</v>
      </c>
      <c r="BF501" s="71">
        <f>IFERROR(__xludf.DUMMYFUNCTION("""COMPUTED_VALUE"""),557.96)</f>
        <v>557.96</v>
      </c>
      <c r="BG501" s="71">
        <f>IFERROR(__xludf.DUMMYFUNCTION("""COMPUTED_VALUE"""),0.05021834061135371)</f>
        <v>0.05021834061</v>
      </c>
      <c r="BH501" s="71">
        <f>IFERROR(__xludf.DUMMYFUNCTION("""COMPUTED_VALUE"""),456.95)</f>
        <v>456.95</v>
      </c>
      <c r="BI501" s="71">
        <f>IFERROR(__xludf.DUMMYFUNCTION("""COMPUTED_VALUE"""),73.112)</f>
        <v>73.112</v>
      </c>
      <c r="BJ501" s="71">
        <f>IFERROR(__xludf.DUMMYFUNCTION("""COMPUTED_VALUE"""),530.062)</f>
        <v>530.062</v>
      </c>
      <c r="BK501" s="71">
        <f>IFERROR(__xludf.DUMMYFUNCTION("""COMPUTED_VALUE"""),432.90000000000003)</f>
        <v>432.9</v>
      </c>
      <c r="BL501" s="71">
        <f>IFERROR(__xludf.DUMMYFUNCTION("""COMPUTED_VALUE"""),69.26400000000001)</f>
        <v>69.264</v>
      </c>
      <c r="BM501" s="71">
        <f>IFERROR(__xludf.DUMMYFUNCTION("""COMPUTED_VALUE"""),502.16400000000004)</f>
        <v>502.164</v>
      </c>
      <c r="BN501" s="71">
        <f>IFERROR(__xludf.DUMMYFUNCTION("""COMPUTED_VALUE"""),408.84999999999997)</f>
        <v>408.85</v>
      </c>
      <c r="BO501" s="71">
        <f>IFERROR(__xludf.DUMMYFUNCTION("""COMPUTED_VALUE"""),65.416)</f>
        <v>65.416</v>
      </c>
      <c r="BP501" s="71">
        <f>IFERROR(__xludf.DUMMYFUNCTION("""COMPUTED_VALUE"""),474.26599999999996)</f>
        <v>474.266</v>
      </c>
      <c r="BQ501" s="71">
        <f>IFERROR(__xludf.DUMMYFUNCTION("""COMPUTED_VALUE"""),399.22999999999996)</f>
        <v>399.23</v>
      </c>
      <c r="BR501" s="71">
        <f>IFERROR(__xludf.DUMMYFUNCTION("""COMPUTED_VALUE"""),63.876799999999996)</f>
        <v>63.8768</v>
      </c>
      <c r="BS501" s="71">
        <f>IFERROR(__xludf.DUMMYFUNCTION("""COMPUTED_VALUE"""),463.10679999999996)</f>
        <v>463.1068</v>
      </c>
      <c r="BT501" s="71">
        <f>IFERROR(__xludf.DUMMYFUNCTION("""COMPUTED_VALUE"""),384.8)</f>
        <v>384.8</v>
      </c>
      <c r="BU501" s="71">
        <f>IFERROR(__xludf.DUMMYFUNCTION("""COMPUTED_VALUE"""),61.568000000000005)</f>
        <v>61.568</v>
      </c>
      <c r="BV501" s="71">
        <f>IFERROR(__xludf.DUMMYFUNCTION("""COMPUTED_VALUE"""),446.368)</f>
        <v>446.368</v>
      </c>
    </row>
    <row r="502">
      <c r="A502" s="53"/>
      <c r="B502" s="53"/>
      <c r="C502" s="53" t="s">
        <v>36</v>
      </c>
      <c r="D502" s="85" t="s">
        <v>1264</v>
      </c>
      <c r="E502" s="54" t="s">
        <v>38</v>
      </c>
      <c r="F502" s="55" t="s">
        <v>39</v>
      </c>
      <c r="G502" s="86" t="s">
        <v>1265</v>
      </c>
      <c r="H502" s="55"/>
      <c r="I502" s="54">
        <f t="shared" si="24"/>
        <v>0</v>
      </c>
      <c r="J502" s="56"/>
      <c r="K502" s="57"/>
      <c r="L502" s="76"/>
      <c r="M502" s="59"/>
      <c r="N502" s="60"/>
      <c r="O502" s="61">
        <v>568.32</v>
      </c>
      <c r="P502" s="62">
        <v>389.0</v>
      </c>
      <c r="Q502" s="63">
        <v>389.0</v>
      </c>
      <c r="R502" s="64">
        <v>287.0</v>
      </c>
      <c r="S502" s="107">
        <v>301.0</v>
      </c>
      <c r="T502" s="65">
        <f t="shared" si="2"/>
        <v>48.16</v>
      </c>
      <c r="U502" s="65">
        <f t="shared" si="3"/>
        <v>349.16</v>
      </c>
      <c r="V502" s="66">
        <f t="shared" si="4"/>
        <v>0.0487804878</v>
      </c>
      <c r="W502" s="67">
        <f t="shared" si="5"/>
        <v>285.95</v>
      </c>
      <c r="X502" s="67">
        <f t="shared" si="6"/>
        <v>45.752</v>
      </c>
      <c r="Y502" s="67">
        <f t="shared" si="7"/>
        <v>331.702</v>
      </c>
      <c r="Z502" s="67">
        <f t="shared" si="8"/>
        <v>270.9</v>
      </c>
      <c r="AA502" s="67">
        <f t="shared" si="9"/>
        <v>43.344</v>
      </c>
      <c r="AB502" s="67">
        <f t="shared" si="10"/>
        <v>314.244</v>
      </c>
      <c r="AC502" s="67">
        <f t="shared" si="11"/>
        <v>255.85</v>
      </c>
      <c r="AD502" s="67">
        <f t="shared" si="12"/>
        <v>40.936</v>
      </c>
      <c r="AE502" s="67">
        <f t="shared" si="13"/>
        <v>296.786</v>
      </c>
      <c r="AF502" s="67">
        <f t="shared" si="14"/>
        <v>249.83</v>
      </c>
      <c r="AG502" s="67">
        <f t="shared" si="15"/>
        <v>39.9728</v>
      </c>
      <c r="AH502" s="67">
        <f t="shared" si="16"/>
        <v>289.8028</v>
      </c>
      <c r="AI502" s="67">
        <f t="shared" si="17"/>
        <v>240.8</v>
      </c>
      <c r="AJ502" s="68">
        <f t="shared" si="20"/>
        <v>38.528</v>
      </c>
      <c r="AK502" s="68">
        <f t="shared" si="21"/>
        <v>279.328</v>
      </c>
      <c r="AL502" s="70">
        <f>IFERROR(__xludf.DUMMYFUNCTION("""COMPUTED_VALUE"""),1.0)</f>
        <v>1</v>
      </c>
      <c r="AM502" s="70"/>
      <c r="AN502" s="71" t="str">
        <f>IFERROR(__xludf.DUMMYFUNCTION("""COMPUTED_VALUE""")," P")</f>
        <v>P</v>
      </c>
      <c r="AO502" s="71" t="str">
        <f>IFERROR(__xludf.DUMMYFUNCTION("""COMPUTED_VALUE""")," CF99")</f>
        <v>CF99</v>
      </c>
      <c r="AP502" s="71" t="str">
        <f>IFERROR(__xludf.DUMMYFUNCTION("""COMPUTED_VALUE""")," PZA")</f>
        <v>PZA</v>
      </c>
      <c r="AQ502" s="71" t="str">
        <f>IFERROR(__xludf.DUMMYFUNCTION("""COMPUTED_VALUE""")," REF")</f>
        <v>REF</v>
      </c>
      <c r="AR502" s="71" t="str">
        <f>IFERROR(__xludf.DUMMYFUNCTION("""COMPUTED_VALUE""")," COPLE CINTURÓN EN ACERO INOX. T-304 GRADO ALIMENTICIO PARA TUBO DE RECIRCULACIÓN")</f>
        <v>COPLE CINTURÓN EN ACERO INOX. T-304 GRADO ALIMENTICIO PARA TUBO DE RECIRCULACIÓN</v>
      </c>
      <c r="AS502" s="71" t="str">
        <f>IFERROR(__xludf.DUMMYFUNCTION("""COMPUTED_VALUE""")," COPLE CINTURON INOX P/TUBO RECIRCULACION")</f>
        <v>COPLE CINTURON INOX P/TUBO RECIRCULACION</v>
      </c>
      <c r="AT502" s="71">
        <f>IFERROR(__xludf.DUMMYFUNCTION("""COMPUTED_VALUE"""),40.0)</f>
        <v>40</v>
      </c>
      <c r="AU502" s="71"/>
      <c r="AV502" s="71"/>
      <c r="AW502" s="71"/>
      <c r="AX502" s="71"/>
      <c r="AY502" s="71">
        <f>IFERROR(__xludf.DUMMYFUNCTION("""COMPUTED_VALUE"""),81.0)</f>
        <v>81</v>
      </c>
      <c r="AZ502" s="71">
        <f>IFERROR(__xludf.DUMMYFUNCTION("""COMPUTED_VALUE"""),87.0)</f>
        <v>87</v>
      </c>
      <c r="BA502" s="71">
        <f>IFERROR(__xludf.DUMMYFUNCTION("""COMPUTED_VALUE"""),93.96000000000001)</f>
        <v>93.96</v>
      </c>
      <c r="BB502" s="71">
        <f>IFERROR(__xludf.DUMMYFUNCTION("""COMPUTED_VALUE"""),93.96000000000001)</f>
        <v>93.96</v>
      </c>
      <c r="BC502" s="71">
        <f>IFERROR(__xludf.DUMMYFUNCTION("""COMPUTED_VALUE"""),105.0)</f>
        <v>105</v>
      </c>
      <c r="BD502" s="71">
        <f>IFERROR(__xludf.DUMMYFUNCTION("""COMPUTED_VALUE"""),110.0)</f>
        <v>110</v>
      </c>
      <c r="BE502" s="71">
        <f>IFERROR(__xludf.DUMMYFUNCTION("""COMPUTED_VALUE"""),17.6)</f>
        <v>17.6</v>
      </c>
      <c r="BF502" s="71">
        <f>IFERROR(__xludf.DUMMYFUNCTION("""COMPUTED_VALUE"""),127.6)</f>
        <v>127.6</v>
      </c>
      <c r="BG502" s="71">
        <f>IFERROR(__xludf.DUMMYFUNCTION("""COMPUTED_VALUE"""),0.047619047619047616)</f>
        <v>0.04761904762</v>
      </c>
      <c r="BH502" s="71">
        <f>IFERROR(__xludf.DUMMYFUNCTION("""COMPUTED_VALUE"""),104.5)</f>
        <v>104.5</v>
      </c>
      <c r="BI502" s="71">
        <f>IFERROR(__xludf.DUMMYFUNCTION("""COMPUTED_VALUE"""),16.72)</f>
        <v>16.72</v>
      </c>
      <c r="BJ502" s="71">
        <f>IFERROR(__xludf.DUMMYFUNCTION("""COMPUTED_VALUE"""),121.22)</f>
        <v>121.22</v>
      </c>
      <c r="BK502" s="71">
        <f>IFERROR(__xludf.DUMMYFUNCTION("""COMPUTED_VALUE"""),99.0)</f>
        <v>99</v>
      </c>
      <c r="BL502" s="71">
        <f>IFERROR(__xludf.DUMMYFUNCTION("""COMPUTED_VALUE"""),15.84)</f>
        <v>15.84</v>
      </c>
      <c r="BM502" s="71">
        <f>IFERROR(__xludf.DUMMYFUNCTION("""COMPUTED_VALUE"""),114.84)</f>
        <v>114.84</v>
      </c>
      <c r="BN502" s="71">
        <f>IFERROR(__xludf.DUMMYFUNCTION("""COMPUTED_VALUE"""),93.5)</f>
        <v>93.5</v>
      </c>
      <c r="BO502" s="71">
        <f>IFERROR(__xludf.DUMMYFUNCTION("""COMPUTED_VALUE"""),14.96)</f>
        <v>14.96</v>
      </c>
      <c r="BP502" s="71">
        <f>IFERROR(__xludf.DUMMYFUNCTION("""COMPUTED_VALUE"""),108.46000000000001)</f>
        <v>108.46</v>
      </c>
      <c r="BQ502" s="71">
        <f>IFERROR(__xludf.DUMMYFUNCTION("""COMPUTED_VALUE"""),91.3)</f>
        <v>91.3</v>
      </c>
      <c r="BR502" s="71">
        <f>IFERROR(__xludf.DUMMYFUNCTION("""COMPUTED_VALUE"""),14.608)</f>
        <v>14.608</v>
      </c>
      <c r="BS502" s="71">
        <f>IFERROR(__xludf.DUMMYFUNCTION("""COMPUTED_VALUE"""),105.908)</f>
        <v>105.908</v>
      </c>
      <c r="BT502" s="71">
        <f>IFERROR(__xludf.DUMMYFUNCTION("""COMPUTED_VALUE"""),88.0)</f>
        <v>88</v>
      </c>
      <c r="BU502" s="71">
        <f>IFERROR(__xludf.DUMMYFUNCTION("""COMPUTED_VALUE"""),14.08)</f>
        <v>14.08</v>
      </c>
      <c r="BV502" s="71">
        <f>IFERROR(__xludf.DUMMYFUNCTION("""COMPUTED_VALUE"""),102.08)</f>
        <v>102.08</v>
      </c>
    </row>
    <row r="503">
      <c r="A503" s="53"/>
      <c r="B503" s="53"/>
      <c r="C503" s="73" t="s">
        <v>53</v>
      </c>
      <c r="D503" s="53" t="s">
        <v>1266</v>
      </c>
      <c r="E503" s="54" t="s">
        <v>38</v>
      </c>
      <c r="F503" s="55" t="s">
        <v>309</v>
      </c>
      <c r="G503" s="55" t="s">
        <v>1267</v>
      </c>
      <c r="H503" s="54" t="s">
        <v>1268</v>
      </c>
      <c r="I503" s="54">
        <f t="shared" si="24"/>
        <v>17</v>
      </c>
      <c r="J503" s="56"/>
      <c r="K503" s="57"/>
      <c r="L503" s="76"/>
      <c r="M503" s="59"/>
      <c r="N503" s="60"/>
      <c r="O503" s="90">
        <v>1908.0</v>
      </c>
      <c r="P503" s="62">
        <v>2060.6400000000003</v>
      </c>
      <c r="Q503" s="63">
        <v>2060.6400000000003</v>
      </c>
      <c r="R503" s="64">
        <v>2295.0</v>
      </c>
      <c r="S503" s="111">
        <v>2410.0</v>
      </c>
      <c r="T503" s="65">
        <f t="shared" si="2"/>
        <v>385.6</v>
      </c>
      <c r="U503" s="65">
        <f t="shared" si="3"/>
        <v>2795.6</v>
      </c>
      <c r="V503" s="66">
        <f t="shared" si="4"/>
        <v>0.05010893246</v>
      </c>
      <c r="W503" s="67">
        <f t="shared" si="5"/>
        <v>2289.5</v>
      </c>
      <c r="X503" s="67">
        <f t="shared" si="6"/>
        <v>366.32</v>
      </c>
      <c r="Y503" s="67">
        <f t="shared" si="7"/>
        <v>2655.82</v>
      </c>
      <c r="Z503" s="67">
        <f t="shared" si="8"/>
        <v>2169</v>
      </c>
      <c r="AA503" s="67">
        <f t="shared" si="9"/>
        <v>347.04</v>
      </c>
      <c r="AB503" s="67">
        <f t="shared" si="10"/>
        <v>2516.04</v>
      </c>
      <c r="AC503" s="67">
        <f t="shared" si="11"/>
        <v>2048.5</v>
      </c>
      <c r="AD503" s="67">
        <f t="shared" si="12"/>
        <v>327.76</v>
      </c>
      <c r="AE503" s="67">
        <f t="shared" si="13"/>
        <v>2376.26</v>
      </c>
      <c r="AF503" s="67">
        <f t="shared" si="14"/>
        <v>2000.3</v>
      </c>
      <c r="AG503" s="67">
        <f t="shared" si="15"/>
        <v>320.048</v>
      </c>
      <c r="AH503" s="67">
        <f t="shared" si="16"/>
        <v>2320.348</v>
      </c>
      <c r="AI503" s="67">
        <f t="shared" si="17"/>
        <v>1928</v>
      </c>
      <c r="AJ503" s="68">
        <f t="shared" si="20"/>
        <v>308.48</v>
      </c>
      <c r="AK503" s="68">
        <f t="shared" si="21"/>
        <v>2236.48</v>
      </c>
      <c r="AL503" s="70">
        <f>IFERROR(__xludf.DUMMYFUNCTION("""COMPUTED_VALUE"""),1.0)</f>
        <v>1</v>
      </c>
      <c r="AM503" s="70"/>
      <c r="AN503" s="71" t="str">
        <f>IFERROR(__xludf.DUMMYFUNCTION("""COMPUTED_VALUE""")," P")</f>
        <v>P</v>
      </c>
      <c r="AO503" s="71" t="str">
        <f>IFERROR(__xludf.DUMMYFUNCTION("""COMPUTED_VALUE""")," CF01")</f>
        <v>CF01</v>
      </c>
      <c r="AP503" s="71" t="str">
        <f>IFERROR(__xludf.DUMMYFUNCTION("""COMPUTED_VALUE""")," PZA")</f>
        <v>PZA</v>
      </c>
      <c r="AQ503" s="71" t="str">
        <f>IFERROR(__xludf.DUMMYFUNCTION("""COMPUTED_VALUE""")," REF")</f>
        <v>REF</v>
      </c>
      <c r="AR503" s="71" t="str">
        <f>IFERROR(__xludf.DUMMYFUNCTION("""COMPUTED_VALUE""")," COPLE DÚPLEX PARA TUBO DE RECIRCULACIÓN")</f>
        <v>COPLE DÚPLEX PARA TUBO DE RECIRCULACIÓN</v>
      </c>
      <c r="AS503" s="71" t="str">
        <f>IFERROR(__xludf.DUMMYFUNCTION("""COMPUTED_VALUE""")," COPLE DPLX PARA TUBO DE RECIRCULACION")</f>
        <v>COPLE DPLX PARA TUBO DE RECIRCULACION</v>
      </c>
      <c r="AT503" s="71">
        <f>IFERROR(__xludf.DUMMYFUNCTION("""COMPUTED_VALUE"""),37.0)</f>
        <v>37</v>
      </c>
      <c r="AU503" s="71"/>
      <c r="AV503" s="71"/>
      <c r="AW503" s="71"/>
      <c r="AX503" s="71"/>
      <c r="AY503" s="71">
        <f>IFERROR(__xludf.DUMMYFUNCTION("""COMPUTED_VALUE"""),202.0)</f>
        <v>202</v>
      </c>
      <c r="AZ503" s="71">
        <f>IFERROR(__xludf.DUMMYFUNCTION("""COMPUTED_VALUE"""),218.0)</f>
        <v>218</v>
      </c>
      <c r="BA503" s="71">
        <f>IFERROR(__xludf.DUMMYFUNCTION("""COMPUTED_VALUE"""),235.44000000000003)</f>
        <v>235.44</v>
      </c>
      <c r="BB503" s="71">
        <f>IFERROR(__xludf.DUMMYFUNCTION("""COMPUTED_VALUE"""),235.44000000000003)</f>
        <v>235.44</v>
      </c>
      <c r="BC503" s="71">
        <f>IFERROR(__xludf.DUMMYFUNCTION("""COMPUTED_VALUE"""),263.0)</f>
        <v>263</v>
      </c>
      <c r="BD503" s="71">
        <f>IFERROR(__xludf.DUMMYFUNCTION("""COMPUTED_VALUE"""),276.0)</f>
        <v>276</v>
      </c>
      <c r="BE503" s="71">
        <f>IFERROR(__xludf.DUMMYFUNCTION("""COMPUTED_VALUE"""),44.160000000000004)</f>
        <v>44.16</v>
      </c>
      <c r="BF503" s="71">
        <f>IFERROR(__xludf.DUMMYFUNCTION("""COMPUTED_VALUE"""),320.16)</f>
        <v>320.16</v>
      </c>
      <c r="BG503" s="71">
        <f>IFERROR(__xludf.DUMMYFUNCTION("""COMPUTED_VALUE"""),0.049429657794676805)</f>
        <v>0.04942965779</v>
      </c>
      <c r="BH503" s="71">
        <f>IFERROR(__xludf.DUMMYFUNCTION("""COMPUTED_VALUE"""),262.2)</f>
        <v>262.2</v>
      </c>
      <c r="BI503" s="71">
        <f>IFERROR(__xludf.DUMMYFUNCTION("""COMPUTED_VALUE"""),41.952)</f>
        <v>41.952</v>
      </c>
      <c r="BJ503" s="71">
        <f>IFERROR(__xludf.DUMMYFUNCTION("""COMPUTED_VALUE"""),304.152)</f>
        <v>304.152</v>
      </c>
      <c r="BK503" s="71">
        <f>IFERROR(__xludf.DUMMYFUNCTION("""COMPUTED_VALUE"""),248.4)</f>
        <v>248.4</v>
      </c>
      <c r="BL503" s="71">
        <f>IFERROR(__xludf.DUMMYFUNCTION("""COMPUTED_VALUE"""),39.744)</f>
        <v>39.744</v>
      </c>
      <c r="BM503" s="71">
        <f>IFERROR(__xludf.DUMMYFUNCTION("""COMPUTED_VALUE"""),288.144)</f>
        <v>288.144</v>
      </c>
      <c r="BN503" s="71">
        <f>IFERROR(__xludf.DUMMYFUNCTION("""COMPUTED_VALUE"""),234.6)</f>
        <v>234.6</v>
      </c>
      <c r="BO503" s="71">
        <f>IFERROR(__xludf.DUMMYFUNCTION("""COMPUTED_VALUE"""),37.536)</f>
        <v>37.536</v>
      </c>
      <c r="BP503" s="71">
        <f>IFERROR(__xludf.DUMMYFUNCTION("""COMPUTED_VALUE"""),272.13599999999997)</f>
        <v>272.136</v>
      </c>
      <c r="BQ503" s="71">
        <f>IFERROR(__xludf.DUMMYFUNCTION("""COMPUTED_VALUE"""),229.07999999999998)</f>
        <v>229.08</v>
      </c>
      <c r="BR503" s="71">
        <f>IFERROR(__xludf.DUMMYFUNCTION("""COMPUTED_VALUE"""),36.6528)</f>
        <v>36.6528</v>
      </c>
      <c r="BS503" s="71">
        <f>IFERROR(__xludf.DUMMYFUNCTION("""COMPUTED_VALUE"""),265.7328)</f>
        <v>265.7328</v>
      </c>
      <c r="BT503" s="71">
        <f>IFERROR(__xludf.DUMMYFUNCTION("""COMPUTED_VALUE"""),220.8)</f>
        <v>220.8</v>
      </c>
      <c r="BU503" s="71">
        <f>IFERROR(__xludf.DUMMYFUNCTION("""COMPUTED_VALUE"""),35.328)</f>
        <v>35.328</v>
      </c>
      <c r="BV503" s="71">
        <f>IFERROR(__xludf.DUMMYFUNCTION("""COMPUTED_VALUE"""),256.12800000000004)</f>
        <v>256.128</v>
      </c>
    </row>
    <row r="504">
      <c r="A504" s="53">
        <v>1.0</v>
      </c>
      <c r="B504" s="72"/>
      <c r="C504" s="73" t="s">
        <v>53</v>
      </c>
      <c r="D504" s="74" t="s">
        <v>1269</v>
      </c>
      <c r="E504" s="54" t="s">
        <v>38</v>
      </c>
      <c r="F504" s="54" t="s">
        <v>42</v>
      </c>
      <c r="G504" s="88" t="s">
        <v>1270</v>
      </c>
      <c r="H504" s="54" t="s">
        <v>1268</v>
      </c>
      <c r="I504" s="54">
        <f t="shared" si="24"/>
        <v>17</v>
      </c>
      <c r="J504" s="56"/>
      <c r="K504" s="75"/>
      <c r="L504" s="76"/>
      <c r="M504" s="59"/>
      <c r="N504" s="60">
        <v>1767.0</v>
      </c>
      <c r="O504" s="61">
        <v>1908.0</v>
      </c>
      <c r="P504" s="62">
        <v>2060.6400000000003</v>
      </c>
      <c r="Q504" s="63">
        <v>2060.6400000000003</v>
      </c>
      <c r="R504" s="64">
        <v>2295.0</v>
      </c>
      <c r="S504" s="111">
        <v>2410.0</v>
      </c>
      <c r="T504" s="65">
        <f t="shared" si="2"/>
        <v>385.6</v>
      </c>
      <c r="U504" s="65">
        <f t="shared" si="3"/>
        <v>2795.6</v>
      </c>
      <c r="V504" s="66">
        <f t="shared" si="4"/>
        <v>0.05010893246</v>
      </c>
      <c r="W504" s="67">
        <f t="shared" si="5"/>
        <v>2289.5</v>
      </c>
      <c r="X504" s="67">
        <f t="shared" si="6"/>
        <v>366.32</v>
      </c>
      <c r="Y504" s="67">
        <f t="shared" si="7"/>
        <v>2655.82</v>
      </c>
      <c r="Z504" s="67">
        <f t="shared" si="8"/>
        <v>2169</v>
      </c>
      <c r="AA504" s="67">
        <f t="shared" si="9"/>
        <v>347.04</v>
      </c>
      <c r="AB504" s="67">
        <f t="shared" si="10"/>
        <v>2516.04</v>
      </c>
      <c r="AC504" s="67">
        <f t="shared" si="11"/>
        <v>2048.5</v>
      </c>
      <c r="AD504" s="67">
        <f t="shared" si="12"/>
        <v>327.76</v>
      </c>
      <c r="AE504" s="67">
        <f t="shared" si="13"/>
        <v>2376.26</v>
      </c>
      <c r="AF504" s="67">
        <f t="shared" si="14"/>
        <v>2000.3</v>
      </c>
      <c r="AG504" s="67">
        <f t="shared" si="15"/>
        <v>320.048</v>
      </c>
      <c r="AH504" s="67">
        <f t="shared" si="16"/>
        <v>2320.348</v>
      </c>
      <c r="AI504" s="67">
        <f t="shared" si="17"/>
        <v>1928</v>
      </c>
      <c r="AJ504" s="68">
        <f t="shared" si="20"/>
        <v>308.48</v>
      </c>
      <c r="AK504" s="68">
        <f t="shared" si="21"/>
        <v>2236.48</v>
      </c>
      <c r="AL504" s="70">
        <f>IFERROR(__xludf.DUMMYFUNCTION("""COMPUTED_VALUE"""),1.0)</f>
        <v>1</v>
      </c>
      <c r="AM504" s="70"/>
      <c r="AN504" s="71" t="str">
        <f>IFERROR(__xludf.DUMMYFUNCTION("""COMPUTED_VALUE""")," P")</f>
        <v>P</v>
      </c>
      <c r="AO504" s="71" t="str">
        <f>IFERROR(__xludf.DUMMYFUNCTION("""COMPUTED_VALUE""")," CF98")</f>
        <v>CF98</v>
      </c>
      <c r="AP504" s="71" t="str">
        <f>IFERROR(__xludf.DUMMYFUNCTION("""COMPUTED_VALUE""")," PZA")</f>
        <v>PZA</v>
      </c>
      <c r="AQ504" s="71" t="str">
        <f>IFERROR(__xludf.DUMMYFUNCTION("""COMPUTED_VALUE""")," REF")</f>
        <v>REF</v>
      </c>
      <c r="AR504" s="71" t="str">
        <f>IFERROR(__xludf.DUMMYFUNCTION("""COMPUTED_VALUE""")," COPLE SENCILLO EN ACERO INOX. T-304 GRADO ALIMENTICIO PARA TUBO DE RECIRCULACIÓN")</f>
        <v>COPLE SENCILLO EN ACERO INOX. T-304 GRADO ALIMENTICIO PARA TUBO DE RECIRCULACIÓN</v>
      </c>
      <c r="AS504" s="71" t="str">
        <f>IFERROR(__xludf.DUMMYFUNCTION("""COMPUTED_VALUE""")," COPLE SENCILLO INOX P/TUBO RECIRCULACION")</f>
        <v>COPLE SENCILLO INOX P/TUBO RECIRCULACION</v>
      </c>
      <c r="AT504" s="71">
        <f>IFERROR(__xludf.DUMMYFUNCTION("""COMPUTED_VALUE"""),40.0)</f>
        <v>40</v>
      </c>
      <c r="AU504" s="71"/>
      <c r="AV504" s="71"/>
      <c r="AW504" s="71"/>
      <c r="AX504" s="71"/>
      <c r="AY504" s="71">
        <f>IFERROR(__xludf.DUMMYFUNCTION("""COMPUTED_VALUE"""),605.0)</f>
        <v>605</v>
      </c>
      <c r="AZ504" s="71">
        <f>IFERROR(__xludf.DUMMYFUNCTION("""COMPUTED_VALUE"""),653.0)</f>
        <v>653</v>
      </c>
      <c r="BA504" s="71">
        <f>IFERROR(__xludf.DUMMYFUNCTION("""COMPUTED_VALUE"""),705.24)</f>
        <v>705.24</v>
      </c>
      <c r="BB504" s="71">
        <f>IFERROR(__xludf.DUMMYFUNCTION("""COMPUTED_VALUE"""),705.24)</f>
        <v>705.24</v>
      </c>
      <c r="BC504" s="71">
        <f>IFERROR(__xludf.DUMMYFUNCTION("""COMPUTED_VALUE"""),786.0)</f>
        <v>786</v>
      </c>
      <c r="BD504" s="71">
        <f>IFERROR(__xludf.DUMMYFUNCTION("""COMPUTED_VALUE"""),825.0)</f>
        <v>825</v>
      </c>
      <c r="BE504" s="71">
        <f>IFERROR(__xludf.DUMMYFUNCTION("""COMPUTED_VALUE"""),132.0)</f>
        <v>132</v>
      </c>
      <c r="BF504" s="71">
        <f>IFERROR(__xludf.DUMMYFUNCTION("""COMPUTED_VALUE"""),957.0)</f>
        <v>957</v>
      </c>
      <c r="BG504" s="71">
        <f>IFERROR(__xludf.DUMMYFUNCTION("""COMPUTED_VALUE"""),0.04961832061068702)</f>
        <v>0.04961832061</v>
      </c>
      <c r="BH504" s="71">
        <f>IFERROR(__xludf.DUMMYFUNCTION("""COMPUTED_VALUE"""),783.75)</f>
        <v>783.75</v>
      </c>
      <c r="BI504" s="71">
        <f>IFERROR(__xludf.DUMMYFUNCTION("""COMPUTED_VALUE"""),125.4)</f>
        <v>125.4</v>
      </c>
      <c r="BJ504" s="71">
        <f>IFERROR(__xludf.DUMMYFUNCTION("""COMPUTED_VALUE"""),909.15)</f>
        <v>909.15</v>
      </c>
      <c r="BK504" s="71">
        <f>IFERROR(__xludf.DUMMYFUNCTION("""COMPUTED_VALUE"""),742.5)</f>
        <v>742.5</v>
      </c>
      <c r="BL504" s="71">
        <f>IFERROR(__xludf.DUMMYFUNCTION("""COMPUTED_VALUE"""),118.8)</f>
        <v>118.8</v>
      </c>
      <c r="BM504" s="71">
        <f>IFERROR(__xludf.DUMMYFUNCTION("""COMPUTED_VALUE"""),861.3)</f>
        <v>861.3</v>
      </c>
      <c r="BN504" s="71">
        <f>IFERROR(__xludf.DUMMYFUNCTION("""COMPUTED_VALUE"""),701.25)</f>
        <v>701.25</v>
      </c>
      <c r="BO504" s="71">
        <f>IFERROR(__xludf.DUMMYFUNCTION("""COMPUTED_VALUE"""),112.2)</f>
        <v>112.2</v>
      </c>
      <c r="BP504" s="71">
        <f>IFERROR(__xludf.DUMMYFUNCTION("""COMPUTED_VALUE"""),813.45)</f>
        <v>813.45</v>
      </c>
      <c r="BQ504" s="71">
        <f>IFERROR(__xludf.DUMMYFUNCTION("""COMPUTED_VALUE"""),684.75)</f>
        <v>684.75</v>
      </c>
      <c r="BR504" s="71">
        <f>IFERROR(__xludf.DUMMYFUNCTION("""COMPUTED_VALUE"""),109.56)</f>
        <v>109.56</v>
      </c>
      <c r="BS504" s="71">
        <f>IFERROR(__xludf.DUMMYFUNCTION("""COMPUTED_VALUE"""),794.31)</f>
        <v>794.31</v>
      </c>
      <c r="BT504" s="71">
        <f>IFERROR(__xludf.DUMMYFUNCTION("""COMPUTED_VALUE"""),660.0)</f>
        <v>660</v>
      </c>
      <c r="BU504" s="71">
        <f>IFERROR(__xludf.DUMMYFUNCTION("""COMPUTED_VALUE"""),105.60000000000001)</f>
        <v>105.6</v>
      </c>
      <c r="BV504" s="71">
        <f>IFERROR(__xludf.DUMMYFUNCTION("""COMPUTED_VALUE"""),765.6)</f>
        <v>765.6</v>
      </c>
    </row>
    <row r="505">
      <c r="A505" s="53">
        <v>1.0</v>
      </c>
      <c r="B505" s="72"/>
      <c r="C505" s="73" t="s">
        <v>53</v>
      </c>
      <c r="D505" s="74" t="s">
        <v>1271</v>
      </c>
      <c r="E505" s="54" t="s">
        <v>38</v>
      </c>
      <c r="F505" s="54" t="s">
        <v>42</v>
      </c>
      <c r="G505" s="88" t="s">
        <v>1272</v>
      </c>
      <c r="H505" s="54" t="s">
        <v>1272</v>
      </c>
      <c r="I505" s="54">
        <f t="shared" si="24"/>
        <v>21</v>
      </c>
      <c r="J505" s="56"/>
      <c r="K505" s="75"/>
      <c r="L505" s="76"/>
      <c r="M505" s="59"/>
      <c r="N505" s="60">
        <v>1403.0</v>
      </c>
      <c r="O505" s="61">
        <v>1515.0</v>
      </c>
      <c r="P505" s="62">
        <v>1636.2</v>
      </c>
      <c r="Q505" s="63">
        <v>1636.2</v>
      </c>
      <c r="R505" s="64">
        <v>1822.0</v>
      </c>
      <c r="S505" s="111">
        <v>1913.0</v>
      </c>
      <c r="T505" s="65">
        <f t="shared" si="2"/>
        <v>306.08</v>
      </c>
      <c r="U505" s="65">
        <f t="shared" si="3"/>
        <v>2219.08</v>
      </c>
      <c r="V505" s="66">
        <f t="shared" si="4"/>
        <v>0.04994511526</v>
      </c>
      <c r="W505" s="67">
        <f t="shared" si="5"/>
        <v>1817.35</v>
      </c>
      <c r="X505" s="67">
        <f t="shared" si="6"/>
        <v>290.776</v>
      </c>
      <c r="Y505" s="67">
        <f t="shared" si="7"/>
        <v>2108.126</v>
      </c>
      <c r="Z505" s="67">
        <f t="shared" si="8"/>
        <v>1721.7</v>
      </c>
      <c r="AA505" s="67">
        <f t="shared" si="9"/>
        <v>275.472</v>
      </c>
      <c r="AB505" s="67">
        <f t="shared" si="10"/>
        <v>1997.172</v>
      </c>
      <c r="AC505" s="67">
        <f t="shared" si="11"/>
        <v>1626.05</v>
      </c>
      <c r="AD505" s="67">
        <f t="shared" si="12"/>
        <v>260.168</v>
      </c>
      <c r="AE505" s="67">
        <f t="shared" si="13"/>
        <v>1886.218</v>
      </c>
      <c r="AF505" s="67">
        <f t="shared" si="14"/>
        <v>1587.79</v>
      </c>
      <c r="AG505" s="67">
        <f t="shared" si="15"/>
        <v>254.0464</v>
      </c>
      <c r="AH505" s="67">
        <f t="shared" si="16"/>
        <v>1841.8364</v>
      </c>
      <c r="AI505" s="67">
        <f t="shared" si="17"/>
        <v>1530.4</v>
      </c>
      <c r="AJ505" s="68">
        <f t="shared" si="20"/>
        <v>244.864</v>
      </c>
      <c r="AK505" s="68">
        <f t="shared" si="21"/>
        <v>1775.264</v>
      </c>
      <c r="AL505" s="70">
        <f>IFERROR(__xludf.DUMMYFUNCTION("""COMPUTED_VALUE"""),1.0)</f>
        <v>1</v>
      </c>
      <c r="AM505" s="70"/>
      <c r="AN505" s="71" t="str">
        <f>IFERROR(__xludf.DUMMYFUNCTION("""COMPUTED_VALUE""")," P")</f>
        <v>P</v>
      </c>
      <c r="AO505" s="71" t="str">
        <f>IFERROR(__xludf.DUMMYFUNCTION("""COMPUTED_VALUE""")," CF02")</f>
        <v>CF02</v>
      </c>
      <c r="AP505" s="71" t="str">
        <f>IFERROR(__xludf.DUMMYFUNCTION("""COMPUTED_VALUE""")," PZA")</f>
        <v>PZA</v>
      </c>
      <c r="AQ505" s="71" t="str">
        <f>IFERROR(__xludf.DUMMYFUNCTION("""COMPUTED_VALUE""")," REF")</f>
        <v>REF</v>
      </c>
      <c r="AR505" s="71" t="str">
        <f>IFERROR(__xludf.DUMMYFUNCTION("""COMPUTED_VALUE""")," COPLE SENCILLO PARA TUBO DE RECIRCULACIÓN")</f>
        <v>COPLE SENCILLO PARA TUBO DE RECIRCULACIÓN</v>
      </c>
      <c r="AS505" s="71" t="str">
        <f>IFERROR(__xludf.DUMMYFUNCTION("""COMPUTED_VALUE""")," COPLE SENCILLO P/TUBO DE RECIRCULACION")</f>
        <v>COPLE SENCILLO P/TUBO DE RECIRCULACION</v>
      </c>
      <c r="AT505" s="71">
        <f>IFERROR(__xludf.DUMMYFUNCTION("""COMPUTED_VALUE"""),38.0)</f>
        <v>38</v>
      </c>
      <c r="AU505" s="71"/>
      <c r="AV505" s="71"/>
      <c r="AW505" s="71"/>
      <c r="AX505" s="71"/>
      <c r="AY505" s="71">
        <f>IFERROR(__xludf.DUMMYFUNCTION("""COMPUTED_VALUE"""),202.0)</f>
        <v>202</v>
      </c>
      <c r="AZ505" s="71">
        <f>IFERROR(__xludf.DUMMYFUNCTION("""COMPUTED_VALUE"""),218.0)</f>
        <v>218</v>
      </c>
      <c r="BA505" s="71">
        <f>IFERROR(__xludf.DUMMYFUNCTION("""COMPUTED_VALUE"""),235.44000000000003)</f>
        <v>235.44</v>
      </c>
      <c r="BB505" s="71">
        <f>IFERROR(__xludf.DUMMYFUNCTION("""COMPUTED_VALUE"""),235.44000000000003)</f>
        <v>235.44</v>
      </c>
      <c r="BC505" s="71">
        <f>IFERROR(__xludf.DUMMYFUNCTION("""COMPUTED_VALUE"""),263.0)</f>
        <v>263</v>
      </c>
      <c r="BD505" s="71">
        <f>IFERROR(__xludf.DUMMYFUNCTION("""COMPUTED_VALUE"""),276.0)</f>
        <v>276</v>
      </c>
      <c r="BE505" s="71">
        <f>IFERROR(__xludf.DUMMYFUNCTION("""COMPUTED_VALUE"""),44.160000000000004)</f>
        <v>44.16</v>
      </c>
      <c r="BF505" s="71">
        <f>IFERROR(__xludf.DUMMYFUNCTION("""COMPUTED_VALUE"""),320.16)</f>
        <v>320.16</v>
      </c>
      <c r="BG505" s="71">
        <f>IFERROR(__xludf.DUMMYFUNCTION("""COMPUTED_VALUE"""),0.049429657794676805)</f>
        <v>0.04942965779</v>
      </c>
      <c r="BH505" s="71">
        <f>IFERROR(__xludf.DUMMYFUNCTION("""COMPUTED_VALUE"""),262.2)</f>
        <v>262.2</v>
      </c>
      <c r="BI505" s="71">
        <f>IFERROR(__xludf.DUMMYFUNCTION("""COMPUTED_VALUE"""),41.952)</f>
        <v>41.952</v>
      </c>
      <c r="BJ505" s="71">
        <f>IFERROR(__xludf.DUMMYFUNCTION("""COMPUTED_VALUE"""),304.152)</f>
        <v>304.152</v>
      </c>
      <c r="BK505" s="71">
        <f>IFERROR(__xludf.DUMMYFUNCTION("""COMPUTED_VALUE"""),248.4)</f>
        <v>248.4</v>
      </c>
      <c r="BL505" s="71">
        <f>IFERROR(__xludf.DUMMYFUNCTION("""COMPUTED_VALUE"""),39.744)</f>
        <v>39.744</v>
      </c>
      <c r="BM505" s="71">
        <f>IFERROR(__xludf.DUMMYFUNCTION("""COMPUTED_VALUE"""),288.144)</f>
        <v>288.144</v>
      </c>
      <c r="BN505" s="71">
        <f>IFERROR(__xludf.DUMMYFUNCTION("""COMPUTED_VALUE"""),234.6)</f>
        <v>234.6</v>
      </c>
      <c r="BO505" s="71">
        <f>IFERROR(__xludf.DUMMYFUNCTION("""COMPUTED_VALUE"""),37.536)</f>
        <v>37.536</v>
      </c>
      <c r="BP505" s="71">
        <f>IFERROR(__xludf.DUMMYFUNCTION("""COMPUTED_VALUE"""),272.13599999999997)</f>
        <v>272.136</v>
      </c>
      <c r="BQ505" s="71">
        <f>IFERROR(__xludf.DUMMYFUNCTION("""COMPUTED_VALUE"""),229.07999999999998)</f>
        <v>229.08</v>
      </c>
      <c r="BR505" s="71">
        <f>IFERROR(__xludf.DUMMYFUNCTION("""COMPUTED_VALUE"""),36.6528)</f>
        <v>36.6528</v>
      </c>
      <c r="BS505" s="71">
        <f>IFERROR(__xludf.DUMMYFUNCTION("""COMPUTED_VALUE"""),265.7328)</f>
        <v>265.7328</v>
      </c>
      <c r="BT505" s="71">
        <f>IFERROR(__xludf.DUMMYFUNCTION("""COMPUTED_VALUE"""),220.8)</f>
        <v>220.8</v>
      </c>
      <c r="BU505" s="71">
        <f>IFERROR(__xludf.DUMMYFUNCTION("""COMPUTED_VALUE"""),35.328)</f>
        <v>35.328</v>
      </c>
      <c r="BV505" s="71">
        <f>IFERROR(__xludf.DUMMYFUNCTION("""COMPUTED_VALUE"""),256.12800000000004)</f>
        <v>256.128</v>
      </c>
    </row>
    <row r="506">
      <c r="A506" s="53"/>
      <c r="B506" s="53"/>
      <c r="C506" s="73" t="s">
        <v>53</v>
      </c>
      <c r="D506" s="53" t="s">
        <v>1273</v>
      </c>
      <c r="E506" s="54" t="s">
        <v>38</v>
      </c>
      <c r="F506" s="55" t="s">
        <v>309</v>
      </c>
      <c r="G506" s="55" t="s">
        <v>1272</v>
      </c>
      <c r="H506" s="54" t="s">
        <v>1272</v>
      </c>
      <c r="I506" s="54">
        <f t="shared" si="24"/>
        <v>21</v>
      </c>
      <c r="J506" s="56"/>
      <c r="K506" s="57"/>
      <c r="L506" s="76"/>
      <c r="M506" s="59"/>
      <c r="N506" s="60"/>
      <c r="O506" s="90">
        <v>1515.0</v>
      </c>
      <c r="P506" s="62">
        <v>1636.2</v>
      </c>
      <c r="Q506" s="63">
        <v>1636.2</v>
      </c>
      <c r="R506" s="64">
        <v>2187.0</v>
      </c>
      <c r="S506" s="111">
        <v>2296.0</v>
      </c>
      <c r="T506" s="65">
        <f t="shared" si="2"/>
        <v>367.36</v>
      </c>
      <c r="U506" s="65">
        <f t="shared" si="3"/>
        <v>2663.36</v>
      </c>
      <c r="V506" s="66">
        <f t="shared" si="4"/>
        <v>0.04983996342</v>
      </c>
      <c r="W506" s="67">
        <f t="shared" si="5"/>
        <v>2181.2</v>
      </c>
      <c r="X506" s="67">
        <f t="shared" si="6"/>
        <v>348.992</v>
      </c>
      <c r="Y506" s="67">
        <f t="shared" si="7"/>
        <v>2530.192</v>
      </c>
      <c r="Z506" s="67">
        <f t="shared" si="8"/>
        <v>2066.4</v>
      </c>
      <c r="AA506" s="67">
        <f t="shared" si="9"/>
        <v>330.624</v>
      </c>
      <c r="AB506" s="67">
        <f t="shared" si="10"/>
        <v>2397.024</v>
      </c>
      <c r="AC506" s="67">
        <f t="shared" si="11"/>
        <v>1951.6</v>
      </c>
      <c r="AD506" s="67">
        <f t="shared" si="12"/>
        <v>312.256</v>
      </c>
      <c r="AE506" s="67">
        <f t="shared" si="13"/>
        <v>2263.856</v>
      </c>
      <c r="AF506" s="67">
        <f t="shared" si="14"/>
        <v>1905.68</v>
      </c>
      <c r="AG506" s="67">
        <f t="shared" si="15"/>
        <v>304.9088</v>
      </c>
      <c r="AH506" s="67">
        <f t="shared" si="16"/>
        <v>2210.5888</v>
      </c>
      <c r="AI506" s="67">
        <f t="shared" si="17"/>
        <v>1836.8</v>
      </c>
      <c r="AJ506" s="68">
        <f t="shared" si="20"/>
        <v>293.888</v>
      </c>
      <c r="AK506" s="68">
        <f t="shared" si="21"/>
        <v>2130.688</v>
      </c>
      <c r="AL506" s="70">
        <f>IFERROR(__xludf.DUMMYFUNCTION("""COMPUTED_VALUE"""),1.0)</f>
        <v>1</v>
      </c>
      <c r="AM506" s="70"/>
      <c r="AN506" s="71" t="str">
        <f>IFERROR(__xludf.DUMMYFUNCTION("""COMPUTED_VALUE""")," P")</f>
        <v>P</v>
      </c>
      <c r="AO506" s="71" t="str">
        <f>IFERROR(__xludf.DUMMYFUNCTION("""COMPUTED_VALUE""")," CZ02")</f>
        <v>CZ02</v>
      </c>
      <c r="AP506" s="71" t="str">
        <f>IFERROR(__xludf.DUMMYFUNCTION("""COMPUTED_VALUE""")," PZA")</f>
        <v>PZA</v>
      </c>
      <c r="AQ506" s="71" t="str">
        <f>IFERROR(__xludf.DUMMYFUNCTION("""COMPUTED_VALUE""")," REF")</f>
        <v>REF</v>
      </c>
      <c r="AR506" s="71" t="str">
        <f>IFERROR(__xludf.DUMMYFUNCTION("""COMPUTED_VALUE""")," CORAZA DERECHA SOLA PARA VENTILADOR")</f>
        <v>CORAZA DERECHA SOLA PARA VENTILADOR</v>
      </c>
      <c r="AS506" s="71" t="str">
        <f>IFERROR(__xludf.DUMMYFUNCTION("""COMPUTED_VALUE""")," CORAZA DERECHA SOLA PARA VENTILADOR")</f>
        <v>CORAZA DERECHA SOLA PARA VENTILADOR</v>
      </c>
      <c r="AT506" s="71">
        <f>IFERROR(__xludf.DUMMYFUNCTION("""COMPUTED_VALUE"""),35.0)</f>
        <v>35</v>
      </c>
      <c r="AU506" s="71"/>
      <c r="AV506" s="71"/>
      <c r="AW506" s="71"/>
      <c r="AX506" s="71"/>
      <c r="AY506" s="71">
        <f>IFERROR(__xludf.DUMMYFUNCTION("""COMPUTED_VALUE"""),412.0)</f>
        <v>412</v>
      </c>
      <c r="AZ506" s="71">
        <f>IFERROR(__xludf.DUMMYFUNCTION("""COMPUTED_VALUE"""),444.0)</f>
        <v>444</v>
      </c>
      <c r="BA506" s="71">
        <f>IFERROR(__xludf.DUMMYFUNCTION("""COMPUTED_VALUE"""),479.52000000000004)</f>
        <v>479.52</v>
      </c>
      <c r="BB506" s="71">
        <f>IFERROR(__xludf.DUMMYFUNCTION("""COMPUTED_VALUE"""),479.52000000000004)</f>
        <v>479.52</v>
      </c>
      <c r="BC506" s="71">
        <f>IFERROR(__xludf.DUMMYFUNCTION("""COMPUTED_VALUE"""),530.0)</f>
        <v>530</v>
      </c>
      <c r="BD506" s="71">
        <f>IFERROR(__xludf.DUMMYFUNCTION("""COMPUTED_VALUE"""),557.0)</f>
        <v>557</v>
      </c>
      <c r="BE506" s="71">
        <f>IFERROR(__xludf.DUMMYFUNCTION("""COMPUTED_VALUE"""),89.12)</f>
        <v>89.12</v>
      </c>
      <c r="BF506" s="71">
        <f>IFERROR(__xludf.DUMMYFUNCTION("""COMPUTED_VALUE"""),646.12)</f>
        <v>646.12</v>
      </c>
      <c r="BG506" s="71">
        <f>IFERROR(__xludf.DUMMYFUNCTION("""COMPUTED_VALUE"""),0.0509433962264151)</f>
        <v>0.05094339623</v>
      </c>
      <c r="BH506" s="71">
        <f>IFERROR(__xludf.DUMMYFUNCTION("""COMPUTED_VALUE"""),529.15)</f>
        <v>529.15</v>
      </c>
      <c r="BI506" s="71">
        <f>IFERROR(__xludf.DUMMYFUNCTION("""COMPUTED_VALUE"""),84.664)</f>
        <v>84.664</v>
      </c>
      <c r="BJ506" s="71">
        <f>IFERROR(__xludf.DUMMYFUNCTION("""COMPUTED_VALUE"""),613.814)</f>
        <v>613.814</v>
      </c>
      <c r="BK506" s="71">
        <f>IFERROR(__xludf.DUMMYFUNCTION("""COMPUTED_VALUE"""),501.3)</f>
        <v>501.3</v>
      </c>
      <c r="BL506" s="71">
        <f>IFERROR(__xludf.DUMMYFUNCTION("""COMPUTED_VALUE"""),80.208)</f>
        <v>80.208</v>
      </c>
      <c r="BM506" s="71">
        <f>IFERROR(__xludf.DUMMYFUNCTION("""COMPUTED_VALUE"""),581.508)</f>
        <v>581.508</v>
      </c>
      <c r="BN506" s="71">
        <f>IFERROR(__xludf.DUMMYFUNCTION("""COMPUTED_VALUE"""),473.45)</f>
        <v>473.45</v>
      </c>
      <c r="BO506" s="71">
        <f>IFERROR(__xludf.DUMMYFUNCTION("""COMPUTED_VALUE"""),75.752)</f>
        <v>75.752</v>
      </c>
      <c r="BP506" s="71">
        <f>IFERROR(__xludf.DUMMYFUNCTION("""COMPUTED_VALUE"""),549.202)</f>
        <v>549.202</v>
      </c>
      <c r="BQ506" s="71">
        <f>IFERROR(__xludf.DUMMYFUNCTION("""COMPUTED_VALUE"""),462.31)</f>
        <v>462.31</v>
      </c>
      <c r="BR506" s="71">
        <f>IFERROR(__xludf.DUMMYFUNCTION("""COMPUTED_VALUE"""),73.9696)</f>
        <v>73.9696</v>
      </c>
      <c r="BS506" s="71">
        <f>IFERROR(__xludf.DUMMYFUNCTION("""COMPUTED_VALUE"""),536.2796)</f>
        <v>536.2796</v>
      </c>
      <c r="BT506" s="71">
        <f>IFERROR(__xludf.DUMMYFUNCTION("""COMPUTED_VALUE"""),445.6)</f>
        <v>445.6</v>
      </c>
      <c r="BU506" s="71">
        <f>IFERROR(__xludf.DUMMYFUNCTION("""COMPUTED_VALUE"""),71.296)</f>
        <v>71.296</v>
      </c>
      <c r="BV506" s="71">
        <f>IFERROR(__xludf.DUMMYFUNCTION("""COMPUTED_VALUE"""),516.8960000000001)</f>
        <v>516.896</v>
      </c>
    </row>
    <row r="507">
      <c r="A507" s="53">
        <v>1.0</v>
      </c>
      <c r="B507" s="72"/>
      <c r="C507" s="73" t="s">
        <v>53</v>
      </c>
      <c r="D507" s="74" t="s">
        <v>1274</v>
      </c>
      <c r="E507" s="54" t="s">
        <v>38</v>
      </c>
      <c r="F507" s="54" t="s">
        <v>42</v>
      </c>
      <c r="G507" s="88" t="s">
        <v>1275</v>
      </c>
      <c r="H507" s="54" t="s">
        <v>1275</v>
      </c>
      <c r="I507" s="54">
        <f t="shared" si="24"/>
        <v>33</v>
      </c>
      <c r="J507" s="56"/>
      <c r="K507" s="75"/>
      <c r="L507" s="76"/>
      <c r="M507" s="59"/>
      <c r="N507" s="60">
        <v>1424.0</v>
      </c>
      <c r="O507" s="61">
        <v>1537.0</v>
      </c>
      <c r="P507" s="62">
        <v>1659.96</v>
      </c>
      <c r="Q507" s="63">
        <v>1659.96</v>
      </c>
      <c r="R507" s="64">
        <v>1848.0</v>
      </c>
      <c r="S507" s="111">
        <v>1940.0</v>
      </c>
      <c r="T507" s="65">
        <f t="shared" si="2"/>
        <v>310.4</v>
      </c>
      <c r="U507" s="65">
        <f t="shared" si="3"/>
        <v>2250.4</v>
      </c>
      <c r="V507" s="66">
        <f t="shared" si="4"/>
        <v>0.04978354978</v>
      </c>
      <c r="W507" s="67">
        <f t="shared" si="5"/>
        <v>1843</v>
      </c>
      <c r="X507" s="67">
        <f t="shared" si="6"/>
        <v>294.88</v>
      </c>
      <c r="Y507" s="67">
        <f t="shared" si="7"/>
        <v>2137.88</v>
      </c>
      <c r="Z507" s="67">
        <f t="shared" si="8"/>
        <v>1746</v>
      </c>
      <c r="AA507" s="67">
        <f t="shared" si="9"/>
        <v>279.36</v>
      </c>
      <c r="AB507" s="67">
        <f t="shared" si="10"/>
        <v>2025.36</v>
      </c>
      <c r="AC507" s="67">
        <f t="shared" si="11"/>
        <v>1649</v>
      </c>
      <c r="AD507" s="67">
        <f t="shared" si="12"/>
        <v>263.84</v>
      </c>
      <c r="AE507" s="67">
        <f t="shared" si="13"/>
        <v>1912.84</v>
      </c>
      <c r="AF507" s="67">
        <f t="shared" si="14"/>
        <v>1610.2</v>
      </c>
      <c r="AG507" s="67">
        <f t="shared" si="15"/>
        <v>257.632</v>
      </c>
      <c r="AH507" s="67">
        <f t="shared" si="16"/>
        <v>1867.832</v>
      </c>
      <c r="AI507" s="67">
        <f t="shared" si="17"/>
        <v>1552</v>
      </c>
      <c r="AJ507" s="68">
        <f t="shared" si="20"/>
        <v>248.32</v>
      </c>
      <c r="AK507" s="68">
        <f t="shared" si="21"/>
        <v>1800.32</v>
      </c>
      <c r="AL507" s="70">
        <f>IFERROR(__xludf.DUMMYFUNCTION("""COMPUTED_VALUE"""),1.0)</f>
        <v>1</v>
      </c>
      <c r="AM507" s="70"/>
      <c r="AN507" s="71" t="str">
        <f>IFERROR(__xludf.DUMMYFUNCTION("""COMPUTED_VALUE""")," P")</f>
        <v>P</v>
      </c>
      <c r="AO507" s="71" t="str">
        <f>IFERROR(__xludf.DUMMYFUNCTION("""COMPUTED_VALUE""")," CZ01")</f>
        <v>CZ01</v>
      </c>
      <c r="AP507" s="71" t="str">
        <f>IFERROR(__xludf.DUMMYFUNCTION("""COMPUTED_VALUE""")," PZA")</f>
        <v>PZA</v>
      </c>
      <c r="AQ507" s="71" t="str">
        <f>IFERROR(__xludf.DUMMYFUNCTION("""COMPUTED_VALUE""")," REF")</f>
        <v>REF</v>
      </c>
      <c r="AR507" s="71" t="str">
        <f>IFERROR(__xludf.DUMMYFUNCTION("""COMPUTED_VALUE""")," CORAZA IZQUIERDA SOLA PARA VENTILADOR")</f>
        <v>CORAZA IZQUIERDA SOLA PARA VENTILADOR</v>
      </c>
      <c r="AS507" s="71" t="str">
        <f>IFERROR(__xludf.DUMMYFUNCTION("""COMPUTED_VALUE""")," CORAZA IZQUIERDA SOLA PARA VENTILADOR")</f>
        <v>CORAZA IZQUIERDA SOLA PARA VENTILADOR</v>
      </c>
      <c r="AT507" s="71">
        <f>IFERROR(__xludf.DUMMYFUNCTION("""COMPUTED_VALUE"""),37.0)</f>
        <v>37</v>
      </c>
      <c r="AU507" s="71"/>
      <c r="AV507" s="71"/>
      <c r="AW507" s="71"/>
      <c r="AX507" s="71"/>
      <c r="AY507" s="71">
        <f>IFERROR(__xludf.DUMMYFUNCTION("""COMPUTED_VALUE"""),412.0)</f>
        <v>412</v>
      </c>
      <c r="AZ507" s="71">
        <f>IFERROR(__xludf.DUMMYFUNCTION("""COMPUTED_VALUE"""),444.0)</f>
        <v>444</v>
      </c>
      <c r="BA507" s="71">
        <f>IFERROR(__xludf.DUMMYFUNCTION("""COMPUTED_VALUE"""),479.52000000000004)</f>
        <v>479.52</v>
      </c>
      <c r="BB507" s="71">
        <f>IFERROR(__xludf.DUMMYFUNCTION("""COMPUTED_VALUE"""),479.52000000000004)</f>
        <v>479.52</v>
      </c>
      <c r="BC507" s="71">
        <f>IFERROR(__xludf.DUMMYFUNCTION("""COMPUTED_VALUE"""),530.0)</f>
        <v>530</v>
      </c>
      <c r="BD507" s="71">
        <f>IFERROR(__xludf.DUMMYFUNCTION("""COMPUTED_VALUE"""),557.0)</f>
        <v>557</v>
      </c>
      <c r="BE507" s="71">
        <f>IFERROR(__xludf.DUMMYFUNCTION("""COMPUTED_VALUE"""),89.12)</f>
        <v>89.12</v>
      </c>
      <c r="BF507" s="71">
        <f>IFERROR(__xludf.DUMMYFUNCTION("""COMPUTED_VALUE"""),646.12)</f>
        <v>646.12</v>
      </c>
      <c r="BG507" s="71">
        <f>IFERROR(__xludf.DUMMYFUNCTION("""COMPUTED_VALUE"""),0.0509433962264151)</f>
        <v>0.05094339623</v>
      </c>
      <c r="BH507" s="71">
        <f>IFERROR(__xludf.DUMMYFUNCTION("""COMPUTED_VALUE"""),529.15)</f>
        <v>529.15</v>
      </c>
      <c r="BI507" s="71">
        <f>IFERROR(__xludf.DUMMYFUNCTION("""COMPUTED_VALUE"""),84.664)</f>
        <v>84.664</v>
      </c>
      <c r="BJ507" s="71">
        <f>IFERROR(__xludf.DUMMYFUNCTION("""COMPUTED_VALUE"""),613.814)</f>
        <v>613.814</v>
      </c>
      <c r="BK507" s="71">
        <f>IFERROR(__xludf.DUMMYFUNCTION("""COMPUTED_VALUE"""),501.3)</f>
        <v>501.3</v>
      </c>
      <c r="BL507" s="71">
        <f>IFERROR(__xludf.DUMMYFUNCTION("""COMPUTED_VALUE"""),80.208)</f>
        <v>80.208</v>
      </c>
      <c r="BM507" s="71">
        <f>IFERROR(__xludf.DUMMYFUNCTION("""COMPUTED_VALUE"""),581.508)</f>
        <v>581.508</v>
      </c>
      <c r="BN507" s="71">
        <f>IFERROR(__xludf.DUMMYFUNCTION("""COMPUTED_VALUE"""),473.45)</f>
        <v>473.45</v>
      </c>
      <c r="BO507" s="71">
        <f>IFERROR(__xludf.DUMMYFUNCTION("""COMPUTED_VALUE"""),75.752)</f>
        <v>75.752</v>
      </c>
      <c r="BP507" s="71">
        <f>IFERROR(__xludf.DUMMYFUNCTION("""COMPUTED_VALUE"""),549.202)</f>
        <v>549.202</v>
      </c>
      <c r="BQ507" s="71">
        <f>IFERROR(__xludf.DUMMYFUNCTION("""COMPUTED_VALUE"""),462.31)</f>
        <v>462.31</v>
      </c>
      <c r="BR507" s="71">
        <f>IFERROR(__xludf.DUMMYFUNCTION("""COMPUTED_VALUE"""),73.9696)</f>
        <v>73.9696</v>
      </c>
      <c r="BS507" s="71">
        <f>IFERROR(__xludf.DUMMYFUNCTION("""COMPUTED_VALUE"""),536.2796)</f>
        <v>536.2796</v>
      </c>
      <c r="BT507" s="71">
        <f>IFERROR(__xludf.DUMMYFUNCTION("""COMPUTED_VALUE"""),445.6)</f>
        <v>445.6</v>
      </c>
      <c r="BU507" s="71">
        <f>IFERROR(__xludf.DUMMYFUNCTION("""COMPUTED_VALUE"""),71.296)</f>
        <v>71.296</v>
      </c>
      <c r="BV507" s="71">
        <f>IFERROR(__xludf.DUMMYFUNCTION("""COMPUTED_VALUE"""),516.8960000000001)</f>
        <v>516.896</v>
      </c>
    </row>
    <row r="508">
      <c r="A508" s="53"/>
      <c r="B508" s="53"/>
      <c r="C508" s="53" t="s">
        <v>53</v>
      </c>
      <c r="D508" s="53" t="s">
        <v>1276</v>
      </c>
      <c r="E508" s="86" t="s">
        <v>38</v>
      </c>
      <c r="F508" s="91" t="s">
        <v>309</v>
      </c>
      <c r="G508" s="88" t="s">
        <v>1275</v>
      </c>
      <c r="H508" s="54" t="s">
        <v>1275</v>
      </c>
      <c r="I508" s="54">
        <f t="shared" si="24"/>
        <v>33</v>
      </c>
      <c r="J508" s="56"/>
      <c r="K508" s="57"/>
      <c r="L508" s="76"/>
      <c r="M508" s="59"/>
      <c r="N508" s="79"/>
      <c r="O508" s="90"/>
      <c r="P508" s="90"/>
      <c r="Q508" s="94"/>
      <c r="R508" s="64">
        <v>2218.0</v>
      </c>
      <c r="S508" s="111">
        <v>2329.0</v>
      </c>
      <c r="T508" s="65">
        <f t="shared" si="2"/>
        <v>372.64</v>
      </c>
      <c r="U508" s="65">
        <f t="shared" si="3"/>
        <v>2701.64</v>
      </c>
      <c r="V508" s="66">
        <f t="shared" si="4"/>
        <v>0.05004508566</v>
      </c>
      <c r="W508" s="67">
        <f t="shared" si="5"/>
        <v>2212.55</v>
      </c>
      <c r="X508" s="67">
        <f t="shared" si="6"/>
        <v>354.008</v>
      </c>
      <c r="Y508" s="67">
        <f t="shared" si="7"/>
        <v>2566.558</v>
      </c>
      <c r="Z508" s="67">
        <f t="shared" si="8"/>
        <v>2096.1</v>
      </c>
      <c r="AA508" s="67">
        <f t="shared" si="9"/>
        <v>335.376</v>
      </c>
      <c r="AB508" s="67">
        <f t="shared" si="10"/>
        <v>2431.476</v>
      </c>
      <c r="AC508" s="67">
        <f t="shared" si="11"/>
        <v>1979.65</v>
      </c>
      <c r="AD508" s="67">
        <f t="shared" si="12"/>
        <v>316.744</v>
      </c>
      <c r="AE508" s="67">
        <f t="shared" si="13"/>
        <v>2296.394</v>
      </c>
      <c r="AF508" s="67">
        <f t="shared" si="14"/>
        <v>1933.07</v>
      </c>
      <c r="AG508" s="67">
        <f t="shared" si="15"/>
        <v>309.2912</v>
      </c>
      <c r="AH508" s="67">
        <f t="shared" si="16"/>
        <v>2242.3612</v>
      </c>
      <c r="AI508" s="67">
        <f t="shared" si="17"/>
        <v>1863.2</v>
      </c>
      <c r="AJ508" s="68">
        <f t="shared" si="20"/>
        <v>298.112</v>
      </c>
      <c r="AK508" s="68">
        <f t="shared" si="21"/>
        <v>2161.312</v>
      </c>
      <c r="AL508" s="70">
        <f>IFERROR(__xludf.DUMMYFUNCTION("""COMPUTED_VALUE"""),1.0)</f>
        <v>1</v>
      </c>
      <c r="AM508" s="70"/>
      <c r="AN508" s="71" t="str">
        <f>IFERROR(__xludf.DUMMYFUNCTION("""COMPUTED_VALUE""")," P")</f>
        <v>P</v>
      </c>
      <c r="AO508" s="71" t="str">
        <f>IFERROR(__xludf.DUMMYFUNCTION("""COMPUTED_VALUE""")," CO01")</f>
        <v>CO01</v>
      </c>
      <c r="AP508" s="71" t="str">
        <f>IFERROR(__xludf.DUMMYFUNCTION("""COMPUTED_VALUE""")," PZA")</f>
        <v>PZA</v>
      </c>
      <c r="AQ508" s="71" t="str">
        <f>IFERROR(__xludf.DUMMYFUNCTION("""COMPUTED_VALUE""")," REF")</f>
        <v>REF</v>
      </c>
      <c r="AR508" s="71" t="str">
        <f>IFERROR(__xludf.DUMMYFUNCTION("""COMPUTED_VALUE""")," CORONA DE ACERO DÚPLEX (FUNDICIÓN)")</f>
        <v>CORONA DE ACERO DÚPLEX (FUNDICIÓN)</v>
      </c>
      <c r="AS508" s="71" t="str">
        <f>IFERROR(__xludf.DUMMYFUNCTION("""COMPUTED_VALUE""")," CORONA DE ACERO DPLX (FUNDICION)")</f>
        <v>CORONA DE ACERO DPLX (FUNDICION)</v>
      </c>
      <c r="AT508" s="71">
        <f>IFERROR(__xludf.DUMMYFUNCTION("""COMPUTED_VALUE"""),32.0)</f>
        <v>32</v>
      </c>
      <c r="AU508" s="71"/>
      <c r="AV508" s="71"/>
      <c r="AW508" s="71"/>
      <c r="AX508" s="71"/>
      <c r="AY508" s="71">
        <f>IFERROR(__xludf.DUMMYFUNCTION("""COMPUTED_VALUE"""),576.0)</f>
        <v>576</v>
      </c>
      <c r="AZ508" s="71">
        <f>IFERROR(__xludf.DUMMYFUNCTION("""COMPUTED_VALUE"""),576.0)</f>
        <v>576</v>
      </c>
      <c r="BA508" s="71">
        <f>IFERROR(__xludf.DUMMYFUNCTION("""COMPUTED_VALUE"""),622.08)</f>
        <v>622.08</v>
      </c>
      <c r="BB508" s="71">
        <f>IFERROR(__xludf.DUMMYFUNCTION("""COMPUTED_VALUE"""),622.08)</f>
        <v>622.08</v>
      </c>
      <c r="BC508" s="71">
        <f>IFERROR(__xludf.DUMMYFUNCTION("""COMPUTED_VALUE"""),693.0)</f>
        <v>693</v>
      </c>
      <c r="BD508" s="71">
        <f>IFERROR(__xludf.DUMMYFUNCTION("""COMPUTED_VALUE"""),728.0)</f>
        <v>728</v>
      </c>
      <c r="BE508" s="71">
        <f>IFERROR(__xludf.DUMMYFUNCTION("""COMPUTED_VALUE"""),116.48)</f>
        <v>116.48</v>
      </c>
      <c r="BF508" s="71">
        <f>IFERROR(__xludf.DUMMYFUNCTION("""COMPUTED_VALUE"""),844.48)</f>
        <v>844.48</v>
      </c>
      <c r="BG508" s="71">
        <f>IFERROR(__xludf.DUMMYFUNCTION("""COMPUTED_VALUE"""),0.050505050505050504)</f>
        <v>0.05050505051</v>
      </c>
      <c r="BH508" s="71">
        <f>IFERROR(__xludf.DUMMYFUNCTION("""COMPUTED_VALUE"""),691.6)</f>
        <v>691.6</v>
      </c>
      <c r="BI508" s="71">
        <f>IFERROR(__xludf.DUMMYFUNCTION("""COMPUTED_VALUE"""),110.656)</f>
        <v>110.656</v>
      </c>
      <c r="BJ508" s="71">
        <f>IFERROR(__xludf.DUMMYFUNCTION("""COMPUTED_VALUE"""),802.2560000000001)</f>
        <v>802.256</v>
      </c>
      <c r="BK508" s="71">
        <f>IFERROR(__xludf.DUMMYFUNCTION("""COMPUTED_VALUE"""),655.2)</f>
        <v>655.2</v>
      </c>
      <c r="BL508" s="71">
        <f>IFERROR(__xludf.DUMMYFUNCTION("""COMPUTED_VALUE"""),104.83200000000001)</f>
        <v>104.832</v>
      </c>
      <c r="BM508" s="71">
        <f>IFERROR(__xludf.DUMMYFUNCTION("""COMPUTED_VALUE"""),760.032)</f>
        <v>760.032</v>
      </c>
      <c r="BN508" s="71">
        <f>IFERROR(__xludf.DUMMYFUNCTION("""COMPUTED_VALUE"""),618.8)</f>
        <v>618.8</v>
      </c>
      <c r="BO508" s="71">
        <f>IFERROR(__xludf.DUMMYFUNCTION("""COMPUTED_VALUE"""),99.008)</f>
        <v>99.008</v>
      </c>
      <c r="BP508" s="71">
        <f>IFERROR(__xludf.DUMMYFUNCTION("""COMPUTED_VALUE"""),717.808)</f>
        <v>717.808</v>
      </c>
      <c r="BQ508" s="71">
        <f>IFERROR(__xludf.DUMMYFUNCTION("""COMPUTED_VALUE"""),604.24)</f>
        <v>604.24</v>
      </c>
      <c r="BR508" s="71">
        <f>IFERROR(__xludf.DUMMYFUNCTION("""COMPUTED_VALUE"""),96.67840000000001)</f>
        <v>96.6784</v>
      </c>
      <c r="BS508" s="71">
        <f>IFERROR(__xludf.DUMMYFUNCTION("""COMPUTED_VALUE"""),700.9184)</f>
        <v>700.9184</v>
      </c>
      <c r="BT508" s="71">
        <f>IFERROR(__xludf.DUMMYFUNCTION("""COMPUTED_VALUE"""),582.4)</f>
        <v>582.4</v>
      </c>
      <c r="BU508" s="71">
        <f>IFERROR(__xludf.DUMMYFUNCTION("""COMPUTED_VALUE"""),93.184)</f>
        <v>93.184</v>
      </c>
      <c r="BV508" s="71">
        <f>IFERROR(__xludf.DUMMYFUNCTION("""COMPUTED_VALUE"""),675.584)</f>
        <v>675.584</v>
      </c>
    </row>
    <row r="509">
      <c r="A509" s="53">
        <v>1.0</v>
      </c>
      <c r="B509" s="72"/>
      <c r="C509" s="73" t="s">
        <v>53</v>
      </c>
      <c r="D509" s="74" t="s">
        <v>1277</v>
      </c>
      <c r="E509" s="54" t="s">
        <v>38</v>
      </c>
      <c r="F509" s="54" t="s">
        <v>42</v>
      </c>
      <c r="G509" s="55" t="s">
        <v>1278</v>
      </c>
      <c r="H509" s="54" t="s">
        <v>1279</v>
      </c>
      <c r="I509" s="54">
        <f t="shared" si="24"/>
        <v>15</v>
      </c>
      <c r="J509" s="56"/>
      <c r="K509" s="75"/>
      <c r="L509" s="76"/>
      <c r="M509" s="59"/>
      <c r="N509" s="60">
        <v>1422.0</v>
      </c>
      <c r="O509" s="61">
        <v>1535.0</v>
      </c>
      <c r="P509" s="62">
        <v>1657.8000000000002</v>
      </c>
      <c r="Q509" s="63">
        <v>1657.8000000000002</v>
      </c>
      <c r="R509" s="64">
        <v>1846.0</v>
      </c>
      <c r="S509" s="111">
        <v>1938.0</v>
      </c>
      <c r="T509" s="65">
        <f t="shared" si="2"/>
        <v>310.08</v>
      </c>
      <c r="U509" s="65">
        <f t="shared" si="3"/>
        <v>2248.08</v>
      </c>
      <c r="V509" s="66">
        <f t="shared" si="4"/>
        <v>0.04983748646</v>
      </c>
      <c r="W509" s="67">
        <f t="shared" si="5"/>
        <v>1841.1</v>
      </c>
      <c r="X509" s="67">
        <f t="shared" si="6"/>
        <v>294.576</v>
      </c>
      <c r="Y509" s="67">
        <f t="shared" si="7"/>
        <v>2135.676</v>
      </c>
      <c r="Z509" s="67">
        <f t="shared" si="8"/>
        <v>1744.2</v>
      </c>
      <c r="AA509" s="67">
        <f t="shared" si="9"/>
        <v>279.072</v>
      </c>
      <c r="AB509" s="67">
        <f t="shared" si="10"/>
        <v>2023.272</v>
      </c>
      <c r="AC509" s="67">
        <f t="shared" si="11"/>
        <v>1647.3</v>
      </c>
      <c r="AD509" s="67">
        <f t="shared" si="12"/>
        <v>263.568</v>
      </c>
      <c r="AE509" s="67">
        <f t="shared" si="13"/>
        <v>1910.868</v>
      </c>
      <c r="AF509" s="67">
        <f t="shared" si="14"/>
        <v>1608.54</v>
      </c>
      <c r="AG509" s="67">
        <f t="shared" si="15"/>
        <v>257.3664</v>
      </c>
      <c r="AH509" s="67">
        <f t="shared" si="16"/>
        <v>1865.9064</v>
      </c>
      <c r="AI509" s="67">
        <f t="shared" si="17"/>
        <v>1550.4</v>
      </c>
      <c r="AJ509" s="68">
        <f t="shared" si="20"/>
        <v>248.064</v>
      </c>
      <c r="AK509" s="68">
        <f t="shared" si="21"/>
        <v>1798.464</v>
      </c>
      <c r="AL509" s="70">
        <f>IFERROR(__xludf.DUMMYFUNCTION("""COMPUTED_VALUE"""),1.0)</f>
        <v>1</v>
      </c>
      <c r="AM509" s="70"/>
      <c r="AN509" s="71" t="str">
        <f>IFERROR(__xludf.DUMMYFUNCTION("""COMPUTED_VALUE""")," P")</f>
        <v>P</v>
      </c>
      <c r="AO509" s="71" t="str">
        <f>IFERROR(__xludf.DUMMYFUNCTION("""COMPUTED_VALUE""")," CO02")</f>
        <v>CO02</v>
      </c>
      <c r="AP509" s="71" t="str">
        <f>IFERROR(__xludf.DUMMYFUNCTION("""COMPUTED_VALUE""")," PZA")</f>
        <v>PZA</v>
      </c>
      <c r="AQ509" s="71" t="str">
        <f>IFERROR(__xludf.DUMMYFUNCTION("""COMPUTED_VALUE""")," REF")</f>
        <v>REF</v>
      </c>
      <c r="AR509" s="71" t="str">
        <f>IFERROR(__xludf.DUMMYFUNCTION("""COMPUTED_VALUE""")," CORONA DE ACERO DÚPLEX REFORZADA (MAQUINADA)")</f>
        <v>CORONA DE ACERO DÚPLEX REFORZADA (MAQUINADA)</v>
      </c>
      <c r="AS509" s="71" t="str">
        <f>IFERROR(__xludf.DUMMYFUNCTION("""COMPUTED_VALUE""")," CORONA DE ACERO DPLX REFORZADA MAQUINADA")</f>
        <v>CORONA DE ACERO DPLX REFORZADA MAQUINADA</v>
      </c>
      <c r="AT509" s="71">
        <f>IFERROR(__xludf.DUMMYFUNCTION("""COMPUTED_VALUE"""),40.0)</f>
        <v>40</v>
      </c>
      <c r="AU509" s="71"/>
      <c r="AV509" s="71"/>
      <c r="AW509" s="71"/>
      <c r="AX509" s="71"/>
      <c r="AY509" s="71">
        <f>IFERROR(__xludf.DUMMYFUNCTION("""COMPUTED_VALUE"""),686.0)</f>
        <v>686</v>
      </c>
      <c r="AZ509" s="71">
        <f>IFERROR(__xludf.DUMMYFUNCTION("""COMPUTED_VALUE"""),740.0)</f>
        <v>740</v>
      </c>
      <c r="BA509" s="71">
        <f>IFERROR(__xludf.DUMMYFUNCTION("""COMPUTED_VALUE"""),799.2)</f>
        <v>799.2</v>
      </c>
      <c r="BB509" s="71">
        <f>IFERROR(__xludf.DUMMYFUNCTION("""COMPUTED_VALUE"""),799.2)</f>
        <v>799.2</v>
      </c>
      <c r="BC509" s="71">
        <f>IFERROR(__xludf.DUMMYFUNCTION("""COMPUTED_VALUE"""),839.0)</f>
        <v>839</v>
      </c>
      <c r="BD509" s="71">
        <f>IFERROR(__xludf.DUMMYFUNCTION("""COMPUTED_VALUE"""),881.0)</f>
        <v>881</v>
      </c>
      <c r="BE509" s="71">
        <f>IFERROR(__xludf.DUMMYFUNCTION("""COMPUTED_VALUE"""),140.96)</f>
        <v>140.96</v>
      </c>
      <c r="BF509" s="71">
        <f>IFERROR(__xludf.DUMMYFUNCTION("""COMPUTED_VALUE"""),1021.96)</f>
        <v>1021.96</v>
      </c>
      <c r="BG509" s="71">
        <f>IFERROR(__xludf.DUMMYFUNCTION("""COMPUTED_VALUE"""),0.050059594755661505)</f>
        <v>0.05005959476</v>
      </c>
      <c r="BH509" s="71">
        <f>IFERROR(__xludf.DUMMYFUNCTION("""COMPUTED_VALUE"""),836.9499999999999)</f>
        <v>836.95</v>
      </c>
      <c r="BI509" s="71">
        <f>IFERROR(__xludf.DUMMYFUNCTION("""COMPUTED_VALUE"""),133.91199999999998)</f>
        <v>133.912</v>
      </c>
      <c r="BJ509" s="71">
        <f>IFERROR(__xludf.DUMMYFUNCTION("""COMPUTED_VALUE"""),970.8619999999999)</f>
        <v>970.862</v>
      </c>
      <c r="BK509" s="71">
        <f>IFERROR(__xludf.DUMMYFUNCTION("""COMPUTED_VALUE"""),792.9)</f>
        <v>792.9</v>
      </c>
      <c r="BL509" s="71">
        <f>IFERROR(__xludf.DUMMYFUNCTION("""COMPUTED_VALUE"""),126.864)</f>
        <v>126.864</v>
      </c>
      <c r="BM509" s="71">
        <f>IFERROR(__xludf.DUMMYFUNCTION("""COMPUTED_VALUE"""),919.764)</f>
        <v>919.764</v>
      </c>
      <c r="BN509" s="71">
        <f>IFERROR(__xludf.DUMMYFUNCTION("""COMPUTED_VALUE"""),748.85)</f>
        <v>748.85</v>
      </c>
      <c r="BO509" s="71">
        <f>IFERROR(__xludf.DUMMYFUNCTION("""COMPUTED_VALUE"""),119.816)</f>
        <v>119.816</v>
      </c>
      <c r="BP509" s="71">
        <f>IFERROR(__xludf.DUMMYFUNCTION("""COMPUTED_VALUE"""),868.666)</f>
        <v>868.666</v>
      </c>
      <c r="BQ509" s="71">
        <f>IFERROR(__xludf.DUMMYFUNCTION("""COMPUTED_VALUE"""),731.23)</f>
        <v>731.23</v>
      </c>
      <c r="BR509" s="71">
        <f>IFERROR(__xludf.DUMMYFUNCTION("""COMPUTED_VALUE"""),116.99680000000001)</f>
        <v>116.9968</v>
      </c>
      <c r="BS509" s="71">
        <f>IFERROR(__xludf.DUMMYFUNCTION("""COMPUTED_VALUE"""),848.2268)</f>
        <v>848.2268</v>
      </c>
      <c r="BT509" s="71">
        <f>IFERROR(__xludf.DUMMYFUNCTION("""COMPUTED_VALUE"""),704.8000000000001)</f>
        <v>704.8</v>
      </c>
      <c r="BU509" s="71">
        <f>IFERROR(__xludf.DUMMYFUNCTION("""COMPUTED_VALUE"""),112.76800000000001)</f>
        <v>112.768</v>
      </c>
      <c r="BV509" s="71">
        <f>IFERROR(__xludf.DUMMYFUNCTION("""COMPUTED_VALUE"""),817.5680000000001)</f>
        <v>817.568</v>
      </c>
    </row>
    <row r="510">
      <c r="A510" s="53"/>
      <c r="B510" s="53"/>
      <c r="C510" s="73" t="s">
        <v>53</v>
      </c>
      <c r="D510" s="53" t="s">
        <v>1280</v>
      </c>
      <c r="E510" s="54" t="s">
        <v>38</v>
      </c>
      <c r="F510" s="55" t="s">
        <v>309</v>
      </c>
      <c r="G510" s="55" t="s">
        <v>1281</v>
      </c>
      <c r="H510" s="54" t="s">
        <v>1279</v>
      </c>
      <c r="I510" s="54">
        <f t="shared" si="24"/>
        <v>15</v>
      </c>
      <c r="J510" s="56"/>
      <c r="K510" s="57"/>
      <c r="L510" s="76"/>
      <c r="M510" s="59"/>
      <c r="N510" s="60"/>
      <c r="O510" s="90">
        <v>1535.0</v>
      </c>
      <c r="P510" s="62">
        <v>1657.8000000000002</v>
      </c>
      <c r="Q510" s="63">
        <v>1657.8000000000002</v>
      </c>
      <c r="R510" s="64">
        <v>1846.0</v>
      </c>
      <c r="S510" s="111">
        <v>1938.0</v>
      </c>
      <c r="T510" s="65">
        <f t="shared" si="2"/>
        <v>310.08</v>
      </c>
      <c r="U510" s="65">
        <f t="shared" si="3"/>
        <v>2248.08</v>
      </c>
      <c r="V510" s="66">
        <f t="shared" si="4"/>
        <v>0.04983748646</v>
      </c>
      <c r="W510" s="67">
        <f t="shared" si="5"/>
        <v>1841.1</v>
      </c>
      <c r="X510" s="67">
        <f t="shared" si="6"/>
        <v>294.576</v>
      </c>
      <c r="Y510" s="67">
        <f t="shared" si="7"/>
        <v>2135.676</v>
      </c>
      <c r="Z510" s="67">
        <f t="shared" si="8"/>
        <v>1744.2</v>
      </c>
      <c r="AA510" s="67">
        <f t="shared" si="9"/>
        <v>279.072</v>
      </c>
      <c r="AB510" s="67">
        <f t="shared" si="10"/>
        <v>2023.272</v>
      </c>
      <c r="AC510" s="67">
        <f t="shared" si="11"/>
        <v>1647.3</v>
      </c>
      <c r="AD510" s="67">
        <f t="shared" si="12"/>
        <v>263.568</v>
      </c>
      <c r="AE510" s="67">
        <f t="shared" si="13"/>
        <v>1910.868</v>
      </c>
      <c r="AF510" s="67">
        <f t="shared" si="14"/>
        <v>1608.54</v>
      </c>
      <c r="AG510" s="67">
        <f t="shared" si="15"/>
        <v>257.3664</v>
      </c>
      <c r="AH510" s="67">
        <f t="shared" si="16"/>
        <v>1865.9064</v>
      </c>
      <c r="AI510" s="67">
        <f t="shared" si="17"/>
        <v>1550.4</v>
      </c>
      <c r="AJ510" s="68">
        <f t="shared" si="20"/>
        <v>248.064</v>
      </c>
      <c r="AK510" s="68">
        <f t="shared" si="21"/>
        <v>1798.464</v>
      </c>
      <c r="AL510" s="70">
        <f>IFERROR(__xludf.DUMMYFUNCTION("""COMPUTED_VALUE"""),1.0)</f>
        <v>1</v>
      </c>
      <c r="AM510" s="70"/>
      <c r="AN510" s="71" t="str">
        <f>IFERROR(__xludf.DUMMYFUNCTION("""COMPUTED_VALUE""")," P")</f>
        <v>P</v>
      </c>
      <c r="AO510" s="71" t="str">
        <f>IFERROR(__xludf.DUMMYFUNCTION("""COMPUTED_VALUE""")," CO03")</f>
        <v>CO03</v>
      </c>
      <c r="AP510" s="71" t="str">
        <f>IFERROR(__xludf.DUMMYFUNCTION("""COMPUTED_VALUE""")," PZA")</f>
        <v>PZA</v>
      </c>
      <c r="AQ510" s="71" t="str">
        <f>IFERROR(__xludf.DUMMYFUNCTION("""COMPUTED_VALUE""")," REF")</f>
        <v>REF</v>
      </c>
      <c r="AR510" s="71" t="str">
        <f>IFERROR(__xludf.DUMMYFUNCTION("""COMPUTED_VALUE""")," CORONA DE ACERO SENCILLA (FUNDICIÓN)")</f>
        <v>CORONA DE ACERO SENCILLA (FUNDICIÓN)</v>
      </c>
      <c r="AS510" s="71" t="str">
        <f>IFERROR(__xludf.DUMMYFUNCTION("""COMPUTED_VALUE""")," CORONA DE ACERO SENCILLA FUNDICION")</f>
        <v>CORONA DE ACERO SENCILLA FUNDICION</v>
      </c>
      <c r="AT510" s="71">
        <f>IFERROR(__xludf.DUMMYFUNCTION("""COMPUTED_VALUE"""),34.0)</f>
        <v>34</v>
      </c>
      <c r="AU510" s="71"/>
      <c r="AV510" s="71"/>
      <c r="AW510" s="71"/>
      <c r="AX510" s="71"/>
      <c r="AY510" s="71">
        <f>IFERROR(__xludf.DUMMYFUNCTION("""COMPUTED_VALUE"""),523.0)</f>
        <v>523</v>
      </c>
      <c r="AZ510" s="71">
        <f>IFERROR(__xludf.DUMMYFUNCTION("""COMPUTED_VALUE"""),523.0)</f>
        <v>523</v>
      </c>
      <c r="BA510" s="71">
        <f>IFERROR(__xludf.DUMMYFUNCTION("""COMPUTED_VALUE"""),564.84)</f>
        <v>564.84</v>
      </c>
      <c r="BB510" s="71">
        <f>IFERROR(__xludf.DUMMYFUNCTION("""COMPUTED_VALUE"""),564.84)</f>
        <v>564.84</v>
      </c>
      <c r="BC510" s="71">
        <f>IFERROR(__xludf.DUMMYFUNCTION("""COMPUTED_VALUE"""),629.0)</f>
        <v>629</v>
      </c>
      <c r="BD510" s="71">
        <f>IFERROR(__xludf.DUMMYFUNCTION("""COMPUTED_VALUE"""),528.0)</f>
        <v>528</v>
      </c>
      <c r="BE510" s="71">
        <f>IFERROR(__xludf.DUMMYFUNCTION("""COMPUTED_VALUE"""),84.48)</f>
        <v>84.48</v>
      </c>
      <c r="BF510" s="71">
        <f>IFERROR(__xludf.DUMMYFUNCTION("""COMPUTED_VALUE"""),612.48)</f>
        <v>612.48</v>
      </c>
      <c r="BG510" s="71">
        <f>IFERROR(__xludf.DUMMYFUNCTION("""COMPUTED_VALUE"""),-0.16057233704292528)</f>
        <v>-0.160572337</v>
      </c>
      <c r="BH510" s="71">
        <f>IFERROR(__xludf.DUMMYFUNCTION("""COMPUTED_VALUE"""),501.59999999999997)</f>
        <v>501.6</v>
      </c>
      <c r="BI510" s="71">
        <f>IFERROR(__xludf.DUMMYFUNCTION("""COMPUTED_VALUE"""),80.256)</f>
        <v>80.256</v>
      </c>
      <c r="BJ510" s="71">
        <f>IFERROR(__xludf.DUMMYFUNCTION("""COMPUTED_VALUE"""),581.856)</f>
        <v>581.856</v>
      </c>
      <c r="BK510" s="71">
        <f>IFERROR(__xludf.DUMMYFUNCTION("""COMPUTED_VALUE"""),475.2)</f>
        <v>475.2</v>
      </c>
      <c r="BL510" s="71">
        <f>IFERROR(__xludf.DUMMYFUNCTION("""COMPUTED_VALUE"""),76.032)</f>
        <v>76.032</v>
      </c>
      <c r="BM510" s="71">
        <f>IFERROR(__xludf.DUMMYFUNCTION("""COMPUTED_VALUE"""),551.232)</f>
        <v>551.232</v>
      </c>
      <c r="BN510" s="71">
        <f>IFERROR(__xludf.DUMMYFUNCTION("""COMPUTED_VALUE"""),448.8)</f>
        <v>448.8</v>
      </c>
      <c r="BO510" s="71">
        <f>IFERROR(__xludf.DUMMYFUNCTION("""COMPUTED_VALUE"""),71.808)</f>
        <v>71.808</v>
      </c>
      <c r="BP510" s="71">
        <f>IFERROR(__xludf.DUMMYFUNCTION("""COMPUTED_VALUE"""),520.6080000000001)</f>
        <v>520.608</v>
      </c>
      <c r="BQ510" s="71">
        <f>IFERROR(__xludf.DUMMYFUNCTION("""COMPUTED_VALUE"""),438.23999999999995)</f>
        <v>438.24</v>
      </c>
      <c r="BR510" s="71">
        <f>IFERROR(__xludf.DUMMYFUNCTION("""COMPUTED_VALUE"""),70.1184)</f>
        <v>70.1184</v>
      </c>
      <c r="BS510" s="71">
        <f>IFERROR(__xludf.DUMMYFUNCTION("""COMPUTED_VALUE"""),508.35839999999996)</f>
        <v>508.3584</v>
      </c>
      <c r="BT510" s="71">
        <f>IFERROR(__xludf.DUMMYFUNCTION("""COMPUTED_VALUE"""),422.40000000000003)</f>
        <v>422.4</v>
      </c>
      <c r="BU510" s="71">
        <f>IFERROR(__xludf.DUMMYFUNCTION("""COMPUTED_VALUE"""),67.584)</f>
        <v>67.584</v>
      </c>
      <c r="BV510" s="71">
        <f>IFERROR(__xludf.DUMMYFUNCTION("""COMPUTED_VALUE"""),489.98400000000004)</f>
        <v>489.984</v>
      </c>
    </row>
    <row r="511">
      <c r="A511" s="53">
        <v>1.0</v>
      </c>
      <c r="B511" s="72"/>
      <c r="C511" s="73" t="s">
        <v>53</v>
      </c>
      <c r="D511" s="74" t="s">
        <v>1282</v>
      </c>
      <c r="E511" s="54" t="s">
        <v>38</v>
      </c>
      <c r="F511" s="54" t="s">
        <v>42</v>
      </c>
      <c r="G511" s="88" t="s">
        <v>1283</v>
      </c>
      <c r="H511" s="54" t="s">
        <v>1283</v>
      </c>
      <c r="I511" s="54">
        <f t="shared" si="24"/>
        <v>19</v>
      </c>
      <c r="J511" s="56"/>
      <c r="K511" s="75"/>
      <c r="L511" s="76"/>
      <c r="M511" s="59"/>
      <c r="N511" s="60">
        <v>889.0</v>
      </c>
      <c r="O511" s="61">
        <v>960.0</v>
      </c>
      <c r="P511" s="62">
        <v>1036.8000000000002</v>
      </c>
      <c r="Q511" s="63">
        <v>1036.8000000000002</v>
      </c>
      <c r="R511" s="64">
        <v>1144.0</v>
      </c>
      <c r="S511" s="111">
        <v>1201.0</v>
      </c>
      <c r="T511" s="65">
        <f t="shared" si="2"/>
        <v>192.16</v>
      </c>
      <c r="U511" s="65">
        <f t="shared" si="3"/>
        <v>1393.16</v>
      </c>
      <c r="V511" s="66">
        <f t="shared" si="4"/>
        <v>0.04982517483</v>
      </c>
      <c r="W511" s="67">
        <f t="shared" si="5"/>
        <v>1140.95</v>
      </c>
      <c r="X511" s="67">
        <f t="shared" si="6"/>
        <v>182.552</v>
      </c>
      <c r="Y511" s="67">
        <f t="shared" si="7"/>
        <v>1323.502</v>
      </c>
      <c r="Z511" s="67">
        <f t="shared" si="8"/>
        <v>1080.9</v>
      </c>
      <c r="AA511" s="67">
        <f t="shared" si="9"/>
        <v>172.944</v>
      </c>
      <c r="AB511" s="67">
        <f t="shared" si="10"/>
        <v>1253.844</v>
      </c>
      <c r="AC511" s="67">
        <f t="shared" si="11"/>
        <v>1020.85</v>
      </c>
      <c r="AD511" s="67">
        <f t="shared" si="12"/>
        <v>163.336</v>
      </c>
      <c r="AE511" s="67">
        <f t="shared" si="13"/>
        <v>1184.186</v>
      </c>
      <c r="AF511" s="67">
        <f t="shared" si="14"/>
        <v>996.83</v>
      </c>
      <c r="AG511" s="67">
        <f t="shared" si="15"/>
        <v>159.4928</v>
      </c>
      <c r="AH511" s="67">
        <f t="shared" si="16"/>
        <v>1156.3228</v>
      </c>
      <c r="AI511" s="67">
        <f t="shared" si="17"/>
        <v>960.8</v>
      </c>
      <c r="AJ511" s="68">
        <f t="shared" si="20"/>
        <v>153.728</v>
      </c>
      <c r="AK511" s="68">
        <f t="shared" si="21"/>
        <v>1114.528</v>
      </c>
      <c r="AL511" s="70">
        <f>IFERROR(__xludf.DUMMYFUNCTION("""COMPUTED_VALUE"""),1.0)</f>
        <v>1</v>
      </c>
      <c r="AM511" s="70"/>
      <c r="AN511" s="71" t="str">
        <f>IFERROR(__xludf.DUMMYFUNCTION("""COMPUTED_VALUE""")," P")</f>
        <v>P</v>
      </c>
      <c r="AO511" s="71" t="str">
        <f>IFERROR(__xludf.DUMMYFUNCTION("""COMPUTED_VALUE""")," CO04")</f>
        <v>CO04</v>
      </c>
      <c r="AP511" s="71" t="str">
        <f>IFERROR(__xludf.DUMMYFUNCTION("""COMPUTED_VALUE""")," PZA")</f>
        <v>PZA</v>
      </c>
      <c r="AQ511" s="71" t="str">
        <f>IFERROR(__xludf.DUMMYFUNCTION("""COMPUTED_VALUE""")," REF")</f>
        <v>REF</v>
      </c>
      <c r="AR511" s="71" t="str">
        <f>IFERROR(__xludf.DUMMYFUNCTION("""COMPUTED_VALUE""")," CORONA DE ACERO SENCILLO REFORZADA (MAQUINADA)")</f>
        <v>CORONA DE ACERO SENCILLO REFORZADA (MAQUINADA)</v>
      </c>
      <c r="AS511" s="71" t="str">
        <f>IFERROR(__xludf.DUMMYFUNCTION("""COMPUTED_VALUE""")," CORONA DE ACERO SENC REFORZADA MAQUINADA")</f>
        <v>CORONA DE ACERO SENC REFORZADA MAQUINADA</v>
      </c>
      <c r="AT511" s="71">
        <f>IFERROR(__xludf.DUMMYFUNCTION("""COMPUTED_VALUE"""),40.0)</f>
        <v>40</v>
      </c>
      <c r="AU511" s="71"/>
      <c r="AV511" s="71"/>
      <c r="AW511" s="71"/>
      <c r="AX511" s="71"/>
      <c r="AY511" s="71">
        <f>IFERROR(__xludf.DUMMYFUNCTION("""COMPUTED_VALUE"""),686.0)</f>
        <v>686</v>
      </c>
      <c r="AZ511" s="71">
        <f>IFERROR(__xludf.DUMMYFUNCTION("""COMPUTED_VALUE"""),740.0)</f>
        <v>740</v>
      </c>
      <c r="BA511" s="71">
        <f>IFERROR(__xludf.DUMMYFUNCTION("""COMPUTED_VALUE"""),799.2)</f>
        <v>799.2</v>
      </c>
      <c r="BB511" s="71">
        <f>IFERROR(__xludf.DUMMYFUNCTION("""COMPUTED_VALUE"""),799.2)</f>
        <v>799.2</v>
      </c>
      <c r="BC511" s="71">
        <f>IFERROR(__xludf.DUMMYFUNCTION("""COMPUTED_VALUE"""),839.0)</f>
        <v>839</v>
      </c>
      <c r="BD511" s="71">
        <f>IFERROR(__xludf.DUMMYFUNCTION("""COMPUTED_VALUE"""),881.0)</f>
        <v>881</v>
      </c>
      <c r="BE511" s="71">
        <f>IFERROR(__xludf.DUMMYFUNCTION("""COMPUTED_VALUE"""),140.96)</f>
        <v>140.96</v>
      </c>
      <c r="BF511" s="71">
        <f>IFERROR(__xludf.DUMMYFUNCTION("""COMPUTED_VALUE"""),1021.96)</f>
        <v>1021.96</v>
      </c>
      <c r="BG511" s="71">
        <f>IFERROR(__xludf.DUMMYFUNCTION("""COMPUTED_VALUE"""),0.050059594755661505)</f>
        <v>0.05005959476</v>
      </c>
      <c r="BH511" s="71">
        <f>IFERROR(__xludf.DUMMYFUNCTION("""COMPUTED_VALUE"""),836.9499999999999)</f>
        <v>836.95</v>
      </c>
      <c r="BI511" s="71">
        <f>IFERROR(__xludf.DUMMYFUNCTION("""COMPUTED_VALUE"""),133.91199999999998)</f>
        <v>133.912</v>
      </c>
      <c r="BJ511" s="71">
        <f>IFERROR(__xludf.DUMMYFUNCTION("""COMPUTED_VALUE"""),970.8619999999999)</f>
        <v>970.862</v>
      </c>
      <c r="BK511" s="71">
        <f>IFERROR(__xludf.DUMMYFUNCTION("""COMPUTED_VALUE"""),792.9)</f>
        <v>792.9</v>
      </c>
      <c r="BL511" s="71">
        <f>IFERROR(__xludf.DUMMYFUNCTION("""COMPUTED_VALUE"""),126.864)</f>
        <v>126.864</v>
      </c>
      <c r="BM511" s="71">
        <f>IFERROR(__xludf.DUMMYFUNCTION("""COMPUTED_VALUE"""),919.764)</f>
        <v>919.764</v>
      </c>
      <c r="BN511" s="71">
        <f>IFERROR(__xludf.DUMMYFUNCTION("""COMPUTED_VALUE"""),748.85)</f>
        <v>748.85</v>
      </c>
      <c r="BO511" s="71">
        <f>IFERROR(__xludf.DUMMYFUNCTION("""COMPUTED_VALUE"""),119.816)</f>
        <v>119.816</v>
      </c>
      <c r="BP511" s="71">
        <f>IFERROR(__xludf.DUMMYFUNCTION("""COMPUTED_VALUE"""),868.666)</f>
        <v>868.666</v>
      </c>
      <c r="BQ511" s="71">
        <f>IFERROR(__xludf.DUMMYFUNCTION("""COMPUTED_VALUE"""),731.23)</f>
        <v>731.23</v>
      </c>
      <c r="BR511" s="71">
        <f>IFERROR(__xludf.DUMMYFUNCTION("""COMPUTED_VALUE"""),116.99680000000001)</f>
        <v>116.9968</v>
      </c>
      <c r="BS511" s="71">
        <f>IFERROR(__xludf.DUMMYFUNCTION("""COMPUTED_VALUE"""),848.2268)</f>
        <v>848.2268</v>
      </c>
      <c r="BT511" s="71">
        <f>IFERROR(__xludf.DUMMYFUNCTION("""COMPUTED_VALUE"""),704.8000000000001)</f>
        <v>704.8</v>
      </c>
      <c r="BU511" s="71">
        <f>IFERROR(__xludf.DUMMYFUNCTION("""COMPUTED_VALUE"""),112.76800000000001)</f>
        <v>112.768</v>
      </c>
      <c r="BV511" s="71">
        <f>IFERROR(__xludf.DUMMYFUNCTION("""COMPUTED_VALUE"""),817.5680000000001)</f>
        <v>817.568</v>
      </c>
    </row>
    <row r="512">
      <c r="A512" s="53"/>
      <c r="B512" s="53"/>
      <c r="C512" s="73" t="s">
        <v>53</v>
      </c>
      <c r="D512" s="53" t="s">
        <v>1284</v>
      </c>
      <c r="E512" s="54" t="s">
        <v>38</v>
      </c>
      <c r="F512" s="55" t="s">
        <v>309</v>
      </c>
      <c r="G512" s="55" t="s">
        <v>1285</v>
      </c>
      <c r="H512" s="54" t="s">
        <v>1283</v>
      </c>
      <c r="I512" s="54">
        <f t="shared" si="24"/>
        <v>19</v>
      </c>
      <c r="J512" s="56"/>
      <c r="K512" s="57"/>
      <c r="L512" s="76"/>
      <c r="M512" s="59"/>
      <c r="N512" s="60"/>
      <c r="O512" s="90">
        <v>960.0</v>
      </c>
      <c r="P512" s="62">
        <v>1036.8000000000002</v>
      </c>
      <c r="Q512" s="63">
        <v>1036.8000000000002</v>
      </c>
      <c r="R512" s="64">
        <v>1144.0</v>
      </c>
      <c r="S512" s="111">
        <v>1201.0</v>
      </c>
      <c r="T512" s="65">
        <f t="shared" si="2"/>
        <v>192.16</v>
      </c>
      <c r="U512" s="65">
        <f t="shared" si="3"/>
        <v>1393.16</v>
      </c>
      <c r="V512" s="66">
        <f t="shared" si="4"/>
        <v>0.04982517483</v>
      </c>
      <c r="W512" s="67">
        <f t="shared" si="5"/>
        <v>1140.95</v>
      </c>
      <c r="X512" s="67">
        <f t="shared" si="6"/>
        <v>182.552</v>
      </c>
      <c r="Y512" s="67">
        <f t="shared" si="7"/>
        <v>1323.502</v>
      </c>
      <c r="Z512" s="67">
        <f t="shared" si="8"/>
        <v>1080.9</v>
      </c>
      <c r="AA512" s="67">
        <f t="shared" si="9"/>
        <v>172.944</v>
      </c>
      <c r="AB512" s="67">
        <f t="shared" si="10"/>
        <v>1253.844</v>
      </c>
      <c r="AC512" s="67">
        <f t="shared" si="11"/>
        <v>1020.85</v>
      </c>
      <c r="AD512" s="67">
        <f t="shared" si="12"/>
        <v>163.336</v>
      </c>
      <c r="AE512" s="67">
        <f t="shared" si="13"/>
        <v>1184.186</v>
      </c>
      <c r="AF512" s="67">
        <f t="shared" si="14"/>
        <v>996.83</v>
      </c>
      <c r="AG512" s="67">
        <f t="shared" si="15"/>
        <v>159.4928</v>
      </c>
      <c r="AH512" s="67">
        <f t="shared" si="16"/>
        <v>1156.3228</v>
      </c>
      <c r="AI512" s="67">
        <f t="shared" si="17"/>
        <v>960.8</v>
      </c>
      <c r="AJ512" s="68">
        <f t="shared" si="20"/>
        <v>153.728</v>
      </c>
      <c r="AK512" s="68">
        <f t="shared" si="21"/>
        <v>1114.528</v>
      </c>
      <c r="AL512" s="70">
        <f>IFERROR(__xludf.DUMMYFUNCTION("""COMPUTED_VALUE"""),1.0)</f>
        <v>1</v>
      </c>
      <c r="AM512" s="70"/>
      <c r="AN512" s="71" t="str">
        <f>IFERROR(__xludf.DUMMYFUNCTION("""COMPUTED_VALUE""")," C")</f>
        <v>C</v>
      </c>
      <c r="AO512" s="71" t="str">
        <f>IFERROR(__xludf.DUMMYFUNCTION("""COMPUTED_VALUE""")," CO14")</f>
        <v>CO14</v>
      </c>
      <c r="AP512" s="71" t="str">
        <f>IFERROR(__xludf.DUMMYFUNCTION("""COMPUTED_VALUE""")," PZA")</f>
        <v>PZA</v>
      </c>
      <c r="AQ512" s="71" t="str">
        <f>IFERROR(__xludf.DUMMYFUNCTION("""COMPUTED_VALUE""")," REF")</f>
        <v>REF</v>
      </c>
      <c r="AR512" s="71" t="str">
        <f>IFERROR(__xludf.DUMMYFUNCTION("""COMPUTED_VALUE""")," CORONA DE BRONCE P/ REDUCTOR 80")</f>
        <v>CORONA DE BRONCE P/ REDUCTOR 80</v>
      </c>
      <c r="AS512" s="71" t="str">
        <f>IFERROR(__xludf.DUMMYFUNCTION("""COMPUTED_VALUE""")," CORONA DE BRONCE P/ REDUCTOR 80")</f>
        <v>CORONA DE BRONCE P/ REDUCTOR 80</v>
      </c>
      <c r="AT512" s="71">
        <f>IFERROR(__xludf.DUMMYFUNCTION("""COMPUTED_VALUE"""),31.0)</f>
        <v>31</v>
      </c>
      <c r="AU512" s="71"/>
      <c r="AV512" s="71"/>
      <c r="AW512" s="71"/>
      <c r="AX512" s="71"/>
      <c r="AY512" s="71"/>
      <c r="AZ512" s="71"/>
      <c r="BA512" s="71">
        <f>IFERROR(__xludf.DUMMYFUNCTION("""COMPUTED_VALUE"""),1030.0)</f>
        <v>1030</v>
      </c>
      <c r="BB512" s="71">
        <f>IFERROR(__xludf.DUMMYFUNCTION("""COMPUTED_VALUE"""),1030.0)</f>
        <v>1030</v>
      </c>
      <c r="BC512" s="71">
        <f>IFERROR(__xludf.DUMMYFUNCTION("""COMPUTED_VALUE"""),2225.0)</f>
        <v>2225</v>
      </c>
      <c r="BD512" s="71">
        <f>IFERROR(__xludf.DUMMYFUNCTION("""COMPUTED_VALUE"""),2336.0)</f>
        <v>2336</v>
      </c>
      <c r="BE512" s="71">
        <f>IFERROR(__xludf.DUMMYFUNCTION("""COMPUTED_VALUE"""),373.76)</f>
        <v>373.76</v>
      </c>
      <c r="BF512" s="71">
        <f>IFERROR(__xludf.DUMMYFUNCTION("""COMPUTED_VALUE"""),2709.76)</f>
        <v>2709.76</v>
      </c>
      <c r="BG512" s="71">
        <f>IFERROR(__xludf.DUMMYFUNCTION("""COMPUTED_VALUE"""),0.0498876404494382)</f>
        <v>0.04988764045</v>
      </c>
      <c r="BH512" s="71">
        <f>IFERROR(__xludf.DUMMYFUNCTION("""COMPUTED_VALUE"""),2219.2)</f>
        <v>2219.2</v>
      </c>
      <c r="BI512" s="71">
        <f>IFERROR(__xludf.DUMMYFUNCTION("""COMPUTED_VALUE"""),355.072)</f>
        <v>355.072</v>
      </c>
      <c r="BJ512" s="71">
        <f>IFERROR(__xludf.DUMMYFUNCTION("""COMPUTED_VALUE"""),2574.272)</f>
        <v>2574.272</v>
      </c>
      <c r="BK512" s="71">
        <f>IFERROR(__xludf.DUMMYFUNCTION("""COMPUTED_VALUE"""),2102.4)</f>
        <v>2102.4</v>
      </c>
      <c r="BL512" s="71">
        <f>IFERROR(__xludf.DUMMYFUNCTION("""COMPUTED_VALUE"""),336.384)</f>
        <v>336.384</v>
      </c>
      <c r="BM512" s="71">
        <f>IFERROR(__xludf.DUMMYFUNCTION("""COMPUTED_VALUE"""),2438.784)</f>
        <v>2438.784</v>
      </c>
      <c r="BN512" s="71">
        <f>IFERROR(__xludf.DUMMYFUNCTION("""COMPUTED_VALUE"""),1985.6)</f>
        <v>1985.6</v>
      </c>
      <c r="BO512" s="71">
        <f>IFERROR(__xludf.DUMMYFUNCTION("""COMPUTED_VALUE"""),317.69599999999997)</f>
        <v>317.696</v>
      </c>
      <c r="BP512" s="71">
        <f>IFERROR(__xludf.DUMMYFUNCTION("""COMPUTED_VALUE"""),2303.296)</f>
        <v>2303.296</v>
      </c>
      <c r="BQ512" s="71">
        <f>IFERROR(__xludf.DUMMYFUNCTION("""COMPUTED_VALUE"""),1938.8799999999999)</f>
        <v>1938.88</v>
      </c>
      <c r="BR512" s="71">
        <f>IFERROR(__xludf.DUMMYFUNCTION("""COMPUTED_VALUE"""),310.2208)</f>
        <v>310.2208</v>
      </c>
      <c r="BS512" s="71">
        <f>IFERROR(__xludf.DUMMYFUNCTION("""COMPUTED_VALUE"""),2249.1007999999997)</f>
        <v>2249.1008</v>
      </c>
      <c r="BT512" s="71">
        <f>IFERROR(__xludf.DUMMYFUNCTION("""COMPUTED_VALUE"""),1868.8000000000002)</f>
        <v>1868.8</v>
      </c>
      <c r="BU512" s="71">
        <f>IFERROR(__xludf.DUMMYFUNCTION("""COMPUTED_VALUE"""),299.00800000000004)</f>
        <v>299.008</v>
      </c>
      <c r="BV512" s="71">
        <f>IFERROR(__xludf.DUMMYFUNCTION("""COMPUTED_VALUE"""),2167.808)</f>
        <v>2167.808</v>
      </c>
    </row>
    <row r="513">
      <c r="A513" s="53">
        <v>1.0</v>
      </c>
      <c r="B513" s="72"/>
      <c r="C513" s="73" t="s">
        <v>53</v>
      </c>
      <c r="D513" s="74" t="s">
        <v>1286</v>
      </c>
      <c r="E513" s="54" t="s">
        <v>38</v>
      </c>
      <c r="F513" s="54" t="s">
        <v>42</v>
      </c>
      <c r="G513" s="88" t="s">
        <v>1287</v>
      </c>
      <c r="H513" s="54" t="s">
        <v>1287</v>
      </c>
      <c r="I513" s="54">
        <f t="shared" si="24"/>
        <v>31</v>
      </c>
      <c r="J513" s="56"/>
      <c r="K513" s="75"/>
      <c r="L513" s="76"/>
      <c r="M513" s="59"/>
      <c r="N513" s="60">
        <v>947.0</v>
      </c>
      <c r="O513" s="61">
        <v>1022.0</v>
      </c>
      <c r="P513" s="62">
        <v>1103.76</v>
      </c>
      <c r="Q513" s="63">
        <v>1103.76</v>
      </c>
      <c r="R513" s="64">
        <v>1217.0</v>
      </c>
      <c r="S513" s="111">
        <v>1278.0</v>
      </c>
      <c r="T513" s="65">
        <f t="shared" si="2"/>
        <v>204.48</v>
      </c>
      <c r="U513" s="65">
        <f t="shared" si="3"/>
        <v>1482.48</v>
      </c>
      <c r="V513" s="66">
        <f t="shared" si="4"/>
        <v>0.0501232539</v>
      </c>
      <c r="W513" s="67">
        <f t="shared" si="5"/>
        <v>1214.1</v>
      </c>
      <c r="X513" s="67">
        <f t="shared" si="6"/>
        <v>194.256</v>
      </c>
      <c r="Y513" s="67">
        <f t="shared" si="7"/>
        <v>1408.356</v>
      </c>
      <c r="Z513" s="67">
        <f t="shared" si="8"/>
        <v>1150.2</v>
      </c>
      <c r="AA513" s="67">
        <f t="shared" si="9"/>
        <v>184.032</v>
      </c>
      <c r="AB513" s="67">
        <f t="shared" si="10"/>
        <v>1334.232</v>
      </c>
      <c r="AC513" s="67">
        <f t="shared" si="11"/>
        <v>1086.3</v>
      </c>
      <c r="AD513" s="67">
        <f t="shared" si="12"/>
        <v>173.808</v>
      </c>
      <c r="AE513" s="67">
        <f t="shared" si="13"/>
        <v>1260.108</v>
      </c>
      <c r="AF513" s="67">
        <f t="shared" si="14"/>
        <v>1060.74</v>
      </c>
      <c r="AG513" s="67">
        <f t="shared" si="15"/>
        <v>169.7184</v>
      </c>
      <c r="AH513" s="67">
        <f t="shared" si="16"/>
        <v>1230.4584</v>
      </c>
      <c r="AI513" s="67">
        <f t="shared" si="17"/>
        <v>1022.4</v>
      </c>
      <c r="AJ513" s="68">
        <f t="shared" si="20"/>
        <v>163.584</v>
      </c>
      <c r="AK513" s="68">
        <f t="shared" si="21"/>
        <v>1185.984</v>
      </c>
      <c r="AL513" s="70">
        <f>IFERROR(__xludf.DUMMYFUNCTION("""COMPUTED_VALUE"""),1.0)</f>
        <v>1</v>
      </c>
      <c r="AM513" s="70"/>
      <c r="AN513" s="71" t="str">
        <f>IFERROR(__xludf.DUMMYFUNCTION("""COMPUTED_VALUE""")," P")</f>
        <v>P</v>
      </c>
      <c r="AO513" s="71" t="str">
        <f>IFERROR(__xludf.DUMMYFUNCTION("""COMPUTED_VALUE""")," CO06")</f>
        <v>CO06</v>
      </c>
      <c r="AP513" s="71" t="str">
        <f>IFERROR(__xludf.DUMMYFUNCTION("""COMPUTED_VALUE""")," PZA")</f>
        <v>PZA</v>
      </c>
      <c r="AQ513" s="71" t="str">
        <f>IFERROR(__xludf.DUMMYFUNCTION("""COMPUTED_VALUE""")," REF")</f>
        <v>REF</v>
      </c>
      <c r="AR513" s="71" t="str">
        <f>IFERROR(__xludf.DUMMYFUNCTION("""COMPUTED_VALUE""")," CORONA DE BRONCE REFORZADA VERDUZCO")</f>
        <v>CORONA DE BRONCE REFORZADA VERDUZCO</v>
      </c>
      <c r="AS513" s="71" t="str">
        <f>IFERROR(__xludf.DUMMYFUNCTION("""COMPUTED_VALUE""")," CORONA DE BRONCE REFORZADA VER")</f>
        <v>CORONA DE BRONCE REFORZADA VER</v>
      </c>
      <c r="AT513" s="71">
        <f>IFERROR(__xludf.DUMMYFUNCTION("""COMPUTED_VALUE"""),30.0)</f>
        <v>30</v>
      </c>
      <c r="AU513" s="71"/>
      <c r="AV513" s="71"/>
      <c r="AW513" s="71"/>
      <c r="AX513" s="71"/>
      <c r="AY513" s="71">
        <f>IFERROR(__xludf.DUMMYFUNCTION("""COMPUTED_VALUE"""),2118.0)</f>
        <v>2118</v>
      </c>
      <c r="AZ513" s="71">
        <f>IFERROR(__xludf.DUMMYFUNCTION("""COMPUTED_VALUE"""),2287.0)</f>
        <v>2287</v>
      </c>
      <c r="BA513" s="71">
        <f>IFERROR(__xludf.DUMMYFUNCTION("""COMPUTED_VALUE"""),2469.96)</f>
        <v>2469.96</v>
      </c>
      <c r="BB513" s="71">
        <f>IFERROR(__xludf.DUMMYFUNCTION("""COMPUTED_VALUE"""),2469.96)</f>
        <v>2469.96</v>
      </c>
      <c r="BC513" s="71">
        <f>IFERROR(__xludf.DUMMYFUNCTION("""COMPUTED_VALUE"""),2750.0)</f>
        <v>2750</v>
      </c>
      <c r="BD513" s="71">
        <f>IFERROR(__xludf.DUMMYFUNCTION("""COMPUTED_VALUE"""),2310.0)</f>
        <v>2310</v>
      </c>
      <c r="BE513" s="71">
        <f>IFERROR(__xludf.DUMMYFUNCTION("""COMPUTED_VALUE"""),369.6)</f>
        <v>369.6</v>
      </c>
      <c r="BF513" s="71">
        <f>IFERROR(__xludf.DUMMYFUNCTION("""COMPUTED_VALUE"""),2679.6)</f>
        <v>2679.6</v>
      </c>
      <c r="BG513" s="71">
        <f>IFERROR(__xludf.DUMMYFUNCTION("""COMPUTED_VALUE"""),-0.16)</f>
        <v>-0.16</v>
      </c>
      <c r="BH513" s="71">
        <f>IFERROR(__xludf.DUMMYFUNCTION("""COMPUTED_VALUE"""),2194.5)</f>
        <v>2194.5</v>
      </c>
      <c r="BI513" s="71">
        <f>IFERROR(__xludf.DUMMYFUNCTION("""COMPUTED_VALUE"""),351.12)</f>
        <v>351.12</v>
      </c>
      <c r="BJ513" s="71">
        <f>IFERROR(__xludf.DUMMYFUNCTION("""COMPUTED_VALUE"""),2545.62)</f>
        <v>2545.62</v>
      </c>
      <c r="BK513" s="71">
        <f>IFERROR(__xludf.DUMMYFUNCTION("""COMPUTED_VALUE"""),2079.0)</f>
        <v>2079</v>
      </c>
      <c r="BL513" s="71">
        <f>IFERROR(__xludf.DUMMYFUNCTION("""COMPUTED_VALUE"""),332.64)</f>
        <v>332.64</v>
      </c>
      <c r="BM513" s="71">
        <f>IFERROR(__xludf.DUMMYFUNCTION("""COMPUTED_VALUE"""),2411.64)</f>
        <v>2411.64</v>
      </c>
      <c r="BN513" s="71">
        <f>IFERROR(__xludf.DUMMYFUNCTION("""COMPUTED_VALUE"""),1963.5)</f>
        <v>1963.5</v>
      </c>
      <c r="BO513" s="71">
        <f>IFERROR(__xludf.DUMMYFUNCTION("""COMPUTED_VALUE"""),314.16)</f>
        <v>314.16</v>
      </c>
      <c r="BP513" s="71">
        <f>IFERROR(__xludf.DUMMYFUNCTION("""COMPUTED_VALUE"""),2277.66)</f>
        <v>2277.66</v>
      </c>
      <c r="BQ513" s="71">
        <f>IFERROR(__xludf.DUMMYFUNCTION("""COMPUTED_VALUE"""),1917.3)</f>
        <v>1917.3</v>
      </c>
      <c r="BR513" s="71">
        <f>IFERROR(__xludf.DUMMYFUNCTION("""COMPUTED_VALUE"""),306.768)</f>
        <v>306.768</v>
      </c>
      <c r="BS513" s="71">
        <f>IFERROR(__xludf.DUMMYFUNCTION("""COMPUTED_VALUE"""),2224.0679999999998)</f>
        <v>2224.068</v>
      </c>
      <c r="BT513" s="71">
        <f>IFERROR(__xludf.DUMMYFUNCTION("""COMPUTED_VALUE"""),1848.0)</f>
        <v>1848</v>
      </c>
      <c r="BU513" s="71">
        <f>IFERROR(__xludf.DUMMYFUNCTION("""COMPUTED_VALUE"""),295.68)</f>
        <v>295.68</v>
      </c>
      <c r="BV513" s="71">
        <f>IFERROR(__xludf.DUMMYFUNCTION("""COMPUTED_VALUE"""),2143.68)</f>
        <v>2143.68</v>
      </c>
    </row>
    <row r="514">
      <c r="A514" s="53"/>
      <c r="B514" s="53"/>
      <c r="C514" s="73" t="s">
        <v>53</v>
      </c>
      <c r="D514" s="53" t="s">
        <v>1288</v>
      </c>
      <c r="E514" s="54" t="s">
        <v>38</v>
      </c>
      <c r="F514" s="55" t="s">
        <v>309</v>
      </c>
      <c r="G514" s="55" t="s">
        <v>1289</v>
      </c>
      <c r="H514" s="54" t="s">
        <v>1287</v>
      </c>
      <c r="I514" s="54">
        <f t="shared" si="24"/>
        <v>31</v>
      </c>
      <c r="J514" s="56"/>
      <c r="K514" s="57"/>
      <c r="L514" s="76"/>
      <c r="M514" s="59"/>
      <c r="N514" s="60"/>
      <c r="O514" s="90">
        <v>1022.0</v>
      </c>
      <c r="P514" s="62">
        <v>1103.76</v>
      </c>
      <c r="Q514" s="63">
        <v>1103.76</v>
      </c>
      <c r="R514" s="64">
        <v>1217.0</v>
      </c>
      <c r="S514" s="111">
        <v>1278.0</v>
      </c>
      <c r="T514" s="65">
        <f t="shared" si="2"/>
        <v>204.48</v>
      </c>
      <c r="U514" s="65">
        <f t="shared" si="3"/>
        <v>1482.48</v>
      </c>
      <c r="V514" s="66">
        <f t="shared" si="4"/>
        <v>0.0501232539</v>
      </c>
      <c r="W514" s="67">
        <f t="shared" si="5"/>
        <v>1214.1</v>
      </c>
      <c r="X514" s="67">
        <f t="shared" si="6"/>
        <v>194.256</v>
      </c>
      <c r="Y514" s="67">
        <f t="shared" si="7"/>
        <v>1408.356</v>
      </c>
      <c r="Z514" s="67">
        <f t="shared" si="8"/>
        <v>1150.2</v>
      </c>
      <c r="AA514" s="67">
        <f t="shared" si="9"/>
        <v>184.032</v>
      </c>
      <c r="AB514" s="67">
        <f t="shared" si="10"/>
        <v>1334.232</v>
      </c>
      <c r="AC514" s="67">
        <f t="shared" si="11"/>
        <v>1086.3</v>
      </c>
      <c r="AD514" s="67">
        <f t="shared" si="12"/>
        <v>173.808</v>
      </c>
      <c r="AE514" s="67">
        <f t="shared" si="13"/>
        <v>1260.108</v>
      </c>
      <c r="AF514" s="67">
        <f t="shared" si="14"/>
        <v>1060.74</v>
      </c>
      <c r="AG514" s="67">
        <f t="shared" si="15"/>
        <v>169.7184</v>
      </c>
      <c r="AH514" s="67">
        <f t="shared" si="16"/>
        <v>1230.4584</v>
      </c>
      <c r="AI514" s="67">
        <f t="shared" si="17"/>
        <v>1022.4</v>
      </c>
      <c r="AJ514" s="68">
        <f t="shared" si="20"/>
        <v>163.584</v>
      </c>
      <c r="AK514" s="68">
        <f t="shared" si="21"/>
        <v>1185.984</v>
      </c>
      <c r="AL514" s="70">
        <f>IFERROR(__xludf.DUMMYFUNCTION("""COMPUTED_VALUE"""),1.0)</f>
        <v>1</v>
      </c>
      <c r="AM514" s="70"/>
      <c r="AN514" s="71" t="str">
        <f>IFERROR(__xludf.DUMMYFUNCTION("""COMPUTED_VALUE""")," P")</f>
        <v>P</v>
      </c>
      <c r="AO514" s="71" t="str">
        <f>IFERROR(__xludf.DUMMYFUNCTION("""COMPUTED_VALUE""")," CO05")</f>
        <v>CO05</v>
      </c>
      <c r="AP514" s="71" t="str">
        <f>IFERROR(__xludf.DUMMYFUNCTION("""COMPUTED_VALUE""")," PZA")</f>
        <v>PZA</v>
      </c>
      <c r="AQ514" s="71" t="str">
        <f>IFERROR(__xludf.DUMMYFUNCTION("""COMPUTED_VALUE""")," REF")</f>
        <v>REF</v>
      </c>
      <c r="AR514" s="71" t="str">
        <f>IFERROR(__xludf.DUMMYFUNCTION("""COMPUTED_VALUE""")," CORONA DE BRONCE VERDUZCO")</f>
        <v>CORONA DE BRONCE VERDUZCO</v>
      </c>
      <c r="AS514" s="71" t="str">
        <f>IFERROR(__xludf.DUMMYFUNCTION("""COMPUTED_VALUE""")," CORONA DE BRONCE VER")</f>
        <v>CORONA DE BRONCE VER</v>
      </c>
      <c r="AT514" s="71">
        <f>IFERROR(__xludf.DUMMYFUNCTION("""COMPUTED_VALUE"""),20.0)</f>
        <v>20</v>
      </c>
      <c r="AU514" s="71"/>
      <c r="AV514" s="71"/>
      <c r="AW514" s="71"/>
      <c r="AX514" s="71"/>
      <c r="AY514" s="71">
        <f>IFERROR(__xludf.DUMMYFUNCTION("""COMPUTED_VALUE"""),1736.0)</f>
        <v>1736</v>
      </c>
      <c r="AZ514" s="71">
        <f>IFERROR(__xludf.DUMMYFUNCTION("""COMPUTED_VALUE"""),1874.0)</f>
        <v>1874</v>
      </c>
      <c r="BA514" s="71">
        <f>IFERROR(__xludf.DUMMYFUNCTION("""COMPUTED_VALUE"""),2023.92)</f>
        <v>2023.92</v>
      </c>
      <c r="BB514" s="71">
        <f>IFERROR(__xludf.DUMMYFUNCTION("""COMPUTED_VALUE"""),2023.92)</f>
        <v>2023.92</v>
      </c>
      <c r="BC514" s="71">
        <f>IFERROR(__xludf.DUMMYFUNCTION("""COMPUTED_VALUE"""),2254.0)</f>
        <v>2254</v>
      </c>
      <c r="BD514" s="71">
        <f>IFERROR(__xludf.DUMMYFUNCTION("""COMPUTED_VALUE"""),1998.0)</f>
        <v>1998</v>
      </c>
      <c r="BE514" s="71">
        <f>IFERROR(__xludf.DUMMYFUNCTION("""COMPUTED_VALUE"""),319.68)</f>
        <v>319.68</v>
      </c>
      <c r="BF514" s="71">
        <f>IFERROR(__xludf.DUMMYFUNCTION("""COMPUTED_VALUE"""),2317.68)</f>
        <v>2317.68</v>
      </c>
      <c r="BG514" s="71">
        <f>IFERROR(__xludf.DUMMYFUNCTION("""COMPUTED_VALUE"""),-0.11357586512866016)</f>
        <v>-0.1135758651</v>
      </c>
      <c r="BH514" s="71">
        <f>IFERROR(__xludf.DUMMYFUNCTION("""COMPUTED_VALUE"""),1898.1)</f>
        <v>1898.1</v>
      </c>
      <c r="BI514" s="71">
        <f>IFERROR(__xludf.DUMMYFUNCTION("""COMPUTED_VALUE"""),303.69599999999997)</f>
        <v>303.696</v>
      </c>
      <c r="BJ514" s="71">
        <f>IFERROR(__xludf.DUMMYFUNCTION("""COMPUTED_VALUE"""),2201.796)</f>
        <v>2201.796</v>
      </c>
      <c r="BK514" s="71">
        <f>IFERROR(__xludf.DUMMYFUNCTION("""COMPUTED_VALUE"""),1798.2)</f>
        <v>1798.2</v>
      </c>
      <c r="BL514" s="71">
        <f>IFERROR(__xludf.DUMMYFUNCTION("""COMPUTED_VALUE"""),287.712)</f>
        <v>287.712</v>
      </c>
      <c r="BM514" s="71">
        <f>IFERROR(__xludf.DUMMYFUNCTION("""COMPUTED_VALUE"""),2085.9120000000003)</f>
        <v>2085.912</v>
      </c>
      <c r="BN514" s="71">
        <f>IFERROR(__xludf.DUMMYFUNCTION("""COMPUTED_VALUE"""),1698.3)</f>
        <v>1698.3</v>
      </c>
      <c r="BO514" s="71">
        <f>IFERROR(__xludf.DUMMYFUNCTION("""COMPUTED_VALUE"""),271.728)</f>
        <v>271.728</v>
      </c>
      <c r="BP514" s="71">
        <f>IFERROR(__xludf.DUMMYFUNCTION("""COMPUTED_VALUE"""),1970.028)</f>
        <v>1970.028</v>
      </c>
      <c r="BQ514" s="71">
        <f>IFERROR(__xludf.DUMMYFUNCTION("""COMPUTED_VALUE"""),1658.34)</f>
        <v>1658.34</v>
      </c>
      <c r="BR514" s="71">
        <f>IFERROR(__xludf.DUMMYFUNCTION("""COMPUTED_VALUE"""),265.3344)</f>
        <v>265.3344</v>
      </c>
      <c r="BS514" s="71">
        <f>IFERROR(__xludf.DUMMYFUNCTION("""COMPUTED_VALUE"""),1923.6743999999999)</f>
        <v>1923.6744</v>
      </c>
      <c r="BT514" s="71">
        <f>IFERROR(__xludf.DUMMYFUNCTION("""COMPUTED_VALUE"""),1598.4)</f>
        <v>1598.4</v>
      </c>
      <c r="BU514" s="71">
        <f>IFERROR(__xludf.DUMMYFUNCTION("""COMPUTED_VALUE"""),255.74400000000003)</f>
        <v>255.744</v>
      </c>
      <c r="BV514" s="71">
        <f>IFERROR(__xludf.DUMMYFUNCTION("""COMPUTED_VALUE"""),1854.1440000000002)</f>
        <v>1854.144</v>
      </c>
    </row>
    <row r="515">
      <c r="A515" s="53">
        <v>1.0</v>
      </c>
      <c r="B515" s="72"/>
      <c r="C515" s="73" t="s">
        <v>53</v>
      </c>
      <c r="D515" s="74" t="s">
        <v>1290</v>
      </c>
      <c r="E515" s="54" t="s">
        <v>38</v>
      </c>
      <c r="F515" s="54" t="s">
        <v>42</v>
      </c>
      <c r="G515" s="88" t="s">
        <v>1291</v>
      </c>
      <c r="H515" s="54" t="s">
        <v>1291</v>
      </c>
      <c r="I515" s="54">
        <f t="shared" si="24"/>
        <v>35</v>
      </c>
      <c r="J515" s="56"/>
      <c r="K515" s="75"/>
      <c r="L515" s="76"/>
      <c r="M515" s="59"/>
      <c r="N515" s="60">
        <v>86.0</v>
      </c>
      <c r="O515" s="61">
        <v>92.0</v>
      </c>
      <c r="P515" s="62">
        <v>99.36000000000001</v>
      </c>
      <c r="Q515" s="63">
        <v>99.36000000000001</v>
      </c>
      <c r="R515" s="64">
        <v>112.0</v>
      </c>
      <c r="S515" s="111">
        <v>118.0</v>
      </c>
      <c r="T515" s="65">
        <f t="shared" si="2"/>
        <v>18.88</v>
      </c>
      <c r="U515" s="65">
        <f t="shared" si="3"/>
        <v>136.88</v>
      </c>
      <c r="V515" s="66">
        <f t="shared" si="4"/>
        <v>0.05357142857</v>
      </c>
      <c r="W515" s="67">
        <f t="shared" si="5"/>
        <v>112.1</v>
      </c>
      <c r="X515" s="67">
        <f t="shared" si="6"/>
        <v>17.936</v>
      </c>
      <c r="Y515" s="67">
        <f t="shared" si="7"/>
        <v>130.036</v>
      </c>
      <c r="Z515" s="67">
        <f t="shared" si="8"/>
        <v>106.2</v>
      </c>
      <c r="AA515" s="67">
        <f t="shared" si="9"/>
        <v>16.992</v>
      </c>
      <c r="AB515" s="67">
        <f t="shared" si="10"/>
        <v>123.192</v>
      </c>
      <c r="AC515" s="67">
        <f t="shared" si="11"/>
        <v>100.3</v>
      </c>
      <c r="AD515" s="67">
        <f t="shared" si="12"/>
        <v>16.048</v>
      </c>
      <c r="AE515" s="67">
        <f t="shared" si="13"/>
        <v>116.348</v>
      </c>
      <c r="AF515" s="67">
        <f t="shared" si="14"/>
        <v>97.94</v>
      </c>
      <c r="AG515" s="67">
        <f t="shared" si="15"/>
        <v>15.6704</v>
      </c>
      <c r="AH515" s="67">
        <f t="shared" si="16"/>
        <v>113.6104</v>
      </c>
      <c r="AI515" s="67">
        <f t="shared" si="17"/>
        <v>94.4</v>
      </c>
      <c r="AJ515" s="68">
        <f t="shared" si="20"/>
        <v>15.104</v>
      </c>
      <c r="AK515" s="68">
        <f t="shared" si="21"/>
        <v>109.504</v>
      </c>
      <c r="AL515" s="70">
        <f>IFERROR(__xludf.DUMMYFUNCTION("""COMPUTED_VALUE"""),1.0)</f>
        <v>1</v>
      </c>
      <c r="AM515" s="70"/>
      <c r="AN515" s="71" t="str">
        <f>IFERROR(__xludf.DUMMYFUNCTION("""COMPUTED_VALUE""")," P")</f>
        <v>P</v>
      </c>
      <c r="AO515" s="71" t="str">
        <f>IFERROR(__xludf.DUMMYFUNCTION("""COMPUTED_VALUE""")," CO07")</f>
        <v>CO07</v>
      </c>
      <c r="AP515" s="71" t="str">
        <f>IFERROR(__xludf.DUMMYFUNCTION("""COMPUTED_VALUE""")," PZA")</f>
        <v>PZA</v>
      </c>
      <c r="AQ515" s="71" t="str">
        <f>IFERROR(__xludf.DUMMYFUNCTION("""COMPUTED_VALUE""")," REF")</f>
        <v>REF</v>
      </c>
      <c r="AR515" s="71" t="str">
        <f>IFERROR(__xludf.DUMMYFUNCTION("""COMPUTED_VALUE""")," CORONA DE FIERRO COLADO DE 18 DTS")</f>
        <v>CORONA DE FIERRO COLADO DE 18 DTS</v>
      </c>
      <c r="AS515" s="71" t="str">
        <f>IFERROR(__xludf.DUMMYFUNCTION("""COMPUTED_VALUE""")," CORONA DE FIERRO COLADO DE 18 DTES")</f>
        <v>CORONA DE FIERRO COLADO DE 18 DTES</v>
      </c>
      <c r="AT515" s="71">
        <f>IFERROR(__xludf.DUMMYFUNCTION("""COMPUTED_VALUE"""),34.0)</f>
        <v>34</v>
      </c>
      <c r="AU515" s="71"/>
      <c r="AV515" s="71"/>
      <c r="AW515" s="71"/>
      <c r="AX515" s="71"/>
      <c r="AY515" s="71">
        <f>IFERROR(__xludf.DUMMYFUNCTION("""COMPUTED_VALUE"""),117.0)</f>
        <v>117</v>
      </c>
      <c r="AZ515" s="71">
        <f>IFERROR(__xludf.DUMMYFUNCTION("""COMPUTED_VALUE"""),126.0)</f>
        <v>126</v>
      </c>
      <c r="BA515" s="71">
        <f>IFERROR(__xludf.DUMMYFUNCTION("""COMPUTED_VALUE"""),136.08)</f>
        <v>136.08</v>
      </c>
      <c r="BB515" s="71">
        <f>IFERROR(__xludf.DUMMYFUNCTION("""COMPUTED_VALUE"""),136.08)</f>
        <v>136.08</v>
      </c>
      <c r="BC515" s="71">
        <f>IFERROR(__xludf.DUMMYFUNCTION("""COMPUTED_VALUE"""),153.0)</f>
        <v>153</v>
      </c>
      <c r="BD515" s="71">
        <f>IFERROR(__xludf.DUMMYFUNCTION("""COMPUTED_VALUE"""),161.0)</f>
        <v>161</v>
      </c>
      <c r="BE515" s="71">
        <f>IFERROR(__xludf.DUMMYFUNCTION("""COMPUTED_VALUE"""),25.76)</f>
        <v>25.76</v>
      </c>
      <c r="BF515" s="71">
        <f>IFERROR(__xludf.DUMMYFUNCTION("""COMPUTED_VALUE"""),186.76)</f>
        <v>186.76</v>
      </c>
      <c r="BG515" s="71">
        <f>IFERROR(__xludf.DUMMYFUNCTION("""COMPUTED_VALUE"""),0.05228758169934641)</f>
        <v>0.0522875817</v>
      </c>
      <c r="BH515" s="71">
        <f>IFERROR(__xludf.DUMMYFUNCTION("""COMPUTED_VALUE"""),152.95)</f>
        <v>152.95</v>
      </c>
      <c r="BI515" s="71">
        <f>IFERROR(__xludf.DUMMYFUNCTION("""COMPUTED_VALUE"""),24.471999999999998)</f>
        <v>24.472</v>
      </c>
      <c r="BJ515" s="71">
        <f>IFERROR(__xludf.DUMMYFUNCTION("""COMPUTED_VALUE"""),177.422)</f>
        <v>177.422</v>
      </c>
      <c r="BK515" s="71">
        <f>IFERROR(__xludf.DUMMYFUNCTION("""COMPUTED_VALUE"""),144.9)</f>
        <v>144.9</v>
      </c>
      <c r="BL515" s="71">
        <f>IFERROR(__xludf.DUMMYFUNCTION("""COMPUTED_VALUE"""),23.184)</f>
        <v>23.184</v>
      </c>
      <c r="BM515" s="71">
        <f>IFERROR(__xludf.DUMMYFUNCTION("""COMPUTED_VALUE"""),168.084)</f>
        <v>168.084</v>
      </c>
      <c r="BN515" s="71">
        <f>IFERROR(__xludf.DUMMYFUNCTION("""COMPUTED_VALUE"""),136.85)</f>
        <v>136.85</v>
      </c>
      <c r="BO515" s="71">
        <f>IFERROR(__xludf.DUMMYFUNCTION("""COMPUTED_VALUE"""),21.896)</f>
        <v>21.896</v>
      </c>
      <c r="BP515" s="71">
        <f>IFERROR(__xludf.DUMMYFUNCTION("""COMPUTED_VALUE"""),158.74599999999998)</f>
        <v>158.746</v>
      </c>
      <c r="BQ515" s="71">
        <f>IFERROR(__xludf.DUMMYFUNCTION("""COMPUTED_VALUE"""),133.63)</f>
        <v>133.63</v>
      </c>
      <c r="BR515" s="71">
        <f>IFERROR(__xludf.DUMMYFUNCTION("""COMPUTED_VALUE"""),21.3808)</f>
        <v>21.3808</v>
      </c>
      <c r="BS515" s="71">
        <f>IFERROR(__xludf.DUMMYFUNCTION("""COMPUTED_VALUE"""),155.0108)</f>
        <v>155.0108</v>
      </c>
      <c r="BT515" s="71">
        <f>IFERROR(__xludf.DUMMYFUNCTION("""COMPUTED_VALUE"""),128.8)</f>
        <v>128.8</v>
      </c>
      <c r="BU515" s="71">
        <f>IFERROR(__xludf.DUMMYFUNCTION("""COMPUTED_VALUE"""),20.608)</f>
        <v>20.608</v>
      </c>
      <c r="BV515" s="71">
        <f>IFERROR(__xludf.DUMMYFUNCTION("""COMPUTED_VALUE"""),149.40800000000002)</f>
        <v>149.408</v>
      </c>
    </row>
    <row r="516">
      <c r="A516" s="53">
        <v>1.0</v>
      </c>
      <c r="B516" s="72"/>
      <c r="C516" s="73" t="s">
        <v>53</v>
      </c>
      <c r="D516" s="74" t="s">
        <v>1292</v>
      </c>
      <c r="E516" s="54" t="s">
        <v>38</v>
      </c>
      <c r="F516" s="54" t="s">
        <v>42</v>
      </c>
      <c r="G516" s="123" t="s">
        <v>1293</v>
      </c>
      <c r="H516" s="54" t="s">
        <v>1293</v>
      </c>
      <c r="I516" s="54">
        <f t="shared" si="24"/>
        <v>25</v>
      </c>
      <c r="J516" s="56"/>
      <c r="K516" s="75"/>
      <c r="L516" s="76"/>
      <c r="M516" s="59"/>
      <c r="N516" s="60">
        <v>76.0</v>
      </c>
      <c r="O516" s="61">
        <v>82.0</v>
      </c>
      <c r="P516" s="62">
        <v>88.56</v>
      </c>
      <c r="Q516" s="63">
        <v>88.56</v>
      </c>
      <c r="R516" s="64">
        <v>99.0</v>
      </c>
      <c r="S516" s="111">
        <v>104.0</v>
      </c>
      <c r="T516" s="65">
        <f t="shared" si="2"/>
        <v>16.64</v>
      </c>
      <c r="U516" s="65">
        <f t="shared" si="3"/>
        <v>120.64</v>
      </c>
      <c r="V516" s="66">
        <f t="shared" si="4"/>
        <v>0.05050505051</v>
      </c>
      <c r="W516" s="67">
        <f t="shared" si="5"/>
        <v>98.8</v>
      </c>
      <c r="X516" s="67">
        <f t="shared" si="6"/>
        <v>15.808</v>
      </c>
      <c r="Y516" s="67">
        <f t="shared" si="7"/>
        <v>114.608</v>
      </c>
      <c r="Z516" s="67">
        <f t="shared" si="8"/>
        <v>93.6</v>
      </c>
      <c r="AA516" s="67">
        <f t="shared" si="9"/>
        <v>14.976</v>
      </c>
      <c r="AB516" s="67">
        <f t="shared" si="10"/>
        <v>108.576</v>
      </c>
      <c r="AC516" s="67">
        <f t="shared" si="11"/>
        <v>88.4</v>
      </c>
      <c r="AD516" s="67">
        <f t="shared" si="12"/>
        <v>14.144</v>
      </c>
      <c r="AE516" s="67">
        <f t="shared" si="13"/>
        <v>102.544</v>
      </c>
      <c r="AF516" s="67">
        <f t="shared" si="14"/>
        <v>86.32</v>
      </c>
      <c r="AG516" s="67">
        <f t="shared" si="15"/>
        <v>13.8112</v>
      </c>
      <c r="AH516" s="67">
        <f t="shared" si="16"/>
        <v>100.1312</v>
      </c>
      <c r="AI516" s="67">
        <f t="shared" si="17"/>
        <v>83.2</v>
      </c>
      <c r="AJ516" s="68">
        <f t="shared" si="20"/>
        <v>13.312</v>
      </c>
      <c r="AK516" s="68">
        <f t="shared" si="21"/>
        <v>96.512</v>
      </c>
      <c r="AL516" s="70">
        <f>IFERROR(__xludf.DUMMYFUNCTION("""COMPUTED_VALUE"""),1.0)</f>
        <v>1</v>
      </c>
      <c r="AM516" s="70"/>
      <c r="AN516" s="71" t="str">
        <f>IFERROR(__xludf.DUMMYFUNCTION("""COMPUTED_VALUE""")," P")</f>
        <v>P</v>
      </c>
      <c r="AO516" s="71" t="str">
        <f>IFERROR(__xludf.DUMMYFUNCTION("""COMPUTED_VALUE""")," CG01")</f>
        <v>CG01</v>
      </c>
      <c r="AP516" s="71" t="str">
        <f>IFERROR(__xludf.DUMMYFUNCTION("""COMPUTED_VALUE""")," PZA")</f>
        <v>PZA</v>
      </c>
      <c r="AQ516" s="71" t="str">
        <f>IFERROR(__xludf.DUMMYFUNCTION("""COMPUTED_VALUE""")," REF")</f>
        <v>REF</v>
      </c>
      <c r="AR516" s="71" t="str">
        <f>IFERROR(__xludf.DUMMYFUNCTION("""COMPUTED_VALUE""")," CREMALLERA DE BRONCE PARA VÁLVULA CARBURADORA")</f>
        <v>CREMALLERA DE BRONCE PARA VÁLVULA CARBURADORA</v>
      </c>
      <c r="AS516" s="71" t="str">
        <f>IFERROR(__xludf.DUMMYFUNCTION("""COMPUTED_VALUE""")," CREMALLERA BRONCE P/VALVULA CARBURADORA")</f>
        <v>CREMALLERA BRONCE P/VALVULA CARBURADORA</v>
      </c>
      <c r="AT516" s="71">
        <f>IFERROR(__xludf.DUMMYFUNCTION("""COMPUTED_VALUE"""),39.0)</f>
        <v>39</v>
      </c>
      <c r="AU516" s="71"/>
      <c r="AV516" s="71"/>
      <c r="AW516" s="71"/>
      <c r="AX516" s="71"/>
      <c r="AY516" s="71">
        <f>IFERROR(__xludf.DUMMYFUNCTION("""COMPUTED_VALUE"""),304.0)</f>
        <v>304</v>
      </c>
      <c r="AZ516" s="71">
        <f>IFERROR(__xludf.DUMMYFUNCTION("""COMPUTED_VALUE"""),328.0)</f>
        <v>328</v>
      </c>
      <c r="BA516" s="71">
        <f>IFERROR(__xludf.DUMMYFUNCTION("""COMPUTED_VALUE"""),354.24)</f>
        <v>354.24</v>
      </c>
      <c r="BB516" s="71">
        <f>IFERROR(__xludf.DUMMYFUNCTION("""COMPUTED_VALUE"""),354.24)</f>
        <v>354.24</v>
      </c>
      <c r="BC516" s="71">
        <f>IFERROR(__xludf.DUMMYFUNCTION("""COMPUTED_VALUE"""),395.0)</f>
        <v>395</v>
      </c>
      <c r="BD516" s="71">
        <f>IFERROR(__xludf.DUMMYFUNCTION("""COMPUTED_VALUE"""),415.0)</f>
        <v>415</v>
      </c>
      <c r="BE516" s="71">
        <f>IFERROR(__xludf.DUMMYFUNCTION("""COMPUTED_VALUE"""),66.4)</f>
        <v>66.4</v>
      </c>
      <c r="BF516" s="71">
        <f>IFERROR(__xludf.DUMMYFUNCTION("""COMPUTED_VALUE"""),481.4)</f>
        <v>481.4</v>
      </c>
      <c r="BG516" s="71">
        <f>IFERROR(__xludf.DUMMYFUNCTION("""COMPUTED_VALUE"""),0.05063291139240506)</f>
        <v>0.05063291139</v>
      </c>
      <c r="BH516" s="71">
        <f>IFERROR(__xludf.DUMMYFUNCTION("""COMPUTED_VALUE"""),394.25)</f>
        <v>394.25</v>
      </c>
      <c r="BI516" s="71">
        <f>IFERROR(__xludf.DUMMYFUNCTION("""COMPUTED_VALUE"""),63.08)</f>
        <v>63.08</v>
      </c>
      <c r="BJ516" s="71">
        <f>IFERROR(__xludf.DUMMYFUNCTION("""COMPUTED_VALUE"""),457.33)</f>
        <v>457.33</v>
      </c>
      <c r="BK516" s="71">
        <f>IFERROR(__xludf.DUMMYFUNCTION("""COMPUTED_VALUE"""),373.5)</f>
        <v>373.5</v>
      </c>
      <c r="BL516" s="71">
        <f>IFERROR(__xludf.DUMMYFUNCTION("""COMPUTED_VALUE"""),59.76)</f>
        <v>59.76</v>
      </c>
      <c r="BM516" s="71">
        <f>IFERROR(__xludf.DUMMYFUNCTION("""COMPUTED_VALUE"""),433.26)</f>
        <v>433.26</v>
      </c>
      <c r="BN516" s="71">
        <f>IFERROR(__xludf.DUMMYFUNCTION("""COMPUTED_VALUE"""),352.75)</f>
        <v>352.75</v>
      </c>
      <c r="BO516" s="71">
        <f>IFERROR(__xludf.DUMMYFUNCTION("""COMPUTED_VALUE"""),56.44)</f>
        <v>56.44</v>
      </c>
      <c r="BP516" s="71">
        <f>IFERROR(__xludf.DUMMYFUNCTION("""COMPUTED_VALUE"""),409.19)</f>
        <v>409.19</v>
      </c>
      <c r="BQ516" s="71">
        <f>IFERROR(__xludf.DUMMYFUNCTION("""COMPUTED_VALUE"""),344.45)</f>
        <v>344.45</v>
      </c>
      <c r="BR516" s="71">
        <f>IFERROR(__xludf.DUMMYFUNCTION("""COMPUTED_VALUE"""),55.112)</f>
        <v>55.112</v>
      </c>
      <c r="BS516" s="71">
        <f>IFERROR(__xludf.DUMMYFUNCTION("""COMPUTED_VALUE"""),399.562)</f>
        <v>399.562</v>
      </c>
      <c r="BT516" s="71">
        <f>IFERROR(__xludf.DUMMYFUNCTION("""COMPUTED_VALUE"""),332.0)</f>
        <v>332</v>
      </c>
      <c r="BU516" s="71">
        <f>IFERROR(__xludf.DUMMYFUNCTION("""COMPUTED_VALUE"""),53.120000000000005)</f>
        <v>53.12</v>
      </c>
      <c r="BV516" s="71">
        <f>IFERROR(__xludf.DUMMYFUNCTION("""COMPUTED_VALUE"""),385.12)</f>
        <v>385.12</v>
      </c>
    </row>
    <row r="517">
      <c r="A517" s="53"/>
      <c r="B517" s="53"/>
      <c r="C517" s="53" t="s">
        <v>36</v>
      </c>
      <c r="D517" s="85" t="s">
        <v>1294</v>
      </c>
      <c r="E517" s="54" t="s">
        <v>38</v>
      </c>
      <c r="F517" s="55" t="s">
        <v>39</v>
      </c>
      <c r="G517" s="86" t="s">
        <v>1295</v>
      </c>
      <c r="H517" s="55"/>
      <c r="I517" s="54">
        <f t="shared" si="24"/>
        <v>0</v>
      </c>
      <c r="J517" s="56"/>
      <c r="K517" s="57"/>
      <c r="L517" s="87"/>
      <c r="M517" s="59"/>
      <c r="N517" s="60"/>
      <c r="O517" s="61">
        <v>130.56</v>
      </c>
      <c r="P517" s="62">
        <v>141.00480000000002</v>
      </c>
      <c r="Q517" s="63">
        <v>141.00480000000002</v>
      </c>
      <c r="R517" s="64">
        <v>149.0</v>
      </c>
      <c r="S517" s="107">
        <v>156.0</v>
      </c>
      <c r="T517" s="65">
        <f t="shared" si="2"/>
        <v>24.96</v>
      </c>
      <c r="U517" s="65">
        <f t="shared" si="3"/>
        <v>180.96</v>
      </c>
      <c r="V517" s="66">
        <f t="shared" si="4"/>
        <v>0.04697986577</v>
      </c>
      <c r="W517" s="67">
        <f t="shared" si="5"/>
        <v>148.2</v>
      </c>
      <c r="X517" s="67">
        <f t="shared" si="6"/>
        <v>23.712</v>
      </c>
      <c r="Y517" s="67">
        <f t="shared" si="7"/>
        <v>171.912</v>
      </c>
      <c r="Z517" s="67">
        <f t="shared" si="8"/>
        <v>140.4</v>
      </c>
      <c r="AA517" s="67">
        <f t="shared" si="9"/>
        <v>22.464</v>
      </c>
      <c r="AB517" s="67">
        <f t="shared" si="10"/>
        <v>162.864</v>
      </c>
      <c r="AC517" s="67">
        <f t="shared" si="11"/>
        <v>132.6</v>
      </c>
      <c r="AD517" s="67">
        <f t="shared" si="12"/>
        <v>21.216</v>
      </c>
      <c r="AE517" s="67">
        <f t="shared" si="13"/>
        <v>153.816</v>
      </c>
      <c r="AF517" s="67">
        <f t="shared" si="14"/>
        <v>129.48</v>
      </c>
      <c r="AG517" s="67">
        <f t="shared" si="15"/>
        <v>20.7168</v>
      </c>
      <c r="AH517" s="67">
        <f t="shared" si="16"/>
        <v>150.1968</v>
      </c>
      <c r="AI517" s="67">
        <f t="shared" si="17"/>
        <v>124.8</v>
      </c>
      <c r="AJ517" s="68">
        <f t="shared" si="20"/>
        <v>19.968</v>
      </c>
      <c r="AK517" s="68">
        <f t="shared" si="21"/>
        <v>144.768</v>
      </c>
      <c r="AL517" s="70">
        <f>IFERROR(__xludf.DUMMYFUNCTION("""COMPUTED_VALUE"""),1.0)</f>
        <v>1</v>
      </c>
      <c r="AM517" s="70"/>
      <c r="AN517" s="71" t="str">
        <f>IFERROR(__xludf.DUMMYFUNCTION("""COMPUTED_VALUE""")," C")</f>
        <v>C</v>
      </c>
      <c r="AO517" s="71" t="str">
        <f>IFERROR(__xludf.DUMMYFUNCTION("""COMPUTED_VALUE""")," CG02")</f>
        <v>CG02</v>
      </c>
      <c r="AP517" s="71" t="str">
        <f>IFERROR(__xludf.DUMMYFUNCTION("""COMPUTED_VALUE""")," PZA")</f>
        <v>PZA</v>
      </c>
      <c r="AQ517" s="71" t="str">
        <f>IFERROR(__xludf.DUMMYFUNCTION("""COMPUTED_VALUE""")," REF")</f>
        <v>REF</v>
      </c>
      <c r="AR517" s="71" t="str">
        <f>IFERROR(__xludf.DUMMYFUNCTION("""COMPUTED_VALUE""")," CREMALLERA PARA TRINQUETE")</f>
        <v>CREMALLERA PARA TRINQUETE</v>
      </c>
      <c r="AS517" s="71" t="str">
        <f>IFERROR(__xludf.DUMMYFUNCTION("""COMPUTED_VALUE""")," CREMALLERA PARA TRINQUETE")</f>
        <v>CREMALLERA PARA TRINQUETE</v>
      </c>
      <c r="AT517" s="71">
        <f>IFERROR(__xludf.DUMMYFUNCTION("""COMPUTED_VALUE"""),25.0)</f>
        <v>25</v>
      </c>
      <c r="AU517" s="71"/>
      <c r="AV517" s="71"/>
      <c r="AW517" s="71"/>
      <c r="AX517" s="71"/>
      <c r="AY517" s="71">
        <f>IFERROR(__xludf.DUMMYFUNCTION("""COMPUTED_VALUE"""),54.0)</f>
        <v>54</v>
      </c>
      <c r="AZ517" s="71">
        <f>IFERROR(__xludf.DUMMYFUNCTION("""COMPUTED_VALUE"""),65.0)</f>
        <v>65</v>
      </c>
      <c r="BA517" s="71">
        <f>IFERROR(__xludf.DUMMYFUNCTION("""COMPUTED_VALUE"""),70.2)</f>
        <v>70.2</v>
      </c>
      <c r="BB517" s="71">
        <f>IFERROR(__xludf.DUMMYFUNCTION("""COMPUTED_VALUE"""),70.2)</f>
        <v>70.2</v>
      </c>
      <c r="BC517" s="71">
        <f>IFERROR(__xludf.DUMMYFUNCTION("""COMPUTED_VALUE"""),82.0)</f>
        <v>82</v>
      </c>
      <c r="BD517" s="71">
        <f>IFERROR(__xludf.DUMMYFUNCTION("""COMPUTED_VALUE"""),86.0)</f>
        <v>86</v>
      </c>
      <c r="BE517" s="71">
        <f>IFERROR(__xludf.DUMMYFUNCTION("""COMPUTED_VALUE"""),13.76)</f>
        <v>13.76</v>
      </c>
      <c r="BF517" s="71">
        <f>IFERROR(__xludf.DUMMYFUNCTION("""COMPUTED_VALUE"""),99.76)</f>
        <v>99.76</v>
      </c>
      <c r="BG517" s="71">
        <f>IFERROR(__xludf.DUMMYFUNCTION("""COMPUTED_VALUE"""),0.04878048780487805)</f>
        <v>0.0487804878</v>
      </c>
      <c r="BH517" s="71">
        <f>IFERROR(__xludf.DUMMYFUNCTION("""COMPUTED_VALUE"""),81.7)</f>
        <v>81.7</v>
      </c>
      <c r="BI517" s="71">
        <f>IFERROR(__xludf.DUMMYFUNCTION("""COMPUTED_VALUE"""),13.072000000000001)</f>
        <v>13.072</v>
      </c>
      <c r="BJ517" s="71">
        <f>IFERROR(__xludf.DUMMYFUNCTION("""COMPUTED_VALUE"""),94.772)</f>
        <v>94.772</v>
      </c>
      <c r="BK517" s="71">
        <f>IFERROR(__xludf.DUMMYFUNCTION("""COMPUTED_VALUE"""),77.4)</f>
        <v>77.4</v>
      </c>
      <c r="BL517" s="71">
        <f>IFERROR(__xludf.DUMMYFUNCTION("""COMPUTED_VALUE"""),12.384)</f>
        <v>12.384</v>
      </c>
      <c r="BM517" s="71">
        <f>IFERROR(__xludf.DUMMYFUNCTION("""COMPUTED_VALUE"""),89.784)</f>
        <v>89.784</v>
      </c>
      <c r="BN517" s="71">
        <f>IFERROR(__xludf.DUMMYFUNCTION("""COMPUTED_VALUE"""),73.1)</f>
        <v>73.1</v>
      </c>
      <c r="BO517" s="71">
        <f>IFERROR(__xludf.DUMMYFUNCTION("""COMPUTED_VALUE"""),11.696)</f>
        <v>11.696</v>
      </c>
      <c r="BP517" s="71">
        <f>IFERROR(__xludf.DUMMYFUNCTION("""COMPUTED_VALUE"""),84.79599999999999)</f>
        <v>84.796</v>
      </c>
      <c r="BQ517" s="71">
        <f>IFERROR(__xludf.DUMMYFUNCTION("""COMPUTED_VALUE"""),71.38)</f>
        <v>71.38</v>
      </c>
      <c r="BR517" s="71">
        <f>IFERROR(__xludf.DUMMYFUNCTION("""COMPUTED_VALUE"""),11.4208)</f>
        <v>11.4208</v>
      </c>
      <c r="BS517" s="71">
        <f>IFERROR(__xludf.DUMMYFUNCTION("""COMPUTED_VALUE"""),82.8008)</f>
        <v>82.8008</v>
      </c>
      <c r="BT517" s="71">
        <f>IFERROR(__xludf.DUMMYFUNCTION("""COMPUTED_VALUE"""),68.8)</f>
        <v>68.8</v>
      </c>
      <c r="BU517" s="71">
        <f>IFERROR(__xludf.DUMMYFUNCTION("""COMPUTED_VALUE"""),11.008)</f>
        <v>11.008</v>
      </c>
      <c r="BV517" s="71">
        <f>IFERROR(__xludf.DUMMYFUNCTION("""COMPUTED_VALUE"""),79.80799999999999)</f>
        <v>79.808</v>
      </c>
    </row>
    <row r="518">
      <c r="A518" s="53"/>
      <c r="B518" s="53"/>
      <c r="C518" s="73" t="s">
        <v>603</v>
      </c>
      <c r="D518" s="53" t="s">
        <v>1296</v>
      </c>
      <c r="E518" s="54" t="s">
        <v>38</v>
      </c>
      <c r="F518" s="54" t="s">
        <v>42</v>
      </c>
      <c r="G518" s="55" t="s">
        <v>1297</v>
      </c>
      <c r="H518" s="54" t="s">
        <v>1297</v>
      </c>
      <c r="I518" s="54">
        <f t="shared" si="24"/>
        <v>26</v>
      </c>
      <c r="J518" s="56"/>
      <c r="K518" s="57"/>
      <c r="L518" s="76"/>
      <c r="M518" s="59"/>
      <c r="N518" s="79">
        <v>356.0</v>
      </c>
      <c r="O518" s="61">
        <v>384.0</v>
      </c>
      <c r="P518" s="62">
        <v>414.72</v>
      </c>
      <c r="Q518" s="63">
        <v>414.72</v>
      </c>
      <c r="R518" s="64">
        <v>436.0</v>
      </c>
      <c r="S518" s="111">
        <v>458.0</v>
      </c>
      <c r="T518" s="65">
        <f t="shared" si="2"/>
        <v>73.28</v>
      </c>
      <c r="U518" s="65">
        <f t="shared" si="3"/>
        <v>531.28</v>
      </c>
      <c r="V518" s="66">
        <f t="shared" si="4"/>
        <v>0.0504587156</v>
      </c>
      <c r="W518" s="67">
        <f t="shared" si="5"/>
        <v>435.1</v>
      </c>
      <c r="X518" s="67">
        <f t="shared" si="6"/>
        <v>69.616</v>
      </c>
      <c r="Y518" s="67">
        <f t="shared" si="7"/>
        <v>504.716</v>
      </c>
      <c r="Z518" s="67">
        <f t="shared" si="8"/>
        <v>412.2</v>
      </c>
      <c r="AA518" s="67">
        <f t="shared" si="9"/>
        <v>65.952</v>
      </c>
      <c r="AB518" s="67">
        <f t="shared" si="10"/>
        <v>478.152</v>
      </c>
      <c r="AC518" s="67">
        <f t="shared" si="11"/>
        <v>389.3</v>
      </c>
      <c r="AD518" s="67">
        <f t="shared" si="12"/>
        <v>62.288</v>
      </c>
      <c r="AE518" s="67">
        <f t="shared" si="13"/>
        <v>451.588</v>
      </c>
      <c r="AF518" s="67">
        <f t="shared" si="14"/>
        <v>380.14</v>
      </c>
      <c r="AG518" s="67">
        <f t="shared" si="15"/>
        <v>60.8224</v>
      </c>
      <c r="AH518" s="67">
        <f t="shared" si="16"/>
        <v>440.9624</v>
      </c>
      <c r="AI518" s="67">
        <f t="shared" si="17"/>
        <v>366.4</v>
      </c>
      <c r="AJ518" s="68">
        <f t="shared" si="20"/>
        <v>58.624</v>
      </c>
      <c r="AK518" s="68">
        <f t="shared" si="21"/>
        <v>425.024</v>
      </c>
      <c r="AL518" s="136">
        <f>IFERROR(__xludf.DUMMYFUNCTION("""COMPUTED_VALUE"""),1.0)</f>
        <v>1</v>
      </c>
      <c r="AM518" s="136"/>
      <c r="AN518" s="137" t="str">
        <f>IFERROR(__xludf.DUMMYFUNCTION("""COMPUTED_VALUE""")," P")</f>
        <v>P</v>
      </c>
      <c r="AO518" s="137" t="str">
        <f>IFERROR(__xludf.DUMMYFUNCTION("""COMPUTED_VALUE""")," CJ01")</f>
        <v>CJ01</v>
      </c>
      <c r="AP518" s="137" t="str">
        <f>IFERROR(__xludf.DUMMYFUNCTION("""COMPUTED_VALUE""")," PZA")</f>
        <v>PZA</v>
      </c>
      <c r="AQ518" s="137" t="str">
        <f>IFERROR(__xludf.DUMMYFUNCTION("""COMPUTED_VALUE""")," REF")</f>
        <v>REF</v>
      </c>
      <c r="AR518" s="137" t="str">
        <f>IFERROR(__xludf.DUMMYFUNCTION("""COMPUTED_VALUE""")," CUADRANTE PARA VÁLVULA CARBURADORA")</f>
        <v>CUADRANTE PARA VÁLVULA CARBURADORA</v>
      </c>
      <c r="AS518" s="137" t="str">
        <f>IFERROR(__xludf.DUMMYFUNCTION("""COMPUTED_VALUE""")," CUADRANTE PARA VALVULA CARBURADORA")</f>
        <v>CUADRANTE PARA VALVULA CARBURADORA</v>
      </c>
      <c r="AT518" s="137">
        <f>IFERROR(__xludf.DUMMYFUNCTION("""COMPUTED_VALUE"""),34.0)</f>
        <v>34</v>
      </c>
      <c r="AU518" s="137"/>
      <c r="AV518" s="137"/>
      <c r="AW518" s="137"/>
      <c r="AX518" s="137"/>
      <c r="AY518" s="137">
        <f>IFERROR(__xludf.DUMMYFUNCTION("""COMPUTED_VALUE"""),72.0)</f>
        <v>72</v>
      </c>
      <c r="AZ518" s="137">
        <f>IFERROR(__xludf.DUMMYFUNCTION("""COMPUTED_VALUE"""),77.0)</f>
        <v>77</v>
      </c>
      <c r="BA518" s="137">
        <f>IFERROR(__xludf.DUMMYFUNCTION("""COMPUTED_VALUE"""),83.16000000000001)</f>
        <v>83.16</v>
      </c>
      <c r="BB518" s="137">
        <f>IFERROR(__xludf.DUMMYFUNCTION("""COMPUTED_VALUE"""),83.16000000000001)</f>
        <v>83.16</v>
      </c>
      <c r="BC518" s="137">
        <f>IFERROR(__xludf.DUMMYFUNCTION("""COMPUTED_VALUE"""),94.0)</f>
        <v>94</v>
      </c>
      <c r="BD518" s="137">
        <f>IFERROR(__xludf.DUMMYFUNCTION("""COMPUTED_VALUE"""),99.0)</f>
        <v>99</v>
      </c>
      <c r="BE518" s="137">
        <f>IFERROR(__xludf.DUMMYFUNCTION("""COMPUTED_VALUE"""),15.84)</f>
        <v>15.84</v>
      </c>
      <c r="BF518" s="137">
        <f>IFERROR(__xludf.DUMMYFUNCTION("""COMPUTED_VALUE"""),114.84)</f>
        <v>114.84</v>
      </c>
      <c r="BG518" s="137">
        <f>IFERROR(__xludf.DUMMYFUNCTION("""COMPUTED_VALUE"""),0.05319148936170213)</f>
        <v>0.05319148936</v>
      </c>
      <c r="BH518" s="137">
        <f>IFERROR(__xludf.DUMMYFUNCTION("""COMPUTED_VALUE"""),94.05)</f>
        <v>94.05</v>
      </c>
      <c r="BI518" s="137">
        <f>IFERROR(__xludf.DUMMYFUNCTION("""COMPUTED_VALUE"""),15.048)</f>
        <v>15.048</v>
      </c>
      <c r="BJ518" s="137">
        <f>IFERROR(__xludf.DUMMYFUNCTION("""COMPUTED_VALUE"""),109.098)</f>
        <v>109.098</v>
      </c>
      <c r="BK518" s="137">
        <f>IFERROR(__xludf.DUMMYFUNCTION("""COMPUTED_VALUE"""),89.10000000000001)</f>
        <v>89.1</v>
      </c>
      <c r="BL518" s="137">
        <f>IFERROR(__xludf.DUMMYFUNCTION("""COMPUTED_VALUE"""),14.256000000000002)</f>
        <v>14.256</v>
      </c>
      <c r="BM518" s="137">
        <f>IFERROR(__xludf.DUMMYFUNCTION("""COMPUTED_VALUE"""),103.35600000000001)</f>
        <v>103.356</v>
      </c>
      <c r="BN518" s="137">
        <f>IFERROR(__xludf.DUMMYFUNCTION("""COMPUTED_VALUE"""),84.14999999999999)</f>
        <v>84.15</v>
      </c>
      <c r="BO518" s="137">
        <f>IFERROR(__xludf.DUMMYFUNCTION("""COMPUTED_VALUE"""),13.463999999999999)</f>
        <v>13.464</v>
      </c>
      <c r="BP518" s="137">
        <f>IFERROR(__xludf.DUMMYFUNCTION("""COMPUTED_VALUE"""),97.61399999999999)</f>
        <v>97.614</v>
      </c>
      <c r="BQ518" s="137">
        <f>IFERROR(__xludf.DUMMYFUNCTION("""COMPUTED_VALUE"""),82.17)</f>
        <v>82.17</v>
      </c>
      <c r="BR518" s="137">
        <f>IFERROR(__xludf.DUMMYFUNCTION("""COMPUTED_VALUE"""),13.1472)</f>
        <v>13.1472</v>
      </c>
      <c r="BS518" s="137">
        <f>IFERROR(__xludf.DUMMYFUNCTION("""COMPUTED_VALUE"""),95.3172)</f>
        <v>95.3172</v>
      </c>
      <c r="BT518" s="137">
        <f>IFERROR(__xludf.DUMMYFUNCTION("""COMPUTED_VALUE"""),79.2)</f>
        <v>79.2</v>
      </c>
      <c r="BU518" s="137">
        <f>IFERROR(__xludf.DUMMYFUNCTION("""COMPUTED_VALUE"""),12.672)</f>
        <v>12.672</v>
      </c>
      <c r="BV518" s="137">
        <f>IFERROR(__xludf.DUMMYFUNCTION("""COMPUTED_VALUE"""),91.872)</f>
        <v>91.872</v>
      </c>
    </row>
    <row r="519">
      <c r="A519" s="53"/>
      <c r="B519" s="53"/>
      <c r="C519" s="53" t="s">
        <v>12</v>
      </c>
      <c r="D519" s="53" t="s">
        <v>1298</v>
      </c>
      <c r="E519" s="54" t="s">
        <v>38</v>
      </c>
      <c r="F519" s="54" t="s">
        <v>42</v>
      </c>
      <c r="G519" s="54" t="s">
        <v>1299</v>
      </c>
      <c r="H519" s="54" t="s">
        <v>1299</v>
      </c>
      <c r="I519" s="54">
        <f t="shared" si="24"/>
        <v>37</v>
      </c>
      <c r="J519" s="56"/>
      <c r="K519" s="75"/>
      <c r="L519" s="76"/>
      <c r="M519" s="59"/>
      <c r="N519" s="79">
        <v>320.0</v>
      </c>
      <c r="O519" s="61">
        <v>345.0</v>
      </c>
      <c r="P519" s="63">
        <v>372.6</v>
      </c>
      <c r="Q519" s="63">
        <v>372.6</v>
      </c>
      <c r="R519" s="64">
        <v>392.0</v>
      </c>
      <c r="S519" s="111">
        <v>412.0</v>
      </c>
      <c r="T519" s="65">
        <f t="shared" si="2"/>
        <v>65.92</v>
      </c>
      <c r="U519" s="65">
        <f t="shared" si="3"/>
        <v>477.92</v>
      </c>
      <c r="V519" s="66">
        <f t="shared" si="4"/>
        <v>0.05102040816</v>
      </c>
      <c r="W519" s="67">
        <f t="shared" si="5"/>
        <v>391.4</v>
      </c>
      <c r="X519" s="67">
        <f t="shared" si="6"/>
        <v>62.624</v>
      </c>
      <c r="Y519" s="67">
        <f t="shared" si="7"/>
        <v>454.024</v>
      </c>
      <c r="Z519" s="67">
        <f t="shared" si="8"/>
        <v>370.8</v>
      </c>
      <c r="AA519" s="67">
        <f t="shared" si="9"/>
        <v>59.328</v>
      </c>
      <c r="AB519" s="67">
        <f t="shared" si="10"/>
        <v>430.128</v>
      </c>
      <c r="AC519" s="67">
        <f t="shared" si="11"/>
        <v>350.2</v>
      </c>
      <c r="AD519" s="67">
        <f t="shared" si="12"/>
        <v>56.032</v>
      </c>
      <c r="AE519" s="67">
        <f t="shared" si="13"/>
        <v>406.232</v>
      </c>
      <c r="AF519" s="67">
        <f t="shared" si="14"/>
        <v>341.96</v>
      </c>
      <c r="AG519" s="67">
        <f t="shared" si="15"/>
        <v>54.7136</v>
      </c>
      <c r="AH519" s="67">
        <f t="shared" si="16"/>
        <v>396.6736</v>
      </c>
      <c r="AI519" s="67">
        <f t="shared" si="17"/>
        <v>329.6</v>
      </c>
      <c r="AJ519" s="68">
        <f t="shared" si="20"/>
        <v>52.736</v>
      </c>
      <c r="AK519" s="68">
        <f t="shared" si="21"/>
        <v>382.336</v>
      </c>
      <c r="AL519" s="136">
        <f>IFERROR(__xludf.DUMMYFUNCTION("""COMPUTED_VALUE"""),1.0)</f>
        <v>1</v>
      </c>
      <c r="AM519" s="136"/>
      <c r="AN519" s="137" t="str">
        <f>IFERROR(__xludf.DUMMYFUNCTION("""COMPUTED_VALUE""")," P")</f>
        <v>P</v>
      </c>
      <c r="AO519" s="137" t="str">
        <f>IFERROR(__xludf.DUMMYFUNCTION("""COMPUTED_VALUE""")," CJ03")</f>
        <v>CJ03</v>
      </c>
      <c r="AP519" s="137" t="str">
        <f>IFERROR(__xludf.DUMMYFUNCTION("""COMPUTED_VALUE""")," PZA")</f>
        <v>PZA</v>
      </c>
      <c r="AQ519" s="137" t="str">
        <f>IFERROR(__xludf.DUMMYFUNCTION("""COMPUTED_VALUE""")," REF")</f>
        <v>REF</v>
      </c>
      <c r="AR519" s="137" t="str">
        <f>IFERROR(__xludf.DUMMYFUNCTION("""COMPUTED_VALUE""")," CUADRO DE ALUMINIO PARA AMASADORA DE 100 KG.")</f>
        <v>CUADRO DE ALUMINIO PARA AMASADORA DE 100 KG.</v>
      </c>
      <c r="AS519" s="137" t="str">
        <f>IFERROR(__xludf.DUMMYFUNCTION("""COMPUTED_VALUE""")," CUADRO DE ALUMINIO P/AMASADORA DE 100 KG")</f>
        <v>CUADRO DE ALUMINIO P/AMASADORA DE 100 KG</v>
      </c>
      <c r="AT519" s="137">
        <f>IFERROR(__xludf.DUMMYFUNCTION("""COMPUTED_VALUE"""),40.0)</f>
        <v>40</v>
      </c>
      <c r="AU519" s="137"/>
      <c r="AV519" s="137"/>
      <c r="AW519" s="137"/>
      <c r="AX519" s="137"/>
      <c r="AY519" s="137">
        <f>IFERROR(__xludf.DUMMYFUNCTION("""COMPUTED_VALUE"""),166.0)</f>
        <v>166</v>
      </c>
      <c r="AZ519" s="137">
        <f>IFERROR(__xludf.DUMMYFUNCTION("""COMPUTED_VALUE"""),179.0)</f>
        <v>179</v>
      </c>
      <c r="BA519" s="137">
        <f>IFERROR(__xludf.DUMMYFUNCTION("""COMPUTED_VALUE"""),193.32000000000002)</f>
        <v>193.32</v>
      </c>
      <c r="BB519" s="137">
        <f>IFERROR(__xludf.DUMMYFUNCTION("""COMPUTED_VALUE"""),193.32000000000002)</f>
        <v>193.32</v>
      </c>
      <c r="BC519" s="137">
        <f>IFERROR(__xludf.DUMMYFUNCTION("""COMPUTED_VALUE"""),216.0)</f>
        <v>216</v>
      </c>
      <c r="BD519" s="137">
        <f>IFERROR(__xludf.DUMMYFUNCTION("""COMPUTED_VALUE"""),227.0)</f>
        <v>227</v>
      </c>
      <c r="BE519" s="137">
        <f>IFERROR(__xludf.DUMMYFUNCTION("""COMPUTED_VALUE"""),36.32)</f>
        <v>36.32</v>
      </c>
      <c r="BF519" s="137">
        <f>IFERROR(__xludf.DUMMYFUNCTION("""COMPUTED_VALUE"""),263.32)</f>
        <v>263.32</v>
      </c>
      <c r="BG519" s="137">
        <f>IFERROR(__xludf.DUMMYFUNCTION("""COMPUTED_VALUE"""),0.05092592592592592)</f>
        <v>0.05092592593</v>
      </c>
      <c r="BH519" s="137">
        <f>IFERROR(__xludf.DUMMYFUNCTION("""COMPUTED_VALUE"""),215.64999999999998)</f>
        <v>215.65</v>
      </c>
      <c r="BI519" s="137">
        <f>IFERROR(__xludf.DUMMYFUNCTION("""COMPUTED_VALUE"""),34.504)</f>
        <v>34.504</v>
      </c>
      <c r="BJ519" s="137">
        <f>IFERROR(__xludf.DUMMYFUNCTION("""COMPUTED_VALUE"""),250.15399999999997)</f>
        <v>250.154</v>
      </c>
      <c r="BK519" s="137">
        <f>IFERROR(__xludf.DUMMYFUNCTION("""COMPUTED_VALUE"""),204.3)</f>
        <v>204.3</v>
      </c>
      <c r="BL519" s="137">
        <f>IFERROR(__xludf.DUMMYFUNCTION("""COMPUTED_VALUE"""),32.688)</f>
        <v>32.688</v>
      </c>
      <c r="BM519" s="137">
        <f>IFERROR(__xludf.DUMMYFUNCTION("""COMPUTED_VALUE"""),236.988)</f>
        <v>236.988</v>
      </c>
      <c r="BN519" s="137">
        <f>IFERROR(__xludf.DUMMYFUNCTION("""COMPUTED_VALUE"""),192.95)</f>
        <v>192.95</v>
      </c>
      <c r="BO519" s="137">
        <f>IFERROR(__xludf.DUMMYFUNCTION("""COMPUTED_VALUE"""),30.872)</f>
        <v>30.872</v>
      </c>
      <c r="BP519" s="137">
        <f>IFERROR(__xludf.DUMMYFUNCTION("""COMPUTED_VALUE"""),223.822)</f>
        <v>223.822</v>
      </c>
      <c r="BQ519" s="137">
        <f>IFERROR(__xludf.DUMMYFUNCTION("""COMPUTED_VALUE"""),188.41)</f>
        <v>188.41</v>
      </c>
      <c r="BR519" s="137">
        <f>IFERROR(__xludf.DUMMYFUNCTION("""COMPUTED_VALUE"""),30.1456)</f>
        <v>30.1456</v>
      </c>
      <c r="BS519" s="137">
        <f>IFERROR(__xludf.DUMMYFUNCTION("""COMPUTED_VALUE"""),218.5556)</f>
        <v>218.5556</v>
      </c>
      <c r="BT519" s="137">
        <f>IFERROR(__xludf.DUMMYFUNCTION("""COMPUTED_VALUE"""),181.60000000000002)</f>
        <v>181.6</v>
      </c>
      <c r="BU519" s="137">
        <f>IFERROR(__xludf.DUMMYFUNCTION("""COMPUTED_VALUE"""),29.056000000000004)</f>
        <v>29.056</v>
      </c>
      <c r="BV519" s="137">
        <f>IFERROR(__xludf.DUMMYFUNCTION("""COMPUTED_VALUE"""),210.65600000000003)</f>
        <v>210.656</v>
      </c>
    </row>
    <row r="520">
      <c r="A520" s="53">
        <v>1.0</v>
      </c>
      <c r="B520" s="72"/>
      <c r="C520" s="120" t="s">
        <v>603</v>
      </c>
      <c r="D520" s="74" t="s">
        <v>1300</v>
      </c>
      <c r="E520" s="54" t="s">
        <v>38</v>
      </c>
      <c r="F520" s="54" t="s">
        <v>42</v>
      </c>
      <c r="G520" s="54" t="s">
        <v>1301</v>
      </c>
      <c r="H520" s="54" t="s">
        <v>1301</v>
      </c>
      <c r="I520" s="54">
        <f t="shared" si="24"/>
        <v>38</v>
      </c>
      <c r="J520" s="56"/>
      <c r="K520" s="75"/>
      <c r="L520" s="76"/>
      <c r="M520" s="59"/>
      <c r="N520" s="60">
        <v>1370.0</v>
      </c>
      <c r="O520" s="61">
        <v>1479.0</v>
      </c>
      <c r="P520" s="62">
        <v>1597.3200000000002</v>
      </c>
      <c r="Q520" s="63">
        <v>1597.3200000000002</v>
      </c>
      <c r="R520" s="64">
        <v>1762.0</v>
      </c>
      <c r="S520" s="111">
        <v>1850.0</v>
      </c>
      <c r="T520" s="65">
        <f t="shared" si="2"/>
        <v>296</v>
      </c>
      <c r="U520" s="65">
        <f t="shared" si="3"/>
        <v>2146</v>
      </c>
      <c r="V520" s="66">
        <f t="shared" si="4"/>
        <v>0.04994324631</v>
      </c>
      <c r="W520" s="67">
        <f t="shared" si="5"/>
        <v>1757.5</v>
      </c>
      <c r="X520" s="67">
        <f t="shared" si="6"/>
        <v>281.2</v>
      </c>
      <c r="Y520" s="67">
        <f t="shared" si="7"/>
        <v>2038.7</v>
      </c>
      <c r="Z520" s="67">
        <f t="shared" si="8"/>
        <v>1665</v>
      </c>
      <c r="AA520" s="67">
        <f t="shared" si="9"/>
        <v>266.4</v>
      </c>
      <c r="AB520" s="67">
        <f t="shared" si="10"/>
        <v>1931.4</v>
      </c>
      <c r="AC520" s="67">
        <f t="shared" si="11"/>
        <v>1572.5</v>
      </c>
      <c r="AD520" s="67">
        <f t="shared" si="12"/>
        <v>251.6</v>
      </c>
      <c r="AE520" s="67">
        <f t="shared" si="13"/>
        <v>1824.1</v>
      </c>
      <c r="AF520" s="67">
        <f t="shared" si="14"/>
        <v>1535.5</v>
      </c>
      <c r="AG520" s="67">
        <f t="shared" si="15"/>
        <v>245.68</v>
      </c>
      <c r="AH520" s="67">
        <f t="shared" si="16"/>
        <v>1781.18</v>
      </c>
      <c r="AI520" s="67">
        <f t="shared" si="17"/>
        <v>1480</v>
      </c>
      <c r="AJ520" s="68">
        <f t="shared" si="20"/>
        <v>236.8</v>
      </c>
      <c r="AK520" s="68">
        <f t="shared" si="21"/>
        <v>1716.8</v>
      </c>
      <c r="AL520" s="70">
        <f>IFERROR(__xludf.DUMMYFUNCTION("""COMPUTED_VALUE"""),1.0)</f>
        <v>1</v>
      </c>
      <c r="AM520" s="70"/>
      <c r="AN520" s="71" t="str">
        <f>IFERROR(__xludf.DUMMYFUNCTION("""COMPUTED_VALUE""")," P")</f>
        <v>P</v>
      </c>
      <c r="AO520" s="71" t="str">
        <f>IFERROR(__xludf.DUMMYFUNCTION("""COMPUTED_VALUE""")," CJ02")</f>
        <v>CJ02</v>
      </c>
      <c r="AP520" s="71" t="str">
        <f>IFERROR(__xludf.DUMMYFUNCTION("""COMPUTED_VALUE""")," PZA")</f>
        <v>PZA</v>
      </c>
      <c r="AQ520" s="71" t="str">
        <f>IFERROR(__xludf.DUMMYFUNCTION("""COMPUTED_VALUE""")," REF")</f>
        <v>REF</v>
      </c>
      <c r="AR520" s="71" t="str">
        <f>IFERROR(__xludf.DUMMYFUNCTION("""COMPUTED_VALUE""")," CUADRO DE ALUMINIO PARA AMASADORA DE 50 KG.")</f>
        <v>CUADRO DE ALUMINIO PARA AMASADORA DE 50 KG.</v>
      </c>
      <c r="AS520" s="71" t="str">
        <f>IFERROR(__xludf.DUMMYFUNCTION("""COMPUTED_VALUE""")," CUADRO DE ALUMINIO P/AMASADORA DE 50 KG")</f>
        <v>CUADRO DE ALUMINIO P/AMASADORA DE 50 KG</v>
      </c>
      <c r="AT520" s="71">
        <f>IFERROR(__xludf.DUMMYFUNCTION("""COMPUTED_VALUE"""),39.0)</f>
        <v>39</v>
      </c>
      <c r="AU520" s="71"/>
      <c r="AV520" s="71"/>
      <c r="AW520" s="71"/>
      <c r="AX520" s="71"/>
      <c r="AY520" s="71">
        <f>IFERROR(__xludf.DUMMYFUNCTION("""COMPUTED_VALUE"""),134.0)</f>
        <v>134</v>
      </c>
      <c r="AZ520" s="71">
        <f>IFERROR(__xludf.DUMMYFUNCTION("""COMPUTED_VALUE"""),144.0)</f>
        <v>144</v>
      </c>
      <c r="BA520" s="71">
        <f>IFERROR(__xludf.DUMMYFUNCTION("""COMPUTED_VALUE"""),155.52)</f>
        <v>155.52</v>
      </c>
      <c r="BB520" s="71">
        <f>IFERROR(__xludf.DUMMYFUNCTION("""COMPUTED_VALUE"""),155.52)</f>
        <v>155.52</v>
      </c>
      <c r="BC520" s="71">
        <f>IFERROR(__xludf.DUMMYFUNCTION("""COMPUTED_VALUE"""),174.0)</f>
        <v>174</v>
      </c>
      <c r="BD520" s="71">
        <f>IFERROR(__xludf.DUMMYFUNCTION("""COMPUTED_VALUE"""),183.0)</f>
        <v>183</v>
      </c>
      <c r="BE520" s="71">
        <f>IFERROR(__xludf.DUMMYFUNCTION("""COMPUTED_VALUE"""),29.28)</f>
        <v>29.28</v>
      </c>
      <c r="BF520" s="71">
        <f>IFERROR(__xludf.DUMMYFUNCTION("""COMPUTED_VALUE"""),212.28)</f>
        <v>212.28</v>
      </c>
      <c r="BG520" s="71">
        <f>IFERROR(__xludf.DUMMYFUNCTION("""COMPUTED_VALUE"""),0.05172413793103448)</f>
        <v>0.05172413793</v>
      </c>
      <c r="BH520" s="71">
        <f>IFERROR(__xludf.DUMMYFUNCTION("""COMPUTED_VALUE"""),173.85)</f>
        <v>173.85</v>
      </c>
      <c r="BI520" s="71">
        <f>IFERROR(__xludf.DUMMYFUNCTION("""COMPUTED_VALUE"""),27.816)</f>
        <v>27.816</v>
      </c>
      <c r="BJ520" s="71">
        <f>IFERROR(__xludf.DUMMYFUNCTION("""COMPUTED_VALUE"""),201.666)</f>
        <v>201.666</v>
      </c>
      <c r="BK520" s="71">
        <f>IFERROR(__xludf.DUMMYFUNCTION("""COMPUTED_VALUE"""),164.70000000000002)</f>
        <v>164.7</v>
      </c>
      <c r="BL520" s="71">
        <f>IFERROR(__xludf.DUMMYFUNCTION("""COMPUTED_VALUE"""),26.352000000000004)</f>
        <v>26.352</v>
      </c>
      <c r="BM520" s="71">
        <f>IFERROR(__xludf.DUMMYFUNCTION("""COMPUTED_VALUE"""),191.05200000000002)</f>
        <v>191.052</v>
      </c>
      <c r="BN520" s="71">
        <f>IFERROR(__xludf.DUMMYFUNCTION("""COMPUTED_VALUE"""),155.54999999999998)</f>
        <v>155.55</v>
      </c>
      <c r="BO520" s="71">
        <f>IFERROR(__xludf.DUMMYFUNCTION("""COMPUTED_VALUE"""),24.887999999999998)</f>
        <v>24.888</v>
      </c>
      <c r="BP520" s="71">
        <f>IFERROR(__xludf.DUMMYFUNCTION("""COMPUTED_VALUE"""),180.438)</f>
        <v>180.438</v>
      </c>
      <c r="BQ520" s="71">
        <f>IFERROR(__xludf.DUMMYFUNCTION("""COMPUTED_VALUE"""),151.89)</f>
        <v>151.89</v>
      </c>
      <c r="BR520" s="71">
        <f>IFERROR(__xludf.DUMMYFUNCTION("""COMPUTED_VALUE"""),24.3024)</f>
        <v>24.3024</v>
      </c>
      <c r="BS520" s="71">
        <f>IFERROR(__xludf.DUMMYFUNCTION("""COMPUTED_VALUE"""),176.1924)</f>
        <v>176.1924</v>
      </c>
      <c r="BT520" s="71">
        <f>IFERROR(__xludf.DUMMYFUNCTION("""COMPUTED_VALUE"""),146.4)</f>
        <v>146.4</v>
      </c>
      <c r="BU520" s="71">
        <f>IFERROR(__xludf.DUMMYFUNCTION("""COMPUTED_VALUE"""),23.424000000000003)</f>
        <v>23.424</v>
      </c>
      <c r="BV520" s="71">
        <f>IFERROR(__xludf.DUMMYFUNCTION("""COMPUTED_VALUE"""),169.824)</f>
        <v>169.824</v>
      </c>
    </row>
    <row r="521">
      <c r="A521" s="53">
        <v>1.0</v>
      </c>
      <c r="B521" s="72"/>
      <c r="C521" s="120" t="s">
        <v>603</v>
      </c>
      <c r="D521" s="74" t="s">
        <v>1302</v>
      </c>
      <c r="E521" s="54" t="s">
        <v>38</v>
      </c>
      <c r="F521" s="54" t="s">
        <v>42</v>
      </c>
      <c r="G521" s="54" t="s">
        <v>1303</v>
      </c>
      <c r="H521" s="54" t="s">
        <v>1303</v>
      </c>
      <c r="I521" s="54">
        <f t="shared" si="24"/>
        <v>38</v>
      </c>
      <c r="J521" s="56"/>
      <c r="K521" s="75"/>
      <c r="L521" s="76"/>
      <c r="M521" s="59"/>
      <c r="N521" s="60">
        <v>1370.0</v>
      </c>
      <c r="O521" s="61">
        <v>1479.0</v>
      </c>
      <c r="P521" s="62">
        <v>1597.3200000000002</v>
      </c>
      <c r="Q521" s="63">
        <v>1597.3200000000002</v>
      </c>
      <c r="R521" s="64">
        <v>1762.0</v>
      </c>
      <c r="S521" s="111">
        <v>1850.0</v>
      </c>
      <c r="T521" s="65">
        <f t="shared" si="2"/>
        <v>296</v>
      </c>
      <c r="U521" s="65">
        <f t="shared" si="3"/>
        <v>2146</v>
      </c>
      <c r="V521" s="66">
        <f t="shared" si="4"/>
        <v>0.04994324631</v>
      </c>
      <c r="W521" s="67">
        <f t="shared" si="5"/>
        <v>1757.5</v>
      </c>
      <c r="X521" s="67">
        <f t="shared" si="6"/>
        <v>281.2</v>
      </c>
      <c r="Y521" s="67">
        <f t="shared" si="7"/>
        <v>2038.7</v>
      </c>
      <c r="Z521" s="67">
        <f t="shared" si="8"/>
        <v>1665</v>
      </c>
      <c r="AA521" s="67">
        <f t="shared" si="9"/>
        <v>266.4</v>
      </c>
      <c r="AB521" s="67">
        <f t="shared" si="10"/>
        <v>1931.4</v>
      </c>
      <c r="AC521" s="67">
        <f t="shared" si="11"/>
        <v>1572.5</v>
      </c>
      <c r="AD521" s="67">
        <f t="shared" si="12"/>
        <v>251.6</v>
      </c>
      <c r="AE521" s="67">
        <f t="shared" si="13"/>
        <v>1824.1</v>
      </c>
      <c r="AF521" s="67">
        <f t="shared" si="14"/>
        <v>1535.5</v>
      </c>
      <c r="AG521" s="67">
        <f t="shared" si="15"/>
        <v>245.68</v>
      </c>
      <c r="AH521" s="67">
        <f t="shared" si="16"/>
        <v>1781.18</v>
      </c>
      <c r="AI521" s="67">
        <f t="shared" si="17"/>
        <v>1480</v>
      </c>
      <c r="AJ521" s="68">
        <f t="shared" si="20"/>
        <v>236.8</v>
      </c>
      <c r="AK521" s="68">
        <f t="shared" si="21"/>
        <v>1716.8</v>
      </c>
      <c r="AL521" s="70">
        <f>IFERROR(__xludf.DUMMYFUNCTION("""COMPUTED_VALUE"""),1.0)</f>
        <v>1</v>
      </c>
      <c r="AM521" s="70"/>
      <c r="AN521" s="71" t="str">
        <f>IFERROR(__xludf.DUMMYFUNCTION("""COMPUTED_VALUE""")," C")</f>
        <v>C</v>
      </c>
      <c r="AO521" s="71" t="str">
        <f>IFERROR(__xludf.DUMMYFUNCTION("""COMPUTED_VALUE""")," CJ04")</f>
        <v>CJ04</v>
      </c>
      <c r="AP521" s="71" t="str">
        <f>IFERROR(__xludf.DUMMYFUNCTION("""COMPUTED_VALUE""")," PZA")</f>
        <v>PZA</v>
      </c>
      <c r="AQ521" s="71" t="str">
        <f>IFERROR(__xludf.DUMMYFUNCTION("""COMPUTED_VALUE""")," REF")</f>
        <v>REF</v>
      </c>
      <c r="AR521" s="71" t="str">
        <f>IFERROR(__xludf.DUMMYFUNCTION("""COMPUTED_VALUE""")," CUADRO DE HULE PARA CÁMARA DE PRESIÓN DÚPLEX")</f>
        <v>CUADRO DE HULE PARA CÁMARA DE PRESIÓN DÚPLEX</v>
      </c>
      <c r="AS521" s="71" t="str">
        <f>IFERROR(__xludf.DUMMYFUNCTION("""COMPUTED_VALUE""")," CUADRO HULE P/CAMARA DE PRESION DPLX")</f>
        <v>CUADRO HULE P/CAMARA DE PRESION DPLX</v>
      </c>
      <c r="AT521" s="71">
        <f>IFERROR(__xludf.DUMMYFUNCTION("""COMPUTED_VALUE"""),36.0)</f>
        <v>36</v>
      </c>
      <c r="AU521" s="71"/>
      <c r="AV521" s="71"/>
      <c r="AW521" s="71"/>
      <c r="AX521" s="71"/>
      <c r="AY521" s="71">
        <f>IFERROR(__xludf.DUMMYFUNCTION("""COMPUTED_VALUE"""),48.0)</f>
        <v>48</v>
      </c>
      <c r="AZ521" s="71">
        <f>IFERROR(__xludf.DUMMYFUNCTION("""COMPUTED_VALUE"""),53.0)</f>
        <v>53</v>
      </c>
      <c r="BA521" s="71">
        <f>IFERROR(__xludf.DUMMYFUNCTION("""COMPUTED_VALUE"""),60.72)</f>
        <v>60.72</v>
      </c>
      <c r="BB521" s="71">
        <f>IFERROR(__xludf.DUMMYFUNCTION("""COMPUTED_VALUE"""),60.72)</f>
        <v>60.72</v>
      </c>
      <c r="BC521" s="71">
        <f>IFERROR(__xludf.DUMMYFUNCTION("""COMPUTED_VALUE"""),69.0)</f>
        <v>69</v>
      </c>
      <c r="BD521" s="71">
        <f>IFERROR(__xludf.DUMMYFUNCTION("""COMPUTED_VALUE"""),72.0)</f>
        <v>72</v>
      </c>
      <c r="BE521" s="71">
        <f>IFERROR(__xludf.DUMMYFUNCTION("""COMPUTED_VALUE"""),11.52)</f>
        <v>11.52</v>
      </c>
      <c r="BF521" s="71">
        <f>IFERROR(__xludf.DUMMYFUNCTION("""COMPUTED_VALUE"""),83.52)</f>
        <v>83.52</v>
      </c>
      <c r="BG521" s="71">
        <f>IFERROR(__xludf.DUMMYFUNCTION("""COMPUTED_VALUE"""),0.043478260869565216)</f>
        <v>0.04347826087</v>
      </c>
      <c r="BH521" s="71">
        <f>IFERROR(__xludf.DUMMYFUNCTION("""COMPUTED_VALUE"""),68.39999999999999)</f>
        <v>68.4</v>
      </c>
      <c r="BI521" s="71">
        <f>IFERROR(__xludf.DUMMYFUNCTION("""COMPUTED_VALUE"""),10.943999999999999)</f>
        <v>10.944</v>
      </c>
      <c r="BJ521" s="71">
        <f>IFERROR(__xludf.DUMMYFUNCTION("""COMPUTED_VALUE"""),79.344)</f>
        <v>79.344</v>
      </c>
      <c r="BK521" s="71">
        <f>IFERROR(__xludf.DUMMYFUNCTION("""COMPUTED_VALUE"""),64.8)</f>
        <v>64.8</v>
      </c>
      <c r="BL521" s="71">
        <f>IFERROR(__xludf.DUMMYFUNCTION("""COMPUTED_VALUE"""),10.368)</f>
        <v>10.368</v>
      </c>
      <c r="BM521" s="71">
        <f>IFERROR(__xludf.DUMMYFUNCTION("""COMPUTED_VALUE"""),75.16799999999999)</f>
        <v>75.168</v>
      </c>
      <c r="BN521" s="71">
        <f>IFERROR(__xludf.DUMMYFUNCTION("""COMPUTED_VALUE"""),61.199999999999996)</f>
        <v>61.2</v>
      </c>
      <c r="BO521" s="71">
        <f>IFERROR(__xludf.DUMMYFUNCTION("""COMPUTED_VALUE"""),9.792)</f>
        <v>9.792</v>
      </c>
      <c r="BP521" s="71">
        <f>IFERROR(__xludf.DUMMYFUNCTION("""COMPUTED_VALUE"""),70.99199999999999)</f>
        <v>70.992</v>
      </c>
      <c r="BQ521" s="71">
        <f>IFERROR(__xludf.DUMMYFUNCTION("""COMPUTED_VALUE"""),59.76)</f>
        <v>59.76</v>
      </c>
      <c r="BR521" s="71">
        <f>IFERROR(__xludf.DUMMYFUNCTION("""COMPUTED_VALUE"""),9.5616)</f>
        <v>9.5616</v>
      </c>
      <c r="BS521" s="71">
        <f>IFERROR(__xludf.DUMMYFUNCTION("""COMPUTED_VALUE"""),69.3216)</f>
        <v>69.3216</v>
      </c>
      <c r="BT521" s="71">
        <f>IFERROR(__xludf.DUMMYFUNCTION("""COMPUTED_VALUE"""),57.6)</f>
        <v>57.6</v>
      </c>
      <c r="BU521" s="71">
        <f>IFERROR(__xludf.DUMMYFUNCTION("""COMPUTED_VALUE"""),9.216000000000001)</f>
        <v>9.216</v>
      </c>
      <c r="BV521" s="71">
        <f>IFERROR(__xludf.DUMMYFUNCTION("""COMPUTED_VALUE"""),66.816)</f>
        <v>66.816</v>
      </c>
    </row>
    <row r="522">
      <c r="A522" s="53">
        <v>1.0</v>
      </c>
      <c r="B522" s="72"/>
      <c r="C522" s="120" t="s">
        <v>603</v>
      </c>
      <c r="D522" s="74" t="s">
        <v>1304</v>
      </c>
      <c r="E522" s="54" t="s">
        <v>38</v>
      </c>
      <c r="F522" s="54" t="s">
        <v>42</v>
      </c>
      <c r="G522" s="54" t="s">
        <v>1305</v>
      </c>
      <c r="H522" s="54" t="s">
        <v>1305</v>
      </c>
      <c r="I522" s="54">
        <f t="shared" si="24"/>
        <v>34</v>
      </c>
      <c r="J522" s="56"/>
      <c r="K522" s="75"/>
      <c r="L522" s="76"/>
      <c r="M522" s="59"/>
      <c r="N522" s="60">
        <v>637.0</v>
      </c>
      <c r="O522" s="61">
        <v>687.0</v>
      </c>
      <c r="P522" s="62">
        <v>741.96</v>
      </c>
      <c r="Q522" s="63">
        <v>741.96</v>
      </c>
      <c r="R522" s="64">
        <v>819.0</v>
      </c>
      <c r="S522" s="111">
        <v>860.0</v>
      </c>
      <c r="T522" s="65">
        <f t="shared" si="2"/>
        <v>137.6</v>
      </c>
      <c r="U522" s="65">
        <f t="shared" si="3"/>
        <v>997.6</v>
      </c>
      <c r="V522" s="66">
        <f t="shared" si="4"/>
        <v>0.05006105006</v>
      </c>
      <c r="W522" s="67">
        <f t="shared" si="5"/>
        <v>817</v>
      </c>
      <c r="X522" s="67">
        <f t="shared" si="6"/>
        <v>130.72</v>
      </c>
      <c r="Y522" s="67">
        <f t="shared" si="7"/>
        <v>947.72</v>
      </c>
      <c r="Z522" s="67">
        <f t="shared" si="8"/>
        <v>774</v>
      </c>
      <c r="AA522" s="67">
        <f t="shared" si="9"/>
        <v>123.84</v>
      </c>
      <c r="AB522" s="67">
        <f t="shared" si="10"/>
        <v>897.84</v>
      </c>
      <c r="AC522" s="67">
        <f t="shared" si="11"/>
        <v>731</v>
      </c>
      <c r="AD522" s="67">
        <f t="shared" si="12"/>
        <v>116.96</v>
      </c>
      <c r="AE522" s="67">
        <f t="shared" si="13"/>
        <v>847.96</v>
      </c>
      <c r="AF522" s="67">
        <f t="shared" si="14"/>
        <v>713.8</v>
      </c>
      <c r="AG522" s="67">
        <f t="shared" si="15"/>
        <v>114.208</v>
      </c>
      <c r="AH522" s="67">
        <f t="shared" si="16"/>
        <v>828.008</v>
      </c>
      <c r="AI522" s="67">
        <f t="shared" si="17"/>
        <v>688</v>
      </c>
      <c r="AJ522" s="68">
        <f t="shared" si="20"/>
        <v>110.08</v>
      </c>
      <c r="AK522" s="68">
        <f t="shared" si="21"/>
        <v>798.08</v>
      </c>
      <c r="AL522" s="70">
        <f>IFERROR(__xludf.DUMMYFUNCTION("""COMPUTED_VALUE"""),1.0)</f>
        <v>1</v>
      </c>
      <c r="AM522" s="70"/>
      <c r="AN522" s="71" t="str">
        <f>IFERROR(__xludf.DUMMYFUNCTION("""COMPUTED_VALUE""")," C")</f>
        <v>C</v>
      </c>
      <c r="AO522" s="71" t="str">
        <f>IFERROR(__xludf.DUMMYFUNCTION("""COMPUTED_VALUE""")," CJ05")</f>
        <v>CJ05</v>
      </c>
      <c r="AP522" s="71" t="str">
        <f>IFERROR(__xludf.DUMMYFUNCTION("""COMPUTED_VALUE""")," PZA")</f>
        <v>PZA</v>
      </c>
      <c r="AQ522" s="71" t="str">
        <f>IFERROR(__xludf.DUMMYFUNCTION("""COMPUTED_VALUE""")," REF")</f>
        <v>REF</v>
      </c>
      <c r="AR522" s="71" t="str">
        <f>IFERROR(__xludf.DUMMYFUNCTION("""COMPUTED_VALUE""")," CUADRO DE HULE PARA CÁMARA DE PRESIÓN SENCILLA")</f>
        <v>CUADRO DE HULE PARA CÁMARA DE PRESIÓN SENCILLA</v>
      </c>
      <c r="AS522" s="71" t="str">
        <f>IFERROR(__xludf.DUMMYFUNCTION("""COMPUTED_VALUE""")," CUADRO HULE P/CAMARA DE PRESION SENCILLA")</f>
        <v>CUADRO HULE P/CAMARA DE PRESION SENCILLA</v>
      </c>
      <c r="AT522" s="71">
        <f>IFERROR(__xludf.DUMMYFUNCTION("""COMPUTED_VALUE"""),40.0)</f>
        <v>40</v>
      </c>
      <c r="AU522" s="71"/>
      <c r="AV522" s="71"/>
      <c r="AW522" s="71"/>
      <c r="AX522" s="71"/>
      <c r="AY522" s="71">
        <f>IFERROR(__xludf.DUMMYFUNCTION("""COMPUTED_VALUE"""),33.0)</f>
        <v>33</v>
      </c>
      <c r="AZ522" s="71">
        <f>IFERROR(__xludf.DUMMYFUNCTION("""COMPUTED_VALUE"""),35.0)</f>
        <v>35</v>
      </c>
      <c r="BA522" s="71">
        <f>IFERROR(__xludf.DUMMYFUNCTION("""COMPUTED_VALUE"""),35.2)</f>
        <v>35.2</v>
      </c>
      <c r="BB522" s="71">
        <f>IFERROR(__xludf.DUMMYFUNCTION("""COMPUTED_VALUE"""),35.2)</f>
        <v>35.2</v>
      </c>
      <c r="BC522" s="71">
        <f>IFERROR(__xludf.DUMMYFUNCTION("""COMPUTED_VALUE"""),40.0)</f>
        <v>40</v>
      </c>
      <c r="BD522" s="71">
        <f>IFERROR(__xludf.DUMMYFUNCTION("""COMPUTED_VALUE"""),42.0)</f>
        <v>42</v>
      </c>
      <c r="BE522" s="71">
        <f>IFERROR(__xludf.DUMMYFUNCTION("""COMPUTED_VALUE"""),6.72)</f>
        <v>6.72</v>
      </c>
      <c r="BF522" s="71">
        <f>IFERROR(__xludf.DUMMYFUNCTION("""COMPUTED_VALUE"""),48.72)</f>
        <v>48.72</v>
      </c>
      <c r="BG522" s="71">
        <f>IFERROR(__xludf.DUMMYFUNCTION("""COMPUTED_VALUE"""),0.05)</f>
        <v>0.05</v>
      </c>
      <c r="BH522" s="71">
        <f>IFERROR(__xludf.DUMMYFUNCTION("""COMPUTED_VALUE"""),39.9)</f>
        <v>39.9</v>
      </c>
      <c r="BI522" s="71">
        <f>IFERROR(__xludf.DUMMYFUNCTION("""COMPUTED_VALUE"""),6.384)</f>
        <v>6.384</v>
      </c>
      <c r="BJ522" s="71">
        <f>IFERROR(__xludf.DUMMYFUNCTION("""COMPUTED_VALUE"""),46.284)</f>
        <v>46.284</v>
      </c>
      <c r="BK522" s="71">
        <f>IFERROR(__xludf.DUMMYFUNCTION("""COMPUTED_VALUE"""),37.800000000000004)</f>
        <v>37.8</v>
      </c>
      <c r="BL522" s="71">
        <f>IFERROR(__xludf.DUMMYFUNCTION("""COMPUTED_VALUE"""),6.048000000000001)</f>
        <v>6.048</v>
      </c>
      <c r="BM522" s="71">
        <f>IFERROR(__xludf.DUMMYFUNCTION("""COMPUTED_VALUE"""),43.848000000000006)</f>
        <v>43.848</v>
      </c>
      <c r="BN522" s="71">
        <f>IFERROR(__xludf.DUMMYFUNCTION("""COMPUTED_VALUE"""),35.699999999999996)</f>
        <v>35.7</v>
      </c>
      <c r="BO522" s="71">
        <f>IFERROR(__xludf.DUMMYFUNCTION("""COMPUTED_VALUE"""),5.712)</f>
        <v>5.712</v>
      </c>
      <c r="BP522" s="71">
        <f>IFERROR(__xludf.DUMMYFUNCTION("""COMPUTED_VALUE"""),41.41199999999999)</f>
        <v>41.412</v>
      </c>
      <c r="BQ522" s="71">
        <f>IFERROR(__xludf.DUMMYFUNCTION("""COMPUTED_VALUE"""),34.86)</f>
        <v>34.86</v>
      </c>
      <c r="BR522" s="71">
        <f>IFERROR(__xludf.DUMMYFUNCTION("""COMPUTED_VALUE"""),5.5776)</f>
        <v>5.5776</v>
      </c>
      <c r="BS522" s="71">
        <f>IFERROR(__xludf.DUMMYFUNCTION("""COMPUTED_VALUE"""),40.4376)</f>
        <v>40.4376</v>
      </c>
      <c r="BT522" s="71">
        <f>IFERROR(__xludf.DUMMYFUNCTION("""COMPUTED_VALUE"""),33.6)</f>
        <v>33.6</v>
      </c>
      <c r="BU522" s="71">
        <f>IFERROR(__xludf.DUMMYFUNCTION("""COMPUTED_VALUE"""),5.376)</f>
        <v>5.376</v>
      </c>
      <c r="BV522" s="71">
        <f>IFERROR(__xludf.DUMMYFUNCTION("""COMPUTED_VALUE"""),38.976)</f>
        <v>38.976</v>
      </c>
    </row>
    <row r="523">
      <c r="A523" s="53"/>
      <c r="B523" s="72"/>
      <c r="C523" s="120" t="s">
        <v>603</v>
      </c>
      <c r="D523" s="53" t="s">
        <v>1306</v>
      </c>
      <c r="E523" s="54" t="s">
        <v>38</v>
      </c>
      <c r="F523" s="54" t="s">
        <v>42</v>
      </c>
      <c r="G523" s="54" t="s">
        <v>1307</v>
      </c>
      <c r="H523" s="54" t="s">
        <v>1307</v>
      </c>
      <c r="I523" s="54">
        <f t="shared" si="24"/>
        <v>38</v>
      </c>
      <c r="J523" s="56"/>
      <c r="K523" s="57"/>
      <c r="L523" s="76"/>
      <c r="M523" s="59"/>
      <c r="N523" s="60">
        <v>637.0</v>
      </c>
      <c r="O523" s="61">
        <v>687.0</v>
      </c>
      <c r="P523" s="62">
        <v>741.96</v>
      </c>
      <c r="Q523" s="63">
        <v>741.96</v>
      </c>
      <c r="R523" s="64">
        <v>819.0</v>
      </c>
      <c r="S523" s="111">
        <v>860.0</v>
      </c>
      <c r="T523" s="65">
        <f t="shared" si="2"/>
        <v>137.6</v>
      </c>
      <c r="U523" s="65">
        <f t="shared" si="3"/>
        <v>997.6</v>
      </c>
      <c r="V523" s="66">
        <f t="shared" si="4"/>
        <v>0.05006105006</v>
      </c>
      <c r="W523" s="67">
        <f t="shared" si="5"/>
        <v>817</v>
      </c>
      <c r="X523" s="67">
        <f t="shared" si="6"/>
        <v>130.72</v>
      </c>
      <c r="Y523" s="67">
        <f t="shared" si="7"/>
        <v>947.72</v>
      </c>
      <c r="Z523" s="67">
        <f t="shared" si="8"/>
        <v>774</v>
      </c>
      <c r="AA523" s="67">
        <f t="shared" si="9"/>
        <v>123.84</v>
      </c>
      <c r="AB523" s="67">
        <f t="shared" si="10"/>
        <v>897.84</v>
      </c>
      <c r="AC523" s="67">
        <f t="shared" si="11"/>
        <v>731</v>
      </c>
      <c r="AD523" s="67">
        <f t="shared" si="12"/>
        <v>116.96</v>
      </c>
      <c r="AE523" s="67">
        <f t="shared" si="13"/>
        <v>847.96</v>
      </c>
      <c r="AF523" s="67">
        <f t="shared" si="14"/>
        <v>713.8</v>
      </c>
      <c r="AG523" s="67">
        <f t="shared" si="15"/>
        <v>114.208</v>
      </c>
      <c r="AH523" s="67">
        <f t="shared" si="16"/>
        <v>828.008</v>
      </c>
      <c r="AI523" s="67">
        <f t="shared" si="17"/>
        <v>688</v>
      </c>
      <c r="AJ523" s="68">
        <f t="shared" si="20"/>
        <v>110.08</v>
      </c>
      <c r="AK523" s="68">
        <f t="shared" si="21"/>
        <v>798.08</v>
      </c>
      <c r="AL523" s="70">
        <f>IFERROR(__xludf.DUMMYFUNCTION("""COMPUTED_VALUE"""),1.0)</f>
        <v>1</v>
      </c>
      <c r="AM523" s="70"/>
      <c r="AN523" s="71" t="str">
        <f>IFERROR(__xludf.DUMMYFUNCTION("""COMPUTED_VALUE""")," C")</f>
        <v>C</v>
      </c>
      <c r="AO523" s="71" t="str">
        <f>IFERROR(__xludf.DUMMYFUNCTION("""COMPUTED_VALUE""")," CJ99")</f>
        <v>CJ99</v>
      </c>
      <c r="AP523" s="71" t="str">
        <f>IFERROR(__xludf.DUMMYFUNCTION("""COMPUTED_VALUE""")," PZA")</f>
        <v>PZA</v>
      </c>
      <c r="AQ523" s="71" t="str">
        <f>IFERROR(__xludf.DUMMYFUNCTION("""COMPUTED_VALUE""")," REF")</f>
        <v>REF</v>
      </c>
      <c r="AR523" s="71" t="str">
        <f>IFERROR(__xludf.DUMMYFUNCTION("""COMPUTED_VALUE""")," CUADRO DE HULE SENCILLO EN GRADO ALIMENTICIO PARA CÁMARA DE PRESIÓN")</f>
        <v>CUADRO DE HULE SENCILLO EN GRADO ALIMENTICIO PARA CÁMARA DE PRESIÓN</v>
      </c>
      <c r="AS523" s="71" t="str">
        <f>IFERROR(__xludf.DUMMYFUNCTION("""COMPUTED_VALUE""")," CUADRO HULE SENC GA CAMARA DE PRESION")</f>
        <v>CUADRO HULE SENC GA CAMARA DE PRESION</v>
      </c>
      <c r="AT523" s="71">
        <f>IFERROR(__xludf.DUMMYFUNCTION("""COMPUTED_VALUE"""),37.0)</f>
        <v>37</v>
      </c>
      <c r="AU523" s="71"/>
      <c r="AV523" s="71"/>
      <c r="AW523" s="71"/>
      <c r="AX523" s="71"/>
      <c r="AY523" s="71">
        <f>IFERROR(__xludf.DUMMYFUNCTION("""COMPUTED_VALUE"""),45.0)</f>
        <v>45</v>
      </c>
      <c r="AZ523" s="71">
        <f>IFERROR(__xludf.DUMMYFUNCTION("""COMPUTED_VALUE"""),48.0)</f>
        <v>48</v>
      </c>
      <c r="BA523" s="71">
        <f>IFERROR(__xludf.DUMMYFUNCTION("""COMPUTED_VALUE"""),51.84)</f>
        <v>51.84</v>
      </c>
      <c r="BB523" s="71">
        <f>IFERROR(__xludf.DUMMYFUNCTION("""COMPUTED_VALUE"""),51.84)</f>
        <v>51.84</v>
      </c>
      <c r="BC523" s="71">
        <f>IFERROR(__xludf.DUMMYFUNCTION("""COMPUTED_VALUE"""),58.0)</f>
        <v>58</v>
      </c>
      <c r="BD523" s="71">
        <f>IFERROR(__xludf.DUMMYFUNCTION("""COMPUTED_VALUE"""),61.0)</f>
        <v>61</v>
      </c>
      <c r="BE523" s="71">
        <f>IFERROR(__xludf.DUMMYFUNCTION("""COMPUTED_VALUE"""),9.76)</f>
        <v>9.76</v>
      </c>
      <c r="BF523" s="71">
        <f>IFERROR(__xludf.DUMMYFUNCTION("""COMPUTED_VALUE"""),70.76)</f>
        <v>70.76</v>
      </c>
      <c r="BG523" s="71">
        <f>IFERROR(__xludf.DUMMYFUNCTION("""COMPUTED_VALUE"""),0.05172413793103448)</f>
        <v>0.05172413793</v>
      </c>
      <c r="BH523" s="71">
        <f>IFERROR(__xludf.DUMMYFUNCTION("""COMPUTED_VALUE"""),57.949999999999996)</f>
        <v>57.95</v>
      </c>
      <c r="BI523" s="71">
        <f>IFERROR(__xludf.DUMMYFUNCTION("""COMPUTED_VALUE"""),9.272)</f>
        <v>9.272</v>
      </c>
      <c r="BJ523" s="71">
        <f>IFERROR(__xludf.DUMMYFUNCTION("""COMPUTED_VALUE"""),67.222)</f>
        <v>67.222</v>
      </c>
      <c r="BK523" s="71">
        <f>IFERROR(__xludf.DUMMYFUNCTION("""COMPUTED_VALUE"""),54.9)</f>
        <v>54.9</v>
      </c>
      <c r="BL523" s="71">
        <f>IFERROR(__xludf.DUMMYFUNCTION("""COMPUTED_VALUE"""),8.784)</f>
        <v>8.784</v>
      </c>
      <c r="BM523" s="71">
        <f>IFERROR(__xludf.DUMMYFUNCTION("""COMPUTED_VALUE"""),63.684)</f>
        <v>63.684</v>
      </c>
      <c r="BN523" s="71">
        <f>IFERROR(__xludf.DUMMYFUNCTION("""COMPUTED_VALUE"""),51.85)</f>
        <v>51.85</v>
      </c>
      <c r="BO523" s="71">
        <f>IFERROR(__xludf.DUMMYFUNCTION("""COMPUTED_VALUE"""),8.296000000000001)</f>
        <v>8.296</v>
      </c>
      <c r="BP523" s="71">
        <f>IFERROR(__xludf.DUMMYFUNCTION("""COMPUTED_VALUE"""),60.146)</f>
        <v>60.146</v>
      </c>
      <c r="BQ523" s="71">
        <f>IFERROR(__xludf.DUMMYFUNCTION("""COMPUTED_VALUE"""),50.629999999999995)</f>
        <v>50.63</v>
      </c>
      <c r="BR523" s="71">
        <f>IFERROR(__xludf.DUMMYFUNCTION("""COMPUTED_VALUE"""),8.1008)</f>
        <v>8.1008</v>
      </c>
      <c r="BS523" s="71">
        <f>IFERROR(__xludf.DUMMYFUNCTION("""COMPUTED_VALUE"""),58.730799999999995)</f>
        <v>58.7308</v>
      </c>
      <c r="BT523" s="71">
        <f>IFERROR(__xludf.DUMMYFUNCTION("""COMPUTED_VALUE"""),48.800000000000004)</f>
        <v>48.8</v>
      </c>
      <c r="BU523" s="71">
        <f>IFERROR(__xludf.DUMMYFUNCTION("""COMPUTED_VALUE"""),7.808000000000001)</f>
        <v>7.808</v>
      </c>
      <c r="BV523" s="71">
        <f>IFERROR(__xludf.DUMMYFUNCTION("""COMPUTED_VALUE"""),56.608000000000004)</f>
        <v>56.608</v>
      </c>
    </row>
    <row r="524">
      <c r="A524" s="53"/>
      <c r="B524" s="53">
        <v>4.0</v>
      </c>
      <c r="C524" s="120" t="s">
        <v>603</v>
      </c>
      <c r="D524" s="128" t="s">
        <v>1308</v>
      </c>
      <c r="E524" s="54" t="s">
        <v>38</v>
      </c>
      <c r="F524" s="54" t="s">
        <v>42</v>
      </c>
      <c r="G524" s="54" t="s">
        <v>1309</v>
      </c>
      <c r="H524" s="54" t="s">
        <v>1309</v>
      </c>
      <c r="I524" s="54">
        <f t="shared" si="24"/>
        <v>38</v>
      </c>
      <c r="J524" s="56"/>
      <c r="K524" s="75"/>
      <c r="L524" s="76"/>
      <c r="M524" s="59"/>
      <c r="N524" s="79">
        <v>120.0</v>
      </c>
      <c r="O524" s="129">
        <v>252.0</v>
      </c>
      <c r="P524" s="62">
        <v>315.7</v>
      </c>
      <c r="Q524" s="63">
        <v>315.7</v>
      </c>
      <c r="R524" s="78">
        <v>390.0</v>
      </c>
      <c r="S524" s="111">
        <v>410.0</v>
      </c>
      <c r="T524" s="65">
        <f t="shared" si="2"/>
        <v>65.6</v>
      </c>
      <c r="U524" s="65">
        <f t="shared" si="3"/>
        <v>475.6</v>
      </c>
      <c r="V524" s="66">
        <f t="shared" si="4"/>
        <v>0.05128205128</v>
      </c>
      <c r="W524" s="67">
        <f t="shared" si="5"/>
        <v>410</v>
      </c>
      <c r="X524" s="67">
        <f t="shared" si="6"/>
        <v>65.6</v>
      </c>
      <c r="Y524" s="67">
        <f t="shared" si="7"/>
        <v>475.6</v>
      </c>
      <c r="Z524" s="67">
        <f t="shared" si="8"/>
        <v>410</v>
      </c>
      <c r="AA524" s="67">
        <f t="shared" si="9"/>
        <v>65.6</v>
      </c>
      <c r="AB524" s="67">
        <f t="shared" si="10"/>
        <v>475.6</v>
      </c>
      <c r="AC524" s="67">
        <f t="shared" si="11"/>
        <v>410</v>
      </c>
      <c r="AD524" s="67">
        <f t="shared" si="12"/>
        <v>65.6</v>
      </c>
      <c r="AE524" s="67">
        <f t="shared" si="13"/>
        <v>475.6</v>
      </c>
      <c r="AF524" s="67">
        <f t="shared" si="14"/>
        <v>410</v>
      </c>
      <c r="AG524" s="67">
        <f t="shared" si="15"/>
        <v>65.6</v>
      </c>
      <c r="AH524" s="67">
        <f t="shared" si="16"/>
        <v>475.6</v>
      </c>
      <c r="AI524" s="67">
        <f t="shared" si="17"/>
        <v>410</v>
      </c>
      <c r="AJ524" s="68">
        <f t="shared" si="20"/>
        <v>65.6</v>
      </c>
      <c r="AK524" s="68">
        <f t="shared" si="21"/>
        <v>475.6</v>
      </c>
      <c r="AL524" s="70">
        <f>IFERROR(__xludf.DUMMYFUNCTION("""COMPUTED_VALUE"""),1.0)</f>
        <v>1</v>
      </c>
      <c r="AM524" s="70"/>
      <c r="AN524" s="71" t="str">
        <f>IFERROR(__xludf.DUMMYFUNCTION("""COMPUTED_VALUE""")," P")</f>
        <v>P</v>
      </c>
      <c r="AO524" s="71" t="str">
        <f>IFERROR(__xludf.DUMMYFUNCTION("""COMPUTED_VALUE""")," CJ06")</f>
        <v>CJ06</v>
      </c>
      <c r="AP524" s="71" t="str">
        <f>IFERROR(__xludf.DUMMYFUNCTION("""COMPUTED_VALUE""")," PZA")</f>
        <v>PZA</v>
      </c>
      <c r="AQ524" s="71" t="str">
        <f>IFERROR(__xludf.DUMMYFUNCTION("""COMPUTED_VALUE""")," REF")</f>
        <v>REF</v>
      </c>
      <c r="AR524" s="71" t="str">
        <f>IFERROR(__xludf.DUMMYFUNCTION("""COMPUTED_VALUE""")," CUADRO PARA CONDUCTO MODELO ANTERIOR")</f>
        <v>CUADRO PARA CONDUCTO MODELO ANTERIOR</v>
      </c>
      <c r="AS524" s="71" t="str">
        <f>IFERROR(__xludf.DUMMYFUNCTION("""COMPUTED_VALUE""")," CUADRO PARA CONDUCTO MODELO ANTERIOR")</f>
        <v>CUADRO PARA CONDUCTO MODELO ANTERIOR</v>
      </c>
      <c r="AT524" s="71">
        <f>IFERROR(__xludf.DUMMYFUNCTION("""COMPUTED_VALUE"""),36.0)</f>
        <v>36</v>
      </c>
      <c r="AU524" s="71"/>
      <c r="AV524" s="71"/>
      <c r="AW524" s="71"/>
      <c r="AX524" s="71"/>
      <c r="AY524" s="71">
        <f>IFERROR(__xludf.DUMMYFUNCTION("""COMPUTED_VALUE"""),27.0)</f>
        <v>27</v>
      </c>
      <c r="AZ524" s="71">
        <f>IFERROR(__xludf.DUMMYFUNCTION("""COMPUTED_VALUE"""),29.0)</f>
        <v>29</v>
      </c>
      <c r="BA524" s="71">
        <f>IFERROR(__xludf.DUMMYFUNCTION("""COMPUTED_VALUE"""),31.32)</f>
        <v>31.32</v>
      </c>
      <c r="BB524" s="71">
        <f>IFERROR(__xludf.DUMMYFUNCTION("""COMPUTED_VALUE"""),31.32)</f>
        <v>31.32</v>
      </c>
      <c r="BC524" s="71">
        <f>IFERROR(__xludf.DUMMYFUNCTION("""COMPUTED_VALUE"""),35.0)</f>
        <v>35</v>
      </c>
      <c r="BD524" s="71">
        <f>IFERROR(__xludf.DUMMYFUNCTION("""COMPUTED_VALUE"""),37.0)</f>
        <v>37</v>
      </c>
      <c r="BE524" s="71">
        <f>IFERROR(__xludf.DUMMYFUNCTION("""COMPUTED_VALUE"""),5.92)</f>
        <v>5.92</v>
      </c>
      <c r="BF524" s="71">
        <f>IFERROR(__xludf.DUMMYFUNCTION("""COMPUTED_VALUE"""),42.92)</f>
        <v>42.92</v>
      </c>
      <c r="BG524" s="71">
        <f>IFERROR(__xludf.DUMMYFUNCTION("""COMPUTED_VALUE"""),0.05714285714285714)</f>
        <v>0.05714285714</v>
      </c>
      <c r="BH524" s="71">
        <f>IFERROR(__xludf.DUMMYFUNCTION("""COMPUTED_VALUE"""),35.15)</f>
        <v>35.15</v>
      </c>
      <c r="BI524" s="71">
        <f>IFERROR(__xludf.DUMMYFUNCTION("""COMPUTED_VALUE"""),5.624)</f>
        <v>5.624</v>
      </c>
      <c r="BJ524" s="71">
        <f>IFERROR(__xludf.DUMMYFUNCTION("""COMPUTED_VALUE"""),40.774)</f>
        <v>40.774</v>
      </c>
      <c r="BK524" s="71">
        <f>IFERROR(__xludf.DUMMYFUNCTION("""COMPUTED_VALUE"""),33.300000000000004)</f>
        <v>33.3</v>
      </c>
      <c r="BL524" s="71">
        <f>IFERROR(__xludf.DUMMYFUNCTION("""COMPUTED_VALUE"""),5.328000000000001)</f>
        <v>5.328</v>
      </c>
      <c r="BM524" s="71">
        <f>IFERROR(__xludf.DUMMYFUNCTION("""COMPUTED_VALUE"""),38.62800000000001)</f>
        <v>38.628</v>
      </c>
      <c r="BN524" s="71">
        <f>IFERROR(__xludf.DUMMYFUNCTION("""COMPUTED_VALUE"""),31.45)</f>
        <v>31.45</v>
      </c>
      <c r="BO524" s="71">
        <f>IFERROR(__xludf.DUMMYFUNCTION("""COMPUTED_VALUE"""),5.032)</f>
        <v>5.032</v>
      </c>
      <c r="BP524" s="71">
        <f>IFERROR(__xludf.DUMMYFUNCTION("""COMPUTED_VALUE"""),36.482)</f>
        <v>36.482</v>
      </c>
      <c r="BQ524" s="71">
        <f>IFERROR(__xludf.DUMMYFUNCTION("""COMPUTED_VALUE"""),30.709999999999997)</f>
        <v>30.71</v>
      </c>
      <c r="BR524" s="71">
        <f>IFERROR(__xludf.DUMMYFUNCTION("""COMPUTED_VALUE"""),4.9136)</f>
        <v>4.9136</v>
      </c>
      <c r="BS524" s="71">
        <f>IFERROR(__xludf.DUMMYFUNCTION("""COMPUTED_VALUE"""),35.623599999999996)</f>
        <v>35.6236</v>
      </c>
      <c r="BT524" s="71">
        <f>IFERROR(__xludf.DUMMYFUNCTION("""COMPUTED_VALUE"""),29.6)</f>
        <v>29.6</v>
      </c>
      <c r="BU524" s="71">
        <f>IFERROR(__xludf.DUMMYFUNCTION("""COMPUTED_VALUE"""),4.736000000000001)</f>
        <v>4.736</v>
      </c>
      <c r="BV524" s="71">
        <f>IFERROR(__xludf.DUMMYFUNCTION("""COMPUTED_VALUE"""),34.336)</f>
        <v>34.336</v>
      </c>
    </row>
    <row r="525">
      <c r="A525" s="53"/>
      <c r="B525" s="53"/>
      <c r="C525" s="53" t="s">
        <v>53</v>
      </c>
      <c r="D525" s="53" t="s">
        <v>1310</v>
      </c>
      <c r="E525" s="86" t="s">
        <v>38</v>
      </c>
      <c r="F525" s="91" t="s">
        <v>42</v>
      </c>
      <c r="G525" s="84" t="s">
        <v>1311</v>
      </c>
      <c r="H525" s="84" t="s">
        <v>1311</v>
      </c>
      <c r="I525" s="54">
        <f t="shared" si="24"/>
        <v>35</v>
      </c>
      <c r="J525" s="56"/>
      <c r="K525" s="57"/>
      <c r="L525" s="87"/>
      <c r="M525" s="59"/>
      <c r="N525" s="79"/>
      <c r="O525" s="90"/>
      <c r="P525" s="90"/>
      <c r="Q525" s="94"/>
      <c r="R525" s="64">
        <v>751.0</v>
      </c>
      <c r="S525" s="111">
        <v>789.0</v>
      </c>
      <c r="T525" s="65">
        <f t="shared" si="2"/>
        <v>126.24</v>
      </c>
      <c r="U525" s="65">
        <f t="shared" si="3"/>
        <v>915.24</v>
      </c>
      <c r="V525" s="66">
        <f t="shared" si="4"/>
        <v>0.05059920107</v>
      </c>
      <c r="W525" s="67">
        <f t="shared" si="5"/>
        <v>749.55</v>
      </c>
      <c r="X525" s="67">
        <f t="shared" si="6"/>
        <v>119.928</v>
      </c>
      <c r="Y525" s="67">
        <f t="shared" si="7"/>
        <v>869.478</v>
      </c>
      <c r="Z525" s="67">
        <f t="shared" si="8"/>
        <v>710.1</v>
      </c>
      <c r="AA525" s="67">
        <f t="shared" si="9"/>
        <v>113.616</v>
      </c>
      <c r="AB525" s="67">
        <f t="shared" si="10"/>
        <v>823.716</v>
      </c>
      <c r="AC525" s="67">
        <f t="shared" si="11"/>
        <v>670.65</v>
      </c>
      <c r="AD525" s="67">
        <f t="shared" si="12"/>
        <v>107.304</v>
      </c>
      <c r="AE525" s="67">
        <f t="shared" si="13"/>
        <v>777.954</v>
      </c>
      <c r="AF525" s="67">
        <f t="shared" si="14"/>
        <v>654.87</v>
      </c>
      <c r="AG525" s="67">
        <f t="shared" si="15"/>
        <v>104.7792</v>
      </c>
      <c r="AH525" s="67">
        <f t="shared" si="16"/>
        <v>759.6492</v>
      </c>
      <c r="AI525" s="67">
        <f t="shared" si="17"/>
        <v>631.2</v>
      </c>
      <c r="AJ525" s="68">
        <f t="shared" si="20"/>
        <v>100.992</v>
      </c>
      <c r="AK525" s="68">
        <f t="shared" si="21"/>
        <v>732.192</v>
      </c>
      <c r="AL525" s="70">
        <f>IFERROR(__xludf.DUMMYFUNCTION("""COMPUTED_VALUE"""),1.0)</f>
        <v>1</v>
      </c>
      <c r="AM525" s="70"/>
      <c r="AN525" s="71" t="str">
        <f>IFERROR(__xludf.DUMMYFUNCTION("""COMPUTED_VALUE""")," P")</f>
        <v>P</v>
      </c>
      <c r="AO525" s="71" t="str">
        <f>IFERROR(__xludf.DUMMYFUNCTION("""COMPUTED_VALUE""")," CJ07")</f>
        <v>CJ07</v>
      </c>
      <c r="AP525" s="71" t="str">
        <f>IFERROR(__xludf.DUMMYFUNCTION("""COMPUTED_VALUE""")," PZA")</f>
        <v>PZA</v>
      </c>
      <c r="AQ525" s="71" t="str">
        <f>IFERROR(__xludf.DUMMYFUNCTION("""COMPUTED_VALUE""")," REF")</f>
        <v>REF</v>
      </c>
      <c r="AR525" s="71" t="str">
        <f>IFERROR(__xludf.DUMMYFUNCTION("""COMPUTED_VALUE""")," CUADRO PARA CONDUCTO TV-50 (B.C.),TV-30 TV-40")</f>
        <v>CUADRO PARA CONDUCTO TV-50 (B.C.),TV-30 TV-40</v>
      </c>
      <c r="AS525" s="71" t="str">
        <f>IFERROR(__xludf.DUMMYFUNCTION("""COMPUTED_VALUE""")," CUADRO PARA CONDUCTO TV30-50 BC")</f>
        <v>CUADRO PARA CONDUCTO TV30-50 BC</v>
      </c>
      <c r="AT525" s="71">
        <f>IFERROR(__xludf.DUMMYFUNCTION("""COMPUTED_VALUE"""),31.0)</f>
        <v>31</v>
      </c>
      <c r="AU525" s="71"/>
      <c r="AV525" s="71"/>
      <c r="AW525" s="71"/>
      <c r="AX525" s="71"/>
      <c r="AY525" s="71">
        <f>IFERROR(__xludf.DUMMYFUNCTION("""COMPUTED_VALUE"""),27.0)</f>
        <v>27</v>
      </c>
      <c r="AZ525" s="71">
        <f>IFERROR(__xludf.DUMMYFUNCTION("""COMPUTED_VALUE"""),29.0)</f>
        <v>29</v>
      </c>
      <c r="BA525" s="71">
        <f>IFERROR(__xludf.DUMMYFUNCTION("""COMPUTED_VALUE"""),31.32)</f>
        <v>31.32</v>
      </c>
      <c r="BB525" s="71">
        <f>IFERROR(__xludf.DUMMYFUNCTION("""COMPUTED_VALUE"""),31.32)</f>
        <v>31.32</v>
      </c>
      <c r="BC525" s="71">
        <f>IFERROR(__xludf.DUMMYFUNCTION("""COMPUTED_VALUE"""),35.0)</f>
        <v>35</v>
      </c>
      <c r="BD525" s="71">
        <f>IFERROR(__xludf.DUMMYFUNCTION("""COMPUTED_VALUE"""),37.0)</f>
        <v>37</v>
      </c>
      <c r="BE525" s="71">
        <f>IFERROR(__xludf.DUMMYFUNCTION("""COMPUTED_VALUE"""),5.92)</f>
        <v>5.92</v>
      </c>
      <c r="BF525" s="71">
        <f>IFERROR(__xludf.DUMMYFUNCTION("""COMPUTED_VALUE"""),42.92)</f>
        <v>42.92</v>
      </c>
      <c r="BG525" s="71">
        <f>IFERROR(__xludf.DUMMYFUNCTION("""COMPUTED_VALUE"""),0.05714285714285714)</f>
        <v>0.05714285714</v>
      </c>
      <c r="BH525" s="71">
        <f>IFERROR(__xludf.DUMMYFUNCTION("""COMPUTED_VALUE"""),35.15)</f>
        <v>35.15</v>
      </c>
      <c r="BI525" s="71">
        <f>IFERROR(__xludf.DUMMYFUNCTION("""COMPUTED_VALUE"""),5.624)</f>
        <v>5.624</v>
      </c>
      <c r="BJ525" s="71">
        <f>IFERROR(__xludf.DUMMYFUNCTION("""COMPUTED_VALUE"""),40.774)</f>
        <v>40.774</v>
      </c>
      <c r="BK525" s="71">
        <f>IFERROR(__xludf.DUMMYFUNCTION("""COMPUTED_VALUE"""),33.300000000000004)</f>
        <v>33.3</v>
      </c>
      <c r="BL525" s="71">
        <f>IFERROR(__xludf.DUMMYFUNCTION("""COMPUTED_VALUE"""),5.328000000000001)</f>
        <v>5.328</v>
      </c>
      <c r="BM525" s="71">
        <f>IFERROR(__xludf.DUMMYFUNCTION("""COMPUTED_VALUE"""),38.62800000000001)</f>
        <v>38.628</v>
      </c>
      <c r="BN525" s="71">
        <f>IFERROR(__xludf.DUMMYFUNCTION("""COMPUTED_VALUE"""),31.45)</f>
        <v>31.45</v>
      </c>
      <c r="BO525" s="71">
        <f>IFERROR(__xludf.DUMMYFUNCTION("""COMPUTED_VALUE"""),5.032)</f>
        <v>5.032</v>
      </c>
      <c r="BP525" s="71">
        <f>IFERROR(__xludf.DUMMYFUNCTION("""COMPUTED_VALUE"""),36.482)</f>
        <v>36.482</v>
      </c>
      <c r="BQ525" s="71">
        <f>IFERROR(__xludf.DUMMYFUNCTION("""COMPUTED_VALUE"""),30.709999999999997)</f>
        <v>30.71</v>
      </c>
      <c r="BR525" s="71">
        <f>IFERROR(__xludf.DUMMYFUNCTION("""COMPUTED_VALUE"""),4.9136)</f>
        <v>4.9136</v>
      </c>
      <c r="BS525" s="71">
        <f>IFERROR(__xludf.DUMMYFUNCTION("""COMPUTED_VALUE"""),35.623599999999996)</f>
        <v>35.6236</v>
      </c>
      <c r="BT525" s="71">
        <f>IFERROR(__xludf.DUMMYFUNCTION("""COMPUTED_VALUE"""),29.6)</f>
        <v>29.6</v>
      </c>
      <c r="BU525" s="71">
        <f>IFERROR(__xludf.DUMMYFUNCTION("""COMPUTED_VALUE"""),4.736000000000001)</f>
        <v>4.736</v>
      </c>
      <c r="BV525" s="71">
        <f>IFERROR(__xludf.DUMMYFUNCTION("""COMPUTED_VALUE"""),34.336)</f>
        <v>34.336</v>
      </c>
    </row>
    <row r="526">
      <c r="A526" s="53">
        <v>1.0</v>
      </c>
      <c r="B526" s="72"/>
      <c r="C526" s="120" t="s">
        <v>603</v>
      </c>
      <c r="D526" s="74" t="s">
        <v>1312</v>
      </c>
      <c r="E526" s="54" t="s">
        <v>38</v>
      </c>
      <c r="F526" s="54" t="s">
        <v>42</v>
      </c>
      <c r="G526" s="54" t="s">
        <v>1313</v>
      </c>
      <c r="H526" s="54" t="s">
        <v>1313</v>
      </c>
      <c r="I526" s="54">
        <f t="shared" si="24"/>
        <v>36</v>
      </c>
      <c r="J526" s="56"/>
      <c r="K526" s="75"/>
      <c r="L526" s="76"/>
      <c r="M526" s="59"/>
      <c r="N526" s="60">
        <v>1332.0</v>
      </c>
      <c r="O526" s="61">
        <v>1438.0</v>
      </c>
      <c r="P526" s="62">
        <v>1553.0400000000002</v>
      </c>
      <c r="Q526" s="63">
        <v>1553.0400000000002</v>
      </c>
      <c r="R526" s="64">
        <v>1713.0</v>
      </c>
      <c r="S526" s="111">
        <v>1799.0</v>
      </c>
      <c r="T526" s="65">
        <f t="shared" si="2"/>
        <v>287.84</v>
      </c>
      <c r="U526" s="65">
        <f t="shared" si="3"/>
        <v>2086.84</v>
      </c>
      <c r="V526" s="66">
        <f t="shared" si="4"/>
        <v>0.05020431991</v>
      </c>
      <c r="W526" s="67">
        <f t="shared" si="5"/>
        <v>1709.05</v>
      </c>
      <c r="X526" s="67">
        <f t="shared" si="6"/>
        <v>273.448</v>
      </c>
      <c r="Y526" s="67">
        <f t="shared" si="7"/>
        <v>1982.498</v>
      </c>
      <c r="Z526" s="67">
        <f t="shared" si="8"/>
        <v>1619.1</v>
      </c>
      <c r="AA526" s="67">
        <f t="shared" si="9"/>
        <v>259.056</v>
      </c>
      <c r="AB526" s="67">
        <f t="shared" si="10"/>
        <v>1878.156</v>
      </c>
      <c r="AC526" s="67">
        <f t="shared" si="11"/>
        <v>1529.15</v>
      </c>
      <c r="AD526" s="67">
        <f t="shared" si="12"/>
        <v>244.664</v>
      </c>
      <c r="AE526" s="67">
        <f t="shared" si="13"/>
        <v>1773.814</v>
      </c>
      <c r="AF526" s="67">
        <f t="shared" si="14"/>
        <v>1493.17</v>
      </c>
      <c r="AG526" s="67">
        <f t="shared" si="15"/>
        <v>238.9072</v>
      </c>
      <c r="AH526" s="67">
        <f t="shared" si="16"/>
        <v>1732.0772</v>
      </c>
      <c r="AI526" s="67">
        <f t="shared" si="17"/>
        <v>1439.2</v>
      </c>
      <c r="AJ526" s="68">
        <f t="shared" si="20"/>
        <v>230.272</v>
      </c>
      <c r="AK526" s="68">
        <f t="shared" si="21"/>
        <v>1669.472</v>
      </c>
      <c r="AL526" s="70">
        <f>IFERROR(__xludf.DUMMYFUNCTION("""COMPUTED_VALUE"""),1.0)</f>
        <v>1</v>
      </c>
      <c r="AM526" s="70"/>
      <c r="AN526" s="71" t="str">
        <f>IFERROR(__xludf.DUMMYFUNCTION("""COMPUTED_VALUE""")," C")</f>
        <v>C</v>
      </c>
      <c r="AO526" s="71" t="str">
        <f>IFERROR(__xludf.DUMMYFUNCTION("""COMPUTED_VALUE""")," CW99")</f>
        <v>CW99</v>
      </c>
      <c r="AP526" s="71" t="str">
        <f>IFERROR(__xludf.DUMMYFUNCTION("""COMPUTED_VALUE""")," PZA")</f>
        <v>PZA</v>
      </c>
      <c r="AQ526" s="71" t="str">
        <f>IFERROR(__xludf.DUMMYFUNCTION("""COMPUTED_VALUE""")," REF")</f>
        <v>REF</v>
      </c>
      <c r="AR526" s="71" t="str">
        <f>IFERROR(__xludf.DUMMYFUNCTION("""COMPUTED_VALUE""")," CUBIERTA DE HULE CHICO GRADO ALIMENTICIO PARA RODILLO")</f>
        <v>CUBIERTA DE HULE CHICO GRADO ALIMENTICIO PARA RODILLO</v>
      </c>
      <c r="AS526" s="71" t="str">
        <f>IFERROR(__xludf.DUMMYFUNCTION("""COMPUTED_VALUE""")," CUBIERTA HULE CHICO GA P/RODILLO")</f>
        <v>CUBIERTA HULE CHICO GA P/RODILLO</v>
      </c>
      <c r="AT526" s="71">
        <f>IFERROR(__xludf.DUMMYFUNCTION("""COMPUTED_VALUE"""),32.0)</f>
        <v>32</v>
      </c>
      <c r="AU526" s="71"/>
      <c r="AV526" s="71"/>
      <c r="AW526" s="71"/>
      <c r="AX526" s="71"/>
      <c r="AY526" s="71">
        <f>IFERROR(__xludf.DUMMYFUNCTION("""COMPUTED_VALUE"""),120.0)</f>
        <v>120</v>
      </c>
      <c r="AZ526" s="71">
        <f>IFERROR(__xludf.DUMMYFUNCTION("""COMPUTED_VALUE"""),129.0)</f>
        <v>129</v>
      </c>
      <c r="BA526" s="71">
        <f>IFERROR(__xludf.DUMMYFUNCTION("""COMPUTED_VALUE"""),139.32000000000002)</f>
        <v>139.32</v>
      </c>
      <c r="BB526" s="71">
        <f>IFERROR(__xludf.DUMMYFUNCTION("""COMPUTED_VALUE"""),139.32000000000002)</f>
        <v>139.32</v>
      </c>
      <c r="BC526" s="71">
        <f>IFERROR(__xludf.DUMMYFUNCTION("""COMPUTED_VALUE"""),156.0)</f>
        <v>156</v>
      </c>
      <c r="BD526" s="71">
        <f>IFERROR(__xludf.DUMMYFUNCTION("""COMPUTED_VALUE"""),164.0)</f>
        <v>164</v>
      </c>
      <c r="BE526" s="71">
        <f>IFERROR(__xludf.DUMMYFUNCTION("""COMPUTED_VALUE"""),26.240000000000002)</f>
        <v>26.24</v>
      </c>
      <c r="BF526" s="71">
        <f>IFERROR(__xludf.DUMMYFUNCTION("""COMPUTED_VALUE"""),190.24)</f>
        <v>190.24</v>
      </c>
      <c r="BG526" s="71">
        <f>IFERROR(__xludf.DUMMYFUNCTION("""COMPUTED_VALUE"""),0.05128205128205128)</f>
        <v>0.05128205128</v>
      </c>
      <c r="BH526" s="71">
        <f>IFERROR(__xludf.DUMMYFUNCTION("""COMPUTED_VALUE"""),155.79999999999998)</f>
        <v>155.8</v>
      </c>
      <c r="BI526" s="71">
        <f>IFERROR(__xludf.DUMMYFUNCTION("""COMPUTED_VALUE"""),24.927999999999997)</f>
        <v>24.928</v>
      </c>
      <c r="BJ526" s="71">
        <f>IFERROR(__xludf.DUMMYFUNCTION("""COMPUTED_VALUE"""),180.72799999999998)</f>
        <v>180.728</v>
      </c>
      <c r="BK526" s="71">
        <f>IFERROR(__xludf.DUMMYFUNCTION("""COMPUTED_VALUE"""),147.6)</f>
        <v>147.6</v>
      </c>
      <c r="BL526" s="71">
        <f>IFERROR(__xludf.DUMMYFUNCTION("""COMPUTED_VALUE"""),23.616)</f>
        <v>23.616</v>
      </c>
      <c r="BM526" s="71">
        <f>IFERROR(__xludf.DUMMYFUNCTION("""COMPUTED_VALUE"""),171.216)</f>
        <v>171.216</v>
      </c>
      <c r="BN526" s="71">
        <f>IFERROR(__xludf.DUMMYFUNCTION("""COMPUTED_VALUE"""),139.4)</f>
        <v>139.4</v>
      </c>
      <c r="BO526" s="71">
        <f>IFERROR(__xludf.DUMMYFUNCTION("""COMPUTED_VALUE"""),22.304000000000002)</f>
        <v>22.304</v>
      </c>
      <c r="BP526" s="71">
        <f>IFERROR(__xludf.DUMMYFUNCTION("""COMPUTED_VALUE"""),161.704)</f>
        <v>161.704</v>
      </c>
      <c r="BQ526" s="71">
        <f>IFERROR(__xludf.DUMMYFUNCTION("""COMPUTED_VALUE"""),136.12)</f>
        <v>136.12</v>
      </c>
      <c r="BR526" s="71">
        <f>IFERROR(__xludf.DUMMYFUNCTION("""COMPUTED_VALUE"""),21.7792)</f>
        <v>21.7792</v>
      </c>
      <c r="BS526" s="71">
        <f>IFERROR(__xludf.DUMMYFUNCTION("""COMPUTED_VALUE"""),157.8992)</f>
        <v>157.8992</v>
      </c>
      <c r="BT526" s="71">
        <f>IFERROR(__xludf.DUMMYFUNCTION("""COMPUTED_VALUE"""),131.20000000000002)</f>
        <v>131.2</v>
      </c>
      <c r="BU526" s="71">
        <f>IFERROR(__xludf.DUMMYFUNCTION("""COMPUTED_VALUE"""),20.992000000000004)</f>
        <v>20.992</v>
      </c>
      <c r="BV526" s="71">
        <f>IFERROR(__xludf.DUMMYFUNCTION("""COMPUTED_VALUE"""),152.192)</f>
        <v>152.192</v>
      </c>
    </row>
    <row r="527">
      <c r="A527" s="53">
        <v>1.0</v>
      </c>
      <c r="B527" s="72"/>
      <c r="C527" s="120" t="s">
        <v>603</v>
      </c>
      <c r="D527" s="74" t="s">
        <v>1314</v>
      </c>
      <c r="E527" s="54" t="s">
        <v>38</v>
      </c>
      <c r="F527" s="54" t="s">
        <v>42</v>
      </c>
      <c r="G527" s="54" t="s">
        <v>1315</v>
      </c>
      <c r="H527" s="54" t="s">
        <v>1315</v>
      </c>
      <c r="I527" s="54">
        <f t="shared" si="24"/>
        <v>37</v>
      </c>
      <c r="J527" s="56"/>
      <c r="K527" s="75"/>
      <c r="L527" s="76"/>
      <c r="M527" s="59"/>
      <c r="N527" s="60">
        <v>551.0</v>
      </c>
      <c r="O527" s="61">
        <v>595.0</v>
      </c>
      <c r="P527" s="62">
        <v>642.6</v>
      </c>
      <c r="Q527" s="63">
        <v>642.6</v>
      </c>
      <c r="R527" s="64">
        <v>751.0</v>
      </c>
      <c r="S527" s="111">
        <v>789.0</v>
      </c>
      <c r="T527" s="65">
        <f t="shared" si="2"/>
        <v>126.24</v>
      </c>
      <c r="U527" s="65">
        <f t="shared" si="3"/>
        <v>915.24</v>
      </c>
      <c r="V527" s="66">
        <f t="shared" si="4"/>
        <v>0.05059920107</v>
      </c>
      <c r="W527" s="67">
        <f t="shared" si="5"/>
        <v>749.55</v>
      </c>
      <c r="X527" s="67">
        <f t="shared" si="6"/>
        <v>119.928</v>
      </c>
      <c r="Y527" s="67">
        <f t="shared" si="7"/>
        <v>869.478</v>
      </c>
      <c r="Z527" s="67">
        <f t="shared" si="8"/>
        <v>710.1</v>
      </c>
      <c r="AA527" s="67">
        <f t="shared" si="9"/>
        <v>113.616</v>
      </c>
      <c r="AB527" s="67">
        <f t="shared" si="10"/>
        <v>823.716</v>
      </c>
      <c r="AC527" s="67">
        <f t="shared" si="11"/>
        <v>670.65</v>
      </c>
      <c r="AD527" s="67">
        <f t="shared" si="12"/>
        <v>107.304</v>
      </c>
      <c r="AE527" s="67">
        <f t="shared" si="13"/>
        <v>777.954</v>
      </c>
      <c r="AF527" s="67">
        <f t="shared" si="14"/>
        <v>654.87</v>
      </c>
      <c r="AG527" s="67">
        <f t="shared" si="15"/>
        <v>104.7792</v>
      </c>
      <c r="AH527" s="67">
        <f t="shared" si="16"/>
        <v>759.6492</v>
      </c>
      <c r="AI527" s="67">
        <f t="shared" si="17"/>
        <v>631.2</v>
      </c>
      <c r="AJ527" s="68">
        <f t="shared" si="20"/>
        <v>100.992</v>
      </c>
      <c r="AK527" s="68">
        <f t="shared" si="21"/>
        <v>732.192</v>
      </c>
      <c r="AL527" s="70">
        <f>IFERROR(__xludf.DUMMYFUNCTION("""COMPUTED_VALUE"""),1.0)</f>
        <v>1</v>
      </c>
      <c r="AM527" s="70"/>
      <c r="AN527" s="71" t="str">
        <f>IFERROR(__xludf.DUMMYFUNCTION("""COMPUTED_VALUE""")," C")</f>
        <v>C</v>
      </c>
      <c r="AO527" s="71" t="str">
        <f>IFERROR(__xludf.DUMMYFUNCTION("""COMPUTED_VALUE""")," CW01")</f>
        <v>CW01</v>
      </c>
      <c r="AP527" s="71" t="str">
        <f>IFERROR(__xludf.DUMMYFUNCTION("""COMPUTED_VALUE""")," PZA")</f>
        <v>PZA</v>
      </c>
      <c r="AQ527" s="71" t="str">
        <f>IFERROR(__xludf.DUMMYFUNCTION("""COMPUTED_VALUE""")," REF")</f>
        <v>REF</v>
      </c>
      <c r="AR527" s="71" t="str">
        <f>IFERROR(__xludf.DUMMYFUNCTION("""COMPUTED_VALUE""")," CUBIERTA DE HULE PARA RODILLO CHICA")</f>
        <v>CUBIERTA DE HULE PARA RODILLO CHICA</v>
      </c>
      <c r="AS527" s="71" t="str">
        <f>IFERROR(__xludf.DUMMYFUNCTION("""COMPUTED_VALUE""")," CUBIERTA DE HULE PARA RODILLO CHICA")</f>
        <v>CUBIERTA DE HULE PARA RODILLO CHICA</v>
      </c>
      <c r="AT527" s="71">
        <f>IFERROR(__xludf.DUMMYFUNCTION("""COMPUTED_VALUE"""),35.0)</f>
        <v>35</v>
      </c>
      <c r="AU527" s="71"/>
      <c r="AV527" s="71"/>
      <c r="AW527" s="71"/>
      <c r="AX527" s="71"/>
      <c r="AY527" s="71">
        <f>IFERROR(__xludf.DUMMYFUNCTION("""COMPUTED_VALUE"""),79.0)</f>
        <v>79</v>
      </c>
      <c r="AZ527" s="71">
        <f>IFERROR(__xludf.DUMMYFUNCTION("""COMPUTED_VALUE"""),60.0)</f>
        <v>60</v>
      </c>
      <c r="BA527" s="71">
        <f>IFERROR(__xludf.DUMMYFUNCTION("""COMPUTED_VALUE"""),71.76)</f>
        <v>71.76</v>
      </c>
      <c r="BB527" s="71">
        <f>IFERROR(__xludf.DUMMYFUNCTION("""COMPUTED_VALUE"""),71.76)</f>
        <v>71.76</v>
      </c>
      <c r="BC527" s="71">
        <f>IFERROR(__xludf.DUMMYFUNCTION("""COMPUTED_VALUE"""),81.0)</f>
        <v>81</v>
      </c>
      <c r="BD527" s="71">
        <f>IFERROR(__xludf.DUMMYFUNCTION("""COMPUTED_VALUE"""),85.0)</f>
        <v>85</v>
      </c>
      <c r="BE527" s="71">
        <f>IFERROR(__xludf.DUMMYFUNCTION("""COMPUTED_VALUE"""),13.6)</f>
        <v>13.6</v>
      </c>
      <c r="BF527" s="71">
        <f>IFERROR(__xludf.DUMMYFUNCTION("""COMPUTED_VALUE"""),98.6)</f>
        <v>98.6</v>
      </c>
      <c r="BG527" s="71">
        <f>IFERROR(__xludf.DUMMYFUNCTION("""COMPUTED_VALUE"""),0.04938271604938271)</f>
        <v>0.04938271605</v>
      </c>
      <c r="BH527" s="71">
        <f>IFERROR(__xludf.DUMMYFUNCTION("""COMPUTED_VALUE"""),80.75)</f>
        <v>80.75</v>
      </c>
      <c r="BI527" s="71">
        <f>IFERROR(__xludf.DUMMYFUNCTION("""COMPUTED_VALUE"""),12.92)</f>
        <v>12.92</v>
      </c>
      <c r="BJ527" s="71">
        <f>IFERROR(__xludf.DUMMYFUNCTION("""COMPUTED_VALUE"""),93.67)</f>
        <v>93.67</v>
      </c>
      <c r="BK527" s="71">
        <f>IFERROR(__xludf.DUMMYFUNCTION("""COMPUTED_VALUE"""),76.5)</f>
        <v>76.5</v>
      </c>
      <c r="BL527" s="71">
        <f>IFERROR(__xludf.DUMMYFUNCTION("""COMPUTED_VALUE"""),12.24)</f>
        <v>12.24</v>
      </c>
      <c r="BM527" s="71">
        <f>IFERROR(__xludf.DUMMYFUNCTION("""COMPUTED_VALUE"""),88.74)</f>
        <v>88.74</v>
      </c>
      <c r="BN527" s="71">
        <f>IFERROR(__xludf.DUMMYFUNCTION("""COMPUTED_VALUE"""),72.25)</f>
        <v>72.25</v>
      </c>
      <c r="BO527" s="71">
        <f>IFERROR(__xludf.DUMMYFUNCTION("""COMPUTED_VALUE"""),11.56)</f>
        <v>11.56</v>
      </c>
      <c r="BP527" s="71">
        <f>IFERROR(__xludf.DUMMYFUNCTION("""COMPUTED_VALUE"""),83.81)</f>
        <v>83.81</v>
      </c>
      <c r="BQ527" s="71">
        <f>IFERROR(__xludf.DUMMYFUNCTION("""COMPUTED_VALUE"""),70.55)</f>
        <v>70.55</v>
      </c>
      <c r="BR527" s="71">
        <f>IFERROR(__xludf.DUMMYFUNCTION("""COMPUTED_VALUE"""),11.288)</f>
        <v>11.288</v>
      </c>
      <c r="BS527" s="71">
        <f>IFERROR(__xludf.DUMMYFUNCTION("""COMPUTED_VALUE"""),81.838)</f>
        <v>81.838</v>
      </c>
      <c r="BT527" s="71">
        <f>IFERROR(__xludf.DUMMYFUNCTION("""COMPUTED_VALUE"""),68.0)</f>
        <v>68</v>
      </c>
      <c r="BU527" s="71">
        <f>IFERROR(__xludf.DUMMYFUNCTION("""COMPUTED_VALUE"""),10.88)</f>
        <v>10.88</v>
      </c>
      <c r="BV527" s="71">
        <f>IFERROR(__xludf.DUMMYFUNCTION("""COMPUTED_VALUE"""),78.88)</f>
        <v>78.88</v>
      </c>
    </row>
    <row r="528">
      <c r="A528" s="53"/>
      <c r="B528" s="53">
        <v>4.0</v>
      </c>
      <c r="C528" s="73" t="s">
        <v>12</v>
      </c>
      <c r="D528" s="53" t="s">
        <v>1316</v>
      </c>
      <c r="E528" s="54" t="s">
        <v>38</v>
      </c>
      <c r="F528" s="54" t="s">
        <v>42</v>
      </c>
      <c r="G528" s="55" t="s">
        <v>1317</v>
      </c>
      <c r="H528" s="55" t="s">
        <v>1317</v>
      </c>
      <c r="I528" s="54">
        <f t="shared" si="24"/>
        <v>34</v>
      </c>
      <c r="J528" s="56"/>
      <c r="K528" s="75"/>
      <c r="L528" s="76"/>
      <c r="M528" s="59"/>
      <c r="N528" s="60"/>
      <c r="O528" s="90"/>
      <c r="P528" s="62">
        <v>874.0</v>
      </c>
      <c r="Q528" s="63">
        <v>874.0</v>
      </c>
      <c r="R528" s="64">
        <v>918.0</v>
      </c>
      <c r="S528" s="111">
        <v>964.0</v>
      </c>
      <c r="T528" s="65">
        <f t="shared" si="2"/>
        <v>154.24</v>
      </c>
      <c r="U528" s="65">
        <f t="shared" si="3"/>
        <v>1118.24</v>
      </c>
      <c r="V528" s="66">
        <f t="shared" si="4"/>
        <v>0.05010893246</v>
      </c>
      <c r="W528" s="67">
        <f t="shared" si="5"/>
        <v>964</v>
      </c>
      <c r="X528" s="67">
        <f t="shared" si="6"/>
        <v>154.24</v>
      </c>
      <c r="Y528" s="67">
        <f t="shared" si="7"/>
        <v>1118.24</v>
      </c>
      <c r="Z528" s="67">
        <f t="shared" si="8"/>
        <v>964</v>
      </c>
      <c r="AA528" s="67">
        <f t="shared" si="9"/>
        <v>154.24</v>
      </c>
      <c r="AB528" s="67">
        <f t="shared" si="10"/>
        <v>1118.24</v>
      </c>
      <c r="AC528" s="67">
        <f t="shared" si="11"/>
        <v>964</v>
      </c>
      <c r="AD528" s="67">
        <f t="shared" si="12"/>
        <v>154.24</v>
      </c>
      <c r="AE528" s="67">
        <f t="shared" si="13"/>
        <v>1118.24</v>
      </c>
      <c r="AF528" s="67">
        <f t="shared" si="14"/>
        <v>964</v>
      </c>
      <c r="AG528" s="67">
        <f t="shared" si="15"/>
        <v>154.24</v>
      </c>
      <c r="AH528" s="67">
        <f t="shared" si="16"/>
        <v>1118.24</v>
      </c>
      <c r="AI528" s="67">
        <f t="shared" si="17"/>
        <v>964</v>
      </c>
      <c r="AJ528" s="68">
        <f t="shared" si="20"/>
        <v>154.24</v>
      </c>
      <c r="AK528" s="68">
        <f t="shared" si="21"/>
        <v>1118.24</v>
      </c>
      <c r="AL528" s="70">
        <f>IFERROR(__xludf.DUMMYFUNCTION("""COMPUTED_VALUE"""),1.0)</f>
        <v>1</v>
      </c>
      <c r="AM528" s="70"/>
      <c r="AN528" s="71" t="str">
        <f>IFERROR(__xludf.DUMMYFUNCTION("""COMPUTED_VALUE""")," C")</f>
        <v>C</v>
      </c>
      <c r="AO528" s="71" t="str">
        <f>IFERROR(__xludf.DUMMYFUNCTION("""COMPUTED_VALUE""")," CW02")</f>
        <v>CW02</v>
      </c>
      <c r="AP528" s="71" t="str">
        <f>IFERROR(__xludf.DUMMYFUNCTION("""COMPUTED_VALUE""")," PZA")</f>
        <v>PZA</v>
      </c>
      <c r="AQ528" s="71" t="str">
        <f>IFERROR(__xludf.DUMMYFUNCTION("""COMPUTED_VALUE""")," REF")</f>
        <v>REF</v>
      </c>
      <c r="AR528" s="71" t="str">
        <f>IFERROR(__xludf.DUMMYFUNCTION("""COMPUTED_VALUE""")," CUBIERTA DE HULE PARA RODILLO GRANDE")</f>
        <v>CUBIERTA DE HULE PARA RODILLO GRANDE</v>
      </c>
      <c r="AS528" s="71" t="str">
        <f>IFERROR(__xludf.DUMMYFUNCTION("""COMPUTED_VALUE""")," CUBIERTA DE HULE PARA RODILLO GRANDE")</f>
        <v>CUBIERTA DE HULE PARA RODILLO GRANDE</v>
      </c>
      <c r="AT528" s="71">
        <f>IFERROR(__xludf.DUMMYFUNCTION("""COMPUTED_VALUE"""),36.0)</f>
        <v>36</v>
      </c>
      <c r="AU528" s="71"/>
      <c r="AV528" s="71"/>
      <c r="AW528" s="71"/>
      <c r="AX528" s="71"/>
      <c r="AY528" s="71">
        <f>IFERROR(__xludf.DUMMYFUNCTION("""COMPUTED_VALUE"""),68.0)</f>
        <v>68</v>
      </c>
      <c r="AZ528" s="71">
        <f>IFERROR(__xludf.DUMMYFUNCTION("""COMPUTED_VALUE"""),73.0)</f>
        <v>73</v>
      </c>
      <c r="BA528" s="71">
        <f>IFERROR(__xludf.DUMMYFUNCTION("""COMPUTED_VALUE"""),78.84)</f>
        <v>78.84</v>
      </c>
      <c r="BB528" s="71">
        <f>IFERROR(__xludf.DUMMYFUNCTION("""COMPUTED_VALUE"""),78.84)</f>
        <v>78.84</v>
      </c>
      <c r="BC528" s="71">
        <f>IFERROR(__xludf.DUMMYFUNCTION("""COMPUTED_VALUE"""),89.0)</f>
        <v>89</v>
      </c>
      <c r="BD528" s="71">
        <f>IFERROR(__xludf.DUMMYFUNCTION("""COMPUTED_VALUE"""),93.0)</f>
        <v>93</v>
      </c>
      <c r="BE528" s="71">
        <f>IFERROR(__xludf.DUMMYFUNCTION("""COMPUTED_VALUE"""),14.88)</f>
        <v>14.88</v>
      </c>
      <c r="BF528" s="71">
        <f>IFERROR(__xludf.DUMMYFUNCTION("""COMPUTED_VALUE"""),107.88)</f>
        <v>107.88</v>
      </c>
      <c r="BG528" s="71">
        <f>IFERROR(__xludf.DUMMYFUNCTION("""COMPUTED_VALUE"""),0.0449438202247191)</f>
        <v>0.04494382022</v>
      </c>
      <c r="BH528" s="71">
        <f>IFERROR(__xludf.DUMMYFUNCTION("""COMPUTED_VALUE"""),88.35)</f>
        <v>88.35</v>
      </c>
      <c r="BI528" s="71">
        <f>IFERROR(__xludf.DUMMYFUNCTION("""COMPUTED_VALUE"""),14.136)</f>
        <v>14.136</v>
      </c>
      <c r="BJ528" s="71">
        <f>IFERROR(__xludf.DUMMYFUNCTION("""COMPUTED_VALUE"""),102.48599999999999)</f>
        <v>102.486</v>
      </c>
      <c r="BK528" s="71">
        <f>IFERROR(__xludf.DUMMYFUNCTION("""COMPUTED_VALUE"""),83.7)</f>
        <v>83.7</v>
      </c>
      <c r="BL528" s="71">
        <f>IFERROR(__xludf.DUMMYFUNCTION("""COMPUTED_VALUE"""),13.392000000000001)</f>
        <v>13.392</v>
      </c>
      <c r="BM528" s="71">
        <f>IFERROR(__xludf.DUMMYFUNCTION("""COMPUTED_VALUE"""),97.092)</f>
        <v>97.092</v>
      </c>
      <c r="BN528" s="71">
        <f>IFERROR(__xludf.DUMMYFUNCTION("""COMPUTED_VALUE"""),79.05)</f>
        <v>79.05</v>
      </c>
      <c r="BO528" s="71">
        <f>IFERROR(__xludf.DUMMYFUNCTION("""COMPUTED_VALUE"""),12.648)</f>
        <v>12.648</v>
      </c>
      <c r="BP528" s="71">
        <f>IFERROR(__xludf.DUMMYFUNCTION("""COMPUTED_VALUE"""),91.698)</f>
        <v>91.698</v>
      </c>
      <c r="BQ528" s="71">
        <f>IFERROR(__xludf.DUMMYFUNCTION("""COMPUTED_VALUE"""),77.19)</f>
        <v>77.19</v>
      </c>
      <c r="BR528" s="71">
        <f>IFERROR(__xludf.DUMMYFUNCTION("""COMPUTED_VALUE"""),12.3504)</f>
        <v>12.3504</v>
      </c>
      <c r="BS528" s="71">
        <f>IFERROR(__xludf.DUMMYFUNCTION("""COMPUTED_VALUE"""),89.5404)</f>
        <v>89.5404</v>
      </c>
      <c r="BT528" s="71">
        <f>IFERROR(__xludf.DUMMYFUNCTION("""COMPUTED_VALUE"""),74.4)</f>
        <v>74.4</v>
      </c>
      <c r="BU528" s="71">
        <f>IFERROR(__xludf.DUMMYFUNCTION("""COMPUTED_VALUE"""),11.904000000000002)</f>
        <v>11.904</v>
      </c>
      <c r="BV528" s="71">
        <f>IFERROR(__xludf.DUMMYFUNCTION("""COMPUTED_VALUE"""),86.304)</f>
        <v>86.304</v>
      </c>
    </row>
    <row r="529">
      <c r="A529" s="53">
        <v>1.0</v>
      </c>
      <c r="B529" s="72"/>
      <c r="C529" s="120" t="s">
        <v>603</v>
      </c>
      <c r="D529" s="74" t="s">
        <v>1318</v>
      </c>
      <c r="E529" s="54" t="s">
        <v>38</v>
      </c>
      <c r="F529" s="54" t="s">
        <v>42</v>
      </c>
      <c r="G529" s="54" t="s">
        <v>1319</v>
      </c>
      <c r="H529" s="54" t="s">
        <v>1319</v>
      </c>
      <c r="I529" s="54">
        <f t="shared" si="24"/>
        <v>30</v>
      </c>
      <c r="J529" s="56"/>
      <c r="K529" s="75"/>
      <c r="L529" s="76"/>
      <c r="M529" s="59"/>
      <c r="N529" s="60">
        <v>1139.0</v>
      </c>
      <c r="O529" s="61">
        <v>1230.0</v>
      </c>
      <c r="P529" s="62">
        <v>1328.4</v>
      </c>
      <c r="Q529" s="63">
        <v>1328.4</v>
      </c>
      <c r="R529" s="64">
        <v>1465.0</v>
      </c>
      <c r="S529" s="111">
        <v>1538.0</v>
      </c>
      <c r="T529" s="65">
        <f t="shared" si="2"/>
        <v>246.08</v>
      </c>
      <c r="U529" s="65">
        <f t="shared" si="3"/>
        <v>1784.08</v>
      </c>
      <c r="V529" s="66">
        <f t="shared" si="4"/>
        <v>0.04982935154</v>
      </c>
      <c r="W529" s="67">
        <f t="shared" si="5"/>
        <v>1461.1</v>
      </c>
      <c r="X529" s="67">
        <f t="shared" si="6"/>
        <v>233.776</v>
      </c>
      <c r="Y529" s="67">
        <f t="shared" si="7"/>
        <v>1694.876</v>
      </c>
      <c r="Z529" s="67">
        <f t="shared" si="8"/>
        <v>1384.2</v>
      </c>
      <c r="AA529" s="67">
        <f t="shared" si="9"/>
        <v>221.472</v>
      </c>
      <c r="AB529" s="67">
        <f t="shared" si="10"/>
        <v>1605.672</v>
      </c>
      <c r="AC529" s="67">
        <f t="shared" si="11"/>
        <v>1307.3</v>
      </c>
      <c r="AD529" s="67">
        <f t="shared" si="12"/>
        <v>209.168</v>
      </c>
      <c r="AE529" s="67">
        <f t="shared" si="13"/>
        <v>1516.468</v>
      </c>
      <c r="AF529" s="67">
        <f t="shared" si="14"/>
        <v>1276.54</v>
      </c>
      <c r="AG529" s="67">
        <f t="shared" si="15"/>
        <v>204.2464</v>
      </c>
      <c r="AH529" s="67">
        <f t="shared" si="16"/>
        <v>1480.7864</v>
      </c>
      <c r="AI529" s="67">
        <f t="shared" si="17"/>
        <v>1230.4</v>
      </c>
      <c r="AJ529" s="68">
        <f t="shared" si="20"/>
        <v>196.864</v>
      </c>
      <c r="AK529" s="68">
        <f t="shared" si="21"/>
        <v>1427.264</v>
      </c>
      <c r="AL529" s="70">
        <f>IFERROR(__xludf.DUMMYFUNCTION("""COMPUTED_VALUE"""),1.0)</f>
        <v>1</v>
      </c>
      <c r="AM529" s="70"/>
      <c r="AN529" s="71" t="str">
        <f>IFERROR(__xludf.DUMMYFUNCTION("""COMPUTED_VALUE""")," C")</f>
        <v>C</v>
      </c>
      <c r="AO529" s="71" t="str">
        <f>IFERROR(__xludf.DUMMYFUNCTION("""COMPUTED_VALUE""")," CW03")</f>
        <v>CW03</v>
      </c>
      <c r="AP529" s="71" t="str">
        <f>IFERROR(__xludf.DUMMYFUNCTION("""COMPUTED_VALUE""")," PZA")</f>
        <v>PZA</v>
      </c>
      <c r="AQ529" s="71" t="str">
        <f>IFERROR(__xludf.DUMMYFUNCTION("""COMPUTED_VALUE""")," REF")</f>
        <v>REF</v>
      </c>
      <c r="AR529" s="71" t="str">
        <f>IFERROR(__xludf.DUMMYFUNCTION("""COMPUTED_VALUE""")," CUBIERTA DE HULE PARA RODILLO RANURADA")</f>
        <v>CUBIERTA DE HULE PARA RODILLO RANURADA</v>
      </c>
      <c r="AS529" s="71" t="str">
        <f>IFERROR(__xludf.DUMMYFUNCTION("""COMPUTED_VALUE""")," CUBIERTA DE HULE PARA RODILLO RANURADA")</f>
        <v>CUBIERTA DE HULE PARA RODILLO RANURADA</v>
      </c>
      <c r="AT529" s="71">
        <f>IFERROR(__xludf.DUMMYFUNCTION("""COMPUTED_VALUE"""),38.0)</f>
        <v>38</v>
      </c>
      <c r="AU529" s="71"/>
      <c r="AV529" s="71"/>
      <c r="AW529" s="71"/>
      <c r="AX529" s="71"/>
      <c r="AY529" s="71">
        <f>IFERROR(__xludf.DUMMYFUNCTION("""COMPUTED_VALUE"""),61.0)</f>
        <v>61</v>
      </c>
      <c r="AZ529" s="71">
        <f>IFERROR(__xludf.DUMMYFUNCTION("""COMPUTED_VALUE"""),60.0)</f>
        <v>60</v>
      </c>
      <c r="BA529" s="71">
        <f>IFERROR(__xludf.DUMMYFUNCTION("""COMPUTED_VALUE"""),69.92)</f>
        <v>69.92</v>
      </c>
      <c r="BB529" s="71">
        <f>IFERROR(__xludf.DUMMYFUNCTION("""COMPUTED_VALUE"""),69.92)</f>
        <v>69.92</v>
      </c>
      <c r="BC529" s="71">
        <f>IFERROR(__xludf.DUMMYFUNCTION("""COMPUTED_VALUE"""),79.0)</f>
        <v>79</v>
      </c>
      <c r="BD529" s="71">
        <f>IFERROR(__xludf.DUMMYFUNCTION("""COMPUTED_VALUE"""),83.0)</f>
        <v>83</v>
      </c>
      <c r="BE529" s="71">
        <f>IFERROR(__xludf.DUMMYFUNCTION("""COMPUTED_VALUE"""),13.280000000000001)</f>
        <v>13.28</v>
      </c>
      <c r="BF529" s="71">
        <f>IFERROR(__xludf.DUMMYFUNCTION("""COMPUTED_VALUE"""),96.28)</f>
        <v>96.28</v>
      </c>
      <c r="BG529" s="71">
        <f>IFERROR(__xludf.DUMMYFUNCTION("""COMPUTED_VALUE"""),0.05063291139240506)</f>
        <v>0.05063291139</v>
      </c>
      <c r="BH529" s="71">
        <f>IFERROR(__xludf.DUMMYFUNCTION("""COMPUTED_VALUE"""),78.85)</f>
        <v>78.85</v>
      </c>
      <c r="BI529" s="71">
        <f>IFERROR(__xludf.DUMMYFUNCTION("""COMPUTED_VALUE"""),12.616)</f>
        <v>12.616</v>
      </c>
      <c r="BJ529" s="71">
        <f>IFERROR(__xludf.DUMMYFUNCTION("""COMPUTED_VALUE"""),91.466)</f>
        <v>91.466</v>
      </c>
      <c r="BK529" s="71">
        <f>IFERROR(__xludf.DUMMYFUNCTION("""COMPUTED_VALUE"""),74.7)</f>
        <v>74.7</v>
      </c>
      <c r="BL529" s="71">
        <f>IFERROR(__xludf.DUMMYFUNCTION("""COMPUTED_VALUE"""),11.952)</f>
        <v>11.952</v>
      </c>
      <c r="BM529" s="71">
        <f>IFERROR(__xludf.DUMMYFUNCTION("""COMPUTED_VALUE"""),86.652)</f>
        <v>86.652</v>
      </c>
      <c r="BN529" s="71">
        <f>IFERROR(__xludf.DUMMYFUNCTION("""COMPUTED_VALUE"""),70.55)</f>
        <v>70.55</v>
      </c>
      <c r="BO529" s="71">
        <f>IFERROR(__xludf.DUMMYFUNCTION("""COMPUTED_VALUE"""),11.288)</f>
        <v>11.288</v>
      </c>
      <c r="BP529" s="71">
        <f>IFERROR(__xludf.DUMMYFUNCTION("""COMPUTED_VALUE"""),81.838)</f>
        <v>81.838</v>
      </c>
      <c r="BQ529" s="71">
        <f>IFERROR(__xludf.DUMMYFUNCTION("""COMPUTED_VALUE"""),68.89)</f>
        <v>68.89</v>
      </c>
      <c r="BR529" s="71">
        <f>IFERROR(__xludf.DUMMYFUNCTION("""COMPUTED_VALUE"""),11.022400000000001)</f>
        <v>11.0224</v>
      </c>
      <c r="BS529" s="71">
        <f>IFERROR(__xludf.DUMMYFUNCTION("""COMPUTED_VALUE"""),79.9124)</f>
        <v>79.9124</v>
      </c>
      <c r="BT529" s="71">
        <f>IFERROR(__xludf.DUMMYFUNCTION("""COMPUTED_VALUE"""),66.4)</f>
        <v>66.4</v>
      </c>
      <c r="BU529" s="71">
        <f>IFERROR(__xludf.DUMMYFUNCTION("""COMPUTED_VALUE"""),10.624)</f>
        <v>10.624</v>
      </c>
      <c r="BV529" s="71">
        <f>IFERROR(__xludf.DUMMYFUNCTION("""COMPUTED_VALUE"""),77.024)</f>
        <v>77.024</v>
      </c>
    </row>
    <row r="530">
      <c r="A530" s="53">
        <v>1.0</v>
      </c>
      <c r="B530" s="72"/>
      <c r="C530" s="120" t="s">
        <v>603</v>
      </c>
      <c r="D530" s="74" t="s">
        <v>1320</v>
      </c>
      <c r="E530" s="54" t="s">
        <v>38</v>
      </c>
      <c r="F530" s="54" t="s">
        <v>42</v>
      </c>
      <c r="G530" s="54" t="s">
        <v>1321</v>
      </c>
      <c r="H530" s="54" t="s">
        <v>1321</v>
      </c>
      <c r="I530" s="54">
        <f t="shared" si="24"/>
        <v>30</v>
      </c>
      <c r="J530" s="56"/>
      <c r="K530" s="75"/>
      <c r="L530" s="76"/>
      <c r="M530" s="59"/>
      <c r="N530" s="60">
        <v>445.0</v>
      </c>
      <c r="O530" s="61">
        <v>480.0</v>
      </c>
      <c r="P530" s="62">
        <v>518.4000000000001</v>
      </c>
      <c r="Q530" s="63">
        <v>518.4000000000001</v>
      </c>
      <c r="R530" s="64">
        <v>573.0</v>
      </c>
      <c r="S530" s="111">
        <v>602.0</v>
      </c>
      <c r="T530" s="65">
        <f t="shared" si="2"/>
        <v>96.32</v>
      </c>
      <c r="U530" s="65">
        <f t="shared" si="3"/>
        <v>698.32</v>
      </c>
      <c r="V530" s="66">
        <f t="shared" si="4"/>
        <v>0.05061082024</v>
      </c>
      <c r="W530" s="67">
        <f t="shared" si="5"/>
        <v>571.9</v>
      </c>
      <c r="X530" s="67">
        <f t="shared" si="6"/>
        <v>91.504</v>
      </c>
      <c r="Y530" s="67">
        <f t="shared" si="7"/>
        <v>663.404</v>
      </c>
      <c r="Z530" s="67">
        <f t="shared" si="8"/>
        <v>541.8</v>
      </c>
      <c r="AA530" s="67">
        <f t="shared" si="9"/>
        <v>86.688</v>
      </c>
      <c r="AB530" s="67">
        <f t="shared" si="10"/>
        <v>628.488</v>
      </c>
      <c r="AC530" s="67">
        <f t="shared" si="11"/>
        <v>511.7</v>
      </c>
      <c r="AD530" s="67">
        <f t="shared" si="12"/>
        <v>81.872</v>
      </c>
      <c r="AE530" s="67">
        <f t="shared" si="13"/>
        <v>593.572</v>
      </c>
      <c r="AF530" s="67">
        <f t="shared" si="14"/>
        <v>499.66</v>
      </c>
      <c r="AG530" s="67">
        <f t="shared" si="15"/>
        <v>79.9456</v>
      </c>
      <c r="AH530" s="67">
        <f t="shared" si="16"/>
        <v>579.6056</v>
      </c>
      <c r="AI530" s="67">
        <f t="shared" si="17"/>
        <v>481.6</v>
      </c>
      <c r="AJ530" s="68">
        <f t="shared" si="20"/>
        <v>77.056</v>
      </c>
      <c r="AK530" s="68">
        <f t="shared" si="21"/>
        <v>558.656</v>
      </c>
      <c r="AL530" s="70">
        <f>IFERROR(__xludf.DUMMYFUNCTION("""COMPUTED_VALUE"""),1.0)</f>
        <v>1</v>
      </c>
      <c r="AM530" s="70"/>
      <c r="AN530" s="71" t="str">
        <f>IFERROR(__xludf.DUMMYFUNCTION("""COMPUTED_VALUE""")," P")</f>
        <v>P</v>
      </c>
      <c r="AO530" s="71" t="str">
        <f>IFERROR(__xludf.DUMMYFUNCTION("""COMPUTED_VALUE""")," CX01")</f>
        <v>CX01</v>
      </c>
      <c r="AP530" s="71" t="str">
        <f>IFERROR(__xludf.DUMMYFUNCTION("""COMPUTED_VALUE""")," PZA")</f>
        <v>PZA</v>
      </c>
      <c r="AQ530" s="71" t="str">
        <f>IFERROR(__xludf.DUMMYFUNCTION("""COMPUTED_VALUE""")," REF")</f>
        <v>REF</v>
      </c>
      <c r="AR530" s="71" t="str">
        <f>IFERROR(__xludf.DUMMYFUNCTION("""COMPUTED_VALUE""")," CUBRE CADENA DÚPLEX SIN LOGO")</f>
        <v>CUBRE CADENA DÚPLEX SIN LOGO</v>
      </c>
      <c r="AS530" s="71" t="str">
        <f>IFERROR(__xludf.DUMMYFUNCTION("""COMPUTED_VALUE""")," CUBRE CADENA DPLX SIN LOGO")</f>
        <v>CUBRE CADENA DPLX SIN LOGO</v>
      </c>
      <c r="AT530" s="71">
        <f>IFERROR(__xludf.DUMMYFUNCTION("""COMPUTED_VALUE"""),26.0)</f>
        <v>26</v>
      </c>
      <c r="AU530" s="71"/>
      <c r="AV530" s="71"/>
      <c r="AW530" s="71"/>
      <c r="AX530" s="71"/>
      <c r="AY530" s="71">
        <f>IFERROR(__xludf.DUMMYFUNCTION("""COMPUTED_VALUE"""),1149.0)</f>
        <v>1149</v>
      </c>
      <c r="AZ530" s="71">
        <f>IFERROR(__xludf.DUMMYFUNCTION("""COMPUTED_VALUE"""),1240.0)</f>
        <v>1240</v>
      </c>
      <c r="BA530" s="71">
        <f>IFERROR(__xludf.DUMMYFUNCTION("""COMPUTED_VALUE"""),1339.2)</f>
        <v>1339.2</v>
      </c>
      <c r="BB530" s="71">
        <f>IFERROR(__xludf.DUMMYFUNCTION("""COMPUTED_VALUE"""),1339.2)</f>
        <v>1339.2</v>
      </c>
      <c r="BC530" s="71">
        <f>IFERROR(__xludf.DUMMYFUNCTION("""COMPUTED_VALUE"""),1491.0)</f>
        <v>1491</v>
      </c>
      <c r="BD530" s="71">
        <f>IFERROR(__xludf.DUMMYFUNCTION("""COMPUTED_VALUE"""),1566.0)</f>
        <v>1566</v>
      </c>
      <c r="BE530" s="71">
        <f>IFERROR(__xludf.DUMMYFUNCTION("""COMPUTED_VALUE"""),250.56)</f>
        <v>250.56</v>
      </c>
      <c r="BF530" s="71">
        <f>IFERROR(__xludf.DUMMYFUNCTION("""COMPUTED_VALUE"""),1816.56)</f>
        <v>1816.56</v>
      </c>
      <c r="BG530" s="71">
        <f>IFERROR(__xludf.DUMMYFUNCTION("""COMPUTED_VALUE"""),0.05030181086519115)</f>
        <v>0.05030181087</v>
      </c>
      <c r="BH530" s="71">
        <f>IFERROR(__xludf.DUMMYFUNCTION("""COMPUTED_VALUE"""),1487.6999999999998)</f>
        <v>1487.7</v>
      </c>
      <c r="BI530" s="71">
        <f>IFERROR(__xludf.DUMMYFUNCTION("""COMPUTED_VALUE"""),238.03199999999998)</f>
        <v>238.032</v>
      </c>
      <c r="BJ530" s="71">
        <f>IFERROR(__xludf.DUMMYFUNCTION("""COMPUTED_VALUE"""),1725.7319999999997)</f>
        <v>1725.732</v>
      </c>
      <c r="BK530" s="71">
        <f>IFERROR(__xludf.DUMMYFUNCTION("""COMPUTED_VALUE"""),1409.4)</f>
        <v>1409.4</v>
      </c>
      <c r="BL530" s="71">
        <f>IFERROR(__xludf.DUMMYFUNCTION("""COMPUTED_VALUE"""),225.50400000000002)</f>
        <v>225.504</v>
      </c>
      <c r="BM530" s="71">
        <f>IFERROR(__xludf.DUMMYFUNCTION("""COMPUTED_VALUE"""),1634.904)</f>
        <v>1634.904</v>
      </c>
      <c r="BN530" s="71">
        <f>IFERROR(__xludf.DUMMYFUNCTION("""COMPUTED_VALUE"""),1331.1)</f>
        <v>1331.1</v>
      </c>
      <c r="BO530" s="71">
        <f>IFERROR(__xludf.DUMMYFUNCTION("""COMPUTED_VALUE"""),212.976)</f>
        <v>212.976</v>
      </c>
      <c r="BP530" s="71">
        <f>IFERROR(__xludf.DUMMYFUNCTION("""COMPUTED_VALUE"""),1544.076)</f>
        <v>1544.076</v>
      </c>
      <c r="BQ530" s="71">
        <f>IFERROR(__xludf.DUMMYFUNCTION("""COMPUTED_VALUE"""),1299.78)</f>
        <v>1299.78</v>
      </c>
      <c r="BR530" s="71">
        <f>IFERROR(__xludf.DUMMYFUNCTION("""COMPUTED_VALUE"""),207.9648)</f>
        <v>207.9648</v>
      </c>
      <c r="BS530" s="71">
        <f>IFERROR(__xludf.DUMMYFUNCTION("""COMPUTED_VALUE"""),1507.7448)</f>
        <v>1507.7448</v>
      </c>
      <c r="BT530" s="71">
        <f>IFERROR(__xludf.DUMMYFUNCTION("""COMPUTED_VALUE"""),1252.8000000000002)</f>
        <v>1252.8</v>
      </c>
      <c r="BU530" s="71">
        <f>IFERROR(__xludf.DUMMYFUNCTION("""COMPUTED_VALUE"""),200.44800000000004)</f>
        <v>200.448</v>
      </c>
      <c r="BV530" s="71">
        <f>IFERROR(__xludf.DUMMYFUNCTION("""COMPUTED_VALUE"""),1453.2480000000003)</f>
        <v>1453.248</v>
      </c>
    </row>
    <row r="531">
      <c r="A531" s="53"/>
      <c r="B531" s="53">
        <v>4.0</v>
      </c>
      <c r="C531" s="120" t="s">
        <v>603</v>
      </c>
      <c r="D531" s="128" t="s">
        <v>1322</v>
      </c>
      <c r="E531" s="54" t="s">
        <v>38</v>
      </c>
      <c r="F531" s="54" t="s">
        <v>42</v>
      </c>
      <c r="G531" s="54" t="s">
        <v>1323</v>
      </c>
      <c r="H531" s="54" t="s">
        <v>1323</v>
      </c>
      <c r="I531" s="54">
        <f t="shared" si="24"/>
        <v>34</v>
      </c>
      <c r="J531" s="56"/>
      <c r="K531" s="57"/>
      <c r="L531" s="76"/>
      <c r="M531" s="59"/>
      <c r="N531" s="79">
        <v>186.0</v>
      </c>
      <c r="O531" s="129">
        <v>252.0</v>
      </c>
      <c r="P531" s="62">
        <v>272.16</v>
      </c>
      <c r="Q531" s="63">
        <v>272.16</v>
      </c>
      <c r="R531" s="64">
        <v>286.0</v>
      </c>
      <c r="S531" s="111">
        <v>300.0</v>
      </c>
      <c r="T531" s="65">
        <f t="shared" si="2"/>
        <v>48</v>
      </c>
      <c r="U531" s="65">
        <f t="shared" si="3"/>
        <v>348</v>
      </c>
      <c r="V531" s="66">
        <f t="shared" si="4"/>
        <v>0.04895104895</v>
      </c>
      <c r="W531" s="67">
        <f t="shared" si="5"/>
        <v>300</v>
      </c>
      <c r="X531" s="67">
        <f t="shared" si="6"/>
        <v>48</v>
      </c>
      <c r="Y531" s="67">
        <f t="shared" si="7"/>
        <v>348</v>
      </c>
      <c r="Z531" s="67">
        <f t="shared" si="8"/>
        <v>300</v>
      </c>
      <c r="AA531" s="67">
        <f t="shared" si="9"/>
        <v>48</v>
      </c>
      <c r="AB531" s="67">
        <f t="shared" si="10"/>
        <v>348</v>
      </c>
      <c r="AC531" s="67">
        <f t="shared" si="11"/>
        <v>300</v>
      </c>
      <c r="AD531" s="67">
        <f t="shared" si="12"/>
        <v>48</v>
      </c>
      <c r="AE531" s="67">
        <f t="shared" si="13"/>
        <v>348</v>
      </c>
      <c r="AF531" s="67">
        <f t="shared" si="14"/>
        <v>300</v>
      </c>
      <c r="AG531" s="67">
        <f t="shared" si="15"/>
        <v>48</v>
      </c>
      <c r="AH531" s="67">
        <f t="shared" si="16"/>
        <v>348</v>
      </c>
      <c r="AI531" s="67">
        <f t="shared" si="17"/>
        <v>300</v>
      </c>
      <c r="AJ531" s="68">
        <f t="shared" si="20"/>
        <v>48</v>
      </c>
      <c r="AK531" s="68">
        <f t="shared" si="21"/>
        <v>348</v>
      </c>
      <c r="AL531" s="70">
        <f>IFERROR(__xludf.DUMMYFUNCTION("""COMPUTED_VALUE"""),1.0)</f>
        <v>1</v>
      </c>
      <c r="AM531" s="70"/>
      <c r="AN531" s="71" t="str">
        <f>IFERROR(__xludf.DUMMYFUNCTION("""COMPUTED_VALUE""")," P")</f>
        <v>P</v>
      </c>
      <c r="AO531" s="71" t="str">
        <f>IFERROR(__xludf.DUMMYFUNCTION("""COMPUTED_VALUE""")," CX02")</f>
        <v>CX02</v>
      </c>
      <c r="AP531" s="71" t="str">
        <f>IFERROR(__xludf.DUMMYFUNCTION("""COMPUTED_VALUE""")," PZA")</f>
        <v>PZA</v>
      </c>
      <c r="AQ531" s="71" t="str">
        <f>IFERROR(__xludf.DUMMYFUNCTION("""COMPUTED_VALUE""")," REF")</f>
        <v>REF</v>
      </c>
      <c r="AR531" s="71" t="str">
        <f>IFERROR(__xludf.DUMMYFUNCTION("""COMPUTED_VALUE""")," CUBRE CADENA SENCILLO CON LOGO")</f>
        <v>CUBRE CADENA SENCILLO CON LOGO</v>
      </c>
      <c r="AS531" s="71" t="str">
        <f>IFERROR(__xludf.DUMMYFUNCTION("""COMPUTED_VALUE""")," CUBRE CADENA SENCILLO CON LOGO")</f>
        <v>CUBRE CADENA SENCILLO CON LOGO</v>
      </c>
      <c r="AT531" s="71">
        <f>IFERROR(__xludf.DUMMYFUNCTION("""COMPUTED_VALUE"""),30.0)</f>
        <v>30</v>
      </c>
      <c r="AU531" s="71"/>
      <c r="AV531" s="71"/>
      <c r="AW531" s="71"/>
      <c r="AX531" s="71"/>
      <c r="AY531" s="71">
        <f>IFERROR(__xludf.DUMMYFUNCTION("""COMPUTED_VALUE"""),1013.0)</f>
        <v>1013</v>
      </c>
      <c r="AZ531" s="71">
        <f>IFERROR(__xludf.DUMMYFUNCTION("""COMPUTED_VALUE"""),1094.0)</f>
        <v>1094</v>
      </c>
      <c r="BA531" s="71">
        <f>IFERROR(__xludf.DUMMYFUNCTION("""COMPUTED_VALUE"""),1181.52)</f>
        <v>1181.52</v>
      </c>
      <c r="BB531" s="71">
        <f>IFERROR(__xludf.DUMMYFUNCTION("""COMPUTED_VALUE"""),1181.52)</f>
        <v>1181.52</v>
      </c>
      <c r="BC531" s="71">
        <f>IFERROR(__xludf.DUMMYFUNCTION("""COMPUTED_VALUE"""),1316.0)</f>
        <v>1316</v>
      </c>
      <c r="BD531" s="71">
        <f>IFERROR(__xludf.DUMMYFUNCTION("""COMPUTED_VALUE"""),1382.0)</f>
        <v>1382</v>
      </c>
      <c r="BE531" s="71">
        <f>IFERROR(__xludf.DUMMYFUNCTION("""COMPUTED_VALUE"""),221.12)</f>
        <v>221.12</v>
      </c>
      <c r="BF531" s="71">
        <f>IFERROR(__xludf.DUMMYFUNCTION("""COMPUTED_VALUE"""),1603.12)</f>
        <v>1603.12</v>
      </c>
      <c r="BG531" s="71">
        <f>IFERROR(__xludf.DUMMYFUNCTION("""COMPUTED_VALUE"""),0.05015197568389058)</f>
        <v>0.05015197568</v>
      </c>
      <c r="BH531" s="71">
        <f>IFERROR(__xludf.DUMMYFUNCTION("""COMPUTED_VALUE"""),1312.8999999999999)</f>
        <v>1312.9</v>
      </c>
      <c r="BI531" s="71">
        <f>IFERROR(__xludf.DUMMYFUNCTION("""COMPUTED_VALUE"""),210.064)</f>
        <v>210.064</v>
      </c>
      <c r="BJ531" s="71">
        <f>IFERROR(__xludf.DUMMYFUNCTION("""COMPUTED_VALUE"""),1522.964)</f>
        <v>1522.964</v>
      </c>
      <c r="BK531" s="71">
        <f>IFERROR(__xludf.DUMMYFUNCTION("""COMPUTED_VALUE"""),1243.8)</f>
        <v>1243.8</v>
      </c>
      <c r="BL531" s="71">
        <f>IFERROR(__xludf.DUMMYFUNCTION("""COMPUTED_VALUE"""),199.008)</f>
        <v>199.008</v>
      </c>
      <c r="BM531" s="71">
        <f>IFERROR(__xludf.DUMMYFUNCTION("""COMPUTED_VALUE"""),1442.808)</f>
        <v>1442.808</v>
      </c>
      <c r="BN531" s="71">
        <f>IFERROR(__xludf.DUMMYFUNCTION("""COMPUTED_VALUE"""),1174.7)</f>
        <v>1174.7</v>
      </c>
      <c r="BO531" s="71">
        <f>IFERROR(__xludf.DUMMYFUNCTION("""COMPUTED_VALUE"""),187.952)</f>
        <v>187.952</v>
      </c>
      <c r="BP531" s="71">
        <f>IFERROR(__xludf.DUMMYFUNCTION("""COMPUTED_VALUE"""),1362.652)</f>
        <v>1362.652</v>
      </c>
      <c r="BQ531" s="71">
        <f>IFERROR(__xludf.DUMMYFUNCTION("""COMPUTED_VALUE"""),1147.06)</f>
        <v>1147.06</v>
      </c>
      <c r="BR531" s="71">
        <f>IFERROR(__xludf.DUMMYFUNCTION("""COMPUTED_VALUE"""),183.5296)</f>
        <v>183.5296</v>
      </c>
      <c r="BS531" s="71">
        <f>IFERROR(__xludf.DUMMYFUNCTION("""COMPUTED_VALUE"""),1330.5896)</f>
        <v>1330.5896</v>
      </c>
      <c r="BT531" s="71">
        <f>IFERROR(__xludf.DUMMYFUNCTION("""COMPUTED_VALUE"""),1105.6000000000001)</f>
        <v>1105.6</v>
      </c>
      <c r="BU531" s="71">
        <f>IFERROR(__xludf.DUMMYFUNCTION("""COMPUTED_VALUE"""),176.89600000000002)</f>
        <v>176.896</v>
      </c>
      <c r="BV531" s="71">
        <f>IFERROR(__xludf.DUMMYFUNCTION("""COMPUTED_VALUE"""),1282.496)</f>
        <v>1282.496</v>
      </c>
    </row>
    <row r="532">
      <c r="A532" s="53">
        <v>1.0</v>
      </c>
      <c r="B532" s="72"/>
      <c r="C532" s="120" t="s">
        <v>603</v>
      </c>
      <c r="D532" s="53" t="s">
        <v>1324</v>
      </c>
      <c r="E532" s="54" t="s">
        <v>38</v>
      </c>
      <c r="F532" s="54" t="s">
        <v>42</v>
      </c>
      <c r="G532" s="141" t="s">
        <v>1325</v>
      </c>
      <c r="H532" s="141" t="s">
        <v>1325</v>
      </c>
      <c r="I532" s="54">
        <f t="shared" si="24"/>
        <v>21</v>
      </c>
      <c r="J532" s="56"/>
      <c r="K532" s="75"/>
      <c r="L532" s="76"/>
      <c r="M532" s="59"/>
      <c r="N532" s="60"/>
      <c r="O532" s="61">
        <v>112.0</v>
      </c>
      <c r="P532" s="62">
        <v>55.0</v>
      </c>
      <c r="Q532" s="63">
        <v>55.0</v>
      </c>
      <c r="R532" s="64">
        <v>58.0</v>
      </c>
      <c r="S532" s="111">
        <v>61.0</v>
      </c>
      <c r="T532" s="65">
        <f t="shared" si="2"/>
        <v>9.76</v>
      </c>
      <c r="U532" s="65">
        <f t="shared" si="3"/>
        <v>70.76</v>
      </c>
      <c r="V532" s="66">
        <f t="shared" si="4"/>
        <v>0.05172413793</v>
      </c>
      <c r="W532" s="67">
        <f t="shared" si="5"/>
        <v>57.95</v>
      </c>
      <c r="X532" s="67">
        <f t="shared" si="6"/>
        <v>9.272</v>
      </c>
      <c r="Y532" s="67">
        <f t="shared" si="7"/>
        <v>67.222</v>
      </c>
      <c r="Z532" s="67">
        <f t="shared" si="8"/>
        <v>54.9</v>
      </c>
      <c r="AA532" s="67">
        <f t="shared" si="9"/>
        <v>8.784</v>
      </c>
      <c r="AB532" s="67">
        <f t="shared" si="10"/>
        <v>63.684</v>
      </c>
      <c r="AC532" s="67">
        <f t="shared" si="11"/>
        <v>51.85</v>
      </c>
      <c r="AD532" s="67">
        <f t="shared" si="12"/>
        <v>8.296</v>
      </c>
      <c r="AE532" s="67">
        <f t="shared" si="13"/>
        <v>60.146</v>
      </c>
      <c r="AF532" s="67">
        <f t="shared" si="14"/>
        <v>50.63</v>
      </c>
      <c r="AG532" s="67">
        <f t="shared" si="15"/>
        <v>8.1008</v>
      </c>
      <c r="AH532" s="67">
        <f t="shared" si="16"/>
        <v>58.7308</v>
      </c>
      <c r="AI532" s="67">
        <f t="shared" si="17"/>
        <v>48.8</v>
      </c>
      <c r="AJ532" s="68">
        <f t="shared" si="20"/>
        <v>7.808</v>
      </c>
      <c r="AK532" s="68">
        <f t="shared" si="21"/>
        <v>56.608</v>
      </c>
      <c r="AL532" s="70">
        <f>IFERROR(__xludf.DUMMYFUNCTION("""COMPUTED_VALUE"""),1.0)</f>
        <v>1</v>
      </c>
      <c r="AM532" s="70"/>
      <c r="AN532" s="71" t="str">
        <f>IFERROR(__xludf.DUMMYFUNCTION("""COMPUTED_VALUE""")," P")</f>
        <v>P</v>
      </c>
      <c r="AO532" s="71" t="str">
        <f>IFERROR(__xludf.DUMMYFUNCTION("""COMPUTED_VALUE""")," CX09")</f>
        <v>CX09</v>
      </c>
      <c r="AP532" s="71" t="str">
        <f>IFERROR(__xludf.DUMMYFUNCTION("""COMPUTED_VALUE""")," PZA")</f>
        <v>PZA</v>
      </c>
      <c r="AQ532" s="71" t="str">
        <f>IFERROR(__xludf.DUMMYFUNCTION("""COMPUTED_VALUE""")," REF")</f>
        <v>REF</v>
      </c>
      <c r="AR532" s="71" t="str">
        <f>IFERROR(__xludf.DUMMYFUNCTION("""COMPUTED_VALUE""")," CUBRE CADENA SENCILLO SIN LOGO")</f>
        <v>CUBRE CADENA SENCILLO SIN LOGO</v>
      </c>
      <c r="AS532" s="71" t="str">
        <f>IFERROR(__xludf.DUMMYFUNCTION("""COMPUTED_VALUE""")," CUBRE CADENA SENCILLO SIN LOGO")</f>
        <v>CUBRE CADENA SENCILLO SIN LOGO</v>
      </c>
      <c r="AT532" s="71">
        <f>IFERROR(__xludf.DUMMYFUNCTION("""COMPUTED_VALUE"""),30.0)</f>
        <v>30</v>
      </c>
      <c r="AU532" s="71"/>
      <c r="AV532" s="71"/>
      <c r="AW532" s="71"/>
      <c r="AX532" s="71"/>
      <c r="AY532" s="71">
        <f>IFERROR(__xludf.DUMMYFUNCTION("""COMPUTED_VALUE"""),1008.0)</f>
        <v>1008</v>
      </c>
      <c r="AZ532" s="71">
        <f>IFERROR(__xludf.DUMMYFUNCTION("""COMPUTED_VALUE"""),1088.0)</f>
        <v>1088</v>
      </c>
      <c r="BA532" s="71">
        <f>IFERROR(__xludf.DUMMYFUNCTION("""COMPUTED_VALUE"""),1175.04)</f>
        <v>1175.04</v>
      </c>
      <c r="BB532" s="71">
        <f>IFERROR(__xludf.DUMMYFUNCTION("""COMPUTED_VALUE"""),1175.04)</f>
        <v>1175.04</v>
      </c>
      <c r="BC532" s="71">
        <f>IFERROR(__xludf.DUMMYFUNCTION("""COMPUTED_VALUE"""),1309.0)</f>
        <v>1309</v>
      </c>
      <c r="BD532" s="71">
        <f>IFERROR(__xludf.DUMMYFUNCTION("""COMPUTED_VALUE"""),1374.0)</f>
        <v>1374</v>
      </c>
      <c r="BE532" s="71">
        <f>IFERROR(__xludf.DUMMYFUNCTION("""COMPUTED_VALUE"""),219.84)</f>
        <v>219.84</v>
      </c>
      <c r="BF532" s="71">
        <f>IFERROR(__xludf.DUMMYFUNCTION("""COMPUTED_VALUE"""),1593.84)</f>
        <v>1593.84</v>
      </c>
      <c r="BG532" s="71">
        <f>IFERROR(__xludf.DUMMYFUNCTION("""COMPUTED_VALUE"""),0.04965622612681436)</f>
        <v>0.04965622613</v>
      </c>
      <c r="BH532" s="71">
        <f>IFERROR(__xludf.DUMMYFUNCTION("""COMPUTED_VALUE"""),1305.3)</f>
        <v>1305.3</v>
      </c>
      <c r="BI532" s="71">
        <f>IFERROR(__xludf.DUMMYFUNCTION("""COMPUTED_VALUE"""),208.84799999999998)</f>
        <v>208.848</v>
      </c>
      <c r="BJ532" s="71">
        <f>IFERROR(__xludf.DUMMYFUNCTION("""COMPUTED_VALUE"""),1514.148)</f>
        <v>1514.148</v>
      </c>
      <c r="BK532" s="71">
        <f>IFERROR(__xludf.DUMMYFUNCTION("""COMPUTED_VALUE"""),1236.6000000000001)</f>
        <v>1236.6</v>
      </c>
      <c r="BL532" s="71">
        <f>IFERROR(__xludf.DUMMYFUNCTION("""COMPUTED_VALUE"""),197.85600000000002)</f>
        <v>197.856</v>
      </c>
      <c r="BM532" s="71">
        <f>IFERROR(__xludf.DUMMYFUNCTION("""COMPUTED_VALUE"""),1434.4560000000001)</f>
        <v>1434.456</v>
      </c>
      <c r="BN532" s="71">
        <f>IFERROR(__xludf.DUMMYFUNCTION("""COMPUTED_VALUE"""),1167.8999999999999)</f>
        <v>1167.9</v>
      </c>
      <c r="BO532" s="71">
        <f>IFERROR(__xludf.DUMMYFUNCTION("""COMPUTED_VALUE"""),186.86399999999998)</f>
        <v>186.864</v>
      </c>
      <c r="BP532" s="71">
        <f>IFERROR(__xludf.DUMMYFUNCTION("""COMPUTED_VALUE"""),1354.764)</f>
        <v>1354.764</v>
      </c>
      <c r="BQ532" s="71">
        <f>IFERROR(__xludf.DUMMYFUNCTION("""COMPUTED_VALUE"""),1140.4199999999998)</f>
        <v>1140.42</v>
      </c>
      <c r="BR532" s="71">
        <f>IFERROR(__xludf.DUMMYFUNCTION("""COMPUTED_VALUE"""),182.4672)</f>
        <v>182.4672</v>
      </c>
      <c r="BS532" s="71">
        <f>IFERROR(__xludf.DUMMYFUNCTION("""COMPUTED_VALUE"""),1322.8872)</f>
        <v>1322.8872</v>
      </c>
      <c r="BT532" s="71">
        <f>IFERROR(__xludf.DUMMYFUNCTION("""COMPUTED_VALUE"""),1099.2)</f>
        <v>1099.2</v>
      </c>
      <c r="BU532" s="71">
        <f>IFERROR(__xludf.DUMMYFUNCTION("""COMPUTED_VALUE"""),175.872)</f>
        <v>175.872</v>
      </c>
      <c r="BV532" s="71">
        <f>IFERROR(__xludf.DUMMYFUNCTION("""COMPUTED_VALUE"""),1275.0720000000001)</f>
        <v>1275.072</v>
      </c>
    </row>
    <row r="533">
      <c r="A533" s="53">
        <v>1.0</v>
      </c>
      <c r="B533" s="72"/>
      <c r="C533" s="120" t="s">
        <v>603</v>
      </c>
      <c r="D533" s="74" t="s">
        <v>1326</v>
      </c>
      <c r="E533" s="54" t="s">
        <v>38</v>
      </c>
      <c r="F533" s="54" t="s">
        <v>42</v>
      </c>
      <c r="G533" s="141" t="s">
        <v>1327</v>
      </c>
      <c r="H533" s="141" t="s">
        <v>1327</v>
      </c>
      <c r="I533" s="54">
        <f t="shared" si="24"/>
        <v>27</v>
      </c>
      <c r="J533" s="56"/>
      <c r="K533" s="75"/>
      <c r="L533" s="76"/>
      <c r="M533" s="59"/>
      <c r="N533" s="60">
        <v>110.0</v>
      </c>
      <c r="O533" s="61">
        <v>118.0</v>
      </c>
      <c r="P533" s="62">
        <v>70.0</v>
      </c>
      <c r="Q533" s="63">
        <v>70.0</v>
      </c>
      <c r="R533" s="64">
        <v>87.0</v>
      </c>
      <c r="S533" s="111">
        <v>91.0</v>
      </c>
      <c r="T533" s="65">
        <f t="shared" si="2"/>
        <v>14.56</v>
      </c>
      <c r="U533" s="65">
        <f t="shared" si="3"/>
        <v>105.56</v>
      </c>
      <c r="V533" s="66">
        <f t="shared" si="4"/>
        <v>0.04597701149</v>
      </c>
      <c r="W533" s="67">
        <f t="shared" si="5"/>
        <v>86.45</v>
      </c>
      <c r="X533" s="67">
        <f t="shared" si="6"/>
        <v>13.832</v>
      </c>
      <c r="Y533" s="67">
        <f t="shared" si="7"/>
        <v>100.282</v>
      </c>
      <c r="Z533" s="67">
        <f t="shared" si="8"/>
        <v>81.9</v>
      </c>
      <c r="AA533" s="67">
        <f t="shared" si="9"/>
        <v>13.104</v>
      </c>
      <c r="AB533" s="67">
        <f t="shared" si="10"/>
        <v>95.004</v>
      </c>
      <c r="AC533" s="67">
        <f t="shared" si="11"/>
        <v>77.35</v>
      </c>
      <c r="AD533" s="67">
        <f t="shared" si="12"/>
        <v>12.376</v>
      </c>
      <c r="AE533" s="67">
        <f t="shared" si="13"/>
        <v>89.726</v>
      </c>
      <c r="AF533" s="67">
        <f t="shared" si="14"/>
        <v>75.53</v>
      </c>
      <c r="AG533" s="67">
        <f t="shared" si="15"/>
        <v>12.0848</v>
      </c>
      <c r="AH533" s="67">
        <f t="shared" si="16"/>
        <v>87.6148</v>
      </c>
      <c r="AI533" s="67">
        <f t="shared" si="17"/>
        <v>72.8</v>
      </c>
      <c r="AJ533" s="68">
        <f t="shared" si="20"/>
        <v>11.648</v>
      </c>
      <c r="AK533" s="68">
        <f t="shared" si="21"/>
        <v>84.448</v>
      </c>
      <c r="AL533" s="70">
        <f>IFERROR(__xludf.DUMMYFUNCTION("""COMPUTED_VALUE"""),1.0)</f>
        <v>1</v>
      </c>
      <c r="AM533" s="70"/>
      <c r="AN533" s="71" t="str">
        <f>IFERROR(__xludf.DUMMYFUNCTION("""COMPUTED_VALUE""")," P")</f>
        <v>P</v>
      </c>
      <c r="AO533" s="71" t="str">
        <f>IFERROR(__xludf.DUMMYFUNCTION("""COMPUTED_VALUE""")," CX03")</f>
        <v>CX03</v>
      </c>
      <c r="AP533" s="71" t="str">
        <f>IFERROR(__xludf.DUMMYFUNCTION("""COMPUTED_VALUE""")," PZA")</f>
        <v>PZA</v>
      </c>
      <c r="AQ533" s="71" t="str">
        <f>IFERROR(__xludf.DUMMYFUNCTION("""COMPUTED_VALUE""")," REF")</f>
        <v>REF</v>
      </c>
      <c r="AR533" s="71" t="str">
        <f>IFERROR(__xludf.DUMMYFUNCTION("""COMPUTED_VALUE""")," CUBRE CLUTCH INOXIDABLE")</f>
        <v>CUBRE CLUTCH INOXIDABLE</v>
      </c>
      <c r="AS533" s="71" t="str">
        <f>IFERROR(__xludf.DUMMYFUNCTION("""COMPUTED_VALUE""")," CUBRE CLUTCH INOXIDABLE")</f>
        <v>CUBRE CLUTCH INOXIDABLE</v>
      </c>
      <c r="AT533" s="71">
        <f>IFERROR(__xludf.DUMMYFUNCTION("""COMPUTED_VALUE"""),23.0)</f>
        <v>23</v>
      </c>
      <c r="AU533" s="71"/>
      <c r="AV533" s="71"/>
      <c r="AW533" s="71"/>
      <c r="AX533" s="71"/>
      <c r="AY533" s="71">
        <f>IFERROR(__xludf.DUMMYFUNCTION("""COMPUTED_VALUE"""),218.0)</f>
        <v>218</v>
      </c>
      <c r="AZ533" s="71">
        <f>IFERROR(__xludf.DUMMYFUNCTION("""COMPUTED_VALUE"""),235.0)</f>
        <v>235</v>
      </c>
      <c r="BA533" s="71">
        <f>IFERROR(__xludf.DUMMYFUNCTION("""COMPUTED_VALUE"""),253.8)</f>
        <v>253.8</v>
      </c>
      <c r="BB533" s="71">
        <f>IFERROR(__xludf.DUMMYFUNCTION("""COMPUTED_VALUE"""),253.8)</f>
        <v>253.8</v>
      </c>
      <c r="BC533" s="71">
        <f>IFERROR(__xludf.DUMMYFUNCTION("""COMPUTED_VALUE"""),284.0)</f>
        <v>284</v>
      </c>
      <c r="BD533" s="71">
        <f>IFERROR(__xludf.DUMMYFUNCTION("""COMPUTED_VALUE"""),298.0)</f>
        <v>298</v>
      </c>
      <c r="BE533" s="71">
        <f>IFERROR(__xludf.DUMMYFUNCTION("""COMPUTED_VALUE"""),47.68)</f>
        <v>47.68</v>
      </c>
      <c r="BF533" s="71">
        <f>IFERROR(__xludf.DUMMYFUNCTION("""COMPUTED_VALUE"""),345.68)</f>
        <v>345.68</v>
      </c>
      <c r="BG533" s="71">
        <f>IFERROR(__xludf.DUMMYFUNCTION("""COMPUTED_VALUE"""),0.04929577464788732)</f>
        <v>0.04929577465</v>
      </c>
      <c r="BH533" s="71">
        <f>IFERROR(__xludf.DUMMYFUNCTION("""COMPUTED_VALUE"""),283.09999999999997)</f>
        <v>283.1</v>
      </c>
      <c r="BI533" s="71">
        <f>IFERROR(__xludf.DUMMYFUNCTION("""COMPUTED_VALUE"""),45.29599999999999)</f>
        <v>45.296</v>
      </c>
      <c r="BJ533" s="71">
        <f>IFERROR(__xludf.DUMMYFUNCTION("""COMPUTED_VALUE"""),328.39599999999996)</f>
        <v>328.396</v>
      </c>
      <c r="BK533" s="71">
        <f>IFERROR(__xludf.DUMMYFUNCTION("""COMPUTED_VALUE"""),268.2)</f>
        <v>268.2</v>
      </c>
      <c r="BL533" s="71">
        <f>IFERROR(__xludf.DUMMYFUNCTION("""COMPUTED_VALUE"""),42.912)</f>
        <v>42.912</v>
      </c>
      <c r="BM533" s="71">
        <f>IFERROR(__xludf.DUMMYFUNCTION("""COMPUTED_VALUE"""),311.11199999999997)</f>
        <v>311.112</v>
      </c>
      <c r="BN533" s="71">
        <f>IFERROR(__xludf.DUMMYFUNCTION("""COMPUTED_VALUE"""),253.29999999999998)</f>
        <v>253.3</v>
      </c>
      <c r="BO533" s="71">
        <f>IFERROR(__xludf.DUMMYFUNCTION("""COMPUTED_VALUE"""),40.528)</f>
        <v>40.528</v>
      </c>
      <c r="BP533" s="71">
        <f>IFERROR(__xludf.DUMMYFUNCTION("""COMPUTED_VALUE"""),293.828)</f>
        <v>293.828</v>
      </c>
      <c r="BQ533" s="71">
        <f>IFERROR(__xludf.DUMMYFUNCTION("""COMPUTED_VALUE"""),247.33999999999997)</f>
        <v>247.34</v>
      </c>
      <c r="BR533" s="71">
        <f>IFERROR(__xludf.DUMMYFUNCTION("""COMPUTED_VALUE"""),39.5744)</f>
        <v>39.5744</v>
      </c>
      <c r="BS533" s="71">
        <f>IFERROR(__xludf.DUMMYFUNCTION("""COMPUTED_VALUE"""),286.9144)</f>
        <v>286.9144</v>
      </c>
      <c r="BT533" s="71">
        <f>IFERROR(__xludf.DUMMYFUNCTION("""COMPUTED_VALUE"""),238.4)</f>
        <v>238.4</v>
      </c>
      <c r="BU533" s="71">
        <f>IFERROR(__xludf.DUMMYFUNCTION("""COMPUTED_VALUE"""),38.144)</f>
        <v>38.144</v>
      </c>
      <c r="BV533" s="71">
        <f>IFERROR(__xludf.DUMMYFUNCTION("""COMPUTED_VALUE"""),276.544)</f>
        <v>276.544</v>
      </c>
    </row>
    <row r="534">
      <c r="A534" s="53">
        <v>1.0</v>
      </c>
      <c r="B534" s="53"/>
      <c r="C534" s="53" t="s">
        <v>36</v>
      </c>
      <c r="D534" s="85" t="s">
        <v>1328</v>
      </c>
      <c r="E534" s="54" t="s">
        <v>38</v>
      </c>
      <c r="F534" s="55" t="s">
        <v>39</v>
      </c>
      <c r="G534" s="142" t="s">
        <v>1329</v>
      </c>
      <c r="H534" s="142" t="s">
        <v>1329</v>
      </c>
      <c r="I534" s="54">
        <f t="shared" si="24"/>
        <v>21</v>
      </c>
      <c r="J534" s="56"/>
      <c r="K534" s="75"/>
      <c r="L534" s="76"/>
      <c r="M534" s="59"/>
      <c r="N534" s="60"/>
      <c r="O534" s="61">
        <v>295.68</v>
      </c>
      <c r="P534" s="62">
        <v>60.0</v>
      </c>
      <c r="Q534" s="63">
        <v>60.0</v>
      </c>
      <c r="R534" s="64">
        <v>63.0</v>
      </c>
      <c r="S534" s="107">
        <v>66.0</v>
      </c>
      <c r="T534" s="65">
        <f t="shared" si="2"/>
        <v>10.56</v>
      </c>
      <c r="U534" s="65">
        <f t="shared" si="3"/>
        <v>76.56</v>
      </c>
      <c r="V534" s="66">
        <f t="shared" si="4"/>
        <v>0.04761904762</v>
      </c>
      <c r="W534" s="67">
        <f t="shared" si="5"/>
        <v>62.7</v>
      </c>
      <c r="X534" s="67">
        <f t="shared" si="6"/>
        <v>10.032</v>
      </c>
      <c r="Y534" s="67">
        <f t="shared" si="7"/>
        <v>72.732</v>
      </c>
      <c r="Z534" s="67">
        <f t="shared" si="8"/>
        <v>59.4</v>
      </c>
      <c r="AA534" s="67">
        <f t="shared" si="9"/>
        <v>9.504</v>
      </c>
      <c r="AB534" s="67">
        <f t="shared" si="10"/>
        <v>68.904</v>
      </c>
      <c r="AC534" s="67">
        <f t="shared" si="11"/>
        <v>56.1</v>
      </c>
      <c r="AD534" s="67">
        <f t="shared" si="12"/>
        <v>8.976</v>
      </c>
      <c r="AE534" s="67">
        <f t="shared" si="13"/>
        <v>65.076</v>
      </c>
      <c r="AF534" s="67">
        <f t="shared" si="14"/>
        <v>54.78</v>
      </c>
      <c r="AG534" s="67">
        <f t="shared" si="15"/>
        <v>8.7648</v>
      </c>
      <c r="AH534" s="67">
        <f t="shared" si="16"/>
        <v>63.5448</v>
      </c>
      <c r="AI534" s="67">
        <f t="shared" si="17"/>
        <v>52.8</v>
      </c>
      <c r="AJ534" s="68">
        <f t="shared" si="20"/>
        <v>8.448</v>
      </c>
      <c r="AK534" s="68">
        <f t="shared" si="21"/>
        <v>61.248</v>
      </c>
      <c r="AL534" s="70">
        <f>IFERROR(__xludf.DUMMYFUNCTION("""COMPUTED_VALUE"""),1.0)</f>
        <v>1</v>
      </c>
      <c r="AM534" s="70"/>
      <c r="AN534" s="71" t="str">
        <f>IFERROR(__xludf.DUMMYFUNCTION("""COMPUTED_VALUE""")," P")</f>
        <v>P</v>
      </c>
      <c r="AO534" s="71" t="str">
        <f>IFERROR(__xludf.DUMMYFUNCTION("""COMPUTED_VALUE""")," CX07")</f>
        <v>CX07</v>
      </c>
      <c r="AP534" s="71" t="str">
        <f>IFERROR(__xludf.DUMMYFUNCTION("""COMPUTED_VALUE""")," PZA")</f>
        <v>PZA</v>
      </c>
      <c r="AQ534" s="71" t="str">
        <f>IFERROR(__xludf.DUMMYFUNCTION("""COMPUTED_VALUE""")," REF")</f>
        <v>REF</v>
      </c>
      <c r="AR534" s="71" t="str">
        <f>IFERROR(__xludf.DUMMYFUNCTION("""COMPUTED_VALUE""")," CUBRE ENGRANE SENCILLO FIERRO")</f>
        <v>CUBRE ENGRANE SENCILLO FIERRO</v>
      </c>
      <c r="AS534" s="71" t="str">
        <f>IFERROR(__xludf.DUMMYFUNCTION("""COMPUTED_VALUE""")," CUBRE ENGRANE SENCILLO FIERRO")</f>
        <v>CUBRE ENGRANE SENCILLO FIERRO</v>
      </c>
      <c r="AT534" s="71">
        <f>IFERROR(__xludf.DUMMYFUNCTION("""COMPUTED_VALUE"""),29.0)</f>
        <v>29</v>
      </c>
      <c r="AU534" s="71"/>
      <c r="AV534" s="71"/>
      <c r="AW534" s="71"/>
      <c r="AX534" s="71"/>
      <c r="AY534" s="71">
        <f>IFERROR(__xludf.DUMMYFUNCTION("""COMPUTED_VALUE"""),114.0)</f>
        <v>114</v>
      </c>
      <c r="AZ534" s="71">
        <f>IFERROR(__xludf.DUMMYFUNCTION("""COMPUTED_VALUE"""),123.0)</f>
        <v>123</v>
      </c>
      <c r="BA534" s="71">
        <f>IFERROR(__xludf.DUMMYFUNCTION("""COMPUTED_VALUE"""),132.84)</f>
        <v>132.84</v>
      </c>
      <c r="BB534" s="71">
        <f>IFERROR(__xludf.DUMMYFUNCTION("""COMPUTED_VALUE"""),132.84)</f>
        <v>132.84</v>
      </c>
      <c r="BC534" s="71">
        <f>IFERROR(__xludf.DUMMYFUNCTION("""COMPUTED_VALUE"""),149.0)</f>
        <v>149</v>
      </c>
      <c r="BD534" s="71">
        <f>IFERROR(__xludf.DUMMYFUNCTION("""COMPUTED_VALUE"""),156.0)</f>
        <v>156</v>
      </c>
      <c r="BE534" s="71">
        <f>IFERROR(__xludf.DUMMYFUNCTION("""COMPUTED_VALUE"""),24.96)</f>
        <v>24.96</v>
      </c>
      <c r="BF534" s="71">
        <f>IFERROR(__xludf.DUMMYFUNCTION("""COMPUTED_VALUE"""),180.96)</f>
        <v>180.96</v>
      </c>
      <c r="BG534" s="71">
        <f>IFERROR(__xludf.DUMMYFUNCTION("""COMPUTED_VALUE"""),0.04697986577181208)</f>
        <v>0.04697986577</v>
      </c>
      <c r="BH534" s="71">
        <f>IFERROR(__xludf.DUMMYFUNCTION("""COMPUTED_VALUE"""),148.2)</f>
        <v>148.2</v>
      </c>
      <c r="BI534" s="71">
        <f>IFERROR(__xludf.DUMMYFUNCTION("""COMPUTED_VALUE"""),23.712)</f>
        <v>23.712</v>
      </c>
      <c r="BJ534" s="71">
        <f>IFERROR(__xludf.DUMMYFUNCTION("""COMPUTED_VALUE"""),171.91199999999998)</f>
        <v>171.912</v>
      </c>
      <c r="BK534" s="71">
        <f>IFERROR(__xludf.DUMMYFUNCTION("""COMPUTED_VALUE"""),140.4)</f>
        <v>140.4</v>
      </c>
      <c r="BL534" s="71">
        <f>IFERROR(__xludf.DUMMYFUNCTION("""COMPUTED_VALUE"""),22.464000000000002)</f>
        <v>22.464</v>
      </c>
      <c r="BM534" s="71">
        <f>IFERROR(__xludf.DUMMYFUNCTION("""COMPUTED_VALUE"""),162.864)</f>
        <v>162.864</v>
      </c>
      <c r="BN534" s="71">
        <f>IFERROR(__xludf.DUMMYFUNCTION("""COMPUTED_VALUE"""),132.6)</f>
        <v>132.6</v>
      </c>
      <c r="BO534" s="71">
        <f>IFERROR(__xludf.DUMMYFUNCTION("""COMPUTED_VALUE"""),21.216)</f>
        <v>21.216</v>
      </c>
      <c r="BP534" s="71">
        <f>IFERROR(__xludf.DUMMYFUNCTION("""COMPUTED_VALUE"""),153.816)</f>
        <v>153.816</v>
      </c>
      <c r="BQ534" s="71">
        <f>IFERROR(__xludf.DUMMYFUNCTION("""COMPUTED_VALUE"""),129.48)</f>
        <v>129.48</v>
      </c>
      <c r="BR534" s="71">
        <f>IFERROR(__xludf.DUMMYFUNCTION("""COMPUTED_VALUE"""),20.7168)</f>
        <v>20.7168</v>
      </c>
      <c r="BS534" s="71">
        <f>IFERROR(__xludf.DUMMYFUNCTION("""COMPUTED_VALUE"""),150.1968)</f>
        <v>150.1968</v>
      </c>
      <c r="BT534" s="71">
        <f>IFERROR(__xludf.DUMMYFUNCTION("""COMPUTED_VALUE"""),124.80000000000001)</f>
        <v>124.8</v>
      </c>
      <c r="BU534" s="71">
        <f>IFERROR(__xludf.DUMMYFUNCTION("""COMPUTED_VALUE"""),19.968000000000004)</f>
        <v>19.968</v>
      </c>
      <c r="BV534" s="71">
        <f>IFERROR(__xludf.DUMMYFUNCTION("""COMPUTED_VALUE"""),144.76800000000003)</f>
        <v>144.768</v>
      </c>
    </row>
    <row r="535">
      <c r="A535" s="53">
        <v>1.0</v>
      </c>
      <c r="B535" s="53"/>
      <c r="C535" s="53" t="s">
        <v>36</v>
      </c>
      <c r="D535" s="85" t="s">
        <v>1330</v>
      </c>
      <c r="E535" s="54" t="s">
        <v>38</v>
      </c>
      <c r="F535" s="55" t="s">
        <v>39</v>
      </c>
      <c r="G535" s="142" t="s">
        <v>1331</v>
      </c>
      <c r="H535" s="142" t="s">
        <v>1331</v>
      </c>
      <c r="I535" s="54">
        <f t="shared" si="24"/>
        <v>29</v>
      </c>
      <c r="J535" s="56"/>
      <c r="K535" s="75"/>
      <c r="L535" s="76"/>
      <c r="M535" s="59"/>
      <c r="N535" s="60"/>
      <c r="O535" s="61">
        <v>280.8</v>
      </c>
      <c r="P535" s="62">
        <v>65.0</v>
      </c>
      <c r="Q535" s="63">
        <v>65.0</v>
      </c>
      <c r="R535" s="64">
        <v>69.0</v>
      </c>
      <c r="S535" s="107">
        <v>72.0</v>
      </c>
      <c r="T535" s="65">
        <f t="shared" si="2"/>
        <v>11.52</v>
      </c>
      <c r="U535" s="65">
        <f t="shared" si="3"/>
        <v>83.52</v>
      </c>
      <c r="V535" s="66">
        <f t="shared" si="4"/>
        <v>0.04347826087</v>
      </c>
      <c r="W535" s="67">
        <f t="shared" si="5"/>
        <v>68.4</v>
      </c>
      <c r="X535" s="67">
        <f t="shared" si="6"/>
        <v>10.944</v>
      </c>
      <c r="Y535" s="67">
        <f t="shared" si="7"/>
        <v>79.344</v>
      </c>
      <c r="Z535" s="67">
        <f t="shared" si="8"/>
        <v>64.8</v>
      </c>
      <c r="AA535" s="67">
        <f t="shared" si="9"/>
        <v>10.368</v>
      </c>
      <c r="AB535" s="67">
        <f t="shared" si="10"/>
        <v>75.168</v>
      </c>
      <c r="AC535" s="67">
        <f t="shared" si="11"/>
        <v>61.2</v>
      </c>
      <c r="AD535" s="67">
        <f t="shared" si="12"/>
        <v>9.792</v>
      </c>
      <c r="AE535" s="67">
        <f t="shared" si="13"/>
        <v>70.992</v>
      </c>
      <c r="AF535" s="67">
        <f t="shared" si="14"/>
        <v>59.76</v>
      </c>
      <c r="AG535" s="67">
        <f t="shared" si="15"/>
        <v>9.5616</v>
      </c>
      <c r="AH535" s="67">
        <f t="shared" si="16"/>
        <v>69.3216</v>
      </c>
      <c r="AI535" s="67">
        <f t="shared" si="17"/>
        <v>57.6</v>
      </c>
      <c r="AJ535" s="68">
        <f t="shared" si="20"/>
        <v>9.216</v>
      </c>
      <c r="AK535" s="68">
        <f t="shared" si="21"/>
        <v>66.816</v>
      </c>
      <c r="AL535" s="70">
        <f>IFERROR(__xludf.DUMMYFUNCTION("""COMPUTED_VALUE"""),1.0)</f>
        <v>1</v>
      </c>
      <c r="AM535" s="70"/>
      <c r="AN535" s="71" t="str">
        <f>IFERROR(__xludf.DUMMYFUNCTION("""COMPUTED_VALUE""")," P")</f>
        <v>P</v>
      </c>
      <c r="AO535" s="71" t="str">
        <f>IFERROR(__xludf.DUMMYFUNCTION("""COMPUTED_VALUE""")," CX08")</f>
        <v>CX08</v>
      </c>
      <c r="AP535" s="71" t="str">
        <f>IFERROR(__xludf.DUMMYFUNCTION("""COMPUTED_VALUE""")," PZA")</f>
        <v>PZA</v>
      </c>
      <c r="AQ535" s="71" t="str">
        <f>IFERROR(__xludf.DUMMYFUNCTION("""COMPUTED_VALUE""")," REF")</f>
        <v>REF</v>
      </c>
      <c r="AR535" s="71" t="str">
        <f>IFERROR(__xludf.DUMMYFUNCTION("""COMPUTED_VALUE""")," CUBRE LEVA INOXIDABLE")</f>
        <v>CUBRE LEVA INOXIDABLE</v>
      </c>
      <c r="AS535" s="71" t="str">
        <f>IFERROR(__xludf.DUMMYFUNCTION("""COMPUTED_VALUE""")," CUBRE LEVA INOXIDABLE")</f>
        <v>CUBRE LEVA INOXIDABLE</v>
      </c>
      <c r="AT535" s="71">
        <f>IFERROR(__xludf.DUMMYFUNCTION("""COMPUTED_VALUE"""),21.0)</f>
        <v>21</v>
      </c>
      <c r="AU535" s="71"/>
      <c r="AV535" s="71"/>
      <c r="AW535" s="71"/>
      <c r="AX535" s="71"/>
      <c r="AY535" s="71">
        <f>IFERROR(__xludf.DUMMYFUNCTION("""COMPUTED_VALUE"""),221.0)</f>
        <v>221</v>
      </c>
      <c r="AZ535" s="71">
        <f>IFERROR(__xludf.DUMMYFUNCTION("""COMPUTED_VALUE"""),238.0)</f>
        <v>238</v>
      </c>
      <c r="BA535" s="71">
        <f>IFERROR(__xludf.DUMMYFUNCTION("""COMPUTED_VALUE"""),257.04)</f>
        <v>257.04</v>
      </c>
      <c r="BB535" s="71">
        <f>IFERROR(__xludf.DUMMYFUNCTION("""COMPUTED_VALUE"""),257.04)</f>
        <v>257.04</v>
      </c>
      <c r="BC535" s="71">
        <f>IFERROR(__xludf.DUMMYFUNCTION("""COMPUTED_VALUE"""),287.0)</f>
        <v>287</v>
      </c>
      <c r="BD535" s="71">
        <f>IFERROR(__xludf.DUMMYFUNCTION("""COMPUTED_VALUE"""),301.0)</f>
        <v>301</v>
      </c>
      <c r="BE535" s="71">
        <f>IFERROR(__xludf.DUMMYFUNCTION("""COMPUTED_VALUE"""),48.160000000000004)</f>
        <v>48.16</v>
      </c>
      <c r="BF535" s="71">
        <f>IFERROR(__xludf.DUMMYFUNCTION("""COMPUTED_VALUE"""),349.16)</f>
        <v>349.16</v>
      </c>
      <c r="BG535" s="71">
        <f>IFERROR(__xludf.DUMMYFUNCTION("""COMPUTED_VALUE"""),0.04878048780487805)</f>
        <v>0.0487804878</v>
      </c>
      <c r="BH535" s="71">
        <f>IFERROR(__xludf.DUMMYFUNCTION("""COMPUTED_VALUE"""),285.95)</f>
        <v>285.95</v>
      </c>
      <c r="BI535" s="71">
        <f>IFERROR(__xludf.DUMMYFUNCTION("""COMPUTED_VALUE"""),45.752)</f>
        <v>45.752</v>
      </c>
      <c r="BJ535" s="71">
        <f>IFERROR(__xludf.DUMMYFUNCTION("""COMPUTED_VALUE"""),331.702)</f>
        <v>331.702</v>
      </c>
      <c r="BK535" s="71">
        <f>IFERROR(__xludf.DUMMYFUNCTION("""COMPUTED_VALUE"""),270.90000000000003)</f>
        <v>270.9</v>
      </c>
      <c r="BL535" s="71">
        <f>IFERROR(__xludf.DUMMYFUNCTION("""COMPUTED_VALUE"""),43.34400000000001)</f>
        <v>43.344</v>
      </c>
      <c r="BM535" s="71">
        <f>IFERROR(__xludf.DUMMYFUNCTION("""COMPUTED_VALUE"""),314.244)</f>
        <v>314.244</v>
      </c>
      <c r="BN535" s="71">
        <f>IFERROR(__xludf.DUMMYFUNCTION("""COMPUTED_VALUE"""),255.85)</f>
        <v>255.85</v>
      </c>
      <c r="BO535" s="71">
        <f>IFERROR(__xludf.DUMMYFUNCTION("""COMPUTED_VALUE"""),40.936)</f>
        <v>40.936</v>
      </c>
      <c r="BP535" s="71">
        <f>IFERROR(__xludf.DUMMYFUNCTION("""COMPUTED_VALUE"""),296.786)</f>
        <v>296.786</v>
      </c>
      <c r="BQ535" s="71">
        <f>IFERROR(__xludf.DUMMYFUNCTION("""COMPUTED_VALUE"""),249.82999999999998)</f>
        <v>249.83</v>
      </c>
      <c r="BR535" s="71">
        <f>IFERROR(__xludf.DUMMYFUNCTION("""COMPUTED_VALUE"""),39.9728)</f>
        <v>39.9728</v>
      </c>
      <c r="BS535" s="71">
        <f>IFERROR(__xludf.DUMMYFUNCTION("""COMPUTED_VALUE"""),289.8028)</f>
        <v>289.8028</v>
      </c>
      <c r="BT535" s="71">
        <f>IFERROR(__xludf.DUMMYFUNCTION("""COMPUTED_VALUE"""),240.8)</f>
        <v>240.8</v>
      </c>
      <c r="BU535" s="71">
        <f>IFERROR(__xludf.DUMMYFUNCTION("""COMPUTED_VALUE"""),38.528000000000006)</f>
        <v>38.528</v>
      </c>
      <c r="BV535" s="71">
        <f>IFERROR(__xludf.DUMMYFUNCTION("""COMPUTED_VALUE"""),279.32800000000003)</f>
        <v>279.328</v>
      </c>
    </row>
    <row r="536">
      <c r="A536" s="53">
        <v>1.0</v>
      </c>
      <c r="B536" s="72"/>
      <c r="C536" s="120" t="s">
        <v>12</v>
      </c>
      <c r="D536" s="53" t="s">
        <v>1332</v>
      </c>
      <c r="E536" s="54" t="s">
        <v>38</v>
      </c>
      <c r="F536" s="54" t="s">
        <v>42</v>
      </c>
      <c r="G536" s="141" t="s">
        <v>1333</v>
      </c>
      <c r="H536" s="141" t="s">
        <v>1333</v>
      </c>
      <c r="I536" s="54">
        <f t="shared" si="24"/>
        <v>25</v>
      </c>
      <c r="J536" s="56"/>
      <c r="K536" s="75"/>
      <c r="L536" s="76"/>
      <c r="M536" s="59"/>
      <c r="N536" s="60"/>
      <c r="O536" s="61">
        <v>138.0</v>
      </c>
      <c r="P536" s="62">
        <v>65.0</v>
      </c>
      <c r="Q536" s="63">
        <v>65.0</v>
      </c>
      <c r="R536" s="64">
        <v>71.0</v>
      </c>
      <c r="S536" s="111">
        <v>75.0</v>
      </c>
      <c r="T536" s="65">
        <f t="shared" si="2"/>
        <v>12</v>
      </c>
      <c r="U536" s="65">
        <f t="shared" si="3"/>
        <v>87</v>
      </c>
      <c r="V536" s="66">
        <f t="shared" si="4"/>
        <v>0.05633802817</v>
      </c>
      <c r="W536" s="67">
        <f t="shared" si="5"/>
        <v>71.25</v>
      </c>
      <c r="X536" s="67">
        <f t="shared" si="6"/>
        <v>11.4</v>
      </c>
      <c r="Y536" s="67">
        <f t="shared" si="7"/>
        <v>82.65</v>
      </c>
      <c r="Z536" s="67">
        <f t="shared" si="8"/>
        <v>67.5</v>
      </c>
      <c r="AA536" s="67">
        <f t="shared" si="9"/>
        <v>10.8</v>
      </c>
      <c r="AB536" s="67">
        <f t="shared" si="10"/>
        <v>78.3</v>
      </c>
      <c r="AC536" s="67">
        <f t="shared" si="11"/>
        <v>63.75</v>
      </c>
      <c r="AD536" s="67">
        <f t="shared" si="12"/>
        <v>10.2</v>
      </c>
      <c r="AE536" s="67">
        <f t="shared" si="13"/>
        <v>73.95</v>
      </c>
      <c r="AF536" s="67">
        <f t="shared" si="14"/>
        <v>62.25</v>
      </c>
      <c r="AG536" s="67">
        <f t="shared" si="15"/>
        <v>9.96</v>
      </c>
      <c r="AH536" s="67">
        <f t="shared" si="16"/>
        <v>72.21</v>
      </c>
      <c r="AI536" s="67">
        <f t="shared" si="17"/>
        <v>60</v>
      </c>
      <c r="AJ536" s="68">
        <f t="shared" si="20"/>
        <v>9.6</v>
      </c>
      <c r="AK536" s="68">
        <f t="shared" si="21"/>
        <v>69.6</v>
      </c>
      <c r="AL536" s="70">
        <f>IFERROR(__xludf.DUMMYFUNCTION("""COMPUTED_VALUE"""),1.0)</f>
        <v>1</v>
      </c>
      <c r="AM536" s="70"/>
      <c r="AN536" s="71" t="str">
        <f>IFERROR(__xludf.DUMMYFUNCTION("""COMPUTED_VALUE""")," P")</f>
        <v>P</v>
      </c>
      <c r="AO536" s="71" t="str">
        <f>IFERROR(__xludf.DUMMYFUNCTION("""COMPUTED_VALUE""")," CX11")</f>
        <v>CX11</v>
      </c>
      <c r="AP536" s="71" t="str">
        <f>IFERROR(__xludf.DUMMYFUNCTION("""COMPUTED_VALUE""")," PZA")</f>
        <v>PZA</v>
      </c>
      <c r="AQ536" s="71" t="str">
        <f>IFERROR(__xludf.DUMMYFUNCTION("""COMPUTED_VALUE""")," REF")</f>
        <v>REF</v>
      </c>
      <c r="AR536" s="71" t="str">
        <f>IFERROR(__xludf.DUMMYFUNCTION("""COMPUTED_VALUE""")," CUBRE LEVA TIPO PUEBLA INOXIDABLE")</f>
        <v>CUBRE LEVA TIPO PUEBLA INOXIDABLE</v>
      </c>
      <c r="AS536" s="71" t="str">
        <f>IFERROR(__xludf.DUMMYFUNCTION("""COMPUTED_VALUE""")," CUBRE LEVA TIPO PUEBLA INOXIDABLE")</f>
        <v>CUBRE LEVA TIPO PUEBLA INOXIDABLE</v>
      </c>
      <c r="AT536" s="71">
        <f>IFERROR(__xludf.DUMMYFUNCTION("""COMPUTED_VALUE"""),33.0)</f>
        <v>33</v>
      </c>
      <c r="AU536" s="71"/>
      <c r="AV536" s="71"/>
      <c r="AW536" s="71"/>
      <c r="AX536" s="71"/>
      <c r="AY536" s="71">
        <f>IFERROR(__xludf.DUMMYFUNCTION("""COMPUTED_VALUE"""),326.0)</f>
        <v>326</v>
      </c>
      <c r="AZ536" s="71">
        <f>IFERROR(__xludf.DUMMYFUNCTION("""COMPUTED_VALUE"""),352.0)</f>
        <v>352</v>
      </c>
      <c r="BA536" s="71">
        <f>IFERROR(__xludf.DUMMYFUNCTION("""COMPUTED_VALUE"""),380.16)</f>
        <v>380.16</v>
      </c>
      <c r="BB536" s="71">
        <f>IFERROR(__xludf.DUMMYFUNCTION("""COMPUTED_VALUE"""),380.16)</f>
        <v>380.16</v>
      </c>
      <c r="BC536" s="71">
        <f>IFERROR(__xludf.DUMMYFUNCTION("""COMPUTED_VALUE"""),424.0)</f>
        <v>424</v>
      </c>
      <c r="BD536" s="71">
        <f>IFERROR(__xludf.DUMMYFUNCTION("""COMPUTED_VALUE"""),445.0)</f>
        <v>445</v>
      </c>
      <c r="BE536" s="71">
        <f>IFERROR(__xludf.DUMMYFUNCTION("""COMPUTED_VALUE"""),71.2)</f>
        <v>71.2</v>
      </c>
      <c r="BF536" s="71">
        <f>IFERROR(__xludf.DUMMYFUNCTION("""COMPUTED_VALUE"""),516.2)</f>
        <v>516.2</v>
      </c>
      <c r="BG536" s="71">
        <f>IFERROR(__xludf.DUMMYFUNCTION("""COMPUTED_VALUE"""),0.049528301886792456)</f>
        <v>0.04952830189</v>
      </c>
      <c r="BH536" s="71">
        <f>IFERROR(__xludf.DUMMYFUNCTION("""COMPUTED_VALUE"""),422.75)</f>
        <v>422.75</v>
      </c>
      <c r="BI536" s="71">
        <f>IFERROR(__xludf.DUMMYFUNCTION("""COMPUTED_VALUE"""),67.64)</f>
        <v>67.64</v>
      </c>
      <c r="BJ536" s="71">
        <f>IFERROR(__xludf.DUMMYFUNCTION("""COMPUTED_VALUE"""),490.39)</f>
        <v>490.39</v>
      </c>
      <c r="BK536" s="71">
        <f>IFERROR(__xludf.DUMMYFUNCTION("""COMPUTED_VALUE"""),400.5)</f>
        <v>400.5</v>
      </c>
      <c r="BL536" s="71">
        <f>IFERROR(__xludf.DUMMYFUNCTION("""COMPUTED_VALUE"""),64.08)</f>
        <v>64.08</v>
      </c>
      <c r="BM536" s="71">
        <f>IFERROR(__xludf.DUMMYFUNCTION("""COMPUTED_VALUE"""),464.58)</f>
        <v>464.58</v>
      </c>
      <c r="BN536" s="71">
        <f>IFERROR(__xludf.DUMMYFUNCTION("""COMPUTED_VALUE"""),378.25)</f>
        <v>378.25</v>
      </c>
      <c r="BO536" s="71">
        <f>IFERROR(__xludf.DUMMYFUNCTION("""COMPUTED_VALUE"""),60.52)</f>
        <v>60.52</v>
      </c>
      <c r="BP536" s="71">
        <f>IFERROR(__xludf.DUMMYFUNCTION("""COMPUTED_VALUE"""),438.77)</f>
        <v>438.77</v>
      </c>
      <c r="BQ536" s="71">
        <f>IFERROR(__xludf.DUMMYFUNCTION("""COMPUTED_VALUE"""),369.34999999999997)</f>
        <v>369.35</v>
      </c>
      <c r="BR536" s="71">
        <f>IFERROR(__xludf.DUMMYFUNCTION("""COMPUTED_VALUE"""),59.096)</f>
        <v>59.096</v>
      </c>
      <c r="BS536" s="71">
        <f>IFERROR(__xludf.DUMMYFUNCTION("""COMPUTED_VALUE"""),428.44599999999997)</f>
        <v>428.446</v>
      </c>
      <c r="BT536" s="71">
        <f>IFERROR(__xludf.DUMMYFUNCTION("""COMPUTED_VALUE"""),356.0)</f>
        <v>356</v>
      </c>
      <c r="BU536" s="71">
        <f>IFERROR(__xludf.DUMMYFUNCTION("""COMPUTED_VALUE"""),56.96)</f>
        <v>56.96</v>
      </c>
      <c r="BV536" s="71">
        <f>IFERROR(__xludf.DUMMYFUNCTION("""COMPUTED_VALUE"""),412.96)</f>
        <v>412.96</v>
      </c>
    </row>
    <row r="537">
      <c r="A537" s="53">
        <v>1.0</v>
      </c>
      <c r="B537" s="72"/>
      <c r="C537" s="120" t="s">
        <v>603</v>
      </c>
      <c r="D537" s="53" t="s">
        <v>1334</v>
      </c>
      <c r="E537" s="54" t="s">
        <v>38</v>
      </c>
      <c r="F537" s="54" t="s">
        <v>42</v>
      </c>
      <c r="G537" s="141" t="s">
        <v>1335</v>
      </c>
      <c r="H537" s="141" t="s">
        <v>1335</v>
      </c>
      <c r="I537" s="54">
        <f t="shared" si="24"/>
        <v>25</v>
      </c>
      <c r="J537" s="56"/>
      <c r="K537" s="75"/>
      <c r="L537" s="76"/>
      <c r="M537" s="59"/>
      <c r="N537" s="60"/>
      <c r="O537" s="61">
        <v>160.0</v>
      </c>
      <c r="P537" s="62">
        <v>70.0</v>
      </c>
      <c r="Q537" s="63">
        <v>70.0</v>
      </c>
      <c r="R537" s="64">
        <v>76.0</v>
      </c>
      <c r="S537" s="111">
        <v>80.0</v>
      </c>
      <c r="T537" s="65">
        <f t="shared" si="2"/>
        <v>12.8</v>
      </c>
      <c r="U537" s="65">
        <f t="shared" si="3"/>
        <v>92.8</v>
      </c>
      <c r="V537" s="66">
        <f t="shared" si="4"/>
        <v>0.05263157895</v>
      </c>
      <c r="W537" s="67">
        <f t="shared" si="5"/>
        <v>76</v>
      </c>
      <c r="X537" s="67">
        <f t="shared" si="6"/>
        <v>12.16</v>
      </c>
      <c r="Y537" s="67">
        <f t="shared" si="7"/>
        <v>88.16</v>
      </c>
      <c r="Z537" s="67">
        <f t="shared" si="8"/>
        <v>72</v>
      </c>
      <c r="AA537" s="67">
        <f t="shared" si="9"/>
        <v>11.52</v>
      </c>
      <c r="AB537" s="67">
        <f t="shared" si="10"/>
        <v>83.52</v>
      </c>
      <c r="AC537" s="67">
        <f t="shared" si="11"/>
        <v>68</v>
      </c>
      <c r="AD537" s="67">
        <f t="shared" si="12"/>
        <v>10.88</v>
      </c>
      <c r="AE537" s="67">
        <f t="shared" si="13"/>
        <v>78.88</v>
      </c>
      <c r="AF537" s="67">
        <f t="shared" si="14"/>
        <v>66.4</v>
      </c>
      <c r="AG537" s="67">
        <f t="shared" si="15"/>
        <v>10.624</v>
      </c>
      <c r="AH537" s="67">
        <f t="shared" si="16"/>
        <v>77.024</v>
      </c>
      <c r="AI537" s="67">
        <f t="shared" si="17"/>
        <v>64</v>
      </c>
      <c r="AJ537" s="68">
        <f t="shared" si="20"/>
        <v>10.24</v>
      </c>
      <c r="AK537" s="68">
        <f t="shared" si="21"/>
        <v>74.24</v>
      </c>
      <c r="AL537" s="70">
        <f>IFERROR(__xludf.DUMMYFUNCTION("""COMPUTED_VALUE"""),1.0)</f>
        <v>1</v>
      </c>
      <c r="AM537" s="70"/>
      <c r="AN537" s="71" t="str">
        <f>IFERROR(__xludf.DUMMYFUNCTION("""COMPUTED_VALUE""")," P")</f>
        <v>P</v>
      </c>
      <c r="AO537" s="71" t="str">
        <f>IFERROR(__xludf.DUMMYFUNCTION("""COMPUTED_VALUE""")," CX10")</f>
        <v>CX10</v>
      </c>
      <c r="AP537" s="71" t="str">
        <f>IFERROR(__xludf.DUMMYFUNCTION("""COMPUTED_VALUE""")," PZA")</f>
        <v>PZA</v>
      </c>
      <c r="AQ537" s="71" t="str">
        <f>IFERROR(__xludf.DUMMYFUNCTION("""COMPUTED_VALUE""")," REF")</f>
        <v>REF</v>
      </c>
      <c r="AR537" s="71" t="str">
        <f>IFERROR(__xludf.DUMMYFUNCTION("""COMPUTED_VALUE""")," CUBREENGRANE COMPLETO B.C. EN ACERO INOX.")</f>
        <v>CUBREENGRANE COMPLETO B.C. EN ACERO INOX.</v>
      </c>
      <c r="AS537" s="71" t="str">
        <f>IFERROR(__xludf.DUMMYFUNCTION("""COMPUTED_VALUE""")," CUBREENGRANE COMPLETO BC INOX")</f>
        <v>CUBREENGRANE COMPLETO BC INOX</v>
      </c>
      <c r="AT537" s="71">
        <f>IFERROR(__xludf.DUMMYFUNCTION("""COMPUTED_VALUE"""),29.0)</f>
        <v>29</v>
      </c>
      <c r="AU537" s="71"/>
      <c r="AV537" s="71"/>
      <c r="AW537" s="71"/>
      <c r="AX537" s="71"/>
      <c r="AY537" s="71">
        <f>IFERROR(__xludf.DUMMYFUNCTION("""COMPUTED_VALUE"""),554.0)</f>
        <v>554</v>
      </c>
      <c r="AZ537" s="71">
        <f>IFERROR(__xludf.DUMMYFUNCTION("""COMPUTED_VALUE"""),598.0)</f>
        <v>598</v>
      </c>
      <c r="BA537" s="71">
        <f>IFERROR(__xludf.DUMMYFUNCTION("""COMPUTED_VALUE"""),645.84)</f>
        <v>645.84</v>
      </c>
      <c r="BB537" s="71">
        <f>IFERROR(__xludf.DUMMYFUNCTION("""COMPUTED_VALUE"""),645.84)</f>
        <v>645.84</v>
      </c>
      <c r="BC537" s="71">
        <f>IFERROR(__xludf.DUMMYFUNCTION("""COMPUTED_VALUE"""),720.0)</f>
        <v>720</v>
      </c>
      <c r="BD537" s="71">
        <f>IFERROR(__xludf.DUMMYFUNCTION("""COMPUTED_VALUE"""),756.0)</f>
        <v>756</v>
      </c>
      <c r="BE537" s="71">
        <f>IFERROR(__xludf.DUMMYFUNCTION("""COMPUTED_VALUE"""),120.96000000000001)</f>
        <v>120.96</v>
      </c>
      <c r="BF537" s="71">
        <f>IFERROR(__xludf.DUMMYFUNCTION("""COMPUTED_VALUE"""),876.96)</f>
        <v>876.96</v>
      </c>
      <c r="BG537" s="71">
        <f>IFERROR(__xludf.DUMMYFUNCTION("""COMPUTED_VALUE"""),0.05)</f>
        <v>0.05</v>
      </c>
      <c r="BH537" s="71">
        <f>IFERROR(__xludf.DUMMYFUNCTION("""COMPUTED_VALUE"""),718.1999999999999)</f>
        <v>718.2</v>
      </c>
      <c r="BI537" s="71">
        <f>IFERROR(__xludf.DUMMYFUNCTION("""COMPUTED_VALUE"""),114.91199999999999)</f>
        <v>114.912</v>
      </c>
      <c r="BJ537" s="71">
        <f>IFERROR(__xludf.DUMMYFUNCTION("""COMPUTED_VALUE"""),833.112)</f>
        <v>833.112</v>
      </c>
      <c r="BK537" s="71">
        <f>IFERROR(__xludf.DUMMYFUNCTION("""COMPUTED_VALUE"""),680.4)</f>
        <v>680.4</v>
      </c>
      <c r="BL537" s="71">
        <f>IFERROR(__xludf.DUMMYFUNCTION("""COMPUTED_VALUE"""),108.864)</f>
        <v>108.864</v>
      </c>
      <c r="BM537" s="71">
        <f>IFERROR(__xludf.DUMMYFUNCTION("""COMPUTED_VALUE"""),789.264)</f>
        <v>789.264</v>
      </c>
      <c r="BN537" s="71">
        <f>IFERROR(__xludf.DUMMYFUNCTION("""COMPUTED_VALUE"""),642.6)</f>
        <v>642.6</v>
      </c>
      <c r="BO537" s="71">
        <f>IFERROR(__xludf.DUMMYFUNCTION("""COMPUTED_VALUE"""),102.816)</f>
        <v>102.816</v>
      </c>
      <c r="BP537" s="71">
        <f>IFERROR(__xludf.DUMMYFUNCTION("""COMPUTED_VALUE"""),745.416)</f>
        <v>745.416</v>
      </c>
      <c r="BQ537" s="71">
        <f>IFERROR(__xludf.DUMMYFUNCTION("""COMPUTED_VALUE"""),627.48)</f>
        <v>627.48</v>
      </c>
      <c r="BR537" s="71">
        <f>IFERROR(__xludf.DUMMYFUNCTION("""COMPUTED_VALUE"""),100.3968)</f>
        <v>100.3968</v>
      </c>
      <c r="BS537" s="71">
        <f>IFERROR(__xludf.DUMMYFUNCTION("""COMPUTED_VALUE"""),727.8768)</f>
        <v>727.8768</v>
      </c>
      <c r="BT537" s="71">
        <f>IFERROR(__xludf.DUMMYFUNCTION("""COMPUTED_VALUE"""),604.8000000000001)</f>
        <v>604.8</v>
      </c>
      <c r="BU537" s="71">
        <f>IFERROR(__xludf.DUMMYFUNCTION("""COMPUTED_VALUE"""),96.76800000000001)</f>
        <v>96.768</v>
      </c>
      <c r="BV537" s="71">
        <f>IFERROR(__xludf.DUMMYFUNCTION("""COMPUTED_VALUE"""),701.5680000000001)</f>
        <v>701.568</v>
      </c>
    </row>
    <row r="538">
      <c r="A538" s="53">
        <v>1.0</v>
      </c>
      <c r="B538" s="72"/>
      <c r="C538" s="120" t="s">
        <v>603</v>
      </c>
      <c r="D538" s="74" t="s">
        <v>1336</v>
      </c>
      <c r="E538" s="54" t="s">
        <v>38</v>
      </c>
      <c r="F538" s="54" t="s">
        <v>42</v>
      </c>
      <c r="G538" s="141" t="s">
        <v>1337</v>
      </c>
      <c r="H538" s="141" t="s">
        <v>1337</v>
      </c>
      <c r="I538" s="54">
        <f t="shared" si="24"/>
        <v>29</v>
      </c>
      <c r="J538" s="56"/>
      <c r="K538" s="75"/>
      <c r="L538" s="76"/>
      <c r="M538" s="59"/>
      <c r="N538" s="60">
        <v>149.0</v>
      </c>
      <c r="O538" s="61">
        <v>160.0</v>
      </c>
      <c r="P538" s="62">
        <v>75.0</v>
      </c>
      <c r="Q538" s="63">
        <v>75.0</v>
      </c>
      <c r="R538" s="64">
        <v>96.0</v>
      </c>
      <c r="S538" s="111">
        <v>101.0</v>
      </c>
      <c r="T538" s="65">
        <f t="shared" si="2"/>
        <v>16.16</v>
      </c>
      <c r="U538" s="65">
        <f t="shared" si="3"/>
        <v>117.16</v>
      </c>
      <c r="V538" s="66">
        <f t="shared" si="4"/>
        <v>0.05208333333</v>
      </c>
      <c r="W538" s="67">
        <f t="shared" si="5"/>
        <v>95.95</v>
      </c>
      <c r="X538" s="67">
        <f t="shared" si="6"/>
        <v>15.352</v>
      </c>
      <c r="Y538" s="67">
        <f t="shared" si="7"/>
        <v>111.302</v>
      </c>
      <c r="Z538" s="67">
        <f t="shared" si="8"/>
        <v>90.9</v>
      </c>
      <c r="AA538" s="67">
        <f t="shared" si="9"/>
        <v>14.544</v>
      </c>
      <c r="AB538" s="67">
        <f t="shared" si="10"/>
        <v>105.444</v>
      </c>
      <c r="AC538" s="67">
        <f t="shared" si="11"/>
        <v>85.85</v>
      </c>
      <c r="AD538" s="67">
        <f t="shared" si="12"/>
        <v>13.736</v>
      </c>
      <c r="AE538" s="67">
        <f t="shared" si="13"/>
        <v>99.586</v>
      </c>
      <c r="AF538" s="67">
        <f t="shared" si="14"/>
        <v>83.83</v>
      </c>
      <c r="AG538" s="67">
        <f t="shared" si="15"/>
        <v>13.4128</v>
      </c>
      <c r="AH538" s="67">
        <f t="shared" si="16"/>
        <v>97.2428</v>
      </c>
      <c r="AI538" s="67">
        <f t="shared" si="17"/>
        <v>80.8</v>
      </c>
      <c r="AJ538" s="68">
        <f t="shared" si="20"/>
        <v>12.928</v>
      </c>
      <c r="AK538" s="68">
        <f t="shared" si="21"/>
        <v>93.728</v>
      </c>
      <c r="AL538" s="70">
        <f>IFERROR(__xludf.DUMMYFUNCTION("""COMPUTED_VALUE"""),1.0)</f>
        <v>1</v>
      </c>
      <c r="AM538" s="70"/>
      <c r="AN538" s="71" t="str">
        <f>IFERROR(__xludf.DUMMYFUNCTION("""COMPUTED_VALUE""")," P")</f>
        <v>P</v>
      </c>
      <c r="AO538" s="71" t="str">
        <f>IFERROR(__xludf.DUMMYFUNCTION("""COMPUTED_VALUE""")," CX05")</f>
        <v>CX05</v>
      </c>
      <c r="AP538" s="71" t="str">
        <f>IFERROR(__xludf.DUMMYFUNCTION("""COMPUTED_VALUE""")," PZA")</f>
        <v>PZA</v>
      </c>
      <c r="AQ538" s="71" t="str">
        <f>IFERROR(__xludf.DUMMYFUNCTION("""COMPUTED_VALUE""")," REF")</f>
        <v>REF</v>
      </c>
      <c r="AR538" s="71" t="str">
        <f>IFERROR(__xludf.DUMMYFUNCTION("""COMPUTED_VALUE""")," CUBREENGRANE DÚPLEX ACERO INOXIDABLE")</f>
        <v>CUBREENGRANE DÚPLEX ACERO INOXIDABLE</v>
      </c>
      <c r="AS538" s="71" t="str">
        <f>IFERROR(__xludf.DUMMYFUNCTION("""COMPUTED_VALUE""")," CUBREENGRANE DPLX ACERO INOXIDABLE")</f>
        <v>CUBREENGRANE DPLX ACERO INOXIDABLE</v>
      </c>
      <c r="AT538" s="71">
        <f>IFERROR(__xludf.DUMMYFUNCTION("""COMPUTED_VALUE"""),34.0)</f>
        <v>34</v>
      </c>
      <c r="AU538" s="71"/>
      <c r="AV538" s="71"/>
      <c r="AW538" s="71"/>
      <c r="AX538" s="71"/>
      <c r="AY538" s="71">
        <f>IFERROR(__xludf.DUMMYFUNCTION("""COMPUTED_VALUE"""),278.0)</f>
        <v>278</v>
      </c>
      <c r="AZ538" s="71">
        <f>IFERROR(__xludf.DUMMYFUNCTION("""COMPUTED_VALUE"""),300.0)</f>
        <v>300</v>
      </c>
      <c r="BA538" s="71">
        <f>IFERROR(__xludf.DUMMYFUNCTION("""COMPUTED_VALUE"""),324.0)</f>
        <v>324</v>
      </c>
      <c r="BB538" s="71">
        <f>IFERROR(__xludf.DUMMYFUNCTION("""COMPUTED_VALUE"""),324.0)</f>
        <v>324</v>
      </c>
      <c r="BC538" s="71">
        <f>IFERROR(__xludf.DUMMYFUNCTION("""COMPUTED_VALUE"""),362.0)</f>
        <v>362</v>
      </c>
      <c r="BD538" s="71">
        <f>IFERROR(__xludf.DUMMYFUNCTION("""COMPUTED_VALUE"""),380.0)</f>
        <v>380</v>
      </c>
      <c r="BE538" s="71">
        <f>IFERROR(__xludf.DUMMYFUNCTION("""COMPUTED_VALUE"""),60.800000000000004)</f>
        <v>60.8</v>
      </c>
      <c r="BF538" s="71">
        <f>IFERROR(__xludf.DUMMYFUNCTION("""COMPUTED_VALUE"""),440.8)</f>
        <v>440.8</v>
      </c>
      <c r="BG538" s="71">
        <f>IFERROR(__xludf.DUMMYFUNCTION("""COMPUTED_VALUE"""),0.049723756906077346)</f>
        <v>0.04972375691</v>
      </c>
      <c r="BH538" s="71">
        <f>IFERROR(__xludf.DUMMYFUNCTION("""COMPUTED_VALUE"""),361.0)</f>
        <v>361</v>
      </c>
      <c r="BI538" s="71">
        <f>IFERROR(__xludf.DUMMYFUNCTION("""COMPUTED_VALUE"""),57.76)</f>
        <v>57.76</v>
      </c>
      <c r="BJ538" s="71">
        <f>IFERROR(__xludf.DUMMYFUNCTION("""COMPUTED_VALUE"""),418.76)</f>
        <v>418.76</v>
      </c>
      <c r="BK538" s="71">
        <f>IFERROR(__xludf.DUMMYFUNCTION("""COMPUTED_VALUE"""),342.0)</f>
        <v>342</v>
      </c>
      <c r="BL538" s="71">
        <f>IFERROR(__xludf.DUMMYFUNCTION("""COMPUTED_VALUE"""),54.72)</f>
        <v>54.72</v>
      </c>
      <c r="BM538" s="71">
        <f>IFERROR(__xludf.DUMMYFUNCTION("""COMPUTED_VALUE"""),396.72)</f>
        <v>396.72</v>
      </c>
      <c r="BN538" s="71">
        <f>IFERROR(__xludf.DUMMYFUNCTION("""COMPUTED_VALUE"""),323.0)</f>
        <v>323</v>
      </c>
      <c r="BO538" s="71">
        <f>IFERROR(__xludf.DUMMYFUNCTION("""COMPUTED_VALUE"""),51.68)</f>
        <v>51.68</v>
      </c>
      <c r="BP538" s="71">
        <f>IFERROR(__xludf.DUMMYFUNCTION("""COMPUTED_VALUE"""),374.68)</f>
        <v>374.68</v>
      </c>
      <c r="BQ538" s="71">
        <f>IFERROR(__xludf.DUMMYFUNCTION("""COMPUTED_VALUE"""),315.4)</f>
        <v>315.4</v>
      </c>
      <c r="BR538" s="71">
        <f>IFERROR(__xludf.DUMMYFUNCTION("""COMPUTED_VALUE"""),50.464)</f>
        <v>50.464</v>
      </c>
      <c r="BS538" s="71">
        <f>IFERROR(__xludf.DUMMYFUNCTION("""COMPUTED_VALUE"""),365.864)</f>
        <v>365.864</v>
      </c>
      <c r="BT538" s="71">
        <f>IFERROR(__xludf.DUMMYFUNCTION("""COMPUTED_VALUE"""),304.0)</f>
        <v>304</v>
      </c>
      <c r="BU538" s="71">
        <f>IFERROR(__xludf.DUMMYFUNCTION("""COMPUTED_VALUE"""),48.64)</f>
        <v>48.64</v>
      </c>
      <c r="BV538" s="71">
        <f>IFERROR(__xludf.DUMMYFUNCTION("""COMPUTED_VALUE"""),352.64)</f>
        <v>352.64</v>
      </c>
    </row>
    <row r="539">
      <c r="A539" s="53">
        <v>1.0</v>
      </c>
      <c r="B539" s="72"/>
      <c r="C539" s="120" t="s">
        <v>603</v>
      </c>
      <c r="D539" s="74" t="s">
        <v>1338</v>
      </c>
      <c r="E539" s="54" t="s">
        <v>38</v>
      </c>
      <c r="F539" s="54" t="s">
        <v>42</v>
      </c>
      <c r="G539" s="141" t="s">
        <v>1339</v>
      </c>
      <c r="H539" s="141" t="s">
        <v>1339</v>
      </c>
      <c r="I539" s="54">
        <f t="shared" si="24"/>
        <v>25</v>
      </c>
      <c r="J539" s="56"/>
      <c r="K539" s="75"/>
      <c r="L539" s="76"/>
      <c r="M539" s="59"/>
      <c r="N539" s="60">
        <v>149.0</v>
      </c>
      <c r="O539" s="61">
        <v>160.0</v>
      </c>
      <c r="P539" s="62">
        <v>75.0</v>
      </c>
      <c r="Q539" s="63">
        <v>75.0</v>
      </c>
      <c r="R539" s="64">
        <v>96.0</v>
      </c>
      <c r="S539" s="111">
        <v>101.0</v>
      </c>
      <c r="T539" s="65">
        <f t="shared" si="2"/>
        <v>16.16</v>
      </c>
      <c r="U539" s="65">
        <f t="shared" si="3"/>
        <v>117.16</v>
      </c>
      <c r="V539" s="66">
        <f t="shared" si="4"/>
        <v>0.05208333333</v>
      </c>
      <c r="W539" s="67">
        <f t="shared" si="5"/>
        <v>95.95</v>
      </c>
      <c r="X539" s="67">
        <f t="shared" si="6"/>
        <v>15.352</v>
      </c>
      <c r="Y539" s="67">
        <f t="shared" si="7"/>
        <v>111.302</v>
      </c>
      <c r="Z539" s="67">
        <f t="shared" si="8"/>
        <v>90.9</v>
      </c>
      <c r="AA539" s="67">
        <f t="shared" si="9"/>
        <v>14.544</v>
      </c>
      <c r="AB539" s="67">
        <f t="shared" si="10"/>
        <v>105.444</v>
      </c>
      <c r="AC539" s="67">
        <f t="shared" si="11"/>
        <v>85.85</v>
      </c>
      <c r="AD539" s="67">
        <f t="shared" si="12"/>
        <v>13.736</v>
      </c>
      <c r="AE539" s="67">
        <f t="shared" si="13"/>
        <v>99.586</v>
      </c>
      <c r="AF539" s="67">
        <f t="shared" si="14"/>
        <v>83.83</v>
      </c>
      <c r="AG539" s="67">
        <f t="shared" si="15"/>
        <v>13.4128</v>
      </c>
      <c r="AH539" s="67">
        <f t="shared" si="16"/>
        <v>97.2428</v>
      </c>
      <c r="AI539" s="67">
        <f t="shared" si="17"/>
        <v>80.8</v>
      </c>
      <c r="AJ539" s="68">
        <f t="shared" si="20"/>
        <v>12.928</v>
      </c>
      <c r="AK539" s="68">
        <f t="shared" si="21"/>
        <v>93.728</v>
      </c>
      <c r="AL539" s="70">
        <f>IFERROR(__xludf.DUMMYFUNCTION("""COMPUTED_VALUE"""),1.0)</f>
        <v>1</v>
      </c>
      <c r="AM539" s="70"/>
      <c r="AN539" s="71" t="str">
        <f>IFERROR(__xludf.DUMMYFUNCTION("""COMPUTED_VALUE""")," P")</f>
        <v>P</v>
      </c>
      <c r="AO539" s="71" t="str">
        <f>IFERROR(__xludf.DUMMYFUNCTION("""COMPUTED_VALUE""")," CX04")</f>
        <v>CX04</v>
      </c>
      <c r="AP539" s="71" t="str">
        <f>IFERROR(__xludf.DUMMYFUNCTION("""COMPUTED_VALUE""")," PZA")</f>
        <v>PZA</v>
      </c>
      <c r="AQ539" s="71" t="str">
        <f>IFERROR(__xludf.DUMMYFUNCTION("""COMPUTED_VALUE""")," REF")</f>
        <v>REF</v>
      </c>
      <c r="AR539" s="71" t="str">
        <f>IFERROR(__xludf.DUMMYFUNCTION("""COMPUTED_VALUE""")," CUBREENGRANE DÚPLEX FIERRO")</f>
        <v>CUBREENGRANE DÚPLEX FIERRO</v>
      </c>
      <c r="AS539" s="71" t="str">
        <f>IFERROR(__xludf.DUMMYFUNCTION("""COMPUTED_VALUE""")," CUBREENGRANE DPLX FIERRO")</f>
        <v>CUBREENGRANE DPLX FIERRO</v>
      </c>
      <c r="AT539" s="71">
        <f>IFERROR(__xludf.DUMMYFUNCTION("""COMPUTED_VALUE"""),24.0)</f>
        <v>24</v>
      </c>
      <c r="AU539" s="71"/>
      <c r="AV539" s="71"/>
      <c r="AW539" s="71"/>
      <c r="AX539" s="71"/>
      <c r="AY539" s="71">
        <f>IFERROR(__xludf.DUMMYFUNCTION("""COMPUTED_VALUE"""),166.0)</f>
        <v>166</v>
      </c>
      <c r="AZ539" s="71">
        <f>IFERROR(__xludf.DUMMYFUNCTION("""COMPUTED_VALUE"""),179.0)</f>
        <v>179</v>
      </c>
      <c r="BA539" s="71">
        <f>IFERROR(__xludf.DUMMYFUNCTION("""COMPUTED_VALUE"""),193.32000000000002)</f>
        <v>193.32</v>
      </c>
      <c r="BB539" s="71">
        <f>IFERROR(__xludf.DUMMYFUNCTION("""COMPUTED_VALUE"""),193.32000000000002)</f>
        <v>193.32</v>
      </c>
      <c r="BC539" s="71">
        <f>IFERROR(__xludf.DUMMYFUNCTION("""COMPUTED_VALUE"""),216.0)</f>
        <v>216</v>
      </c>
      <c r="BD539" s="71">
        <f>IFERROR(__xludf.DUMMYFUNCTION("""COMPUTED_VALUE"""),227.0)</f>
        <v>227</v>
      </c>
      <c r="BE539" s="71">
        <f>IFERROR(__xludf.DUMMYFUNCTION("""COMPUTED_VALUE"""),36.32)</f>
        <v>36.32</v>
      </c>
      <c r="BF539" s="71">
        <f>IFERROR(__xludf.DUMMYFUNCTION("""COMPUTED_VALUE"""),263.32)</f>
        <v>263.32</v>
      </c>
      <c r="BG539" s="71">
        <f>IFERROR(__xludf.DUMMYFUNCTION("""COMPUTED_VALUE"""),0.05092592592592592)</f>
        <v>0.05092592593</v>
      </c>
      <c r="BH539" s="71">
        <f>IFERROR(__xludf.DUMMYFUNCTION("""COMPUTED_VALUE"""),215.64999999999998)</f>
        <v>215.65</v>
      </c>
      <c r="BI539" s="71">
        <f>IFERROR(__xludf.DUMMYFUNCTION("""COMPUTED_VALUE"""),34.504)</f>
        <v>34.504</v>
      </c>
      <c r="BJ539" s="71">
        <f>IFERROR(__xludf.DUMMYFUNCTION("""COMPUTED_VALUE"""),250.15399999999997)</f>
        <v>250.154</v>
      </c>
      <c r="BK539" s="71">
        <f>IFERROR(__xludf.DUMMYFUNCTION("""COMPUTED_VALUE"""),204.3)</f>
        <v>204.3</v>
      </c>
      <c r="BL539" s="71">
        <f>IFERROR(__xludf.DUMMYFUNCTION("""COMPUTED_VALUE"""),32.688)</f>
        <v>32.688</v>
      </c>
      <c r="BM539" s="71">
        <f>IFERROR(__xludf.DUMMYFUNCTION("""COMPUTED_VALUE"""),236.988)</f>
        <v>236.988</v>
      </c>
      <c r="BN539" s="71">
        <f>IFERROR(__xludf.DUMMYFUNCTION("""COMPUTED_VALUE"""),192.95)</f>
        <v>192.95</v>
      </c>
      <c r="BO539" s="71">
        <f>IFERROR(__xludf.DUMMYFUNCTION("""COMPUTED_VALUE"""),30.872)</f>
        <v>30.872</v>
      </c>
      <c r="BP539" s="71">
        <f>IFERROR(__xludf.DUMMYFUNCTION("""COMPUTED_VALUE"""),223.822)</f>
        <v>223.822</v>
      </c>
      <c r="BQ539" s="71">
        <f>IFERROR(__xludf.DUMMYFUNCTION("""COMPUTED_VALUE"""),188.41)</f>
        <v>188.41</v>
      </c>
      <c r="BR539" s="71">
        <f>IFERROR(__xludf.DUMMYFUNCTION("""COMPUTED_VALUE"""),30.1456)</f>
        <v>30.1456</v>
      </c>
      <c r="BS539" s="71">
        <f>IFERROR(__xludf.DUMMYFUNCTION("""COMPUTED_VALUE"""),218.5556)</f>
        <v>218.5556</v>
      </c>
      <c r="BT539" s="71">
        <f>IFERROR(__xludf.DUMMYFUNCTION("""COMPUTED_VALUE"""),181.60000000000002)</f>
        <v>181.6</v>
      </c>
      <c r="BU539" s="71">
        <f>IFERROR(__xludf.DUMMYFUNCTION("""COMPUTED_VALUE"""),29.056000000000004)</f>
        <v>29.056</v>
      </c>
      <c r="BV539" s="71">
        <f>IFERROR(__xludf.DUMMYFUNCTION("""COMPUTED_VALUE"""),210.65600000000003)</f>
        <v>210.656</v>
      </c>
    </row>
    <row r="540">
      <c r="A540" s="53">
        <v>1.0</v>
      </c>
      <c r="B540" s="72"/>
      <c r="C540" s="120" t="s">
        <v>603</v>
      </c>
      <c r="D540" s="74" t="s">
        <v>1340</v>
      </c>
      <c r="E540" s="54" t="s">
        <v>38</v>
      </c>
      <c r="F540" s="54" t="s">
        <v>42</v>
      </c>
      <c r="G540" s="141" t="s">
        <v>1341</v>
      </c>
      <c r="H540" s="141" t="s">
        <v>1341</v>
      </c>
      <c r="I540" s="54">
        <f t="shared" si="24"/>
        <v>23</v>
      </c>
      <c r="J540" s="56"/>
      <c r="K540" s="75"/>
      <c r="L540" s="76"/>
      <c r="M540" s="59"/>
      <c r="N540" s="60">
        <v>149.0</v>
      </c>
      <c r="O540" s="61">
        <v>160.0</v>
      </c>
      <c r="P540" s="62">
        <v>75.0</v>
      </c>
      <c r="Q540" s="63">
        <v>75.0</v>
      </c>
      <c r="R540" s="64">
        <v>96.0</v>
      </c>
      <c r="S540" s="111">
        <v>101.0</v>
      </c>
      <c r="T540" s="65">
        <f t="shared" si="2"/>
        <v>16.16</v>
      </c>
      <c r="U540" s="65">
        <f t="shared" si="3"/>
        <v>117.16</v>
      </c>
      <c r="V540" s="66">
        <f t="shared" si="4"/>
        <v>0.05208333333</v>
      </c>
      <c r="W540" s="67">
        <f t="shared" si="5"/>
        <v>95.95</v>
      </c>
      <c r="X540" s="67">
        <f t="shared" si="6"/>
        <v>15.352</v>
      </c>
      <c r="Y540" s="67">
        <f t="shared" si="7"/>
        <v>111.302</v>
      </c>
      <c r="Z540" s="67">
        <f t="shared" si="8"/>
        <v>90.9</v>
      </c>
      <c r="AA540" s="67">
        <f t="shared" si="9"/>
        <v>14.544</v>
      </c>
      <c r="AB540" s="67">
        <f t="shared" si="10"/>
        <v>105.444</v>
      </c>
      <c r="AC540" s="67">
        <f t="shared" si="11"/>
        <v>85.85</v>
      </c>
      <c r="AD540" s="67">
        <f t="shared" si="12"/>
        <v>13.736</v>
      </c>
      <c r="AE540" s="67">
        <f t="shared" si="13"/>
        <v>99.586</v>
      </c>
      <c r="AF540" s="67">
        <f t="shared" si="14"/>
        <v>83.83</v>
      </c>
      <c r="AG540" s="67">
        <f t="shared" si="15"/>
        <v>13.4128</v>
      </c>
      <c r="AH540" s="67">
        <f t="shared" si="16"/>
        <v>97.2428</v>
      </c>
      <c r="AI540" s="67">
        <f t="shared" si="17"/>
        <v>80.8</v>
      </c>
      <c r="AJ540" s="68">
        <f t="shared" si="20"/>
        <v>12.928</v>
      </c>
      <c r="AK540" s="68">
        <f t="shared" si="21"/>
        <v>93.728</v>
      </c>
      <c r="AL540" s="70">
        <f>IFERROR(__xludf.DUMMYFUNCTION("""COMPUTED_VALUE"""),1.0)</f>
        <v>1</v>
      </c>
      <c r="AM540" s="70"/>
      <c r="AN540" s="71" t="str">
        <f>IFERROR(__xludf.DUMMYFUNCTION("""COMPUTED_VALUE""")," P")</f>
        <v>P</v>
      </c>
      <c r="AO540" s="71" t="str">
        <f>IFERROR(__xludf.DUMMYFUNCTION("""COMPUTED_VALUE""")," CX06")</f>
        <v>CX06</v>
      </c>
      <c r="AP540" s="71" t="str">
        <f>IFERROR(__xludf.DUMMYFUNCTION("""COMPUTED_VALUE""")," PZA")</f>
        <v>PZA</v>
      </c>
      <c r="AQ540" s="71" t="str">
        <f>IFERROR(__xludf.DUMMYFUNCTION("""COMPUTED_VALUE""")," REF")</f>
        <v>REF</v>
      </c>
      <c r="AR540" s="71" t="str">
        <f>IFERROR(__xludf.DUMMYFUNCTION("""COMPUTED_VALUE""")," CUBREENGRANE SENCILLO ACERO INOXIDABLE")</f>
        <v>CUBREENGRANE SENCILLO ACERO INOXIDABLE</v>
      </c>
      <c r="AS540" s="71" t="str">
        <f>IFERROR(__xludf.DUMMYFUNCTION("""COMPUTED_VALUE""")," CUBREENGRANE SENCILLO ACERO INOXIDABLE")</f>
        <v>CUBREENGRANE SENCILLO ACERO INOXIDABLE</v>
      </c>
      <c r="AT540" s="71">
        <f>IFERROR(__xludf.DUMMYFUNCTION("""COMPUTED_VALUE"""),38.0)</f>
        <v>38</v>
      </c>
      <c r="AU540" s="71"/>
      <c r="AV540" s="71"/>
      <c r="AW540" s="71"/>
      <c r="AX540" s="71"/>
      <c r="AY540" s="71">
        <f>IFERROR(__xludf.DUMMYFUNCTION("""COMPUTED_VALUE"""),257.0)</f>
        <v>257</v>
      </c>
      <c r="AZ540" s="71">
        <f>IFERROR(__xludf.DUMMYFUNCTION("""COMPUTED_VALUE"""),277.0)</f>
        <v>277</v>
      </c>
      <c r="BA540" s="71">
        <f>IFERROR(__xludf.DUMMYFUNCTION("""COMPUTED_VALUE"""),299.16)</f>
        <v>299.16</v>
      </c>
      <c r="BB540" s="71">
        <f>IFERROR(__xludf.DUMMYFUNCTION("""COMPUTED_VALUE"""),299.16)</f>
        <v>299.16</v>
      </c>
      <c r="BC540" s="71">
        <f>IFERROR(__xludf.DUMMYFUNCTION("""COMPUTED_VALUE"""),334.0)</f>
        <v>334</v>
      </c>
      <c r="BD540" s="71">
        <f>IFERROR(__xludf.DUMMYFUNCTION("""COMPUTED_VALUE"""),351.0)</f>
        <v>351</v>
      </c>
      <c r="BE540" s="71">
        <f>IFERROR(__xludf.DUMMYFUNCTION("""COMPUTED_VALUE"""),56.160000000000004)</f>
        <v>56.16</v>
      </c>
      <c r="BF540" s="71">
        <f>IFERROR(__xludf.DUMMYFUNCTION("""COMPUTED_VALUE"""),407.16)</f>
        <v>407.16</v>
      </c>
      <c r="BG540" s="71">
        <f>IFERROR(__xludf.DUMMYFUNCTION("""COMPUTED_VALUE"""),0.05089820359281437)</f>
        <v>0.05089820359</v>
      </c>
      <c r="BH540" s="71">
        <f>IFERROR(__xludf.DUMMYFUNCTION("""COMPUTED_VALUE"""),333.45)</f>
        <v>333.45</v>
      </c>
      <c r="BI540" s="71">
        <f>IFERROR(__xludf.DUMMYFUNCTION("""COMPUTED_VALUE"""),53.352)</f>
        <v>53.352</v>
      </c>
      <c r="BJ540" s="71">
        <f>IFERROR(__xludf.DUMMYFUNCTION("""COMPUTED_VALUE"""),386.80199999999996)</f>
        <v>386.802</v>
      </c>
      <c r="BK540" s="71">
        <f>IFERROR(__xludf.DUMMYFUNCTION("""COMPUTED_VALUE"""),315.90000000000003)</f>
        <v>315.9</v>
      </c>
      <c r="BL540" s="71">
        <f>IFERROR(__xludf.DUMMYFUNCTION("""COMPUTED_VALUE"""),50.544000000000004)</f>
        <v>50.544</v>
      </c>
      <c r="BM540" s="71">
        <f>IFERROR(__xludf.DUMMYFUNCTION("""COMPUTED_VALUE"""),366.444)</f>
        <v>366.444</v>
      </c>
      <c r="BN540" s="71">
        <f>IFERROR(__xludf.DUMMYFUNCTION("""COMPUTED_VALUE"""),298.34999999999997)</f>
        <v>298.35</v>
      </c>
      <c r="BO540" s="71">
        <f>IFERROR(__xludf.DUMMYFUNCTION("""COMPUTED_VALUE"""),47.736)</f>
        <v>47.736</v>
      </c>
      <c r="BP540" s="71">
        <f>IFERROR(__xludf.DUMMYFUNCTION("""COMPUTED_VALUE"""),346.08599999999996)</f>
        <v>346.086</v>
      </c>
      <c r="BQ540" s="71">
        <f>IFERROR(__xludf.DUMMYFUNCTION("""COMPUTED_VALUE"""),291.33)</f>
        <v>291.33</v>
      </c>
      <c r="BR540" s="71">
        <f>IFERROR(__xludf.DUMMYFUNCTION("""COMPUTED_VALUE"""),46.6128)</f>
        <v>46.6128</v>
      </c>
      <c r="BS540" s="71">
        <f>IFERROR(__xludf.DUMMYFUNCTION("""COMPUTED_VALUE"""),337.9428)</f>
        <v>337.9428</v>
      </c>
      <c r="BT540" s="71">
        <f>IFERROR(__xludf.DUMMYFUNCTION("""COMPUTED_VALUE"""),280.8)</f>
        <v>280.8</v>
      </c>
      <c r="BU540" s="71">
        <f>IFERROR(__xludf.DUMMYFUNCTION("""COMPUTED_VALUE"""),44.928000000000004)</f>
        <v>44.928</v>
      </c>
      <c r="BV540" s="71">
        <f>IFERROR(__xludf.DUMMYFUNCTION("""COMPUTED_VALUE"""),325.728)</f>
        <v>325.728</v>
      </c>
    </row>
    <row r="541">
      <c r="A541" s="53">
        <v>1.0</v>
      </c>
      <c r="B541" s="53"/>
      <c r="C541" s="73" t="s">
        <v>12</v>
      </c>
      <c r="D541" s="53" t="s">
        <v>1342</v>
      </c>
      <c r="E541" s="54" t="s">
        <v>38</v>
      </c>
      <c r="F541" s="54" t="s">
        <v>42</v>
      </c>
      <c r="G541" s="142" t="s">
        <v>1343</v>
      </c>
      <c r="H541" s="142" t="s">
        <v>1343</v>
      </c>
      <c r="I541" s="54">
        <f t="shared" si="24"/>
        <v>27</v>
      </c>
      <c r="J541" s="56"/>
      <c r="K541" s="75"/>
      <c r="L541" s="76"/>
      <c r="M541" s="59"/>
      <c r="N541" s="60"/>
      <c r="O541" s="90"/>
      <c r="P541" s="62">
        <v>75.0</v>
      </c>
      <c r="Q541" s="63">
        <v>75.0</v>
      </c>
      <c r="R541" s="64">
        <v>81.0</v>
      </c>
      <c r="S541" s="111">
        <v>85.0</v>
      </c>
      <c r="T541" s="65">
        <f t="shared" si="2"/>
        <v>13.6</v>
      </c>
      <c r="U541" s="65">
        <f t="shared" si="3"/>
        <v>98.6</v>
      </c>
      <c r="V541" s="66">
        <f t="shared" si="4"/>
        <v>0.04938271605</v>
      </c>
      <c r="W541" s="67">
        <f t="shared" si="5"/>
        <v>80.75</v>
      </c>
      <c r="X541" s="67">
        <f t="shared" si="6"/>
        <v>12.92</v>
      </c>
      <c r="Y541" s="67">
        <f t="shared" si="7"/>
        <v>93.67</v>
      </c>
      <c r="Z541" s="67">
        <f t="shared" si="8"/>
        <v>76.5</v>
      </c>
      <c r="AA541" s="67">
        <f t="shared" si="9"/>
        <v>12.24</v>
      </c>
      <c r="AB541" s="67">
        <f t="shared" si="10"/>
        <v>88.74</v>
      </c>
      <c r="AC541" s="67">
        <f t="shared" si="11"/>
        <v>72.25</v>
      </c>
      <c r="AD541" s="67">
        <f t="shared" si="12"/>
        <v>11.56</v>
      </c>
      <c r="AE541" s="67">
        <f t="shared" si="13"/>
        <v>83.81</v>
      </c>
      <c r="AF541" s="67">
        <f t="shared" si="14"/>
        <v>70.55</v>
      </c>
      <c r="AG541" s="67">
        <f t="shared" si="15"/>
        <v>11.288</v>
      </c>
      <c r="AH541" s="67">
        <f t="shared" si="16"/>
        <v>81.838</v>
      </c>
      <c r="AI541" s="67">
        <f t="shared" si="17"/>
        <v>68</v>
      </c>
      <c r="AJ541" s="68">
        <f t="shared" si="20"/>
        <v>10.88</v>
      </c>
      <c r="AK541" s="68">
        <f t="shared" si="21"/>
        <v>78.88</v>
      </c>
      <c r="AL541" s="70">
        <f>IFERROR(__xludf.DUMMYFUNCTION("""COMPUTED_VALUE"""),1.0)</f>
        <v>1</v>
      </c>
      <c r="AM541" s="70"/>
      <c r="AN541" s="71" t="str">
        <f>IFERROR(__xludf.DUMMYFUNCTION("""COMPUTED_VALUE""")," P")</f>
        <v>P</v>
      </c>
      <c r="AO541" s="71" t="str">
        <f>IFERROR(__xludf.DUMMYFUNCTION("""COMPUTED_VALUE""")," CK01")</f>
        <v>CK01</v>
      </c>
      <c r="AP541" s="71" t="str">
        <f>IFERROR(__xludf.DUMMYFUNCTION("""COMPUTED_VALUE""")," PZA")</f>
        <v>PZA</v>
      </c>
      <c r="AQ541" s="71" t="str">
        <f>IFERROR(__xludf.DUMMYFUNCTION("""COMPUTED_VALUE""")," REF")</f>
        <v>REF</v>
      </c>
      <c r="AR541" s="71" t="str">
        <f>IFERROR(__xludf.DUMMYFUNCTION("""COMPUTED_VALUE""")," CUCHILLA FIJA DE BRONCE MAQUINADA DÚPLEX")</f>
        <v>CUCHILLA FIJA DE BRONCE MAQUINADA DÚPLEX</v>
      </c>
      <c r="AS541" s="71" t="str">
        <f>IFERROR(__xludf.DUMMYFUNCTION("""COMPUTED_VALUE""")," CUCHILLA FIJA DE BRONCE MAQUINADA DPLX")</f>
        <v>CUCHILLA FIJA DE BRONCE MAQUINADA DPLX</v>
      </c>
      <c r="AT541" s="71">
        <f>IFERROR(__xludf.DUMMYFUNCTION("""COMPUTED_VALUE"""),38.0)</f>
        <v>38</v>
      </c>
      <c r="AU541" s="71"/>
      <c r="AV541" s="71"/>
      <c r="AW541" s="71"/>
      <c r="AX541" s="71"/>
      <c r="AY541" s="71">
        <f>IFERROR(__xludf.DUMMYFUNCTION("""COMPUTED_VALUE"""),2224.0)</f>
        <v>2224</v>
      </c>
      <c r="AZ541" s="71">
        <f>IFERROR(__xludf.DUMMYFUNCTION("""COMPUTED_VALUE"""),2401.0)</f>
        <v>2401</v>
      </c>
      <c r="BA541" s="71">
        <f>IFERROR(__xludf.DUMMYFUNCTION("""COMPUTED_VALUE"""),4231.09)</f>
        <v>4231.09</v>
      </c>
      <c r="BB541" s="71">
        <f>IFERROR(__xludf.DUMMYFUNCTION("""COMPUTED_VALUE"""),4231.09)</f>
        <v>4231.09</v>
      </c>
      <c r="BC541" s="71">
        <f>IFERROR(__xludf.DUMMYFUNCTION("""COMPUTED_VALUE"""),4443.0)</f>
        <v>4443</v>
      </c>
      <c r="BD541" s="71">
        <f>IFERROR(__xludf.DUMMYFUNCTION("""COMPUTED_VALUE"""),4665.0)</f>
        <v>4665</v>
      </c>
      <c r="BE541" s="71">
        <f>IFERROR(__xludf.DUMMYFUNCTION("""COMPUTED_VALUE"""),746.4)</f>
        <v>746.4</v>
      </c>
      <c r="BF541" s="71">
        <f>IFERROR(__xludf.DUMMYFUNCTION("""COMPUTED_VALUE"""),5411.4)</f>
        <v>5411.4</v>
      </c>
      <c r="BG541" s="71">
        <f>IFERROR(__xludf.DUMMYFUNCTION("""COMPUTED_VALUE"""),0.049966239027684)</f>
        <v>0.04996623903</v>
      </c>
      <c r="BH541" s="71">
        <f>IFERROR(__xludf.DUMMYFUNCTION("""COMPUTED_VALUE"""),4431.75)</f>
        <v>4431.75</v>
      </c>
      <c r="BI541" s="71">
        <f>IFERROR(__xludf.DUMMYFUNCTION("""COMPUTED_VALUE"""),709.08)</f>
        <v>709.08</v>
      </c>
      <c r="BJ541" s="71">
        <f>IFERROR(__xludf.DUMMYFUNCTION("""COMPUTED_VALUE"""),5140.83)</f>
        <v>5140.83</v>
      </c>
      <c r="BK541" s="71">
        <f>IFERROR(__xludf.DUMMYFUNCTION("""COMPUTED_VALUE"""),4198.5)</f>
        <v>4198.5</v>
      </c>
      <c r="BL541" s="71">
        <f>IFERROR(__xludf.DUMMYFUNCTION("""COMPUTED_VALUE"""),671.76)</f>
        <v>671.76</v>
      </c>
      <c r="BM541" s="71">
        <f>IFERROR(__xludf.DUMMYFUNCTION("""COMPUTED_VALUE"""),4870.26)</f>
        <v>4870.26</v>
      </c>
      <c r="BN541" s="71">
        <f>IFERROR(__xludf.DUMMYFUNCTION("""COMPUTED_VALUE"""),3965.25)</f>
        <v>3965.25</v>
      </c>
      <c r="BO541" s="71">
        <f>IFERROR(__xludf.DUMMYFUNCTION("""COMPUTED_VALUE"""),634.44)</f>
        <v>634.44</v>
      </c>
      <c r="BP541" s="71">
        <f>IFERROR(__xludf.DUMMYFUNCTION("""COMPUTED_VALUE"""),4599.6900000000005)</f>
        <v>4599.69</v>
      </c>
      <c r="BQ541" s="71">
        <f>IFERROR(__xludf.DUMMYFUNCTION("""COMPUTED_VALUE"""),3871.95)</f>
        <v>3871.95</v>
      </c>
      <c r="BR541" s="71">
        <f>IFERROR(__xludf.DUMMYFUNCTION("""COMPUTED_VALUE"""),619.512)</f>
        <v>619.512</v>
      </c>
      <c r="BS541" s="71">
        <f>IFERROR(__xludf.DUMMYFUNCTION("""COMPUTED_VALUE"""),4491.4619999999995)</f>
        <v>4491.462</v>
      </c>
      <c r="BT541" s="71">
        <f>IFERROR(__xludf.DUMMYFUNCTION("""COMPUTED_VALUE"""),3732.0)</f>
        <v>3732</v>
      </c>
      <c r="BU541" s="71">
        <f>IFERROR(__xludf.DUMMYFUNCTION("""COMPUTED_VALUE"""),597.12)</f>
        <v>597.12</v>
      </c>
      <c r="BV541" s="71">
        <f>IFERROR(__xludf.DUMMYFUNCTION("""COMPUTED_VALUE"""),4329.12)</f>
        <v>4329.12</v>
      </c>
    </row>
    <row r="542">
      <c r="A542" s="53">
        <v>1.0</v>
      </c>
      <c r="B542" s="72"/>
      <c r="C542" s="120" t="s">
        <v>603</v>
      </c>
      <c r="D542" s="74" t="s">
        <v>1344</v>
      </c>
      <c r="E542" s="54" t="s">
        <v>38</v>
      </c>
      <c r="F542" s="54" t="s">
        <v>42</v>
      </c>
      <c r="G542" s="141" t="s">
        <v>1345</v>
      </c>
      <c r="H542" s="141" t="s">
        <v>1345</v>
      </c>
      <c r="I542" s="54">
        <f t="shared" si="24"/>
        <v>21</v>
      </c>
      <c r="J542" s="56"/>
      <c r="K542" s="75"/>
      <c r="L542" s="76"/>
      <c r="M542" s="59"/>
      <c r="N542" s="60">
        <v>149.0</v>
      </c>
      <c r="O542" s="61">
        <v>160.0</v>
      </c>
      <c r="P542" s="62">
        <v>75.0</v>
      </c>
      <c r="Q542" s="63">
        <v>75.0</v>
      </c>
      <c r="R542" s="64">
        <v>96.0</v>
      </c>
      <c r="S542" s="111">
        <v>101.0</v>
      </c>
      <c r="T542" s="65">
        <f t="shared" si="2"/>
        <v>16.16</v>
      </c>
      <c r="U542" s="65">
        <f t="shared" si="3"/>
        <v>117.16</v>
      </c>
      <c r="V542" s="66">
        <f t="shared" si="4"/>
        <v>0.05208333333</v>
      </c>
      <c r="W542" s="67">
        <f t="shared" si="5"/>
        <v>95.95</v>
      </c>
      <c r="X542" s="67">
        <f t="shared" si="6"/>
        <v>15.352</v>
      </c>
      <c r="Y542" s="67">
        <f t="shared" si="7"/>
        <v>111.302</v>
      </c>
      <c r="Z542" s="67">
        <f t="shared" si="8"/>
        <v>90.9</v>
      </c>
      <c r="AA542" s="67">
        <f t="shared" si="9"/>
        <v>14.544</v>
      </c>
      <c r="AB542" s="67">
        <f t="shared" si="10"/>
        <v>105.444</v>
      </c>
      <c r="AC542" s="67">
        <f t="shared" si="11"/>
        <v>85.85</v>
      </c>
      <c r="AD542" s="67">
        <f t="shared" si="12"/>
        <v>13.736</v>
      </c>
      <c r="AE542" s="67">
        <f t="shared" si="13"/>
        <v>99.586</v>
      </c>
      <c r="AF542" s="67">
        <f t="shared" si="14"/>
        <v>83.83</v>
      </c>
      <c r="AG542" s="67">
        <f t="shared" si="15"/>
        <v>13.4128</v>
      </c>
      <c r="AH542" s="67">
        <f t="shared" si="16"/>
        <v>97.2428</v>
      </c>
      <c r="AI542" s="67">
        <f t="shared" si="17"/>
        <v>80.8</v>
      </c>
      <c r="AJ542" s="68">
        <f t="shared" si="20"/>
        <v>12.928</v>
      </c>
      <c r="AK542" s="68">
        <f t="shared" si="21"/>
        <v>93.728</v>
      </c>
      <c r="AL542" s="70">
        <f>IFERROR(__xludf.DUMMYFUNCTION("""COMPUTED_VALUE"""),1.0)</f>
        <v>1</v>
      </c>
      <c r="AM542" s="70"/>
      <c r="AN542" s="71" t="str">
        <f>IFERROR(__xludf.DUMMYFUNCTION("""COMPUTED_VALUE""")," P")</f>
        <v>P</v>
      </c>
      <c r="AO542" s="71" t="str">
        <f>IFERROR(__xludf.DUMMYFUNCTION("""COMPUTED_VALUE""")," CK02")</f>
        <v>CK02</v>
      </c>
      <c r="AP542" s="71" t="str">
        <f>IFERROR(__xludf.DUMMYFUNCTION("""COMPUTED_VALUE""")," PZA")</f>
        <v>PZA</v>
      </c>
      <c r="AQ542" s="71" t="str">
        <f>IFERROR(__xludf.DUMMYFUNCTION("""COMPUTED_VALUE""")," REF")</f>
        <v>REF</v>
      </c>
      <c r="AR542" s="71" t="str">
        <f>IFERROR(__xludf.DUMMYFUNCTION("""COMPUTED_VALUE""")," CUCHILLA FIJA DE BRONCE MAQUINADA SENCILLA")</f>
        <v>CUCHILLA FIJA DE BRONCE MAQUINADA SENCILLA</v>
      </c>
      <c r="AS542" s="71" t="str">
        <f>IFERROR(__xludf.DUMMYFUNCTION("""COMPUTED_VALUE""")," CUCHILLA FIJA DE BRONCE MAQUIN SENCILLA")</f>
        <v>CUCHILLA FIJA DE BRONCE MAQUIN SENCILLA</v>
      </c>
      <c r="AT542" s="71">
        <f>IFERROR(__xludf.DUMMYFUNCTION("""COMPUTED_VALUE"""),39.0)</f>
        <v>39</v>
      </c>
      <c r="AU542" s="71"/>
      <c r="AV542" s="71"/>
      <c r="AW542" s="71"/>
      <c r="AX542" s="71"/>
      <c r="AY542" s="71">
        <f>IFERROR(__xludf.DUMMYFUNCTION("""COMPUTED_VALUE"""),1395.0)</f>
        <v>1395</v>
      </c>
      <c r="AZ542" s="71">
        <f>IFERROR(__xludf.DUMMYFUNCTION("""COMPUTED_VALUE"""),1506.0)</f>
        <v>1506</v>
      </c>
      <c r="BA542" s="71">
        <f>IFERROR(__xludf.DUMMYFUNCTION("""COMPUTED_VALUE"""),2205.07)</f>
        <v>2205.07</v>
      </c>
      <c r="BB542" s="71">
        <f>IFERROR(__xludf.DUMMYFUNCTION("""COMPUTED_VALUE"""),2205.07)</f>
        <v>2205.07</v>
      </c>
      <c r="BC542" s="71">
        <f>IFERROR(__xludf.DUMMYFUNCTION("""COMPUTED_VALUE"""),2455.0)</f>
        <v>2455</v>
      </c>
      <c r="BD542" s="71">
        <f>IFERROR(__xludf.DUMMYFUNCTION("""COMPUTED_VALUE"""),2578.0)</f>
        <v>2578</v>
      </c>
      <c r="BE542" s="71">
        <f>IFERROR(__xludf.DUMMYFUNCTION("""COMPUTED_VALUE"""),412.48)</f>
        <v>412.48</v>
      </c>
      <c r="BF542" s="71">
        <f>IFERROR(__xludf.DUMMYFUNCTION("""COMPUTED_VALUE"""),2990.48)</f>
        <v>2990.48</v>
      </c>
      <c r="BG542" s="71">
        <f>IFERROR(__xludf.DUMMYFUNCTION("""COMPUTED_VALUE"""),0.05010183299389002)</f>
        <v>0.05010183299</v>
      </c>
      <c r="BH542" s="71">
        <f>IFERROR(__xludf.DUMMYFUNCTION("""COMPUTED_VALUE"""),2449.1)</f>
        <v>2449.1</v>
      </c>
      <c r="BI542" s="71">
        <f>IFERROR(__xludf.DUMMYFUNCTION("""COMPUTED_VALUE"""),391.856)</f>
        <v>391.856</v>
      </c>
      <c r="BJ542" s="71">
        <f>IFERROR(__xludf.DUMMYFUNCTION("""COMPUTED_VALUE"""),2840.956)</f>
        <v>2840.956</v>
      </c>
      <c r="BK542" s="71">
        <f>IFERROR(__xludf.DUMMYFUNCTION("""COMPUTED_VALUE"""),2320.2000000000003)</f>
        <v>2320.2</v>
      </c>
      <c r="BL542" s="71">
        <f>IFERROR(__xludf.DUMMYFUNCTION("""COMPUTED_VALUE"""),371.232)</f>
        <v>371.232</v>
      </c>
      <c r="BM542" s="71">
        <f>IFERROR(__xludf.DUMMYFUNCTION("""COMPUTED_VALUE"""),2691.4320000000002)</f>
        <v>2691.432</v>
      </c>
      <c r="BN542" s="71">
        <f>IFERROR(__xludf.DUMMYFUNCTION("""COMPUTED_VALUE"""),2191.2999999999997)</f>
        <v>2191.3</v>
      </c>
      <c r="BO542" s="71">
        <f>IFERROR(__xludf.DUMMYFUNCTION("""COMPUTED_VALUE"""),350.60799999999995)</f>
        <v>350.608</v>
      </c>
      <c r="BP542" s="71">
        <f>IFERROR(__xludf.DUMMYFUNCTION("""COMPUTED_VALUE"""),2541.9079999999994)</f>
        <v>2541.908</v>
      </c>
      <c r="BQ542" s="71">
        <f>IFERROR(__xludf.DUMMYFUNCTION("""COMPUTED_VALUE"""),2139.74)</f>
        <v>2139.74</v>
      </c>
      <c r="BR542" s="71">
        <f>IFERROR(__xludf.DUMMYFUNCTION("""COMPUTED_VALUE"""),342.35839999999996)</f>
        <v>342.3584</v>
      </c>
      <c r="BS542" s="71">
        <f>IFERROR(__xludf.DUMMYFUNCTION("""COMPUTED_VALUE"""),2482.0984)</f>
        <v>2482.0984</v>
      </c>
      <c r="BT542" s="71">
        <f>IFERROR(__xludf.DUMMYFUNCTION("""COMPUTED_VALUE"""),2062.4)</f>
        <v>2062.4</v>
      </c>
      <c r="BU542" s="71">
        <f>IFERROR(__xludf.DUMMYFUNCTION("""COMPUTED_VALUE"""),329.98400000000004)</f>
        <v>329.984</v>
      </c>
      <c r="BV542" s="71">
        <f>IFERROR(__xludf.DUMMYFUNCTION("""COMPUTED_VALUE"""),2392.384)</f>
        <v>2392.384</v>
      </c>
    </row>
    <row r="543">
      <c r="A543" s="53">
        <v>1.0</v>
      </c>
      <c r="B543" s="72"/>
      <c r="C543" s="120" t="s">
        <v>603</v>
      </c>
      <c r="D543" s="74" t="s">
        <v>1346</v>
      </c>
      <c r="E543" s="54" t="s">
        <v>38</v>
      </c>
      <c r="F543" s="54" t="s">
        <v>42</v>
      </c>
      <c r="G543" s="141" t="s">
        <v>1347</v>
      </c>
      <c r="H543" s="141" t="s">
        <v>1347</v>
      </c>
      <c r="I543" s="54">
        <f t="shared" si="24"/>
        <v>29</v>
      </c>
      <c r="J543" s="56"/>
      <c r="K543" s="75"/>
      <c r="L543" s="76"/>
      <c r="M543" s="59"/>
      <c r="N543" s="60">
        <v>150.0</v>
      </c>
      <c r="O543" s="61">
        <v>162.0</v>
      </c>
      <c r="P543" s="62">
        <v>80.0</v>
      </c>
      <c r="Q543" s="63">
        <v>80.0</v>
      </c>
      <c r="R543" s="64">
        <v>101.0</v>
      </c>
      <c r="S543" s="111">
        <v>106.0</v>
      </c>
      <c r="T543" s="65">
        <f t="shared" si="2"/>
        <v>16.96</v>
      </c>
      <c r="U543" s="65">
        <f t="shared" si="3"/>
        <v>122.96</v>
      </c>
      <c r="V543" s="66">
        <f t="shared" si="4"/>
        <v>0.0495049505</v>
      </c>
      <c r="W543" s="67">
        <f t="shared" si="5"/>
        <v>100.7</v>
      </c>
      <c r="X543" s="67">
        <f t="shared" si="6"/>
        <v>16.112</v>
      </c>
      <c r="Y543" s="67">
        <f t="shared" si="7"/>
        <v>116.812</v>
      </c>
      <c r="Z543" s="67">
        <f t="shared" si="8"/>
        <v>95.4</v>
      </c>
      <c r="AA543" s="67">
        <f t="shared" si="9"/>
        <v>15.264</v>
      </c>
      <c r="AB543" s="67">
        <f t="shared" si="10"/>
        <v>110.664</v>
      </c>
      <c r="AC543" s="67">
        <f t="shared" si="11"/>
        <v>90.1</v>
      </c>
      <c r="AD543" s="67">
        <f t="shared" si="12"/>
        <v>14.416</v>
      </c>
      <c r="AE543" s="67">
        <f t="shared" si="13"/>
        <v>104.516</v>
      </c>
      <c r="AF543" s="67">
        <f t="shared" si="14"/>
        <v>87.98</v>
      </c>
      <c r="AG543" s="67">
        <f t="shared" si="15"/>
        <v>14.0768</v>
      </c>
      <c r="AH543" s="67">
        <f t="shared" si="16"/>
        <v>102.0568</v>
      </c>
      <c r="AI543" s="67">
        <f t="shared" si="17"/>
        <v>84.8</v>
      </c>
      <c r="AJ543" s="68">
        <f t="shared" si="20"/>
        <v>13.568</v>
      </c>
      <c r="AK543" s="68">
        <f t="shared" si="21"/>
        <v>98.368</v>
      </c>
      <c r="AL543" s="70">
        <f>IFERROR(__xludf.DUMMYFUNCTION("""COMPUTED_VALUE"""),1.0)</f>
        <v>1</v>
      </c>
      <c r="AM543" s="70"/>
      <c r="AN543" s="71" t="str">
        <f>IFERROR(__xludf.DUMMYFUNCTION("""COMPUTED_VALUE""")," P")</f>
        <v>P</v>
      </c>
      <c r="AO543" s="71" t="str">
        <f>IFERROR(__xludf.DUMMYFUNCTION("""COMPUTED_VALUE""")," CK03")</f>
        <v>CK03</v>
      </c>
      <c r="AP543" s="71" t="str">
        <f>IFERROR(__xludf.DUMMYFUNCTION("""COMPUTED_VALUE""")," PZA")</f>
        <v>PZA</v>
      </c>
      <c r="AQ543" s="71" t="str">
        <f>IFERROR(__xludf.DUMMYFUNCTION("""COMPUTED_VALUE""")," REF")</f>
        <v>REF</v>
      </c>
      <c r="AR543" s="71" t="str">
        <f>IFERROR(__xludf.DUMMYFUNCTION("""COMPUTED_VALUE""")," CUCHILLA MÓVIL DE BRONCE MAQUINADA DÚPLEX")</f>
        <v>CUCHILLA MÓVIL DE BRONCE MAQUINADA DÚPLEX</v>
      </c>
      <c r="AS543" s="71" t="str">
        <f>IFERROR(__xludf.DUMMYFUNCTION("""COMPUTED_VALUE""")," CUCHILLA MOVIL DE BRONCE MAQUINADA DPLX")</f>
        <v>CUCHILLA MOVIL DE BRONCE MAQUINADA DPLX</v>
      </c>
      <c r="AT543" s="71">
        <f>IFERROR(__xludf.DUMMYFUNCTION("""COMPUTED_VALUE"""),39.0)</f>
        <v>39</v>
      </c>
      <c r="AU543" s="71"/>
      <c r="AV543" s="71"/>
      <c r="AW543" s="71"/>
      <c r="AX543" s="71"/>
      <c r="AY543" s="71">
        <f>IFERROR(__xludf.DUMMYFUNCTION("""COMPUTED_VALUE"""),6460.0)</f>
        <v>6460</v>
      </c>
      <c r="AZ543" s="71">
        <f>IFERROR(__xludf.DUMMYFUNCTION("""COMPUTED_VALUE"""),6976.0)</f>
        <v>6976</v>
      </c>
      <c r="BA543" s="71">
        <f>IFERROR(__xludf.DUMMYFUNCTION("""COMPUTED_VALUE"""),10055.48)</f>
        <v>10055.48</v>
      </c>
      <c r="BB543" s="71">
        <f>IFERROR(__xludf.DUMMYFUNCTION("""COMPUTED_VALUE"""),10055.48)</f>
        <v>10055.48</v>
      </c>
      <c r="BC543" s="71">
        <f>IFERROR(__xludf.DUMMYFUNCTION("""COMPUTED_VALUE"""),11192.0)</f>
        <v>11192</v>
      </c>
      <c r="BD543" s="71">
        <f>IFERROR(__xludf.DUMMYFUNCTION("""COMPUTED_VALUE"""),11752.0)</f>
        <v>11752</v>
      </c>
      <c r="BE543" s="71">
        <f>IFERROR(__xludf.DUMMYFUNCTION("""COMPUTED_VALUE"""),1880.32)</f>
        <v>1880.32</v>
      </c>
      <c r="BF543" s="71">
        <f>IFERROR(__xludf.DUMMYFUNCTION("""COMPUTED_VALUE"""),13632.32)</f>
        <v>13632.32</v>
      </c>
      <c r="BG543" s="71">
        <f>IFERROR(__xludf.DUMMYFUNCTION("""COMPUTED_VALUE"""),0.05003573981415296)</f>
        <v>0.05003573981</v>
      </c>
      <c r="BH543" s="71">
        <f>IFERROR(__xludf.DUMMYFUNCTION("""COMPUTED_VALUE"""),11164.4)</f>
        <v>11164.4</v>
      </c>
      <c r="BI543" s="71">
        <f>IFERROR(__xludf.DUMMYFUNCTION("""COMPUTED_VALUE"""),1786.304)</f>
        <v>1786.304</v>
      </c>
      <c r="BJ543" s="71">
        <f>IFERROR(__xludf.DUMMYFUNCTION("""COMPUTED_VALUE"""),12950.704)</f>
        <v>12950.704</v>
      </c>
      <c r="BK543" s="71">
        <f>IFERROR(__xludf.DUMMYFUNCTION("""COMPUTED_VALUE"""),10576.800000000001)</f>
        <v>10576.8</v>
      </c>
      <c r="BL543" s="71">
        <f>IFERROR(__xludf.DUMMYFUNCTION("""COMPUTED_VALUE"""),1692.2880000000002)</f>
        <v>1692.288</v>
      </c>
      <c r="BM543" s="71">
        <f>IFERROR(__xludf.DUMMYFUNCTION("""COMPUTED_VALUE"""),12269.088000000002)</f>
        <v>12269.088</v>
      </c>
      <c r="BN543" s="71">
        <f>IFERROR(__xludf.DUMMYFUNCTION("""COMPUTED_VALUE"""),9989.199999999999)</f>
        <v>9989.2</v>
      </c>
      <c r="BO543" s="71">
        <f>IFERROR(__xludf.DUMMYFUNCTION("""COMPUTED_VALUE"""),1598.272)</f>
        <v>1598.272</v>
      </c>
      <c r="BP543" s="71">
        <f>IFERROR(__xludf.DUMMYFUNCTION("""COMPUTED_VALUE"""),11587.471999999998)</f>
        <v>11587.472</v>
      </c>
      <c r="BQ543" s="71">
        <f>IFERROR(__xludf.DUMMYFUNCTION("""COMPUTED_VALUE"""),9754.16)</f>
        <v>9754.16</v>
      </c>
      <c r="BR543" s="71">
        <f>IFERROR(__xludf.DUMMYFUNCTION("""COMPUTED_VALUE"""),1560.6656)</f>
        <v>1560.6656</v>
      </c>
      <c r="BS543" s="71">
        <f>IFERROR(__xludf.DUMMYFUNCTION("""COMPUTED_VALUE"""),11314.8256)</f>
        <v>11314.8256</v>
      </c>
      <c r="BT543" s="71">
        <f>IFERROR(__xludf.DUMMYFUNCTION("""COMPUTED_VALUE"""),9401.6)</f>
        <v>9401.6</v>
      </c>
      <c r="BU543" s="71">
        <f>IFERROR(__xludf.DUMMYFUNCTION("""COMPUTED_VALUE"""),1504.256)</f>
        <v>1504.256</v>
      </c>
      <c r="BV543" s="71">
        <f>IFERROR(__xludf.DUMMYFUNCTION("""COMPUTED_VALUE"""),10905.856)</f>
        <v>10905.856</v>
      </c>
    </row>
    <row r="544">
      <c r="A544" s="53">
        <v>1.0</v>
      </c>
      <c r="B544" s="72"/>
      <c r="C544" s="120" t="s">
        <v>603</v>
      </c>
      <c r="D544" s="74" t="s">
        <v>1348</v>
      </c>
      <c r="E544" s="54" t="s">
        <v>38</v>
      </c>
      <c r="F544" s="54" t="s">
        <v>42</v>
      </c>
      <c r="G544" s="141" t="s">
        <v>1349</v>
      </c>
      <c r="H544" s="141" t="s">
        <v>1349</v>
      </c>
      <c r="I544" s="54">
        <f t="shared" si="24"/>
        <v>23</v>
      </c>
      <c r="J544" s="56"/>
      <c r="K544" s="75"/>
      <c r="L544" s="76"/>
      <c r="M544" s="59"/>
      <c r="N544" s="60">
        <v>150.0</v>
      </c>
      <c r="O544" s="61">
        <v>162.0</v>
      </c>
      <c r="P544" s="62">
        <v>80.0</v>
      </c>
      <c r="Q544" s="63">
        <v>80.0</v>
      </c>
      <c r="R544" s="64">
        <v>101.0</v>
      </c>
      <c r="S544" s="111">
        <v>106.0</v>
      </c>
      <c r="T544" s="65">
        <f t="shared" si="2"/>
        <v>16.96</v>
      </c>
      <c r="U544" s="65">
        <f t="shared" si="3"/>
        <v>122.96</v>
      </c>
      <c r="V544" s="66">
        <f t="shared" si="4"/>
        <v>0.0495049505</v>
      </c>
      <c r="W544" s="67">
        <f t="shared" si="5"/>
        <v>100.7</v>
      </c>
      <c r="X544" s="67">
        <f t="shared" si="6"/>
        <v>16.112</v>
      </c>
      <c r="Y544" s="67">
        <f t="shared" si="7"/>
        <v>116.812</v>
      </c>
      <c r="Z544" s="67">
        <f t="shared" si="8"/>
        <v>95.4</v>
      </c>
      <c r="AA544" s="67">
        <f t="shared" si="9"/>
        <v>15.264</v>
      </c>
      <c r="AB544" s="67">
        <f t="shared" si="10"/>
        <v>110.664</v>
      </c>
      <c r="AC544" s="67">
        <f t="shared" si="11"/>
        <v>90.1</v>
      </c>
      <c r="AD544" s="67">
        <f t="shared" si="12"/>
        <v>14.416</v>
      </c>
      <c r="AE544" s="67">
        <f t="shared" si="13"/>
        <v>104.516</v>
      </c>
      <c r="AF544" s="67">
        <f t="shared" si="14"/>
        <v>87.98</v>
      </c>
      <c r="AG544" s="67">
        <f t="shared" si="15"/>
        <v>14.0768</v>
      </c>
      <c r="AH544" s="67">
        <f t="shared" si="16"/>
        <v>102.0568</v>
      </c>
      <c r="AI544" s="67">
        <f t="shared" si="17"/>
        <v>84.8</v>
      </c>
      <c r="AJ544" s="68">
        <f t="shared" si="20"/>
        <v>13.568</v>
      </c>
      <c r="AK544" s="68">
        <f t="shared" si="21"/>
        <v>98.368</v>
      </c>
      <c r="AL544" s="70">
        <f>IFERROR(__xludf.DUMMYFUNCTION("""COMPUTED_VALUE"""),1.0)</f>
        <v>1</v>
      </c>
      <c r="AM544" s="70"/>
      <c r="AN544" s="71" t="str">
        <f>IFERROR(__xludf.DUMMYFUNCTION("""COMPUTED_VALUE""")," P")</f>
        <v>P</v>
      </c>
      <c r="AO544" s="71" t="str">
        <f>IFERROR(__xludf.DUMMYFUNCTION("""COMPUTED_VALUE""")," CK04")</f>
        <v>CK04</v>
      </c>
      <c r="AP544" s="71" t="str">
        <f>IFERROR(__xludf.DUMMYFUNCTION("""COMPUTED_VALUE""")," PZA")</f>
        <v>PZA</v>
      </c>
      <c r="AQ544" s="71" t="str">
        <f>IFERROR(__xludf.DUMMYFUNCTION("""COMPUTED_VALUE""")," REF")</f>
        <v>REF</v>
      </c>
      <c r="AR544" s="71" t="str">
        <f>IFERROR(__xludf.DUMMYFUNCTION("""COMPUTED_VALUE""")," CUCHILLA MÓVIL DE BRONCE MAQUINADA SENCILLA")</f>
        <v>CUCHILLA MÓVIL DE BRONCE MAQUINADA SENCILLA</v>
      </c>
      <c r="AS544" s="71" t="str">
        <f>IFERROR(__xludf.DUMMYFUNCTION("""COMPUTED_VALUE""")," CUCHILLA MOVIL DE BRONCE MAQUIN SENCILLA")</f>
        <v>CUCHILLA MOVIL DE BRONCE MAQUIN SENCILLA</v>
      </c>
      <c r="AT544" s="71">
        <f>IFERROR(__xludf.DUMMYFUNCTION("""COMPUTED_VALUE"""),40.0)</f>
        <v>40</v>
      </c>
      <c r="AU544" s="71"/>
      <c r="AV544" s="71"/>
      <c r="AW544" s="71"/>
      <c r="AX544" s="71"/>
      <c r="AY544" s="71">
        <f>IFERROR(__xludf.DUMMYFUNCTION("""COMPUTED_VALUE"""),3029.0)</f>
        <v>3029</v>
      </c>
      <c r="AZ544" s="71">
        <f>IFERROR(__xludf.DUMMYFUNCTION("""COMPUTED_VALUE"""),3271.0)</f>
        <v>3271</v>
      </c>
      <c r="BA544" s="71">
        <f>IFERROR(__xludf.DUMMYFUNCTION("""COMPUTED_VALUE"""),3532.6800000000003)</f>
        <v>3532.68</v>
      </c>
      <c r="BB544" s="71">
        <f>IFERROR(__xludf.DUMMYFUNCTION("""COMPUTED_VALUE"""),3532.6800000000003)</f>
        <v>3532.68</v>
      </c>
      <c r="BC544" s="71">
        <f>IFERROR(__xludf.DUMMYFUNCTION("""COMPUTED_VALUE"""),3933.0)</f>
        <v>3933</v>
      </c>
      <c r="BD544" s="71">
        <f>IFERROR(__xludf.DUMMYFUNCTION("""COMPUTED_VALUE"""),4130.0)</f>
        <v>4130</v>
      </c>
      <c r="BE544" s="71">
        <f>IFERROR(__xludf.DUMMYFUNCTION("""COMPUTED_VALUE"""),660.8000000000001)</f>
        <v>660.8</v>
      </c>
      <c r="BF544" s="71">
        <f>IFERROR(__xludf.DUMMYFUNCTION("""COMPUTED_VALUE"""),4790.8)</f>
        <v>4790.8</v>
      </c>
      <c r="BG544" s="71">
        <f>IFERROR(__xludf.DUMMYFUNCTION("""COMPUTED_VALUE"""),0.05008899059242309)</f>
        <v>0.05008899059</v>
      </c>
      <c r="BH544" s="71">
        <f>IFERROR(__xludf.DUMMYFUNCTION("""COMPUTED_VALUE"""),3923.5)</f>
        <v>3923.5</v>
      </c>
      <c r="BI544" s="71">
        <f>IFERROR(__xludf.DUMMYFUNCTION("""COMPUTED_VALUE"""),627.76)</f>
        <v>627.76</v>
      </c>
      <c r="BJ544" s="71">
        <f>IFERROR(__xludf.DUMMYFUNCTION("""COMPUTED_VALUE"""),4551.26)</f>
        <v>4551.26</v>
      </c>
      <c r="BK544" s="71">
        <f>IFERROR(__xludf.DUMMYFUNCTION("""COMPUTED_VALUE"""),3717.0)</f>
        <v>3717</v>
      </c>
      <c r="BL544" s="71">
        <f>IFERROR(__xludf.DUMMYFUNCTION("""COMPUTED_VALUE"""),594.72)</f>
        <v>594.72</v>
      </c>
      <c r="BM544" s="71">
        <f>IFERROR(__xludf.DUMMYFUNCTION("""COMPUTED_VALUE"""),4311.72)</f>
        <v>4311.72</v>
      </c>
      <c r="BN544" s="71">
        <f>IFERROR(__xludf.DUMMYFUNCTION("""COMPUTED_VALUE"""),3510.5)</f>
        <v>3510.5</v>
      </c>
      <c r="BO544" s="71">
        <f>IFERROR(__xludf.DUMMYFUNCTION("""COMPUTED_VALUE"""),561.6800000000001)</f>
        <v>561.68</v>
      </c>
      <c r="BP544" s="71">
        <f>IFERROR(__xludf.DUMMYFUNCTION("""COMPUTED_VALUE"""),4072.1800000000003)</f>
        <v>4072.18</v>
      </c>
      <c r="BQ544" s="71">
        <f>IFERROR(__xludf.DUMMYFUNCTION("""COMPUTED_VALUE"""),3427.8999999999996)</f>
        <v>3427.9</v>
      </c>
      <c r="BR544" s="71">
        <f>IFERROR(__xludf.DUMMYFUNCTION("""COMPUTED_VALUE"""),548.4639999999999)</f>
        <v>548.464</v>
      </c>
      <c r="BS544" s="71">
        <f>IFERROR(__xludf.DUMMYFUNCTION("""COMPUTED_VALUE"""),3976.3639999999996)</f>
        <v>3976.364</v>
      </c>
      <c r="BT544" s="71">
        <f>IFERROR(__xludf.DUMMYFUNCTION("""COMPUTED_VALUE"""),3304.0)</f>
        <v>3304</v>
      </c>
      <c r="BU544" s="71">
        <f>IFERROR(__xludf.DUMMYFUNCTION("""COMPUTED_VALUE"""),528.64)</f>
        <v>528.64</v>
      </c>
      <c r="BV544" s="71">
        <f>IFERROR(__xludf.DUMMYFUNCTION("""COMPUTED_VALUE"""),3832.64)</f>
        <v>3832.64</v>
      </c>
    </row>
    <row r="545">
      <c r="A545" s="53">
        <v>1.0</v>
      </c>
      <c r="B545" s="72"/>
      <c r="C545" s="120" t="s">
        <v>603</v>
      </c>
      <c r="D545" s="74" t="s">
        <v>1350</v>
      </c>
      <c r="E545" s="54" t="s">
        <v>38</v>
      </c>
      <c r="F545" s="54" t="s">
        <v>42</v>
      </c>
      <c r="G545" s="141" t="s">
        <v>1351</v>
      </c>
      <c r="H545" s="141" t="s">
        <v>1351</v>
      </c>
      <c r="I545" s="54">
        <f t="shared" si="24"/>
        <v>27</v>
      </c>
      <c r="J545" s="56"/>
      <c r="K545" s="75"/>
      <c r="L545" s="76"/>
      <c r="M545" s="59"/>
      <c r="N545" s="60">
        <v>142.0</v>
      </c>
      <c r="O545" s="61">
        <v>161.0</v>
      </c>
      <c r="P545" s="62">
        <v>80.0</v>
      </c>
      <c r="Q545" s="63">
        <v>80.0</v>
      </c>
      <c r="R545" s="64">
        <v>101.0</v>
      </c>
      <c r="S545" s="111">
        <v>106.0</v>
      </c>
      <c r="T545" s="65">
        <f t="shared" si="2"/>
        <v>16.96</v>
      </c>
      <c r="U545" s="65">
        <f t="shared" si="3"/>
        <v>122.96</v>
      </c>
      <c r="V545" s="66">
        <f t="shared" si="4"/>
        <v>0.0495049505</v>
      </c>
      <c r="W545" s="67">
        <f t="shared" si="5"/>
        <v>100.7</v>
      </c>
      <c r="X545" s="67">
        <f t="shared" si="6"/>
        <v>16.112</v>
      </c>
      <c r="Y545" s="67">
        <f t="shared" si="7"/>
        <v>116.812</v>
      </c>
      <c r="Z545" s="67">
        <f t="shared" si="8"/>
        <v>95.4</v>
      </c>
      <c r="AA545" s="67">
        <f t="shared" si="9"/>
        <v>15.264</v>
      </c>
      <c r="AB545" s="67">
        <f t="shared" si="10"/>
        <v>110.664</v>
      </c>
      <c r="AC545" s="67">
        <f t="shared" si="11"/>
        <v>90.1</v>
      </c>
      <c r="AD545" s="67">
        <f t="shared" si="12"/>
        <v>14.416</v>
      </c>
      <c r="AE545" s="67">
        <f t="shared" si="13"/>
        <v>104.516</v>
      </c>
      <c r="AF545" s="67">
        <f t="shared" si="14"/>
        <v>87.98</v>
      </c>
      <c r="AG545" s="67">
        <f t="shared" si="15"/>
        <v>14.0768</v>
      </c>
      <c r="AH545" s="67">
        <f t="shared" si="16"/>
        <v>102.0568</v>
      </c>
      <c r="AI545" s="67">
        <f t="shared" si="17"/>
        <v>84.8</v>
      </c>
      <c r="AJ545" s="68">
        <f t="shared" si="20"/>
        <v>13.568</v>
      </c>
      <c r="AK545" s="68">
        <f t="shared" si="21"/>
        <v>98.368</v>
      </c>
      <c r="AL545" s="70">
        <f>IFERROR(__xludf.DUMMYFUNCTION("""COMPUTED_VALUE"""),1.0)</f>
        <v>1</v>
      </c>
      <c r="AM545" s="70"/>
      <c r="AN545" s="71" t="str">
        <f>IFERROR(__xludf.DUMMYFUNCTION("""COMPUTED_VALUE""")," P")</f>
        <v>P</v>
      </c>
      <c r="AO545" s="71" t="str">
        <f>IFERROR(__xludf.DUMMYFUNCTION("""COMPUTED_VALUE""")," CK05")</f>
        <v>CK05</v>
      </c>
      <c r="AP545" s="71" t="str">
        <f>IFERROR(__xludf.DUMMYFUNCTION("""COMPUTED_VALUE""")," PZA")</f>
        <v>PZA</v>
      </c>
      <c r="AQ545" s="71" t="str">
        <f>IFERROR(__xludf.DUMMYFUNCTION("""COMPUTED_VALUE""")," REF")</f>
        <v>REF</v>
      </c>
      <c r="AR545" s="71" t="str">
        <f>IFERROR(__xludf.DUMMYFUNCTION("""COMPUTED_VALUE""")," CUCHILLA PARA CORTADORA AUTOMATICA")</f>
        <v>CUCHILLA PARA CORTADORA AUTOMATICA</v>
      </c>
      <c r="AS545" s="71" t="str">
        <f>IFERROR(__xludf.DUMMYFUNCTION("""COMPUTED_VALUE""")," CUCHILLA PARA CORTADORA AUTOMATICA")</f>
        <v>CUCHILLA PARA CORTADORA AUTOMATICA</v>
      </c>
      <c r="AT545" s="71">
        <f>IFERROR(__xludf.DUMMYFUNCTION("""COMPUTED_VALUE"""),34.0)</f>
        <v>34</v>
      </c>
      <c r="AU545" s="71"/>
      <c r="AV545" s="71"/>
      <c r="AW545" s="71"/>
      <c r="AX545" s="71"/>
      <c r="AY545" s="71">
        <f>IFERROR(__xludf.DUMMYFUNCTION("""COMPUTED_VALUE"""),330.0)</f>
        <v>330</v>
      </c>
      <c r="AZ545" s="71">
        <f>IFERROR(__xludf.DUMMYFUNCTION("""COMPUTED_VALUE"""),356.0)</f>
        <v>356</v>
      </c>
      <c r="BA545" s="71">
        <f>IFERROR(__xludf.DUMMYFUNCTION("""COMPUTED_VALUE"""),384.48)</f>
        <v>384.48</v>
      </c>
      <c r="BB545" s="71">
        <f>IFERROR(__xludf.DUMMYFUNCTION("""COMPUTED_VALUE"""),384.48)</f>
        <v>384.48</v>
      </c>
      <c r="BC545" s="71">
        <f>IFERROR(__xludf.DUMMYFUNCTION("""COMPUTED_VALUE"""),429.0)</f>
        <v>429</v>
      </c>
      <c r="BD545" s="71">
        <f>IFERROR(__xludf.DUMMYFUNCTION("""COMPUTED_VALUE"""),450.0)</f>
        <v>450</v>
      </c>
      <c r="BE545" s="71">
        <f>IFERROR(__xludf.DUMMYFUNCTION("""COMPUTED_VALUE"""),72.0)</f>
        <v>72</v>
      </c>
      <c r="BF545" s="71">
        <f>IFERROR(__xludf.DUMMYFUNCTION("""COMPUTED_VALUE"""),522.0)</f>
        <v>522</v>
      </c>
      <c r="BG545" s="71">
        <f>IFERROR(__xludf.DUMMYFUNCTION("""COMPUTED_VALUE"""),0.04895104895104895)</f>
        <v>0.04895104895</v>
      </c>
      <c r="BH545" s="71">
        <f>IFERROR(__xludf.DUMMYFUNCTION("""COMPUTED_VALUE"""),427.5)</f>
        <v>427.5</v>
      </c>
      <c r="BI545" s="71">
        <f>IFERROR(__xludf.DUMMYFUNCTION("""COMPUTED_VALUE"""),68.4)</f>
        <v>68.4</v>
      </c>
      <c r="BJ545" s="71">
        <f>IFERROR(__xludf.DUMMYFUNCTION("""COMPUTED_VALUE"""),495.9)</f>
        <v>495.9</v>
      </c>
      <c r="BK545" s="71">
        <f>IFERROR(__xludf.DUMMYFUNCTION("""COMPUTED_VALUE"""),405.0)</f>
        <v>405</v>
      </c>
      <c r="BL545" s="71">
        <f>IFERROR(__xludf.DUMMYFUNCTION("""COMPUTED_VALUE"""),64.8)</f>
        <v>64.8</v>
      </c>
      <c r="BM545" s="71">
        <f>IFERROR(__xludf.DUMMYFUNCTION("""COMPUTED_VALUE"""),469.8)</f>
        <v>469.8</v>
      </c>
      <c r="BN545" s="71">
        <f>IFERROR(__xludf.DUMMYFUNCTION("""COMPUTED_VALUE"""),382.5)</f>
        <v>382.5</v>
      </c>
      <c r="BO545" s="71">
        <f>IFERROR(__xludf.DUMMYFUNCTION("""COMPUTED_VALUE"""),61.2)</f>
        <v>61.2</v>
      </c>
      <c r="BP545" s="71">
        <f>IFERROR(__xludf.DUMMYFUNCTION("""COMPUTED_VALUE"""),443.7)</f>
        <v>443.7</v>
      </c>
      <c r="BQ545" s="71">
        <f>IFERROR(__xludf.DUMMYFUNCTION("""COMPUTED_VALUE"""),373.5)</f>
        <v>373.5</v>
      </c>
      <c r="BR545" s="71">
        <f>IFERROR(__xludf.DUMMYFUNCTION("""COMPUTED_VALUE"""),59.76)</f>
        <v>59.76</v>
      </c>
      <c r="BS545" s="71">
        <f>IFERROR(__xludf.DUMMYFUNCTION("""COMPUTED_VALUE"""),433.26)</f>
        <v>433.26</v>
      </c>
      <c r="BT545" s="71">
        <f>IFERROR(__xludf.DUMMYFUNCTION("""COMPUTED_VALUE"""),360.0)</f>
        <v>360</v>
      </c>
      <c r="BU545" s="71">
        <f>IFERROR(__xludf.DUMMYFUNCTION("""COMPUTED_VALUE"""),57.6)</f>
        <v>57.6</v>
      </c>
      <c r="BV545" s="71">
        <f>IFERROR(__xludf.DUMMYFUNCTION("""COMPUTED_VALUE"""),417.6)</f>
        <v>417.6</v>
      </c>
    </row>
    <row r="546">
      <c r="A546" s="53">
        <v>1.0</v>
      </c>
      <c r="B546" s="72"/>
      <c r="C546" s="120" t="s">
        <v>603</v>
      </c>
      <c r="D546" s="74" t="s">
        <v>1352</v>
      </c>
      <c r="E546" s="54" t="s">
        <v>38</v>
      </c>
      <c r="F546" s="54" t="s">
        <v>42</v>
      </c>
      <c r="G546" s="141" t="s">
        <v>1353</v>
      </c>
      <c r="H546" s="141" t="s">
        <v>1353</v>
      </c>
      <c r="I546" s="54">
        <f t="shared" si="24"/>
        <v>21</v>
      </c>
      <c r="J546" s="56"/>
      <c r="K546" s="75"/>
      <c r="L546" s="76"/>
      <c r="M546" s="59"/>
      <c r="N546" s="60">
        <v>150.0</v>
      </c>
      <c r="O546" s="61">
        <v>162.0</v>
      </c>
      <c r="P546" s="62">
        <v>80.0</v>
      </c>
      <c r="Q546" s="63">
        <v>80.0</v>
      </c>
      <c r="R546" s="64">
        <v>101.0</v>
      </c>
      <c r="S546" s="111">
        <v>106.0</v>
      </c>
      <c r="T546" s="65">
        <f t="shared" si="2"/>
        <v>16.96</v>
      </c>
      <c r="U546" s="65">
        <f t="shared" si="3"/>
        <v>122.96</v>
      </c>
      <c r="V546" s="66">
        <f t="shared" si="4"/>
        <v>0.0495049505</v>
      </c>
      <c r="W546" s="67">
        <f t="shared" si="5"/>
        <v>100.7</v>
      </c>
      <c r="X546" s="67">
        <f t="shared" si="6"/>
        <v>16.112</v>
      </c>
      <c r="Y546" s="67">
        <f t="shared" si="7"/>
        <v>116.812</v>
      </c>
      <c r="Z546" s="67">
        <f t="shared" si="8"/>
        <v>95.4</v>
      </c>
      <c r="AA546" s="67">
        <f t="shared" si="9"/>
        <v>15.264</v>
      </c>
      <c r="AB546" s="67">
        <f t="shared" si="10"/>
        <v>110.664</v>
      </c>
      <c r="AC546" s="67">
        <f t="shared" si="11"/>
        <v>90.1</v>
      </c>
      <c r="AD546" s="67">
        <f t="shared" si="12"/>
        <v>14.416</v>
      </c>
      <c r="AE546" s="67">
        <f t="shared" si="13"/>
        <v>104.516</v>
      </c>
      <c r="AF546" s="67">
        <f t="shared" si="14"/>
        <v>87.98</v>
      </c>
      <c r="AG546" s="67">
        <f t="shared" si="15"/>
        <v>14.0768</v>
      </c>
      <c r="AH546" s="67">
        <f t="shared" si="16"/>
        <v>102.0568</v>
      </c>
      <c r="AI546" s="67">
        <f t="shared" si="17"/>
        <v>84.8</v>
      </c>
      <c r="AJ546" s="68">
        <f t="shared" si="20"/>
        <v>13.568</v>
      </c>
      <c r="AK546" s="68">
        <f t="shared" si="21"/>
        <v>98.368</v>
      </c>
      <c r="AL546" s="70">
        <f>IFERROR(__xludf.DUMMYFUNCTION("""COMPUTED_VALUE"""),1.0)</f>
        <v>1</v>
      </c>
      <c r="AM546" s="70"/>
      <c r="AN546" s="71" t="str">
        <f>IFERROR(__xludf.DUMMYFUNCTION("""COMPUTED_VALUE""")," P")</f>
        <v>P</v>
      </c>
      <c r="AO546" s="71" t="str">
        <f>IFERROR(__xludf.DUMMYFUNCTION("""COMPUTED_VALUE""")," CI01")</f>
        <v>CI01</v>
      </c>
      <c r="AP546" s="71" t="str">
        <f>IFERROR(__xludf.DUMMYFUNCTION("""COMPUTED_VALUE""")," PZA")</f>
        <v>PZA</v>
      </c>
      <c r="AQ546" s="71" t="str">
        <f>IFERROR(__xludf.DUMMYFUNCTION("""COMPUTED_VALUE""")," REF")</f>
        <v>REF</v>
      </c>
      <c r="AR546" s="71" t="str">
        <f>IFERROR(__xludf.DUMMYFUNCTION("""COMPUTED_VALUE""")," CUÑA DE 1/4 X 1""")</f>
        <v>CUÑA DE 1/4 X 1"</v>
      </c>
      <c r="AS546" s="71" t="str">
        <f>IFERROR(__xludf.DUMMYFUNCTION("""COMPUTED_VALUE""")," CUNA DE 1/4 X 1")</f>
        <v>CUNA DE 1/4 X 1</v>
      </c>
      <c r="AT546" s="71">
        <f>IFERROR(__xludf.DUMMYFUNCTION("""COMPUTED_VALUE"""),15.0)</f>
        <v>15</v>
      </c>
      <c r="AU546" s="71"/>
      <c r="AV546" s="71"/>
      <c r="AW546" s="71"/>
      <c r="AX546" s="71"/>
      <c r="AY546" s="71">
        <f>IFERROR(__xludf.DUMMYFUNCTION("""COMPUTED_VALUE"""),8.0)</f>
        <v>8</v>
      </c>
      <c r="AZ546" s="71">
        <f>IFERROR(__xludf.DUMMYFUNCTION("""COMPUTED_VALUE"""),8.0)</f>
        <v>8</v>
      </c>
      <c r="BA546" s="71">
        <f>IFERROR(__xludf.DUMMYFUNCTION("""COMPUTED_VALUE"""),8.64)</f>
        <v>8.64</v>
      </c>
      <c r="BB546" s="71">
        <f>IFERROR(__xludf.DUMMYFUNCTION("""COMPUTED_VALUE"""),8.64)</f>
        <v>8.64</v>
      </c>
      <c r="BC546" s="71">
        <f>IFERROR(__xludf.DUMMYFUNCTION("""COMPUTED_VALUE"""),10.0)</f>
        <v>10</v>
      </c>
      <c r="BD546" s="71">
        <f>IFERROR(__xludf.DUMMYFUNCTION("""COMPUTED_VALUE"""),10.5)</f>
        <v>10.5</v>
      </c>
      <c r="BE546" s="71">
        <f>IFERROR(__xludf.DUMMYFUNCTION("""COMPUTED_VALUE"""),1.68)</f>
        <v>1.68</v>
      </c>
      <c r="BF546" s="71">
        <f>IFERROR(__xludf.DUMMYFUNCTION("""COMPUTED_VALUE"""),12.18)</f>
        <v>12.18</v>
      </c>
      <c r="BG546" s="71">
        <f>IFERROR(__xludf.DUMMYFUNCTION("""COMPUTED_VALUE"""),0.05)</f>
        <v>0.05</v>
      </c>
      <c r="BH546" s="71">
        <f>IFERROR(__xludf.DUMMYFUNCTION("""COMPUTED_VALUE"""),9.975)</f>
        <v>9.975</v>
      </c>
      <c r="BI546" s="71">
        <f>IFERROR(__xludf.DUMMYFUNCTION("""COMPUTED_VALUE"""),1.596)</f>
        <v>1.596</v>
      </c>
      <c r="BJ546" s="71">
        <f>IFERROR(__xludf.DUMMYFUNCTION("""COMPUTED_VALUE"""),11.571)</f>
        <v>11.571</v>
      </c>
      <c r="BK546" s="71">
        <f>IFERROR(__xludf.DUMMYFUNCTION("""COMPUTED_VALUE"""),9.450000000000001)</f>
        <v>9.45</v>
      </c>
      <c r="BL546" s="71">
        <f>IFERROR(__xludf.DUMMYFUNCTION("""COMPUTED_VALUE"""),1.5120000000000002)</f>
        <v>1.512</v>
      </c>
      <c r="BM546" s="71">
        <f>IFERROR(__xludf.DUMMYFUNCTION("""COMPUTED_VALUE"""),10.962000000000002)</f>
        <v>10.962</v>
      </c>
      <c r="BN546" s="71">
        <f>IFERROR(__xludf.DUMMYFUNCTION("""COMPUTED_VALUE"""),8.924999999999999)</f>
        <v>8.925</v>
      </c>
      <c r="BO546" s="71">
        <f>IFERROR(__xludf.DUMMYFUNCTION("""COMPUTED_VALUE"""),1.428)</f>
        <v>1.428</v>
      </c>
      <c r="BP546" s="71">
        <f>IFERROR(__xludf.DUMMYFUNCTION("""COMPUTED_VALUE"""),10.352999999999998)</f>
        <v>10.353</v>
      </c>
      <c r="BQ546" s="71">
        <f>IFERROR(__xludf.DUMMYFUNCTION("""COMPUTED_VALUE"""),8.715)</f>
        <v>8.715</v>
      </c>
      <c r="BR546" s="71">
        <f>IFERROR(__xludf.DUMMYFUNCTION("""COMPUTED_VALUE"""),1.3944)</f>
        <v>1.3944</v>
      </c>
      <c r="BS546" s="71">
        <f>IFERROR(__xludf.DUMMYFUNCTION("""COMPUTED_VALUE"""),10.1094)</f>
        <v>10.1094</v>
      </c>
      <c r="BT546" s="71">
        <f>IFERROR(__xludf.DUMMYFUNCTION("""COMPUTED_VALUE"""),8.4)</f>
        <v>8.4</v>
      </c>
      <c r="BU546" s="71">
        <f>IFERROR(__xludf.DUMMYFUNCTION("""COMPUTED_VALUE"""),1.344)</f>
        <v>1.344</v>
      </c>
      <c r="BV546" s="71">
        <f>IFERROR(__xludf.DUMMYFUNCTION("""COMPUTED_VALUE"""),9.744)</f>
        <v>9.744</v>
      </c>
    </row>
    <row r="547">
      <c r="A547" s="53">
        <v>1.0</v>
      </c>
      <c r="B547" s="72"/>
      <c r="C547" s="120" t="s">
        <v>603</v>
      </c>
      <c r="D547" s="74" t="s">
        <v>1354</v>
      </c>
      <c r="E547" s="54" t="s">
        <v>38</v>
      </c>
      <c r="F547" s="54" t="s">
        <v>42</v>
      </c>
      <c r="G547" s="141" t="s">
        <v>1355</v>
      </c>
      <c r="H547" s="141" t="s">
        <v>1355</v>
      </c>
      <c r="I547" s="54">
        <f t="shared" si="24"/>
        <v>29</v>
      </c>
      <c r="J547" s="56"/>
      <c r="K547" s="75"/>
      <c r="L547" s="76"/>
      <c r="M547" s="59"/>
      <c r="N547" s="60">
        <v>162.0</v>
      </c>
      <c r="O547" s="61">
        <v>174.0</v>
      </c>
      <c r="P547" s="62">
        <v>90.0</v>
      </c>
      <c r="Q547" s="63">
        <v>90.0</v>
      </c>
      <c r="R547" s="64">
        <v>115.0</v>
      </c>
      <c r="S547" s="111">
        <v>121.0</v>
      </c>
      <c r="T547" s="65">
        <f t="shared" si="2"/>
        <v>19.36</v>
      </c>
      <c r="U547" s="65">
        <f t="shared" si="3"/>
        <v>140.36</v>
      </c>
      <c r="V547" s="66">
        <f t="shared" si="4"/>
        <v>0.05217391304</v>
      </c>
      <c r="W547" s="67">
        <f t="shared" si="5"/>
        <v>114.95</v>
      </c>
      <c r="X547" s="67">
        <f t="shared" si="6"/>
        <v>18.392</v>
      </c>
      <c r="Y547" s="67">
        <f t="shared" si="7"/>
        <v>133.342</v>
      </c>
      <c r="Z547" s="67">
        <f t="shared" si="8"/>
        <v>108.9</v>
      </c>
      <c r="AA547" s="67">
        <f t="shared" si="9"/>
        <v>17.424</v>
      </c>
      <c r="AB547" s="67">
        <f t="shared" si="10"/>
        <v>126.324</v>
      </c>
      <c r="AC547" s="67">
        <f t="shared" si="11"/>
        <v>102.85</v>
      </c>
      <c r="AD547" s="67">
        <f t="shared" si="12"/>
        <v>16.456</v>
      </c>
      <c r="AE547" s="67">
        <f t="shared" si="13"/>
        <v>119.306</v>
      </c>
      <c r="AF547" s="67">
        <f t="shared" si="14"/>
        <v>100.43</v>
      </c>
      <c r="AG547" s="67">
        <f t="shared" si="15"/>
        <v>16.0688</v>
      </c>
      <c r="AH547" s="67">
        <f t="shared" si="16"/>
        <v>116.4988</v>
      </c>
      <c r="AI547" s="67">
        <f t="shared" si="17"/>
        <v>96.8</v>
      </c>
      <c r="AJ547" s="68">
        <f t="shared" si="20"/>
        <v>15.488</v>
      </c>
      <c r="AK547" s="68">
        <f t="shared" si="21"/>
        <v>112.288</v>
      </c>
      <c r="AL547" s="70">
        <f>IFERROR(__xludf.DUMMYFUNCTION("""COMPUTED_VALUE"""),1.0)</f>
        <v>1</v>
      </c>
      <c r="AM547" s="70"/>
      <c r="AN547" s="71" t="str">
        <f>IFERROR(__xludf.DUMMYFUNCTION("""COMPUTED_VALUE""")," P")</f>
        <v>P</v>
      </c>
      <c r="AO547" s="71" t="str">
        <f>IFERROR(__xludf.DUMMYFUNCTION("""COMPUTED_VALUE""")," CI02")</f>
        <v>CI02</v>
      </c>
      <c r="AP547" s="71" t="str">
        <f>IFERROR(__xludf.DUMMYFUNCTION("""COMPUTED_VALUE""")," PZA")</f>
        <v>PZA</v>
      </c>
      <c r="AQ547" s="71" t="str">
        <f>IFERROR(__xludf.DUMMYFUNCTION("""COMPUTED_VALUE""")," REF")</f>
        <v>REF</v>
      </c>
      <c r="AR547" s="71" t="str">
        <f>IFERROR(__xludf.DUMMYFUNCTION("""COMPUTED_VALUE""")," CUÑA DE 1/4 X 2""")</f>
        <v>CUÑA DE 1/4 X 2"</v>
      </c>
      <c r="AS547" s="71" t="str">
        <f>IFERROR(__xludf.DUMMYFUNCTION("""COMPUTED_VALUE""")," CUNA DE 1/4 X 2")</f>
        <v>CUNA DE 1/4 X 2</v>
      </c>
      <c r="AT547" s="71">
        <f>IFERROR(__xludf.DUMMYFUNCTION("""COMPUTED_VALUE"""),15.0)</f>
        <v>15</v>
      </c>
      <c r="AU547" s="71"/>
      <c r="AV547" s="71"/>
      <c r="AW547" s="71"/>
      <c r="AX547" s="71"/>
      <c r="AY547" s="71">
        <f>IFERROR(__xludf.DUMMYFUNCTION("""COMPUTED_VALUE"""),8.0)</f>
        <v>8</v>
      </c>
      <c r="AZ547" s="71">
        <f>IFERROR(__xludf.DUMMYFUNCTION("""COMPUTED_VALUE"""),8.0)</f>
        <v>8</v>
      </c>
      <c r="BA547" s="71">
        <f>IFERROR(__xludf.DUMMYFUNCTION("""COMPUTED_VALUE"""),8.64)</f>
        <v>8.64</v>
      </c>
      <c r="BB547" s="71">
        <f>IFERROR(__xludf.DUMMYFUNCTION("""COMPUTED_VALUE"""),8.64)</f>
        <v>8.64</v>
      </c>
      <c r="BC547" s="71">
        <f>IFERROR(__xludf.DUMMYFUNCTION("""COMPUTED_VALUE"""),10.0)</f>
        <v>10</v>
      </c>
      <c r="BD547" s="71">
        <f>IFERROR(__xludf.DUMMYFUNCTION("""COMPUTED_VALUE"""),10.5)</f>
        <v>10.5</v>
      </c>
      <c r="BE547" s="71">
        <f>IFERROR(__xludf.DUMMYFUNCTION("""COMPUTED_VALUE"""),1.68)</f>
        <v>1.68</v>
      </c>
      <c r="BF547" s="71">
        <f>IFERROR(__xludf.DUMMYFUNCTION("""COMPUTED_VALUE"""),12.18)</f>
        <v>12.18</v>
      </c>
      <c r="BG547" s="71">
        <f>IFERROR(__xludf.DUMMYFUNCTION("""COMPUTED_VALUE"""),0.05)</f>
        <v>0.05</v>
      </c>
      <c r="BH547" s="71">
        <f>IFERROR(__xludf.DUMMYFUNCTION("""COMPUTED_VALUE"""),9.975)</f>
        <v>9.975</v>
      </c>
      <c r="BI547" s="71">
        <f>IFERROR(__xludf.DUMMYFUNCTION("""COMPUTED_VALUE"""),1.596)</f>
        <v>1.596</v>
      </c>
      <c r="BJ547" s="71">
        <f>IFERROR(__xludf.DUMMYFUNCTION("""COMPUTED_VALUE"""),11.571)</f>
        <v>11.571</v>
      </c>
      <c r="BK547" s="71">
        <f>IFERROR(__xludf.DUMMYFUNCTION("""COMPUTED_VALUE"""),9.450000000000001)</f>
        <v>9.45</v>
      </c>
      <c r="BL547" s="71">
        <f>IFERROR(__xludf.DUMMYFUNCTION("""COMPUTED_VALUE"""),1.5120000000000002)</f>
        <v>1.512</v>
      </c>
      <c r="BM547" s="71">
        <f>IFERROR(__xludf.DUMMYFUNCTION("""COMPUTED_VALUE"""),10.962000000000002)</f>
        <v>10.962</v>
      </c>
      <c r="BN547" s="71">
        <f>IFERROR(__xludf.DUMMYFUNCTION("""COMPUTED_VALUE"""),8.924999999999999)</f>
        <v>8.925</v>
      </c>
      <c r="BO547" s="71">
        <f>IFERROR(__xludf.DUMMYFUNCTION("""COMPUTED_VALUE"""),1.428)</f>
        <v>1.428</v>
      </c>
      <c r="BP547" s="71">
        <f>IFERROR(__xludf.DUMMYFUNCTION("""COMPUTED_VALUE"""),10.352999999999998)</f>
        <v>10.353</v>
      </c>
      <c r="BQ547" s="71">
        <f>IFERROR(__xludf.DUMMYFUNCTION("""COMPUTED_VALUE"""),8.715)</f>
        <v>8.715</v>
      </c>
      <c r="BR547" s="71">
        <f>IFERROR(__xludf.DUMMYFUNCTION("""COMPUTED_VALUE"""),1.3944)</f>
        <v>1.3944</v>
      </c>
      <c r="BS547" s="71">
        <f>IFERROR(__xludf.DUMMYFUNCTION("""COMPUTED_VALUE"""),10.1094)</f>
        <v>10.1094</v>
      </c>
      <c r="BT547" s="71">
        <f>IFERROR(__xludf.DUMMYFUNCTION("""COMPUTED_VALUE"""),8.4)</f>
        <v>8.4</v>
      </c>
      <c r="BU547" s="71">
        <f>IFERROR(__xludf.DUMMYFUNCTION("""COMPUTED_VALUE"""),1.344)</f>
        <v>1.344</v>
      </c>
      <c r="BV547" s="71">
        <f>IFERROR(__xludf.DUMMYFUNCTION("""COMPUTED_VALUE"""),9.744)</f>
        <v>9.744</v>
      </c>
    </row>
    <row r="548">
      <c r="A548" s="53">
        <v>1.0</v>
      </c>
      <c r="B548" s="72"/>
      <c r="C548" s="120" t="s">
        <v>603</v>
      </c>
      <c r="D548" s="74" t="s">
        <v>1356</v>
      </c>
      <c r="E548" s="54" t="s">
        <v>38</v>
      </c>
      <c r="F548" s="54" t="s">
        <v>42</v>
      </c>
      <c r="G548" s="141" t="s">
        <v>1357</v>
      </c>
      <c r="H548" s="141" t="s">
        <v>1357</v>
      </c>
      <c r="I548" s="54">
        <f t="shared" si="24"/>
        <v>26</v>
      </c>
      <c r="J548" s="56"/>
      <c r="K548" s="75"/>
      <c r="L548" s="76"/>
      <c r="M548" s="59"/>
      <c r="N548" s="60">
        <v>162.0</v>
      </c>
      <c r="O548" s="61">
        <v>174.0</v>
      </c>
      <c r="P548" s="62">
        <v>90.0</v>
      </c>
      <c r="Q548" s="63">
        <v>90.0</v>
      </c>
      <c r="R548" s="64">
        <v>115.0</v>
      </c>
      <c r="S548" s="111">
        <v>121.0</v>
      </c>
      <c r="T548" s="65">
        <f t="shared" si="2"/>
        <v>19.36</v>
      </c>
      <c r="U548" s="65">
        <f t="shared" si="3"/>
        <v>140.36</v>
      </c>
      <c r="V548" s="66">
        <f t="shared" si="4"/>
        <v>0.05217391304</v>
      </c>
      <c r="W548" s="67">
        <f t="shared" si="5"/>
        <v>114.95</v>
      </c>
      <c r="X548" s="67">
        <f t="shared" si="6"/>
        <v>18.392</v>
      </c>
      <c r="Y548" s="67">
        <f t="shared" si="7"/>
        <v>133.342</v>
      </c>
      <c r="Z548" s="67">
        <f t="shared" si="8"/>
        <v>108.9</v>
      </c>
      <c r="AA548" s="67">
        <f t="shared" si="9"/>
        <v>17.424</v>
      </c>
      <c r="AB548" s="67">
        <f t="shared" si="10"/>
        <v>126.324</v>
      </c>
      <c r="AC548" s="67">
        <f t="shared" si="11"/>
        <v>102.85</v>
      </c>
      <c r="AD548" s="67">
        <f t="shared" si="12"/>
        <v>16.456</v>
      </c>
      <c r="AE548" s="67">
        <f t="shared" si="13"/>
        <v>119.306</v>
      </c>
      <c r="AF548" s="67">
        <f t="shared" si="14"/>
        <v>100.43</v>
      </c>
      <c r="AG548" s="67">
        <f t="shared" si="15"/>
        <v>16.0688</v>
      </c>
      <c r="AH548" s="67">
        <f t="shared" si="16"/>
        <v>116.4988</v>
      </c>
      <c r="AI548" s="67">
        <f t="shared" si="17"/>
        <v>96.8</v>
      </c>
      <c r="AJ548" s="68">
        <f t="shared" si="20"/>
        <v>15.488</v>
      </c>
      <c r="AK548" s="68">
        <f t="shared" si="21"/>
        <v>112.288</v>
      </c>
      <c r="AL548" s="70">
        <f>IFERROR(__xludf.DUMMYFUNCTION("""COMPUTED_VALUE"""),1.0)</f>
        <v>1</v>
      </c>
      <c r="AM548" s="70"/>
      <c r="AN548" s="71" t="str">
        <f>IFERROR(__xludf.DUMMYFUNCTION("""COMPUTED_VALUE""")," P")</f>
        <v>P</v>
      </c>
      <c r="AO548" s="71" t="str">
        <f>IFERROR(__xludf.DUMMYFUNCTION("""COMPUTED_VALUE""")," CI03")</f>
        <v>CI03</v>
      </c>
      <c r="AP548" s="71" t="str">
        <f>IFERROR(__xludf.DUMMYFUNCTION("""COMPUTED_VALUE""")," PZA")</f>
        <v>PZA</v>
      </c>
      <c r="AQ548" s="71" t="str">
        <f>IFERROR(__xludf.DUMMYFUNCTION("""COMPUTED_VALUE""")," REF")</f>
        <v>REF</v>
      </c>
      <c r="AR548" s="71" t="str">
        <f>IFERROR(__xludf.DUMMYFUNCTION("""COMPUTED_VALUE""")," CUÑA DE 3/16 X 2""")</f>
        <v>CUÑA DE 3/16 X 2"</v>
      </c>
      <c r="AS548" s="71" t="str">
        <f>IFERROR(__xludf.DUMMYFUNCTION("""COMPUTED_VALUE""")," CUNA DE 3/16 X 2")</f>
        <v>CUNA DE 3/16 X 2</v>
      </c>
      <c r="AT548" s="71">
        <f>IFERROR(__xludf.DUMMYFUNCTION("""COMPUTED_VALUE"""),16.0)</f>
        <v>16</v>
      </c>
      <c r="AU548" s="71"/>
      <c r="AV548" s="71"/>
      <c r="AW548" s="71"/>
      <c r="AX548" s="71"/>
      <c r="AY548" s="71">
        <f>IFERROR(__xludf.DUMMYFUNCTION("""COMPUTED_VALUE"""),8.0)</f>
        <v>8</v>
      </c>
      <c r="AZ548" s="71">
        <f>IFERROR(__xludf.DUMMYFUNCTION("""COMPUTED_VALUE"""),8.0)</f>
        <v>8</v>
      </c>
      <c r="BA548" s="71">
        <f>IFERROR(__xludf.DUMMYFUNCTION("""COMPUTED_VALUE"""),8.64)</f>
        <v>8.64</v>
      </c>
      <c r="BB548" s="71">
        <f>IFERROR(__xludf.DUMMYFUNCTION("""COMPUTED_VALUE"""),8.64)</f>
        <v>8.64</v>
      </c>
      <c r="BC548" s="71">
        <f>IFERROR(__xludf.DUMMYFUNCTION("""COMPUTED_VALUE"""),10.0)</f>
        <v>10</v>
      </c>
      <c r="BD548" s="71">
        <f>IFERROR(__xludf.DUMMYFUNCTION("""COMPUTED_VALUE"""),10.5)</f>
        <v>10.5</v>
      </c>
      <c r="BE548" s="71">
        <f>IFERROR(__xludf.DUMMYFUNCTION("""COMPUTED_VALUE"""),1.68)</f>
        <v>1.68</v>
      </c>
      <c r="BF548" s="71">
        <f>IFERROR(__xludf.DUMMYFUNCTION("""COMPUTED_VALUE"""),12.18)</f>
        <v>12.18</v>
      </c>
      <c r="BG548" s="71">
        <f>IFERROR(__xludf.DUMMYFUNCTION("""COMPUTED_VALUE"""),0.05)</f>
        <v>0.05</v>
      </c>
      <c r="BH548" s="71">
        <f>IFERROR(__xludf.DUMMYFUNCTION("""COMPUTED_VALUE"""),9.975)</f>
        <v>9.975</v>
      </c>
      <c r="BI548" s="71">
        <f>IFERROR(__xludf.DUMMYFUNCTION("""COMPUTED_VALUE"""),1.596)</f>
        <v>1.596</v>
      </c>
      <c r="BJ548" s="71">
        <f>IFERROR(__xludf.DUMMYFUNCTION("""COMPUTED_VALUE"""),11.571)</f>
        <v>11.571</v>
      </c>
      <c r="BK548" s="71">
        <f>IFERROR(__xludf.DUMMYFUNCTION("""COMPUTED_VALUE"""),9.450000000000001)</f>
        <v>9.45</v>
      </c>
      <c r="BL548" s="71">
        <f>IFERROR(__xludf.DUMMYFUNCTION("""COMPUTED_VALUE"""),1.5120000000000002)</f>
        <v>1.512</v>
      </c>
      <c r="BM548" s="71">
        <f>IFERROR(__xludf.DUMMYFUNCTION("""COMPUTED_VALUE"""),10.962000000000002)</f>
        <v>10.962</v>
      </c>
      <c r="BN548" s="71">
        <f>IFERROR(__xludf.DUMMYFUNCTION("""COMPUTED_VALUE"""),8.924999999999999)</f>
        <v>8.925</v>
      </c>
      <c r="BO548" s="71">
        <f>IFERROR(__xludf.DUMMYFUNCTION("""COMPUTED_VALUE"""),1.428)</f>
        <v>1.428</v>
      </c>
      <c r="BP548" s="71">
        <f>IFERROR(__xludf.DUMMYFUNCTION("""COMPUTED_VALUE"""),10.352999999999998)</f>
        <v>10.353</v>
      </c>
      <c r="BQ548" s="71">
        <f>IFERROR(__xludf.DUMMYFUNCTION("""COMPUTED_VALUE"""),8.715)</f>
        <v>8.715</v>
      </c>
      <c r="BR548" s="71">
        <f>IFERROR(__xludf.DUMMYFUNCTION("""COMPUTED_VALUE"""),1.3944)</f>
        <v>1.3944</v>
      </c>
      <c r="BS548" s="71">
        <f>IFERROR(__xludf.DUMMYFUNCTION("""COMPUTED_VALUE"""),10.1094)</f>
        <v>10.1094</v>
      </c>
      <c r="BT548" s="71">
        <f>IFERROR(__xludf.DUMMYFUNCTION("""COMPUTED_VALUE"""),8.4)</f>
        <v>8.4</v>
      </c>
      <c r="BU548" s="71">
        <f>IFERROR(__xludf.DUMMYFUNCTION("""COMPUTED_VALUE"""),1.344)</f>
        <v>1.344</v>
      </c>
      <c r="BV548" s="71">
        <f>IFERROR(__xludf.DUMMYFUNCTION("""COMPUTED_VALUE"""),9.744)</f>
        <v>9.744</v>
      </c>
    </row>
    <row r="549">
      <c r="A549" s="53">
        <v>1.0</v>
      </c>
      <c r="B549" s="72"/>
      <c r="C549" s="120" t="s">
        <v>603</v>
      </c>
      <c r="D549" s="74" t="s">
        <v>1358</v>
      </c>
      <c r="E549" s="54" t="s">
        <v>38</v>
      </c>
      <c r="F549" s="54" t="s">
        <v>42</v>
      </c>
      <c r="G549" s="141" t="s">
        <v>1359</v>
      </c>
      <c r="H549" s="141" t="s">
        <v>1359</v>
      </c>
      <c r="I549" s="54">
        <f t="shared" si="24"/>
        <v>23</v>
      </c>
      <c r="J549" s="56"/>
      <c r="K549" s="75"/>
      <c r="L549" s="76"/>
      <c r="M549" s="59"/>
      <c r="N549" s="60">
        <v>162.0</v>
      </c>
      <c r="O549" s="61">
        <v>174.0</v>
      </c>
      <c r="P549" s="62">
        <v>85.0</v>
      </c>
      <c r="Q549" s="63">
        <v>85.0</v>
      </c>
      <c r="R549" s="64">
        <v>115.0</v>
      </c>
      <c r="S549" s="111">
        <v>121.0</v>
      </c>
      <c r="T549" s="65">
        <f t="shared" si="2"/>
        <v>19.36</v>
      </c>
      <c r="U549" s="65">
        <f t="shared" si="3"/>
        <v>140.36</v>
      </c>
      <c r="V549" s="66">
        <f t="shared" si="4"/>
        <v>0.05217391304</v>
      </c>
      <c r="W549" s="67">
        <f t="shared" si="5"/>
        <v>114.95</v>
      </c>
      <c r="X549" s="67">
        <f t="shared" si="6"/>
        <v>18.392</v>
      </c>
      <c r="Y549" s="67">
        <f t="shared" si="7"/>
        <v>133.342</v>
      </c>
      <c r="Z549" s="67">
        <f t="shared" si="8"/>
        <v>108.9</v>
      </c>
      <c r="AA549" s="67">
        <f t="shared" si="9"/>
        <v>17.424</v>
      </c>
      <c r="AB549" s="67">
        <f t="shared" si="10"/>
        <v>126.324</v>
      </c>
      <c r="AC549" s="67">
        <f t="shared" si="11"/>
        <v>102.85</v>
      </c>
      <c r="AD549" s="67">
        <f t="shared" si="12"/>
        <v>16.456</v>
      </c>
      <c r="AE549" s="67">
        <f t="shared" si="13"/>
        <v>119.306</v>
      </c>
      <c r="AF549" s="67">
        <f t="shared" si="14"/>
        <v>100.43</v>
      </c>
      <c r="AG549" s="67">
        <f t="shared" si="15"/>
        <v>16.0688</v>
      </c>
      <c r="AH549" s="67">
        <f t="shared" si="16"/>
        <v>116.4988</v>
      </c>
      <c r="AI549" s="67">
        <f t="shared" si="17"/>
        <v>96.8</v>
      </c>
      <c r="AJ549" s="68">
        <f t="shared" si="20"/>
        <v>15.488</v>
      </c>
      <c r="AK549" s="68">
        <f t="shared" si="21"/>
        <v>112.288</v>
      </c>
      <c r="AL549" s="70">
        <f>IFERROR(__xludf.DUMMYFUNCTION("""COMPUTED_VALUE"""),1.0)</f>
        <v>1</v>
      </c>
      <c r="AM549" s="70"/>
      <c r="AN549" s="71" t="str">
        <f>IFERROR(__xludf.DUMMYFUNCTION("""COMPUTED_VALUE""")," P")</f>
        <v>P</v>
      </c>
      <c r="AO549" s="71" t="str">
        <f>IFERROR(__xludf.DUMMYFUNCTION("""COMPUTED_VALUE""")," CI04")</f>
        <v>CI04</v>
      </c>
      <c r="AP549" s="71" t="str">
        <f>IFERROR(__xludf.DUMMYFUNCTION("""COMPUTED_VALUE""")," PZA")</f>
        <v>PZA</v>
      </c>
      <c r="AQ549" s="71" t="str">
        <f>IFERROR(__xludf.DUMMYFUNCTION("""COMPUTED_VALUE""")," REF")</f>
        <v>REF</v>
      </c>
      <c r="AR549" s="71" t="str">
        <f>IFERROR(__xludf.DUMMYFUNCTION("""COMPUTED_VALUE""")," CUÑA DE 3/8 X 1""")</f>
        <v>CUÑA DE 3/8 X 1"</v>
      </c>
      <c r="AS549" s="71" t="str">
        <f>IFERROR(__xludf.DUMMYFUNCTION("""COMPUTED_VALUE""")," CUNA DE 3/8 X 1")</f>
        <v>CUNA DE 3/8 X 1</v>
      </c>
      <c r="AT549" s="71">
        <f>IFERROR(__xludf.DUMMYFUNCTION("""COMPUTED_VALUE"""),15.0)</f>
        <v>15</v>
      </c>
      <c r="AU549" s="71"/>
      <c r="AV549" s="71"/>
      <c r="AW549" s="71"/>
      <c r="AX549" s="71"/>
      <c r="AY549" s="71">
        <f>IFERROR(__xludf.DUMMYFUNCTION("""COMPUTED_VALUE"""),8.0)</f>
        <v>8</v>
      </c>
      <c r="AZ549" s="71">
        <f>IFERROR(__xludf.DUMMYFUNCTION("""COMPUTED_VALUE"""),8.0)</f>
        <v>8</v>
      </c>
      <c r="BA549" s="71">
        <f>IFERROR(__xludf.DUMMYFUNCTION("""COMPUTED_VALUE"""),8.64)</f>
        <v>8.64</v>
      </c>
      <c r="BB549" s="71">
        <f>IFERROR(__xludf.DUMMYFUNCTION("""COMPUTED_VALUE"""),8.64)</f>
        <v>8.64</v>
      </c>
      <c r="BC549" s="71">
        <f>IFERROR(__xludf.DUMMYFUNCTION("""COMPUTED_VALUE"""),10.0)</f>
        <v>10</v>
      </c>
      <c r="BD549" s="71">
        <f>IFERROR(__xludf.DUMMYFUNCTION("""COMPUTED_VALUE"""),10.5)</f>
        <v>10.5</v>
      </c>
      <c r="BE549" s="71">
        <f>IFERROR(__xludf.DUMMYFUNCTION("""COMPUTED_VALUE"""),1.68)</f>
        <v>1.68</v>
      </c>
      <c r="BF549" s="71">
        <f>IFERROR(__xludf.DUMMYFUNCTION("""COMPUTED_VALUE"""),12.18)</f>
        <v>12.18</v>
      </c>
      <c r="BG549" s="71">
        <f>IFERROR(__xludf.DUMMYFUNCTION("""COMPUTED_VALUE"""),0.05)</f>
        <v>0.05</v>
      </c>
      <c r="BH549" s="71">
        <f>IFERROR(__xludf.DUMMYFUNCTION("""COMPUTED_VALUE"""),9.975)</f>
        <v>9.975</v>
      </c>
      <c r="BI549" s="71">
        <f>IFERROR(__xludf.DUMMYFUNCTION("""COMPUTED_VALUE"""),1.596)</f>
        <v>1.596</v>
      </c>
      <c r="BJ549" s="71">
        <f>IFERROR(__xludf.DUMMYFUNCTION("""COMPUTED_VALUE"""),11.571)</f>
        <v>11.571</v>
      </c>
      <c r="BK549" s="71">
        <f>IFERROR(__xludf.DUMMYFUNCTION("""COMPUTED_VALUE"""),9.450000000000001)</f>
        <v>9.45</v>
      </c>
      <c r="BL549" s="71">
        <f>IFERROR(__xludf.DUMMYFUNCTION("""COMPUTED_VALUE"""),1.5120000000000002)</f>
        <v>1.512</v>
      </c>
      <c r="BM549" s="71">
        <f>IFERROR(__xludf.DUMMYFUNCTION("""COMPUTED_VALUE"""),10.962000000000002)</f>
        <v>10.962</v>
      </c>
      <c r="BN549" s="71">
        <f>IFERROR(__xludf.DUMMYFUNCTION("""COMPUTED_VALUE"""),8.924999999999999)</f>
        <v>8.925</v>
      </c>
      <c r="BO549" s="71">
        <f>IFERROR(__xludf.DUMMYFUNCTION("""COMPUTED_VALUE"""),1.428)</f>
        <v>1.428</v>
      </c>
      <c r="BP549" s="71">
        <f>IFERROR(__xludf.DUMMYFUNCTION("""COMPUTED_VALUE"""),10.352999999999998)</f>
        <v>10.353</v>
      </c>
      <c r="BQ549" s="71">
        <f>IFERROR(__xludf.DUMMYFUNCTION("""COMPUTED_VALUE"""),8.715)</f>
        <v>8.715</v>
      </c>
      <c r="BR549" s="71">
        <f>IFERROR(__xludf.DUMMYFUNCTION("""COMPUTED_VALUE"""),1.3944)</f>
        <v>1.3944</v>
      </c>
      <c r="BS549" s="71">
        <f>IFERROR(__xludf.DUMMYFUNCTION("""COMPUTED_VALUE"""),10.1094)</f>
        <v>10.1094</v>
      </c>
      <c r="BT549" s="71">
        <f>IFERROR(__xludf.DUMMYFUNCTION("""COMPUTED_VALUE"""),8.4)</f>
        <v>8.4</v>
      </c>
      <c r="BU549" s="71">
        <f>IFERROR(__xludf.DUMMYFUNCTION("""COMPUTED_VALUE"""),1.344)</f>
        <v>1.344</v>
      </c>
      <c r="BV549" s="71">
        <f>IFERROR(__xludf.DUMMYFUNCTION("""COMPUTED_VALUE"""),9.744)</f>
        <v>9.744</v>
      </c>
    </row>
    <row r="550">
      <c r="A550" s="53">
        <v>1.0</v>
      </c>
      <c r="B550" s="72"/>
      <c r="C550" s="120" t="s">
        <v>603</v>
      </c>
      <c r="D550" s="74" t="s">
        <v>1360</v>
      </c>
      <c r="E550" s="122" t="s">
        <v>38</v>
      </c>
      <c r="F550" s="54" t="s">
        <v>42</v>
      </c>
      <c r="G550" s="141" t="s">
        <v>1361</v>
      </c>
      <c r="H550" s="141" t="s">
        <v>1361</v>
      </c>
      <c r="I550" s="54">
        <f t="shared" si="24"/>
        <v>21</v>
      </c>
      <c r="J550" s="56"/>
      <c r="K550" s="75"/>
      <c r="L550" s="76"/>
      <c r="M550" s="59"/>
      <c r="N550" s="60">
        <v>162.0</v>
      </c>
      <c r="O550" s="61">
        <v>174.0</v>
      </c>
      <c r="P550" s="62">
        <v>85.0</v>
      </c>
      <c r="Q550" s="63">
        <v>85.0</v>
      </c>
      <c r="R550" s="64">
        <v>115.0</v>
      </c>
      <c r="S550" s="111">
        <v>121.0</v>
      </c>
      <c r="T550" s="65">
        <f t="shared" si="2"/>
        <v>19.36</v>
      </c>
      <c r="U550" s="65">
        <f t="shared" si="3"/>
        <v>140.36</v>
      </c>
      <c r="V550" s="66">
        <f t="shared" si="4"/>
        <v>0.05217391304</v>
      </c>
      <c r="W550" s="67">
        <f t="shared" si="5"/>
        <v>114.95</v>
      </c>
      <c r="X550" s="67">
        <f t="shared" si="6"/>
        <v>18.392</v>
      </c>
      <c r="Y550" s="67">
        <f t="shared" si="7"/>
        <v>133.342</v>
      </c>
      <c r="Z550" s="67">
        <f t="shared" si="8"/>
        <v>108.9</v>
      </c>
      <c r="AA550" s="67">
        <f t="shared" si="9"/>
        <v>17.424</v>
      </c>
      <c r="AB550" s="67">
        <f t="shared" si="10"/>
        <v>126.324</v>
      </c>
      <c r="AC550" s="67">
        <f t="shared" si="11"/>
        <v>102.85</v>
      </c>
      <c r="AD550" s="67">
        <f t="shared" si="12"/>
        <v>16.456</v>
      </c>
      <c r="AE550" s="67">
        <f t="shared" si="13"/>
        <v>119.306</v>
      </c>
      <c r="AF550" s="67">
        <f t="shared" si="14"/>
        <v>100.43</v>
      </c>
      <c r="AG550" s="67">
        <f t="shared" si="15"/>
        <v>16.0688</v>
      </c>
      <c r="AH550" s="67">
        <f t="shared" si="16"/>
        <v>116.4988</v>
      </c>
      <c r="AI550" s="67">
        <f t="shared" si="17"/>
        <v>96.8</v>
      </c>
      <c r="AJ550" s="68">
        <f t="shared" si="20"/>
        <v>15.488</v>
      </c>
      <c r="AK550" s="68">
        <f t="shared" si="21"/>
        <v>112.288</v>
      </c>
      <c r="AL550" s="70">
        <f>IFERROR(__xludf.DUMMYFUNCTION("""COMPUTED_VALUE"""),1.0)</f>
        <v>1</v>
      </c>
      <c r="AM550" s="70"/>
      <c r="AN550" s="71" t="str">
        <f>IFERROR(__xludf.DUMMYFUNCTION("""COMPUTED_VALUE""")," P")</f>
        <v>P</v>
      </c>
      <c r="AO550" s="71" t="str">
        <f>IFERROR(__xludf.DUMMYFUNCTION("""COMPUTED_VALUE""")," CI05")</f>
        <v>CI05</v>
      </c>
      <c r="AP550" s="71" t="str">
        <f>IFERROR(__xludf.DUMMYFUNCTION("""COMPUTED_VALUE""")," PZA")</f>
        <v>PZA</v>
      </c>
      <c r="AQ550" s="71" t="str">
        <f>IFERROR(__xludf.DUMMYFUNCTION("""COMPUTED_VALUE""")," REF")</f>
        <v>REF</v>
      </c>
      <c r="AR550" s="71" t="str">
        <f>IFERROR(__xludf.DUMMYFUNCTION("""COMPUTED_VALUE""")," CUÑA DE 3/8 X 2""")</f>
        <v>CUÑA DE 3/8 X 2"</v>
      </c>
      <c r="AS550" s="71" t="str">
        <f>IFERROR(__xludf.DUMMYFUNCTION("""COMPUTED_VALUE""")," CUNA DE 3/8 X 2")</f>
        <v>CUNA DE 3/8 X 2</v>
      </c>
      <c r="AT550" s="71">
        <f>IFERROR(__xludf.DUMMYFUNCTION("""COMPUTED_VALUE"""),15.0)</f>
        <v>15</v>
      </c>
      <c r="AU550" s="71"/>
      <c r="AV550" s="71"/>
      <c r="AW550" s="71"/>
      <c r="AX550" s="71"/>
      <c r="AY550" s="71">
        <f>IFERROR(__xludf.DUMMYFUNCTION("""COMPUTED_VALUE"""),8.0)</f>
        <v>8</v>
      </c>
      <c r="AZ550" s="71">
        <f>IFERROR(__xludf.DUMMYFUNCTION("""COMPUTED_VALUE"""),8.0)</f>
        <v>8</v>
      </c>
      <c r="BA550" s="71">
        <f>IFERROR(__xludf.DUMMYFUNCTION("""COMPUTED_VALUE"""),8.64)</f>
        <v>8.64</v>
      </c>
      <c r="BB550" s="71">
        <f>IFERROR(__xludf.DUMMYFUNCTION("""COMPUTED_VALUE"""),8.64)</f>
        <v>8.64</v>
      </c>
      <c r="BC550" s="71">
        <f>IFERROR(__xludf.DUMMYFUNCTION("""COMPUTED_VALUE"""),10.0)</f>
        <v>10</v>
      </c>
      <c r="BD550" s="71">
        <f>IFERROR(__xludf.DUMMYFUNCTION("""COMPUTED_VALUE"""),10.5)</f>
        <v>10.5</v>
      </c>
      <c r="BE550" s="71">
        <f>IFERROR(__xludf.DUMMYFUNCTION("""COMPUTED_VALUE"""),1.68)</f>
        <v>1.68</v>
      </c>
      <c r="BF550" s="71">
        <f>IFERROR(__xludf.DUMMYFUNCTION("""COMPUTED_VALUE"""),12.18)</f>
        <v>12.18</v>
      </c>
      <c r="BG550" s="71">
        <f>IFERROR(__xludf.DUMMYFUNCTION("""COMPUTED_VALUE"""),0.05)</f>
        <v>0.05</v>
      </c>
      <c r="BH550" s="71">
        <f>IFERROR(__xludf.DUMMYFUNCTION("""COMPUTED_VALUE"""),9.975)</f>
        <v>9.975</v>
      </c>
      <c r="BI550" s="71">
        <f>IFERROR(__xludf.DUMMYFUNCTION("""COMPUTED_VALUE"""),1.596)</f>
        <v>1.596</v>
      </c>
      <c r="BJ550" s="71">
        <f>IFERROR(__xludf.DUMMYFUNCTION("""COMPUTED_VALUE"""),11.571)</f>
        <v>11.571</v>
      </c>
      <c r="BK550" s="71">
        <f>IFERROR(__xludf.DUMMYFUNCTION("""COMPUTED_VALUE"""),9.450000000000001)</f>
        <v>9.45</v>
      </c>
      <c r="BL550" s="71">
        <f>IFERROR(__xludf.DUMMYFUNCTION("""COMPUTED_VALUE"""),1.5120000000000002)</f>
        <v>1.512</v>
      </c>
      <c r="BM550" s="71">
        <f>IFERROR(__xludf.DUMMYFUNCTION("""COMPUTED_VALUE"""),10.962000000000002)</f>
        <v>10.962</v>
      </c>
      <c r="BN550" s="71">
        <f>IFERROR(__xludf.DUMMYFUNCTION("""COMPUTED_VALUE"""),8.924999999999999)</f>
        <v>8.925</v>
      </c>
      <c r="BO550" s="71">
        <f>IFERROR(__xludf.DUMMYFUNCTION("""COMPUTED_VALUE"""),1.428)</f>
        <v>1.428</v>
      </c>
      <c r="BP550" s="71">
        <f>IFERROR(__xludf.DUMMYFUNCTION("""COMPUTED_VALUE"""),10.352999999999998)</f>
        <v>10.353</v>
      </c>
      <c r="BQ550" s="71">
        <f>IFERROR(__xludf.DUMMYFUNCTION("""COMPUTED_VALUE"""),8.715)</f>
        <v>8.715</v>
      </c>
      <c r="BR550" s="71">
        <f>IFERROR(__xludf.DUMMYFUNCTION("""COMPUTED_VALUE"""),1.3944)</f>
        <v>1.3944</v>
      </c>
      <c r="BS550" s="71">
        <f>IFERROR(__xludf.DUMMYFUNCTION("""COMPUTED_VALUE"""),10.1094)</f>
        <v>10.1094</v>
      </c>
      <c r="BT550" s="71">
        <f>IFERROR(__xludf.DUMMYFUNCTION("""COMPUTED_VALUE"""),8.4)</f>
        <v>8.4</v>
      </c>
      <c r="BU550" s="71">
        <f>IFERROR(__xludf.DUMMYFUNCTION("""COMPUTED_VALUE"""),1.344)</f>
        <v>1.344</v>
      </c>
      <c r="BV550" s="71">
        <f>IFERROR(__xludf.DUMMYFUNCTION("""COMPUTED_VALUE"""),9.744)</f>
        <v>9.744</v>
      </c>
    </row>
    <row r="551">
      <c r="A551" s="53">
        <v>1.0</v>
      </c>
      <c r="B551" s="72"/>
      <c r="C551" s="120" t="s">
        <v>603</v>
      </c>
      <c r="D551" s="74" t="s">
        <v>1362</v>
      </c>
      <c r="E551" s="54" t="s">
        <v>38</v>
      </c>
      <c r="F551" s="54" t="s">
        <v>42</v>
      </c>
      <c r="G551" s="141" t="s">
        <v>1363</v>
      </c>
      <c r="H551" s="141" t="s">
        <v>1363</v>
      </c>
      <c r="I551" s="54">
        <f t="shared" si="24"/>
        <v>21</v>
      </c>
      <c r="J551" s="56"/>
      <c r="K551" s="143"/>
      <c r="L551" s="76"/>
      <c r="M551" s="59"/>
      <c r="N551" s="60">
        <v>162.0</v>
      </c>
      <c r="O551" s="61">
        <v>174.0</v>
      </c>
      <c r="P551" s="62">
        <v>85.0</v>
      </c>
      <c r="Q551" s="63">
        <v>85.0</v>
      </c>
      <c r="R551" s="64">
        <v>115.0</v>
      </c>
      <c r="S551" s="111">
        <v>121.0</v>
      </c>
      <c r="T551" s="65">
        <f t="shared" si="2"/>
        <v>19.36</v>
      </c>
      <c r="U551" s="65">
        <f t="shared" si="3"/>
        <v>140.36</v>
      </c>
      <c r="V551" s="66">
        <f t="shared" si="4"/>
        <v>0.05217391304</v>
      </c>
      <c r="W551" s="67">
        <f t="shared" si="5"/>
        <v>114.95</v>
      </c>
      <c r="X551" s="67">
        <f t="shared" si="6"/>
        <v>18.392</v>
      </c>
      <c r="Y551" s="67">
        <f t="shared" si="7"/>
        <v>133.342</v>
      </c>
      <c r="Z551" s="67">
        <f t="shared" si="8"/>
        <v>108.9</v>
      </c>
      <c r="AA551" s="67">
        <f t="shared" si="9"/>
        <v>17.424</v>
      </c>
      <c r="AB551" s="67">
        <f t="shared" si="10"/>
        <v>126.324</v>
      </c>
      <c r="AC551" s="67">
        <f t="shared" si="11"/>
        <v>102.85</v>
      </c>
      <c r="AD551" s="67">
        <f t="shared" si="12"/>
        <v>16.456</v>
      </c>
      <c r="AE551" s="67">
        <f t="shared" si="13"/>
        <v>119.306</v>
      </c>
      <c r="AF551" s="67">
        <f t="shared" si="14"/>
        <v>100.43</v>
      </c>
      <c r="AG551" s="67">
        <f t="shared" si="15"/>
        <v>16.0688</v>
      </c>
      <c r="AH551" s="67">
        <f t="shared" si="16"/>
        <v>116.4988</v>
      </c>
      <c r="AI551" s="67">
        <f t="shared" si="17"/>
        <v>96.8</v>
      </c>
      <c r="AJ551" s="68">
        <f t="shared" si="20"/>
        <v>15.488</v>
      </c>
      <c r="AK551" s="68">
        <f t="shared" si="21"/>
        <v>112.288</v>
      </c>
      <c r="AL551" s="70">
        <f>IFERROR(__xludf.DUMMYFUNCTION("""COMPUTED_VALUE"""),1.0)</f>
        <v>1</v>
      </c>
      <c r="AM551" s="70"/>
      <c r="AN551" s="71" t="str">
        <f>IFERROR(__xludf.DUMMYFUNCTION("""COMPUTED_VALUE""")," P")</f>
        <v>P</v>
      </c>
      <c r="AO551" s="71" t="str">
        <f>IFERROR(__xludf.DUMMYFUNCTION("""COMPUTED_VALUE""")," CI06")</f>
        <v>CI06</v>
      </c>
      <c r="AP551" s="71" t="str">
        <f>IFERROR(__xludf.DUMMYFUNCTION("""COMPUTED_VALUE""")," PZA")</f>
        <v>PZA</v>
      </c>
      <c r="AQ551" s="71" t="str">
        <f>IFERROR(__xludf.DUMMYFUNCTION("""COMPUTED_VALUE""")," REF")</f>
        <v>REF</v>
      </c>
      <c r="AR551" s="71" t="str">
        <f>IFERROR(__xludf.DUMMYFUNCTION("""COMPUTED_VALUE""")," CUÑA DE 5/16 X 1""")</f>
        <v>CUÑA DE 5/16 X 1"</v>
      </c>
      <c r="AS551" s="71" t="str">
        <f>IFERROR(__xludf.DUMMYFUNCTION("""COMPUTED_VALUE""")," CUNA DE 5/16 X 1")</f>
        <v>CUNA DE 5/16 X 1</v>
      </c>
      <c r="AT551" s="71">
        <f>IFERROR(__xludf.DUMMYFUNCTION("""COMPUTED_VALUE"""),16.0)</f>
        <v>16</v>
      </c>
      <c r="AU551" s="71"/>
      <c r="AV551" s="71"/>
      <c r="AW551" s="71"/>
      <c r="AX551" s="71"/>
      <c r="AY551" s="71">
        <f>IFERROR(__xludf.DUMMYFUNCTION("""COMPUTED_VALUE"""),8.0)</f>
        <v>8</v>
      </c>
      <c r="AZ551" s="71">
        <f>IFERROR(__xludf.DUMMYFUNCTION("""COMPUTED_VALUE"""),8.0)</f>
        <v>8</v>
      </c>
      <c r="BA551" s="71">
        <f>IFERROR(__xludf.DUMMYFUNCTION("""COMPUTED_VALUE"""),8.64)</f>
        <v>8.64</v>
      </c>
      <c r="BB551" s="71">
        <f>IFERROR(__xludf.DUMMYFUNCTION("""COMPUTED_VALUE"""),8.64)</f>
        <v>8.64</v>
      </c>
      <c r="BC551" s="71">
        <f>IFERROR(__xludf.DUMMYFUNCTION("""COMPUTED_VALUE"""),10.0)</f>
        <v>10</v>
      </c>
      <c r="BD551" s="71">
        <f>IFERROR(__xludf.DUMMYFUNCTION("""COMPUTED_VALUE"""),10.5)</f>
        <v>10.5</v>
      </c>
      <c r="BE551" s="71">
        <f>IFERROR(__xludf.DUMMYFUNCTION("""COMPUTED_VALUE"""),1.68)</f>
        <v>1.68</v>
      </c>
      <c r="BF551" s="71">
        <f>IFERROR(__xludf.DUMMYFUNCTION("""COMPUTED_VALUE"""),12.18)</f>
        <v>12.18</v>
      </c>
      <c r="BG551" s="71">
        <f>IFERROR(__xludf.DUMMYFUNCTION("""COMPUTED_VALUE"""),0.05)</f>
        <v>0.05</v>
      </c>
      <c r="BH551" s="71">
        <f>IFERROR(__xludf.DUMMYFUNCTION("""COMPUTED_VALUE"""),9.975)</f>
        <v>9.975</v>
      </c>
      <c r="BI551" s="71">
        <f>IFERROR(__xludf.DUMMYFUNCTION("""COMPUTED_VALUE"""),1.596)</f>
        <v>1.596</v>
      </c>
      <c r="BJ551" s="71">
        <f>IFERROR(__xludf.DUMMYFUNCTION("""COMPUTED_VALUE"""),11.571)</f>
        <v>11.571</v>
      </c>
      <c r="BK551" s="71">
        <f>IFERROR(__xludf.DUMMYFUNCTION("""COMPUTED_VALUE"""),9.450000000000001)</f>
        <v>9.45</v>
      </c>
      <c r="BL551" s="71">
        <f>IFERROR(__xludf.DUMMYFUNCTION("""COMPUTED_VALUE"""),1.5120000000000002)</f>
        <v>1.512</v>
      </c>
      <c r="BM551" s="71">
        <f>IFERROR(__xludf.DUMMYFUNCTION("""COMPUTED_VALUE"""),10.962000000000002)</f>
        <v>10.962</v>
      </c>
      <c r="BN551" s="71">
        <f>IFERROR(__xludf.DUMMYFUNCTION("""COMPUTED_VALUE"""),8.924999999999999)</f>
        <v>8.925</v>
      </c>
      <c r="BO551" s="71">
        <f>IFERROR(__xludf.DUMMYFUNCTION("""COMPUTED_VALUE"""),1.428)</f>
        <v>1.428</v>
      </c>
      <c r="BP551" s="71">
        <f>IFERROR(__xludf.DUMMYFUNCTION("""COMPUTED_VALUE"""),10.352999999999998)</f>
        <v>10.353</v>
      </c>
      <c r="BQ551" s="71">
        <f>IFERROR(__xludf.DUMMYFUNCTION("""COMPUTED_VALUE"""),8.715)</f>
        <v>8.715</v>
      </c>
      <c r="BR551" s="71">
        <f>IFERROR(__xludf.DUMMYFUNCTION("""COMPUTED_VALUE"""),1.3944)</f>
        <v>1.3944</v>
      </c>
      <c r="BS551" s="71">
        <f>IFERROR(__xludf.DUMMYFUNCTION("""COMPUTED_VALUE"""),10.1094)</f>
        <v>10.1094</v>
      </c>
      <c r="BT551" s="71">
        <f>IFERROR(__xludf.DUMMYFUNCTION("""COMPUTED_VALUE"""),8.4)</f>
        <v>8.4</v>
      </c>
      <c r="BU551" s="71">
        <f>IFERROR(__xludf.DUMMYFUNCTION("""COMPUTED_VALUE"""),1.344)</f>
        <v>1.344</v>
      </c>
      <c r="BV551" s="71">
        <f>IFERROR(__xludf.DUMMYFUNCTION("""COMPUTED_VALUE"""),9.744)</f>
        <v>9.744</v>
      </c>
    </row>
    <row r="552">
      <c r="A552" s="53">
        <v>1.0</v>
      </c>
      <c r="B552" s="53"/>
      <c r="C552" s="73" t="s">
        <v>603</v>
      </c>
      <c r="D552" s="53" t="s">
        <v>1364</v>
      </c>
      <c r="E552" s="54" t="s">
        <v>38</v>
      </c>
      <c r="F552" s="54" t="s">
        <v>42</v>
      </c>
      <c r="G552" s="141" t="s">
        <v>1365</v>
      </c>
      <c r="H552" s="141" t="s">
        <v>1365</v>
      </c>
      <c r="I552" s="54">
        <f t="shared" si="24"/>
        <v>29</v>
      </c>
      <c r="J552" s="56"/>
      <c r="K552" s="75"/>
      <c r="L552" s="76"/>
      <c r="M552" s="59"/>
      <c r="N552" s="79">
        <v>164.0</v>
      </c>
      <c r="O552" s="61">
        <v>177.0</v>
      </c>
      <c r="P552" s="63">
        <v>95.0</v>
      </c>
      <c r="Q552" s="63">
        <v>95.0</v>
      </c>
      <c r="R552" s="64">
        <v>103.0</v>
      </c>
      <c r="S552" s="111">
        <v>108.0</v>
      </c>
      <c r="T552" s="65">
        <f t="shared" si="2"/>
        <v>17.28</v>
      </c>
      <c r="U552" s="65">
        <f t="shared" si="3"/>
        <v>125.28</v>
      </c>
      <c r="V552" s="66">
        <f t="shared" si="4"/>
        <v>0.04854368932</v>
      </c>
      <c r="W552" s="67">
        <f t="shared" si="5"/>
        <v>102.6</v>
      </c>
      <c r="X552" s="67">
        <f t="shared" si="6"/>
        <v>16.416</v>
      </c>
      <c r="Y552" s="67">
        <f t="shared" si="7"/>
        <v>119.016</v>
      </c>
      <c r="Z552" s="67">
        <f t="shared" si="8"/>
        <v>97.2</v>
      </c>
      <c r="AA552" s="67">
        <f t="shared" si="9"/>
        <v>15.552</v>
      </c>
      <c r="AB552" s="67">
        <f t="shared" si="10"/>
        <v>112.752</v>
      </c>
      <c r="AC552" s="67">
        <f t="shared" si="11"/>
        <v>91.8</v>
      </c>
      <c r="AD552" s="67">
        <f t="shared" si="12"/>
        <v>14.688</v>
      </c>
      <c r="AE552" s="67">
        <f t="shared" si="13"/>
        <v>106.488</v>
      </c>
      <c r="AF552" s="67">
        <f t="shared" si="14"/>
        <v>89.64</v>
      </c>
      <c r="AG552" s="67">
        <f t="shared" si="15"/>
        <v>14.3424</v>
      </c>
      <c r="AH552" s="67">
        <f t="shared" si="16"/>
        <v>103.9824</v>
      </c>
      <c r="AI552" s="67">
        <f t="shared" si="17"/>
        <v>86.4</v>
      </c>
      <c r="AJ552" s="68">
        <f t="shared" si="20"/>
        <v>13.824</v>
      </c>
      <c r="AK552" s="68">
        <f t="shared" si="21"/>
        <v>100.224</v>
      </c>
      <c r="AL552" s="136">
        <f>IFERROR(__xludf.DUMMYFUNCTION("""COMPUTED_VALUE"""),1.0)</f>
        <v>1</v>
      </c>
      <c r="AM552" s="136"/>
      <c r="AN552" s="137" t="str">
        <f>IFERROR(__xludf.DUMMYFUNCTION("""COMPUTED_VALUE""")," P")</f>
        <v>P</v>
      </c>
      <c r="AO552" s="137" t="str">
        <f>IFERROR(__xludf.DUMMYFUNCTION("""COMPUTED_VALUE""")," DE02")</f>
        <v>DE02</v>
      </c>
      <c r="AP552" s="137" t="str">
        <f>IFERROR(__xludf.DUMMYFUNCTION("""COMPUTED_VALUE""")," PZA")</f>
        <v>PZA</v>
      </c>
      <c r="AQ552" s="137" t="str">
        <f>IFERROR(__xludf.DUMMYFUNCTION("""COMPUTED_VALUE""")," REF")</f>
        <v>REF</v>
      </c>
      <c r="AR552" s="137" t="str">
        <f>IFERROR(__xludf.DUMMYFUNCTION("""COMPUTED_VALUE""")," DESLIZADOR DELANTERO DÚPLEX ACERO INOXIDABLE")</f>
        <v>DESLIZADOR DELANTERO DÚPLEX ACERO INOXIDABLE</v>
      </c>
      <c r="AS552" s="137" t="str">
        <f>IFERROR(__xludf.DUMMYFUNCTION("""COMPUTED_VALUE""")," DESLIZADOR DELANTERO DPLX INOX")</f>
        <v>DESLIZADOR DELANTERO DPLX INOX</v>
      </c>
      <c r="AT552" s="137">
        <f>IFERROR(__xludf.DUMMYFUNCTION("""COMPUTED_VALUE"""),30.0)</f>
        <v>30</v>
      </c>
      <c r="AU552" s="137"/>
      <c r="AV552" s="137"/>
      <c r="AW552" s="137"/>
      <c r="AX552" s="137"/>
      <c r="AY552" s="137">
        <f>IFERROR(__xludf.DUMMYFUNCTION("""COMPUTED_VALUE"""),392.0)</f>
        <v>392</v>
      </c>
      <c r="AZ552" s="137">
        <f>IFERROR(__xludf.DUMMYFUNCTION("""COMPUTED_VALUE"""),423.0)</f>
        <v>423</v>
      </c>
      <c r="BA552" s="137">
        <f>IFERROR(__xludf.DUMMYFUNCTION("""COMPUTED_VALUE"""),456.84000000000003)</f>
        <v>456.84</v>
      </c>
      <c r="BB552" s="137">
        <f>IFERROR(__xludf.DUMMYFUNCTION("""COMPUTED_VALUE"""),456.84000000000003)</f>
        <v>456.84</v>
      </c>
      <c r="BC552" s="137">
        <f>IFERROR(__xludf.DUMMYFUNCTION("""COMPUTED_VALUE"""),510.0)</f>
        <v>510</v>
      </c>
      <c r="BD552" s="137">
        <f>IFERROR(__xludf.DUMMYFUNCTION("""COMPUTED_VALUE"""),536.0)</f>
        <v>536</v>
      </c>
      <c r="BE552" s="137">
        <f>IFERROR(__xludf.DUMMYFUNCTION("""COMPUTED_VALUE"""),85.76)</f>
        <v>85.76</v>
      </c>
      <c r="BF552" s="137">
        <f>IFERROR(__xludf.DUMMYFUNCTION("""COMPUTED_VALUE"""),621.76)</f>
        <v>621.76</v>
      </c>
      <c r="BG552" s="137">
        <f>IFERROR(__xludf.DUMMYFUNCTION("""COMPUTED_VALUE"""),0.050980392156862744)</f>
        <v>0.05098039216</v>
      </c>
      <c r="BH552" s="137">
        <f>IFERROR(__xludf.DUMMYFUNCTION("""COMPUTED_VALUE"""),509.2)</f>
        <v>509.2</v>
      </c>
      <c r="BI552" s="137">
        <f>IFERROR(__xludf.DUMMYFUNCTION("""COMPUTED_VALUE"""),81.472)</f>
        <v>81.472</v>
      </c>
      <c r="BJ552" s="137">
        <f>IFERROR(__xludf.DUMMYFUNCTION("""COMPUTED_VALUE"""),590.672)</f>
        <v>590.672</v>
      </c>
      <c r="BK552" s="137">
        <f>IFERROR(__xludf.DUMMYFUNCTION("""COMPUTED_VALUE"""),482.40000000000003)</f>
        <v>482.4</v>
      </c>
      <c r="BL552" s="137">
        <f>IFERROR(__xludf.DUMMYFUNCTION("""COMPUTED_VALUE"""),77.18400000000001)</f>
        <v>77.184</v>
      </c>
      <c r="BM552" s="137">
        <f>IFERROR(__xludf.DUMMYFUNCTION("""COMPUTED_VALUE"""),559.5840000000001)</f>
        <v>559.584</v>
      </c>
      <c r="BN552" s="137">
        <f>IFERROR(__xludf.DUMMYFUNCTION("""COMPUTED_VALUE"""),455.59999999999997)</f>
        <v>455.6</v>
      </c>
      <c r="BO552" s="137">
        <f>IFERROR(__xludf.DUMMYFUNCTION("""COMPUTED_VALUE"""),72.896)</f>
        <v>72.896</v>
      </c>
      <c r="BP552" s="137">
        <f>IFERROR(__xludf.DUMMYFUNCTION("""COMPUTED_VALUE"""),528.496)</f>
        <v>528.496</v>
      </c>
      <c r="BQ552" s="137">
        <f>IFERROR(__xludf.DUMMYFUNCTION("""COMPUTED_VALUE"""),444.88)</f>
        <v>444.88</v>
      </c>
      <c r="BR552" s="137">
        <f>IFERROR(__xludf.DUMMYFUNCTION("""COMPUTED_VALUE"""),71.1808)</f>
        <v>71.1808</v>
      </c>
      <c r="BS552" s="137">
        <f>IFERROR(__xludf.DUMMYFUNCTION("""COMPUTED_VALUE"""),516.0608)</f>
        <v>516.0608</v>
      </c>
      <c r="BT552" s="137">
        <f>IFERROR(__xludf.DUMMYFUNCTION("""COMPUTED_VALUE"""),428.8)</f>
        <v>428.8</v>
      </c>
      <c r="BU552" s="137">
        <f>IFERROR(__xludf.DUMMYFUNCTION("""COMPUTED_VALUE"""),68.608)</f>
        <v>68.608</v>
      </c>
      <c r="BV552" s="137">
        <f>IFERROR(__xludf.DUMMYFUNCTION("""COMPUTED_VALUE"""),497.408)</f>
        <v>497.408</v>
      </c>
    </row>
    <row r="553">
      <c r="A553" s="53">
        <v>1.0</v>
      </c>
      <c r="B553" s="72"/>
      <c r="C553" s="120" t="s">
        <v>603</v>
      </c>
      <c r="D553" s="53" t="s">
        <v>1366</v>
      </c>
      <c r="E553" s="54" t="s">
        <v>38</v>
      </c>
      <c r="F553" s="54" t="s">
        <v>42</v>
      </c>
      <c r="G553" s="141" t="s">
        <v>1367</v>
      </c>
      <c r="H553" s="141" t="s">
        <v>1367</v>
      </c>
      <c r="I553" s="54">
        <f t="shared" si="24"/>
        <v>25</v>
      </c>
      <c r="J553" s="56"/>
      <c r="K553" s="75"/>
      <c r="L553" s="76"/>
      <c r="M553" s="59"/>
      <c r="N553" s="79">
        <v>170.0</v>
      </c>
      <c r="O553" s="61">
        <v>183.0</v>
      </c>
      <c r="P553" s="62">
        <v>95.0</v>
      </c>
      <c r="Q553" s="63">
        <v>95.0</v>
      </c>
      <c r="R553" s="64">
        <v>103.0</v>
      </c>
      <c r="S553" s="111">
        <v>108.0</v>
      </c>
      <c r="T553" s="65">
        <f t="shared" si="2"/>
        <v>17.28</v>
      </c>
      <c r="U553" s="65">
        <f t="shared" si="3"/>
        <v>125.28</v>
      </c>
      <c r="V553" s="66">
        <f t="shared" si="4"/>
        <v>0.04854368932</v>
      </c>
      <c r="W553" s="67">
        <f t="shared" si="5"/>
        <v>102.6</v>
      </c>
      <c r="X553" s="67">
        <f t="shared" si="6"/>
        <v>16.416</v>
      </c>
      <c r="Y553" s="67">
        <f t="shared" si="7"/>
        <v>119.016</v>
      </c>
      <c r="Z553" s="67">
        <f t="shared" si="8"/>
        <v>97.2</v>
      </c>
      <c r="AA553" s="67">
        <f t="shared" si="9"/>
        <v>15.552</v>
      </c>
      <c r="AB553" s="67">
        <f t="shared" si="10"/>
        <v>112.752</v>
      </c>
      <c r="AC553" s="67">
        <f t="shared" si="11"/>
        <v>91.8</v>
      </c>
      <c r="AD553" s="67">
        <f t="shared" si="12"/>
        <v>14.688</v>
      </c>
      <c r="AE553" s="67">
        <f t="shared" si="13"/>
        <v>106.488</v>
      </c>
      <c r="AF553" s="67">
        <f t="shared" si="14"/>
        <v>89.64</v>
      </c>
      <c r="AG553" s="67">
        <f t="shared" si="15"/>
        <v>14.3424</v>
      </c>
      <c r="AH553" s="67">
        <f t="shared" si="16"/>
        <v>103.9824</v>
      </c>
      <c r="AI553" s="67">
        <f t="shared" si="17"/>
        <v>86.4</v>
      </c>
      <c r="AJ553" s="68">
        <f t="shared" si="20"/>
        <v>13.824</v>
      </c>
      <c r="AK553" s="68">
        <f t="shared" si="21"/>
        <v>100.224</v>
      </c>
      <c r="AL553" s="70">
        <f>IFERROR(__xludf.DUMMYFUNCTION("""COMPUTED_VALUE"""),1.0)</f>
        <v>1</v>
      </c>
      <c r="AM553" s="70"/>
      <c r="AN553" s="71" t="str">
        <f>IFERROR(__xludf.DUMMYFUNCTION("""COMPUTED_VALUE""")," P")</f>
        <v>P</v>
      </c>
      <c r="AO553" s="71" t="str">
        <f>IFERROR(__xludf.DUMMYFUNCTION("""COMPUTED_VALUE""")," DE01")</f>
        <v>DE01</v>
      </c>
      <c r="AP553" s="71" t="str">
        <f>IFERROR(__xludf.DUMMYFUNCTION("""COMPUTED_VALUE""")," PZA")</f>
        <v>PZA</v>
      </c>
      <c r="AQ553" s="71" t="str">
        <f>IFERROR(__xludf.DUMMYFUNCTION("""COMPUTED_VALUE""")," REF")</f>
        <v>REF</v>
      </c>
      <c r="AR553" s="71" t="str">
        <f>IFERROR(__xludf.DUMMYFUNCTION("""COMPUTED_VALUE""")," DESLIZADOR DELANTERO DÚPLEX FIERRO")</f>
        <v>DESLIZADOR DELANTERO DÚPLEX FIERRO</v>
      </c>
      <c r="AS553" s="71" t="str">
        <f>IFERROR(__xludf.DUMMYFUNCTION("""COMPUTED_VALUE""")," DESLIZADOR DELANTERO DPLX FIERRO")</f>
        <v>DESLIZADOR DELANTERO DPLX FIERRO</v>
      </c>
      <c r="AT553" s="71">
        <f>IFERROR(__xludf.DUMMYFUNCTION("""COMPUTED_VALUE"""),32.0)</f>
        <v>32</v>
      </c>
      <c r="AU553" s="71"/>
      <c r="AV553" s="71"/>
      <c r="AW553" s="71"/>
      <c r="AX553" s="71"/>
      <c r="AY553" s="71">
        <f>IFERROR(__xludf.DUMMYFUNCTION("""COMPUTED_VALUE"""),175.0)</f>
        <v>175</v>
      </c>
      <c r="AZ553" s="71">
        <f>IFERROR(__xludf.DUMMYFUNCTION("""COMPUTED_VALUE"""),189.0)</f>
        <v>189</v>
      </c>
      <c r="BA553" s="71">
        <f>IFERROR(__xludf.DUMMYFUNCTION("""COMPUTED_VALUE"""),204.12)</f>
        <v>204.12</v>
      </c>
      <c r="BB553" s="71">
        <f>IFERROR(__xludf.DUMMYFUNCTION("""COMPUTED_VALUE"""),204.12)</f>
        <v>204.12</v>
      </c>
      <c r="BC553" s="71">
        <f>IFERROR(__xludf.DUMMYFUNCTION("""COMPUTED_VALUE"""),228.0)</f>
        <v>228</v>
      </c>
      <c r="BD553" s="71">
        <f>IFERROR(__xludf.DUMMYFUNCTION("""COMPUTED_VALUE"""),239.0)</f>
        <v>239</v>
      </c>
      <c r="BE553" s="71">
        <f>IFERROR(__xludf.DUMMYFUNCTION("""COMPUTED_VALUE"""),38.24)</f>
        <v>38.24</v>
      </c>
      <c r="BF553" s="71">
        <f>IFERROR(__xludf.DUMMYFUNCTION("""COMPUTED_VALUE"""),277.24)</f>
        <v>277.24</v>
      </c>
      <c r="BG553" s="71">
        <f>IFERROR(__xludf.DUMMYFUNCTION("""COMPUTED_VALUE"""),0.04824561403508772)</f>
        <v>0.04824561404</v>
      </c>
      <c r="BH553" s="71">
        <f>IFERROR(__xludf.DUMMYFUNCTION("""COMPUTED_VALUE"""),227.04999999999998)</f>
        <v>227.05</v>
      </c>
      <c r="BI553" s="71">
        <f>IFERROR(__xludf.DUMMYFUNCTION("""COMPUTED_VALUE"""),36.327999999999996)</f>
        <v>36.328</v>
      </c>
      <c r="BJ553" s="71">
        <f>IFERROR(__xludf.DUMMYFUNCTION("""COMPUTED_VALUE"""),263.378)</f>
        <v>263.378</v>
      </c>
      <c r="BK553" s="71">
        <f>IFERROR(__xludf.DUMMYFUNCTION("""COMPUTED_VALUE"""),215.1)</f>
        <v>215.1</v>
      </c>
      <c r="BL553" s="71">
        <f>IFERROR(__xludf.DUMMYFUNCTION("""COMPUTED_VALUE"""),34.416)</f>
        <v>34.416</v>
      </c>
      <c r="BM553" s="71">
        <f>IFERROR(__xludf.DUMMYFUNCTION("""COMPUTED_VALUE"""),249.516)</f>
        <v>249.516</v>
      </c>
      <c r="BN553" s="71">
        <f>IFERROR(__xludf.DUMMYFUNCTION("""COMPUTED_VALUE"""),203.15)</f>
        <v>203.15</v>
      </c>
      <c r="BO553" s="71">
        <f>IFERROR(__xludf.DUMMYFUNCTION("""COMPUTED_VALUE"""),32.504000000000005)</f>
        <v>32.504</v>
      </c>
      <c r="BP553" s="71">
        <f>IFERROR(__xludf.DUMMYFUNCTION("""COMPUTED_VALUE"""),235.654)</f>
        <v>235.654</v>
      </c>
      <c r="BQ553" s="71">
        <f>IFERROR(__xludf.DUMMYFUNCTION("""COMPUTED_VALUE"""),198.37)</f>
        <v>198.37</v>
      </c>
      <c r="BR553" s="71">
        <f>IFERROR(__xludf.DUMMYFUNCTION("""COMPUTED_VALUE"""),31.7392)</f>
        <v>31.7392</v>
      </c>
      <c r="BS553" s="71">
        <f>IFERROR(__xludf.DUMMYFUNCTION("""COMPUTED_VALUE"""),230.10920000000002)</f>
        <v>230.1092</v>
      </c>
      <c r="BT553" s="71">
        <f>IFERROR(__xludf.DUMMYFUNCTION("""COMPUTED_VALUE"""),191.20000000000002)</f>
        <v>191.2</v>
      </c>
      <c r="BU553" s="71">
        <f>IFERROR(__xludf.DUMMYFUNCTION("""COMPUTED_VALUE"""),30.592000000000002)</f>
        <v>30.592</v>
      </c>
      <c r="BV553" s="71">
        <f>IFERROR(__xludf.DUMMYFUNCTION("""COMPUTED_VALUE"""),221.79200000000003)</f>
        <v>221.792</v>
      </c>
    </row>
    <row r="554">
      <c r="A554" s="53">
        <v>1.0</v>
      </c>
      <c r="B554" s="72"/>
      <c r="C554" s="73" t="s">
        <v>603</v>
      </c>
      <c r="D554" s="53" t="s">
        <v>1368</v>
      </c>
      <c r="E554" s="54" t="s">
        <v>38</v>
      </c>
      <c r="F554" s="54" t="s">
        <v>42</v>
      </c>
      <c r="G554" s="142" t="s">
        <v>1367</v>
      </c>
      <c r="H554" s="142" t="s">
        <v>1367</v>
      </c>
      <c r="I554" s="54">
        <f t="shared" si="24"/>
        <v>25</v>
      </c>
      <c r="J554" s="56"/>
      <c r="K554" s="75"/>
      <c r="L554" s="76" t="s">
        <v>1369</v>
      </c>
      <c r="M554" s="59"/>
      <c r="N554" s="60"/>
      <c r="O554" s="61">
        <v>249.0</v>
      </c>
      <c r="P554" s="62">
        <v>95.0</v>
      </c>
      <c r="Q554" s="63">
        <v>95.0</v>
      </c>
      <c r="R554" s="64">
        <v>100.0</v>
      </c>
      <c r="S554" s="111">
        <v>105.0</v>
      </c>
      <c r="T554" s="65">
        <f t="shared" si="2"/>
        <v>16.8</v>
      </c>
      <c r="U554" s="65">
        <f t="shared" si="3"/>
        <v>121.8</v>
      </c>
      <c r="V554" s="66">
        <f t="shared" si="4"/>
        <v>0.05</v>
      </c>
      <c r="W554" s="67">
        <f t="shared" si="5"/>
        <v>99.75</v>
      </c>
      <c r="X554" s="67">
        <f t="shared" si="6"/>
        <v>15.96</v>
      </c>
      <c r="Y554" s="67">
        <f t="shared" si="7"/>
        <v>115.71</v>
      </c>
      <c r="Z554" s="67">
        <f t="shared" si="8"/>
        <v>94.5</v>
      </c>
      <c r="AA554" s="67">
        <f t="shared" si="9"/>
        <v>15.12</v>
      </c>
      <c r="AB554" s="67">
        <f t="shared" si="10"/>
        <v>109.62</v>
      </c>
      <c r="AC554" s="67">
        <f t="shared" si="11"/>
        <v>89.25</v>
      </c>
      <c r="AD554" s="67">
        <f t="shared" si="12"/>
        <v>14.28</v>
      </c>
      <c r="AE554" s="67">
        <f t="shared" si="13"/>
        <v>103.53</v>
      </c>
      <c r="AF554" s="67">
        <f t="shared" si="14"/>
        <v>87.15</v>
      </c>
      <c r="AG554" s="67">
        <f t="shared" si="15"/>
        <v>13.944</v>
      </c>
      <c r="AH554" s="67">
        <f t="shared" si="16"/>
        <v>101.094</v>
      </c>
      <c r="AI554" s="67">
        <f t="shared" si="17"/>
        <v>84</v>
      </c>
      <c r="AJ554" s="68">
        <f t="shared" si="20"/>
        <v>13.44</v>
      </c>
      <c r="AK554" s="68">
        <f t="shared" si="21"/>
        <v>97.44</v>
      </c>
      <c r="AL554" s="136">
        <f>IFERROR(__xludf.DUMMYFUNCTION("""COMPUTED_VALUE"""),1.0)</f>
        <v>1</v>
      </c>
      <c r="AM554" s="70"/>
      <c r="AN554" s="71" t="str">
        <f>IFERROR(__xludf.DUMMYFUNCTION("""COMPUTED_VALUE""")," P")</f>
        <v>P</v>
      </c>
      <c r="AO554" s="71" t="str">
        <f>IFERROR(__xludf.DUMMYFUNCTION("""COMPUTED_VALUE""")," DE04")</f>
        <v>DE04</v>
      </c>
      <c r="AP554" s="71" t="str">
        <f>IFERROR(__xludf.DUMMYFUNCTION("""COMPUTED_VALUE""")," PZA")</f>
        <v>PZA</v>
      </c>
      <c r="AQ554" s="71" t="str">
        <f>IFERROR(__xludf.DUMMYFUNCTION("""COMPUTED_VALUE""")," REF")</f>
        <v>REF</v>
      </c>
      <c r="AR554" s="71" t="str">
        <f>IFERROR(__xludf.DUMMYFUNCTION("""COMPUTED_VALUE""")," DESLIZADOR DELANTERO SENCILLO ACERO INOXIDABLE")</f>
        <v>DESLIZADOR DELANTERO SENCILLO ACERO INOXIDABLE</v>
      </c>
      <c r="AS554" s="71" t="str">
        <f>IFERROR(__xludf.DUMMYFUNCTION("""COMPUTED_VALUE""")," DESLIZADOR DELANTERO SENCILLO INOX")</f>
        <v>DESLIZADOR DELANTERO SENCILLO INOX</v>
      </c>
      <c r="AT554" s="71">
        <f>IFERROR(__xludf.DUMMYFUNCTION("""COMPUTED_VALUE"""),34.0)</f>
        <v>34</v>
      </c>
      <c r="AU554" s="71"/>
      <c r="AV554" s="71"/>
      <c r="AW554" s="71"/>
      <c r="AX554" s="71"/>
      <c r="AY554" s="71">
        <f>IFERROR(__xludf.DUMMYFUNCTION("""COMPUTED_VALUE"""),291.0)</f>
        <v>291</v>
      </c>
      <c r="AZ554" s="71">
        <f>IFERROR(__xludf.DUMMYFUNCTION("""COMPUTED_VALUE"""),314.0)</f>
        <v>314</v>
      </c>
      <c r="BA554" s="71">
        <f>IFERROR(__xludf.DUMMYFUNCTION("""COMPUTED_VALUE"""),339.12)</f>
        <v>339.12</v>
      </c>
      <c r="BB554" s="71">
        <f>IFERROR(__xludf.DUMMYFUNCTION("""COMPUTED_VALUE"""),339.12)</f>
        <v>339.12</v>
      </c>
      <c r="BC554" s="71">
        <f>IFERROR(__xludf.DUMMYFUNCTION("""COMPUTED_VALUE"""),378.0)</f>
        <v>378</v>
      </c>
      <c r="BD554" s="71">
        <f>IFERROR(__xludf.DUMMYFUNCTION("""COMPUTED_VALUE"""),397.0)</f>
        <v>397</v>
      </c>
      <c r="BE554" s="71">
        <f>IFERROR(__xludf.DUMMYFUNCTION("""COMPUTED_VALUE"""),63.52)</f>
        <v>63.52</v>
      </c>
      <c r="BF554" s="71">
        <f>IFERROR(__xludf.DUMMYFUNCTION("""COMPUTED_VALUE"""),460.52)</f>
        <v>460.52</v>
      </c>
      <c r="BG554" s="71">
        <f>IFERROR(__xludf.DUMMYFUNCTION("""COMPUTED_VALUE"""),0.05026455026455026)</f>
        <v>0.05026455026</v>
      </c>
      <c r="BH554" s="71">
        <f>IFERROR(__xludf.DUMMYFUNCTION("""COMPUTED_VALUE"""),377.15)</f>
        <v>377.15</v>
      </c>
      <c r="BI554" s="71">
        <f>IFERROR(__xludf.DUMMYFUNCTION("""COMPUTED_VALUE"""),60.343999999999994)</f>
        <v>60.344</v>
      </c>
      <c r="BJ554" s="71">
        <f>IFERROR(__xludf.DUMMYFUNCTION("""COMPUTED_VALUE"""),437.49399999999997)</f>
        <v>437.494</v>
      </c>
      <c r="BK554" s="71">
        <f>IFERROR(__xludf.DUMMYFUNCTION("""COMPUTED_VALUE"""),357.3)</f>
        <v>357.3</v>
      </c>
      <c r="BL554" s="71">
        <f>IFERROR(__xludf.DUMMYFUNCTION("""COMPUTED_VALUE"""),57.168000000000006)</f>
        <v>57.168</v>
      </c>
      <c r="BM554" s="71">
        <f>IFERROR(__xludf.DUMMYFUNCTION("""COMPUTED_VALUE"""),414.468)</f>
        <v>414.468</v>
      </c>
      <c r="BN554" s="71">
        <f>IFERROR(__xludf.DUMMYFUNCTION("""COMPUTED_VALUE"""),337.45)</f>
        <v>337.45</v>
      </c>
      <c r="BO554" s="71">
        <f>IFERROR(__xludf.DUMMYFUNCTION("""COMPUTED_VALUE"""),53.992)</f>
        <v>53.992</v>
      </c>
      <c r="BP554" s="71">
        <f>IFERROR(__xludf.DUMMYFUNCTION("""COMPUTED_VALUE"""),391.442)</f>
        <v>391.442</v>
      </c>
      <c r="BQ554" s="71">
        <f>IFERROR(__xludf.DUMMYFUNCTION("""COMPUTED_VALUE"""),329.51)</f>
        <v>329.51</v>
      </c>
      <c r="BR554" s="71">
        <f>IFERROR(__xludf.DUMMYFUNCTION("""COMPUTED_VALUE"""),52.7216)</f>
        <v>52.7216</v>
      </c>
      <c r="BS554" s="71">
        <f>IFERROR(__xludf.DUMMYFUNCTION("""COMPUTED_VALUE"""),382.2316)</f>
        <v>382.2316</v>
      </c>
      <c r="BT554" s="71">
        <f>IFERROR(__xludf.DUMMYFUNCTION("""COMPUTED_VALUE"""),317.6)</f>
        <v>317.6</v>
      </c>
      <c r="BU554" s="71">
        <f>IFERROR(__xludf.DUMMYFUNCTION("""COMPUTED_VALUE"""),50.816)</f>
        <v>50.816</v>
      </c>
      <c r="BV554" s="71">
        <f>IFERROR(__xludf.DUMMYFUNCTION("""COMPUTED_VALUE"""),368.41600000000005)</f>
        <v>368.416</v>
      </c>
    </row>
    <row r="555">
      <c r="A555" s="53">
        <v>1.0</v>
      </c>
      <c r="B555" s="72"/>
      <c r="C555" s="120" t="s">
        <v>603</v>
      </c>
      <c r="D555" s="74" t="s">
        <v>1370</v>
      </c>
      <c r="E555" s="54" t="s">
        <v>38</v>
      </c>
      <c r="F555" s="54" t="s">
        <v>42</v>
      </c>
      <c r="G555" s="141" t="s">
        <v>1371</v>
      </c>
      <c r="H555" s="141" t="s">
        <v>1371</v>
      </c>
      <c r="I555" s="54">
        <f t="shared" si="24"/>
        <v>23</v>
      </c>
      <c r="J555" s="56"/>
      <c r="K555" s="75"/>
      <c r="L555" s="76"/>
      <c r="M555" s="59"/>
      <c r="N555" s="60">
        <v>164.0</v>
      </c>
      <c r="O555" s="61">
        <v>177.0</v>
      </c>
      <c r="P555" s="62">
        <v>95.0</v>
      </c>
      <c r="Q555" s="63">
        <v>95.0</v>
      </c>
      <c r="R555" s="64">
        <v>121.0</v>
      </c>
      <c r="S555" s="111">
        <v>127.0</v>
      </c>
      <c r="T555" s="65">
        <f t="shared" si="2"/>
        <v>20.32</v>
      </c>
      <c r="U555" s="65">
        <f t="shared" si="3"/>
        <v>147.32</v>
      </c>
      <c r="V555" s="66">
        <f t="shared" si="4"/>
        <v>0.04958677686</v>
      </c>
      <c r="W555" s="67">
        <f t="shared" si="5"/>
        <v>120.65</v>
      </c>
      <c r="X555" s="67">
        <f t="shared" si="6"/>
        <v>19.304</v>
      </c>
      <c r="Y555" s="67">
        <f t="shared" si="7"/>
        <v>139.954</v>
      </c>
      <c r="Z555" s="67">
        <f t="shared" si="8"/>
        <v>114.3</v>
      </c>
      <c r="AA555" s="67">
        <f t="shared" si="9"/>
        <v>18.288</v>
      </c>
      <c r="AB555" s="67">
        <f t="shared" si="10"/>
        <v>132.588</v>
      </c>
      <c r="AC555" s="67">
        <f t="shared" si="11"/>
        <v>107.95</v>
      </c>
      <c r="AD555" s="67">
        <f t="shared" si="12"/>
        <v>17.272</v>
      </c>
      <c r="AE555" s="67">
        <f t="shared" si="13"/>
        <v>125.222</v>
      </c>
      <c r="AF555" s="67">
        <f t="shared" si="14"/>
        <v>105.41</v>
      </c>
      <c r="AG555" s="67">
        <f t="shared" si="15"/>
        <v>16.8656</v>
      </c>
      <c r="AH555" s="67">
        <f t="shared" si="16"/>
        <v>122.2756</v>
      </c>
      <c r="AI555" s="67">
        <f t="shared" si="17"/>
        <v>101.6</v>
      </c>
      <c r="AJ555" s="68">
        <f t="shared" si="20"/>
        <v>16.256</v>
      </c>
      <c r="AK555" s="68">
        <f t="shared" si="21"/>
        <v>117.856</v>
      </c>
      <c r="AL555" s="70">
        <f>IFERROR(__xludf.DUMMYFUNCTION("""COMPUTED_VALUE"""),1.0)</f>
        <v>1</v>
      </c>
      <c r="AM555" s="70"/>
      <c r="AN555" s="71" t="str">
        <f>IFERROR(__xludf.DUMMYFUNCTION("""COMPUTED_VALUE""")," P")</f>
        <v>P</v>
      </c>
      <c r="AO555" s="71" t="str">
        <f>IFERROR(__xludf.DUMMYFUNCTION("""COMPUTED_VALUE""")," DE03")</f>
        <v>DE03</v>
      </c>
      <c r="AP555" s="71" t="str">
        <f>IFERROR(__xludf.DUMMYFUNCTION("""COMPUTED_VALUE""")," PZA")</f>
        <v>PZA</v>
      </c>
      <c r="AQ555" s="71" t="str">
        <f>IFERROR(__xludf.DUMMYFUNCTION("""COMPUTED_VALUE""")," REF")</f>
        <v>REF</v>
      </c>
      <c r="AR555" s="71" t="str">
        <f>IFERROR(__xludf.DUMMYFUNCTION("""COMPUTED_VALUE""")," DESLIZADOR DELANTERO SENCILLO FIERRO")</f>
        <v>DESLIZADOR DELANTERO SENCILLO FIERRO</v>
      </c>
      <c r="AS555" s="71" t="str">
        <f>IFERROR(__xludf.DUMMYFUNCTION("""COMPUTED_VALUE""")," DESLIZADOR DELANTERO SENCILLO FIERRO")</f>
        <v>DESLIZADOR DELANTERO SENCILLO FIERRO</v>
      </c>
      <c r="AT555" s="71">
        <f>IFERROR(__xludf.DUMMYFUNCTION("""COMPUTED_VALUE"""),36.0)</f>
        <v>36</v>
      </c>
      <c r="AU555" s="71"/>
      <c r="AV555" s="71"/>
      <c r="AW555" s="71"/>
      <c r="AX555" s="71"/>
      <c r="AY555" s="71">
        <f>IFERROR(__xludf.DUMMYFUNCTION("""COMPUTED_VALUE"""),126.0)</f>
        <v>126</v>
      </c>
      <c r="AZ555" s="71">
        <f>IFERROR(__xludf.DUMMYFUNCTION("""COMPUTED_VALUE"""),136.0)</f>
        <v>136</v>
      </c>
      <c r="BA555" s="71">
        <f>IFERROR(__xludf.DUMMYFUNCTION("""COMPUTED_VALUE"""),146.88)</f>
        <v>146.88</v>
      </c>
      <c r="BB555" s="71">
        <f>IFERROR(__xludf.DUMMYFUNCTION("""COMPUTED_VALUE"""),146.88)</f>
        <v>146.88</v>
      </c>
      <c r="BC555" s="71">
        <f>IFERROR(__xludf.DUMMYFUNCTION("""COMPUTED_VALUE"""),164.0)</f>
        <v>164</v>
      </c>
      <c r="BD555" s="71">
        <f>IFERROR(__xludf.DUMMYFUNCTION("""COMPUTED_VALUE"""),137.6)</f>
        <v>137.6</v>
      </c>
      <c r="BE555" s="71">
        <f>IFERROR(__xludf.DUMMYFUNCTION("""COMPUTED_VALUE"""),22.016)</f>
        <v>22.016</v>
      </c>
      <c r="BF555" s="71">
        <f>IFERROR(__xludf.DUMMYFUNCTION("""COMPUTED_VALUE"""),159.61599999999999)</f>
        <v>159.616</v>
      </c>
      <c r="BG555" s="71">
        <f>IFERROR(__xludf.DUMMYFUNCTION("""COMPUTED_VALUE"""),-0.1609756097560976)</f>
        <v>-0.1609756098</v>
      </c>
      <c r="BH555" s="71">
        <f>IFERROR(__xludf.DUMMYFUNCTION("""COMPUTED_VALUE"""),130.72)</f>
        <v>130.72</v>
      </c>
      <c r="BI555" s="71">
        <f>IFERROR(__xludf.DUMMYFUNCTION("""COMPUTED_VALUE"""),20.9152)</f>
        <v>20.9152</v>
      </c>
      <c r="BJ555" s="71">
        <f>IFERROR(__xludf.DUMMYFUNCTION("""COMPUTED_VALUE"""),151.6352)</f>
        <v>151.6352</v>
      </c>
      <c r="BK555" s="71">
        <f>IFERROR(__xludf.DUMMYFUNCTION("""COMPUTED_VALUE"""),123.84)</f>
        <v>123.84</v>
      </c>
      <c r="BL555" s="71">
        <f>IFERROR(__xludf.DUMMYFUNCTION("""COMPUTED_VALUE"""),19.814400000000003)</f>
        <v>19.8144</v>
      </c>
      <c r="BM555" s="71">
        <f>IFERROR(__xludf.DUMMYFUNCTION("""COMPUTED_VALUE"""),143.6544)</f>
        <v>143.6544</v>
      </c>
      <c r="BN555" s="71">
        <f>IFERROR(__xludf.DUMMYFUNCTION("""COMPUTED_VALUE"""),116.96)</f>
        <v>116.96</v>
      </c>
      <c r="BO555" s="71">
        <f>IFERROR(__xludf.DUMMYFUNCTION("""COMPUTED_VALUE"""),18.7136)</f>
        <v>18.7136</v>
      </c>
      <c r="BP555" s="71">
        <f>IFERROR(__xludf.DUMMYFUNCTION("""COMPUTED_VALUE"""),135.6736)</f>
        <v>135.6736</v>
      </c>
      <c r="BQ555" s="71">
        <f>IFERROR(__xludf.DUMMYFUNCTION("""COMPUTED_VALUE"""),114.20799999999998)</f>
        <v>114.208</v>
      </c>
      <c r="BR555" s="71">
        <f>IFERROR(__xludf.DUMMYFUNCTION("""COMPUTED_VALUE"""),18.273279999999996)</f>
        <v>18.27328</v>
      </c>
      <c r="BS555" s="71">
        <f>IFERROR(__xludf.DUMMYFUNCTION("""COMPUTED_VALUE"""),132.48127999999997)</f>
        <v>132.48128</v>
      </c>
      <c r="BT555" s="71">
        <f>IFERROR(__xludf.DUMMYFUNCTION("""COMPUTED_VALUE"""),110.08)</f>
        <v>110.08</v>
      </c>
      <c r="BU555" s="71">
        <f>IFERROR(__xludf.DUMMYFUNCTION("""COMPUTED_VALUE"""),17.6128)</f>
        <v>17.6128</v>
      </c>
      <c r="BV555" s="71">
        <f>IFERROR(__xludf.DUMMYFUNCTION("""COMPUTED_VALUE"""),127.6928)</f>
        <v>127.6928</v>
      </c>
    </row>
    <row r="556">
      <c r="A556" s="53">
        <v>1.0</v>
      </c>
      <c r="B556" s="72"/>
      <c r="C556" s="120" t="s">
        <v>603</v>
      </c>
      <c r="D556" s="74" t="s">
        <v>1372</v>
      </c>
      <c r="E556" s="54" t="s">
        <v>38</v>
      </c>
      <c r="F556" s="54" t="s">
        <v>42</v>
      </c>
      <c r="G556" s="141" t="s">
        <v>1373</v>
      </c>
      <c r="H556" s="141" t="s">
        <v>1373</v>
      </c>
      <c r="I556" s="54">
        <f t="shared" si="24"/>
        <v>27</v>
      </c>
      <c r="J556" s="56"/>
      <c r="K556" s="75"/>
      <c r="L556" s="76"/>
      <c r="M556" s="59"/>
      <c r="N556" s="60">
        <v>164.0</v>
      </c>
      <c r="O556" s="61">
        <v>177.0</v>
      </c>
      <c r="P556" s="62">
        <v>95.0</v>
      </c>
      <c r="Q556" s="63">
        <v>95.0</v>
      </c>
      <c r="R556" s="64">
        <v>121.0</v>
      </c>
      <c r="S556" s="111">
        <v>127.0</v>
      </c>
      <c r="T556" s="65">
        <f t="shared" si="2"/>
        <v>20.32</v>
      </c>
      <c r="U556" s="65">
        <f t="shared" si="3"/>
        <v>147.32</v>
      </c>
      <c r="V556" s="66">
        <f t="shared" si="4"/>
        <v>0.04958677686</v>
      </c>
      <c r="W556" s="67">
        <f t="shared" si="5"/>
        <v>120.65</v>
      </c>
      <c r="X556" s="67">
        <f t="shared" si="6"/>
        <v>19.304</v>
      </c>
      <c r="Y556" s="67">
        <f t="shared" si="7"/>
        <v>139.954</v>
      </c>
      <c r="Z556" s="67">
        <f t="shared" si="8"/>
        <v>114.3</v>
      </c>
      <c r="AA556" s="67">
        <f t="shared" si="9"/>
        <v>18.288</v>
      </c>
      <c r="AB556" s="67">
        <f t="shared" si="10"/>
        <v>132.588</v>
      </c>
      <c r="AC556" s="67">
        <f t="shared" si="11"/>
        <v>107.95</v>
      </c>
      <c r="AD556" s="67">
        <f t="shared" si="12"/>
        <v>17.272</v>
      </c>
      <c r="AE556" s="67">
        <f t="shared" si="13"/>
        <v>125.222</v>
      </c>
      <c r="AF556" s="67">
        <f t="shared" si="14"/>
        <v>105.41</v>
      </c>
      <c r="AG556" s="67">
        <f t="shared" si="15"/>
        <v>16.8656</v>
      </c>
      <c r="AH556" s="67">
        <f t="shared" si="16"/>
        <v>122.2756</v>
      </c>
      <c r="AI556" s="67">
        <f t="shared" si="17"/>
        <v>101.6</v>
      </c>
      <c r="AJ556" s="68">
        <f t="shared" si="20"/>
        <v>16.256</v>
      </c>
      <c r="AK556" s="68">
        <f t="shared" si="21"/>
        <v>117.856</v>
      </c>
      <c r="AL556" s="70">
        <f>IFERROR(__xludf.DUMMYFUNCTION("""COMPUTED_VALUE"""),1.0)</f>
        <v>1</v>
      </c>
      <c r="AM556" s="70"/>
      <c r="AN556" s="71" t="str">
        <f>IFERROR(__xludf.DUMMYFUNCTION("""COMPUTED_VALUE""")," P")</f>
        <v>P</v>
      </c>
      <c r="AO556" s="71" t="str">
        <f>IFERROR(__xludf.DUMMYFUNCTION("""COMPUTED_VALUE""")," DE05")</f>
        <v>DE05</v>
      </c>
      <c r="AP556" s="71" t="str">
        <f>IFERROR(__xludf.DUMMYFUNCTION("""COMPUTED_VALUE""")," PZA")</f>
        <v>PZA</v>
      </c>
      <c r="AQ556" s="71" t="str">
        <f>IFERROR(__xludf.DUMMYFUNCTION("""COMPUTED_VALUE""")," REF")</f>
        <v>REF</v>
      </c>
      <c r="AR556" s="71" t="str">
        <f>IFERROR(__xludf.DUMMYFUNCTION("""COMPUTED_VALUE""")," DESLIZADOR ESPECIAL ACERO INOXIDABLE")</f>
        <v>DESLIZADOR ESPECIAL ACERO INOXIDABLE</v>
      </c>
      <c r="AS556" s="71" t="str">
        <f>IFERROR(__xludf.DUMMYFUNCTION("""COMPUTED_VALUE""")," DESLIZADOR ESPECIAL ACERO INOXIDABLE")</f>
        <v>DESLIZADOR ESPECIAL ACERO INOXIDABLE</v>
      </c>
      <c r="AT556" s="71">
        <f>IFERROR(__xludf.DUMMYFUNCTION("""COMPUTED_VALUE"""),36.0)</f>
        <v>36</v>
      </c>
      <c r="AU556" s="71"/>
      <c r="AV556" s="71"/>
      <c r="AW556" s="71"/>
      <c r="AX556" s="71"/>
      <c r="AY556" s="71">
        <f>IFERROR(__xludf.DUMMYFUNCTION("""COMPUTED_VALUE"""),254.0)</f>
        <v>254</v>
      </c>
      <c r="AZ556" s="71">
        <f>IFERROR(__xludf.DUMMYFUNCTION("""COMPUTED_VALUE"""),274.0)</f>
        <v>274</v>
      </c>
      <c r="BA556" s="71">
        <f>IFERROR(__xludf.DUMMYFUNCTION("""COMPUTED_VALUE"""),295.92)</f>
        <v>295.92</v>
      </c>
      <c r="BB556" s="71">
        <f>IFERROR(__xludf.DUMMYFUNCTION("""COMPUTED_VALUE"""),295.92)</f>
        <v>295.92</v>
      </c>
      <c r="BC556" s="71">
        <f>IFERROR(__xludf.DUMMYFUNCTION("""COMPUTED_VALUE"""),330.0)</f>
        <v>330</v>
      </c>
      <c r="BD556" s="71">
        <f>IFERROR(__xludf.DUMMYFUNCTION("""COMPUTED_VALUE"""),347.0)</f>
        <v>347</v>
      </c>
      <c r="BE556" s="71">
        <f>IFERROR(__xludf.DUMMYFUNCTION("""COMPUTED_VALUE"""),55.52)</f>
        <v>55.52</v>
      </c>
      <c r="BF556" s="71">
        <f>IFERROR(__xludf.DUMMYFUNCTION("""COMPUTED_VALUE"""),402.52)</f>
        <v>402.52</v>
      </c>
      <c r="BG556" s="71">
        <f>IFERROR(__xludf.DUMMYFUNCTION("""COMPUTED_VALUE"""),0.051515151515151514)</f>
        <v>0.05151515152</v>
      </c>
      <c r="BH556" s="71">
        <f>IFERROR(__xludf.DUMMYFUNCTION("""COMPUTED_VALUE"""),329.65)</f>
        <v>329.65</v>
      </c>
      <c r="BI556" s="71">
        <f>IFERROR(__xludf.DUMMYFUNCTION("""COMPUTED_VALUE"""),52.744)</f>
        <v>52.744</v>
      </c>
      <c r="BJ556" s="71">
        <f>IFERROR(__xludf.DUMMYFUNCTION("""COMPUTED_VALUE"""),382.394)</f>
        <v>382.394</v>
      </c>
      <c r="BK556" s="71">
        <f>IFERROR(__xludf.DUMMYFUNCTION("""COMPUTED_VALUE"""),312.3)</f>
        <v>312.3</v>
      </c>
      <c r="BL556" s="71">
        <f>IFERROR(__xludf.DUMMYFUNCTION("""COMPUTED_VALUE"""),49.968)</f>
        <v>49.968</v>
      </c>
      <c r="BM556" s="71">
        <f>IFERROR(__xludf.DUMMYFUNCTION("""COMPUTED_VALUE"""),362.26800000000003)</f>
        <v>362.268</v>
      </c>
      <c r="BN556" s="71">
        <f>IFERROR(__xludf.DUMMYFUNCTION("""COMPUTED_VALUE"""),294.95)</f>
        <v>294.95</v>
      </c>
      <c r="BO556" s="71">
        <f>IFERROR(__xludf.DUMMYFUNCTION("""COMPUTED_VALUE"""),47.192)</f>
        <v>47.192</v>
      </c>
      <c r="BP556" s="71">
        <f>IFERROR(__xludf.DUMMYFUNCTION("""COMPUTED_VALUE"""),342.142)</f>
        <v>342.142</v>
      </c>
      <c r="BQ556" s="71">
        <f>IFERROR(__xludf.DUMMYFUNCTION("""COMPUTED_VALUE"""),288.01)</f>
        <v>288.01</v>
      </c>
      <c r="BR556" s="71">
        <f>IFERROR(__xludf.DUMMYFUNCTION("""COMPUTED_VALUE"""),46.0816)</f>
        <v>46.0816</v>
      </c>
      <c r="BS556" s="71">
        <f>IFERROR(__xludf.DUMMYFUNCTION("""COMPUTED_VALUE"""),334.09159999999997)</f>
        <v>334.0916</v>
      </c>
      <c r="BT556" s="71">
        <f>IFERROR(__xludf.DUMMYFUNCTION("""COMPUTED_VALUE"""),277.6)</f>
        <v>277.6</v>
      </c>
      <c r="BU556" s="71">
        <f>IFERROR(__xludf.DUMMYFUNCTION("""COMPUTED_VALUE"""),44.416000000000004)</f>
        <v>44.416</v>
      </c>
      <c r="BV556" s="71">
        <f>IFERROR(__xludf.DUMMYFUNCTION("""COMPUTED_VALUE"""),322.016)</f>
        <v>322.016</v>
      </c>
    </row>
    <row r="557">
      <c r="A557" s="53">
        <v>1.0</v>
      </c>
      <c r="B557" s="72"/>
      <c r="C557" s="120" t="s">
        <v>603</v>
      </c>
      <c r="D557" s="74" t="s">
        <v>1374</v>
      </c>
      <c r="E557" s="54" t="s">
        <v>38</v>
      </c>
      <c r="F557" s="54" t="s">
        <v>42</v>
      </c>
      <c r="G557" s="141" t="s">
        <v>1375</v>
      </c>
      <c r="H557" s="141" t="s">
        <v>1375</v>
      </c>
      <c r="I557" s="54">
        <f t="shared" si="24"/>
        <v>21</v>
      </c>
      <c r="J557" s="56"/>
      <c r="K557" s="75"/>
      <c r="L557" s="76"/>
      <c r="M557" s="59"/>
      <c r="N557" s="60">
        <v>164.0</v>
      </c>
      <c r="O557" s="61">
        <v>177.0</v>
      </c>
      <c r="P557" s="62">
        <v>90.0</v>
      </c>
      <c r="Q557" s="63">
        <v>90.0</v>
      </c>
      <c r="R557" s="64">
        <v>121.0</v>
      </c>
      <c r="S557" s="111">
        <v>127.0</v>
      </c>
      <c r="T557" s="65">
        <f t="shared" si="2"/>
        <v>20.32</v>
      </c>
      <c r="U557" s="65">
        <f t="shared" si="3"/>
        <v>147.32</v>
      </c>
      <c r="V557" s="66">
        <f t="shared" si="4"/>
        <v>0.04958677686</v>
      </c>
      <c r="W557" s="67">
        <f t="shared" si="5"/>
        <v>120.65</v>
      </c>
      <c r="X557" s="67">
        <f t="shared" si="6"/>
        <v>19.304</v>
      </c>
      <c r="Y557" s="67">
        <f t="shared" si="7"/>
        <v>139.954</v>
      </c>
      <c r="Z557" s="67">
        <f t="shared" si="8"/>
        <v>114.3</v>
      </c>
      <c r="AA557" s="67">
        <f t="shared" si="9"/>
        <v>18.288</v>
      </c>
      <c r="AB557" s="67">
        <f t="shared" si="10"/>
        <v>132.588</v>
      </c>
      <c r="AC557" s="67">
        <f t="shared" si="11"/>
        <v>107.95</v>
      </c>
      <c r="AD557" s="67">
        <f t="shared" si="12"/>
        <v>17.272</v>
      </c>
      <c r="AE557" s="67">
        <f t="shared" si="13"/>
        <v>125.222</v>
      </c>
      <c r="AF557" s="67">
        <f t="shared" si="14"/>
        <v>105.41</v>
      </c>
      <c r="AG557" s="67">
        <f t="shared" si="15"/>
        <v>16.8656</v>
      </c>
      <c r="AH557" s="67">
        <f t="shared" si="16"/>
        <v>122.2756</v>
      </c>
      <c r="AI557" s="67">
        <f t="shared" si="17"/>
        <v>101.6</v>
      </c>
      <c r="AJ557" s="68">
        <f t="shared" si="20"/>
        <v>16.256</v>
      </c>
      <c r="AK557" s="68">
        <f t="shared" si="21"/>
        <v>117.856</v>
      </c>
      <c r="AL557" s="70">
        <f>IFERROR(__xludf.DUMMYFUNCTION("""COMPUTED_VALUE"""),1.0)</f>
        <v>1</v>
      </c>
      <c r="AM557" s="70"/>
      <c r="AN557" s="71" t="str">
        <f>IFERROR(__xludf.DUMMYFUNCTION("""COMPUTED_VALUE""")," P")</f>
        <v>P</v>
      </c>
      <c r="AO557" s="71" t="str">
        <f>IFERROR(__xludf.DUMMYFUNCTION("""COMPUTED_VALUE""")," DE06")</f>
        <v>DE06</v>
      </c>
      <c r="AP557" s="71" t="str">
        <f>IFERROR(__xludf.DUMMYFUNCTION("""COMPUTED_VALUE""")," PZA")</f>
        <v>PZA</v>
      </c>
      <c r="AQ557" s="71" t="str">
        <f>IFERROR(__xludf.DUMMYFUNCTION("""COMPUTED_VALUE""")," REF")</f>
        <v>REF</v>
      </c>
      <c r="AR557" s="71" t="str">
        <f>IFERROR(__xludf.DUMMYFUNCTION("""COMPUTED_VALUE""")," DESLIZADOR MECÁNICO DÚPLEX")</f>
        <v>DESLIZADOR MECÁNICO DÚPLEX</v>
      </c>
      <c r="AS557" s="71" t="str">
        <f>IFERROR(__xludf.DUMMYFUNCTION("""COMPUTED_VALUE""")," DESLIZADOR MECANICO DPLX")</f>
        <v>DESLIZADOR MECANICO DPLX</v>
      </c>
      <c r="AT557" s="71">
        <f>IFERROR(__xludf.DUMMYFUNCTION("""COMPUTED_VALUE"""),24.0)</f>
        <v>24</v>
      </c>
      <c r="AU557" s="71"/>
      <c r="AV557" s="71"/>
      <c r="AW557" s="71"/>
      <c r="AX557" s="71"/>
      <c r="AY557" s="71">
        <f>IFERROR(__xludf.DUMMYFUNCTION("""COMPUTED_VALUE"""),3379.0)</f>
        <v>3379</v>
      </c>
      <c r="AZ557" s="71">
        <f>IFERROR(__xludf.DUMMYFUNCTION("""COMPUTED_VALUE"""),3649.0)</f>
        <v>3649</v>
      </c>
      <c r="BA557" s="71">
        <f>IFERROR(__xludf.DUMMYFUNCTION("""COMPUTED_VALUE"""),3940.92)</f>
        <v>3940.92</v>
      </c>
      <c r="BB557" s="71">
        <f>IFERROR(__xludf.DUMMYFUNCTION("""COMPUTED_VALUE"""),3940.92)</f>
        <v>3940.92</v>
      </c>
      <c r="BC557" s="71">
        <f>IFERROR(__xludf.DUMMYFUNCTION("""COMPUTED_VALUE"""),4387.0)</f>
        <v>4387</v>
      </c>
      <c r="BD557" s="71">
        <f>IFERROR(__xludf.DUMMYFUNCTION("""COMPUTED_VALUE"""),4606.0)</f>
        <v>4606</v>
      </c>
      <c r="BE557" s="71">
        <f>IFERROR(__xludf.DUMMYFUNCTION("""COMPUTED_VALUE"""),736.96)</f>
        <v>736.96</v>
      </c>
      <c r="BF557" s="71">
        <f>IFERROR(__xludf.DUMMYFUNCTION("""COMPUTED_VALUE"""),5342.96)</f>
        <v>5342.96</v>
      </c>
      <c r="BG557" s="71">
        <f>IFERROR(__xludf.DUMMYFUNCTION("""COMPUTED_VALUE"""),0.04992021882835651)</f>
        <v>0.04992021883</v>
      </c>
      <c r="BH557" s="71">
        <f>IFERROR(__xludf.DUMMYFUNCTION("""COMPUTED_VALUE"""),4375.7)</f>
        <v>4375.7</v>
      </c>
      <c r="BI557" s="71">
        <f>IFERROR(__xludf.DUMMYFUNCTION("""COMPUTED_VALUE"""),700.112)</f>
        <v>700.112</v>
      </c>
      <c r="BJ557" s="71">
        <f>IFERROR(__xludf.DUMMYFUNCTION("""COMPUTED_VALUE"""),5075.812)</f>
        <v>5075.812</v>
      </c>
      <c r="BK557" s="71">
        <f>IFERROR(__xludf.DUMMYFUNCTION("""COMPUTED_VALUE"""),4145.400000000001)</f>
        <v>4145.4</v>
      </c>
      <c r="BL557" s="71">
        <f>IFERROR(__xludf.DUMMYFUNCTION("""COMPUTED_VALUE"""),663.2640000000001)</f>
        <v>663.264</v>
      </c>
      <c r="BM557" s="71">
        <f>IFERROR(__xludf.DUMMYFUNCTION("""COMPUTED_VALUE"""),4808.664000000001)</f>
        <v>4808.664</v>
      </c>
      <c r="BN557" s="71">
        <f>IFERROR(__xludf.DUMMYFUNCTION("""COMPUTED_VALUE"""),3915.1)</f>
        <v>3915.1</v>
      </c>
      <c r="BO557" s="71">
        <f>IFERROR(__xludf.DUMMYFUNCTION("""COMPUTED_VALUE"""),626.416)</f>
        <v>626.416</v>
      </c>
      <c r="BP557" s="71">
        <f>IFERROR(__xludf.DUMMYFUNCTION("""COMPUTED_VALUE"""),4541.516)</f>
        <v>4541.516</v>
      </c>
      <c r="BQ557" s="71">
        <f>IFERROR(__xludf.DUMMYFUNCTION("""COMPUTED_VALUE"""),3822.98)</f>
        <v>3822.98</v>
      </c>
      <c r="BR557" s="71">
        <f>IFERROR(__xludf.DUMMYFUNCTION("""COMPUTED_VALUE"""),611.6768000000001)</f>
        <v>611.6768</v>
      </c>
      <c r="BS557" s="71">
        <f>IFERROR(__xludf.DUMMYFUNCTION("""COMPUTED_VALUE"""),4434.6568)</f>
        <v>4434.6568</v>
      </c>
      <c r="BT557" s="71">
        <f>IFERROR(__xludf.DUMMYFUNCTION("""COMPUTED_VALUE"""),3684.8)</f>
        <v>3684.8</v>
      </c>
      <c r="BU557" s="71">
        <f>IFERROR(__xludf.DUMMYFUNCTION("""COMPUTED_VALUE"""),589.5680000000001)</f>
        <v>589.568</v>
      </c>
      <c r="BV557" s="71">
        <f>IFERROR(__xludf.DUMMYFUNCTION("""COMPUTED_VALUE"""),4274.368)</f>
        <v>4274.368</v>
      </c>
    </row>
    <row r="558">
      <c r="A558" s="53">
        <v>1.0</v>
      </c>
      <c r="B558" s="72"/>
      <c r="C558" s="120" t="s">
        <v>603</v>
      </c>
      <c r="D558" s="74" t="s">
        <v>1376</v>
      </c>
      <c r="E558" s="54" t="s">
        <v>38</v>
      </c>
      <c r="F558" s="54" t="s">
        <v>42</v>
      </c>
      <c r="G558" s="141" t="s">
        <v>1377</v>
      </c>
      <c r="H558" s="141" t="s">
        <v>1377</v>
      </c>
      <c r="I558" s="54">
        <f t="shared" si="24"/>
        <v>21</v>
      </c>
      <c r="J558" s="56"/>
      <c r="K558" s="75"/>
      <c r="L558" s="76"/>
      <c r="M558" s="59"/>
      <c r="N558" s="60">
        <v>164.0</v>
      </c>
      <c r="O558" s="61">
        <v>177.0</v>
      </c>
      <c r="P558" s="62">
        <v>90.0</v>
      </c>
      <c r="Q558" s="63">
        <v>90.0</v>
      </c>
      <c r="R558" s="64">
        <v>121.0</v>
      </c>
      <c r="S558" s="111">
        <v>127.0</v>
      </c>
      <c r="T558" s="65">
        <f t="shared" si="2"/>
        <v>20.32</v>
      </c>
      <c r="U558" s="65">
        <f t="shared" si="3"/>
        <v>147.32</v>
      </c>
      <c r="V558" s="66">
        <f t="shared" si="4"/>
        <v>0.04958677686</v>
      </c>
      <c r="W558" s="67">
        <f t="shared" si="5"/>
        <v>120.65</v>
      </c>
      <c r="X558" s="67">
        <f t="shared" si="6"/>
        <v>19.304</v>
      </c>
      <c r="Y558" s="67">
        <f t="shared" si="7"/>
        <v>139.954</v>
      </c>
      <c r="Z558" s="67">
        <f t="shared" si="8"/>
        <v>114.3</v>
      </c>
      <c r="AA558" s="67">
        <f t="shared" si="9"/>
        <v>18.288</v>
      </c>
      <c r="AB558" s="67">
        <f t="shared" si="10"/>
        <v>132.588</v>
      </c>
      <c r="AC558" s="67">
        <f t="shared" si="11"/>
        <v>107.95</v>
      </c>
      <c r="AD558" s="67">
        <f t="shared" si="12"/>
        <v>17.272</v>
      </c>
      <c r="AE558" s="67">
        <f t="shared" si="13"/>
        <v>125.222</v>
      </c>
      <c r="AF558" s="67">
        <f t="shared" si="14"/>
        <v>105.41</v>
      </c>
      <c r="AG558" s="67">
        <f t="shared" si="15"/>
        <v>16.8656</v>
      </c>
      <c r="AH558" s="67">
        <f t="shared" si="16"/>
        <v>122.2756</v>
      </c>
      <c r="AI558" s="67">
        <f t="shared" si="17"/>
        <v>101.6</v>
      </c>
      <c r="AJ558" s="68">
        <f t="shared" si="20"/>
        <v>16.256</v>
      </c>
      <c r="AK558" s="68">
        <f t="shared" si="21"/>
        <v>117.856</v>
      </c>
      <c r="AL558" s="70">
        <f>IFERROR(__xludf.DUMMYFUNCTION("""COMPUTED_VALUE"""),1.0)</f>
        <v>1</v>
      </c>
      <c r="AM558" s="70"/>
      <c r="AN558" s="71" t="str">
        <f>IFERROR(__xludf.DUMMYFUNCTION("""COMPUTED_VALUE""")," P")</f>
        <v>P</v>
      </c>
      <c r="AO558" s="71" t="str">
        <f>IFERROR(__xludf.DUMMYFUNCTION("""COMPUTED_VALUE""")," DE07")</f>
        <v>DE07</v>
      </c>
      <c r="AP558" s="71" t="str">
        <f>IFERROR(__xludf.DUMMYFUNCTION("""COMPUTED_VALUE""")," PZA")</f>
        <v>PZA</v>
      </c>
      <c r="AQ558" s="71" t="str">
        <f>IFERROR(__xludf.DUMMYFUNCTION("""COMPUTED_VALUE""")," REF")</f>
        <v>REF</v>
      </c>
      <c r="AR558" s="71" t="str">
        <f>IFERROR(__xludf.DUMMYFUNCTION("""COMPUTED_VALUE""")," DESLIZADOR MECÁNICO SENCILLO")</f>
        <v>DESLIZADOR MECÁNICO SENCILLO</v>
      </c>
      <c r="AS558" s="71" t="str">
        <f>IFERROR(__xludf.DUMMYFUNCTION("""COMPUTED_VALUE""")," DESLIZADOR MECANICO SENCILLO")</f>
        <v>DESLIZADOR MECANICO SENCILLO</v>
      </c>
      <c r="AT558" s="71">
        <f>IFERROR(__xludf.DUMMYFUNCTION("""COMPUTED_VALUE"""),28.0)</f>
        <v>28</v>
      </c>
      <c r="AU558" s="71"/>
      <c r="AV558" s="71"/>
      <c r="AW558" s="71"/>
      <c r="AX558" s="71"/>
      <c r="AY558" s="71">
        <f>IFERROR(__xludf.DUMMYFUNCTION("""COMPUTED_VALUE"""),2653.0)</f>
        <v>2653</v>
      </c>
      <c r="AZ558" s="71">
        <f>IFERROR(__xludf.DUMMYFUNCTION("""COMPUTED_VALUE"""),2865.0)</f>
        <v>2865</v>
      </c>
      <c r="BA558" s="71">
        <f>IFERROR(__xludf.DUMMYFUNCTION("""COMPUTED_VALUE"""),3094.2000000000003)</f>
        <v>3094.2</v>
      </c>
      <c r="BB558" s="71">
        <f>IFERROR(__xludf.DUMMYFUNCTION("""COMPUTED_VALUE"""),3094.2000000000003)</f>
        <v>3094.2</v>
      </c>
      <c r="BC558" s="71">
        <f>IFERROR(__xludf.DUMMYFUNCTION("""COMPUTED_VALUE"""),3444.0)</f>
        <v>3444</v>
      </c>
      <c r="BD558" s="71">
        <f>IFERROR(__xludf.DUMMYFUNCTION("""COMPUTED_VALUE"""),3616.0)</f>
        <v>3616</v>
      </c>
      <c r="BE558" s="71">
        <f>IFERROR(__xludf.DUMMYFUNCTION("""COMPUTED_VALUE"""),578.5600000000001)</f>
        <v>578.56</v>
      </c>
      <c r="BF558" s="71">
        <f>IFERROR(__xludf.DUMMYFUNCTION("""COMPUTED_VALUE"""),4194.56)</f>
        <v>4194.56</v>
      </c>
      <c r="BG558" s="71">
        <f>IFERROR(__xludf.DUMMYFUNCTION("""COMPUTED_VALUE"""),0.04994192799070848)</f>
        <v>0.04994192799</v>
      </c>
      <c r="BH558" s="71">
        <f>IFERROR(__xludf.DUMMYFUNCTION("""COMPUTED_VALUE"""),3435.2)</f>
        <v>3435.2</v>
      </c>
      <c r="BI558" s="71">
        <f>IFERROR(__xludf.DUMMYFUNCTION("""COMPUTED_VALUE"""),549.632)</f>
        <v>549.632</v>
      </c>
      <c r="BJ558" s="71">
        <f>IFERROR(__xludf.DUMMYFUNCTION("""COMPUTED_VALUE"""),3984.832)</f>
        <v>3984.832</v>
      </c>
      <c r="BK558" s="71">
        <f>IFERROR(__xludf.DUMMYFUNCTION("""COMPUTED_VALUE"""),3254.4)</f>
        <v>3254.4</v>
      </c>
      <c r="BL558" s="71">
        <f>IFERROR(__xludf.DUMMYFUNCTION("""COMPUTED_VALUE"""),520.7040000000001)</f>
        <v>520.704</v>
      </c>
      <c r="BM558" s="71">
        <f>IFERROR(__xludf.DUMMYFUNCTION("""COMPUTED_VALUE"""),3775.1040000000003)</f>
        <v>3775.104</v>
      </c>
      <c r="BN558" s="71">
        <f>IFERROR(__xludf.DUMMYFUNCTION("""COMPUTED_VALUE"""),3073.6)</f>
        <v>3073.6</v>
      </c>
      <c r="BO558" s="71">
        <f>IFERROR(__xludf.DUMMYFUNCTION("""COMPUTED_VALUE"""),491.776)</f>
        <v>491.776</v>
      </c>
      <c r="BP558" s="71">
        <f>IFERROR(__xludf.DUMMYFUNCTION("""COMPUTED_VALUE"""),3565.3759999999997)</f>
        <v>3565.376</v>
      </c>
      <c r="BQ558" s="71">
        <f>IFERROR(__xludf.DUMMYFUNCTION("""COMPUTED_VALUE"""),3001.2799999999997)</f>
        <v>3001.28</v>
      </c>
      <c r="BR558" s="71">
        <f>IFERROR(__xludf.DUMMYFUNCTION("""COMPUTED_VALUE"""),480.2048)</f>
        <v>480.2048</v>
      </c>
      <c r="BS558" s="71">
        <f>IFERROR(__xludf.DUMMYFUNCTION("""COMPUTED_VALUE"""),3481.4847999999997)</f>
        <v>3481.4848</v>
      </c>
      <c r="BT558" s="71">
        <f>IFERROR(__xludf.DUMMYFUNCTION("""COMPUTED_VALUE"""),2892.8)</f>
        <v>2892.8</v>
      </c>
      <c r="BU558" s="71">
        <f>IFERROR(__xludf.DUMMYFUNCTION("""COMPUTED_VALUE"""),462.848)</f>
        <v>462.848</v>
      </c>
      <c r="BV558" s="71">
        <f>IFERROR(__xludf.DUMMYFUNCTION("""COMPUTED_VALUE"""),3355.648)</f>
        <v>3355.648</v>
      </c>
    </row>
    <row r="559">
      <c r="A559" s="53">
        <v>1.0</v>
      </c>
      <c r="B559" s="72"/>
      <c r="C559" s="120" t="s">
        <v>603</v>
      </c>
      <c r="D559" s="74" t="s">
        <v>1378</v>
      </c>
      <c r="E559" s="54" t="s">
        <v>38</v>
      </c>
      <c r="F559" s="54" t="s">
        <v>42</v>
      </c>
      <c r="G559" s="141" t="s">
        <v>1379</v>
      </c>
      <c r="H559" s="141" t="s">
        <v>1379</v>
      </c>
      <c r="I559" s="54">
        <f t="shared" si="24"/>
        <v>29</v>
      </c>
      <c r="J559" s="56"/>
      <c r="K559" s="75"/>
      <c r="L559" s="76"/>
      <c r="M559" s="59"/>
      <c r="N559" s="60">
        <v>185.0</v>
      </c>
      <c r="O559" s="61">
        <v>199.0</v>
      </c>
      <c r="P559" s="62">
        <v>100.0</v>
      </c>
      <c r="Q559" s="63">
        <v>100.0</v>
      </c>
      <c r="R559" s="64">
        <v>127.0</v>
      </c>
      <c r="S559" s="111">
        <v>133.0</v>
      </c>
      <c r="T559" s="65">
        <f t="shared" si="2"/>
        <v>21.28</v>
      </c>
      <c r="U559" s="65">
        <f t="shared" si="3"/>
        <v>154.28</v>
      </c>
      <c r="V559" s="66">
        <f t="shared" si="4"/>
        <v>0.04724409449</v>
      </c>
      <c r="W559" s="67">
        <f t="shared" si="5"/>
        <v>126.35</v>
      </c>
      <c r="X559" s="67">
        <f t="shared" si="6"/>
        <v>20.216</v>
      </c>
      <c r="Y559" s="67">
        <f t="shared" si="7"/>
        <v>146.566</v>
      </c>
      <c r="Z559" s="67">
        <f t="shared" si="8"/>
        <v>119.7</v>
      </c>
      <c r="AA559" s="67">
        <f t="shared" si="9"/>
        <v>19.152</v>
      </c>
      <c r="AB559" s="67">
        <f t="shared" si="10"/>
        <v>138.852</v>
      </c>
      <c r="AC559" s="67">
        <f t="shared" si="11"/>
        <v>113.05</v>
      </c>
      <c r="AD559" s="67">
        <f t="shared" si="12"/>
        <v>18.088</v>
      </c>
      <c r="AE559" s="67">
        <f t="shared" si="13"/>
        <v>131.138</v>
      </c>
      <c r="AF559" s="67">
        <f t="shared" si="14"/>
        <v>110.39</v>
      </c>
      <c r="AG559" s="67">
        <f t="shared" si="15"/>
        <v>17.6624</v>
      </c>
      <c r="AH559" s="67">
        <f t="shared" si="16"/>
        <v>128.0524</v>
      </c>
      <c r="AI559" s="67">
        <f t="shared" si="17"/>
        <v>106.4</v>
      </c>
      <c r="AJ559" s="68">
        <f t="shared" si="20"/>
        <v>17.024</v>
      </c>
      <c r="AK559" s="68">
        <f t="shared" si="21"/>
        <v>123.424</v>
      </c>
      <c r="AL559" s="70">
        <f>IFERROR(__xludf.DUMMYFUNCTION("""COMPUTED_VALUE"""),1.0)</f>
        <v>1</v>
      </c>
      <c r="AM559" s="70"/>
      <c r="AN559" s="71" t="str">
        <f>IFERROR(__xludf.DUMMYFUNCTION("""COMPUTED_VALUE""")," P")</f>
        <v>P</v>
      </c>
      <c r="AO559" s="71" t="str">
        <f>IFERROR(__xludf.DUMMYFUNCTION("""COMPUTED_VALUE""")," DE09")</f>
        <v>DE09</v>
      </c>
      <c r="AP559" s="71" t="str">
        <f>IFERROR(__xludf.DUMMYFUNCTION("""COMPUTED_VALUE""")," PZA")</f>
        <v>PZA</v>
      </c>
      <c r="AQ559" s="71" t="str">
        <f>IFERROR(__xludf.DUMMYFUNCTION("""COMPUTED_VALUE""")," REF")</f>
        <v>REF</v>
      </c>
      <c r="AR559" s="71" t="str">
        <f>IFERROR(__xludf.DUMMYFUNCTION("""COMPUTED_VALUE""")," DESLIZADOR TRASERO DÚPLEX ACERO INOXIDABLE")</f>
        <v>DESLIZADOR TRASERO DÚPLEX ACERO INOXIDABLE</v>
      </c>
      <c r="AS559" s="71" t="str">
        <f>IFERROR(__xludf.DUMMYFUNCTION("""COMPUTED_VALUE""")," DESLIZADOR TRASERO DPLX ACERO INOXIDABLE")</f>
        <v>DESLIZADOR TRASERO DPLX ACERO INOXIDABLE</v>
      </c>
      <c r="AT559" s="71">
        <f>IFERROR(__xludf.DUMMYFUNCTION("""COMPUTED_VALUE"""),40.0)</f>
        <v>40</v>
      </c>
      <c r="AU559" s="71"/>
      <c r="AV559" s="71"/>
      <c r="AW559" s="71"/>
      <c r="AX559" s="71"/>
      <c r="AY559" s="71">
        <f>IFERROR(__xludf.DUMMYFUNCTION("""COMPUTED_VALUE"""),392.0)</f>
        <v>392</v>
      </c>
      <c r="AZ559" s="71">
        <f>IFERROR(__xludf.DUMMYFUNCTION("""COMPUTED_VALUE"""),423.0)</f>
        <v>423</v>
      </c>
      <c r="BA559" s="71">
        <f>IFERROR(__xludf.DUMMYFUNCTION("""COMPUTED_VALUE"""),456.84000000000003)</f>
        <v>456.84</v>
      </c>
      <c r="BB559" s="71">
        <f>IFERROR(__xludf.DUMMYFUNCTION("""COMPUTED_VALUE"""),456.84000000000003)</f>
        <v>456.84</v>
      </c>
      <c r="BC559" s="71">
        <f>IFERROR(__xludf.DUMMYFUNCTION("""COMPUTED_VALUE"""),510.0)</f>
        <v>510</v>
      </c>
      <c r="BD559" s="71">
        <f>IFERROR(__xludf.DUMMYFUNCTION("""COMPUTED_VALUE"""),536.0)</f>
        <v>536</v>
      </c>
      <c r="BE559" s="71">
        <f>IFERROR(__xludf.DUMMYFUNCTION("""COMPUTED_VALUE"""),85.76)</f>
        <v>85.76</v>
      </c>
      <c r="BF559" s="71">
        <f>IFERROR(__xludf.DUMMYFUNCTION("""COMPUTED_VALUE"""),621.76)</f>
        <v>621.76</v>
      </c>
      <c r="BG559" s="71">
        <f>IFERROR(__xludf.DUMMYFUNCTION("""COMPUTED_VALUE"""),0.050980392156862744)</f>
        <v>0.05098039216</v>
      </c>
      <c r="BH559" s="71">
        <f>IFERROR(__xludf.DUMMYFUNCTION("""COMPUTED_VALUE"""),509.2)</f>
        <v>509.2</v>
      </c>
      <c r="BI559" s="71">
        <f>IFERROR(__xludf.DUMMYFUNCTION("""COMPUTED_VALUE"""),81.472)</f>
        <v>81.472</v>
      </c>
      <c r="BJ559" s="71">
        <f>IFERROR(__xludf.DUMMYFUNCTION("""COMPUTED_VALUE"""),590.672)</f>
        <v>590.672</v>
      </c>
      <c r="BK559" s="71">
        <f>IFERROR(__xludf.DUMMYFUNCTION("""COMPUTED_VALUE"""),482.40000000000003)</f>
        <v>482.4</v>
      </c>
      <c r="BL559" s="71">
        <f>IFERROR(__xludf.DUMMYFUNCTION("""COMPUTED_VALUE"""),77.18400000000001)</f>
        <v>77.184</v>
      </c>
      <c r="BM559" s="71">
        <f>IFERROR(__xludf.DUMMYFUNCTION("""COMPUTED_VALUE"""),559.5840000000001)</f>
        <v>559.584</v>
      </c>
      <c r="BN559" s="71">
        <f>IFERROR(__xludf.DUMMYFUNCTION("""COMPUTED_VALUE"""),455.59999999999997)</f>
        <v>455.6</v>
      </c>
      <c r="BO559" s="71">
        <f>IFERROR(__xludf.DUMMYFUNCTION("""COMPUTED_VALUE"""),72.896)</f>
        <v>72.896</v>
      </c>
      <c r="BP559" s="71">
        <f>IFERROR(__xludf.DUMMYFUNCTION("""COMPUTED_VALUE"""),528.496)</f>
        <v>528.496</v>
      </c>
      <c r="BQ559" s="71">
        <f>IFERROR(__xludf.DUMMYFUNCTION("""COMPUTED_VALUE"""),444.88)</f>
        <v>444.88</v>
      </c>
      <c r="BR559" s="71">
        <f>IFERROR(__xludf.DUMMYFUNCTION("""COMPUTED_VALUE"""),71.1808)</f>
        <v>71.1808</v>
      </c>
      <c r="BS559" s="71">
        <f>IFERROR(__xludf.DUMMYFUNCTION("""COMPUTED_VALUE"""),516.0608)</f>
        <v>516.0608</v>
      </c>
      <c r="BT559" s="71">
        <f>IFERROR(__xludf.DUMMYFUNCTION("""COMPUTED_VALUE"""),428.8)</f>
        <v>428.8</v>
      </c>
      <c r="BU559" s="71">
        <f>IFERROR(__xludf.DUMMYFUNCTION("""COMPUTED_VALUE"""),68.608)</f>
        <v>68.608</v>
      </c>
      <c r="BV559" s="71">
        <f>IFERROR(__xludf.DUMMYFUNCTION("""COMPUTED_VALUE"""),497.408)</f>
        <v>497.408</v>
      </c>
    </row>
    <row r="560">
      <c r="A560" s="53">
        <v>1.0</v>
      </c>
      <c r="B560" s="53"/>
      <c r="C560" s="73" t="s">
        <v>603</v>
      </c>
      <c r="D560" s="53" t="s">
        <v>1380</v>
      </c>
      <c r="E560" s="54" t="s">
        <v>38</v>
      </c>
      <c r="F560" s="54" t="s">
        <v>42</v>
      </c>
      <c r="G560" s="141" t="s">
        <v>1381</v>
      </c>
      <c r="H560" s="141" t="s">
        <v>1381</v>
      </c>
      <c r="I560" s="54">
        <f t="shared" si="24"/>
        <v>29</v>
      </c>
      <c r="J560" s="56"/>
      <c r="K560" s="75"/>
      <c r="L560" s="76"/>
      <c r="M560" s="59"/>
      <c r="N560" s="79">
        <v>185.0</v>
      </c>
      <c r="O560" s="61">
        <v>199.0</v>
      </c>
      <c r="P560" s="63">
        <v>100.0</v>
      </c>
      <c r="Q560" s="63">
        <v>100.0</v>
      </c>
      <c r="R560" s="64">
        <v>108.0</v>
      </c>
      <c r="S560" s="111">
        <v>113.0</v>
      </c>
      <c r="T560" s="65">
        <f t="shared" si="2"/>
        <v>18.08</v>
      </c>
      <c r="U560" s="65">
        <f t="shared" si="3"/>
        <v>131.08</v>
      </c>
      <c r="V560" s="66">
        <f t="shared" si="4"/>
        <v>0.0462962963</v>
      </c>
      <c r="W560" s="67">
        <f t="shared" si="5"/>
        <v>107.35</v>
      </c>
      <c r="X560" s="67">
        <f t="shared" si="6"/>
        <v>17.176</v>
      </c>
      <c r="Y560" s="67">
        <f t="shared" si="7"/>
        <v>124.526</v>
      </c>
      <c r="Z560" s="67">
        <f t="shared" si="8"/>
        <v>101.7</v>
      </c>
      <c r="AA560" s="67">
        <f t="shared" si="9"/>
        <v>16.272</v>
      </c>
      <c r="AB560" s="67">
        <f t="shared" si="10"/>
        <v>117.972</v>
      </c>
      <c r="AC560" s="67">
        <f t="shared" si="11"/>
        <v>96.05</v>
      </c>
      <c r="AD560" s="67">
        <f t="shared" si="12"/>
        <v>15.368</v>
      </c>
      <c r="AE560" s="67">
        <f t="shared" si="13"/>
        <v>111.418</v>
      </c>
      <c r="AF560" s="67">
        <f t="shared" si="14"/>
        <v>93.79</v>
      </c>
      <c r="AG560" s="67">
        <f t="shared" si="15"/>
        <v>15.0064</v>
      </c>
      <c r="AH560" s="67">
        <f t="shared" si="16"/>
        <v>108.7964</v>
      </c>
      <c r="AI560" s="67">
        <f t="shared" si="17"/>
        <v>90.4</v>
      </c>
      <c r="AJ560" s="68">
        <f t="shared" si="20"/>
        <v>14.464</v>
      </c>
      <c r="AK560" s="68">
        <f t="shared" si="21"/>
        <v>104.864</v>
      </c>
      <c r="AL560" s="136">
        <f>IFERROR(__xludf.DUMMYFUNCTION("""COMPUTED_VALUE"""),1.0)</f>
        <v>1</v>
      </c>
      <c r="AM560" s="136"/>
      <c r="AN560" s="137" t="str">
        <f>IFERROR(__xludf.DUMMYFUNCTION("""COMPUTED_VALUE""")," P")</f>
        <v>P</v>
      </c>
      <c r="AO560" s="137" t="str">
        <f>IFERROR(__xludf.DUMMYFUNCTION("""COMPUTED_VALUE""")," DE08")</f>
        <v>DE08</v>
      </c>
      <c r="AP560" s="137" t="str">
        <f>IFERROR(__xludf.DUMMYFUNCTION("""COMPUTED_VALUE""")," PZA")</f>
        <v>PZA</v>
      </c>
      <c r="AQ560" s="137" t="str">
        <f>IFERROR(__xludf.DUMMYFUNCTION("""COMPUTED_VALUE""")," REF")</f>
        <v>REF</v>
      </c>
      <c r="AR560" s="137" t="str">
        <f>IFERROR(__xludf.DUMMYFUNCTION("""COMPUTED_VALUE""")," DESLIZADOR TRASERO DÚPLEX FIERRO")</f>
        <v>DESLIZADOR TRASERO DÚPLEX FIERRO</v>
      </c>
      <c r="AS560" s="137" t="str">
        <f>IFERROR(__xludf.DUMMYFUNCTION("""COMPUTED_VALUE""")," DESLIZADOR TRASERO DPLX FIERRO")</f>
        <v>DESLIZADOR TRASERO DPLX FIERRO</v>
      </c>
      <c r="AT560" s="137">
        <f>IFERROR(__xludf.DUMMYFUNCTION("""COMPUTED_VALUE"""),30.0)</f>
        <v>30</v>
      </c>
      <c r="AU560" s="137"/>
      <c r="AV560" s="137"/>
      <c r="AW560" s="137"/>
      <c r="AX560" s="137"/>
      <c r="AY560" s="137">
        <f>IFERROR(__xludf.DUMMYFUNCTION("""COMPUTED_VALUE"""),172.0)</f>
        <v>172</v>
      </c>
      <c r="AZ560" s="137">
        <f>IFERROR(__xludf.DUMMYFUNCTION("""COMPUTED_VALUE"""),185.0)</f>
        <v>185</v>
      </c>
      <c r="BA560" s="137">
        <f>IFERROR(__xludf.DUMMYFUNCTION("""COMPUTED_VALUE"""),199.8)</f>
        <v>199.8</v>
      </c>
      <c r="BB560" s="137">
        <f>IFERROR(__xludf.DUMMYFUNCTION("""COMPUTED_VALUE"""),199.8)</f>
        <v>199.8</v>
      </c>
      <c r="BC560" s="137">
        <f>IFERROR(__xludf.DUMMYFUNCTION("""COMPUTED_VALUE"""),223.0)</f>
        <v>223</v>
      </c>
      <c r="BD560" s="137">
        <f>IFERROR(__xludf.DUMMYFUNCTION("""COMPUTED_VALUE"""),234.0)</f>
        <v>234</v>
      </c>
      <c r="BE560" s="137">
        <f>IFERROR(__xludf.DUMMYFUNCTION("""COMPUTED_VALUE"""),37.44)</f>
        <v>37.44</v>
      </c>
      <c r="BF560" s="137">
        <f>IFERROR(__xludf.DUMMYFUNCTION("""COMPUTED_VALUE"""),271.44)</f>
        <v>271.44</v>
      </c>
      <c r="BG560" s="137">
        <f>IFERROR(__xludf.DUMMYFUNCTION("""COMPUTED_VALUE"""),0.04932735426008968)</f>
        <v>0.04932735426</v>
      </c>
      <c r="BH560" s="137">
        <f>IFERROR(__xludf.DUMMYFUNCTION("""COMPUTED_VALUE"""),222.29999999999998)</f>
        <v>222.3</v>
      </c>
      <c r="BI560" s="137">
        <f>IFERROR(__xludf.DUMMYFUNCTION("""COMPUTED_VALUE"""),35.568)</f>
        <v>35.568</v>
      </c>
      <c r="BJ560" s="137">
        <f>IFERROR(__xludf.DUMMYFUNCTION("""COMPUTED_VALUE"""),257.868)</f>
        <v>257.868</v>
      </c>
      <c r="BK560" s="137">
        <f>IFERROR(__xludf.DUMMYFUNCTION("""COMPUTED_VALUE"""),210.6)</f>
        <v>210.6</v>
      </c>
      <c r="BL560" s="137">
        <f>IFERROR(__xludf.DUMMYFUNCTION("""COMPUTED_VALUE"""),33.696)</f>
        <v>33.696</v>
      </c>
      <c r="BM560" s="137">
        <f>IFERROR(__xludf.DUMMYFUNCTION("""COMPUTED_VALUE"""),244.296)</f>
        <v>244.296</v>
      </c>
      <c r="BN560" s="137">
        <f>IFERROR(__xludf.DUMMYFUNCTION("""COMPUTED_VALUE"""),198.9)</f>
        <v>198.9</v>
      </c>
      <c r="BO560" s="137">
        <f>IFERROR(__xludf.DUMMYFUNCTION("""COMPUTED_VALUE"""),31.824)</f>
        <v>31.824</v>
      </c>
      <c r="BP560" s="137">
        <f>IFERROR(__xludf.DUMMYFUNCTION("""COMPUTED_VALUE"""),230.72400000000002)</f>
        <v>230.724</v>
      </c>
      <c r="BQ560" s="137">
        <f>IFERROR(__xludf.DUMMYFUNCTION("""COMPUTED_VALUE"""),194.22)</f>
        <v>194.22</v>
      </c>
      <c r="BR560" s="137">
        <f>IFERROR(__xludf.DUMMYFUNCTION("""COMPUTED_VALUE"""),31.0752)</f>
        <v>31.0752</v>
      </c>
      <c r="BS560" s="137">
        <f>IFERROR(__xludf.DUMMYFUNCTION("""COMPUTED_VALUE"""),225.2952)</f>
        <v>225.2952</v>
      </c>
      <c r="BT560" s="137">
        <f>IFERROR(__xludf.DUMMYFUNCTION("""COMPUTED_VALUE"""),187.20000000000002)</f>
        <v>187.2</v>
      </c>
      <c r="BU560" s="137">
        <f>IFERROR(__xludf.DUMMYFUNCTION("""COMPUTED_VALUE"""),29.952)</f>
        <v>29.952</v>
      </c>
      <c r="BV560" s="137">
        <f>IFERROR(__xludf.DUMMYFUNCTION("""COMPUTED_VALUE"""),217.15200000000002)</f>
        <v>217.152</v>
      </c>
    </row>
    <row r="561">
      <c r="A561" s="53">
        <v>1.0</v>
      </c>
      <c r="B561" s="72"/>
      <c r="C561" s="120" t="s">
        <v>603</v>
      </c>
      <c r="D561" s="74" t="s">
        <v>1382</v>
      </c>
      <c r="E561" s="54" t="s">
        <v>38</v>
      </c>
      <c r="F561" s="54" t="s">
        <v>42</v>
      </c>
      <c r="G561" s="141" t="s">
        <v>1383</v>
      </c>
      <c r="H561" s="141" t="s">
        <v>1383</v>
      </c>
      <c r="I561" s="54">
        <f t="shared" si="24"/>
        <v>25</v>
      </c>
      <c r="J561" s="56"/>
      <c r="K561" s="75"/>
      <c r="L561" s="76"/>
      <c r="M561" s="59"/>
      <c r="N561" s="60">
        <v>185.0</v>
      </c>
      <c r="O561" s="61">
        <v>199.0</v>
      </c>
      <c r="P561" s="62">
        <v>100.0</v>
      </c>
      <c r="Q561" s="63">
        <v>100.0</v>
      </c>
      <c r="R561" s="64">
        <v>127.0</v>
      </c>
      <c r="S561" s="111">
        <v>133.0</v>
      </c>
      <c r="T561" s="65">
        <f t="shared" si="2"/>
        <v>21.28</v>
      </c>
      <c r="U561" s="65">
        <f t="shared" si="3"/>
        <v>154.28</v>
      </c>
      <c r="V561" s="66">
        <f t="shared" si="4"/>
        <v>0.04724409449</v>
      </c>
      <c r="W561" s="67">
        <f t="shared" si="5"/>
        <v>126.35</v>
      </c>
      <c r="X561" s="67">
        <f t="shared" si="6"/>
        <v>20.216</v>
      </c>
      <c r="Y561" s="67">
        <f t="shared" si="7"/>
        <v>146.566</v>
      </c>
      <c r="Z561" s="67">
        <f t="shared" si="8"/>
        <v>119.7</v>
      </c>
      <c r="AA561" s="67">
        <f t="shared" si="9"/>
        <v>19.152</v>
      </c>
      <c r="AB561" s="67">
        <f t="shared" si="10"/>
        <v>138.852</v>
      </c>
      <c r="AC561" s="67">
        <f t="shared" si="11"/>
        <v>113.05</v>
      </c>
      <c r="AD561" s="67">
        <f t="shared" si="12"/>
        <v>18.088</v>
      </c>
      <c r="AE561" s="67">
        <f t="shared" si="13"/>
        <v>131.138</v>
      </c>
      <c r="AF561" s="67">
        <f t="shared" si="14"/>
        <v>110.39</v>
      </c>
      <c r="AG561" s="67">
        <f t="shared" si="15"/>
        <v>17.6624</v>
      </c>
      <c r="AH561" s="67">
        <f t="shared" si="16"/>
        <v>128.0524</v>
      </c>
      <c r="AI561" s="67">
        <f t="shared" si="17"/>
        <v>106.4</v>
      </c>
      <c r="AJ561" s="68">
        <f t="shared" si="20"/>
        <v>17.024</v>
      </c>
      <c r="AK561" s="68">
        <f t="shared" si="21"/>
        <v>123.424</v>
      </c>
      <c r="AL561" s="70">
        <f>IFERROR(__xludf.DUMMYFUNCTION("""COMPUTED_VALUE"""),1.0)</f>
        <v>1</v>
      </c>
      <c r="AM561" s="70"/>
      <c r="AN561" s="71" t="str">
        <f>IFERROR(__xludf.DUMMYFUNCTION("""COMPUTED_VALUE""")," P")</f>
        <v>P</v>
      </c>
      <c r="AO561" s="71" t="str">
        <f>IFERROR(__xludf.DUMMYFUNCTION("""COMPUTED_VALUE""")," DE11")</f>
        <v>DE11</v>
      </c>
      <c r="AP561" s="71" t="str">
        <f>IFERROR(__xludf.DUMMYFUNCTION("""COMPUTED_VALUE""")," PZA")</f>
        <v>PZA</v>
      </c>
      <c r="AQ561" s="71" t="str">
        <f>IFERROR(__xludf.DUMMYFUNCTION("""COMPUTED_VALUE""")," REF")</f>
        <v>REF</v>
      </c>
      <c r="AR561" s="71" t="str">
        <f>IFERROR(__xludf.DUMMYFUNCTION("""COMPUTED_VALUE""")," DESLIZADOR TRASERO SENCILLO ACERO INOXIDABLE")</f>
        <v>DESLIZADOR TRASERO SENCILLO ACERO INOXIDABLE</v>
      </c>
      <c r="AS561" s="71" t="str">
        <f>IFERROR(__xludf.DUMMYFUNCTION("""COMPUTED_VALUE""")," DESLIZADOR TRASERO SENCILLO INOX")</f>
        <v>DESLIZADOR TRASERO SENCILLO INOX</v>
      </c>
      <c r="AT561" s="71">
        <f>IFERROR(__xludf.DUMMYFUNCTION("""COMPUTED_VALUE"""),32.0)</f>
        <v>32</v>
      </c>
      <c r="AU561" s="71"/>
      <c r="AV561" s="71"/>
      <c r="AW561" s="71"/>
      <c r="AX561" s="71"/>
      <c r="AY561" s="71">
        <f>IFERROR(__xludf.DUMMYFUNCTION("""COMPUTED_VALUE"""),254.0)</f>
        <v>254</v>
      </c>
      <c r="AZ561" s="71">
        <f>IFERROR(__xludf.DUMMYFUNCTION("""COMPUTED_VALUE"""),274.0)</f>
        <v>274</v>
      </c>
      <c r="BA561" s="71">
        <f>IFERROR(__xludf.DUMMYFUNCTION("""COMPUTED_VALUE"""),295.92)</f>
        <v>295.92</v>
      </c>
      <c r="BB561" s="71">
        <f>IFERROR(__xludf.DUMMYFUNCTION("""COMPUTED_VALUE"""),295.92)</f>
        <v>295.92</v>
      </c>
      <c r="BC561" s="71">
        <f>IFERROR(__xludf.DUMMYFUNCTION("""COMPUTED_VALUE"""),330.0)</f>
        <v>330</v>
      </c>
      <c r="BD561" s="71">
        <f>IFERROR(__xludf.DUMMYFUNCTION("""COMPUTED_VALUE"""),347.0)</f>
        <v>347</v>
      </c>
      <c r="BE561" s="71">
        <f>IFERROR(__xludf.DUMMYFUNCTION("""COMPUTED_VALUE"""),55.52)</f>
        <v>55.52</v>
      </c>
      <c r="BF561" s="71">
        <f>IFERROR(__xludf.DUMMYFUNCTION("""COMPUTED_VALUE"""),402.52)</f>
        <v>402.52</v>
      </c>
      <c r="BG561" s="71">
        <f>IFERROR(__xludf.DUMMYFUNCTION("""COMPUTED_VALUE"""),0.051515151515151514)</f>
        <v>0.05151515152</v>
      </c>
      <c r="BH561" s="71">
        <f>IFERROR(__xludf.DUMMYFUNCTION("""COMPUTED_VALUE"""),329.65)</f>
        <v>329.65</v>
      </c>
      <c r="BI561" s="71">
        <f>IFERROR(__xludf.DUMMYFUNCTION("""COMPUTED_VALUE"""),52.744)</f>
        <v>52.744</v>
      </c>
      <c r="BJ561" s="71">
        <f>IFERROR(__xludf.DUMMYFUNCTION("""COMPUTED_VALUE"""),382.394)</f>
        <v>382.394</v>
      </c>
      <c r="BK561" s="71">
        <f>IFERROR(__xludf.DUMMYFUNCTION("""COMPUTED_VALUE"""),312.3)</f>
        <v>312.3</v>
      </c>
      <c r="BL561" s="71">
        <f>IFERROR(__xludf.DUMMYFUNCTION("""COMPUTED_VALUE"""),49.968)</f>
        <v>49.968</v>
      </c>
      <c r="BM561" s="71">
        <f>IFERROR(__xludf.DUMMYFUNCTION("""COMPUTED_VALUE"""),362.26800000000003)</f>
        <v>362.268</v>
      </c>
      <c r="BN561" s="71">
        <f>IFERROR(__xludf.DUMMYFUNCTION("""COMPUTED_VALUE"""),294.95)</f>
        <v>294.95</v>
      </c>
      <c r="BO561" s="71">
        <f>IFERROR(__xludf.DUMMYFUNCTION("""COMPUTED_VALUE"""),47.192)</f>
        <v>47.192</v>
      </c>
      <c r="BP561" s="71">
        <f>IFERROR(__xludf.DUMMYFUNCTION("""COMPUTED_VALUE"""),342.142)</f>
        <v>342.142</v>
      </c>
      <c r="BQ561" s="71">
        <f>IFERROR(__xludf.DUMMYFUNCTION("""COMPUTED_VALUE"""),288.01)</f>
        <v>288.01</v>
      </c>
      <c r="BR561" s="71">
        <f>IFERROR(__xludf.DUMMYFUNCTION("""COMPUTED_VALUE"""),46.0816)</f>
        <v>46.0816</v>
      </c>
      <c r="BS561" s="71">
        <f>IFERROR(__xludf.DUMMYFUNCTION("""COMPUTED_VALUE"""),334.09159999999997)</f>
        <v>334.0916</v>
      </c>
      <c r="BT561" s="71">
        <f>IFERROR(__xludf.DUMMYFUNCTION("""COMPUTED_VALUE"""),277.6)</f>
        <v>277.6</v>
      </c>
      <c r="BU561" s="71">
        <f>IFERROR(__xludf.DUMMYFUNCTION("""COMPUTED_VALUE"""),44.416000000000004)</f>
        <v>44.416</v>
      </c>
      <c r="BV561" s="71">
        <f>IFERROR(__xludf.DUMMYFUNCTION("""COMPUTED_VALUE"""),322.016)</f>
        <v>322.016</v>
      </c>
    </row>
    <row r="562">
      <c r="A562" s="53">
        <v>1.0</v>
      </c>
      <c r="B562" s="72"/>
      <c r="C562" s="120" t="s">
        <v>603</v>
      </c>
      <c r="D562" s="74" t="s">
        <v>1384</v>
      </c>
      <c r="E562" s="54" t="s">
        <v>38</v>
      </c>
      <c r="F562" s="54" t="s">
        <v>42</v>
      </c>
      <c r="G562" s="141" t="s">
        <v>1385</v>
      </c>
      <c r="H562" s="141" t="s">
        <v>1385</v>
      </c>
      <c r="I562" s="54">
        <f t="shared" si="24"/>
        <v>27</v>
      </c>
      <c r="J562" s="56"/>
      <c r="K562" s="75"/>
      <c r="L562" s="76"/>
      <c r="M562" s="59"/>
      <c r="N562" s="60">
        <v>185.0</v>
      </c>
      <c r="O562" s="61">
        <v>199.0</v>
      </c>
      <c r="P562" s="62">
        <v>100.0</v>
      </c>
      <c r="Q562" s="63">
        <v>100.0</v>
      </c>
      <c r="R562" s="64">
        <v>127.0</v>
      </c>
      <c r="S562" s="111">
        <v>133.0</v>
      </c>
      <c r="T562" s="65">
        <f t="shared" si="2"/>
        <v>21.28</v>
      </c>
      <c r="U562" s="65">
        <f t="shared" si="3"/>
        <v>154.28</v>
      </c>
      <c r="V562" s="66">
        <f t="shared" si="4"/>
        <v>0.04724409449</v>
      </c>
      <c r="W562" s="67">
        <f t="shared" si="5"/>
        <v>126.35</v>
      </c>
      <c r="X562" s="67">
        <f t="shared" si="6"/>
        <v>20.216</v>
      </c>
      <c r="Y562" s="67">
        <f t="shared" si="7"/>
        <v>146.566</v>
      </c>
      <c r="Z562" s="67">
        <f t="shared" si="8"/>
        <v>119.7</v>
      </c>
      <c r="AA562" s="67">
        <f t="shared" si="9"/>
        <v>19.152</v>
      </c>
      <c r="AB562" s="67">
        <f t="shared" si="10"/>
        <v>138.852</v>
      </c>
      <c r="AC562" s="67">
        <f t="shared" si="11"/>
        <v>113.05</v>
      </c>
      <c r="AD562" s="67">
        <f t="shared" si="12"/>
        <v>18.088</v>
      </c>
      <c r="AE562" s="67">
        <f t="shared" si="13"/>
        <v>131.138</v>
      </c>
      <c r="AF562" s="67">
        <f t="shared" si="14"/>
        <v>110.39</v>
      </c>
      <c r="AG562" s="67">
        <f t="shared" si="15"/>
        <v>17.6624</v>
      </c>
      <c r="AH562" s="67">
        <f t="shared" si="16"/>
        <v>128.0524</v>
      </c>
      <c r="AI562" s="67">
        <f t="shared" si="17"/>
        <v>106.4</v>
      </c>
      <c r="AJ562" s="68">
        <f t="shared" si="20"/>
        <v>17.024</v>
      </c>
      <c r="AK562" s="68">
        <f t="shared" si="21"/>
        <v>123.424</v>
      </c>
      <c r="AL562" s="70">
        <f>IFERROR(__xludf.DUMMYFUNCTION("""COMPUTED_VALUE"""),1.0)</f>
        <v>1</v>
      </c>
      <c r="AM562" s="70"/>
      <c r="AN562" s="71" t="str">
        <f>IFERROR(__xludf.DUMMYFUNCTION("""COMPUTED_VALUE""")," P")</f>
        <v>P</v>
      </c>
      <c r="AO562" s="71" t="str">
        <f>IFERROR(__xludf.DUMMYFUNCTION("""COMPUTED_VALUE""")," DE10")</f>
        <v>DE10</v>
      </c>
      <c r="AP562" s="71" t="str">
        <f>IFERROR(__xludf.DUMMYFUNCTION("""COMPUTED_VALUE""")," PZA")</f>
        <v>PZA</v>
      </c>
      <c r="AQ562" s="71" t="str">
        <f>IFERROR(__xludf.DUMMYFUNCTION("""COMPUTED_VALUE""")," REF")</f>
        <v>REF</v>
      </c>
      <c r="AR562" s="71" t="str">
        <f>IFERROR(__xludf.DUMMYFUNCTION("""COMPUTED_VALUE""")," DESLIZADOR TRASERO SENCILLO FIERRO")</f>
        <v>DESLIZADOR TRASERO SENCILLO FIERRO</v>
      </c>
      <c r="AS562" s="71" t="str">
        <f>IFERROR(__xludf.DUMMYFUNCTION("""COMPUTED_VALUE""")," DESLIZADOR TRASERO SENCILLO FIERRO")</f>
        <v>DESLIZADOR TRASERO SENCILLO FIERRO</v>
      </c>
      <c r="AT562" s="71">
        <f>IFERROR(__xludf.DUMMYFUNCTION("""COMPUTED_VALUE"""),34.0)</f>
        <v>34</v>
      </c>
      <c r="AU562" s="71"/>
      <c r="AV562" s="71"/>
      <c r="AW562" s="71"/>
      <c r="AX562" s="71"/>
      <c r="AY562" s="71">
        <f>IFERROR(__xludf.DUMMYFUNCTION("""COMPUTED_VALUE"""),120.0)</f>
        <v>120</v>
      </c>
      <c r="AZ562" s="71">
        <f>IFERROR(__xludf.DUMMYFUNCTION("""COMPUTED_VALUE"""),129.0)</f>
        <v>129</v>
      </c>
      <c r="BA562" s="71">
        <f>IFERROR(__xludf.DUMMYFUNCTION("""COMPUTED_VALUE"""),139.32000000000002)</f>
        <v>139.32</v>
      </c>
      <c r="BB562" s="71">
        <f>IFERROR(__xludf.DUMMYFUNCTION("""COMPUTED_VALUE"""),139.32000000000002)</f>
        <v>139.32</v>
      </c>
      <c r="BC562" s="71">
        <f>IFERROR(__xludf.DUMMYFUNCTION("""COMPUTED_VALUE"""),156.0)</f>
        <v>156</v>
      </c>
      <c r="BD562" s="71">
        <f>IFERROR(__xludf.DUMMYFUNCTION("""COMPUTED_VALUE"""),164.0)</f>
        <v>164</v>
      </c>
      <c r="BE562" s="71">
        <f>IFERROR(__xludf.DUMMYFUNCTION("""COMPUTED_VALUE"""),26.240000000000002)</f>
        <v>26.24</v>
      </c>
      <c r="BF562" s="71">
        <f>IFERROR(__xludf.DUMMYFUNCTION("""COMPUTED_VALUE"""),190.24)</f>
        <v>190.24</v>
      </c>
      <c r="BG562" s="71">
        <f>IFERROR(__xludf.DUMMYFUNCTION("""COMPUTED_VALUE"""),0.05128205128205128)</f>
        <v>0.05128205128</v>
      </c>
      <c r="BH562" s="71">
        <f>IFERROR(__xludf.DUMMYFUNCTION("""COMPUTED_VALUE"""),155.79999999999998)</f>
        <v>155.8</v>
      </c>
      <c r="BI562" s="71">
        <f>IFERROR(__xludf.DUMMYFUNCTION("""COMPUTED_VALUE"""),24.927999999999997)</f>
        <v>24.928</v>
      </c>
      <c r="BJ562" s="71">
        <f>IFERROR(__xludf.DUMMYFUNCTION("""COMPUTED_VALUE"""),180.72799999999998)</f>
        <v>180.728</v>
      </c>
      <c r="BK562" s="71">
        <f>IFERROR(__xludf.DUMMYFUNCTION("""COMPUTED_VALUE"""),147.6)</f>
        <v>147.6</v>
      </c>
      <c r="BL562" s="71">
        <f>IFERROR(__xludf.DUMMYFUNCTION("""COMPUTED_VALUE"""),23.616)</f>
        <v>23.616</v>
      </c>
      <c r="BM562" s="71">
        <f>IFERROR(__xludf.DUMMYFUNCTION("""COMPUTED_VALUE"""),171.216)</f>
        <v>171.216</v>
      </c>
      <c r="BN562" s="71">
        <f>IFERROR(__xludf.DUMMYFUNCTION("""COMPUTED_VALUE"""),139.4)</f>
        <v>139.4</v>
      </c>
      <c r="BO562" s="71">
        <f>IFERROR(__xludf.DUMMYFUNCTION("""COMPUTED_VALUE"""),22.304000000000002)</f>
        <v>22.304</v>
      </c>
      <c r="BP562" s="71">
        <f>IFERROR(__xludf.DUMMYFUNCTION("""COMPUTED_VALUE"""),161.704)</f>
        <v>161.704</v>
      </c>
      <c r="BQ562" s="71">
        <f>IFERROR(__xludf.DUMMYFUNCTION("""COMPUTED_VALUE"""),136.12)</f>
        <v>136.12</v>
      </c>
      <c r="BR562" s="71">
        <f>IFERROR(__xludf.DUMMYFUNCTION("""COMPUTED_VALUE"""),21.7792)</f>
        <v>21.7792</v>
      </c>
      <c r="BS562" s="71">
        <f>IFERROR(__xludf.DUMMYFUNCTION("""COMPUTED_VALUE"""),157.8992)</f>
        <v>157.8992</v>
      </c>
      <c r="BT562" s="71">
        <f>IFERROR(__xludf.DUMMYFUNCTION("""COMPUTED_VALUE"""),131.20000000000002)</f>
        <v>131.2</v>
      </c>
      <c r="BU562" s="71">
        <f>IFERROR(__xludf.DUMMYFUNCTION("""COMPUTED_VALUE"""),20.992000000000004)</f>
        <v>20.992</v>
      </c>
      <c r="BV562" s="71">
        <f>IFERROR(__xludf.DUMMYFUNCTION("""COMPUTED_VALUE"""),152.192)</f>
        <v>152.192</v>
      </c>
    </row>
    <row r="563">
      <c r="A563" s="53">
        <v>1.0</v>
      </c>
      <c r="B563" s="53"/>
      <c r="C563" s="73" t="s">
        <v>603</v>
      </c>
      <c r="D563" s="53" t="s">
        <v>1386</v>
      </c>
      <c r="E563" s="54" t="s">
        <v>38</v>
      </c>
      <c r="F563" s="54" t="s">
        <v>42</v>
      </c>
      <c r="G563" s="141" t="s">
        <v>1387</v>
      </c>
      <c r="H563" s="141" t="s">
        <v>1387</v>
      </c>
      <c r="I563" s="54">
        <f t="shared" si="24"/>
        <v>29</v>
      </c>
      <c r="J563" s="56"/>
      <c r="K563" s="75"/>
      <c r="L563" s="76"/>
      <c r="M563" s="59"/>
      <c r="N563" s="79">
        <v>190.0</v>
      </c>
      <c r="O563" s="61">
        <v>205.0</v>
      </c>
      <c r="P563" s="63">
        <v>105.0</v>
      </c>
      <c r="Q563" s="63">
        <v>105.0</v>
      </c>
      <c r="R563" s="64">
        <v>114.0</v>
      </c>
      <c r="S563" s="111">
        <v>120.0</v>
      </c>
      <c r="T563" s="65">
        <f t="shared" si="2"/>
        <v>19.2</v>
      </c>
      <c r="U563" s="65">
        <f t="shared" si="3"/>
        <v>139.2</v>
      </c>
      <c r="V563" s="66">
        <f t="shared" si="4"/>
        <v>0.05263157895</v>
      </c>
      <c r="W563" s="67">
        <f t="shared" si="5"/>
        <v>114</v>
      </c>
      <c r="X563" s="67">
        <f t="shared" si="6"/>
        <v>18.24</v>
      </c>
      <c r="Y563" s="67">
        <f t="shared" si="7"/>
        <v>132.24</v>
      </c>
      <c r="Z563" s="67">
        <f t="shared" si="8"/>
        <v>108</v>
      </c>
      <c r="AA563" s="67">
        <f t="shared" si="9"/>
        <v>17.28</v>
      </c>
      <c r="AB563" s="67">
        <f t="shared" si="10"/>
        <v>125.28</v>
      </c>
      <c r="AC563" s="67">
        <f t="shared" si="11"/>
        <v>102</v>
      </c>
      <c r="AD563" s="67">
        <f t="shared" si="12"/>
        <v>16.32</v>
      </c>
      <c r="AE563" s="67">
        <f t="shared" si="13"/>
        <v>118.32</v>
      </c>
      <c r="AF563" s="67">
        <f t="shared" si="14"/>
        <v>99.6</v>
      </c>
      <c r="AG563" s="67">
        <f t="shared" si="15"/>
        <v>15.936</v>
      </c>
      <c r="AH563" s="67">
        <f t="shared" si="16"/>
        <v>115.536</v>
      </c>
      <c r="AI563" s="67">
        <f t="shared" si="17"/>
        <v>96</v>
      </c>
      <c r="AJ563" s="68">
        <f t="shared" si="20"/>
        <v>15.36</v>
      </c>
      <c r="AK563" s="68">
        <f t="shared" si="21"/>
        <v>111.36</v>
      </c>
      <c r="AL563" s="136">
        <f>IFERROR(__xludf.DUMMYFUNCTION("""COMPUTED_VALUE"""),1.0)</f>
        <v>1</v>
      </c>
      <c r="AM563" s="136"/>
      <c r="AN563" s="137" t="str">
        <f>IFERROR(__xludf.DUMMYFUNCTION("""COMPUTED_VALUE""")," P")</f>
        <v>P</v>
      </c>
      <c r="AO563" s="137" t="str">
        <f>IFERROR(__xludf.DUMMYFUNCTION("""COMPUTED_VALUE""")," DF01")</f>
        <v>DF01</v>
      </c>
      <c r="AP563" s="137" t="str">
        <f>IFERROR(__xludf.DUMMYFUNCTION("""COMPUTED_VALUE""")," PZA")</f>
        <v>PZA</v>
      </c>
      <c r="AQ563" s="137" t="str">
        <f>IFERROR(__xludf.DUMMYFUNCTION("""COMPUTED_VALUE""")," REF")</f>
        <v>REF</v>
      </c>
      <c r="AR563" s="137" t="str">
        <f>IFERROR(__xludf.DUMMYFUNCTION("""COMPUTED_VALUE""")," DIFERENCIAL MODELO ANTERIOR")</f>
        <v>DIFERENCIAL MODELO ANTERIOR</v>
      </c>
      <c r="AS563" s="137" t="str">
        <f>IFERROR(__xludf.DUMMYFUNCTION("""COMPUTED_VALUE""")," DIFERENCIAL MODELO ANTERIOR")</f>
        <v>DIFERENCIAL MODELO ANTERIOR</v>
      </c>
      <c r="AT563" s="137">
        <f>IFERROR(__xludf.DUMMYFUNCTION("""COMPUTED_VALUE"""),27.0)</f>
        <v>27</v>
      </c>
      <c r="AU563" s="137"/>
      <c r="AV563" s="137"/>
      <c r="AW563" s="137"/>
      <c r="AX563" s="137"/>
      <c r="AY563" s="137">
        <f>IFERROR(__xludf.DUMMYFUNCTION("""COMPUTED_VALUE"""),10590.0)</f>
        <v>10590</v>
      </c>
      <c r="AZ563" s="137">
        <f>IFERROR(__xludf.DUMMYFUNCTION("""COMPUTED_VALUE"""),11437.0)</f>
        <v>11437</v>
      </c>
      <c r="BA563" s="137">
        <f>IFERROR(__xludf.DUMMYFUNCTION("""COMPUTED_VALUE"""),12351.960000000001)</f>
        <v>12351.96</v>
      </c>
      <c r="BB563" s="137">
        <f>IFERROR(__xludf.DUMMYFUNCTION("""COMPUTED_VALUE"""),12351.960000000001)</f>
        <v>12351.96</v>
      </c>
      <c r="BC563" s="137">
        <f>IFERROR(__xludf.DUMMYFUNCTION("""COMPUTED_VALUE"""),13749.0)</f>
        <v>13749</v>
      </c>
      <c r="BD563" s="137">
        <f>IFERROR(__xludf.DUMMYFUNCTION("""COMPUTED_VALUE"""),14436.0)</f>
        <v>14436</v>
      </c>
      <c r="BE563" s="137">
        <f>IFERROR(__xludf.DUMMYFUNCTION("""COMPUTED_VALUE"""),2309.76)</f>
        <v>2309.76</v>
      </c>
      <c r="BF563" s="137">
        <f>IFERROR(__xludf.DUMMYFUNCTION("""COMPUTED_VALUE"""),16745.760000000002)</f>
        <v>16745.76</v>
      </c>
      <c r="BG563" s="137">
        <f>IFERROR(__xludf.DUMMYFUNCTION("""COMPUTED_VALUE"""),0.04996727034693432)</f>
        <v>0.04996727035</v>
      </c>
      <c r="BH563" s="137">
        <f>IFERROR(__xludf.DUMMYFUNCTION("""COMPUTED_VALUE"""),13714.199999999999)</f>
        <v>13714.2</v>
      </c>
      <c r="BI563" s="137">
        <f>IFERROR(__xludf.DUMMYFUNCTION("""COMPUTED_VALUE"""),2194.272)</f>
        <v>2194.272</v>
      </c>
      <c r="BJ563" s="137">
        <f>IFERROR(__xludf.DUMMYFUNCTION("""COMPUTED_VALUE"""),15908.471999999998)</f>
        <v>15908.472</v>
      </c>
      <c r="BK563" s="137">
        <f>IFERROR(__xludf.DUMMYFUNCTION("""COMPUTED_VALUE"""),12992.4)</f>
        <v>12992.4</v>
      </c>
      <c r="BL563" s="137">
        <f>IFERROR(__xludf.DUMMYFUNCTION("""COMPUTED_VALUE"""),2078.784)</f>
        <v>2078.784</v>
      </c>
      <c r="BM563" s="137">
        <f>IFERROR(__xludf.DUMMYFUNCTION("""COMPUTED_VALUE"""),15071.184)</f>
        <v>15071.184</v>
      </c>
      <c r="BN563" s="137">
        <f>IFERROR(__xludf.DUMMYFUNCTION("""COMPUTED_VALUE"""),12270.6)</f>
        <v>12270.6</v>
      </c>
      <c r="BO563" s="137">
        <f>IFERROR(__xludf.DUMMYFUNCTION("""COMPUTED_VALUE"""),1963.296)</f>
        <v>1963.296</v>
      </c>
      <c r="BP563" s="137">
        <f>IFERROR(__xludf.DUMMYFUNCTION("""COMPUTED_VALUE"""),14233.896)</f>
        <v>14233.896</v>
      </c>
      <c r="BQ563" s="137">
        <f>IFERROR(__xludf.DUMMYFUNCTION("""COMPUTED_VALUE"""),11981.88)</f>
        <v>11981.88</v>
      </c>
      <c r="BR563" s="137">
        <f>IFERROR(__xludf.DUMMYFUNCTION("""COMPUTED_VALUE"""),1917.1008)</f>
        <v>1917.1008</v>
      </c>
      <c r="BS563" s="137">
        <f>IFERROR(__xludf.DUMMYFUNCTION("""COMPUTED_VALUE"""),13898.9808)</f>
        <v>13898.9808</v>
      </c>
      <c r="BT563" s="137">
        <f>IFERROR(__xludf.DUMMYFUNCTION("""COMPUTED_VALUE"""),11548.800000000001)</f>
        <v>11548.8</v>
      </c>
      <c r="BU563" s="137">
        <f>IFERROR(__xludf.DUMMYFUNCTION("""COMPUTED_VALUE"""),1847.8080000000002)</f>
        <v>1847.808</v>
      </c>
      <c r="BV563" s="137">
        <f>IFERROR(__xludf.DUMMYFUNCTION("""COMPUTED_VALUE"""),13396.608000000002)</f>
        <v>13396.608</v>
      </c>
    </row>
    <row r="564">
      <c r="A564" s="53">
        <v>1.0</v>
      </c>
      <c r="B564" s="53"/>
      <c r="C564" s="120" t="s">
        <v>603</v>
      </c>
      <c r="D564" s="128" t="s">
        <v>1388</v>
      </c>
      <c r="E564" s="54" t="s">
        <v>38</v>
      </c>
      <c r="F564" s="54" t="s">
        <v>42</v>
      </c>
      <c r="G564" s="141" t="s">
        <v>1389</v>
      </c>
      <c r="H564" s="141" t="s">
        <v>1389</v>
      </c>
      <c r="I564" s="54">
        <f t="shared" si="24"/>
        <v>25</v>
      </c>
      <c r="J564" s="56"/>
      <c r="K564" s="75"/>
      <c r="L564" s="76"/>
      <c r="M564" s="59"/>
      <c r="N564" s="60">
        <v>190.05</v>
      </c>
      <c r="O564" s="129">
        <v>205.0</v>
      </c>
      <c r="P564" s="62">
        <v>105.0</v>
      </c>
      <c r="Q564" s="63">
        <v>105.0</v>
      </c>
      <c r="R564" s="64">
        <v>114.0</v>
      </c>
      <c r="S564" s="111">
        <v>120.0</v>
      </c>
      <c r="T564" s="65">
        <f t="shared" si="2"/>
        <v>19.2</v>
      </c>
      <c r="U564" s="65">
        <f t="shared" si="3"/>
        <v>139.2</v>
      </c>
      <c r="V564" s="66">
        <f t="shared" si="4"/>
        <v>0.05263157895</v>
      </c>
      <c r="W564" s="67">
        <f t="shared" si="5"/>
        <v>114</v>
      </c>
      <c r="X564" s="67">
        <f t="shared" si="6"/>
        <v>18.24</v>
      </c>
      <c r="Y564" s="67">
        <f t="shared" si="7"/>
        <v>132.24</v>
      </c>
      <c r="Z564" s="67">
        <f t="shared" si="8"/>
        <v>108</v>
      </c>
      <c r="AA564" s="67">
        <f t="shared" si="9"/>
        <v>17.28</v>
      </c>
      <c r="AB564" s="67">
        <f t="shared" si="10"/>
        <v>125.28</v>
      </c>
      <c r="AC564" s="67">
        <f t="shared" si="11"/>
        <v>102</v>
      </c>
      <c r="AD564" s="67">
        <f t="shared" si="12"/>
        <v>16.32</v>
      </c>
      <c r="AE564" s="67">
        <f t="shared" si="13"/>
        <v>118.32</v>
      </c>
      <c r="AF564" s="67">
        <f t="shared" si="14"/>
        <v>99.6</v>
      </c>
      <c r="AG564" s="67">
        <f t="shared" si="15"/>
        <v>15.936</v>
      </c>
      <c r="AH564" s="67">
        <f t="shared" si="16"/>
        <v>115.536</v>
      </c>
      <c r="AI564" s="67">
        <f t="shared" si="17"/>
        <v>96</v>
      </c>
      <c r="AJ564" s="68">
        <f t="shared" si="20"/>
        <v>15.36</v>
      </c>
      <c r="AK564" s="68">
        <f t="shared" si="21"/>
        <v>111.36</v>
      </c>
      <c r="AL564" s="70">
        <f>IFERROR(__xludf.DUMMYFUNCTION("""COMPUTED_VALUE"""),1.0)</f>
        <v>1</v>
      </c>
      <c r="AM564" s="70"/>
      <c r="AN564" s="71" t="str">
        <f>IFERROR(__xludf.DUMMYFUNCTION("""COMPUTED_VALUE""")," P")</f>
        <v>P</v>
      </c>
      <c r="AO564" s="71" t="str">
        <f>IFERROR(__xludf.DUMMYFUNCTION("""COMPUTED_VALUE""")," DF02")</f>
        <v>DF02</v>
      </c>
      <c r="AP564" s="71" t="str">
        <f>IFERROR(__xludf.DUMMYFUNCTION("""COMPUTED_VALUE""")," PZA")</f>
        <v>PZA</v>
      </c>
      <c r="AQ564" s="71" t="str">
        <f>IFERROR(__xludf.DUMMYFUNCTION("""COMPUTED_VALUE""")," REF")</f>
        <v>REF</v>
      </c>
      <c r="AR564" s="71" t="str">
        <f>IFERROR(__xludf.DUMMYFUNCTION("""COMPUTED_VALUE""")," DIFERENCIAL TV-50 (B.C.)")</f>
        <v>DIFERENCIAL TV-50 (B.C.)</v>
      </c>
      <c r="AS564" s="71" t="str">
        <f>IFERROR(__xludf.DUMMYFUNCTION("""COMPUTED_VALUE""")," DIFERENCIAL TV-50 BC")</f>
        <v>DIFERENCIAL TV-50 BC</v>
      </c>
      <c r="AT564" s="71">
        <f>IFERROR(__xludf.DUMMYFUNCTION("""COMPUTED_VALUE"""),20.0)</f>
        <v>20</v>
      </c>
      <c r="AU564" s="71"/>
      <c r="AV564" s="71"/>
      <c r="AW564" s="71"/>
      <c r="AX564" s="71"/>
      <c r="AY564" s="71">
        <f>IFERROR(__xludf.DUMMYFUNCTION("""COMPUTED_VALUE"""),10590.0)</f>
        <v>10590</v>
      </c>
      <c r="AZ564" s="71">
        <f>IFERROR(__xludf.DUMMYFUNCTION("""COMPUTED_VALUE"""),11437.0)</f>
        <v>11437</v>
      </c>
      <c r="BA564" s="71">
        <f>IFERROR(__xludf.DUMMYFUNCTION("""COMPUTED_VALUE"""),12351.960000000001)</f>
        <v>12351.96</v>
      </c>
      <c r="BB564" s="71">
        <f>IFERROR(__xludf.DUMMYFUNCTION("""COMPUTED_VALUE"""),12351.960000000001)</f>
        <v>12351.96</v>
      </c>
      <c r="BC564" s="71">
        <f>IFERROR(__xludf.DUMMYFUNCTION("""COMPUTED_VALUE"""),13749.0)</f>
        <v>13749</v>
      </c>
      <c r="BD564" s="71">
        <f>IFERROR(__xludf.DUMMYFUNCTION("""COMPUTED_VALUE"""),14436.0)</f>
        <v>14436</v>
      </c>
      <c r="BE564" s="71">
        <f>IFERROR(__xludf.DUMMYFUNCTION("""COMPUTED_VALUE"""),2309.76)</f>
        <v>2309.76</v>
      </c>
      <c r="BF564" s="71">
        <f>IFERROR(__xludf.DUMMYFUNCTION("""COMPUTED_VALUE"""),16745.760000000002)</f>
        <v>16745.76</v>
      </c>
      <c r="BG564" s="71">
        <f>IFERROR(__xludf.DUMMYFUNCTION("""COMPUTED_VALUE"""),0.04996727034693432)</f>
        <v>0.04996727035</v>
      </c>
      <c r="BH564" s="71">
        <f>IFERROR(__xludf.DUMMYFUNCTION("""COMPUTED_VALUE"""),13714.199999999999)</f>
        <v>13714.2</v>
      </c>
      <c r="BI564" s="71">
        <f>IFERROR(__xludf.DUMMYFUNCTION("""COMPUTED_VALUE"""),2194.272)</f>
        <v>2194.272</v>
      </c>
      <c r="BJ564" s="71">
        <f>IFERROR(__xludf.DUMMYFUNCTION("""COMPUTED_VALUE"""),15908.471999999998)</f>
        <v>15908.472</v>
      </c>
      <c r="BK564" s="71">
        <f>IFERROR(__xludf.DUMMYFUNCTION("""COMPUTED_VALUE"""),12992.4)</f>
        <v>12992.4</v>
      </c>
      <c r="BL564" s="71">
        <f>IFERROR(__xludf.DUMMYFUNCTION("""COMPUTED_VALUE"""),2078.784)</f>
        <v>2078.784</v>
      </c>
      <c r="BM564" s="71">
        <f>IFERROR(__xludf.DUMMYFUNCTION("""COMPUTED_VALUE"""),15071.184)</f>
        <v>15071.184</v>
      </c>
      <c r="BN564" s="71">
        <f>IFERROR(__xludf.DUMMYFUNCTION("""COMPUTED_VALUE"""),12270.6)</f>
        <v>12270.6</v>
      </c>
      <c r="BO564" s="71">
        <f>IFERROR(__xludf.DUMMYFUNCTION("""COMPUTED_VALUE"""),1963.296)</f>
        <v>1963.296</v>
      </c>
      <c r="BP564" s="71">
        <f>IFERROR(__xludf.DUMMYFUNCTION("""COMPUTED_VALUE"""),14233.896)</f>
        <v>14233.896</v>
      </c>
      <c r="BQ564" s="71">
        <f>IFERROR(__xludf.DUMMYFUNCTION("""COMPUTED_VALUE"""),11981.88)</f>
        <v>11981.88</v>
      </c>
      <c r="BR564" s="71">
        <f>IFERROR(__xludf.DUMMYFUNCTION("""COMPUTED_VALUE"""),1917.1008)</f>
        <v>1917.1008</v>
      </c>
      <c r="BS564" s="71">
        <f>IFERROR(__xludf.DUMMYFUNCTION("""COMPUTED_VALUE"""),13898.9808)</f>
        <v>13898.9808</v>
      </c>
      <c r="BT564" s="71">
        <f>IFERROR(__xludf.DUMMYFUNCTION("""COMPUTED_VALUE"""),11548.800000000001)</f>
        <v>11548.8</v>
      </c>
      <c r="BU564" s="71">
        <f>IFERROR(__xludf.DUMMYFUNCTION("""COMPUTED_VALUE"""),1847.8080000000002)</f>
        <v>1847.808</v>
      </c>
      <c r="BV564" s="71">
        <f>IFERROR(__xludf.DUMMYFUNCTION("""COMPUTED_VALUE"""),13396.608000000002)</f>
        <v>13396.608</v>
      </c>
    </row>
    <row r="565">
      <c r="A565" s="53">
        <v>1.0</v>
      </c>
      <c r="B565" s="53"/>
      <c r="C565" s="73" t="s">
        <v>53</v>
      </c>
      <c r="D565" s="53" t="s">
        <v>1390</v>
      </c>
      <c r="E565" s="54" t="s">
        <v>38</v>
      </c>
      <c r="F565" s="54" t="s">
        <v>42</v>
      </c>
      <c r="G565" s="142" t="s">
        <v>1391</v>
      </c>
      <c r="H565" s="142" t="s">
        <v>1391</v>
      </c>
      <c r="I565" s="54">
        <f t="shared" si="24"/>
        <v>25</v>
      </c>
      <c r="J565" s="56"/>
      <c r="K565" s="75"/>
      <c r="L565" s="76"/>
      <c r="M565" s="59"/>
      <c r="N565" s="60"/>
      <c r="O565" s="90"/>
      <c r="P565" s="62">
        <v>110.0</v>
      </c>
      <c r="Q565" s="63">
        <v>110.0</v>
      </c>
      <c r="R565" s="64">
        <v>119.0</v>
      </c>
      <c r="S565" s="111">
        <v>125.0</v>
      </c>
      <c r="T565" s="65">
        <f t="shared" si="2"/>
        <v>20</v>
      </c>
      <c r="U565" s="65">
        <f t="shared" si="3"/>
        <v>145</v>
      </c>
      <c r="V565" s="66">
        <f t="shared" si="4"/>
        <v>0.05042016807</v>
      </c>
      <c r="W565" s="67">
        <f t="shared" si="5"/>
        <v>118.75</v>
      </c>
      <c r="X565" s="67">
        <f t="shared" si="6"/>
        <v>19</v>
      </c>
      <c r="Y565" s="67">
        <f t="shared" si="7"/>
        <v>137.75</v>
      </c>
      <c r="Z565" s="67">
        <f t="shared" si="8"/>
        <v>112.5</v>
      </c>
      <c r="AA565" s="67">
        <f t="shared" si="9"/>
        <v>18</v>
      </c>
      <c r="AB565" s="67">
        <f t="shared" si="10"/>
        <v>130.5</v>
      </c>
      <c r="AC565" s="67">
        <f t="shared" si="11"/>
        <v>106.25</v>
      </c>
      <c r="AD565" s="67">
        <f t="shared" si="12"/>
        <v>17</v>
      </c>
      <c r="AE565" s="67">
        <f t="shared" si="13"/>
        <v>123.25</v>
      </c>
      <c r="AF565" s="67">
        <f t="shared" si="14"/>
        <v>103.75</v>
      </c>
      <c r="AG565" s="67">
        <f t="shared" si="15"/>
        <v>16.6</v>
      </c>
      <c r="AH565" s="67">
        <f t="shared" si="16"/>
        <v>120.35</v>
      </c>
      <c r="AI565" s="67">
        <f t="shared" si="17"/>
        <v>100</v>
      </c>
      <c r="AJ565" s="68">
        <f t="shared" si="20"/>
        <v>16</v>
      </c>
      <c r="AK565" s="68">
        <f t="shared" si="21"/>
        <v>116</v>
      </c>
      <c r="AL565" s="70">
        <f>IFERROR(__xludf.DUMMYFUNCTION("""COMPUTED_VALUE"""),1.0)</f>
        <v>1</v>
      </c>
      <c r="AM565" s="70"/>
      <c r="AN565" s="71" t="str">
        <f>IFERROR(__xludf.DUMMYFUNCTION("""COMPUTED_VALUE""")," P")</f>
        <v>P</v>
      </c>
      <c r="AO565" s="71" t="str">
        <f>IFERROR(__xludf.DUMMYFUNCTION("""COMPUTED_VALUE""")," DI02")</f>
        <v>DI02</v>
      </c>
      <c r="AP565" s="71" t="str">
        <f>IFERROR(__xludf.DUMMYFUNCTION("""COMPUTED_VALUE""")," PZA")</f>
        <v>PZA</v>
      </c>
      <c r="AQ565" s="71" t="str">
        <f>IFERROR(__xludf.DUMMYFUNCTION("""COMPUTED_VALUE""")," REF")</f>
        <v>REF</v>
      </c>
      <c r="AR565" s="71" t="str">
        <f>IFERROR(__xludf.DUMMYFUNCTION("""COMPUTED_VALUE""")," DISCO CARBON JUEGO (15"") (MOLINO TORTIMEX NO. 4 MOTOR DE 50 HP)")</f>
        <v>DISCO CARBON JUEGO (15") (MOLINO TORTIMEX NO. 4 MOTOR DE 50 HP)</v>
      </c>
      <c r="AS565" s="71" t="str">
        <f>IFERROR(__xludf.DUMMYFUNCTION("""COMPUTED_VALUE""")," DISCO FIERR JGO 15PLG MOL TORTIMEX4 50HP")</f>
        <v>DISCO FIERR JGO 15PLG MOL TORTIMEX4 50HP</v>
      </c>
      <c r="AT565" s="71">
        <f>IFERROR(__xludf.DUMMYFUNCTION("""COMPUTED_VALUE"""),40.0)</f>
        <v>40</v>
      </c>
      <c r="AU565" s="71"/>
      <c r="AV565" s="71"/>
      <c r="AW565" s="71"/>
      <c r="AX565" s="71"/>
      <c r="AY565" s="71">
        <f>IFERROR(__xludf.DUMMYFUNCTION("""COMPUTED_VALUE"""),3724.0)</f>
        <v>3724</v>
      </c>
      <c r="AZ565" s="71">
        <f>IFERROR(__xludf.DUMMYFUNCTION("""COMPUTED_VALUE"""),4021.0)</f>
        <v>4021</v>
      </c>
      <c r="BA565" s="71">
        <f>IFERROR(__xludf.DUMMYFUNCTION("""COMPUTED_VALUE"""),4342.68)</f>
        <v>4342.68</v>
      </c>
      <c r="BB565" s="71">
        <f>IFERROR(__xludf.DUMMYFUNCTION("""COMPUTED_VALUE"""),4342.68)</f>
        <v>4342.68</v>
      </c>
      <c r="BC565" s="71">
        <f>IFERROR(__xludf.DUMMYFUNCTION("""COMPUTED_VALUE"""),4835.0)</f>
        <v>4835</v>
      </c>
      <c r="BD565" s="71">
        <f>IFERROR(__xludf.DUMMYFUNCTION("""COMPUTED_VALUE"""),5077.0)</f>
        <v>5077</v>
      </c>
      <c r="BE565" s="71">
        <f>IFERROR(__xludf.DUMMYFUNCTION("""COMPUTED_VALUE"""),812.32)</f>
        <v>812.32</v>
      </c>
      <c r="BF565" s="71">
        <f>IFERROR(__xludf.DUMMYFUNCTION("""COMPUTED_VALUE"""),5889.32)</f>
        <v>5889.32</v>
      </c>
      <c r="BG565" s="71">
        <f>IFERROR(__xludf.DUMMYFUNCTION("""COMPUTED_VALUE"""),0.050051706308169595)</f>
        <v>0.05005170631</v>
      </c>
      <c r="BH565" s="71">
        <f>IFERROR(__xludf.DUMMYFUNCTION("""COMPUTED_VALUE"""),4823.15)</f>
        <v>4823.15</v>
      </c>
      <c r="BI565" s="71">
        <f>IFERROR(__xludf.DUMMYFUNCTION("""COMPUTED_VALUE"""),771.704)</f>
        <v>771.704</v>
      </c>
      <c r="BJ565" s="71">
        <f>IFERROR(__xludf.DUMMYFUNCTION("""COMPUTED_VALUE"""),5594.853999999999)</f>
        <v>5594.854</v>
      </c>
      <c r="BK565" s="71">
        <f>IFERROR(__xludf.DUMMYFUNCTION("""COMPUTED_VALUE"""),4569.3)</f>
        <v>4569.3</v>
      </c>
      <c r="BL565" s="71">
        <f>IFERROR(__xludf.DUMMYFUNCTION("""COMPUTED_VALUE"""),731.0880000000001)</f>
        <v>731.088</v>
      </c>
      <c r="BM565" s="71">
        <f>IFERROR(__xludf.DUMMYFUNCTION("""COMPUTED_VALUE"""),5300.388)</f>
        <v>5300.388</v>
      </c>
      <c r="BN565" s="71">
        <f>IFERROR(__xludf.DUMMYFUNCTION("""COMPUTED_VALUE"""),4315.45)</f>
        <v>4315.45</v>
      </c>
      <c r="BO565" s="71">
        <f>IFERROR(__xludf.DUMMYFUNCTION("""COMPUTED_VALUE"""),690.472)</f>
        <v>690.472</v>
      </c>
      <c r="BP565" s="71">
        <f>IFERROR(__xludf.DUMMYFUNCTION("""COMPUTED_VALUE"""),5005.922)</f>
        <v>5005.922</v>
      </c>
      <c r="BQ565" s="71">
        <f>IFERROR(__xludf.DUMMYFUNCTION("""COMPUTED_VALUE"""),4213.91)</f>
        <v>4213.91</v>
      </c>
      <c r="BR565" s="71">
        <f>IFERROR(__xludf.DUMMYFUNCTION("""COMPUTED_VALUE"""),674.2256)</f>
        <v>674.2256</v>
      </c>
      <c r="BS565" s="71">
        <f>IFERROR(__xludf.DUMMYFUNCTION("""COMPUTED_VALUE"""),4888.1356)</f>
        <v>4888.1356</v>
      </c>
      <c r="BT565" s="71">
        <f>IFERROR(__xludf.DUMMYFUNCTION("""COMPUTED_VALUE"""),4061.6000000000004)</f>
        <v>4061.6</v>
      </c>
      <c r="BU565" s="71">
        <f>IFERROR(__xludf.DUMMYFUNCTION("""COMPUTED_VALUE"""),649.8560000000001)</f>
        <v>649.856</v>
      </c>
      <c r="BV565" s="71">
        <f>IFERROR(__xludf.DUMMYFUNCTION("""COMPUTED_VALUE"""),4711.456)</f>
        <v>4711.456</v>
      </c>
    </row>
    <row r="566">
      <c r="A566" s="53">
        <v>1.0</v>
      </c>
      <c r="B566" s="72"/>
      <c r="C566" s="120" t="s">
        <v>603</v>
      </c>
      <c r="D566" s="74" t="s">
        <v>1392</v>
      </c>
      <c r="E566" s="54" t="s">
        <v>38</v>
      </c>
      <c r="F566" s="54" t="s">
        <v>42</v>
      </c>
      <c r="G566" s="141" t="s">
        <v>1393</v>
      </c>
      <c r="H566" s="141" t="s">
        <v>1393</v>
      </c>
      <c r="I566" s="54">
        <f t="shared" si="24"/>
        <v>29</v>
      </c>
      <c r="J566" s="56"/>
      <c r="K566" s="75"/>
      <c r="L566" s="76"/>
      <c r="M566" s="59"/>
      <c r="N566" s="60">
        <v>201.0</v>
      </c>
      <c r="O566" s="61">
        <v>217.0</v>
      </c>
      <c r="P566" s="62">
        <v>110.0</v>
      </c>
      <c r="Q566" s="63">
        <v>110.0</v>
      </c>
      <c r="R566" s="64">
        <v>134.0</v>
      </c>
      <c r="S566" s="111">
        <v>141.0</v>
      </c>
      <c r="T566" s="65">
        <f t="shared" si="2"/>
        <v>22.56</v>
      </c>
      <c r="U566" s="65">
        <f t="shared" si="3"/>
        <v>163.56</v>
      </c>
      <c r="V566" s="66">
        <f t="shared" si="4"/>
        <v>0.05223880597</v>
      </c>
      <c r="W566" s="67">
        <f t="shared" si="5"/>
        <v>133.95</v>
      </c>
      <c r="X566" s="67">
        <f t="shared" si="6"/>
        <v>21.432</v>
      </c>
      <c r="Y566" s="67">
        <f t="shared" si="7"/>
        <v>155.382</v>
      </c>
      <c r="Z566" s="67">
        <f t="shared" si="8"/>
        <v>126.9</v>
      </c>
      <c r="AA566" s="67">
        <f t="shared" si="9"/>
        <v>20.304</v>
      </c>
      <c r="AB566" s="67">
        <f t="shared" si="10"/>
        <v>147.204</v>
      </c>
      <c r="AC566" s="67">
        <f t="shared" si="11"/>
        <v>119.85</v>
      </c>
      <c r="AD566" s="67">
        <f t="shared" si="12"/>
        <v>19.176</v>
      </c>
      <c r="AE566" s="67">
        <f t="shared" si="13"/>
        <v>139.026</v>
      </c>
      <c r="AF566" s="67">
        <f t="shared" si="14"/>
        <v>117.03</v>
      </c>
      <c r="AG566" s="67">
        <f t="shared" si="15"/>
        <v>18.7248</v>
      </c>
      <c r="AH566" s="67">
        <f t="shared" si="16"/>
        <v>135.7548</v>
      </c>
      <c r="AI566" s="67">
        <f t="shared" si="17"/>
        <v>112.8</v>
      </c>
      <c r="AJ566" s="68">
        <f t="shared" si="20"/>
        <v>18.048</v>
      </c>
      <c r="AK566" s="68">
        <f t="shared" si="21"/>
        <v>130.848</v>
      </c>
      <c r="AL566" s="70">
        <f>IFERROR(__xludf.DUMMYFUNCTION("""COMPUTED_VALUE"""),1.0)</f>
        <v>1</v>
      </c>
      <c r="AM566" s="70"/>
      <c r="AN566" s="71" t="str">
        <f>IFERROR(__xludf.DUMMYFUNCTION("""COMPUTED_VALUE""")," C")</f>
        <v>C</v>
      </c>
      <c r="AO566" s="71" t="str">
        <f>IFERROR(__xludf.DUMMYFUNCTION("""COMPUTED_VALUE""")," EM02")</f>
        <v>EM02</v>
      </c>
      <c r="AP566" s="71" t="str">
        <f>IFERROR(__xludf.DUMMYFUNCTION("""COMPUTED_VALUE""")," PZA")</f>
        <v>PZA</v>
      </c>
      <c r="AQ566" s="71" t="str">
        <f>IFERROR(__xludf.DUMMYFUNCTION("""COMPUTED_VALUE""")," REF")</f>
        <v>REF</v>
      </c>
      <c r="AR566" s="71" t="str">
        <f>IFERROR(__xludf.DUMMYFUNCTION("""COMPUTED_VALUE""")," EMPAQUE DE HULE CUADRADO PARA AMASADORA DE 100 KG.")</f>
        <v>EMPAQUE DE HULE CUADRADO PARA AMASADORA DE 100 KG.</v>
      </c>
      <c r="AS566" s="71" t="str">
        <f>IFERROR(__xludf.DUMMYFUNCTION("""COMPUTED_VALUE""")," EMPAQUE HULE CUADRADO P/AMASADORA 100 KG")</f>
        <v>EMPAQUE HULE CUADRADO P/AMASADORA 100 KG</v>
      </c>
      <c r="AT566" s="71">
        <f>IFERROR(__xludf.DUMMYFUNCTION("""COMPUTED_VALUE"""),40.0)</f>
        <v>40</v>
      </c>
      <c r="AU566" s="71"/>
      <c r="AV566" s="71"/>
      <c r="AW566" s="71"/>
      <c r="AX566" s="71"/>
      <c r="AY566" s="71">
        <f>IFERROR(__xludf.DUMMYFUNCTION("""COMPUTED_VALUE"""),63.0)</f>
        <v>63</v>
      </c>
      <c r="AZ566" s="71">
        <f>IFERROR(__xludf.DUMMYFUNCTION("""COMPUTED_VALUE"""),68.0)</f>
        <v>68</v>
      </c>
      <c r="BA566" s="71">
        <f>IFERROR(__xludf.DUMMYFUNCTION("""COMPUTED_VALUE"""),73.44)</f>
        <v>73.44</v>
      </c>
      <c r="BB566" s="71">
        <f>IFERROR(__xludf.DUMMYFUNCTION("""COMPUTED_VALUE"""),73.44)</f>
        <v>73.44</v>
      </c>
      <c r="BC566" s="71">
        <f>IFERROR(__xludf.DUMMYFUNCTION("""COMPUTED_VALUE"""),82.0)</f>
        <v>82</v>
      </c>
      <c r="BD566" s="71">
        <f>IFERROR(__xludf.DUMMYFUNCTION("""COMPUTED_VALUE"""),86.0)</f>
        <v>86</v>
      </c>
      <c r="BE566" s="71">
        <f>IFERROR(__xludf.DUMMYFUNCTION("""COMPUTED_VALUE"""),13.76)</f>
        <v>13.76</v>
      </c>
      <c r="BF566" s="71">
        <f>IFERROR(__xludf.DUMMYFUNCTION("""COMPUTED_VALUE"""),99.76)</f>
        <v>99.76</v>
      </c>
      <c r="BG566" s="71">
        <f>IFERROR(__xludf.DUMMYFUNCTION("""COMPUTED_VALUE"""),0.04878048780487805)</f>
        <v>0.0487804878</v>
      </c>
      <c r="BH566" s="71">
        <f>IFERROR(__xludf.DUMMYFUNCTION("""COMPUTED_VALUE"""),81.7)</f>
        <v>81.7</v>
      </c>
      <c r="BI566" s="71">
        <f>IFERROR(__xludf.DUMMYFUNCTION("""COMPUTED_VALUE"""),13.072000000000001)</f>
        <v>13.072</v>
      </c>
      <c r="BJ566" s="71">
        <f>IFERROR(__xludf.DUMMYFUNCTION("""COMPUTED_VALUE"""),94.772)</f>
        <v>94.772</v>
      </c>
      <c r="BK566" s="71">
        <f>IFERROR(__xludf.DUMMYFUNCTION("""COMPUTED_VALUE"""),77.4)</f>
        <v>77.4</v>
      </c>
      <c r="BL566" s="71">
        <f>IFERROR(__xludf.DUMMYFUNCTION("""COMPUTED_VALUE"""),12.384)</f>
        <v>12.384</v>
      </c>
      <c r="BM566" s="71">
        <f>IFERROR(__xludf.DUMMYFUNCTION("""COMPUTED_VALUE"""),89.784)</f>
        <v>89.784</v>
      </c>
      <c r="BN566" s="71">
        <f>IFERROR(__xludf.DUMMYFUNCTION("""COMPUTED_VALUE"""),73.1)</f>
        <v>73.1</v>
      </c>
      <c r="BO566" s="71">
        <f>IFERROR(__xludf.DUMMYFUNCTION("""COMPUTED_VALUE"""),11.696)</f>
        <v>11.696</v>
      </c>
      <c r="BP566" s="71">
        <f>IFERROR(__xludf.DUMMYFUNCTION("""COMPUTED_VALUE"""),84.79599999999999)</f>
        <v>84.796</v>
      </c>
      <c r="BQ566" s="71">
        <f>IFERROR(__xludf.DUMMYFUNCTION("""COMPUTED_VALUE"""),71.38)</f>
        <v>71.38</v>
      </c>
      <c r="BR566" s="71">
        <f>IFERROR(__xludf.DUMMYFUNCTION("""COMPUTED_VALUE"""),11.4208)</f>
        <v>11.4208</v>
      </c>
      <c r="BS566" s="71">
        <f>IFERROR(__xludf.DUMMYFUNCTION("""COMPUTED_VALUE"""),82.8008)</f>
        <v>82.8008</v>
      </c>
      <c r="BT566" s="71">
        <f>IFERROR(__xludf.DUMMYFUNCTION("""COMPUTED_VALUE"""),68.8)</f>
        <v>68.8</v>
      </c>
      <c r="BU566" s="71">
        <f>IFERROR(__xludf.DUMMYFUNCTION("""COMPUTED_VALUE"""),11.008)</f>
        <v>11.008</v>
      </c>
      <c r="BV566" s="71">
        <f>IFERROR(__xludf.DUMMYFUNCTION("""COMPUTED_VALUE"""),79.80799999999999)</f>
        <v>79.808</v>
      </c>
    </row>
    <row r="567">
      <c r="A567" s="53">
        <v>1.0</v>
      </c>
      <c r="B567" s="72"/>
      <c r="C567" s="120" t="s">
        <v>603</v>
      </c>
      <c r="D567" s="74" t="s">
        <v>1394</v>
      </c>
      <c r="E567" s="54" t="s">
        <v>38</v>
      </c>
      <c r="F567" s="54" t="s">
        <v>42</v>
      </c>
      <c r="G567" s="141" t="s">
        <v>1395</v>
      </c>
      <c r="H567" s="141" t="s">
        <v>1395</v>
      </c>
      <c r="I567" s="54">
        <f t="shared" si="24"/>
        <v>29</v>
      </c>
      <c r="J567" s="56"/>
      <c r="K567" s="75"/>
      <c r="L567" s="76"/>
      <c r="M567" s="59"/>
      <c r="N567" s="60">
        <v>201.0</v>
      </c>
      <c r="O567" s="61">
        <v>217.0</v>
      </c>
      <c r="P567" s="62">
        <v>110.0</v>
      </c>
      <c r="Q567" s="63">
        <v>110.0</v>
      </c>
      <c r="R567" s="64">
        <v>134.0</v>
      </c>
      <c r="S567" s="111">
        <v>141.0</v>
      </c>
      <c r="T567" s="65">
        <f t="shared" si="2"/>
        <v>22.56</v>
      </c>
      <c r="U567" s="65">
        <f t="shared" si="3"/>
        <v>163.56</v>
      </c>
      <c r="V567" s="66">
        <f t="shared" si="4"/>
        <v>0.05223880597</v>
      </c>
      <c r="W567" s="67">
        <f t="shared" si="5"/>
        <v>133.95</v>
      </c>
      <c r="X567" s="67">
        <f t="shared" si="6"/>
        <v>21.432</v>
      </c>
      <c r="Y567" s="67">
        <f t="shared" si="7"/>
        <v>155.382</v>
      </c>
      <c r="Z567" s="67">
        <f t="shared" si="8"/>
        <v>126.9</v>
      </c>
      <c r="AA567" s="67">
        <f t="shared" si="9"/>
        <v>20.304</v>
      </c>
      <c r="AB567" s="67">
        <f t="shared" si="10"/>
        <v>147.204</v>
      </c>
      <c r="AC567" s="67">
        <f t="shared" si="11"/>
        <v>119.85</v>
      </c>
      <c r="AD567" s="67">
        <f t="shared" si="12"/>
        <v>19.176</v>
      </c>
      <c r="AE567" s="67">
        <f t="shared" si="13"/>
        <v>139.026</v>
      </c>
      <c r="AF567" s="67">
        <f t="shared" si="14"/>
        <v>117.03</v>
      </c>
      <c r="AG567" s="67">
        <f t="shared" si="15"/>
        <v>18.7248</v>
      </c>
      <c r="AH567" s="67">
        <f t="shared" si="16"/>
        <v>135.7548</v>
      </c>
      <c r="AI567" s="67">
        <f t="shared" si="17"/>
        <v>112.8</v>
      </c>
      <c r="AJ567" s="68">
        <f t="shared" si="20"/>
        <v>18.048</v>
      </c>
      <c r="AK567" s="68">
        <f t="shared" si="21"/>
        <v>130.848</v>
      </c>
      <c r="AL567" s="70">
        <f>IFERROR(__xludf.DUMMYFUNCTION("""COMPUTED_VALUE"""),1.0)</f>
        <v>1</v>
      </c>
      <c r="AM567" s="70"/>
      <c r="AN567" s="71" t="str">
        <f>IFERROR(__xludf.DUMMYFUNCTION("""COMPUTED_VALUE""")," C")</f>
        <v>C</v>
      </c>
      <c r="AO567" s="71" t="str">
        <f>IFERROR(__xludf.DUMMYFUNCTION("""COMPUTED_VALUE""")," EM01")</f>
        <v>EM01</v>
      </c>
      <c r="AP567" s="71" t="str">
        <f>IFERROR(__xludf.DUMMYFUNCTION("""COMPUTED_VALUE""")," PZA")</f>
        <v>PZA</v>
      </c>
      <c r="AQ567" s="71" t="str">
        <f>IFERROR(__xludf.DUMMYFUNCTION("""COMPUTED_VALUE""")," REF")</f>
        <v>REF</v>
      </c>
      <c r="AR567" s="71" t="str">
        <f>IFERROR(__xludf.DUMMYFUNCTION("""COMPUTED_VALUE""")," EMPAQUE DE HULE CUADRADO PARA AMASADORA DE 25 KG.")</f>
        <v>EMPAQUE DE HULE CUADRADO PARA AMASADORA DE 25 KG.</v>
      </c>
      <c r="AS567" s="71" t="str">
        <f>IFERROR(__xludf.DUMMYFUNCTION("""COMPUTED_VALUE""")," EMPAQUE HULE CUADRADO P/AMASADORA 25 KG")</f>
        <v>EMPAQUE HULE CUADRADO P/AMASADORA 25 KG</v>
      </c>
      <c r="AT567" s="71">
        <f>IFERROR(__xludf.DUMMYFUNCTION("""COMPUTED_VALUE"""),39.0)</f>
        <v>39</v>
      </c>
      <c r="AU567" s="71"/>
      <c r="AV567" s="71"/>
      <c r="AW567" s="71"/>
      <c r="AX567" s="71"/>
      <c r="AY567" s="71">
        <f>IFERROR(__xludf.DUMMYFUNCTION("""COMPUTED_VALUE"""),63.0)</f>
        <v>63</v>
      </c>
      <c r="AZ567" s="71">
        <f>IFERROR(__xludf.DUMMYFUNCTION("""COMPUTED_VALUE"""),68.0)</f>
        <v>68</v>
      </c>
      <c r="BA567" s="71">
        <f>IFERROR(__xludf.DUMMYFUNCTION("""COMPUTED_VALUE"""),73.44)</f>
        <v>73.44</v>
      </c>
      <c r="BB567" s="71">
        <f>IFERROR(__xludf.DUMMYFUNCTION("""COMPUTED_VALUE"""),73.44)</f>
        <v>73.44</v>
      </c>
      <c r="BC567" s="71">
        <f>IFERROR(__xludf.DUMMYFUNCTION("""COMPUTED_VALUE"""),82.0)</f>
        <v>82</v>
      </c>
      <c r="BD567" s="71">
        <f>IFERROR(__xludf.DUMMYFUNCTION("""COMPUTED_VALUE"""),86.0)</f>
        <v>86</v>
      </c>
      <c r="BE567" s="71">
        <f>IFERROR(__xludf.DUMMYFUNCTION("""COMPUTED_VALUE"""),13.76)</f>
        <v>13.76</v>
      </c>
      <c r="BF567" s="71">
        <f>IFERROR(__xludf.DUMMYFUNCTION("""COMPUTED_VALUE"""),99.76)</f>
        <v>99.76</v>
      </c>
      <c r="BG567" s="71">
        <f>IFERROR(__xludf.DUMMYFUNCTION("""COMPUTED_VALUE"""),0.04878048780487805)</f>
        <v>0.0487804878</v>
      </c>
      <c r="BH567" s="71">
        <f>IFERROR(__xludf.DUMMYFUNCTION("""COMPUTED_VALUE"""),81.7)</f>
        <v>81.7</v>
      </c>
      <c r="BI567" s="71">
        <f>IFERROR(__xludf.DUMMYFUNCTION("""COMPUTED_VALUE"""),13.072000000000001)</f>
        <v>13.072</v>
      </c>
      <c r="BJ567" s="71">
        <f>IFERROR(__xludf.DUMMYFUNCTION("""COMPUTED_VALUE"""),94.772)</f>
        <v>94.772</v>
      </c>
      <c r="BK567" s="71">
        <f>IFERROR(__xludf.DUMMYFUNCTION("""COMPUTED_VALUE"""),77.4)</f>
        <v>77.4</v>
      </c>
      <c r="BL567" s="71">
        <f>IFERROR(__xludf.DUMMYFUNCTION("""COMPUTED_VALUE"""),12.384)</f>
        <v>12.384</v>
      </c>
      <c r="BM567" s="71">
        <f>IFERROR(__xludf.DUMMYFUNCTION("""COMPUTED_VALUE"""),89.784)</f>
        <v>89.784</v>
      </c>
      <c r="BN567" s="71">
        <f>IFERROR(__xludf.DUMMYFUNCTION("""COMPUTED_VALUE"""),73.1)</f>
        <v>73.1</v>
      </c>
      <c r="BO567" s="71">
        <f>IFERROR(__xludf.DUMMYFUNCTION("""COMPUTED_VALUE"""),11.696)</f>
        <v>11.696</v>
      </c>
      <c r="BP567" s="71">
        <f>IFERROR(__xludf.DUMMYFUNCTION("""COMPUTED_VALUE"""),84.79599999999999)</f>
        <v>84.796</v>
      </c>
      <c r="BQ567" s="71">
        <f>IFERROR(__xludf.DUMMYFUNCTION("""COMPUTED_VALUE"""),71.38)</f>
        <v>71.38</v>
      </c>
      <c r="BR567" s="71">
        <f>IFERROR(__xludf.DUMMYFUNCTION("""COMPUTED_VALUE"""),11.4208)</f>
        <v>11.4208</v>
      </c>
      <c r="BS567" s="71">
        <f>IFERROR(__xludf.DUMMYFUNCTION("""COMPUTED_VALUE"""),82.8008)</f>
        <v>82.8008</v>
      </c>
      <c r="BT567" s="71">
        <f>IFERROR(__xludf.DUMMYFUNCTION("""COMPUTED_VALUE"""),68.8)</f>
        <v>68.8</v>
      </c>
      <c r="BU567" s="71">
        <f>IFERROR(__xludf.DUMMYFUNCTION("""COMPUTED_VALUE"""),11.008)</f>
        <v>11.008</v>
      </c>
      <c r="BV567" s="71">
        <f>IFERROR(__xludf.DUMMYFUNCTION("""COMPUTED_VALUE"""),79.80799999999999)</f>
        <v>79.808</v>
      </c>
    </row>
    <row r="568">
      <c r="A568" s="53">
        <v>1.0</v>
      </c>
      <c r="B568" s="72"/>
      <c r="C568" s="120" t="s">
        <v>603</v>
      </c>
      <c r="D568" s="74" t="s">
        <v>1396</v>
      </c>
      <c r="E568" s="54" t="s">
        <v>38</v>
      </c>
      <c r="F568" s="54" t="s">
        <v>42</v>
      </c>
      <c r="G568" s="141" t="s">
        <v>1397</v>
      </c>
      <c r="H568" s="141" t="s">
        <v>1397</v>
      </c>
      <c r="I568" s="54">
        <f t="shared" si="24"/>
        <v>25</v>
      </c>
      <c r="J568" s="56"/>
      <c r="K568" s="75"/>
      <c r="L568" s="76"/>
      <c r="M568" s="59"/>
      <c r="N568" s="60">
        <v>201.0</v>
      </c>
      <c r="O568" s="61">
        <v>217.0</v>
      </c>
      <c r="P568" s="62">
        <v>110.0</v>
      </c>
      <c r="Q568" s="63">
        <v>110.0</v>
      </c>
      <c r="R568" s="64">
        <v>134.0</v>
      </c>
      <c r="S568" s="111">
        <v>141.0</v>
      </c>
      <c r="T568" s="65">
        <f t="shared" si="2"/>
        <v>22.56</v>
      </c>
      <c r="U568" s="65">
        <f t="shared" si="3"/>
        <v>163.56</v>
      </c>
      <c r="V568" s="66">
        <f t="shared" si="4"/>
        <v>0.05223880597</v>
      </c>
      <c r="W568" s="67">
        <f t="shared" si="5"/>
        <v>133.95</v>
      </c>
      <c r="X568" s="67">
        <f t="shared" si="6"/>
        <v>21.432</v>
      </c>
      <c r="Y568" s="67">
        <f t="shared" si="7"/>
        <v>155.382</v>
      </c>
      <c r="Z568" s="67">
        <f t="shared" si="8"/>
        <v>126.9</v>
      </c>
      <c r="AA568" s="67">
        <f t="shared" si="9"/>
        <v>20.304</v>
      </c>
      <c r="AB568" s="67">
        <f t="shared" si="10"/>
        <v>147.204</v>
      </c>
      <c r="AC568" s="67">
        <f t="shared" si="11"/>
        <v>119.85</v>
      </c>
      <c r="AD568" s="67">
        <f t="shared" si="12"/>
        <v>19.176</v>
      </c>
      <c r="AE568" s="67">
        <f t="shared" si="13"/>
        <v>139.026</v>
      </c>
      <c r="AF568" s="67">
        <f t="shared" si="14"/>
        <v>117.03</v>
      </c>
      <c r="AG568" s="67">
        <f t="shared" si="15"/>
        <v>18.7248</v>
      </c>
      <c r="AH568" s="67">
        <f t="shared" si="16"/>
        <v>135.7548</v>
      </c>
      <c r="AI568" s="67">
        <f t="shared" si="17"/>
        <v>112.8</v>
      </c>
      <c r="AJ568" s="68">
        <f t="shared" si="20"/>
        <v>18.048</v>
      </c>
      <c r="AK568" s="68">
        <f t="shared" si="21"/>
        <v>130.848</v>
      </c>
      <c r="AL568" s="70">
        <f>IFERROR(__xludf.DUMMYFUNCTION("""COMPUTED_VALUE"""),1.0)</f>
        <v>1</v>
      </c>
      <c r="AM568" s="70"/>
      <c r="AN568" s="71" t="str">
        <f>IFERROR(__xludf.DUMMYFUNCTION("""COMPUTED_VALUE""")," C")</f>
        <v>C</v>
      </c>
      <c r="AO568" s="71" t="str">
        <f>IFERROR(__xludf.DUMMYFUNCTION("""COMPUTED_VALUE""")," EM03")</f>
        <v>EM03</v>
      </c>
      <c r="AP568" s="71" t="str">
        <f>IFERROR(__xludf.DUMMYFUNCTION("""COMPUTED_VALUE""")," PZA")</f>
        <v>PZA</v>
      </c>
      <c r="AQ568" s="71" t="str">
        <f>IFERROR(__xludf.DUMMYFUNCTION("""COMPUTED_VALUE""")," REF")</f>
        <v>REF</v>
      </c>
      <c r="AR568" s="71" t="str">
        <f>IFERROR(__xludf.DUMMYFUNCTION("""COMPUTED_VALUE""")," EMPAQUE DE HULE CUADRADO PARA AMASADORA DE 50 KG.")</f>
        <v>EMPAQUE DE HULE CUADRADO PARA AMASADORA DE 50 KG.</v>
      </c>
      <c r="AS568" s="71" t="str">
        <f>IFERROR(__xludf.DUMMYFUNCTION("""COMPUTED_VALUE""")," EMPAQUE HULE CUADRADO P/AMASADORA 50 KG")</f>
        <v>EMPAQUE HULE CUADRADO P/AMASADORA 50 KG</v>
      </c>
      <c r="AT568" s="71">
        <f>IFERROR(__xludf.DUMMYFUNCTION("""COMPUTED_VALUE"""),39.0)</f>
        <v>39</v>
      </c>
      <c r="AU568" s="71"/>
      <c r="AV568" s="71"/>
      <c r="AW568" s="71"/>
      <c r="AX568" s="71"/>
      <c r="AY568" s="71">
        <f>IFERROR(__xludf.DUMMYFUNCTION("""COMPUTED_VALUE"""),63.0)</f>
        <v>63</v>
      </c>
      <c r="AZ568" s="71">
        <f>IFERROR(__xludf.DUMMYFUNCTION("""COMPUTED_VALUE"""),68.0)</f>
        <v>68</v>
      </c>
      <c r="BA568" s="71">
        <f>IFERROR(__xludf.DUMMYFUNCTION("""COMPUTED_VALUE"""),80.0)</f>
        <v>80</v>
      </c>
      <c r="BB568" s="71">
        <f>IFERROR(__xludf.DUMMYFUNCTION("""COMPUTED_VALUE"""),80.0)</f>
        <v>80</v>
      </c>
      <c r="BC568" s="71">
        <f>IFERROR(__xludf.DUMMYFUNCTION("""COMPUTED_VALUE"""),84.0)</f>
        <v>84</v>
      </c>
      <c r="BD568" s="71">
        <f>IFERROR(__xludf.DUMMYFUNCTION("""COMPUTED_VALUE"""),88.0)</f>
        <v>88</v>
      </c>
      <c r="BE568" s="71">
        <f>IFERROR(__xludf.DUMMYFUNCTION("""COMPUTED_VALUE"""),14.08)</f>
        <v>14.08</v>
      </c>
      <c r="BF568" s="71">
        <f>IFERROR(__xludf.DUMMYFUNCTION("""COMPUTED_VALUE"""),102.08)</f>
        <v>102.08</v>
      </c>
      <c r="BG568" s="71">
        <f>IFERROR(__xludf.DUMMYFUNCTION("""COMPUTED_VALUE"""),0.047619047619047616)</f>
        <v>0.04761904762</v>
      </c>
      <c r="BH568" s="71">
        <f>IFERROR(__xludf.DUMMYFUNCTION("""COMPUTED_VALUE"""),83.6)</f>
        <v>83.6</v>
      </c>
      <c r="BI568" s="71">
        <f>IFERROR(__xludf.DUMMYFUNCTION("""COMPUTED_VALUE"""),13.376)</f>
        <v>13.376</v>
      </c>
      <c r="BJ568" s="71">
        <f>IFERROR(__xludf.DUMMYFUNCTION("""COMPUTED_VALUE"""),96.976)</f>
        <v>96.976</v>
      </c>
      <c r="BK568" s="71">
        <f>IFERROR(__xludf.DUMMYFUNCTION("""COMPUTED_VALUE"""),79.2)</f>
        <v>79.2</v>
      </c>
      <c r="BL568" s="71">
        <f>IFERROR(__xludf.DUMMYFUNCTION("""COMPUTED_VALUE"""),12.672)</f>
        <v>12.672</v>
      </c>
      <c r="BM568" s="71">
        <f>IFERROR(__xludf.DUMMYFUNCTION("""COMPUTED_VALUE"""),91.872)</f>
        <v>91.872</v>
      </c>
      <c r="BN568" s="71">
        <f>IFERROR(__xludf.DUMMYFUNCTION("""COMPUTED_VALUE"""),74.8)</f>
        <v>74.8</v>
      </c>
      <c r="BO568" s="71">
        <f>IFERROR(__xludf.DUMMYFUNCTION("""COMPUTED_VALUE"""),11.968)</f>
        <v>11.968</v>
      </c>
      <c r="BP568" s="71">
        <f>IFERROR(__xludf.DUMMYFUNCTION("""COMPUTED_VALUE"""),86.768)</f>
        <v>86.768</v>
      </c>
      <c r="BQ568" s="71">
        <f>IFERROR(__xludf.DUMMYFUNCTION("""COMPUTED_VALUE"""),73.03999999999999)</f>
        <v>73.04</v>
      </c>
      <c r="BR568" s="71">
        <f>IFERROR(__xludf.DUMMYFUNCTION("""COMPUTED_VALUE"""),11.686399999999999)</f>
        <v>11.6864</v>
      </c>
      <c r="BS568" s="71">
        <f>IFERROR(__xludf.DUMMYFUNCTION("""COMPUTED_VALUE"""),84.72639999999998)</f>
        <v>84.7264</v>
      </c>
      <c r="BT568" s="71">
        <f>IFERROR(__xludf.DUMMYFUNCTION("""COMPUTED_VALUE"""),70.4)</f>
        <v>70.4</v>
      </c>
      <c r="BU568" s="71">
        <f>IFERROR(__xludf.DUMMYFUNCTION("""COMPUTED_VALUE"""),11.264000000000001)</f>
        <v>11.264</v>
      </c>
      <c r="BV568" s="71">
        <f>IFERROR(__xludf.DUMMYFUNCTION("""COMPUTED_VALUE"""),81.664)</f>
        <v>81.664</v>
      </c>
    </row>
    <row r="569">
      <c r="A569" s="53">
        <v>1.0</v>
      </c>
      <c r="B569" s="72"/>
      <c r="C569" s="120" t="s">
        <v>12</v>
      </c>
      <c r="D569" s="53" t="s">
        <v>1398</v>
      </c>
      <c r="E569" s="54" t="s">
        <v>38</v>
      </c>
      <c r="F569" s="54" t="s">
        <v>42</v>
      </c>
      <c r="G569" s="141" t="s">
        <v>1399</v>
      </c>
      <c r="H569" s="141" t="s">
        <v>1399</v>
      </c>
      <c r="I569" s="54">
        <f t="shared" si="24"/>
        <v>23</v>
      </c>
      <c r="J569" s="56"/>
      <c r="K569" s="75"/>
      <c r="L569" s="76"/>
      <c r="M569" s="59"/>
      <c r="N569" s="60"/>
      <c r="O569" s="61">
        <v>217.0</v>
      </c>
      <c r="P569" s="62">
        <v>110.0</v>
      </c>
      <c r="Q569" s="63">
        <v>110.0</v>
      </c>
      <c r="R569" s="64">
        <v>119.0</v>
      </c>
      <c r="S569" s="111">
        <v>125.0</v>
      </c>
      <c r="T569" s="65">
        <f t="shared" si="2"/>
        <v>20</v>
      </c>
      <c r="U569" s="65">
        <f t="shared" si="3"/>
        <v>145</v>
      </c>
      <c r="V569" s="66">
        <f t="shared" si="4"/>
        <v>0.05042016807</v>
      </c>
      <c r="W569" s="67">
        <f t="shared" si="5"/>
        <v>118.75</v>
      </c>
      <c r="X569" s="67">
        <f t="shared" si="6"/>
        <v>19</v>
      </c>
      <c r="Y569" s="67">
        <f t="shared" si="7"/>
        <v>137.75</v>
      </c>
      <c r="Z569" s="67">
        <f t="shared" si="8"/>
        <v>112.5</v>
      </c>
      <c r="AA569" s="67">
        <f t="shared" si="9"/>
        <v>18</v>
      </c>
      <c r="AB569" s="67">
        <f t="shared" si="10"/>
        <v>130.5</v>
      </c>
      <c r="AC569" s="67">
        <f t="shared" si="11"/>
        <v>106.25</v>
      </c>
      <c r="AD569" s="67">
        <f t="shared" si="12"/>
        <v>17</v>
      </c>
      <c r="AE569" s="67">
        <f t="shared" si="13"/>
        <v>123.25</v>
      </c>
      <c r="AF569" s="67">
        <f t="shared" si="14"/>
        <v>103.75</v>
      </c>
      <c r="AG569" s="67">
        <f t="shared" si="15"/>
        <v>16.6</v>
      </c>
      <c r="AH569" s="67">
        <f t="shared" si="16"/>
        <v>120.35</v>
      </c>
      <c r="AI569" s="67">
        <f t="shared" si="17"/>
        <v>100</v>
      </c>
      <c r="AJ569" s="68">
        <f t="shared" si="20"/>
        <v>16</v>
      </c>
      <c r="AK569" s="68">
        <f t="shared" si="21"/>
        <v>116</v>
      </c>
      <c r="AL569" s="70">
        <f>IFERROR(__xludf.DUMMYFUNCTION("""COMPUTED_VALUE"""),1.0)</f>
        <v>1</v>
      </c>
      <c r="AM569" s="70"/>
      <c r="AN569" s="71" t="str">
        <f>IFERROR(__xludf.DUMMYFUNCTION("""COMPUTED_VALUE""")," C")</f>
        <v>C</v>
      </c>
      <c r="AO569" s="71" t="str">
        <f>IFERROR(__xludf.DUMMYFUNCTION("""COMPUTED_VALUE""")," EM04")</f>
        <v>EM04</v>
      </c>
      <c r="AP569" s="71" t="str">
        <f>IFERROR(__xludf.DUMMYFUNCTION("""COMPUTED_VALUE""")," PZA")</f>
        <v>PZA</v>
      </c>
      <c r="AQ569" s="71" t="str">
        <f>IFERROR(__xludf.DUMMYFUNCTION("""COMPUTED_VALUE""")," REF")</f>
        <v>REF</v>
      </c>
      <c r="AR569" s="71" t="str">
        <f>IFERROR(__xludf.DUMMYFUNCTION("""COMPUTED_VALUE""")," EMPAQUE DE HULE REDONDO (METRO)")</f>
        <v>EMPAQUE DE HULE REDONDO (METRO)</v>
      </c>
      <c r="AS569" s="71" t="str">
        <f>IFERROR(__xludf.DUMMYFUNCTION("""COMPUTED_VALUE""")," EMPAQUE DE HULE REDONDO (METRO)")</f>
        <v>EMPAQUE DE HULE REDONDO (METRO)</v>
      </c>
      <c r="AT569" s="71">
        <f>IFERROR(__xludf.DUMMYFUNCTION("""COMPUTED_VALUE"""),31.0)</f>
        <v>31</v>
      </c>
      <c r="AU569" s="71"/>
      <c r="AV569" s="71"/>
      <c r="AW569" s="71"/>
      <c r="AX569" s="71"/>
      <c r="AY569" s="71">
        <f>IFERROR(__xludf.DUMMYFUNCTION("""COMPUTED_VALUE"""),23.0)</f>
        <v>23</v>
      </c>
      <c r="AZ569" s="71">
        <f>IFERROR(__xludf.DUMMYFUNCTION("""COMPUTED_VALUE"""),24.0)</f>
        <v>24</v>
      </c>
      <c r="BA569" s="71">
        <f>IFERROR(__xludf.DUMMYFUNCTION("""COMPUTED_VALUE"""),18.4)</f>
        <v>18.4</v>
      </c>
      <c r="BB569" s="71">
        <f>IFERROR(__xludf.DUMMYFUNCTION("""COMPUTED_VALUE"""),18.4)</f>
        <v>18.4</v>
      </c>
      <c r="BC569" s="71">
        <f>IFERROR(__xludf.DUMMYFUNCTION("""COMPUTED_VALUE"""),21.0)</f>
        <v>21</v>
      </c>
      <c r="BD569" s="71">
        <f>IFERROR(__xludf.DUMMYFUNCTION("""COMPUTED_VALUE"""),22.0)</f>
        <v>22</v>
      </c>
      <c r="BE569" s="71">
        <f>IFERROR(__xludf.DUMMYFUNCTION("""COMPUTED_VALUE"""),3.52)</f>
        <v>3.52</v>
      </c>
      <c r="BF569" s="71">
        <f>IFERROR(__xludf.DUMMYFUNCTION("""COMPUTED_VALUE"""),25.52)</f>
        <v>25.52</v>
      </c>
      <c r="BG569" s="71">
        <f>IFERROR(__xludf.DUMMYFUNCTION("""COMPUTED_VALUE"""),0.047619047619047616)</f>
        <v>0.04761904762</v>
      </c>
      <c r="BH569" s="71">
        <f>IFERROR(__xludf.DUMMYFUNCTION("""COMPUTED_VALUE"""),20.9)</f>
        <v>20.9</v>
      </c>
      <c r="BI569" s="71">
        <f>IFERROR(__xludf.DUMMYFUNCTION("""COMPUTED_VALUE"""),3.344)</f>
        <v>3.344</v>
      </c>
      <c r="BJ569" s="71">
        <f>IFERROR(__xludf.DUMMYFUNCTION("""COMPUTED_VALUE"""),24.244)</f>
        <v>24.244</v>
      </c>
      <c r="BK569" s="71">
        <f>IFERROR(__xludf.DUMMYFUNCTION("""COMPUTED_VALUE"""),19.8)</f>
        <v>19.8</v>
      </c>
      <c r="BL569" s="71">
        <f>IFERROR(__xludf.DUMMYFUNCTION("""COMPUTED_VALUE"""),3.168)</f>
        <v>3.168</v>
      </c>
      <c r="BM569" s="71">
        <f>IFERROR(__xludf.DUMMYFUNCTION("""COMPUTED_VALUE"""),22.968)</f>
        <v>22.968</v>
      </c>
      <c r="BN569" s="71">
        <f>IFERROR(__xludf.DUMMYFUNCTION("""COMPUTED_VALUE"""),18.7)</f>
        <v>18.7</v>
      </c>
      <c r="BO569" s="71">
        <f>IFERROR(__xludf.DUMMYFUNCTION("""COMPUTED_VALUE"""),2.992)</f>
        <v>2.992</v>
      </c>
      <c r="BP569" s="71">
        <f>IFERROR(__xludf.DUMMYFUNCTION("""COMPUTED_VALUE"""),21.692)</f>
        <v>21.692</v>
      </c>
      <c r="BQ569" s="71">
        <f>IFERROR(__xludf.DUMMYFUNCTION("""COMPUTED_VALUE"""),18.259999999999998)</f>
        <v>18.26</v>
      </c>
      <c r="BR569" s="71">
        <f>IFERROR(__xludf.DUMMYFUNCTION("""COMPUTED_VALUE"""),2.9215999999999998)</f>
        <v>2.9216</v>
      </c>
      <c r="BS569" s="71">
        <f>IFERROR(__xludf.DUMMYFUNCTION("""COMPUTED_VALUE"""),21.181599999999996)</f>
        <v>21.1816</v>
      </c>
      <c r="BT569" s="71">
        <f>IFERROR(__xludf.DUMMYFUNCTION("""COMPUTED_VALUE"""),17.6)</f>
        <v>17.6</v>
      </c>
      <c r="BU569" s="71">
        <f>IFERROR(__xludf.DUMMYFUNCTION("""COMPUTED_VALUE"""),2.8160000000000003)</f>
        <v>2.816</v>
      </c>
      <c r="BV569" s="71">
        <f>IFERROR(__xludf.DUMMYFUNCTION("""COMPUTED_VALUE"""),20.416)</f>
        <v>20.416</v>
      </c>
    </row>
    <row r="570">
      <c r="A570" s="53">
        <v>1.0</v>
      </c>
      <c r="B570" s="53"/>
      <c r="C570" s="73" t="s">
        <v>12</v>
      </c>
      <c r="D570" s="53" t="s">
        <v>1400</v>
      </c>
      <c r="E570" s="54" t="s">
        <v>38</v>
      </c>
      <c r="F570" s="54" t="s">
        <v>42</v>
      </c>
      <c r="G570" s="141" t="s">
        <v>1401</v>
      </c>
      <c r="H570" s="141" t="s">
        <v>1401</v>
      </c>
      <c r="I570" s="54">
        <f t="shared" si="24"/>
        <v>27</v>
      </c>
      <c r="J570" s="56"/>
      <c r="K570" s="75"/>
      <c r="L570" s="76"/>
      <c r="M570" s="59"/>
      <c r="N570" s="79"/>
      <c r="O570" s="61">
        <v>217.0</v>
      </c>
      <c r="P570" s="63">
        <v>110.0</v>
      </c>
      <c r="Q570" s="63">
        <v>110.0</v>
      </c>
      <c r="R570" s="64">
        <v>119.0</v>
      </c>
      <c r="S570" s="111">
        <v>125.0</v>
      </c>
      <c r="T570" s="65">
        <f t="shared" si="2"/>
        <v>20</v>
      </c>
      <c r="U570" s="65">
        <f t="shared" si="3"/>
        <v>145</v>
      </c>
      <c r="V570" s="66">
        <f t="shared" si="4"/>
        <v>0.05042016807</v>
      </c>
      <c r="W570" s="67">
        <f t="shared" si="5"/>
        <v>118.75</v>
      </c>
      <c r="X570" s="67">
        <f t="shared" si="6"/>
        <v>19</v>
      </c>
      <c r="Y570" s="67">
        <f t="shared" si="7"/>
        <v>137.75</v>
      </c>
      <c r="Z570" s="67">
        <f t="shared" si="8"/>
        <v>112.5</v>
      </c>
      <c r="AA570" s="67">
        <f t="shared" si="9"/>
        <v>18</v>
      </c>
      <c r="AB570" s="67">
        <f t="shared" si="10"/>
        <v>130.5</v>
      </c>
      <c r="AC570" s="67">
        <f t="shared" si="11"/>
        <v>106.25</v>
      </c>
      <c r="AD570" s="67">
        <f t="shared" si="12"/>
        <v>17</v>
      </c>
      <c r="AE570" s="67">
        <f t="shared" si="13"/>
        <v>123.25</v>
      </c>
      <c r="AF570" s="67">
        <f t="shared" si="14"/>
        <v>103.75</v>
      </c>
      <c r="AG570" s="67">
        <f t="shared" si="15"/>
        <v>16.6</v>
      </c>
      <c r="AH570" s="67">
        <f t="shared" si="16"/>
        <v>120.35</v>
      </c>
      <c r="AI570" s="67">
        <f t="shared" si="17"/>
        <v>100</v>
      </c>
      <c r="AJ570" s="68">
        <f t="shared" si="20"/>
        <v>16</v>
      </c>
      <c r="AK570" s="68">
        <f t="shared" si="21"/>
        <v>116</v>
      </c>
      <c r="AL570" s="136">
        <f>IFERROR(__xludf.DUMMYFUNCTION("""COMPUTED_VALUE"""),1.0)</f>
        <v>1</v>
      </c>
      <c r="AM570" s="136"/>
      <c r="AN570" s="137" t="str">
        <f>IFERROR(__xludf.DUMMYFUNCTION("""COMPUTED_VALUE""")," C")</f>
        <v>C</v>
      </c>
      <c r="AO570" s="137" t="str">
        <f>IFERROR(__xludf.DUMMYFUNCTION("""COMPUTED_VALUE""")," EM94")</f>
        <v>EM94</v>
      </c>
      <c r="AP570" s="137" t="str">
        <f>IFERROR(__xludf.DUMMYFUNCTION("""COMPUTED_VALUE""")," PZA")</f>
        <v>PZA</v>
      </c>
      <c r="AQ570" s="137" t="str">
        <f>IFERROR(__xludf.DUMMYFUNCTION("""COMPUTED_VALUE""")," REF")</f>
        <v>REF</v>
      </c>
      <c r="AR570" s="137" t="str">
        <f>IFERROR(__xludf.DUMMYFUNCTION("""COMPUTED_VALUE""")," EMPAQUE DE HULE REDONDO GRADO ALIMENTICIO (METRO)")</f>
        <v>EMPAQUE DE HULE REDONDO GRADO ALIMENTICIO (METRO)</v>
      </c>
      <c r="AS570" s="137" t="str">
        <f>IFERROR(__xludf.DUMMYFUNCTION("""COMPUTED_VALUE""")," EMPAQUE DE HULE REDONDO GA (METRO)")</f>
        <v>EMPAQUE DE HULE REDONDO GA (METRO)</v>
      </c>
      <c r="AT570" s="137">
        <f>IFERROR(__xludf.DUMMYFUNCTION("""COMPUTED_VALUE"""),34.0)</f>
        <v>34</v>
      </c>
      <c r="AU570" s="137"/>
      <c r="AV570" s="137"/>
      <c r="AW570" s="137"/>
      <c r="AX570" s="137"/>
      <c r="AY570" s="137">
        <f>IFERROR(__xludf.DUMMYFUNCTION("""COMPUTED_VALUE"""),29.0)</f>
        <v>29</v>
      </c>
      <c r="AZ570" s="137">
        <f>IFERROR(__xludf.DUMMYFUNCTION("""COMPUTED_VALUE"""),31.0)</f>
        <v>31</v>
      </c>
      <c r="BA570" s="137">
        <f>IFERROR(__xludf.DUMMYFUNCTION("""COMPUTED_VALUE"""),33.480000000000004)</f>
        <v>33.48</v>
      </c>
      <c r="BB570" s="137">
        <f>IFERROR(__xludf.DUMMYFUNCTION("""COMPUTED_VALUE"""),33.480000000000004)</f>
        <v>33.48</v>
      </c>
      <c r="BC570" s="137">
        <f>IFERROR(__xludf.DUMMYFUNCTION("""COMPUTED_VALUE"""),38.0)</f>
        <v>38</v>
      </c>
      <c r="BD570" s="137">
        <f>IFERROR(__xludf.DUMMYFUNCTION("""COMPUTED_VALUE"""),40.0)</f>
        <v>40</v>
      </c>
      <c r="BE570" s="137">
        <f>IFERROR(__xludf.DUMMYFUNCTION("""COMPUTED_VALUE"""),6.4)</f>
        <v>6.4</v>
      </c>
      <c r="BF570" s="137">
        <f>IFERROR(__xludf.DUMMYFUNCTION("""COMPUTED_VALUE"""),46.4)</f>
        <v>46.4</v>
      </c>
      <c r="BG570" s="137">
        <f>IFERROR(__xludf.DUMMYFUNCTION("""COMPUTED_VALUE"""),0.05263157894736842)</f>
        <v>0.05263157895</v>
      </c>
      <c r="BH570" s="137">
        <f>IFERROR(__xludf.DUMMYFUNCTION("""COMPUTED_VALUE"""),38.0)</f>
        <v>38</v>
      </c>
      <c r="BI570" s="137">
        <f>IFERROR(__xludf.DUMMYFUNCTION("""COMPUTED_VALUE"""),6.08)</f>
        <v>6.08</v>
      </c>
      <c r="BJ570" s="137">
        <f>IFERROR(__xludf.DUMMYFUNCTION("""COMPUTED_VALUE"""),44.08)</f>
        <v>44.08</v>
      </c>
      <c r="BK570" s="137">
        <f>IFERROR(__xludf.DUMMYFUNCTION("""COMPUTED_VALUE"""),36.0)</f>
        <v>36</v>
      </c>
      <c r="BL570" s="137">
        <f>IFERROR(__xludf.DUMMYFUNCTION("""COMPUTED_VALUE"""),5.76)</f>
        <v>5.76</v>
      </c>
      <c r="BM570" s="137">
        <f>IFERROR(__xludf.DUMMYFUNCTION("""COMPUTED_VALUE"""),41.76)</f>
        <v>41.76</v>
      </c>
      <c r="BN570" s="137">
        <f>IFERROR(__xludf.DUMMYFUNCTION("""COMPUTED_VALUE"""),34.0)</f>
        <v>34</v>
      </c>
      <c r="BO570" s="137">
        <f>IFERROR(__xludf.DUMMYFUNCTION("""COMPUTED_VALUE"""),5.44)</f>
        <v>5.44</v>
      </c>
      <c r="BP570" s="137">
        <f>IFERROR(__xludf.DUMMYFUNCTION("""COMPUTED_VALUE"""),39.44)</f>
        <v>39.44</v>
      </c>
      <c r="BQ570" s="137">
        <f>IFERROR(__xludf.DUMMYFUNCTION("""COMPUTED_VALUE"""),33.199999999999996)</f>
        <v>33.2</v>
      </c>
      <c r="BR570" s="137">
        <f>IFERROR(__xludf.DUMMYFUNCTION("""COMPUTED_VALUE"""),5.311999999999999)</f>
        <v>5.312</v>
      </c>
      <c r="BS570" s="137">
        <f>IFERROR(__xludf.DUMMYFUNCTION("""COMPUTED_VALUE"""),38.51199999999999)</f>
        <v>38.512</v>
      </c>
      <c r="BT570" s="137">
        <f>IFERROR(__xludf.DUMMYFUNCTION("""COMPUTED_VALUE"""),32.0)</f>
        <v>32</v>
      </c>
      <c r="BU570" s="137">
        <f>IFERROR(__xludf.DUMMYFUNCTION("""COMPUTED_VALUE"""),5.12)</f>
        <v>5.12</v>
      </c>
      <c r="BV570" s="137">
        <f>IFERROR(__xludf.DUMMYFUNCTION("""COMPUTED_VALUE"""),37.12)</f>
        <v>37.12</v>
      </c>
    </row>
    <row r="571">
      <c r="A571" s="53">
        <v>1.0</v>
      </c>
      <c r="B571" s="53"/>
      <c r="C571" s="73" t="s">
        <v>603</v>
      </c>
      <c r="D571" s="53" t="s">
        <v>1402</v>
      </c>
      <c r="E571" s="54" t="s">
        <v>38</v>
      </c>
      <c r="F571" s="54" t="s">
        <v>42</v>
      </c>
      <c r="G571" s="141" t="s">
        <v>1403</v>
      </c>
      <c r="H571" s="141" t="s">
        <v>1403</v>
      </c>
      <c r="I571" s="54">
        <f t="shared" si="24"/>
        <v>21</v>
      </c>
      <c r="J571" s="56"/>
      <c r="K571" s="75"/>
      <c r="L571" s="76"/>
      <c r="M571" s="59"/>
      <c r="N571" s="79">
        <v>234.0</v>
      </c>
      <c r="O571" s="61">
        <v>252.0</v>
      </c>
      <c r="P571" s="63">
        <v>110.0</v>
      </c>
      <c r="Q571" s="63">
        <v>110.0</v>
      </c>
      <c r="R571" s="64">
        <v>119.0</v>
      </c>
      <c r="S571" s="111">
        <v>125.0</v>
      </c>
      <c r="T571" s="65">
        <f t="shared" si="2"/>
        <v>20</v>
      </c>
      <c r="U571" s="65">
        <f t="shared" si="3"/>
        <v>145</v>
      </c>
      <c r="V571" s="66">
        <f t="shared" si="4"/>
        <v>0.05042016807</v>
      </c>
      <c r="W571" s="67">
        <f t="shared" si="5"/>
        <v>118.75</v>
      </c>
      <c r="X571" s="67">
        <f t="shared" si="6"/>
        <v>19</v>
      </c>
      <c r="Y571" s="67">
        <f t="shared" si="7"/>
        <v>137.75</v>
      </c>
      <c r="Z571" s="67">
        <f t="shared" si="8"/>
        <v>112.5</v>
      </c>
      <c r="AA571" s="67">
        <f t="shared" si="9"/>
        <v>18</v>
      </c>
      <c r="AB571" s="67">
        <f t="shared" si="10"/>
        <v>130.5</v>
      </c>
      <c r="AC571" s="67">
        <f t="shared" si="11"/>
        <v>106.25</v>
      </c>
      <c r="AD571" s="67">
        <f t="shared" si="12"/>
        <v>17</v>
      </c>
      <c r="AE571" s="67">
        <f t="shared" si="13"/>
        <v>123.25</v>
      </c>
      <c r="AF571" s="67">
        <f t="shared" si="14"/>
        <v>103.75</v>
      </c>
      <c r="AG571" s="67">
        <f t="shared" si="15"/>
        <v>16.6</v>
      </c>
      <c r="AH571" s="67">
        <f t="shared" si="16"/>
        <v>120.35</v>
      </c>
      <c r="AI571" s="67">
        <f t="shared" si="17"/>
        <v>100</v>
      </c>
      <c r="AJ571" s="68">
        <f t="shared" si="20"/>
        <v>16</v>
      </c>
      <c r="AK571" s="68">
        <f t="shared" si="21"/>
        <v>116</v>
      </c>
      <c r="AL571" s="136">
        <f>IFERROR(__xludf.DUMMYFUNCTION("""COMPUTED_VALUE"""),1.0)</f>
        <v>1</v>
      </c>
      <c r="AM571" s="136"/>
      <c r="AN571" s="137" t="str">
        <f>IFERROR(__xludf.DUMMYFUNCTION("""COMPUTED_VALUE""")," P")</f>
        <v>P</v>
      </c>
      <c r="AO571" s="137" t="str">
        <f>IFERROR(__xludf.DUMMYFUNCTION("""COMPUTED_VALUE""")," EM95")</f>
        <v>EM95</v>
      </c>
      <c r="AP571" s="137" t="str">
        <f>IFERROR(__xludf.DUMMYFUNCTION("""COMPUTED_VALUE""")," PZA")</f>
        <v>PZA</v>
      </c>
      <c r="AQ571" s="137" t="str">
        <f>IFERROR(__xludf.DUMMYFUNCTION("""COMPUTED_VALUE""")," REF")</f>
        <v>REF</v>
      </c>
      <c r="AR571" s="137" t="str">
        <f>IFERROR(__xludf.DUMMYFUNCTION("""COMPUTED_VALUE""")," EMPAQUE DE NYLAMID (BOLSA 100 PIEZAS) GRADO ALIMENTICIO")</f>
        <v>EMPAQUE DE NYLAMID (BOLSA 100 PIEZAS) GRADO ALIMENTICIO</v>
      </c>
      <c r="AS571" s="137" t="str">
        <f>IFERROR(__xludf.DUMMYFUNCTION("""COMPUTED_VALUE""")," EMPAQUE NYLAMID 100 PZAS GA")</f>
        <v>EMPAQUE NYLAMID 100 PZAS GA</v>
      </c>
      <c r="AT571" s="137">
        <f>IFERROR(__xludf.DUMMYFUNCTION("""COMPUTED_VALUE"""),27.0)</f>
        <v>27</v>
      </c>
      <c r="AU571" s="137"/>
      <c r="AV571" s="137"/>
      <c r="AW571" s="137"/>
      <c r="AX571" s="137"/>
      <c r="AY571" s="137">
        <f>IFERROR(__xludf.DUMMYFUNCTION("""COMPUTED_VALUE"""),419.0)</f>
        <v>419</v>
      </c>
      <c r="AZ571" s="137">
        <f>IFERROR(__xludf.DUMMYFUNCTION("""COMPUTED_VALUE"""),452.0)</f>
        <v>452</v>
      </c>
      <c r="BA571" s="137">
        <f>IFERROR(__xludf.DUMMYFUNCTION("""COMPUTED_VALUE"""),488.16)</f>
        <v>488.16</v>
      </c>
      <c r="BB571" s="137">
        <f>IFERROR(__xludf.DUMMYFUNCTION("""COMPUTED_VALUE"""),488.16)</f>
        <v>488.16</v>
      </c>
      <c r="BC571" s="137">
        <f>IFERROR(__xludf.DUMMYFUNCTION("""COMPUTED_VALUE"""),544.0)</f>
        <v>544</v>
      </c>
      <c r="BD571" s="137">
        <f>IFERROR(__xludf.DUMMYFUNCTION("""COMPUTED_VALUE"""),571.0)</f>
        <v>571</v>
      </c>
      <c r="BE571" s="137">
        <f>IFERROR(__xludf.DUMMYFUNCTION("""COMPUTED_VALUE"""),91.36)</f>
        <v>91.36</v>
      </c>
      <c r="BF571" s="137">
        <f>IFERROR(__xludf.DUMMYFUNCTION("""COMPUTED_VALUE"""),662.36)</f>
        <v>662.36</v>
      </c>
      <c r="BG571" s="137">
        <f>IFERROR(__xludf.DUMMYFUNCTION("""COMPUTED_VALUE"""),0.04963235294117647)</f>
        <v>0.04963235294</v>
      </c>
      <c r="BH571" s="137">
        <f>IFERROR(__xludf.DUMMYFUNCTION("""COMPUTED_VALUE"""),542.4499999999999)</f>
        <v>542.45</v>
      </c>
      <c r="BI571" s="137">
        <f>IFERROR(__xludf.DUMMYFUNCTION("""COMPUTED_VALUE"""),86.79199999999999)</f>
        <v>86.792</v>
      </c>
      <c r="BJ571" s="137">
        <f>IFERROR(__xludf.DUMMYFUNCTION("""COMPUTED_VALUE"""),629.242)</f>
        <v>629.242</v>
      </c>
      <c r="BK571" s="137">
        <f>IFERROR(__xludf.DUMMYFUNCTION("""COMPUTED_VALUE"""),513.9)</f>
        <v>513.9</v>
      </c>
      <c r="BL571" s="137">
        <f>IFERROR(__xludf.DUMMYFUNCTION("""COMPUTED_VALUE"""),82.224)</f>
        <v>82.224</v>
      </c>
      <c r="BM571" s="137">
        <f>IFERROR(__xludf.DUMMYFUNCTION("""COMPUTED_VALUE"""),596.124)</f>
        <v>596.124</v>
      </c>
      <c r="BN571" s="137">
        <f>IFERROR(__xludf.DUMMYFUNCTION("""COMPUTED_VALUE"""),485.34999999999997)</f>
        <v>485.35</v>
      </c>
      <c r="BO571" s="137">
        <f>IFERROR(__xludf.DUMMYFUNCTION("""COMPUTED_VALUE"""),77.65599999999999)</f>
        <v>77.656</v>
      </c>
      <c r="BP571" s="137">
        <f>IFERROR(__xludf.DUMMYFUNCTION("""COMPUTED_VALUE"""),563.006)</f>
        <v>563.006</v>
      </c>
      <c r="BQ571" s="137">
        <f>IFERROR(__xludf.DUMMYFUNCTION("""COMPUTED_VALUE"""),473.92999999999995)</f>
        <v>473.93</v>
      </c>
      <c r="BR571" s="137">
        <f>IFERROR(__xludf.DUMMYFUNCTION("""COMPUTED_VALUE"""),75.82879999999999)</f>
        <v>75.8288</v>
      </c>
      <c r="BS571" s="137">
        <f>IFERROR(__xludf.DUMMYFUNCTION("""COMPUTED_VALUE"""),549.7588)</f>
        <v>549.7588</v>
      </c>
      <c r="BT571" s="137">
        <f>IFERROR(__xludf.DUMMYFUNCTION("""COMPUTED_VALUE"""),456.8)</f>
        <v>456.8</v>
      </c>
      <c r="BU571" s="137">
        <f>IFERROR(__xludf.DUMMYFUNCTION("""COMPUTED_VALUE"""),73.08800000000001)</f>
        <v>73.088</v>
      </c>
      <c r="BV571" s="137">
        <f>IFERROR(__xludf.DUMMYFUNCTION("""COMPUTED_VALUE"""),529.888)</f>
        <v>529.888</v>
      </c>
    </row>
    <row r="572">
      <c r="A572" s="53">
        <v>1.0</v>
      </c>
      <c r="B572" s="53"/>
      <c r="C572" s="73" t="s">
        <v>603</v>
      </c>
      <c r="D572" s="53" t="s">
        <v>1404</v>
      </c>
      <c r="E572" s="54" t="s">
        <v>38</v>
      </c>
      <c r="F572" s="54" t="s">
        <v>42</v>
      </c>
      <c r="G572" s="141" t="s">
        <v>1405</v>
      </c>
      <c r="H572" s="141" t="s">
        <v>1405</v>
      </c>
      <c r="I572" s="54">
        <f t="shared" si="24"/>
        <v>21</v>
      </c>
      <c r="J572" s="56"/>
      <c r="K572" s="75"/>
      <c r="L572" s="76"/>
      <c r="M572" s="59"/>
      <c r="N572" s="79">
        <v>234.0</v>
      </c>
      <c r="O572" s="61">
        <v>217.0</v>
      </c>
      <c r="P572" s="63">
        <v>110.0</v>
      </c>
      <c r="Q572" s="63">
        <v>110.0</v>
      </c>
      <c r="R572" s="64">
        <v>119.0</v>
      </c>
      <c r="S572" s="111">
        <v>125.0</v>
      </c>
      <c r="T572" s="65">
        <f t="shared" si="2"/>
        <v>20</v>
      </c>
      <c r="U572" s="65">
        <f t="shared" si="3"/>
        <v>145</v>
      </c>
      <c r="V572" s="66">
        <f t="shared" si="4"/>
        <v>0.05042016807</v>
      </c>
      <c r="W572" s="67">
        <f t="shared" si="5"/>
        <v>118.75</v>
      </c>
      <c r="X572" s="67">
        <f t="shared" si="6"/>
        <v>19</v>
      </c>
      <c r="Y572" s="67">
        <f t="shared" si="7"/>
        <v>137.75</v>
      </c>
      <c r="Z572" s="67">
        <f t="shared" si="8"/>
        <v>112.5</v>
      </c>
      <c r="AA572" s="67">
        <f t="shared" si="9"/>
        <v>18</v>
      </c>
      <c r="AB572" s="67">
        <f t="shared" si="10"/>
        <v>130.5</v>
      </c>
      <c r="AC572" s="67">
        <f t="shared" si="11"/>
        <v>106.25</v>
      </c>
      <c r="AD572" s="67">
        <f t="shared" si="12"/>
        <v>17</v>
      </c>
      <c r="AE572" s="67">
        <f t="shared" si="13"/>
        <v>123.25</v>
      </c>
      <c r="AF572" s="67">
        <f t="shared" si="14"/>
        <v>103.75</v>
      </c>
      <c r="AG572" s="67">
        <f t="shared" si="15"/>
        <v>16.6</v>
      </c>
      <c r="AH572" s="67">
        <f t="shared" si="16"/>
        <v>120.35</v>
      </c>
      <c r="AI572" s="67">
        <f t="shared" si="17"/>
        <v>100</v>
      </c>
      <c r="AJ572" s="68">
        <f t="shared" si="20"/>
        <v>16</v>
      </c>
      <c r="AK572" s="68">
        <f t="shared" si="21"/>
        <v>116</v>
      </c>
      <c r="AL572" s="136">
        <f>IFERROR(__xludf.DUMMYFUNCTION("""COMPUTED_VALUE"""),1.0)</f>
        <v>1</v>
      </c>
      <c r="AM572" s="136"/>
      <c r="AN572" s="137" t="str">
        <f>IFERROR(__xludf.DUMMYFUNCTION("""COMPUTED_VALUE""")," P")</f>
        <v>P</v>
      </c>
      <c r="AO572" s="137" t="str">
        <f>IFERROR(__xludf.DUMMYFUNCTION("""COMPUTED_VALUE""")," EM96")</f>
        <v>EM96</v>
      </c>
      <c r="AP572" s="137" t="str">
        <f>IFERROR(__xludf.DUMMYFUNCTION("""COMPUTED_VALUE""")," PZA")</f>
        <v>PZA</v>
      </c>
      <c r="AQ572" s="137" t="str">
        <f>IFERROR(__xludf.DUMMYFUNCTION("""COMPUTED_VALUE""")," REF")</f>
        <v>REF</v>
      </c>
      <c r="AR572" s="137" t="str">
        <f>IFERROR(__xludf.DUMMYFUNCTION("""COMPUTED_VALUE""")," EMPAQUE DE NYLAMID P/BAYONETA CHICA GRADO ALIMENTICIO")</f>
        <v>EMPAQUE DE NYLAMID P/BAYONETA CHICA GRADO ALIMENTICIO</v>
      </c>
      <c r="AS572" s="137" t="str">
        <f>IFERROR(__xludf.DUMMYFUNCTION("""COMPUTED_VALUE""")," EMPAQUE DE NYLAMID P/BAYONETA CHICA GA")</f>
        <v>EMPAQUE DE NYLAMID P/BAYONETA CHICA GA</v>
      </c>
      <c r="AT572" s="137">
        <f>IFERROR(__xludf.DUMMYFUNCTION("""COMPUTED_VALUE"""),38.0)</f>
        <v>38</v>
      </c>
      <c r="AU572" s="137"/>
      <c r="AV572" s="137"/>
      <c r="AW572" s="137"/>
      <c r="AX572" s="137"/>
      <c r="AY572" s="137">
        <f>IFERROR(__xludf.DUMMYFUNCTION("""COMPUTED_VALUE"""),8.0)</f>
        <v>8</v>
      </c>
      <c r="AZ572" s="137">
        <f>IFERROR(__xludf.DUMMYFUNCTION("""COMPUTED_VALUE"""),8.0)</f>
        <v>8</v>
      </c>
      <c r="BA572" s="137">
        <f>IFERROR(__xludf.DUMMYFUNCTION("""COMPUTED_VALUE"""),8.64)</f>
        <v>8.64</v>
      </c>
      <c r="BB572" s="137">
        <f>IFERROR(__xludf.DUMMYFUNCTION("""COMPUTED_VALUE"""),8.64)</f>
        <v>8.64</v>
      </c>
      <c r="BC572" s="137">
        <f>IFERROR(__xludf.DUMMYFUNCTION("""COMPUTED_VALUE"""),10.0)</f>
        <v>10</v>
      </c>
      <c r="BD572" s="137">
        <f>IFERROR(__xludf.DUMMYFUNCTION("""COMPUTED_VALUE"""),10.5)</f>
        <v>10.5</v>
      </c>
      <c r="BE572" s="137">
        <f>IFERROR(__xludf.DUMMYFUNCTION("""COMPUTED_VALUE"""),1.68)</f>
        <v>1.68</v>
      </c>
      <c r="BF572" s="137">
        <f>IFERROR(__xludf.DUMMYFUNCTION("""COMPUTED_VALUE"""),12.18)</f>
        <v>12.18</v>
      </c>
      <c r="BG572" s="137">
        <f>IFERROR(__xludf.DUMMYFUNCTION("""COMPUTED_VALUE"""),0.05)</f>
        <v>0.05</v>
      </c>
      <c r="BH572" s="137">
        <f>IFERROR(__xludf.DUMMYFUNCTION("""COMPUTED_VALUE"""),9.975)</f>
        <v>9.975</v>
      </c>
      <c r="BI572" s="137">
        <f>IFERROR(__xludf.DUMMYFUNCTION("""COMPUTED_VALUE"""),1.596)</f>
        <v>1.596</v>
      </c>
      <c r="BJ572" s="137">
        <f>IFERROR(__xludf.DUMMYFUNCTION("""COMPUTED_VALUE"""),11.571)</f>
        <v>11.571</v>
      </c>
      <c r="BK572" s="137">
        <f>IFERROR(__xludf.DUMMYFUNCTION("""COMPUTED_VALUE"""),9.450000000000001)</f>
        <v>9.45</v>
      </c>
      <c r="BL572" s="137">
        <f>IFERROR(__xludf.DUMMYFUNCTION("""COMPUTED_VALUE"""),1.5120000000000002)</f>
        <v>1.512</v>
      </c>
      <c r="BM572" s="137">
        <f>IFERROR(__xludf.DUMMYFUNCTION("""COMPUTED_VALUE"""),10.962000000000002)</f>
        <v>10.962</v>
      </c>
      <c r="BN572" s="137">
        <f>IFERROR(__xludf.DUMMYFUNCTION("""COMPUTED_VALUE"""),8.924999999999999)</f>
        <v>8.925</v>
      </c>
      <c r="BO572" s="137">
        <f>IFERROR(__xludf.DUMMYFUNCTION("""COMPUTED_VALUE"""),1.428)</f>
        <v>1.428</v>
      </c>
      <c r="BP572" s="137">
        <f>IFERROR(__xludf.DUMMYFUNCTION("""COMPUTED_VALUE"""),10.352999999999998)</f>
        <v>10.353</v>
      </c>
      <c r="BQ572" s="137">
        <f>IFERROR(__xludf.DUMMYFUNCTION("""COMPUTED_VALUE"""),8.715)</f>
        <v>8.715</v>
      </c>
      <c r="BR572" s="137">
        <f>IFERROR(__xludf.DUMMYFUNCTION("""COMPUTED_VALUE"""),1.3944)</f>
        <v>1.3944</v>
      </c>
      <c r="BS572" s="137">
        <f>IFERROR(__xludf.DUMMYFUNCTION("""COMPUTED_VALUE"""),10.1094)</f>
        <v>10.1094</v>
      </c>
      <c r="BT572" s="137">
        <f>IFERROR(__xludf.DUMMYFUNCTION("""COMPUTED_VALUE"""),8.4)</f>
        <v>8.4</v>
      </c>
      <c r="BU572" s="137">
        <f>IFERROR(__xludf.DUMMYFUNCTION("""COMPUTED_VALUE"""),1.344)</f>
        <v>1.344</v>
      </c>
      <c r="BV572" s="137">
        <f>IFERROR(__xludf.DUMMYFUNCTION("""COMPUTED_VALUE"""),9.744)</f>
        <v>9.744</v>
      </c>
    </row>
    <row r="573">
      <c r="A573" s="53">
        <v>1.0</v>
      </c>
      <c r="B573" s="53"/>
      <c r="C573" s="120" t="s">
        <v>12</v>
      </c>
      <c r="D573" s="53" t="s">
        <v>1406</v>
      </c>
      <c r="E573" s="54" t="s">
        <v>38</v>
      </c>
      <c r="F573" s="54" t="s">
        <v>42</v>
      </c>
      <c r="G573" s="141" t="s">
        <v>1407</v>
      </c>
      <c r="H573" s="141" t="s">
        <v>1407</v>
      </c>
      <c r="I573" s="54">
        <f t="shared" si="24"/>
        <v>21</v>
      </c>
      <c r="J573" s="56"/>
      <c r="K573" s="75"/>
      <c r="L573" s="76"/>
      <c r="M573" s="59"/>
      <c r="N573" s="79"/>
      <c r="O573" s="61">
        <v>217.0</v>
      </c>
      <c r="P573" s="62">
        <v>110.0</v>
      </c>
      <c r="Q573" s="63">
        <v>110.0</v>
      </c>
      <c r="R573" s="64">
        <v>119.0</v>
      </c>
      <c r="S573" s="111">
        <v>125.0</v>
      </c>
      <c r="T573" s="65">
        <f t="shared" si="2"/>
        <v>20</v>
      </c>
      <c r="U573" s="65">
        <f t="shared" si="3"/>
        <v>145</v>
      </c>
      <c r="V573" s="66">
        <f t="shared" si="4"/>
        <v>0.05042016807</v>
      </c>
      <c r="W573" s="67">
        <f t="shared" si="5"/>
        <v>118.75</v>
      </c>
      <c r="X573" s="67">
        <f t="shared" si="6"/>
        <v>19</v>
      </c>
      <c r="Y573" s="67">
        <f t="shared" si="7"/>
        <v>137.75</v>
      </c>
      <c r="Z573" s="67">
        <f t="shared" si="8"/>
        <v>112.5</v>
      </c>
      <c r="AA573" s="67">
        <f t="shared" si="9"/>
        <v>18</v>
      </c>
      <c r="AB573" s="67">
        <f t="shared" si="10"/>
        <v>130.5</v>
      </c>
      <c r="AC573" s="67">
        <f t="shared" si="11"/>
        <v>106.25</v>
      </c>
      <c r="AD573" s="67">
        <f t="shared" si="12"/>
        <v>17</v>
      </c>
      <c r="AE573" s="67">
        <f t="shared" si="13"/>
        <v>123.25</v>
      </c>
      <c r="AF573" s="67">
        <f t="shared" si="14"/>
        <v>103.75</v>
      </c>
      <c r="AG573" s="67">
        <f t="shared" si="15"/>
        <v>16.6</v>
      </c>
      <c r="AH573" s="67">
        <f t="shared" si="16"/>
        <v>120.35</v>
      </c>
      <c r="AI573" s="67">
        <f t="shared" si="17"/>
        <v>100</v>
      </c>
      <c r="AJ573" s="68">
        <f t="shared" si="20"/>
        <v>16</v>
      </c>
      <c r="AK573" s="68">
        <f t="shared" si="21"/>
        <v>116</v>
      </c>
      <c r="AL573" s="70">
        <f>IFERROR(__xludf.DUMMYFUNCTION("""COMPUTED_VALUE"""),1.0)</f>
        <v>1</v>
      </c>
      <c r="AM573" s="70"/>
      <c r="AN573" s="71" t="str">
        <f>IFERROR(__xludf.DUMMYFUNCTION("""COMPUTED_VALUE""")," P")</f>
        <v>P</v>
      </c>
      <c r="AO573" s="71" t="str">
        <f>IFERROR(__xludf.DUMMYFUNCTION("""COMPUTED_VALUE""")," EM99")</f>
        <v>EM99</v>
      </c>
      <c r="AP573" s="71" t="str">
        <f>IFERROR(__xludf.DUMMYFUNCTION("""COMPUTED_VALUE""")," PZA")</f>
        <v>PZA</v>
      </c>
      <c r="AQ573" s="71" t="str">
        <f>IFERROR(__xludf.DUMMYFUNCTION("""COMPUTED_VALUE""")," REF")</f>
        <v>REF</v>
      </c>
      <c r="AR573" s="71" t="str">
        <f>IFERROR(__xludf.DUMMYFUNCTION("""COMPUTED_VALUE""")," EMPAQUE DE NYLAMID PARA AMASADORA DE 100 KG. GRADO ALIMENTICIO")</f>
        <v>EMPAQUE DE NYLAMID PARA AMASADORA DE 100 KG. GRADO ALIMENTICIO</v>
      </c>
      <c r="AS573" s="71" t="str">
        <f>IFERROR(__xludf.DUMMYFUNCTION("""COMPUTED_VALUE""")," EMPAQUE NYLAMID P/AMASADORA DE 100 KG GA")</f>
        <v>EMPAQUE NYLAMID P/AMASADORA DE 100 KG GA</v>
      </c>
      <c r="AT573" s="71">
        <f>IFERROR(__xludf.DUMMYFUNCTION("""COMPUTED_VALUE"""),40.0)</f>
        <v>40</v>
      </c>
      <c r="AU573" s="71"/>
      <c r="AV573" s="71"/>
      <c r="AW573" s="71"/>
      <c r="AX573" s="71"/>
      <c r="AY573" s="71">
        <f>IFERROR(__xludf.DUMMYFUNCTION("""COMPUTED_VALUE"""),292.0)</f>
        <v>292</v>
      </c>
      <c r="AZ573" s="71">
        <f>IFERROR(__xludf.DUMMYFUNCTION("""COMPUTED_VALUE"""),315.0)</f>
        <v>315</v>
      </c>
      <c r="BA573" s="71">
        <f>IFERROR(__xludf.DUMMYFUNCTION("""COMPUTED_VALUE"""),560.0)</f>
        <v>560</v>
      </c>
      <c r="BB573" s="71">
        <f>IFERROR(__xludf.DUMMYFUNCTION("""COMPUTED_VALUE"""),560.0)</f>
        <v>560</v>
      </c>
      <c r="BC573" s="71">
        <f>IFERROR(__xludf.DUMMYFUNCTION("""COMPUTED_VALUE"""),380.0)</f>
        <v>380</v>
      </c>
      <c r="BD573" s="71">
        <f>IFERROR(__xludf.DUMMYFUNCTION("""COMPUTED_VALUE"""),399.0)</f>
        <v>399</v>
      </c>
      <c r="BE573" s="71">
        <f>IFERROR(__xludf.DUMMYFUNCTION("""COMPUTED_VALUE"""),63.84)</f>
        <v>63.84</v>
      </c>
      <c r="BF573" s="71">
        <f>IFERROR(__xludf.DUMMYFUNCTION("""COMPUTED_VALUE"""),462.84000000000003)</f>
        <v>462.84</v>
      </c>
      <c r="BG573" s="71">
        <f>IFERROR(__xludf.DUMMYFUNCTION("""COMPUTED_VALUE"""),0.05)</f>
        <v>0.05</v>
      </c>
      <c r="BH573" s="71">
        <f>IFERROR(__xludf.DUMMYFUNCTION("""COMPUTED_VALUE"""),379.04999999999995)</f>
        <v>379.05</v>
      </c>
      <c r="BI573" s="71">
        <f>IFERROR(__xludf.DUMMYFUNCTION("""COMPUTED_VALUE"""),60.647999999999996)</f>
        <v>60.648</v>
      </c>
      <c r="BJ573" s="71">
        <f>IFERROR(__xludf.DUMMYFUNCTION("""COMPUTED_VALUE"""),439.698)</f>
        <v>439.698</v>
      </c>
      <c r="BK573" s="71">
        <f>IFERROR(__xludf.DUMMYFUNCTION("""COMPUTED_VALUE"""),359.1)</f>
        <v>359.1</v>
      </c>
      <c r="BL573" s="71">
        <f>IFERROR(__xludf.DUMMYFUNCTION("""COMPUTED_VALUE"""),57.456)</f>
        <v>57.456</v>
      </c>
      <c r="BM573" s="71">
        <f>IFERROR(__xludf.DUMMYFUNCTION("""COMPUTED_VALUE"""),416.55600000000004)</f>
        <v>416.556</v>
      </c>
      <c r="BN573" s="71">
        <f>IFERROR(__xludf.DUMMYFUNCTION("""COMPUTED_VALUE"""),339.15)</f>
        <v>339.15</v>
      </c>
      <c r="BO573" s="71">
        <f>IFERROR(__xludf.DUMMYFUNCTION("""COMPUTED_VALUE"""),54.263999999999996)</f>
        <v>54.264</v>
      </c>
      <c r="BP573" s="71">
        <f>IFERROR(__xludf.DUMMYFUNCTION("""COMPUTED_VALUE"""),393.414)</f>
        <v>393.414</v>
      </c>
      <c r="BQ573" s="71">
        <f>IFERROR(__xludf.DUMMYFUNCTION("""COMPUTED_VALUE"""),331.16999999999996)</f>
        <v>331.17</v>
      </c>
      <c r="BR573" s="71">
        <f>IFERROR(__xludf.DUMMYFUNCTION("""COMPUTED_VALUE"""),52.987199999999994)</f>
        <v>52.9872</v>
      </c>
      <c r="BS573" s="71">
        <f>IFERROR(__xludf.DUMMYFUNCTION("""COMPUTED_VALUE"""),384.15719999999993)</f>
        <v>384.1572</v>
      </c>
      <c r="BT573" s="71">
        <f>IFERROR(__xludf.DUMMYFUNCTION("""COMPUTED_VALUE"""),319.20000000000005)</f>
        <v>319.2</v>
      </c>
      <c r="BU573" s="71">
        <f>IFERROR(__xludf.DUMMYFUNCTION("""COMPUTED_VALUE"""),51.07200000000001)</f>
        <v>51.072</v>
      </c>
      <c r="BV573" s="71">
        <f>IFERROR(__xludf.DUMMYFUNCTION("""COMPUTED_VALUE"""),370.27200000000005)</f>
        <v>370.272</v>
      </c>
    </row>
    <row r="574">
      <c r="A574" s="53">
        <v>1.0</v>
      </c>
      <c r="B574" s="53"/>
      <c r="C574" s="53" t="s">
        <v>12</v>
      </c>
      <c r="D574" s="53" t="s">
        <v>1408</v>
      </c>
      <c r="E574" s="54" t="s">
        <v>38</v>
      </c>
      <c r="F574" s="54" t="s">
        <v>42</v>
      </c>
      <c r="G574" s="141" t="s">
        <v>1409</v>
      </c>
      <c r="H574" s="141" t="s">
        <v>1409</v>
      </c>
      <c r="I574" s="54">
        <f t="shared" si="24"/>
        <v>29</v>
      </c>
      <c r="J574" s="56"/>
      <c r="K574" s="75"/>
      <c r="L574" s="76"/>
      <c r="M574" s="59"/>
      <c r="N574" s="79">
        <v>209.0</v>
      </c>
      <c r="O574" s="61">
        <v>225.0</v>
      </c>
      <c r="P574" s="63">
        <v>125.0</v>
      </c>
      <c r="Q574" s="63">
        <v>125.0</v>
      </c>
      <c r="R574" s="64">
        <v>135.0</v>
      </c>
      <c r="S574" s="111">
        <v>142.0</v>
      </c>
      <c r="T574" s="65">
        <f t="shared" si="2"/>
        <v>22.72</v>
      </c>
      <c r="U574" s="65">
        <f t="shared" si="3"/>
        <v>164.72</v>
      </c>
      <c r="V574" s="66">
        <f t="shared" si="4"/>
        <v>0.05185185185</v>
      </c>
      <c r="W574" s="67">
        <f t="shared" si="5"/>
        <v>134.9</v>
      </c>
      <c r="X574" s="67">
        <f t="shared" si="6"/>
        <v>21.584</v>
      </c>
      <c r="Y574" s="67">
        <f t="shared" si="7"/>
        <v>156.484</v>
      </c>
      <c r="Z574" s="67">
        <f t="shared" si="8"/>
        <v>127.8</v>
      </c>
      <c r="AA574" s="67">
        <f t="shared" si="9"/>
        <v>20.448</v>
      </c>
      <c r="AB574" s="67">
        <f t="shared" si="10"/>
        <v>148.248</v>
      </c>
      <c r="AC574" s="67">
        <f t="shared" si="11"/>
        <v>120.7</v>
      </c>
      <c r="AD574" s="67">
        <f t="shared" si="12"/>
        <v>19.312</v>
      </c>
      <c r="AE574" s="67">
        <f t="shared" si="13"/>
        <v>140.012</v>
      </c>
      <c r="AF574" s="67">
        <f t="shared" si="14"/>
        <v>117.86</v>
      </c>
      <c r="AG574" s="67">
        <f t="shared" si="15"/>
        <v>18.8576</v>
      </c>
      <c r="AH574" s="67">
        <f t="shared" si="16"/>
        <v>136.7176</v>
      </c>
      <c r="AI574" s="67">
        <f t="shared" si="17"/>
        <v>113.6</v>
      </c>
      <c r="AJ574" s="68">
        <f t="shared" si="20"/>
        <v>18.176</v>
      </c>
      <c r="AK574" s="68">
        <f t="shared" si="21"/>
        <v>131.776</v>
      </c>
      <c r="AL574" s="136">
        <f>IFERROR(__xludf.DUMMYFUNCTION("""COMPUTED_VALUE"""),1.0)</f>
        <v>1</v>
      </c>
      <c r="AM574" s="136"/>
      <c r="AN574" s="137" t="str">
        <f>IFERROR(__xludf.DUMMYFUNCTION("""COMPUTED_VALUE""")," P")</f>
        <v>P</v>
      </c>
      <c r="AO574" s="137" t="str">
        <f>IFERROR(__xludf.DUMMYFUNCTION("""COMPUTED_VALUE""")," EM97")</f>
        <v>EM97</v>
      </c>
      <c r="AP574" s="137" t="str">
        <f>IFERROR(__xludf.DUMMYFUNCTION("""COMPUTED_VALUE""")," PZA")</f>
        <v>PZA</v>
      </c>
      <c r="AQ574" s="137" t="str">
        <f>IFERROR(__xludf.DUMMYFUNCTION("""COMPUTED_VALUE""")," REF")</f>
        <v>REF</v>
      </c>
      <c r="AR574" s="137" t="str">
        <f>IFERROR(__xludf.DUMMYFUNCTION("""COMPUTED_VALUE""")," EMPAQUE DE NYLAMID PARA AMASADORA DE 25 KG. GRADO ALIMENTICIO")</f>
        <v>EMPAQUE DE NYLAMID PARA AMASADORA DE 25 KG. GRADO ALIMENTICIO</v>
      </c>
      <c r="AS574" s="137" t="str">
        <f>IFERROR(__xludf.DUMMYFUNCTION("""COMPUTED_VALUE""")," EMPAQUE NYLAMID P/AMASADORA DE 25 KG GA")</f>
        <v>EMPAQUE NYLAMID P/AMASADORA DE 25 KG GA</v>
      </c>
      <c r="AT574" s="137">
        <f>IFERROR(__xludf.DUMMYFUNCTION("""COMPUTED_VALUE"""),39.0)</f>
        <v>39</v>
      </c>
      <c r="AU574" s="137"/>
      <c r="AV574" s="137"/>
      <c r="AW574" s="137"/>
      <c r="AX574" s="137"/>
      <c r="AY574" s="137">
        <f>IFERROR(__xludf.DUMMYFUNCTION("""COMPUTED_VALUE"""),292.0)</f>
        <v>292</v>
      </c>
      <c r="AZ574" s="137">
        <f>IFERROR(__xludf.DUMMYFUNCTION("""COMPUTED_VALUE"""),315.0)</f>
        <v>315</v>
      </c>
      <c r="BA574" s="137">
        <f>IFERROR(__xludf.DUMMYFUNCTION("""COMPUTED_VALUE"""),340.20000000000005)</f>
        <v>340.2</v>
      </c>
      <c r="BB574" s="137">
        <f>IFERROR(__xludf.DUMMYFUNCTION("""COMPUTED_VALUE"""),340.20000000000005)</f>
        <v>340.2</v>
      </c>
      <c r="BC574" s="137">
        <f>IFERROR(__xludf.DUMMYFUNCTION("""COMPUTED_VALUE"""),380.0)</f>
        <v>380</v>
      </c>
      <c r="BD574" s="137">
        <f>IFERROR(__xludf.DUMMYFUNCTION("""COMPUTED_VALUE"""),399.0)</f>
        <v>399</v>
      </c>
      <c r="BE574" s="137">
        <f>IFERROR(__xludf.DUMMYFUNCTION("""COMPUTED_VALUE"""),63.84)</f>
        <v>63.84</v>
      </c>
      <c r="BF574" s="137">
        <f>IFERROR(__xludf.DUMMYFUNCTION("""COMPUTED_VALUE"""),462.84000000000003)</f>
        <v>462.84</v>
      </c>
      <c r="BG574" s="137">
        <f>IFERROR(__xludf.DUMMYFUNCTION("""COMPUTED_VALUE"""),0.05)</f>
        <v>0.05</v>
      </c>
      <c r="BH574" s="137">
        <f>IFERROR(__xludf.DUMMYFUNCTION("""COMPUTED_VALUE"""),379.04999999999995)</f>
        <v>379.05</v>
      </c>
      <c r="BI574" s="137">
        <f>IFERROR(__xludf.DUMMYFUNCTION("""COMPUTED_VALUE"""),60.647999999999996)</f>
        <v>60.648</v>
      </c>
      <c r="BJ574" s="137">
        <f>IFERROR(__xludf.DUMMYFUNCTION("""COMPUTED_VALUE"""),439.698)</f>
        <v>439.698</v>
      </c>
      <c r="BK574" s="137">
        <f>IFERROR(__xludf.DUMMYFUNCTION("""COMPUTED_VALUE"""),359.1)</f>
        <v>359.1</v>
      </c>
      <c r="BL574" s="137">
        <f>IFERROR(__xludf.DUMMYFUNCTION("""COMPUTED_VALUE"""),57.456)</f>
        <v>57.456</v>
      </c>
      <c r="BM574" s="137">
        <f>IFERROR(__xludf.DUMMYFUNCTION("""COMPUTED_VALUE"""),416.55600000000004)</f>
        <v>416.556</v>
      </c>
      <c r="BN574" s="137">
        <f>IFERROR(__xludf.DUMMYFUNCTION("""COMPUTED_VALUE"""),339.15)</f>
        <v>339.15</v>
      </c>
      <c r="BO574" s="137">
        <f>IFERROR(__xludf.DUMMYFUNCTION("""COMPUTED_VALUE"""),54.263999999999996)</f>
        <v>54.264</v>
      </c>
      <c r="BP574" s="137">
        <f>IFERROR(__xludf.DUMMYFUNCTION("""COMPUTED_VALUE"""),393.414)</f>
        <v>393.414</v>
      </c>
      <c r="BQ574" s="137">
        <f>IFERROR(__xludf.DUMMYFUNCTION("""COMPUTED_VALUE"""),331.16999999999996)</f>
        <v>331.17</v>
      </c>
      <c r="BR574" s="137">
        <f>IFERROR(__xludf.DUMMYFUNCTION("""COMPUTED_VALUE"""),52.987199999999994)</f>
        <v>52.9872</v>
      </c>
      <c r="BS574" s="137">
        <f>IFERROR(__xludf.DUMMYFUNCTION("""COMPUTED_VALUE"""),384.15719999999993)</f>
        <v>384.1572</v>
      </c>
      <c r="BT574" s="137">
        <f>IFERROR(__xludf.DUMMYFUNCTION("""COMPUTED_VALUE"""),319.20000000000005)</f>
        <v>319.2</v>
      </c>
      <c r="BU574" s="137">
        <f>IFERROR(__xludf.DUMMYFUNCTION("""COMPUTED_VALUE"""),51.07200000000001)</f>
        <v>51.072</v>
      </c>
      <c r="BV574" s="137">
        <f>IFERROR(__xludf.DUMMYFUNCTION("""COMPUTED_VALUE"""),370.27200000000005)</f>
        <v>370.272</v>
      </c>
    </row>
    <row r="575">
      <c r="A575" s="53">
        <v>1.0</v>
      </c>
      <c r="B575" s="72"/>
      <c r="C575" s="120" t="s">
        <v>603</v>
      </c>
      <c r="D575" s="74" t="s">
        <v>1410</v>
      </c>
      <c r="E575" s="54" t="s">
        <v>38</v>
      </c>
      <c r="F575" s="54" t="s">
        <v>42</v>
      </c>
      <c r="G575" s="141" t="s">
        <v>1411</v>
      </c>
      <c r="H575" s="141" t="s">
        <v>1411</v>
      </c>
      <c r="I575" s="54">
        <f t="shared" si="24"/>
        <v>25</v>
      </c>
      <c r="J575" s="56"/>
      <c r="K575" s="75"/>
      <c r="L575" s="76"/>
      <c r="M575" s="59"/>
      <c r="N575" s="60">
        <v>209.0</v>
      </c>
      <c r="O575" s="61">
        <v>229.0</v>
      </c>
      <c r="P575" s="62">
        <v>125.0</v>
      </c>
      <c r="Q575" s="63">
        <v>125.0</v>
      </c>
      <c r="R575" s="64">
        <v>150.0</v>
      </c>
      <c r="S575" s="111">
        <v>158.0</v>
      </c>
      <c r="T575" s="65">
        <f t="shared" si="2"/>
        <v>25.28</v>
      </c>
      <c r="U575" s="65">
        <f t="shared" si="3"/>
        <v>183.28</v>
      </c>
      <c r="V575" s="66">
        <f t="shared" si="4"/>
        <v>0.05333333333</v>
      </c>
      <c r="W575" s="67">
        <f t="shared" si="5"/>
        <v>150.1</v>
      </c>
      <c r="X575" s="67">
        <f t="shared" si="6"/>
        <v>24.016</v>
      </c>
      <c r="Y575" s="67">
        <f t="shared" si="7"/>
        <v>174.116</v>
      </c>
      <c r="Z575" s="67">
        <f t="shared" si="8"/>
        <v>142.2</v>
      </c>
      <c r="AA575" s="67">
        <f t="shared" si="9"/>
        <v>22.752</v>
      </c>
      <c r="AB575" s="67">
        <f t="shared" si="10"/>
        <v>164.952</v>
      </c>
      <c r="AC575" s="67">
        <f t="shared" si="11"/>
        <v>134.3</v>
      </c>
      <c r="AD575" s="67">
        <f t="shared" si="12"/>
        <v>21.488</v>
      </c>
      <c r="AE575" s="67">
        <f t="shared" si="13"/>
        <v>155.788</v>
      </c>
      <c r="AF575" s="67">
        <f t="shared" si="14"/>
        <v>131.14</v>
      </c>
      <c r="AG575" s="67">
        <f t="shared" si="15"/>
        <v>20.9824</v>
      </c>
      <c r="AH575" s="67">
        <f t="shared" si="16"/>
        <v>152.1224</v>
      </c>
      <c r="AI575" s="67">
        <f t="shared" si="17"/>
        <v>126.4</v>
      </c>
      <c r="AJ575" s="68">
        <f t="shared" si="20"/>
        <v>20.224</v>
      </c>
      <c r="AK575" s="68">
        <f t="shared" si="21"/>
        <v>146.624</v>
      </c>
      <c r="AL575" s="70">
        <f>IFERROR(__xludf.DUMMYFUNCTION("""COMPUTED_VALUE"""),1.0)</f>
        <v>1</v>
      </c>
      <c r="AM575" s="70"/>
      <c r="AN575" s="71" t="str">
        <f>IFERROR(__xludf.DUMMYFUNCTION("""COMPUTED_VALUE""")," P")</f>
        <v>P</v>
      </c>
      <c r="AO575" s="71" t="str">
        <f>IFERROR(__xludf.DUMMYFUNCTION("""COMPUTED_VALUE""")," EM98")</f>
        <v>EM98</v>
      </c>
      <c r="AP575" s="71" t="str">
        <f>IFERROR(__xludf.DUMMYFUNCTION("""COMPUTED_VALUE""")," PZA")</f>
        <v>PZA</v>
      </c>
      <c r="AQ575" s="71" t="str">
        <f>IFERROR(__xludf.DUMMYFUNCTION("""COMPUTED_VALUE""")," REF")</f>
        <v>REF</v>
      </c>
      <c r="AR575" s="71" t="str">
        <f>IFERROR(__xludf.DUMMYFUNCTION("""COMPUTED_VALUE""")," EMPAQUE DE NYLAMID PARA AMASADORA DE 50 KG. GRADO ALIMENTICIO")</f>
        <v>EMPAQUE DE NYLAMID PARA AMASADORA DE 50 KG. GRADO ALIMENTICIO</v>
      </c>
      <c r="AS575" s="71" t="str">
        <f>IFERROR(__xludf.DUMMYFUNCTION("""COMPUTED_VALUE""")," EMPAQUE NYLAMID P/AMASADORA DE 50 KG GA")</f>
        <v>EMPAQUE NYLAMID P/AMASADORA DE 50 KG GA</v>
      </c>
      <c r="AT575" s="71">
        <f>IFERROR(__xludf.DUMMYFUNCTION("""COMPUTED_VALUE"""),39.0)</f>
        <v>39</v>
      </c>
      <c r="AU575" s="71"/>
      <c r="AV575" s="71"/>
      <c r="AW575" s="71"/>
      <c r="AX575" s="71"/>
      <c r="AY575" s="71">
        <f>IFERROR(__xludf.DUMMYFUNCTION("""COMPUTED_VALUE"""),292.0)</f>
        <v>292</v>
      </c>
      <c r="AZ575" s="71">
        <f>IFERROR(__xludf.DUMMYFUNCTION("""COMPUTED_VALUE"""),315.0)</f>
        <v>315</v>
      </c>
      <c r="BA575" s="71">
        <f>IFERROR(__xludf.DUMMYFUNCTION("""COMPUTED_VALUE"""),560.0)</f>
        <v>560</v>
      </c>
      <c r="BB575" s="71">
        <f>IFERROR(__xludf.DUMMYFUNCTION("""COMPUTED_VALUE"""),560.0)</f>
        <v>560</v>
      </c>
      <c r="BC575" s="71">
        <f>IFERROR(__xludf.DUMMYFUNCTION("""COMPUTED_VALUE"""),380.0)</f>
        <v>380</v>
      </c>
      <c r="BD575" s="71">
        <f>IFERROR(__xludf.DUMMYFUNCTION("""COMPUTED_VALUE"""),399.0)</f>
        <v>399</v>
      </c>
      <c r="BE575" s="71">
        <f>IFERROR(__xludf.DUMMYFUNCTION("""COMPUTED_VALUE"""),63.84)</f>
        <v>63.84</v>
      </c>
      <c r="BF575" s="71">
        <f>IFERROR(__xludf.DUMMYFUNCTION("""COMPUTED_VALUE"""),462.84000000000003)</f>
        <v>462.84</v>
      </c>
      <c r="BG575" s="71">
        <f>IFERROR(__xludf.DUMMYFUNCTION("""COMPUTED_VALUE"""),0.05)</f>
        <v>0.05</v>
      </c>
      <c r="BH575" s="71">
        <f>IFERROR(__xludf.DUMMYFUNCTION("""COMPUTED_VALUE"""),379.04999999999995)</f>
        <v>379.05</v>
      </c>
      <c r="BI575" s="71">
        <f>IFERROR(__xludf.DUMMYFUNCTION("""COMPUTED_VALUE"""),60.647999999999996)</f>
        <v>60.648</v>
      </c>
      <c r="BJ575" s="71">
        <f>IFERROR(__xludf.DUMMYFUNCTION("""COMPUTED_VALUE"""),439.698)</f>
        <v>439.698</v>
      </c>
      <c r="BK575" s="71">
        <f>IFERROR(__xludf.DUMMYFUNCTION("""COMPUTED_VALUE"""),359.1)</f>
        <v>359.1</v>
      </c>
      <c r="BL575" s="71">
        <f>IFERROR(__xludf.DUMMYFUNCTION("""COMPUTED_VALUE"""),57.456)</f>
        <v>57.456</v>
      </c>
      <c r="BM575" s="71">
        <f>IFERROR(__xludf.DUMMYFUNCTION("""COMPUTED_VALUE"""),416.55600000000004)</f>
        <v>416.556</v>
      </c>
      <c r="BN575" s="71">
        <f>IFERROR(__xludf.DUMMYFUNCTION("""COMPUTED_VALUE"""),339.15)</f>
        <v>339.15</v>
      </c>
      <c r="BO575" s="71">
        <f>IFERROR(__xludf.DUMMYFUNCTION("""COMPUTED_VALUE"""),54.263999999999996)</f>
        <v>54.264</v>
      </c>
      <c r="BP575" s="71">
        <f>IFERROR(__xludf.DUMMYFUNCTION("""COMPUTED_VALUE"""),393.414)</f>
        <v>393.414</v>
      </c>
      <c r="BQ575" s="71">
        <f>IFERROR(__xludf.DUMMYFUNCTION("""COMPUTED_VALUE"""),331.16999999999996)</f>
        <v>331.17</v>
      </c>
      <c r="BR575" s="71">
        <f>IFERROR(__xludf.DUMMYFUNCTION("""COMPUTED_VALUE"""),52.987199999999994)</f>
        <v>52.9872</v>
      </c>
      <c r="BS575" s="71">
        <f>IFERROR(__xludf.DUMMYFUNCTION("""COMPUTED_VALUE"""),384.15719999999993)</f>
        <v>384.1572</v>
      </c>
      <c r="BT575" s="71">
        <f>IFERROR(__xludf.DUMMYFUNCTION("""COMPUTED_VALUE"""),319.20000000000005)</f>
        <v>319.2</v>
      </c>
      <c r="BU575" s="71">
        <f>IFERROR(__xludf.DUMMYFUNCTION("""COMPUTED_VALUE"""),51.07200000000001)</f>
        <v>51.072</v>
      </c>
      <c r="BV575" s="71">
        <f>IFERROR(__xludf.DUMMYFUNCTION("""COMPUTED_VALUE"""),370.27200000000005)</f>
        <v>370.272</v>
      </c>
    </row>
    <row r="576">
      <c r="A576" s="53">
        <v>1.0</v>
      </c>
      <c r="B576" s="53"/>
      <c r="C576" s="73" t="s">
        <v>53</v>
      </c>
      <c r="D576" s="53" t="s">
        <v>1412</v>
      </c>
      <c r="E576" s="54" t="s">
        <v>38</v>
      </c>
      <c r="F576" s="54" t="s">
        <v>42</v>
      </c>
      <c r="G576" s="142" t="s">
        <v>1413</v>
      </c>
      <c r="H576" s="142" t="s">
        <v>1413</v>
      </c>
      <c r="I576" s="54">
        <f t="shared" si="24"/>
        <v>27</v>
      </c>
      <c r="J576" s="56"/>
      <c r="K576" s="75"/>
      <c r="L576" s="76"/>
      <c r="M576" s="59"/>
      <c r="N576" s="60"/>
      <c r="O576" s="90"/>
      <c r="P576" s="62">
        <v>125.0</v>
      </c>
      <c r="Q576" s="63">
        <v>125.0</v>
      </c>
      <c r="R576" s="64">
        <v>135.0</v>
      </c>
      <c r="S576" s="111">
        <v>142.0</v>
      </c>
      <c r="T576" s="65">
        <f t="shared" si="2"/>
        <v>22.72</v>
      </c>
      <c r="U576" s="65">
        <f t="shared" si="3"/>
        <v>164.72</v>
      </c>
      <c r="V576" s="66">
        <f t="shared" si="4"/>
        <v>0.05185185185</v>
      </c>
      <c r="W576" s="67">
        <f t="shared" si="5"/>
        <v>134.9</v>
      </c>
      <c r="X576" s="67">
        <f t="shared" si="6"/>
        <v>21.584</v>
      </c>
      <c r="Y576" s="67">
        <f t="shared" si="7"/>
        <v>156.484</v>
      </c>
      <c r="Z576" s="67">
        <f t="shared" si="8"/>
        <v>127.8</v>
      </c>
      <c r="AA576" s="67">
        <f t="shared" si="9"/>
        <v>20.448</v>
      </c>
      <c r="AB576" s="67">
        <f t="shared" si="10"/>
        <v>148.248</v>
      </c>
      <c r="AC576" s="67">
        <f t="shared" si="11"/>
        <v>120.7</v>
      </c>
      <c r="AD576" s="67">
        <f t="shared" si="12"/>
        <v>19.312</v>
      </c>
      <c r="AE576" s="67">
        <f t="shared" si="13"/>
        <v>140.012</v>
      </c>
      <c r="AF576" s="67">
        <f t="shared" si="14"/>
        <v>117.86</v>
      </c>
      <c r="AG576" s="67">
        <f t="shared" si="15"/>
        <v>18.8576</v>
      </c>
      <c r="AH576" s="67">
        <f t="shared" si="16"/>
        <v>136.7176</v>
      </c>
      <c r="AI576" s="67">
        <f t="shared" si="17"/>
        <v>113.6</v>
      </c>
      <c r="AJ576" s="68">
        <f t="shared" si="20"/>
        <v>18.176</v>
      </c>
      <c r="AK576" s="68">
        <f t="shared" si="21"/>
        <v>131.776</v>
      </c>
      <c r="AL576" s="70">
        <f>IFERROR(__xludf.DUMMYFUNCTION("""COMPUTED_VALUE"""),1.0)</f>
        <v>1</v>
      </c>
      <c r="AM576" s="70"/>
      <c r="AN576" s="71" t="str">
        <f>IFERROR(__xludf.DUMMYFUNCTION("""COMPUTED_VALUE""")," C")</f>
        <v>C</v>
      </c>
      <c r="AO576" s="71" t="str">
        <f>IFERROR(__xludf.DUMMYFUNCTION("""COMPUTED_VALUE""")," EM05")</f>
        <v>EM05</v>
      </c>
      <c r="AP576" s="71" t="str">
        <f>IFERROR(__xludf.DUMMYFUNCTION("""COMPUTED_VALUE""")," PZA")</f>
        <v>PZA</v>
      </c>
      <c r="AQ576" s="71" t="str">
        <f>IFERROR(__xludf.DUMMYFUNCTION("""COMPUTED_VALUE""")," REF")</f>
        <v>REF</v>
      </c>
      <c r="AR576" s="71" t="str">
        <f>IFERROR(__xludf.DUMMYFUNCTION("""COMPUTED_VALUE""")," EMPAQUE DE SUELA (BOLSA 100 PIEZAS)")</f>
        <v>EMPAQUE DE SUELA (BOLSA 100 PIEZAS)</v>
      </c>
      <c r="AS576" s="71" t="str">
        <f>IFERROR(__xludf.DUMMYFUNCTION("""COMPUTED_VALUE""")," EMPAQUE SUELA (BOLSA 100 PIEZAS)")</f>
        <v>EMPAQUE SUELA (BOLSA 100 PIEZAS)</v>
      </c>
      <c r="AT576" s="71">
        <f>IFERROR(__xludf.DUMMYFUNCTION("""COMPUTED_VALUE"""),32.0)</f>
        <v>32</v>
      </c>
      <c r="AU576" s="71"/>
      <c r="AV576" s="71"/>
      <c r="AW576" s="71"/>
      <c r="AX576" s="71"/>
      <c r="AY576" s="71">
        <f>IFERROR(__xludf.DUMMYFUNCTION("""COMPUTED_VALUE"""),140.0)</f>
        <v>140</v>
      </c>
      <c r="AZ576" s="71">
        <f>IFERROR(__xludf.DUMMYFUNCTION("""COMPUTED_VALUE"""),151.0)</f>
        <v>151</v>
      </c>
      <c r="BA576" s="71">
        <f>IFERROR(__xludf.DUMMYFUNCTION("""COMPUTED_VALUE"""),163.08)</f>
        <v>163.08</v>
      </c>
      <c r="BB576" s="71">
        <f>IFERROR(__xludf.DUMMYFUNCTION("""COMPUTED_VALUE"""),163.08)</f>
        <v>163.08</v>
      </c>
      <c r="BC576" s="71">
        <f>IFERROR(__xludf.DUMMYFUNCTION("""COMPUTED_VALUE"""),182.0)</f>
        <v>182</v>
      </c>
      <c r="BD576" s="71">
        <f>IFERROR(__xludf.DUMMYFUNCTION("""COMPUTED_VALUE"""),191.0)</f>
        <v>191</v>
      </c>
      <c r="BE576" s="71">
        <f>IFERROR(__xludf.DUMMYFUNCTION("""COMPUTED_VALUE"""),30.560000000000002)</f>
        <v>30.56</v>
      </c>
      <c r="BF576" s="71">
        <f>IFERROR(__xludf.DUMMYFUNCTION("""COMPUTED_VALUE"""),221.56)</f>
        <v>221.56</v>
      </c>
      <c r="BG576" s="71">
        <f>IFERROR(__xludf.DUMMYFUNCTION("""COMPUTED_VALUE"""),0.04945054945054945)</f>
        <v>0.04945054945</v>
      </c>
      <c r="BH576" s="71">
        <f>IFERROR(__xludf.DUMMYFUNCTION("""COMPUTED_VALUE"""),181.45)</f>
        <v>181.45</v>
      </c>
      <c r="BI576" s="71">
        <f>IFERROR(__xludf.DUMMYFUNCTION("""COMPUTED_VALUE"""),29.032)</f>
        <v>29.032</v>
      </c>
      <c r="BJ576" s="71">
        <f>IFERROR(__xludf.DUMMYFUNCTION("""COMPUTED_VALUE"""),210.482)</f>
        <v>210.482</v>
      </c>
      <c r="BK576" s="71">
        <f>IFERROR(__xludf.DUMMYFUNCTION("""COMPUTED_VALUE"""),171.9)</f>
        <v>171.9</v>
      </c>
      <c r="BL576" s="71">
        <f>IFERROR(__xludf.DUMMYFUNCTION("""COMPUTED_VALUE"""),27.504)</f>
        <v>27.504</v>
      </c>
      <c r="BM576" s="71">
        <f>IFERROR(__xludf.DUMMYFUNCTION("""COMPUTED_VALUE"""),199.404)</f>
        <v>199.404</v>
      </c>
      <c r="BN576" s="71">
        <f>IFERROR(__xludf.DUMMYFUNCTION("""COMPUTED_VALUE"""),162.35)</f>
        <v>162.35</v>
      </c>
      <c r="BO576" s="71">
        <f>IFERROR(__xludf.DUMMYFUNCTION("""COMPUTED_VALUE"""),25.976)</f>
        <v>25.976</v>
      </c>
      <c r="BP576" s="71">
        <f>IFERROR(__xludf.DUMMYFUNCTION("""COMPUTED_VALUE"""),188.326)</f>
        <v>188.326</v>
      </c>
      <c r="BQ576" s="71">
        <f>IFERROR(__xludf.DUMMYFUNCTION("""COMPUTED_VALUE"""),158.53)</f>
        <v>158.53</v>
      </c>
      <c r="BR576" s="71">
        <f>IFERROR(__xludf.DUMMYFUNCTION("""COMPUTED_VALUE"""),25.364800000000002)</f>
        <v>25.3648</v>
      </c>
      <c r="BS576" s="71">
        <f>IFERROR(__xludf.DUMMYFUNCTION("""COMPUTED_VALUE"""),183.8948)</f>
        <v>183.8948</v>
      </c>
      <c r="BT576" s="71">
        <f>IFERROR(__xludf.DUMMYFUNCTION("""COMPUTED_VALUE"""),152.8)</f>
        <v>152.8</v>
      </c>
      <c r="BU576" s="71">
        <f>IFERROR(__xludf.DUMMYFUNCTION("""COMPUTED_VALUE"""),24.448000000000004)</f>
        <v>24.448</v>
      </c>
      <c r="BV576" s="71">
        <f>IFERROR(__xludf.DUMMYFUNCTION("""COMPUTED_VALUE"""),177.24800000000002)</f>
        <v>177.248</v>
      </c>
    </row>
    <row r="577">
      <c r="A577" s="53">
        <v>1.0</v>
      </c>
      <c r="B577" s="72"/>
      <c r="C577" s="120" t="s">
        <v>603</v>
      </c>
      <c r="D577" s="74" t="s">
        <v>1414</v>
      </c>
      <c r="E577" s="54" t="s">
        <v>38</v>
      </c>
      <c r="F577" s="54" t="s">
        <v>42</v>
      </c>
      <c r="G577" s="141" t="s">
        <v>1415</v>
      </c>
      <c r="H577" s="141" t="s">
        <v>1415</v>
      </c>
      <c r="I577" s="54">
        <f t="shared" si="24"/>
        <v>29</v>
      </c>
      <c r="J577" s="56"/>
      <c r="K577" s="75"/>
      <c r="L577" s="76"/>
      <c r="M577" s="59"/>
      <c r="N577" s="60">
        <v>213.0</v>
      </c>
      <c r="O577" s="61">
        <v>230.0</v>
      </c>
      <c r="P577" s="62">
        <v>125.0</v>
      </c>
      <c r="Q577" s="63">
        <v>125.0</v>
      </c>
      <c r="R577" s="64">
        <v>156.0</v>
      </c>
      <c r="S577" s="111">
        <v>164.0</v>
      </c>
      <c r="T577" s="65">
        <f t="shared" si="2"/>
        <v>26.24</v>
      </c>
      <c r="U577" s="65">
        <f t="shared" si="3"/>
        <v>190.24</v>
      </c>
      <c r="V577" s="66">
        <f t="shared" si="4"/>
        <v>0.05128205128</v>
      </c>
      <c r="W577" s="67">
        <f t="shared" si="5"/>
        <v>155.8</v>
      </c>
      <c r="X577" s="67">
        <f t="shared" si="6"/>
        <v>24.928</v>
      </c>
      <c r="Y577" s="67">
        <f t="shared" si="7"/>
        <v>180.728</v>
      </c>
      <c r="Z577" s="67">
        <f t="shared" si="8"/>
        <v>147.6</v>
      </c>
      <c r="AA577" s="67">
        <f t="shared" si="9"/>
        <v>23.616</v>
      </c>
      <c r="AB577" s="67">
        <f t="shared" si="10"/>
        <v>171.216</v>
      </c>
      <c r="AC577" s="67">
        <f t="shared" si="11"/>
        <v>139.4</v>
      </c>
      <c r="AD577" s="67">
        <f t="shared" si="12"/>
        <v>22.304</v>
      </c>
      <c r="AE577" s="67">
        <f t="shared" si="13"/>
        <v>161.704</v>
      </c>
      <c r="AF577" s="67">
        <f t="shared" si="14"/>
        <v>136.12</v>
      </c>
      <c r="AG577" s="67">
        <f t="shared" si="15"/>
        <v>21.7792</v>
      </c>
      <c r="AH577" s="67">
        <f t="shared" si="16"/>
        <v>157.8992</v>
      </c>
      <c r="AI577" s="67">
        <f t="shared" si="17"/>
        <v>131.2</v>
      </c>
      <c r="AJ577" s="68">
        <f t="shared" si="20"/>
        <v>20.992</v>
      </c>
      <c r="AK577" s="68">
        <f t="shared" si="21"/>
        <v>152.192</v>
      </c>
      <c r="AL577" s="70">
        <f>IFERROR(__xludf.DUMMYFUNCTION("""COMPUTED_VALUE"""),1.0)</f>
        <v>1</v>
      </c>
      <c r="AM577" s="70"/>
      <c r="AN577" s="71" t="str">
        <f>IFERROR(__xludf.DUMMYFUNCTION("""COMPUTED_VALUE""")," C")</f>
        <v>C</v>
      </c>
      <c r="AO577" s="71" t="str">
        <f>IFERROR(__xludf.DUMMYFUNCTION("""COMPUTED_VALUE""")," EM06")</f>
        <v>EM06</v>
      </c>
      <c r="AP577" s="71" t="str">
        <f>IFERROR(__xludf.DUMMYFUNCTION("""COMPUTED_VALUE""")," PZA")</f>
        <v>PZA</v>
      </c>
      <c r="AQ577" s="71" t="str">
        <f>IFERROR(__xludf.DUMMYFUNCTION("""COMPUTED_VALUE""")," REF")</f>
        <v>REF</v>
      </c>
      <c r="AR577" s="71" t="str">
        <f>IFERROR(__xludf.DUMMYFUNCTION("""COMPUTED_VALUE""")," EMPAQUE DE SUELA (PIEZA)")</f>
        <v>EMPAQUE DE SUELA (PIEZA)</v>
      </c>
      <c r="AS577" s="71" t="str">
        <f>IFERROR(__xludf.DUMMYFUNCTION("""COMPUTED_VALUE""")," EMPAQUE SUELA (PIEZA)")</f>
        <v>EMPAQUE SUELA (PIEZA)</v>
      </c>
      <c r="AT577" s="71">
        <f>IFERROR(__xludf.DUMMYFUNCTION("""COMPUTED_VALUE"""),21.0)</f>
        <v>21</v>
      </c>
      <c r="AU577" s="71"/>
      <c r="AV577" s="71"/>
      <c r="AW577" s="71"/>
      <c r="AX577" s="71"/>
      <c r="AY577" s="71">
        <f>IFERROR(__xludf.DUMMYFUNCTION("""COMPUTED_VALUE"""),4.0)</f>
        <v>4</v>
      </c>
      <c r="AZ577" s="71">
        <f>IFERROR(__xludf.DUMMYFUNCTION("""COMPUTED_VALUE"""),4.0)</f>
        <v>4</v>
      </c>
      <c r="BA577" s="71">
        <f>IFERROR(__xludf.DUMMYFUNCTION("""COMPUTED_VALUE"""),4.32)</f>
        <v>4.32</v>
      </c>
      <c r="BB577" s="71">
        <f>IFERROR(__xludf.DUMMYFUNCTION("""COMPUTED_VALUE"""),4.32)</f>
        <v>4.32</v>
      </c>
      <c r="BC577" s="71">
        <f>IFERROR(__xludf.DUMMYFUNCTION("""COMPUTED_VALUE"""),5.0)</f>
        <v>5</v>
      </c>
      <c r="BD577" s="71">
        <f>IFERROR(__xludf.DUMMYFUNCTION("""COMPUTED_VALUE"""),5.25)</f>
        <v>5.25</v>
      </c>
      <c r="BE577" s="71">
        <f>IFERROR(__xludf.DUMMYFUNCTION("""COMPUTED_VALUE"""),0.84)</f>
        <v>0.84</v>
      </c>
      <c r="BF577" s="71">
        <f>IFERROR(__xludf.DUMMYFUNCTION("""COMPUTED_VALUE"""),6.09)</f>
        <v>6.09</v>
      </c>
      <c r="BG577" s="71">
        <f>IFERROR(__xludf.DUMMYFUNCTION("""COMPUTED_VALUE"""),0.05)</f>
        <v>0.05</v>
      </c>
      <c r="BH577" s="71">
        <f>IFERROR(__xludf.DUMMYFUNCTION("""COMPUTED_VALUE"""),4.9875)</f>
        <v>4.9875</v>
      </c>
      <c r="BI577" s="71">
        <f>IFERROR(__xludf.DUMMYFUNCTION("""COMPUTED_VALUE"""),0.798)</f>
        <v>0.798</v>
      </c>
      <c r="BJ577" s="71">
        <f>IFERROR(__xludf.DUMMYFUNCTION("""COMPUTED_VALUE"""),5.7855)</f>
        <v>5.7855</v>
      </c>
      <c r="BK577" s="71">
        <f>IFERROR(__xludf.DUMMYFUNCTION("""COMPUTED_VALUE"""),4.7250000000000005)</f>
        <v>4.725</v>
      </c>
      <c r="BL577" s="71">
        <f>IFERROR(__xludf.DUMMYFUNCTION("""COMPUTED_VALUE"""),0.7560000000000001)</f>
        <v>0.756</v>
      </c>
      <c r="BM577" s="71">
        <f>IFERROR(__xludf.DUMMYFUNCTION("""COMPUTED_VALUE"""),5.481000000000001)</f>
        <v>5.481</v>
      </c>
      <c r="BN577" s="71">
        <f>IFERROR(__xludf.DUMMYFUNCTION("""COMPUTED_VALUE"""),4.4624999999999995)</f>
        <v>4.4625</v>
      </c>
      <c r="BO577" s="71">
        <f>IFERROR(__xludf.DUMMYFUNCTION("""COMPUTED_VALUE"""),0.714)</f>
        <v>0.714</v>
      </c>
      <c r="BP577" s="71">
        <f>IFERROR(__xludf.DUMMYFUNCTION("""COMPUTED_VALUE"""),5.176499999999999)</f>
        <v>5.1765</v>
      </c>
      <c r="BQ577" s="71">
        <f>IFERROR(__xludf.DUMMYFUNCTION("""COMPUTED_VALUE"""),4.3575)</f>
        <v>4.3575</v>
      </c>
      <c r="BR577" s="71">
        <f>IFERROR(__xludf.DUMMYFUNCTION("""COMPUTED_VALUE"""),0.6972)</f>
        <v>0.6972</v>
      </c>
      <c r="BS577" s="71">
        <f>IFERROR(__xludf.DUMMYFUNCTION("""COMPUTED_VALUE"""),5.0547)</f>
        <v>5.0547</v>
      </c>
      <c r="BT577" s="71">
        <f>IFERROR(__xludf.DUMMYFUNCTION("""COMPUTED_VALUE"""),4.2)</f>
        <v>4.2</v>
      </c>
      <c r="BU577" s="71">
        <f>IFERROR(__xludf.DUMMYFUNCTION("""COMPUTED_VALUE"""),0.672)</f>
        <v>0.672</v>
      </c>
      <c r="BV577" s="71">
        <f>IFERROR(__xludf.DUMMYFUNCTION("""COMPUTED_VALUE"""),4.872)</f>
        <v>4.872</v>
      </c>
    </row>
    <row r="578">
      <c r="A578" s="53">
        <v>1.0</v>
      </c>
      <c r="B578" s="72"/>
      <c r="C578" s="120" t="s">
        <v>603</v>
      </c>
      <c r="D578" s="74" t="s">
        <v>1416</v>
      </c>
      <c r="E578" s="54" t="s">
        <v>38</v>
      </c>
      <c r="F578" s="54" t="s">
        <v>42</v>
      </c>
      <c r="G578" s="141" t="s">
        <v>1417</v>
      </c>
      <c r="H578" s="141" t="s">
        <v>1417</v>
      </c>
      <c r="I578" s="54">
        <f t="shared" si="24"/>
        <v>29</v>
      </c>
      <c r="J578" s="56"/>
      <c r="K578" s="75"/>
      <c r="L578" s="76"/>
      <c r="M578" s="59"/>
      <c r="N578" s="60">
        <v>213.0</v>
      </c>
      <c r="O578" s="61">
        <v>230.0</v>
      </c>
      <c r="P578" s="62">
        <v>125.0</v>
      </c>
      <c r="Q578" s="63">
        <v>125.0</v>
      </c>
      <c r="R578" s="64">
        <v>156.0</v>
      </c>
      <c r="S578" s="111">
        <v>164.0</v>
      </c>
      <c r="T578" s="65">
        <f t="shared" si="2"/>
        <v>26.24</v>
      </c>
      <c r="U578" s="65">
        <f t="shared" si="3"/>
        <v>190.24</v>
      </c>
      <c r="V578" s="66">
        <f t="shared" si="4"/>
        <v>0.05128205128</v>
      </c>
      <c r="W578" s="67">
        <f t="shared" si="5"/>
        <v>155.8</v>
      </c>
      <c r="X578" s="67">
        <f t="shared" si="6"/>
        <v>24.928</v>
      </c>
      <c r="Y578" s="67">
        <f t="shared" si="7"/>
        <v>180.728</v>
      </c>
      <c r="Z578" s="67">
        <f t="shared" si="8"/>
        <v>147.6</v>
      </c>
      <c r="AA578" s="67">
        <f t="shared" si="9"/>
        <v>23.616</v>
      </c>
      <c r="AB578" s="67">
        <f t="shared" si="10"/>
        <v>171.216</v>
      </c>
      <c r="AC578" s="67">
        <f t="shared" si="11"/>
        <v>139.4</v>
      </c>
      <c r="AD578" s="67">
        <f t="shared" si="12"/>
        <v>22.304</v>
      </c>
      <c r="AE578" s="67">
        <f t="shared" si="13"/>
        <v>161.704</v>
      </c>
      <c r="AF578" s="67">
        <f t="shared" si="14"/>
        <v>136.12</v>
      </c>
      <c r="AG578" s="67">
        <f t="shared" si="15"/>
        <v>21.7792</v>
      </c>
      <c r="AH578" s="67">
        <f t="shared" si="16"/>
        <v>157.8992</v>
      </c>
      <c r="AI578" s="67">
        <f t="shared" si="17"/>
        <v>131.2</v>
      </c>
      <c r="AJ578" s="68">
        <f t="shared" si="20"/>
        <v>20.992</v>
      </c>
      <c r="AK578" s="68">
        <f t="shared" si="21"/>
        <v>152.192</v>
      </c>
      <c r="AL578" s="70">
        <f>IFERROR(__xludf.DUMMYFUNCTION("""COMPUTED_VALUE"""),1.0)</f>
        <v>1</v>
      </c>
      <c r="AM578" s="70"/>
      <c r="AN578" s="71" t="str">
        <f>IFERROR(__xludf.DUMMYFUNCTION("""COMPUTED_VALUE""")," C")</f>
        <v>C</v>
      </c>
      <c r="AO578" s="71" t="str">
        <f>IFERROR(__xludf.DUMMYFUNCTION("""COMPUTED_VALUE""")," EM07")</f>
        <v>EM07</v>
      </c>
      <c r="AP578" s="71" t="str">
        <f>IFERROR(__xludf.DUMMYFUNCTION("""COMPUTED_VALUE""")," PZA")</f>
        <v>PZA</v>
      </c>
      <c r="AQ578" s="71" t="str">
        <f>IFERROR(__xludf.DUMMYFUNCTION("""COMPUTED_VALUE""")," REF")</f>
        <v>REF</v>
      </c>
      <c r="AR578" s="71" t="str">
        <f>IFERROR(__xludf.DUMMYFUNCTION("""COMPUTED_VALUE""")," EMPAQUE PARA CONDUCTO SENCILLO MODELO ANTERIOR")</f>
        <v>EMPAQUE PARA CONDUCTO SENCILLO MODELO ANTERIOR</v>
      </c>
      <c r="AS578" s="71" t="str">
        <f>IFERROR(__xludf.DUMMYFUNCTION("""COMPUTED_VALUE""")," EMPAQUE PARA CONDUCTO SENCILLO MA")</f>
        <v>EMPAQUE PARA CONDUCTO SENCILLO MA</v>
      </c>
      <c r="AT578" s="71">
        <f>IFERROR(__xludf.DUMMYFUNCTION("""COMPUTED_VALUE"""),33.0)</f>
        <v>33</v>
      </c>
      <c r="AU578" s="71"/>
      <c r="AV578" s="71"/>
      <c r="AW578" s="71"/>
      <c r="AX578" s="71"/>
      <c r="AY578" s="71">
        <f>IFERROR(__xludf.DUMMYFUNCTION("""COMPUTED_VALUE"""),58.0)</f>
        <v>58</v>
      </c>
      <c r="AZ578" s="71">
        <f>IFERROR(__xludf.DUMMYFUNCTION("""COMPUTED_VALUE"""),62.0)</f>
        <v>62</v>
      </c>
      <c r="BA578" s="71">
        <f>IFERROR(__xludf.DUMMYFUNCTION("""COMPUTED_VALUE"""),66.96000000000001)</f>
        <v>66.96</v>
      </c>
      <c r="BB578" s="71">
        <f>IFERROR(__xludf.DUMMYFUNCTION("""COMPUTED_VALUE"""),66.96000000000001)</f>
        <v>66.96</v>
      </c>
      <c r="BC578" s="71">
        <f>IFERROR(__xludf.DUMMYFUNCTION("""COMPUTED_VALUE"""),75.0)</f>
        <v>75</v>
      </c>
      <c r="BD578" s="71">
        <f>IFERROR(__xludf.DUMMYFUNCTION("""COMPUTED_VALUE"""),79.0)</f>
        <v>79</v>
      </c>
      <c r="BE578" s="71">
        <f>IFERROR(__xludf.DUMMYFUNCTION("""COMPUTED_VALUE"""),12.64)</f>
        <v>12.64</v>
      </c>
      <c r="BF578" s="71">
        <f>IFERROR(__xludf.DUMMYFUNCTION("""COMPUTED_VALUE"""),91.64)</f>
        <v>91.64</v>
      </c>
      <c r="BG578" s="71">
        <f>IFERROR(__xludf.DUMMYFUNCTION("""COMPUTED_VALUE"""),0.05333333333333334)</f>
        <v>0.05333333333</v>
      </c>
      <c r="BH578" s="71">
        <f>IFERROR(__xludf.DUMMYFUNCTION("""COMPUTED_VALUE"""),75.05)</f>
        <v>75.05</v>
      </c>
      <c r="BI578" s="71">
        <f>IFERROR(__xludf.DUMMYFUNCTION("""COMPUTED_VALUE"""),12.008)</f>
        <v>12.008</v>
      </c>
      <c r="BJ578" s="71">
        <f>IFERROR(__xludf.DUMMYFUNCTION("""COMPUTED_VALUE"""),87.05799999999999)</f>
        <v>87.058</v>
      </c>
      <c r="BK578" s="71">
        <f>IFERROR(__xludf.DUMMYFUNCTION("""COMPUTED_VALUE"""),71.10000000000001)</f>
        <v>71.1</v>
      </c>
      <c r="BL578" s="71">
        <f>IFERROR(__xludf.DUMMYFUNCTION("""COMPUTED_VALUE"""),11.376000000000001)</f>
        <v>11.376</v>
      </c>
      <c r="BM578" s="71">
        <f>IFERROR(__xludf.DUMMYFUNCTION("""COMPUTED_VALUE"""),82.47600000000001)</f>
        <v>82.476</v>
      </c>
      <c r="BN578" s="71">
        <f>IFERROR(__xludf.DUMMYFUNCTION("""COMPUTED_VALUE"""),67.14999999999999)</f>
        <v>67.15</v>
      </c>
      <c r="BO578" s="71">
        <f>IFERROR(__xludf.DUMMYFUNCTION("""COMPUTED_VALUE"""),10.743999999999998)</f>
        <v>10.744</v>
      </c>
      <c r="BP578" s="71">
        <f>IFERROR(__xludf.DUMMYFUNCTION("""COMPUTED_VALUE"""),77.89399999999999)</f>
        <v>77.894</v>
      </c>
      <c r="BQ578" s="71">
        <f>IFERROR(__xludf.DUMMYFUNCTION("""COMPUTED_VALUE"""),65.57)</f>
        <v>65.57</v>
      </c>
      <c r="BR578" s="71">
        <f>IFERROR(__xludf.DUMMYFUNCTION("""COMPUTED_VALUE"""),10.4912)</f>
        <v>10.4912</v>
      </c>
      <c r="BS578" s="71">
        <f>IFERROR(__xludf.DUMMYFUNCTION("""COMPUTED_VALUE"""),76.06119999999999)</f>
        <v>76.0612</v>
      </c>
      <c r="BT578" s="71">
        <f>IFERROR(__xludf.DUMMYFUNCTION("""COMPUTED_VALUE"""),63.2)</f>
        <v>63.2</v>
      </c>
      <c r="BU578" s="71">
        <f>IFERROR(__xludf.DUMMYFUNCTION("""COMPUTED_VALUE"""),10.112)</f>
        <v>10.112</v>
      </c>
      <c r="BV578" s="71">
        <f>IFERROR(__xludf.DUMMYFUNCTION("""COMPUTED_VALUE"""),73.312)</f>
        <v>73.312</v>
      </c>
    </row>
    <row r="579">
      <c r="A579" s="53">
        <v>1.0</v>
      </c>
      <c r="B579" s="72"/>
      <c r="C579" s="120" t="s">
        <v>603</v>
      </c>
      <c r="D579" s="74" t="s">
        <v>1418</v>
      </c>
      <c r="E579" s="54" t="s">
        <v>38</v>
      </c>
      <c r="F579" s="54" t="s">
        <v>42</v>
      </c>
      <c r="G579" s="141" t="s">
        <v>1419</v>
      </c>
      <c r="H579" s="141" t="s">
        <v>1419</v>
      </c>
      <c r="I579" s="54">
        <f t="shared" si="24"/>
        <v>23</v>
      </c>
      <c r="J579" s="56"/>
      <c r="K579" s="75"/>
      <c r="L579" s="76"/>
      <c r="M579" s="59"/>
      <c r="N579" s="60">
        <v>213.0</v>
      </c>
      <c r="O579" s="61">
        <v>230.0</v>
      </c>
      <c r="P579" s="62">
        <v>125.0</v>
      </c>
      <c r="Q579" s="63">
        <v>125.0</v>
      </c>
      <c r="R579" s="64">
        <v>172.0</v>
      </c>
      <c r="S579" s="111">
        <v>181.0</v>
      </c>
      <c r="T579" s="65">
        <f t="shared" si="2"/>
        <v>28.96</v>
      </c>
      <c r="U579" s="65">
        <f t="shared" si="3"/>
        <v>209.96</v>
      </c>
      <c r="V579" s="66">
        <f t="shared" si="4"/>
        <v>0.0523255814</v>
      </c>
      <c r="W579" s="67">
        <f t="shared" si="5"/>
        <v>171.95</v>
      </c>
      <c r="X579" s="67">
        <f t="shared" si="6"/>
        <v>27.512</v>
      </c>
      <c r="Y579" s="67">
        <f t="shared" si="7"/>
        <v>199.462</v>
      </c>
      <c r="Z579" s="67">
        <f t="shared" si="8"/>
        <v>162.9</v>
      </c>
      <c r="AA579" s="67">
        <f t="shared" si="9"/>
        <v>26.064</v>
      </c>
      <c r="AB579" s="67">
        <f t="shared" si="10"/>
        <v>188.964</v>
      </c>
      <c r="AC579" s="67">
        <f t="shared" si="11"/>
        <v>153.85</v>
      </c>
      <c r="AD579" s="67">
        <f t="shared" si="12"/>
        <v>24.616</v>
      </c>
      <c r="AE579" s="67">
        <f t="shared" si="13"/>
        <v>178.466</v>
      </c>
      <c r="AF579" s="67">
        <f t="shared" si="14"/>
        <v>150.23</v>
      </c>
      <c r="AG579" s="67">
        <f t="shared" si="15"/>
        <v>24.0368</v>
      </c>
      <c r="AH579" s="67">
        <f t="shared" si="16"/>
        <v>174.2668</v>
      </c>
      <c r="AI579" s="67">
        <f t="shared" si="17"/>
        <v>144.8</v>
      </c>
      <c r="AJ579" s="68">
        <f t="shared" si="20"/>
        <v>23.168</v>
      </c>
      <c r="AK579" s="68">
        <f t="shared" si="21"/>
        <v>167.968</v>
      </c>
      <c r="AL579" s="70">
        <f>IFERROR(__xludf.DUMMYFUNCTION("""COMPUTED_VALUE"""),1.0)</f>
        <v>1</v>
      </c>
      <c r="AM579" s="70"/>
      <c r="AN579" s="71" t="str">
        <f>IFERROR(__xludf.DUMMYFUNCTION("""COMPUTED_VALUE""")," C")</f>
        <v>C</v>
      </c>
      <c r="AO579" s="71" t="str">
        <f>IFERROR(__xludf.DUMMYFUNCTION("""COMPUTED_VALUE""")," EM08")</f>
        <v>EM08</v>
      </c>
      <c r="AP579" s="71" t="str">
        <f>IFERROR(__xludf.DUMMYFUNCTION("""COMPUTED_VALUE""")," PZA")</f>
        <v>PZA</v>
      </c>
      <c r="AQ579" s="71" t="str">
        <f>IFERROR(__xludf.DUMMYFUNCTION("""COMPUTED_VALUE""")," REF")</f>
        <v>REF</v>
      </c>
      <c r="AR579" s="71" t="str">
        <f>IFERROR(__xludf.DUMMYFUNCTION("""COMPUTED_VALUE""")," EMPAQUE PARA CONDUCTO SENCILLO Y DÚPLEX TV-50 (B.C.)")</f>
        <v>EMPAQUE PARA CONDUCTO SENCILLO Y DÚPLEX TV-50 (B.C.)</v>
      </c>
      <c r="AS579" s="71" t="str">
        <f>IFERROR(__xludf.DUMMYFUNCTION("""COMPUTED_VALUE""")," EMPAQUE PARA CONDUCTO SENC TV BC DPLX")</f>
        <v>EMPAQUE PARA CONDUCTO SENC TV BC DPLX</v>
      </c>
      <c r="AT579" s="71">
        <f>IFERROR(__xludf.DUMMYFUNCTION("""COMPUTED_VALUE"""),37.0)</f>
        <v>37</v>
      </c>
      <c r="AU579" s="71"/>
      <c r="AV579" s="71"/>
      <c r="AW579" s="71"/>
      <c r="AX579" s="71"/>
      <c r="AY579" s="71">
        <f>IFERROR(__xludf.DUMMYFUNCTION("""COMPUTED_VALUE"""),58.0)</f>
        <v>58</v>
      </c>
      <c r="AZ579" s="71">
        <f>IFERROR(__xludf.DUMMYFUNCTION("""COMPUTED_VALUE"""),62.0)</f>
        <v>62</v>
      </c>
      <c r="BA579" s="71">
        <f>IFERROR(__xludf.DUMMYFUNCTION("""COMPUTED_VALUE"""),66.96000000000001)</f>
        <v>66.96</v>
      </c>
      <c r="BB579" s="71">
        <f>IFERROR(__xludf.DUMMYFUNCTION("""COMPUTED_VALUE"""),66.96000000000001)</f>
        <v>66.96</v>
      </c>
      <c r="BC579" s="71">
        <f>IFERROR(__xludf.DUMMYFUNCTION("""COMPUTED_VALUE"""),75.0)</f>
        <v>75</v>
      </c>
      <c r="BD579" s="71">
        <f>IFERROR(__xludf.DUMMYFUNCTION("""COMPUTED_VALUE"""),79.0)</f>
        <v>79</v>
      </c>
      <c r="BE579" s="71">
        <f>IFERROR(__xludf.DUMMYFUNCTION("""COMPUTED_VALUE"""),12.64)</f>
        <v>12.64</v>
      </c>
      <c r="BF579" s="71">
        <f>IFERROR(__xludf.DUMMYFUNCTION("""COMPUTED_VALUE"""),91.64)</f>
        <v>91.64</v>
      </c>
      <c r="BG579" s="71">
        <f>IFERROR(__xludf.DUMMYFUNCTION("""COMPUTED_VALUE"""),0.05333333333333334)</f>
        <v>0.05333333333</v>
      </c>
      <c r="BH579" s="71">
        <f>IFERROR(__xludf.DUMMYFUNCTION("""COMPUTED_VALUE"""),75.05)</f>
        <v>75.05</v>
      </c>
      <c r="BI579" s="71">
        <f>IFERROR(__xludf.DUMMYFUNCTION("""COMPUTED_VALUE"""),12.008)</f>
        <v>12.008</v>
      </c>
      <c r="BJ579" s="71">
        <f>IFERROR(__xludf.DUMMYFUNCTION("""COMPUTED_VALUE"""),87.05799999999999)</f>
        <v>87.058</v>
      </c>
      <c r="BK579" s="71">
        <f>IFERROR(__xludf.DUMMYFUNCTION("""COMPUTED_VALUE"""),71.10000000000001)</f>
        <v>71.1</v>
      </c>
      <c r="BL579" s="71">
        <f>IFERROR(__xludf.DUMMYFUNCTION("""COMPUTED_VALUE"""),11.376000000000001)</f>
        <v>11.376</v>
      </c>
      <c r="BM579" s="71">
        <f>IFERROR(__xludf.DUMMYFUNCTION("""COMPUTED_VALUE"""),82.47600000000001)</f>
        <v>82.476</v>
      </c>
      <c r="BN579" s="71">
        <f>IFERROR(__xludf.DUMMYFUNCTION("""COMPUTED_VALUE"""),67.14999999999999)</f>
        <v>67.15</v>
      </c>
      <c r="BO579" s="71">
        <f>IFERROR(__xludf.DUMMYFUNCTION("""COMPUTED_VALUE"""),10.743999999999998)</f>
        <v>10.744</v>
      </c>
      <c r="BP579" s="71">
        <f>IFERROR(__xludf.DUMMYFUNCTION("""COMPUTED_VALUE"""),77.89399999999999)</f>
        <v>77.894</v>
      </c>
      <c r="BQ579" s="71">
        <f>IFERROR(__xludf.DUMMYFUNCTION("""COMPUTED_VALUE"""),65.57)</f>
        <v>65.57</v>
      </c>
      <c r="BR579" s="71">
        <f>IFERROR(__xludf.DUMMYFUNCTION("""COMPUTED_VALUE"""),10.4912)</f>
        <v>10.4912</v>
      </c>
      <c r="BS579" s="71">
        <f>IFERROR(__xludf.DUMMYFUNCTION("""COMPUTED_VALUE"""),76.06119999999999)</f>
        <v>76.0612</v>
      </c>
      <c r="BT579" s="71">
        <f>IFERROR(__xludf.DUMMYFUNCTION("""COMPUTED_VALUE"""),63.2)</f>
        <v>63.2</v>
      </c>
      <c r="BU579" s="71">
        <f>IFERROR(__xludf.DUMMYFUNCTION("""COMPUTED_VALUE"""),10.112)</f>
        <v>10.112</v>
      </c>
      <c r="BV579" s="71">
        <f>IFERROR(__xludf.DUMMYFUNCTION("""COMPUTED_VALUE"""),73.312)</f>
        <v>73.312</v>
      </c>
    </row>
    <row r="580">
      <c r="A580" s="53">
        <v>1.0</v>
      </c>
      <c r="B580" s="72"/>
      <c r="C580" s="120" t="s">
        <v>603</v>
      </c>
      <c r="D580" s="74" t="s">
        <v>1420</v>
      </c>
      <c r="E580" s="54" t="s">
        <v>38</v>
      </c>
      <c r="F580" s="54" t="s">
        <v>42</v>
      </c>
      <c r="G580" s="141" t="s">
        <v>1421</v>
      </c>
      <c r="H580" s="141" t="s">
        <v>1421</v>
      </c>
      <c r="I580" s="54">
        <f t="shared" si="24"/>
        <v>35</v>
      </c>
      <c r="J580" s="56"/>
      <c r="K580" s="75"/>
      <c r="L580" s="76"/>
      <c r="M580" s="59"/>
      <c r="N580" s="60">
        <v>292.0</v>
      </c>
      <c r="O580" s="61">
        <v>315.0</v>
      </c>
      <c r="P580" s="62">
        <v>200.0</v>
      </c>
      <c r="Q580" s="63">
        <v>200.0</v>
      </c>
      <c r="R580" s="64">
        <v>390.0</v>
      </c>
      <c r="S580" s="111">
        <v>410.0</v>
      </c>
      <c r="T580" s="65">
        <f t="shared" si="2"/>
        <v>65.6</v>
      </c>
      <c r="U580" s="65">
        <f t="shared" si="3"/>
        <v>475.6</v>
      </c>
      <c r="V580" s="66">
        <f t="shared" si="4"/>
        <v>0.05128205128</v>
      </c>
      <c r="W580" s="67">
        <f t="shared" si="5"/>
        <v>389.5</v>
      </c>
      <c r="X580" s="67">
        <f t="shared" si="6"/>
        <v>62.32</v>
      </c>
      <c r="Y580" s="67">
        <f t="shared" si="7"/>
        <v>451.82</v>
      </c>
      <c r="Z580" s="67">
        <f t="shared" si="8"/>
        <v>369</v>
      </c>
      <c r="AA580" s="67">
        <f t="shared" si="9"/>
        <v>59.04</v>
      </c>
      <c r="AB580" s="67">
        <f t="shared" si="10"/>
        <v>428.04</v>
      </c>
      <c r="AC580" s="67">
        <f t="shared" si="11"/>
        <v>348.5</v>
      </c>
      <c r="AD580" s="67">
        <f t="shared" si="12"/>
        <v>55.76</v>
      </c>
      <c r="AE580" s="67">
        <f t="shared" si="13"/>
        <v>404.26</v>
      </c>
      <c r="AF580" s="67">
        <f t="shared" si="14"/>
        <v>340.3</v>
      </c>
      <c r="AG580" s="67">
        <f t="shared" si="15"/>
        <v>54.448</v>
      </c>
      <c r="AH580" s="67">
        <f t="shared" si="16"/>
        <v>394.748</v>
      </c>
      <c r="AI580" s="67">
        <f t="shared" si="17"/>
        <v>328</v>
      </c>
      <c r="AJ580" s="68">
        <f t="shared" si="20"/>
        <v>52.48</v>
      </c>
      <c r="AK580" s="68">
        <f t="shared" si="21"/>
        <v>380.48</v>
      </c>
      <c r="AL580" s="70">
        <f>IFERROR(__xludf.DUMMYFUNCTION("""COMPUTED_VALUE"""),1.0)</f>
        <v>1</v>
      </c>
      <c r="AM580" s="70"/>
      <c r="AN580" s="71" t="str">
        <f>IFERROR(__xludf.DUMMYFUNCTION("""COMPUTED_VALUE""")," P")</f>
        <v>P</v>
      </c>
      <c r="AO580" s="71" t="str">
        <f>IFERROR(__xludf.DUMMYFUNCTION("""COMPUTED_VALUE""")," EN39")</f>
        <v>EN39</v>
      </c>
      <c r="AP580" s="71" t="str">
        <f>IFERROR(__xludf.DUMMYFUNCTION("""COMPUTED_VALUE""")," PZA")</f>
        <v>PZA</v>
      </c>
      <c r="AQ580" s="71" t="str">
        <f>IFERROR(__xludf.DUMMYFUNCTION("""COMPUTED_VALUE""")," REF")</f>
        <v>REF</v>
      </c>
      <c r="AR580" s="71" t="str">
        <f>IFERROR(__xludf.DUMMYFUNCTION("""COMPUTED_VALUE""")," ENGRANE DE 13 DTS P5.7")</f>
        <v>ENGRANE DE 13 DTS P5.7</v>
      </c>
      <c r="AS580" s="71" t="str">
        <f>IFERROR(__xludf.DUMMYFUNCTION("""COMPUTED_VALUE""")," ENGRANE DE 13 DTS P5.7")</f>
        <v>ENGRANE DE 13 DTS P5.7</v>
      </c>
      <c r="AT580" s="71">
        <f>IFERROR(__xludf.DUMMYFUNCTION("""COMPUTED_VALUE"""),22.0)</f>
        <v>22</v>
      </c>
      <c r="AU580" s="71"/>
      <c r="AV580" s="71"/>
      <c r="AW580" s="71"/>
      <c r="AX580" s="71"/>
      <c r="AY580" s="71"/>
      <c r="AZ580" s="71"/>
      <c r="BA580" s="71"/>
      <c r="BB580" s="71"/>
      <c r="BC580" s="71">
        <f>IFERROR(__xludf.DUMMYFUNCTION("""COMPUTED_VALUE"""),350.0)</f>
        <v>350</v>
      </c>
      <c r="BD580" s="71">
        <f>IFERROR(__xludf.DUMMYFUNCTION("""COMPUTED_VALUE"""),368.0)</f>
        <v>368</v>
      </c>
      <c r="BE580" s="71">
        <f>IFERROR(__xludf.DUMMYFUNCTION("""COMPUTED_VALUE"""),58.88)</f>
        <v>58.88</v>
      </c>
      <c r="BF580" s="71">
        <f>IFERROR(__xludf.DUMMYFUNCTION("""COMPUTED_VALUE"""),426.88)</f>
        <v>426.88</v>
      </c>
      <c r="BG580" s="71">
        <f>IFERROR(__xludf.DUMMYFUNCTION("""COMPUTED_VALUE"""),0.05142857142857143)</f>
        <v>0.05142857143</v>
      </c>
      <c r="BH580" s="71">
        <f>IFERROR(__xludf.DUMMYFUNCTION("""COMPUTED_VALUE"""),349.59999999999997)</f>
        <v>349.6</v>
      </c>
      <c r="BI580" s="71">
        <f>IFERROR(__xludf.DUMMYFUNCTION("""COMPUTED_VALUE"""),55.93599999999999)</f>
        <v>55.936</v>
      </c>
      <c r="BJ580" s="71">
        <f>IFERROR(__xludf.DUMMYFUNCTION("""COMPUTED_VALUE"""),405.53599999999994)</f>
        <v>405.536</v>
      </c>
      <c r="BK580" s="71">
        <f>IFERROR(__xludf.DUMMYFUNCTION("""COMPUTED_VALUE"""),331.2)</f>
        <v>331.2</v>
      </c>
      <c r="BL580" s="71">
        <f>IFERROR(__xludf.DUMMYFUNCTION("""COMPUTED_VALUE"""),52.992)</f>
        <v>52.992</v>
      </c>
      <c r="BM580" s="71">
        <f>IFERROR(__xludf.DUMMYFUNCTION("""COMPUTED_VALUE"""),384.192)</f>
        <v>384.192</v>
      </c>
      <c r="BN580" s="71">
        <f>IFERROR(__xludf.DUMMYFUNCTION("""COMPUTED_VALUE"""),312.8)</f>
        <v>312.8</v>
      </c>
      <c r="BO580" s="71">
        <f>IFERROR(__xludf.DUMMYFUNCTION("""COMPUTED_VALUE"""),50.048)</f>
        <v>50.048</v>
      </c>
      <c r="BP580" s="71">
        <f>IFERROR(__xludf.DUMMYFUNCTION("""COMPUTED_VALUE"""),362.848)</f>
        <v>362.848</v>
      </c>
      <c r="BQ580" s="71">
        <f>IFERROR(__xludf.DUMMYFUNCTION("""COMPUTED_VALUE"""),305.44)</f>
        <v>305.44</v>
      </c>
      <c r="BR580" s="71">
        <f>IFERROR(__xludf.DUMMYFUNCTION("""COMPUTED_VALUE"""),48.870400000000004)</f>
        <v>48.8704</v>
      </c>
      <c r="BS580" s="71">
        <f>IFERROR(__xludf.DUMMYFUNCTION("""COMPUTED_VALUE"""),354.3104)</f>
        <v>354.3104</v>
      </c>
      <c r="BT580" s="71">
        <f>IFERROR(__xludf.DUMMYFUNCTION("""COMPUTED_VALUE"""),294.40000000000003)</f>
        <v>294.4</v>
      </c>
      <c r="BU580" s="71"/>
      <c r="BV580" s="71"/>
    </row>
    <row r="581">
      <c r="A581" s="53">
        <v>1.0</v>
      </c>
      <c r="B581" s="72"/>
      <c r="C581" s="120" t="s">
        <v>603</v>
      </c>
      <c r="D581" s="74" t="s">
        <v>1422</v>
      </c>
      <c r="E581" s="54" t="s">
        <v>38</v>
      </c>
      <c r="F581" s="54" t="s">
        <v>42</v>
      </c>
      <c r="G581" s="141" t="s">
        <v>1423</v>
      </c>
      <c r="H581" s="141" t="s">
        <v>1423</v>
      </c>
      <c r="I581" s="54">
        <f t="shared" si="24"/>
        <v>31</v>
      </c>
      <c r="J581" s="56"/>
      <c r="K581" s="75"/>
      <c r="L581" s="76"/>
      <c r="M581" s="59"/>
      <c r="N581" s="60">
        <v>292.0</v>
      </c>
      <c r="O581" s="61">
        <v>315.0</v>
      </c>
      <c r="P581" s="62">
        <v>200.0</v>
      </c>
      <c r="Q581" s="63">
        <v>200.0</v>
      </c>
      <c r="R581" s="64">
        <v>390.0</v>
      </c>
      <c r="S581" s="111">
        <v>410.0</v>
      </c>
      <c r="T581" s="65">
        <f t="shared" si="2"/>
        <v>65.6</v>
      </c>
      <c r="U581" s="65">
        <f t="shared" si="3"/>
        <v>475.6</v>
      </c>
      <c r="V581" s="66">
        <f t="shared" si="4"/>
        <v>0.05128205128</v>
      </c>
      <c r="W581" s="67">
        <f t="shared" si="5"/>
        <v>389.5</v>
      </c>
      <c r="X581" s="67">
        <f t="shared" si="6"/>
        <v>62.32</v>
      </c>
      <c r="Y581" s="67">
        <f t="shared" si="7"/>
        <v>451.82</v>
      </c>
      <c r="Z581" s="67">
        <f t="shared" si="8"/>
        <v>369</v>
      </c>
      <c r="AA581" s="67">
        <f t="shared" si="9"/>
        <v>59.04</v>
      </c>
      <c r="AB581" s="67">
        <f t="shared" si="10"/>
        <v>428.04</v>
      </c>
      <c r="AC581" s="67">
        <f t="shared" si="11"/>
        <v>348.5</v>
      </c>
      <c r="AD581" s="67">
        <f t="shared" si="12"/>
        <v>55.76</v>
      </c>
      <c r="AE581" s="67">
        <f t="shared" si="13"/>
        <v>404.26</v>
      </c>
      <c r="AF581" s="67">
        <f t="shared" si="14"/>
        <v>340.3</v>
      </c>
      <c r="AG581" s="67">
        <f t="shared" si="15"/>
        <v>54.448</v>
      </c>
      <c r="AH581" s="67">
        <f t="shared" si="16"/>
        <v>394.748</v>
      </c>
      <c r="AI581" s="67">
        <f t="shared" si="17"/>
        <v>328</v>
      </c>
      <c r="AJ581" s="68">
        <f t="shared" si="20"/>
        <v>52.48</v>
      </c>
      <c r="AK581" s="68">
        <f t="shared" si="21"/>
        <v>380.48</v>
      </c>
      <c r="AL581" s="70">
        <f>IFERROR(__xludf.DUMMYFUNCTION("""COMPUTED_VALUE"""),1.0)</f>
        <v>1</v>
      </c>
      <c r="AM581" s="70"/>
      <c r="AN581" s="71" t="str">
        <f>IFERROR(__xludf.DUMMYFUNCTION("""COMPUTED_VALUE""")," P")</f>
        <v>P</v>
      </c>
      <c r="AO581" s="71" t="str">
        <f>IFERROR(__xludf.DUMMYFUNCTION("""COMPUTED_VALUE""")," EN01")</f>
        <v>EN01</v>
      </c>
      <c r="AP581" s="71" t="str">
        <f>IFERROR(__xludf.DUMMYFUNCTION("""COMPUTED_VALUE""")," PZA")</f>
        <v>PZA</v>
      </c>
      <c r="AQ581" s="71" t="str">
        <f>IFERROR(__xludf.DUMMYFUNCTION("""COMPUTED_VALUE""")," REF")</f>
        <v>REF</v>
      </c>
      <c r="AR581" s="71" t="str">
        <f>IFERROR(__xludf.DUMMYFUNCTION("""COMPUTED_VALUE""")," ENGRANE DE 16 DTS PARA VÁLVULA CARBURADORA")</f>
        <v>ENGRANE DE 16 DTS PARA VÁLVULA CARBURADORA</v>
      </c>
      <c r="AS581" s="71" t="str">
        <f>IFERROR(__xludf.DUMMYFUNCTION("""COMPUTED_VALUE""")," ENGRANE 16 DTES P/VALVULA CARBURADORA")</f>
        <v>ENGRANE 16 DTES P/VALVULA CARBURADORA</v>
      </c>
      <c r="AT581" s="71">
        <f>IFERROR(__xludf.DUMMYFUNCTION("""COMPUTED_VALUE"""),37.0)</f>
        <v>37</v>
      </c>
      <c r="AU581" s="71"/>
      <c r="AV581" s="71"/>
      <c r="AW581" s="71"/>
      <c r="AX581" s="71"/>
      <c r="AY581" s="71">
        <f>IFERROR(__xludf.DUMMYFUNCTION("""COMPUTED_VALUE"""),49.0)</f>
        <v>49</v>
      </c>
      <c r="AZ581" s="71">
        <f>IFERROR(__xludf.DUMMYFUNCTION("""COMPUTED_VALUE"""),52.0)</f>
        <v>52</v>
      </c>
      <c r="BA581" s="71">
        <f>IFERROR(__xludf.DUMMYFUNCTION("""COMPUTED_VALUE"""),56.160000000000004)</f>
        <v>56.16</v>
      </c>
      <c r="BB581" s="71">
        <f>IFERROR(__xludf.DUMMYFUNCTION("""COMPUTED_VALUE"""),56.160000000000004)</f>
        <v>56.16</v>
      </c>
      <c r="BC581" s="71">
        <f>IFERROR(__xludf.DUMMYFUNCTION("""COMPUTED_VALUE"""),66.0)</f>
        <v>66</v>
      </c>
      <c r="BD581" s="71">
        <f>IFERROR(__xludf.DUMMYFUNCTION("""COMPUTED_VALUE"""),69.0)</f>
        <v>69</v>
      </c>
      <c r="BE581" s="71">
        <f>IFERROR(__xludf.DUMMYFUNCTION("""COMPUTED_VALUE"""),11.040000000000001)</f>
        <v>11.04</v>
      </c>
      <c r="BF581" s="71">
        <f>IFERROR(__xludf.DUMMYFUNCTION("""COMPUTED_VALUE"""),80.04)</f>
        <v>80.04</v>
      </c>
      <c r="BG581" s="71">
        <f>IFERROR(__xludf.DUMMYFUNCTION("""COMPUTED_VALUE"""),0.045454545454545456)</f>
        <v>0.04545454545</v>
      </c>
      <c r="BH581" s="71">
        <f>IFERROR(__xludf.DUMMYFUNCTION("""COMPUTED_VALUE"""),65.55)</f>
        <v>65.55</v>
      </c>
      <c r="BI581" s="71">
        <f>IFERROR(__xludf.DUMMYFUNCTION("""COMPUTED_VALUE"""),10.488)</f>
        <v>10.488</v>
      </c>
      <c r="BJ581" s="71">
        <f>IFERROR(__xludf.DUMMYFUNCTION("""COMPUTED_VALUE"""),76.038)</f>
        <v>76.038</v>
      </c>
      <c r="BK581" s="71">
        <f>IFERROR(__xludf.DUMMYFUNCTION("""COMPUTED_VALUE"""),62.1)</f>
        <v>62.1</v>
      </c>
      <c r="BL581" s="71">
        <f>IFERROR(__xludf.DUMMYFUNCTION("""COMPUTED_VALUE"""),9.936)</f>
        <v>9.936</v>
      </c>
      <c r="BM581" s="71">
        <f>IFERROR(__xludf.DUMMYFUNCTION("""COMPUTED_VALUE"""),72.036)</f>
        <v>72.036</v>
      </c>
      <c r="BN581" s="71">
        <f>IFERROR(__xludf.DUMMYFUNCTION("""COMPUTED_VALUE"""),58.65)</f>
        <v>58.65</v>
      </c>
      <c r="BO581" s="71">
        <f>IFERROR(__xludf.DUMMYFUNCTION("""COMPUTED_VALUE"""),9.384)</f>
        <v>9.384</v>
      </c>
      <c r="BP581" s="71">
        <f>IFERROR(__xludf.DUMMYFUNCTION("""COMPUTED_VALUE"""),68.03399999999999)</f>
        <v>68.034</v>
      </c>
      <c r="BQ581" s="71">
        <f>IFERROR(__xludf.DUMMYFUNCTION("""COMPUTED_VALUE"""),57.269999999999996)</f>
        <v>57.27</v>
      </c>
      <c r="BR581" s="71">
        <f>IFERROR(__xludf.DUMMYFUNCTION("""COMPUTED_VALUE"""),9.1632)</f>
        <v>9.1632</v>
      </c>
      <c r="BS581" s="71">
        <f>IFERROR(__xludf.DUMMYFUNCTION("""COMPUTED_VALUE"""),66.4332)</f>
        <v>66.4332</v>
      </c>
      <c r="BT581" s="71">
        <f>IFERROR(__xludf.DUMMYFUNCTION("""COMPUTED_VALUE"""),55.2)</f>
        <v>55.2</v>
      </c>
      <c r="BU581" s="71">
        <f>IFERROR(__xludf.DUMMYFUNCTION("""COMPUTED_VALUE"""),8.832)</f>
        <v>8.832</v>
      </c>
      <c r="BV581" s="71">
        <f>IFERROR(__xludf.DUMMYFUNCTION("""COMPUTED_VALUE"""),64.03200000000001)</f>
        <v>64.032</v>
      </c>
    </row>
    <row r="582">
      <c r="A582" s="53">
        <v>1.0</v>
      </c>
      <c r="B582" s="72"/>
      <c r="C582" s="120" t="s">
        <v>603</v>
      </c>
      <c r="D582" s="74" t="s">
        <v>1424</v>
      </c>
      <c r="E582" s="54" t="s">
        <v>38</v>
      </c>
      <c r="F582" s="54" t="s">
        <v>42</v>
      </c>
      <c r="G582" s="141" t="s">
        <v>1425</v>
      </c>
      <c r="H582" s="141" t="s">
        <v>1425</v>
      </c>
      <c r="I582" s="54">
        <f t="shared" si="24"/>
        <v>29</v>
      </c>
      <c r="J582" s="56"/>
      <c r="K582" s="75"/>
      <c r="L582" s="76"/>
      <c r="M582" s="59"/>
      <c r="N582" s="60">
        <v>258.0</v>
      </c>
      <c r="O582" s="61">
        <v>278.0</v>
      </c>
      <c r="P582" s="62">
        <v>145.0</v>
      </c>
      <c r="Q582" s="63">
        <v>145.0</v>
      </c>
      <c r="R582" s="64">
        <v>184.0</v>
      </c>
      <c r="S582" s="111">
        <v>193.0</v>
      </c>
      <c r="T582" s="65">
        <f t="shared" si="2"/>
        <v>30.88</v>
      </c>
      <c r="U582" s="65">
        <f t="shared" si="3"/>
        <v>223.88</v>
      </c>
      <c r="V582" s="66">
        <f t="shared" si="4"/>
        <v>0.04891304348</v>
      </c>
      <c r="W582" s="67">
        <f t="shared" si="5"/>
        <v>183.35</v>
      </c>
      <c r="X582" s="67">
        <f t="shared" si="6"/>
        <v>29.336</v>
      </c>
      <c r="Y582" s="67">
        <f t="shared" si="7"/>
        <v>212.686</v>
      </c>
      <c r="Z582" s="67">
        <f t="shared" si="8"/>
        <v>173.7</v>
      </c>
      <c r="AA582" s="67">
        <f t="shared" si="9"/>
        <v>27.792</v>
      </c>
      <c r="AB582" s="67">
        <f t="shared" si="10"/>
        <v>201.492</v>
      </c>
      <c r="AC582" s="67">
        <f t="shared" si="11"/>
        <v>164.05</v>
      </c>
      <c r="AD582" s="67">
        <f t="shared" si="12"/>
        <v>26.248</v>
      </c>
      <c r="AE582" s="67">
        <f t="shared" si="13"/>
        <v>190.298</v>
      </c>
      <c r="AF582" s="67">
        <f t="shared" si="14"/>
        <v>160.19</v>
      </c>
      <c r="AG582" s="67">
        <f t="shared" si="15"/>
        <v>25.6304</v>
      </c>
      <c r="AH582" s="67">
        <f t="shared" si="16"/>
        <v>185.8204</v>
      </c>
      <c r="AI582" s="67">
        <f t="shared" si="17"/>
        <v>154.4</v>
      </c>
      <c r="AJ582" s="68">
        <f t="shared" si="20"/>
        <v>24.704</v>
      </c>
      <c r="AK582" s="68">
        <f t="shared" si="21"/>
        <v>179.104</v>
      </c>
      <c r="AL582" s="70">
        <f>IFERROR(__xludf.DUMMYFUNCTION("""COMPUTED_VALUE"""),1.0)</f>
        <v>1</v>
      </c>
      <c r="AM582" s="70"/>
      <c r="AN582" s="71" t="str">
        <f>IFERROR(__xludf.DUMMYFUNCTION("""COMPUTED_VALUE""")," P")</f>
        <v>P</v>
      </c>
      <c r="AO582" s="71" t="str">
        <f>IFERROR(__xludf.DUMMYFUNCTION("""COMPUTED_VALUE""")," EN02")</f>
        <v>EN02</v>
      </c>
      <c r="AP582" s="71" t="str">
        <f>IFERROR(__xludf.DUMMYFUNCTION("""COMPUTED_VALUE""")," PZA")</f>
        <v>PZA</v>
      </c>
      <c r="AQ582" s="71" t="str">
        <f>IFERROR(__xludf.DUMMYFUNCTION("""COMPUTED_VALUE""")," REF")</f>
        <v>REF</v>
      </c>
      <c r="AR582" s="71" t="str">
        <f>IFERROR(__xludf.DUMMYFUNCTION("""COMPUTED_VALUE""")," ENGRANE DE 16 DTS PARA VÁLVULA CARBURADORA CON COLLARÍN")</f>
        <v>ENGRANE DE 16 DTS PARA VÁLVULA CARBURADORA CON COLLARÍN</v>
      </c>
      <c r="AS582" s="71" t="str">
        <f>IFERROR(__xludf.DUMMYFUNCTION("""COMPUTED_VALUE""")," ENGRANE 16 DTES P/VALV CARB C/COLLARN")</f>
        <v>ENGRANE 16 DTES P/VALV CARB C/COLLARN</v>
      </c>
      <c r="AT582" s="71">
        <f>IFERROR(__xludf.DUMMYFUNCTION("""COMPUTED_VALUE"""),37.0)</f>
        <v>37</v>
      </c>
      <c r="AU582" s="71"/>
      <c r="AV582" s="71"/>
      <c r="AW582" s="71"/>
      <c r="AX582" s="71"/>
      <c r="AY582" s="71">
        <f>IFERROR(__xludf.DUMMYFUNCTION("""COMPUTED_VALUE"""),80.0)</f>
        <v>80</v>
      </c>
      <c r="AZ582" s="71">
        <f>IFERROR(__xludf.DUMMYFUNCTION("""COMPUTED_VALUE"""),86.0)</f>
        <v>86</v>
      </c>
      <c r="BA582" s="71">
        <f>IFERROR(__xludf.DUMMYFUNCTION("""COMPUTED_VALUE"""),92.88000000000001)</f>
        <v>92.88</v>
      </c>
      <c r="BB582" s="71">
        <f>IFERROR(__xludf.DUMMYFUNCTION("""COMPUTED_VALUE"""),92.88000000000001)</f>
        <v>92.88</v>
      </c>
      <c r="BC582" s="71">
        <f>IFERROR(__xludf.DUMMYFUNCTION("""COMPUTED_VALUE"""),109.0)</f>
        <v>109</v>
      </c>
      <c r="BD582" s="71">
        <f>IFERROR(__xludf.DUMMYFUNCTION("""COMPUTED_VALUE"""),114.0)</f>
        <v>114</v>
      </c>
      <c r="BE582" s="71">
        <f>IFERROR(__xludf.DUMMYFUNCTION("""COMPUTED_VALUE"""),18.240000000000002)</f>
        <v>18.24</v>
      </c>
      <c r="BF582" s="71">
        <f>IFERROR(__xludf.DUMMYFUNCTION("""COMPUTED_VALUE"""),132.24)</f>
        <v>132.24</v>
      </c>
      <c r="BG582" s="71">
        <f>IFERROR(__xludf.DUMMYFUNCTION("""COMPUTED_VALUE"""),0.045871559633027525)</f>
        <v>0.04587155963</v>
      </c>
      <c r="BH582" s="71">
        <f>IFERROR(__xludf.DUMMYFUNCTION("""COMPUTED_VALUE"""),108.3)</f>
        <v>108.3</v>
      </c>
      <c r="BI582" s="71">
        <f>IFERROR(__xludf.DUMMYFUNCTION("""COMPUTED_VALUE"""),17.328)</f>
        <v>17.328</v>
      </c>
      <c r="BJ582" s="71">
        <f>IFERROR(__xludf.DUMMYFUNCTION("""COMPUTED_VALUE"""),125.628)</f>
        <v>125.628</v>
      </c>
      <c r="BK582" s="71">
        <f>IFERROR(__xludf.DUMMYFUNCTION("""COMPUTED_VALUE"""),102.60000000000001)</f>
        <v>102.6</v>
      </c>
      <c r="BL582" s="71">
        <f>IFERROR(__xludf.DUMMYFUNCTION("""COMPUTED_VALUE"""),16.416)</f>
        <v>16.416</v>
      </c>
      <c r="BM582" s="71">
        <f>IFERROR(__xludf.DUMMYFUNCTION("""COMPUTED_VALUE"""),119.016)</f>
        <v>119.016</v>
      </c>
      <c r="BN582" s="71">
        <f>IFERROR(__xludf.DUMMYFUNCTION("""COMPUTED_VALUE"""),96.89999999999999)</f>
        <v>96.9</v>
      </c>
      <c r="BO582" s="71">
        <f>IFERROR(__xludf.DUMMYFUNCTION("""COMPUTED_VALUE"""),15.504)</f>
        <v>15.504</v>
      </c>
      <c r="BP582" s="71">
        <f>IFERROR(__xludf.DUMMYFUNCTION("""COMPUTED_VALUE"""),112.404)</f>
        <v>112.404</v>
      </c>
      <c r="BQ582" s="71">
        <f>IFERROR(__xludf.DUMMYFUNCTION("""COMPUTED_VALUE"""),94.61999999999999)</f>
        <v>94.62</v>
      </c>
      <c r="BR582" s="71">
        <f>IFERROR(__xludf.DUMMYFUNCTION("""COMPUTED_VALUE"""),15.139199999999999)</f>
        <v>15.1392</v>
      </c>
      <c r="BS582" s="71">
        <f>IFERROR(__xludf.DUMMYFUNCTION("""COMPUTED_VALUE"""),109.75919999999999)</f>
        <v>109.7592</v>
      </c>
      <c r="BT582" s="71">
        <f>IFERROR(__xludf.DUMMYFUNCTION("""COMPUTED_VALUE"""),91.2)</f>
        <v>91.2</v>
      </c>
      <c r="BU582" s="71">
        <f>IFERROR(__xludf.DUMMYFUNCTION("""COMPUTED_VALUE"""),14.592)</f>
        <v>14.592</v>
      </c>
      <c r="BV582" s="71">
        <f>IFERROR(__xludf.DUMMYFUNCTION("""COMPUTED_VALUE"""),105.792)</f>
        <v>105.792</v>
      </c>
    </row>
    <row r="583">
      <c r="A583" s="53">
        <v>1.0</v>
      </c>
      <c r="B583" s="72"/>
      <c r="C583" s="120" t="s">
        <v>603</v>
      </c>
      <c r="D583" s="74" t="s">
        <v>1426</v>
      </c>
      <c r="E583" s="54" t="s">
        <v>38</v>
      </c>
      <c r="F583" s="54" t="s">
        <v>42</v>
      </c>
      <c r="G583" s="141" t="s">
        <v>1427</v>
      </c>
      <c r="H583" s="141" t="s">
        <v>1427</v>
      </c>
      <c r="I583" s="54">
        <f t="shared" si="24"/>
        <v>25</v>
      </c>
      <c r="J583" s="56"/>
      <c r="K583" s="75"/>
      <c r="L583" s="76"/>
      <c r="M583" s="59"/>
      <c r="N583" s="60">
        <v>257.0</v>
      </c>
      <c r="O583" s="61">
        <v>278.0</v>
      </c>
      <c r="P583" s="62">
        <v>145.0</v>
      </c>
      <c r="Q583" s="63">
        <v>145.0</v>
      </c>
      <c r="R583" s="64">
        <v>184.0</v>
      </c>
      <c r="S583" s="111">
        <v>193.0</v>
      </c>
      <c r="T583" s="65">
        <f t="shared" si="2"/>
        <v>30.88</v>
      </c>
      <c r="U583" s="65">
        <f t="shared" si="3"/>
        <v>223.88</v>
      </c>
      <c r="V583" s="66">
        <f t="shared" si="4"/>
        <v>0.04891304348</v>
      </c>
      <c r="W583" s="67">
        <f t="shared" si="5"/>
        <v>183.35</v>
      </c>
      <c r="X583" s="67">
        <f t="shared" si="6"/>
        <v>29.336</v>
      </c>
      <c r="Y583" s="67">
        <f t="shared" si="7"/>
        <v>212.686</v>
      </c>
      <c r="Z583" s="67">
        <f t="shared" si="8"/>
        <v>173.7</v>
      </c>
      <c r="AA583" s="67">
        <f t="shared" si="9"/>
        <v>27.792</v>
      </c>
      <c r="AB583" s="67">
        <f t="shared" si="10"/>
        <v>201.492</v>
      </c>
      <c r="AC583" s="67">
        <f t="shared" si="11"/>
        <v>164.05</v>
      </c>
      <c r="AD583" s="67">
        <f t="shared" si="12"/>
        <v>26.248</v>
      </c>
      <c r="AE583" s="67">
        <f t="shared" si="13"/>
        <v>190.298</v>
      </c>
      <c r="AF583" s="67">
        <f t="shared" si="14"/>
        <v>160.19</v>
      </c>
      <c r="AG583" s="67">
        <f t="shared" si="15"/>
        <v>25.6304</v>
      </c>
      <c r="AH583" s="67">
        <f t="shared" si="16"/>
        <v>185.8204</v>
      </c>
      <c r="AI583" s="67">
        <f t="shared" si="17"/>
        <v>154.4</v>
      </c>
      <c r="AJ583" s="68">
        <f t="shared" si="20"/>
        <v>24.704</v>
      </c>
      <c r="AK583" s="68">
        <f t="shared" si="21"/>
        <v>179.104</v>
      </c>
      <c r="AL583" s="70">
        <f>IFERROR(__xludf.DUMMYFUNCTION("""COMPUTED_VALUE"""),1.0)</f>
        <v>1</v>
      </c>
      <c r="AM583" s="70"/>
      <c r="AN583" s="71" t="str">
        <f>IFERROR(__xludf.DUMMYFUNCTION("""COMPUTED_VALUE""")," P")</f>
        <v>P</v>
      </c>
      <c r="AO583" s="71" t="str">
        <f>IFERROR(__xludf.DUMMYFUNCTION("""COMPUTED_VALUE""")," EN03")</f>
        <v>EN03</v>
      </c>
      <c r="AP583" s="71" t="str">
        <f>IFERROR(__xludf.DUMMYFUNCTION("""COMPUTED_VALUE""")," PZA")</f>
        <v>PZA</v>
      </c>
      <c r="AQ583" s="71" t="str">
        <f>IFERROR(__xludf.DUMMYFUNCTION("""COMPUTED_VALUE""")," REF")</f>
        <v>REF</v>
      </c>
      <c r="AR583" s="71" t="str">
        <f>IFERROR(__xludf.DUMMYFUNCTION("""COMPUTED_VALUE""")," ENGRANE DE 25 DTS DÚPLEX (B.C.)")</f>
        <v>ENGRANE DE 25 DTS DÚPLEX (B.C.)</v>
      </c>
      <c r="AS583" s="71" t="str">
        <f>IFERROR(__xludf.DUMMYFUNCTION("""COMPUTED_VALUE""")," ENGRANE 25 DTES DPLX BC")</f>
        <v>ENGRANE 25 DTES DPLX BC</v>
      </c>
      <c r="AT583" s="71">
        <f>IFERROR(__xludf.DUMMYFUNCTION("""COMPUTED_VALUE"""),23.0)</f>
        <v>23</v>
      </c>
      <c r="AU583" s="71"/>
      <c r="AV583" s="71"/>
      <c r="AW583" s="71"/>
      <c r="AX583" s="71"/>
      <c r="AY583" s="71">
        <f>IFERROR(__xludf.DUMMYFUNCTION("""COMPUTED_VALUE"""),126.0)</f>
        <v>126</v>
      </c>
      <c r="AZ583" s="71">
        <f>IFERROR(__xludf.DUMMYFUNCTION("""COMPUTED_VALUE"""),136.0)</f>
        <v>136</v>
      </c>
      <c r="BA583" s="71">
        <f>IFERROR(__xludf.DUMMYFUNCTION("""COMPUTED_VALUE"""),146.88)</f>
        <v>146.88</v>
      </c>
      <c r="BB583" s="71">
        <f>IFERROR(__xludf.DUMMYFUNCTION("""COMPUTED_VALUE"""),146.88)</f>
        <v>146.88</v>
      </c>
      <c r="BC583" s="71">
        <f>IFERROR(__xludf.DUMMYFUNCTION("""COMPUTED_VALUE"""),176.0)</f>
        <v>176</v>
      </c>
      <c r="BD583" s="71">
        <f>IFERROR(__xludf.DUMMYFUNCTION("""COMPUTED_VALUE"""),185.0)</f>
        <v>185</v>
      </c>
      <c r="BE583" s="71">
        <f>IFERROR(__xludf.DUMMYFUNCTION("""COMPUTED_VALUE"""),29.6)</f>
        <v>29.6</v>
      </c>
      <c r="BF583" s="71">
        <f>IFERROR(__xludf.DUMMYFUNCTION("""COMPUTED_VALUE"""),214.6)</f>
        <v>214.6</v>
      </c>
      <c r="BG583" s="71">
        <f>IFERROR(__xludf.DUMMYFUNCTION("""COMPUTED_VALUE"""),0.05113636363636364)</f>
        <v>0.05113636364</v>
      </c>
      <c r="BH583" s="71">
        <f>IFERROR(__xludf.DUMMYFUNCTION("""COMPUTED_VALUE"""),175.75)</f>
        <v>175.75</v>
      </c>
      <c r="BI583" s="71">
        <f>IFERROR(__xludf.DUMMYFUNCTION("""COMPUTED_VALUE"""),28.12)</f>
        <v>28.12</v>
      </c>
      <c r="BJ583" s="71">
        <f>IFERROR(__xludf.DUMMYFUNCTION("""COMPUTED_VALUE"""),203.87)</f>
        <v>203.87</v>
      </c>
      <c r="BK583" s="71">
        <f>IFERROR(__xludf.DUMMYFUNCTION("""COMPUTED_VALUE"""),166.5)</f>
        <v>166.5</v>
      </c>
      <c r="BL583" s="71">
        <f>IFERROR(__xludf.DUMMYFUNCTION("""COMPUTED_VALUE"""),26.64)</f>
        <v>26.64</v>
      </c>
      <c r="BM583" s="71">
        <f>IFERROR(__xludf.DUMMYFUNCTION("""COMPUTED_VALUE"""),193.14)</f>
        <v>193.14</v>
      </c>
      <c r="BN583" s="71">
        <f>IFERROR(__xludf.DUMMYFUNCTION("""COMPUTED_VALUE"""),157.25)</f>
        <v>157.25</v>
      </c>
      <c r="BO583" s="71">
        <f>IFERROR(__xludf.DUMMYFUNCTION("""COMPUTED_VALUE"""),25.16)</f>
        <v>25.16</v>
      </c>
      <c r="BP583" s="71">
        <f>IFERROR(__xludf.DUMMYFUNCTION("""COMPUTED_VALUE"""),182.41)</f>
        <v>182.41</v>
      </c>
      <c r="BQ583" s="71">
        <f>IFERROR(__xludf.DUMMYFUNCTION("""COMPUTED_VALUE"""),153.54999999999998)</f>
        <v>153.55</v>
      </c>
      <c r="BR583" s="71">
        <f>IFERROR(__xludf.DUMMYFUNCTION("""COMPUTED_VALUE"""),24.567999999999998)</f>
        <v>24.568</v>
      </c>
      <c r="BS583" s="71">
        <f>IFERROR(__xludf.DUMMYFUNCTION("""COMPUTED_VALUE"""),178.118)</f>
        <v>178.118</v>
      </c>
      <c r="BT583" s="71">
        <f>IFERROR(__xludf.DUMMYFUNCTION("""COMPUTED_VALUE"""),148.0)</f>
        <v>148</v>
      </c>
      <c r="BU583" s="71">
        <f>IFERROR(__xludf.DUMMYFUNCTION("""COMPUTED_VALUE"""),23.68)</f>
        <v>23.68</v>
      </c>
      <c r="BV583" s="71">
        <f>IFERROR(__xludf.DUMMYFUNCTION("""COMPUTED_VALUE"""),171.68)</f>
        <v>171.68</v>
      </c>
    </row>
    <row r="584">
      <c r="A584" s="53">
        <v>1.0</v>
      </c>
      <c r="B584" s="53"/>
      <c r="C584" s="73" t="s">
        <v>603</v>
      </c>
      <c r="D584" s="53" t="s">
        <v>1428</v>
      </c>
      <c r="E584" s="54" t="s">
        <v>38</v>
      </c>
      <c r="F584" s="54" t="s">
        <v>42</v>
      </c>
      <c r="G584" s="142" t="s">
        <v>1429</v>
      </c>
      <c r="H584" s="142" t="s">
        <v>1429</v>
      </c>
      <c r="I584" s="54">
        <f t="shared" si="24"/>
        <v>23</v>
      </c>
      <c r="J584" s="56"/>
      <c r="K584" s="75"/>
      <c r="L584" s="76"/>
      <c r="M584" s="59"/>
      <c r="N584" s="60"/>
      <c r="O584" s="90"/>
      <c r="P584" s="62">
        <v>140.0</v>
      </c>
      <c r="Q584" s="63">
        <v>140.0</v>
      </c>
      <c r="R584" s="64">
        <v>152.0</v>
      </c>
      <c r="S584" s="111">
        <v>160.0</v>
      </c>
      <c r="T584" s="65">
        <f t="shared" si="2"/>
        <v>25.6</v>
      </c>
      <c r="U584" s="65">
        <f t="shared" si="3"/>
        <v>185.6</v>
      </c>
      <c r="V584" s="66">
        <f t="shared" si="4"/>
        <v>0.05263157895</v>
      </c>
      <c r="W584" s="67">
        <f t="shared" si="5"/>
        <v>152</v>
      </c>
      <c r="X584" s="67">
        <f t="shared" si="6"/>
        <v>24.32</v>
      </c>
      <c r="Y584" s="67">
        <f t="shared" si="7"/>
        <v>176.32</v>
      </c>
      <c r="Z584" s="67">
        <f t="shared" si="8"/>
        <v>144</v>
      </c>
      <c r="AA584" s="67">
        <f t="shared" si="9"/>
        <v>23.04</v>
      </c>
      <c r="AB584" s="67">
        <f t="shared" si="10"/>
        <v>167.04</v>
      </c>
      <c r="AC584" s="67">
        <f t="shared" si="11"/>
        <v>136</v>
      </c>
      <c r="AD584" s="67">
        <f t="shared" si="12"/>
        <v>21.76</v>
      </c>
      <c r="AE584" s="67">
        <f t="shared" si="13"/>
        <v>157.76</v>
      </c>
      <c r="AF584" s="67">
        <f t="shared" si="14"/>
        <v>132.8</v>
      </c>
      <c r="AG584" s="67">
        <f t="shared" si="15"/>
        <v>21.248</v>
      </c>
      <c r="AH584" s="67">
        <f t="shared" si="16"/>
        <v>154.048</v>
      </c>
      <c r="AI584" s="67">
        <f t="shared" si="17"/>
        <v>128</v>
      </c>
      <c r="AJ584" s="68">
        <f t="shared" si="20"/>
        <v>20.48</v>
      </c>
      <c r="AK584" s="68">
        <f t="shared" si="21"/>
        <v>148.48</v>
      </c>
      <c r="AL584" s="70">
        <f>IFERROR(__xludf.DUMMYFUNCTION("""COMPUTED_VALUE"""),1.0)</f>
        <v>1</v>
      </c>
      <c r="AM584" s="70"/>
      <c r="AN584" s="71" t="str">
        <f>IFERROR(__xludf.DUMMYFUNCTION("""COMPUTED_VALUE""")," P")</f>
        <v>P</v>
      </c>
      <c r="AO584" s="71" t="str">
        <f>IFERROR(__xludf.DUMMYFUNCTION("""COMPUTED_VALUE""")," EN04")</f>
        <v>EN04</v>
      </c>
      <c r="AP584" s="71" t="str">
        <f>IFERROR(__xludf.DUMMYFUNCTION("""COMPUTED_VALUE""")," PZA")</f>
        <v>PZA</v>
      </c>
      <c r="AQ584" s="71" t="str">
        <f>IFERROR(__xludf.DUMMYFUNCTION("""COMPUTED_VALUE""")," REF")</f>
        <v>REF</v>
      </c>
      <c r="AR584" s="71" t="str">
        <f>IFERROR(__xludf.DUMMYFUNCTION("""COMPUTED_VALUE""")," ENGRANE DE 25 DTS SENCILLO MODELO ANTERIOR")</f>
        <v>ENGRANE DE 25 DTS SENCILLO MODELO ANTERIOR</v>
      </c>
      <c r="AS584" s="71" t="str">
        <f>IFERROR(__xludf.DUMMYFUNCTION("""COMPUTED_VALUE""")," ENGRANE 25 DTES SENCILLO MA")</f>
        <v>ENGRANE 25 DTES SENCILLO MA</v>
      </c>
      <c r="AT584" s="71">
        <f>IFERROR(__xludf.DUMMYFUNCTION("""COMPUTED_VALUE"""),27.0)</f>
        <v>27</v>
      </c>
      <c r="AU584" s="71"/>
      <c r="AV584" s="71"/>
      <c r="AW584" s="71"/>
      <c r="AX584" s="71"/>
      <c r="AY584" s="71">
        <f>IFERROR(__xludf.DUMMYFUNCTION("""COMPUTED_VALUE"""),95.0)</f>
        <v>95</v>
      </c>
      <c r="AZ584" s="71">
        <f>IFERROR(__xludf.DUMMYFUNCTION("""COMPUTED_VALUE"""),102.0)</f>
        <v>102</v>
      </c>
      <c r="BA584" s="71">
        <f>IFERROR(__xludf.DUMMYFUNCTION("""COMPUTED_VALUE"""),110.16000000000001)</f>
        <v>110.16</v>
      </c>
      <c r="BB584" s="71">
        <f>IFERROR(__xludf.DUMMYFUNCTION("""COMPUTED_VALUE"""),110.16000000000001)</f>
        <v>110.16</v>
      </c>
      <c r="BC584" s="71">
        <f>IFERROR(__xludf.DUMMYFUNCTION("""COMPUTED_VALUE"""),135.0)</f>
        <v>135</v>
      </c>
      <c r="BD584" s="71">
        <f>IFERROR(__xludf.DUMMYFUNCTION("""COMPUTED_VALUE"""),142.0)</f>
        <v>142</v>
      </c>
      <c r="BE584" s="71">
        <f>IFERROR(__xludf.DUMMYFUNCTION("""COMPUTED_VALUE"""),22.72)</f>
        <v>22.72</v>
      </c>
      <c r="BF584" s="71">
        <f>IFERROR(__xludf.DUMMYFUNCTION("""COMPUTED_VALUE"""),164.72)</f>
        <v>164.72</v>
      </c>
      <c r="BG584" s="71">
        <f>IFERROR(__xludf.DUMMYFUNCTION("""COMPUTED_VALUE"""),0.05185185185185185)</f>
        <v>0.05185185185</v>
      </c>
      <c r="BH584" s="71">
        <f>IFERROR(__xludf.DUMMYFUNCTION("""COMPUTED_VALUE"""),134.9)</f>
        <v>134.9</v>
      </c>
      <c r="BI584" s="71">
        <f>IFERROR(__xludf.DUMMYFUNCTION("""COMPUTED_VALUE"""),21.584)</f>
        <v>21.584</v>
      </c>
      <c r="BJ584" s="71">
        <f>IFERROR(__xludf.DUMMYFUNCTION("""COMPUTED_VALUE"""),156.484)</f>
        <v>156.484</v>
      </c>
      <c r="BK584" s="71">
        <f>IFERROR(__xludf.DUMMYFUNCTION("""COMPUTED_VALUE"""),127.8)</f>
        <v>127.8</v>
      </c>
      <c r="BL584" s="71">
        <f>IFERROR(__xludf.DUMMYFUNCTION("""COMPUTED_VALUE"""),20.448)</f>
        <v>20.448</v>
      </c>
      <c r="BM584" s="71">
        <f>IFERROR(__xludf.DUMMYFUNCTION("""COMPUTED_VALUE"""),148.248)</f>
        <v>148.248</v>
      </c>
      <c r="BN584" s="71">
        <f>IFERROR(__xludf.DUMMYFUNCTION("""COMPUTED_VALUE"""),120.7)</f>
        <v>120.7</v>
      </c>
      <c r="BO584" s="71">
        <f>IFERROR(__xludf.DUMMYFUNCTION("""COMPUTED_VALUE"""),19.312)</f>
        <v>19.312</v>
      </c>
      <c r="BP584" s="71">
        <f>IFERROR(__xludf.DUMMYFUNCTION("""COMPUTED_VALUE"""),140.012)</f>
        <v>140.012</v>
      </c>
      <c r="BQ584" s="71">
        <f>IFERROR(__xludf.DUMMYFUNCTION("""COMPUTED_VALUE"""),117.86)</f>
        <v>117.86</v>
      </c>
      <c r="BR584" s="71">
        <f>IFERROR(__xludf.DUMMYFUNCTION("""COMPUTED_VALUE"""),18.8576)</f>
        <v>18.8576</v>
      </c>
      <c r="BS584" s="71">
        <f>IFERROR(__xludf.DUMMYFUNCTION("""COMPUTED_VALUE"""),136.7176)</f>
        <v>136.7176</v>
      </c>
      <c r="BT584" s="71">
        <f>IFERROR(__xludf.DUMMYFUNCTION("""COMPUTED_VALUE"""),113.60000000000001)</f>
        <v>113.6</v>
      </c>
      <c r="BU584" s="71">
        <f>IFERROR(__xludf.DUMMYFUNCTION("""COMPUTED_VALUE"""),18.176000000000002)</f>
        <v>18.176</v>
      </c>
      <c r="BV584" s="71">
        <f>IFERROR(__xludf.DUMMYFUNCTION("""COMPUTED_VALUE"""),131.776)</f>
        <v>131.776</v>
      </c>
    </row>
    <row r="585">
      <c r="A585" s="53">
        <v>1.0</v>
      </c>
      <c r="B585" s="53"/>
      <c r="C585" s="120" t="s">
        <v>603</v>
      </c>
      <c r="D585" s="53" t="s">
        <v>1430</v>
      </c>
      <c r="E585" s="54" t="s">
        <v>38</v>
      </c>
      <c r="F585" s="54" t="s">
        <v>42</v>
      </c>
      <c r="G585" s="141" t="s">
        <v>1431</v>
      </c>
      <c r="H585" s="141" t="s">
        <v>1431</v>
      </c>
      <c r="I585" s="54">
        <f t="shared" si="24"/>
        <v>29</v>
      </c>
      <c r="J585" s="56"/>
      <c r="K585" s="75"/>
      <c r="L585" s="76"/>
      <c r="M585" s="59"/>
      <c r="N585" s="79">
        <v>307.0</v>
      </c>
      <c r="O585" s="61">
        <v>331.0</v>
      </c>
      <c r="P585" s="62">
        <v>145.0</v>
      </c>
      <c r="Q585" s="63">
        <v>145.0</v>
      </c>
      <c r="R585" s="64">
        <v>153.0</v>
      </c>
      <c r="S585" s="111">
        <v>161.0</v>
      </c>
      <c r="T585" s="65">
        <f t="shared" si="2"/>
        <v>25.76</v>
      </c>
      <c r="U585" s="65">
        <f t="shared" si="3"/>
        <v>186.76</v>
      </c>
      <c r="V585" s="66">
        <f t="shared" si="4"/>
        <v>0.0522875817</v>
      </c>
      <c r="W585" s="67">
        <f t="shared" si="5"/>
        <v>152.95</v>
      </c>
      <c r="X585" s="67">
        <f t="shared" si="6"/>
        <v>24.472</v>
      </c>
      <c r="Y585" s="67">
        <f t="shared" si="7"/>
        <v>177.422</v>
      </c>
      <c r="Z585" s="67">
        <f t="shared" si="8"/>
        <v>144.9</v>
      </c>
      <c r="AA585" s="67">
        <f t="shared" si="9"/>
        <v>23.184</v>
      </c>
      <c r="AB585" s="67">
        <f t="shared" si="10"/>
        <v>168.084</v>
      </c>
      <c r="AC585" s="67">
        <f t="shared" si="11"/>
        <v>136.85</v>
      </c>
      <c r="AD585" s="67">
        <f t="shared" si="12"/>
        <v>21.896</v>
      </c>
      <c r="AE585" s="67">
        <f t="shared" si="13"/>
        <v>158.746</v>
      </c>
      <c r="AF585" s="67">
        <f t="shared" si="14"/>
        <v>133.63</v>
      </c>
      <c r="AG585" s="67">
        <f t="shared" si="15"/>
        <v>21.3808</v>
      </c>
      <c r="AH585" s="67">
        <f t="shared" si="16"/>
        <v>155.0108</v>
      </c>
      <c r="AI585" s="67">
        <f t="shared" si="17"/>
        <v>128.8</v>
      </c>
      <c r="AJ585" s="68">
        <f t="shared" si="20"/>
        <v>20.608</v>
      </c>
      <c r="AK585" s="68">
        <f t="shared" si="21"/>
        <v>149.408</v>
      </c>
      <c r="AL585" s="70">
        <f>IFERROR(__xludf.DUMMYFUNCTION("""COMPUTED_VALUE"""),1.0)</f>
        <v>1</v>
      </c>
      <c r="AM585" s="70"/>
      <c r="AN585" s="71" t="str">
        <f>IFERROR(__xludf.DUMMYFUNCTION("""COMPUTED_VALUE""")," P")</f>
        <v>P</v>
      </c>
      <c r="AO585" s="71" t="str">
        <f>IFERROR(__xludf.DUMMYFUNCTION("""COMPUTED_VALUE""")," EN05")</f>
        <v>EN05</v>
      </c>
      <c r="AP585" s="71" t="str">
        <f>IFERROR(__xludf.DUMMYFUNCTION("""COMPUTED_VALUE""")," PZA")</f>
        <v>PZA</v>
      </c>
      <c r="AQ585" s="71" t="str">
        <f>IFERROR(__xludf.DUMMYFUNCTION("""COMPUTED_VALUE""")," REF")</f>
        <v>REF</v>
      </c>
      <c r="AR585" s="71" t="str">
        <f>IFERROR(__xludf.DUMMYFUNCTION("""COMPUTED_VALUE""")," ENGRANE DE 25 DTS SENCILLO TV-50 (B.C.)")</f>
        <v>ENGRANE DE 25 DTS SENCILLO TV-50 (B.C.)</v>
      </c>
      <c r="AS585" s="71" t="str">
        <f>IFERROR(__xludf.DUMMYFUNCTION("""COMPUTED_VALUE""")," ENGRANE 25 DTES SENCILLO TV-50 BC")</f>
        <v>ENGRANE 25 DTES SENCILLO TV-50 BC</v>
      </c>
      <c r="AT585" s="71">
        <f>IFERROR(__xludf.DUMMYFUNCTION("""COMPUTED_VALUE"""),33.0)</f>
        <v>33</v>
      </c>
      <c r="AU585" s="71"/>
      <c r="AV585" s="71"/>
      <c r="AW585" s="71"/>
      <c r="AX585" s="71"/>
      <c r="AY585" s="71">
        <f>IFERROR(__xludf.DUMMYFUNCTION("""COMPUTED_VALUE"""),126.0)</f>
        <v>126</v>
      </c>
      <c r="AZ585" s="71">
        <f>IFERROR(__xludf.DUMMYFUNCTION("""COMPUTED_VALUE"""),136.0)</f>
        <v>136</v>
      </c>
      <c r="BA585" s="71">
        <f>IFERROR(__xludf.DUMMYFUNCTION("""COMPUTED_VALUE"""),146.88)</f>
        <v>146.88</v>
      </c>
      <c r="BB585" s="71">
        <f>IFERROR(__xludf.DUMMYFUNCTION("""COMPUTED_VALUE"""),146.88)</f>
        <v>146.88</v>
      </c>
      <c r="BC585" s="71">
        <f>IFERROR(__xludf.DUMMYFUNCTION("""COMPUTED_VALUE"""),189.0)</f>
        <v>189</v>
      </c>
      <c r="BD585" s="71">
        <f>IFERROR(__xludf.DUMMYFUNCTION("""COMPUTED_VALUE"""),198.0)</f>
        <v>198</v>
      </c>
      <c r="BE585" s="71">
        <f>IFERROR(__xludf.DUMMYFUNCTION("""COMPUTED_VALUE"""),31.68)</f>
        <v>31.68</v>
      </c>
      <c r="BF585" s="71">
        <f>IFERROR(__xludf.DUMMYFUNCTION("""COMPUTED_VALUE"""),229.68)</f>
        <v>229.68</v>
      </c>
      <c r="BG585" s="71">
        <f>IFERROR(__xludf.DUMMYFUNCTION("""COMPUTED_VALUE"""),0.047619047619047616)</f>
        <v>0.04761904762</v>
      </c>
      <c r="BH585" s="71">
        <f>IFERROR(__xludf.DUMMYFUNCTION("""COMPUTED_VALUE"""),188.1)</f>
        <v>188.1</v>
      </c>
      <c r="BI585" s="71">
        <f>IFERROR(__xludf.DUMMYFUNCTION("""COMPUTED_VALUE"""),30.096)</f>
        <v>30.096</v>
      </c>
      <c r="BJ585" s="71">
        <f>IFERROR(__xludf.DUMMYFUNCTION("""COMPUTED_VALUE"""),218.196)</f>
        <v>218.196</v>
      </c>
      <c r="BK585" s="71">
        <f>IFERROR(__xludf.DUMMYFUNCTION("""COMPUTED_VALUE"""),178.20000000000002)</f>
        <v>178.2</v>
      </c>
      <c r="BL585" s="71">
        <f>IFERROR(__xludf.DUMMYFUNCTION("""COMPUTED_VALUE"""),28.512000000000004)</f>
        <v>28.512</v>
      </c>
      <c r="BM585" s="71">
        <f>IFERROR(__xludf.DUMMYFUNCTION("""COMPUTED_VALUE"""),206.71200000000002)</f>
        <v>206.712</v>
      </c>
      <c r="BN585" s="71">
        <f>IFERROR(__xludf.DUMMYFUNCTION("""COMPUTED_VALUE"""),168.29999999999998)</f>
        <v>168.3</v>
      </c>
      <c r="BO585" s="71">
        <f>IFERROR(__xludf.DUMMYFUNCTION("""COMPUTED_VALUE"""),26.927999999999997)</f>
        <v>26.928</v>
      </c>
      <c r="BP585" s="71">
        <f>IFERROR(__xludf.DUMMYFUNCTION("""COMPUTED_VALUE"""),195.22799999999998)</f>
        <v>195.228</v>
      </c>
      <c r="BQ585" s="71">
        <f>IFERROR(__xludf.DUMMYFUNCTION("""COMPUTED_VALUE"""),164.34)</f>
        <v>164.34</v>
      </c>
      <c r="BR585" s="71">
        <f>IFERROR(__xludf.DUMMYFUNCTION("""COMPUTED_VALUE"""),26.2944)</f>
        <v>26.2944</v>
      </c>
      <c r="BS585" s="71">
        <f>IFERROR(__xludf.DUMMYFUNCTION("""COMPUTED_VALUE"""),190.6344)</f>
        <v>190.6344</v>
      </c>
      <c r="BT585" s="71">
        <f>IFERROR(__xludf.DUMMYFUNCTION("""COMPUTED_VALUE"""),158.4)</f>
        <v>158.4</v>
      </c>
      <c r="BU585" s="71">
        <f>IFERROR(__xludf.DUMMYFUNCTION("""COMPUTED_VALUE"""),25.344)</f>
        <v>25.344</v>
      </c>
      <c r="BV585" s="71">
        <f>IFERROR(__xludf.DUMMYFUNCTION("""COMPUTED_VALUE"""),183.744)</f>
        <v>183.744</v>
      </c>
    </row>
    <row r="586">
      <c r="A586" s="53">
        <v>1.0</v>
      </c>
      <c r="B586" s="53"/>
      <c r="C586" s="53" t="s">
        <v>12</v>
      </c>
      <c r="D586" s="53" t="s">
        <v>1432</v>
      </c>
      <c r="E586" s="86" t="s">
        <v>38</v>
      </c>
      <c r="F586" s="91" t="s">
        <v>42</v>
      </c>
      <c r="G586" s="141" t="s">
        <v>1433</v>
      </c>
      <c r="H586" s="141" t="s">
        <v>1433</v>
      </c>
      <c r="I586" s="54">
        <f t="shared" si="24"/>
        <v>26</v>
      </c>
      <c r="J586" s="56"/>
      <c r="K586" s="57"/>
      <c r="L586" s="119"/>
      <c r="M586" s="59"/>
      <c r="N586" s="93"/>
      <c r="O586" s="61"/>
      <c r="P586" s="90"/>
      <c r="Q586" s="94"/>
      <c r="R586" s="95">
        <v>153.0</v>
      </c>
      <c r="S586" s="111">
        <v>161.0</v>
      </c>
      <c r="T586" s="65">
        <f t="shared" si="2"/>
        <v>25.76</v>
      </c>
      <c r="U586" s="65">
        <f t="shared" si="3"/>
        <v>186.76</v>
      </c>
      <c r="V586" s="66">
        <f t="shared" si="4"/>
        <v>0.0522875817</v>
      </c>
      <c r="W586" s="67">
        <f t="shared" si="5"/>
        <v>152.95</v>
      </c>
      <c r="X586" s="67">
        <f t="shared" si="6"/>
        <v>24.472</v>
      </c>
      <c r="Y586" s="67">
        <f t="shared" si="7"/>
        <v>177.422</v>
      </c>
      <c r="Z586" s="67">
        <f t="shared" si="8"/>
        <v>144.9</v>
      </c>
      <c r="AA586" s="67">
        <f t="shared" si="9"/>
        <v>23.184</v>
      </c>
      <c r="AB586" s="67">
        <f t="shared" si="10"/>
        <v>168.084</v>
      </c>
      <c r="AC586" s="67">
        <f t="shared" si="11"/>
        <v>136.85</v>
      </c>
      <c r="AD586" s="67">
        <f t="shared" si="12"/>
        <v>21.896</v>
      </c>
      <c r="AE586" s="67">
        <f t="shared" si="13"/>
        <v>158.746</v>
      </c>
      <c r="AF586" s="67">
        <f t="shared" si="14"/>
        <v>133.63</v>
      </c>
      <c r="AG586" s="67">
        <f t="shared" si="15"/>
        <v>21.3808</v>
      </c>
      <c r="AH586" s="67">
        <f t="shared" si="16"/>
        <v>155.0108</v>
      </c>
      <c r="AI586" s="67">
        <f t="shared" si="17"/>
        <v>128.8</v>
      </c>
      <c r="AJ586" s="96"/>
      <c r="AK586" s="96"/>
      <c r="AL586" s="70">
        <f>IFERROR(__xludf.DUMMYFUNCTION("""COMPUTED_VALUE"""),1.0)</f>
        <v>1</v>
      </c>
      <c r="AM586" s="70"/>
      <c r="AN586" s="71" t="str">
        <f>IFERROR(__xludf.DUMMYFUNCTION("""COMPUTED_VALUE""")," P")</f>
        <v>P</v>
      </c>
      <c r="AO586" s="71" t="str">
        <f>IFERROR(__xludf.DUMMYFUNCTION("""COMPUTED_VALUE""")," EN06")</f>
        <v>EN06</v>
      </c>
      <c r="AP586" s="71" t="str">
        <f>IFERROR(__xludf.DUMMYFUNCTION("""COMPUTED_VALUE""")," PZA")</f>
        <v>PZA</v>
      </c>
      <c r="AQ586" s="71" t="str">
        <f>IFERROR(__xludf.DUMMYFUNCTION("""COMPUTED_VALUE""")," REF")</f>
        <v>REF</v>
      </c>
      <c r="AR586" s="71" t="str">
        <f>IFERROR(__xludf.DUMMYFUNCTION("""COMPUTED_VALUE""")," ENGRANE DE 32 DTS DÚPLEX (B.C.)")</f>
        <v>ENGRANE DE 32 DTS DÚPLEX (B.C.)</v>
      </c>
      <c r="AS586" s="71" t="str">
        <f>IFERROR(__xludf.DUMMYFUNCTION("""COMPUTED_VALUE""")," ENGRANE 32 DTES DPLX BC")</f>
        <v>ENGRANE 32 DTES DPLX BC</v>
      </c>
      <c r="AT586" s="71">
        <f>IFERROR(__xludf.DUMMYFUNCTION("""COMPUTED_VALUE"""),23.0)</f>
        <v>23</v>
      </c>
      <c r="AU586" s="71"/>
      <c r="AV586" s="71"/>
      <c r="AW586" s="71"/>
      <c r="AX586" s="71"/>
      <c r="AY586" s="71">
        <f>IFERROR(__xludf.DUMMYFUNCTION("""COMPUTED_VALUE"""),175.0)</f>
        <v>175</v>
      </c>
      <c r="AZ586" s="71">
        <f>IFERROR(__xludf.DUMMYFUNCTION("""COMPUTED_VALUE"""),189.0)</f>
        <v>189</v>
      </c>
      <c r="BA586" s="71">
        <f>IFERROR(__xludf.DUMMYFUNCTION("""COMPUTED_VALUE"""),204.12)</f>
        <v>204.12</v>
      </c>
      <c r="BB586" s="71">
        <f>IFERROR(__xludf.DUMMYFUNCTION("""COMPUTED_VALUE"""),204.12)</f>
        <v>204.12</v>
      </c>
      <c r="BC586" s="71">
        <f>IFERROR(__xludf.DUMMYFUNCTION("""COMPUTED_VALUE"""),255.0)</f>
        <v>255</v>
      </c>
      <c r="BD586" s="71">
        <f>IFERROR(__xludf.DUMMYFUNCTION("""COMPUTED_VALUE"""),268.0)</f>
        <v>268</v>
      </c>
      <c r="BE586" s="71">
        <f>IFERROR(__xludf.DUMMYFUNCTION("""COMPUTED_VALUE"""),42.88)</f>
        <v>42.88</v>
      </c>
      <c r="BF586" s="71">
        <f>IFERROR(__xludf.DUMMYFUNCTION("""COMPUTED_VALUE"""),310.88)</f>
        <v>310.88</v>
      </c>
      <c r="BG586" s="71">
        <f>IFERROR(__xludf.DUMMYFUNCTION("""COMPUTED_VALUE"""),0.050980392156862744)</f>
        <v>0.05098039216</v>
      </c>
      <c r="BH586" s="71">
        <f>IFERROR(__xludf.DUMMYFUNCTION("""COMPUTED_VALUE"""),254.6)</f>
        <v>254.6</v>
      </c>
      <c r="BI586" s="71">
        <f>IFERROR(__xludf.DUMMYFUNCTION("""COMPUTED_VALUE"""),40.736)</f>
        <v>40.736</v>
      </c>
      <c r="BJ586" s="71">
        <f>IFERROR(__xludf.DUMMYFUNCTION("""COMPUTED_VALUE"""),295.336)</f>
        <v>295.336</v>
      </c>
      <c r="BK586" s="71">
        <f>IFERROR(__xludf.DUMMYFUNCTION("""COMPUTED_VALUE"""),241.20000000000002)</f>
        <v>241.2</v>
      </c>
      <c r="BL586" s="71">
        <f>IFERROR(__xludf.DUMMYFUNCTION("""COMPUTED_VALUE"""),38.592000000000006)</f>
        <v>38.592</v>
      </c>
      <c r="BM586" s="71">
        <f>IFERROR(__xludf.DUMMYFUNCTION("""COMPUTED_VALUE"""),279.79200000000003)</f>
        <v>279.792</v>
      </c>
      <c r="BN586" s="71">
        <f>IFERROR(__xludf.DUMMYFUNCTION("""COMPUTED_VALUE"""),227.79999999999998)</f>
        <v>227.8</v>
      </c>
      <c r="BO586" s="71">
        <f>IFERROR(__xludf.DUMMYFUNCTION("""COMPUTED_VALUE"""),36.448)</f>
        <v>36.448</v>
      </c>
      <c r="BP586" s="71">
        <f>IFERROR(__xludf.DUMMYFUNCTION("""COMPUTED_VALUE"""),264.248)</f>
        <v>264.248</v>
      </c>
      <c r="BQ586" s="71">
        <f>IFERROR(__xludf.DUMMYFUNCTION("""COMPUTED_VALUE"""),222.44)</f>
        <v>222.44</v>
      </c>
      <c r="BR586" s="71">
        <f>IFERROR(__xludf.DUMMYFUNCTION("""COMPUTED_VALUE"""),35.5904)</f>
        <v>35.5904</v>
      </c>
      <c r="BS586" s="71">
        <f>IFERROR(__xludf.DUMMYFUNCTION("""COMPUTED_VALUE"""),258.0304)</f>
        <v>258.0304</v>
      </c>
      <c r="BT586" s="71">
        <f>IFERROR(__xludf.DUMMYFUNCTION("""COMPUTED_VALUE"""),214.4)</f>
        <v>214.4</v>
      </c>
      <c r="BU586" s="71">
        <f>IFERROR(__xludf.DUMMYFUNCTION("""COMPUTED_VALUE"""),34.304)</f>
        <v>34.304</v>
      </c>
      <c r="BV586" s="71">
        <f>IFERROR(__xludf.DUMMYFUNCTION("""COMPUTED_VALUE"""),248.704)</f>
        <v>248.704</v>
      </c>
    </row>
    <row r="587">
      <c r="A587" s="53">
        <v>1.0</v>
      </c>
      <c r="B587" s="53"/>
      <c r="C587" s="120" t="s">
        <v>603</v>
      </c>
      <c r="D587" s="53" t="s">
        <v>1434</v>
      </c>
      <c r="E587" s="54" t="s">
        <v>38</v>
      </c>
      <c r="F587" s="54" t="s">
        <v>42</v>
      </c>
      <c r="G587" s="142" t="s">
        <v>1435</v>
      </c>
      <c r="H587" s="142" t="s">
        <v>1435</v>
      </c>
      <c r="I587" s="54">
        <f t="shared" si="24"/>
        <v>25</v>
      </c>
      <c r="J587" s="56"/>
      <c r="K587" s="75"/>
      <c r="L587" s="76"/>
      <c r="M587" s="59"/>
      <c r="N587" s="79"/>
      <c r="O587" s="61">
        <v>343.0</v>
      </c>
      <c r="P587" s="62">
        <v>150.0</v>
      </c>
      <c r="Q587" s="63">
        <v>150.0</v>
      </c>
      <c r="R587" s="64">
        <v>158.0</v>
      </c>
      <c r="S587" s="111">
        <v>166.0</v>
      </c>
      <c r="T587" s="65">
        <f t="shared" si="2"/>
        <v>26.56</v>
      </c>
      <c r="U587" s="65">
        <f t="shared" si="3"/>
        <v>192.56</v>
      </c>
      <c r="V587" s="66">
        <f t="shared" si="4"/>
        <v>0.05063291139</v>
      </c>
      <c r="W587" s="67">
        <f t="shared" si="5"/>
        <v>157.7</v>
      </c>
      <c r="X587" s="67">
        <f t="shared" si="6"/>
        <v>25.232</v>
      </c>
      <c r="Y587" s="67">
        <f t="shared" si="7"/>
        <v>182.932</v>
      </c>
      <c r="Z587" s="67">
        <f t="shared" si="8"/>
        <v>149.4</v>
      </c>
      <c r="AA587" s="67">
        <f t="shared" si="9"/>
        <v>23.904</v>
      </c>
      <c r="AB587" s="67">
        <f t="shared" si="10"/>
        <v>173.304</v>
      </c>
      <c r="AC587" s="67">
        <f t="shared" si="11"/>
        <v>141.1</v>
      </c>
      <c r="AD587" s="67">
        <f t="shared" si="12"/>
        <v>22.576</v>
      </c>
      <c r="AE587" s="67">
        <f t="shared" si="13"/>
        <v>163.676</v>
      </c>
      <c r="AF587" s="67">
        <f t="shared" si="14"/>
        <v>137.78</v>
      </c>
      <c r="AG587" s="67">
        <f t="shared" si="15"/>
        <v>22.0448</v>
      </c>
      <c r="AH587" s="67">
        <f t="shared" si="16"/>
        <v>159.8248</v>
      </c>
      <c r="AI587" s="67">
        <f t="shared" si="17"/>
        <v>132.8</v>
      </c>
      <c r="AJ587" s="68">
        <f t="shared" ref="AJ587:AJ634" si="25">AI587*0.16</f>
        <v>21.248</v>
      </c>
      <c r="AK587" s="68">
        <f t="shared" ref="AK587:AK634" si="26">AI587+AJ587</f>
        <v>154.048</v>
      </c>
      <c r="AL587" s="70">
        <f>IFERROR(__xludf.DUMMYFUNCTION("""COMPUTED_VALUE"""),1.0)</f>
        <v>1</v>
      </c>
      <c r="AM587" s="70"/>
      <c r="AN587" s="71" t="str">
        <f>IFERROR(__xludf.DUMMYFUNCTION("""COMPUTED_VALUE""")," P")</f>
        <v>P</v>
      </c>
      <c r="AO587" s="71" t="str">
        <f>IFERROR(__xludf.DUMMYFUNCTION("""COMPUTED_VALUE""")," EN07")</f>
        <v>EN07</v>
      </c>
      <c r="AP587" s="71" t="str">
        <f>IFERROR(__xludf.DUMMYFUNCTION("""COMPUTED_VALUE""")," PZA")</f>
        <v>PZA</v>
      </c>
      <c r="AQ587" s="71" t="str">
        <f>IFERROR(__xludf.DUMMYFUNCTION("""COMPUTED_VALUE""")," REF")</f>
        <v>REF</v>
      </c>
      <c r="AR587" s="71" t="str">
        <f>IFERROR(__xludf.DUMMYFUNCTION("""COMPUTED_VALUE""")," ENGRANE DE 32 DTS SENCILLO MODELO ANTERIOR")</f>
        <v>ENGRANE DE 32 DTS SENCILLO MODELO ANTERIOR</v>
      </c>
      <c r="AS587" s="71" t="str">
        <f>IFERROR(__xludf.DUMMYFUNCTION("""COMPUTED_VALUE""")," ENGRANE 32 DTES SENCILLO MA")</f>
        <v>ENGRANE 32 DTES SENCILLO MA</v>
      </c>
      <c r="AT587" s="71">
        <f>IFERROR(__xludf.DUMMYFUNCTION("""COMPUTED_VALUE"""),27.0)</f>
        <v>27</v>
      </c>
      <c r="AU587" s="71"/>
      <c r="AV587" s="71"/>
      <c r="AW587" s="71"/>
      <c r="AX587" s="71"/>
      <c r="AY587" s="71">
        <f>IFERROR(__xludf.DUMMYFUNCTION("""COMPUTED_VALUE"""),137.0)</f>
        <v>137</v>
      </c>
      <c r="AZ587" s="71">
        <f>IFERROR(__xludf.DUMMYFUNCTION("""COMPUTED_VALUE"""),147.0)</f>
        <v>147</v>
      </c>
      <c r="BA587" s="71">
        <f>IFERROR(__xludf.DUMMYFUNCTION("""COMPUTED_VALUE"""),158.76000000000002)</f>
        <v>158.76</v>
      </c>
      <c r="BB587" s="71">
        <f>IFERROR(__xludf.DUMMYFUNCTION("""COMPUTED_VALUE"""),158.76000000000002)</f>
        <v>158.76</v>
      </c>
      <c r="BC587" s="71">
        <f>IFERROR(__xludf.DUMMYFUNCTION("""COMPUTED_VALUE"""),184.0)</f>
        <v>184</v>
      </c>
      <c r="BD587" s="71">
        <f>IFERROR(__xludf.DUMMYFUNCTION("""COMPUTED_VALUE"""),193.0)</f>
        <v>193</v>
      </c>
      <c r="BE587" s="71">
        <f>IFERROR(__xludf.DUMMYFUNCTION("""COMPUTED_VALUE"""),30.88)</f>
        <v>30.88</v>
      </c>
      <c r="BF587" s="71">
        <f>IFERROR(__xludf.DUMMYFUNCTION("""COMPUTED_VALUE"""),223.88)</f>
        <v>223.88</v>
      </c>
      <c r="BG587" s="71">
        <f>IFERROR(__xludf.DUMMYFUNCTION("""COMPUTED_VALUE"""),0.04891304347826087)</f>
        <v>0.04891304348</v>
      </c>
      <c r="BH587" s="71">
        <f>IFERROR(__xludf.DUMMYFUNCTION("""COMPUTED_VALUE"""),183.35)</f>
        <v>183.35</v>
      </c>
      <c r="BI587" s="71">
        <f>IFERROR(__xludf.DUMMYFUNCTION("""COMPUTED_VALUE"""),29.336)</f>
        <v>29.336</v>
      </c>
      <c r="BJ587" s="71">
        <f>IFERROR(__xludf.DUMMYFUNCTION("""COMPUTED_VALUE"""),212.68599999999998)</f>
        <v>212.686</v>
      </c>
      <c r="BK587" s="71">
        <f>IFERROR(__xludf.DUMMYFUNCTION("""COMPUTED_VALUE"""),173.70000000000002)</f>
        <v>173.7</v>
      </c>
      <c r="BL587" s="71">
        <f>IFERROR(__xludf.DUMMYFUNCTION("""COMPUTED_VALUE"""),27.792)</f>
        <v>27.792</v>
      </c>
      <c r="BM587" s="71">
        <f>IFERROR(__xludf.DUMMYFUNCTION("""COMPUTED_VALUE"""),201.49200000000002)</f>
        <v>201.492</v>
      </c>
      <c r="BN587" s="71">
        <f>IFERROR(__xludf.DUMMYFUNCTION("""COMPUTED_VALUE"""),164.04999999999998)</f>
        <v>164.05</v>
      </c>
      <c r="BO587" s="71">
        <f>IFERROR(__xludf.DUMMYFUNCTION("""COMPUTED_VALUE"""),26.247999999999998)</f>
        <v>26.248</v>
      </c>
      <c r="BP587" s="71">
        <f>IFERROR(__xludf.DUMMYFUNCTION("""COMPUTED_VALUE"""),190.29799999999997)</f>
        <v>190.298</v>
      </c>
      <c r="BQ587" s="71">
        <f>IFERROR(__xludf.DUMMYFUNCTION("""COMPUTED_VALUE"""),160.19)</f>
        <v>160.19</v>
      </c>
      <c r="BR587" s="71">
        <f>IFERROR(__xludf.DUMMYFUNCTION("""COMPUTED_VALUE"""),25.6304)</f>
        <v>25.6304</v>
      </c>
      <c r="BS587" s="71">
        <f>IFERROR(__xludf.DUMMYFUNCTION("""COMPUTED_VALUE"""),185.8204)</f>
        <v>185.8204</v>
      </c>
      <c r="BT587" s="71">
        <f>IFERROR(__xludf.DUMMYFUNCTION("""COMPUTED_VALUE"""),154.4)</f>
        <v>154.4</v>
      </c>
      <c r="BU587" s="71">
        <f>IFERROR(__xludf.DUMMYFUNCTION("""COMPUTED_VALUE"""),24.704)</f>
        <v>24.704</v>
      </c>
      <c r="BV587" s="71">
        <f>IFERROR(__xludf.DUMMYFUNCTION("""COMPUTED_VALUE"""),179.104)</f>
        <v>179.104</v>
      </c>
    </row>
    <row r="588">
      <c r="A588" s="53">
        <v>1.0</v>
      </c>
      <c r="B588" s="72"/>
      <c r="C588" s="120" t="s">
        <v>603</v>
      </c>
      <c r="D588" s="74" t="s">
        <v>1436</v>
      </c>
      <c r="E588" s="54" t="s">
        <v>38</v>
      </c>
      <c r="F588" s="54" t="s">
        <v>42</v>
      </c>
      <c r="G588" s="141" t="s">
        <v>1437</v>
      </c>
      <c r="H588" s="141" t="s">
        <v>1437</v>
      </c>
      <c r="I588" s="54">
        <f t="shared" si="24"/>
        <v>29</v>
      </c>
      <c r="J588" s="56"/>
      <c r="K588" s="75"/>
      <c r="L588" s="76"/>
      <c r="M588" s="59"/>
      <c r="N588" s="60">
        <v>397.0</v>
      </c>
      <c r="O588" s="61">
        <v>428.0</v>
      </c>
      <c r="P588" s="62">
        <v>195.0</v>
      </c>
      <c r="Q588" s="63">
        <v>195.0</v>
      </c>
      <c r="R588" s="64">
        <v>224.0</v>
      </c>
      <c r="S588" s="111">
        <v>235.0</v>
      </c>
      <c r="T588" s="65">
        <f t="shared" si="2"/>
        <v>37.6</v>
      </c>
      <c r="U588" s="65">
        <f t="shared" si="3"/>
        <v>272.6</v>
      </c>
      <c r="V588" s="66">
        <f t="shared" si="4"/>
        <v>0.04910714286</v>
      </c>
      <c r="W588" s="67">
        <f t="shared" si="5"/>
        <v>223.25</v>
      </c>
      <c r="X588" s="67">
        <f t="shared" si="6"/>
        <v>35.72</v>
      </c>
      <c r="Y588" s="67">
        <f t="shared" si="7"/>
        <v>258.97</v>
      </c>
      <c r="Z588" s="67">
        <f t="shared" si="8"/>
        <v>211.5</v>
      </c>
      <c r="AA588" s="67">
        <f t="shared" si="9"/>
        <v>33.84</v>
      </c>
      <c r="AB588" s="67">
        <f t="shared" si="10"/>
        <v>245.34</v>
      </c>
      <c r="AC588" s="67">
        <f t="shared" si="11"/>
        <v>199.75</v>
      </c>
      <c r="AD588" s="67">
        <f t="shared" si="12"/>
        <v>31.96</v>
      </c>
      <c r="AE588" s="67">
        <f t="shared" si="13"/>
        <v>231.71</v>
      </c>
      <c r="AF588" s="67">
        <f t="shared" si="14"/>
        <v>195.05</v>
      </c>
      <c r="AG588" s="67">
        <f t="shared" si="15"/>
        <v>31.208</v>
      </c>
      <c r="AH588" s="67">
        <f t="shared" si="16"/>
        <v>226.258</v>
      </c>
      <c r="AI588" s="67">
        <f t="shared" si="17"/>
        <v>188</v>
      </c>
      <c r="AJ588" s="68">
        <f t="shared" si="25"/>
        <v>30.08</v>
      </c>
      <c r="AK588" s="68">
        <f t="shared" si="26"/>
        <v>218.08</v>
      </c>
      <c r="AL588" s="70">
        <f>IFERROR(__xludf.DUMMYFUNCTION("""COMPUTED_VALUE"""),1.0)</f>
        <v>1</v>
      </c>
      <c r="AM588" s="70"/>
      <c r="AN588" s="71" t="str">
        <f>IFERROR(__xludf.DUMMYFUNCTION("""COMPUTED_VALUE""")," P")</f>
        <v>P</v>
      </c>
      <c r="AO588" s="71" t="str">
        <f>IFERROR(__xludf.DUMMYFUNCTION("""COMPUTED_VALUE""")," EN08")</f>
        <v>EN08</v>
      </c>
      <c r="AP588" s="71" t="str">
        <f>IFERROR(__xludf.DUMMYFUNCTION("""COMPUTED_VALUE""")," PZA")</f>
        <v>PZA</v>
      </c>
      <c r="AQ588" s="71" t="str">
        <f>IFERROR(__xludf.DUMMYFUNCTION("""COMPUTED_VALUE""")," REF")</f>
        <v>REF</v>
      </c>
      <c r="AR588" s="71" t="str">
        <f>IFERROR(__xludf.DUMMYFUNCTION("""COMPUTED_VALUE""")," ENGRANE DE 32 DTS SENCILLO TV-50 (B.C.)")</f>
        <v>ENGRANE DE 32 DTS SENCILLO TV-50 (B.C.)</v>
      </c>
      <c r="AS588" s="71" t="str">
        <f>IFERROR(__xludf.DUMMYFUNCTION("""COMPUTED_VALUE""")," ENGRANE 32 DTES SENCILLO TV-50 BC")</f>
        <v>ENGRANE 32 DTES SENCILLO TV-50 BC</v>
      </c>
      <c r="AT588" s="71">
        <f>IFERROR(__xludf.DUMMYFUNCTION("""COMPUTED_VALUE"""),33.0)</f>
        <v>33</v>
      </c>
      <c r="AU588" s="71"/>
      <c r="AV588" s="71"/>
      <c r="AW588" s="71"/>
      <c r="AX588" s="71"/>
      <c r="AY588" s="71">
        <f>IFERROR(__xludf.DUMMYFUNCTION("""COMPUTED_VALUE"""),172.0)</f>
        <v>172</v>
      </c>
      <c r="AZ588" s="71">
        <f>IFERROR(__xludf.DUMMYFUNCTION("""COMPUTED_VALUE"""),185.0)</f>
        <v>185</v>
      </c>
      <c r="BA588" s="71">
        <f>IFERROR(__xludf.DUMMYFUNCTION("""COMPUTED_VALUE"""),199.8)</f>
        <v>199.8</v>
      </c>
      <c r="BB588" s="71">
        <f>IFERROR(__xludf.DUMMYFUNCTION("""COMPUTED_VALUE"""),199.8)</f>
        <v>199.8</v>
      </c>
      <c r="BC588" s="71">
        <f>IFERROR(__xludf.DUMMYFUNCTION("""COMPUTED_VALUE"""),288.0)</f>
        <v>288</v>
      </c>
      <c r="BD588" s="71">
        <f>IFERROR(__xludf.DUMMYFUNCTION("""COMPUTED_VALUE"""),302.0)</f>
        <v>302</v>
      </c>
      <c r="BE588" s="71">
        <f>IFERROR(__xludf.DUMMYFUNCTION("""COMPUTED_VALUE"""),48.32)</f>
        <v>48.32</v>
      </c>
      <c r="BF588" s="71">
        <f>IFERROR(__xludf.DUMMYFUNCTION("""COMPUTED_VALUE"""),350.32)</f>
        <v>350.32</v>
      </c>
      <c r="BG588" s="71">
        <f>IFERROR(__xludf.DUMMYFUNCTION("""COMPUTED_VALUE"""),0.04861111111111111)</f>
        <v>0.04861111111</v>
      </c>
      <c r="BH588" s="71">
        <f>IFERROR(__xludf.DUMMYFUNCTION("""COMPUTED_VALUE"""),286.9)</f>
        <v>286.9</v>
      </c>
      <c r="BI588" s="71">
        <f>IFERROR(__xludf.DUMMYFUNCTION("""COMPUTED_VALUE"""),45.903999999999996)</f>
        <v>45.904</v>
      </c>
      <c r="BJ588" s="71">
        <f>IFERROR(__xludf.DUMMYFUNCTION("""COMPUTED_VALUE"""),332.804)</f>
        <v>332.804</v>
      </c>
      <c r="BK588" s="71">
        <f>IFERROR(__xludf.DUMMYFUNCTION("""COMPUTED_VALUE"""),271.8)</f>
        <v>271.8</v>
      </c>
      <c r="BL588" s="71">
        <f>IFERROR(__xludf.DUMMYFUNCTION("""COMPUTED_VALUE"""),43.488)</f>
        <v>43.488</v>
      </c>
      <c r="BM588" s="71">
        <f>IFERROR(__xludf.DUMMYFUNCTION("""COMPUTED_VALUE"""),315.288)</f>
        <v>315.288</v>
      </c>
      <c r="BN588" s="71">
        <f>IFERROR(__xludf.DUMMYFUNCTION("""COMPUTED_VALUE"""),256.7)</f>
        <v>256.7</v>
      </c>
      <c r="BO588" s="71">
        <f>IFERROR(__xludf.DUMMYFUNCTION("""COMPUTED_VALUE"""),41.071999999999996)</f>
        <v>41.072</v>
      </c>
      <c r="BP588" s="71">
        <f>IFERROR(__xludf.DUMMYFUNCTION("""COMPUTED_VALUE"""),297.772)</f>
        <v>297.772</v>
      </c>
      <c r="BQ588" s="71">
        <f>IFERROR(__xludf.DUMMYFUNCTION("""COMPUTED_VALUE"""),250.66)</f>
        <v>250.66</v>
      </c>
      <c r="BR588" s="71">
        <f>IFERROR(__xludf.DUMMYFUNCTION("""COMPUTED_VALUE"""),40.1056)</f>
        <v>40.1056</v>
      </c>
      <c r="BS588" s="71">
        <f>IFERROR(__xludf.DUMMYFUNCTION("""COMPUTED_VALUE"""),290.7656)</f>
        <v>290.7656</v>
      </c>
      <c r="BT588" s="71">
        <f>IFERROR(__xludf.DUMMYFUNCTION("""COMPUTED_VALUE"""),241.60000000000002)</f>
        <v>241.6</v>
      </c>
      <c r="BU588" s="71">
        <f>IFERROR(__xludf.DUMMYFUNCTION("""COMPUTED_VALUE"""),38.656000000000006)</f>
        <v>38.656</v>
      </c>
      <c r="BV588" s="71">
        <f>IFERROR(__xludf.DUMMYFUNCTION("""COMPUTED_VALUE"""),280.25600000000003)</f>
        <v>280.256</v>
      </c>
    </row>
    <row r="589">
      <c r="A589" s="53">
        <v>1.0</v>
      </c>
      <c r="B589" s="53"/>
      <c r="C589" s="120" t="s">
        <v>603</v>
      </c>
      <c r="D589" s="53" t="s">
        <v>1438</v>
      </c>
      <c r="E589" s="54" t="s">
        <v>38</v>
      </c>
      <c r="F589" s="54" t="s">
        <v>42</v>
      </c>
      <c r="G589" s="141" t="s">
        <v>1439</v>
      </c>
      <c r="H589" s="141" t="s">
        <v>1439</v>
      </c>
      <c r="I589" s="54">
        <f t="shared" si="24"/>
        <v>29</v>
      </c>
      <c r="J589" s="56"/>
      <c r="K589" s="75"/>
      <c r="L589" s="76"/>
      <c r="M589" s="59"/>
      <c r="N589" s="79"/>
      <c r="O589" s="61">
        <v>312.0</v>
      </c>
      <c r="P589" s="62">
        <v>135.0</v>
      </c>
      <c r="Q589" s="63">
        <v>135.0</v>
      </c>
      <c r="R589" s="64">
        <v>146.0</v>
      </c>
      <c r="S589" s="111">
        <v>153.0</v>
      </c>
      <c r="T589" s="65">
        <f t="shared" si="2"/>
        <v>24.48</v>
      </c>
      <c r="U589" s="65">
        <f t="shared" si="3"/>
        <v>177.48</v>
      </c>
      <c r="V589" s="66">
        <f t="shared" si="4"/>
        <v>0.04794520548</v>
      </c>
      <c r="W589" s="67">
        <f t="shared" si="5"/>
        <v>145.35</v>
      </c>
      <c r="X589" s="67">
        <f t="shared" si="6"/>
        <v>23.256</v>
      </c>
      <c r="Y589" s="67">
        <f t="shared" si="7"/>
        <v>168.606</v>
      </c>
      <c r="Z589" s="67">
        <f t="shared" si="8"/>
        <v>137.7</v>
      </c>
      <c r="AA589" s="67">
        <f t="shared" si="9"/>
        <v>22.032</v>
      </c>
      <c r="AB589" s="67">
        <f t="shared" si="10"/>
        <v>159.732</v>
      </c>
      <c r="AC589" s="67">
        <f t="shared" si="11"/>
        <v>130.05</v>
      </c>
      <c r="AD589" s="67">
        <f t="shared" si="12"/>
        <v>20.808</v>
      </c>
      <c r="AE589" s="67">
        <f t="shared" si="13"/>
        <v>150.858</v>
      </c>
      <c r="AF589" s="67">
        <f t="shared" si="14"/>
        <v>126.99</v>
      </c>
      <c r="AG589" s="67">
        <f t="shared" si="15"/>
        <v>20.3184</v>
      </c>
      <c r="AH589" s="67">
        <f t="shared" si="16"/>
        <v>147.3084</v>
      </c>
      <c r="AI589" s="67">
        <f t="shared" si="17"/>
        <v>122.4</v>
      </c>
      <c r="AJ589" s="68">
        <f t="shared" si="25"/>
        <v>19.584</v>
      </c>
      <c r="AK589" s="68">
        <f t="shared" si="26"/>
        <v>141.984</v>
      </c>
      <c r="AL589" s="70">
        <f>IFERROR(__xludf.DUMMYFUNCTION("""COMPUTED_VALUE"""),1.0)</f>
        <v>1</v>
      </c>
      <c r="AM589" s="70"/>
      <c r="AN589" s="71" t="str">
        <f>IFERROR(__xludf.DUMMYFUNCTION("""COMPUTED_VALUE""")," P")</f>
        <v>P</v>
      </c>
      <c r="AO589" s="71" t="str">
        <f>IFERROR(__xludf.DUMMYFUNCTION("""COMPUTED_VALUE""")," EN10")</f>
        <v>EN10</v>
      </c>
      <c r="AP589" s="71" t="str">
        <f>IFERROR(__xludf.DUMMYFUNCTION("""COMPUTED_VALUE""")," PZA")</f>
        <v>PZA</v>
      </c>
      <c r="AQ589" s="71" t="str">
        <f>IFERROR(__xludf.DUMMYFUNCTION("""COMPUTED_VALUE""")," REF")</f>
        <v>REF</v>
      </c>
      <c r="AR589" s="71" t="str">
        <f>IFERROR(__xludf.DUMMYFUNCTION("""COMPUTED_VALUE""")," ENGRANE DE 62 DTS CON PIÑON SENCILLO / DUPLEX TV")</f>
        <v>ENGRANE DE 62 DTS CON PIÑON SENCILLO / DUPLEX TV</v>
      </c>
      <c r="AS589" s="71" t="str">
        <f>IFERROR(__xludf.DUMMYFUNCTION("""COMPUTED_VALUE""")," ENGRANE 62 DTES C/PINON SEN/DPX TV 15/16")</f>
        <v>ENGRANE 62 DTES C/PINON SEN/DPX TV 15/16</v>
      </c>
      <c r="AT589" s="71">
        <f>IFERROR(__xludf.DUMMYFUNCTION("""COMPUTED_VALUE"""),40.0)</f>
        <v>40</v>
      </c>
      <c r="AU589" s="71"/>
      <c r="AV589" s="71"/>
      <c r="AW589" s="71"/>
      <c r="AX589" s="71"/>
      <c r="AY589" s="71">
        <f>IFERROR(__xludf.DUMMYFUNCTION("""COMPUTED_VALUE"""),832.0)</f>
        <v>832</v>
      </c>
      <c r="AZ589" s="71">
        <f>IFERROR(__xludf.DUMMYFUNCTION("""COMPUTED_VALUE"""),898.0)</f>
        <v>898</v>
      </c>
      <c r="BA589" s="71">
        <f>IFERROR(__xludf.DUMMYFUNCTION("""COMPUTED_VALUE"""),969.84)</f>
        <v>969.84</v>
      </c>
      <c r="BB589" s="71">
        <f>IFERROR(__xludf.DUMMYFUNCTION("""COMPUTED_VALUE"""),969.84)</f>
        <v>969.84</v>
      </c>
      <c r="BC589" s="71">
        <f>IFERROR(__xludf.DUMMYFUNCTION("""COMPUTED_VALUE"""),1176.0)</f>
        <v>1176</v>
      </c>
      <c r="BD589" s="71">
        <f>IFERROR(__xludf.DUMMYFUNCTION("""COMPUTED_VALUE"""),1235.0)</f>
        <v>1235</v>
      </c>
      <c r="BE589" s="71">
        <f>IFERROR(__xludf.DUMMYFUNCTION("""COMPUTED_VALUE"""),197.6)</f>
        <v>197.6</v>
      </c>
      <c r="BF589" s="71">
        <f>IFERROR(__xludf.DUMMYFUNCTION("""COMPUTED_VALUE"""),1432.6)</f>
        <v>1432.6</v>
      </c>
      <c r="BG589" s="71">
        <f>IFERROR(__xludf.DUMMYFUNCTION("""COMPUTED_VALUE"""),0.050170068027210885)</f>
        <v>0.05017006803</v>
      </c>
      <c r="BH589" s="71">
        <f>IFERROR(__xludf.DUMMYFUNCTION("""COMPUTED_VALUE"""),1173.25)</f>
        <v>1173.25</v>
      </c>
      <c r="BI589" s="71">
        <f>IFERROR(__xludf.DUMMYFUNCTION("""COMPUTED_VALUE"""),187.72)</f>
        <v>187.72</v>
      </c>
      <c r="BJ589" s="71">
        <f>IFERROR(__xludf.DUMMYFUNCTION("""COMPUTED_VALUE"""),1360.97)</f>
        <v>1360.97</v>
      </c>
      <c r="BK589" s="71">
        <f>IFERROR(__xludf.DUMMYFUNCTION("""COMPUTED_VALUE"""),1111.5)</f>
        <v>1111.5</v>
      </c>
      <c r="BL589" s="71">
        <f>IFERROR(__xludf.DUMMYFUNCTION("""COMPUTED_VALUE"""),177.84)</f>
        <v>177.84</v>
      </c>
      <c r="BM589" s="71">
        <f>IFERROR(__xludf.DUMMYFUNCTION("""COMPUTED_VALUE"""),1289.34)</f>
        <v>1289.34</v>
      </c>
      <c r="BN589" s="71">
        <f>IFERROR(__xludf.DUMMYFUNCTION("""COMPUTED_VALUE"""),1049.75)</f>
        <v>1049.75</v>
      </c>
      <c r="BO589" s="71">
        <f>IFERROR(__xludf.DUMMYFUNCTION("""COMPUTED_VALUE"""),167.96)</f>
        <v>167.96</v>
      </c>
      <c r="BP589" s="71">
        <f>IFERROR(__xludf.DUMMYFUNCTION("""COMPUTED_VALUE"""),1217.71)</f>
        <v>1217.71</v>
      </c>
      <c r="BQ589" s="71">
        <f>IFERROR(__xludf.DUMMYFUNCTION("""COMPUTED_VALUE"""),1025.05)</f>
        <v>1025.05</v>
      </c>
      <c r="BR589" s="71">
        <f>IFERROR(__xludf.DUMMYFUNCTION("""COMPUTED_VALUE"""),164.008)</f>
        <v>164.008</v>
      </c>
      <c r="BS589" s="71">
        <f>IFERROR(__xludf.DUMMYFUNCTION("""COMPUTED_VALUE"""),1189.058)</f>
        <v>1189.058</v>
      </c>
      <c r="BT589" s="71">
        <f>IFERROR(__xludf.DUMMYFUNCTION("""COMPUTED_VALUE"""),988.0)</f>
        <v>988</v>
      </c>
      <c r="BU589" s="71">
        <f>IFERROR(__xludf.DUMMYFUNCTION("""COMPUTED_VALUE"""),158.08)</f>
        <v>158.08</v>
      </c>
      <c r="BV589" s="71">
        <f>IFERROR(__xludf.DUMMYFUNCTION("""COMPUTED_VALUE"""),1146.08)</f>
        <v>1146.08</v>
      </c>
    </row>
    <row r="590">
      <c r="A590" s="53">
        <v>1.0</v>
      </c>
      <c r="B590" s="53"/>
      <c r="C590" s="120" t="s">
        <v>603</v>
      </c>
      <c r="D590" s="53" t="s">
        <v>1440</v>
      </c>
      <c r="E590" s="54" t="s">
        <v>38</v>
      </c>
      <c r="F590" s="54" t="s">
        <v>42</v>
      </c>
      <c r="G590" s="141" t="s">
        <v>1441</v>
      </c>
      <c r="H590" s="141" t="s">
        <v>1441</v>
      </c>
      <c r="I590" s="54">
        <f t="shared" si="24"/>
        <v>25</v>
      </c>
      <c r="J590" s="56"/>
      <c r="K590" s="75"/>
      <c r="L590" s="76"/>
      <c r="M590" s="59"/>
      <c r="N590" s="79">
        <v>307.0</v>
      </c>
      <c r="O590" s="61">
        <v>331.0</v>
      </c>
      <c r="P590" s="62">
        <v>135.0</v>
      </c>
      <c r="Q590" s="63">
        <v>135.0</v>
      </c>
      <c r="R590" s="64">
        <v>146.0</v>
      </c>
      <c r="S590" s="111">
        <v>153.0</v>
      </c>
      <c r="T590" s="65">
        <f t="shared" si="2"/>
        <v>24.48</v>
      </c>
      <c r="U590" s="65">
        <f t="shared" si="3"/>
        <v>177.48</v>
      </c>
      <c r="V590" s="66">
        <f t="shared" si="4"/>
        <v>0.04794520548</v>
      </c>
      <c r="W590" s="67">
        <f t="shared" si="5"/>
        <v>145.35</v>
      </c>
      <c r="X590" s="67">
        <f t="shared" si="6"/>
        <v>23.256</v>
      </c>
      <c r="Y590" s="67">
        <f t="shared" si="7"/>
        <v>168.606</v>
      </c>
      <c r="Z590" s="67">
        <f t="shared" si="8"/>
        <v>137.7</v>
      </c>
      <c r="AA590" s="67">
        <f t="shared" si="9"/>
        <v>22.032</v>
      </c>
      <c r="AB590" s="67">
        <f t="shared" si="10"/>
        <v>159.732</v>
      </c>
      <c r="AC590" s="67">
        <f t="shared" si="11"/>
        <v>130.05</v>
      </c>
      <c r="AD590" s="67">
        <f t="shared" si="12"/>
        <v>20.808</v>
      </c>
      <c r="AE590" s="67">
        <f t="shared" si="13"/>
        <v>150.858</v>
      </c>
      <c r="AF590" s="67">
        <f t="shared" si="14"/>
        <v>126.99</v>
      </c>
      <c r="AG590" s="67">
        <f t="shared" si="15"/>
        <v>20.3184</v>
      </c>
      <c r="AH590" s="67">
        <f t="shared" si="16"/>
        <v>147.3084</v>
      </c>
      <c r="AI590" s="67">
        <f t="shared" si="17"/>
        <v>122.4</v>
      </c>
      <c r="AJ590" s="68">
        <f t="shared" si="25"/>
        <v>19.584</v>
      </c>
      <c r="AK590" s="68">
        <f t="shared" si="26"/>
        <v>141.984</v>
      </c>
      <c r="AL590" s="70">
        <f>IFERROR(__xludf.DUMMYFUNCTION("""COMPUTED_VALUE"""),1.0)</f>
        <v>1</v>
      </c>
      <c r="AM590" s="70"/>
      <c r="AN590" s="71" t="str">
        <f>IFERROR(__xludf.DUMMYFUNCTION("""COMPUTED_VALUE""")," P")</f>
        <v>P</v>
      </c>
      <c r="AO590" s="71" t="str">
        <f>IFERROR(__xludf.DUMMYFUNCTION("""COMPUTED_VALUE""")," EN09")</f>
        <v>EN09</v>
      </c>
      <c r="AP590" s="71" t="str">
        <f>IFERROR(__xludf.DUMMYFUNCTION("""COMPUTED_VALUE""")," PZA")</f>
        <v>PZA</v>
      </c>
      <c r="AQ590" s="71" t="str">
        <f>IFERROR(__xludf.DUMMYFUNCTION("""COMPUTED_VALUE""")," REF")</f>
        <v>REF</v>
      </c>
      <c r="AR590" s="71" t="str">
        <f>IFERROR(__xludf.DUMMYFUNCTION("""COMPUTED_VALUE""")," ENGRANE DE 62 DTS CON PIÑÓN SENCILLO O DÚPLEX MODELO ANTERIOR")</f>
        <v>ENGRANE DE 62 DTS CON PIÑÓN SENCILLO O DÚPLEX MODELO ANTERIOR</v>
      </c>
      <c r="AS590" s="71" t="str">
        <f>IFERROR(__xludf.DUMMYFUNCTION("""COMPUTED_VALUE""")," ENGRANE 62 DTES C/PINON SENC/DPLX MA")</f>
        <v>ENGRANE 62 DTES C/PINON SENC/DPLX MA</v>
      </c>
      <c r="AT590" s="71">
        <f>IFERROR(__xludf.DUMMYFUNCTION("""COMPUTED_VALUE"""),36.0)</f>
        <v>36</v>
      </c>
      <c r="AU590" s="71"/>
      <c r="AV590" s="71"/>
      <c r="AW590" s="71"/>
      <c r="AX590" s="71"/>
      <c r="AY590" s="71">
        <f>IFERROR(__xludf.DUMMYFUNCTION("""COMPUTED_VALUE"""),744.0)</f>
        <v>744</v>
      </c>
      <c r="AZ590" s="71">
        <f>IFERROR(__xludf.DUMMYFUNCTION("""COMPUTED_VALUE"""),803.0)</f>
        <v>803</v>
      </c>
      <c r="BA590" s="71">
        <f>IFERROR(__xludf.DUMMYFUNCTION("""COMPUTED_VALUE"""),867.24)</f>
        <v>867.24</v>
      </c>
      <c r="BB590" s="71">
        <f>IFERROR(__xludf.DUMMYFUNCTION("""COMPUTED_VALUE"""),867.24)</f>
        <v>867.24</v>
      </c>
      <c r="BC590" s="71">
        <f>IFERROR(__xludf.DUMMYFUNCTION("""COMPUTED_VALUE"""),1040.0)</f>
        <v>1040</v>
      </c>
      <c r="BD590" s="71">
        <f>IFERROR(__xludf.DUMMYFUNCTION("""COMPUTED_VALUE"""),1092.0)</f>
        <v>1092</v>
      </c>
      <c r="BE590" s="71">
        <f>IFERROR(__xludf.DUMMYFUNCTION("""COMPUTED_VALUE"""),174.72)</f>
        <v>174.72</v>
      </c>
      <c r="BF590" s="71">
        <f>IFERROR(__xludf.DUMMYFUNCTION("""COMPUTED_VALUE"""),1266.72)</f>
        <v>1266.72</v>
      </c>
      <c r="BG590" s="71">
        <f>IFERROR(__xludf.DUMMYFUNCTION("""COMPUTED_VALUE"""),0.05)</f>
        <v>0.05</v>
      </c>
      <c r="BH590" s="71">
        <f>IFERROR(__xludf.DUMMYFUNCTION("""COMPUTED_VALUE"""),1037.3999999999999)</f>
        <v>1037.4</v>
      </c>
      <c r="BI590" s="71">
        <f>IFERROR(__xludf.DUMMYFUNCTION("""COMPUTED_VALUE"""),165.98399999999998)</f>
        <v>165.984</v>
      </c>
      <c r="BJ590" s="71">
        <f>IFERROR(__xludf.DUMMYFUNCTION("""COMPUTED_VALUE"""),1203.3839999999998)</f>
        <v>1203.384</v>
      </c>
      <c r="BK590" s="71">
        <f>IFERROR(__xludf.DUMMYFUNCTION("""COMPUTED_VALUE"""),982.8000000000001)</f>
        <v>982.8</v>
      </c>
      <c r="BL590" s="71">
        <f>IFERROR(__xludf.DUMMYFUNCTION("""COMPUTED_VALUE"""),157.24800000000002)</f>
        <v>157.248</v>
      </c>
      <c r="BM590" s="71">
        <f>IFERROR(__xludf.DUMMYFUNCTION("""COMPUTED_VALUE"""),1140.048)</f>
        <v>1140.048</v>
      </c>
      <c r="BN590" s="71">
        <f>IFERROR(__xludf.DUMMYFUNCTION("""COMPUTED_VALUE"""),928.1999999999999)</f>
        <v>928.2</v>
      </c>
      <c r="BO590" s="71">
        <f>IFERROR(__xludf.DUMMYFUNCTION("""COMPUTED_VALUE"""),148.512)</f>
        <v>148.512</v>
      </c>
      <c r="BP590" s="71">
        <f>IFERROR(__xludf.DUMMYFUNCTION("""COMPUTED_VALUE"""),1076.712)</f>
        <v>1076.712</v>
      </c>
      <c r="BQ590" s="71">
        <f>IFERROR(__xludf.DUMMYFUNCTION("""COMPUTED_VALUE"""),906.3599999999999)</f>
        <v>906.36</v>
      </c>
      <c r="BR590" s="71">
        <f>IFERROR(__xludf.DUMMYFUNCTION("""COMPUTED_VALUE"""),145.0176)</f>
        <v>145.0176</v>
      </c>
      <c r="BS590" s="71">
        <f>IFERROR(__xludf.DUMMYFUNCTION("""COMPUTED_VALUE"""),1051.3775999999998)</f>
        <v>1051.3776</v>
      </c>
      <c r="BT590" s="71">
        <f>IFERROR(__xludf.DUMMYFUNCTION("""COMPUTED_VALUE"""),873.6)</f>
        <v>873.6</v>
      </c>
      <c r="BU590" s="71">
        <f>IFERROR(__xludf.DUMMYFUNCTION("""COMPUTED_VALUE"""),139.776)</f>
        <v>139.776</v>
      </c>
      <c r="BV590" s="71">
        <f>IFERROR(__xludf.DUMMYFUNCTION("""COMPUTED_VALUE"""),1013.376)</f>
        <v>1013.376</v>
      </c>
    </row>
    <row r="591">
      <c r="A591" s="53">
        <v>1.0</v>
      </c>
      <c r="B591" s="72"/>
      <c r="C591" s="120" t="s">
        <v>603</v>
      </c>
      <c r="D591" s="74" t="s">
        <v>1442</v>
      </c>
      <c r="E591" s="54" t="s">
        <v>38</v>
      </c>
      <c r="F591" s="54" t="s">
        <v>42</v>
      </c>
      <c r="G591" s="141" t="s">
        <v>1443</v>
      </c>
      <c r="H591" s="141" t="s">
        <v>1443</v>
      </c>
      <c r="I591" s="54">
        <f t="shared" si="24"/>
        <v>23</v>
      </c>
      <c r="J591" s="56"/>
      <c r="K591" s="75"/>
      <c r="L591" s="76"/>
      <c r="M591" s="59"/>
      <c r="N591" s="60">
        <v>228.0</v>
      </c>
      <c r="O591" s="61">
        <v>250.0</v>
      </c>
      <c r="P591" s="62">
        <v>135.0</v>
      </c>
      <c r="Q591" s="63">
        <v>135.0</v>
      </c>
      <c r="R591" s="64">
        <v>184.0</v>
      </c>
      <c r="S591" s="111">
        <v>193.0</v>
      </c>
      <c r="T591" s="65">
        <f t="shared" si="2"/>
        <v>30.88</v>
      </c>
      <c r="U591" s="65">
        <f t="shared" si="3"/>
        <v>223.88</v>
      </c>
      <c r="V591" s="66">
        <f t="shared" si="4"/>
        <v>0.04891304348</v>
      </c>
      <c r="W591" s="67">
        <f t="shared" si="5"/>
        <v>183.35</v>
      </c>
      <c r="X591" s="67">
        <f t="shared" si="6"/>
        <v>29.336</v>
      </c>
      <c r="Y591" s="67">
        <f t="shared" si="7"/>
        <v>212.686</v>
      </c>
      <c r="Z591" s="67">
        <f t="shared" si="8"/>
        <v>173.7</v>
      </c>
      <c r="AA591" s="67">
        <f t="shared" si="9"/>
        <v>27.792</v>
      </c>
      <c r="AB591" s="67">
        <f t="shared" si="10"/>
        <v>201.492</v>
      </c>
      <c r="AC591" s="67">
        <f t="shared" si="11"/>
        <v>164.05</v>
      </c>
      <c r="AD591" s="67">
        <f t="shared" si="12"/>
        <v>26.248</v>
      </c>
      <c r="AE591" s="67">
        <f t="shared" si="13"/>
        <v>190.298</v>
      </c>
      <c r="AF591" s="67">
        <f t="shared" si="14"/>
        <v>160.19</v>
      </c>
      <c r="AG591" s="67">
        <f t="shared" si="15"/>
        <v>25.6304</v>
      </c>
      <c r="AH591" s="67">
        <f t="shared" si="16"/>
        <v>185.8204</v>
      </c>
      <c r="AI591" s="67">
        <f t="shared" si="17"/>
        <v>154.4</v>
      </c>
      <c r="AJ591" s="68">
        <f t="shared" si="25"/>
        <v>24.704</v>
      </c>
      <c r="AK591" s="68">
        <f t="shared" si="26"/>
        <v>179.104</v>
      </c>
      <c r="AL591" s="70">
        <f>IFERROR(__xludf.DUMMYFUNCTION("""COMPUTED_VALUE"""),1.0)</f>
        <v>1</v>
      </c>
      <c r="AM591" s="70"/>
      <c r="AN591" s="71" t="str">
        <f>IFERROR(__xludf.DUMMYFUNCTION("""COMPUTED_VALUE""")," P")</f>
        <v>P</v>
      </c>
      <c r="AO591" s="71" t="str">
        <f>IFERROR(__xludf.DUMMYFUNCTION("""COMPUTED_VALUE""")," EN11")</f>
        <v>EN11</v>
      </c>
      <c r="AP591" s="71" t="str">
        <f>IFERROR(__xludf.DUMMYFUNCTION("""COMPUTED_VALUE""")," PZA")</f>
        <v>PZA</v>
      </c>
      <c r="AQ591" s="71" t="str">
        <f>IFERROR(__xludf.DUMMYFUNCTION("""COMPUTED_VALUE""")," REF")</f>
        <v>REF</v>
      </c>
      <c r="AR591" s="71" t="str">
        <f>IFERROR(__xludf.DUMMYFUNCTION("""COMPUTED_VALUE""")," ENGRANE DE 62 DTS MODELO ANTERIOR SOLO")</f>
        <v>ENGRANE DE 62 DTS MODELO ANTERIOR SOLO</v>
      </c>
      <c r="AS591" s="71" t="str">
        <f>IFERROR(__xludf.DUMMYFUNCTION("""COMPUTED_VALUE""")," ENGRANE DE 62 DTES MODELO ANTERIOR SOLO")</f>
        <v>ENGRANE DE 62 DTES MODELO ANTERIOR SOLO</v>
      </c>
      <c r="AT591" s="71">
        <f>IFERROR(__xludf.DUMMYFUNCTION("""COMPUTED_VALUE"""),39.0)</f>
        <v>39</v>
      </c>
      <c r="AU591" s="71"/>
      <c r="AV591" s="71"/>
      <c r="AW591" s="71"/>
      <c r="AX591" s="71"/>
      <c r="AY591" s="71">
        <f>IFERROR(__xludf.DUMMYFUNCTION("""COMPUTED_VALUE"""),356.0)</f>
        <v>356</v>
      </c>
      <c r="AZ591" s="71">
        <f>IFERROR(__xludf.DUMMYFUNCTION("""COMPUTED_VALUE"""),384.0)</f>
        <v>384</v>
      </c>
      <c r="BA591" s="71">
        <f>IFERROR(__xludf.DUMMYFUNCTION("""COMPUTED_VALUE"""),414.72)</f>
        <v>414.72</v>
      </c>
      <c r="BB591" s="71">
        <f>IFERROR(__xludf.DUMMYFUNCTION("""COMPUTED_VALUE"""),414.72)</f>
        <v>414.72</v>
      </c>
      <c r="BC591" s="71">
        <f>IFERROR(__xludf.DUMMYFUNCTION("""COMPUTED_VALUE"""),480.0)</f>
        <v>480</v>
      </c>
      <c r="BD591" s="71">
        <f>IFERROR(__xludf.DUMMYFUNCTION("""COMPUTED_VALUE"""),504.0)</f>
        <v>504</v>
      </c>
      <c r="BE591" s="71">
        <f>IFERROR(__xludf.DUMMYFUNCTION("""COMPUTED_VALUE"""),80.64)</f>
        <v>80.64</v>
      </c>
      <c r="BF591" s="71">
        <f>IFERROR(__xludf.DUMMYFUNCTION("""COMPUTED_VALUE"""),584.64)</f>
        <v>584.64</v>
      </c>
      <c r="BG591" s="71">
        <f>IFERROR(__xludf.DUMMYFUNCTION("""COMPUTED_VALUE"""),0.05)</f>
        <v>0.05</v>
      </c>
      <c r="BH591" s="71">
        <f>IFERROR(__xludf.DUMMYFUNCTION("""COMPUTED_VALUE"""),478.79999999999995)</f>
        <v>478.8</v>
      </c>
      <c r="BI591" s="71">
        <f>IFERROR(__xludf.DUMMYFUNCTION("""COMPUTED_VALUE"""),76.60799999999999)</f>
        <v>76.608</v>
      </c>
      <c r="BJ591" s="71">
        <f>IFERROR(__xludf.DUMMYFUNCTION("""COMPUTED_VALUE"""),555.4079999999999)</f>
        <v>555.408</v>
      </c>
      <c r="BK591" s="71">
        <f>IFERROR(__xludf.DUMMYFUNCTION("""COMPUTED_VALUE"""),453.6)</f>
        <v>453.6</v>
      </c>
      <c r="BL591" s="71">
        <f>IFERROR(__xludf.DUMMYFUNCTION("""COMPUTED_VALUE"""),72.57600000000001)</f>
        <v>72.576</v>
      </c>
      <c r="BM591" s="71">
        <f>IFERROR(__xludf.DUMMYFUNCTION("""COMPUTED_VALUE"""),526.176)</f>
        <v>526.176</v>
      </c>
      <c r="BN591" s="71">
        <f>IFERROR(__xludf.DUMMYFUNCTION("""COMPUTED_VALUE"""),428.4)</f>
        <v>428.4</v>
      </c>
      <c r="BO591" s="71">
        <f>IFERROR(__xludf.DUMMYFUNCTION("""COMPUTED_VALUE"""),68.544)</f>
        <v>68.544</v>
      </c>
      <c r="BP591" s="71">
        <f>IFERROR(__xludf.DUMMYFUNCTION("""COMPUTED_VALUE"""),496.94399999999996)</f>
        <v>496.944</v>
      </c>
      <c r="BQ591" s="71">
        <f>IFERROR(__xludf.DUMMYFUNCTION("""COMPUTED_VALUE"""),418.32)</f>
        <v>418.32</v>
      </c>
      <c r="BR591" s="71">
        <f>IFERROR(__xludf.DUMMYFUNCTION("""COMPUTED_VALUE"""),66.9312)</f>
        <v>66.9312</v>
      </c>
      <c r="BS591" s="71">
        <f>IFERROR(__xludf.DUMMYFUNCTION("""COMPUTED_VALUE"""),485.2512)</f>
        <v>485.2512</v>
      </c>
      <c r="BT591" s="71">
        <f>IFERROR(__xludf.DUMMYFUNCTION("""COMPUTED_VALUE"""),403.20000000000005)</f>
        <v>403.2</v>
      </c>
      <c r="BU591" s="71">
        <f>IFERROR(__xludf.DUMMYFUNCTION("""COMPUTED_VALUE"""),64.51200000000001)</f>
        <v>64.512</v>
      </c>
      <c r="BV591" s="71">
        <f>IFERROR(__xludf.DUMMYFUNCTION("""COMPUTED_VALUE"""),467.71200000000005)</f>
        <v>467.712</v>
      </c>
    </row>
    <row r="592">
      <c r="A592" s="53">
        <v>1.0</v>
      </c>
      <c r="B592" s="72"/>
      <c r="C592" s="120" t="s">
        <v>603</v>
      </c>
      <c r="D592" s="74" t="s">
        <v>1444</v>
      </c>
      <c r="E592" s="54" t="s">
        <v>38</v>
      </c>
      <c r="F592" s="54" t="s">
        <v>42</v>
      </c>
      <c r="G592" s="141" t="s">
        <v>1445</v>
      </c>
      <c r="H592" s="141" t="s">
        <v>1445</v>
      </c>
      <c r="I592" s="54">
        <f t="shared" si="24"/>
        <v>29</v>
      </c>
      <c r="J592" s="56"/>
      <c r="K592" s="75"/>
      <c r="L592" s="76"/>
      <c r="M592" s="59"/>
      <c r="N592" s="60">
        <v>212.0</v>
      </c>
      <c r="O592" s="61">
        <v>251.0</v>
      </c>
      <c r="P592" s="62">
        <v>135.0</v>
      </c>
      <c r="Q592" s="63">
        <v>135.0</v>
      </c>
      <c r="R592" s="64">
        <v>184.0</v>
      </c>
      <c r="S592" s="111">
        <v>193.0</v>
      </c>
      <c r="T592" s="65">
        <f t="shared" si="2"/>
        <v>30.88</v>
      </c>
      <c r="U592" s="65">
        <f t="shared" si="3"/>
        <v>223.88</v>
      </c>
      <c r="V592" s="66">
        <f t="shared" si="4"/>
        <v>0.04891304348</v>
      </c>
      <c r="W592" s="67">
        <f t="shared" si="5"/>
        <v>183.35</v>
      </c>
      <c r="X592" s="67">
        <f t="shared" si="6"/>
        <v>29.336</v>
      </c>
      <c r="Y592" s="67">
        <f t="shared" si="7"/>
        <v>212.686</v>
      </c>
      <c r="Z592" s="67">
        <f t="shared" si="8"/>
        <v>173.7</v>
      </c>
      <c r="AA592" s="67">
        <f t="shared" si="9"/>
        <v>27.792</v>
      </c>
      <c r="AB592" s="67">
        <f t="shared" si="10"/>
        <v>201.492</v>
      </c>
      <c r="AC592" s="67">
        <f t="shared" si="11"/>
        <v>164.05</v>
      </c>
      <c r="AD592" s="67">
        <f t="shared" si="12"/>
        <v>26.248</v>
      </c>
      <c r="AE592" s="67">
        <f t="shared" si="13"/>
        <v>190.298</v>
      </c>
      <c r="AF592" s="67">
        <f t="shared" si="14"/>
        <v>160.19</v>
      </c>
      <c r="AG592" s="67">
        <f t="shared" si="15"/>
        <v>25.6304</v>
      </c>
      <c r="AH592" s="67">
        <f t="shared" si="16"/>
        <v>185.8204</v>
      </c>
      <c r="AI592" s="67">
        <f t="shared" si="17"/>
        <v>154.4</v>
      </c>
      <c r="AJ592" s="68">
        <f t="shared" si="25"/>
        <v>24.704</v>
      </c>
      <c r="AK592" s="68">
        <f t="shared" si="26"/>
        <v>179.104</v>
      </c>
      <c r="AL592" s="70">
        <f>IFERROR(__xludf.DUMMYFUNCTION("""COMPUTED_VALUE"""),1.0)</f>
        <v>1</v>
      </c>
      <c r="AM592" s="70"/>
      <c r="AN592" s="71" t="str">
        <f>IFERROR(__xludf.DUMMYFUNCTION("""COMPUTED_VALUE""")," P")</f>
        <v>P</v>
      </c>
      <c r="AO592" s="71" t="str">
        <f>IFERROR(__xludf.DUMMYFUNCTION("""COMPUTED_VALUE""")," EN12")</f>
        <v>EN12</v>
      </c>
      <c r="AP592" s="71" t="str">
        <f>IFERROR(__xludf.DUMMYFUNCTION("""COMPUTED_VALUE""")," PZA")</f>
        <v>PZA</v>
      </c>
      <c r="AQ592" s="71" t="str">
        <f>IFERROR(__xludf.DUMMYFUNCTION("""COMPUTED_VALUE""")," REF")</f>
        <v>REF</v>
      </c>
      <c r="AR592" s="71" t="str">
        <f>IFERROR(__xludf.DUMMYFUNCTION("""COMPUTED_VALUE""")," ENGRANE DE 62 DTS SENCILLO O DÚPLEX TV-50 (B.C.) SOLO")</f>
        <v>ENGRANE DE 62 DTS SENCILLO O DÚPLEX TV-50 (B.C.) SOLO</v>
      </c>
      <c r="AS592" s="71" t="str">
        <f>IFERROR(__xludf.DUMMYFUNCTION("""COMPUTED_VALUE""")," ENGRANE 62 DTES SENC/DPLX TV/BC SOLO")</f>
        <v>ENGRANE 62 DTES SENC/DPLX TV/BC SOLO</v>
      </c>
      <c r="AT592" s="71">
        <f>IFERROR(__xludf.DUMMYFUNCTION("""COMPUTED_VALUE"""),36.0)</f>
        <v>36</v>
      </c>
      <c r="AU592" s="71"/>
      <c r="AV592" s="71"/>
      <c r="AW592" s="71"/>
      <c r="AX592" s="71"/>
      <c r="AY592" s="71">
        <f>IFERROR(__xludf.DUMMYFUNCTION("""COMPUTED_VALUE"""),410.0)</f>
        <v>410</v>
      </c>
      <c r="AZ592" s="71">
        <f>IFERROR(__xludf.DUMMYFUNCTION("""COMPUTED_VALUE"""),442.0)</f>
        <v>442</v>
      </c>
      <c r="BA592" s="71">
        <f>IFERROR(__xludf.DUMMYFUNCTION("""COMPUTED_VALUE"""),477.36)</f>
        <v>477.36</v>
      </c>
      <c r="BB592" s="71">
        <f>IFERROR(__xludf.DUMMYFUNCTION("""COMPUTED_VALUE"""),477.36)</f>
        <v>477.36</v>
      </c>
      <c r="BC592" s="71">
        <f>IFERROR(__xludf.DUMMYFUNCTION("""COMPUTED_VALUE"""),580.0)</f>
        <v>580</v>
      </c>
      <c r="BD592" s="71">
        <f>IFERROR(__xludf.DUMMYFUNCTION("""COMPUTED_VALUE"""),609.0)</f>
        <v>609</v>
      </c>
      <c r="BE592" s="71">
        <f>IFERROR(__xludf.DUMMYFUNCTION("""COMPUTED_VALUE"""),97.44)</f>
        <v>97.44</v>
      </c>
      <c r="BF592" s="71">
        <f>IFERROR(__xludf.DUMMYFUNCTION("""COMPUTED_VALUE"""),706.44)</f>
        <v>706.44</v>
      </c>
      <c r="BG592" s="71">
        <f>IFERROR(__xludf.DUMMYFUNCTION("""COMPUTED_VALUE"""),0.05)</f>
        <v>0.05</v>
      </c>
      <c r="BH592" s="71">
        <f>IFERROR(__xludf.DUMMYFUNCTION("""COMPUTED_VALUE"""),578.55)</f>
        <v>578.55</v>
      </c>
      <c r="BI592" s="71">
        <f>IFERROR(__xludf.DUMMYFUNCTION("""COMPUTED_VALUE"""),92.568)</f>
        <v>92.568</v>
      </c>
      <c r="BJ592" s="71">
        <f>IFERROR(__xludf.DUMMYFUNCTION("""COMPUTED_VALUE"""),671.1179999999999)</f>
        <v>671.118</v>
      </c>
      <c r="BK592" s="71">
        <f>IFERROR(__xludf.DUMMYFUNCTION("""COMPUTED_VALUE"""),548.1)</f>
        <v>548.1</v>
      </c>
      <c r="BL592" s="71">
        <f>IFERROR(__xludf.DUMMYFUNCTION("""COMPUTED_VALUE"""),87.69600000000001)</f>
        <v>87.696</v>
      </c>
      <c r="BM592" s="71">
        <f>IFERROR(__xludf.DUMMYFUNCTION("""COMPUTED_VALUE"""),635.796)</f>
        <v>635.796</v>
      </c>
      <c r="BN592" s="71">
        <f>IFERROR(__xludf.DUMMYFUNCTION("""COMPUTED_VALUE"""),517.65)</f>
        <v>517.65</v>
      </c>
      <c r="BO592" s="71">
        <f>IFERROR(__xludf.DUMMYFUNCTION("""COMPUTED_VALUE"""),82.824)</f>
        <v>82.824</v>
      </c>
      <c r="BP592" s="71">
        <f>IFERROR(__xludf.DUMMYFUNCTION("""COMPUTED_VALUE"""),600.4739999999999)</f>
        <v>600.474</v>
      </c>
      <c r="BQ592" s="71">
        <f>IFERROR(__xludf.DUMMYFUNCTION("""COMPUTED_VALUE"""),505.46999999999997)</f>
        <v>505.47</v>
      </c>
      <c r="BR592" s="71">
        <f>IFERROR(__xludf.DUMMYFUNCTION("""COMPUTED_VALUE"""),80.87519999999999)</f>
        <v>80.8752</v>
      </c>
      <c r="BS592" s="71">
        <f>IFERROR(__xludf.DUMMYFUNCTION("""COMPUTED_VALUE"""),586.3452)</f>
        <v>586.3452</v>
      </c>
      <c r="BT592" s="71">
        <f>IFERROR(__xludf.DUMMYFUNCTION("""COMPUTED_VALUE"""),487.20000000000005)</f>
        <v>487.2</v>
      </c>
      <c r="BU592" s="71">
        <f>IFERROR(__xludf.DUMMYFUNCTION("""COMPUTED_VALUE"""),77.95200000000001)</f>
        <v>77.952</v>
      </c>
      <c r="BV592" s="71">
        <f>IFERROR(__xludf.DUMMYFUNCTION("""COMPUTED_VALUE"""),565.152)</f>
        <v>565.152</v>
      </c>
    </row>
    <row r="593">
      <c r="A593" s="53">
        <v>1.0</v>
      </c>
      <c r="B593" s="53"/>
      <c r="C593" s="73" t="s">
        <v>603</v>
      </c>
      <c r="D593" s="53" t="s">
        <v>1446</v>
      </c>
      <c r="E593" s="54" t="s">
        <v>38</v>
      </c>
      <c r="F593" s="54" t="s">
        <v>42</v>
      </c>
      <c r="G593" s="142" t="s">
        <v>1447</v>
      </c>
      <c r="H593" s="142" t="s">
        <v>1447</v>
      </c>
      <c r="I593" s="54">
        <f t="shared" si="24"/>
        <v>25</v>
      </c>
      <c r="J593" s="56"/>
      <c r="K593" s="75"/>
      <c r="L593" s="76"/>
      <c r="M593" s="59"/>
      <c r="N593" s="60"/>
      <c r="O593" s="90"/>
      <c r="P593" s="62">
        <v>180.0</v>
      </c>
      <c r="Q593" s="63">
        <v>180.0</v>
      </c>
      <c r="R593" s="64">
        <v>195.0</v>
      </c>
      <c r="S593" s="111">
        <v>205.0</v>
      </c>
      <c r="T593" s="65">
        <f t="shared" si="2"/>
        <v>32.8</v>
      </c>
      <c r="U593" s="65">
        <f t="shared" si="3"/>
        <v>237.8</v>
      </c>
      <c r="V593" s="66">
        <f t="shared" si="4"/>
        <v>0.05128205128</v>
      </c>
      <c r="W593" s="67">
        <f t="shared" si="5"/>
        <v>194.75</v>
      </c>
      <c r="X593" s="67">
        <f t="shared" si="6"/>
        <v>31.16</v>
      </c>
      <c r="Y593" s="67">
        <f t="shared" si="7"/>
        <v>225.91</v>
      </c>
      <c r="Z593" s="67">
        <f t="shared" si="8"/>
        <v>184.5</v>
      </c>
      <c r="AA593" s="67">
        <f t="shared" si="9"/>
        <v>29.52</v>
      </c>
      <c r="AB593" s="67">
        <f t="shared" si="10"/>
        <v>214.02</v>
      </c>
      <c r="AC593" s="67">
        <f t="shared" si="11"/>
        <v>174.25</v>
      </c>
      <c r="AD593" s="67">
        <f t="shared" si="12"/>
        <v>27.88</v>
      </c>
      <c r="AE593" s="67">
        <f t="shared" si="13"/>
        <v>202.13</v>
      </c>
      <c r="AF593" s="67">
        <f t="shared" si="14"/>
        <v>170.15</v>
      </c>
      <c r="AG593" s="67">
        <f t="shared" si="15"/>
        <v>27.224</v>
      </c>
      <c r="AH593" s="67">
        <f t="shared" si="16"/>
        <v>197.374</v>
      </c>
      <c r="AI593" s="67">
        <f t="shared" si="17"/>
        <v>164</v>
      </c>
      <c r="AJ593" s="68">
        <f t="shared" si="25"/>
        <v>26.24</v>
      </c>
      <c r="AK593" s="68">
        <f t="shared" si="26"/>
        <v>190.24</v>
      </c>
      <c r="AL593" s="70">
        <f>IFERROR(__xludf.DUMMYFUNCTION("""COMPUTED_VALUE"""),1.0)</f>
        <v>1</v>
      </c>
      <c r="AM593" s="70"/>
      <c r="AN593" s="71" t="str">
        <f>IFERROR(__xludf.DUMMYFUNCTION("""COMPUTED_VALUE""")," P")</f>
        <v>P</v>
      </c>
      <c r="AO593" s="71" t="str">
        <f>IFERROR(__xludf.DUMMYFUNCTION("""COMPUTED_VALUE""")," EC01")</f>
        <v>EC01</v>
      </c>
      <c r="AP593" s="71" t="str">
        <f>IFERROR(__xludf.DUMMYFUNCTION("""COMPUTED_VALUE""")," PZA")</f>
        <v>PZA</v>
      </c>
      <c r="AQ593" s="71" t="str">
        <f>IFERROR(__xludf.DUMMYFUNCTION("""COMPUTED_VALUE""")," REF")</f>
        <v>REF</v>
      </c>
      <c r="AR593" s="71" t="str">
        <f>IFERROR(__xludf.DUMMYFUNCTION("""COMPUTED_VALUE""")," ESCUADRA DE ALUMINIO")</f>
        <v>ESCUADRA DE ALUMINIO</v>
      </c>
      <c r="AS593" s="71" t="str">
        <f>IFERROR(__xludf.DUMMYFUNCTION("""COMPUTED_VALUE""")," ESCUADRA DE ALUMINIO")</f>
        <v>ESCUADRA DE ALUMINIO</v>
      </c>
      <c r="AT593" s="71">
        <f>IFERROR(__xludf.DUMMYFUNCTION("""COMPUTED_VALUE"""),20.0)</f>
        <v>20</v>
      </c>
      <c r="AU593" s="71"/>
      <c r="AV593" s="71"/>
      <c r="AW593" s="71"/>
      <c r="AX593" s="71"/>
      <c r="AY593" s="71">
        <f>IFERROR(__xludf.DUMMYFUNCTION("""COMPUTED_VALUE"""),86.0)</f>
        <v>86</v>
      </c>
      <c r="AZ593" s="71">
        <f>IFERROR(__xludf.DUMMYFUNCTION("""COMPUTED_VALUE"""),92.0)</f>
        <v>92</v>
      </c>
      <c r="BA593" s="71">
        <f>IFERROR(__xludf.DUMMYFUNCTION("""COMPUTED_VALUE"""),150.0)</f>
        <v>150</v>
      </c>
      <c r="BB593" s="71">
        <f>IFERROR(__xludf.DUMMYFUNCTION("""COMPUTED_VALUE"""),150.0)</f>
        <v>150</v>
      </c>
      <c r="BC593" s="71">
        <f>IFERROR(__xludf.DUMMYFUNCTION("""COMPUTED_VALUE"""),158.0)</f>
        <v>158</v>
      </c>
      <c r="BD593" s="71">
        <f>IFERROR(__xludf.DUMMYFUNCTION("""COMPUTED_VALUE"""),166.0)</f>
        <v>166</v>
      </c>
      <c r="BE593" s="71">
        <f>IFERROR(__xludf.DUMMYFUNCTION("""COMPUTED_VALUE"""),26.560000000000002)</f>
        <v>26.56</v>
      </c>
      <c r="BF593" s="71">
        <f>IFERROR(__xludf.DUMMYFUNCTION("""COMPUTED_VALUE"""),192.56)</f>
        <v>192.56</v>
      </c>
      <c r="BG593" s="71">
        <f>IFERROR(__xludf.DUMMYFUNCTION("""COMPUTED_VALUE"""),0.05063291139240506)</f>
        <v>0.05063291139</v>
      </c>
      <c r="BH593" s="71">
        <f>IFERROR(__xludf.DUMMYFUNCTION("""COMPUTED_VALUE"""),157.7)</f>
        <v>157.7</v>
      </c>
      <c r="BI593" s="71">
        <f>IFERROR(__xludf.DUMMYFUNCTION("""COMPUTED_VALUE"""),25.232)</f>
        <v>25.232</v>
      </c>
      <c r="BJ593" s="71">
        <f>IFERROR(__xludf.DUMMYFUNCTION("""COMPUTED_VALUE"""),182.932)</f>
        <v>182.932</v>
      </c>
      <c r="BK593" s="71">
        <f>IFERROR(__xludf.DUMMYFUNCTION("""COMPUTED_VALUE"""),149.4)</f>
        <v>149.4</v>
      </c>
      <c r="BL593" s="71">
        <f>IFERROR(__xludf.DUMMYFUNCTION("""COMPUTED_VALUE"""),23.904)</f>
        <v>23.904</v>
      </c>
      <c r="BM593" s="71">
        <f>IFERROR(__xludf.DUMMYFUNCTION("""COMPUTED_VALUE"""),173.304)</f>
        <v>173.304</v>
      </c>
      <c r="BN593" s="71">
        <f>IFERROR(__xludf.DUMMYFUNCTION("""COMPUTED_VALUE"""),141.1)</f>
        <v>141.1</v>
      </c>
      <c r="BO593" s="71">
        <f>IFERROR(__xludf.DUMMYFUNCTION("""COMPUTED_VALUE"""),22.576)</f>
        <v>22.576</v>
      </c>
      <c r="BP593" s="71">
        <f>IFERROR(__xludf.DUMMYFUNCTION("""COMPUTED_VALUE"""),163.676)</f>
        <v>163.676</v>
      </c>
      <c r="BQ593" s="71">
        <f>IFERROR(__xludf.DUMMYFUNCTION("""COMPUTED_VALUE"""),137.78)</f>
        <v>137.78</v>
      </c>
      <c r="BR593" s="71">
        <f>IFERROR(__xludf.DUMMYFUNCTION("""COMPUTED_VALUE"""),22.044800000000002)</f>
        <v>22.0448</v>
      </c>
      <c r="BS593" s="71">
        <f>IFERROR(__xludf.DUMMYFUNCTION("""COMPUTED_VALUE"""),159.8248)</f>
        <v>159.8248</v>
      </c>
      <c r="BT593" s="71">
        <f>IFERROR(__xludf.DUMMYFUNCTION("""COMPUTED_VALUE"""),132.8)</f>
        <v>132.8</v>
      </c>
      <c r="BU593" s="71">
        <f>IFERROR(__xludf.DUMMYFUNCTION("""COMPUTED_VALUE"""),21.248)</f>
        <v>21.248</v>
      </c>
      <c r="BV593" s="71">
        <f>IFERROR(__xludf.DUMMYFUNCTION("""COMPUTED_VALUE"""),154.048)</f>
        <v>154.048</v>
      </c>
    </row>
    <row r="594">
      <c r="A594" s="53">
        <v>1.0</v>
      </c>
      <c r="B594" s="53"/>
      <c r="C594" s="120" t="s">
        <v>12</v>
      </c>
      <c r="D594" s="53" t="s">
        <v>1448</v>
      </c>
      <c r="E594" s="54" t="s">
        <v>38</v>
      </c>
      <c r="F594" s="54" t="s">
        <v>42</v>
      </c>
      <c r="G594" s="141" t="s">
        <v>1449</v>
      </c>
      <c r="H594" s="141" t="s">
        <v>1449</v>
      </c>
      <c r="I594" s="54">
        <f t="shared" si="24"/>
        <v>23</v>
      </c>
      <c r="J594" s="56"/>
      <c r="K594" s="75"/>
      <c r="L594" s="76"/>
      <c r="M594" s="59"/>
      <c r="N594" s="60"/>
      <c r="O594" s="61">
        <v>360.0</v>
      </c>
      <c r="P594" s="62">
        <v>200.0</v>
      </c>
      <c r="Q594" s="63">
        <v>200.0</v>
      </c>
      <c r="R594" s="64">
        <v>216.0</v>
      </c>
      <c r="S594" s="111">
        <v>227.0</v>
      </c>
      <c r="T594" s="65">
        <f t="shared" si="2"/>
        <v>36.32</v>
      </c>
      <c r="U594" s="65">
        <f t="shared" si="3"/>
        <v>263.32</v>
      </c>
      <c r="V594" s="66">
        <f t="shared" si="4"/>
        <v>0.05092592593</v>
      </c>
      <c r="W594" s="67">
        <f t="shared" si="5"/>
        <v>215.65</v>
      </c>
      <c r="X594" s="67">
        <f t="shared" si="6"/>
        <v>34.504</v>
      </c>
      <c r="Y594" s="67">
        <f t="shared" si="7"/>
        <v>250.154</v>
      </c>
      <c r="Z594" s="67">
        <f t="shared" si="8"/>
        <v>204.3</v>
      </c>
      <c r="AA594" s="67">
        <f t="shared" si="9"/>
        <v>32.688</v>
      </c>
      <c r="AB594" s="67">
        <f t="shared" si="10"/>
        <v>236.988</v>
      </c>
      <c r="AC594" s="67">
        <f t="shared" si="11"/>
        <v>192.95</v>
      </c>
      <c r="AD594" s="67">
        <f t="shared" si="12"/>
        <v>30.872</v>
      </c>
      <c r="AE594" s="67">
        <f t="shared" si="13"/>
        <v>223.822</v>
      </c>
      <c r="AF594" s="67">
        <f t="shared" si="14"/>
        <v>188.41</v>
      </c>
      <c r="AG594" s="67">
        <f t="shared" si="15"/>
        <v>30.1456</v>
      </c>
      <c r="AH594" s="67">
        <f t="shared" si="16"/>
        <v>218.5556</v>
      </c>
      <c r="AI594" s="67">
        <f t="shared" si="17"/>
        <v>181.6</v>
      </c>
      <c r="AJ594" s="68">
        <f t="shared" si="25"/>
        <v>29.056</v>
      </c>
      <c r="AK594" s="68">
        <f t="shared" si="26"/>
        <v>210.656</v>
      </c>
      <c r="AL594" s="70">
        <f>IFERROR(__xludf.DUMMYFUNCTION("""COMPUTED_VALUE"""),1.0)</f>
        <v>1</v>
      </c>
      <c r="AM594" s="70"/>
      <c r="AN594" s="71" t="str">
        <f>IFERROR(__xludf.DUMMYFUNCTION("""COMPUTED_VALUE""")," P")</f>
        <v>P</v>
      </c>
      <c r="AO594" s="71" t="str">
        <f>IFERROR(__xludf.DUMMYFUNCTION("""COMPUTED_VALUE""")," EX01")</f>
        <v>EX01</v>
      </c>
      <c r="AP594" s="71" t="str">
        <f>IFERROR(__xludf.DUMMYFUNCTION("""COMPUTED_VALUE""")," PZA")</f>
        <v>PZA</v>
      </c>
      <c r="AQ594" s="71" t="str">
        <f>IFERROR(__xludf.DUMMYFUNCTION("""COMPUTED_VALUE""")," REF")</f>
        <v>REF</v>
      </c>
      <c r="AR594" s="71" t="str">
        <f>IFERROR(__xludf.DUMMYFUNCTION("""COMPUTED_VALUE""")," EXCÉNTRICO PARA CLUTCH DÚPLEX")</f>
        <v>EXCÉNTRICO PARA CLUTCH DÚPLEX</v>
      </c>
      <c r="AS594" s="71" t="str">
        <f>IFERROR(__xludf.DUMMYFUNCTION("""COMPUTED_VALUE""")," EXCENTRICO PARA CLUTCH DPLX")</f>
        <v>EXCENTRICO PARA CLUTCH DPLX</v>
      </c>
      <c r="AT594" s="71">
        <f>IFERROR(__xludf.DUMMYFUNCTION("""COMPUTED_VALUE"""),27.0)</f>
        <v>27</v>
      </c>
      <c r="AU594" s="71"/>
      <c r="AV594" s="71"/>
      <c r="AW594" s="71"/>
      <c r="AX594" s="71"/>
      <c r="AY594" s="71">
        <f>IFERROR(__xludf.DUMMYFUNCTION("""COMPUTED_VALUE"""),95.0)</f>
        <v>95</v>
      </c>
      <c r="AZ594" s="71">
        <f>IFERROR(__xludf.DUMMYFUNCTION("""COMPUTED_VALUE"""),102.0)</f>
        <v>102</v>
      </c>
      <c r="BA594" s="71">
        <f>IFERROR(__xludf.DUMMYFUNCTION("""COMPUTED_VALUE"""),110.16000000000001)</f>
        <v>110.16</v>
      </c>
      <c r="BB594" s="71">
        <f>IFERROR(__xludf.DUMMYFUNCTION("""COMPUTED_VALUE"""),110.16000000000001)</f>
        <v>110.16</v>
      </c>
      <c r="BC594" s="71">
        <f>IFERROR(__xludf.DUMMYFUNCTION("""COMPUTED_VALUE"""),123.0)</f>
        <v>123</v>
      </c>
      <c r="BD594" s="71">
        <f>IFERROR(__xludf.DUMMYFUNCTION("""COMPUTED_VALUE"""),129.0)</f>
        <v>129</v>
      </c>
      <c r="BE594" s="71">
        <f>IFERROR(__xludf.DUMMYFUNCTION("""COMPUTED_VALUE"""),20.64)</f>
        <v>20.64</v>
      </c>
      <c r="BF594" s="71">
        <f>IFERROR(__xludf.DUMMYFUNCTION("""COMPUTED_VALUE"""),149.64)</f>
        <v>149.64</v>
      </c>
      <c r="BG594" s="71">
        <f>IFERROR(__xludf.DUMMYFUNCTION("""COMPUTED_VALUE"""),0.04878048780487805)</f>
        <v>0.0487804878</v>
      </c>
      <c r="BH594" s="71">
        <f>IFERROR(__xludf.DUMMYFUNCTION("""COMPUTED_VALUE"""),122.55)</f>
        <v>122.55</v>
      </c>
      <c r="BI594" s="71">
        <f>IFERROR(__xludf.DUMMYFUNCTION("""COMPUTED_VALUE"""),19.608)</f>
        <v>19.608</v>
      </c>
      <c r="BJ594" s="71">
        <f>IFERROR(__xludf.DUMMYFUNCTION("""COMPUTED_VALUE"""),142.158)</f>
        <v>142.158</v>
      </c>
      <c r="BK594" s="71">
        <f>IFERROR(__xludf.DUMMYFUNCTION("""COMPUTED_VALUE"""),116.10000000000001)</f>
        <v>116.1</v>
      </c>
      <c r="BL594" s="71">
        <f>IFERROR(__xludf.DUMMYFUNCTION("""COMPUTED_VALUE"""),18.576)</f>
        <v>18.576</v>
      </c>
      <c r="BM594" s="71">
        <f>IFERROR(__xludf.DUMMYFUNCTION("""COMPUTED_VALUE"""),134.67600000000002)</f>
        <v>134.676</v>
      </c>
      <c r="BN594" s="71">
        <f>IFERROR(__xludf.DUMMYFUNCTION("""COMPUTED_VALUE"""),109.64999999999999)</f>
        <v>109.65</v>
      </c>
      <c r="BO594" s="71">
        <f>IFERROR(__xludf.DUMMYFUNCTION("""COMPUTED_VALUE"""),17.544)</f>
        <v>17.544</v>
      </c>
      <c r="BP594" s="71">
        <f>IFERROR(__xludf.DUMMYFUNCTION("""COMPUTED_VALUE"""),127.19399999999999)</f>
        <v>127.194</v>
      </c>
      <c r="BQ594" s="71">
        <f>IFERROR(__xludf.DUMMYFUNCTION("""COMPUTED_VALUE"""),107.07)</f>
        <v>107.07</v>
      </c>
      <c r="BR594" s="71">
        <f>IFERROR(__xludf.DUMMYFUNCTION("""COMPUTED_VALUE"""),17.1312)</f>
        <v>17.1312</v>
      </c>
      <c r="BS594" s="71">
        <f>IFERROR(__xludf.DUMMYFUNCTION("""COMPUTED_VALUE"""),124.2012)</f>
        <v>124.2012</v>
      </c>
      <c r="BT594" s="71">
        <f>IFERROR(__xludf.DUMMYFUNCTION("""COMPUTED_VALUE"""),103.2)</f>
        <v>103.2</v>
      </c>
      <c r="BU594" s="71">
        <f>IFERROR(__xludf.DUMMYFUNCTION("""COMPUTED_VALUE"""),16.512)</f>
        <v>16.512</v>
      </c>
      <c r="BV594" s="71">
        <f>IFERROR(__xludf.DUMMYFUNCTION("""COMPUTED_VALUE"""),119.712)</f>
        <v>119.712</v>
      </c>
    </row>
    <row r="595">
      <c r="A595" s="53">
        <v>1.0</v>
      </c>
      <c r="B595" s="53"/>
      <c r="C595" s="120" t="s">
        <v>603</v>
      </c>
      <c r="D595" s="128" t="s">
        <v>1450</v>
      </c>
      <c r="E595" s="54" t="s">
        <v>38</v>
      </c>
      <c r="F595" s="54" t="s">
        <v>42</v>
      </c>
      <c r="G595" s="141" t="s">
        <v>1451</v>
      </c>
      <c r="H595" s="141" t="s">
        <v>1451</v>
      </c>
      <c r="I595" s="54">
        <f t="shared" si="24"/>
        <v>29</v>
      </c>
      <c r="J595" s="56"/>
      <c r="K595" s="75"/>
      <c r="L595" s="76"/>
      <c r="M595" s="59"/>
      <c r="N595" s="60">
        <v>386.40000000000003</v>
      </c>
      <c r="O595" s="129">
        <v>417.0</v>
      </c>
      <c r="P595" s="62">
        <v>205.0</v>
      </c>
      <c r="Q595" s="63">
        <v>205.0</v>
      </c>
      <c r="R595" s="64">
        <v>222.0</v>
      </c>
      <c r="S595" s="111">
        <v>233.0</v>
      </c>
      <c r="T595" s="65">
        <f t="shared" si="2"/>
        <v>37.28</v>
      </c>
      <c r="U595" s="65">
        <f t="shared" si="3"/>
        <v>270.28</v>
      </c>
      <c r="V595" s="66">
        <f t="shared" si="4"/>
        <v>0.04954954955</v>
      </c>
      <c r="W595" s="67">
        <f t="shared" si="5"/>
        <v>221.35</v>
      </c>
      <c r="X595" s="67">
        <f t="shared" si="6"/>
        <v>35.416</v>
      </c>
      <c r="Y595" s="67">
        <f t="shared" si="7"/>
        <v>256.766</v>
      </c>
      <c r="Z595" s="67">
        <f t="shared" si="8"/>
        <v>209.7</v>
      </c>
      <c r="AA595" s="67">
        <f t="shared" si="9"/>
        <v>33.552</v>
      </c>
      <c r="AB595" s="67">
        <f t="shared" si="10"/>
        <v>243.252</v>
      </c>
      <c r="AC595" s="67">
        <f t="shared" si="11"/>
        <v>198.05</v>
      </c>
      <c r="AD595" s="67">
        <f t="shared" si="12"/>
        <v>31.688</v>
      </c>
      <c r="AE595" s="67">
        <f t="shared" si="13"/>
        <v>229.738</v>
      </c>
      <c r="AF595" s="67">
        <f t="shared" si="14"/>
        <v>193.39</v>
      </c>
      <c r="AG595" s="67">
        <f t="shared" si="15"/>
        <v>30.9424</v>
      </c>
      <c r="AH595" s="67">
        <f t="shared" si="16"/>
        <v>224.3324</v>
      </c>
      <c r="AI595" s="67">
        <f t="shared" si="17"/>
        <v>186.4</v>
      </c>
      <c r="AJ595" s="68">
        <f t="shared" si="25"/>
        <v>29.824</v>
      </c>
      <c r="AK595" s="68">
        <f t="shared" si="26"/>
        <v>216.224</v>
      </c>
      <c r="AL595" s="70">
        <f>IFERROR(__xludf.DUMMYFUNCTION("""COMPUTED_VALUE"""),1.0)</f>
        <v>1</v>
      </c>
      <c r="AM595" s="70"/>
      <c r="AN595" s="71" t="str">
        <f>IFERROR(__xludf.DUMMYFUNCTION("""COMPUTED_VALUE""")," P")</f>
        <v>P</v>
      </c>
      <c r="AO595" s="71" t="str">
        <f>IFERROR(__xludf.DUMMYFUNCTION("""COMPUTED_VALUE""")," EX02")</f>
        <v>EX02</v>
      </c>
      <c r="AP595" s="71" t="str">
        <f>IFERROR(__xludf.DUMMYFUNCTION("""COMPUTED_VALUE""")," PZA")</f>
        <v>PZA</v>
      </c>
      <c r="AQ595" s="71" t="str">
        <f>IFERROR(__xludf.DUMMYFUNCTION("""COMPUTED_VALUE""")," REF")</f>
        <v>REF</v>
      </c>
      <c r="AR595" s="71" t="str">
        <f>IFERROR(__xludf.DUMMYFUNCTION("""COMPUTED_VALUE""")," EXCÉNTRICO PARA CLUTCH SENCILLO")</f>
        <v>EXCÉNTRICO PARA CLUTCH SENCILLO</v>
      </c>
      <c r="AS595" s="71" t="str">
        <f>IFERROR(__xludf.DUMMYFUNCTION("""COMPUTED_VALUE""")," EXCENTRICO PARA CLUTCH SENCILLO")</f>
        <v>EXCENTRICO PARA CLUTCH SENCILLO</v>
      </c>
      <c r="AT595" s="71">
        <f>IFERROR(__xludf.DUMMYFUNCTION("""COMPUTED_VALUE"""),31.0)</f>
        <v>31</v>
      </c>
      <c r="AU595" s="71"/>
      <c r="AV595" s="71"/>
      <c r="AW595" s="71"/>
      <c r="AX595" s="71"/>
      <c r="AY595" s="71">
        <f>IFERROR(__xludf.DUMMYFUNCTION("""COMPUTED_VALUE"""),91.0)</f>
        <v>91</v>
      </c>
      <c r="AZ595" s="71">
        <f>IFERROR(__xludf.DUMMYFUNCTION("""COMPUTED_VALUE"""),98.0)</f>
        <v>98</v>
      </c>
      <c r="BA595" s="71">
        <f>IFERROR(__xludf.DUMMYFUNCTION("""COMPUTED_VALUE"""),105.84)</f>
        <v>105.84</v>
      </c>
      <c r="BB595" s="71">
        <f>IFERROR(__xludf.DUMMYFUNCTION("""COMPUTED_VALUE"""),105.84)</f>
        <v>105.84</v>
      </c>
      <c r="BC595" s="71">
        <f>IFERROR(__xludf.DUMMYFUNCTION("""COMPUTED_VALUE"""),119.0)</f>
        <v>119</v>
      </c>
      <c r="BD595" s="71">
        <f>IFERROR(__xludf.DUMMYFUNCTION("""COMPUTED_VALUE"""),125.0)</f>
        <v>125</v>
      </c>
      <c r="BE595" s="71">
        <f>IFERROR(__xludf.DUMMYFUNCTION("""COMPUTED_VALUE"""),20.0)</f>
        <v>20</v>
      </c>
      <c r="BF595" s="71">
        <f>IFERROR(__xludf.DUMMYFUNCTION("""COMPUTED_VALUE"""),145.0)</f>
        <v>145</v>
      </c>
      <c r="BG595" s="71">
        <f>IFERROR(__xludf.DUMMYFUNCTION("""COMPUTED_VALUE"""),0.05042016806722689)</f>
        <v>0.05042016807</v>
      </c>
      <c r="BH595" s="71">
        <f>IFERROR(__xludf.DUMMYFUNCTION("""COMPUTED_VALUE"""),118.75)</f>
        <v>118.75</v>
      </c>
      <c r="BI595" s="71">
        <f>IFERROR(__xludf.DUMMYFUNCTION("""COMPUTED_VALUE"""),19.0)</f>
        <v>19</v>
      </c>
      <c r="BJ595" s="71">
        <f>IFERROR(__xludf.DUMMYFUNCTION("""COMPUTED_VALUE"""),137.75)</f>
        <v>137.75</v>
      </c>
      <c r="BK595" s="71">
        <f>IFERROR(__xludf.DUMMYFUNCTION("""COMPUTED_VALUE"""),112.5)</f>
        <v>112.5</v>
      </c>
      <c r="BL595" s="71">
        <f>IFERROR(__xludf.DUMMYFUNCTION("""COMPUTED_VALUE"""),18.0)</f>
        <v>18</v>
      </c>
      <c r="BM595" s="71">
        <f>IFERROR(__xludf.DUMMYFUNCTION("""COMPUTED_VALUE"""),130.5)</f>
        <v>130.5</v>
      </c>
      <c r="BN595" s="71">
        <f>IFERROR(__xludf.DUMMYFUNCTION("""COMPUTED_VALUE"""),106.25)</f>
        <v>106.25</v>
      </c>
      <c r="BO595" s="71">
        <f>IFERROR(__xludf.DUMMYFUNCTION("""COMPUTED_VALUE"""),17.0)</f>
        <v>17</v>
      </c>
      <c r="BP595" s="71">
        <f>IFERROR(__xludf.DUMMYFUNCTION("""COMPUTED_VALUE"""),123.25)</f>
        <v>123.25</v>
      </c>
      <c r="BQ595" s="71">
        <f>IFERROR(__xludf.DUMMYFUNCTION("""COMPUTED_VALUE"""),103.75)</f>
        <v>103.75</v>
      </c>
      <c r="BR595" s="71">
        <f>IFERROR(__xludf.DUMMYFUNCTION("""COMPUTED_VALUE"""),16.6)</f>
        <v>16.6</v>
      </c>
      <c r="BS595" s="71">
        <f>IFERROR(__xludf.DUMMYFUNCTION("""COMPUTED_VALUE"""),120.35)</f>
        <v>120.35</v>
      </c>
      <c r="BT595" s="71">
        <f>IFERROR(__xludf.DUMMYFUNCTION("""COMPUTED_VALUE"""),100.0)</f>
        <v>100</v>
      </c>
      <c r="BU595" s="71">
        <f>IFERROR(__xludf.DUMMYFUNCTION("""COMPUTED_VALUE"""),16.0)</f>
        <v>16</v>
      </c>
      <c r="BV595" s="71">
        <f>IFERROR(__xludf.DUMMYFUNCTION("""COMPUTED_VALUE"""),116.0)</f>
        <v>116</v>
      </c>
    </row>
    <row r="596">
      <c r="A596" s="53">
        <v>1.0</v>
      </c>
      <c r="B596" s="53"/>
      <c r="C596" s="120" t="s">
        <v>603</v>
      </c>
      <c r="D596" s="53" t="s">
        <v>1452</v>
      </c>
      <c r="E596" s="54" t="s">
        <v>38</v>
      </c>
      <c r="F596" s="54" t="s">
        <v>42</v>
      </c>
      <c r="G596" s="141" t="s">
        <v>1453</v>
      </c>
      <c r="H596" s="141" t="s">
        <v>1453</v>
      </c>
      <c r="I596" s="54">
        <f t="shared" si="24"/>
        <v>29</v>
      </c>
      <c r="J596" s="56"/>
      <c r="K596" s="75"/>
      <c r="L596" s="76"/>
      <c r="M596" s="59"/>
      <c r="N596" s="60"/>
      <c r="O596" s="61">
        <v>432.0</v>
      </c>
      <c r="P596" s="62">
        <v>205.0</v>
      </c>
      <c r="Q596" s="63">
        <v>205.0</v>
      </c>
      <c r="R596" s="64">
        <v>216.0</v>
      </c>
      <c r="S596" s="111">
        <v>227.0</v>
      </c>
      <c r="T596" s="65">
        <f t="shared" si="2"/>
        <v>36.32</v>
      </c>
      <c r="U596" s="65">
        <f t="shared" si="3"/>
        <v>263.32</v>
      </c>
      <c r="V596" s="66">
        <f t="shared" si="4"/>
        <v>0.05092592593</v>
      </c>
      <c r="W596" s="67">
        <f t="shared" si="5"/>
        <v>215.65</v>
      </c>
      <c r="X596" s="67">
        <f t="shared" si="6"/>
        <v>34.504</v>
      </c>
      <c r="Y596" s="67">
        <f t="shared" si="7"/>
        <v>250.154</v>
      </c>
      <c r="Z596" s="67">
        <f t="shared" si="8"/>
        <v>204.3</v>
      </c>
      <c r="AA596" s="67">
        <f t="shared" si="9"/>
        <v>32.688</v>
      </c>
      <c r="AB596" s="67">
        <f t="shared" si="10"/>
        <v>236.988</v>
      </c>
      <c r="AC596" s="67">
        <f t="shared" si="11"/>
        <v>192.95</v>
      </c>
      <c r="AD596" s="67">
        <f t="shared" si="12"/>
        <v>30.872</v>
      </c>
      <c r="AE596" s="67">
        <f t="shared" si="13"/>
        <v>223.822</v>
      </c>
      <c r="AF596" s="67">
        <f t="shared" si="14"/>
        <v>188.41</v>
      </c>
      <c r="AG596" s="67">
        <f t="shared" si="15"/>
        <v>30.1456</v>
      </c>
      <c r="AH596" s="67">
        <f t="shared" si="16"/>
        <v>218.5556</v>
      </c>
      <c r="AI596" s="67">
        <f t="shared" si="17"/>
        <v>181.6</v>
      </c>
      <c r="AJ596" s="68">
        <f t="shared" si="25"/>
        <v>29.056</v>
      </c>
      <c r="AK596" s="68">
        <f t="shared" si="26"/>
        <v>210.656</v>
      </c>
      <c r="AL596" s="70">
        <f>IFERROR(__xludf.DUMMYFUNCTION("""COMPUTED_VALUE"""),1.0)</f>
        <v>1</v>
      </c>
      <c r="AM596" s="70"/>
      <c r="AN596" s="71" t="str">
        <f>IFERROR(__xludf.DUMMYFUNCTION("""COMPUTED_VALUE""")," P")</f>
        <v>P</v>
      </c>
      <c r="AO596" s="71" t="str">
        <f>IFERROR(__xludf.DUMMYFUNCTION("""COMPUTED_VALUE""")," FL29")</f>
        <v>FL29</v>
      </c>
      <c r="AP596" s="71" t="str">
        <f>IFERROR(__xludf.DUMMYFUNCTION("""COMPUTED_VALUE""")," PZA")</f>
        <v>PZA</v>
      </c>
      <c r="AQ596" s="71" t="str">
        <f>IFERROR(__xludf.DUMMYFUNCTION("""COMPUTED_VALUE""")," REF")</f>
        <v>REF</v>
      </c>
      <c r="AR596" s="71" t="str">
        <f>IFERROR(__xludf.DUMMYFUNCTION("""COMPUTED_VALUE""")," FLECHA CON ESPIRAL DE MOLINO CAMARADA")</f>
        <v>FLECHA CON ESPIRAL DE MOLINO CAMARADA</v>
      </c>
      <c r="AS596" s="71" t="str">
        <f>IFERROR(__xludf.DUMMYFUNCTION("""COMPUTED_VALUE""")," FLECHA CON ESPIRAL DE MOLINO CAMARADA")</f>
        <v>FLECHA CON ESPIRAL DE MOLINO CAMARADA</v>
      </c>
      <c r="AT596" s="71">
        <f>IFERROR(__xludf.DUMMYFUNCTION("""COMPUTED_VALUE"""),37.0)</f>
        <v>37</v>
      </c>
      <c r="AU596" s="71"/>
      <c r="AV596" s="71"/>
      <c r="AW596" s="71"/>
      <c r="AX596" s="71"/>
      <c r="AY596" s="71">
        <f>IFERROR(__xludf.DUMMYFUNCTION("""COMPUTED_VALUE"""),1845.0)</f>
        <v>1845</v>
      </c>
      <c r="AZ596" s="71">
        <f>IFERROR(__xludf.DUMMYFUNCTION("""COMPUTED_VALUE"""),1992.0)</f>
        <v>1992</v>
      </c>
      <c r="BA596" s="71">
        <f>IFERROR(__xludf.DUMMYFUNCTION("""COMPUTED_VALUE"""),2151.36)</f>
        <v>2151.36</v>
      </c>
      <c r="BB596" s="71">
        <f>IFERROR(__xludf.DUMMYFUNCTION("""COMPUTED_VALUE"""),2151.36)</f>
        <v>2151.36</v>
      </c>
      <c r="BC596" s="71">
        <f>IFERROR(__xludf.DUMMYFUNCTION("""COMPUTED_VALUE"""),2396.0)</f>
        <v>2396</v>
      </c>
      <c r="BD596" s="71">
        <f>IFERROR(__xludf.DUMMYFUNCTION("""COMPUTED_VALUE"""),2516.0)</f>
        <v>2516</v>
      </c>
      <c r="BE596" s="71">
        <f>IFERROR(__xludf.DUMMYFUNCTION("""COMPUTED_VALUE"""),402.56)</f>
        <v>402.56</v>
      </c>
      <c r="BF596" s="71">
        <f>IFERROR(__xludf.DUMMYFUNCTION("""COMPUTED_VALUE"""),2918.56)</f>
        <v>2918.56</v>
      </c>
      <c r="BG596" s="71">
        <f>IFERROR(__xludf.DUMMYFUNCTION("""COMPUTED_VALUE"""),0.05008347245409015)</f>
        <v>0.05008347245</v>
      </c>
      <c r="BH596" s="71">
        <f>IFERROR(__xludf.DUMMYFUNCTION("""COMPUTED_VALUE"""),2390.2)</f>
        <v>2390.2</v>
      </c>
      <c r="BI596" s="71">
        <f>IFERROR(__xludf.DUMMYFUNCTION("""COMPUTED_VALUE"""),382.43199999999996)</f>
        <v>382.432</v>
      </c>
      <c r="BJ596" s="71">
        <f>IFERROR(__xludf.DUMMYFUNCTION("""COMPUTED_VALUE"""),2772.6319999999996)</f>
        <v>2772.632</v>
      </c>
      <c r="BK596" s="71">
        <f>IFERROR(__xludf.DUMMYFUNCTION("""COMPUTED_VALUE"""),2264.4)</f>
        <v>2264.4</v>
      </c>
      <c r="BL596" s="71">
        <f>IFERROR(__xludf.DUMMYFUNCTION("""COMPUTED_VALUE"""),362.30400000000003)</f>
        <v>362.304</v>
      </c>
      <c r="BM596" s="71">
        <f>IFERROR(__xludf.DUMMYFUNCTION("""COMPUTED_VALUE"""),2626.704)</f>
        <v>2626.704</v>
      </c>
      <c r="BN596" s="71">
        <f>IFERROR(__xludf.DUMMYFUNCTION("""COMPUTED_VALUE"""),2138.6)</f>
        <v>2138.6</v>
      </c>
      <c r="BO596" s="71">
        <f>IFERROR(__xludf.DUMMYFUNCTION("""COMPUTED_VALUE"""),342.176)</f>
        <v>342.176</v>
      </c>
      <c r="BP596" s="71">
        <f>IFERROR(__xludf.DUMMYFUNCTION("""COMPUTED_VALUE"""),2480.776)</f>
        <v>2480.776</v>
      </c>
      <c r="BQ596" s="71">
        <f>IFERROR(__xludf.DUMMYFUNCTION("""COMPUTED_VALUE"""),2088.2799999999997)</f>
        <v>2088.28</v>
      </c>
      <c r="BR596" s="71">
        <f>IFERROR(__xludf.DUMMYFUNCTION("""COMPUTED_VALUE"""),334.1248)</f>
        <v>334.1248</v>
      </c>
      <c r="BS596" s="71">
        <f>IFERROR(__xludf.DUMMYFUNCTION("""COMPUTED_VALUE"""),2422.4048)</f>
        <v>2422.4048</v>
      </c>
      <c r="BT596" s="71">
        <f>IFERROR(__xludf.DUMMYFUNCTION("""COMPUTED_VALUE"""),2012.8000000000002)</f>
        <v>2012.8</v>
      </c>
      <c r="BU596" s="71">
        <f>IFERROR(__xludf.DUMMYFUNCTION("""COMPUTED_VALUE"""),322.04800000000006)</f>
        <v>322.048</v>
      </c>
      <c r="BV596" s="71">
        <f>IFERROR(__xludf.DUMMYFUNCTION("""COMPUTED_VALUE"""),2334.8480000000004)</f>
        <v>2334.848</v>
      </c>
    </row>
    <row r="597">
      <c r="A597" s="53">
        <v>1.0</v>
      </c>
      <c r="B597" s="53"/>
      <c r="C597" s="53" t="s">
        <v>36</v>
      </c>
      <c r="D597" s="85" t="s">
        <v>1454</v>
      </c>
      <c r="E597" s="54" t="s">
        <v>38</v>
      </c>
      <c r="F597" s="55" t="s">
        <v>39</v>
      </c>
      <c r="G597" s="142" t="s">
        <v>1455</v>
      </c>
      <c r="H597" s="142" t="s">
        <v>1455</v>
      </c>
      <c r="I597" s="54">
        <f t="shared" si="24"/>
        <v>23</v>
      </c>
      <c r="J597" s="56"/>
      <c r="K597" s="75"/>
      <c r="L597" s="76"/>
      <c r="M597" s="59"/>
      <c r="N597" s="60"/>
      <c r="O597" s="61">
        <v>638.95</v>
      </c>
      <c r="P597" s="62">
        <v>240.0</v>
      </c>
      <c r="Q597" s="63">
        <v>240.0</v>
      </c>
      <c r="R597" s="64">
        <v>252.0</v>
      </c>
      <c r="S597" s="107">
        <v>265.0</v>
      </c>
      <c r="T597" s="65">
        <f t="shared" si="2"/>
        <v>42.4</v>
      </c>
      <c r="U597" s="65">
        <f t="shared" si="3"/>
        <v>307.4</v>
      </c>
      <c r="V597" s="66">
        <f t="shared" si="4"/>
        <v>0.05158730159</v>
      </c>
      <c r="W597" s="67">
        <f t="shared" si="5"/>
        <v>251.75</v>
      </c>
      <c r="X597" s="67">
        <f t="shared" si="6"/>
        <v>40.28</v>
      </c>
      <c r="Y597" s="67">
        <f t="shared" si="7"/>
        <v>292.03</v>
      </c>
      <c r="Z597" s="67">
        <f t="shared" si="8"/>
        <v>238.5</v>
      </c>
      <c r="AA597" s="67">
        <f t="shared" si="9"/>
        <v>38.16</v>
      </c>
      <c r="AB597" s="67">
        <f t="shared" si="10"/>
        <v>276.66</v>
      </c>
      <c r="AC597" s="67">
        <f t="shared" si="11"/>
        <v>225.25</v>
      </c>
      <c r="AD597" s="67">
        <f t="shared" si="12"/>
        <v>36.04</v>
      </c>
      <c r="AE597" s="67">
        <f t="shared" si="13"/>
        <v>261.29</v>
      </c>
      <c r="AF597" s="67">
        <f t="shared" si="14"/>
        <v>219.95</v>
      </c>
      <c r="AG597" s="67">
        <f t="shared" si="15"/>
        <v>35.192</v>
      </c>
      <c r="AH597" s="67">
        <f t="shared" si="16"/>
        <v>255.142</v>
      </c>
      <c r="AI597" s="67">
        <f t="shared" si="17"/>
        <v>212</v>
      </c>
      <c r="AJ597" s="68">
        <f t="shared" si="25"/>
        <v>33.92</v>
      </c>
      <c r="AK597" s="68">
        <f t="shared" si="26"/>
        <v>245.92</v>
      </c>
      <c r="AL597" s="70">
        <f>IFERROR(__xludf.DUMMYFUNCTION("""COMPUTED_VALUE"""),1.0)</f>
        <v>1</v>
      </c>
      <c r="AM597" s="70"/>
      <c r="AN597" s="71" t="str">
        <f>IFERROR(__xludf.DUMMYFUNCTION("""COMPUTED_VALUE""")," P")</f>
        <v>P</v>
      </c>
      <c r="AO597" s="71" t="str">
        <f>IFERROR(__xludf.DUMMYFUNCTION("""COMPUTED_VALUE""")," FL03")</f>
        <v>FL03</v>
      </c>
      <c r="AP597" s="71" t="str">
        <f>IFERROR(__xludf.DUMMYFUNCTION("""COMPUTED_VALUE""")," PZA")</f>
        <v>PZA</v>
      </c>
      <c r="AQ597" s="71" t="str">
        <f>IFERROR(__xludf.DUMMYFUNCTION("""COMPUTED_VALUE""")," REF")</f>
        <v>REF</v>
      </c>
      <c r="AR597" s="71" t="str">
        <f>IFERROR(__xludf.DUMMYFUNCTION("""COMPUTED_VALUE""")," FLECHA DE VENTILADOR PARA 2 BALEROS 6202")</f>
        <v>FLECHA DE VENTILADOR PARA 2 BALEROS 6202</v>
      </c>
      <c r="AS597" s="71" t="str">
        <f>IFERROR(__xludf.DUMMYFUNCTION("""COMPUTED_VALUE""")," FLECHA DE VENTILADOR PARA 2 BALEROS 6202")</f>
        <v>FLECHA DE VENTILADOR PARA 2 BALEROS 6202</v>
      </c>
      <c r="AT597" s="71">
        <f>IFERROR(__xludf.DUMMYFUNCTION("""COMPUTED_VALUE"""),40.0)</f>
        <v>40</v>
      </c>
      <c r="AU597" s="71"/>
      <c r="AV597" s="71"/>
      <c r="AW597" s="71"/>
      <c r="AX597" s="71"/>
      <c r="AY597" s="71">
        <f>IFERROR(__xludf.DUMMYFUNCTION("""COMPUTED_VALUE"""),46.0)</f>
        <v>46</v>
      </c>
      <c r="AZ597" s="71">
        <f>IFERROR(__xludf.DUMMYFUNCTION("""COMPUTED_VALUE"""),49.0)</f>
        <v>49</v>
      </c>
      <c r="BA597" s="71">
        <f>IFERROR(__xludf.DUMMYFUNCTION("""COMPUTED_VALUE"""),52.92)</f>
        <v>52.92</v>
      </c>
      <c r="BB597" s="71">
        <f>IFERROR(__xludf.DUMMYFUNCTION("""COMPUTED_VALUE"""),52.92)</f>
        <v>52.92</v>
      </c>
      <c r="BC597" s="71">
        <f>IFERROR(__xludf.DUMMYFUNCTION("""COMPUTED_VALUE"""),59.0)</f>
        <v>59</v>
      </c>
      <c r="BD597" s="71">
        <f>IFERROR(__xludf.DUMMYFUNCTION("""COMPUTED_VALUE"""),62.0)</f>
        <v>62</v>
      </c>
      <c r="BE597" s="71">
        <f>IFERROR(__xludf.DUMMYFUNCTION("""COMPUTED_VALUE"""),9.92)</f>
        <v>9.92</v>
      </c>
      <c r="BF597" s="71">
        <f>IFERROR(__xludf.DUMMYFUNCTION("""COMPUTED_VALUE"""),71.92)</f>
        <v>71.92</v>
      </c>
      <c r="BG597" s="71">
        <f>IFERROR(__xludf.DUMMYFUNCTION("""COMPUTED_VALUE"""),0.05084745762711865)</f>
        <v>0.05084745763</v>
      </c>
      <c r="BH597" s="71">
        <f>IFERROR(__xludf.DUMMYFUNCTION("""COMPUTED_VALUE"""),58.9)</f>
        <v>58.9</v>
      </c>
      <c r="BI597" s="71">
        <f>IFERROR(__xludf.DUMMYFUNCTION("""COMPUTED_VALUE"""),9.424)</f>
        <v>9.424</v>
      </c>
      <c r="BJ597" s="71">
        <f>IFERROR(__xludf.DUMMYFUNCTION("""COMPUTED_VALUE"""),68.324)</f>
        <v>68.324</v>
      </c>
      <c r="BK597" s="71">
        <f>IFERROR(__xludf.DUMMYFUNCTION("""COMPUTED_VALUE"""),55.800000000000004)</f>
        <v>55.8</v>
      </c>
      <c r="BL597" s="71">
        <f>IFERROR(__xludf.DUMMYFUNCTION("""COMPUTED_VALUE"""),8.928)</f>
        <v>8.928</v>
      </c>
      <c r="BM597" s="71">
        <f>IFERROR(__xludf.DUMMYFUNCTION("""COMPUTED_VALUE"""),64.72800000000001)</f>
        <v>64.728</v>
      </c>
      <c r="BN597" s="71">
        <f>IFERROR(__xludf.DUMMYFUNCTION("""COMPUTED_VALUE"""),52.699999999999996)</f>
        <v>52.7</v>
      </c>
      <c r="BO597" s="71">
        <f>IFERROR(__xludf.DUMMYFUNCTION("""COMPUTED_VALUE"""),8.431999999999999)</f>
        <v>8.432</v>
      </c>
      <c r="BP597" s="71">
        <f>IFERROR(__xludf.DUMMYFUNCTION("""COMPUTED_VALUE"""),61.13199999999999)</f>
        <v>61.132</v>
      </c>
      <c r="BQ597" s="71">
        <f>IFERROR(__xludf.DUMMYFUNCTION("""COMPUTED_VALUE"""),51.46)</f>
        <v>51.46</v>
      </c>
      <c r="BR597" s="71">
        <f>IFERROR(__xludf.DUMMYFUNCTION("""COMPUTED_VALUE"""),8.233600000000001)</f>
        <v>8.2336</v>
      </c>
      <c r="BS597" s="71">
        <f>IFERROR(__xludf.DUMMYFUNCTION("""COMPUTED_VALUE"""),59.6936)</f>
        <v>59.6936</v>
      </c>
      <c r="BT597" s="71">
        <f>IFERROR(__xludf.DUMMYFUNCTION("""COMPUTED_VALUE"""),49.6)</f>
        <v>49.6</v>
      </c>
      <c r="BU597" s="71">
        <f>IFERROR(__xludf.DUMMYFUNCTION("""COMPUTED_VALUE"""),7.936000000000001)</f>
        <v>7.936</v>
      </c>
      <c r="BV597" s="71">
        <f>IFERROR(__xludf.DUMMYFUNCTION("""COMPUTED_VALUE"""),57.536)</f>
        <v>57.536</v>
      </c>
    </row>
    <row r="598">
      <c r="A598" s="53">
        <v>1.0</v>
      </c>
      <c r="B598" s="53"/>
      <c r="C598" s="120" t="s">
        <v>603</v>
      </c>
      <c r="D598" s="128" t="s">
        <v>1456</v>
      </c>
      <c r="E598" s="54" t="s">
        <v>38</v>
      </c>
      <c r="F598" s="54" t="s">
        <v>42</v>
      </c>
      <c r="G598" s="141" t="s">
        <v>1457</v>
      </c>
      <c r="H598" s="141" t="s">
        <v>1457</v>
      </c>
      <c r="I598" s="54">
        <f t="shared" si="24"/>
        <v>23</v>
      </c>
      <c r="J598" s="56"/>
      <c r="K598" s="75"/>
      <c r="L598" s="76"/>
      <c r="M598" s="59"/>
      <c r="N598" s="60"/>
      <c r="O598" s="129">
        <v>460.0</v>
      </c>
      <c r="P598" s="62">
        <v>265.0</v>
      </c>
      <c r="Q598" s="63">
        <v>265.0</v>
      </c>
      <c r="R598" s="64">
        <v>287.0</v>
      </c>
      <c r="S598" s="111">
        <v>301.0</v>
      </c>
      <c r="T598" s="65">
        <f t="shared" si="2"/>
        <v>48.16</v>
      </c>
      <c r="U598" s="65">
        <f t="shared" si="3"/>
        <v>349.16</v>
      </c>
      <c r="V598" s="66">
        <f t="shared" si="4"/>
        <v>0.0487804878</v>
      </c>
      <c r="W598" s="67">
        <f t="shared" si="5"/>
        <v>285.95</v>
      </c>
      <c r="X598" s="67">
        <f t="shared" si="6"/>
        <v>45.752</v>
      </c>
      <c r="Y598" s="67">
        <f t="shared" si="7"/>
        <v>331.702</v>
      </c>
      <c r="Z598" s="67">
        <f t="shared" si="8"/>
        <v>270.9</v>
      </c>
      <c r="AA598" s="67">
        <f t="shared" si="9"/>
        <v>43.344</v>
      </c>
      <c r="AB598" s="67">
        <f t="shared" si="10"/>
        <v>314.244</v>
      </c>
      <c r="AC598" s="67">
        <f t="shared" si="11"/>
        <v>255.85</v>
      </c>
      <c r="AD598" s="67">
        <f t="shared" si="12"/>
        <v>40.936</v>
      </c>
      <c r="AE598" s="67">
        <f t="shared" si="13"/>
        <v>296.786</v>
      </c>
      <c r="AF598" s="67">
        <f t="shared" si="14"/>
        <v>249.83</v>
      </c>
      <c r="AG598" s="67">
        <f t="shared" si="15"/>
        <v>39.9728</v>
      </c>
      <c r="AH598" s="67">
        <f t="shared" si="16"/>
        <v>289.8028</v>
      </c>
      <c r="AI598" s="67">
        <f t="shared" si="17"/>
        <v>240.8</v>
      </c>
      <c r="AJ598" s="68">
        <f t="shared" si="25"/>
        <v>38.528</v>
      </c>
      <c r="AK598" s="68">
        <f t="shared" si="26"/>
        <v>279.328</v>
      </c>
      <c r="AL598" s="70">
        <f>IFERROR(__xludf.DUMMYFUNCTION("""COMPUTED_VALUE"""),1.0)</f>
        <v>1</v>
      </c>
      <c r="AM598" s="70"/>
      <c r="AN598" s="71" t="str">
        <f>IFERROR(__xludf.DUMMYFUNCTION("""COMPUTED_VALUE""")," P")</f>
        <v>P</v>
      </c>
      <c r="AO598" s="71" t="str">
        <f>IFERROR(__xludf.DUMMYFUNCTION("""COMPUTED_VALUE""")," FL01")</f>
        <v>FL01</v>
      </c>
      <c r="AP598" s="71" t="str">
        <f>IFERROR(__xludf.DUMMYFUNCTION("""COMPUTED_VALUE""")," PZA")</f>
        <v>PZA</v>
      </c>
      <c r="AQ598" s="71" t="str">
        <f>IFERROR(__xludf.DUMMYFUNCTION("""COMPUTED_VALUE""")," REF")</f>
        <v>REF</v>
      </c>
      <c r="AR598" s="71" t="str">
        <f>IFERROR(__xludf.DUMMYFUNCTION("""COMPUTED_VALUE""")," FLECHA DE VENTILADOR PARA 4 BALEROS 6202")</f>
        <v>FLECHA DE VENTILADOR PARA 4 BALEROS 6202</v>
      </c>
      <c r="AS598" s="71" t="str">
        <f>IFERROR(__xludf.DUMMYFUNCTION("""COMPUTED_VALUE""")," FLECHA DE VENTILADOR PARA 4 BALEROS 6202")</f>
        <v>FLECHA DE VENTILADOR PARA 4 BALEROS 6202</v>
      </c>
      <c r="AT598" s="71">
        <f>IFERROR(__xludf.DUMMYFUNCTION("""COMPUTED_VALUE"""),40.0)</f>
        <v>40</v>
      </c>
      <c r="AU598" s="71"/>
      <c r="AV598" s="71"/>
      <c r="AW598" s="71"/>
      <c r="AX598" s="71"/>
      <c r="AY598" s="71">
        <f>IFERROR(__xludf.DUMMYFUNCTION("""COMPUTED_VALUE"""),51.0)</f>
        <v>51</v>
      </c>
      <c r="AZ598" s="71">
        <f>IFERROR(__xludf.DUMMYFUNCTION("""COMPUTED_VALUE"""),55.0)</f>
        <v>55</v>
      </c>
      <c r="BA598" s="71">
        <f>IFERROR(__xludf.DUMMYFUNCTION("""COMPUTED_VALUE"""),59.400000000000006)</f>
        <v>59.4</v>
      </c>
      <c r="BB598" s="71">
        <f>IFERROR(__xludf.DUMMYFUNCTION("""COMPUTED_VALUE"""),59.400000000000006)</f>
        <v>59.4</v>
      </c>
      <c r="BC598" s="71">
        <f>IFERROR(__xludf.DUMMYFUNCTION("""COMPUTED_VALUE"""),67.0)</f>
        <v>67</v>
      </c>
      <c r="BD598" s="71">
        <f>IFERROR(__xludf.DUMMYFUNCTION("""COMPUTED_VALUE"""),70.0)</f>
        <v>70</v>
      </c>
      <c r="BE598" s="71">
        <f>IFERROR(__xludf.DUMMYFUNCTION("""COMPUTED_VALUE"""),11.200000000000001)</f>
        <v>11.2</v>
      </c>
      <c r="BF598" s="71">
        <f>IFERROR(__xludf.DUMMYFUNCTION("""COMPUTED_VALUE"""),81.2)</f>
        <v>81.2</v>
      </c>
      <c r="BG598" s="71">
        <f>IFERROR(__xludf.DUMMYFUNCTION("""COMPUTED_VALUE"""),0.04477611940298507)</f>
        <v>0.0447761194</v>
      </c>
      <c r="BH598" s="71">
        <f>IFERROR(__xludf.DUMMYFUNCTION("""COMPUTED_VALUE"""),66.5)</f>
        <v>66.5</v>
      </c>
      <c r="BI598" s="71">
        <f>IFERROR(__xludf.DUMMYFUNCTION("""COMPUTED_VALUE"""),10.64)</f>
        <v>10.64</v>
      </c>
      <c r="BJ598" s="71">
        <f>IFERROR(__xludf.DUMMYFUNCTION("""COMPUTED_VALUE"""),77.14)</f>
        <v>77.14</v>
      </c>
      <c r="BK598" s="71">
        <f>IFERROR(__xludf.DUMMYFUNCTION("""COMPUTED_VALUE"""),63.0)</f>
        <v>63</v>
      </c>
      <c r="BL598" s="71">
        <f>IFERROR(__xludf.DUMMYFUNCTION("""COMPUTED_VALUE"""),10.08)</f>
        <v>10.08</v>
      </c>
      <c r="BM598" s="71">
        <f>IFERROR(__xludf.DUMMYFUNCTION("""COMPUTED_VALUE"""),73.08)</f>
        <v>73.08</v>
      </c>
      <c r="BN598" s="71">
        <f>IFERROR(__xludf.DUMMYFUNCTION("""COMPUTED_VALUE"""),59.5)</f>
        <v>59.5</v>
      </c>
      <c r="BO598" s="71">
        <f>IFERROR(__xludf.DUMMYFUNCTION("""COMPUTED_VALUE"""),9.52)</f>
        <v>9.52</v>
      </c>
      <c r="BP598" s="71">
        <f>IFERROR(__xludf.DUMMYFUNCTION("""COMPUTED_VALUE"""),69.02)</f>
        <v>69.02</v>
      </c>
      <c r="BQ598" s="71">
        <f>IFERROR(__xludf.DUMMYFUNCTION("""COMPUTED_VALUE"""),58.099999999999994)</f>
        <v>58.1</v>
      </c>
      <c r="BR598" s="71">
        <f>IFERROR(__xludf.DUMMYFUNCTION("""COMPUTED_VALUE"""),9.296)</f>
        <v>9.296</v>
      </c>
      <c r="BS598" s="71">
        <f>IFERROR(__xludf.DUMMYFUNCTION("""COMPUTED_VALUE"""),67.39599999999999)</f>
        <v>67.396</v>
      </c>
      <c r="BT598" s="71">
        <f>IFERROR(__xludf.DUMMYFUNCTION("""COMPUTED_VALUE"""),56.0)</f>
        <v>56</v>
      </c>
      <c r="BU598" s="71">
        <f>IFERROR(__xludf.DUMMYFUNCTION("""COMPUTED_VALUE"""),8.96)</f>
        <v>8.96</v>
      </c>
      <c r="BV598" s="71">
        <f>IFERROR(__xludf.DUMMYFUNCTION("""COMPUTED_VALUE"""),64.96000000000001)</f>
        <v>64.96</v>
      </c>
    </row>
    <row r="599">
      <c r="A599" s="53">
        <v>1.0</v>
      </c>
      <c r="B599" s="53"/>
      <c r="C599" s="73" t="s">
        <v>603</v>
      </c>
      <c r="D599" s="53" t="s">
        <v>1458</v>
      </c>
      <c r="E599" s="54" t="s">
        <v>38</v>
      </c>
      <c r="F599" s="54" t="s">
        <v>42</v>
      </c>
      <c r="G599" s="142" t="s">
        <v>1459</v>
      </c>
      <c r="H599" s="142" t="s">
        <v>1459</v>
      </c>
      <c r="I599" s="54">
        <f t="shared" si="24"/>
        <v>25</v>
      </c>
      <c r="J599" s="56"/>
      <c r="K599" s="75"/>
      <c r="L599" s="76"/>
      <c r="M599" s="59"/>
      <c r="N599" s="60"/>
      <c r="O599" s="90"/>
      <c r="P599" s="62">
        <v>300.0</v>
      </c>
      <c r="Q599" s="63">
        <v>300.0</v>
      </c>
      <c r="R599" s="64">
        <v>324.0</v>
      </c>
      <c r="S599" s="111">
        <v>340.0</v>
      </c>
      <c r="T599" s="65">
        <f t="shared" si="2"/>
        <v>54.4</v>
      </c>
      <c r="U599" s="65">
        <f t="shared" si="3"/>
        <v>394.4</v>
      </c>
      <c r="V599" s="66">
        <f t="shared" si="4"/>
        <v>0.04938271605</v>
      </c>
      <c r="W599" s="67">
        <f t="shared" si="5"/>
        <v>323</v>
      </c>
      <c r="X599" s="67">
        <f t="shared" si="6"/>
        <v>51.68</v>
      </c>
      <c r="Y599" s="67">
        <f t="shared" si="7"/>
        <v>374.68</v>
      </c>
      <c r="Z599" s="67">
        <f t="shared" si="8"/>
        <v>306</v>
      </c>
      <c r="AA599" s="67">
        <f t="shared" si="9"/>
        <v>48.96</v>
      </c>
      <c r="AB599" s="67">
        <f t="shared" si="10"/>
        <v>354.96</v>
      </c>
      <c r="AC599" s="67">
        <f t="shared" si="11"/>
        <v>289</v>
      </c>
      <c r="AD599" s="67">
        <f t="shared" si="12"/>
        <v>46.24</v>
      </c>
      <c r="AE599" s="67">
        <f t="shared" si="13"/>
        <v>335.24</v>
      </c>
      <c r="AF599" s="67">
        <f t="shared" si="14"/>
        <v>282.2</v>
      </c>
      <c r="AG599" s="67">
        <f t="shared" si="15"/>
        <v>45.152</v>
      </c>
      <c r="AH599" s="67">
        <f t="shared" si="16"/>
        <v>327.352</v>
      </c>
      <c r="AI599" s="67">
        <f t="shared" si="17"/>
        <v>272</v>
      </c>
      <c r="AJ599" s="68">
        <f t="shared" si="25"/>
        <v>43.52</v>
      </c>
      <c r="AK599" s="68">
        <f t="shared" si="26"/>
        <v>315.52</v>
      </c>
      <c r="AL599" s="70">
        <f>IFERROR(__xludf.DUMMYFUNCTION("""COMPUTED_VALUE"""),1.0)</f>
        <v>1</v>
      </c>
      <c r="AM599" s="70"/>
      <c r="AN599" s="71" t="str">
        <f>IFERROR(__xludf.DUMMYFUNCTION("""COMPUTED_VALUE""")," P")</f>
        <v>P</v>
      </c>
      <c r="AO599" s="71" t="str">
        <f>IFERROR(__xludf.DUMMYFUNCTION("""COMPUTED_VALUE""")," FL02")</f>
        <v>FL02</v>
      </c>
      <c r="AP599" s="71" t="str">
        <f>IFERROR(__xludf.DUMMYFUNCTION("""COMPUTED_VALUE""")," PZA")</f>
        <v>PZA</v>
      </c>
      <c r="AQ599" s="71" t="str">
        <f>IFERROR(__xludf.DUMMYFUNCTION("""COMPUTED_VALUE""")," REF")</f>
        <v>REF</v>
      </c>
      <c r="AR599" s="71" t="str">
        <f>IFERROR(__xludf.DUMMYFUNCTION("""COMPUTED_VALUE""")," FLECHA DE VENTILADOR PARA BALERO 6303")</f>
        <v>FLECHA DE VENTILADOR PARA BALERO 6303</v>
      </c>
      <c r="AS599" s="71" t="str">
        <f>IFERROR(__xludf.DUMMYFUNCTION("""COMPUTED_VALUE""")," FLECHA DE VENTILADOR PARA BALERO 6303")</f>
        <v>FLECHA DE VENTILADOR PARA BALERO 6303</v>
      </c>
      <c r="AT599" s="71">
        <f>IFERROR(__xludf.DUMMYFUNCTION("""COMPUTED_VALUE"""),37.0)</f>
        <v>37</v>
      </c>
      <c r="AU599" s="71"/>
      <c r="AV599" s="71"/>
      <c r="AW599" s="71"/>
      <c r="AX599" s="71"/>
      <c r="AY599" s="71">
        <f>IFERROR(__xludf.DUMMYFUNCTION("""COMPUTED_VALUE"""),51.0)</f>
        <v>51</v>
      </c>
      <c r="AZ599" s="71">
        <f>IFERROR(__xludf.DUMMYFUNCTION("""COMPUTED_VALUE"""),55.0)</f>
        <v>55</v>
      </c>
      <c r="BA599" s="71">
        <f>IFERROR(__xludf.DUMMYFUNCTION("""COMPUTED_VALUE"""),59.400000000000006)</f>
        <v>59.4</v>
      </c>
      <c r="BB599" s="71">
        <f>IFERROR(__xludf.DUMMYFUNCTION("""COMPUTED_VALUE"""),59.400000000000006)</f>
        <v>59.4</v>
      </c>
      <c r="BC599" s="71">
        <f>IFERROR(__xludf.DUMMYFUNCTION("""COMPUTED_VALUE"""),67.0)</f>
        <v>67</v>
      </c>
      <c r="BD599" s="71">
        <f>IFERROR(__xludf.DUMMYFUNCTION("""COMPUTED_VALUE"""),70.0)</f>
        <v>70</v>
      </c>
      <c r="BE599" s="71">
        <f>IFERROR(__xludf.DUMMYFUNCTION("""COMPUTED_VALUE"""),11.200000000000001)</f>
        <v>11.2</v>
      </c>
      <c r="BF599" s="71">
        <f>IFERROR(__xludf.DUMMYFUNCTION("""COMPUTED_VALUE"""),81.2)</f>
        <v>81.2</v>
      </c>
      <c r="BG599" s="71">
        <f>IFERROR(__xludf.DUMMYFUNCTION("""COMPUTED_VALUE"""),0.04477611940298507)</f>
        <v>0.0447761194</v>
      </c>
      <c r="BH599" s="71">
        <f>IFERROR(__xludf.DUMMYFUNCTION("""COMPUTED_VALUE"""),66.5)</f>
        <v>66.5</v>
      </c>
      <c r="BI599" s="71">
        <f>IFERROR(__xludf.DUMMYFUNCTION("""COMPUTED_VALUE"""),10.64)</f>
        <v>10.64</v>
      </c>
      <c r="BJ599" s="71">
        <f>IFERROR(__xludf.DUMMYFUNCTION("""COMPUTED_VALUE"""),77.14)</f>
        <v>77.14</v>
      </c>
      <c r="BK599" s="71">
        <f>IFERROR(__xludf.DUMMYFUNCTION("""COMPUTED_VALUE"""),63.0)</f>
        <v>63</v>
      </c>
      <c r="BL599" s="71">
        <f>IFERROR(__xludf.DUMMYFUNCTION("""COMPUTED_VALUE"""),10.08)</f>
        <v>10.08</v>
      </c>
      <c r="BM599" s="71">
        <f>IFERROR(__xludf.DUMMYFUNCTION("""COMPUTED_VALUE"""),73.08)</f>
        <v>73.08</v>
      </c>
      <c r="BN599" s="71">
        <f>IFERROR(__xludf.DUMMYFUNCTION("""COMPUTED_VALUE"""),59.5)</f>
        <v>59.5</v>
      </c>
      <c r="BO599" s="71">
        <f>IFERROR(__xludf.DUMMYFUNCTION("""COMPUTED_VALUE"""),9.52)</f>
        <v>9.52</v>
      </c>
      <c r="BP599" s="71">
        <f>IFERROR(__xludf.DUMMYFUNCTION("""COMPUTED_VALUE"""),69.02)</f>
        <v>69.02</v>
      </c>
      <c r="BQ599" s="71">
        <f>IFERROR(__xludf.DUMMYFUNCTION("""COMPUTED_VALUE"""),58.099999999999994)</f>
        <v>58.1</v>
      </c>
      <c r="BR599" s="71">
        <f>IFERROR(__xludf.DUMMYFUNCTION("""COMPUTED_VALUE"""),9.296)</f>
        <v>9.296</v>
      </c>
      <c r="BS599" s="71">
        <f>IFERROR(__xludf.DUMMYFUNCTION("""COMPUTED_VALUE"""),67.39599999999999)</f>
        <v>67.396</v>
      </c>
      <c r="BT599" s="71">
        <f>IFERROR(__xludf.DUMMYFUNCTION("""COMPUTED_VALUE"""),56.0)</f>
        <v>56</v>
      </c>
      <c r="BU599" s="71">
        <f>IFERROR(__xludf.DUMMYFUNCTION("""COMPUTED_VALUE"""),8.96)</f>
        <v>8.96</v>
      </c>
      <c r="BV599" s="71">
        <f>IFERROR(__xludf.DUMMYFUNCTION("""COMPUTED_VALUE"""),64.96000000000001)</f>
        <v>64.96</v>
      </c>
    </row>
    <row r="600">
      <c r="A600" s="53">
        <v>1.0</v>
      </c>
      <c r="B600" s="53"/>
      <c r="C600" s="53" t="s">
        <v>36</v>
      </c>
      <c r="D600" s="85" t="s">
        <v>1460</v>
      </c>
      <c r="E600" s="54" t="s">
        <v>38</v>
      </c>
      <c r="F600" s="55" t="s">
        <v>39</v>
      </c>
      <c r="G600" s="142" t="s">
        <v>1461</v>
      </c>
      <c r="H600" s="142" t="s">
        <v>1461</v>
      </c>
      <c r="I600" s="54">
        <f t="shared" si="24"/>
        <v>29</v>
      </c>
      <c r="J600" s="56"/>
      <c r="K600" s="75"/>
      <c r="L600" s="76"/>
      <c r="M600" s="59"/>
      <c r="N600" s="60"/>
      <c r="O600" s="61">
        <v>1363.2</v>
      </c>
      <c r="P600" s="62">
        <v>385.0</v>
      </c>
      <c r="Q600" s="63">
        <v>385.0</v>
      </c>
      <c r="R600" s="64">
        <v>405.0</v>
      </c>
      <c r="S600" s="107">
        <v>425.0</v>
      </c>
      <c r="T600" s="65">
        <f t="shared" si="2"/>
        <v>68</v>
      </c>
      <c r="U600" s="65">
        <f t="shared" si="3"/>
        <v>493</v>
      </c>
      <c r="V600" s="66">
        <f t="shared" si="4"/>
        <v>0.04938271605</v>
      </c>
      <c r="W600" s="67">
        <f t="shared" si="5"/>
        <v>403.75</v>
      </c>
      <c r="X600" s="67">
        <f t="shared" si="6"/>
        <v>64.6</v>
      </c>
      <c r="Y600" s="67">
        <f t="shared" si="7"/>
        <v>468.35</v>
      </c>
      <c r="Z600" s="67">
        <f t="shared" si="8"/>
        <v>382.5</v>
      </c>
      <c r="AA600" s="67">
        <f t="shared" si="9"/>
        <v>61.2</v>
      </c>
      <c r="AB600" s="67">
        <f t="shared" si="10"/>
        <v>443.7</v>
      </c>
      <c r="AC600" s="67">
        <f t="shared" si="11"/>
        <v>361.25</v>
      </c>
      <c r="AD600" s="67">
        <f t="shared" si="12"/>
        <v>57.8</v>
      </c>
      <c r="AE600" s="67">
        <f t="shared" si="13"/>
        <v>419.05</v>
      </c>
      <c r="AF600" s="67">
        <f t="shared" si="14"/>
        <v>352.75</v>
      </c>
      <c r="AG600" s="67">
        <f t="shared" si="15"/>
        <v>56.44</v>
      </c>
      <c r="AH600" s="67">
        <f t="shared" si="16"/>
        <v>409.19</v>
      </c>
      <c r="AI600" s="67">
        <f t="shared" si="17"/>
        <v>340</v>
      </c>
      <c r="AJ600" s="68">
        <f t="shared" si="25"/>
        <v>54.4</v>
      </c>
      <c r="AK600" s="68">
        <f t="shared" si="26"/>
        <v>394.4</v>
      </c>
      <c r="AL600" s="70">
        <f>IFERROR(__xludf.DUMMYFUNCTION("""COMPUTED_VALUE"""),1.0)</f>
        <v>1</v>
      </c>
      <c r="AM600" s="70"/>
      <c r="AN600" s="71" t="str">
        <f>IFERROR(__xludf.DUMMYFUNCTION("""COMPUTED_VALUE""")," P")</f>
        <v>P</v>
      </c>
      <c r="AO600" s="71" t="str">
        <f>IFERROR(__xludf.DUMMYFUNCTION("""COMPUTED_VALUE""")," FL04")</f>
        <v>FL04</v>
      </c>
      <c r="AP600" s="71" t="str">
        <f>IFERROR(__xludf.DUMMYFUNCTION("""COMPUTED_VALUE""")," PZA")</f>
        <v>PZA</v>
      </c>
      <c r="AQ600" s="71" t="str">
        <f>IFERROR(__xludf.DUMMYFUNCTION("""COMPUTED_VALUE""")," REF")</f>
        <v>REF</v>
      </c>
      <c r="AR600" s="71" t="str">
        <f>IFERROR(__xludf.DUMMYFUNCTION("""COMPUTED_VALUE""")," FLECHA EXCÉNTRICA DÚPLEX")</f>
        <v>FLECHA EXCÉNTRICA DÚPLEX</v>
      </c>
      <c r="AS600" s="71" t="str">
        <f>IFERROR(__xludf.DUMMYFUNCTION("""COMPUTED_VALUE""")," FLECHA EXCENTRICA DPLX")</f>
        <v>FLECHA EXCENTRICA DPLX</v>
      </c>
      <c r="AT600" s="71">
        <f>IFERROR(__xludf.DUMMYFUNCTION("""COMPUTED_VALUE"""),22.0)</f>
        <v>22</v>
      </c>
      <c r="AU600" s="71"/>
      <c r="AV600" s="71"/>
      <c r="AW600" s="71"/>
      <c r="AX600" s="71"/>
      <c r="AY600" s="71">
        <f>IFERROR(__xludf.DUMMYFUNCTION("""COMPUTED_VALUE"""),201.0)</f>
        <v>201</v>
      </c>
      <c r="AZ600" s="71">
        <f>IFERROR(__xludf.DUMMYFUNCTION("""COMPUTED_VALUE"""),217.0)</f>
        <v>217</v>
      </c>
      <c r="BA600" s="71">
        <f>IFERROR(__xludf.DUMMYFUNCTION("""COMPUTED_VALUE"""),274.0)</f>
        <v>274</v>
      </c>
      <c r="BB600" s="71">
        <f>IFERROR(__xludf.DUMMYFUNCTION("""COMPUTED_VALUE"""),274.0)</f>
        <v>274</v>
      </c>
      <c r="BC600" s="71">
        <f>IFERROR(__xludf.DUMMYFUNCTION("""COMPUTED_VALUE"""),303.0)</f>
        <v>303</v>
      </c>
      <c r="BD600" s="71">
        <f>IFERROR(__xludf.DUMMYFUNCTION("""COMPUTED_VALUE"""),318.0)</f>
        <v>318</v>
      </c>
      <c r="BE600" s="71">
        <f>IFERROR(__xludf.DUMMYFUNCTION("""COMPUTED_VALUE"""),50.88)</f>
        <v>50.88</v>
      </c>
      <c r="BF600" s="71">
        <f>IFERROR(__xludf.DUMMYFUNCTION("""COMPUTED_VALUE"""),368.88)</f>
        <v>368.88</v>
      </c>
      <c r="BG600" s="71">
        <f>IFERROR(__xludf.DUMMYFUNCTION("""COMPUTED_VALUE"""),0.04950495049504951)</f>
        <v>0.0495049505</v>
      </c>
      <c r="BH600" s="71">
        <f>IFERROR(__xludf.DUMMYFUNCTION("""COMPUTED_VALUE"""),302.09999999999997)</f>
        <v>302.1</v>
      </c>
      <c r="BI600" s="71">
        <f>IFERROR(__xludf.DUMMYFUNCTION("""COMPUTED_VALUE"""),48.336)</f>
        <v>48.336</v>
      </c>
      <c r="BJ600" s="71">
        <f>IFERROR(__xludf.DUMMYFUNCTION("""COMPUTED_VALUE"""),350.436)</f>
        <v>350.436</v>
      </c>
      <c r="BK600" s="71">
        <f>IFERROR(__xludf.DUMMYFUNCTION("""COMPUTED_VALUE"""),286.2)</f>
        <v>286.2</v>
      </c>
      <c r="BL600" s="71">
        <f>IFERROR(__xludf.DUMMYFUNCTION("""COMPUTED_VALUE"""),45.792)</f>
        <v>45.792</v>
      </c>
      <c r="BM600" s="71">
        <f>IFERROR(__xludf.DUMMYFUNCTION("""COMPUTED_VALUE"""),331.99199999999996)</f>
        <v>331.992</v>
      </c>
      <c r="BN600" s="71">
        <f>IFERROR(__xludf.DUMMYFUNCTION("""COMPUTED_VALUE"""),270.3)</f>
        <v>270.3</v>
      </c>
      <c r="BO600" s="71">
        <f>IFERROR(__xludf.DUMMYFUNCTION("""COMPUTED_VALUE"""),43.248000000000005)</f>
        <v>43.248</v>
      </c>
      <c r="BP600" s="71">
        <f>IFERROR(__xludf.DUMMYFUNCTION("""COMPUTED_VALUE"""),313.548)</f>
        <v>313.548</v>
      </c>
      <c r="BQ600" s="71">
        <f>IFERROR(__xludf.DUMMYFUNCTION("""COMPUTED_VALUE"""),263.94)</f>
        <v>263.94</v>
      </c>
      <c r="BR600" s="71">
        <f>IFERROR(__xludf.DUMMYFUNCTION("""COMPUTED_VALUE"""),42.2304)</f>
        <v>42.2304</v>
      </c>
      <c r="BS600" s="71">
        <f>IFERROR(__xludf.DUMMYFUNCTION("""COMPUTED_VALUE"""),306.1704)</f>
        <v>306.1704</v>
      </c>
      <c r="BT600" s="71">
        <f>IFERROR(__xludf.DUMMYFUNCTION("""COMPUTED_VALUE"""),254.4)</f>
        <v>254.4</v>
      </c>
      <c r="BU600" s="71">
        <f>IFERROR(__xludf.DUMMYFUNCTION("""COMPUTED_VALUE"""),40.704)</f>
        <v>40.704</v>
      </c>
      <c r="BV600" s="71">
        <f>IFERROR(__xludf.DUMMYFUNCTION("""COMPUTED_VALUE"""),295.104)</f>
        <v>295.104</v>
      </c>
    </row>
    <row r="601">
      <c r="A601" s="53">
        <v>1.0</v>
      </c>
      <c r="B601" s="53"/>
      <c r="C601" s="73" t="s">
        <v>603</v>
      </c>
      <c r="D601" s="53" t="s">
        <v>1462</v>
      </c>
      <c r="E601" s="54" t="s">
        <v>38</v>
      </c>
      <c r="F601" s="54" t="s">
        <v>42</v>
      </c>
      <c r="G601" s="142" t="s">
        <v>1463</v>
      </c>
      <c r="H601" s="142" t="s">
        <v>1463</v>
      </c>
      <c r="I601" s="54">
        <f t="shared" si="24"/>
        <v>21</v>
      </c>
      <c r="J601" s="56"/>
      <c r="K601" s="75"/>
      <c r="L601" s="76"/>
      <c r="M601" s="59"/>
      <c r="N601" s="60"/>
      <c r="O601" s="90"/>
      <c r="P601" s="62">
        <v>385.0</v>
      </c>
      <c r="Q601" s="63">
        <v>385.0</v>
      </c>
      <c r="R601" s="64">
        <v>416.0</v>
      </c>
      <c r="S601" s="111">
        <v>437.0</v>
      </c>
      <c r="T601" s="65">
        <f t="shared" si="2"/>
        <v>69.92</v>
      </c>
      <c r="U601" s="65">
        <f t="shared" si="3"/>
        <v>506.92</v>
      </c>
      <c r="V601" s="66">
        <f t="shared" si="4"/>
        <v>0.05048076923</v>
      </c>
      <c r="W601" s="67">
        <f t="shared" si="5"/>
        <v>415.15</v>
      </c>
      <c r="X601" s="67">
        <f t="shared" si="6"/>
        <v>66.424</v>
      </c>
      <c r="Y601" s="67">
        <f t="shared" si="7"/>
        <v>481.574</v>
      </c>
      <c r="Z601" s="67">
        <f t="shared" si="8"/>
        <v>393.3</v>
      </c>
      <c r="AA601" s="67">
        <f t="shared" si="9"/>
        <v>62.928</v>
      </c>
      <c r="AB601" s="67">
        <f t="shared" si="10"/>
        <v>456.228</v>
      </c>
      <c r="AC601" s="67">
        <f t="shared" si="11"/>
        <v>371.45</v>
      </c>
      <c r="AD601" s="67">
        <f t="shared" si="12"/>
        <v>59.432</v>
      </c>
      <c r="AE601" s="67">
        <f t="shared" si="13"/>
        <v>430.882</v>
      </c>
      <c r="AF601" s="67">
        <f t="shared" si="14"/>
        <v>362.71</v>
      </c>
      <c r="AG601" s="67">
        <f t="shared" si="15"/>
        <v>58.0336</v>
      </c>
      <c r="AH601" s="67">
        <f t="shared" si="16"/>
        <v>420.7436</v>
      </c>
      <c r="AI601" s="67">
        <f t="shared" si="17"/>
        <v>349.6</v>
      </c>
      <c r="AJ601" s="68">
        <f t="shared" si="25"/>
        <v>55.936</v>
      </c>
      <c r="AK601" s="68">
        <f t="shared" si="26"/>
        <v>405.536</v>
      </c>
      <c r="AL601" s="70">
        <f>IFERROR(__xludf.DUMMYFUNCTION("""COMPUTED_VALUE"""),1.0)</f>
        <v>1</v>
      </c>
      <c r="AM601" s="70"/>
      <c r="AN601" s="71" t="str">
        <f>IFERROR(__xludf.DUMMYFUNCTION("""COMPUTED_VALUE""")," P")</f>
        <v>P</v>
      </c>
      <c r="AO601" s="71" t="str">
        <f>IFERROR(__xludf.DUMMYFUNCTION("""COMPUTED_VALUE""")," FL05")</f>
        <v>FL05</v>
      </c>
      <c r="AP601" s="71" t="str">
        <f>IFERROR(__xludf.DUMMYFUNCTION("""COMPUTED_VALUE""")," PZA")</f>
        <v>PZA</v>
      </c>
      <c r="AQ601" s="71" t="str">
        <f>IFERROR(__xludf.DUMMYFUNCTION("""COMPUTED_VALUE""")," REF")</f>
        <v>REF</v>
      </c>
      <c r="AR601" s="71" t="str">
        <f>IFERROR(__xludf.DUMMYFUNCTION("""COMPUTED_VALUE""")," FLECHA EXCÉNTRICA SENCILLA")</f>
        <v>FLECHA EXCÉNTRICA SENCILLA</v>
      </c>
      <c r="AS601" s="71" t="str">
        <f>IFERROR(__xludf.DUMMYFUNCTION("""COMPUTED_VALUE""")," FLECHA EXCENTRICA SENCILLA")</f>
        <v>FLECHA EXCENTRICA SENCILLA</v>
      </c>
      <c r="AT601" s="71">
        <f>IFERROR(__xludf.DUMMYFUNCTION("""COMPUTED_VALUE"""),26.0)</f>
        <v>26</v>
      </c>
      <c r="AU601" s="71"/>
      <c r="AV601" s="71"/>
      <c r="AW601" s="71"/>
      <c r="AX601" s="71"/>
      <c r="AY601" s="71">
        <f>IFERROR(__xludf.DUMMYFUNCTION("""COMPUTED_VALUE"""),149.0)</f>
        <v>149</v>
      </c>
      <c r="AZ601" s="71">
        <f>IFERROR(__xludf.DUMMYFUNCTION("""COMPUTED_VALUE"""),160.0)</f>
        <v>160</v>
      </c>
      <c r="BA601" s="71">
        <f>IFERROR(__xludf.DUMMYFUNCTION("""COMPUTED_VALUE"""),199.0)</f>
        <v>199</v>
      </c>
      <c r="BB601" s="71">
        <f>IFERROR(__xludf.DUMMYFUNCTION("""COMPUTED_VALUE"""),199.0)</f>
        <v>199</v>
      </c>
      <c r="BC601" s="71">
        <f>IFERROR(__xludf.DUMMYFUNCTION("""COMPUTED_VALUE"""),220.0)</f>
        <v>220</v>
      </c>
      <c r="BD601" s="71">
        <f>IFERROR(__xludf.DUMMYFUNCTION("""COMPUTED_VALUE"""),184.8)</f>
        <v>184.8</v>
      </c>
      <c r="BE601" s="71">
        <f>IFERROR(__xludf.DUMMYFUNCTION("""COMPUTED_VALUE"""),29.568)</f>
        <v>29.568</v>
      </c>
      <c r="BF601" s="71">
        <f>IFERROR(__xludf.DUMMYFUNCTION("""COMPUTED_VALUE"""),214.36800000000002)</f>
        <v>214.368</v>
      </c>
      <c r="BG601" s="71">
        <f>IFERROR(__xludf.DUMMYFUNCTION("""COMPUTED_VALUE"""),-0.15999999999999995)</f>
        <v>-0.16</v>
      </c>
      <c r="BH601" s="71">
        <f>IFERROR(__xludf.DUMMYFUNCTION("""COMPUTED_VALUE"""),175.56)</f>
        <v>175.56</v>
      </c>
      <c r="BI601" s="71">
        <f>IFERROR(__xludf.DUMMYFUNCTION("""COMPUTED_VALUE"""),28.0896)</f>
        <v>28.0896</v>
      </c>
      <c r="BJ601" s="71">
        <f>IFERROR(__xludf.DUMMYFUNCTION("""COMPUTED_VALUE"""),203.6496)</f>
        <v>203.6496</v>
      </c>
      <c r="BK601" s="71">
        <f>IFERROR(__xludf.DUMMYFUNCTION("""COMPUTED_VALUE"""),166.32000000000002)</f>
        <v>166.32</v>
      </c>
      <c r="BL601" s="71">
        <f>IFERROR(__xludf.DUMMYFUNCTION("""COMPUTED_VALUE"""),26.611200000000004)</f>
        <v>26.6112</v>
      </c>
      <c r="BM601" s="71">
        <f>IFERROR(__xludf.DUMMYFUNCTION("""COMPUTED_VALUE"""),192.93120000000002)</f>
        <v>192.9312</v>
      </c>
      <c r="BN601" s="71">
        <f>IFERROR(__xludf.DUMMYFUNCTION("""COMPUTED_VALUE"""),157.08)</f>
        <v>157.08</v>
      </c>
      <c r="BO601" s="71">
        <f>IFERROR(__xludf.DUMMYFUNCTION("""COMPUTED_VALUE"""),25.132800000000003)</f>
        <v>25.1328</v>
      </c>
      <c r="BP601" s="71">
        <f>IFERROR(__xludf.DUMMYFUNCTION("""COMPUTED_VALUE"""),182.21280000000002)</f>
        <v>182.2128</v>
      </c>
      <c r="BQ601" s="71">
        <f>IFERROR(__xludf.DUMMYFUNCTION("""COMPUTED_VALUE"""),153.38400000000001)</f>
        <v>153.384</v>
      </c>
      <c r="BR601" s="71">
        <f>IFERROR(__xludf.DUMMYFUNCTION("""COMPUTED_VALUE"""),24.54144)</f>
        <v>24.54144</v>
      </c>
      <c r="BS601" s="71">
        <f>IFERROR(__xludf.DUMMYFUNCTION("""COMPUTED_VALUE"""),177.92544)</f>
        <v>177.92544</v>
      </c>
      <c r="BT601" s="71">
        <f>IFERROR(__xludf.DUMMYFUNCTION("""COMPUTED_VALUE"""),147.84)</f>
        <v>147.84</v>
      </c>
      <c r="BU601" s="71">
        <f>IFERROR(__xludf.DUMMYFUNCTION("""COMPUTED_VALUE"""),23.654400000000003)</f>
        <v>23.6544</v>
      </c>
      <c r="BV601" s="71">
        <f>IFERROR(__xludf.DUMMYFUNCTION("""COMPUTED_VALUE"""),171.4944)</f>
        <v>171.4944</v>
      </c>
    </row>
    <row r="602">
      <c r="A602" s="53">
        <v>1.0</v>
      </c>
      <c r="B602" s="72"/>
      <c r="C602" s="120" t="s">
        <v>603</v>
      </c>
      <c r="D602" s="74" t="s">
        <v>1464</v>
      </c>
      <c r="E602" s="54" t="s">
        <v>38</v>
      </c>
      <c r="F602" s="54" t="s">
        <v>42</v>
      </c>
      <c r="G602" s="141" t="s">
        <v>1465</v>
      </c>
      <c r="H602" s="141" t="s">
        <v>1465</v>
      </c>
      <c r="I602" s="54">
        <f t="shared" si="24"/>
        <v>29</v>
      </c>
      <c r="J602" s="56"/>
      <c r="K602" s="75"/>
      <c r="L602" s="76"/>
      <c r="M602" s="59"/>
      <c r="N602" s="60">
        <v>143.0</v>
      </c>
      <c r="O602" s="61">
        <v>154.0</v>
      </c>
      <c r="P602" s="62">
        <v>75.0</v>
      </c>
      <c r="Q602" s="63">
        <v>75.0</v>
      </c>
      <c r="R602" s="64">
        <v>110.0</v>
      </c>
      <c r="S602" s="111">
        <v>116.0</v>
      </c>
      <c r="T602" s="65">
        <f t="shared" si="2"/>
        <v>18.56</v>
      </c>
      <c r="U602" s="65">
        <f t="shared" si="3"/>
        <v>134.56</v>
      </c>
      <c r="V602" s="66">
        <f t="shared" si="4"/>
        <v>0.05454545455</v>
      </c>
      <c r="W602" s="67">
        <f t="shared" si="5"/>
        <v>110.2</v>
      </c>
      <c r="X602" s="67">
        <f t="shared" si="6"/>
        <v>17.632</v>
      </c>
      <c r="Y602" s="67">
        <f t="shared" si="7"/>
        <v>127.832</v>
      </c>
      <c r="Z602" s="67">
        <f t="shared" si="8"/>
        <v>104.4</v>
      </c>
      <c r="AA602" s="67">
        <f t="shared" si="9"/>
        <v>16.704</v>
      </c>
      <c r="AB602" s="67">
        <f t="shared" si="10"/>
        <v>121.104</v>
      </c>
      <c r="AC602" s="67">
        <f t="shared" si="11"/>
        <v>98.6</v>
      </c>
      <c r="AD602" s="67">
        <f t="shared" si="12"/>
        <v>15.776</v>
      </c>
      <c r="AE602" s="67">
        <f t="shared" si="13"/>
        <v>114.376</v>
      </c>
      <c r="AF602" s="67">
        <f t="shared" si="14"/>
        <v>96.28</v>
      </c>
      <c r="AG602" s="67">
        <f t="shared" si="15"/>
        <v>15.4048</v>
      </c>
      <c r="AH602" s="67">
        <f t="shared" si="16"/>
        <v>111.6848</v>
      </c>
      <c r="AI602" s="67">
        <f t="shared" si="17"/>
        <v>92.8</v>
      </c>
      <c r="AJ602" s="68">
        <f t="shared" si="25"/>
        <v>14.848</v>
      </c>
      <c r="AK602" s="68">
        <f t="shared" si="26"/>
        <v>107.648</v>
      </c>
      <c r="AL602" s="70">
        <f>IFERROR(__xludf.DUMMYFUNCTION("""COMPUTED_VALUE"""),1.0)</f>
        <v>1</v>
      </c>
      <c r="AM602" s="70"/>
      <c r="AN602" s="71"/>
      <c r="AO602" s="71" t="str">
        <f>IFERROR(__xludf.DUMMYFUNCTION("""COMPUTED_VALUE""")," FL65")</f>
        <v>FL65</v>
      </c>
      <c r="AP602" s="71" t="str">
        <f>IFERROR(__xludf.DUMMYFUNCTION("""COMPUTED_VALUE""")," PZA")</f>
        <v>PZA</v>
      </c>
      <c r="AQ602" s="71" t="str">
        <f>IFERROR(__xludf.DUMMYFUNCTION("""COMPUTED_VALUE""")," REF")</f>
        <v>REF</v>
      </c>
      <c r="AR602" s="71" t="str">
        <f>IFERROR(__xludf.DUMMYFUNCTION("""COMPUTED_VALUE""")," FLECHA FE 1"" X 86CM 2CUN (PARA MANDRIL W50)")</f>
        <v>FLECHA FE 1" X 86CM 2CUN (PARA MANDRIL W50)</v>
      </c>
      <c r="AS602" s="71" t="str">
        <f>IFERROR(__xludf.DUMMYFUNCTION("""COMPUTED_VALUE""")," FLECHA FE 1"" X 86CM 2CUN (P/MANDRIL W50)")</f>
        <v>FLECHA FE 1" X 86CM 2CUN (P/MANDRIL W50)</v>
      </c>
      <c r="AT602" s="71">
        <f>IFERROR(__xludf.DUMMYFUNCTION("""COMPUTED_VALUE"""),40.0)</f>
        <v>40</v>
      </c>
      <c r="AU602" s="71"/>
      <c r="AV602" s="71"/>
      <c r="AW602" s="71"/>
      <c r="AX602" s="71"/>
      <c r="AY602" s="71"/>
      <c r="AZ602" s="71"/>
      <c r="BA602" s="71">
        <f>IFERROR(__xludf.DUMMYFUNCTION("""COMPUTED_VALUE"""),480.0)</f>
        <v>480</v>
      </c>
      <c r="BB602" s="71">
        <f>IFERROR(__xludf.DUMMYFUNCTION("""COMPUTED_VALUE"""),480.0)</f>
        <v>480</v>
      </c>
      <c r="BC602" s="71">
        <f>IFERROR(__xludf.DUMMYFUNCTION("""COMPUTED_VALUE"""),504.0)</f>
        <v>504</v>
      </c>
      <c r="BD602" s="71">
        <f>IFERROR(__xludf.DUMMYFUNCTION("""COMPUTED_VALUE"""),529.0)</f>
        <v>529</v>
      </c>
      <c r="BE602" s="71">
        <f>IFERROR(__xludf.DUMMYFUNCTION("""COMPUTED_VALUE"""),84.64)</f>
        <v>84.64</v>
      </c>
      <c r="BF602" s="71">
        <f>IFERROR(__xludf.DUMMYFUNCTION("""COMPUTED_VALUE"""),613.64)</f>
        <v>613.64</v>
      </c>
      <c r="BG602" s="71"/>
      <c r="BH602" s="71">
        <f>IFERROR(__xludf.DUMMYFUNCTION("""COMPUTED_VALUE"""),502.54999999999995)</f>
        <v>502.55</v>
      </c>
      <c r="BI602" s="71"/>
      <c r="BJ602" s="71"/>
      <c r="BK602" s="71">
        <f>IFERROR(__xludf.DUMMYFUNCTION("""COMPUTED_VALUE"""),476.1)</f>
        <v>476.1</v>
      </c>
      <c r="BL602" s="71"/>
      <c r="BM602" s="71"/>
      <c r="BN602" s="71">
        <f>IFERROR(__xludf.DUMMYFUNCTION("""COMPUTED_VALUE"""),449.65)</f>
        <v>449.65</v>
      </c>
      <c r="BO602" s="71">
        <f>IFERROR(__xludf.DUMMYFUNCTION("""COMPUTED_VALUE"""),71.944)</f>
        <v>71.944</v>
      </c>
      <c r="BP602" s="71">
        <f>IFERROR(__xludf.DUMMYFUNCTION("""COMPUTED_VALUE"""),521.5939999999999)</f>
        <v>521.594</v>
      </c>
      <c r="BQ602" s="71">
        <f>IFERROR(__xludf.DUMMYFUNCTION("""COMPUTED_VALUE"""),439.07)</f>
        <v>439.07</v>
      </c>
      <c r="BR602" s="71">
        <f>IFERROR(__xludf.DUMMYFUNCTION("""COMPUTED_VALUE"""),70.2512)</f>
        <v>70.2512</v>
      </c>
      <c r="BS602" s="71">
        <f>IFERROR(__xludf.DUMMYFUNCTION("""COMPUTED_VALUE"""),509.3212)</f>
        <v>509.3212</v>
      </c>
      <c r="BT602" s="71">
        <f>IFERROR(__xludf.DUMMYFUNCTION("""COMPUTED_VALUE"""),423.20000000000005)</f>
        <v>423.2</v>
      </c>
      <c r="BU602" s="71">
        <f>IFERROR(__xludf.DUMMYFUNCTION("""COMPUTED_VALUE"""),67.712)</f>
        <v>67.712</v>
      </c>
      <c r="BV602" s="71">
        <f>IFERROR(__xludf.DUMMYFUNCTION("""COMPUTED_VALUE"""),490.91200000000003)</f>
        <v>490.912</v>
      </c>
    </row>
    <row r="603">
      <c r="A603" s="53">
        <v>1.0</v>
      </c>
      <c r="B603" s="72"/>
      <c r="C603" s="120" t="s">
        <v>603</v>
      </c>
      <c r="D603" s="74" t="s">
        <v>1466</v>
      </c>
      <c r="E603" s="54" t="s">
        <v>38</v>
      </c>
      <c r="F603" s="54" t="s">
        <v>42</v>
      </c>
      <c r="G603" s="141" t="s">
        <v>1467</v>
      </c>
      <c r="H603" s="141" t="s">
        <v>1467</v>
      </c>
      <c r="I603" s="54">
        <f t="shared" si="24"/>
        <v>23</v>
      </c>
      <c r="J603" s="56"/>
      <c r="K603" s="75"/>
      <c r="L603" s="76"/>
      <c r="M603" s="59"/>
      <c r="N603" s="60">
        <v>143.0</v>
      </c>
      <c r="O603" s="61">
        <v>154.0</v>
      </c>
      <c r="P603" s="62">
        <v>70.0</v>
      </c>
      <c r="Q603" s="63">
        <v>70.0</v>
      </c>
      <c r="R603" s="64">
        <v>110.0</v>
      </c>
      <c r="S603" s="111">
        <v>116.0</v>
      </c>
      <c r="T603" s="65">
        <f t="shared" si="2"/>
        <v>18.56</v>
      </c>
      <c r="U603" s="65">
        <f t="shared" si="3"/>
        <v>134.56</v>
      </c>
      <c r="V603" s="66">
        <f t="shared" si="4"/>
        <v>0.05454545455</v>
      </c>
      <c r="W603" s="67">
        <f t="shared" si="5"/>
        <v>110.2</v>
      </c>
      <c r="X603" s="67">
        <f t="shared" si="6"/>
        <v>17.632</v>
      </c>
      <c r="Y603" s="67">
        <f t="shared" si="7"/>
        <v>127.832</v>
      </c>
      <c r="Z603" s="67">
        <f t="shared" si="8"/>
        <v>104.4</v>
      </c>
      <c r="AA603" s="67">
        <f t="shared" si="9"/>
        <v>16.704</v>
      </c>
      <c r="AB603" s="67">
        <f t="shared" si="10"/>
        <v>121.104</v>
      </c>
      <c r="AC603" s="67">
        <f t="shared" si="11"/>
        <v>98.6</v>
      </c>
      <c r="AD603" s="67">
        <f t="shared" si="12"/>
        <v>15.776</v>
      </c>
      <c r="AE603" s="67">
        <f t="shared" si="13"/>
        <v>114.376</v>
      </c>
      <c r="AF603" s="67">
        <f t="shared" si="14"/>
        <v>96.28</v>
      </c>
      <c r="AG603" s="67">
        <f t="shared" si="15"/>
        <v>15.4048</v>
      </c>
      <c r="AH603" s="67">
        <f t="shared" si="16"/>
        <v>111.6848</v>
      </c>
      <c r="AI603" s="67">
        <f t="shared" si="17"/>
        <v>92.8</v>
      </c>
      <c r="AJ603" s="68">
        <f t="shared" si="25"/>
        <v>14.848</v>
      </c>
      <c r="AK603" s="68">
        <f t="shared" si="26"/>
        <v>107.648</v>
      </c>
      <c r="AL603" s="70">
        <f>IFERROR(__xludf.DUMMYFUNCTION("""COMPUTED_VALUE"""),1.0)</f>
        <v>1</v>
      </c>
      <c r="AM603" s="70"/>
      <c r="AN603" s="71" t="str">
        <f>IFERROR(__xludf.DUMMYFUNCTION("""COMPUTED_VALUE""")," C")</f>
        <v>C</v>
      </c>
      <c r="AO603" s="71" t="str">
        <f>IFERROR(__xludf.DUMMYFUNCTION("""COMPUTED_VALUE""")," FL49")</f>
        <v>FL49</v>
      </c>
      <c r="AP603" s="71" t="str">
        <f>IFERROR(__xludf.DUMMYFUNCTION("""COMPUTED_VALUE""")," PZA")</f>
        <v>PZA</v>
      </c>
      <c r="AQ603" s="71" t="str">
        <f>IFERROR(__xludf.DUMMYFUNCTION("""COMPUTED_VALUE""")," REF")</f>
        <v>REF</v>
      </c>
      <c r="AR603" s="71" t="str">
        <f>IFERROR(__xludf.DUMMYFUNCTION("""COMPUTED_VALUE""")," FLECHA P/ REDUCTOR 80")</f>
        <v>FLECHA P/ REDUCTOR 80</v>
      </c>
      <c r="AS603" s="71" t="str">
        <f>IFERROR(__xludf.DUMMYFUNCTION("""COMPUTED_VALUE""")," FLECHA P/ REDUCTOR 80")</f>
        <v>FLECHA P/ REDUCTOR 80</v>
      </c>
      <c r="AT603" s="71">
        <f>IFERROR(__xludf.DUMMYFUNCTION("""COMPUTED_VALUE"""),21.0)</f>
        <v>21</v>
      </c>
      <c r="AU603" s="71"/>
      <c r="AV603" s="71"/>
      <c r="AW603" s="71"/>
      <c r="AX603" s="71"/>
      <c r="AY603" s="71"/>
      <c r="AZ603" s="71"/>
      <c r="BA603" s="71">
        <f>IFERROR(__xludf.DUMMYFUNCTION("""COMPUTED_VALUE"""),155.0)</f>
        <v>155</v>
      </c>
      <c r="BB603" s="71">
        <f>IFERROR(__xludf.DUMMYFUNCTION("""COMPUTED_VALUE"""),155.0)</f>
        <v>155</v>
      </c>
      <c r="BC603" s="71">
        <f>IFERROR(__xludf.DUMMYFUNCTION("""COMPUTED_VALUE"""),335.0)</f>
        <v>335</v>
      </c>
      <c r="BD603" s="71">
        <f>IFERROR(__xludf.DUMMYFUNCTION("""COMPUTED_VALUE"""),352.0)</f>
        <v>352</v>
      </c>
      <c r="BE603" s="71">
        <f>IFERROR(__xludf.DUMMYFUNCTION("""COMPUTED_VALUE"""),56.32)</f>
        <v>56.32</v>
      </c>
      <c r="BF603" s="71">
        <f>IFERROR(__xludf.DUMMYFUNCTION("""COMPUTED_VALUE"""),408.32)</f>
        <v>408.32</v>
      </c>
      <c r="BG603" s="71">
        <f>IFERROR(__xludf.DUMMYFUNCTION("""COMPUTED_VALUE"""),0.050746268656716415)</f>
        <v>0.05074626866</v>
      </c>
      <c r="BH603" s="71">
        <f>IFERROR(__xludf.DUMMYFUNCTION("""COMPUTED_VALUE"""),334.4)</f>
        <v>334.4</v>
      </c>
      <c r="BI603" s="71">
        <f>IFERROR(__xludf.DUMMYFUNCTION("""COMPUTED_VALUE"""),53.504)</f>
        <v>53.504</v>
      </c>
      <c r="BJ603" s="71">
        <f>IFERROR(__xludf.DUMMYFUNCTION("""COMPUTED_VALUE"""),387.904)</f>
        <v>387.904</v>
      </c>
      <c r="BK603" s="71">
        <f>IFERROR(__xludf.DUMMYFUNCTION("""COMPUTED_VALUE"""),316.8)</f>
        <v>316.8</v>
      </c>
      <c r="BL603" s="71">
        <f>IFERROR(__xludf.DUMMYFUNCTION("""COMPUTED_VALUE"""),50.688)</f>
        <v>50.688</v>
      </c>
      <c r="BM603" s="71">
        <f>IFERROR(__xludf.DUMMYFUNCTION("""COMPUTED_VALUE"""),367.488)</f>
        <v>367.488</v>
      </c>
      <c r="BN603" s="71">
        <f>IFERROR(__xludf.DUMMYFUNCTION("""COMPUTED_VALUE"""),299.2)</f>
        <v>299.2</v>
      </c>
      <c r="BO603" s="71">
        <f>IFERROR(__xludf.DUMMYFUNCTION("""COMPUTED_VALUE"""),47.872)</f>
        <v>47.872</v>
      </c>
      <c r="BP603" s="71">
        <f>IFERROR(__xludf.DUMMYFUNCTION("""COMPUTED_VALUE"""),347.072)</f>
        <v>347.072</v>
      </c>
      <c r="BQ603" s="71">
        <f>IFERROR(__xludf.DUMMYFUNCTION("""COMPUTED_VALUE"""),292.15999999999997)</f>
        <v>292.16</v>
      </c>
      <c r="BR603" s="71">
        <f>IFERROR(__xludf.DUMMYFUNCTION("""COMPUTED_VALUE"""),46.745599999999996)</f>
        <v>46.7456</v>
      </c>
      <c r="BS603" s="71">
        <f>IFERROR(__xludf.DUMMYFUNCTION("""COMPUTED_VALUE"""),338.90559999999994)</f>
        <v>338.9056</v>
      </c>
      <c r="BT603" s="71">
        <f>IFERROR(__xludf.DUMMYFUNCTION("""COMPUTED_VALUE"""),281.6)</f>
        <v>281.6</v>
      </c>
      <c r="BU603" s="71">
        <f>IFERROR(__xludf.DUMMYFUNCTION("""COMPUTED_VALUE"""),45.056000000000004)</f>
        <v>45.056</v>
      </c>
      <c r="BV603" s="71">
        <f>IFERROR(__xludf.DUMMYFUNCTION("""COMPUTED_VALUE"""),326.656)</f>
        <v>326.656</v>
      </c>
    </row>
    <row r="604">
      <c r="A604" s="53">
        <v>1.0</v>
      </c>
      <c r="B604" s="72"/>
      <c r="C604" s="120" t="s">
        <v>603</v>
      </c>
      <c r="D604" s="74" t="s">
        <v>1468</v>
      </c>
      <c r="E604" s="54" t="s">
        <v>38</v>
      </c>
      <c r="F604" s="54" t="s">
        <v>42</v>
      </c>
      <c r="G604" s="141" t="s">
        <v>1469</v>
      </c>
      <c r="H604" s="141" t="s">
        <v>1469</v>
      </c>
      <c r="I604" s="54">
        <f t="shared" si="24"/>
        <v>21</v>
      </c>
      <c r="J604" s="56"/>
      <c r="K604" s="75"/>
      <c r="L604" s="76"/>
      <c r="M604" s="59"/>
      <c r="N604" s="60">
        <v>149.0</v>
      </c>
      <c r="O604" s="61">
        <v>154.0</v>
      </c>
      <c r="P604" s="62">
        <v>70.0</v>
      </c>
      <c r="Q604" s="63">
        <v>70.0</v>
      </c>
      <c r="R604" s="64">
        <v>110.0</v>
      </c>
      <c r="S604" s="111">
        <v>116.0</v>
      </c>
      <c r="T604" s="65">
        <f t="shared" si="2"/>
        <v>18.56</v>
      </c>
      <c r="U604" s="65">
        <f t="shared" si="3"/>
        <v>134.56</v>
      </c>
      <c r="V604" s="66">
        <f t="shared" si="4"/>
        <v>0.05454545455</v>
      </c>
      <c r="W604" s="67">
        <f t="shared" si="5"/>
        <v>110.2</v>
      </c>
      <c r="X604" s="67">
        <f t="shared" si="6"/>
        <v>17.632</v>
      </c>
      <c r="Y604" s="67">
        <f t="shared" si="7"/>
        <v>127.832</v>
      </c>
      <c r="Z604" s="67">
        <f t="shared" si="8"/>
        <v>104.4</v>
      </c>
      <c r="AA604" s="67">
        <f t="shared" si="9"/>
        <v>16.704</v>
      </c>
      <c r="AB604" s="67">
        <f t="shared" si="10"/>
        <v>121.104</v>
      </c>
      <c r="AC604" s="67">
        <f t="shared" si="11"/>
        <v>98.6</v>
      </c>
      <c r="AD604" s="67">
        <f t="shared" si="12"/>
        <v>15.776</v>
      </c>
      <c r="AE604" s="67">
        <f t="shared" si="13"/>
        <v>114.376</v>
      </c>
      <c r="AF604" s="67">
        <f t="shared" si="14"/>
        <v>96.28</v>
      </c>
      <c r="AG604" s="67">
        <f t="shared" si="15"/>
        <v>15.4048</v>
      </c>
      <c r="AH604" s="67">
        <f t="shared" si="16"/>
        <v>111.6848</v>
      </c>
      <c r="AI604" s="67">
        <f t="shared" si="17"/>
        <v>92.8</v>
      </c>
      <c r="AJ604" s="68">
        <f t="shared" si="25"/>
        <v>14.848</v>
      </c>
      <c r="AK604" s="68">
        <f t="shared" si="26"/>
        <v>107.648</v>
      </c>
      <c r="AL604" s="70">
        <f>IFERROR(__xludf.DUMMYFUNCTION("""COMPUTED_VALUE"""),1.0)</f>
        <v>1</v>
      </c>
      <c r="AM604" s="70"/>
      <c r="AN604" s="71" t="str">
        <f>IFERROR(__xludf.DUMMYFUNCTION("""COMPUTED_VALUE""")," P")</f>
        <v>P</v>
      </c>
      <c r="AO604" s="71" t="str">
        <f>IFERROR(__xludf.DUMMYFUNCTION("""COMPUTED_VALUE""")," FL06")</f>
        <v>FL06</v>
      </c>
      <c r="AP604" s="71" t="str">
        <f>IFERROR(__xludf.DUMMYFUNCTION("""COMPUTED_VALUE""")," PZA")</f>
        <v>PZA</v>
      </c>
      <c r="AQ604" s="71" t="str">
        <f>IFERROR(__xludf.DUMMYFUNCTION("""COMPUTED_VALUE""")," REF")</f>
        <v>REF</v>
      </c>
      <c r="AR604" s="71" t="str">
        <f>IFERROR(__xludf.DUMMYFUNCTION("""COMPUTED_VALUE""")," FLECHA PARA DIFERENCIAL ASTREADA")</f>
        <v>FLECHA PARA DIFERENCIAL ASTREADA</v>
      </c>
      <c r="AS604" s="71" t="str">
        <f>IFERROR(__xludf.DUMMYFUNCTION("""COMPUTED_VALUE""")," FLECHA PARA DIFERENCIAL ASTREADA")</f>
        <v>FLECHA PARA DIFERENCIAL ASTREADA</v>
      </c>
      <c r="AT604" s="71">
        <f>IFERROR(__xludf.DUMMYFUNCTION("""COMPUTED_VALUE"""),32.0)</f>
        <v>32</v>
      </c>
      <c r="AU604" s="71"/>
      <c r="AV604" s="71"/>
      <c r="AW604" s="71"/>
      <c r="AX604" s="71"/>
      <c r="AY604" s="71">
        <f>IFERROR(__xludf.DUMMYFUNCTION("""COMPUTED_VALUE"""),311.0)</f>
        <v>311</v>
      </c>
      <c r="AZ604" s="71">
        <f>IFERROR(__xludf.DUMMYFUNCTION("""COMPUTED_VALUE"""),335.0)</f>
        <v>335</v>
      </c>
      <c r="BA604" s="71">
        <f>IFERROR(__xludf.DUMMYFUNCTION("""COMPUTED_VALUE"""),361.8)</f>
        <v>361.8</v>
      </c>
      <c r="BB604" s="71">
        <f>IFERROR(__xludf.DUMMYFUNCTION("""COMPUTED_VALUE"""),361.8)</f>
        <v>361.8</v>
      </c>
      <c r="BC604" s="71">
        <f>IFERROR(__xludf.DUMMYFUNCTION("""COMPUTED_VALUE"""),404.0)</f>
        <v>404</v>
      </c>
      <c r="BD604" s="71">
        <f>IFERROR(__xludf.DUMMYFUNCTION("""COMPUTED_VALUE"""),424.0)</f>
        <v>424</v>
      </c>
      <c r="BE604" s="71">
        <f>IFERROR(__xludf.DUMMYFUNCTION("""COMPUTED_VALUE"""),67.84)</f>
        <v>67.84</v>
      </c>
      <c r="BF604" s="71">
        <f>IFERROR(__xludf.DUMMYFUNCTION("""COMPUTED_VALUE"""),491.84000000000003)</f>
        <v>491.84</v>
      </c>
      <c r="BG604" s="71">
        <f>IFERROR(__xludf.DUMMYFUNCTION("""COMPUTED_VALUE"""),0.04950495049504951)</f>
        <v>0.0495049505</v>
      </c>
      <c r="BH604" s="71">
        <f>IFERROR(__xludf.DUMMYFUNCTION("""COMPUTED_VALUE"""),402.79999999999995)</f>
        <v>402.8</v>
      </c>
      <c r="BI604" s="71">
        <f>IFERROR(__xludf.DUMMYFUNCTION("""COMPUTED_VALUE"""),64.448)</f>
        <v>64.448</v>
      </c>
      <c r="BJ604" s="71">
        <f>IFERROR(__xludf.DUMMYFUNCTION("""COMPUTED_VALUE"""),467.24799999999993)</f>
        <v>467.248</v>
      </c>
      <c r="BK604" s="71">
        <f>IFERROR(__xludf.DUMMYFUNCTION("""COMPUTED_VALUE"""),381.6)</f>
        <v>381.6</v>
      </c>
      <c r="BL604" s="71">
        <f>IFERROR(__xludf.DUMMYFUNCTION("""COMPUTED_VALUE"""),61.056000000000004)</f>
        <v>61.056</v>
      </c>
      <c r="BM604" s="71">
        <f>IFERROR(__xludf.DUMMYFUNCTION("""COMPUTED_VALUE"""),442.656)</f>
        <v>442.656</v>
      </c>
      <c r="BN604" s="71">
        <f>IFERROR(__xludf.DUMMYFUNCTION("""COMPUTED_VALUE"""),360.4)</f>
        <v>360.4</v>
      </c>
      <c r="BO604" s="71">
        <f>IFERROR(__xludf.DUMMYFUNCTION("""COMPUTED_VALUE"""),57.663999999999994)</f>
        <v>57.664</v>
      </c>
      <c r="BP604" s="71">
        <f>IFERROR(__xludf.DUMMYFUNCTION("""COMPUTED_VALUE"""),418.06399999999996)</f>
        <v>418.064</v>
      </c>
      <c r="BQ604" s="71">
        <f>IFERROR(__xludf.DUMMYFUNCTION("""COMPUTED_VALUE"""),351.91999999999996)</f>
        <v>351.92</v>
      </c>
      <c r="BR604" s="71">
        <f>IFERROR(__xludf.DUMMYFUNCTION("""COMPUTED_VALUE"""),56.307199999999995)</f>
        <v>56.3072</v>
      </c>
      <c r="BS604" s="71">
        <f>IFERROR(__xludf.DUMMYFUNCTION("""COMPUTED_VALUE"""),408.2271999999999)</f>
        <v>408.2272</v>
      </c>
      <c r="BT604" s="71">
        <f>IFERROR(__xludf.DUMMYFUNCTION("""COMPUTED_VALUE"""),339.20000000000005)</f>
        <v>339.2</v>
      </c>
      <c r="BU604" s="71">
        <f>IFERROR(__xludf.DUMMYFUNCTION("""COMPUTED_VALUE"""),54.272000000000006)</f>
        <v>54.272</v>
      </c>
      <c r="BV604" s="71">
        <f>IFERROR(__xludf.DUMMYFUNCTION("""COMPUTED_VALUE"""),393.47200000000004)</f>
        <v>393.472</v>
      </c>
    </row>
    <row r="605">
      <c r="A605" s="53">
        <v>1.0</v>
      </c>
      <c r="B605" s="72"/>
      <c r="C605" s="120" t="s">
        <v>603</v>
      </c>
      <c r="D605" s="74" t="s">
        <v>1470</v>
      </c>
      <c r="E605" s="54" t="s">
        <v>38</v>
      </c>
      <c r="F605" s="54" t="s">
        <v>42</v>
      </c>
      <c r="G605" s="141" t="s">
        <v>1471</v>
      </c>
      <c r="H605" s="141" t="s">
        <v>1471</v>
      </c>
      <c r="I605" s="54">
        <f t="shared" si="24"/>
        <v>29</v>
      </c>
      <c r="J605" s="56"/>
      <c r="K605" s="75"/>
      <c r="L605" s="76"/>
      <c r="M605" s="59"/>
      <c r="N605" s="60">
        <v>145.0</v>
      </c>
      <c r="O605" s="61">
        <v>156.0</v>
      </c>
      <c r="P605" s="62">
        <v>80.0</v>
      </c>
      <c r="Q605" s="63">
        <v>80.0</v>
      </c>
      <c r="R605" s="64">
        <v>115.0</v>
      </c>
      <c r="S605" s="111">
        <v>121.0</v>
      </c>
      <c r="T605" s="65">
        <f t="shared" si="2"/>
        <v>19.36</v>
      </c>
      <c r="U605" s="65">
        <f t="shared" si="3"/>
        <v>140.36</v>
      </c>
      <c r="V605" s="66">
        <f t="shared" si="4"/>
        <v>0.05217391304</v>
      </c>
      <c r="W605" s="67">
        <f t="shared" si="5"/>
        <v>114.95</v>
      </c>
      <c r="X605" s="67">
        <f t="shared" si="6"/>
        <v>18.392</v>
      </c>
      <c r="Y605" s="67">
        <f t="shared" si="7"/>
        <v>133.342</v>
      </c>
      <c r="Z605" s="67">
        <f t="shared" si="8"/>
        <v>108.9</v>
      </c>
      <c r="AA605" s="67">
        <f t="shared" si="9"/>
        <v>17.424</v>
      </c>
      <c r="AB605" s="67">
        <f t="shared" si="10"/>
        <v>126.324</v>
      </c>
      <c r="AC605" s="67">
        <f t="shared" si="11"/>
        <v>102.85</v>
      </c>
      <c r="AD605" s="67">
        <f t="shared" si="12"/>
        <v>16.456</v>
      </c>
      <c r="AE605" s="67">
        <f t="shared" si="13"/>
        <v>119.306</v>
      </c>
      <c r="AF605" s="67">
        <f t="shared" si="14"/>
        <v>100.43</v>
      </c>
      <c r="AG605" s="67">
        <f t="shared" si="15"/>
        <v>16.0688</v>
      </c>
      <c r="AH605" s="67">
        <f t="shared" si="16"/>
        <v>116.4988</v>
      </c>
      <c r="AI605" s="67">
        <f t="shared" si="17"/>
        <v>96.8</v>
      </c>
      <c r="AJ605" s="68">
        <f t="shared" si="25"/>
        <v>15.488</v>
      </c>
      <c r="AK605" s="68">
        <f t="shared" si="26"/>
        <v>112.288</v>
      </c>
      <c r="AL605" s="70">
        <f>IFERROR(__xludf.DUMMYFUNCTION("""COMPUTED_VALUE"""),1.0)</f>
        <v>1</v>
      </c>
      <c r="AM605" s="70"/>
      <c r="AN605" s="71" t="str">
        <f>IFERROR(__xludf.DUMMYFUNCTION("""COMPUTED_VALUE""")," P")</f>
        <v>P</v>
      </c>
      <c r="AO605" s="71" t="str">
        <f>IFERROR(__xludf.DUMMYFUNCTION("""COMPUTED_VALUE""")," FL07")</f>
        <v>FL07</v>
      </c>
      <c r="AP605" s="71" t="str">
        <f>IFERROR(__xludf.DUMMYFUNCTION("""COMPUTED_VALUE""")," PZA")</f>
        <v>PZA</v>
      </c>
      <c r="AQ605" s="71" t="str">
        <f>IFERROR(__xludf.DUMMYFUNCTION("""COMPUTED_VALUE""")," REF")</f>
        <v>REF</v>
      </c>
      <c r="AR605" s="71" t="str">
        <f>IFERROR(__xludf.DUMMYFUNCTION("""COMPUTED_VALUE""")," FLECHA PARA DIFERENCIAL LARGA")</f>
        <v>FLECHA PARA DIFERENCIAL LARGA</v>
      </c>
      <c r="AS605" s="71" t="str">
        <f>IFERROR(__xludf.DUMMYFUNCTION("""COMPUTED_VALUE""")," FLECHA PARA DIFERENCIAL LARGA")</f>
        <v>FLECHA PARA DIFERENCIAL LARGA</v>
      </c>
      <c r="AT605" s="71">
        <f>IFERROR(__xludf.DUMMYFUNCTION("""COMPUTED_VALUE"""),29.0)</f>
        <v>29</v>
      </c>
      <c r="AU605" s="71"/>
      <c r="AV605" s="71"/>
      <c r="AW605" s="71"/>
      <c r="AX605" s="71"/>
      <c r="AY605" s="71">
        <f>IFERROR(__xludf.DUMMYFUNCTION("""COMPUTED_VALUE"""),311.0)</f>
        <v>311</v>
      </c>
      <c r="AZ605" s="71">
        <f>IFERROR(__xludf.DUMMYFUNCTION("""COMPUTED_VALUE"""),335.0)</f>
        <v>335</v>
      </c>
      <c r="BA605" s="71">
        <f>IFERROR(__xludf.DUMMYFUNCTION("""COMPUTED_VALUE"""),361.8)</f>
        <v>361.8</v>
      </c>
      <c r="BB605" s="71">
        <f>IFERROR(__xludf.DUMMYFUNCTION("""COMPUTED_VALUE"""),361.8)</f>
        <v>361.8</v>
      </c>
      <c r="BC605" s="71">
        <f>IFERROR(__xludf.DUMMYFUNCTION("""COMPUTED_VALUE"""),404.0)</f>
        <v>404</v>
      </c>
      <c r="BD605" s="71">
        <f>IFERROR(__xludf.DUMMYFUNCTION("""COMPUTED_VALUE"""),424.0)</f>
        <v>424</v>
      </c>
      <c r="BE605" s="71">
        <f>IFERROR(__xludf.DUMMYFUNCTION("""COMPUTED_VALUE"""),67.84)</f>
        <v>67.84</v>
      </c>
      <c r="BF605" s="71">
        <f>IFERROR(__xludf.DUMMYFUNCTION("""COMPUTED_VALUE"""),491.84000000000003)</f>
        <v>491.84</v>
      </c>
      <c r="BG605" s="71">
        <f>IFERROR(__xludf.DUMMYFUNCTION("""COMPUTED_VALUE"""),0.04950495049504951)</f>
        <v>0.0495049505</v>
      </c>
      <c r="BH605" s="71">
        <f>IFERROR(__xludf.DUMMYFUNCTION("""COMPUTED_VALUE"""),402.79999999999995)</f>
        <v>402.8</v>
      </c>
      <c r="BI605" s="71">
        <f>IFERROR(__xludf.DUMMYFUNCTION("""COMPUTED_VALUE"""),64.448)</f>
        <v>64.448</v>
      </c>
      <c r="BJ605" s="71">
        <f>IFERROR(__xludf.DUMMYFUNCTION("""COMPUTED_VALUE"""),467.24799999999993)</f>
        <v>467.248</v>
      </c>
      <c r="BK605" s="71">
        <f>IFERROR(__xludf.DUMMYFUNCTION("""COMPUTED_VALUE"""),381.6)</f>
        <v>381.6</v>
      </c>
      <c r="BL605" s="71">
        <f>IFERROR(__xludf.DUMMYFUNCTION("""COMPUTED_VALUE"""),61.056000000000004)</f>
        <v>61.056</v>
      </c>
      <c r="BM605" s="71">
        <f>IFERROR(__xludf.DUMMYFUNCTION("""COMPUTED_VALUE"""),442.656)</f>
        <v>442.656</v>
      </c>
      <c r="BN605" s="71">
        <f>IFERROR(__xludf.DUMMYFUNCTION("""COMPUTED_VALUE"""),360.4)</f>
        <v>360.4</v>
      </c>
      <c r="BO605" s="71">
        <f>IFERROR(__xludf.DUMMYFUNCTION("""COMPUTED_VALUE"""),57.663999999999994)</f>
        <v>57.664</v>
      </c>
      <c r="BP605" s="71">
        <f>IFERROR(__xludf.DUMMYFUNCTION("""COMPUTED_VALUE"""),418.06399999999996)</f>
        <v>418.064</v>
      </c>
      <c r="BQ605" s="71">
        <f>IFERROR(__xludf.DUMMYFUNCTION("""COMPUTED_VALUE"""),351.91999999999996)</f>
        <v>351.92</v>
      </c>
      <c r="BR605" s="71">
        <f>IFERROR(__xludf.DUMMYFUNCTION("""COMPUTED_VALUE"""),56.307199999999995)</f>
        <v>56.3072</v>
      </c>
      <c r="BS605" s="71">
        <f>IFERROR(__xludf.DUMMYFUNCTION("""COMPUTED_VALUE"""),408.2271999999999)</f>
        <v>408.2272</v>
      </c>
      <c r="BT605" s="71">
        <f>IFERROR(__xludf.DUMMYFUNCTION("""COMPUTED_VALUE"""),339.20000000000005)</f>
        <v>339.2</v>
      </c>
      <c r="BU605" s="71">
        <f>IFERROR(__xludf.DUMMYFUNCTION("""COMPUTED_VALUE"""),54.272000000000006)</f>
        <v>54.272</v>
      </c>
      <c r="BV605" s="71">
        <f>IFERROR(__xludf.DUMMYFUNCTION("""COMPUTED_VALUE"""),393.47200000000004)</f>
        <v>393.472</v>
      </c>
    </row>
    <row r="606">
      <c r="A606" s="53">
        <v>1.0</v>
      </c>
      <c r="B606" s="72"/>
      <c r="C606" s="120" t="s">
        <v>603</v>
      </c>
      <c r="D606" s="74" t="s">
        <v>1472</v>
      </c>
      <c r="E606" s="54" t="s">
        <v>38</v>
      </c>
      <c r="F606" s="54" t="s">
        <v>42</v>
      </c>
      <c r="G606" s="141" t="s">
        <v>1473</v>
      </c>
      <c r="H606" s="141" t="s">
        <v>1473</v>
      </c>
      <c r="I606" s="54">
        <f t="shared" si="24"/>
        <v>23</v>
      </c>
      <c r="J606" s="56"/>
      <c r="K606" s="75"/>
      <c r="L606" s="76"/>
      <c r="M606" s="59"/>
      <c r="N606" s="60">
        <v>145.0</v>
      </c>
      <c r="O606" s="61">
        <v>156.0</v>
      </c>
      <c r="P606" s="62">
        <v>75.0</v>
      </c>
      <c r="Q606" s="63">
        <v>75.0</v>
      </c>
      <c r="R606" s="64">
        <v>115.0</v>
      </c>
      <c r="S606" s="111">
        <v>121.0</v>
      </c>
      <c r="T606" s="65">
        <f t="shared" si="2"/>
        <v>19.36</v>
      </c>
      <c r="U606" s="65">
        <f t="shared" si="3"/>
        <v>140.36</v>
      </c>
      <c r="V606" s="66">
        <f t="shared" si="4"/>
        <v>0.05217391304</v>
      </c>
      <c r="W606" s="67">
        <f t="shared" si="5"/>
        <v>114.95</v>
      </c>
      <c r="X606" s="67">
        <f t="shared" si="6"/>
        <v>18.392</v>
      </c>
      <c r="Y606" s="67">
        <f t="shared" si="7"/>
        <v>133.342</v>
      </c>
      <c r="Z606" s="67">
        <f t="shared" si="8"/>
        <v>108.9</v>
      </c>
      <c r="AA606" s="67">
        <f t="shared" si="9"/>
        <v>17.424</v>
      </c>
      <c r="AB606" s="67">
        <f t="shared" si="10"/>
        <v>126.324</v>
      </c>
      <c r="AC606" s="67">
        <f t="shared" si="11"/>
        <v>102.85</v>
      </c>
      <c r="AD606" s="67">
        <f t="shared" si="12"/>
        <v>16.456</v>
      </c>
      <c r="AE606" s="67">
        <f t="shared" si="13"/>
        <v>119.306</v>
      </c>
      <c r="AF606" s="67">
        <f t="shared" si="14"/>
        <v>100.43</v>
      </c>
      <c r="AG606" s="67">
        <f t="shared" si="15"/>
        <v>16.0688</v>
      </c>
      <c r="AH606" s="67">
        <f t="shared" si="16"/>
        <v>116.4988</v>
      </c>
      <c r="AI606" s="67">
        <f t="shared" si="17"/>
        <v>96.8</v>
      </c>
      <c r="AJ606" s="68">
        <f t="shared" si="25"/>
        <v>15.488</v>
      </c>
      <c r="AK606" s="68">
        <f t="shared" si="26"/>
        <v>112.288</v>
      </c>
      <c r="AL606" s="70">
        <f>IFERROR(__xludf.DUMMYFUNCTION("""COMPUTED_VALUE"""),1.0)</f>
        <v>1</v>
      </c>
      <c r="AM606" s="70"/>
      <c r="AN606" s="71" t="str">
        <f>IFERROR(__xludf.DUMMYFUNCTION("""COMPUTED_VALUE""")," P")</f>
        <v>P</v>
      </c>
      <c r="AO606" s="71" t="str">
        <f>IFERROR(__xludf.DUMMYFUNCTION("""COMPUTED_VALUE""")," FL08")</f>
        <v>FL08</v>
      </c>
      <c r="AP606" s="71" t="str">
        <f>IFERROR(__xludf.DUMMYFUNCTION("""COMPUTED_VALUE""")," PZA")</f>
        <v>PZA</v>
      </c>
      <c r="AQ606" s="71" t="str">
        <f>IFERROR(__xludf.DUMMYFUNCTION("""COMPUTED_VALUE""")," REF")</f>
        <v>REF</v>
      </c>
      <c r="AR606" s="71" t="str">
        <f>IFERROR(__xludf.DUMMYFUNCTION("""COMPUTED_VALUE""")," FLECHA PARA ENFRIADOR")</f>
        <v>FLECHA PARA ENFRIADOR</v>
      </c>
      <c r="AS606" s="71" t="str">
        <f>IFERROR(__xludf.DUMMYFUNCTION("""COMPUTED_VALUE""")," FLECHA PARA ENFRIADOR")</f>
        <v>FLECHA PARA ENFRIADOR</v>
      </c>
      <c r="AT606" s="71">
        <f>IFERROR(__xludf.DUMMYFUNCTION("""COMPUTED_VALUE"""),21.0)</f>
        <v>21</v>
      </c>
      <c r="AU606" s="71"/>
      <c r="AV606" s="71"/>
      <c r="AW606" s="71"/>
      <c r="AX606" s="71"/>
      <c r="AY606" s="71">
        <f>IFERROR(__xludf.DUMMYFUNCTION("""COMPUTED_VALUE"""),90.0)</f>
        <v>90</v>
      </c>
      <c r="AZ606" s="71">
        <f>IFERROR(__xludf.DUMMYFUNCTION("""COMPUTED_VALUE"""),97.0)</f>
        <v>97</v>
      </c>
      <c r="BA606" s="71">
        <f>IFERROR(__xludf.DUMMYFUNCTION("""COMPUTED_VALUE"""),104.76)</f>
        <v>104.76</v>
      </c>
      <c r="BB606" s="71">
        <f>IFERROR(__xludf.DUMMYFUNCTION("""COMPUTED_VALUE"""),104.76)</f>
        <v>104.76</v>
      </c>
      <c r="BC606" s="71">
        <f>IFERROR(__xludf.DUMMYFUNCTION("""COMPUTED_VALUE"""),118.0)</f>
        <v>118</v>
      </c>
      <c r="BD606" s="71">
        <f>IFERROR(__xludf.DUMMYFUNCTION("""COMPUTED_VALUE"""),124.0)</f>
        <v>124</v>
      </c>
      <c r="BE606" s="71">
        <f>IFERROR(__xludf.DUMMYFUNCTION("""COMPUTED_VALUE"""),19.84)</f>
        <v>19.84</v>
      </c>
      <c r="BF606" s="71">
        <f>IFERROR(__xludf.DUMMYFUNCTION("""COMPUTED_VALUE"""),143.84)</f>
        <v>143.84</v>
      </c>
      <c r="BG606" s="71">
        <f>IFERROR(__xludf.DUMMYFUNCTION("""COMPUTED_VALUE"""),0.05084745762711865)</f>
        <v>0.05084745763</v>
      </c>
      <c r="BH606" s="71">
        <f>IFERROR(__xludf.DUMMYFUNCTION("""COMPUTED_VALUE"""),117.8)</f>
        <v>117.8</v>
      </c>
      <c r="BI606" s="71">
        <f>IFERROR(__xludf.DUMMYFUNCTION("""COMPUTED_VALUE"""),18.848)</f>
        <v>18.848</v>
      </c>
      <c r="BJ606" s="71">
        <f>IFERROR(__xludf.DUMMYFUNCTION("""COMPUTED_VALUE"""),136.648)</f>
        <v>136.648</v>
      </c>
      <c r="BK606" s="71">
        <f>IFERROR(__xludf.DUMMYFUNCTION("""COMPUTED_VALUE"""),111.60000000000001)</f>
        <v>111.6</v>
      </c>
      <c r="BL606" s="71">
        <f>IFERROR(__xludf.DUMMYFUNCTION("""COMPUTED_VALUE"""),17.856)</f>
        <v>17.856</v>
      </c>
      <c r="BM606" s="71">
        <f>IFERROR(__xludf.DUMMYFUNCTION("""COMPUTED_VALUE"""),129.45600000000002)</f>
        <v>129.456</v>
      </c>
      <c r="BN606" s="71">
        <f>IFERROR(__xludf.DUMMYFUNCTION("""COMPUTED_VALUE"""),105.39999999999999)</f>
        <v>105.4</v>
      </c>
      <c r="BO606" s="71">
        <f>IFERROR(__xludf.DUMMYFUNCTION("""COMPUTED_VALUE"""),16.863999999999997)</f>
        <v>16.864</v>
      </c>
      <c r="BP606" s="71">
        <f>IFERROR(__xludf.DUMMYFUNCTION("""COMPUTED_VALUE"""),122.26399999999998)</f>
        <v>122.264</v>
      </c>
      <c r="BQ606" s="71">
        <f>IFERROR(__xludf.DUMMYFUNCTION("""COMPUTED_VALUE"""),102.92)</f>
        <v>102.92</v>
      </c>
      <c r="BR606" s="71">
        <f>IFERROR(__xludf.DUMMYFUNCTION("""COMPUTED_VALUE"""),16.467200000000002)</f>
        <v>16.4672</v>
      </c>
      <c r="BS606" s="71">
        <f>IFERROR(__xludf.DUMMYFUNCTION("""COMPUTED_VALUE"""),119.3872)</f>
        <v>119.3872</v>
      </c>
      <c r="BT606" s="71">
        <f>IFERROR(__xludf.DUMMYFUNCTION("""COMPUTED_VALUE"""),99.2)</f>
        <v>99.2</v>
      </c>
      <c r="BU606" s="71">
        <f>IFERROR(__xludf.DUMMYFUNCTION("""COMPUTED_VALUE"""),15.872000000000002)</f>
        <v>15.872</v>
      </c>
      <c r="BV606" s="71">
        <f>IFERROR(__xludf.DUMMYFUNCTION("""COMPUTED_VALUE"""),115.072)</f>
        <v>115.072</v>
      </c>
    </row>
    <row r="607">
      <c r="A607" s="53">
        <v>1.0</v>
      </c>
      <c r="B607" s="72"/>
      <c r="C607" s="120" t="s">
        <v>603</v>
      </c>
      <c r="D607" s="74" t="s">
        <v>1474</v>
      </c>
      <c r="E607" s="54" t="s">
        <v>38</v>
      </c>
      <c r="F607" s="54" t="s">
        <v>42</v>
      </c>
      <c r="G607" s="141" t="s">
        <v>1475</v>
      </c>
      <c r="H607" s="141" t="s">
        <v>1475</v>
      </c>
      <c r="I607" s="54">
        <f t="shared" si="24"/>
        <v>27</v>
      </c>
      <c r="J607" s="56"/>
      <c r="K607" s="75"/>
      <c r="L607" s="76"/>
      <c r="M607" s="59"/>
      <c r="N607" s="60">
        <v>145.0</v>
      </c>
      <c r="O607" s="61">
        <v>156.0</v>
      </c>
      <c r="P607" s="62">
        <v>80.0</v>
      </c>
      <c r="Q607" s="63">
        <v>80.0</v>
      </c>
      <c r="R607" s="64">
        <v>115.0</v>
      </c>
      <c r="S607" s="111">
        <v>121.0</v>
      </c>
      <c r="T607" s="65">
        <f t="shared" si="2"/>
        <v>19.36</v>
      </c>
      <c r="U607" s="65">
        <f t="shared" si="3"/>
        <v>140.36</v>
      </c>
      <c r="V607" s="66">
        <f t="shared" si="4"/>
        <v>0.05217391304</v>
      </c>
      <c r="W607" s="67">
        <f t="shared" si="5"/>
        <v>114.95</v>
      </c>
      <c r="X607" s="67">
        <f t="shared" si="6"/>
        <v>18.392</v>
      </c>
      <c r="Y607" s="67">
        <f t="shared" si="7"/>
        <v>133.342</v>
      </c>
      <c r="Z607" s="67">
        <f t="shared" si="8"/>
        <v>108.9</v>
      </c>
      <c r="AA607" s="67">
        <f t="shared" si="9"/>
        <v>17.424</v>
      </c>
      <c r="AB607" s="67">
        <f t="shared" si="10"/>
        <v>126.324</v>
      </c>
      <c r="AC607" s="67">
        <f t="shared" si="11"/>
        <v>102.85</v>
      </c>
      <c r="AD607" s="67">
        <f t="shared" si="12"/>
        <v>16.456</v>
      </c>
      <c r="AE607" s="67">
        <f t="shared" si="13"/>
        <v>119.306</v>
      </c>
      <c r="AF607" s="67">
        <f t="shared" si="14"/>
        <v>100.43</v>
      </c>
      <c r="AG607" s="67">
        <f t="shared" si="15"/>
        <v>16.0688</v>
      </c>
      <c r="AH607" s="67">
        <f t="shared" si="16"/>
        <v>116.4988</v>
      </c>
      <c r="AI607" s="67">
        <f t="shared" si="17"/>
        <v>96.8</v>
      </c>
      <c r="AJ607" s="68">
        <f t="shared" si="25"/>
        <v>15.488</v>
      </c>
      <c r="AK607" s="68">
        <f t="shared" si="26"/>
        <v>112.288</v>
      </c>
      <c r="AL607" s="70">
        <f>IFERROR(__xludf.DUMMYFUNCTION("""COMPUTED_VALUE"""),1.0)</f>
        <v>1</v>
      </c>
      <c r="AM607" s="70"/>
      <c r="AN607" s="71" t="str">
        <f>IFERROR(__xludf.DUMMYFUNCTION("""COMPUTED_VALUE""")," P")</f>
        <v>P</v>
      </c>
      <c r="AO607" s="71" t="str">
        <f>IFERROR(__xludf.DUMMYFUNCTION("""COMPUTED_VALUE""")," FL09")</f>
        <v>FL09</v>
      </c>
      <c r="AP607" s="71" t="str">
        <f>IFERROR(__xludf.DUMMYFUNCTION("""COMPUTED_VALUE""")," PZA")</f>
        <v>PZA</v>
      </c>
      <c r="AQ607" s="71" t="str">
        <f>IFERROR(__xludf.DUMMYFUNCTION("""COMPUTED_VALUE""")," REF")</f>
        <v>REF</v>
      </c>
      <c r="AR607" s="71" t="str">
        <f>IFERROR(__xludf.DUMMYFUNCTION("""COMPUTED_VALUE""")," FLECHA PARA LEVA DÚPLEX")</f>
        <v>FLECHA PARA LEVA DÚPLEX</v>
      </c>
      <c r="AS607" s="71" t="str">
        <f>IFERROR(__xludf.DUMMYFUNCTION("""COMPUTED_VALUE""")," FLECHA PARA LEVA DPLX")</f>
        <v>FLECHA PARA LEVA DPLX</v>
      </c>
      <c r="AT607" s="71">
        <f>IFERROR(__xludf.DUMMYFUNCTION("""COMPUTED_VALUE"""),21.0)</f>
        <v>21</v>
      </c>
      <c r="AU607" s="71"/>
      <c r="AV607" s="71"/>
      <c r="AW607" s="71"/>
      <c r="AX607" s="71"/>
      <c r="AY607" s="71">
        <f>IFERROR(__xludf.DUMMYFUNCTION("""COMPUTED_VALUE"""),170.0)</f>
        <v>170</v>
      </c>
      <c r="AZ607" s="71">
        <f>IFERROR(__xludf.DUMMYFUNCTION("""COMPUTED_VALUE"""),183.0)</f>
        <v>183</v>
      </c>
      <c r="BA607" s="71">
        <f>IFERROR(__xludf.DUMMYFUNCTION("""COMPUTED_VALUE"""),197.64000000000001)</f>
        <v>197.64</v>
      </c>
      <c r="BB607" s="71">
        <f>IFERROR(__xludf.DUMMYFUNCTION("""COMPUTED_VALUE"""),197.64000000000001)</f>
        <v>197.64</v>
      </c>
      <c r="BC607" s="71">
        <f>IFERROR(__xludf.DUMMYFUNCTION("""COMPUTED_VALUE"""),221.0)</f>
        <v>221</v>
      </c>
      <c r="BD607" s="71">
        <f>IFERROR(__xludf.DUMMYFUNCTION("""COMPUTED_VALUE"""),232.0)</f>
        <v>232</v>
      </c>
      <c r="BE607" s="71">
        <f>IFERROR(__xludf.DUMMYFUNCTION("""COMPUTED_VALUE"""),37.12)</f>
        <v>37.12</v>
      </c>
      <c r="BF607" s="71">
        <f>IFERROR(__xludf.DUMMYFUNCTION("""COMPUTED_VALUE"""),269.12)</f>
        <v>269.12</v>
      </c>
      <c r="BG607" s="71">
        <f>IFERROR(__xludf.DUMMYFUNCTION("""COMPUTED_VALUE"""),0.049773755656108594)</f>
        <v>0.04977375566</v>
      </c>
      <c r="BH607" s="71">
        <f>IFERROR(__xludf.DUMMYFUNCTION("""COMPUTED_VALUE"""),220.39999999999998)</f>
        <v>220.4</v>
      </c>
      <c r="BI607" s="71">
        <f>IFERROR(__xludf.DUMMYFUNCTION("""COMPUTED_VALUE"""),35.263999999999996)</f>
        <v>35.264</v>
      </c>
      <c r="BJ607" s="71">
        <f>IFERROR(__xludf.DUMMYFUNCTION("""COMPUTED_VALUE"""),255.664)</f>
        <v>255.664</v>
      </c>
      <c r="BK607" s="71">
        <f>IFERROR(__xludf.DUMMYFUNCTION("""COMPUTED_VALUE"""),208.8)</f>
        <v>208.8</v>
      </c>
      <c r="BL607" s="71">
        <f>IFERROR(__xludf.DUMMYFUNCTION("""COMPUTED_VALUE"""),33.408)</f>
        <v>33.408</v>
      </c>
      <c r="BM607" s="71">
        <f>IFERROR(__xludf.DUMMYFUNCTION("""COMPUTED_VALUE"""),242.20800000000003)</f>
        <v>242.208</v>
      </c>
      <c r="BN607" s="71">
        <f>IFERROR(__xludf.DUMMYFUNCTION("""COMPUTED_VALUE"""),197.2)</f>
        <v>197.2</v>
      </c>
      <c r="BO607" s="71">
        <f>IFERROR(__xludf.DUMMYFUNCTION("""COMPUTED_VALUE"""),31.552)</f>
        <v>31.552</v>
      </c>
      <c r="BP607" s="71">
        <f>IFERROR(__xludf.DUMMYFUNCTION("""COMPUTED_VALUE"""),228.75199999999998)</f>
        <v>228.752</v>
      </c>
      <c r="BQ607" s="71">
        <f>IFERROR(__xludf.DUMMYFUNCTION("""COMPUTED_VALUE"""),192.56)</f>
        <v>192.56</v>
      </c>
      <c r="BR607" s="71">
        <f>IFERROR(__xludf.DUMMYFUNCTION("""COMPUTED_VALUE"""),30.8096)</f>
        <v>30.8096</v>
      </c>
      <c r="BS607" s="71">
        <f>IFERROR(__xludf.DUMMYFUNCTION("""COMPUTED_VALUE"""),223.3696)</f>
        <v>223.3696</v>
      </c>
      <c r="BT607" s="71">
        <f>IFERROR(__xludf.DUMMYFUNCTION("""COMPUTED_VALUE"""),185.60000000000002)</f>
        <v>185.6</v>
      </c>
      <c r="BU607" s="71">
        <f>IFERROR(__xludf.DUMMYFUNCTION("""COMPUTED_VALUE"""),29.696000000000005)</f>
        <v>29.696</v>
      </c>
      <c r="BV607" s="71">
        <f>IFERROR(__xludf.DUMMYFUNCTION("""COMPUTED_VALUE"""),215.29600000000002)</f>
        <v>215.296</v>
      </c>
    </row>
    <row r="608">
      <c r="A608" s="53">
        <v>1.0</v>
      </c>
      <c r="B608" s="72"/>
      <c r="C608" s="120" t="s">
        <v>603</v>
      </c>
      <c r="D608" s="74" t="s">
        <v>1476</v>
      </c>
      <c r="E608" s="54" t="s">
        <v>38</v>
      </c>
      <c r="F608" s="54" t="s">
        <v>42</v>
      </c>
      <c r="G608" s="141" t="s">
        <v>1477</v>
      </c>
      <c r="H608" s="141" t="s">
        <v>1477</v>
      </c>
      <c r="I608" s="54">
        <f t="shared" si="24"/>
        <v>21</v>
      </c>
      <c r="J608" s="56"/>
      <c r="K608" s="75"/>
      <c r="L608" s="76"/>
      <c r="M608" s="59"/>
      <c r="N608" s="60">
        <v>146.0</v>
      </c>
      <c r="O608" s="61">
        <v>157.0</v>
      </c>
      <c r="P608" s="62">
        <v>75.0</v>
      </c>
      <c r="Q608" s="63">
        <v>75.0</v>
      </c>
      <c r="R608" s="64">
        <v>115.0</v>
      </c>
      <c r="S608" s="111">
        <v>121.0</v>
      </c>
      <c r="T608" s="65">
        <f t="shared" si="2"/>
        <v>19.36</v>
      </c>
      <c r="U608" s="65">
        <f t="shared" si="3"/>
        <v>140.36</v>
      </c>
      <c r="V608" s="66">
        <f t="shared" si="4"/>
        <v>0.05217391304</v>
      </c>
      <c r="W608" s="67">
        <f t="shared" si="5"/>
        <v>114.95</v>
      </c>
      <c r="X608" s="67">
        <f t="shared" si="6"/>
        <v>18.392</v>
      </c>
      <c r="Y608" s="67">
        <f t="shared" si="7"/>
        <v>133.342</v>
      </c>
      <c r="Z608" s="67">
        <f t="shared" si="8"/>
        <v>108.9</v>
      </c>
      <c r="AA608" s="67">
        <f t="shared" si="9"/>
        <v>17.424</v>
      </c>
      <c r="AB608" s="67">
        <f t="shared" si="10"/>
        <v>126.324</v>
      </c>
      <c r="AC608" s="67">
        <f t="shared" si="11"/>
        <v>102.85</v>
      </c>
      <c r="AD608" s="67">
        <f t="shared" si="12"/>
        <v>16.456</v>
      </c>
      <c r="AE608" s="67">
        <f t="shared" si="13"/>
        <v>119.306</v>
      </c>
      <c r="AF608" s="67">
        <f t="shared" si="14"/>
        <v>100.43</v>
      </c>
      <c r="AG608" s="67">
        <f t="shared" si="15"/>
        <v>16.0688</v>
      </c>
      <c r="AH608" s="67">
        <f t="shared" si="16"/>
        <v>116.4988</v>
      </c>
      <c r="AI608" s="67">
        <f t="shared" si="17"/>
        <v>96.8</v>
      </c>
      <c r="AJ608" s="68">
        <f t="shared" si="25"/>
        <v>15.488</v>
      </c>
      <c r="AK608" s="68">
        <f t="shared" si="26"/>
        <v>112.288</v>
      </c>
      <c r="AL608" s="70">
        <f>IFERROR(__xludf.DUMMYFUNCTION("""COMPUTED_VALUE"""),1.0)</f>
        <v>1</v>
      </c>
      <c r="AM608" s="70"/>
      <c r="AN608" s="71" t="str">
        <f>IFERROR(__xludf.DUMMYFUNCTION("""COMPUTED_VALUE""")," P")</f>
        <v>P</v>
      </c>
      <c r="AO608" s="71" t="str">
        <f>IFERROR(__xludf.DUMMYFUNCTION("""COMPUTED_VALUE""")," FL10")</f>
        <v>FL10</v>
      </c>
      <c r="AP608" s="71" t="str">
        <f>IFERROR(__xludf.DUMMYFUNCTION("""COMPUTED_VALUE""")," PZA")</f>
        <v>PZA</v>
      </c>
      <c r="AQ608" s="71" t="str">
        <f>IFERROR(__xludf.DUMMYFUNCTION("""COMPUTED_VALUE""")," REF")</f>
        <v>REF</v>
      </c>
      <c r="AR608" s="71" t="str">
        <f>IFERROR(__xludf.DUMMYFUNCTION("""COMPUTED_VALUE""")," FLECHA PARA LEVA SENCILLA MODELO ANTERIOR")</f>
        <v>FLECHA PARA LEVA SENCILLA MODELO ANTERIOR</v>
      </c>
      <c r="AS608" s="71" t="str">
        <f>IFERROR(__xludf.DUMMYFUNCTION("""COMPUTED_VALUE""")," FLECHA P/LEVA SENC MODELO ANTERIOR")</f>
        <v>FLECHA P/LEVA SENC MODELO ANTERIOR</v>
      </c>
      <c r="AT608" s="71">
        <f>IFERROR(__xludf.DUMMYFUNCTION("""COMPUTED_VALUE"""),34.0)</f>
        <v>34</v>
      </c>
      <c r="AU608" s="71"/>
      <c r="AV608" s="71"/>
      <c r="AW608" s="71"/>
      <c r="AX608" s="71"/>
      <c r="AY608" s="71">
        <f>IFERROR(__xludf.DUMMYFUNCTION("""COMPUTED_VALUE"""),93.0)</f>
        <v>93</v>
      </c>
      <c r="AZ608" s="71">
        <f>IFERROR(__xludf.DUMMYFUNCTION("""COMPUTED_VALUE"""),100.0)</f>
        <v>100</v>
      </c>
      <c r="BA608" s="71">
        <f>IFERROR(__xludf.DUMMYFUNCTION("""COMPUTED_VALUE"""),108.0)</f>
        <v>108</v>
      </c>
      <c r="BB608" s="71">
        <f>IFERROR(__xludf.DUMMYFUNCTION("""COMPUTED_VALUE"""),108.0)</f>
        <v>108</v>
      </c>
      <c r="BC608" s="71">
        <f>IFERROR(__xludf.DUMMYFUNCTION("""COMPUTED_VALUE"""),121.0)</f>
        <v>121</v>
      </c>
      <c r="BD608" s="71">
        <f>IFERROR(__xludf.DUMMYFUNCTION("""COMPUTED_VALUE"""),127.0)</f>
        <v>127</v>
      </c>
      <c r="BE608" s="71">
        <f>IFERROR(__xludf.DUMMYFUNCTION("""COMPUTED_VALUE"""),20.32)</f>
        <v>20.32</v>
      </c>
      <c r="BF608" s="71">
        <f>IFERROR(__xludf.DUMMYFUNCTION("""COMPUTED_VALUE"""),147.32)</f>
        <v>147.32</v>
      </c>
      <c r="BG608" s="71">
        <f>IFERROR(__xludf.DUMMYFUNCTION("""COMPUTED_VALUE"""),0.049586776859504134)</f>
        <v>0.04958677686</v>
      </c>
      <c r="BH608" s="71">
        <f>IFERROR(__xludf.DUMMYFUNCTION("""COMPUTED_VALUE"""),120.64999999999999)</f>
        <v>120.65</v>
      </c>
      <c r="BI608" s="71">
        <f>IFERROR(__xludf.DUMMYFUNCTION("""COMPUTED_VALUE"""),19.304)</f>
        <v>19.304</v>
      </c>
      <c r="BJ608" s="71">
        <f>IFERROR(__xludf.DUMMYFUNCTION("""COMPUTED_VALUE"""),139.95399999999998)</f>
        <v>139.954</v>
      </c>
      <c r="BK608" s="71">
        <f>IFERROR(__xludf.DUMMYFUNCTION("""COMPUTED_VALUE"""),114.3)</f>
        <v>114.3</v>
      </c>
      <c r="BL608" s="71">
        <f>IFERROR(__xludf.DUMMYFUNCTION("""COMPUTED_VALUE"""),18.288)</f>
        <v>18.288</v>
      </c>
      <c r="BM608" s="71">
        <f>IFERROR(__xludf.DUMMYFUNCTION("""COMPUTED_VALUE"""),132.588)</f>
        <v>132.588</v>
      </c>
      <c r="BN608" s="71">
        <f>IFERROR(__xludf.DUMMYFUNCTION("""COMPUTED_VALUE"""),107.95)</f>
        <v>107.95</v>
      </c>
      <c r="BO608" s="71">
        <f>IFERROR(__xludf.DUMMYFUNCTION("""COMPUTED_VALUE"""),17.272000000000002)</f>
        <v>17.272</v>
      </c>
      <c r="BP608" s="71">
        <f>IFERROR(__xludf.DUMMYFUNCTION("""COMPUTED_VALUE"""),125.22200000000001)</f>
        <v>125.222</v>
      </c>
      <c r="BQ608" s="71">
        <f>IFERROR(__xludf.DUMMYFUNCTION("""COMPUTED_VALUE"""),105.41)</f>
        <v>105.41</v>
      </c>
      <c r="BR608" s="71">
        <f>IFERROR(__xludf.DUMMYFUNCTION("""COMPUTED_VALUE"""),16.8656)</f>
        <v>16.8656</v>
      </c>
      <c r="BS608" s="71">
        <f>IFERROR(__xludf.DUMMYFUNCTION("""COMPUTED_VALUE"""),122.2756)</f>
        <v>122.2756</v>
      </c>
      <c r="BT608" s="71">
        <f>IFERROR(__xludf.DUMMYFUNCTION("""COMPUTED_VALUE"""),101.60000000000001)</f>
        <v>101.6</v>
      </c>
      <c r="BU608" s="71">
        <f>IFERROR(__xludf.DUMMYFUNCTION("""COMPUTED_VALUE"""),16.256)</f>
        <v>16.256</v>
      </c>
      <c r="BV608" s="71">
        <f>IFERROR(__xludf.DUMMYFUNCTION("""COMPUTED_VALUE"""),117.85600000000001)</f>
        <v>117.856</v>
      </c>
    </row>
    <row r="609">
      <c r="A609" s="53">
        <v>1.0</v>
      </c>
      <c r="B609" s="72"/>
      <c r="C609" s="120" t="s">
        <v>603</v>
      </c>
      <c r="D609" s="74" t="s">
        <v>1478</v>
      </c>
      <c r="E609" s="54" t="s">
        <v>38</v>
      </c>
      <c r="F609" s="54" t="s">
        <v>42</v>
      </c>
      <c r="G609" s="141" t="s">
        <v>1479</v>
      </c>
      <c r="H609" s="141" t="s">
        <v>1479</v>
      </c>
      <c r="I609" s="54">
        <f t="shared" si="24"/>
        <v>29</v>
      </c>
      <c r="J609" s="56"/>
      <c r="K609" s="75"/>
      <c r="L609" s="76"/>
      <c r="M609" s="59"/>
      <c r="N609" s="60">
        <v>151.0</v>
      </c>
      <c r="O609" s="61">
        <v>161.0</v>
      </c>
      <c r="P609" s="62">
        <v>90.0</v>
      </c>
      <c r="Q609" s="63">
        <v>90.0</v>
      </c>
      <c r="R609" s="64">
        <v>121.0</v>
      </c>
      <c r="S609" s="111">
        <v>127.0</v>
      </c>
      <c r="T609" s="65">
        <f t="shared" si="2"/>
        <v>20.32</v>
      </c>
      <c r="U609" s="65">
        <f t="shared" si="3"/>
        <v>147.32</v>
      </c>
      <c r="V609" s="66">
        <f t="shared" si="4"/>
        <v>0.04958677686</v>
      </c>
      <c r="W609" s="67">
        <f t="shared" si="5"/>
        <v>120.65</v>
      </c>
      <c r="X609" s="67">
        <f t="shared" si="6"/>
        <v>19.304</v>
      </c>
      <c r="Y609" s="67">
        <f t="shared" si="7"/>
        <v>139.954</v>
      </c>
      <c r="Z609" s="67">
        <f t="shared" si="8"/>
        <v>114.3</v>
      </c>
      <c r="AA609" s="67">
        <f t="shared" si="9"/>
        <v>18.288</v>
      </c>
      <c r="AB609" s="67">
        <f t="shared" si="10"/>
        <v>132.588</v>
      </c>
      <c r="AC609" s="67">
        <f t="shared" si="11"/>
        <v>107.95</v>
      </c>
      <c r="AD609" s="67">
        <f t="shared" si="12"/>
        <v>17.272</v>
      </c>
      <c r="AE609" s="67">
        <f t="shared" si="13"/>
        <v>125.222</v>
      </c>
      <c r="AF609" s="67">
        <f t="shared" si="14"/>
        <v>105.41</v>
      </c>
      <c r="AG609" s="67">
        <f t="shared" si="15"/>
        <v>16.8656</v>
      </c>
      <c r="AH609" s="67">
        <f t="shared" si="16"/>
        <v>122.2756</v>
      </c>
      <c r="AI609" s="67">
        <f t="shared" si="17"/>
        <v>101.6</v>
      </c>
      <c r="AJ609" s="68">
        <f t="shared" si="25"/>
        <v>16.256</v>
      </c>
      <c r="AK609" s="68">
        <f t="shared" si="26"/>
        <v>117.856</v>
      </c>
      <c r="AL609" s="70">
        <f>IFERROR(__xludf.DUMMYFUNCTION("""COMPUTED_VALUE"""),1.0)</f>
        <v>1</v>
      </c>
      <c r="AM609" s="70"/>
      <c r="AN609" s="71" t="str">
        <f>IFERROR(__xludf.DUMMYFUNCTION("""COMPUTED_VALUE""")," P")</f>
        <v>P</v>
      </c>
      <c r="AO609" s="71" t="str">
        <f>IFERROR(__xludf.DUMMYFUNCTION("""COMPUTED_VALUE""")," FL11")</f>
        <v>FL11</v>
      </c>
      <c r="AP609" s="71" t="str">
        <f>IFERROR(__xludf.DUMMYFUNCTION("""COMPUTED_VALUE""")," PZA")</f>
        <v>PZA</v>
      </c>
      <c r="AQ609" s="71" t="str">
        <f>IFERROR(__xludf.DUMMYFUNCTION("""COMPUTED_VALUE""")," REF")</f>
        <v>REF</v>
      </c>
      <c r="AR609" s="71" t="str">
        <f>IFERROR(__xludf.DUMMYFUNCTION("""COMPUTED_VALUE""")," FLECHA PARA LEVA SENCILLA TV-50 (B.C.)")</f>
        <v>FLECHA PARA LEVA SENCILLA TV-50 (B.C.)</v>
      </c>
      <c r="AS609" s="71" t="str">
        <f>IFERROR(__xludf.DUMMYFUNCTION("""COMPUTED_VALUE""")," FLECHA PARA LEVA SENCILLA TV-50 BC")</f>
        <v>FLECHA PARA LEVA SENCILLA TV-50 BC</v>
      </c>
      <c r="AT609" s="71">
        <f>IFERROR(__xludf.DUMMYFUNCTION("""COMPUTED_VALUE"""),34.0)</f>
        <v>34</v>
      </c>
      <c r="AU609" s="71"/>
      <c r="AV609" s="71"/>
      <c r="AW609" s="71"/>
      <c r="AX609" s="71"/>
      <c r="AY609" s="71">
        <f>IFERROR(__xludf.DUMMYFUNCTION("""COMPUTED_VALUE"""),128.0)</f>
        <v>128</v>
      </c>
      <c r="AZ609" s="71">
        <f>IFERROR(__xludf.DUMMYFUNCTION("""COMPUTED_VALUE"""),138.0)</f>
        <v>138</v>
      </c>
      <c r="BA609" s="71">
        <f>IFERROR(__xludf.DUMMYFUNCTION("""COMPUTED_VALUE"""),149.04000000000002)</f>
        <v>149.04</v>
      </c>
      <c r="BB609" s="71">
        <f>IFERROR(__xludf.DUMMYFUNCTION("""COMPUTED_VALUE"""),149.04000000000002)</f>
        <v>149.04</v>
      </c>
      <c r="BC609" s="71">
        <f>IFERROR(__xludf.DUMMYFUNCTION("""COMPUTED_VALUE"""),166.0)</f>
        <v>166</v>
      </c>
      <c r="BD609" s="71">
        <f>IFERROR(__xludf.DUMMYFUNCTION("""COMPUTED_VALUE"""),174.0)</f>
        <v>174</v>
      </c>
      <c r="BE609" s="71">
        <f>IFERROR(__xludf.DUMMYFUNCTION("""COMPUTED_VALUE"""),27.84)</f>
        <v>27.84</v>
      </c>
      <c r="BF609" s="71">
        <f>IFERROR(__xludf.DUMMYFUNCTION("""COMPUTED_VALUE"""),201.84)</f>
        <v>201.84</v>
      </c>
      <c r="BG609" s="71">
        <f>IFERROR(__xludf.DUMMYFUNCTION("""COMPUTED_VALUE"""),0.04819277108433735)</f>
        <v>0.04819277108</v>
      </c>
      <c r="BH609" s="71">
        <f>IFERROR(__xludf.DUMMYFUNCTION("""COMPUTED_VALUE"""),165.29999999999998)</f>
        <v>165.3</v>
      </c>
      <c r="BI609" s="71">
        <f>IFERROR(__xludf.DUMMYFUNCTION("""COMPUTED_VALUE"""),26.447999999999997)</f>
        <v>26.448</v>
      </c>
      <c r="BJ609" s="71">
        <f>IFERROR(__xludf.DUMMYFUNCTION("""COMPUTED_VALUE"""),191.748)</f>
        <v>191.748</v>
      </c>
      <c r="BK609" s="71">
        <f>IFERROR(__xludf.DUMMYFUNCTION("""COMPUTED_VALUE"""),156.6)</f>
        <v>156.6</v>
      </c>
      <c r="BL609" s="71">
        <f>IFERROR(__xludf.DUMMYFUNCTION("""COMPUTED_VALUE"""),25.056)</f>
        <v>25.056</v>
      </c>
      <c r="BM609" s="71">
        <f>IFERROR(__xludf.DUMMYFUNCTION("""COMPUTED_VALUE"""),181.656)</f>
        <v>181.656</v>
      </c>
      <c r="BN609" s="71">
        <f>IFERROR(__xludf.DUMMYFUNCTION("""COMPUTED_VALUE"""),147.9)</f>
        <v>147.9</v>
      </c>
      <c r="BO609" s="71">
        <f>IFERROR(__xludf.DUMMYFUNCTION("""COMPUTED_VALUE"""),23.664)</f>
        <v>23.664</v>
      </c>
      <c r="BP609" s="71">
        <f>IFERROR(__xludf.DUMMYFUNCTION("""COMPUTED_VALUE"""),171.56400000000002)</f>
        <v>171.564</v>
      </c>
      <c r="BQ609" s="71">
        <f>IFERROR(__xludf.DUMMYFUNCTION("""COMPUTED_VALUE"""),144.42)</f>
        <v>144.42</v>
      </c>
      <c r="BR609" s="71">
        <f>IFERROR(__xludf.DUMMYFUNCTION("""COMPUTED_VALUE"""),23.1072)</f>
        <v>23.1072</v>
      </c>
      <c r="BS609" s="71">
        <f>IFERROR(__xludf.DUMMYFUNCTION("""COMPUTED_VALUE"""),167.5272)</f>
        <v>167.5272</v>
      </c>
      <c r="BT609" s="71">
        <f>IFERROR(__xludf.DUMMYFUNCTION("""COMPUTED_VALUE"""),139.20000000000002)</f>
        <v>139.2</v>
      </c>
      <c r="BU609" s="71">
        <f>IFERROR(__xludf.DUMMYFUNCTION("""COMPUTED_VALUE"""),22.272000000000002)</f>
        <v>22.272</v>
      </c>
      <c r="BV609" s="71">
        <f>IFERROR(__xludf.DUMMYFUNCTION("""COMPUTED_VALUE"""),161.472)</f>
        <v>161.472</v>
      </c>
    </row>
    <row r="610">
      <c r="A610" s="53">
        <v>1.0</v>
      </c>
      <c r="B610" s="72"/>
      <c r="C610" s="120" t="s">
        <v>603</v>
      </c>
      <c r="D610" s="74" t="s">
        <v>1480</v>
      </c>
      <c r="E610" s="54" t="s">
        <v>38</v>
      </c>
      <c r="F610" s="54" t="s">
        <v>42</v>
      </c>
      <c r="G610" s="141" t="s">
        <v>1481</v>
      </c>
      <c r="H610" s="141" t="s">
        <v>1481</v>
      </c>
      <c r="I610" s="54">
        <f t="shared" si="24"/>
        <v>25</v>
      </c>
      <c r="J610" s="56"/>
      <c r="K610" s="75"/>
      <c r="L610" s="76"/>
      <c r="M610" s="59"/>
      <c r="N610" s="60">
        <v>149.0</v>
      </c>
      <c r="O610" s="61">
        <v>160.0</v>
      </c>
      <c r="P610" s="62">
        <v>90.0</v>
      </c>
      <c r="Q610" s="63">
        <v>90.0</v>
      </c>
      <c r="R610" s="64">
        <v>121.0</v>
      </c>
      <c r="S610" s="111">
        <v>127.0</v>
      </c>
      <c r="T610" s="65">
        <f t="shared" si="2"/>
        <v>20.32</v>
      </c>
      <c r="U610" s="65">
        <f t="shared" si="3"/>
        <v>147.32</v>
      </c>
      <c r="V610" s="66">
        <f t="shared" si="4"/>
        <v>0.04958677686</v>
      </c>
      <c r="W610" s="67">
        <f t="shared" si="5"/>
        <v>120.65</v>
      </c>
      <c r="X610" s="67">
        <f t="shared" si="6"/>
        <v>19.304</v>
      </c>
      <c r="Y610" s="67">
        <f t="shared" si="7"/>
        <v>139.954</v>
      </c>
      <c r="Z610" s="67">
        <f t="shared" si="8"/>
        <v>114.3</v>
      </c>
      <c r="AA610" s="67">
        <f t="shared" si="9"/>
        <v>18.288</v>
      </c>
      <c r="AB610" s="67">
        <f t="shared" si="10"/>
        <v>132.588</v>
      </c>
      <c r="AC610" s="67">
        <f t="shared" si="11"/>
        <v>107.95</v>
      </c>
      <c r="AD610" s="67">
        <f t="shared" si="12"/>
        <v>17.272</v>
      </c>
      <c r="AE610" s="67">
        <f t="shared" si="13"/>
        <v>125.222</v>
      </c>
      <c r="AF610" s="67">
        <f t="shared" si="14"/>
        <v>105.41</v>
      </c>
      <c r="AG610" s="67">
        <f t="shared" si="15"/>
        <v>16.8656</v>
      </c>
      <c r="AH610" s="67">
        <f t="shared" si="16"/>
        <v>122.2756</v>
      </c>
      <c r="AI610" s="67">
        <f t="shared" si="17"/>
        <v>101.6</v>
      </c>
      <c r="AJ610" s="68">
        <f t="shared" si="25"/>
        <v>16.256</v>
      </c>
      <c r="AK610" s="68">
        <f t="shared" si="26"/>
        <v>117.856</v>
      </c>
      <c r="AL610" s="70">
        <f>IFERROR(__xludf.DUMMYFUNCTION("""COMPUTED_VALUE"""),1.0)</f>
        <v>1</v>
      </c>
      <c r="AM610" s="70"/>
      <c r="AN610" s="71" t="str">
        <f>IFERROR(__xludf.DUMMYFUNCTION("""COMPUTED_VALUE""")," P")</f>
        <v>P</v>
      </c>
      <c r="AO610" s="71" t="str">
        <f>IFERROR(__xludf.DUMMYFUNCTION("""COMPUTED_VALUE""")," FL99")</f>
        <v>FL99</v>
      </c>
      <c r="AP610" s="71" t="str">
        <f>IFERROR(__xludf.DUMMYFUNCTION("""COMPUTED_VALUE""")," PZA")</f>
        <v>PZA</v>
      </c>
      <c r="AQ610" s="71" t="str">
        <f>IFERROR(__xludf.DUMMYFUNCTION("""COMPUTED_VALUE""")," REF")</f>
        <v>REF</v>
      </c>
      <c r="AR610" s="71" t="str">
        <f>IFERROR(__xludf.DUMMYFUNCTION("""COMPUTED_VALUE""")," FLECHA PARA PALETAS DE AMASADORA DE 100 KG (1""1/4X97CM) EN ACERO INOX. T-304 GRADO ALIMENTICIO")</f>
        <v>FLECHA PARA PALETAS DE AMASADORA DE 100 KG (1"1/4X97CM) EN ACERO INOX. T-304 GRADO ALIMENTICIO</v>
      </c>
      <c r="AS610" s="71" t="str">
        <f>IFERROR(__xludf.DUMMYFUNCTION("""COMPUTED_VALUE""")," FLECHA PALET AMASA 100KG 1 1/4X97CM INOX")</f>
        <v>FLECHA PALET AMASA 100KG 1 1/4X97CM INOX</v>
      </c>
      <c r="AT610" s="71">
        <f>IFERROR(__xludf.DUMMYFUNCTION("""COMPUTED_VALUE"""),40.0)</f>
        <v>40</v>
      </c>
      <c r="AU610" s="71"/>
      <c r="AV610" s="71"/>
      <c r="AW610" s="71"/>
      <c r="AX610" s="71"/>
      <c r="AY610" s="71">
        <f>IFERROR(__xludf.DUMMYFUNCTION("""COMPUTED_VALUE"""),1651.0)</f>
        <v>1651</v>
      </c>
      <c r="AZ610" s="71">
        <f>IFERROR(__xludf.DUMMYFUNCTION("""COMPUTED_VALUE"""),1783.0)</f>
        <v>1783</v>
      </c>
      <c r="BA610" s="71">
        <f>IFERROR(__xludf.DUMMYFUNCTION("""COMPUTED_VALUE"""),1925.64)</f>
        <v>1925.64</v>
      </c>
      <c r="BB610" s="71">
        <f>IFERROR(__xludf.DUMMYFUNCTION("""COMPUTED_VALUE"""),1925.64)</f>
        <v>1925.64</v>
      </c>
      <c r="BC610" s="71">
        <f>IFERROR(__xludf.DUMMYFUNCTION("""COMPUTED_VALUE"""),2145.0)</f>
        <v>2145</v>
      </c>
      <c r="BD610" s="71">
        <f>IFERROR(__xludf.DUMMYFUNCTION("""COMPUTED_VALUE"""),2252.0)</f>
        <v>2252</v>
      </c>
      <c r="BE610" s="71">
        <f>IFERROR(__xludf.DUMMYFUNCTION("""COMPUTED_VALUE"""),360.32)</f>
        <v>360.32</v>
      </c>
      <c r="BF610" s="71">
        <f>IFERROR(__xludf.DUMMYFUNCTION("""COMPUTED_VALUE"""),2612.32)</f>
        <v>2612.32</v>
      </c>
      <c r="BG610" s="71">
        <f>IFERROR(__xludf.DUMMYFUNCTION("""COMPUTED_VALUE"""),0.049883449883449886)</f>
        <v>0.04988344988</v>
      </c>
      <c r="BH610" s="71">
        <f>IFERROR(__xludf.DUMMYFUNCTION("""COMPUTED_VALUE"""),2139.4)</f>
        <v>2139.4</v>
      </c>
      <c r="BI610" s="71">
        <f>IFERROR(__xludf.DUMMYFUNCTION("""COMPUTED_VALUE"""),342.30400000000003)</f>
        <v>342.304</v>
      </c>
      <c r="BJ610" s="71">
        <f>IFERROR(__xludf.DUMMYFUNCTION("""COMPUTED_VALUE"""),2481.704)</f>
        <v>2481.704</v>
      </c>
      <c r="BK610" s="71">
        <f>IFERROR(__xludf.DUMMYFUNCTION("""COMPUTED_VALUE"""),2026.8)</f>
        <v>2026.8</v>
      </c>
      <c r="BL610" s="71">
        <f>IFERROR(__xludf.DUMMYFUNCTION("""COMPUTED_VALUE"""),324.288)</f>
        <v>324.288</v>
      </c>
      <c r="BM610" s="71">
        <f>IFERROR(__xludf.DUMMYFUNCTION("""COMPUTED_VALUE"""),2351.0879999999997)</f>
        <v>2351.088</v>
      </c>
      <c r="BN610" s="71">
        <f>IFERROR(__xludf.DUMMYFUNCTION("""COMPUTED_VALUE"""),1914.2)</f>
        <v>1914.2</v>
      </c>
      <c r="BO610" s="71">
        <f>IFERROR(__xludf.DUMMYFUNCTION("""COMPUTED_VALUE"""),306.272)</f>
        <v>306.272</v>
      </c>
      <c r="BP610" s="71">
        <f>IFERROR(__xludf.DUMMYFUNCTION("""COMPUTED_VALUE"""),2220.472)</f>
        <v>2220.472</v>
      </c>
      <c r="BQ610" s="71">
        <f>IFERROR(__xludf.DUMMYFUNCTION("""COMPUTED_VALUE"""),1869.1599999999999)</f>
        <v>1869.16</v>
      </c>
      <c r="BR610" s="71">
        <f>IFERROR(__xludf.DUMMYFUNCTION("""COMPUTED_VALUE"""),299.06559999999996)</f>
        <v>299.0656</v>
      </c>
      <c r="BS610" s="71">
        <f>IFERROR(__xludf.DUMMYFUNCTION("""COMPUTED_VALUE"""),2168.2255999999998)</f>
        <v>2168.2256</v>
      </c>
      <c r="BT610" s="71">
        <f>IFERROR(__xludf.DUMMYFUNCTION("""COMPUTED_VALUE"""),1801.6000000000001)</f>
        <v>1801.6</v>
      </c>
      <c r="BU610" s="71">
        <f>IFERROR(__xludf.DUMMYFUNCTION("""COMPUTED_VALUE"""),288.25600000000003)</f>
        <v>288.256</v>
      </c>
      <c r="BV610" s="71">
        <f>IFERROR(__xludf.DUMMYFUNCTION("""COMPUTED_VALUE"""),2089.856)</f>
        <v>2089.856</v>
      </c>
    </row>
    <row r="611">
      <c r="A611" s="53">
        <v>1.0</v>
      </c>
      <c r="B611" s="72"/>
      <c r="C611" s="120" t="s">
        <v>603</v>
      </c>
      <c r="D611" s="74" t="s">
        <v>1482</v>
      </c>
      <c r="E611" s="54" t="s">
        <v>38</v>
      </c>
      <c r="F611" s="54" t="s">
        <v>42</v>
      </c>
      <c r="G611" s="141" t="s">
        <v>1483</v>
      </c>
      <c r="H611" s="141" t="s">
        <v>1483</v>
      </c>
      <c r="I611" s="54">
        <f t="shared" si="24"/>
        <v>23</v>
      </c>
      <c r="J611" s="56"/>
      <c r="K611" s="75"/>
      <c r="L611" s="76"/>
      <c r="M611" s="59"/>
      <c r="N611" s="60">
        <v>149.0</v>
      </c>
      <c r="O611" s="61">
        <v>160.0</v>
      </c>
      <c r="P611" s="62">
        <v>85.0</v>
      </c>
      <c r="Q611" s="63">
        <v>85.0</v>
      </c>
      <c r="R611" s="64">
        <v>121.0</v>
      </c>
      <c r="S611" s="111">
        <v>127.0</v>
      </c>
      <c r="T611" s="65">
        <f t="shared" si="2"/>
        <v>20.32</v>
      </c>
      <c r="U611" s="65">
        <f t="shared" si="3"/>
        <v>147.32</v>
      </c>
      <c r="V611" s="66">
        <f t="shared" si="4"/>
        <v>0.04958677686</v>
      </c>
      <c r="W611" s="67">
        <f t="shared" si="5"/>
        <v>120.65</v>
      </c>
      <c r="X611" s="67">
        <f t="shared" si="6"/>
        <v>19.304</v>
      </c>
      <c r="Y611" s="67">
        <f t="shared" si="7"/>
        <v>139.954</v>
      </c>
      <c r="Z611" s="67">
        <f t="shared" si="8"/>
        <v>114.3</v>
      </c>
      <c r="AA611" s="67">
        <f t="shared" si="9"/>
        <v>18.288</v>
      </c>
      <c r="AB611" s="67">
        <f t="shared" si="10"/>
        <v>132.588</v>
      </c>
      <c r="AC611" s="67">
        <f t="shared" si="11"/>
        <v>107.95</v>
      </c>
      <c r="AD611" s="67">
        <f t="shared" si="12"/>
        <v>17.272</v>
      </c>
      <c r="AE611" s="67">
        <f t="shared" si="13"/>
        <v>125.222</v>
      </c>
      <c r="AF611" s="67">
        <f t="shared" si="14"/>
        <v>105.41</v>
      </c>
      <c r="AG611" s="67">
        <f t="shared" si="15"/>
        <v>16.8656</v>
      </c>
      <c r="AH611" s="67">
        <f t="shared" si="16"/>
        <v>122.2756</v>
      </c>
      <c r="AI611" s="67">
        <f t="shared" si="17"/>
        <v>101.6</v>
      </c>
      <c r="AJ611" s="68">
        <f t="shared" si="25"/>
        <v>16.256</v>
      </c>
      <c r="AK611" s="68">
        <f t="shared" si="26"/>
        <v>117.856</v>
      </c>
      <c r="AL611" s="70">
        <f>IFERROR(__xludf.DUMMYFUNCTION("""COMPUTED_VALUE"""),1.0)</f>
        <v>1</v>
      </c>
      <c r="AM611" s="70"/>
      <c r="AN611" s="71" t="str">
        <f>IFERROR(__xludf.DUMMYFUNCTION("""COMPUTED_VALUE""")," P")</f>
        <v>P</v>
      </c>
      <c r="AO611" s="71" t="str">
        <f>IFERROR(__xludf.DUMMYFUNCTION("""COMPUTED_VALUE""")," FL14")</f>
        <v>FL14</v>
      </c>
      <c r="AP611" s="71" t="str">
        <f>IFERROR(__xludf.DUMMYFUNCTION("""COMPUTED_VALUE""")," PZA")</f>
        <v>PZA</v>
      </c>
      <c r="AQ611" s="71" t="str">
        <f>IFERROR(__xludf.DUMMYFUNCTION("""COMPUTED_VALUE""")," REF")</f>
        <v>REF</v>
      </c>
      <c r="AR611" s="71" t="str">
        <f>IFERROR(__xludf.DUMMYFUNCTION("""COMPUTED_VALUE""")," FLECHA PARA PALETAS DE AMASADORA DE 100 KG. (1""1/4X97CM.)")</f>
        <v>FLECHA PARA PALETAS DE AMASADORA DE 100 KG. (1"1/4X97CM.)</v>
      </c>
      <c r="AS611" s="71" t="str">
        <f>IFERROR(__xludf.DUMMYFUNCTION("""COMPUTED_VALUE""")," FLECHA PALET AMASADORA 100KG 1 1/4X97CM")</f>
        <v>FLECHA PALET AMASADORA 100KG 1 1/4X97CM</v>
      </c>
      <c r="AT611" s="71">
        <f>IFERROR(__xludf.DUMMYFUNCTION("""COMPUTED_VALUE"""),39.0)</f>
        <v>39</v>
      </c>
      <c r="AU611" s="71"/>
      <c r="AV611" s="71"/>
      <c r="AW611" s="71"/>
      <c r="AX611" s="71"/>
      <c r="AY611" s="71">
        <f>IFERROR(__xludf.DUMMYFUNCTION("""COMPUTED_VALUE"""),592.0)</f>
        <v>592</v>
      </c>
      <c r="AZ611" s="71">
        <f>IFERROR(__xludf.DUMMYFUNCTION("""COMPUTED_VALUE"""),639.0)</f>
        <v>639</v>
      </c>
      <c r="BA611" s="71">
        <f>IFERROR(__xludf.DUMMYFUNCTION("""COMPUTED_VALUE"""),690.12)</f>
        <v>690.12</v>
      </c>
      <c r="BB611" s="71">
        <f>IFERROR(__xludf.DUMMYFUNCTION("""COMPUTED_VALUE"""),690.12)</f>
        <v>690.12</v>
      </c>
      <c r="BC611" s="71">
        <f>IFERROR(__xludf.DUMMYFUNCTION("""COMPUTED_VALUE"""),769.0)</f>
        <v>769</v>
      </c>
      <c r="BD611" s="71">
        <f>IFERROR(__xludf.DUMMYFUNCTION("""COMPUTED_VALUE"""),807.0)</f>
        <v>807</v>
      </c>
      <c r="BE611" s="71">
        <f>IFERROR(__xludf.DUMMYFUNCTION("""COMPUTED_VALUE"""),129.12)</f>
        <v>129.12</v>
      </c>
      <c r="BF611" s="71">
        <f>IFERROR(__xludf.DUMMYFUNCTION("""COMPUTED_VALUE"""),936.12)</f>
        <v>936.12</v>
      </c>
      <c r="BG611" s="71">
        <f>IFERROR(__xludf.DUMMYFUNCTION("""COMPUTED_VALUE"""),0.0494148244473342)</f>
        <v>0.04941482445</v>
      </c>
      <c r="BH611" s="71">
        <f>IFERROR(__xludf.DUMMYFUNCTION("""COMPUTED_VALUE"""),766.65)</f>
        <v>766.65</v>
      </c>
      <c r="BI611" s="71">
        <f>IFERROR(__xludf.DUMMYFUNCTION("""COMPUTED_VALUE"""),122.664)</f>
        <v>122.664</v>
      </c>
      <c r="BJ611" s="71">
        <f>IFERROR(__xludf.DUMMYFUNCTION("""COMPUTED_VALUE"""),889.314)</f>
        <v>889.314</v>
      </c>
      <c r="BK611" s="71">
        <f>IFERROR(__xludf.DUMMYFUNCTION("""COMPUTED_VALUE"""),726.3000000000001)</f>
        <v>726.3</v>
      </c>
      <c r="BL611" s="71">
        <f>IFERROR(__xludf.DUMMYFUNCTION("""COMPUTED_VALUE"""),116.20800000000001)</f>
        <v>116.208</v>
      </c>
      <c r="BM611" s="71">
        <f>IFERROR(__xludf.DUMMYFUNCTION("""COMPUTED_VALUE"""),842.508)</f>
        <v>842.508</v>
      </c>
      <c r="BN611" s="71">
        <f>IFERROR(__xludf.DUMMYFUNCTION("""COMPUTED_VALUE"""),685.9499999999999)</f>
        <v>685.95</v>
      </c>
      <c r="BO611" s="71">
        <f>IFERROR(__xludf.DUMMYFUNCTION("""COMPUTED_VALUE"""),109.752)</f>
        <v>109.752</v>
      </c>
      <c r="BP611" s="71">
        <f>IFERROR(__xludf.DUMMYFUNCTION("""COMPUTED_VALUE"""),795.7019999999999)</f>
        <v>795.702</v>
      </c>
      <c r="BQ611" s="71">
        <f>IFERROR(__xludf.DUMMYFUNCTION("""COMPUTED_VALUE"""),669.81)</f>
        <v>669.81</v>
      </c>
      <c r="BR611" s="71">
        <f>IFERROR(__xludf.DUMMYFUNCTION("""COMPUTED_VALUE"""),107.16959999999999)</f>
        <v>107.1696</v>
      </c>
      <c r="BS611" s="71">
        <f>IFERROR(__xludf.DUMMYFUNCTION("""COMPUTED_VALUE"""),776.9795999999999)</f>
        <v>776.9796</v>
      </c>
      <c r="BT611" s="71">
        <f>IFERROR(__xludf.DUMMYFUNCTION("""COMPUTED_VALUE"""),645.6)</f>
        <v>645.6</v>
      </c>
      <c r="BU611" s="71">
        <f>IFERROR(__xludf.DUMMYFUNCTION("""COMPUTED_VALUE"""),103.296)</f>
        <v>103.296</v>
      </c>
      <c r="BV611" s="71">
        <f>IFERROR(__xludf.DUMMYFUNCTION("""COMPUTED_VALUE"""),748.8960000000001)</f>
        <v>748.896</v>
      </c>
    </row>
    <row r="612">
      <c r="A612" s="53">
        <v>1.0</v>
      </c>
      <c r="B612" s="72"/>
      <c r="C612" s="120" t="s">
        <v>603</v>
      </c>
      <c r="D612" s="74" t="s">
        <v>1484</v>
      </c>
      <c r="E612" s="54" t="s">
        <v>38</v>
      </c>
      <c r="F612" s="54" t="s">
        <v>42</v>
      </c>
      <c r="G612" s="141" t="s">
        <v>1485</v>
      </c>
      <c r="H612" s="141" t="s">
        <v>1485</v>
      </c>
      <c r="I612" s="54">
        <f t="shared" si="24"/>
        <v>21</v>
      </c>
      <c r="J612" s="56"/>
      <c r="K612" s="75"/>
      <c r="L612" s="76"/>
      <c r="M612" s="59"/>
      <c r="N612" s="60">
        <v>151.0</v>
      </c>
      <c r="O612" s="61">
        <v>160.0</v>
      </c>
      <c r="P612" s="62">
        <v>85.0</v>
      </c>
      <c r="Q612" s="63">
        <v>85.0</v>
      </c>
      <c r="R612" s="64">
        <v>127.0</v>
      </c>
      <c r="S612" s="111">
        <v>133.0</v>
      </c>
      <c r="T612" s="65">
        <f t="shared" si="2"/>
        <v>21.28</v>
      </c>
      <c r="U612" s="65">
        <f t="shared" si="3"/>
        <v>154.28</v>
      </c>
      <c r="V612" s="66">
        <f t="shared" si="4"/>
        <v>0.04724409449</v>
      </c>
      <c r="W612" s="67">
        <f t="shared" si="5"/>
        <v>126.35</v>
      </c>
      <c r="X612" s="67">
        <f t="shared" si="6"/>
        <v>20.216</v>
      </c>
      <c r="Y612" s="67">
        <f t="shared" si="7"/>
        <v>146.566</v>
      </c>
      <c r="Z612" s="67">
        <f t="shared" si="8"/>
        <v>119.7</v>
      </c>
      <c r="AA612" s="67">
        <f t="shared" si="9"/>
        <v>19.152</v>
      </c>
      <c r="AB612" s="67">
        <f t="shared" si="10"/>
        <v>138.852</v>
      </c>
      <c r="AC612" s="67">
        <f t="shared" si="11"/>
        <v>113.05</v>
      </c>
      <c r="AD612" s="67">
        <f t="shared" si="12"/>
        <v>18.088</v>
      </c>
      <c r="AE612" s="67">
        <f t="shared" si="13"/>
        <v>131.138</v>
      </c>
      <c r="AF612" s="67">
        <f t="shared" si="14"/>
        <v>110.39</v>
      </c>
      <c r="AG612" s="67">
        <f t="shared" si="15"/>
        <v>17.6624</v>
      </c>
      <c r="AH612" s="67">
        <f t="shared" si="16"/>
        <v>128.0524</v>
      </c>
      <c r="AI612" s="67">
        <f t="shared" si="17"/>
        <v>106.4</v>
      </c>
      <c r="AJ612" s="68">
        <f t="shared" si="25"/>
        <v>17.024</v>
      </c>
      <c r="AK612" s="68">
        <f t="shared" si="26"/>
        <v>123.424</v>
      </c>
      <c r="AL612" s="70">
        <f>IFERROR(__xludf.DUMMYFUNCTION("""COMPUTED_VALUE"""),1.0)</f>
        <v>1</v>
      </c>
      <c r="AM612" s="70"/>
      <c r="AN612" s="71" t="str">
        <f>IFERROR(__xludf.DUMMYFUNCTION("""COMPUTED_VALUE""")," P")</f>
        <v>P</v>
      </c>
      <c r="AO612" s="71" t="str">
        <f>IFERROR(__xludf.DUMMYFUNCTION("""COMPUTED_VALUE""")," FL97")</f>
        <v>FL97</v>
      </c>
      <c r="AP612" s="71" t="str">
        <f>IFERROR(__xludf.DUMMYFUNCTION("""COMPUTED_VALUE""")," PZA")</f>
        <v>PZA</v>
      </c>
      <c r="AQ612" s="71" t="str">
        <f>IFERROR(__xludf.DUMMYFUNCTION("""COMPUTED_VALUE""")," REF")</f>
        <v>REF</v>
      </c>
      <c r="AR612" s="71" t="str">
        <f>IFERROR(__xludf.DUMMYFUNCTION("""COMPUTED_VALUE""")," FLECHA PARA PALETAS DE AMASADORA DE 25 KG (3/4""X68CM) EN ACERO INOX. T-304 GRADO ALIMENTICIO")</f>
        <v>FLECHA PARA PALETAS DE AMASADORA DE 25 KG (3/4"X68CM) EN ACERO INOX. T-304 GRADO ALIMENTICIO</v>
      </c>
      <c r="AS612" s="71" t="str">
        <f>IFERROR(__xludf.DUMMYFUNCTION("""COMPUTED_VALUE""")," FLECHA PALETAS AMASAD 25KG 3/4X68CM INOX")</f>
        <v>FLECHA PALETAS AMASAD 25KG 3/4X68CM INOX</v>
      </c>
      <c r="AT612" s="71">
        <f>IFERROR(__xludf.DUMMYFUNCTION("""COMPUTED_VALUE"""),40.0)</f>
        <v>40</v>
      </c>
      <c r="AU612" s="71"/>
      <c r="AV612" s="71"/>
      <c r="AW612" s="71"/>
      <c r="AX612" s="71"/>
      <c r="AY612" s="71">
        <f>IFERROR(__xludf.DUMMYFUNCTION("""COMPUTED_VALUE"""),1488.0)</f>
        <v>1488</v>
      </c>
      <c r="AZ612" s="71">
        <f>IFERROR(__xludf.DUMMYFUNCTION("""COMPUTED_VALUE"""),1607.0)</f>
        <v>1607</v>
      </c>
      <c r="BA612" s="71">
        <f>IFERROR(__xludf.DUMMYFUNCTION("""COMPUTED_VALUE"""),1735.5600000000002)</f>
        <v>1735.56</v>
      </c>
      <c r="BB612" s="71">
        <f>IFERROR(__xludf.DUMMYFUNCTION("""COMPUTED_VALUE"""),1735.5600000000002)</f>
        <v>1735.56</v>
      </c>
      <c r="BC612" s="71">
        <f>IFERROR(__xludf.DUMMYFUNCTION("""COMPUTED_VALUE"""),1932.0)</f>
        <v>1932</v>
      </c>
      <c r="BD612" s="71">
        <f>IFERROR(__xludf.DUMMYFUNCTION("""COMPUTED_VALUE"""),2029.0)</f>
        <v>2029</v>
      </c>
      <c r="BE612" s="71">
        <f>IFERROR(__xludf.DUMMYFUNCTION("""COMPUTED_VALUE"""),324.64)</f>
        <v>324.64</v>
      </c>
      <c r="BF612" s="71">
        <f>IFERROR(__xludf.DUMMYFUNCTION("""COMPUTED_VALUE"""),2353.64)</f>
        <v>2353.64</v>
      </c>
      <c r="BG612" s="71">
        <f>IFERROR(__xludf.DUMMYFUNCTION("""COMPUTED_VALUE"""),0.05020703933747412)</f>
        <v>0.05020703934</v>
      </c>
      <c r="BH612" s="71">
        <f>IFERROR(__xludf.DUMMYFUNCTION("""COMPUTED_VALUE"""),1927.55)</f>
        <v>1927.55</v>
      </c>
      <c r="BI612" s="71">
        <f>IFERROR(__xludf.DUMMYFUNCTION("""COMPUTED_VALUE"""),308.408)</f>
        <v>308.408</v>
      </c>
      <c r="BJ612" s="71">
        <f>IFERROR(__xludf.DUMMYFUNCTION("""COMPUTED_VALUE"""),2235.958)</f>
        <v>2235.958</v>
      </c>
      <c r="BK612" s="71">
        <f>IFERROR(__xludf.DUMMYFUNCTION("""COMPUTED_VALUE"""),1826.1000000000001)</f>
        <v>1826.1</v>
      </c>
      <c r="BL612" s="71">
        <f>IFERROR(__xludf.DUMMYFUNCTION("""COMPUTED_VALUE"""),292.17600000000004)</f>
        <v>292.176</v>
      </c>
      <c r="BM612" s="71">
        <f>IFERROR(__xludf.DUMMYFUNCTION("""COMPUTED_VALUE"""),2118.2760000000003)</f>
        <v>2118.276</v>
      </c>
      <c r="BN612" s="71">
        <f>IFERROR(__xludf.DUMMYFUNCTION("""COMPUTED_VALUE"""),1724.6499999999999)</f>
        <v>1724.65</v>
      </c>
      <c r="BO612" s="71">
        <f>IFERROR(__xludf.DUMMYFUNCTION("""COMPUTED_VALUE"""),275.94399999999996)</f>
        <v>275.944</v>
      </c>
      <c r="BP612" s="71">
        <f>IFERROR(__xludf.DUMMYFUNCTION("""COMPUTED_VALUE"""),2000.5939999999998)</f>
        <v>2000.594</v>
      </c>
      <c r="BQ612" s="71">
        <f>IFERROR(__xludf.DUMMYFUNCTION("""COMPUTED_VALUE"""),1684.07)</f>
        <v>1684.07</v>
      </c>
      <c r="BR612" s="71">
        <f>IFERROR(__xludf.DUMMYFUNCTION("""COMPUTED_VALUE"""),269.4512)</f>
        <v>269.4512</v>
      </c>
      <c r="BS612" s="71">
        <f>IFERROR(__xludf.DUMMYFUNCTION("""COMPUTED_VALUE"""),1953.5212)</f>
        <v>1953.5212</v>
      </c>
      <c r="BT612" s="71">
        <f>IFERROR(__xludf.DUMMYFUNCTION("""COMPUTED_VALUE"""),1623.2)</f>
        <v>1623.2</v>
      </c>
      <c r="BU612" s="71">
        <f>IFERROR(__xludf.DUMMYFUNCTION("""COMPUTED_VALUE"""),259.712)</f>
        <v>259.712</v>
      </c>
      <c r="BV612" s="71">
        <f>IFERROR(__xludf.DUMMYFUNCTION("""COMPUTED_VALUE"""),1882.912)</f>
        <v>1882.912</v>
      </c>
    </row>
    <row r="613">
      <c r="A613" s="53">
        <v>1.0</v>
      </c>
      <c r="B613" s="72"/>
      <c r="C613" s="120" t="s">
        <v>603</v>
      </c>
      <c r="D613" s="74" t="s">
        <v>1486</v>
      </c>
      <c r="E613" s="54" t="s">
        <v>38</v>
      </c>
      <c r="F613" s="54" t="s">
        <v>42</v>
      </c>
      <c r="G613" s="141" t="s">
        <v>1487</v>
      </c>
      <c r="H613" s="141" t="s">
        <v>1487</v>
      </c>
      <c r="I613" s="54">
        <f t="shared" si="24"/>
        <v>23</v>
      </c>
      <c r="J613" s="56"/>
      <c r="K613" s="75"/>
      <c r="L613" s="76"/>
      <c r="M613" s="59"/>
      <c r="N613" s="60">
        <v>162.0</v>
      </c>
      <c r="O613" s="61">
        <v>174.0</v>
      </c>
      <c r="P613" s="62">
        <v>90.0</v>
      </c>
      <c r="Q613" s="63">
        <v>90.0</v>
      </c>
      <c r="R613" s="64">
        <v>127.0</v>
      </c>
      <c r="S613" s="111">
        <v>133.0</v>
      </c>
      <c r="T613" s="65">
        <f t="shared" si="2"/>
        <v>21.28</v>
      </c>
      <c r="U613" s="65">
        <f t="shared" si="3"/>
        <v>154.28</v>
      </c>
      <c r="V613" s="66">
        <f t="shared" si="4"/>
        <v>0.04724409449</v>
      </c>
      <c r="W613" s="67">
        <f t="shared" si="5"/>
        <v>126.35</v>
      </c>
      <c r="X613" s="67">
        <f t="shared" si="6"/>
        <v>20.216</v>
      </c>
      <c r="Y613" s="67">
        <f t="shared" si="7"/>
        <v>146.566</v>
      </c>
      <c r="Z613" s="67">
        <f t="shared" si="8"/>
        <v>119.7</v>
      </c>
      <c r="AA613" s="67">
        <f t="shared" si="9"/>
        <v>19.152</v>
      </c>
      <c r="AB613" s="67">
        <f t="shared" si="10"/>
        <v>138.852</v>
      </c>
      <c r="AC613" s="67">
        <f t="shared" si="11"/>
        <v>113.05</v>
      </c>
      <c r="AD613" s="67">
        <f t="shared" si="12"/>
        <v>18.088</v>
      </c>
      <c r="AE613" s="67">
        <f t="shared" si="13"/>
        <v>131.138</v>
      </c>
      <c r="AF613" s="67">
        <f t="shared" si="14"/>
        <v>110.39</v>
      </c>
      <c r="AG613" s="67">
        <f t="shared" si="15"/>
        <v>17.6624</v>
      </c>
      <c r="AH613" s="67">
        <f t="shared" si="16"/>
        <v>128.0524</v>
      </c>
      <c r="AI613" s="67">
        <f t="shared" si="17"/>
        <v>106.4</v>
      </c>
      <c r="AJ613" s="68">
        <f t="shared" si="25"/>
        <v>17.024</v>
      </c>
      <c r="AK613" s="68">
        <f t="shared" si="26"/>
        <v>123.424</v>
      </c>
      <c r="AL613" s="70">
        <f>IFERROR(__xludf.DUMMYFUNCTION("""COMPUTED_VALUE"""),1.0)</f>
        <v>1</v>
      </c>
      <c r="AM613" s="70"/>
      <c r="AN613" s="71" t="str">
        <f>IFERROR(__xludf.DUMMYFUNCTION("""COMPUTED_VALUE""")," P")</f>
        <v>P</v>
      </c>
      <c r="AO613" s="71" t="str">
        <f>IFERROR(__xludf.DUMMYFUNCTION("""COMPUTED_VALUE""")," FL12")</f>
        <v>FL12</v>
      </c>
      <c r="AP613" s="71" t="str">
        <f>IFERROR(__xludf.DUMMYFUNCTION("""COMPUTED_VALUE""")," PZA")</f>
        <v>PZA</v>
      </c>
      <c r="AQ613" s="71" t="str">
        <f>IFERROR(__xludf.DUMMYFUNCTION("""COMPUTED_VALUE""")," REF")</f>
        <v>REF</v>
      </c>
      <c r="AR613" s="71" t="str">
        <f>IFERROR(__xludf.DUMMYFUNCTION("""COMPUTED_VALUE""")," FLECHA PARA PALETAS DE AMASADORA DE 25 KG. (3/4X68CM.)")</f>
        <v>FLECHA PARA PALETAS DE AMASADORA DE 25 KG. (3/4X68CM.)</v>
      </c>
      <c r="AS613" s="71" t="str">
        <f>IFERROR(__xludf.DUMMYFUNCTION("""COMPUTED_VALUE""")," FLECHA PALETAS AMASADORA 25 KG 3/4X68CM")</f>
        <v>FLECHA PALETAS AMASADORA 25 KG 3/4X68CM</v>
      </c>
      <c r="AT613" s="71">
        <f>IFERROR(__xludf.DUMMYFUNCTION("""COMPUTED_VALUE"""),39.0)</f>
        <v>39</v>
      </c>
      <c r="AU613" s="71"/>
      <c r="AV613" s="71"/>
      <c r="AW613" s="71"/>
      <c r="AX613" s="71"/>
      <c r="AY613" s="71">
        <f>IFERROR(__xludf.DUMMYFUNCTION("""COMPUTED_VALUE"""),267.0)</f>
        <v>267</v>
      </c>
      <c r="AZ613" s="71">
        <f>IFERROR(__xludf.DUMMYFUNCTION("""COMPUTED_VALUE"""),288.0)</f>
        <v>288</v>
      </c>
      <c r="BA613" s="71">
        <f>IFERROR(__xludf.DUMMYFUNCTION("""COMPUTED_VALUE"""),311.04)</f>
        <v>311.04</v>
      </c>
      <c r="BB613" s="71">
        <f>IFERROR(__xludf.DUMMYFUNCTION("""COMPUTED_VALUE"""),311.04)</f>
        <v>311.04</v>
      </c>
      <c r="BC613" s="71">
        <f>IFERROR(__xludf.DUMMYFUNCTION("""COMPUTED_VALUE"""),347.0)</f>
        <v>347</v>
      </c>
      <c r="BD613" s="71">
        <f>IFERROR(__xludf.DUMMYFUNCTION("""COMPUTED_VALUE"""),364.0)</f>
        <v>364</v>
      </c>
      <c r="BE613" s="71">
        <f>IFERROR(__xludf.DUMMYFUNCTION("""COMPUTED_VALUE"""),58.24)</f>
        <v>58.24</v>
      </c>
      <c r="BF613" s="71">
        <f>IFERROR(__xludf.DUMMYFUNCTION("""COMPUTED_VALUE"""),422.24)</f>
        <v>422.24</v>
      </c>
      <c r="BG613" s="71">
        <f>IFERROR(__xludf.DUMMYFUNCTION("""COMPUTED_VALUE"""),0.04899135446685879)</f>
        <v>0.04899135447</v>
      </c>
      <c r="BH613" s="71">
        <f>IFERROR(__xludf.DUMMYFUNCTION("""COMPUTED_VALUE"""),345.8)</f>
        <v>345.8</v>
      </c>
      <c r="BI613" s="71">
        <f>IFERROR(__xludf.DUMMYFUNCTION("""COMPUTED_VALUE"""),55.328)</f>
        <v>55.328</v>
      </c>
      <c r="BJ613" s="71">
        <f>IFERROR(__xludf.DUMMYFUNCTION("""COMPUTED_VALUE"""),401.12800000000004)</f>
        <v>401.128</v>
      </c>
      <c r="BK613" s="71">
        <f>IFERROR(__xludf.DUMMYFUNCTION("""COMPUTED_VALUE"""),327.6)</f>
        <v>327.6</v>
      </c>
      <c r="BL613" s="71">
        <f>IFERROR(__xludf.DUMMYFUNCTION("""COMPUTED_VALUE"""),52.416000000000004)</f>
        <v>52.416</v>
      </c>
      <c r="BM613" s="71">
        <f>IFERROR(__xludf.DUMMYFUNCTION("""COMPUTED_VALUE"""),380.016)</f>
        <v>380.016</v>
      </c>
      <c r="BN613" s="71">
        <f>IFERROR(__xludf.DUMMYFUNCTION("""COMPUTED_VALUE"""),309.4)</f>
        <v>309.4</v>
      </c>
      <c r="BO613" s="71">
        <f>IFERROR(__xludf.DUMMYFUNCTION("""COMPUTED_VALUE"""),49.504)</f>
        <v>49.504</v>
      </c>
      <c r="BP613" s="71">
        <f>IFERROR(__xludf.DUMMYFUNCTION("""COMPUTED_VALUE"""),358.904)</f>
        <v>358.904</v>
      </c>
      <c r="BQ613" s="71">
        <f>IFERROR(__xludf.DUMMYFUNCTION("""COMPUTED_VALUE"""),302.12)</f>
        <v>302.12</v>
      </c>
      <c r="BR613" s="71">
        <f>IFERROR(__xludf.DUMMYFUNCTION("""COMPUTED_VALUE"""),48.339200000000005)</f>
        <v>48.3392</v>
      </c>
      <c r="BS613" s="71">
        <f>IFERROR(__xludf.DUMMYFUNCTION("""COMPUTED_VALUE"""),350.4592)</f>
        <v>350.4592</v>
      </c>
      <c r="BT613" s="71">
        <f>IFERROR(__xludf.DUMMYFUNCTION("""COMPUTED_VALUE"""),291.2)</f>
        <v>291.2</v>
      </c>
      <c r="BU613" s="71">
        <f>IFERROR(__xludf.DUMMYFUNCTION("""COMPUTED_VALUE"""),46.592)</f>
        <v>46.592</v>
      </c>
      <c r="BV613" s="71">
        <f>IFERROR(__xludf.DUMMYFUNCTION("""COMPUTED_VALUE"""),337.792)</f>
        <v>337.792</v>
      </c>
    </row>
    <row r="614">
      <c r="A614" s="53">
        <v>1.0</v>
      </c>
      <c r="B614" s="72"/>
      <c r="C614" s="120" t="s">
        <v>603</v>
      </c>
      <c r="D614" s="74" t="s">
        <v>1488</v>
      </c>
      <c r="E614" s="55" t="s">
        <v>38</v>
      </c>
      <c r="F614" s="54" t="s">
        <v>42</v>
      </c>
      <c r="G614" s="141" t="s">
        <v>1489</v>
      </c>
      <c r="H614" s="141" t="s">
        <v>1489</v>
      </c>
      <c r="I614" s="54">
        <f t="shared" si="24"/>
        <v>27</v>
      </c>
      <c r="J614" s="56"/>
      <c r="K614" s="75"/>
      <c r="L614" s="76"/>
      <c r="M614" s="59"/>
      <c r="N614" s="60">
        <v>162.0</v>
      </c>
      <c r="O614" s="61">
        <v>174.0</v>
      </c>
      <c r="P614" s="62">
        <v>95.0</v>
      </c>
      <c r="Q614" s="63">
        <v>95.0</v>
      </c>
      <c r="R614" s="64">
        <v>127.0</v>
      </c>
      <c r="S614" s="111">
        <v>133.0</v>
      </c>
      <c r="T614" s="65">
        <f t="shared" si="2"/>
        <v>21.28</v>
      </c>
      <c r="U614" s="65">
        <f t="shared" si="3"/>
        <v>154.28</v>
      </c>
      <c r="V614" s="66">
        <f t="shared" si="4"/>
        <v>0.04724409449</v>
      </c>
      <c r="W614" s="67">
        <f t="shared" si="5"/>
        <v>126.35</v>
      </c>
      <c r="X614" s="67">
        <f t="shared" si="6"/>
        <v>20.216</v>
      </c>
      <c r="Y614" s="67">
        <f t="shared" si="7"/>
        <v>146.566</v>
      </c>
      <c r="Z614" s="67">
        <f t="shared" si="8"/>
        <v>119.7</v>
      </c>
      <c r="AA614" s="67">
        <f t="shared" si="9"/>
        <v>19.152</v>
      </c>
      <c r="AB614" s="67">
        <f t="shared" si="10"/>
        <v>138.852</v>
      </c>
      <c r="AC614" s="67">
        <f t="shared" si="11"/>
        <v>113.05</v>
      </c>
      <c r="AD614" s="67">
        <f t="shared" si="12"/>
        <v>18.088</v>
      </c>
      <c r="AE614" s="67">
        <f t="shared" si="13"/>
        <v>131.138</v>
      </c>
      <c r="AF614" s="67">
        <f t="shared" si="14"/>
        <v>110.39</v>
      </c>
      <c r="AG614" s="67">
        <f t="shared" si="15"/>
        <v>17.6624</v>
      </c>
      <c r="AH614" s="67">
        <f t="shared" si="16"/>
        <v>128.0524</v>
      </c>
      <c r="AI614" s="67">
        <f t="shared" si="17"/>
        <v>106.4</v>
      </c>
      <c r="AJ614" s="68">
        <f t="shared" si="25"/>
        <v>17.024</v>
      </c>
      <c r="AK614" s="68">
        <f t="shared" si="26"/>
        <v>123.424</v>
      </c>
      <c r="AL614" s="70">
        <f>IFERROR(__xludf.DUMMYFUNCTION("""COMPUTED_VALUE"""),1.0)</f>
        <v>1</v>
      </c>
      <c r="AM614" s="70"/>
      <c r="AN614" s="71" t="str">
        <f>IFERROR(__xludf.DUMMYFUNCTION("""COMPUTED_VALUE""")," P")</f>
        <v>P</v>
      </c>
      <c r="AO614" s="71" t="str">
        <f>IFERROR(__xludf.DUMMYFUNCTION("""COMPUTED_VALUE""")," FL98")</f>
        <v>FL98</v>
      </c>
      <c r="AP614" s="71" t="str">
        <f>IFERROR(__xludf.DUMMYFUNCTION("""COMPUTED_VALUE""")," PZA")</f>
        <v>PZA</v>
      </c>
      <c r="AQ614" s="71" t="str">
        <f>IFERROR(__xludf.DUMMYFUNCTION("""COMPUTED_VALUE""")," REF")</f>
        <v>REF</v>
      </c>
      <c r="AR614" s="71" t="str">
        <f>IFERROR(__xludf.DUMMYFUNCTION("""COMPUTED_VALUE""")," FLECHA PARA PALETAS DE AMASADORA DE 50 KG (1""X91CM) EN ACERO INOX. T-304 GRADO ALIMENTICIO")</f>
        <v>FLECHA PARA PALETAS DE AMASADORA DE 50 KG (1"X91CM) EN ACERO INOX. T-304 GRADO ALIMENTICIO</v>
      </c>
      <c r="AS614" s="71" t="str">
        <f>IFERROR(__xludf.DUMMYFUNCTION("""COMPUTED_VALUE""")," FLECHA PALETAS AMASADOR 50KG 1X91CM INOX")</f>
        <v>FLECHA PALETAS AMASADOR 50KG 1X91CM INOX</v>
      </c>
      <c r="AT614" s="71">
        <f>IFERROR(__xludf.DUMMYFUNCTION("""COMPUTED_VALUE"""),40.0)</f>
        <v>40</v>
      </c>
      <c r="AU614" s="71"/>
      <c r="AV614" s="71"/>
      <c r="AW614" s="71"/>
      <c r="AX614" s="71"/>
      <c r="AY614" s="71">
        <f>IFERROR(__xludf.DUMMYFUNCTION("""COMPUTED_VALUE"""),1569.0)</f>
        <v>1569</v>
      </c>
      <c r="AZ614" s="71">
        <f>IFERROR(__xludf.DUMMYFUNCTION("""COMPUTED_VALUE"""),1694.0)</f>
        <v>1694</v>
      </c>
      <c r="BA614" s="71">
        <f>IFERROR(__xludf.DUMMYFUNCTION("""COMPUTED_VALUE"""),1829.5200000000002)</f>
        <v>1829.52</v>
      </c>
      <c r="BB614" s="71">
        <f>IFERROR(__xludf.DUMMYFUNCTION("""COMPUTED_VALUE"""),1829.5200000000002)</f>
        <v>1829.52</v>
      </c>
      <c r="BC614" s="71">
        <f>IFERROR(__xludf.DUMMYFUNCTION("""COMPUTED_VALUE"""),2037.0)</f>
        <v>2037</v>
      </c>
      <c r="BD614" s="71">
        <f>IFERROR(__xludf.DUMMYFUNCTION("""COMPUTED_VALUE"""),2139.0)</f>
        <v>2139</v>
      </c>
      <c r="BE614" s="71">
        <f>IFERROR(__xludf.DUMMYFUNCTION("""COMPUTED_VALUE"""),342.24)</f>
        <v>342.24</v>
      </c>
      <c r="BF614" s="71">
        <f>IFERROR(__xludf.DUMMYFUNCTION("""COMPUTED_VALUE"""),2481.24)</f>
        <v>2481.24</v>
      </c>
      <c r="BG614" s="71">
        <f>IFERROR(__xludf.DUMMYFUNCTION("""COMPUTED_VALUE"""),0.050073637702503684)</f>
        <v>0.0500736377</v>
      </c>
      <c r="BH614" s="71">
        <f>IFERROR(__xludf.DUMMYFUNCTION("""COMPUTED_VALUE"""),2032.05)</f>
        <v>2032.05</v>
      </c>
      <c r="BI614" s="71">
        <f>IFERROR(__xludf.DUMMYFUNCTION("""COMPUTED_VALUE"""),325.128)</f>
        <v>325.128</v>
      </c>
      <c r="BJ614" s="71">
        <f>IFERROR(__xludf.DUMMYFUNCTION("""COMPUTED_VALUE"""),2357.178)</f>
        <v>2357.178</v>
      </c>
      <c r="BK614" s="71">
        <f>IFERROR(__xludf.DUMMYFUNCTION("""COMPUTED_VALUE"""),1925.1000000000001)</f>
        <v>1925.1</v>
      </c>
      <c r="BL614" s="71">
        <f>IFERROR(__xludf.DUMMYFUNCTION("""COMPUTED_VALUE"""),308.016)</f>
        <v>308.016</v>
      </c>
      <c r="BM614" s="71">
        <f>IFERROR(__xludf.DUMMYFUNCTION("""COMPUTED_VALUE"""),2233.116)</f>
        <v>2233.116</v>
      </c>
      <c r="BN614" s="71">
        <f>IFERROR(__xludf.DUMMYFUNCTION("""COMPUTED_VALUE"""),1818.1499999999999)</f>
        <v>1818.15</v>
      </c>
      <c r="BO614" s="71">
        <f>IFERROR(__xludf.DUMMYFUNCTION("""COMPUTED_VALUE"""),290.904)</f>
        <v>290.904</v>
      </c>
      <c r="BP614" s="71">
        <f>IFERROR(__xludf.DUMMYFUNCTION("""COMPUTED_VALUE"""),2109.054)</f>
        <v>2109.054</v>
      </c>
      <c r="BQ614" s="71">
        <f>IFERROR(__xludf.DUMMYFUNCTION("""COMPUTED_VALUE"""),1775.37)</f>
        <v>1775.37</v>
      </c>
      <c r="BR614" s="71">
        <f>IFERROR(__xludf.DUMMYFUNCTION("""COMPUTED_VALUE"""),284.0592)</f>
        <v>284.0592</v>
      </c>
      <c r="BS614" s="71">
        <f>IFERROR(__xludf.DUMMYFUNCTION("""COMPUTED_VALUE"""),2059.4292)</f>
        <v>2059.4292</v>
      </c>
      <c r="BT614" s="71">
        <f>IFERROR(__xludf.DUMMYFUNCTION("""COMPUTED_VALUE"""),1711.2)</f>
        <v>1711.2</v>
      </c>
      <c r="BU614" s="71">
        <f>IFERROR(__xludf.DUMMYFUNCTION("""COMPUTED_VALUE"""),273.79200000000003)</f>
        <v>273.792</v>
      </c>
      <c r="BV614" s="71">
        <f>IFERROR(__xludf.DUMMYFUNCTION("""COMPUTED_VALUE"""),1984.9920000000002)</f>
        <v>1984.992</v>
      </c>
    </row>
    <row r="615">
      <c r="A615" s="53">
        <v>1.0</v>
      </c>
      <c r="B615" s="72"/>
      <c r="C615" s="120" t="s">
        <v>603</v>
      </c>
      <c r="D615" s="74" t="s">
        <v>1490</v>
      </c>
      <c r="E615" s="54" t="s">
        <v>38</v>
      </c>
      <c r="F615" s="54" t="s">
        <v>42</v>
      </c>
      <c r="G615" s="141" t="s">
        <v>1491</v>
      </c>
      <c r="H615" s="141" t="s">
        <v>1491</v>
      </c>
      <c r="I615" s="54">
        <f t="shared" si="24"/>
        <v>21</v>
      </c>
      <c r="J615" s="56"/>
      <c r="K615" s="75"/>
      <c r="L615" s="76"/>
      <c r="M615" s="59"/>
      <c r="N615" s="60">
        <v>162.0</v>
      </c>
      <c r="O615" s="61">
        <v>174.0</v>
      </c>
      <c r="P615" s="62">
        <v>90.0</v>
      </c>
      <c r="Q615" s="63">
        <v>90.0</v>
      </c>
      <c r="R615" s="64">
        <v>127.0</v>
      </c>
      <c r="S615" s="111">
        <v>133.0</v>
      </c>
      <c r="T615" s="65">
        <f t="shared" si="2"/>
        <v>21.28</v>
      </c>
      <c r="U615" s="65">
        <f t="shared" si="3"/>
        <v>154.28</v>
      </c>
      <c r="V615" s="66">
        <f t="shared" si="4"/>
        <v>0.04724409449</v>
      </c>
      <c r="W615" s="67">
        <f t="shared" si="5"/>
        <v>126.35</v>
      </c>
      <c r="X615" s="67">
        <f t="shared" si="6"/>
        <v>20.216</v>
      </c>
      <c r="Y615" s="67">
        <f t="shared" si="7"/>
        <v>146.566</v>
      </c>
      <c r="Z615" s="67">
        <f t="shared" si="8"/>
        <v>119.7</v>
      </c>
      <c r="AA615" s="67">
        <f t="shared" si="9"/>
        <v>19.152</v>
      </c>
      <c r="AB615" s="67">
        <f t="shared" si="10"/>
        <v>138.852</v>
      </c>
      <c r="AC615" s="67">
        <f t="shared" si="11"/>
        <v>113.05</v>
      </c>
      <c r="AD615" s="67">
        <f t="shared" si="12"/>
        <v>18.088</v>
      </c>
      <c r="AE615" s="67">
        <f t="shared" si="13"/>
        <v>131.138</v>
      </c>
      <c r="AF615" s="67">
        <f t="shared" si="14"/>
        <v>110.39</v>
      </c>
      <c r="AG615" s="67">
        <f t="shared" si="15"/>
        <v>17.6624</v>
      </c>
      <c r="AH615" s="67">
        <f t="shared" si="16"/>
        <v>128.0524</v>
      </c>
      <c r="AI615" s="67">
        <f t="shared" si="17"/>
        <v>106.4</v>
      </c>
      <c r="AJ615" s="68">
        <f t="shared" si="25"/>
        <v>17.024</v>
      </c>
      <c r="AK615" s="68">
        <f t="shared" si="26"/>
        <v>123.424</v>
      </c>
      <c r="AL615" s="70">
        <f>IFERROR(__xludf.DUMMYFUNCTION("""COMPUTED_VALUE"""),1.0)</f>
        <v>1</v>
      </c>
      <c r="AM615" s="70"/>
      <c r="AN615" s="71" t="str">
        <f>IFERROR(__xludf.DUMMYFUNCTION("""COMPUTED_VALUE""")," P")</f>
        <v>P</v>
      </c>
      <c r="AO615" s="71" t="str">
        <f>IFERROR(__xludf.DUMMYFUNCTION("""COMPUTED_VALUE""")," FL13")</f>
        <v>FL13</v>
      </c>
      <c r="AP615" s="71" t="str">
        <f>IFERROR(__xludf.DUMMYFUNCTION("""COMPUTED_VALUE""")," PZA")</f>
        <v>PZA</v>
      </c>
      <c r="AQ615" s="71" t="str">
        <f>IFERROR(__xludf.DUMMYFUNCTION("""COMPUTED_VALUE""")," REF")</f>
        <v>REF</v>
      </c>
      <c r="AR615" s="71" t="str">
        <f>IFERROR(__xludf.DUMMYFUNCTION("""COMPUTED_VALUE""")," FLECHA PARA PALETAS DE AMASADORA DE 50 KG. (1""X91CM.)")</f>
        <v>FLECHA PARA PALETAS DE AMASADORA DE 50 KG. (1"X91CM.)</v>
      </c>
      <c r="AS615" s="71" t="str">
        <f>IFERROR(__xludf.DUMMYFUNCTION("""COMPUTED_VALUE""")," FLECHA PALETAS AMASADORA DE 50KG 1X91CM")</f>
        <v>FLECHA PALETAS AMASADORA DE 50KG 1X91CM</v>
      </c>
      <c r="AT615" s="71">
        <f>IFERROR(__xludf.DUMMYFUNCTION("""COMPUTED_VALUE"""),39.0)</f>
        <v>39</v>
      </c>
      <c r="AU615" s="71"/>
      <c r="AV615" s="71"/>
      <c r="AW615" s="71"/>
      <c r="AX615" s="71"/>
      <c r="AY615" s="71">
        <f>IFERROR(__xludf.DUMMYFUNCTION("""COMPUTED_VALUE"""),359.0)</f>
        <v>359</v>
      </c>
      <c r="AZ615" s="71">
        <f>IFERROR(__xludf.DUMMYFUNCTION("""COMPUTED_VALUE"""),387.0)</f>
        <v>387</v>
      </c>
      <c r="BA615" s="71">
        <f>IFERROR(__xludf.DUMMYFUNCTION("""COMPUTED_VALUE"""),417.96000000000004)</f>
        <v>417.96</v>
      </c>
      <c r="BB615" s="71">
        <f>IFERROR(__xludf.DUMMYFUNCTION("""COMPUTED_VALUE"""),417.96000000000004)</f>
        <v>417.96</v>
      </c>
      <c r="BC615" s="71">
        <f>IFERROR(__xludf.DUMMYFUNCTION("""COMPUTED_VALUE"""),467.0)</f>
        <v>467</v>
      </c>
      <c r="BD615" s="71">
        <f>IFERROR(__xludf.DUMMYFUNCTION("""COMPUTED_VALUE"""),490.0)</f>
        <v>490</v>
      </c>
      <c r="BE615" s="71">
        <f>IFERROR(__xludf.DUMMYFUNCTION("""COMPUTED_VALUE"""),78.4)</f>
        <v>78.4</v>
      </c>
      <c r="BF615" s="71">
        <f>IFERROR(__xludf.DUMMYFUNCTION("""COMPUTED_VALUE"""),568.4)</f>
        <v>568.4</v>
      </c>
      <c r="BG615" s="71">
        <f>IFERROR(__xludf.DUMMYFUNCTION("""COMPUTED_VALUE"""),0.04925053533190578)</f>
        <v>0.04925053533</v>
      </c>
      <c r="BH615" s="71">
        <f>IFERROR(__xludf.DUMMYFUNCTION("""COMPUTED_VALUE"""),465.5)</f>
        <v>465.5</v>
      </c>
      <c r="BI615" s="71">
        <f>IFERROR(__xludf.DUMMYFUNCTION("""COMPUTED_VALUE"""),74.48)</f>
        <v>74.48</v>
      </c>
      <c r="BJ615" s="71">
        <f>IFERROR(__xludf.DUMMYFUNCTION("""COMPUTED_VALUE"""),539.98)</f>
        <v>539.98</v>
      </c>
      <c r="BK615" s="71">
        <f>IFERROR(__xludf.DUMMYFUNCTION("""COMPUTED_VALUE"""),441.0)</f>
        <v>441</v>
      </c>
      <c r="BL615" s="71">
        <f>IFERROR(__xludf.DUMMYFUNCTION("""COMPUTED_VALUE"""),70.56)</f>
        <v>70.56</v>
      </c>
      <c r="BM615" s="71">
        <f>IFERROR(__xludf.DUMMYFUNCTION("""COMPUTED_VALUE"""),511.56)</f>
        <v>511.56</v>
      </c>
      <c r="BN615" s="71">
        <f>IFERROR(__xludf.DUMMYFUNCTION("""COMPUTED_VALUE"""),416.5)</f>
        <v>416.5</v>
      </c>
      <c r="BO615" s="71">
        <f>IFERROR(__xludf.DUMMYFUNCTION("""COMPUTED_VALUE"""),66.64)</f>
        <v>66.64</v>
      </c>
      <c r="BP615" s="71">
        <f>IFERROR(__xludf.DUMMYFUNCTION("""COMPUTED_VALUE"""),483.14)</f>
        <v>483.14</v>
      </c>
      <c r="BQ615" s="71">
        <f>IFERROR(__xludf.DUMMYFUNCTION("""COMPUTED_VALUE"""),406.7)</f>
        <v>406.7</v>
      </c>
      <c r="BR615" s="71">
        <f>IFERROR(__xludf.DUMMYFUNCTION("""COMPUTED_VALUE"""),65.072)</f>
        <v>65.072</v>
      </c>
      <c r="BS615" s="71">
        <f>IFERROR(__xludf.DUMMYFUNCTION("""COMPUTED_VALUE"""),471.772)</f>
        <v>471.772</v>
      </c>
      <c r="BT615" s="71">
        <f>IFERROR(__xludf.DUMMYFUNCTION("""COMPUTED_VALUE"""),392.0)</f>
        <v>392</v>
      </c>
      <c r="BU615" s="71">
        <f>IFERROR(__xludf.DUMMYFUNCTION("""COMPUTED_VALUE"""),62.72)</f>
        <v>62.72</v>
      </c>
      <c r="BV615" s="71">
        <f>IFERROR(__xludf.DUMMYFUNCTION("""COMPUTED_VALUE"""),454.72)</f>
        <v>454.72</v>
      </c>
    </row>
    <row r="616">
      <c r="A616" s="53">
        <v>1.0</v>
      </c>
      <c r="B616" s="72"/>
      <c r="C616" s="120" t="s">
        <v>603</v>
      </c>
      <c r="D616" s="74" t="s">
        <v>1492</v>
      </c>
      <c r="E616" s="54" t="s">
        <v>38</v>
      </c>
      <c r="F616" s="54" t="s">
        <v>42</v>
      </c>
      <c r="G616" s="141" t="s">
        <v>1493</v>
      </c>
      <c r="H616" s="141" t="s">
        <v>1493</v>
      </c>
      <c r="I616" s="54">
        <f t="shared" si="24"/>
        <v>21</v>
      </c>
      <c r="J616" s="56"/>
      <c r="K616" s="75"/>
      <c r="L616" s="76"/>
      <c r="M616" s="59"/>
      <c r="N616" s="60">
        <v>164.0</v>
      </c>
      <c r="O616" s="61">
        <v>175.0</v>
      </c>
      <c r="P616" s="62">
        <v>90.0</v>
      </c>
      <c r="Q616" s="63">
        <v>90.0</v>
      </c>
      <c r="R616" s="64">
        <v>127.0</v>
      </c>
      <c r="S616" s="111">
        <v>133.0</v>
      </c>
      <c r="T616" s="65">
        <f t="shared" si="2"/>
        <v>21.28</v>
      </c>
      <c r="U616" s="65">
        <f t="shared" si="3"/>
        <v>154.28</v>
      </c>
      <c r="V616" s="66">
        <f t="shared" si="4"/>
        <v>0.04724409449</v>
      </c>
      <c r="W616" s="67">
        <f t="shared" si="5"/>
        <v>126.35</v>
      </c>
      <c r="X616" s="67">
        <f t="shared" si="6"/>
        <v>20.216</v>
      </c>
      <c r="Y616" s="67">
        <f t="shared" si="7"/>
        <v>146.566</v>
      </c>
      <c r="Z616" s="67">
        <f t="shared" si="8"/>
        <v>119.7</v>
      </c>
      <c r="AA616" s="67">
        <f t="shared" si="9"/>
        <v>19.152</v>
      </c>
      <c r="AB616" s="67">
        <f t="shared" si="10"/>
        <v>138.852</v>
      </c>
      <c r="AC616" s="67">
        <f t="shared" si="11"/>
        <v>113.05</v>
      </c>
      <c r="AD616" s="67">
        <f t="shared" si="12"/>
        <v>18.088</v>
      </c>
      <c r="AE616" s="67">
        <f t="shared" si="13"/>
        <v>131.138</v>
      </c>
      <c r="AF616" s="67">
        <f t="shared" si="14"/>
        <v>110.39</v>
      </c>
      <c r="AG616" s="67">
        <f t="shared" si="15"/>
        <v>17.6624</v>
      </c>
      <c r="AH616" s="67">
        <f t="shared" si="16"/>
        <v>128.0524</v>
      </c>
      <c r="AI616" s="67">
        <f t="shared" si="17"/>
        <v>106.4</v>
      </c>
      <c r="AJ616" s="68">
        <f t="shared" si="25"/>
        <v>17.024</v>
      </c>
      <c r="AK616" s="68">
        <f t="shared" si="26"/>
        <v>123.424</v>
      </c>
      <c r="AL616" s="70">
        <f>IFERROR(__xludf.DUMMYFUNCTION("""COMPUTED_VALUE"""),1.0)</f>
        <v>1</v>
      </c>
      <c r="AM616" s="70"/>
      <c r="AN616" s="71" t="str">
        <f>IFERROR(__xludf.DUMMYFUNCTION("""COMPUTED_VALUE""")," P")</f>
        <v>P</v>
      </c>
      <c r="AO616" s="71" t="str">
        <f>IFERROR(__xludf.DUMMYFUNCTION("""COMPUTED_VALUE""")," FL15")</f>
        <v>FL15</v>
      </c>
      <c r="AP616" s="71" t="str">
        <f>IFERROR(__xludf.DUMMYFUNCTION("""COMPUTED_VALUE""")," PZA")</f>
        <v>PZA</v>
      </c>
      <c r="AQ616" s="71" t="str">
        <f>IFERROR(__xludf.DUMMYFUNCTION("""COMPUTED_VALUE""")," REF")</f>
        <v>REF</v>
      </c>
      <c r="AR616" s="71" t="str">
        <f>IFERROR(__xludf.DUMMYFUNCTION("""COMPUTED_VALUE""")," FLECHA PARA REDUCTOR DÚPLEX")</f>
        <v>FLECHA PARA REDUCTOR DÚPLEX</v>
      </c>
      <c r="AS616" s="71" t="str">
        <f>IFERROR(__xludf.DUMMYFUNCTION("""COMPUTED_VALUE""")," FLECHA PARA REDUCTOR DPLX")</f>
        <v>FLECHA PARA REDUCTOR DPLX</v>
      </c>
      <c r="AT616" s="71">
        <f>IFERROR(__xludf.DUMMYFUNCTION("""COMPUTED_VALUE"""),25.0)</f>
        <v>25</v>
      </c>
      <c r="AU616" s="71"/>
      <c r="AV616" s="71"/>
      <c r="AW616" s="71"/>
      <c r="AX616" s="71"/>
      <c r="AY616" s="71">
        <f>IFERROR(__xludf.DUMMYFUNCTION("""COMPUTED_VALUE"""),318.0)</f>
        <v>318</v>
      </c>
      <c r="AZ616" s="71">
        <f>IFERROR(__xludf.DUMMYFUNCTION("""COMPUTED_VALUE"""),343.0)</f>
        <v>343</v>
      </c>
      <c r="BA616" s="71">
        <f>IFERROR(__xludf.DUMMYFUNCTION("""COMPUTED_VALUE"""),370.44)</f>
        <v>370.44</v>
      </c>
      <c r="BB616" s="71">
        <f>IFERROR(__xludf.DUMMYFUNCTION("""COMPUTED_VALUE"""),370.44)</f>
        <v>370.44</v>
      </c>
      <c r="BC616" s="71">
        <f>IFERROR(__xludf.DUMMYFUNCTION("""COMPUTED_VALUE"""),413.0)</f>
        <v>413</v>
      </c>
      <c r="BD616" s="71">
        <f>IFERROR(__xludf.DUMMYFUNCTION("""COMPUTED_VALUE"""),347.2)</f>
        <v>347.2</v>
      </c>
      <c r="BE616" s="71">
        <f>IFERROR(__xludf.DUMMYFUNCTION("""COMPUTED_VALUE"""),55.552)</f>
        <v>55.552</v>
      </c>
      <c r="BF616" s="71">
        <f>IFERROR(__xludf.DUMMYFUNCTION("""COMPUTED_VALUE"""),402.752)</f>
        <v>402.752</v>
      </c>
      <c r="BG616" s="71">
        <f>IFERROR(__xludf.DUMMYFUNCTION("""COMPUTED_VALUE"""),-0.1593220338983051)</f>
        <v>-0.1593220339</v>
      </c>
      <c r="BH616" s="71">
        <f>IFERROR(__xludf.DUMMYFUNCTION("""COMPUTED_VALUE"""),329.84)</f>
        <v>329.84</v>
      </c>
      <c r="BI616" s="71">
        <f>IFERROR(__xludf.DUMMYFUNCTION("""COMPUTED_VALUE"""),52.7744)</f>
        <v>52.7744</v>
      </c>
      <c r="BJ616" s="71">
        <f>IFERROR(__xludf.DUMMYFUNCTION("""COMPUTED_VALUE"""),382.6144)</f>
        <v>382.6144</v>
      </c>
      <c r="BK616" s="71">
        <f>IFERROR(__xludf.DUMMYFUNCTION("""COMPUTED_VALUE"""),312.48)</f>
        <v>312.48</v>
      </c>
      <c r="BL616" s="71">
        <f>IFERROR(__xludf.DUMMYFUNCTION("""COMPUTED_VALUE"""),49.99680000000001)</f>
        <v>49.9968</v>
      </c>
      <c r="BM616" s="71">
        <f>IFERROR(__xludf.DUMMYFUNCTION("""COMPUTED_VALUE"""),362.4768)</f>
        <v>362.4768</v>
      </c>
      <c r="BN616" s="71">
        <f>IFERROR(__xludf.DUMMYFUNCTION("""COMPUTED_VALUE"""),295.12)</f>
        <v>295.12</v>
      </c>
      <c r="BO616" s="71">
        <f>IFERROR(__xludf.DUMMYFUNCTION("""COMPUTED_VALUE"""),47.2192)</f>
        <v>47.2192</v>
      </c>
      <c r="BP616" s="71">
        <f>IFERROR(__xludf.DUMMYFUNCTION("""COMPUTED_VALUE"""),342.3392)</f>
        <v>342.3392</v>
      </c>
      <c r="BQ616" s="71">
        <f>IFERROR(__xludf.DUMMYFUNCTION("""COMPUTED_VALUE"""),288.176)</f>
        <v>288.176</v>
      </c>
      <c r="BR616" s="71">
        <f>IFERROR(__xludf.DUMMYFUNCTION("""COMPUTED_VALUE"""),46.10816)</f>
        <v>46.10816</v>
      </c>
      <c r="BS616" s="71">
        <f>IFERROR(__xludf.DUMMYFUNCTION("""COMPUTED_VALUE"""),334.28416)</f>
        <v>334.28416</v>
      </c>
      <c r="BT616" s="71">
        <f>IFERROR(__xludf.DUMMYFUNCTION("""COMPUTED_VALUE"""),277.76)</f>
        <v>277.76</v>
      </c>
      <c r="BU616" s="71">
        <f>IFERROR(__xludf.DUMMYFUNCTION("""COMPUTED_VALUE"""),44.4416)</f>
        <v>44.4416</v>
      </c>
      <c r="BV616" s="71">
        <f>IFERROR(__xludf.DUMMYFUNCTION("""COMPUTED_VALUE"""),322.2016)</f>
        <v>322.2016</v>
      </c>
    </row>
    <row r="617">
      <c r="A617" s="53">
        <v>1.0</v>
      </c>
      <c r="B617" s="53"/>
      <c r="C617" s="53" t="s">
        <v>12</v>
      </c>
      <c r="D617" s="53" t="s">
        <v>1494</v>
      </c>
      <c r="E617" s="54" t="s">
        <v>38</v>
      </c>
      <c r="F617" s="54" t="s">
        <v>42</v>
      </c>
      <c r="G617" s="141" t="s">
        <v>1495</v>
      </c>
      <c r="H617" s="141" t="s">
        <v>1495</v>
      </c>
      <c r="I617" s="54">
        <f t="shared" si="24"/>
        <v>21</v>
      </c>
      <c r="J617" s="56"/>
      <c r="K617" s="75"/>
      <c r="L617" s="76"/>
      <c r="M617" s="59"/>
      <c r="N617" s="79">
        <v>164.0</v>
      </c>
      <c r="O617" s="61">
        <v>177.0</v>
      </c>
      <c r="P617" s="63">
        <v>90.0</v>
      </c>
      <c r="Q617" s="63">
        <v>90.0</v>
      </c>
      <c r="R617" s="64">
        <v>98.0</v>
      </c>
      <c r="S617" s="111">
        <v>103.0</v>
      </c>
      <c r="T617" s="65">
        <f t="shared" si="2"/>
        <v>16.48</v>
      </c>
      <c r="U617" s="65">
        <f t="shared" si="3"/>
        <v>119.48</v>
      </c>
      <c r="V617" s="66">
        <f t="shared" si="4"/>
        <v>0.05102040816</v>
      </c>
      <c r="W617" s="67">
        <f t="shared" si="5"/>
        <v>97.85</v>
      </c>
      <c r="X617" s="67">
        <f t="shared" si="6"/>
        <v>15.656</v>
      </c>
      <c r="Y617" s="67">
        <f t="shared" si="7"/>
        <v>113.506</v>
      </c>
      <c r="Z617" s="67">
        <f t="shared" si="8"/>
        <v>92.7</v>
      </c>
      <c r="AA617" s="67">
        <f t="shared" si="9"/>
        <v>14.832</v>
      </c>
      <c r="AB617" s="67">
        <f t="shared" si="10"/>
        <v>107.532</v>
      </c>
      <c r="AC617" s="67">
        <f t="shared" si="11"/>
        <v>87.55</v>
      </c>
      <c r="AD617" s="67">
        <f t="shared" si="12"/>
        <v>14.008</v>
      </c>
      <c r="AE617" s="67">
        <f t="shared" si="13"/>
        <v>101.558</v>
      </c>
      <c r="AF617" s="67">
        <f t="shared" si="14"/>
        <v>85.49</v>
      </c>
      <c r="AG617" s="67">
        <f t="shared" si="15"/>
        <v>13.6784</v>
      </c>
      <c r="AH617" s="67">
        <f t="shared" si="16"/>
        <v>99.1684</v>
      </c>
      <c r="AI617" s="67">
        <f t="shared" si="17"/>
        <v>82.4</v>
      </c>
      <c r="AJ617" s="68">
        <f t="shared" si="25"/>
        <v>13.184</v>
      </c>
      <c r="AK617" s="68">
        <f t="shared" si="26"/>
        <v>95.584</v>
      </c>
      <c r="AL617" s="136">
        <f>IFERROR(__xludf.DUMMYFUNCTION("""COMPUTED_VALUE"""),1.0)</f>
        <v>1</v>
      </c>
      <c r="AM617" s="136"/>
      <c r="AN617" s="137" t="str">
        <f>IFERROR(__xludf.DUMMYFUNCTION("""COMPUTED_VALUE""")," P")</f>
        <v>P</v>
      </c>
      <c r="AO617" s="137" t="str">
        <f>IFERROR(__xludf.DUMMYFUNCTION("""COMPUTED_VALUE""")," FL16")</f>
        <v>FL16</v>
      </c>
      <c r="AP617" s="137" t="str">
        <f>IFERROR(__xludf.DUMMYFUNCTION("""COMPUTED_VALUE""")," PZA")</f>
        <v>PZA</v>
      </c>
      <c r="AQ617" s="137" t="str">
        <f>IFERROR(__xludf.DUMMYFUNCTION("""COMPUTED_VALUE""")," REF")</f>
        <v>REF</v>
      </c>
      <c r="AR617" s="137" t="str">
        <f>IFERROR(__xludf.DUMMYFUNCTION("""COMPUTED_VALUE""")," FLECHA PARA REDUCTOR SENCILLO")</f>
        <v>FLECHA PARA REDUCTOR SENCILLO</v>
      </c>
      <c r="AS617" s="137" t="str">
        <f>IFERROR(__xludf.DUMMYFUNCTION("""COMPUTED_VALUE""")," FLECHA PARA REDUCTOR SENCILLO")</f>
        <v>FLECHA PARA REDUCTOR SENCILLO</v>
      </c>
      <c r="AT617" s="137">
        <f>IFERROR(__xludf.DUMMYFUNCTION("""COMPUTED_VALUE"""),29.0)</f>
        <v>29</v>
      </c>
      <c r="AU617" s="137"/>
      <c r="AV617" s="137"/>
      <c r="AW617" s="137"/>
      <c r="AX617" s="137"/>
      <c r="AY617" s="137">
        <f>IFERROR(__xludf.DUMMYFUNCTION("""COMPUTED_VALUE"""),318.0)</f>
        <v>318</v>
      </c>
      <c r="AZ617" s="137">
        <f>IFERROR(__xludf.DUMMYFUNCTION("""COMPUTED_VALUE"""),343.0)</f>
        <v>343</v>
      </c>
      <c r="BA617" s="137">
        <f>IFERROR(__xludf.DUMMYFUNCTION("""COMPUTED_VALUE"""),370.44)</f>
        <v>370.44</v>
      </c>
      <c r="BB617" s="137">
        <f>IFERROR(__xludf.DUMMYFUNCTION("""COMPUTED_VALUE"""),370.44)</f>
        <v>370.44</v>
      </c>
      <c r="BC617" s="137">
        <f>IFERROR(__xludf.DUMMYFUNCTION("""COMPUTED_VALUE"""),413.0)</f>
        <v>413</v>
      </c>
      <c r="BD617" s="137">
        <f>IFERROR(__xludf.DUMMYFUNCTION("""COMPUTED_VALUE"""),347.2)</f>
        <v>347.2</v>
      </c>
      <c r="BE617" s="137">
        <f>IFERROR(__xludf.DUMMYFUNCTION("""COMPUTED_VALUE"""),55.552)</f>
        <v>55.552</v>
      </c>
      <c r="BF617" s="137">
        <f>IFERROR(__xludf.DUMMYFUNCTION("""COMPUTED_VALUE"""),402.752)</f>
        <v>402.752</v>
      </c>
      <c r="BG617" s="137">
        <f>IFERROR(__xludf.DUMMYFUNCTION("""COMPUTED_VALUE"""),-0.1593220338983051)</f>
        <v>-0.1593220339</v>
      </c>
      <c r="BH617" s="137">
        <f>IFERROR(__xludf.DUMMYFUNCTION("""COMPUTED_VALUE"""),329.84)</f>
        <v>329.84</v>
      </c>
      <c r="BI617" s="137">
        <f>IFERROR(__xludf.DUMMYFUNCTION("""COMPUTED_VALUE"""),52.7744)</f>
        <v>52.7744</v>
      </c>
      <c r="BJ617" s="137">
        <f>IFERROR(__xludf.DUMMYFUNCTION("""COMPUTED_VALUE"""),382.6144)</f>
        <v>382.6144</v>
      </c>
      <c r="BK617" s="137">
        <f>IFERROR(__xludf.DUMMYFUNCTION("""COMPUTED_VALUE"""),312.48)</f>
        <v>312.48</v>
      </c>
      <c r="BL617" s="137">
        <f>IFERROR(__xludf.DUMMYFUNCTION("""COMPUTED_VALUE"""),49.99680000000001)</f>
        <v>49.9968</v>
      </c>
      <c r="BM617" s="137">
        <f>IFERROR(__xludf.DUMMYFUNCTION("""COMPUTED_VALUE"""),362.4768)</f>
        <v>362.4768</v>
      </c>
      <c r="BN617" s="137">
        <f>IFERROR(__xludf.DUMMYFUNCTION("""COMPUTED_VALUE"""),295.12)</f>
        <v>295.12</v>
      </c>
      <c r="BO617" s="137">
        <f>IFERROR(__xludf.DUMMYFUNCTION("""COMPUTED_VALUE"""),47.2192)</f>
        <v>47.2192</v>
      </c>
      <c r="BP617" s="137">
        <f>IFERROR(__xludf.DUMMYFUNCTION("""COMPUTED_VALUE"""),342.3392)</f>
        <v>342.3392</v>
      </c>
      <c r="BQ617" s="137">
        <f>IFERROR(__xludf.DUMMYFUNCTION("""COMPUTED_VALUE"""),288.176)</f>
        <v>288.176</v>
      </c>
      <c r="BR617" s="137">
        <f>IFERROR(__xludf.DUMMYFUNCTION("""COMPUTED_VALUE"""),46.10816)</f>
        <v>46.10816</v>
      </c>
      <c r="BS617" s="137">
        <f>IFERROR(__xludf.DUMMYFUNCTION("""COMPUTED_VALUE"""),334.28416)</f>
        <v>334.28416</v>
      </c>
      <c r="BT617" s="137">
        <f>IFERROR(__xludf.DUMMYFUNCTION("""COMPUTED_VALUE"""),277.76)</f>
        <v>277.76</v>
      </c>
      <c r="BU617" s="137">
        <f>IFERROR(__xludf.DUMMYFUNCTION("""COMPUTED_VALUE"""),44.4416)</f>
        <v>44.4416</v>
      </c>
      <c r="BV617" s="137">
        <f>IFERROR(__xludf.DUMMYFUNCTION("""COMPUTED_VALUE"""),322.2016)</f>
        <v>322.2016</v>
      </c>
    </row>
    <row r="618">
      <c r="A618" s="53">
        <v>1.0</v>
      </c>
      <c r="B618" s="72"/>
      <c r="C618" s="120" t="s">
        <v>603</v>
      </c>
      <c r="D618" s="74" t="s">
        <v>1496</v>
      </c>
      <c r="E618" s="54" t="s">
        <v>38</v>
      </c>
      <c r="F618" s="54" t="s">
        <v>42</v>
      </c>
      <c r="G618" s="141" t="s">
        <v>1497</v>
      </c>
      <c r="H618" s="141" t="s">
        <v>1497</v>
      </c>
      <c r="I618" s="54">
        <f t="shared" si="24"/>
        <v>29</v>
      </c>
      <c r="J618" s="56"/>
      <c r="K618" s="75"/>
      <c r="L618" s="76"/>
      <c r="M618" s="59"/>
      <c r="N618" s="60">
        <v>175.0</v>
      </c>
      <c r="O618" s="61">
        <v>189.0</v>
      </c>
      <c r="P618" s="62">
        <v>100.0</v>
      </c>
      <c r="Q618" s="63">
        <v>100.0</v>
      </c>
      <c r="R618" s="64">
        <v>130.0</v>
      </c>
      <c r="S618" s="111">
        <v>137.0</v>
      </c>
      <c r="T618" s="65">
        <f t="shared" si="2"/>
        <v>21.92</v>
      </c>
      <c r="U618" s="65">
        <f t="shared" si="3"/>
        <v>158.92</v>
      </c>
      <c r="V618" s="66">
        <f t="shared" si="4"/>
        <v>0.05384615385</v>
      </c>
      <c r="W618" s="67">
        <f t="shared" si="5"/>
        <v>130.15</v>
      </c>
      <c r="X618" s="67">
        <f t="shared" si="6"/>
        <v>20.824</v>
      </c>
      <c r="Y618" s="67">
        <f t="shared" si="7"/>
        <v>150.974</v>
      </c>
      <c r="Z618" s="67">
        <f t="shared" si="8"/>
        <v>123.3</v>
      </c>
      <c r="AA618" s="67">
        <f t="shared" si="9"/>
        <v>19.728</v>
      </c>
      <c r="AB618" s="67">
        <f t="shared" si="10"/>
        <v>143.028</v>
      </c>
      <c r="AC618" s="67">
        <f t="shared" si="11"/>
        <v>116.45</v>
      </c>
      <c r="AD618" s="67">
        <f t="shared" si="12"/>
        <v>18.632</v>
      </c>
      <c r="AE618" s="67">
        <f t="shared" si="13"/>
        <v>135.082</v>
      </c>
      <c r="AF618" s="67">
        <f t="shared" si="14"/>
        <v>113.71</v>
      </c>
      <c r="AG618" s="67">
        <f t="shared" si="15"/>
        <v>18.1936</v>
      </c>
      <c r="AH618" s="67">
        <f t="shared" si="16"/>
        <v>131.9036</v>
      </c>
      <c r="AI618" s="67">
        <f t="shared" si="17"/>
        <v>109.6</v>
      </c>
      <c r="AJ618" s="68">
        <f t="shared" si="25"/>
        <v>17.536</v>
      </c>
      <c r="AK618" s="68">
        <f t="shared" si="26"/>
        <v>127.136</v>
      </c>
      <c r="AL618" s="70">
        <f>IFERROR(__xludf.DUMMYFUNCTION("""COMPUTED_VALUE"""),1.0)</f>
        <v>1</v>
      </c>
      <c r="AM618" s="70"/>
      <c r="AN618" s="71" t="str">
        <f>IFERROR(__xludf.DUMMYFUNCTION("""COMPUTED_VALUE""")," P")</f>
        <v>P</v>
      </c>
      <c r="AO618" s="71" t="str">
        <f>IFERROR(__xludf.DUMMYFUNCTION("""COMPUTED_VALUE""")," FL18")</f>
        <v>FL18</v>
      </c>
      <c r="AP618" s="71" t="str">
        <f>IFERROR(__xludf.DUMMYFUNCTION("""COMPUTED_VALUE""")," PZA")</f>
        <v>PZA</v>
      </c>
      <c r="AQ618" s="71" t="str">
        <f>IFERROR(__xludf.DUMMYFUNCTION("""COMPUTED_VALUE""")," REF")</f>
        <v>REF</v>
      </c>
      <c r="AR618" s="71" t="str">
        <f>IFERROR(__xludf.DUMMYFUNCTION("""COMPUTED_VALUE""")," FLECHA PARA SINFÍN ASPA DÚPLEX")</f>
        <v>FLECHA PARA SINFÍN ASPA DÚPLEX</v>
      </c>
      <c r="AS618" s="71" t="str">
        <f>IFERROR(__xludf.DUMMYFUNCTION("""COMPUTED_VALUE""")," FLECHA PARA SINFIN ASPA DPLX")</f>
        <v>FLECHA PARA SINFIN ASPA DPLX</v>
      </c>
      <c r="AT618" s="71">
        <f>IFERROR(__xludf.DUMMYFUNCTION("""COMPUTED_VALUE"""),28.0)</f>
        <v>28</v>
      </c>
      <c r="AU618" s="71"/>
      <c r="AV618" s="71"/>
      <c r="AW618" s="71"/>
      <c r="AX618" s="71"/>
      <c r="AY618" s="71">
        <f>IFERROR(__xludf.DUMMYFUNCTION("""COMPUTED_VALUE"""),133.0)</f>
        <v>133</v>
      </c>
      <c r="AZ618" s="71">
        <f>IFERROR(__xludf.DUMMYFUNCTION("""COMPUTED_VALUE"""),143.0)</f>
        <v>143</v>
      </c>
      <c r="BA618" s="71">
        <f>IFERROR(__xludf.DUMMYFUNCTION("""COMPUTED_VALUE"""),154.44)</f>
        <v>154.44</v>
      </c>
      <c r="BB618" s="71">
        <f>IFERROR(__xludf.DUMMYFUNCTION("""COMPUTED_VALUE"""),154.44)</f>
        <v>154.44</v>
      </c>
      <c r="BC618" s="71">
        <f>IFERROR(__xludf.DUMMYFUNCTION("""COMPUTED_VALUE"""),173.0)</f>
        <v>173</v>
      </c>
      <c r="BD618" s="71">
        <f>IFERROR(__xludf.DUMMYFUNCTION("""COMPUTED_VALUE"""),182.0)</f>
        <v>182</v>
      </c>
      <c r="BE618" s="71">
        <f>IFERROR(__xludf.DUMMYFUNCTION("""COMPUTED_VALUE"""),29.12)</f>
        <v>29.12</v>
      </c>
      <c r="BF618" s="71">
        <f>IFERROR(__xludf.DUMMYFUNCTION("""COMPUTED_VALUE"""),211.12)</f>
        <v>211.12</v>
      </c>
      <c r="BG618" s="71">
        <f>IFERROR(__xludf.DUMMYFUNCTION("""COMPUTED_VALUE"""),0.05202312138728324)</f>
        <v>0.05202312139</v>
      </c>
      <c r="BH618" s="71">
        <f>IFERROR(__xludf.DUMMYFUNCTION("""COMPUTED_VALUE"""),172.9)</f>
        <v>172.9</v>
      </c>
      <c r="BI618" s="71">
        <f>IFERROR(__xludf.DUMMYFUNCTION("""COMPUTED_VALUE"""),27.664)</f>
        <v>27.664</v>
      </c>
      <c r="BJ618" s="71">
        <f>IFERROR(__xludf.DUMMYFUNCTION("""COMPUTED_VALUE"""),200.56400000000002)</f>
        <v>200.564</v>
      </c>
      <c r="BK618" s="71">
        <f>IFERROR(__xludf.DUMMYFUNCTION("""COMPUTED_VALUE"""),163.8)</f>
        <v>163.8</v>
      </c>
      <c r="BL618" s="71">
        <f>IFERROR(__xludf.DUMMYFUNCTION("""COMPUTED_VALUE"""),26.208000000000002)</f>
        <v>26.208</v>
      </c>
      <c r="BM618" s="71">
        <f>IFERROR(__xludf.DUMMYFUNCTION("""COMPUTED_VALUE"""),190.008)</f>
        <v>190.008</v>
      </c>
      <c r="BN618" s="71">
        <f>IFERROR(__xludf.DUMMYFUNCTION("""COMPUTED_VALUE"""),154.7)</f>
        <v>154.7</v>
      </c>
      <c r="BO618" s="71">
        <f>IFERROR(__xludf.DUMMYFUNCTION("""COMPUTED_VALUE"""),24.752)</f>
        <v>24.752</v>
      </c>
      <c r="BP618" s="71">
        <f>IFERROR(__xludf.DUMMYFUNCTION("""COMPUTED_VALUE"""),179.452)</f>
        <v>179.452</v>
      </c>
      <c r="BQ618" s="71">
        <f>IFERROR(__xludf.DUMMYFUNCTION("""COMPUTED_VALUE"""),151.06)</f>
        <v>151.06</v>
      </c>
      <c r="BR618" s="71">
        <f>IFERROR(__xludf.DUMMYFUNCTION("""COMPUTED_VALUE"""),24.169600000000003)</f>
        <v>24.1696</v>
      </c>
      <c r="BS618" s="71">
        <f>IFERROR(__xludf.DUMMYFUNCTION("""COMPUTED_VALUE"""),175.2296)</f>
        <v>175.2296</v>
      </c>
      <c r="BT618" s="71">
        <f>IFERROR(__xludf.DUMMYFUNCTION("""COMPUTED_VALUE"""),145.6)</f>
        <v>145.6</v>
      </c>
      <c r="BU618" s="71">
        <f>IFERROR(__xludf.DUMMYFUNCTION("""COMPUTED_VALUE"""),23.296)</f>
        <v>23.296</v>
      </c>
      <c r="BV618" s="71">
        <f>IFERROR(__xludf.DUMMYFUNCTION("""COMPUTED_VALUE"""),168.896)</f>
        <v>168.896</v>
      </c>
    </row>
    <row r="619">
      <c r="A619" s="53">
        <v>1.0</v>
      </c>
      <c r="B619" s="72"/>
      <c r="C619" s="120" t="s">
        <v>603</v>
      </c>
      <c r="D619" s="74" t="s">
        <v>1498</v>
      </c>
      <c r="E619" s="54" t="s">
        <v>38</v>
      </c>
      <c r="F619" s="54" t="s">
        <v>42</v>
      </c>
      <c r="G619" s="141" t="s">
        <v>1499</v>
      </c>
      <c r="H619" s="141" t="s">
        <v>1499</v>
      </c>
      <c r="I619" s="54">
        <f t="shared" si="24"/>
        <v>25</v>
      </c>
      <c r="J619" s="56"/>
      <c r="K619" s="75"/>
      <c r="L619" s="76"/>
      <c r="M619" s="59"/>
      <c r="N619" s="60">
        <v>175.0</v>
      </c>
      <c r="O619" s="61">
        <v>189.0</v>
      </c>
      <c r="P619" s="62">
        <v>100.0</v>
      </c>
      <c r="Q619" s="63">
        <v>100.0</v>
      </c>
      <c r="R619" s="64">
        <v>130.0</v>
      </c>
      <c r="S619" s="111">
        <v>137.0</v>
      </c>
      <c r="T619" s="65">
        <f t="shared" si="2"/>
        <v>21.92</v>
      </c>
      <c r="U619" s="65">
        <f t="shared" si="3"/>
        <v>158.92</v>
      </c>
      <c r="V619" s="66">
        <f t="shared" si="4"/>
        <v>0.05384615385</v>
      </c>
      <c r="W619" s="67">
        <f t="shared" si="5"/>
        <v>130.15</v>
      </c>
      <c r="X619" s="67">
        <f t="shared" si="6"/>
        <v>20.824</v>
      </c>
      <c r="Y619" s="67">
        <f t="shared" si="7"/>
        <v>150.974</v>
      </c>
      <c r="Z619" s="67">
        <f t="shared" si="8"/>
        <v>123.3</v>
      </c>
      <c r="AA619" s="67">
        <f t="shared" si="9"/>
        <v>19.728</v>
      </c>
      <c r="AB619" s="67">
        <f t="shared" si="10"/>
        <v>143.028</v>
      </c>
      <c r="AC619" s="67">
        <f t="shared" si="11"/>
        <v>116.45</v>
      </c>
      <c r="AD619" s="67">
        <f t="shared" si="12"/>
        <v>18.632</v>
      </c>
      <c r="AE619" s="67">
        <f t="shared" si="13"/>
        <v>135.082</v>
      </c>
      <c r="AF619" s="67">
        <f t="shared" si="14"/>
        <v>113.71</v>
      </c>
      <c r="AG619" s="67">
        <f t="shared" si="15"/>
        <v>18.1936</v>
      </c>
      <c r="AH619" s="67">
        <f t="shared" si="16"/>
        <v>131.9036</v>
      </c>
      <c r="AI619" s="67">
        <f t="shared" si="17"/>
        <v>109.6</v>
      </c>
      <c r="AJ619" s="68">
        <f t="shared" si="25"/>
        <v>17.536</v>
      </c>
      <c r="AK619" s="68">
        <f t="shared" si="26"/>
        <v>127.136</v>
      </c>
      <c r="AL619" s="70">
        <f>IFERROR(__xludf.DUMMYFUNCTION("""COMPUTED_VALUE"""),1.0)</f>
        <v>1</v>
      </c>
      <c r="AM619" s="70"/>
      <c r="AN619" s="71" t="str">
        <f>IFERROR(__xludf.DUMMYFUNCTION("""COMPUTED_VALUE""")," P")</f>
        <v>P</v>
      </c>
      <c r="AO619" s="71" t="str">
        <f>IFERROR(__xludf.DUMMYFUNCTION("""COMPUTED_VALUE""")," FL94")</f>
        <v>FL94</v>
      </c>
      <c r="AP619" s="71" t="str">
        <f>IFERROR(__xludf.DUMMYFUNCTION("""COMPUTED_VALUE""")," PZA")</f>
        <v>PZA</v>
      </c>
      <c r="AQ619" s="71" t="str">
        <f>IFERROR(__xludf.DUMMYFUNCTION("""COMPUTED_VALUE""")," REF")</f>
        <v>REF</v>
      </c>
      <c r="AR619" s="71" t="str">
        <f>IFERROR(__xludf.DUMMYFUNCTION("""COMPUTED_VALUE""")," FLECHA PARA SINFÍN ASPA DÚPLEX EN ACERO INOX. T-304 GRADO ALIMENTICIO")</f>
        <v>FLECHA PARA SINFÍN ASPA DÚPLEX EN ACERO INOX. T-304 GRADO ALIMENTICIO</v>
      </c>
      <c r="AS619" s="71" t="str">
        <f>IFERROR(__xludf.DUMMYFUNCTION("""COMPUTED_VALUE""")," FLECHA SINFIN ASPA DPLX INOX GA")</f>
        <v>FLECHA SINFIN ASPA DPLX INOX GA</v>
      </c>
      <c r="AT619" s="71">
        <f>IFERROR(__xludf.DUMMYFUNCTION("""COMPUTED_VALUE"""),31.0)</f>
        <v>31</v>
      </c>
      <c r="AU619" s="71"/>
      <c r="AV619" s="71"/>
      <c r="AW619" s="71"/>
      <c r="AX619" s="71"/>
      <c r="AY619" s="71">
        <f>IFERROR(__xludf.DUMMYFUNCTION("""COMPUTED_VALUE"""),545.0)</f>
        <v>545</v>
      </c>
      <c r="AZ619" s="71">
        <f>IFERROR(__xludf.DUMMYFUNCTION("""COMPUTED_VALUE"""),588.0)</f>
        <v>588</v>
      </c>
      <c r="BA619" s="71">
        <f>IFERROR(__xludf.DUMMYFUNCTION("""COMPUTED_VALUE"""),635.0400000000001)</f>
        <v>635.04</v>
      </c>
      <c r="BB619" s="71">
        <f>IFERROR(__xludf.DUMMYFUNCTION("""COMPUTED_VALUE"""),635.0400000000001)</f>
        <v>635.04</v>
      </c>
      <c r="BC619" s="71">
        <f>IFERROR(__xludf.DUMMYFUNCTION("""COMPUTED_VALUE"""),708.0)</f>
        <v>708</v>
      </c>
      <c r="BD619" s="71">
        <f>IFERROR(__xludf.DUMMYFUNCTION("""COMPUTED_VALUE"""),743.0)</f>
        <v>743</v>
      </c>
      <c r="BE619" s="71">
        <f>IFERROR(__xludf.DUMMYFUNCTION("""COMPUTED_VALUE"""),118.88)</f>
        <v>118.88</v>
      </c>
      <c r="BF619" s="71">
        <f>IFERROR(__xludf.DUMMYFUNCTION("""COMPUTED_VALUE"""),861.88)</f>
        <v>861.88</v>
      </c>
      <c r="BG619" s="71">
        <f>IFERROR(__xludf.DUMMYFUNCTION("""COMPUTED_VALUE"""),0.04943502824858757)</f>
        <v>0.04943502825</v>
      </c>
      <c r="BH619" s="71">
        <f>IFERROR(__xludf.DUMMYFUNCTION("""COMPUTED_VALUE"""),705.85)</f>
        <v>705.85</v>
      </c>
      <c r="BI619" s="71">
        <f>IFERROR(__xludf.DUMMYFUNCTION("""COMPUTED_VALUE"""),112.936)</f>
        <v>112.936</v>
      </c>
      <c r="BJ619" s="71">
        <f>IFERROR(__xludf.DUMMYFUNCTION("""COMPUTED_VALUE"""),818.7860000000001)</f>
        <v>818.786</v>
      </c>
      <c r="BK619" s="71">
        <f>IFERROR(__xludf.DUMMYFUNCTION("""COMPUTED_VALUE"""),668.7)</f>
        <v>668.7</v>
      </c>
      <c r="BL619" s="71">
        <f>IFERROR(__xludf.DUMMYFUNCTION("""COMPUTED_VALUE"""),106.992)</f>
        <v>106.992</v>
      </c>
      <c r="BM619" s="71">
        <f>IFERROR(__xludf.DUMMYFUNCTION("""COMPUTED_VALUE"""),775.692)</f>
        <v>775.692</v>
      </c>
      <c r="BN619" s="71">
        <f>IFERROR(__xludf.DUMMYFUNCTION("""COMPUTED_VALUE"""),631.55)</f>
        <v>631.55</v>
      </c>
      <c r="BO619" s="71">
        <f>IFERROR(__xludf.DUMMYFUNCTION("""COMPUTED_VALUE"""),101.048)</f>
        <v>101.048</v>
      </c>
      <c r="BP619" s="71">
        <f>IFERROR(__xludf.DUMMYFUNCTION("""COMPUTED_VALUE"""),732.598)</f>
        <v>732.598</v>
      </c>
      <c r="BQ619" s="71">
        <f>IFERROR(__xludf.DUMMYFUNCTION("""COMPUTED_VALUE"""),616.6899999999999)</f>
        <v>616.69</v>
      </c>
      <c r="BR619" s="71">
        <f>IFERROR(__xludf.DUMMYFUNCTION("""COMPUTED_VALUE"""),98.67039999999999)</f>
        <v>98.6704</v>
      </c>
      <c r="BS619" s="71">
        <f>IFERROR(__xludf.DUMMYFUNCTION("""COMPUTED_VALUE"""),715.3603999999999)</f>
        <v>715.3604</v>
      </c>
      <c r="BT619" s="71">
        <f>IFERROR(__xludf.DUMMYFUNCTION("""COMPUTED_VALUE"""),594.4)</f>
        <v>594.4</v>
      </c>
      <c r="BU619" s="71">
        <f>IFERROR(__xludf.DUMMYFUNCTION("""COMPUTED_VALUE"""),95.104)</f>
        <v>95.104</v>
      </c>
      <c r="BV619" s="71">
        <f>IFERROR(__xludf.DUMMYFUNCTION("""COMPUTED_VALUE"""),689.504)</f>
        <v>689.504</v>
      </c>
    </row>
    <row r="620">
      <c r="A620" s="53">
        <v>1.0</v>
      </c>
      <c r="B620" s="72"/>
      <c r="C620" s="120" t="s">
        <v>603</v>
      </c>
      <c r="D620" s="74" t="s">
        <v>1500</v>
      </c>
      <c r="E620" s="54" t="s">
        <v>38</v>
      </c>
      <c r="F620" s="54" t="s">
        <v>42</v>
      </c>
      <c r="G620" s="141" t="s">
        <v>1501</v>
      </c>
      <c r="H620" s="141" t="s">
        <v>1501</v>
      </c>
      <c r="I620" s="54">
        <f t="shared" si="24"/>
        <v>27</v>
      </c>
      <c r="J620" s="56"/>
      <c r="K620" s="75"/>
      <c r="L620" s="76"/>
      <c r="M620" s="59"/>
      <c r="N620" s="60">
        <v>175.0</v>
      </c>
      <c r="O620" s="61">
        <v>189.0</v>
      </c>
      <c r="P620" s="62">
        <v>100.0</v>
      </c>
      <c r="Q620" s="63">
        <v>100.0</v>
      </c>
      <c r="R620" s="64">
        <v>130.0</v>
      </c>
      <c r="S620" s="111">
        <v>137.0</v>
      </c>
      <c r="T620" s="65">
        <f t="shared" si="2"/>
        <v>21.92</v>
      </c>
      <c r="U620" s="65">
        <f t="shared" si="3"/>
        <v>158.92</v>
      </c>
      <c r="V620" s="66">
        <f t="shared" si="4"/>
        <v>0.05384615385</v>
      </c>
      <c r="W620" s="67">
        <f t="shared" si="5"/>
        <v>130.15</v>
      </c>
      <c r="X620" s="67">
        <f t="shared" si="6"/>
        <v>20.824</v>
      </c>
      <c r="Y620" s="67">
        <f t="shared" si="7"/>
        <v>150.974</v>
      </c>
      <c r="Z620" s="67">
        <f t="shared" si="8"/>
        <v>123.3</v>
      </c>
      <c r="AA620" s="67">
        <f t="shared" si="9"/>
        <v>19.728</v>
      </c>
      <c r="AB620" s="67">
        <f t="shared" si="10"/>
        <v>143.028</v>
      </c>
      <c r="AC620" s="67">
        <f t="shared" si="11"/>
        <v>116.45</v>
      </c>
      <c r="AD620" s="67">
        <f t="shared" si="12"/>
        <v>18.632</v>
      </c>
      <c r="AE620" s="67">
        <f t="shared" si="13"/>
        <v>135.082</v>
      </c>
      <c r="AF620" s="67">
        <f t="shared" si="14"/>
        <v>113.71</v>
      </c>
      <c r="AG620" s="67">
        <f t="shared" si="15"/>
        <v>18.1936</v>
      </c>
      <c r="AH620" s="67">
        <f t="shared" si="16"/>
        <v>131.9036</v>
      </c>
      <c r="AI620" s="67">
        <f t="shared" si="17"/>
        <v>109.6</v>
      </c>
      <c r="AJ620" s="68">
        <f t="shared" si="25"/>
        <v>17.536</v>
      </c>
      <c r="AK620" s="68">
        <f t="shared" si="26"/>
        <v>127.136</v>
      </c>
      <c r="AL620" s="70">
        <f>IFERROR(__xludf.DUMMYFUNCTION("""COMPUTED_VALUE"""),1.0)</f>
        <v>1</v>
      </c>
      <c r="AM620" s="70"/>
      <c r="AN620" s="71" t="str">
        <f>IFERROR(__xludf.DUMMYFUNCTION("""COMPUTED_VALUE""")," P")</f>
        <v>P</v>
      </c>
      <c r="AO620" s="71" t="str">
        <f>IFERROR(__xludf.DUMMYFUNCTION("""COMPUTED_VALUE""")," FL17")</f>
        <v>FL17</v>
      </c>
      <c r="AP620" s="71" t="str">
        <f>IFERROR(__xludf.DUMMYFUNCTION("""COMPUTED_VALUE""")," PZA")</f>
        <v>PZA</v>
      </c>
      <c r="AQ620" s="71" t="str">
        <f>IFERROR(__xludf.DUMMYFUNCTION("""COMPUTED_VALUE""")," REF")</f>
        <v>REF</v>
      </c>
      <c r="AR620" s="71" t="str">
        <f>IFERROR(__xludf.DUMMYFUNCTION("""COMPUTED_VALUE""")," FLECHA PARA SINFÍN ASPA ESPECIAL CHICO")</f>
        <v>FLECHA PARA SINFÍN ASPA ESPECIAL CHICO</v>
      </c>
      <c r="AS620" s="71" t="str">
        <f>IFERROR(__xludf.DUMMYFUNCTION("""COMPUTED_VALUE""")," FLECHA SINFIN ASPA ESPECIAL CHICO")</f>
        <v>FLECHA SINFIN ASPA ESPECIAL CHICO</v>
      </c>
      <c r="AT620" s="71">
        <f>IFERROR(__xludf.DUMMYFUNCTION("""COMPUTED_VALUE"""),33.0)</f>
        <v>33</v>
      </c>
      <c r="AU620" s="71"/>
      <c r="AV620" s="71"/>
      <c r="AW620" s="71"/>
      <c r="AX620" s="71"/>
      <c r="AY620" s="71">
        <f>IFERROR(__xludf.DUMMYFUNCTION("""COMPUTED_VALUE"""),67.0)</f>
        <v>67</v>
      </c>
      <c r="AZ620" s="71">
        <f>IFERROR(__xludf.DUMMYFUNCTION("""COMPUTED_VALUE"""),72.0)</f>
        <v>72</v>
      </c>
      <c r="BA620" s="71">
        <f>IFERROR(__xludf.DUMMYFUNCTION("""COMPUTED_VALUE"""),77.76)</f>
        <v>77.76</v>
      </c>
      <c r="BB620" s="71">
        <f>IFERROR(__xludf.DUMMYFUNCTION("""COMPUTED_VALUE"""),77.76)</f>
        <v>77.76</v>
      </c>
      <c r="BC620" s="71">
        <f>IFERROR(__xludf.DUMMYFUNCTION("""COMPUTED_VALUE"""),88.0)</f>
        <v>88</v>
      </c>
      <c r="BD620" s="71">
        <f>IFERROR(__xludf.DUMMYFUNCTION("""COMPUTED_VALUE"""),92.0)</f>
        <v>92</v>
      </c>
      <c r="BE620" s="71">
        <f>IFERROR(__xludf.DUMMYFUNCTION("""COMPUTED_VALUE"""),14.72)</f>
        <v>14.72</v>
      </c>
      <c r="BF620" s="71">
        <f>IFERROR(__xludf.DUMMYFUNCTION("""COMPUTED_VALUE"""),106.72)</f>
        <v>106.72</v>
      </c>
      <c r="BG620" s="71">
        <f>IFERROR(__xludf.DUMMYFUNCTION("""COMPUTED_VALUE"""),0.045454545454545456)</f>
        <v>0.04545454545</v>
      </c>
      <c r="BH620" s="71">
        <f>IFERROR(__xludf.DUMMYFUNCTION("""COMPUTED_VALUE"""),87.39999999999999)</f>
        <v>87.4</v>
      </c>
      <c r="BI620" s="71">
        <f>IFERROR(__xludf.DUMMYFUNCTION("""COMPUTED_VALUE"""),13.983999999999998)</f>
        <v>13.984</v>
      </c>
      <c r="BJ620" s="71">
        <f>IFERROR(__xludf.DUMMYFUNCTION("""COMPUTED_VALUE"""),101.38399999999999)</f>
        <v>101.384</v>
      </c>
      <c r="BK620" s="71">
        <f>IFERROR(__xludf.DUMMYFUNCTION("""COMPUTED_VALUE"""),82.8)</f>
        <v>82.8</v>
      </c>
      <c r="BL620" s="71">
        <f>IFERROR(__xludf.DUMMYFUNCTION("""COMPUTED_VALUE"""),13.248)</f>
        <v>13.248</v>
      </c>
      <c r="BM620" s="71">
        <f>IFERROR(__xludf.DUMMYFUNCTION("""COMPUTED_VALUE"""),96.048)</f>
        <v>96.048</v>
      </c>
      <c r="BN620" s="71">
        <f>IFERROR(__xludf.DUMMYFUNCTION("""COMPUTED_VALUE"""),78.2)</f>
        <v>78.2</v>
      </c>
      <c r="BO620" s="71">
        <f>IFERROR(__xludf.DUMMYFUNCTION("""COMPUTED_VALUE"""),12.512)</f>
        <v>12.512</v>
      </c>
      <c r="BP620" s="71">
        <f>IFERROR(__xludf.DUMMYFUNCTION("""COMPUTED_VALUE"""),90.712)</f>
        <v>90.712</v>
      </c>
      <c r="BQ620" s="71">
        <f>IFERROR(__xludf.DUMMYFUNCTION("""COMPUTED_VALUE"""),76.36)</f>
        <v>76.36</v>
      </c>
      <c r="BR620" s="71">
        <f>IFERROR(__xludf.DUMMYFUNCTION("""COMPUTED_VALUE"""),12.217600000000001)</f>
        <v>12.2176</v>
      </c>
      <c r="BS620" s="71">
        <f>IFERROR(__xludf.DUMMYFUNCTION("""COMPUTED_VALUE"""),88.5776)</f>
        <v>88.5776</v>
      </c>
      <c r="BT620" s="71">
        <f>IFERROR(__xludf.DUMMYFUNCTION("""COMPUTED_VALUE"""),73.60000000000001)</f>
        <v>73.6</v>
      </c>
      <c r="BU620" s="71">
        <f>IFERROR(__xludf.DUMMYFUNCTION("""COMPUTED_VALUE"""),11.776000000000002)</f>
        <v>11.776</v>
      </c>
      <c r="BV620" s="71">
        <f>IFERROR(__xludf.DUMMYFUNCTION("""COMPUTED_VALUE"""),85.376)</f>
        <v>85.376</v>
      </c>
    </row>
    <row r="621">
      <c r="A621" s="53">
        <v>1.0</v>
      </c>
      <c r="B621" s="72"/>
      <c r="C621" s="120" t="s">
        <v>603</v>
      </c>
      <c r="D621" s="74" t="s">
        <v>1502</v>
      </c>
      <c r="E621" s="54" t="s">
        <v>38</v>
      </c>
      <c r="F621" s="54" t="s">
        <v>42</v>
      </c>
      <c r="G621" s="141" t="s">
        <v>1503</v>
      </c>
      <c r="H621" s="141" t="s">
        <v>1503</v>
      </c>
      <c r="I621" s="54">
        <f t="shared" si="24"/>
        <v>25</v>
      </c>
      <c r="J621" s="56"/>
      <c r="K621" s="75"/>
      <c r="L621" s="76"/>
      <c r="M621" s="59"/>
      <c r="N621" s="60">
        <v>191.0</v>
      </c>
      <c r="O621" s="61">
        <v>206.0</v>
      </c>
      <c r="P621" s="62">
        <v>105.0</v>
      </c>
      <c r="Q621" s="63">
        <v>105.0</v>
      </c>
      <c r="R621" s="64">
        <v>134.0</v>
      </c>
      <c r="S621" s="111">
        <v>141.0</v>
      </c>
      <c r="T621" s="65">
        <f t="shared" si="2"/>
        <v>22.56</v>
      </c>
      <c r="U621" s="65">
        <f t="shared" si="3"/>
        <v>163.56</v>
      </c>
      <c r="V621" s="66">
        <f t="shared" si="4"/>
        <v>0.05223880597</v>
      </c>
      <c r="W621" s="67">
        <f t="shared" si="5"/>
        <v>133.95</v>
      </c>
      <c r="X621" s="67">
        <f t="shared" si="6"/>
        <v>21.432</v>
      </c>
      <c r="Y621" s="67">
        <f t="shared" si="7"/>
        <v>155.382</v>
      </c>
      <c r="Z621" s="67">
        <f t="shared" si="8"/>
        <v>126.9</v>
      </c>
      <c r="AA621" s="67">
        <f t="shared" si="9"/>
        <v>20.304</v>
      </c>
      <c r="AB621" s="67">
        <f t="shared" si="10"/>
        <v>147.204</v>
      </c>
      <c r="AC621" s="67">
        <f t="shared" si="11"/>
        <v>119.85</v>
      </c>
      <c r="AD621" s="67">
        <f t="shared" si="12"/>
        <v>19.176</v>
      </c>
      <c r="AE621" s="67">
        <f t="shared" si="13"/>
        <v>139.026</v>
      </c>
      <c r="AF621" s="67">
        <f t="shared" si="14"/>
        <v>117.03</v>
      </c>
      <c r="AG621" s="67">
        <f t="shared" si="15"/>
        <v>18.7248</v>
      </c>
      <c r="AH621" s="67">
        <f t="shared" si="16"/>
        <v>135.7548</v>
      </c>
      <c r="AI621" s="67">
        <f t="shared" si="17"/>
        <v>112.8</v>
      </c>
      <c r="AJ621" s="68">
        <f t="shared" si="25"/>
        <v>18.048</v>
      </c>
      <c r="AK621" s="68">
        <f t="shared" si="26"/>
        <v>130.848</v>
      </c>
      <c r="AL621" s="70">
        <f>IFERROR(__xludf.DUMMYFUNCTION("""COMPUTED_VALUE"""),1.0)</f>
        <v>1</v>
      </c>
      <c r="AM621" s="70"/>
      <c r="AN621" s="71" t="str">
        <f>IFERROR(__xludf.DUMMYFUNCTION("""COMPUTED_VALUE""")," P")</f>
        <v>P</v>
      </c>
      <c r="AO621" s="71" t="str">
        <f>IFERROR(__xludf.DUMMYFUNCTION("""COMPUTED_VALUE""")," FL95")</f>
        <v>FL95</v>
      </c>
      <c r="AP621" s="71" t="str">
        <f>IFERROR(__xludf.DUMMYFUNCTION("""COMPUTED_VALUE""")," PZA")</f>
        <v>PZA</v>
      </c>
      <c r="AQ621" s="71" t="str">
        <f>IFERROR(__xludf.DUMMYFUNCTION("""COMPUTED_VALUE""")," REF")</f>
        <v>REF</v>
      </c>
      <c r="AR621" s="71" t="str">
        <f>IFERROR(__xludf.DUMMYFUNCTION("""COMPUTED_VALUE""")," FLECHA PARA SINFÍN ASPA ESPECIAL CHICO EN ACERO INOX. T-304 GRADO ALIMENTICIO")</f>
        <v>FLECHA PARA SINFÍN ASPA ESPECIAL CHICO EN ACERO INOX. T-304 GRADO ALIMENTICIO</v>
      </c>
      <c r="AS621" s="71" t="str">
        <f>IFERROR(__xludf.DUMMYFUNCTION("""COMPUTED_VALUE""")," FLECHA SINFIN ASPA ESPECIAL CHIC INOX GA")</f>
        <v>FLECHA SINFIN ASPA ESPECIAL CHIC INOX GA</v>
      </c>
      <c r="AT621" s="71">
        <f>IFERROR(__xludf.DUMMYFUNCTION("""COMPUTED_VALUE"""),40.0)</f>
        <v>40</v>
      </c>
      <c r="AU621" s="71"/>
      <c r="AV621" s="71"/>
      <c r="AW621" s="71"/>
      <c r="AX621" s="71"/>
      <c r="AY621" s="71">
        <f>IFERROR(__xludf.DUMMYFUNCTION("""COMPUTED_VALUE"""),217.0)</f>
        <v>217</v>
      </c>
      <c r="AZ621" s="71">
        <f>IFERROR(__xludf.DUMMYFUNCTION("""COMPUTED_VALUE"""),234.0)</f>
        <v>234</v>
      </c>
      <c r="BA621" s="71">
        <f>IFERROR(__xludf.DUMMYFUNCTION("""COMPUTED_VALUE"""),252.72000000000003)</f>
        <v>252.72</v>
      </c>
      <c r="BB621" s="71">
        <f>IFERROR(__xludf.DUMMYFUNCTION("""COMPUTED_VALUE"""),252.72000000000003)</f>
        <v>252.72</v>
      </c>
      <c r="BC621" s="71">
        <f>IFERROR(__xludf.DUMMYFUNCTION("""COMPUTED_VALUE"""),282.0)</f>
        <v>282</v>
      </c>
      <c r="BD621" s="71">
        <f>IFERROR(__xludf.DUMMYFUNCTION("""COMPUTED_VALUE"""),296.0)</f>
        <v>296</v>
      </c>
      <c r="BE621" s="71">
        <f>IFERROR(__xludf.DUMMYFUNCTION("""COMPUTED_VALUE"""),47.36)</f>
        <v>47.36</v>
      </c>
      <c r="BF621" s="71">
        <f>IFERROR(__xludf.DUMMYFUNCTION("""COMPUTED_VALUE"""),343.36)</f>
        <v>343.36</v>
      </c>
      <c r="BG621" s="71">
        <f>IFERROR(__xludf.DUMMYFUNCTION("""COMPUTED_VALUE"""),0.04964539007092199)</f>
        <v>0.04964539007</v>
      </c>
      <c r="BH621" s="71">
        <f>IFERROR(__xludf.DUMMYFUNCTION("""COMPUTED_VALUE"""),281.2)</f>
        <v>281.2</v>
      </c>
      <c r="BI621" s="71">
        <f>IFERROR(__xludf.DUMMYFUNCTION("""COMPUTED_VALUE"""),44.992)</f>
        <v>44.992</v>
      </c>
      <c r="BJ621" s="71">
        <f>IFERROR(__xludf.DUMMYFUNCTION("""COMPUTED_VALUE"""),326.192)</f>
        <v>326.192</v>
      </c>
      <c r="BK621" s="71">
        <f>IFERROR(__xludf.DUMMYFUNCTION("""COMPUTED_VALUE"""),266.40000000000003)</f>
        <v>266.4</v>
      </c>
      <c r="BL621" s="71">
        <f>IFERROR(__xludf.DUMMYFUNCTION("""COMPUTED_VALUE"""),42.62400000000001)</f>
        <v>42.624</v>
      </c>
      <c r="BM621" s="71">
        <f>IFERROR(__xludf.DUMMYFUNCTION("""COMPUTED_VALUE"""),309.02400000000006)</f>
        <v>309.024</v>
      </c>
      <c r="BN621" s="71">
        <f>IFERROR(__xludf.DUMMYFUNCTION("""COMPUTED_VALUE"""),251.6)</f>
        <v>251.6</v>
      </c>
      <c r="BO621" s="71">
        <f>IFERROR(__xludf.DUMMYFUNCTION("""COMPUTED_VALUE"""),40.256)</f>
        <v>40.256</v>
      </c>
      <c r="BP621" s="71">
        <f>IFERROR(__xludf.DUMMYFUNCTION("""COMPUTED_VALUE"""),291.856)</f>
        <v>291.856</v>
      </c>
      <c r="BQ621" s="71">
        <f>IFERROR(__xludf.DUMMYFUNCTION("""COMPUTED_VALUE"""),245.67999999999998)</f>
        <v>245.68</v>
      </c>
      <c r="BR621" s="71">
        <f>IFERROR(__xludf.DUMMYFUNCTION("""COMPUTED_VALUE"""),39.3088)</f>
        <v>39.3088</v>
      </c>
      <c r="BS621" s="71">
        <f>IFERROR(__xludf.DUMMYFUNCTION("""COMPUTED_VALUE"""),284.98879999999997)</f>
        <v>284.9888</v>
      </c>
      <c r="BT621" s="71">
        <f>IFERROR(__xludf.DUMMYFUNCTION("""COMPUTED_VALUE"""),236.8)</f>
        <v>236.8</v>
      </c>
      <c r="BU621" s="71">
        <f>IFERROR(__xludf.DUMMYFUNCTION("""COMPUTED_VALUE"""),37.888000000000005)</f>
        <v>37.888</v>
      </c>
      <c r="BV621" s="71">
        <f>IFERROR(__xludf.DUMMYFUNCTION("""COMPUTED_VALUE"""),274.688)</f>
        <v>274.688</v>
      </c>
    </row>
    <row r="622">
      <c r="A622" s="53">
        <v>1.0</v>
      </c>
      <c r="B622" s="72"/>
      <c r="C622" s="120" t="s">
        <v>603</v>
      </c>
      <c r="D622" s="74" t="s">
        <v>1504</v>
      </c>
      <c r="E622" s="54" t="s">
        <v>38</v>
      </c>
      <c r="F622" s="54" t="s">
        <v>42</v>
      </c>
      <c r="G622" s="141" t="s">
        <v>1505</v>
      </c>
      <c r="H622" s="141" t="s">
        <v>1505</v>
      </c>
      <c r="I622" s="54">
        <f t="shared" si="24"/>
        <v>29</v>
      </c>
      <c r="J622" s="56"/>
      <c r="K622" s="75"/>
      <c r="L622" s="76"/>
      <c r="M622" s="59"/>
      <c r="N622" s="60">
        <v>201.0</v>
      </c>
      <c r="O622" s="61">
        <v>217.0</v>
      </c>
      <c r="P622" s="62">
        <v>110.0</v>
      </c>
      <c r="Q622" s="63">
        <v>110.0</v>
      </c>
      <c r="R622" s="64">
        <v>259.0</v>
      </c>
      <c r="S622" s="111">
        <v>272.0</v>
      </c>
      <c r="T622" s="65">
        <f t="shared" si="2"/>
        <v>43.52</v>
      </c>
      <c r="U622" s="65">
        <f t="shared" si="3"/>
        <v>315.52</v>
      </c>
      <c r="V622" s="66">
        <f t="shared" si="4"/>
        <v>0.05019305019</v>
      </c>
      <c r="W622" s="67">
        <f t="shared" si="5"/>
        <v>258.4</v>
      </c>
      <c r="X622" s="67">
        <f t="shared" si="6"/>
        <v>41.344</v>
      </c>
      <c r="Y622" s="67">
        <f t="shared" si="7"/>
        <v>299.744</v>
      </c>
      <c r="Z622" s="67">
        <f t="shared" si="8"/>
        <v>244.8</v>
      </c>
      <c r="AA622" s="67">
        <f t="shared" si="9"/>
        <v>39.168</v>
      </c>
      <c r="AB622" s="67">
        <f t="shared" si="10"/>
        <v>283.968</v>
      </c>
      <c r="AC622" s="67">
        <f t="shared" si="11"/>
        <v>231.2</v>
      </c>
      <c r="AD622" s="67">
        <f t="shared" si="12"/>
        <v>36.992</v>
      </c>
      <c r="AE622" s="67">
        <f t="shared" si="13"/>
        <v>268.192</v>
      </c>
      <c r="AF622" s="67">
        <f t="shared" si="14"/>
        <v>225.76</v>
      </c>
      <c r="AG622" s="67">
        <f t="shared" si="15"/>
        <v>36.1216</v>
      </c>
      <c r="AH622" s="67">
        <f t="shared" si="16"/>
        <v>261.8816</v>
      </c>
      <c r="AI622" s="67">
        <f t="shared" si="17"/>
        <v>217.6</v>
      </c>
      <c r="AJ622" s="68">
        <f t="shared" si="25"/>
        <v>34.816</v>
      </c>
      <c r="AK622" s="68">
        <f t="shared" si="26"/>
        <v>252.416</v>
      </c>
      <c r="AL622" s="70">
        <f>IFERROR(__xludf.DUMMYFUNCTION("""COMPUTED_VALUE"""),1.0)</f>
        <v>1</v>
      </c>
      <c r="AM622" s="70"/>
      <c r="AN622" s="71" t="str">
        <f>IFERROR(__xludf.DUMMYFUNCTION("""COMPUTED_VALUE""")," P")</f>
        <v>P</v>
      </c>
      <c r="AO622" s="71" t="str">
        <f>IFERROR(__xludf.DUMMYFUNCTION("""COMPUTED_VALUE""")," FL19")</f>
        <v>FL19</v>
      </c>
      <c r="AP622" s="71" t="str">
        <f>IFERROR(__xludf.DUMMYFUNCTION("""COMPUTED_VALUE""")," PZA")</f>
        <v>PZA</v>
      </c>
      <c r="AQ622" s="71" t="str">
        <f>IFERROR(__xludf.DUMMYFUNCTION("""COMPUTED_VALUE""")," REF")</f>
        <v>REF</v>
      </c>
      <c r="AR622" s="71" t="str">
        <f>IFERROR(__xludf.DUMMYFUNCTION("""COMPUTED_VALUE""")," FLECHA PARA SINFÍN ASPA SENCILLA")</f>
        <v>FLECHA PARA SINFÍN ASPA SENCILLA</v>
      </c>
      <c r="AS622" s="71" t="str">
        <f>IFERROR(__xludf.DUMMYFUNCTION("""COMPUTED_VALUE""")," FLECHA PARA SINFIN ASPA SENCILLA")</f>
        <v>FLECHA PARA SINFIN ASPA SENCILLA</v>
      </c>
      <c r="AT622" s="71">
        <f>IFERROR(__xludf.DUMMYFUNCTION("""COMPUTED_VALUE"""),32.0)</f>
        <v>32</v>
      </c>
      <c r="AU622" s="71"/>
      <c r="AV622" s="71"/>
      <c r="AW622" s="71"/>
      <c r="AX622" s="71"/>
      <c r="AY622" s="71">
        <f>IFERROR(__xludf.DUMMYFUNCTION("""COMPUTED_VALUE"""),91.0)</f>
        <v>91</v>
      </c>
      <c r="AZ622" s="71">
        <f>IFERROR(__xludf.DUMMYFUNCTION("""COMPUTED_VALUE"""),98.0)</f>
        <v>98</v>
      </c>
      <c r="BA622" s="71">
        <f>IFERROR(__xludf.DUMMYFUNCTION("""COMPUTED_VALUE"""),105.84)</f>
        <v>105.84</v>
      </c>
      <c r="BB622" s="71">
        <f>IFERROR(__xludf.DUMMYFUNCTION("""COMPUTED_VALUE"""),105.84)</f>
        <v>105.84</v>
      </c>
      <c r="BC622" s="71">
        <f>IFERROR(__xludf.DUMMYFUNCTION("""COMPUTED_VALUE"""),119.0)</f>
        <v>119</v>
      </c>
      <c r="BD622" s="71">
        <f>IFERROR(__xludf.DUMMYFUNCTION("""COMPUTED_VALUE"""),125.0)</f>
        <v>125</v>
      </c>
      <c r="BE622" s="71">
        <f>IFERROR(__xludf.DUMMYFUNCTION("""COMPUTED_VALUE"""),20.0)</f>
        <v>20</v>
      </c>
      <c r="BF622" s="71">
        <f>IFERROR(__xludf.DUMMYFUNCTION("""COMPUTED_VALUE"""),145.0)</f>
        <v>145</v>
      </c>
      <c r="BG622" s="71">
        <f>IFERROR(__xludf.DUMMYFUNCTION("""COMPUTED_VALUE"""),0.05042016806722689)</f>
        <v>0.05042016807</v>
      </c>
      <c r="BH622" s="71">
        <f>IFERROR(__xludf.DUMMYFUNCTION("""COMPUTED_VALUE"""),118.75)</f>
        <v>118.75</v>
      </c>
      <c r="BI622" s="71">
        <f>IFERROR(__xludf.DUMMYFUNCTION("""COMPUTED_VALUE"""),19.0)</f>
        <v>19</v>
      </c>
      <c r="BJ622" s="71">
        <f>IFERROR(__xludf.DUMMYFUNCTION("""COMPUTED_VALUE"""),137.75)</f>
        <v>137.75</v>
      </c>
      <c r="BK622" s="71">
        <f>IFERROR(__xludf.DUMMYFUNCTION("""COMPUTED_VALUE"""),112.5)</f>
        <v>112.5</v>
      </c>
      <c r="BL622" s="71">
        <f>IFERROR(__xludf.DUMMYFUNCTION("""COMPUTED_VALUE"""),18.0)</f>
        <v>18</v>
      </c>
      <c r="BM622" s="71">
        <f>IFERROR(__xludf.DUMMYFUNCTION("""COMPUTED_VALUE"""),130.5)</f>
        <v>130.5</v>
      </c>
      <c r="BN622" s="71">
        <f>IFERROR(__xludf.DUMMYFUNCTION("""COMPUTED_VALUE"""),106.25)</f>
        <v>106.25</v>
      </c>
      <c r="BO622" s="71">
        <f>IFERROR(__xludf.DUMMYFUNCTION("""COMPUTED_VALUE"""),17.0)</f>
        <v>17</v>
      </c>
      <c r="BP622" s="71">
        <f>IFERROR(__xludf.DUMMYFUNCTION("""COMPUTED_VALUE"""),123.25)</f>
        <v>123.25</v>
      </c>
      <c r="BQ622" s="71">
        <f>IFERROR(__xludf.DUMMYFUNCTION("""COMPUTED_VALUE"""),103.75)</f>
        <v>103.75</v>
      </c>
      <c r="BR622" s="71">
        <f>IFERROR(__xludf.DUMMYFUNCTION("""COMPUTED_VALUE"""),16.6)</f>
        <v>16.6</v>
      </c>
      <c r="BS622" s="71">
        <f>IFERROR(__xludf.DUMMYFUNCTION("""COMPUTED_VALUE"""),120.35)</f>
        <v>120.35</v>
      </c>
      <c r="BT622" s="71">
        <f>IFERROR(__xludf.DUMMYFUNCTION("""COMPUTED_VALUE"""),100.0)</f>
        <v>100</v>
      </c>
      <c r="BU622" s="71">
        <f>IFERROR(__xludf.DUMMYFUNCTION("""COMPUTED_VALUE"""),16.0)</f>
        <v>16</v>
      </c>
      <c r="BV622" s="71">
        <f>IFERROR(__xludf.DUMMYFUNCTION("""COMPUTED_VALUE"""),116.0)</f>
        <v>116</v>
      </c>
    </row>
    <row r="623">
      <c r="A623" s="53">
        <v>1.0</v>
      </c>
      <c r="B623" s="53"/>
      <c r="C623" s="120" t="s">
        <v>603</v>
      </c>
      <c r="D623" s="53" t="s">
        <v>1506</v>
      </c>
      <c r="E623" s="54" t="s">
        <v>38</v>
      </c>
      <c r="F623" s="54" t="s">
        <v>42</v>
      </c>
      <c r="G623" s="141" t="s">
        <v>1507</v>
      </c>
      <c r="H623" s="141" t="s">
        <v>1507</v>
      </c>
      <c r="I623" s="54">
        <f t="shared" si="24"/>
        <v>29</v>
      </c>
      <c r="J623" s="56"/>
      <c r="K623" s="75"/>
      <c r="L623" s="76"/>
      <c r="M623" s="59"/>
      <c r="N623" s="79">
        <v>201.0</v>
      </c>
      <c r="O623" s="61">
        <v>217.0</v>
      </c>
      <c r="P623" s="62">
        <v>110.0</v>
      </c>
      <c r="Q623" s="63">
        <v>110.0</v>
      </c>
      <c r="R623" s="64">
        <v>119.0</v>
      </c>
      <c r="S623" s="111">
        <v>125.0</v>
      </c>
      <c r="T623" s="65">
        <f t="shared" si="2"/>
        <v>20</v>
      </c>
      <c r="U623" s="65">
        <f t="shared" si="3"/>
        <v>145</v>
      </c>
      <c r="V623" s="66">
        <f t="shared" si="4"/>
        <v>0.05042016807</v>
      </c>
      <c r="W623" s="67">
        <f t="shared" si="5"/>
        <v>118.75</v>
      </c>
      <c r="X623" s="67">
        <f t="shared" si="6"/>
        <v>19</v>
      </c>
      <c r="Y623" s="67">
        <f t="shared" si="7"/>
        <v>137.75</v>
      </c>
      <c r="Z623" s="67">
        <f t="shared" si="8"/>
        <v>112.5</v>
      </c>
      <c r="AA623" s="67">
        <f t="shared" si="9"/>
        <v>18</v>
      </c>
      <c r="AB623" s="67">
        <f t="shared" si="10"/>
        <v>130.5</v>
      </c>
      <c r="AC623" s="67">
        <f t="shared" si="11"/>
        <v>106.25</v>
      </c>
      <c r="AD623" s="67">
        <f t="shared" si="12"/>
        <v>17</v>
      </c>
      <c r="AE623" s="67">
        <f t="shared" si="13"/>
        <v>123.25</v>
      </c>
      <c r="AF623" s="67">
        <f t="shared" si="14"/>
        <v>103.75</v>
      </c>
      <c r="AG623" s="67">
        <f t="shared" si="15"/>
        <v>16.6</v>
      </c>
      <c r="AH623" s="67">
        <f t="shared" si="16"/>
        <v>120.35</v>
      </c>
      <c r="AI623" s="67">
        <f t="shared" si="17"/>
        <v>100</v>
      </c>
      <c r="AJ623" s="68">
        <f t="shared" si="25"/>
        <v>16</v>
      </c>
      <c r="AK623" s="68">
        <f t="shared" si="26"/>
        <v>116</v>
      </c>
      <c r="AL623" s="70">
        <f>IFERROR(__xludf.DUMMYFUNCTION("""COMPUTED_VALUE"""),1.0)</f>
        <v>1</v>
      </c>
      <c r="AM623" s="70"/>
      <c r="AN623" s="71" t="str">
        <f>IFERROR(__xludf.DUMMYFUNCTION("""COMPUTED_VALUE""")," P")</f>
        <v>P</v>
      </c>
      <c r="AO623" s="71" t="str">
        <f>IFERROR(__xludf.DUMMYFUNCTION("""COMPUTED_VALUE""")," FL96")</f>
        <v>FL96</v>
      </c>
      <c r="AP623" s="71" t="str">
        <f>IFERROR(__xludf.DUMMYFUNCTION("""COMPUTED_VALUE""")," PZA")</f>
        <v>PZA</v>
      </c>
      <c r="AQ623" s="71" t="str">
        <f>IFERROR(__xludf.DUMMYFUNCTION("""COMPUTED_VALUE""")," REF")</f>
        <v>REF</v>
      </c>
      <c r="AR623" s="71" t="str">
        <f>IFERROR(__xludf.DUMMYFUNCTION("""COMPUTED_VALUE""")," FLECHA PARA SINFÍN ASPA SENCILLA EN ACERO INOXIDABLE T-304 GRADO ALIMENTICIO")</f>
        <v>FLECHA PARA SINFÍN ASPA SENCILLA EN ACERO INOXIDABLE T-304 GRADO ALIMENTICIO</v>
      </c>
      <c r="AS623" s="71" t="str">
        <f>IFERROR(__xludf.DUMMYFUNCTION("""COMPUTED_VALUE""")," FLECHA PARA SINFIN ASPA SENCILLA INOX GA")</f>
        <v>FLECHA PARA SINFIN ASPA SENCILLA INOX GA</v>
      </c>
      <c r="AT623" s="71">
        <f>IFERROR(__xludf.DUMMYFUNCTION("""COMPUTED_VALUE"""),40.0)</f>
        <v>40</v>
      </c>
      <c r="AU623" s="71"/>
      <c r="AV623" s="71"/>
      <c r="AW623" s="71"/>
      <c r="AX623" s="71"/>
      <c r="AY623" s="71">
        <f>IFERROR(__xludf.DUMMYFUNCTION("""COMPUTED_VALUE"""),356.0)</f>
        <v>356</v>
      </c>
      <c r="AZ623" s="71">
        <f>IFERROR(__xludf.DUMMYFUNCTION("""COMPUTED_VALUE"""),384.0)</f>
        <v>384</v>
      </c>
      <c r="BA623" s="71">
        <f>IFERROR(__xludf.DUMMYFUNCTION("""COMPUTED_VALUE"""),414.72)</f>
        <v>414.72</v>
      </c>
      <c r="BB623" s="71">
        <f>IFERROR(__xludf.DUMMYFUNCTION("""COMPUTED_VALUE"""),414.72)</f>
        <v>414.72</v>
      </c>
      <c r="BC623" s="71">
        <f>IFERROR(__xludf.DUMMYFUNCTION("""COMPUTED_VALUE"""),462.0)</f>
        <v>462</v>
      </c>
      <c r="BD623" s="71">
        <f>IFERROR(__xludf.DUMMYFUNCTION("""COMPUTED_VALUE"""),485.0)</f>
        <v>485</v>
      </c>
      <c r="BE623" s="71">
        <f>IFERROR(__xludf.DUMMYFUNCTION("""COMPUTED_VALUE"""),77.60000000000001)</f>
        <v>77.6</v>
      </c>
      <c r="BF623" s="71">
        <f>IFERROR(__xludf.DUMMYFUNCTION("""COMPUTED_VALUE"""),562.6)</f>
        <v>562.6</v>
      </c>
      <c r="BG623" s="71">
        <f>IFERROR(__xludf.DUMMYFUNCTION("""COMPUTED_VALUE"""),0.049783549783549784)</f>
        <v>0.04978354978</v>
      </c>
      <c r="BH623" s="71">
        <f>IFERROR(__xludf.DUMMYFUNCTION("""COMPUTED_VALUE"""),460.75)</f>
        <v>460.75</v>
      </c>
      <c r="BI623" s="71">
        <f>IFERROR(__xludf.DUMMYFUNCTION("""COMPUTED_VALUE"""),73.72)</f>
        <v>73.72</v>
      </c>
      <c r="BJ623" s="71">
        <f>IFERROR(__xludf.DUMMYFUNCTION("""COMPUTED_VALUE"""),534.47)</f>
        <v>534.47</v>
      </c>
      <c r="BK623" s="71">
        <f>IFERROR(__xludf.DUMMYFUNCTION("""COMPUTED_VALUE"""),436.5)</f>
        <v>436.5</v>
      </c>
      <c r="BL623" s="71">
        <f>IFERROR(__xludf.DUMMYFUNCTION("""COMPUTED_VALUE"""),69.84)</f>
        <v>69.84</v>
      </c>
      <c r="BM623" s="71">
        <f>IFERROR(__xludf.DUMMYFUNCTION("""COMPUTED_VALUE"""),506.34000000000003)</f>
        <v>506.34</v>
      </c>
      <c r="BN623" s="71">
        <f>IFERROR(__xludf.DUMMYFUNCTION("""COMPUTED_VALUE"""),412.25)</f>
        <v>412.25</v>
      </c>
      <c r="BO623" s="71">
        <f>IFERROR(__xludf.DUMMYFUNCTION("""COMPUTED_VALUE"""),65.96000000000001)</f>
        <v>65.96</v>
      </c>
      <c r="BP623" s="71">
        <f>IFERROR(__xludf.DUMMYFUNCTION("""COMPUTED_VALUE"""),478.21000000000004)</f>
        <v>478.21</v>
      </c>
      <c r="BQ623" s="71">
        <f>IFERROR(__xludf.DUMMYFUNCTION("""COMPUTED_VALUE"""),402.54999999999995)</f>
        <v>402.55</v>
      </c>
      <c r="BR623" s="71">
        <f>IFERROR(__xludf.DUMMYFUNCTION("""COMPUTED_VALUE"""),64.40799999999999)</f>
        <v>64.408</v>
      </c>
      <c r="BS623" s="71">
        <f>IFERROR(__xludf.DUMMYFUNCTION("""COMPUTED_VALUE"""),466.95799999999997)</f>
        <v>466.958</v>
      </c>
      <c r="BT623" s="71">
        <f>IFERROR(__xludf.DUMMYFUNCTION("""COMPUTED_VALUE"""),388.0)</f>
        <v>388</v>
      </c>
      <c r="BU623" s="71">
        <f>IFERROR(__xludf.DUMMYFUNCTION("""COMPUTED_VALUE"""),62.08)</f>
        <v>62.08</v>
      </c>
      <c r="BV623" s="71">
        <f>IFERROR(__xludf.DUMMYFUNCTION("""COMPUTED_VALUE"""),450.08)</f>
        <v>450.08</v>
      </c>
    </row>
    <row r="624">
      <c r="A624" s="53">
        <v>1.0</v>
      </c>
      <c r="B624" s="53"/>
      <c r="C624" s="53" t="s">
        <v>12</v>
      </c>
      <c r="D624" s="53" t="s">
        <v>1508</v>
      </c>
      <c r="E624" s="54" t="s">
        <v>38</v>
      </c>
      <c r="F624" s="54" t="s">
        <v>42</v>
      </c>
      <c r="G624" s="141" t="s">
        <v>1509</v>
      </c>
      <c r="H624" s="141" t="s">
        <v>1509</v>
      </c>
      <c r="I624" s="54">
        <f t="shared" si="24"/>
        <v>31</v>
      </c>
      <c r="J624" s="56"/>
      <c r="K624" s="75"/>
      <c r="L624" s="76"/>
      <c r="M624" s="59"/>
      <c r="N624" s="79">
        <v>201.0</v>
      </c>
      <c r="O624" s="61">
        <v>217.0</v>
      </c>
      <c r="P624" s="63">
        <v>110.0</v>
      </c>
      <c r="Q624" s="63">
        <v>110.0</v>
      </c>
      <c r="R624" s="64">
        <v>119.0</v>
      </c>
      <c r="S624" s="111">
        <v>125.0</v>
      </c>
      <c r="T624" s="65">
        <f t="shared" si="2"/>
        <v>20</v>
      </c>
      <c r="U624" s="65">
        <f t="shared" si="3"/>
        <v>145</v>
      </c>
      <c r="V624" s="66">
        <f t="shared" si="4"/>
        <v>0.05042016807</v>
      </c>
      <c r="W624" s="67">
        <f t="shared" si="5"/>
        <v>118.75</v>
      </c>
      <c r="X624" s="67">
        <f t="shared" si="6"/>
        <v>19</v>
      </c>
      <c r="Y624" s="67">
        <f t="shared" si="7"/>
        <v>137.75</v>
      </c>
      <c r="Z624" s="67">
        <f t="shared" si="8"/>
        <v>112.5</v>
      </c>
      <c r="AA624" s="67">
        <f t="shared" si="9"/>
        <v>18</v>
      </c>
      <c r="AB624" s="67">
        <f t="shared" si="10"/>
        <v>130.5</v>
      </c>
      <c r="AC624" s="67">
        <f t="shared" si="11"/>
        <v>106.25</v>
      </c>
      <c r="AD624" s="67">
        <f t="shared" si="12"/>
        <v>17</v>
      </c>
      <c r="AE624" s="67">
        <f t="shared" si="13"/>
        <v>123.25</v>
      </c>
      <c r="AF624" s="67">
        <f t="shared" si="14"/>
        <v>103.75</v>
      </c>
      <c r="AG624" s="67">
        <f t="shared" si="15"/>
        <v>16.6</v>
      </c>
      <c r="AH624" s="67">
        <f t="shared" si="16"/>
        <v>120.35</v>
      </c>
      <c r="AI624" s="67">
        <f t="shared" si="17"/>
        <v>100</v>
      </c>
      <c r="AJ624" s="68">
        <f t="shared" si="25"/>
        <v>16</v>
      </c>
      <c r="AK624" s="68">
        <f t="shared" si="26"/>
        <v>116</v>
      </c>
      <c r="AL624" s="136">
        <f>IFERROR(__xludf.DUMMYFUNCTION("""COMPUTED_VALUE"""),1.0)</f>
        <v>1</v>
      </c>
      <c r="AM624" s="136"/>
      <c r="AN624" s="137" t="str">
        <f>IFERROR(__xludf.DUMMYFUNCTION("""COMPUTED_VALUE""")," P")</f>
        <v>P</v>
      </c>
      <c r="AO624" s="137" t="str">
        <f>IFERROR(__xludf.DUMMYFUNCTION("""COMPUTED_VALUE""")," FL22")</f>
        <v>FL22</v>
      </c>
      <c r="AP624" s="137" t="str">
        <f>IFERROR(__xludf.DUMMYFUNCTION("""COMPUTED_VALUE""")," PZA")</f>
        <v>PZA</v>
      </c>
      <c r="AQ624" s="137" t="str">
        <f>IFERROR(__xludf.DUMMYFUNCTION("""COMPUTED_VALUE""")," REF")</f>
        <v>REF</v>
      </c>
      <c r="AR624" s="137" t="str">
        <f>IFERROR(__xludf.DUMMYFUNCTION("""COMPUTED_VALUE""")," FLECHA PARA TRANSPORTADOR AMASADORA DE 100 KG. (1""X1.03CM.)")</f>
        <v>FLECHA PARA TRANSPORTADOR AMASADORA DE 100 KG. (1"X1.03CM.)</v>
      </c>
      <c r="AS624" s="137" t="str">
        <f>IFERROR(__xludf.DUMMYFUNCTION("""COMPUTED_VALUE""")," FLECHA P/TRANSP AMASADORA 100KG 1X103CM")</f>
        <v>FLECHA P/TRANSP AMASADORA 100KG 1X103CM</v>
      </c>
      <c r="AT624" s="137">
        <f>IFERROR(__xludf.DUMMYFUNCTION("""COMPUTED_VALUE"""),39.0)</f>
        <v>39</v>
      </c>
      <c r="AU624" s="137"/>
      <c r="AV624" s="137"/>
      <c r="AW624" s="137"/>
      <c r="AX624" s="137"/>
      <c r="AY624" s="137">
        <f>IFERROR(__xludf.DUMMYFUNCTION("""COMPUTED_VALUE"""),359.0)</f>
        <v>359</v>
      </c>
      <c r="AZ624" s="137">
        <f>IFERROR(__xludf.DUMMYFUNCTION("""COMPUTED_VALUE"""),387.0)</f>
        <v>387</v>
      </c>
      <c r="BA624" s="137">
        <f>IFERROR(__xludf.DUMMYFUNCTION("""COMPUTED_VALUE"""),417.96000000000004)</f>
        <v>417.96</v>
      </c>
      <c r="BB624" s="137">
        <f>IFERROR(__xludf.DUMMYFUNCTION("""COMPUTED_VALUE"""),417.96000000000004)</f>
        <v>417.96</v>
      </c>
      <c r="BC624" s="137">
        <f>IFERROR(__xludf.DUMMYFUNCTION("""COMPUTED_VALUE"""),467.0)</f>
        <v>467</v>
      </c>
      <c r="BD624" s="137">
        <f>IFERROR(__xludf.DUMMYFUNCTION("""COMPUTED_VALUE"""),490.0)</f>
        <v>490</v>
      </c>
      <c r="BE624" s="137">
        <f>IFERROR(__xludf.DUMMYFUNCTION("""COMPUTED_VALUE"""),78.4)</f>
        <v>78.4</v>
      </c>
      <c r="BF624" s="137">
        <f>IFERROR(__xludf.DUMMYFUNCTION("""COMPUTED_VALUE"""),568.4)</f>
        <v>568.4</v>
      </c>
      <c r="BG624" s="137">
        <f>IFERROR(__xludf.DUMMYFUNCTION("""COMPUTED_VALUE"""),0.04925053533190578)</f>
        <v>0.04925053533</v>
      </c>
      <c r="BH624" s="137">
        <f>IFERROR(__xludf.DUMMYFUNCTION("""COMPUTED_VALUE"""),465.5)</f>
        <v>465.5</v>
      </c>
      <c r="BI624" s="137">
        <f>IFERROR(__xludf.DUMMYFUNCTION("""COMPUTED_VALUE"""),74.48)</f>
        <v>74.48</v>
      </c>
      <c r="BJ624" s="137">
        <f>IFERROR(__xludf.DUMMYFUNCTION("""COMPUTED_VALUE"""),539.98)</f>
        <v>539.98</v>
      </c>
      <c r="BK624" s="137">
        <f>IFERROR(__xludf.DUMMYFUNCTION("""COMPUTED_VALUE"""),441.0)</f>
        <v>441</v>
      </c>
      <c r="BL624" s="137">
        <f>IFERROR(__xludf.DUMMYFUNCTION("""COMPUTED_VALUE"""),70.56)</f>
        <v>70.56</v>
      </c>
      <c r="BM624" s="137">
        <f>IFERROR(__xludf.DUMMYFUNCTION("""COMPUTED_VALUE"""),511.56)</f>
        <v>511.56</v>
      </c>
      <c r="BN624" s="137">
        <f>IFERROR(__xludf.DUMMYFUNCTION("""COMPUTED_VALUE"""),416.5)</f>
        <v>416.5</v>
      </c>
      <c r="BO624" s="137">
        <f>IFERROR(__xludf.DUMMYFUNCTION("""COMPUTED_VALUE"""),66.64)</f>
        <v>66.64</v>
      </c>
      <c r="BP624" s="137">
        <f>IFERROR(__xludf.DUMMYFUNCTION("""COMPUTED_VALUE"""),483.14)</f>
        <v>483.14</v>
      </c>
      <c r="BQ624" s="137">
        <f>IFERROR(__xludf.DUMMYFUNCTION("""COMPUTED_VALUE"""),406.7)</f>
        <v>406.7</v>
      </c>
      <c r="BR624" s="137">
        <f>IFERROR(__xludf.DUMMYFUNCTION("""COMPUTED_VALUE"""),65.072)</f>
        <v>65.072</v>
      </c>
      <c r="BS624" s="137">
        <f>IFERROR(__xludf.DUMMYFUNCTION("""COMPUTED_VALUE"""),471.772)</f>
        <v>471.772</v>
      </c>
      <c r="BT624" s="137">
        <f>IFERROR(__xludf.DUMMYFUNCTION("""COMPUTED_VALUE"""),392.0)</f>
        <v>392</v>
      </c>
      <c r="BU624" s="137">
        <f>IFERROR(__xludf.DUMMYFUNCTION("""COMPUTED_VALUE"""),62.72)</f>
        <v>62.72</v>
      </c>
      <c r="BV624" s="137">
        <f>IFERROR(__xludf.DUMMYFUNCTION("""COMPUTED_VALUE"""),454.72)</f>
        <v>454.72</v>
      </c>
    </row>
    <row r="625">
      <c r="A625" s="53">
        <v>1.0</v>
      </c>
      <c r="B625" s="72"/>
      <c r="C625" s="120" t="s">
        <v>603</v>
      </c>
      <c r="D625" s="74" t="s">
        <v>1510</v>
      </c>
      <c r="E625" s="54" t="s">
        <v>38</v>
      </c>
      <c r="F625" s="54" t="s">
        <v>42</v>
      </c>
      <c r="G625" s="141" t="s">
        <v>1511</v>
      </c>
      <c r="H625" s="141" t="s">
        <v>1511</v>
      </c>
      <c r="I625" s="54">
        <f t="shared" si="24"/>
        <v>25</v>
      </c>
      <c r="J625" s="56"/>
      <c r="K625" s="75"/>
      <c r="L625" s="76"/>
      <c r="M625" s="59"/>
      <c r="N625" s="60">
        <v>201.0</v>
      </c>
      <c r="O625" s="61">
        <v>217.0</v>
      </c>
      <c r="P625" s="62">
        <v>110.0</v>
      </c>
      <c r="Q625" s="63">
        <v>110.0</v>
      </c>
      <c r="R625" s="64">
        <v>144.0</v>
      </c>
      <c r="S625" s="111">
        <v>151.0</v>
      </c>
      <c r="T625" s="65">
        <f t="shared" si="2"/>
        <v>24.16</v>
      </c>
      <c r="U625" s="65">
        <f t="shared" si="3"/>
        <v>175.16</v>
      </c>
      <c r="V625" s="66">
        <f t="shared" si="4"/>
        <v>0.04861111111</v>
      </c>
      <c r="W625" s="67">
        <f t="shared" si="5"/>
        <v>143.45</v>
      </c>
      <c r="X625" s="67">
        <f t="shared" si="6"/>
        <v>22.952</v>
      </c>
      <c r="Y625" s="67">
        <f t="shared" si="7"/>
        <v>166.402</v>
      </c>
      <c r="Z625" s="67">
        <f t="shared" si="8"/>
        <v>135.9</v>
      </c>
      <c r="AA625" s="67">
        <f t="shared" si="9"/>
        <v>21.744</v>
      </c>
      <c r="AB625" s="67">
        <f t="shared" si="10"/>
        <v>157.644</v>
      </c>
      <c r="AC625" s="67">
        <f t="shared" si="11"/>
        <v>128.35</v>
      </c>
      <c r="AD625" s="67">
        <f t="shared" si="12"/>
        <v>20.536</v>
      </c>
      <c r="AE625" s="67">
        <f t="shared" si="13"/>
        <v>148.886</v>
      </c>
      <c r="AF625" s="67">
        <f t="shared" si="14"/>
        <v>125.33</v>
      </c>
      <c r="AG625" s="67">
        <f t="shared" si="15"/>
        <v>20.0528</v>
      </c>
      <c r="AH625" s="67">
        <f t="shared" si="16"/>
        <v>145.3828</v>
      </c>
      <c r="AI625" s="67">
        <f t="shared" si="17"/>
        <v>120.8</v>
      </c>
      <c r="AJ625" s="68">
        <f t="shared" si="25"/>
        <v>19.328</v>
      </c>
      <c r="AK625" s="68">
        <f t="shared" si="26"/>
        <v>140.128</v>
      </c>
      <c r="AL625" s="70">
        <f>IFERROR(__xludf.DUMMYFUNCTION("""COMPUTED_VALUE"""),1.0)</f>
        <v>1</v>
      </c>
      <c r="AM625" s="70"/>
      <c r="AN625" s="71" t="str">
        <f>IFERROR(__xludf.DUMMYFUNCTION("""COMPUTED_VALUE""")," P")</f>
        <v>P</v>
      </c>
      <c r="AO625" s="71" t="str">
        <f>IFERROR(__xludf.DUMMYFUNCTION("""COMPUTED_VALUE""")," FL92")</f>
        <v>FL92</v>
      </c>
      <c r="AP625" s="71" t="str">
        <f>IFERROR(__xludf.DUMMYFUNCTION("""COMPUTED_VALUE""")," PZA")</f>
        <v>PZA</v>
      </c>
      <c r="AQ625" s="71" t="str">
        <f>IFERROR(__xludf.DUMMYFUNCTION("""COMPUTED_VALUE""")," REF")</f>
        <v>REF</v>
      </c>
      <c r="AR625" s="71" t="str">
        <f>IFERROR(__xludf.DUMMYFUNCTION("""COMPUTED_VALUE""")," FLECHA PARA TRANSPORTADOR AMASADORA DE 100 KG. (1""X1.03CM.) 2 CUÑEROS GRADO ALIMENTICIO")</f>
        <v>FLECHA PARA TRANSPORTADOR AMASADORA DE 100 KG. (1"X1.03CM.) 2 CUÑEROS GRADO ALIMENTICIO</v>
      </c>
      <c r="AS625" s="71" t="str">
        <f>IFERROR(__xludf.DUMMYFUNCTION("""COMPUTED_VALUE""")," FLECHA P/TRANSP AMASAD100KG 1X103CM 2CUN")</f>
        <v>FLECHA P/TRANSP AMASAD100KG 1X103CM 2CUN</v>
      </c>
      <c r="AT625" s="71">
        <f>IFERROR(__xludf.DUMMYFUNCTION("""COMPUTED_VALUE"""),40.0)</f>
        <v>40</v>
      </c>
      <c r="AU625" s="71"/>
      <c r="AV625" s="71"/>
      <c r="AW625" s="71"/>
      <c r="AX625" s="71"/>
      <c r="AY625" s="71">
        <f>IFERROR(__xludf.DUMMYFUNCTION("""COMPUTED_VALUE"""),1775.0)</f>
        <v>1775</v>
      </c>
      <c r="AZ625" s="71">
        <f>IFERROR(__xludf.DUMMYFUNCTION("""COMPUTED_VALUE"""),1917.0)</f>
        <v>1917</v>
      </c>
      <c r="BA625" s="71">
        <f>IFERROR(__xludf.DUMMYFUNCTION("""COMPUTED_VALUE"""),2070.36)</f>
        <v>2070.36</v>
      </c>
      <c r="BB625" s="71">
        <f>IFERROR(__xludf.DUMMYFUNCTION("""COMPUTED_VALUE"""),2070.36)</f>
        <v>2070.36</v>
      </c>
      <c r="BC625" s="71">
        <f>IFERROR(__xludf.DUMMYFUNCTION("""COMPUTED_VALUE"""),2305.0)</f>
        <v>2305</v>
      </c>
      <c r="BD625" s="71">
        <f>IFERROR(__xludf.DUMMYFUNCTION("""COMPUTED_VALUE"""),2420.0)</f>
        <v>2420</v>
      </c>
      <c r="BE625" s="71">
        <f>IFERROR(__xludf.DUMMYFUNCTION("""COMPUTED_VALUE"""),387.2)</f>
        <v>387.2</v>
      </c>
      <c r="BF625" s="71">
        <f>IFERROR(__xludf.DUMMYFUNCTION("""COMPUTED_VALUE"""),2807.2)</f>
        <v>2807.2</v>
      </c>
      <c r="BG625" s="71">
        <f>IFERROR(__xludf.DUMMYFUNCTION("""COMPUTED_VALUE"""),0.049891540130151846)</f>
        <v>0.04989154013</v>
      </c>
      <c r="BH625" s="71">
        <f>IFERROR(__xludf.DUMMYFUNCTION("""COMPUTED_VALUE"""),2299.0)</f>
        <v>2299</v>
      </c>
      <c r="BI625" s="71">
        <f>IFERROR(__xludf.DUMMYFUNCTION("""COMPUTED_VALUE"""),367.84000000000003)</f>
        <v>367.84</v>
      </c>
      <c r="BJ625" s="71">
        <f>IFERROR(__xludf.DUMMYFUNCTION("""COMPUTED_VALUE"""),2666.84)</f>
        <v>2666.84</v>
      </c>
      <c r="BK625" s="71">
        <f>IFERROR(__xludf.DUMMYFUNCTION("""COMPUTED_VALUE"""),2178.0)</f>
        <v>2178</v>
      </c>
      <c r="BL625" s="71">
        <f>IFERROR(__xludf.DUMMYFUNCTION("""COMPUTED_VALUE"""),348.48)</f>
        <v>348.48</v>
      </c>
      <c r="BM625" s="71">
        <f>IFERROR(__xludf.DUMMYFUNCTION("""COMPUTED_VALUE"""),2526.48)</f>
        <v>2526.48</v>
      </c>
      <c r="BN625" s="71">
        <f>IFERROR(__xludf.DUMMYFUNCTION("""COMPUTED_VALUE"""),2057.0)</f>
        <v>2057</v>
      </c>
      <c r="BO625" s="71">
        <f>IFERROR(__xludf.DUMMYFUNCTION("""COMPUTED_VALUE"""),329.12)</f>
        <v>329.12</v>
      </c>
      <c r="BP625" s="71">
        <f>IFERROR(__xludf.DUMMYFUNCTION("""COMPUTED_VALUE"""),2386.12)</f>
        <v>2386.12</v>
      </c>
      <c r="BQ625" s="71">
        <f>IFERROR(__xludf.DUMMYFUNCTION("""COMPUTED_VALUE"""),2008.6)</f>
        <v>2008.6</v>
      </c>
      <c r="BR625" s="71">
        <f>IFERROR(__xludf.DUMMYFUNCTION("""COMPUTED_VALUE"""),321.376)</f>
        <v>321.376</v>
      </c>
      <c r="BS625" s="71">
        <f>IFERROR(__xludf.DUMMYFUNCTION("""COMPUTED_VALUE"""),2329.9759999999997)</f>
        <v>2329.976</v>
      </c>
      <c r="BT625" s="71">
        <f>IFERROR(__xludf.DUMMYFUNCTION("""COMPUTED_VALUE"""),1936.0)</f>
        <v>1936</v>
      </c>
      <c r="BU625" s="71">
        <f>IFERROR(__xludf.DUMMYFUNCTION("""COMPUTED_VALUE"""),309.76)</f>
        <v>309.76</v>
      </c>
      <c r="BV625" s="71">
        <f>IFERROR(__xludf.DUMMYFUNCTION("""COMPUTED_VALUE"""),2245.76)</f>
        <v>2245.76</v>
      </c>
    </row>
    <row r="626">
      <c r="A626" s="53">
        <v>1.0</v>
      </c>
      <c r="B626" s="72"/>
      <c r="C626" s="120" t="s">
        <v>603</v>
      </c>
      <c r="D626" s="74" t="s">
        <v>1512</v>
      </c>
      <c r="E626" s="54" t="s">
        <v>38</v>
      </c>
      <c r="F626" s="54" t="s">
        <v>42</v>
      </c>
      <c r="G626" s="141" t="s">
        <v>1513</v>
      </c>
      <c r="H626" s="141" t="s">
        <v>1513</v>
      </c>
      <c r="I626" s="54">
        <f t="shared" si="24"/>
        <v>29</v>
      </c>
      <c r="J626" s="56"/>
      <c r="K626" s="75"/>
      <c r="L626" s="76"/>
      <c r="M626" s="59"/>
      <c r="N626" s="60">
        <v>213.0</v>
      </c>
      <c r="O626" s="61">
        <v>230.0</v>
      </c>
      <c r="P626" s="62">
        <v>130.0</v>
      </c>
      <c r="Q626" s="63">
        <v>130.0</v>
      </c>
      <c r="R626" s="64">
        <v>161.0</v>
      </c>
      <c r="S626" s="111">
        <v>169.0</v>
      </c>
      <c r="T626" s="65">
        <f t="shared" si="2"/>
        <v>27.04</v>
      </c>
      <c r="U626" s="65">
        <f t="shared" si="3"/>
        <v>196.04</v>
      </c>
      <c r="V626" s="66">
        <f t="shared" si="4"/>
        <v>0.04968944099</v>
      </c>
      <c r="W626" s="67">
        <f t="shared" si="5"/>
        <v>160.55</v>
      </c>
      <c r="X626" s="67">
        <f t="shared" si="6"/>
        <v>25.688</v>
      </c>
      <c r="Y626" s="67">
        <f t="shared" si="7"/>
        <v>186.238</v>
      </c>
      <c r="Z626" s="67">
        <f t="shared" si="8"/>
        <v>152.1</v>
      </c>
      <c r="AA626" s="67">
        <f t="shared" si="9"/>
        <v>24.336</v>
      </c>
      <c r="AB626" s="67">
        <f t="shared" si="10"/>
        <v>176.436</v>
      </c>
      <c r="AC626" s="67">
        <f t="shared" si="11"/>
        <v>143.65</v>
      </c>
      <c r="AD626" s="67">
        <f t="shared" si="12"/>
        <v>22.984</v>
      </c>
      <c r="AE626" s="67">
        <f t="shared" si="13"/>
        <v>166.634</v>
      </c>
      <c r="AF626" s="67">
        <f t="shared" si="14"/>
        <v>140.27</v>
      </c>
      <c r="AG626" s="67">
        <f t="shared" si="15"/>
        <v>22.4432</v>
      </c>
      <c r="AH626" s="67">
        <f t="shared" si="16"/>
        <v>162.7132</v>
      </c>
      <c r="AI626" s="67">
        <f t="shared" si="17"/>
        <v>135.2</v>
      </c>
      <c r="AJ626" s="68">
        <f t="shared" si="25"/>
        <v>21.632</v>
      </c>
      <c r="AK626" s="68">
        <f t="shared" si="26"/>
        <v>156.832</v>
      </c>
      <c r="AL626" s="70">
        <f>IFERROR(__xludf.DUMMYFUNCTION("""COMPUTED_VALUE"""),1.0)</f>
        <v>1</v>
      </c>
      <c r="AM626" s="70"/>
      <c r="AN626" s="71" t="str">
        <f>IFERROR(__xludf.DUMMYFUNCTION("""COMPUTED_VALUE""")," P")</f>
        <v>P</v>
      </c>
      <c r="AO626" s="71" t="str">
        <f>IFERROR(__xludf.DUMMYFUNCTION("""COMPUTED_VALUE""")," FL20")</f>
        <v>FL20</v>
      </c>
      <c r="AP626" s="71" t="str">
        <f>IFERROR(__xludf.DUMMYFUNCTION("""COMPUTED_VALUE""")," PZA")</f>
        <v>PZA</v>
      </c>
      <c r="AQ626" s="71" t="str">
        <f>IFERROR(__xludf.DUMMYFUNCTION("""COMPUTED_VALUE""")," REF")</f>
        <v>REF</v>
      </c>
      <c r="AR626" s="71" t="str">
        <f>IFERROR(__xludf.DUMMYFUNCTION("""COMPUTED_VALUE""")," FLECHA PARA TRANSPORTADOR AMASADORA DE 25 KG. (1""X73CM.)")</f>
        <v>FLECHA PARA TRANSPORTADOR AMASADORA DE 25 KG. (1"X73CM.)</v>
      </c>
      <c r="AS626" s="71" t="str">
        <f>IFERROR(__xludf.DUMMYFUNCTION("""COMPUTED_VALUE""")," FLECHA P/TRANSPORT AMASADORA 25KG 1X73CM")</f>
        <v>FLECHA P/TRANSPORT AMASADORA 25KG 1X73CM</v>
      </c>
      <c r="AT626" s="71">
        <f>IFERROR(__xludf.DUMMYFUNCTION("""COMPUTED_VALUE"""),40.0)</f>
        <v>40</v>
      </c>
      <c r="AU626" s="71"/>
      <c r="AV626" s="71"/>
      <c r="AW626" s="71"/>
      <c r="AX626" s="71"/>
      <c r="AY626" s="71">
        <f>IFERROR(__xludf.DUMMYFUNCTION("""COMPUTED_VALUE"""),298.0)</f>
        <v>298</v>
      </c>
      <c r="AZ626" s="71">
        <f>IFERROR(__xludf.DUMMYFUNCTION("""COMPUTED_VALUE"""),321.0)</f>
        <v>321</v>
      </c>
      <c r="BA626" s="71">
        <f>IFERROR(__xludf.DUMMYFUNCTION("""COMPUTED_VALUE"""),346.68)</f>
        <v>346.68</v>
      </c>
      <c r="BB626" s="71">
        <f>IFERROR(__xludf.DUMMYFUNCTION("""COMPUTED_VALUE"""),346.68)</f>
        <v>346.68</v>
      </c>
      <c r="BC626" s="71">
        <f>IFERROR(__xludf.DUMMYFUNCTION("""COMPUTED_VALUE"""),387.0)</f>
        <v>387</v>
      </c>
      <c r="BD626" s="71">
        <f>IFERROR(__xludf.DUMMYFUNCTION("""COMPUTED_VALUE"""),406.0)</f>
        <v>406</v>
      </c>
      <c r="BE626" s="71">
        <f>IFERROR(__xludf.DUMMYFUNCTION("""COMPUTED_VALUE"""),64.96000000000001)</f>
        <v>64.96</v>
      </c>
      <c r="BF626" s="71">
        <f>IFERROR(__xludf.DUMMYFUNCTION("""COMPUTED_VALUE"""),470.96000000000004)</f>
        <v>470.96</v>
      </c>
      <c r="BG626" s="71">
        <f>IFERROR(__xludf.DUMMYFUNCTION("""COMPUTED_VALUE"""),0.04909560723514212)</f>
        <v>0.04909560724</v>
      </c>
      <c r="BH626" s="71">
        <f>IFERROR(__xludf.DUMMYFUNCTION("""COMPUTED_VALUE"""),385.7)</f>
        <v>385.7</v>
      </c>
      <c r="BI626" s="71">
        <f>IFERROR(__xludf.DUMMYFUNCTION("""COMPUTED_VALUE"""),61.711999999999996)</f>
        <v>61.712</v>
      </c>
      <c r="BJ626" s="71">
        <f>IFERROR(__xludf.DUMMYFUNCTION("""COMPUTED_VALUE"""),447.412)</f>
        <v>447.412</v>
      </c>
      <c r="BK626" s="71">
        <f>IFERROR(__xludf.DUMMYFUNCTION("""COMPUTED_VALUE"""),365.40000000000003)</f>
        <v>365.4</v>
      </c>
      <c r="BL626" s="71">
        <f>IFERROR(__xludf.DUMMYFUNCTION("""COMPUTED_VALUE"""),58.464000000000006)</f>
        <v>58.464</v>
      </c>
      <c r="BM626" s="71">
        <f>IFERROR(__xludf.DUMMYFUNCTION("""COMPUTED_VALUE"""),423.86400000000003)</f>
        <v>423.864</v>
      </c>
      <c r="BN626" s="71">
        <f>IFERROR(__xludf.DUMMYFUNCTION("""COMPUTED_VALUE"""),345.09999999999997)</f>
        <v>345.1</v>
      </c>
      <c r="BO626" s="71">
        <f>IFERROR(__xludf.DUMMYFUNCTION("""COMPUTED_VALUE"""),55.215999999999994)</f>
        <v>55.216</v>
      </c>
      <c r="BP626" s="71">
        <f>IFERROR(__xludf.DUMMYFUNCTION("""COMPUTED_VALUE"""),400.316)</f>
        <v>400.316</v>
      </c>
      <c r="BQ626" s="71">
        <f>IFERROR(__xludf.DUMMYFUNCTION("""COMPUTED_VALUE"""),336.97999999999996)</f>
        <v>336.98</v>
      </c>
      <c r="BR626" s="71">
        <f>IFERROR(__xludf.DUMMYFUNCTION("""COMPUTED_VALUE"""),53.916799999999995)</f>
        <v>53.9168</v>
      </c>
      <c r="BS626" s="71">
        <f>IFERROR(__xludf.DUMMYFUNCTION("""COMPUTED_VALUE"""),390.8968)</f>
        <v>390.8968</v>
      </c>
      <c r="BT626" s="71">
        <f>IFERROR(__xludf.DUMMYFUNCTION("""COMPUTED_VALUE"""),324.8)</f>
        <v>324.8</v>
      </c>
      <c r="BU626" s="71">
        <f>IFERROR(__xludf.DUMMYFUNCTION("""COMPUTED_VALUE"""),51.968)</f>
        <v>51.968</v>
      </c>
      <c r="BV626" s="71">
        <f>IFERROR(__xludf.DUMMYFUNCTION("""COMPUTED_VALUE"""),376.76800000000003)</f>
        <v>376.768</v>
      </c>
    </row>
    <row r="627">
      <c r="A627" s="53">
        <v>1.0</v>
      </c>
      <c r="B627" s="72"/>
      <c r="C627" s="120" t="s">
        <v>603</v>
      </c>
      <c r="D627" s="74" t="s">
        <v>1514</v>
      </c>
      <c r="E627" s="54" t="s">
        <v>38</v>
      </c>
      <c r="F627" s="54" t="s">
        <v>42</v>
      </c>
      <c r="G627" s="141" t="s">
        <v>1515</v>
      </c>
      <c r="H627" s="141" t="s">
        <v>1515</v>
      </c>
      <c r="I627" s="54">
        <f t="shared" si="24"/>
        <v>23</v>
      </c>
      <c r="J627" s="56"/>
      <c r="K627" s="75"/>
      <c r="L627" s="76"/>
      <c r="M627" s="59"/>
      <c r="N627" s="60">
        <v>213.0</v>
      </c>
      <c r="O627" s="61">
        <v>230.0</v>
      </c>
      <c r="P627" s="62">
        <v>125.0</v>
      </c>
      <c r="Q627" s="63">
        <v>125.0</v>
      </c>
      <c r="R627" s="64">
        <v>161.0</v>
      </c>
      <c r="S627" s="111">
        <v>169.0</v>
      </c>
      <c r="T627" s="65">
        <f t="shared" si="2"/>
        <v>27.04</v>
      </c>
      <c r="U627" s="65">
        <f t="shared" si="3"/>
        <v>196.04</v>
      </c>
      <c r="V627" s="66">
        <f t="shared" si="4"/>
        <v>0.04968944099</v>
      </c>
      <c r="W627" s="67">
        <f t="shared" si="5"/>
        <v>160.55</v>
      </c>
      <c r="X627" s="67">
        <f t="shared" si="6"/>
        <v>25.688</v>
      </c>
      <c r="Y627" s="67">
        <f t="shared" si="7"/>
        <v>186.238</v>
      </c>
      <c r="Z627" s="67">
        <f t="shared" si="8"/>
        <v>152.1</v>
      </c>
      <c r="AA627" s="67">
        <f t="shared" si="9"/>
        <v>24.336</v>
      </c>
      <c r="AB627" s="67">
        <f t="shared" si="10"/>
        <v>176.436</v>
      </c>
      <c r="AC627" s="67">
        <f t="shared" si="11"/>
        <v>143.65</v>
      </c>
      <c r="AD627" s="67">
        <f t="shared" si="12"/>
        <v>22.984</v>
      </c>
      <c r="AE627" s="67">
        <f t="shared" si="13"/>
        <v>166.634</v>
      </c>
      <c r="AF627" s="67">
        <f t="shared" si="14"/>
        <v>140.27</v>
      </c>
      <c r="AG627" s="67">
        <f t="shared" si="15"/>
        <v>22.4432</v>
      </c>
      <c r="AH627" s="67">
        <f t="shared" si="16"/>
        <v>162.7132</v>
      </c>
      <c r="AI627" s="67">
        <f t="shared" si="17"/>
        <v>135.2</v>
      </c>
      <c r="AJ627" s="68">
        <f t="shared" si="25"/>
        <v>21.632</v>
      </c>
      <c r="AK627" s="68">
        <f t="shared" si="26"/>
        <v>156.832</v>
      </c>
      <c r="AL627" s="70">
        <f>IFERROR(__xludf.DUMMYFUNCTION("""COMPUTED_VALUE"""),1.0)</f>
        <v>1</v>
      </c>
      <c r="AM627" s="70"/>
      <c r="AN627" s="71" t="str">
        <f>IFERROR(__xludf.DUMMYFUNCTION("""COMPUTED_VALUE""")," P")</f>
        <v>P</v>
      </c>
      <c r="AO627" s="71" t="str">
        <f>IFERROR(__xludf.DUMMYFUNCTION("""COMPUTED_VALUE""")," FL21")</f>
        <v>FL21</v>
      </c>
      <c r="AP627" s="71" t="str">
        <f>IFERROR(__xludf.DUMMYFUNCTION("""COMPUTED_VALUE""")," PZA")</f>
        <v>PZA</v>
      </c>
      <c r="AQ627" s="71" t="str">
        <f>IFERROR(__xludf.DUMMYFUNCTION("""COMPUTED_VALUE""")," REF")</f>
        <v>REF</v>
      </c>
      <c r="AR627" s="71" t="str">
        <f>IFERROR(__xludf.DUMMYFUNCTION("""COMPUTED_VALUE""")," FLECHA PARA TRANSPORTADOR AMASADORA DE 50 KG. (1""X95CM.) 2 CUÑEROS")</f>
        <v>FLECHA PARA TRANSPORTADOR AMASADORA DE 50 KG. (1"X95CM.) 2 CUÑEROS</v>
      </c>
      <c r="AS627" s="71" t="str">
        <f>IFERROR(__xludf.DUMMYFUNCTION("""COMPUTED_VALUE""")," FLECHA P/TRANSP AMASAD 50KG 1X95CM 2CUN")</f>
        <v>FLECHA P/TRANSP AMASAD 50KG 1X95CM 2CUN</v>
      </c>
      <c r="AT627" s="71">
        <f>IFERROR(__xludf.DUMMYFUNCTION("""COMPUTED_VALUE"""),39.0)</f>
        <v>39</v>
      </c>
      <c r="AU627" s="71"/>
      <c r="AV627" s="71"/>
      <c r="AW627" s="71"/>
      <c r="AX627" s="71"/>
      <c r="AY627" s="71">
        <f>IFERROR(__xludf.DUMMYFUNCTION("""COMPUTED_VALUE"""),321.0)</f>
        <v>321</v>
      </c>
      <c r="AZ627" s="71">
        <f>IFERROR(__xludf.DUMMYFUNCTION("""COMPUTED_VALUE"""),346.0)</f>
        <v>346</v>
      </c>
      <c r="BA627" s="71">
        <f>IFERROR(__xludf.DUMMYFUNCTION("""COMPUTED_VALUE"""),373.68)</f>
        <v>373.68</v>
      </c>
      <c r="BB627" s="71">
        <f>IFERROR(__xludf.DUMMYFUNCTION("""COMPUTED_VALUE"""),373.68)</f>
        <v>373.68</v>
      </c>
      <c r="BC627" s="71">
        <f>IFERROR(__xludf.DUMMYFUNCTION("""COMPUTED_VALUE"""),417.0)</f>
        <v>417</v>
      </c>
      <c r="BD627" s="71">
        <f>IFERROR(__xludf.DUMMYFUNCTION("""COMPUTED_VALUE"""),438.0)</f>
        <v>438</v>
      </c>
      <c r="BE627" s="71">
        <f>IFERROR(__xludf.DUMMYFUNCTION("""COMPUTED_VALUE"""),70.08)</f>
        <v>70.08</v>
      </c>
      <c r="BF627" s="71">
        <f>IFERROR(__xludf.DUMMYFUNCTION("""COMPUTED_VALUE"""),508.08)</f>
        <v>508.08</v>
      </c>
      <c r="BG627" s="71">
        <f>IFERROR(__xludf.DUMMYFUNCTION("""COMPUTED_VALUE"""),0.050359712230215826)</f>
        <v>0.05035971223</v>
      </c>
      <c r="BH627" s="71">
        <f>IFERROR(__xludf.DUMMYFUNCTION("""COMPUTED_VALUE"""),416.09999999999997)</f>
        <v>416.1</v>
      </c>
      <c r="BI627" s="71">
        <f>IFERROR(__xludf.DUMMYFUNCTION("""COMPUTED_VALUE"""),66.576)</f>
        <v>66.576</v>
      </c>
      <c r="BJ627" s="71">
        <f>IFERROR(__xludf.DUMMYFUNCTION("""COMPUTED_VALUE"""),482.67599999999993)</f>
        <v>482.676</v>
      </c>
      <c r="BK627" s="71">
        <f>IFERROR(__xludf.DUMMYFUNCTION("""COMPUTED_VALUE"""),394.2)</f>
        <v>394.2</v>
      </c>
      <c r="BL627" s="71">
        <f>IFERROR(__xludf.DUMMYFUNCTION("""COMPUTED_VALUE"""),63.072)</f>
        <v>63.072</v>
      </c>
      <c r="BM627" s="71">
        <f>IFERROR(__xludf.DUMMYFUNCTION("""COMPUTED_VALUE"""),457.272)</f>
        <v>457.272</v>
      </c>
      <c r="BN627" s="71">
        <f>IFERROR(__xludf.DUMMYFUNCTION("""COMPUTED_VALUE"""),372.3)</f>
        <v>372.3</v>
      </c>
      <c r="BO627" s="71">
        <f>IFERROR(__xludf.DUMMYFUNCTION("""COMPUTED_VALUE"""),59.568000000000005)</f>
        <v>59.568</v>
      </c>
      <c r="BP627" s="71">
        <f>IFERROR(__xludf.DUMMYFUNCTION("""COMPUTED_VALUE"""),431.868)</f>
        <v>431.868</v>
      </c>
      <c r="BQ627" s="71">
        <f>IFERROR(__xludf.DUMMYFUNCTION("""COMPUTED_VALUE"""),363.53999999999996)</f>
        <v>363.54</v>
      </c>
      <c r="BR627" s="71">
        <f>IFERROR(__xludf.DUMMYFUNCTION("""COMPUTED_VALUE"""),58.166399999999996)</f>
        <v>58.1664</v>
      </c>
      <c r="BS627" s="71">
        <f>IFERROR(__xludf.DUMMYFUNCTION("""COMPUTED_VALUE"""),421.7064)</f>
        <v>421.7064</v>
      </c>
      <c r="BT627" s="71">
        <f>IFERROR(__xludf.DUMMYFUNCTION("""COMPUTED_VALUE"""),350.40000000000003)</f>
        <v>350.4</v>
      </c>
      <c r="BU627" s="71">
        <f>IFERROR(__xludf.DUMMYFUNCTION("""COMPUTED_VALUE"""),56.06400000000001)</f>
        <v>56.064</v>
      </c>
      <c r="BV627" s="71">
        <f>IFERROR(__xludf.DUMMYFUNCTION("""COMPUTED_VALUE"""),406.46400000000006)</f>
        <v>406.464</v>
      </c>
    </row>
    <row r="628">
      <c r="A628" s="53">
        <v>1.0</v>
      </c>
      <c r="B628" s="72"/>
      <c r="C628" s="120" t="s">
        <v>603</v>
      </c>
      <c r="D628" s="74" t="s">
        <v>1516</v>
      </c>
      <c r="E628" s="54" t="s">
        <v>38</v>
      </c>
      <c r="F628" s="54" t="s">
        <v>42</v>
      </c>
      <c r="G628" s="141" t="s">
        <v>1517</v>
      </c>
      <c r="H628" s="141" t="s">
        <v>1517</v>
      </c>
      <c r="I628" s="54">
        <f t="shared" si="24"/>
        <v>35</v>
      </c>
      <c r="J628" s="56"/>
      <c r="K628" s="75"/>
      <c r="L628" s="76"/>
      <c r="M628" s="59"/>
      <c r="N628" s="60">
        <v>286.0</v>
      </c>
      <c r="O628" s="61">
        <v>308.0</v>
      </c>
      <c r="P628" s="62">
        <v>225.0</v>
      </c>
      <c r="Q628" s="63">
        <v>225.0</v>
      </c>
      <c r="R628" s="64">
        <v>382.0</v>
      </c>
      <c r="S628" s="111">
        <v>401.0</v>
      </c>
      <c r="T628" s="65">
        <f t="shared" si="2"/>
        <v>64.16</v>
      </c>
      <c r="U628" s="65">
        <f t="shared" si="3"/>
        <v>465.16</v>
      </c>
      <c r="V628" s="66">
        <f t="shared" si="4"/>
        <v>0.0497382199</v>
      </c>
      <c r="W628" s="67">
        <f t="shared" si="5"/>
        <v>380.95</v>
      </c>
      <c r="X628" s="67">
        <f t="shared" si="6"/>
        <v>60.952</v>
      </c>
      <c r="Y628" s="67">
        <f t="shared" si="7"/>
        <v>441.902</v>
      </c>
      <c r="Z628" s="67">
        <f t="shared" si="8"/>
        <v>360.9</v>
      </c>
      <c r="AA628" s="67">
        <f t="shared" si="9"/>
        <v>57.744</v>
      </c>
      <c r="AB628" s="67">
        <f t="shared" si="10"/>
        <v>418.644</v>
      </c>
      <c r="AC628" s="67">
        <f t="shared" si="11"/>
        <v>340.85</v>
      </c>
      <c r="AD628" s="67">
        <f t="shared" si="12"/>
        <v>54.536</v>
      </c>
      <c r="AE628" s="67">
        <f t="shared" si="13"/>
        <v>395.386</v>
      </c>
      <c r="AF628" s="67">
        <f t="shared" si="14"/>
        <v>332.83</v>
      </c>
      <c r="AG628" s="67">
        <f t="shared" si="15"/>
        <v>53.2528</v>
      </c>
      <c r="AH628" s="67">
        <f t="shared" si="16"/>
        <v>386.0828</v>
      </c>
      <c r="AI628" s="67">
        <f t="shared" si="17"/>
        <v>320.8</v>
      </c>
      <c r="AJ628" s="68">
        <f t="shared" si="25"/>
        <v>51.328</v>
      </c>
      <c r="AK628" s="68">
        <f t="shared" si="26"/>
        <v>372.128</v>
      </c>
      <c r="AL628" s="70">
        <f>IFERROR(__xludf.DUMMYFUNCTION("""COMPUTED_VALUE"""),1.0)</f>
        <v>1</v>
      </c>
      <c r="AM628" s="70"/>
      <c r="AN628" s="71" t="str">
        <f>IFERROR(__xludf.DUMMYFUNCTION("""COMPUTED_VALUE""")," P")</f>
        <v>P</v>
      </c>
      <c r="AO628" s="71" t="str">
        <f>IFERROR(__xludf.DUMMYFUNCTION("""COMPUTED_VALUE""")," FL93")</f>
        <v>FL93</v>
      </c>
      <c r="AP628" s="71" t="str">
        <f>IFERROR(__xludf.DUMMYFUNCTION("""COMPUTED_VALUE""")," PZA")</f>
        <v>PZA</v>
      </c>
      <c r="AQ628" s="71" t="str">
        <f>IFERROR(__xludf.DUMMYFUNCTION("""COMPUTED_VALUE""")," REF")</f>
        <v>REF</v>
      </c>
      <c r="AR628" s="71" t="str">
        <f>IFERROR(__xludf.DUMMYFUNCTION("""COMPUTED_VALUE""")," FLECHA PARA TRANSPORTADOR AMASADORA DE 50 KG. (1""X95CM.) 2 CUÑEROS GRADO ALIMENTICIO")</f>
        <v>FLECHA PARA TRANSPORTADOR AMASADORA DE 50 KG. (1"X95CM.) 2 CUÑEROS GRADO ALIMENTICIO</v>
      </c>
      <c r="AS628" s="71" t="str">
        <f>IFERROR(__xludf.DUMMYFUNCTION("""COMPUTED_VALUE""")," FLECHA P/TRANSPO AMASAD 50KG 1X95CM 2CUN")</f>
        <v>FLECHA P/TRANSPO AMASAD 50KG 1X95CM 2CUN</v>
      </c>
      <c r="AT628" s="71">
        <f>IFERROR(__xludf.DUMMYFUNCTION("""COMPUTED_VALUE"""),40.0)</f>
        <v>40</v>
      </c>
      <c r="AU628" s="71"/>
      <c r="AV628" s="71"/>
      <c r="AW628" s="71"/>
      <c r="AX628" s="71"/>
      <c r="AY628" s="71">
        <f>IFERROR(__xludf.DUMMYFUNCTION("""COMPUTED_VALUE"""),1635.0)</f>
        <v>1635</v>
      </c>
      <c r="AZ628" s="71">
        <f>IFERROR(__xludf.DUMMYFUNCTION("""COMPUTED_VALUE"""),1765.0)</f>
        <v>1765</v>
      </c>
      <c r="BA628" s="71">
        <f>IFERROR(__xludf.DUMMYFUNCTION("""COMPUTED_VALUE"""),1906.2)</f>
        <v>1906.2</v>
      </c>
      <c r="BB628" s="71">
        <f>IFERROR(__xludf.DUMMYFUNCTION("""COMPUTED_VALUE"""),1906.2)</f>
        <v>1906.2</v>
      </c>
      <c r="BC628" s="71">
        <f>IFERROR(__xludf.DUMMYFUNCTION("""COMPUTED_VALUE"""),2002.0)</f>
        <v>2002</v>
      </c>
      <c r="BD628" s="71">
        <f>IFERROR(__xludf.DUMMYFUNCTION("""COMPUTED_VALUE"""),2102.0)</f>
        <v>2102</v>
      </c>
      <c r="BE628" s="71">
        <f>IFERROR(__xludf.DUMMYFUNCTION("""COMPUTED_VALUE"""),336.32)</f>
        <v>336.32</v>
      </c>
      <c r="BF628" s="71">
        <f>IFERROR(__xludf.DUMMYFUNCTION("""COMPUTED_VALUE"""),2438.32)</f>
        <v>2438.32</v>
      </c>
      <c r="BG628" s="71">
        <f>IFERROR(__xludf.DUMMYFUNCTION("""COMPUTED_VALUE"""),0.04995004995004995)</f>
        <v>0.04995004995</v>
      </c>
      <c r="BH628" s="71">
        <f>IFERROR(__xludf.DUMMYFUNCTION("""COMPUTED_VALUE"""),1996.8999999999999)</f>
        <v>1996.9</v>
      </c>
      <c r="BI628" s="71">
        <f>IFERROR(__xludf.DUMMYFUNCTION("""COMPUTED_VALUE"""),319.50399999999996)</f>
        <v>319.504</v>
      </c>
      <c r="BJ628" s="71">
        <f>IFERROR(__xludf.DUMMYFUNCTION("""COMPUTED_VALUE"""),2316.404)</f>
        <v>2316.404</v>
      </c>
      <c r="BK628" s="71">
        <f>IFERROR(__xludf.DUMMYFUNCTION("""COMPUTED_VALUE"""),1891.8)</f>
        <v>1891.8</v>
      </c>
      <c r="BL628" s="71">
        <f>IFERROR(__xludf.DUMMYFUNCTION("""COMPUTED_VALUE"""),302.688)</f>
        <v>302.688</v>
      </c>
      <c r="BM628" s="71">
        <f>IFERROR(__xludf.DUMMYFUNCTION("""COMPUTED_VALUE"""),2194.488)</f>
        <v>2194.488</v>
      </c>
      <c r="BN628" s="71">
        <f>IFERROR(__xludf.DUMMYFUNCTION("""COMPUTED_VALUE"""),1786.7)</f>
        <v>1786.7</v>
      </c>
      <c r="BO628" s="71">
        <f>IFERROR(__xludf.DUMMYFUNCTION("""COMPUTED_VALUE"""),285.872)</f>
        <v>285.872</v>
      </c>
      <c r="BP628" s="71">
        <f>IFERROR(__xludf.DUMMYFUNCTION("""COMPUTED_VALUE"""),2072.572)</f>
        <v>2072.572</v>
      </c>
      <c r="BQ628" s="71">
        <f>IFERROR(__xludf.DUMMYFUNCTION("""COMPUTED_VALUE"""),1744.6599999999999)</f>
        <v>1744.66</v>
      </c>
      <c r="BR628" s="71">
        <f>IFERROR(__xludf.DUMMYFUNCTION("""COMPUTED_VALUE"""),279.1456)</f>
        <v>279.1456</v>
      </c>
      <c r="BS628" s="71">
        <f>IFERROR(__xludf.DUMMYFUNCTION("""COMPUTED_VALUE"""),2023.8056)</f>
        <v>2023.8056</v>
      </c>
      <c r="BT628" s="71">
        <f>IFERROR(__xludf.DUMMYFUNCTION("""COMPUTED_VALUE"""),1681.6000000000001)</f>
        <v>1681.6</v>
      </c>
      <c r="BU628" s="71">
        <f>IFERROR(__xludf.DUMMYFUNCTION("""COMPUTED_VALUE"""),269.05600000000004)</f>
        <v>269.056</v>
      </c>
      <c r="BV628" s="71">
        <f>IFERROR(__xludf.DUMMYFUNCTION("""COMPUTED_VALUE"""),1950.6560000000002)</f>
        <v>1950.656</v>
      </c>
    </row>
    <row r="629">
      <c r="A629" s="53">
        <v>1.0</v>
      </c>
      <c r="B629" s="72"/>
      <c r="C629" s="120" t="s">
        <v>603</v>
      </c>
      <c r="D629" s="74" t="s">
        <v>1518</v>
      </c>
      <c r="E629" s="54" t="s">
        <v>38</v>
      </c>
      <c r="F629" s="54" t="s">
        <v>42</v>
      </c>
      <c r="G629" s="141" t="s">
        <v>1519</v>
      </c>
      <c r="H629" s="141" t="s">
        <v>1519</v>
      </c>
      <c r="I629" s="54">
        <f t="shared" si="24"/>
        <v>31</v>
      </c>
      <c r="J629" s="56"/>
      <c r="K629" s="75"/>
      <c r="L629" s="76"/>
      <c r="M629" s="59"/>
      <c r="N629" s="60">
        <v>286.0</v>
      </c>
      <c r="O629" s="61">
        <v>308.0</v>
      </c>
      <c r="P629" s="62">
        <v>225.0</v>
      </c>
      <c r="Q629" s="63">
        <v>225.0</v>
      </c>
      <c r="R629" s="64">
        <v>382.0</v>
      </c>
      <c r="S629" s="111">
        <v>401.0</v>
      </c>
      <c r="T629" s="65">
        <f t="shared" si="2"/>
        <v>64.16</v>
      </c>
      <c r="U629" s="65">
        <f t="shared" si="3"/>
        <v>465.16</v>
      </c>
      <c r="V629" s="66">
        <f t="shared" si="4"/>
        <v>0.0497382199</v>
      </c>
      <c r="W629" s="67">
        <f t="shared" si="5"/>
        <v>380.95</v>
      </c>
      <c r="X629" s="67">
        <f t="shared" si="6"/>
        <v>60.952</v>
      </c>
      <c r="Y629" s="67">
        <f t="shared" si="7"/>
        <v>441.902</v>
      </c>
      <c r="Z629" s="67">
        <f t="shared" si="8"/>
        <v>360.9</v>
      </c>
      <c r="AA629" s="67">
        <f t="shared" si="9"/>
        <v>57.744</v>
      </c>
      <c r="AB629" s="67">
        <f t="shared" si="10"/>
        <v>418.644</v>
      </c>
      <c r="AC629" s="67">
        <f t="shared" si="11"/>
        <v>340.85</v>
      </c>
      <c r="AD629" s="67">
        <f t="shared" si="12"/>
        <v>54.536</v>
      </c>
      <c r="AE629" s="67">
        <f t="shared" si="13"/>
        <v>395.386</v>
      </c>
      <c r="AF629" s="67">
        <f t="shared" si="14"/>
        <v>332.83</v>
      </c>
      <c r="AG629" s="67">
        <f t="shared" si="15"/>
        <v>53.2528</v>
      </c>
      <c r="AH629" s="67">
        <f t="shared" si="16"/>
        <v>386.0828</v>
      </c>
      <c r="AI629" s="67">
        <f t="shared" si="17"/>
        <v>320.8</v>
      </c>
      <c r="AJ629" s="68">
        <f t="shared" si="25"/>
        <v>51.328</v>
      </c>
      <c r="AK629" s="68">
        <f t="shared" si="26"/>
        <v>372.128</v>
      </c>
      <c r="AL629" s="70">
        <f>IFERROR(__xludf.DUMMYFUNCTION("""COMPUTED_VALUE"""),1.0)</f>
        <v>1</v>
      </c>
      <c r="AM629" s="70"/>
      <c r="AN629" s="71" t="str">
        <f>IFERROR(__xludf.DUMMYFUNCTION("""COMPUTED_VALUE""")," P")</f>
        <v>P</v>
      </c>
      <c r="AO629" s="71" t="str">
        <f>IFERROR(__xludf.DUMMYFUNCTION("""COMPUTED_VALUE""")," FL23")</f>
        <v>FL23</v>
      </c>
      <c r="AP629" s="71" t="str">
        <f>IFERROR(__xludf.DUMMYFUNCTION("""COMPUTED_VALUE""")," PZA")</f>
        <v>PZA</v>
      </c>
      <c r="AQ629" s="71" t="str">
        <f>IFERROR(__xludf.DUMMYFUNCTION("""COMPUTED_VALUE""")," REF")</f>
        <v>REF</v>
      </c>
      <c r="AR629" s="71" t="str">
        <f>IFERROR(__xludf.DUMMYFUNCTION("""COMPUTED_VALUE""")," FLECHA PRINCIPAL DÚPLEX (B.C.) Y MODELO ANTERIOR EN ACERO TRATADO")</f>
        <v>FLECHA PRINCIPAL DÚPLEX (B.C.) Y MODELO ANTERIOR EN ACERO TRATADO</v>
      </c>
      <c r="AS629" s="71" t="str">
        <f>IFERROR(__xludf.DUMMYFUNCTION("""COMPUTED_VALUE""")," FLECHA PRINCIPAL DPLX TV/BC/MA ACERO T")</f>
        <v>FLECHA PRINCIPAL DPLX TV/BC/MA ACERO T</v>
      </c>
      <c r="AT629" s="71">
        <f>IFERROR(__xludf.DUMMYFUNCTION("""COMPUTED_VALUE"""),38.0)</f>
        <v>38</v>
      </c>
      <c r="AU629" s="71"/>
      <c r="AV629" s="71"/>
      <c r="AW629" s="71"/>
      <c r="AX629" s="71"/>
      <c r="AY629" s="71">
        <f>IFERROR(__xludf.DUMMYFUNCTION("""COMPUTED_VALUE"""),561.0)</f>
        <v>561</v>
      </c>
      <c r="AZ629" s="71">
        <f>IFERROR(__xludf.DUMMYFUNCTION("""COMPUTED_VALUE"""),605.0)</f>
        <v>605</v>
      </c>
      <c r="BA629" s="71">
        <f>IFERROR(__xludf.DUMMYFUNCTION("""COMPUTED_VALUE"""),653.4000000000001)</f>
        <v>653.4</v>
      </c>
      <c r="BB629" s="71">
        <f>IFERROR(__xludf.DUMMYFUNCTION("""COMPUTED_VALUE"""),653.4000000000001)</f>
        <v>653.4</v>
      </c>
      <c r="BC629" s="71">
        <f>IFERROR(__xludf.DUMMYFUNCTION("""COMPUTED_VALUE"""),728.0)</f>
        <v>728</v>
      </c>
      <c r="BD629" s="71">
        <f>IFERROR(__xludf.DUMMYFUNCTION("""COMPUTED_VALUE"""),764.0)</f>
        <v>764</v>
      </c>
      <c r="BE629" s="71">
        <f>IFERROR(__xludf.DUMMYFUNCTION("""COMPUTED_VALUE"""),122.24000000000001)</f>
        <v>122.24</v>
      </c>
      <c r="BF629" s="71">
        <f>IFERROR(__xludf.DUMMYFUNCTION("""COMPUTED_VALUE"""),886.24)</f>
        <v>886.24</v>
      </c>
      <c r="BG629" s="71">
        <f>IFERROR(__xludf.DUMMYFUNCTION("""COMPUTED_VALUE"""),0.04945054945054945)</f>
        <v>0.04945054945</v>
      </c>
      <c r="BH629" s="71">
        <f>IFERROR(__xludf.DUMMYFUNCTION("""COMPUTED_VALUE"""),725.8)</f>
        <v>725.8</v>
      </c>
      <c r="BI629" s="71">
        <f>IFERROR(__xludf.DUMMYFUNCTION("""COMPUTED_VALUE"""),116.128)</f>
        <v>116.128</v>
      </c>
      <c r="BJ629" s="71">
        <f>IFERROR(__xludf.DUMMYFUNCTION("""COMPUTED_VALUE"""),841.928)</f>
        <v>841.928</v>
      </c>
      <c r="BK629" s="71">
        <f>IFERROR(__xludf.DUMMYFUNCTION("""COMPUTED_VALUE"""),687.6)</f>
        <v>687.6</v>
      </c>
      <c r="BL629" s="71">
        <f>IFERROR(__xludf.DUMMYFUNCTION("""COMPUTED_VALUE"""),110.016)</f>
        <v>110.016</v>
      </c>
      <c r="BM629" s="71">
        <f>IFERROR(__xludf.DUMMYFUNCTION("""COMPUTED_VALUE"""),797.616)</f>
        <v>797.616</v>
      </c>
      <c r="BN629" s="71">
        <f>IFERROR(__xludf.DUMMYFUNCTION("""COMPUTED_VALUE"""),649.4)</f>
        <v>649.4</v>
      </c>
      <c r="BO629" s="71">
        <f>IFERROR(__xludf.DUMMYFUNCTION("""COMPUTED_VALUE"""),103.904)</f>
        <v>103.904</v>
      </c>
      <c r="BP629" s="71">
        <f>IFERROR(__xludf.DUMMYFUNCTION("""COMPUTED_VALUE"""),753.304)</f>
        <v>753.304</v>
      </c>
      <c r="BQ629" s="71">
        <f>IFERROR(__xludf.DUMMYFUNCTION("""COMPUTED_VALUE"""),634.12)</f>
        <v>634.12</v>
      </c>
      <c r="BR629" s="71">
        <f>IFERROR(__xludf.DUMMYFUNCTION("""COMPUTED_VALUE"""),101.45920000000001)</f>
        <v>101.4592</v>
      </c>
      <c r="BS629" s="71">
        <f>IFERROR(__xludf.DUMMYFUNCTION("""COMPUTED_VALUE"""),735.5792)</f>
        <v>735.5792</v>
      </c>
      <c r="BT629" s="71">
        <f>IFERROR(__xludf.DUMMYFUNCTION("""COMPUTED_VALUE"""),611.2)</f>
        <v>611.2</v>
      </c>
      <c r="BU629" s="71">
        <f>IFERROR(__xludf.DUMMYFUNCTION("""COMPUTED_VALUE"""),97.79200000000002)</f>
        <v>97.792</v>
      </c>
      <c r="BV629" s="71">
        <f>IFERROR(__xludf.DUMMYFUNCTION("""COMPUTED_VALUE"""),708.9920000000001)</f>
        <v>708.992</v>
      </c>
    </row>
    <row r="630">
      <c r="A630" s="53">
        <v>1.0</v>
      </c>
      <c r="B630" s="72"/>
      <c r="C630" s="120" t="s">
        <v>603</v>
      </c>
      <c r="D630" s="74" t="s">
        <v>1520</v>
      </c>
      <c r="E630" s="54" t="s">
        <v>38</v>
      </c>
      <c r="F630" s="54" t="s">
        <v>42</v>
      </c>
      <c r="G630" s="141" t="s">
        <v>1521</v>
      </c>
      <c r="H630" s="141" t="s">
        <v>1521</v>
      </c>
      <c r="I630" s="54">
        <f t="shared" si="24"/>
        <v>29</v>
      </c>
      <c r="J630" s="56"/>
      <c r="K630" s="75"/>
      <c r="L630" s="76"/>
      <c r="M630" s="59"/>
      <c r="N630" s="60">
        <v>258.0</v>
      </c>
      <c r="O630" s="61">
        <v>278.0</v>
      </c>
      <c r="P630" s="62">
        <v>145.0</v>
      </c>
      <c r="Q630" s="63">
        <v>145.0</v>
      </c>
      <c r="R630" s="64">
        <v>172.0</v>
      </c>
      <c r="S630" s="111">
        <v>181.0</v>
      </c>
      <c r="T630" s="65">
        <f t="shared" si="2"/>
        <v>28.96</v>
      </c>
      <c r="U630" s="65">
        <f t="shared" si="3"/>
        <v>209.96</v>
      </c>
      <c r="V630" s="66">
        <f t="shared" si="4"/>
        <v>0.0523255814</v>
      </c>
      <c r="W630" s="67">
        <f t="shared" si="5"/>
        <v>171.95</v>
      </c>
      <c r="X630" s="67">
        <f t="shared" si="6"/>
        <v>27.512</v>
      </c>
      <c r="Y630" s="67">
        <f t="shared" si="7"/>
        <v>199.462</v>
      </c>
      <c r="Z630" s="67">
        <f t="shared" si="8"/>
        <v>162.9</v>
      </c>
      <c r="AA630" s="67">
        <f t="shared" si="9"/>
        <v>26.064</v>
      </c>
      <c r="AB630" s="67">
        <f t="shared" si="10"/>
        <v>188.964</v>
      </c>
      <c r="AC630" s="67">
        <f t="shared" si="11"/>
        <v>153.85</v>
      </c>
      <c r="AD630" s="67">
        <f t="shared" si="12"/>
        <v>24.616</v>
      </c>
      <c r="AE630" s="67">
        <f t="shared" si="13"/>
        <v>178.466</v>
      </c>
      <c r="AF630" s="67">
        <f t="shared" si="14"/>
        <v>150.23</v>
      </c>
      <c r="AG630" s="67">
        <f t="shared" si="15"/>
        <v>24.0368</v>
      </c>
      <c r="AH630" s="67">
        <f t="shared" si="16"/>
        <v>174.2668</v>
      </c>
      <c r="AI630" s="67">
        <f t="shared" si="17"/>
        <v>144.8</v>
      </c>
      <c r="AJ630" s="68">
        <f t="shared" si="25"/>
        <v>23.168</v>
      </c>
      <c r="AK630" s="68">
        <f t="shared" si="26"/>
        <v>167.968</v>
      </c>
      <c r="AL630" s="70">
        <f>IFERROR(__xludf.DUMMYFUNCTION("""COMPUTED_VALUE"""),1.0)</f>
        <v>1</v>
      </c>
      <c r="AM630" s="70"/>
      <c r="AN630" s="71" t="str">
        <f>IFERROR(__xludf.DUMMYFUNCTION("""COMPUTED_VALUE""")," P")</f>
        <v>P</v>
      </c>
      <c r="AO630" s="71" t="str">
        <f>IFERROR(__xludf.DUMMYFUNCTION("""COMPUTED_VALUE""")," FL30")</f>
        <v>FL30</v>
      </c>
      <c r="AP630" s="71" t="str">
        <f>IFERROR(__xludf.DUMMYFUNCTION("""COMPUTED_VALUE""")," PZA")</f>
        <v>PZA</v>
      </c>
      <c r="AQ630" s="71" t="str">
        <f>IFERROR(__xludf.DUMMYFUNCTION("""COMPUTED_VALUE""")," REF")</f>
        <v>REF</v>
      </c>
      <c r="AR630" s="71" t="str">
        <f>IFERROR(__xludf.DUMMYFUNCTION("""COMPUTED_VALUE""")," FLECHA PRINCIPAL PARA MOLINO TORTIMEX #1 EN ACERO INOX. 304")</f>
        <v>FLECHA PRINCIPAL PARA MOLINO TORTIMEX #1 EN ACERO INOX. 304</v>
      </c>
      <c r="AS630" s="71" t="str">
        <f>IFERROR(__xludf.DUMMYFUNCTION("""COMPUTED_VALUE""")," FLECHA PRINCIPAL P/MOL TORTIMEX1 INOX")</f>
        <v>FLECHA PRINCIPAL P/MOL TORTIMEX1 INOX</v>
      </c>
      <c r="AT630" s="71">
        <f>IFERROR(__xludf.DUMMYFUNCTION("""COMPUTED_VALUE"""),37.0)</f>
        <v>37</v>
      </c>
      <c r="AU630" s="71"/>
      <c r="AV630" s="71"/>
      <c r="AW630" s="71"/>
      <c r="AX630" s="71"/>
      <c r="AY630" s="71">
        <f>IFERROR(__xludf.DUMMYFUNCTION("""COMPUTED_VALUE"""),1676.0)</f>
        <v>1676</v>
      </c>
      <c r="AZ630" s="71">
        <f>IFERROR(__xludf.DUMMYFUNCTION("""COMPUTED_VALUE"""),1810.0)</f>
        <v>1810</v>
      </c>
      <c r="BA630" s="71">
        <f>IFERROR(__xludf.DUMMYFUNCTION("""COMPUTED_VALUE"""),1954.8000000000002)</f>
        <v>1954.8</v>
      </c>
      <c r="BB630" s="71">
        <f>IFERROR(__xludf.DUMMYFUNCTION("""COMPUTED_VALUE"""),1954.8000000000002)</f>
        <v>1954.8</v>
      </c>
      <c r="BC630" s="71">
        <f>IFERROR(__xludf.DUMMYFUNCTION("""COMPUTED_VALUE"""),2177.0)</f>
        <v>2177</v>
      </c>
      <c r="BD630" s="71">
        <f>IFERROR(__xludf.DUMMYFUNCTION("""COMPUTED_VALUE"""),2286.0)</f>
        <v>2286</v>
      </c>
      <c r="BE630" s="71">
        <f>IFERROR(__xludf.DUMMYFUNCTION("""COMPUTED_VALUE"""),365.76)</f>
        <v>365.76</v>
      </c>
      <c r="BF630" s="71">
        <f>IFERROR(__xludf.DUMMYFUNCTION("""COMPUTED_VALUE"""),2651.76)</f>
        <v>2651.76</v>
      </c>
      <c r="BG630" s="71">
        <f>IFERROR(__xludf.DUMMYFUNCTION("""COMPUTED_VALUE"""),0.050068902158934316)</f>
        <v>0.05006890216</v>
      </c>
      <c r="BH630" s="71">
        <f>IFERROR(__xludf.DUMMYFUNCTION("""COMPUTED_VALUE"""),2171.7)</f>
        <v>2171.7</v>
      </c>
      <c r="BI630" s="71">
        <f>IFERROR(__xludf.DUMMYFUNCTION("""COMPUTED_VALUE"""),347.472)</f>
        <v>347.472</v>
      </c>
      <c r="BJ630" s="71">
        <f>IFERROR(__xludf.DUMMYFUNCTION("""COMPUTED_VALUE"""),2519.1719999999996)</f>
        <v>2519.172</v>
      </c>
      <c r="BK630" s="71">
        <f>IFERROR(__xludf.DUMMYFUNCTION("""COMPUTED_VALUE"""),2057.4)</f>
        <v>2057.4</v>
      </c>
      <c r="BL630" s="71">
        <f>IFERROR(__xludf.DUMMYFUNCTION("""COMPUTED_VALUE"""),329.184)</f>
        <v>329.184</v>
      </c>
      <c r="BM630" s="71">
        <f>IFERROR(__xludf.DUMMYFUNCTION("""COMPUTED_VALUE"""),2386.5840000000003)</f>
        <v>2386.584</v>
      </c>
      <c r="BN630" s="71">
        <f>IFERROR(__xludf.DUMMYFUNCTION("""COMPUTED_VALUE"""),1943.1)</f>
        <v>1943.1</v>
      </c>
      <c r="BO630" s="71">
        <f>IFERROR(__xludf.DUMMYFUNCTION("""COMPUTED_VALUE"""),310.896)</f>
        <v>310.896</v>
      </c>
      <c r="BP630" s="71">
        <f>IFERROR(__xludf.DUMMYFUNCTION("""COMPUTED_VALUE"""),2253.996)</f>
        <v>2253.996</v>
      </c>
      <c r="BQ630" s="71">
        <f>IFERROR(__xludf.DUMMYFUNCTION("""COMPUTED_VALUE"""),1897.3799999999999)</f>
        <v>1897.38</v>
      </c>
      <c r="BR630" s="71">
        <f>IFERROR(__xludf.DUMMYFUNCTION("""COMPUTED_VALUE"""),303.5808)</f>
        <v>303.5808</v>
      </c>
      <c r="BS630" s="71">
        <f>IFERROR(__xludf.DUMMYFUNCTION("""COMPUTED_VALUE"""),2200.9608)</f>
        <v>2200.9608</v>
      </c>
      <c r="BT630" s="71">
        <f>IFERROR(__xludf.DUMMYFUNCTION("""COMPUTED_VALUE"""),1828.8000000000002)</f>
        <v>1828.8</v>
      </c>
      <c r="BU630" s="71">
        <f>IFERROR(__xludf.DUMMYFUNCTION("""COMPUTED_VALUE"""),292.60800000000006)</f>
        <v>292.608</v>
      </c>
      <c r="BV630" s="71">
        <f>IFERROR(__xludf.DUMMYFUNCTION("""COMPUTED_VALUE"""),2121.4080000000004)</f>
        <v>2121.408</v>
      </c>
    </row>
    <row r="631">
      <c r="A631" s="53">
        <v>1.0</v>
      </c>
      <c r="B631" s="72"/>
      <c r="C631" s="120" t="s">
        <v>603</v>
      </c>
      <c r="D631" s="74" t="s">
        <v>1522</v>
      </c>
      <c r="E631" s="54" t="s">
        <v>38</v>
      </c>
      <c r="F631" s="54" t="s">
        <v>42</v>
      </c>
      <c r="G631" s="141" t="s">
        <v>1523</v>
      </c>
      <c r="H631" s="141" t="s">
        <v>1523</v>
      </c>
      <c r="I631" s="54">
        <f t="shared" si="24"/>
        <v>25</v>
      </c>
      <c r="J631" s="56"/>
      <c r="K631" s="75"/>
      <c r="L631" s="76"/>
      <c r="M631" s="59"/>
      <c r="N631" s="60">
        <v>258.0</v>
      </c>
      <c r="O631" s="61">
        <v>278.0</v>
      </c>
      <c r="P631" s="62">
        <v>145.0</v>
      </c>
      <c r="Q631" s="63">
        <v>145.0</v>
      </c>
      <c r="R631" s="64">
        <v>345.0</v>
      </c>
      <c r="S631" s="111">
        <v>362.0</v>
      </c>
      <c r="T631" s="65">
        <f t="shared" si="2"/>
        <v>57.92</v>
      </c>
      <c r="U631" s="65">
        <f t="shared" si="3"/>
        <v>419.92</v>
      </c>
      <c r="V631" s="66">
        <f t="shared" si="4"/>
        <v>0.04927536232</v>
      </c>
      <c r="W631" s="67">
        <f t="shared" si="5"/>
        <v>343.9</v>
      </c>
      <c r="X631" s="67">
        <f t="shared" si="6"/>
        <v>55.024</v>
      </c>
      <c r="Y631" s="67">
        <f t="shared" si="7"/>
        <v>398.924</v>
      </c>
      <c r="Z631" s="67">
        <f t="shared" si="8"/>
        <v>325.8</v>
      </c>
      <c r="AA631" s="67">
        <f t="shared" si="9"/>
        <v>52.128</v>
      </c>
      <c r="AB631" s="67">
        <f t="shared" si="10"/>
        <v>377.928</v>
      </c>
      <c r="AC631" s="67">
        <f t="shared" si="11"/>
        <v>307.7</v>
      </c>
      <c r="AD631" s="67">
        <f t="shared" si="12"/>
        <v>49.232</v>
      </c>
      <c r="AE631" s="67">
        <f t="shared" si="13"/>
        <v>356.932</v>
      </c>
      <c r="AF631" s="67">
        <f t="shared" si="14"/>
        <v>300.46</v>
      </c>
      <c r="AG631" s="67">
        <f t="shared" si="15"/>
        <v>48.0736</v>
      </c>
      <c r="AH631" s="67">
        <f t="shared" si="16"/>
        <v>348.5336</v>
      </c>
      <c r="AI631" s="67">
        <f t="shared" si="17"/>
        <v>289.6</v>
      </c>
      <c r="AJ631" s="68">
        <f t="shared" si="25"/>
        <v>46.336</v>
      </c>
      <c r="AK631" s="68">
        <f t="shared" si="26"/>
        <v>335.936</v>
      </c>
      <c r="AL631" s="70">
        <f>IFERROR(__xludf.DUMMYFUNCTION("""COMPUTED_VALUE"""),1.0)</f>
        <v>1</v>
      </c>
      <c r="AM631" s="70"/>
      <c r="AN631" s="71" t="str">
        <f>IFERROR(__xludf.DUMMYFUNCTION("""COMPUTED_VALUE""")," P")</f>
        <v>P</v>
      </c>
      <c r="AO631" s="71" t="str">
        <f>IFERROR(__xludf.DUMMYFUNCTION("""COMPUTED_VALUE""")," FL60")</f>
        <v>FL60</v>
      </c>
      <c r="AP631" s="71" t="str">
        <f>IFERROR(__xludf.DUMMYFUNCTION("""COMPUTED_VALUE""")," PZA")</f>
        <v>PZA</v>
      </c>
      <c r="AQ631" s="71" t="str">
        <f>IFERROR(__xludf.DUMMYFUNCTION("""COMPUTED_VALUE""")," REF")</f>
        <v>REF</v>
      </c>
      <c r="AR631" s="71" t="str">
        <f>IFERROR(__xludf.DUMMYFUNCTION("""COMPUTED_VALUE""")," FLECHA PRINCIPAL PARA MOLINO TORTIMEX #2 EN ACERO INOX. 304")</f>
        <v>FLECHA PRINCIPAL PARA MOLINO TORTIMEX #2 EN ACERO INOX. 304</v>
      </c>
      <c r="AS631" s="71" t="str">
        <f>IFERROR(__xludf.DUMMYFUNCTION("""COMPUTED_VALUE""")," FLECHA PRINCIPAL P/MOL TORTIMEX2 INOX")</f>
        <v>FLECHA PRINCIPAL P/MOL TORTIMEX2 INOX</v>
      </c>
      <c r="AT631" s="71">
        <f>IFERROR(__xludf.DUMMYFUNCTION("""COMPUTED_VALUE"""),37.0)</f>
        <v>37</v>
      </c>
      <c r="AU631" s="71"/>
      <c r="AV631" s="71"/>
      <c r="AW631" s="71"/>
      <c r="AX631" s="71"/>
      <c r="AY631" s="71">
        <f>IFERROR(__xludf.DUMMYFUNCTION("""COMPUTED_VALUE"""),2097.0)</f>
        <v>2097</v>
      </c>
      <c r="AZ631" s="71">
        <f>IFERROR(__xludf.DUMMYFUNCTION("""COMPUTED_VALUE"""),2264.0)</f>
        <v>2264</v>
      </c>
      <c r="BA631" s="71">
        <f>IFERROR(__xludf.DUMMYFUNCTION("""COMPUTED_VALUE"""),2445.1200000000003)</f>
        <v>2445.12</v>
      </c>
      <c r="BB631" s="71">
        <f>IFERROR(__xludf.DUMMYFUNCTION("""COMPUTED_VALUE"""),2445.1200000000003)</f>
        <v>2445.12</v>
      </c>
      <c r="BC631" s="71">
        <f>IFERROR(__xludf.DUMMYFUNCTION("""COMPUTED_VALUE"""),2722.0)</f>
        <v>2722</v>
      </c>
      <c r="BD631" s="71">
        <f>IFERROR(__xludf.DUMMYFUNCTION("""COMPUTED_VALUE"""),2858.0)</f>
        <v>2858</v>
      </c>
      <c r="BE631" s="71">
        <f>IFERROR(__xludf.DUMMYFUNCTION("""COMPUTED_VALUE"""),457.28000000000003)</f>
        <v>457.28</v>
      </c>
      <c r="BF631" s="71">
        <f>IFERROR(__xludf.DUMMYFUNCTION("""COMPUTED_VALUE"""),3315.28)</f>
        <v>3315.28</v>
      </c>
      <c r="BG631" s="71">
        <f>IFERROR(__xludf.DUMMYFUNCTION("""COMPUTED_VALUE"""),0.04996326230712711)</f>
        <v>0.04996326231</v>
      </c>
      <c r="BH631" s="71">
        <f>IFERROR(__xludf.DUMMYFUNCTION("""COMPUTED_VALUE"""),2715.1)</f>
        <v>2715.1</v>
      </c>
      <c r="BI631" s="71">
        <f>IFERROR(__xludf.DUMMYFUNCTION("""COMPUTED_VALUE"""),434.416)</f>
        <v>434.416</v>
      </c>
      <c r="BJ631" s="71">
        <f>IFERROR(__xludf.DUMMYFUNCTION("""COMPUTED_VALUE"""),3149.516)</f>
        <v>3149.516</v>
      </c>
      <c r="BK631" s="71">
        <f>IFERROR(__xludf.DUMMYFUNCTION("""COMPUTED_VALUE"""),2572.2000000000003)</f>
        <v>2572.2</v>
      </c>
      <c r="BL631" s="71">
        <f>IFERROR(__xludf.DUMMYFUNCTION("""COMPUTED_VALUE"""),411.5520000000001)</f>
        <v>411.552</v>
      </c>
      <c r="BM631" s="71">
        <f>IFERROR(__xludf.DUMMYFUNCTION("""COMPUTED_VALUE"""),2983.7520000000004)</f>
        <v>2983.752</v>
      </c>
      <c r="BN631" s="71">
        <f>IFERROR(__xludf.DUMMYFUNCTION("""COMPUTED_VALUE"""),2429.2999999999997)</f>
        <v>2429.3</v>
      </c>
      <c r="BO631" s="71">
        <f>IFERROR(__xludf.DUMMYFUNCTION("""COMPUTED_VALUE"""),388.688)</f>
        <v>388.688</v>
      </c>
      <c r="BP631" s="71">
        <f>IFERROR(__xludf.DUMMYFUNCTION("""COMPUTED_VALUE"""),2817.988)</f>
        <v>2817.988</v>
      </c>
      <c r="BQ631" s="71">
        <f>IFERROR(__xludf.DUMMYFUNCTION("""COMPUTED_VALUE"""),2372.14)</f>
        <v>2372.14</v>
      </c>
      <c r="BR631" s="71">
        <f>IFERROR(__xludf.DUMMYFUNCTION("""COMPUTED_VALUE"""),379.5424)</f>
        <v>379.5424</v>
      </c>
      <c r="BS631" s="71">
        <f>IFERROR(__xludf.DUMMYFUNCTION("""COMPUTED_VALUE"""),2751.6823999999997)</f>
        <v>2751.6824</v>
      </c>
      <c r="BT631" s="71">
        <f>IFERROR(__xludf.DUMMYFUNCTION("""COMPUTED_VALUE"""),2286.4)</f>
        <v>2286.4</v>
      </c>
      <c r="BU631" s="71">
        <f>IFERROR(__xludf.DUMMYFUNCTION("""COMPUTED_VALUE"""),365.824)</f>
        <v>365.824</v>
      </c>
      <c r="BV631" s="71">
        <f>IFERROR(__xludf.DUMMYFUNCTION("""COMPUTED_VALUE"""),2652.224)</f>
        <v>2652.224</v>
      </c>
    </row>
    <row r="632">
      <c r="A632" s="53">
        <v>1.0</v>
      </c>
      <c r="B632" s="72"/>
      <c r="C632" s="120" t="s">
        <v>603</v>
      </c>
      <c r="D632" s="74" t="s">
        <v>1524</v>
      </c>
      <c r="E632" s="54" t="s">
        <v>38</v>
      </c>
      <c r="F632" s="54" t="s">
        <v>42</v>
      </c>
      <c r="G632" s="141" t="s">
        <v>1525</v>
      </c>
      <c r="H632" s="141" t="s">
        <v>1525</v>
      </c>
      <c r="I632" s="54">
        <f t="shared" si="24"/>
        <v>29</v>
      </c>
      <c r="J632" s="56"/>
      <c r="K632" s="75"/>
      <c r="L632" s="76"/>
      <c r="M632" s="59"/>
      <c r="N632" s="60">
        <v>332.0</v>
      </c>
      <c r="O632" s="61">
        <v>358.0</v>
      </c>
      <c r="P632" s="62">
        <v>280.0</v>
      </c>
      <c r="Q632" s="63">
        <v>280.0</v>
      </c>
      <c r="R632" s="64">
        <v>443.0</v>
      </c>
      <c r="S632" s="111">
        <v>465.0</v>
      </c>
      <c r="T632" s="65">
        <f t="shared" si="2"/>
        <v>74.4</v>
      </c>
      <c r="U632" s="65">
        <f t="shared" si="3"/>
        <v>539.4</v>
      </c>
      <c r="V632" s="66">
        <f t="shared" si="4"/>
        <v>0.04966139955</v>
      </c>
      <c r="W632" s="67">
        <f t="shared" si="5"/>
        <v>441.75</v>
      </c>
      <c r="X632" s="67">
        <f t="shared" si="6"/>
        <v>70.68</v>
      </c>
      <c r="Y632" s="67">
        <f t="shared" si="7"/>
        <v>512.43</v>
      </c>
      <c r="Z632" s="67">
        <f t="shared" si="8"/>
        <v>418.5</v>
      </c>
      <c r="AA632" s="67">
        <f t="shared" si="9"/>
        <v>66.96</v>
      </c>
      <c r="AB632" s="67">
        <f t="shared" si="10"/>
        <v>485.46</v>
      </c>
      <c r="AC632" s="67">
        <f t="shared" si="11"/>
        <v>395.25</v>
      </c>
      <c r="AD632" s="67">
        <f t="shared" si="12"/>
        <v>63.24</v>
      </c>
      <c r="AE632" s="67">
        <f t="shared" si="13"/>
        <v>458.49</v>
      </c>
      <c r="AF632" s="67">
        <f t="shared" si="14"/>
        <v>385.95</v>
      </c>
      <c r="AG632" s="67">
        <f t="shared" si="15"/>
        <v>61.752</v>
      </c>
      <c r="AH632" s="67">
        <f t="shared" si="16"/>
        <v>447.702</v>
      </c>
      <c r="AI632" s="67">
        <f t="shared" si="17"/>
        <v>372</v>
      </c>
      <c r="AJ632" s="68">
        <f t="shared" si="25"/>
        <v>59.52</v>
      </c>
      <c r="AK632" s="68">
        <f t="shared" si="26"/>
        <v>431.52</v>
      </c>
      <c r="AL632" s="70">
        <f>IFERROR(__xludf.DUMMYFUNCTION("""COMPUTED_VALUE"""),1.0)</f>
        <v>1</v>
      </c>
      <c r="AM632" s="70"/>
      <c r="AN632" s="71" t="str">
        <f>IFERROR(__xludf.DUMMYFUNCTION("""COMPUTED_VALUE""")," P")</f>
        <v>P</v>
      </c>
      <c r="AO632" s="71" t="str">
        <f>IFERROR(__xludf.DUMMYFUNCTION("""COMPUTED_VALUE""")," FL24")</f>
        <v>FL24</v>
      </c>
      <c r="AP632" s="71" t="str">
        <f>IFERROR(__xludf.DUMMYFUNCTION("""COMPUTED_VALUE""")," PZA")</f>
        <v>PZA</v>
      </c>
      <c r="AQ632" s="71" t="str">
        <f>IFERROR(__xludf.DUMMYFUNCTION("""COMPUTED_VALUE""")," REF")</f>
        <v>REF</v>
      </c>
      <c r="AR632" s="71" t="str">
        <f>IFERROR(__xludf.DUMMYFUNCTION("""COMPUTED_VALUE""")," FLECHA PRINCIPAL REFORZADA ESPECIAL CON AUMENTO DE TOPE")</f>
        <v>FLECHA PRINCIPAL REFORZADA ESPECIAL CON AUMENTO DE TOPE</v>
      </c>
      <c r="AS632" s="71" t="str">
        <f>IFERROR(__xludf.DUMMYFUNCTION("""COMPUTED_VALUE""")," FLECHA PRINCIPAL REF ESP AUMENTO TOPE")</f>
        <v>FLECHA PRINCIPAL REF ESP AUMENTO TOPE</v>
      </c>
      <c r="AT632" s="71">
        <f>IFERROR(__xludf.DUMMYFUNCTION("""COMPUTED_VALUE"""),37.0)</f>
        <v>37</v>
      </c>
      <c r="AU632" s="71"/>
      <c r="AV632" s="71"/>
      <c r="AW632" s="71"/>
      <c r="AX632" s="71"/>
      <c r="AY632" s="71">
        <f>IFERROR(__xludf.DUMMYFUNCTION("""COMPUTED_VALUE"""),425.0)</f>
        <v>425</v>
      </c>
      <c r="AZ632" s="71">
        <f>IFERROR(__xludf.DUMMYFUNCTION("""COMPUTED_VALUE"""),459.0)</f>
        <v>459</v>
      </c>
      <c r="BA632" s="71">
        <f>IFERROR(__xludf.DUMMYFUNCTION("""COMPUTED_VALUE"""),495.72)</f>
        <v>495.72</v>
      </c>
      <c r="BB632" s="71">
        <f>IFERROR(__xludf.DUMMYFUNCTION("""COMPUTED_VALUE"""),495.72)</f>
        <v>495.72</v>
      </c>
      <c r="BC632" s="71">
        <f>IFERROR(__xludf.DUMMYFUNCTION("""COMPUTED_VALUE"""),553.0)</f>
        <v>553</v>
      </c>
      <c r="BD632" s="71">
        <f>IFERROR(__xludf.DUMMYFUNCTION("""COMPUTED_VALUE"""),581.0)</f>
        <v>581</v>
      </c>
      <c r="BE632" s="71">
        <f>IFERROR(__xludf.DUMMYFUNCTION("""COMPUTED_VALUE"""),92.96000000000001)</f>
        <v>92.96</v>
      </c>
      <c r="BF632" s="71">
        <f>IFERROR(__xludf.DUMMYFUNCTION("""COMPUTED_VALUE"""),673.96)</f>
        <v>673.96</v>
      </c>
      <c r="BG632" s="71">
        <f>IFERROR(__xludf.DUMMYFUNCTION("""COMPUTED_VALUE"""),0.05063291139240506)</f>
        <v>0.05063291139</v>
      </c>
      <c r="BH632" s="71">
        <f>IFERROR(__xludf.DUMMYFUNCTION("""COMPUTED_VALUE"""),551.9499999999999)</f>
        <v>551.95</v>
      </c>
      <c r="BI632" s="71">
        <f>IFERROR(__xludf.DUMMYFUNCTION("""COMPUTED_VALUE"""),88.312)</f>
        <v>88.312</v>
      </c>
      <c r="BJ632" s="71">
        <f>IFERROR(__xludf.DUMMYFUNCTION("""COMPUTED_VALUE"""),640.262)</f>
        <v>640.262</v>
      </c>
      <c r="BK632" s="71">
        <f>IFERROR(__xludf.DUMMYFUNCTION("""COMPUTED_VALUE"""),522.9)</f>
        <v>522.9</v>
      </c>
      <c r="BL632" s="71">
        <f>IFERROR(__xludf.DUMMYFUNCTION("""COMPUTED_VALUE"""),83.664)</f>
        <v>83.664</v>
      </c>
      <c r="BM632" s="71">
        <f>IFERROR(__xludf.DUMMYFUNCTION("""COMPUTED_VALUE"""),606.564)</f>
        <v>606.564</v>
      </c>
      <c r="BN632" s="71">
        <f>IFERROR(__xludf.DUMMYFUNCTION("""COMPUTED_VALUE"""),493.84999999999997)</f>
        <v>493.85</v>
      </c>
      <c r="BO632" s="71">
        <f>IFERROR(__xludf.DUMMYFUNCTION("""COMPUTED_VALUE"""),79.01599999999999)</f>
        <v>79.016</v>
      </c>
      <c r="BP632" s="71">
        <f>IFERROR(__xludf.DUMMYFUNCTION("""COMPUTED_VALUE"""),572.866)</f>
        <v>572.866</v>
      </c>
      <c r="BQ632" s="71">
        <f>IFERROR(__xludf.DUMMYFUNCTION("""COMPUTED_VALUE"""),482.22999999999996)</f>
        <v>482.23</v>
      </c>
      <c r="BR632" s="71">
        <f>IFERROR(__xludf.DUMMYFUNCTION("""COMPUTED_VALUE"""),77.15679999999999)</f>
        <v>77.1568</v>
      </c>
      <c r="BS632" s="71">
        <f>IFERROR(__xludf.DUMMYFUNCTION("""COMPUTED_VALUE"""),559.3868)</f>
        <v>559.3868</v>
      </c>
      <c r="BT632" s="71">
        <f>IFERROR(__xludf.DUMMYFUNCTION("""COMPUTED_VALUE"""),464.8)</f>
        <v>464.8</v>
      </c>
      <c r="BU632" s="71">
        <f>IFERROR(__xludf.DUMMYFUNCTION("""COMPUTED_VALUE"""),74.36800000000001)</f>
        <v>74.368</v>
      </c>
      <c r="BV632" s="71">
        <f>IFERROR(__xludf.DUMMYFUNCTION("""COMPUTED_VALUE"""),539.168)</f>
        <v>539.168</v>
      </c>
    </row>
    <row r="633">
      <c r="A633" s="53">
        <v>1.0</v>
      </c>
      <c r="B633" s="72"/>
      <c r="C633" s="120" t="s">
        <v>603</v>
      </c>
      <c r="D633" s="74" t="s">
        <v>1526</v>
      </c>
      <c r="E633" s="54" t="s">
        <v>38</v>
      </c>
      <c r="F633" s="54" t="s">
        <v>42</v>
      </c>
      <c r="G633" s="141" t="s">
        <v>1527</v>
      </c>
      <c r="H633" s="141" t="s">
        <v>1527</v>
      </c>
      <c r="I633" s="54">
        <f t="shared" si="24"/>
        <v>23</v>
      </c>
      <c r="J633" s="56"/>
      <c r="K633" s="75"/>
      <c r="L633" s="76"/>
      <c r="M633" s="59"/>
      <c r="N633" s="60">
        <v>212.0</v>
      </c>
      <c r="O633" s="61">
        <v>228.0</v>
      </c>
      <c r="P633" s="62">
        <v>155.0</v>
      </c>
      <c r="Q633" s="63">
        <v>155.0</v>
      </c>
      <c r="R633" s="64">
        <v>196.0</v>
      </c>
      <c r="S633" s="111">
        <v>206.0</v>
      </c>
      <c r="T633" s="65">
        <f t="shared" si="2"/>
        <v>32.96</v>
      </c>
      <c r="U633" s="65">
        <f t="shared" si="3"/>
        <v>238.96</v>
      </c>
      <c r="V633" s="66">
        <f t="shared" si="4"/>
        <v>0.05102040816</v>
      </c>
      <c r="W633" s="67">
        <f t="shared" si="5"/>
        <v>195.7</v>
      </c>
      <c r="X633" s="67">
        <f t="shared" si="6"/>
        <v>31.312</v>
      </c>
      <c r="Y633" s="67">
        <f t="shared" si="7"/>
        <v>227.012</v>
      </c>
      <c r="Z633" s="67">
        <f t="shared" si="8"/>
        <v>185.4</v>
      </c>
      <c r="AA633" s="67">
        <f t="shared" si="9"/>
        <v>29.664</v>
      </c>
      <c r="AB633" s="67">
        <f t="shared" si="10"/>
        <v>215.064</v>
      </c>
      <c r="AC633" s="67">
        <f t="shared" si="11"/>
        <v>175.1</v>
      </c>
      <c r="AD633" s="67">
        <f t="shared" si="12"/>
        <v>28.016</v>
      </c>
      <c r="AE633" s="67">
        <f t="shared" si="13"/>
        <v>203.116</v>
      </c>
      <c r="AF633" s="67">
        <f t="shared" si="14"/>
        <v>170.98</v>
      </c>
      <c r="AG633" s="67">
        <f t="shared" si="15"/>
        <v>27.3568</v>
      </c>
      <c r="AH633" s="67">
        <f t="shared" si="16"/>
        <v>198.3368</v>
      </c>
      <c r="AI633" s="67">
        <f t="shared" si="17"/>
        <v>164.8</v>
      </c>
      <c r="AJ633" s="68">
        <f t="shared" si="25"/>
        <v>26.368</v>
      </c>
      <c r="AK633" s="68">
        <f t="shared" si="26"/>
        <v>191.168</v>
      </c>
      <c r="AL633" s="70">
        <f>IFERROR(__xludf.DUMMYFUNCTION("""COMPUTED_VALUE"""),1.0)</f>
        <v>1</v>
      </c>
      <c r="AM633" s="70"/>
      <c r="AN633" s="71" t="str">
        <f>IFERROR(__xludf.DUMMYFUNCTION("""COMPUTED_VALUE""")," P")</f>
        <v>P</v>
      </c>
      <c r="AO633" s="71" t="str">
        <f>IFERROR(__xludf.DUMMYFUNCTION("""COMPUTED_VALUE""")," FL25")</f>
        <v>FL25</v>
      </c>
      <c r="AP633" s="71" t="str">
        <f>IFERROR(__xludf.DUMMYFUNCTION("""COMPUTED_VALUE""")," PZA")</f>
        <v>PZA</v>
      </c>
      <c r="AQ633" s="71" t="str">
        <f>IFERROR(__xludf.DUMMYFUNCTION("""COMPUTED_VALUE""")," REF")</f>
        <v>REF</v>
      </c>
      <c r="AR633" s="71" t="str">
        <f>IFERROR(__xludf.DUMMYFUNCTION("""COMPUTED_VALUE""")," FLECHA PRINCIPAL SENCILLA EN ACERO TRATADO")</f>
        <v>FLECHA PRINCIPAL SENCILLA EN ACERO TRATADO</v>
      </c>
      <c r="AS633" s="71" t="str">
        <f>IFERROR(__xludf.DUMMYFUNCTION("""COMPUTED_VALUE""")," FLECHA PRINCIPAL SENCILLA ACERO TRATADO")</f>
        <v>FLECHA PRINCIPAL SENCILLA ACERO TRATADO</v>
      </c>
      <c r="AT633" s="71">
        <f>IFERROR(__xludf.DUMMYFUNCTION("""COMPUTED_VALUE"""),39.0)</f>
        <v>39</v>
      </c>
      <c r="AU633" s="71"/>
      <c r="AV633" s="71"/>
      <c r="AW633" s="71"/>
      <c r="AX633" s="71"/>
      <c r="AY633" s="71">
        <f>IFERROR(__xludf.DUMMYFUNCTION("""COMPUTED_VALUE"""),413.0)</f>
        <v>413</v>
      </c>
      <c r="AZ633" s="71">
        <f>IFERROR(__xludf.DUMMYFUNCTION("""COMPUTED_VALUE"""),446.0)</f>
        <v>446</v>
      </c>
      <c r="BA633" s="71">
        <f>IFERROR(__xludf.DUMMYFUNCTION("""COMPUTED_VALUE"""),481.68)</f>
        <v>481.68</v>
      </c>
      <c r="BB633" s="71">
        <f>IFERROR(__xludf.DUMMYFUNCTION("""COMPUTED_VALUE"""),481.68)</f>
        <v>481.68</v>
      </c>
      <c r="BC633" s="71">
        <f>IFERROR(__xludf.DUMMYFUNCTION("""COMPUTED_VALUE"""),537.0)</f>
        <v>537</v>
      </c>
      <c r="BD633" s="71">
        <f>IFERROR(__xludf.DUMMYFUNCTION("""COMPUTED_VALUE"""),564.0)</f>
        <v>564</v>
      </c>
      <c r="BE633" s="71">
        <f>IFERROR(__xludf.DUMMYFUNCTION("""COMPUTED_VALUE"""),90.24)</f>
        <v>90.24</v>
      </c>
      <c r="BF633" s="71">
        <f>IFERROR(__xludf.DUMMYFUNCTION("""COMPUTED_VALUE"""),654.24)</f>
        <v>654.24</v>
      </c>
      <c r="BG633" s="71">
        <f>IFERROR(__xludf.DUMMYFUNCTION("""COMPUTED_VALUE"""),0.05027932960893855)</f>
        <v>0.05027932961</v>
      </c>
      <c r="BH633" s="71">
        <f>IFERROR(__xludf.DUMMYFUNCTION("""COMPUTED_VALUE"""),535.8)</f>
        <v>535.8</v>
      </c>
      <c r="BI633" s="71">
        <f>IFERROR(__xludf.DUMMYFUNCTION("""COMPUTED_VALUE"""),85.728)</f>
        <v>85.728</v>
      </c>
      <c r="BJ633" s="71">
        <f>IFERROR(__xludf.DUMMYFUNCTION("""COMPUTED_VALUE"""),621.5279999999999)</f>
        <v>621.528</v>
      </c>
      <c r="BK633" s="71">
        <f>IFERROR(__xludf.DUMMYFUNCTION("""COMPUTED_VALUE"""),507.6)</f>
        <v>507.6</v>
      </c>
      <c r="BL633" s="71">
        <f>IFERROR(__xludf.DUMMYFUNCTION("""COMPUTED_VALUE"""),81.21600000000001)</f>
        <v>81.216</v>
      </c>
      <c r="BM633" s="71">
        <f>IFERROR(__xludf.DUMMYFUNCTION("""COMPUTED_VALUE"""),588.816)</f>
        <v>588.816</v>
      </c>
      <c r="BN633" s="71">
        <f>IFERROR(__xludf.DUMMYFUNCTION("""COMPUTED_VALUE"""),479.4)</f>
        <v>479.4</v>
      </c>
      <c r="BO633" s="71">
        <f>IFERROR(__xludf.DUMMYFUNCTION("""COMPUTED_VALUE"""),76.704)</f>
        <v>76.704</v>
      </c>
      <c r="BP633" s="71">
        <f>IFERROR(__xludf.DUMMYFUNCTION("""COMPUTED_VALUE"""),556.1039999999999)</f>
        <v>556.104</v>
      </c>
      <c r="BQ633" s="71">
        <f>IFERROR(__xludf.DUMMYFUNCTION("""COMPUTED_VALUE"""),468.12)</f>
        <v>468.12</v>
      </c>
      <c r="BR633" s="71">
        <f>IFERROR(__xludf.DUMMYFUNCTION("""COMPUTED_VALUE"""),74.89920000000001)</f>
        <v>74.8992</v>
      </c>
      <c r="BS633" s="71">
        <f>IFERROR(__xludf.DUMMYFUNCTION("""COMPUTED_VALUE"""),543.0192)</f>
        <v>543.0192</v>
      </c>
      <c r="BT633" s="71">
        <f>IFERROR(__xludf.DUMMYFUNCTION("""COMPUTED_VALUE"""),451.20000000000005)</f>
        <v>451.2</v>
      </c>
      <c r="BU633" s="71">
        <f>IFERROR(__xludf.DUMMYFUNCTION("""COMPUTED_VALUE"""),72.19200000000001)</f>
        <v>72.192</v>
      </c>
      <c r="BV633" s="71">
        <f>IFERROR(__xludf.DUMMYFUNCTION("""COMPUTED_VALUE"""),523.392)</f>
        <v>523.392</v>
      </c>
    </row>
    <row r="634">
      <c r="A634" s="53">
        <v>1.0</v>
      </c>
      <c r="B634" s="72"/>
      <c r="C634" s="120" t="s">
        <v>603</v>
      </c>
      <c r="D634" s="74" t="s">
        <v>1528</v>
      </c>
      <c r="E634" s="54" t="s">
        <v>38</v>
      </c>
      <c r="F634" s="54" t="s">
        <v>42</v>
      </c>
      <c r="G634" s="141" t="s">
        <v>1529</v>
      </c>
      <c r="H634" s="141" t="s">
        <v>1529</v>
      </c>
      <c r="I634" s="54">
        <f t="shared" si="24"/>
        <v>29</v>
      </c>
      <c r="J634" s="56"/>
      <c r="K634" s="75"/>
      <c r="L634" s="76"/>
      <c r="M634" s="59"/>
      <c r="N634" s="60">
        <v>212.0</v>
      </c>
      <c r="O634" s="61">
        <v>228.0</v>
      </c>
      <c r="P634" s="62">
        <v>155.0</v>
      </c>
      <c r="Q634" s="63">
        <v>155.0</v>
      </c>
      <c r="R634" s="64">
        <v>196.0</v>
      </c>
      <c r="S634" s="111">
        <v>206.0</v>
      </c>
      <c r="T634" s="65">
        <f t="shared" si="2"/>
        <v>32.96</v>
      </c>
      <c r="U634" s="65">
        <f t="shared" si="3"/>
        <v>238.96</v>
      </c>
      <c r="V634" s="66">
        <f t="shared" si="4"/>
        <v>0.05102040816</v>
      </c>
      <c r="W634" s="67">
        <f t="shared" si="5"/>
        <v>195.7</v>
      </c>
      <c r="X634" s="67">
        <f t="shared" si="6"/>
        <v>31.312</v>
      </c>
      <c r="Y634" s="67">
        <f t="shared" si="7"/>
        <v>227.012</v>
      </c>
      <c r="Z634" s="67">
        <f t="shared" si="8"/>
        <v>185.4</v>
      </c>
      <c r="AA634" s="67">
        <f t="shared" si="9"/>
        <v>29.664</v>
      </c>
      <c r="AB634" s="67">
        <f t="shared" si="10"/>
        <v>215.064</v>
      </c>
      <c r="AC634" s="67">
        <f t="shared" si="11"/>
        <v>175.1</v>
      </c>
      <c r="AD634" s="67">
        <f t="shared" si="12"/>
        <v>28.016</v>
      </c>
      <c r="AE634" s="67">
        <f t="shared" si="13"/>
        <v>203.116</v>
      </c>
      <c r="AF634" s="67">
        <f t="shared" si="14"/>
        <v>170.98</v>
      </c>
      <c r="AG634" s="67">
        <f t="shared" si="15"/>
        <v>27.3568</v>
      </c>
      <c r="AH634" s="67">
        <f t="shared" si="16"/>
        <v>198.3368</v>
      </c>
      <c r="AI634" s="67">
        <f t="shared" si="17"/>
        <v>164.8</v>
      </c>
      <c r="AJ634" s="68">
        <f t="shared" si="25"/>
        <v>26.368</v>
      </c>
      <c r="AK634" s="68">
        <f t="shared" si="26"/>
        <v>191.168</v>
      </c>
      <c r="AL634" s="70">
        <f>IFERROR(__xludf.DUMMYFUNCTION("""COMPUTED_VALUE"""),1.0)</f>
        <v>1</v>
      </c>
      <c r="AM634" s="70"/>
      <c r="AN634" s="71" t="str">
        <f>IFERROR(__xludf.DUMMYFUNCTION("""COMPUTED_VALUE""")," P")</f>
        <v>P</v>
      </c>
      <c r="AO634" s="71" t="str">
        <f>IFERROR(__xludf.DUMMYFUNCTION("""COMPUTED_VALUE""")," FL26")</f>
        <v>FL26</v>
      </c>
      <c r="AP634" s="71" t="str">
        <f>IFERROR(__xludf.DUMMYFUNCTION("""COMPUTED_VALUE""")," PZA")</f>
        <v>PZA</v>
      </c>
      <c r="AQ634" s="71" t="str">
        <f>IFERROR(__xludf.DUMMYFUNCTION("""COMPUTED_VALUE""")," REF")</f>
        <v>REF</v>
      </c>
      <c r="AR634" s="71" t="str">
        <f>IFERROR(__xludf.DUMMYFUNCTION("""COMPUTED_VALUE""")," FLECHA PRINCIPAL SENCILLA REFORZADA")</f>
        <v>FLECHA PRINCIPAL SENCILLA REFORZADA</v>
      </c>
      <c r="AS634" s="71" t="str">
        <f>IFERROR(__xludf.DUMMYFUNCTION("""COMPUTED_VALUE""")," FLECHA PRINCIPAL SENCILLA REFORZADA")</f>
        <v>FLECHA PRINCIPAL SENCILLA REFORZADA</v>
      </c>
      <c r="AT634" s="71">
        <f>IFERROR(__xludf.DUMMYFUNCTION("""COMPUTED_VALUE"""),35.0)</f>
        <v>35</v>
      </c>
      <c r="AU634" s="71"/>
      <c r="AV634" s="71"/>
      <c r="AW634" s="71"/>
      <c r="AX634" s="71"/>
      <c r="AY634" s="71">
        <f>IFERROR(__xludf.DUMMYFUNCTION("""COMPUTED_VALUE"""),413.0)</f>
        <v>413</v>
      </c>
      <c r="AZ634" s="71">
        <f>IFERROR(__xludf.DUMMYFUNCTION("""COMPUTED_VALUE"""),446.0)</f>
        <v>446</v>
      </c>
      <c r="BA634" s="71">
        <f>IFERROR(__xludf.DUMMYFUNCTION("""COMPUTED_VALUE"""),481.68)</f>
        <v>481.68</v>
      </c>
      <c r="BB634" s="71">
        <f>IFERROR(__xludf.DUMMYFUNCTION("""COMPUTED_VALUE"""),481.68)</f>
        <v>481.68</v>
      </c>
      <c r="BC634" s="71">
        <f>IFERROR(__xludf.DUMMYFUNCTION("""COMPUTED_VALUE"""),537.0)</f>
        <v>537</v>
      </c>
      <c r="BD634" s="71">
        <f>IFERROR(__xludf.DUMMYFUNCTION("""COMPUTED_VALUE"""),564.0)</f>
        <v>564</v>
      </c>
      <c r="BE634" s="71">
        <f>IFERROR(__xludf.DUMMYFUNCTION("""COMPUTED_VALUE"""),90.24)</f>
        <v>90.24</v>
      </c>
      <c r="BF634" s="71">
        <f>IFERROR(__xludf.DUMMYFUNCTION("""COMPUTED_VALUE"""),654.24)</f>
        <v>654.24</v>
      </c>
      <c r="BG634" s="71">
        <f>IFERROR(__xludf.DUMMYFUNCTION("""COMPUTED_VALUE"""),0.05027932960893855)</f>
        <v>0.05027932961</v>
      </c>
      <c r="BH634" s="71">
        <f>IFERROR(__xludf.DUMMYFUNCTION("""COMPUTED_VALUE"""),535.8)</f>
        <v>535.8</v>
      </c>
      <c r="BI634" s="71">
        <f>IFERROR(__xludf.DUMMYFUNCTION("""COMPUTED_VALUE"""),85.728)</f>
        <v>85.728</v>
      </c>
      <c r="BJ634" s="71">
        <f>IFERROR(__xludf.DUMMYFUNCTION("""COMPUTED_VALUE"""),621.5279999999999)</f>
        <v>621.528</v>
      </c>
      <c r="BK634" s="71">
        <f>IFERROR(__xludf.DUMMYFUNCTION("""COMPUTED_VALUE"""),507.6)</f>
        <v>507.6</v>
      </c>
      <c r="BL634" s="71">
        <f>IFERROR(__xludf.DUMMYFUNCTION("""COMPUTED_VALUE"""),81.21600000000001)</f>
        <v>81.216</v>
      </c>
      <c r="BM634" s="71">
        <f>IFERROR(__xludf.DUMMYFUNCTION("""COMPUTED_VALUE"""),588.816)</f>
        <v>588.816</v>
      </c>
      <c r="BN634" s="71">
        <f>IFERROR(__xludf.DUMMYFUNCTION("""COMPUTED_VALUE"""),479.4)</f>
        <v>479.4</v>
      </c>
      <c r="BO634" s="71">
        <f>IFERROR(__xludf.DUMMYFUNCTION("""COMPUTED_VALUE"""),76.704)</f>
        <v>76.704</v>
      </c>
      <c r="BP634" s="71">
        <f>IFERROR(__xludf.DUMMYFUNCTION("""COMPUTED_VALUE"""),556.1039999999999)</f>
        <v>556.104</v>
      </c>
      <c r="BQ634" s="71">
        <f>IFERROR(__xludf.DUMMYFUNCTION("""COMPUTED_VALUE"""),468.12)</f>
        <v>468.12</v>
      </c>
      <c r="BR634" s="71">
        <f>IFERROR(__xludf.DUMMYFUNCTION("""COMPUTED_VALUE"""),74.89920000000001)</f>
        <v>74.8992</v>
      </c>
      <c r="BS634" s="71">
        <f>IFERROR(__xludf.DUMMYFUNCTION("""COMPUTED_VALUE"""),543.0192)</f>
        <v>543.0192</v>
      </c>
      <c r="BT634" s="71">
        <f>IFERROR(__xludf.DUMMYFUNCTION("""COMPUTED_VALUE"""),451.20000000000005)</f>
        <v>451.2</v>
      </c>
      <c r="BU634" s="71">
        <f>IFERROR(__xludf.DUMMYFUNCTION("""COMPUTED_VALUE"""),72.19200000000001)</f>
        <v>72.192</v>
      </c>
      <c r="BV634" s="71">
        <f>IFERROR(__xludf.DUMMYFUNCTION("""COMPUTED_VALUE"""),523.392)</f>
        <v>523.392</v>
      </c>
    </row>
    <row r="635">
      <c r="A635" s="53">
        <v>1.0</v>
      </c>
      <c r="B635" s="53"/>
      <c r="C635" s="53" t="s">
        <v>12</v>
      </c>
      <c r="D635" s="53" t="s">
        <v>1530</v>
      </c>
      <c r="E635" s="86" t="s">
        <v>38</v>
      </c>
      <c r="F635" s="91" t="s">
        <v>42</v>
      </c>
      <c r="G635" s="141" t="s">
        <v>1531</v>
      </c>
      <c r="H635" s="141" t="s">
        <v>1531</v>
      </c>
      <c r="I635" s="54">
        <f t="shared" si="24"/>
        <v>28</v>
      </c>
      <c r="J635" s="56"/>
      <c r="K635" s="57"/>
      <c r="L635" s="126"/>
      <c r="M635" s="59"/>
      <c r="N635" s="93"/>
      <c r="O635" s="61"/>
      <c r="P635" s="90"/>
      <c r="Q635" s="94"/>
      <c r="R635" s="95">
        <v>99.0</v>
      </c>
      <c r="S635" s="111">
        <v>104.0</v>
      </c>
      <c r="T635" s="65">
        <f t="shared" si="2"/>
        <v>16.64</v>
      </c>
      <c r="U635" s="65">
        <f t="shared" si="3"/>
        <v>120.64</v>
      </c>
      <c r="V635" s="66">
        <f t="shared" si="4"/>
        <v>0.05050505051</v>
      </c>
      <c r="W635" s="67">
        <f t="shared" si="5"/>
        <v>98.8</v>
      </c>
      <c r="X635" s="67">
        <f t="shared" si="6"/>
        <v>15.808</v>
      </c>
      <c r="Y635" s="67">
        <f t="shared" si="7"/>
        <v>114.608</v>
      </c>
      <c r="Z635" s="67">
        <f t="shared" si="8"/>
        <v>93.6</v>
      </c>
      <c r="AA635" s="67">
        <f t="shared" si="9"/>
        <v>14.976</v>
      </c>
      <c r="AB635" s="67">
        <f t="shared" si="10"/>
        <v>108.576</v>
      </c>
      <c r="AC635" s="67">
        <f t="shared" si="11"/>
        <v>88.4</v>
      </c>
      <c r="AD635" s="67">
        <f t="shared" si="12"/>
        <v>14.144</v>
      </c>
      <c r="AE635" s="67">
        <f t="shared" si="13"/>
        <v>102.544</v>
      </c>
      <c r="AF635" s="67">
        <f t="shared" si="14"/>
        <v>86.32</v>
      </c>
      <c r="AG635" s="67">
        <f t="shared" si="15"/>
        <v>13.8112</v>
      </c>
      <c r="AH635" s="67">
        <f t="shared" si="16"/>
        <v>100.1312</v>
      </c>
      <c r="AI635" s="67">
        <f t="shared" si="17"/>
        <v>83.2</v>
      </c>
      <c r="AJ635" s="96"/>
      <c r="AK635" s="96"/>
      <c r="AL635" s="70">
        <f>IFERROR(__xludf.DUMMYFUNCTION("""COMPUTED_VALUE"""),1.0)</f>
        <v>1</v>
      </c>
      <c r="AM635" s="70"/>
      <c r="AN635" s="71" t="str">
        <f>IFERROR(__xludf.DUMMYFUNCTION("""COMPUTED_VALUE""")," P")</f>
        <v>P</v>
      </c>
      <c r="AO635" s="71" t="str">
        <f>IFERROR(__xludf.DUMMYFUNCTION("""COMPUTED_VALUE""")," FL27")</f>
        <v>FL27</v>
      </c>
      <c r="AP635" s="71" t="str">
        <f>IFERROR(__xludf.DUMMYFUNCTION("""COMPUTED_VALUE""")," PZA")</f>
        <v>PZA</v>
      </c>
      <c r="AQ635" s="71" t="str">
        <f>IFERROR(__xludf.DUMMYFUNCTION("""COMPUTED_VALUE""")," REF")</f>
        <v>REF</v>
      </c>
      <c r="AR635" s="71" t="str">
        <f>IFERROR(__xludf.DUMMYFUNCTION("""COMPUTED_VALUE""")," FLECHA PRINCIPAL SENCILLA TIPO U 3000")</f>
        <v>FLECHA PRINCIPAL SENCILLA TIPO U 3000</v>
      </c>
      <c r="AS635" s="71" t="str">
        <f>IFERROR(__xludf.DUMMYFUNCTION("""COMPUTED_VALUE""")," FLECHA PRINCIPAL SENCILLA TIPO U 3000")</f>
        <v>FLECHA PRINCIPAL SENCILLA TIPO U 3000</v>
      </c>
      <c r="AT635" s="71">
        <f>IFERROR(__xludf.DUMMYFUNCTION("""COMPUTED_VALUE"""),37.0)</f>
        <v>37</v>
      </c>
      <c r="AU635" s="71"/>
      <c r="AV635" s="71"/>
      <c r="AW635" s="71"/>
      <c r="AX635" s="71"/>
      <c r="AY635" s="71">
        <f>IFERROR(__xludf.DUMMYFUNCTION("""COMPUTED_VALUE"""),393.0)</f>
        <v>393</v>
      </c>
      <c r="AZ635" s="71">
        <f>IFERROR(__xludf.DUMMYFUNCTION("""COMPUTED_VALUE"""),424.0)</f>
        <v>424</v>
      </c>
      <c r="BA635" s="71">
        <f>IFERROR(__xludf.DUMMYFUNCTION("""COMPUTED_VALUE"""),457.92)</f>
        <v>457.92</v>
      </c>
      <c r="BB635" s="71">
        <f>IFERROR(__xludf.DUMMYFUNCTION("""COMPUTED_VALUE"""),457.92)</f>
        <v>457.92</v>
      </c>
      <c r="BC635" s="71">
        <f>IFERROR(__xludf.DUMMYFUNCTION("""COMPUTED_VALUE"""),511.0)</f>
        <v>511</v>
      </c>
      <c r="BD635" s="71">
        <f>IFERROR(__xludf.DUMMYFUNCTION("""COMPUTED_VALUE"""),537.0)</f>
        <v>537</v>
      </c>
      <c r="BE635" s="71">
        <f>IFERROR(__xludf.DUMMYFUNCTION("""COMPUTED_VALUE"""),85.92)</f>
        <v>85.92</v>
      </c>
      <c r="BF635" s="71">
        <f>IFERROR(__xludf.DUMMYFUNCTION("""COMPUTED_VALUE"""),622.92)</f>
        <v>622.92</v>
      </c>
      <c r="BG635" s="71">
        <f>IFERROR(__xludf.DUMMYFUNCTION("""COMPUTED_VALUE"""),0.050880626223091974)</f>
        <v>0.05088062622</v>
      </c>
      <c r="BH635" s="71">
        <f>IFERROR(__xludf.DUMMYFUNCTION("""COMPUTED_VALUE"""),510.15)</f>
        <v>510.15</v>
      </c>
      <c r="BI635" s="71">
        <f>IFERROR(__xludf.DUMMYFUNCTION("""COMPUTED_VALUE"""),81.624)</f>
        <v>81.624</v>
      </c>
      <c r="BJ635" s="71">
        <f>IFERROR(__xludf.DUMMYFUNCTION("""COMPUTED_VALUE"""),591.774)</f>
        <v>591.774</v>
      </c>
      <c r="BK635" s="71">
        <f>IFERROR(__xludf.DUMMYFUNCTION("""COMPUTED_VALUE"""),483.3)</f>
        <v>483.3</v>
      </c>
      <c r="BL635" s="71">
        <f>IFERROR(__xludf.DUMMYFUNCTION("""COMPUTED_VALUE"""),77.328)</f>
        <v>77.328</v>
      </c>
      <c r="BM635" s="71">
        <f>IFERROR(__xludf.DUMMYFUNCTION("""COMPUTED_VALUE"""),560.628)</f>
        <v>560.628</v>
      </c>
      <c r="BN635" s="71">
        <f>IFERROR(__xludf.DUMMYFUNCTION("""COMPUTED_VALUE"""),456.45)</f>
        <v>456.45</v>
      </c>
      <c r="BO635" s="71">
        <f>IFERROR(__xludf.DUMMYFUNCTION("""COMPUTED_VALUE"""),73.032)</f>
        <v>73.032</v>
      </c>
      <c r="BP635" s="71">
        <f>IFERROR(__xludf.DUMMYFUNCTION("""COMPUTED_VALUE"""),529.482)</f>
        <v>529.482</v>
      </c>
      <c r="BQ635" s="71">
        <f>IFERROR(__xludf.DUMMYFUNCTION("""COMPUTED_VALUE"""),445.71)</f>
        <v>445.71</v>
      </c>
      <c r="BR635" s="71">
        <f>IFERROR(__xludf.DUMMYFUNCTION("""COMPUTED_VALUE"""),71.3136)</f>
        <v>71.3136</v>
      </c>
      <c r="BS635" s="71">
        <f>IFERROR(__xludf.DUMMYFUNCTION("""COMPUTED_VALUE"""),517.0236)</f>
        <v>517.0236</v>
      </c>
      <c r="BT635" s="71">
        <f>IFERROR(__xludf.DUMMYFUNCTION("""COMPUTED_VALUE"""),429.6)</f>
        <v>429.6</v>
      </c>
      <c r="BU635" s="71">
        <f>IFERROR(__xludf.DUMMYFUNCTION("""COMPUTED_VALUE"""),68.736)</f>
        <v>68.736</v>
      </c>
      <c r="BV635" s="71">
        <f>IFERROR(__xludf.DUMMYFUNCTION("""COMPUTED_VALUE"""),498.336)</f>
        <v>498.336</v>
      </c>
    </row>
    <row r="636">
      <c r="A636" s="53">
        <v>1.0</v>
      </c>
      <c r="B636" s="72"/>
      <c r="C636" s="120" t="s">
        <v>603</v>
      </c>
      <c r="D636" s="74" t="s">
        <v>1532</v>
      </c>
      <c r="E636" s="54" t="s">
        <v>38</v>
      </c>
      <c r="F636" s="54" t="s">
        <v>42</v>
      </c>
      <c r="G636" s="141" t="s">
        <v>1533</v>
      </c>
      <c r="H636" s="141" t="s">
        <v>1533</v>
      </c>
      <c r="I636" s="54">
        <f t="shared" si="24"/>
        <v>29</v>
      </c>
      <c r="J636" s="56"/>
      <c r="K636" s="75"/>
      <c r="L636" s="76"/>
      <c r="M636" s="59"/>
      <c r="N636" s="60">
        <v>172.0</v>
      </c>
      <c r="O636" s="61">
        <v>185.0</v>
      </c>
      <c r="P636" s="62">
        <v>85.0</v>
      </c>
      <c r="Q636" s="63">
        <v>85.0</v>
      </c>
      <c r="R636" s="64">
        <v>104.0</v>
      </c>
      <c r="S636" s="111">
        <v>109.0</v>
      </c>
      <c r="T636" s="65">
        <f t="shared" si="2"/>
        <v>17.44</v>
      </c>
      <c r="U636" s="65">
        <f t="shared" si="3"/>
        <v>126.44</v>
      </c>
      <c r="V636" s="66">
        <f t="shared" si="4"/>
        <v>0.04807692308</v>
      </c>
      <c r="W636" s="67">
        <f t="shared" si="5"/>
        <v>103.55</v>
      </c>
      <c r="X636" s="67">
        <f t="shared" si="6"/>
        <v>16.568</v>
      </c>
      <c r="Y636" s="67">
        <f t="shared" si="7"/>
        <v>120.118</v>
      </c>
      <c r="Z636" s="67">
        <f t="shared" si="8"/>
        <v>98.1</v>
      </c>
      <c r="AA636" s="67">
        <f t="shared" si="9"/>
        <v>15.696</v>
      </c>
      <c r="AB636" s="67">
        <f t="shared" si="10"/>
        <v>113.796</v>
      </c>
      <c r="AC636" s="67">
        <f t="shared" si="11"/>
        <v>92.65</v>
      </c>
      <c r="AD636" s="67">
        <f t="shared" si="12"/>
        <v>14.824</v>
      </c>
      <c r="AE636" s="67">
        <f t="shared" si="13"/>
        <v>107.474</v>
      </c>
      <c r="AF636" s="67">
        <f t="shared" si="14"/>
        <v>90.47</v>
      </c>
      <c r="AG636" s="67">
        <f t="shared" si="15"/>
        <v>14.4752</v>
      </c>
      <c r="AH636" s="67">
        <f t="shared" si="16"/>
        <v>104.9452</v>
      </c>
      <c r="AI636" s="67">
        <f t="shared" si="17"/>
        <v>87.2</v>
      </c>
      <c r="AJ636" s="68">
        <f t="shared" ref="AJ636:AJ639" si="27">AI636*0.16</f>
        <v>13.952</v>
      </c>
      <c r="AK636" s="68">
        <f t="shared" ref="AK636:AK639" si="28">AI636+AJ636</f>
        <v>101.152</v>
      </c>
      <c r="AL636" s="70">
        <f>IFERROR(__xludf.DUMMYFUNCTION("""COMPUTED_VALUE"""),1.0)</f>
        <v>1</v>
      </c>
      <c r="AM636" s="70"/>
      <c r="AN636" s="71" t="str">
        <f>IFERROR(__xludf.DUMMYFUNCTION("""COMPUTED_VALUE""")," P")</f>
        <v>P</v>
      </c>
      <c r="AO636" s="71" t="str">
        <f>IFERROR(__xludf.DUMMYFUNCTION("""COMPUTED_VALUE""")," FL28")</f>
        <v>FL28</v>
      </c>
      <c r="AP636" s="71" t="str">
        <f>IFERROR(__xludf.DUMMYFUNCTION("""COMPUTED_VALUE""")," PZA")</f>
        <v>PZA</v>
      </c>
      <c r="AQ636" s="71" t="str">
        <f>IFERROR(__xludf.DUMMYFUNCTION("""COMPUTED_VALUE""")," REF")</f>
        <v>REF</v>
      </c>
      <c r="AR636" s="71" t="str">
        <f>IFERROR(__xludf.DUMMYFUNCTION("""COMPUTED_VALUE""")," FLECHA RANURADA PARA VÁLVULA")</f>
        <v>FLECHA RANURADA PARA VÁLVULA</v>
      </c>
      <c r="AS636" s="71" t="str">
        <f>IFERROR(__xludf.DUMMYFUNCTION("""COMPUTED_VALUE""")," FLECHA RANURADA PARA VALVULA")</f>
        <v>FLECHA RANURADA PARA VALVULA</v>
      </c>
      <c r="AT636" s="71">
        <f>IFERROR(__xludf.DUMMYFUNCTION("""COMPUTED_VALUE"""),28.0)</f>
        <v>28</v>
      </c>
      <c r="AU636" s="71"/>
      <c r="AV636" s="71"/>
      <c r="AW636" s="71"/>
      <c r="AX636" s="71"/>
      <c r="AY636" s="71">
        <f>IFERROR(__xludf.DUMMYFUNCTION("""COMPUTED_VALUE"""),31.0)</f>
        <v>31</v>
      </c>
      <c r="AZ636" s="71">
        <f>IFERROR(__xludf.DUMMYFUNCTION("""COMPUTED_VALUE"""),33.0)</f>
        <v>33</v>
      </c>
      <c r="BA636" s="71">
        <f>IFERROR(__xludf.DUMMYFUNCTION("""COMPUTED_VALUE"""),35.64)</f>
        <v>35.64</v>
      </c>
      <c r="BB636" s="71">
        <f>IFERROR(__xludf.DUMMYFUNCTION("""COMPUTED_VALUE"""),35.64)</f>
        <v>35.64</v>
      </c>
      <c r="BC636" s="71">
        <f>IFERROR(__xludf.DUMMYFUNCTION("""COMPUTED_VALUE"""),40.0)</f>
        <v>40</v>
      </c>
      <c r="BD636" s="71">
        <f>IFERROR(__xludf.DUMMYFUNCTION("""COMPUTED_VALUE"""),42.0)</f>
        <v>42</v>
      </c>
      <c r="BE636" s="71">
        <f>IFERROR(__xludf.DUMMYFUNCTION("""COMPUTED_VALUE"""),6.72)</f>
        <v>6.72</v>
      </c>
      <c r="BF636" s="71">
        <f>IFERROR(__xludf.DUMMYFUNCTION("""COMPUTED_VALUE"""),48.72)</f>
        <v>48.72</v>
      </c>
      <c r="BG636" s="71">
        <f>IFERROR(__xludf.DUMMYFUNCTION("""COMPUTED_VALUE"""),0.05)</f>
        <v>0.05</v>
      </c>
      <c r="BH636" s="71">
        <f>IFERROR(__xludf.DUMMYFUNCTION("""COMPUTED_VALUE"""),39.9)</f>
        <v>39.9</v>
      </c>
      <c r="BI636" s="71">
        <f>IFERROR(__xludf.DUMMYFUNCTION("""COMPUTED_VALUE"""),6.384)</f>
        <v>6.384</v>
      </c>
      <c r="BJ636" s="71">
        <f>IFERROR(__xludf.DUMMYFUNCTION("""COMPUTED_VALUE"""),46.284)</f>
        <v>46.284</v>
      </c>
      <c r="BK636" s="71">
        <f>IFERROR(__xludf.DUMMYFUNCTION("""COMPUTED_VALUE"""),37.800000000000004)</f>
        <v>37.8</v>
      </c>
      <c r="BL636" s="71">
        <f>IFERROR(__xludf.DUMMYFUNCTION("""COMPUTED_VALUE"""),6.048000000000001)</f>
        <v>6.048</v>
      </c>
      <c r="BM636" s="71">
        <f>IFERROR(__xludf.DUMMYFUNCTION("""COMPUTED_VALUE"""),43.848000000000006)</f>
        <v>43.848</v>
      </c>
      <c r="BN636" s="71">
        <f>IFERROR(__xludf.DUMMYFUNCTION("""COMPUTED_VALUE"""),35.699999999999996)</f>
        <v>35.7</v>
      </c>
      <c r="BO636" s="71">
        <f>IFERROR(__xludf.DUMMYFUNCTION("""COMPUTED_VALUE"""),5.712)</f>
        <v>5.712</v>
      </c>
      <c r="BP636" s="71">
        <f>IFERROR(__xludf.DUMMYFUNCTION("""COMPUTED_VALUE"""),41.41199999999999)</f>
        <v>41.412</v>
      </c>
      <c r="BQ636" s="71">
        <f>IFERROR(__xludf.DUMMYFUNCTION("""COMPUTED_VALUE"""),34.86)</f>
        <v>34.86</v>
      </c>
      <c r="BR636" s="71">
        <f>IFERROR(__xludf.DUMMYFUNCTION("""COMPUTED_VALUE"""),5.5776)</f>
        <v>5.5776</v>
      </c>
      <c r="BS636" s="71">
        <f>IFERROR(__xludf.DUMMYFUNCTION("""COMPUTED_VALUE"""),40.4376)</f>
        <v>40.4376</v>
      </c>
      <c r="BT636" s="71">
        <f>IFERROR(__xludf.DUMMYFUNCTION("""COMPUTED_VALUE"""),33.6)</f>
        <v>33.6</v>
      </c>
      <c r="BU636" s="71">
        <f>IFERROR(__xludf.DUMMYFUNCTION("""COMPUTED_VALUE"""),5.376)</f>
        <v>5.376</v>
      </c>
      <c r="BV636" s="71">
        <f>IFERROR(__xludf.DUMMYFUNCTION("""COMPUTED_VALUE"""),38.976)</f>
        <v>38.976</v>
      </c>
    </row>
    <row r="637">
      <c r="A637" s="53">
        <v>1.0</v>
      </c>
      <c r="B637" s="72"/>
      <c r="C637" s="120" t="s">
        <v>603</v>
      </c>
      <c r="D637" s="74" t="s">
        <v>1534</v>
      </c>
      <c r="E637" s="54" t="s">
        <v>38</v>
      </c>
      <c r="F637" s="54" t="s">
        <v>42</v>
      </c>
      <c r="G637" s="141" t="s">
        <v>1535</v>
      </c>
      <c r="H637" s="141" t="s">
        <v>1535</v>
      </c>
      <c r="I637" s="54">
        <f t="shared" si="24"/>
        <v>25</v>
      </c>
      <c r="J637" s="56"/>
      <c r="K637" s="75"/>
      <c r="L637" s="76"/>
      <c r="M637" s="59"/>
      <c r="N637" s="60">
        <v>172.0</v>
      </c>
      <c r="O637" s="61">
        <v>185.0</v>
      </c>
      <c r="P637" s="62">
        <v>85.0</v>
      </c>
      <c r="Q637" s="63">
        <v>85.0</v>
      </c>
      <c r="R637" s="64">
        <v>104.0</v>
      </c>
      <c r="S637" s="111">
        <v>109.0</v>
      </c>
      <c r="T637" s="65">
        <f t="shared" si="2"/>
        <v>17.44</v>
      </c>
      <c r="U637" s="65">
        <f t="shared" si="3"/>
        <v>126.44</v>
      </c>
      <c r="V637" s="66">
        <f t="shared" si="4"/>
        <v>0.04807692308</v>
      </c>
      <c r="W637" s="67">
        <f t="shared" si="5"/>
        <v>103.55</v>
      </c>
      <c r="X637" s="67">
        <f t="shared" si="6"/>
        <v>16.568</v>
      </c>
      <c r="Y637" s="67">
        <f t="shared" si="7"/>
        <v>120.118</v>
      </c>
      <c r="Z637" s="67">
        <f t="shared" si="8"/>
        <v>98.1</v>
      </c>
      <c r="AA637" s="67">
        <f t="shared" si="9"/>
        <v>15.696</v>
      </c>
      <c r="AB637" s="67">
        <f t="shared" si="10"/>
        <v>113.796</v>
      </c>
      <c r="AC637" s="67">
        <f t="shared" si="11"/>
        <v>92.65</v>
      </c>
      <c r="AD637" s="67">
        <f t="shared" si="12"/>
        <v>14.824</v>
      </c>
      <c r="AE637" s="67">
        <f t="shared" si="13"/>
        <v>107.474</v>
      </c>
      <c r="AF637" s="67">
        <f t="shared" si="14"/>
        <v>90.47</v>
      </c>
      <c r="AG637" s="67">
        <f t="shared" si="15"/>
        <v>14.4752</v>
      </c>
      <c r="AH637" s="67">
        <f t="shared" si="16"/>
        <v>104.9452</v>
      </c>
      <c r="AI637" s="67">
        <f t="shared" si="17"/>
        <v>87.2</v>
      </c>
      <c r="AJ637" s="68">
        <f t="shared" si="27"/>
        <v>13.952</v>
      </c>
      <c r="AK637" s="68">
        <f t="shared" si="28"/>
        <v>101.152</v>
      </c>
      <c r="AL637" s="70">
        <f>IFERROR(__xludf.DUMMYFUNCTION("""COMPUTED_VALUE"""),1.0)</f>
        <v>1</v>
      </c>
      <c r="AM637" s="70"/>
      <c r="AN637" s="71" t="str">
        <f>IFERROR(__xludf.DUMMYFUNCTION("""COMPUTED_VALUE""")," C")</f>
        <v>C</v>
      </c>
      <c r="AO637" s="71" t="str">
        <f>IFERROR(__xludf.DUMMYFUNCTION("""COMPUTED_VALUE""")," GA01")</f>
        <v>GA01</v>
      </c>
      <c r="AP637" s="71" t="str">
        <f>IFERROR(__xludf.DUMMYFUNCTION("""COMPUTED_VALUE""")," PZA")</f>
        <v>PZA</v>
      </c>
      <c r="AQ637" s="71" t="str">
        <f>IFERROR(__xludf.DUMMYFUNCTION("""COMPUTED_VALUE""")," REF")</f>
        <v>REF</v>
      </c>
      <c r="AR637" s="71" t="str">
        <f>IFERROR(__xludf.DUMMYFUNCTION("""COMPUTED_VALUE""")," GANCHO GALVANIZADO 3/8 X 6""")</f>
        <v>GANCHO GALVANIZADO 3/8 X 6"</v>
      </c>
      <c r="AS637" s="71" t="str">
        <f>IFERROR(__xludf.DUMMYFUNCTION("""COMPUTED_VALUE""")," GANCHO GALVANIZADO 3/8 X 6")</f>
        <v>GANCHO GALVANIZADO 3/8 X 6</v>
      </c>
      <c r="AT637" s="71">
        <f>IFERROR(__xludf.DUMMYFUNCTION("""COMPUTED_VALUE"""),26.0)</f>
        <v>26</v>
      </c>
      <c r="AU637" s="71"/>
      <c r="AV637" s="71"/>
      <c r="AW637" s="71"/>
      <c r="AX637" s="71"/>
      <c r="AY637" s="71">
        <f>IFERROR(__xludf.DUMMYFUNCTION("""COMPUTED_VALUE"""),21.0)</f>
        <v>21</v>
      </c>
      <c r="AZ637" s="71">
        <f>IFERROR(__xludf.DUMMYFUNCTION("""COMPUTED_VALUE"""),22.0)</f>
        <v>22</v>
      </c>
      <c r="BA637" s="71">
        <f>IFERROR(__xludf.DUMMYFUNCTION("""COMPUTED_VALUE"""),23.76)</f>
        <v>23.76</v>
      </c>
      <c r="BB637" s="71">
        <f>IFERROR(__xludf.DUMMYFUNCTION("""COMPUTED_VALUE"""),23.76)</f>
        <v>23.76</v>
      </c>
      <c r="BC637" s="71">
        <f>IFERROR(__xludf.DUMMYFUNCTION("""COMPUTED_VALUE"""),27.0)</f>
        <v>27</v>
      </c>
      <c r="BD637" s="71">
        <f>IFERROR(__xludf.DUMMYFUNCTION("""COMPUTED_VALUE"""),28.0)</f>
        <v>28</v>
      </c>
      <c r="BE637" s="71">
        <f>IFERROR(__xludf.DUMMYFUNCTION("""COMPUTED_VALUE"""),4.48)</f>
        <v>4.48</v>
      </c>
      <c r="BF637" s="71">
        <f>IFERROR(__xludf.DUMMYFUNCTION("""COMPUTED_VALUE"""),32.480000000000004)</f>
        <v>32.48</v>
      </c>
      <c r="BG637" s="71">
        <f>IFERROR(__xludf.DUMMYFUNCTION("""COMPUTED_VALUE"""),0.037037037037037035)</f>
        <v>0.03703703704</v>
      </c>
      <c r="BH637" s="71">
        <f>IFERROR(__xludf.DUMMYFUNCTION("""COMPUTED_VALUE"""),26.599999999999998)</f>
        <v>26.6</v>
      </c>
      <c r="BI637" s="71">
        <f>IFERROR(__xludf.DUMMYFUNCTION("""COMPUTED_VALUE"""),4.255999999999999)</f>
        <v>4.256</v>
      </c>
      <c r="BJ637" s="71">
        <f>IFERROR(__xludf.DUMMYFUNCTION("""COMPUTED_VALUE"""),30.855999999999998)</f>
        <v>30.856</v>
      </c>
      <c r="BK637" s="71">
        <f>IFERROR(__xludf.DUMMYFUNCTION("""COMPUTED_VALUE"""),25.2)</f>
        <v>25.2</v>
      </c>
      <c r="BL637" s="71">
        <f>IFERROR(__xludf.DUMMYFUNCTION("""COMPUTED_VALUE"""),4.032)</f>
        <v>4.032</v>
      </c>
      <c r="BM637" s="71">
        <f>IFERROR(__xludf.DUMMYFUNCTION("""COMPUTED_VALUE"""),29.232)</f>
        <v>29.232</v>
      </c>
      <c r="BN637" s="71">
        <f>IFERROR(__xludf.DUMMYFUNCTION("""COMPUTED_VALUE"""),23.8)</f>
        <v>23.8</v>
      </c>
      <c r="BO637" s="71">
        <f>IFERROR(__xludf.DUMMYFUNCTION("""COMPUTED_VALUE"""),3.8080000000000003)</f>
        <v>3.808</v>
      </c>
      <c r="BP637" s="71">
        <f>IFERROR(__xludf.DUMMYFUNCTION("""COMPUTED_VALUE"""),27.608)</f>
        <v>27.608</v>
      </c>
      <c r="BQ637" s="71">
        <f>IFERROR(__xludf.DUMMYFUNCTION("""COMPUTED_VALUE"""),23.24)</f>
        <v>23.24</v>
      </c>
      <c r="BR637" s="71">
        <f>IFERROR(__xludf.DUMMYFUNCTION("""COMPUTED_VALUE"""),3.7184)</f>
        <v>3.7184</v>
      </c>
      <c r="BS637" s="71">
        <f>IFERROR(__xludf.DUMMYFUNCTION("""COMPUTED_VALUE"""),26.958399999999997)</f>
        <v>26.9584</v>
      </c>
      <c r="BT637" s="71">
        <f>IFERROR(__xludf.DUMMYFUNCTION("""COMPUTED_VALUE"""),22.400000000000002)</f>
        <v>22.4</v>
      </c>
      <c r="BU637" s="71">
        <f>IFERROR(__xludf.DUMMYFUNCTION("""COMPUTED_VALUE"""),3.5840000000000005)</f>
        <v>3.584</v>
      </c>
      <c r="BV637" s="71">
        <f>IFERROR(__xludf.DUMMYFUNCTION("""COMPUTED_VALUE"""),25.984)</f>
        <v>25.984</v>
      </c>
    </row>
    <row r="638">
      <c r="A638" s="53">
        <v>1.0</v>
      </c>
      <c r="B638" s="72"/>
      <c r="C638" s="120" t="s">
        <v>603</v>
      </c>
      <c r="D638" s="74" t="s">
        <v>1536</v>
      </c>
      <c r="E638" s="54" t="s">
        <v>38</v>
      </c>
      <c r="F638" s="54" t="s">
        <v>42</v>
      </c>
      <c r="G638" s="141" t="s">
        <v>1537</v>
      </c>
      <c r="H638" s="141" t="s">
        <v>1537</v>
      </c>
      <c r="I638" s="54">
        <f t="shared" si="24"/>
        <v>29</v>
      </c>
      <c r="J638" s="56"/>
      <c r="K638" s="75"/>
      <c r="L638" s="76"/>
      <c r="M638" s="59"/>
      <c r="N638" s="60">
        <v>172.0</v>
      </c>
      <c r="O638" s="61">
        <v>185.0</v>
      </c>
      <c r="P638" s="62">
        <v>90.0</v>
      </c>
      <c r="Q638" s="63">
        <v>90.0</v>
      </c>
      <c r="R638" s="64">
        <v>125.0</v>
      </c>
      <c r="S638" s="111">
        <v>131.0</v>
      </c>
      <c r="T638" s="65">
        <f t="shared" si="2"/>
        <v>20.96</v>
      </c>
      <c r="U638" s="65">
        <f t="shared" si="3"/>
        <v>151.96</v>
      </c>
      <c r="V638" s="66">
        <f t="shared" si="4"/>
        <v>0.048</v>
      </c>
      <c r="W638" s="67">
        <f t="shared" si="5"/>
        <v>124.45</v>
      </c>
      <c r="X638" s="67">
        <f t="shared" si="6"/>
        <v>19.912</v>
      </c>
      <c r="Y638" s="67">
        <f t="shared" si="7"/>
        <v>144.362</v>
      </c>
      <c r="Z638" s="67">
        <f t="shared" si="8"/>
        <v>117.9</v>
      </c>
      <c r="AA638" s="67">
        <f t="shared" si="9"/>
        <v>18.864</v>
      </c>
      <c r="AB638" s="67">
        <f t="shared" si="10"/>
        <v>136.764</v>
      </c>
      <c r="AC638" s="67">
        <f t="shared" si="11"/>
        <v>111.35</v>
      </c>
      <c r="AD638" s="67">
        <f t="shared" si="12"/>
        <v>17.816</v>
      </c>
      <c r="AE638" s="67">
        <f t="shared" si="13"/>
        <v>129.166</v>
      </c>
      <c r="AF638" s="67">
        <f t="shared" si="14"/>
        <v>108.73</v>
      </c>
      <c r="AG638" s="67">
        <f t="shared" si="15"/>
        <v>17.3968</v>
      </c>
      <c r="AH638" s="67">
        <f t="shared" si="16"/>
        <v>126.1268</v>
      </c>
      <c r="AI638" s="67">
        <f t="shared" si="17"/>
        <v>104.8</v>
      </c>
      <c r="AJ638" s="68">
        <f t="shared" si="27"/>
        <v>16.768</v>
      </c>
      <c r="AK638" s="68">
        <f t="shared" si="28"/>
        <v>121.568</v>
      </c>
      <c r="AL638" s="70">
        <f>IFERROR(__xludf.DUMMYFUNCTION("""COMPUTED_VALUE"""),1.0)</f>
        <v>1</v>
      </c>
      <c r="AM638" s="70"/>
      <c r="AN638" s="71" t="str">
        <f>IFERROR(__xludf.DUMMYFUNCTION("""COMPUTED_VALUE""")," C")</f>
        <v>C</v>
      </c>
      <c r="AO638" s="71" t="str">
        <f>IFERROR(__xludf.DUMMYFUNCTION("""COMPUTED_VALUE""")," GO01")</f>
        <v>GO01</v>
      </c>
      <c r="AP638" s="71" t="str">
        <f>IFERROR(__xludf.DUMMYFUNCTION("""COMPUTED_VALUE""")," PZA")</f>
        <v>PZA</v>
      </c>
      <c r="AQ638" s="71" t="str">
        <f>IFERROR(__xludf.DUMMYFUNCTION("""COMPUTED_VALUE""")," REF")</f>
        <v>REF</v>
      </c>
      <c r="AR638" s="71" t="str">
        <f>IFERROR(__xludf.DUMMYFUNCTION("""COMPUTED_VALUE""")," GOMAS P/PATAS DE AMASADORA 100KG")</f>
        <v>GOMAS P/PATAS DE AMASADORA 100KG</v>
      </c>
      <c r="AS638" s="71" t="str">
        <f>IFERROR(__xludf.DUMMYFUNCTION("""COMPUTED_VALUE""")," GOMAS P/PATAS DE AMASADORA 100KG")</f>
        <v>GOMAS P/PATAS DE AMASADORA 100KG</v>
      </c>
      <c r="AT638" s="71">
        <f>IFERROR(__xludf.DUMMYFUNCTION("""COMPUTED_VALUE"""),32.0)</f>
        <v>32</v>
      </c>
      <c r="AU638" s="71"/>
      <c r="AV638" s="71"/>
      <c r="AW638" s="71"/>
      <c r="AX638" s="71"/>
      <c r="AY638" s="71"/>
      <c r="AZ638" s="71"/>
      <c r="BA638" s="71">
        <f>IFERROR(__xludf.DUMMYFUNCTION("""COMPUTED_VALUE"""),20.0)</f>
        <v>20</v>
      </c>
      <c r="BB638" s="71">
        <f>IFERROR(__xludf.DUMMYFUNCTION("""COMPUTED_VALUE"""),20.0)</f>
        <v>20</v>
      </c>
      <c r="BC638" s="71">
        <f>IFERROR(__xludf.DUMMYFUNCTION("""COMPUTED_VALUE"""),21.0)</f>
        <v>21</v>
      </c>
      <c r="BD638" s="71">
        <f>IFERROR(__xludf.DUMMYFUNCTION("""COMPUTED_VALUE"""),22.0)</f>
        <v>22</v>
      </c>
      <c r="BE638" s="71">
        <f>IFERROR(__xludf.DUMMYFUNCTION("""COMPUTED_VALUE"""),3.52)</f>
        <v>3.52</v>
      </c>
      <c r="BF638" s="71">
        <f>IFERROR(__xludf.DUMMYFUNCTION("""COMPUTED_VALUE"""),25.52)</f>
        <v>25.52</v>
      </c>
      <c r="BG638" s="71">
        <f>IFERROR(__xludf.DUMMYFUNCTION("""COMPUTED_VALUE"""),0.047619047619047616)</f>
        <v>0.04761904762</v>
      </c>
      <c r="BH638" s="71">
        <f>IFERROR(__xludf.DUMMYFUNCTION("""COMPUTED_VALUE"""),20.9)</f>
        <v>20.9</v>
      </c>
      <c r="BI638" s="71">
        <f>IFERROR(__xludf.DUMMYFUNCTION("""COMPUTED_VALUE"""),3.344)</f>
        <v>3.344</v>
      </c>
      <c r="BJ638" s="71">
        <f>IFERROR(__xludf.DUMMYFUNCTION("""COMPUTED_VALUE"""),24.244)</f>
        <v>24.244</v>
      </c>
      <c r="BK638" s="71">
        <f>IFERROR(__xludf.DUMMYFUNCTION("""COMPUTED_VALUE"""),19.8)</f>
        <v>19.8</v>
      </c>
      <c r="BL638" s="71">
        <f>IFERROR(__xludf.DUMMYFUNCTION("""COMPUTED_VALUE"""),3.168)</f>
        <v>3.168</v>
      </c>
      <c r="BM638" s="71">
        <f>IFERROR(__xludf.DUMMYFUNCTION("""COMPUTED_VALUE"""),22.968)</f>
        <v>22.968</v>
      </c>
      <c r="BN638" s="71">
        <f>IFERROR(__xludf.DUMMYFUNCTION("""COMPUTED_VALUE"""),18.7)</f>
        <v>18.7</v>
      </c>
      <c r="BO638" s="71">
        <f>IFERROR(__xludf.DUMMYFUNCTION("""COMPUTED_VALUE"""),2.992)</f>
        <v>2.992</v>
      </c>
      <c r="BP638" s="71">
        <f>IFERROR(__xludf.DUMMYFUNCTION("""COMPUTED_VALUE"""),21.692)</f>
        <v>21.692</v>
      </c>
      <c r="BQ638" s="71">
        <f>IFERROR(__xludf.DUMMYFUNCTION("""COMPUTED_VALUE"""),18.259999999999998)</f>
        <v>18.26</v>
      </c>
      <c r="BR638" s="71">
        <f>IFERROR(__xludf.DUMMYFUNCTION("""COMPUTED_VALUE"""),2.9215999999999998)</f>
        <v>2.9216</v>
      </c>
      <c r="BS638" s="71">
        <f>IFERROR(__xludf.DUMMYFUNCTION("""COMPUTED_VALUE"""),21.181599999999996)</f>
        <v>21.1816</v>
      </c>
      <c r="BT638" s="71">
        <f>IFERROR(__xludf.DUMMYFUNCTION("""COMPUTED_VALUE"""),17.6)</f>
        <v>17.6</v>
      </c>
      <c r="BU638" s="71">
        <f>IFERROR(__xludf.DUMMYFUNCTION("""COMPUTED_VALUE"""),2.8160000000000003)</f>
        <v>2.816</v>
      </c>
      <c r="BV638" s="71">
        <f>IFERROR(__xludf.DUMMYFUNCTION("""COMPUTED_VALUE"""),20.416)</f>
        <v>20.416</v>
      </c>
    </row>
    <row r="639">
      <c r="A639" s="53">
        <v>1.0</v>
      </c>
      <c r="B639" s="72"/>
      <c r="C639" s="120" t="s">
        <v>603</v>
      </c>
      <c r="D639" s="74" t="s">
        <v>1538</v>
      </c>
      <c r="E639" s="54" t="s">
        <v>38</v>
      </c>
      <c r="F639" s="54" t="s">
        <v>42</v>
      </c>
      <c r="G639" s="141" t="s">
        <v>1539</v>
      </c>
      <c r="H639" s="141" t="s">
        <v>1539</v>
      </c>
      <c r="I639" s="54">
        <f t="shared" si="24"/>
        <v>25</v>
      </c>
      <c r="J639" s="56"/>
      <c r="K639" s="75"/>
      <c r="L639" s="76"/>
      <c r="M639" s="59"/>
      <c r="N639" s="60">
        <v>172.0</v>
      </c>
      <c r="O639" s="61">
        <v>185.0</v>
      </c>
      <c r="P639" s="62">
        <v>90.0</v>
      </c>
      <c r="Q639" s="63">
        <v>90.0</v>
      </c>
      <c r="R639" s="64">
        <v>125.0</v>
      </c>
      <c r="S639" s="111">
        <v>131.0</v>
      </c>
      <c r="T639" s="65">
        <f t="shared" si="2"/>
        <v>20.96</v>
      </c>
      <c r="U639" s="65">
        <f t="shared" si="3"/>
        <v>151.96</v>
      </c>
      <c r="V639" s="66">
        <f t="shared" si="4"/>
        <v>0.048</v>
      </c>
      <c r="W639" s="67">
        <f t="shared" si="5"/>
        <v>124.45</v>
      </c>
      <c r="X639" s="67">
        <f t="shared" si="6"/>
        <v>19.912</v>
      </c>
      <c r="Y639" s="67">
        <f t="shared" si="7"/>
        <v>144.362</v>
      </c>
      <c r="Z639" s="67">
        <f t="shared" si="8"/>
        <v>117.9</v>
      </c>
      <c r="AA639" s="67">
        <f t="shared" si="9"/>
        <v>18.864</v>
      </c>
      <c r="AB639" s="67">
        <f t="shared" si="10"/>
        <v>136.764</v>
      </c>
      <c r="AC639" s="67">
        <f t="shared" si="11"/>
        <v>111.35</v>
      </c>
      <c r="AD639" s="67">
        <f t="shared" si="12"/>
        <v>17.816</v>
      </c>
      <c r="AE639" s="67">
        <f t="shared" si="13"/>
        <v>129.166</v>
      </c>
      <c r="AF639" s="67">
        <f t="shared" si="14"/>
        <v>108.73</v>
      </c>
      <c r="AG639" s="67">
        <f t="shared" si="15"/>
        <v>17.3968</v>
      </c>
      <c r="AH639" s="67">
        <f t="shared" si="16"/>
        <v>126.1268</v>
      </c>
      <c r="AI639" s="67">
        <f t="shared" si="17"/>
        <v>104.8</v>
      </c>
      <c r="AJ639" s="68">
        <f t="shared" si="27"/>
        <v>16.768</v>
      </c>
      <c r="AK639" s="68">
        <f t="shared" si="28"/>
        <v>121.568</v>
      </c>
      <c r="AL639" s="70">
        <f>IFERROR(__xludf.DUMMYFUNCTION("""COMPUTED_VALUE"""),1.0)</f>
        <v>1</v>
      </c>
      <c r="AM639" s="70"/>
      <c r="AN639" s="71" t="str">
        <f>IFERROR(__xludf.DUMMYFUNCTION("""COMPUTED_VALUE""")," C")</f>
        <v>C</v>
      </c>
      <c r="AO639" s="71" t="str">
        <f>IFERROR(__xludf.DUMMYFUNCTION("""COMPUTED_VALUE""")," GF01")</f>
        <v>GF01</v>
      </c>
      <c r="AP639" s="71" t="str">
        <f>IFERROR(__xludf.DUMMYFUNCTION("""COMPUTED_VALUE""")," PZA")</f>
        <v>PZA</v>
      </c>
      <c r="AQ639" s="71" t="str">
        <f>IFERROR(__xludf.DUMMYFUNCTION("""COMPUTED_VALUE""")," REF")</f>
        <v>REF</v>
      </c>
      <c r="AR639" s="71" t="str">
        <f>IFERROR(__xludf.DUMMYFUNCTION("""COMPUTED_VALUE""")," GRAFITO DE ESCAMA ALTA PUREZA (BOLSA)")</f>
        <v>GRAFITO DE ESCAMA ALTA PUREZA (BOLSA)</v>
      </c>
      <c r="AS639" s="71" t="str">
        <f>IFERROR(__xludf.DUMMYFUNCTION("""COMPUTED_VALUE""")," GRAFITO ESCAMA ALTA PUREZA (BOLSA)")</f>
        <v>GRAFITO ESCAMA ALTA PUREZA (BOLSA)</v>
      </c>
      <c r="AT639" s="71">
        <f>IFERROR(__xludf.DUMMYFUNCTION("""COMPUTED_VALUE"""),34.0)</f>
        <v>34</v>
      </c>
      <c r="AU639" s="71"/>
      <c r="AV639" s="71"/>
      <c r="AW639" s="71"/>
      <c r="AX639" s="71"/>
      <c r="AY639" s="71">
        <f>IFERROR(__xludf.DUMMYFUNCTION("""COMPUTED_VALUE"""),218.0)</f>
        <v>218</v>
      </c>
      <c r="AZ639" s="71">
        <f>IFERROR(__xludf.DUMMYFUNCTION("""COMPUTED_VALUE"""),235.0)</f>
        <v>235</v>
      </c>
      <c r="BA639" s="71">
        <f>IFERROR(__xludf.DUMMYFUNCTION("""COMPUTED_VALUE"""),253.8)</f>
        <v>253.8</v>
      </c>
      <c r="BB639" s="71">
        <f>IFERROR(__xludf.DUMMYFUNCTION("""COMPUTED_VALUE"""),253.8)</f>
        <v>253.8</v>
      </c>
      <c r="BC639" s="71">
        <f>IFERROR(__xludf.DUMMYFUNCTION("""COMPUTED_VALUE"""),284.0)</f>
        <v>284</v>
      </c>
      <c r="BD639" s="71">
        <f>IFERROR(__xludf.DUMMYFUNCTION("""COMPUTED_VALUE"""),298.0)</f>
        <v>298</v>
      </c>
      <c r="BE639" s="71">
        <f>IFERROR(__xludf.DUMMYFUNCTION("""COMPUTED_VALUE"""),47.68)</f>
        <v>47.68</v>
      </c>
      <c r="BF639" s="71">
        <f>IFERROR(__xludf.DUMMYFUNCTION("""COMPUTED_VALUE"""),345.68)</f>
        <v>345.68</v>
      </c>
      <c r="BG639" s="71">
        <f>IFERROR(__xludf.DUMMYFUNCTION("""COMPUTED_VALUE"""),0.04929577464788732)</f>
        <v>0.04929577465</v>
      </c>
      <c r="BH639" s="71">
        <f>IFERROR(__xludf.DUMMYFUNCTION("""COMPUTED_VALUE"""),283.09999999999997)</f>
        <v>283.1</v>
      </c>
      <c r="BI639" s="71">
        <f>IFERROR(__xludf.DUMMYFUNCTION("""COMPUTED_VALUE"""),45.29599999999999)</f>
        <v>45.296</v>
      </c>
      <c r="BJ639" s="71">
        <f>IFERROR(__xludf.DUMMYFUNCTION("""COMPUTED_VALUE"""),328.39599999999996)</f>
        <v>328.396</v>
      </c>
      <c r="BK639" s="71">
        <f>IFERROR(__xludf.DUMMYFUNCTION("""COMPUTED_VALUE"""),268.2)</f>
        <v>268.2</v>
      </c>
      <c r="BL639" s="71">
        <f>IFERROR(__xludf.DUMMYFUNCTION("""COMPUTED_VALUE"""),42.912)</f>
        <v>42.912</v>
      </c>
      <c r="BM639" s="71">
        <f>IFERROR(__xludf.DUMMYFUNCTION("""COMPUTED_VALUE"""),311.11199999999997)</f>
        <v>311.112</v>
      </c>
      <c r="BN639" s="71">
        <f>IFERROR(__xludf.DUMMYFUNCTION("""COMPUTED_VALUE"""),253.29999999999998)</f>
        <v>253.3</v>
      </c>
      <c r="BO639" s="71">
        <f>IFERROR(__xludf.DUMMYFUNCTION("""COMPUTED_VALUE"""),40.528)</f>
        <v>40.528</v>
      </c>
      <c r="BP639" s="71">
        <f>IFERROR(__xludf.DUMMYFUNCTION("""COMPUTED_VALUE"""),293.828)</f>
        <v>293.828</v>
      </c>
      <c r="BQ639" s="71">
        <f>IFERROR(__xludf.DUMMYFUNCTION("""COMPUTED_VALUE"""),247.33999999999997)</f>
        <v>247.34</v>
      </c>
      <c r="BR639" s="71">
        <f>IFERROR(__xludf.DUMMYFUNCTION("""COMPUTED_VALUE"""),39.5744)</f>
        <v>39.5744</v>
      </c>
      <c r="BS639" s="71">
        <f>IFERROR(__xludf.DUMMYFUNCTION("""COMPUTED_VALUE"""),286.9144)</f>
        <v>286.9144</v>
      </c>
      <c r="BT639" s="71">
        <f>IFERROR(__xludf.DUMMYFUNCTION("""COMPUTED_VALUE"""),238.4)</f>
        <v>238.4</v>
      </c>
      <c r="BU639" s="71">
        <f>IFERROR(__xludf.DUMMYFUNCTION("""COMPUTED_VALUE"""),38.144)</f>
        <v>38.144</v>
      </c>
      <c r="BV639" s="71">
        <f>IFERROR(__xludf.DUMMYFUNCTION("""COMPUTED_VALUE"""),276.544)</f>
        <v>276.544</v>
      </c>
    </row>
    <row r="640">
      <c r="A640" s="53">
        <v>1.0</v>
      </c>
      <c r="B640" s="53"/>
      <c r="C640" s="53" t="s">
        <v>12</v>
      </c>
      <c r="D640" s="53" t="s">
        <v>1540</v>
      </c>
      <c r="E640" s="86" t="s">
        <v>38</v>
      </c>
      <c r="F640" s="91" t="s">
        <v>42</v>
      </c>
      <c r="G640" s="141" t="s">
        <v>1541</v>
      </c>
      <c r="H640" s="141" t="s">
        <v>1541</v>
      </c>
      <c r="I640" s="54">
        <f t="shared" si="24"/>
        <v>28</v>
      </c>
      <c r="J640" s="56"/>
      <c r="K640" s="57"/>
      <c r="L640" s="126"/>
      <c r="M640" s="59"/>
      <c r="N640" s="93"/>
      <c r="O640" s="61"/>
      <c r="P640" s="90"/>
      <c r="Q640" s="94"/>
      <c r="R640" s="95">
        <v>127.0</v>
      </c>
      <c r="S640" s="111">
        <v>133.0</v>
      </c>
      <c r="T640" s="65">
        <f t="shared" si="2"/>
        <v>21.28</v>
      </c>
      <c r="U640" s="65">
        <f t="shared" si="3"/>
        <v>154.28</v>
      </c>
      <c r="V640" s="66">
        <f t="shared" si="4"/>
        <v>0.04724409449</v>
      </c>
      <c r="W640" s="67">
        <f t="shared" si="5"/>
        <v>126.35</v>
      </c>
      <c r="X640" s="67">
        <f t="shared" si="6"/>
        <v>20.216</v>
      </c>
      <c r="Y640" s="67">
        <f t="shared" si="7"/>
        <v>146.566</v>
      </c>
      <c r="Z640" s="67">
        <f t="shared" si="8"/>
        <v>119.7</v>
      </c>
      <c r="AA640" s="67">
        <f t="shared" si="9"/>
        <v>19.152</v>
      </c>
      <c r="AB640" s="67">
        <f t="shared" si="10"/>
        <v>138.852</v>
      </c>
      <c r="AC640" s="67">
        <f t="shared" si="11"/>
        <v>113.05</v>
      </c>
      <c r="AD640" s="67">
        <f t="shared" si="12"/>
        <v>18.088</v>
      </c>
      <c r="AE640" s="67">
        <f t="shared" si="13"/>
        <v>131.138</v>
      </c>
      <c r="AF640" s="67">
        <f t="shared" si="14"/>
        <v>110.39</v>
      </c>
      <c r="AG640" s="67">
        <f t="shared" si="15"/>
        <v>17.6624</v>
      </c>
      <c r="AH640" s="67">
        <f t="shared" si="16"/>
        <v>128.0524</v>
      </c>
      <c r="AI640" s="67">
        <f t="shared" si="17"/>
        <v>106.4</v>
      </c>
      <c r="AJ640" s="96"/>
      <c r="AK640" s="96"/>
      <c r="AL640" s="70">
        <f>IFERROR(__xludf.DUMMYFUNCTION("""COMPUTED_VALUE"""),1.0)</f>
        <v>1</v>
      </c>
      <c r="AM640" s="70"/>
      <c r="AN640" s="71" t="str">
        <f>IFERROR(__xludf.DUMMYFUNCTION("""COMPUTED_VALUE""")," C")</f>
        <v>C</v>
      </c>
      <c r="AO640" s="71" t="str">
        <f>IFERROR(__xludf.DUMMYFUNCTION("""COMPUTED_VALUE""")," GF02")</f>
        <v>GF02</v>
      </c>
      <c r="AP640" s="71" t="str">
        <f>IFERROR(__xludf.DUMMYFUNCTION("""COMPUTED_VALUE""")," PZA")</f>
        <v>PZA</v>
      </c>
      <c r="AQ640" s="71" t="str">
        <f>IFERROR(__xludf.DUMMYFUNCTION("""COMPUTED_VALUE""")," REF")</f>
        <v>REF</v>
      </c>
      <c r="AR640" s="71" t="str">
        <f>IFERROR(__xludf.DUMMYFUNCTION("""COMPUTED_VALUE""")," GRAFITO DE ESCAMA ALTA PUREZA (BULTO DE 25KG.)")</f>
        <v>GRAFITO DE ESCAMA ALTA PUREZA (BULTO DE 25KG.)</v>
      </c>
      <c r="AS640" s="71" t="str">
        <f>IFERROR(__xludf.DUMMYFUNCTION("""COMPUTED_VALUE""")," GRAFITO ESCAMA ALTA PUREZA BULTO 25KG")</f>
        <v>GRAFITO ESCAMA ALTA PUREZA BULTO 25KG</v>
      </c>
      <c r="AT640" s="71">
        <f>IFERROR(__xludf.DUMMYFUNCTION("""COMPUTED_VALUE"""),37.0)</f>
        <v>37</v>
      </c>
      <c r="AU640" s="71"/>
      <c r="AV640" s="71"/>
      <c r="AW640" s="71"/>
      <c r="AX640" s="71"/>
      <c r="AY640" s="71">
        <f>IFERROR(__xludf.DUMMYFUNCTION("""COMPUTED_VALUE"""),4883.0)</f>
        <v>4883</v>
      </c>
      <c r="AZ640" s="71">
        <f>IFERROR(__xludf.DUMMYFUNCTION("""COMPUTED_VALUE"""),5273.0)</f>
        <v>5273</v>
      </c>
      <c r="BA640" s="71">
        <f>IFERROR(__xludf.DUMMYFUNCTION("""COMPUTED_VALUE"""),5694.84)</f>
        <v>5694.84</v>
      </c>
      <c r="BB640" s="71">
        <f>IFERROR(__xludf.DUMMYFUNCTION("""COMPUTED_VALUE"""),5694.84)</f>
        <v>5694.84</v>
      </c>
      <c r="BC640" s="71">
        <f>IFERROR(__xludf.DUMMYFUNCTION("""COMPUTED_VALUE"""),6339.0)</f>
        <v>6339</v>
      </c>
      <c r="BD640" s="71">
        <f>IFERROR(__xludf.DUMMYFUNCTION("""COMPUTED_VALUE"""),6656.0)</f>
        <v>6656</v>
      </c>
      <c r="BE640" s="71">
        <f>IFERROR(__xludf.DUMMYFUNCTION("""COMPUTED_VALUE"""),1064.96)</f>
        <v>1064.96</v>
      </c>
      <c r="BF640" s="71">
        <f>IFERROR(__xludf.DUMMYFUNCTION("""COMPUTED_VALUE"""),7720.96)</f>
        <v>7720.96</v>
      </c>
      <c r="BG640" s="71">
        <f>IFERROR(__xludf.DUMMYFUNCTION("""COMPUTED_VALUE"""),0.05000788767944471)</f>
        <v>0.05000788768</v>
      </c>
      <c r="BH640" s="71">
        <f>IFERROR(__xludf.DUMMYFUNCTION("""COMPUTED_VALUE"""),6323.2)</f>
        <v>6323.2</v>
      </c>
      <c r="BI640" s="71">
        <f>IFERROR(__xludf.DUMMYFUNCTION("""COMPUTED_VALUE"""),1011.712)</f>
        <v>1011.712</v>
      </c>
      <c r="BJ640" s="71">
        <f>IFERROR(__xludf.DUMMYFUNCTION("""COMPUTED_VALUE"""),7334.912)</f>
        <v>7334.912</v>
      </c>
      <c r="BK640" s="71">
        <f>IFERROR(__xludf.DUMMYFUNCTION("""COMPUTED_VALUE"""),5990.400000000001)</f>
        <v>5990.4</v>
      </c>
      <c r="BL640" s="71">
        <f>IFERROR(__xludf.DUMMYFUNCTION("""COMPUTED_VALUE"""),958.464)</f>
        <v>958.464</v>
      </c>
      <c r="BM640" s="71">
        <f>IFERROR(__xludf.DUMMYFUNCTION("""COMPUTED_VALUE"""),6948.8640000000005)</f>
        <v>6948.864</v>
      </c>
      <c r="BN640" s="71">
        <f>IFERROR(__xludf.DUMMYFUNCTION("""COMPUTED_VALUE"""),5657.599999999999)</f>
        <v>5657.6</v>
      </c>
      <c r="BO640" s="71">
        <f>IFERROR(__xludf.DUMMYFUNCTION("""COMPUTED_VALUE"""),905.2159999999999)</f>
        <v>905.216</v>
      </c>
      <c r="BP640" s="71">
        <f>IFERROR(__xludf.DUMMYFUNCTION("""COMPUTED_VALUE"""),6562.815999999999)</f>
        <v>6562.816</v>
      </c>
      <c r="BQ640" s="71">
        <f>IFERROR(__xludf.DUMMYFUNCTION("""COMPUTED_VALUE"""),5524.48)</f>
        <v>5524.48</v>
      </c>
      <c r="BR640" s="71">
        <f>IFERROR(__xludf.DUMMYFUNCTION("""COMPUTED_VALUE"""),883.9168)</f>
        <v>883.9168</v>
      </c>
      <c r="BS640" s="71">
        <f>IFERROR(__xludf.DUMMYFUNCTION("""COMPUTED_VALUE"""),6408.3967999999995)</f>
        <v>6408.3968</v>
      </c>
      <c r="BT640" s="71">
        <f>IFERROR(__xludf.DUMMYFUNCTION("""COMPUTED_VALUE"""),5324.8)</f>
        <v>5324.8</v>
      </c>
      <c r="BU640" s="71">
        <f>IFERROR(__xludf.DUMMYFUNCTION("""COMPUTED_VALUE"""),851.9680000000001)</f>
        <v>851.968</v>
      </c>
      <c r="BV640" s="71">
        <f>IFERROR(__xludf.DUMMYFUNCTION("""COMPUTED_VALUE"""),6176.768)</f>
        <v>6176.768</v>
      </c>
    </row>
    <row r="641">
      <c r="A641" s="53">
        <v>1.0</v>
      </c>
      <c r="B641" s="72"/>
      <c r="C641" s="120" t="s">
        <v>603</v>
      </c>
      <c r="D641" s="74" t="s">
        <v>1542</v>
      </c>
      <c r="E641" s="54" t="s">
        <v>38</v>
      </c>
      <c r="F641" s="54" t="s">
        <v>42</v>
      </c>
      <c r="G641" s="141" t="s">
        <v>1543</v>
      </c>
      <c r="H641" s="141" t="s">
        <v>1543</v>
      </c>
      <c r="I641" s="54">
        <f t="shared" si="24"/>
        <v>29</v>
      </c>
      <c r="J641" s="56"/>
      <c r="K641" s="75"/>
      <c r="L641" s="76"/>
      <c r="M641" s="59"/>
      <c r="N641" s="60">
        <v>194.0</v>
      </c>
      <c r="O641" s="61">
        <v>209.0</v>
      </c>
      <c r="P641" s="62">
        <v>100.0</v>
      </c>
      <c r="Q641" s="63">
        <v>100.0</v>
      </c>
      <c r="R641" s="64">
        <v>131.0</v>
      </c>
      <c r="S641" s="111">
        <v>138.0</v>
      </c>
      <c r="T641" s="65">
        <f t="shared" si="2"/>
        <v>22.08</v>
      </c>
      <c r="U641" s="65">
        <f t="shared" si="3"/>
        <v>160.08</v>
      </c>
      <c r="V641" s="66">
        <f t="shared" si="4"/>
        <v>0.0534351145</v>
      </c>
      <c r="W641" s="67">
        <f t="shared" si="5"/>
        <v>131.1</v>
      </c>
      <c r="X641" s="67">
        <f t="shared" si="6"/>
        <v>20.976</v>
      </c>
      <c r="Y641" s="67">
        <f t="shared" si="7"/>
        <v>152.076</v>
      </c>
      <c r="Z641" s="67">
        <f t="shared" si="8"/>
        <v>124.2</v>
      </c>
      <c r="AA641" s="67">
        <f t="shared" si="9"/>
        <v>19.872</v>
      </c>
      <c r="AB641" s="67">
        <f t="shared" si="10"/>
        <v>144.072</v>
      </c>
      <c r="AC641" s="67">
        <f t="shared" si="11"/>
        <v>117.3</v>
      </c>
      <c r="AD641" s="67">
        <f t="shared" si="12"/>
        <v>18.768</v>
      </c>
      <c r="AE641" s="67">
        <f t="shared" si="13"/>
        <v>136.068</v>
      </c>
      <c r="AF641" s="67">
        <f t="shared" si="14"/>
        <v>114.54</v>
      </c>
      <c r="AG641" s="67">
        <f t="shared" si="15"/>
        <v>18.3264</v>
      </c>
      <c r="AH641" s="67">
        <f t="shared" si="16"/>
        <v>132.8664</v>
      </c>
      <c r="AI641" s="67">
        <f t="shared" si="17"/>
        <v>110.4</v>
      </c>
      <c r="AJ641" s="68">
        <f t="shared" ref="AJ641:AJ649" si="29">AI641*0.16</f>
        <v>17.664</v>
      </c>
      <c r="AK641" s="68">
        <f t="shared" ref="AK641:AK649" si="30">AI641+AJ641</f>
        <v>128.064</v>
      </c>
      <c r="AL641" s="70">
        <f>IFERROR(__xludf.DUMMYFUNCTION("""COMPUTED_VALUE"""),1.0)</f>
        <v>1</v>
      </c>
      <c r="AM641" s="70"/>
      <c r="AN641" s="71" t="str">
        <f>IFERROR(__xludf.DUMMYFUNCTION("""COMPUTED_VALUE""")," C")</f>
        <v>C</v>
      </c>
      <c r="AO641" s="71" t="str">
        <f>IFERROR(__xludf.DUMMYFUNCTION("""COMPUTED_VALUE""")," GF05")</f>
        <v>GF05</v>
      </c>
      <c r="AP641" s="71" t="str">
        <f>IFERROR(__xludf.DUMMYFUNCTION("""COMPUTED_VALUE""")," PZA")</f>
        <v>PZA</v>
      </c>
      <c r="AQ641" s="71" t="str">
        <f>IFERROR(__xludf.DUMMYFUNCTION("""COMPUTED_VALUE""")," REF")</f>
        <v>REF</v>
      </c>
      <c r="AR641" s="71" t="str">
        <f>IFERROR(__xludf.DUMMYFUNCTION("""COMPUTED_VALUE""")," GRAFITO LÍQUIDO (CUBETA DE 20LT.)")</f>
        <v>GRAFITO LÍQUIDO (CUBETA DE 20LT.)</v>
      </c>
      <c r="AS641" s="71" t="str">
        <f>IFERROR(__xludf.DUMMYFUNCTION("""COMPUTED_VALUE""")," GRAFITO LIQUIDO CUBETA")</f>
        <v>GRAFITO LIQUIDO CUBETA</v>
      </c>
      <c r="AT641" s="71">
        <f>IFERROR(__xludf.DUMMYFUNCTION("""COMPUTED_VALUE"""),22.0)</f>
        <v>22</v>
      </c>
      <c r="AU641" s="71"/>
      <c r="AV641" s="71"/>
      <c r="AW641" s="71"/>
      <c r="AX641" s="71"/>
      <c r="AY641" s="71">
        <f>IFERROR(__xludf.DUMMYFUNCTION("""COMPUTED_VALUE"""),960.0)</f>
        <v>960</v>
      </c>
      <c r="AZ641" s="71">
        <f>IFERROR(__xludf.DUMMYFUNCTION("""COMPUTED_VALUE"""),1036.0)</f>
        <v>1036</v>
      </c>
      <c r="BA641" s="71">
        <f>IFERROR(__xludf.DUMMYFUNCTION("""COMPUTED_VALUE"""),1118.88)</f>
        <v>1118.88</v>
      </c>
      <c r="BB641" s="71">
        <f>IFERROR(__xludf.DUMMYFUNCTION("""COMPUTED_VALUE"""),1118.88)</f>
        <v>1118.88</v>
      </c>
      <c r="BC641" s="71">
        <f>IFERROR(__xludf.DUMMYFUNCTION("""COMPUTED_VALUE"""),1247.0)</f>
        <v>1247</v>
      </c>
      <c r="BD641" s="71">
        <f>IFERROR(__xludf.DUMMYFUNCTION("""COMPUTED_VALUE"""),1309.0)</f>
        <v>1309</v>
      </c>
      <c r="BE641" s="71">
        <f>IFERROR(__xludf.DUMMYFUNCTION("""COMPUTED_VALUE"""),209.44)</f>
        <v>209.44</v>
      </c>
      <c r="BF641" s="71">
        <f>IFERROR(__xludf.DUMMYFUNCTION("""COMPUTED_VALUE"""),1518.44)</f>
        <v>1518.44</v>
      </c>
      <c r="BG641" s="71">
        <f>IFERROR(__xludf.DUMMYFUNCTION("""COMPUTED_VALUE"""),0.04971932638331997)</f>
        <v>0.04971932638</v>
      </c>
      <c r="BH641" s="71">
        <f>IFERROR(__xludf.DUMMYFUNCTION("""COMPUTED_VALUE"""),1243.55)</f>
        <v>1243.55</v>
      </c>
      <c r="BI641" s="71">
        <f>IFERROR(__xludf.DUMMYFUNCTION("""COMPUTED_VALUE"""),198.968)</f>
        <v>198.968</v>
      </c>
      <c r="BJ641" s="71">
        <f>IFERROR(__xludf.DUMMYFUNCTION("""COMPUTED_VALUE"""),1442.518)</f>
        <v>1442.518</v>
      </c>
      <c r="BK641" s="71">
        <f>IFERROR(__xludf.DUMMYFUNCTION("""COMPUTED_VALUE"""),1178.1000000000001)</f>
        <v>1178.1</v>
      </c>
      <c r="BL641" s="71">
        <f>IFERROR(__xludf.DUMMYFUNCTION("""COMPUTED_VALUE"""),188.49600000000004)</f>
        <v>188.496</v>
      </c>
      <c r="BM641" s="71">
        <f>IFERROR(__xludf.DUMMYFUNCTION("""COMPUTED_VALUE"""),1366.5960000000002)</f>
        <v>1366.596</v>
      </c>
      <c r="BN641" s="71">
        <f>IFERROR(__xludf.DUMMYFUNCTION("""COMPUTED_VALUE"""),1112.6499999999999)</f>
        <v>1112.65</v>
      </c>
      <c r="BO641" s="71">
        <f>IFERROR(__xludf.DUMMYFUNCTION("""COMPUTED_VALUE"""),178.02399999999997)</f>
        <v>178.024</v>
      </c>
      <c r="BP641" s="71">
        <f>IFERROR(__xludf.DUMMYFUNCTION("""COMPUTED_VALUE"""),1290.6739999999998)</f>
        <v>1290.674</v>
      </c>
      <c r="BQ641" s="71">
        <f>IFERROR(__xludf.DUMMYFUNCTION("""COMPUTED_VALUE"""),1086.47)</f>
        <v>1086.47</v>
      </c>
      <c r="BR641" s="71">
        <f>IFERROR(__xludf.DUMMYFUNCTION("""COMPUTED_VALUE"""),173.83520000000001)</f>
        <v>173.8352</v>
      </c>
      <c r="BS641" s="71">
        <f>IFERROR(__xludf.DUMMYFUNCTION("""COMPUTED_VALUE"""),1260.3052)</f>
        <v>1260.3052</v>
      </c>
      <c r="BT641" s="71">
        <f>IFERROR(__xludf.DUMMYFUNCTION("""COMPUTED_VALUE"""),1047.2)</f>
        <v>1047.2</v>
      </c>
      <c r="BU641" s="71">
        <f>IFERROR(__xludf.DUMMYFUNCTION("""COMPUTED_VALUE"""),167.55200000000002)</f>
        <v>167.552</v>
      </c>
      <c r="BV641" s="71">
        <f>IFERROR(__xludf.DUMMYFUNCTION("""COMPUTED_VALUE"""),1214.752)</f>
        <v>1214.752</v>
      </c>
    </row>
    <row r="642">
      <c r="A642" s="53">
        <v>1.0</v>
      </c>
      <c r="B642" s="72"/>
      <c r="C642" s="120" t="s">
        <v>603</v>
      </c>
      <c r="D642" s="74" t="s">
        <v>1544</v>
      </c>
      <c r="E642" s="54" t="s">
        <v>38</v>
      </c>
      <c r="F642" s="54" t="s">
        <v>42</v>
      </c>
      <c r="G642" s="141" t="s">
        <v>1545</v>
      </c>
      <c r="H642" s="141" t="s">
        <v>1545</v>
      </c>
      <c r="I642" s="54">
        <f t="shared" si="24"/>
        <v>25</v>
      </c>
      <c r="J642" s="56"/>
      <c r="K642" s="75"/>
      <c r="L642" s="76"/>
      <c r="M642" s="59"/>
      <c r="N642" s="60">
        <v>194.0</v>
      </c>
      <c r="O642" s="61">
        <v>209.0</v>
      </c>
      <c r="P642" s="62">
        <v>100.0</v>
      </c>
      <c r="Q642" s="63">
        <v>100.0</v>
      </c>
      <c r="R642" s="78">
        <v>131.0</v>
      </c>
      <c r="S642" s="111">
        <v>138.0</v>
      </c>
      <c r="T642" s="65">
        <f t="shared" si="2"/>
        <v>22.08</v>
      </c>
      <c r="U642" s="65">
        <f t="shared" si="3"/>
        <v>160.08</v>
      </c>
      <c r="V642" s="66">
        <f t="shared" si="4"/>
        <v>0.0534351145</v>
      </c>
      <c r="W642" s="67">
        <f t="shared" si="5"/>
        <v>131.1</v>
      </c>
      <c r="X642" s="67">
        <f t="shared" si="6"/>
        <v>20.976</v>
      </c>
      <c r="Y642" s="67">
        <f t="shared" si="7"/>
        <v>152.076</v>
      </c>
      <c r="Z642" s="67">
        <f t="shared" si="8"/>
        <v>124.2</v>
      </c>
      <c r="AA642" s="67">
        <f t="shared" si="9"/>
        <v>19.872</v>
      </c>
      <c r="AB642" s="67">
        <f t="shared" si="10"/>
        <v>144.072</v>
      </c>
      <c r="AC642" s="67">
        <f t="shared" si="11"/>
        <v>117.3</v>
      </c>
      <c r="AD642" s="67">
        <f t="shared" si="12"/>
        <v>18.768</v>
      </c>
      <c r="AE642" s="67">
        <f t="shared" si="13"/>
        <v>136.068</v>
      </c>
      <c r="AF642" s="67">
        <f t="shared" si="14"/>
        <v>114.54</v>
      </c>
      <c r="AG642" s="67">
        <f t="shared" si="15"/>
        <v>18.3264</v>
      </c>
      <c r="AH642" s="67">
        <f t="shared" si="16"/>
        <v>132.8664</v>
      </c>
      <c r="AI642" s="67">
        <f t="shared" si="17"/>
        <v>110.4</v>
      </c>
      <c r="AJ642" s="68">
        <f t="shared" si="29"/>
        <v>17.664</v>
      </c>
      <c r="AK642" s="68">
        <f t="shared" si="30"/>
        <v>128.064</v>
      </c>
      <c r="AL642" s="70">
        <f>IFERROR(__xludf.DUMMYFUNCTION("""COMPUTED_VALUE"""),1.0)</f>
        <v>1</v>
      </c>
      <c r="AM642" s="70"/>
      <c r="AN642" s="71" t="str">
        <f>IFERROR(__xludf.DUMMYFUNCTION("""COMPUTED_VALUE""")," C")</f>
        <v>C</v>
      </c>
      <c r="AO642" s="71" t="str">
        <f>IFERROR(__xludf.DUMMYFUNCTION("""COMPUTED_VALUE""")," GF04")</f>
        <v>GF04</v>
      </c>
      <c r="AP642" s="71" t="str">
        <f>IFERROR(__xludf.DUMMYFUNCTION("""COMPUTED_VALUE""")," PZA")</f>
        <v>PZA</v>
      </c>
      <c r="AQ642" s="71" t="str">
        <f>IFERROR(__xludf.DUMMYFUNCTION("""COMPUTED_VALUE""")," REF")</f>
        <v>REF</v>
      </c>
      <c r="AR642" s="71" t="str">
        <f>IFERROR(__xludf.DUMMYFUNCTION("""COMPUTED_VALUE""")," GRAFITO LÍQUIDO (GALÓN)")</f>
        <v>GRAFITO LÍQUIDO (GALÓN)</v>
      </c>
      <c r="AS642" s="71" t="str">
        <f>IFERROR(__xludf.DUMMYFUNCTION("""COMPUTED_VALUE""")," GRAFITO LIQUIDO GALON")</f>
        <v>GRAFITO LIQUIDO GALON</v>
      </c>
      <c r="AT642" s="71">
        <f>IFERROR(__xludf.DUMMYFUNCTION("""COMPUTED_VALUE"""),21.0)</f>
        <v>21</v>
      </c>
      <c r="AU642" s="71"/>
      <c r="AV642" s="71"/>
      <c r="AW642" s="71"/>
      <c r="AX642" s="71"/>
      <c r="AY642" s="71">
        <f>IFERROR(__xludf.DUMMYFUNCTION("""COMPUTED_VALUE"""),217.0)</f>
        <v>217</v>
      </c>
      <c r="AZ642" s="71">
        <f>IFERROR(__xludf.DUMMYFUNCTION("""COMPUTED_VALUE"""),234.0)</f>
        <v>234</v>
      </c>
      <c r="BA642" s="71">
        <f>IFERROR(__xludf.DUMMYFUNCTION("""COMPUTED_VALUE"""),252.72000000000003)</f>
        <v>252.72</v>
      </c>
      <c r="BB642" s="71">
        <f>IFERROR(__xludf.DUMMYFUNCTION("""COMPUTED_VALUE"""),252.72000000000003)</f>
        <v>252.72</v>
      </c>
      <c r="BC642" s="71">
        <f>IFERROR(__xludf.DUMMYFUNCTION("""COMPUTED_VALUE"""),280.0)</f>
        <v>280</v>
      </c>
      <c r="BD642" s="71">
        <f>IFERROR(__xludf.DUMMYFUNCTION("""COMPUTED_VALUE"""),294.0)</f>
        <v>294</v>
      </c>
      <c r="BE642" s="71">
        <f>IFERROR(__xludf.DUMMYFUNCTION("""COMPUTED_VALUE"""),47.04)</f>
        <v>47.04</v>
      </c>
      <c r="BF642" s="71">
        <f>IFERROR(__xludf.DUMMYFUNCTION("""COMPUTED_VALUE"""),341.04)</f>
        <v>341.04</v>
      </c>
      <c r="BG642" s="71">
        <f>IFERROR(__xludf.DUMMYFUNCTION("""COMPUTED_VALUE"""),0.05)</f>
        <v>0.05</v>
      </c>
      <c r="BH642" s="71">
        <f>IFERROR(__xludf.DUMMYFUNCTION("""COMPUTED_VALUE"""),279.3)</f>
        <v>279.3</v>
      </c>
      <c r="BI642" s="71">
        <f>IFERROR(__xludf.DUMMYFUNCTION("""COMPUTED_VALUE"""),44.688)</f>
        <v>44.688</v>
      </c>
      <c r="BJ642" s="71">
        <f>IFERROR(__xludf.DUMMYFUNCTION("""COMPUTED_VALUE"""),323.988)</f>
        <v>323.988</v>
      </c>
      <c r="BK642" s="71">
        <f>IFERROR(__xludf.DUMMYFUNCTION("""COMPUTED_VALUE"""),264.6)</f>
        <v>264.6</v>
      </c>
      <c r="BL642" s="71">
        <f>IFERROR(__xludf.DUMMYFUNCTION("""COMPUTED_VALUE"""),42.336000000000006)</f>
        <v>42.336</v>
      </c>
      <c r="BM642" s="71">
        <f>IFERROR(__xludf.DUMMYFUNCTION("""COMPUTED_VALUE"""),306.93600000000004)</f>
        <v>306.936</v>
      </c>
      <c r="BN642" s="71">
        <f>IFERROR(__xludf.DUMMYFUNCTION("""COMPUTED_VALUE"""),249.9)</f>
        <v>249.9</v>
      </c>
      <c r="BO642" s="71">
        <f>IFERROR(__xludf.DUMMYFUNCTION("""COMPUTED_VALUE"""),39.984)</f>
        <v>39.984</v>
      </c>
      <c r="BP642" s="71">
        <f>IFERROR(__xludf.DUMMYFUNCTION("""COMPUTED_VALUE"""),289.884)</f>
        <v>289.884</v>
      </c>
      <c r="BQ642" s="71">
        <f>IFERROR(__xludf.DUMMYFUNCTION("""COMPUTED_VALUE"""),244.01999999999998)</f>
        <v>244.02</v>
      </c>
      <c r="BR642" s="71">
        <f>IFERROR(__xludf.DUMMYFUNCTION("""COMPUTED_VALUE"""),39.0432)</f>
        <v>39.0432</v>
      </c>
      <c r="BS642" s="71">
        <f>IFERROR(__xludf.DUMMYFUNCTION("""COMPUTED_VALUE"""),283.0632)</f>
        <v>283.0632</v>
      </c>
      <c r="BT642" s="71">
        <f>IFERROR(__xludf.DUMMYFUNCTION("""COMPUTED_VALUE"""),235.20000000000002)</f>
        <v>235.2</v>
      </c>
      <c r="BU642" s="71">
        <f>IFERROR(__xludf.DUMMYFUNCTION("""COMPUTED_VALUE"""),37.632000000000005)</f>
        <v>37.632</v>
      </c>
      <c r="BV642" s="71">
        <f>IFERROR(__xludf.DUMMYFUNCTION("""COMPUTED_VALUE"""),272.832)</f>
        <v>272.832</v>
      </c>
    </row>
    <row r="643">
      <c r="A643" s="53">
        <v>1.0</v>
      </c>
      <c r="B643" s="53"/>
      <c r="C643" s="73" t="s">
        <v>53</v>
      </c>
      <c r="D643" s="53" t="s">
        <v>1546</v>
      </c>
      <c r="E643" s="54" t="s">
        <v>38</v>
      </c>
      <c r="F643" s="54" t="s">
        <v>42</v>
      </c>
      <c r="G643" s="142" t="s">
        <v>1547</v>
      </c>
      <c r="H643" s="142" t="s">
        <v>1547</v>
      </c>
      <c r="I643" s="54">
        <f t="shared" si="24"/>
        <v>29</v>
      </c>
      <c r="J643" s="56"/>
      <c r="K643" s="75"/>
      <c r="L643" s="76"/>
      <c r="M643" s="59"/>
      <c r="N643" s="60"/>
      <c r="O643" s="90"/>
      <c r="P643" s="62">
        <v>110.0</v>
      </c>
      <c r="Q643" s="63">
        <v>110.0</v>
      </c>
      <c r="R643" s="64">
        <v>119.0</v>
      </c>
      <c r="S643" s="111">
        <v>125.0</v>
      </c>
      <c r="T643" s="65">
        <f t="shared" si="2"/>
        <v>20</v>
      </c>
      <c r="U643" s="65">
        <f t="shared" si="3"/>
        <v>145</v>
      </c>
      <c r="V643" s="66">
        <f t="shared" si="4"/>
        <v>0.05042016807</v>
      </c>
      <c r="W643" s="67">
        <f t="shared" si="5"/>
        <v>118.75</v>
      </c>
      <c r="X643" s="67">
        <f t="shared" si="6"/>
        <v>19</v>
      </c>
      <c r="Y643" s="67">
        <f t="shared" si="7"/>
        <v>137.75</v>
      </c>
      <c r="Z643" s="67">
        <f t="shared" si="8"/>
        <v>112.5</v>
      </c>
      <c r="AA643" s="67">
        <f t="shared" si="9"/>
        <v>18</v>
      </c>
      <c r="AB643" s="67">
        <f t="shared" si="10"/>
        <v>130.5</v>
      </c>
      <c r="AC643" s="67">
        <f t="shared" si="11"/>
        <v>106.25</v>
      </c>
      <c r="AD643" s="67">
        <f t="shared" si="12"/>
        <v>17</v>
      </c>
      <c r="AE643" s="67">
        <f t="shared" si="13"/>
        <v>123.25</v>
      </c>
      <c r="AF643" s="67">
        <f t="shared" si="14"/>
        <v>103.75</v>
      </c>
      <c r="AG643" s="67">
        <f t="shared" si="15"/>
        <v>16.6</v>
      </c>
      <c r="AH643" s="67">
        <f t="shared" si="16"/>
        <v>120.35</v>
      </c>
      <c r="AI643" s="67">
        <f t="shared" si="17"/>
        <v>100</v>
      </c>
      <c r="AJ643" s="68">
        <f t="shared" si="29"/>
        <v>16</v>
      </c>
      <c r="AK643" s="68">
        <f t="shared" si="30"/>
        <v>116</v>
      </c>
      <c r="AL643" s="70">
        <f>IFERROR(__xludf.DUMMYFUNCTION("""COMPUTED_VALUE"""),1.0)</f>
        <v>1</v>
      </c>
      <c r="AM643" s="70"/>
      <c r="AN643" s="71" t="str">
        <f>IFERROR(__xludf.DUMMYFUNCTION("""COMPUTED_VALUE""")," C")</f>
        <v>C</v>
      </c>
      <c r="AO643" s="71" t="str">
        <f>IFERROR(__xludf.DUMMYFUNCTION("""COMPUTED_VALUE""")," GF03")</f>
        <v>GF03</v>
      </c>
      <c r="AP643" s="71" t="str">
        <f>IFERROR(__xludf.DUMMYFUNCTION("""COMPUTED_VALUE""")," PZA")</f>
        <v>PZA</v>
      </c>
      <c r="AQ643" s="71" t="str">
        <f>IFERROR(__xludf.DUMMYFUNCTION("""COMPUTED_VALUE""")," REF")</f>
        <v>REF</v>
      </c>
      <c r="AR643" s="71" t="str">
        <f>IFERROR(__xludf.DUMMYFUNCTION("""COMPUTED_VALUE""")," GRAFITO LÍQUIDO (LITRO)")</f>
        <v>GRAFITO LÍQUIDO (LITRO)</v>
      </c>
      <c r="AS643" s="71" t="str">
        <f>IFERROR(__xludf.DUMMYFUNCTION("""COMPUTED_VALUE""")," GRAFITO LIQUIDO LITRO")</f>
        <v>GRAFITO LIQUIDO LITRO</v>
      </c>
      <c r="AT643" s="71">
        <f>IFERROR(__xludf.DUMMYFUNCTION("""COMPUTED_VALUE"""),21.0)</f>
        <v>21</v>
      </c>
      <c r="AU643" s="71"/>
      <c r="AV643" s="71"/>
      <c r="AW643" s="71"/>
      <c r="AX643" s="71"/>
      <c r="AY643" s="71">
        <f>IFERROR(__xludf.DUMMYFUNCTION("""COMPUTED_VALUE"""),61.0)</f>
        <v>61</v>
      </c>
      <c r="AZ643" s="71">
        <f>IFERROR(__xludf.DUMMYFUNCTION("""COMPUTED_VALUE"""),65.0)</f>
        <v>65</v>
      </c>
      <c r="BA643" s="71">
        <f>IFERROR(__xludf.DUMMYFUNCTION("""COMPUTED_VALUE"""),70.2)</f>
        <v>70.2</v>
      </c>
      <c r="BB643" s="71">
        <f>IFERROR(__xludf.DUMMYFUNCTION("""COMPUTED_VALUE"""),70.2)</f>
        <v>70.2</v>
      </c>
      <c r="BC643" s="71">
        <f>IFERROR(__xludf.DUMMYFUNCTION("""COMPUTED_VALUE"""),79.0)</f>
        <v>79</v>
      </c>
      <c r="BD643" s="71">
        <f>IFERROR(__xludf.DUMMYFUNCTION("""COMPUTED_VALUE"""),83.0)</f>
        <v>83</v>
      </c>
      <c r="BE643" s="71">
        <f>IFERROR(__xludf.DUMMYFUNCTION("""COMPUTED_VALUE"""),13.280000000000001)</f>
        <v>13.28</v>
      </c>
      <c r="BF643" s="71">
        <f>IFERROR(__xludf.DUMMYFUNCTION("""COMPUTED_VALUE"""),96.28)</f>
        <v>96.28</v>
      </c>
      <c r="BG643" s="71">
        <f>IFERROR(__xludf.DUMMYFUNCTION("""COMPUTED_VALUE"""),0.05063291139240506)</f>
        <v>0.05063291139</v>
      </c>
      <c r="BH643" s="71">
        <f>IFERROR(__xludf.DUMMYFUNCTION("""COMPUTED_VALUE"""),78.85)</f>
        <v>78.85</v>
      </c>
      <c r="BI643" s="71">
        <f>IFERROR(__xludf.DUMMYFUNCTION("""COMPUTED_VALUE"""),12.616)</f>
        <v>12.616</v>
      </c>
      <c r="BJ643" s="71">
        <f>IFERROR(__xludf.DUMMYFUNCTION("""COMPUTED_VALUE"""),91.466)</f>
        <v>91.466</v>
      </c>
      <c r="BK643" s="71">
        <f>IFERROR(__xludf.DUMMYFUNCTION("""COMPUTED_VALUE"""),74.7)</f>
        <v>74.7</v>
      </c>
      <c r="BL643" s="71">
        <f>IFERROR(__xludf.DUMMYFUNCTION("""COMPUTED_VALUE"""),11.952)</f>
        <v>11.952</v>
      </c>
      <c r="BM643" s="71">
        <f>IFERROR(__xludf.DUMMYFUNCTION("""COMPUTED_VALUE"""),86.652)</f>
        <v>86.652</v>
      </c>
      <c r="BN643" s="71">
        <f>IFERROR(__xludf.DUMMYFUNCTION("""COMPUTED_VALUE"""),70.55)</f>
        <v>70.55</v>
      </c>
      <c r="BO643" s="71">
        <f>IFERROR(__xludf.DUMMYFUNCTION("""COMPUTED_VALUE"""),11.288)</f>
        <v>11.288</v>
      </c>
      <c r="BP643" s="71">
        <f>IFERROR(__xludf.DUMMYFUNCTION("""COMPUTED_VALUE"""),81.838)</f>
        <v>81.838</v>
      </c>
      <c r="BQ643" s="71">
        <f>IFERROR(__xludf.DUMMYFUNCTION("""COMPUTED_VALUE"""),68.89)</f>
        <v>68.89</v>
      </c>
      <c r="BR643" s="71">
        <f>IFERROR(__xludf.DUMMYFUNCTION("""COMPUTED_VALUE"""),11.022400000000001)</f>
        <v>11.0224</v>
      </c>
      <c r="BS643" s="71">
        <f>IFERROR(__xludf.DUMMYFUNCTION("""COMPUTED_VALUE"""),79.9124)</f>
        <v>79.9124</v>
      </c>
      <c r="BT643" s="71">
        <f>IFERROR(__xludf.DUMMYFUNCTION("""COMPUTED_VALUE"""),66.4)</f>
        <v>66.4</v>
      </c>
      <c r="BU643" s="71">
        <f>IFERROR(__xludf.DUMMYFUNCTION("""COMPUTED_VALUE"""),10.624)</f>
        <v>10.624</v>
      </c>
      <c r="BV643" s="71">
        <f>IFERROR(__xludf.DUMMYFUNCTION("""COMPUTED_VALUE"""),77.024)</f>
        <v>77.024</v>
      </c>
    </row>
    <row r="644">
      <c r="A644" s="53">
        <v>1.0</v>
      </c>
      <c r="B644" s="53"/>
      <c r="C644" s="120" t="s">
        <v>603</v>
      </c>
      <c r="D644" s="128" t="s">
        <v>1548</v>
      </c>
      <c r="E644" s="54" t="s">
        <v>38</v>
      </c>
      <c r="F644" s="54" t="s">
        <v>42</v>
      </c>
      <c r="G644" s="141" t="s">
        <v>1549</v>
      </c>
      <c r="H644" s="141" t="s">
        <v>1549</v>
      </c>
      <c r="I644" s="54">
        <f t="shared" si="24"/>
        <v>25</v>
      </c>
      <c r="J644" s="56"/>
      <c r="K644" s="75"/>
      <c r="L644" s="76"/>
      <c r="M644" s="59"/>
      <c r="N644" s="79"/>
      <c r="O644" s="129">
        <v>223.0</v>
      </c>
      <c r="P644" s="62">
        <v>110.0</v>
      </c>
      <c r="Q644" s="63">
        <v>110.0</v>
      </c>
      <c r="R644" s="64">
        <v>119.0</v>
      </c>
      <c r="S644" s="111">
        <v>125.0</v>
      </c>
      <c r="T644" s="65">
        <f t="shared" si="2"/>
        <v>20</v>
      </c>
      <c r="U644" s="65">
        <f t="shared" si="3"/>
        <v>145</v>
      </c>
      <c r="V644" s="66">
        <f t="shared" si="4"/>
        <v>0.05042016807</v>
      </c>
      <c r="W644" s="67">
        <f t="shared" si="5"/>
        <v>118.75</v>
      </c>
      <c r="X644" s="67">
        <f t="shared" si="6"/>
        <v>19</v>
      </c>
      <c r="Y644" s="67">
        <f t="shared" si="7"/>
        <v>137.75</v>
      </c>
      <c r="Z644" s="67">
        <f t="shared" si="8"/>
        <v>112.5</v>
      </c>
      <c r="AA644" s="67">
        <f t="shared" si="9"/>
        <v>18</v>
      </c>
      <c r="AB644" s="67">
        <f t="shared" si="10"/>
        <v>130.5</v>
      </c>
      <c r="AC644" s="67">
        <f t="shared" si="11"/>
        <v>106.25</v>
      </c>
      <c r="AD644" s="67">
        <f t="shared" si="12"/>
        <v>17</v>
      </c>
      <c r="AE644" s="67">
        <f t="shared" si="13"/>
        <v>123.25</v>
      </c>
      <c r="AF644" s="67">
        <f t="shared" si="14"/>
        <v>103.75</v>
      </c>
      <c r="AG644" s="67">
        <f t="shared" si="15"/>
        <v>16.6</v>
      </c>
      <c r="AH644" s="67">
        <f t="shared" si="16"/>
        <v>120.35</v>
      </c>
      <c r="AI644" s="67">
        <f t="shared" si="17"/>
        <v>100</v>
      </c>
      <c r="AJ644" s="68">
        <f t="shared" si="29"/>
        <v>16</v>
      </c>
      <c r="AK644" s="68">
        <f t="shared" si="30"/>
        <v>116</v>
      </c>
      <c r="AL644" s="70">
        <f>IFERROR(__xludf.DUMMYFUNCTION("""COMPUTED_VALUE"""),1.0)</f>
        <v>1</v>
      </c>
      <c r="AM644" s="70"/>
      <c r="AN644" s="71" t="str">
        <f>IFERROR(__xludf.DUMMYFUNCTION("""COMPUTED_VALUE""")," C")</f>
        <v>C</v>
      </c>
      <c r="AO644" s="71" t="str">
        <f>IFERROR(__xludf.DUMMYFUNCTION("""COMPUTED_VALUE""")," GR11")</f>
        <v>GR11</v>
      </c>
      <c r="AP644" s="71" t="str">
        <f>IFERROR(__xludf.DUMMYFUNCTION("""COMPUTED_VALUE""")," PZA")</f>
        <v>PZA</v>
      </c>
      <c r="AQ644" s="71" t="str">
        <f>IFERROR(__xludf.DUMMYFUNCTION("""COMPUTED_VALUE""")," REF")</f>
        <v>REF</v>
      </c>
      <c r="AR644" s="71" t="str">
        <f>IFERROR(__xludf.DUMMYFUNCTION("""COMPUTED_VALUE""")," GRASA BARDAHL NLGI 3 425 G.")</f>
        <v>GRASA BARDAHL NLGI 3 425 G.</v>
      </c>
      <c r="AS644" s="71" t="str">
        <f>IFERROR(__xludf.DUMMYFUNCTION("""COMPUTED_VALUE""")," GRASA BARDAHL NLGI 3 425 G.")</f>
        <v>GRASA BARDAHL NLGI 3 425 G.</v>
      </c>
      <c r="AT644" s="71">
        <f>IFERROR(__xludf.DUMMYFUNCTION("""COMPUTED_VALUE"""),27.0)</f>
        <v>27</v>
      </c>
      <c r="AU644" s="71"/>
      <c r="AV644" s="71"/>
      <c r="AW644" s="71"/>
      <c r="AX644" s="71"/>
      <c r="AY644" s="71"/>
      <c r="AZ644" s="71"/>
      <c r="BA644" s="71"/>
      <c r="BB644" s="71"/>
      <c r="BC644" s="71">
        <f>IFERROR(__xludf.DUMMYFUNCTION("""COMPUTED_VALUE"""),99.0)</f>
        <v>99</v>
      </c>
      <c r="BD644" s="71">
        <f>IFERROR(__xludf.DUMMYFUNCTION("""COMPUTED_VALUE"""),90.0)</f>
        <v>90</v>
      </c>
      <c r="BE644" s="71">
        <f>IFERROR(__xludf.DUMMYFUNCTION("""COMPUTED_VALUE"""),14.4)</f>
        <v>14.4</v>
      </c>
      <c r="BF644" s="71">
        <f>IFERROR(__xludf.DUMMYFUNCTION("""COMPUTED_VALUE"""),104.4)</f>
        <v>104.4</v>
      </c>
      <c r="BG644" s="71">
        <f>IFERROR(__xludf.DUMMYFUNCTION("""COMPUTED_VALUE"""),-0.09090909090909091)</f>
        <v>-0.09090909091</v>
      </c>
      <c r="BH644" s="71">
        <f>IFERROR(__xludf.DUMMYFUNCTION("""COMPUTED_VALUE"""),85.5)</f>
        <v>85.5</v>
      </c>
      <c r="BI644" s="71">
        <f>IFERROR(__xludf.DUMMYFUNCTION("""COMPUTED_VALUE"""),13.68)</f>
        <v>13.68</v>
      </c>
      <c r="BJ644" s="71">
        <f>IFERROR(__xludf.DUMMYFUNCTION("""COMPUTED_VALUE"""),99.18)</f>
        <v>99.18</v>
      </c>
      <c r="BK644" s="71">
        <f>IFERROR(__xludf.DUMMYFUNCTION("""COMPUTED_VALUE"""),81.0)</f>
        <v>81</v>
      </c>
      <c r="BL644" s="71">
        <f>IFERROR(__xludf.DUMMYFUNCTION("""COMPUTED_VALUE"""),12.96)</f>
        <v>12.96</v>
      </c>
      <c r="BM644" s="71">
        <f>IFERROR(__xludf.DUMMYFUNCTION("""COMPUTED_VALUE"""),93.96000000000001)</f>
        <v>93.96</v>
      </c>
      <c r="BN644" s="71">
        <f>IFERROR(__xludf.DUMMYFUNCTION("""COMPUTED_VALUE"""),76.5)</f>
        <v>76.5</v>
      </c>
      <c r="BO644" s="71">
        <f>IFERROR(__xludf.DUMMYFUNCTION("""COMPUTED_VALUE"""),12.24)</f>
        <v>12.24</v>
      </c>
      <c r="BP644" s="71">
        <f>IFERROR(__xludf.DUMMYFUNCTION("""COMPUTED_VALUE"""),88.74)</f>
        <v>88.74</v>
      </c>
      <c r="BQ644" s="71">
        <f>IFERROR(__xludf.DUMMYFUNCTION("""COMPUTED_VALUE"""),74.7)</f>
        <v>74.7</v>
      </c>
      <c r="BR644" s="71">
        <f>IFERROR(__xludf.DUMMYFUNCTION("""COMPUTED_VALUE"""),11.952)</f>
        <v>11.952</v>
      </c>
      <c r="BS644" s="71">
        <f>IFERROR(__xludf.DUMMYFUNCTION("""COMPUTED_VALUE"""),86.652)</f>
        <v>86.652</v>
      </c>
      <c r="BT644" s="71">
        <f>IFERROR(__xludf.DUMMYFUNCTION("""COMPUTED_VALUE"""),72.0)</f>
        <v>72</v>
      </c>
      <c r="BU644" s="71"/>
      <c r="BV644" s="71"/>
    </row>
    <row r="645">
      <c r="A645" s="53">
        <v>1.0</v>
      </c>
      <c r="B645" s="53"/>
      <c r="C645" s="120" t="s">
        <v>603</v>
      </c>
      <c r="D645" s="128" t="s">
        <v>1550</v>
      </c>
      <c r="E645" s="54" t="s">
        <v>38</v>
      </c>
      <c r="F645" s="54" t="s">
        <v>42</v>
      </c>
      <c r="G645" s="141" t="s">
        <v>1551</v>
      </c>
      <c r="H645" s="141" t="s">
        <v>1551</v>
      </c>
      <c r="I645" s="54">
        <f t="shared" si="24"/>
        <v>27</v>
      </c>
      <c r="J645" s="56"/>
      <c r="K645" s="75"/>
      <c r="L645" s="76" t="s">
        <v>661</v>
      </c>
      <c r="M645" s="59"/>
      <c r="N645" s="79"/>
      <c r="O645" s="129">
        <v>223.0</v>
      </c>
      <c r="P645" s="62">
        <v>110.0</v>
      </c>
      <c r="Q645" s="63">
        <v>110.0</v>
      </c>
      <c r="R645" s="64">
        <v>119.0</v>
      </c>
      <c r="S645" s="111">
        <v>125.0</v>
      </c>
      <c r="T645" s="65">
        <f t="shared" si="2"/>
        <v>20</v>
      </c>
      <c r="U645" s="65">
        <f t="shared" si="3"/>
        <v>145</v>
      </c>
      <c r="V645" s="66">
        <f t="shared" si="4"/>
        <v>0.05042016807</v>
      </c>
      <c r="W645" s="67">
        <f t="shared" si="5"/>
        <v>118.75</v>
      </c>
      <c r="X645" s="67">
        <f t="shared" si="6"/>
        <v>19</v>
      </c>
      <c r="Y645" s="67">
        <f t="shared" si="7"/>
        <v>137.75</v>
      </c>
      <c r="Z645" s="67">
        <f t="shared" si="8"/>
        <v>112.5</v>
      </c>
      <c r="AA645" s="67">
        <f t="shared" si="9"/>
        <v>18</v>
      </c>
      <c r="AB645" s="67">
        <f t="shared" si="10"/>
        <v>130.5</v>
      </c>
      <c r="AC645" s="67">
        <f t="shared" si="11"/>
        <v>106.25</v>
      </c>
      <c r="AD645" s="67">
        <f t="shared" si="12"/>
        <v>17</v>
      </c>
      <c r="AE645" s="67">
        <f t="shared" si="13"/>
        <v>123.25</v>
      </c>
      <c r="AF645" s="67">
        <f t="shared" si="14"/>
        <v>103.75</v>
      </c>
      <c r="AG645" s="67">
        <f t="shared" si="15"/>
        <v>16.6</v>
      </c>
      <c r="AH645" s="67">
        <f t="shared" si="16"/>
        <v>120.35</v>
      </c>
      <c r="AI645" s="67">
        <f t="shared" si="17"/>
        <v>100</v>
      </c>
      <c r="AJ645" s="68">
        <f t="shared" si="29"/>
        <v>16</v>
      </c>
      <c r="AK645" s="68">
        <f t="shared" si="30"/>
        <v>116</v>
      </c>
      <c r="AL645" s="70">
        <f>IFERROR(__xludf.DUMMYFUNCTION("""COMPUTED_VALUE"""),1.0)</f>
        <v>1</v>
      </c>
      <c r="AM645" s="70"/>
      <c r="AN645" s="71" t="str">
        <f>IFERROR(__xludf.DUMMYFUNCTION("""COMPUTED_VALUE""")," C")</f>
        <v>C</v>
      </c>
      <c r="AO645" s="71" t="str">
        <f>IFERROR(__xludf.DUMMYFUNCTION("""COMPUTED_VALUE""")," GR01")</f>
        <v>GR01</v>
      </c>
      <c r="AP645" s="71" t="str">
        <f>IFERROR(__xludf.DUMMYFUNCTION("""COMPUTED_VALUE""")," PZA")</f>
        <v>PZA</v>
      </c>
      <c r="AQ645" s="71" t="str">
        <f>IFERROR(__xludf.DUMMYFUNCTION("""COMPUTED_VALUE""")," REF")</f>
        <v>REF</v>
      </c>
      <c r="AR645" s="71" t="str">
        <f>IFERROR(__xludf.DUMMYFUNCTION("""COMPUTED_VALUE""")," GRASA ROSHFRANS B.A.T.-3 425 G.")</f>
        <v>GRASA ROSHFRANS B.A.T.-3 425 G.</v>
      </c>
      <c r="AS645" s="71" t="str">
        <f>IFERROR(__xludf.DUMMYFUNCTION("""COMPUTED_VALUE""")," GRASA ROSHFRANS BAT3 425 G")</f>
        <v>GRASA ROSHFRANS BAT3 425 G</v>
      </c>
      <c r="AT645" s="71">
        <f>IFERROR(__xludf.DUMMYFUNCTION("""COMPUTED_VALUE"""),26.0)</f>
        <v>26</v>
      </c>
      <c r="AU645" s="71"/>
      <c r="AV645" s="71"/>
      <c r="AW645" s="71"/>
      <c r="AX645" s="71"/>
      <c r="AY645" s="71">
        <f>IFERROR(__xludf.DUMMYFUNCTION("""COMPUTED_VALUE"""),87.0)</f>
        <v>87</v>
      </c>
      <c r="AZ645" s="71">
        <f>IFERROR(__xludf.DUMMYFUNCTION("""COMPUTED_VALUE"""),93.0)</f>
        <v>93</v>
      </c>
      <c r="BA645" s="71">
        <f>IFERROR(__xludf.DUMMYFUNCTION("""COMPUTED_VALUE"""),100.44000000000001)</f>
        <v>100.44</v>
      </c>
      <c r="BB645" s="71">
        <f>IFERROR(__xludf.DUMMYFUNCTION("""COMPUTED_VALUE"""),100.44000000000001)</f>
        <v>100.44</v>
      </c>
      <c r="BC645" s="71">
        <f>IFERROR(__xludf.DUMMYFUNCTION("""COMPUTED_VALUE"""),99.0)</f>
        <v>99</v>
      </c>
      <c r="BD645" s="71">
        <f>IFERROR(__xludf.DUMMYFUNCTION("""COMPUTED_VALUE"""),104.0)</f>
        <v>104</v>
      </c>
      <c r="BE645" s="71">
        <f>IFERROR(__xludf.DUMMYFUNCTION("""COMPUTED_VALUE"""),16.64)</f>
        <v>16.64</v>
      </c>
      <c r="BF645" s="71">
        <f>IFERROR(__xludf.DUMMYFUNCTION("""COMPUTED_VALUE"""),120.64)</f>
        <v>120.64</v>
      </c>
      <c r="BG645" s="71">
        <f>IFERROR(__xludf.DUMMYFUNCTION("""COMPUTED_VALUE"""),0.050505050505050504)</f>
        <v>0.05050505051</v>
      </c>
      <c r="BH645" s="71">
        <f>IFERROR(__xludf.DUMMYFUNCTION("""COMPUTED_VALUE"""),98.8)</f>
        <v>98.8</v>
      </c>
      <c r="BI645" s="71">
        <f>IFERROR(__xludf.DUMMYFUNCTION("""COMPUTED_VALUE"""),15.808)</f>
        <v>15.808</v>
      </c>
      <c r="BJ645" s="71">
        <f>IFERROR(__xludf.DUMMYFUNCTION("""COMPUTED_VALUE"""),114.608)</f>
        <v>114.608</v>
      </c>
      <c r="BK645" s="71">
        <f>IFERROR(__xludf.DUMMYFUNCTION("""COMPUTED_VALUE"""),93.60000000000001)</f>
        <v>93.6</v>
      </c>
      <c r="BL645" s="71">
        <f>IFERROR(__xludf.DUMMYFUNCTION("""COMPUTED_VALUE"""),14.976)</f>
        <v>14.976</v>
      </c>
      <c r="BM645" s="71">
        <f>IFERROR(__xludf.DUMMYFUNCTION("""COMPUTED_VALUE"""),108.57600000000001)</f>
        <v>108.576</v>
      </c>
      <c r="BN645" s="71">
        <f>IFERROR(__xludf.DUMMYFUNCTION("""COMPUTED_VALUE"""),88.39999999999999)</f>
        <v>88.4</v>
      </c>
      <c r="BO645" s="71">
        <f>IFERROR(__xludf.DUMMYFUNCTION("""COMPUTED_VALUE"""),14.143999999999998)</f>
        <v>14.144</v>
      </c>
      <c r="BP645" s="71">
        <f>IFERROR(__xludf.DUMMYFUNCTION("""COMPUTED_VALUE"""),102.54399999999998)</f>
        <v>102.544</v>
      </c>
      <c r="BQ645" s="71">
        <f>IFERROR(__xludf.DUMMYFUNCTION("""COMPUTED_VALUE"""),86.32)</f>
        <v>86.32</v>
      </c>
      <c r="BR645" s="71">
        <f>IFERROR(__xludf.DUMMYFUNCTION("""COMPUTED_VALUE"""),13.8112)</f>
        <v>13.8112</v>
      </c>
      <c r="BS645" s="71">
        <f>IFERROR(__xludf.DUMMYFUNCTION("""COMPUTED_VALUE"""),100.13119999999999)</f>
        <v>100.1312</v>
      </c>
      <c r="BT645" s="71">
        <f>IFERROR(__xludf.DUMMYFUNCTION("""COMPUTED_VALUE"""),83.2)</f>
        <v>83.2</v>
      </c>
      <c r="BU645" s="71">
        <f>IFERROR(__xludf.DUMMYFUNCTION("""COMPUTED_VALUE"""),13.312000000000001)</f>
        <v>13.312</v>
      </c>
      <c r="BV645" s="71">
        <f>IFERROR(__xludf.DUMMYFUNCTION("""COMPUTED_VALUE"""),96.512)</f>
        <v>96.512</v>
      </c>
    </row>
    <row r="646">
      <c r="A646" s="53">
        <v>1.0</v>
      </c>
      <c r="B646" s="72"/>
      <c r="C646" s="120" t="s">
        <v>603</v>
      </c>
      <c r="D646" s="74" t="s">
        <v>1552</v>
      </c>
      <c r="E646" s="54" t="s">
        <v>38</v>
      </c>
      <c r="F646" s="54" t="s">
        <v>42</v>
      </c>
      <c r="G646" s="141" t="s">
        <v>1553</v>
      </c>
      <c r="H646" s="141" t="s">
        <v>1553</v>
      </c>
      <c r="I646" s="54">
        <f t="shared" si="24"/>
        <v>29</v>
      </c>
      <c r="J646" s="56"/>
      <c r="K646" s="75"/>
      <c r="L646" s="76"/>
      <c r="M646" s="59"/>
      <c r="N646" s="60">
        <v>221.0</v>
      </c>
      <c r="O646" s="61">
        <v>238.0</v>
      </c>
      <c r="P646" s="62">
        <v>105.0</v>
      </c>
      <c r="Q646" s="63">
        <v>105.0</v>
      </c>
      <c r="R646" s="64">
        <v>152.0</v>
      </c>
      <c r="S646" s="111">
        <v>160.0</v>
      </c>
      <c r="T646" s="65">
        <f t="shared" si="2"/>
        <v>25.6</v>
      </c>
      <c r="U646" s="65">
        <f t="shared" si="3"/>
        <v>185.6</v>
      </c>
      <c r="V646" s="66">
        <f t="shared" si="4"/>
        <v>0.05263157895</v>
      </c>
      <c r="W646" s="67">
        <f t="shared" si="5"/>
        <v>152</v>
      </c>
      <c r="X646" s="67">
        <f t="shared" si="6"/>
        <v>24.32</v>
      </c>
      <c r="Y646" s="67">
        <f t="shared" si="7"/>
        <v>176.32</v>
      </c>
      <c r="Z646" s="67">
        <f t="shared" si="8"/>
        <v>144</v>
      </c>
      <c r="AA646" s="67">
        <f t="shared" si="9"/>
        <v>23.04</v>
      </c>
      <c r="AB646" s="67">
        <f t="shared" si="10"/>
        <v>167.04</v>
      </c>
      <c r="AC646" s="67">
        <f t="shared" si="11"/>
        <v>136</v>
      </c>
      <c r="AD646" s="67">
        <f t="shared" si="12"/>
        <v>21.76</v>
      </c>
      <c r="AE646" s="67">
        <f t="shared" si="13"/>
        <v>157.76</v>
      </c>
      <c r="AF646" s="67">
        <f t="shared" si="14"/>
        <v>132.8</v>
      </c>
      <c r="AG646" s="67">
        <f t="shared" si="15"/>
        <v>21.248</v>
      </c>
      <c r="AH646" s="67">
        <f t="shared" si="16"/>
        <v>154.048</v>
      </c>
      <c r="AI646" s="67">
        <f t="shared" si="17"/>
        <v>128</v>
      </c>
      <c r="AJ646" s="68">
        <f t="shared" si="29"/>
        <v>20.48</v>
      </c>
      <c r="AK646" s="68">
        <f t="shared" si="30"/>
        <v>148.48</v>
      </c>
      <c r="AL646" s="70">
        <f>IFERROR(__xludf.DUMMYFUNCTION("""COMPUTED_VALUE"""),1.0)</f>
        <v>1</v>
      </c>
      <c r="AM646" s="70"/>
      <c r="AN646" s="71" t="str">
        <f>IFERROR(__xludf.DUMMYFUNCTION("""COMPUTED_VALUE""")," C")</f>
        <v>C</v>
      </c>
      <c r="AO646" s="71" t="str">
        <f>IFERROR(__xludf.DUMMYFUNCTION("""COMPUTED_VALUE""")," GR02")</f>
        <v>GR02</v>
      </c>
      <c r="AP646" s="71" t="str">
        <f>IFERROR(__xludf.DUMMYFUNCTION("""COMPUTED_VALUE""")," PZA")</f>
        <v>PZA</v>
      </c>
      <c r="AQ646" s="71" t="str">
        <f>IFERROR(__xludf.DUMMYFUNCTION("""COMPUTED_VALUE""")," REF")</f>
        <v>REF</v>
      </c>
      <c r="AR646" s="71" t="str">
        <f>IFERROR(__xludf.DUMMYFUNCTION("""COMPUTED_VALUE""")," GRASA ROSHFRANS B.A.T.-3 850 G.")</f>
        <v>GRASA ROSHFRANS B.A.T.-3 850 G.</v>
      </c>
      <c r="AS646" s="71" t="str">
        <f>IFERROR(__xludf.DUMMYFUNCTION("""COMPUTED_VALUE""")," GRASA ROSHFRANS BAT3 850 G")</f>
        <v>GRASA ROSHFRANS BAT3 850 G</v>
      </c>
      <c r="AT646" s="71">
        <f>IFERROR(__xludf.DUMMYFUNCTION("""COMPUTED_VALUE"""),26.0)</f>
        <v>26</v>
      </c>
      <c r="AU646" s="71"/>
      <c r="AV646" s="71"/>
      <c r="AW646" s="71"/>
      <c r="AX646" s="71"/>
      <c r="AY646" s="71">
        <f>IFERROR(__xludf.DUMMYFUNCTION("""COMPUTED_VALUE"""),168.0)</f>
        <v>168</v>
      </c>
      <c r="AZ646" s="71">
        <f>IFERROR(__xludf.DUMMYFUNCTION("""COMPUTED_VALUE"""),181.0)</f>
        <v>181</v>
      </c>
      <c r="BA646" s="71">
        <f>IFERROR(__xludf.DUMMYFUNCTION("""COMPUTED_VALUE"""),195.48000000000002)</f>
        <v>195.48</v>
      </c>
      <c r="BB646" s="71">
        <f>IFERROR(__xludf.DUMMYFUNCTION("""COMPUTED_VALUE"""),195.48000000000002)</f>
        <v>195.48</v>
      </c>
      <c r="BC646" s="71">
        <f>IFERROR(__xludf.DUMMYFUNCTION("""COMPUTED_VALUE"""),188.91)</f>
        <v>188.91</v>
      </c>
      <c r="BD646" s="71">
        <f>IFERROR(__xludf.DUMMYFUNCTION("""COMPUTED_VALUE"""),198.0)</f>
        <v>198</v>
      </c>
      <c r="BE646" s="71">
        <f>IFERROR(__xludf.DUMMYFUNCTION("""COMPUTED_VALUE"""),31.68)</f>
        <v>31.68</v>
      </c>
      <c r="BF646" s="71">
        <f>IFERROR(__xludf.DUMMYFUNCTION("""COMPUTED_VALUE"""),229.68)</f>
        <v>229.68</v>
      </c>
      <c r="BG646" s="71">
        <f>IFERROR(__xludf.DUMMYFUNCTION("""COMPUTED_VALUE"""),0.04811815150071465)</f>
        <v>0.0481181515</v>
      </c>
      <c r="BH646" s="71">
        <f>IFERROR(__xludf.DUMMYFUNCTION("""COMPUTED_VALUE"""),188.1)</f>
        <v>188.1</v>
      </c>
      <c r="BI646" s="71">
        <f>IFERROR(__xludf.DUMMYFUNCTION("""COMPUTED_VALUE"""),30.096)</f>
        <v>30.096</v>
      </c>
      <c r="BJ646" s="71">
        <f>IFERROR(__xludf.DUMMYFUNCTION("""COMPUTED_VALUE"""),218.196)</f>
        <v>218.196</v>
      </c>
      <c r="BK646" s="71">
        <f>IFERROR(__xludf.DUMMYFUNCTION("""COMPUTED_VALUE"""),178.20000000000002)</f>
        <v>178.2</v>
      </c>
      <c r="BL646" s="71">
        <f>IFERROR(__xludf.DUMMYFUNCTION("""COMPUTED_VALUE"""),28.512000000000004)</f>
        <v>28.512</v>
      </c>
      <c r="BM646" s="71">
        <f>IFERROR(__xludf.DUMMYFUNCTION("""COMPUTED_VALUE"""),206.71200000000002)</f>
        <v>206.712</v>
      </c>
      <c r="BN646" s="71">
        <f>IFERROR(__xludf.DUMMYFUNCTION("""COMPUTED_VALUE"""),168.29999999999998)</f>
        <v>168.3</v>
      </c>
      <c r="BO646" s="71">
        <f>IFERROR(__xludf.DUMMYFUNCTION("""COMPUTED_VALUE"""),26.927999999999997)</f>
        <v>26.928</v>
      </c>
      <c r="BP646" s="71">
        <f>IFERROR(__xludf.DUMMYFUNCTION("""COMPUTED_VALUE"""),195.22799999999998)</f>
        <v>195.228</v>
      </c>
      <c r="BQ646" s="71">
        <f>IFERROR(__xludf.DUMMYFUNCTION("""COMPUTED_VALUE"""),164.34)</f>
        <v>164.34</v>
      </c>
      <c r="BR646" s="71">
        <f>IFERROR(__xludf.DUMMYFUNCTION("""COMPUTED_VALUE"""),26.2944)</f>
        <v>26.2944</v>
      </c>
      <c r="BS646" s="71">
        <f>IFERROR(__xludf.DUMMYFUNCTION("""COMPUTED_VALUE"""),190.6344)</f>
        <v>190.6344</v>
      </c>
      <c r="BT646" s="71">
        <f>IFERROR(__xludf.DUMMYFUNCTION("""COMPUTED_VALUE"""),158.4)</f>
        <v>158.4</v>
      </c>
      <c r="BU646" s="71">
        <f>IFERROR(__xludf.DUMMYFUNCTION("""COMPUTED_VALUE"""),25.344)</f>
        <v>25.344</v>
      </c>
      <c r="BV646" s="71">
        <f>IFERROR(__xludf.DUMMYFUNCTION("""COMPUTED_VALUE"""),183.744)</f>
        <v>183.744</v>
      </c>
    </row>
    <row r="647">
      <c r="A647" s="53">
        <v>1.0</v>
      </c>
      <c r="B647" s="72"/>
      <c r="C647" s="120" t="s">
        <v>603</v>
      </c>
      <c r="D647" s="74" t="s">
        <v>1554</v>
      </c>
      <c r="E647" s="54" t="s">
        <v>38</v>
      </c>
      <c r="F647" s="54" t="s">
        <v>42</v>
      </c>
      <c r="G647" s="141" t="s">
        <v>1555</v>
      </c>
      <c r="H647" s="141" t="s">
        <v>1555</v>
      </c>
      <c r="I647" s="54">
        <f t="shared" si="24"/>
        <v>25</v>
      </c>
      <c r="J647" s="56"/>
      <c r="K647" s="75"/>
      <c r="L647" s="76"/>
      <c r="M647" s="59"/>
      <c r="N647" s="60">
        <v>221.0</v>
      </c>
      <c r="O647" s="61">
        <v>238.0</v>
      </c>
      <c r="P647" s="62">
        <v>115.0</v>
      </c>
      <c r="Q647" s="63">
        <v>115.0</v>
      </c>
      <c r="R647" s="64">
        <v>143.0</v>
      </c>
      <c r="S647" s="111">
        <v>150.0</v>
      </c>
      <c r="T647" s="65">
        <f t="shared" si="2"/>
        <v>24</v>
      </c>
      <c r="U647" s="65">
        <f t="shared" si="3"/>
        <v>174</v>
      </c>
      <c r="V647" s="66">
        <f t="shared" si="4"/>
        <v>0.04895104895</v>
      </c>
      <c r="W647" s="67">
        <f t="shared" si="5"/>
        <v>142.5</v>
      </c>
      <c r="X647" s="67">
        <f t="shared" si="6"/>
        <v>22.8</v>
      </c>
      <c r="Y647" s="67">
        <f t="shared" si="7"/>
        <v>165.3</v>
      </c>
      <c r="Z647" s="67">
        <f t="shared" si="8"/>
        <v>135</v>
      </c>
      <c r="AA647" s="67">
        <f t="shared" si="9"/>
        <v>21.6</v>
      </c>
      <c r="AB647" s="67">
        <f t="shared" si="10"/>
        <v>156.6</v>
      </c>
      <c r="AC647" s="67">
        <f t="shared" si="11"/>
        <v>127.5</v>
      </c>
      <c r="AD647" s="67">
        <f t="shared" si="12"/>
        <v>20.4</v>
      </c>
      <c r="AE647" s="67">
        <f t="shared" si="13"/>
        <v>147.9</v>
      </c>
      <c r="AF647" s="67">
        <f t="shared" si="14"/>
        <v>124.5</v>
      </c>
      <c r="AG647" s="67">
        <f t="shared" si="15"/>
        <v>19.92</v>
      </c>
      <c r="AH647" s="67">
        <f t="shared" si="16"/>
        <v>144.42</v>
      </c>
      <c r="AI647" s="67">
        <f t="shared" si="17"/>
        <v>120</v>
      </c>
      <c r="AJ647" s="68">
        <f t="shared" si="29"/>
        <v>19.2</v>
      </c>
      <c r="AK647" s="68">
        <f t="shared" si="30"/>
        <v>139.2</v>
      </c>
      <c r="AL647" s="70">
        <f>IFERROR(__xludf.DUMMYFUNCTION("""COMPUTED_VALUE"""),1.0)</f>
        <v>1</v>
      </c>
      <c r="AM647" s="70"/>
      <c r="AN647" s="71" t="str">
        <f>IFERROR(__xludf.DUMMYFUNCTION("""COMPUTED_VALUE""")," C")</f>
        <v>C</v>
      </c>
      <c r="AO647" s="71" t="str">
        <f>IFERROR(__xludf.DUMMYFUNCTION("""COMPUTED_VALUE""")," GR08")</f>
        <v>GR08</v>
      </c>
      <c r="AP647" s="71" t="str">
        <f>IFERROR(__xludf.DUMMYFUNCTION("""COMPUTED_VALUE""")," PZA")</f>
        <v>PZA</v>
      </c>
      <c r="AQ647" s="71" t="str">
        <f>IFERROR(__xludf.DUMMYFUNCTION("""COMPUTED_VALUE""")," REF")</f>
        <v>REF</v>
      </c>
      <c r="AR647" s="71" t="str">
        <f>IFERROR(__xludf.DUMMYFUNCTION("""COMPUTED_VALUE""")," GRASERA ""Z"" PARA BASE SENCILLA")</f>
        <v>GRASERA "Z" PARA BASE SENCILLA</v>
      </c>
      <c r="AS647" s="71" t="str">
        <f>IFERROR(__xludf.DUMMYFUNCTION("""COMPUTED_VALUE""")," GRASERA Z PARA BASE SENCILLA")</f>
        <v>GRASERA Z PARA BASE SENCILLA</v>
      </c>
      <c r="AT647" s="71">
        <f>IFERROR(__xludf.DUMMYFUNCTION("""COMPUTED_VALUE"""),28.0)</f>
        <v>28</v>
      </c>
      <c r="AU647" s="71"/>
      <c r="AV647" s="71"/>
      <c r="AW647" s="71"/>
      <c r="AX647" s="71"/>
      <c r="AY647" s="71">
        <f>IFERROR(__xludf.DUMMYFUNCTION("""COMPUTED_VALUE"""),73.0)</f>
        <v>73</v>
      </c>
      <c r="AZ647" s="71">
        <f>IFERROR(__xludf.DUMMYFUNCTION("""COMPUTED_VALUE"""),78.0)</f>
        <v>78</v>
      </c>
      <c r="BA647" s="71">
        <f>IFERROR(__xludf.DUMMYFUNCTION("""COMPUTED_VALUE"""),84.24000000000001)</f>
        <v>84.24</v>
      </c>
      <c r="BB647" s="71">
        <f>IFERROR(__xludf.DUMMYFUNCTION("""COMPUTED_VALUE"""),84.24000000000001)</f>
        <v>84.24</v>
      </c>
      <c r="BC647" s="71">
        <f>IFERROR(__xludf.DUMMYFUNCTION("""COMPUTED_VALUE"""),94.0)</f>
        <v>94</v>
      </c>
      <c r="BD647" s="71">
        <f>IFERROR(__xludf.DUMMYFUNCTION("""COMPUTED_VALUE"""),99.0)</f>
        <v>99</v>
      </c>
      <c r="BE647" s="71">
        <f>IFERROR(__xludf.DUMMYFUNCTION("""COMPUTED_VALUE"""),15.84)</f>
        <v>15.84</v>
      </c>
      <c r="BF647" s="71">
        <f>IFERROR(__xludf.DUMMYFUNCTION("""COMPUTED_VALUE"""),114.84)</f>
        <v>114.84</v>
      </c>
      <c r="BG647" s="71">
        <f>IFERROR(__xludf.DUMMYFUNCTION("""COMPUTED_VALUE"""),0.05319148936170213)</f>
        <v>0.05319148936</v>
      </c>
      <c r="BH647" s="71">
        <f>IFERROR(__xludf.DUMMYFUNCTION("""COMPUTED_VALUE"""),94.05)</f>
        <v>94.05</v>
      </c>
      <c r="BI647" s="71">
        <f>IFERROR(__xludf.DUMMYFUNCTION("""COMPUTED_VALUE"""),15.048)</f>
        <v>15.048</v>
      </c>
      <c r="BJ647" s="71">
        <f>IFERROR(__xludf.DUMMYFUNCTION("""COMPUTED_VALUE"""),109.098)</f>
        <v>109.098</v>
      </c>
      <c r="BK647" s="71">
        <f>IFERROR(__xludf.DUMMYFUNCTION("""COMPUTED_VALUE"""),89.10000000000001)</f>
        <v>89.1</v>
      </c>
      <c r="BL647" s="71">
        <f>IFERROR(__xludf.DUMMYFUNCTION("""COMPUTED_VALUE"""),14.256000000000002)</f>
        <v>14.256</v>
      </c>
      <c r="BM647" s="71">
        <f>IFERROR(__xludf.DUMMYFUNCTION("""COMPUTED_VALUE"""),103.35600000000001)</f>
        <v>103.356</v>
      </c>
      <c r="BN647" s="71">
        <f>IFERROR(__xludf.DUMMYFUNCTION("""COMPUTED_VALUE"""),84.14999999999999)</f>
        <v>84.15</v>
      </c>
      <c r="BO647" s="71">
        <f>IFERROR(__xludf.DUMMYFUNCTION("""COMPUTED_VALUE"""),13.463999999999999)</f>
        <v>13.464</v>
      </c>
      <c r="BP647" s="71">
        <f>IFERROR(__xludf.DUMMYFUNCTION("""COMPUTED_VALUE"""),97.61399999999999)</f>
        <v>97.614</v>
      </c>
      <c r="BQ647" s="71">
        <f>IFERROR(__xludf.DUMMYFUNCTION("""COMPUTED_VALUE"""),82.17)</f>
        <v>82.17</v>
      </c>
      <c r="BR647" s="71">
        <f>IFERROR(__xludf.DUMMYFUNCTION("""COMPUTED_VALUE"""),13.1472)</f>
        <v>13.1472</v>
      </c>
      <c r="BS647" s="71">
        <f>IFERROR(__xludf.DUMMYFUNCTION("""COMPUTED_VALUE"""),95.3172)</f>
        <v>95.3172</v>
      </c>
      <c r="BT647" s="71">
        <f>IFERROR(__xludf.DUMMYFUNCTION("""COMPUTED_VALUE"""),79.2)</f>
        <v>79.2</v>
      </c>
      <c r="BU647" s="71">
        <f>IFERROR(__xludf.DUMMYFUNCTION("""COMPUTED_VALUE"""),12.672)</f>
        <v>12.672</v>
      </c>
      <c r="BV647" s="71">
        <f>IFERROR(__xludf.DUMMYFUNCTION("""COMPUTED_VALUE"""),91.872)</f>
        <v>91.872</v>
      </c>
    </row>
    <row r="648">
      <c r="A648" s="53">
        <v>1.0</v>
      </c>
      <c r="B648" s="72"/>
      <c r="C648" s="120" t="s">
        <v>603</v>
      </c>
      <c r="D648" s="74" t="s">
        <v>1556</v>
      </c>
      <c r="E648" s="54" t="s">
        <v>38</v>
      </c>
      <c r="F648" s="54" t="s">
        <v>42</v>
      </c>
      <c r="G648" s="141" t="s">
        <v>1557</v>
      </c>
      <c r="H648" s="141" t="s">
        <v>1557</v>
      </c>
      <c r="I648" s="54">
        <f t="shared" si="24"/>
        <v>29</v>
      </c>
      <c r="J648" s="56"/>
      <c r="K648" s="75"/>
      <c r="L648" s="76"/>
      <c r="M648" s="59"/>
      <c r="N648" s="60">
        <v>231.0</v>
      </c>
      <c r="O648" s="61">
        <v>249.0</v>
      </c>
      <c r="P648" s="62">
        <v>135.0</v>
      </c>
      <c r="Q648" s="63">
        <v>135.0</v>
      </c>
      <c r="R648" s="64">
        <v>154.0</v>
      </c>
      <c r="S648" s="111">
        <v>162.0</v>
      </c>
      <c r="T648" s="65">
        <f t="shared" si="2"/>
        <v>25.92</v>
      </c>
      <c r="U648" s="65">
        <f t="shared" si="3"/>
        <v>187.92</v>
      </c>
      <c r="V648" s="66">
        <f t="shared" si="4"/>
        <v>0.05194805195</v>
      </c>
      <c r="W648" s="67">
        <f t="shared" si="5"/>
        <v>153.9</v>
      </c>
      <c r="X648" s="67">
        <f t="shared" si="6"/>
        <v>24.624</v>
      </c>
      <c r="Y648" s="67">
        <f t="shared" si="7"/>
        <v>178.524</v>
      </c>
      <c r="Z648" s="67">
        <f t="shared" si="8"/>
        <v>145.8</v>
      </c>
      <c r="AA648" s="67">
        <f t="shared" si="9"/>
        <v>23.328</v>
      </c>
      <c r="AB648" s="67">
        <f t="shared" si="10"/>
        <v>169.128</v>
      </c>
      <c r="AC648" s="67">
        <f t="shared" si="11"/>
        <v>137.7</v>
      </c>
      <c r="AD648" s="67">
        <f t="shared" si="12"/>
        <v>22.032</v>
      </c>
      <c r="AE648" s="67">
        <f t="shared" si="13"/>
        <v>159.732</v>
      </c>
      <c r="AF648" s="67">
        <f t="shared" si="14"/>
        <v>134.46</v>
      </c>
      <c r="AG648" s="67">
        <f t="shared" si="15"/>
        <v>21.5136</v>
      </c>
      <c r="AH648" s="67">
        <f t="shared" si="16"/>
        <v>155.9736</v>
      </c>
      <c r="AI648" s="67">
        <f t="shared" si="17"/>
        <v>129.6</v>
      </c>
      <c r="AJ648" s="68">
        <f t="shared" si="29"/>
        <v>20.736</v>
      </c>
      <c r="AK648" s="68">
        <f t="shared" si="30"/>
        <v>150.336</v>
      </c>
      <c r="AL648" s="70">
        <f>IFERROR(__xludf.DUMMYFUNCTION("""COMPUTED_VALUE"""),1.0)</f>
        <v>1</v>
      </c>
      <c r="AM648" s="70"/>
      <c r="AN648" s="71" t="str">
        <f>IFERROR(__xludf.DUMMYFUNCTION("""COMPUTED_VALUE""")," C")</f>
        <v>C</v>
      </c>
      <c r="AO648" s="71" t="str">
        <f>IFERROR(__xludf.DUMMYFUNCTION("""COMPUTED_VALUE""")," GR03")</f>
        <v>GR03</v>
      </c>
      <c r="AP648" s="71" t="str">
        <f>IFERROR(__xludf.DUMMYFUNCTION("""COMPUTED_VALUE""")," PZA")</f>
        <v>PZA</v>
      </c>
      <c r="AQ648" s="71" t="str">
        <f>IFERROR(__xludf.DUMMYFUNCTION("""COMPUTED_VALUE""")," REF")</f>
        <v>REF</v>
      </c>
      <c r="AR648" s="71" t="str">
        <f>IFERROR(__xludf.DUMMYFUNCTION("""COMPUTED_VALUE""")," GRASERA 1/4 RECTA")</f>
        <v>GRASERA 1/4 RECTA</v>
      </c>
      <c r="AS648" s="71" t="str">
        <f>IFERROR(__xludf.DUMMYFUNCTION("""COMPUTED_VALUE""")," GRASERA 1/4 RECTA")</f>
        <v>GRASERA 1/4 RECTA</v>
      </c>
      <c r="AT648" s="71">
        <f>IFERROR(__xludf.DUMMYFUNCTION("""COMPUTED_VALUE"""),17.0)</f>
        <v>17</v>
      </c>
      <c r="AU648" s="71"/>
      <c r="AV648" s="71"/>
      <c r="AW648" s="71"/>
      <c r="AX648" s="71"/>
      <c r="AY648" s="71">
        <f>IFERROR(__xludf.DUMMYFUNCTION("""COMPUTED_VALUE"""),4.0)</f>
        <v>4</v>
      </c>
      <c r="AZ648" s="71">
        <f>IFERROR(__xludf.DUMMYFUNCTION("""COMPUTED_VALUE"""),6.0)</f>
        <v>6</v>
      </c>
      <c r="BA648" s="71">
        <f>IFERROR(__xludf.DUMMYFUNCTION("""COMPUTED_VALUE"""),6.48)</f>
        <v>6.48</v>
      </c>
      <c r="BB648" s="71">
        <f>IFERROR(__xludf.DUMMYFUNCTION("""COMPUTED_VALUE"""),6.48)</f>
        <v>6.48</v>
      </c>
      <c r="BC648" s="71">
        <f>IFERROR(__xludf.DUMMYFUNCTION("""COMPUTED_VALUE"""),8.0)</f>
        <v>8</v>
      </c>
      <c r="BD648" s="71">
        <f>IFERROR(__xludf.DUMMYFUNCTION("""COMPUTED_VALUE"""),8.4)</f>
        <v>8.4</v>
      </c>
      <c r="BE648" s="71">
        <f>IFERROR(__xludf.DUMMYFUNCTION("""COMPUTED_VALUE"""),1.344)</f>
        <v>1.344</v>
      </c>
      <c r="BF648" s="71">
        <f>IFERROR(__xludf.DUMMYFUNCTION("""COMPUTED_VALUE"""),9.744)</f>
        <v>9.744</v>
      </c>
      <c r="BG648" s="71">
        <f>IFERROR(__xludf.DUMMYFUNCTION("""COMPUTED_VALUE"""),0.050000000000000044)</f>
        <v>0.05</v>
      </c>
      <c r="BH648" s="71">
        <f>IFERROR(__xludf.DUMMYFUNCTION("""COMPUTED_VALUE"""),7.9799999999999995)</f>
        <v>7.98</v>
      </c>
      <c r="BI648" s="71">
        <f>IFERROR(__xludf.DUMMYFUNCTION("""COMPUTED_VALUE"""),1.2768)</f>
        <v>1.2768</v>
      </c>
      <c r="BJ648" s="71">
        <f>IFERROR(__xludf.DUMMYFUNCTION("""COMPUTED_VALUE"""),9.2568)</f>
        <v>9.2568</v>
      </c>
      <c r="BK648" s="71">
        <f>IFERROR(__xludf.DUMMYFUNCTION("""COMPUTED_VALUE"""),7.5600000000000005)</f>
        <v>7.56</v>
      </c>
      <c r="BL648" s="71">
        <f>IFERROR(__xludf.DUMMYFUNCTION("""COMPUTED_VALUE"""),1.2096)</f>
        <v>1.2096</v>
      </c>
      <c r="BM648" s="71">
        <f>IFERROR(__xludf.DUMMYFUNCTION("""COMPUTED_VALUE"""),8.7696)</f>
        <v>8.7696</v>
      </c>
      <c r="BN648" s="71">
        <f>IFERROR(__xludf.DUMMYFUNCTION("""COMPUTED_VALUE"""),7.14)</f>
        <v>7.14</v>
      </c>
      <c r="BO648" s="71">
        <f>IFERROR(__xludf.DUMMYFUNCTION("""COMPUTED_VALUE"""),1.1424)</f>
        <v>1.1424</v>
      </c>
      <c r="BP648" s="71">
        <f>IFERROR(__xludf.DUMMYFUNCTION("""COMPUTED_VALUE"""),8.282399999999999)</f>
        <v>8.2824</v>
      </c>
      <c r="BQ648" s="71">
        <f>IFERROR(__xludf.DUMMYFUNCTION("""COMPUTED_VALUE"""),6.9719999999999995)</f>
        <v>6.972</v>
      </c>
      <c r="BR648" s="71">
        <f>IFERROR(__xludf.DUMMYFUNCTION("""COMPUTED_VALUE"""),1.1155199999999998)</f>
        <v>1.11552</v>
      </c>
      <c r="BS648" s="71">
        <f>IFERROR(__xludf.DUMMYFUNCTION("""COMPUTED_VALUE"""),8.08752)</f>
        <v>8.08752</v>
      </c>
      <c r="BT648" s="71">
        <f>IFERROR(__xludf.DUMMYFUNCTION("""COMPUTED_VALUE"""),6.720000000000001)</f>
        <v>6.72</v>
      </c>
      <c r="BU648" s="71">
        <f>IFERROR(__xludf.DUMMYFUNCTION("""COMPUTED_VALUE"""),1.0752000000000002)</f>
        <v>1.0752</v>
      </c>
      <c r="BV648" s="71">
        <f>IFERROR(__xludf.DUMMYFUNCTION("""COMPUTED_VALUE"""),7.795200000000001)</f>
        <v>7.7952</v>
      </c>
    </row>
    <row r="649">
      <c r="A649" s="53">
        <v>1.0</v>
      </c>
      <c r="B649" s="72"/>
      <c r="C649" s="120" t="s">
        <v>603</v>
      </c>
      <c r="D649" s="74" t="s">
        <v>1558</v>
      </c>
      <c r="E649" s="54" t="s">
        <v>38</v>
      </c>
      <c r="F649" s="54" t="s">
        <v>42</v>
      </c>
      <c r="G649" s="141" t="s">
        <v>1559</v>
      </c>
      <c r="H649" s="141" t="s">
        <v>1559</v>
      </c>
      <c r="I649" s="54">
        <f t="shared" si="24"/>
        <v>25</v>
      </c>
      <c r="J649" s="56"/>
      <c r="K649" s="75"/>
      <c r="L649" s="76"/>
      <c r="M649" s="59"/>
      <c r="N649" s="60">
        <v>231.0</v>
      </c>
      <c r="O649" s="61">
        <v>249.0</v>
      </c>
      <c r="P649" s="62">
        <v>135.0</v>
      </c>
      <c r="Q649" s="63">
        <v>135.0</v>
      </c>
      <c r="R649" s="64">
        <v>154.0</v>
      </c>
      <c r="S649" s="111">
        <v>162.0</v>
      </c>
      <c r="T649" s="65">
        <f t="shared" si="2"/>
        <v>25.92</v>
      </c>
      <c r="U649" s="65">
        <f t="shared" si="3"/>
        <v>187.92</v>
      </c>
      <c r="V649" s="66">
        <f t="shared" si="4"/>
        <v>0.05194805195</v>
      </c>
      <c r="W649" s="67">
        <f t="shared" si="5"/>
        <v>153.9</v>
      </c>
      <c r="X649" s="67">
        <f t="shared" si="6"/>
        <v>24.624</v>
      </c>
      <c r="Y649" s="67">
        <f t="shared" si="7"/>
        <v>178.524</v>
      </c>
      <c r="Z649" s="67">
        <f t="shared" si="8"/>
        <v>145.8</v>
      </c>
      <c r="AA649" s="67">
        <f t="shared" si="9"/>
        <v>23.328</v>
      </c>
      <c r="AB649" s="67">
        <f t="shared" si="10"/>
        <v>169.128</v>
      </c>
      <c r="AC649" s="67">
        <f t="shared" si="11"/>
        <v>137.7</v>
      </c>
      <c r="AD649" s="67">
        <f t="shared" si="12"/>
        <v>22.032</v>
      </c>
      <c r="AE649" s="67">
        <f t="shared" si="13"/>
        <v>159.732</v>
      </c>
      <c r="AF649" s="67">
        <f t="shared" si="14"/>
        <v>134.46</v>
      </c>
      <c r="AG649" s="67">
        <f t="shared" si="15"/>
        <v>21.5136</v>
      </c>
      <c r="AH649" s="67">
        <f t="shared" si="16"/>
        <v>155.9736</v>
      </c>
      <c r="AI649" s="67">
        <f t="shared" si="17"/>
        <v>129.6</v>
      </c>
      <c r="AJ649" s="68">
        <f t="shared" si="29"/>
        <v>20.736</v>
      </c>
      <c r="AK649" s="68">
        <f t="shared" si="30"/>
        <v>150.336</v>
      </c>
      <c r="AL649" s="70">
        <f>IFERROR(__xludf.DUMMYFUNCTION("""COMPUTED_VALUE"""),1.0)</f>
        <v>1</v>
      </c>
      <c r="AM649" s="70"/>
      <c r="AN649" s="71" t="str">
        <f>IFERROR(__xludf.DUMMYFUNCTION("""COMPUTED_VALUE""")," C")</f>
        <v>C</v>
      </c>
      <c r="AO649" s="71" t="str">
        <f>IFERROR(__xludf.DUMMYFUNCTION("""COMPUTED_VALUE""")," GR04")</f>
        <v>GR04</v>
      </c>
      <c r="AP649" s="71" t="str">
        <f>IFERROR(__xludf.DUMMYFUNCTION("""COMPUTED_VALUE""")," PZA")</f>
        <v>PZA</v>
      </c>
      <c r="AQ649" s="71" t="str">
        <f>IFERROR(__xludf.DUMMYFUNCTION("""COMPUTED_VALUE""")," REF")</f>
        <v>REF</v>
      </c>
      <c r="AR649" s="71" t="str">
        <f>IFERROR(__xludf.DUMMYFUNCTION("""COMPUTED_VALUE""")," GRASERA 1/4 X 90")</f>
        <v>GRASERA 1/4 X 90</v>
      </c>
      <c r="AS649" s="71" t="str">
        <f>IFERROR(__xludf.DUMMYFUNCTION("""COMPUTED_VALUE""")," GRASERA 1/4 X 90")</f>
        <v>GRASERA 1/4 X 90</v>
      </c>
      <c r="AT649" s="71">
        <f>IFERROR(__xludf.DUMMYFUNCTION("""COMPUTED_VALUE"""),16.0)</f>
        <v>16</v>
      </c>
      <c r="AU649" s="71"/>
      <c r="AV649" s="71"/>
      <c r="AW649" s="71"/>
      <c r="AX649" s="71"/>
      <c r="AY649" s="71">
        <f>IFERROR(__xludf.DUMMYFUNCTION("""COMPUTED_VALUE"""),9.0)</f>
        <v>9</v>
      </c>
      <c r="AZ649" s="71">
        <f>IFERROR(__xludf.DUMMYFUNCTION("""COMPUTED_VALUE"""),14.0)</f>
        <v>14</v>
      </c>
      <c r="BA649" s="71">
        <f>IFERROR(__xludf.DUMMYFUNCTION("""COMPUTED_VALUE"""),15.120000000000001)</f>
        <v>15.12</v>
      </c>
      <c r="BB649" s="71">
        <f>IFERROR(__xludf.DUMMYFUNCTION("""COMPUTED_VALUE"""),15.120000000000001)</f>
        <v>15.12</v>
      </c>
      <c r="BC649" s="71">
        <f>IFERROR(__xludf.DUMMYFUNCTION("""COMPUTED_VALUE"""),17.0)</f>
        <v>17</v>
      </c>
      <c r="BD649" s="71">
        <f>IFERROR(__xludf.DUMMYFUNCTION("""COMPUTED_VALUE"""),17.85)</f>
        <v>17.85</v>
      </c>
      <c r="BE649" s="71">
        <f>IFERROR(__xludf.DUMMYFUNCTION("""COMPUTED_VALUE"""),2.8560000000000003)</f>
        <v>2.856</v>
      </c>
      <c r="BF649" s="71">
        <f>IFERROR(__xludf.DUMMYFUNCTION("""COMPUTED_VALUE"""),20.706000000000003)</f>
        <v>20.706</v>
      </c>
      <c r="BG649" s="71">
        <f>IFERROR(__xludf.DUMMYFUNCTION("""COMPUTED_VALUE"""),0.050000000000000086)</f>
        <v>0.05</v>
      </c>
      <c r="BH649" s="71">
        <f>IFERROR(__xludf.DUMMYFUNCTION("""COMPUTED_VALUE"""),16.9575)</f>
        <v>16.9575</v>
      </c>
      <c r="BI649" s="71">
        <f>IFERROR(__xludf.DUMMYFUNCTION("""COMPUTED_VALUE"""),2.7132)</f>
        <v>2.7132</v>
      </c>
      <c r="BJ649" s="71">
        <f>IFERROR(__xludf.DUMMYFUNCTION("""COMPUTED_VALUE"""),19.6707)</f>
        <v>19.6707</v>
      </c>
      <c r="BK649" s="71">
        <f>IFERROR(__xludf.DUMMYFUNCTION("""COMPUTED_VALUE"""),16.065)</f>
        <v>16.065</v>
      </c>
      <c r="BL649" s="71">
        <f>IFERROR(__xludf.DUMMYFUNCTION("""COMPUTED_VALUE"""),2.5704000000000002)</f>
        <v>2.5704</v>
      </c>
      <c r="BM649" s="71">
        <f>IFERROR(__xludf.DUMMYFUNCTION("""COMPUTED_VALUE"""),18.6354)</f>
        <v>18.6354</v>
      </c>
      <c r="BN649" s="71">
        <f>IFERROR(__xludf.DUMMYFUNCTION("""COMPUTED_VALUE"""),15.172500000000001)</f>
        <v>15.1725</v>
      </c>
      <c r="BO649" s="71">
        <f>IFERROR(__xludf.DUMMYFUNCTION("""COMPUTED_VALUE"""),2.4276000000000004)</f>
        <v>2.4276</v>
      </c>
      <c r="BP649" s="71">
        <f>IFERROR(__xludf.DUMMYFUNCTION("""COMPUTED_VALUE"""),17.6001)</f>
        <v>17.6001</v>
      </c>
      <c r="BQ649" s="71">
        <f>IFERROR(__xludf.DUMMYFUNCTION("""COMPUTED_VALUE"""),14.8155)</f>
        <v>14.8155</v>
      </c>
      <c r="BR649" s="71">
        <f>IFERROR(__xludf.DUMMYFUNCTION("""COMPUTED_VALUE"""),2.37048)</f>
        <v>2.37048</v>
      </c>
      <c r="BS649" s="71">
        <f>IFERROR(__xludf.DUMMYFUNCTION("""COMPUTED_VALUE"""),17.18598)</f>
        <v>17.18598</v>
      </c>
      <c r="BT649" s="71">
        <f>IFERROR(__xludf.DUMMYFUNCTION("""COMPUTED_VALUE"""),14.280000000000001)</f>
        <v>14.28</v>
      </c>
      <c r="BU649" s="71">
        <f>IFERROR(__xludf.DUMMYFUNCTION("""COMPUTED_VALUE"""),2.2848)</f>
        <v>2.2848</v>
      </c>
      <c r="BV649" s="71">
        <f>IFERROR(__xludf.DUMMYFUNCTION("""COMPUTED_VALUE"""),16.5648)</f>
        <v>16.5648</v>
      </c>
    </row>
    <row r="650">
      <c r="A650" s="53">
        <v>1.0</v>
      </c>
      <c r="B650" s="53"/>
      <c r="C650" s="53" t="s">
        <v>12</v>
      </c>
      <c r="D650" s="53" t="s">
        <v>1560</v>
      </c>
      <c r="E650" s="86" t="s">
        <v>38</v>
      </c>
      <c r="F650" s="91" t="s">
        <v>42</v>
      </c>
      <c r="G650" s="141" t="s">
        <v>1561</v>
      </c>
      <c r="H650" s="141" t="s">
        <v>1561</v>
      </c>
      <c r="I650" s="54">
        <f t="shared" si="24"/>
        <v>28</v>
      </c>
      <c r="J650" s="56"/>
      <c r="K650" s="57"/>
      <c r="L650" s="126"/>
      <c r="M650" s="59"/>
      <c r="N650" s="93"/>
      <c r="O650" s="61"/>
      <c r="P650" s="90"/>
      <c r="Q650" s="94"/>
      <c r="R650" s="95">
        <v>155.0</v>
      </c>
      <c r="S650" s="111">
        <v>163.0</v>
      </c>
      <c r="T650" s="65">
        <f t="shared" si="2"/>
        <v>26.08</v>
      </c>
      <c r="U650" s="65">
        <f t="shared" si="3"/>
        <v>189.08</v>
      </c>
      <c r="V650" s="66">
        <f t="shared" si="4"/>
        <v>0.05161290323</v>
      </c>
      <c r="W650" s="67">
        <f t="shared" si="5"/>
        <v>154.85</v>
      </c>
      <c r="X650" s="67">
        <f t="shared" si="6"/>
        <v>24.776</v>
      </c>
      <c r="Y650" s="67">
        <f t="shared" si="7"/>
        <v>179.626</v>
      </c>
      <c r="Z650" s="67">
        <f t="shared" si="8"/>
        <v>146.7</v>
      </c>
      <c r="AA650" s="67">
        <f t="shared" si="9"/>
        <v>23.472</v>
      </c>
      <c r="AB650" s="67">
        <f t="shared" si="10"/>
        <v>170.172</v>
      </c>
      <c r="AC650" s="67">
        <f t="shared" si="11"/>
        <v>138.55</v>
      </c>
      <c r="AD650" s="67">
        <f t="shared" si="12"/>
        <v>22.168</v>
      </c>
      <c r="AE650" s="67">
        <f t="shared" si="13"/>
        <v>160.718</v>
      </c>
      <c r="AF650" s="67">
        <f t="shared" si="14"/>
        <v>135.29</v>
      </c>
      <c r="AG650" s="67">
        <f t="shared" si="15"/>
        <v>21.6464</v>
      </c>
      <c r="AH650" s="67">
        <f t="shared" si="16"/>
        <v>156.9364</v>
      </c>
      <c r="AI650" s="67">
        <f t="shared" si="17"/>
        <v>130.4</v>
      </c>
      <c r="AJ650" s="96"/>
      <c r="AK650" s="96"/>
      <c r="AL650" s="70">
        <f>IFERROR(__xludf.DUMMYFUNCTION("""COMPUTED_VALUE"""),1.0)</f>
        <v>1</v>
      </c>
      <c r="AM650" s="70"/>
      <c r="AN650" s="71" t="str">
        <f>IFERROR(__xludf.DUMMYFUNCTION("""COMPUTED_VALUE""")," C")</f>
        <v>C</v>
      </c>
      <c r="AO650" s="71" t="str">
        <f>IFERROR(__xludf.DUMMYFUNCTION("""COMPUTED_VALUE""")," GR05")</f>
        <v>GR05</v>
      </c>
      <c r="AP650" s="71" t="str">
        <f>IFERROR(__xludf.DUMMYFUNCTION("""COMPUTED_VALUE""")," PZA")</f>
        <v>PZA</v>
      </c>
      <c r="AQ650" s="71" t="str">
        <f>IFERROR(__xludf.DUMMYFUNCTION("""COMPUTED_VALUE""")," REF")</f>
        <v>REF</v>
      </c>
      <c r="AR650" s="71" t="str">
        <f>IFERROR(__xludf.DUMMYFUNCTION("""COMPUTED_VALUE""")," GRASERA 1/8 RECTA")</f>
        <v>GRASERA 1/8 RECTA</v>
      </c>
      <c r="AS650" s="71" t="str">
        <f>IFERROR(__xludf.DUMMYFUNCTION("""COMPUTED_VALUE""")," GRASERA 1/8 RECTA")</f>
        <v>GRASERA 1/8 RECTA</v>
      </c>
      <c r="AT650" s="71">
        <f>IFERROR(__xludf.DUMMYFUNCTION("""COMPUTED_VALUE"""),17.0)</f>
        <v>17</v>
      </c>
      <c r="AU650" s="71"/>
      <c r="AV650" s="71"/>
      <c r="AW650" s="71"/>
      <c r="AX650" s="71"/>
      <c r="AY650" s="71">
        <f>IFERROR(__xludf.DUMMYFUNCTION("""COMPUTED_VALUE"""),7.0)</f>
        <v>7</v>
      </c>
      <c r="AZ650" s="71">
        <f>IFERROR(__xludf.DUMMYFUNCTION("""COMPUTED_VALUE"""),9.0)</f>
        <v>9</v>
      </c>
      <c r="BA650" s="71">
        <f>IFERROR(__xludf.DUMMYFUNCTION("""COMPUTED_VALUE"""),9.72)</f>
        <v>9.72</v>
      </c>
      <c r="BB650" s="71">
        <f>IFERROR(__xludf.DUMMYFUNCTION("""COMPUTED_VALUE"""),9.72)</f>
        <v>9.72</v>
      </c>
      <c r="BC650" s="71">
        <f>IFERROR(__xludf.DUMMYFUNCTION("""COMPUTED_VALUE"""),12.0)</f>
        <v>12</v>
      </c>
      <c r="BD650" s="71">
        <f>IFERROR(__xludf.DUMMYFUNCTION("""COMPUTED_VALUE"""),12.600000000000001)</f>
        <v>12.6</v>
      </c>
      <c r="BE650" s="71">
        <f>IFERROR(__xludf.DUMMYFUNCTION("""COMPUTED_VALUE"""),2.0160000000000005)</f>
        <v>2.016</v>
      </c>
      <c r="BF650" s="71">
        <f>IFERROR(__xludf.DUMMYFUNCTION("""COMPUTED_VALUE"""),14.616000000000001)</f>
        <v>14.616</v>
      </c>
      <c r="BG650" s="71">
        <f>IFERROR(__xludf.DUMMYFUNCTION("""COMPUTED_VALUE"""),0.05000000000000012)</f>
        <v>0.05</v>
      </c>
      <c r="BH650" s="71">
        <f>IFERROR(__xludf.DUMMYFUNCTION("""COMPUTED_VALUE"""),11.97)</f>
        <v>11.97</v>
      </c>
      <c r="BI650" s="71">
        <f>IFERROR(__xludf.DUMMYFUNCTION("""COMPUTED_VALUE"""),1.9152000000000002)</f>
        <v>1.9152</v>
      </c>
      <c r="BJ650" s="71">
        <f>IFERROR(__xludf.DUMMYFUNCTION("""COMPUTED_VALUE"""),13.885200000000001)</f>
        <v>13.8852</v>
      </c>
      <c r="BK650" s="71">
        <f>IFERROR(__xludf.DUMMYFUNCTION("""COMPUTED_VALUE"""),11.340000000000002)</f>
        <v>11.34</v>
      </c>
      <c r="BL650" s="71">
        <f>IFERROR(__xludf.DUMMYFUNCTION("""COMPUTED_VALUE"""),1.8144000000000002)</f>
        <v>1.8144</v>
      </c>
      <c r="BM650" s="71">
        <f>IFERROR(__xludf.DUMMYFUNCTION("""COMPUTED_VALUE"""),13.154400000000003)</f>
        <v>13.1544</v>
      </c>
      <c r="BN650" s="71">
        <f>IFERROR(__xludf.DUMMYFUNCTION("""COMPUTED_VALUE"""),10.71)</f>
        <v>10.71</v>
      </c>
      <c r="BO650" s="71">
        <f>IFERROR(__xludf.DUMMYFUNCTION("""COMPUTED_VALUE"""),1.7136000000000002)</f>
        <v>1.7136</v>
      </c>
      <c r="BP650" s="71">
        <f>IFERROR(__xludf.DUMMYFUNCTION("""COMPUTED_VALUE"""),12.4236)</f>
        <v>12.4236</v>
      </c>
      <c r="BQ650" s="71">
        <f>IFERROR(__xludf.DUMMYFUNCTION("""COMPUTED_VALUE"""),10.458)</f>
        <v>10.458</v>
      </c>
      <c r="BR650" s="71">
        <f>IFERROR(__xludf.DUMMYFUNCTION("""COMPUTED_VALUE"""),1.67328)</f>
        <v>1.67328</v>
      </c>
      <c r="BS650" s="71">
        <f>IFERROR(__xludf.DUMMYFUNCTION("""COMPUTED_VALUE"""),12.13128)</f>
        <v>12.13128</v>
      </c>
      <c r="BT650" s="71">
        <f>IFERROR(__xludf.DUMMYFUNCTION("""COMPUTED_VALUE"""),10.080000000000002)</f>
        <v>10.08</v>
      </c>
      <c r="BU650" s="71">
        <f>IFERROR(__xludf.DUMMYFUNCTION("""COMPUTED_VALUE"""),1.6128000000000002)</f>
        <v>1.6128</v>
      </c>
      <c r="BV650" s="71">
        <f>IFERROR(__xludf.DUMMYFUNCTION("""COMPUTED_VALUE"""),11.692800000000002)</f>
        <v>11.6928</v>
      </c>
    </row>
    <row r="651">
      <c r="A651" s="53">
        <v>1.0</v>
      </c>
      <c r="B651" s="53"/>
      <c r="C651" s="53" t="s">
        <v>12</v>
      </c>
      <c r="D651" s="53" t="s">
        <v>1562</v>
      </c>
      <c r="E651" s="86" t="s">
        <v>38</v>
      </c>
      <c r="F651" s="91" t="s">
        <v>42</v>
      </c>
      <c r="G651" s="141" t="s">
        <v>1563</v>
      </c>
      <c r="H651" s="141" t="s">
        <v>1563</v>
      </c>
      <c r="I651" s="54">
        <f t="shared" si="24"/>
        <v>28</v>
      </c>
      <c r="J651" s="56"/>
      <c r="K651" s="57"/>
      <c r="L651" s="126"/>
      <c r="M651" s="59"/>
      <c r="N651" s="93"/>
      <c r="O651" s="61"/>
      <c r="P651" s="90"/>
      <c r="Q651" s="94"/>
      <c r="R651" s="95">
        <v>165.0</v>
      </c>
      <c r="S651" s="111">
        <v>173.0</v>
      </c>
      <c r="T651" s="65">
        <f t="shared" si="2"/>
        <v>27.68</v>
      </c>
      <c r="U651" s="65">
        <f t="shared" si="3"/>
        <v>200.68</v>
      </c>
      <c r="V651" s="66">
        <f t="shared" si="4"/>
        <v>0.04848484848</v>
      </c>
      <c r="W651" s="67">
        <f t="shared" si="5"/>
        <v>164.35</v>
      </c>
      <c r="X651" s="67">
        <f t="shared" si="6"/>
        <v>26.296</v>
      </c>
      <c r="Y651" s="67">
        <f t="shared" si="7"/>
        <v>190.646</v>
      </c>
      <c r="Z651" s="67">
        <f t="shared" si="8"/>
        <v>155.7</v>
      </c>
      <c r="AA651" s="67">
        <f t="shared" si="9"/>
        <v>24.912</v>
      </c>
      <c r="AB651" s="67">
        <f t="shared" si="10"/>
        <v>180.612</v>
      </c>
      <c r="AC651" s="67">
        <f t="shared" si="11"/>
        <v>147.05</v>
      </c>
      <c r="AD651" s="67">
        <f t="shared" si="12"/>
        <v>23.528</v>
      </c>
      <c r="AE651" s="67">
        <f t="shared" si="13"/>
        <v>170.578</v>
      </c>
      <c r="AF651" s="67">
        <f t="shared" si="14"/>
        <v>143.59</v>
      </c>
      <c r="AG651" s="67">
        <f t="shared" si="15"/>
        <v>22.9744</v>
      </c>
      <c r="AH651" s="67">
        <f t="shared" si="16"/>
        <v>166.5644</v>
      </c>
      <c r="AI651" s="67">
        <f t="shared" si="17"/>
        <v>138.4</v>
      </c>
      <c r="AJ651" s="96"/>
      <c r="AK651" s="96"/>
      <c r="AL651" s="70">
        <f>IFERROR(__xludf.DUMMYFUNCTION("""COMPUTED_VALUE"""),1.0)</f>
        <v>1</v>
      </c>
      <c r="AM651" s="70"/>
      <c r="AN651" s="71" t="str">
        <f>IFERROR(__xludf.DUMMYFUNCTION("""COMPUTED_VALUE""")," C")</f>
        <v>C</v>
      </c>
      <c r="AO651" s="71" t="str">
        <f>IFERROR(__xludf.DUMMYFUNCTION("""COMPUTED_VALUE""")," GR06")</f>
        <v>GR06</v>
      </c>
      <c r="AP651" s="71" t="str">
        <f>IFERROR(__xludf.DUMMYFUNCTION("""COMPUTED_VALUE""")," PZA")</f>
        <v>PZA</v>
      </c>
      <c r="AQ651" s="71" t="str">
        <f>IFERROR(__xludf.DUMMYFUNCTION("""COMPUTED_VALUE""")," REF")</f>
        <v>REF</v>
      </c>
      <c r="AR651" s="71" t="str">
        <f>IFERROR(__xludf.DUMMYFUNCTION("""COMPUTED_VALUE""")," GRASERA 1/8 X 90 CORTA")</f>
        <v>GRASERA 1/8 X 90 CORTA</v>
      </c>
      <c r="AS651" s="71" t="str">
        <f>IFERROR(__xludf.DUMMYFUNCTION("""COMPUTED_VALUE""")," GRASERA 1/8 X 90 CORTA")</f>
        <v>GRASERA 1/8 X 90 CORTA</v>
      </c>
      <c r="AT651" s="71">
        <f>IFERROR(__xludf.DUMMYFUNCTION("""COMPUTED_VALUE"""),22.0)</f>
        <v>22</v>
      </c>
      <c r="AU651" s="71"/>
      <c r="AV651" s="71"/>
      <c r="AW651" s="71"/>
      <c r="AX651" s="71"/>
      <c r="AY651" s="71">
        <f>IFERROR(__xludf.DUMMYFUNCTION("""COMPUTED_VALUE"""),10.0)</f>
        <v>10</v>
      </c>
      <c r="AZ651" s="71">
        <f>IFERROR(__xludf.DUMMYFUNCTION("""COMPUTED_VALUE"""),16.0)</f>
        <v>16</v>
      </c>
      <c r="BA651" s="71">
        <f>IFERROR(__xludf.DUMMYFUNCTION("""COMPUTED_VALUE"""),17.28)</f>
        <v>17.28</v>
      </c>
      <c r="BB651" s="71">
        <f>IFERROR(__xludf.DUMMYFUNCTION("""COMPUTED_VALUE"""),17.28)</f>
        <v>17.28</v>
      </c>
      <c r="BC651" s="71">
        <f>IFERROR(__xludf.DUMMYFUNCTION("""COMPUTED_VALUE"""),19.0)</f>
        <v>19</v>
      </c>
      <c r="BD651" s="71">
        <f>IFERROR(__xludf.DUMMYFUNCTION("""COMPUTED_VALUE"""),19.95)</f>
        <v>19.95</v>
      </c>
      <c r="BE651" s="71">
        <f>IFERROR(__xludf.DUMMYFUNCTION("""COMPUTED_VALUE"""),3.192)</f>
        <v>3.192</v>
      </c>
      <c r="BF651" s="71">
        <f>IFERROR(__xludf.DUMMYFUNCTION("""COMPUTED_VALUE"""),23.142)</f>
        <v>23.142</v>
      </c>
      <c r="BG651" s="71">
        <f>IFERROR(__xludf.DUMMYFUNCTION("""COMPUTED_VALUE"""),0.04999999999999996)</f>
        <v>0.05</v>
      </c>
      <c r="BH651" s="71">
        <f>IFERROR(__xludf.DUMMYFUNCTION("""COMPUTED_VALUE"""),18.952499999999997)</f>
        <v>18.9525</v>
      </c>
      <c r="BI651" s="71">
        <f>IFERROR(__xludf.DUMMYFUNCTION("""COMPUTED_VALUE"""),3.0323999999999995)</f>
        <v>3.0324</v>
      </c>
      <c r="BJ651" s="71">
        <f>IFERROR(__xludf.DUMMYFUNCTION("""COMPUTED_VALUE"""),21.984899999999996)</f>
        <v>21.9849</v>
      </c>
      <c r="BK651" s="71">
        <f>IFERROR(__xludf.DUMMYFUNCTION("""COMPUTED_VALUE"""),17.955)</f>
        <v>17.955</v>
      </c>
      <c r="BL651" s="71">
        <f>IFERROR(__xludf.DUMMYFUNCTION("""COMPUTED_VALUE"""),2.8728)</f>
        <v>2.8728</v>
      </c>
      <c r="BM651" s="71">
        <f>IFERROR(__xludf.DUMMYFUNCTION("""COMPUTED_VALUE"""),20.827799999999996)</f>
        <v>20.8278</v>
      </c>
      <c r="BN651" s="71">
        <f>IFERROR(__xludf.DUMMYFUNCTION("""COMPUTED_VALUE"""),16.9575)</f>
        <v>16.9575</v>
      </c>
      <c r="BO651" s="71">
        <f>IFERROR(__xludf.DUMMYFUNCTION("""COMPUTED_VALUE"""),2.7132)</f>
        <v>2.7132</v>
      </c>
      <c r="BP651" s="71">
        <f>IFERROR(__xludf.DUMMYFUNCTION("""COMPUTED_VALUE"""),19.6707)</f>
        <v>19.6707</v>
      </c>
      <c r="BQ651" s="71">
        <f>IFERROR(__xludf.DUMMYFUNCTION("""COMPUTED_VALUE"""),16.5585)</f>
        <v>16.5585</v>
      </c>
      <c r="BR651" s="71">
        <f>IFERROR(__xludf.DUMMYFUNCTION("""COMPUTED_VALUE"""),2.6493599999999997)</f>
        <v>2.64936</v>
      </c>
      <c r="BS651" s="71">
        <f>IFERROR(__xludf.DUMMYFUNCTION("""COMPUTED_VALUE"""),19.207859999999997)</f>
        <v>19.20786</v>
      </c>
      <c r="BT651" s="71">
        <f>IFERROR(__xludf.DUMMYFUNCTION("""COMPUTED_VALUE"""),15.96)</f>
        <v>15.96</v>
      </c>
      <c r="BU651" s="71">
        <f>IFERROR(__xludf.DUMMYFUNCTION("""COMPUTED_VALUE"""),2.5536000000000003)</f>
        <v>2.5536</v>
      </c>
      <c r="BV651" s="71">
        <f>IFERROR(__xludf.DUMMYFUNCTION("""COMPUTED_VALUE"""),18.5136)</f>
        <v>18.5136</v>
      </c>
    </row>
    <row r="652">
      <c r="A652" s="53">
        <v>1.0</v>
      </c>
      <c r="B652" s="53"/>
      <c r="C652" s="53" t="s">
        <v>12</v>
      </c>
      <c r="D652" s="53" t="s">
        <v>1564</v>
      </c>
      <c r="E652" s="86" t="s">
        <v>38</v>
      </c>
      <c r="F652" s="91" t="s">
        <v>42</v>
      </c>
      <c r="G652" s="141" t="s">
        <v>1565</v>
      </c>
      <c r="H652" s="141" t="s">
        <v>1565</v>
      </c>
      <c r="I652" s="54">
        <f t="shared" si="24"/>
        <v>28</v>
      </c>
      <c r="J652" s="56"/>
      <c r="K652" s="57"/>
      <c r="L652" s="126"/>
      <c r="M652" s="59"/>
      <c r="N652" s="93"/>
      <c r="O652" s="61"/>
      <c r="P652" s="90"/>
      <c r="Q652" s="94"/>
      <c r="R652" s="95">
        <v>175.0</v>
      </c>
      <c r="S652" s="111">
        <v>184.0</v>
      </c>
      <c r="T652" s="65">
        <f t="shared" si="2"/>
        <v>29.44</v>
      </c>
      <c r="U652" s="65">
        <f t="shared" si="3"/>
        <v>213.44</v>
      </c>
      <c r="V652" s="66">
        <f t="shared" si="4"/>
        <v>0.05142857143</v>
      </c>
      <c r="W652" s="67">
        <f t="shared" si="5"/>
        <v>174.8</v>
      </c>
      <c r="X652" s="67">
        <f t="shared" si="6"/>
        <v>27.968</v>
      </c>
      <c r="Y652" s="67">
        <f t="shared" si="7"/>
        <v>202.768</v>
      </c>
      <c r="Z652" s="67">
        <f t="shared" si="8"/>
        <v>165.6</v>
      </c>
      <c r="AA652" s="67">
        <f t="shared" si="9"/>
        <v>26.496</v>
      </c>
      <c r="AB652" s="67">
        <f t="shared" si="10"/>
        <v>192.096</v>
      </c>
      <c r="AC652" s="67">
        <f t="shared" si="11"/>
        <v>156.4</v>
      </c>
      <c r="AD652" s="67">
        <f t="shared" si="12"/>
        <v>25.024</v>
      </c>
      <c r="AE652" s="67">
        <f t="shared" si="13"/>
        <v>181.424</v>
      </c>
      <c r="AF652" s="67">
        <f t="shared" si="14"/>
        <v>152.72</v>
      </c>
      <c r="AG652" s="67">
        <f t="shared" si="15"/>
        <v>24.4352</v>
      </c>
      <c r="AH652" s="67">
        <f t="shared" si="16"/>
        <v>177.1552</v>
      </c>
      <c r="AI652" s="67">
        <f t="shared" si="17"/>
        <v>147.2</v>
      </c>
      <c r="AJ652" s="96"/>
      <c r="AK652" s="96"/>
      <c r="AL652" s="70">
        <f>IFERROR(__xludf.DUMMYFUNCTION("""COMPUTED_VALUE"""),1.0)</f>
        <v>1</v>
      </c>
      <c r="AM652" s="70"/>
      <c r="AN652" s="71" t="str">
        <f>IFERROR(__xludf.DUMMYFUNCTION("""COMPUTED_VALUE""")," C")</f>
        <v>C</v>
      </c>
      <c r="AO652" s="71" t="str">
        <f>IFERROR(__xludf.DUMMYFUNCTION("""COMPUTED_VALUE""")," GR07")</f>
        <v>GR07</v>
      </c>
      <c r="AP652" s="71" t="str">
        <f>IFERROR(__xludf.DUMMYFUNCTION("""COMPUTED_VALUE""")," PZA")</f>
        <v>PZA</v>
      </c>
      <c r="AQ652" s="71" t="str">
        <f>IFERROR(__xludf.DUMMYFUNCTION("""COMPUTED_VALUE""")," REF")</f>
        <v>REF</v>
      </c>
      <c r="AR652" s="71" t="str">
        <f>IFERROR(__xludf.DUMMYFUNCTION("""COMPUTED_VALUE""")," GRASERA 1/8 X 90 LARGA")</f>
        <v>GRASERA 1/8 X 90 LARGA</v>
      </c>
      <c r="AS652" s="71" t="str">
        <f>IFERROR(__xludf.DUMMYFUNCTION("""COMPUTED_VALUE""")," GRASERA 1/8 X 90 LARGA")</f>
        <v>GRASERA 1/8 X 90 LARGA</v>
      </c>
      <c r="AT652" s="71">
        <f>IFERROR(__xludf.DUMMYFUNCTION("""COMPUTED_VALUE"""),22.0)</f>
        <v>22</v>
      </c>
      <c r="AU652" s="71"/>
      <c r="AV652" s="71"/>
      <c r="AW652" s="71"/>
      <c r="AX652" s="71"/>
      <c r="AY652" s="71">
        <f>IFERROR(__xludf.DUMMYFUNCTION("""COMPUTED_VALUE"""),18.0)</f>
        <v>18</v>
      </c>
      <c r="AZ652" s="71">
        <f>IFERROR(__xludf.DUMMYFUNCTION("""COMPUTED_VALUE"""),31.0)</f>
        <v>31</v>
      </c>
      <c r="BA652" s="71">
        <f>IFERROR(__xludf.DUMMYFUNCTION("""COMPUTED_VALUE"""),33.480000000000004)</f>
        <v>33.48</v>
      </c>
      <c r="BB652" s="71">
        <f>IFERROR(__xludf.DUMMYFUNCTION("""COMPUTED_VALUE"""),33.480000000000004)</f>
        <v>33.48</v>
      </c>
      <c r="BC652" s="71">
        <f>IFERROR(__xludf.DUMMYFUNCTION("""COMPUTED_VALUE"""),36.0)</f>
        <v>36</v>
      </c>
      <c r="BD652" s="71">
        <f>IFERROR(__xludf.DUMMYFUNCTION("""COMPUTED_VALUE"""),38.0)</f>
        <v>38</v>
      </c>
      <c r="BE652" s="71">
        <f>IFERROR(__xludf.DUMMYFUNCTION("""COMPUTED_VALUE"""),6.08)</f>
        <v>6.08</v>
      </c>
      <c r="BF652" s="71">
        <f>IFERROR(__xludf.DUMMYFUNCTION("""COMPUTED_VALUE"""),44.08)</f>
        <v>44.08</v>
      </c>
      <c r="BG652" s="71">
        <f>IFERROR(__xludf.DUMMYFUNCTION("""COMPUTED_VALUE"""),0.05555555555555555)</f>
        <v>0.05555555556</v>
      </c>
      <c r="BH652" s="71">
        <f>IFERROR(__xludf.DUMMYFUNCTION("""COMPUTED_VALUE"""),36.1)</f>
        <v>36.1</v>
      </c>
      <c r="BI652" s="71">
        <f>IFERROR(__xludf.DUMMYFUNCTION("""COMPUTED_VALUE"""),5.776000000000001)</f>
        <v>5.776</v>
      </c>
      <c r="BJ652" s="71">
        <f>IFERROR(__xludf.DUMMYFUNCTION("""COMPUTED_VALUE"""),41.876000000000005)</f>
        <v>41.876</v>
      </c>
      <c r="BK652" s="71">
        <f>IFERROR(__xludf.DUMMYFUNCTION("""COMPUTED_VALUE"""),34.2)</f>
        <v>34.2</v>
      </c>
      <c r="BL652" s="71">
        <f>IFERROR(__xludf.DUMMYFUNCTION("""COMPUTED_VALUE"""),5.472)</f>
        <v>5.472</v>
      </c>
      <c r="BM652" s="71">
        <f>IFERROR(__xludf.DUMMYFUNCTION("""COMPUTED_VALUE"""),39.672000000000004)</f>
        <v>39.672</v>
      </c>
      <c r="BN652" s="71">
        <f>IFERROR(__xludf.DUMMYFUNCTION("""COMPUTED_VALUE"""),32.3)</f>
        <v>32.3</v>
      </c>
      <c r="BO652" s="71">
        <f>IFERROR(__xludf.DUMMYFUNCTION("""COMPUTED_VALUE"""),5.167999999999999)</f>
        <v>5.168</v>
      </c>
      <c r="BP652" s="71">
        <f>IFERROR(__xludf.DUMMYFUNCTION("""COMPUTED_VALUE"""),37.467999999999996)</f>
        <v>37.468</v>
      </c>
      <c r="BQ652" s="71">
        <f>IFERROR(__xludf.DUMMYFUNCTION("""COMPUTED_VALUE"""),31.54)</f>
        <v>31.54</v>
      </c>
      <c r="BR652" s="71">
        <f>IFERROR(__xludf.DUMMYFUNCTION("""COMPUTED_VALUE"""),5.0464)</f>
        <v>5.0464</v>
      </c>
      <c r="BS652" s="71">
        <f>IFERROR(__xludf.DUMMYFUNCTION("""COMPUTED_VALUE"""),36.5864)</f>
        <v>36.5864</v>
      </c>
      <c r="BT652" s="71">
        <f>IFERROR(__xludf.DUMMYFUNCTION("""COMPUTED_VALUE"""),30.400000000000002)</f>
        <v>30.4</v>
      </c>
      <c r="BU652" s="71">
        <f>IFERROR(__xludf.DUMMYFUNCTION("""COMPUTED_VALUE"""),4.864000000000001)</f>
        <v>4.864</v>
      </c>
      <c r="BV652" s="71">
        <f>IFERROR(__xludf.DUMMYFUNCTION("""COMPUTED_VALUE"""),35.264)</f>
        <v>35.264</v>
      </c>
    </row>
    <row r="653">
      <c r="A653" s="53">
        <v>1.0</v>
      </c>
      <c r="B653" s="53"/>
      <c r="C653" s="53" t="s">
        <v>12</v>
      </c>
      <c r="D653" s="53" t="s">
        <v>1566</v>
      </c>
      <c r="E653" s="86" t="s">
        <v>38</v>
      </c>
      <c r="F653" s="91" t="s">
        <v>42</v>
      </c>
      <c r="G653" s="141" t="s">
        <v>1567</v>
      </c>
      <c r="H653" s="141" t="s">
        <v>1567</v>
      </c>
      <c r="I653" s="54">
        <f t="shared" si="24"/>
        <v>28</v>
      </c>
      <c r="J653" s="56"/>
      <c r="K653" s="57"/>
      <c r="L653" s="126"/>
      <c r="M653" s="59"/>
      <c r="N653" s="93"/>
      <c r="O653" s="61"/>
      <c r="P653" s="90"/>
      <c r="Q653" s="94"/>
      <c r="R653" s="95">
        <v>177.0</v>
      </c>
      <c r="S653" s="111">
        <v>186.0</v>
      </c>
      <c r="T653" s="65">
        <f t="shared" si="2"/>
        <v>29.76</v>
      </c>
      <c r="U653" s="65">
        <f t="shared" si="3"/>
        <v>215.76</v>
      </c>
      <c r="V653" s="66">
        <f t="shared" si="4"/>
        <v>0.05084745763</v>
      </c>
      <c r="W653" s="67">
        <f t="shared" si="5"/>
        <v>176.7</v>
      </c>
      <c r="X653" s="67">
        <f t="shared" si="6"/>
        <v>28.272</v>
      </c>
      <c r="Y653" s="67">
        <f t="shared" si="7"/>
        <v>204.972</v>
      </c>
      <c r="Z653" s="67">
        <f t="shared" si="8"/>
        <v>167.4</v>
      </c>
      <c r="AA653" s="67">
        <f t="shared" si="9"/>
        <v>26.784</v>
      </c>
      <c r="AB653" s="67">
        <f t="shared" si="10"/>
        <v>194.184</v>
      </c>
      <c r="AC653" s="67">
        <f t="shared" si="11"/>
        <v>158.1</v>
      </c>
      <c r="AD653" s="67">
        <f t="shared" si="12"/>
        <v>25.296</v>
      </c>
      <c r="AE653" s="67">
        <f t="shared" si="13"/>
        <v>183.396</v>
      </c>
      <c r="AF653" s="67">
        <f t="shared" si="14"/>
        <v>154.38</v>
      </c>
      <c r="AG653" s="67">
        <f t="shared" si="15"/>
        <v>24.7008</v>
      </c>
      <c r="AH653" s="67">
        <f t="shared" si="16"/>
        <v>179.0808</v>
      </c>
      <c r="AI653" s="67">
        <f t="shared" si="17"/>
        <v>148.8</v>
      </c>
      <c r="AJ653" s="96"/>
      <c r="AK653" s="96"/>
      <c r="AL653" s="70">
        <f>IFERROR(__xludf.DUMMYFUNCTION("""COMPUTED_VALUE"""),1.0)</f>
        <v>1</v>
      </c>
      <c r="AM653" s="70"/>
      <c r="AN653" s="71" t="str">
        <f>IFERROR(__xludf.DUMMYFUNCTION("""COMPUTED_VALUE""")," P")</f>
        <v>P</v>
      </c>
      <c r="AO653" s="71" t="str">
        <f>IFERROR(__xludf.DUMMYFUNCTION("""COMPUTED_VALUE""")," GR09")</f>
        <v>GR09</v>
      </c>
      <c r="AP653" s="71" t="str">
        <f>IFERROR(__xludf.DUMMYFUNCTION("""COMPUTED_VALUE""")," PZA")</f>
        <v>PZA</v>
      </c>
      <c r="AQ653" s="71" t="str">
        <f>IFERROR(__xludf.DUMMYFUNCTION("""COMPUTED_VALUE""")," REF")</f>
        <v>REF</v>
      </c>
      <c r="AR653" s="71" t="str">
        <f>IFERROR(__xludf.DUMMYFUNCTION("""COMPUTED_VALUE""")," GRASERA PARA BASE DÚPLEX")</f>
        <v>GRASERA PARA BASE DÚPLEX</v>
      </c>
      <c r="AS653" s="71" t="str">
        <f>IFERROR(__xludf.DUMMYFUNCTION("""COMPUTED_VALUE""")," GRASERA PARA BASE DPLX")</f>
        <v>GRASERA PARA BASE DPLX</v>
      </c>
      <c r="AT653" s="71">
        <f>IFERROR(__xludf.DUMMYFUNCTION("""COMPUTED_VALUE"""),22.0)</f>
        <v>22</v>
      </c>
      <c r="AU653" s="71"/>
      <c r="AV653" s="71"/>
      <c r="AW653" s="71"/>
      <c r="AX653" s="71"/>
      <c r="AY653" s="71">
        <f>IFERROR(__xludf.DUMMYFUNCTION("""COMPUTED_VALUE"""),73.0)</f>
        <v>73</v>
      </c>
      <c r="AZ653" s="71">
        <f>IFERROR(__xludf.DUMMYFUNCTION("""COMPUTED_VALUE"""),78.0)</f>
        <v>78</v>
      </c>
      <c r="BA653" s="71">
        <f>IFERROR(__xludf.DUMMYFUNCTION("""COMPUTED_VALUE"""),84.24000000000001)</f>
        <v>84.24</v>
      </c>
      <c r="BB653" s="71">
        <f>IFERROR(__xludf.DUMMYFUNCTION("""COMPUTED_VALUE"""),84.24000000000001)</f>
        <v>84.24</v>
      </c>
      <c r="BC653" s="71">
        <f>IFERROR(__xludf.DUMMYFUNCTION("""COMPUTED_VALUE"""),94.0)</f>
        <v>94</v>
      </c>
      <c r="BD653" s="71">
        <f>IFERROR(__xludf.DUMMYFUNCTION("""COMPUTED_VALUE"""),99.0)</f>
        <v>99</v>
      </c>
      <c r="BE653" s="71">
        <f>IFERROR(__xludf.DUMMYFUNCTION("""COMPUTED_VALUE"""),15.84)</f>
        <v>15.84</v>
      </c>
      <c r="BF653" s="71">
        <f>IFERROR(__xludf.DUMMYFUNCTION("""COMPUTED_VALUE"""),114.84)</f>
        <v>114.84</v>
      </c>
      <c r="BG653" s="71">
        <f>IFERROR(__xludf.DUMMYFUNCTION("""COMPUTED_VALUE"""),0.05319148936170213)</f>
        <v>0.05319148936</v>
      </c>
      <c r="BH653" s="71">
        <f>IFERROR(__xludf.DUMMYFUNCTION("""COMPUTED_VALUE"""),94.05)</f>
        <v>94.05</v>
      </c>
      <c r="BI653" s="71">
        <f>IFERROR(__xludf.DUMMYFUNCTION("""COMPUTED_VALUE"""),15.048)</f>
        <v>15.048</v>
      </c>
      <c r="BJ653" s="71">
        <f>IFERROR(__xludf.DUMMYFUNCTION("""COMPUTED_VALUE"""),109.098)</f>
        <v>109.098</v>
      </c>
      <c r="BK653" s="71">
        <f>IFERROR(__xludf.DUMMYFUNCTION("""COMPUTED_VALUE"""),89.10000000000001)</f>
        <v>89.1</v>
      </c>
      <c r="BL653" s="71">
        <f>IFERROR(__xludf.DUMMYFUNCTION("""COMPUTED_VALUE"""),14.256000000000002)</f>
        <v>14.256</v>
      </c>
      <c r="BM653" s="71">
        <f>IFERROR(__xludf.DUMMYFUNCTION("""COMPUTED_VALUE"""),103.35600000000001)</f>
        <v>103.356</v>
      </c>
      <c r="BN653" s="71">
        <f>IFERROR(__xludf.DUMMYFUNCTION("""COMPUTED_VALUE"""),84.14999999999999)</f>
        <v>84.15</v>
      </c>
      <c r="BO653" s="71">
        <f>IFERROR(__xludf.DUMMYFUNCTION("""COMPUTED_VALUE"""),13.463999999999999)</f>
        <v>13.464</v>
      </c>
      <c r="BP653" s="71">
        <f>IFERROR(__xludf.DUMMYFUNCTION("""COMPUTED_VALUE"""),97.61399999999999)</f>
        <v>97.614</v>
      </c>
      <c r="BQ653" s="71">
        <f>IFERROR(__xludf.DUMMYFUNCTION("""COMPUTED_VALUE"""),82.17)</f>
        <v>82.17</v>
      </c>
      <c r="BR653" s="71">
        <f>IFERROR(__xludf.DUMMYFUNCTION("""COMPUTED_VALUE"""),13.1472)</f>
        <v>13.1472</v>
      </c>
      <c r="BS653" s="71">
        <f>IFERROR(__xludf.DUMMYFUNCTION("""COMPUTED_VALUE"""),95.3172)</f>
        <v>95.3172</v>
      </c>
      <c r="BT653" s="71">
        <f>IFERROR(__xludf.DUMMYFUNCTION("""COMPUTED_VALUE"""),79.2)</f>
        <v>79.2</v>
      </c>
      <c r="BU653" s="71">
        <f>IFERROR(__xludf.DUMMYFUNCTION("""COMPUTED_VALUE"""),12.672)</f>
        <v>12.672</v>
      </c>
      <c r="BV653" s="71">
        <f>IFERROR(__xludf.DUMMYFUNCTION("""COMPUTED_VALUE"""),91.872)</f>
        <v>91.872</v>
      </c>
    </row>
    <row r="654">
      <c r="A654" s="53">
        <v>1.0</v>
      </c>
      <c r="B654" s="53"/>
      <c r="C654" s="73" t="s">
        <v>53</v>
      </c>
      <c r="D654" s="53" t="s">
        <v>1568</v>
      </c>
      <c r="E654" s="54" t="s">
        <v>38</v>
      </c>
      <c r="F654" s="54" t="s">
        <v>42</v>
      </c>
      <c r="G654" s="142" t="s">
        <v>1569</v>
      </c>
      <c r="H654" s="142" t="s">
        <v>1569</v>
      </c>
      <c r="I654" s="54">
        <f t="shared" si="24"/>
        <v>29</v>
      </c>
      <c r="J654" s="56"/>
      <c r="K654" s="75"/>
      <c r="L654" s="76"/>
      <c r="M654" s="59"/>
      <c r="N654" s="60"/>
      <c r="O654" s="90"/>
      <c r="P654" s="62">
        <v>165.0</v>
      </c>
      <c r="Q654" s="63">
        <v>165.0</v>
      </c>
      <c r="R654" s="64">
        <v>179.0</v>
      </c>
      <c r="S654" s="111">
        <v>188.0</v>
      </c>
      <c r="T654" s="65">
        <f t="shared" si="2"/>
        <v>30.08</v>
      </c>
      <c r="U654" s="65">
        <f t="shared" si="3"/>
        <v>218.08</v>
      </c>
      <c r="V654" s="66">
        <f t="shared" si="4"/>
        <v>0.05027932961</v>
      </c>
      <c r="W654" s="67">
        <f t="shared" si="5"/>
        <v>178.6</v>
      </c>
      <c r="X654" s="67">
        <f t="shared" si="6"/>
        <v>28.576</v>
      </c>
      <c r="Y654" s="67">
        <f t="shared" si="7"/>
        <v>207.176</v>
      </c>
      <c r="Z654" s="67">
        <f t="shared" si="8"/>
        <v>169.2</v>
      </c>
      <c r="AA654" s="67">
        <f t="shared" si="9"/>
        <v>27.072</v>
      </c>
      <c r="AB654" s="67">
        <f t="shared" si="10"/>
        <v>196.272</v>
      </c>
      <c r="AC654" s="67">
        <f t="shared" si="11"/>
        <v>159.8</v>
      </c>
      <c r="AD654" s="67">
        <f t="shared" si="12"/>
        <v>25.568</v>
      </c>
      <c r="AE654" s="67">
        <f t="shared" si="13"/>
        <v>185.368</v>
      </c>
      <c r="AF654" s="67">
        <f t="shared" si="14"/>
        <v>156.04</v>
      </c>
      <c r="AG654" s="67">
        <f t="shared" si="15"/>
        <v>24.9664</v>
      </c>
      <c r="AH654" s="67">
        <f t="shared" si="16"/>
        <v>181.0064</v>
      </c>
      <c r="AI654" s="67">
        <f t="shared" si="17"/>
        <v>150.4</v>
      </c>
      <c r="AJ654" s="68">
        <f t="shared" ref="AJ654:AJ1027" si="31">AI654*0.16</f>
        <v>24.064</v>
      </c>
      <c r="AK654" s="68">
        <f t="shared" ref="AK654:AK1027" si="32">AI654+AJ654</f>
        <v>174.464</v>
      </c>
      <c r="AL654" s="70">
        <f>IFERROR(__xludf.DUMMYFUNCTION("""COMPUTED_VALUE"""),1.0)</f>
        <v>1</v>
      </c>
      <c r="AM654" s="70"/>
      <c r="AN654" s="71" t="str">
        <f>IFERROR(__xludf.DUMMYFUNCTION("""COMPUTED_VALUE""")," P")</f>
        <v>P</v>
      </c>
      <c r="AO654" s="71" t="str">
        <f>IFERROR(__xludf.DUMMYFUNCTION("""COMPUTED_VALUE""")," GU01")</f>
        <v>GU01</v>
      </c>
      <c r="AP654" s="71" t="str">
        <f>IFERROR(__xludf.DUMMYFUNCTION("""COMPUTED_VALUE""")," PZA")</f>
        <v>PZA</v>
      </c>
      <c r="AQ654" s="71" t="str">
        <f>IFERROR(__xludf.DUMMYFUNCTION("""COMPUTED_VALUE""")," REF")</f>
        <v>REF</v>
      </c>
      <c r="AR654" s="71" t="str">
        <f>IFERROR(__xludf.DUMMYFUNCTION("""COMPUTED_VALUE""")," GUÍA DE BRONCE DÚPLEX DERECHA")</f>
        <v>GUÍA DE BRONCE DÚPLEX DERECHA</v>
      </c>
      <c r="AS654" s="71" t="str">
        <f>IFERROR(__xludf.DUMMYFUNCTION("""COMPUTED_VALUE""")," GUIA DE BRONCE DPLX DERECHA")</f>
        <v>GUIA DE BRONCE DPLX DERECHA</v>
      </c>
      <c r="AT654" s="71">
        <f>IFERROR(__xludf.DUMMYFUNCTION("""COMPUTED_VALUE"""),27.0)</f>
        <v>27</v>
      </c>
      <c r="AU654" s="71"/>
      <c r="AV654" s="71"/>
      <c r="AW654" s="71"/>
      <c r="AX654" s="71"/>
      <c r="AY654" s="71">
        <f>IFERROR(__xludf.DUMMYFUNCTION("""COMPUTED_VALUE"""),1911.0)</f>
        <v>1911</v>
      </c>
      <c r="AZ654" s="71">
        <f>IFERROR(__xludf.DUMMYFUNCTION("""COMPUTED_VALUE"""),2063.0)</f>
        <v>2063</v>
      </c>
      <c r="BA654" s="71">
        <f>IFERROR(__xludf.DUMMYFUNCTION("""COMPUTED_VALUE"""),2761.72)</f>
        <v>2761.72</v>
      </c>
      <c r="BB654" s="71">
        <f>IFERROR(__xludf.DUMMYFUNCTION("""COMPUTED_VALUE"""),2761.72)</f>
        <v>2761.72</v>
      </c>
      <c r="BC654" s="71">
        <f>IFERROR(__xludf.DUMMYFUNCTION("""COMPUTED_VALUE"""),3075.0)</f>
        <v>3075</v>
      </c>
      <c r="BD654" s="71">
        <f>IFERROR(__xludf.DUMMYFUNCTION("""COMPUTED_VALUE"""),3229.0)</f>
        <v>3229</v>
      </c>
      <c r="BE654" s="71">
        <f>IFERROR(__xludf.DUMMYFUNCTION("""COMPUTED_VALUE"""),516.64)</f>
        <v>516.64</v>
      </c>
      <c r="BF654" s="71">
        <f>IFERROR(__xludf.DUMMYFUNCTION("""COMPUTED_VALUE"""),3745.64)</f>
        <v>3745.64</v>
      </c>
      <c r="BG654" s="71">
        <f>IFERROR(__xludf.DUMMYFUNCTION("""COMPUTED_VALUE"""),0.05008130081300813)</f>
        <v>0.05008130081</v>
      </c>
      <c r="BH654" s="71">
        <f>IFERROR(__xludf.DUMMYFUNCTION("""COMPUTED_VALUE"""),3067.5499999999997)</f>
        <v>3067.55</v>
      </c>
      <c r="BI654" s="71">
        <f>IFERROR(__xludf.DUMMYFUNCTION("""COMPUTED_VALUE"""),490.808)</f>
        <v>490.808</v>
      </c>
      <c r="BJ654" s="71">
        <f>IFERROR(__xludf.DUMMYFUNCTION("""COMPUTED_VALUE"""),3558.3579999999997)</f>
        <v>3558.358</v>
      </c>
      <c r="BK654" s="71">
        <f>IFERROR(__xludf.DUMMYFUNCTION("""COMPUTED_VALUE"""),2906.1)</f>
        <v>2906.1</v>
      </c>
      <c r="BL654" s="71">
        <f>IFERROR(__xludf.DUMMYFUNCTION("""COMPUTED_VALUE"""),464.976)</f>
        <v>464.976</v>
      </c>
      <c r="BM654" s="71">
        <f>IFERROR(__xludf.DUMMYFUNCTION("""COMPUTED_VALUE"""),3371.076)</f>
        <v>3371.076</v>
      </c>
      <c r="BN654" s="71">
        <f>IFERROR(__xludf.DUMMYFUNCTION("""COMPUTED_VALUE"""),2744.65)</f>
        <v>2744.65</v>
      </c>
      <c r="BO654" s="71">
        <f>IFERROR(__xludf.DUMMYFUNCTION("""COMPUTED_VALUE"""),439.144)</f>
        <v>439.144</v>
      </c>
      <c r="BP654" s="71">
        <f>IFERROR(__xludf.DUMMYFUNCTION("""COMPUTED_VALUE"""),3183.794)</f>
        <v>3183.794</v>
      </c>
      <c r="BQ654" s="71">
        <f>IFERROR(__xludf.DUMMYFUNCTION("""COMPUTED_VALUE"""),2680.0699999999997)</f>
        <v>2680.07</v>
      </c>
      <c r="BR654" s="71">
        <f>IFERROR(__xludf.DUMMYFUNCTION("""COMPUTED_VALUE"""),428.8112)</f>
        <v>428.8112</v>
      </c>
      <c r="BS654" s="71">
        <f>IFERROR(__xludf.DUMMYFUNCTION("""COMPUTED_VALUE"""),3108.8812)</f>
        <v>3108.8812</v>
      </c>
      <c r="BT654" s="71">
        <f>IFERROR(__xludf.DUMMYFUNCTION("""COMPUTED_VALUE"""),2583.2000000000003)</f>
        <v>2583.2</v>
      </c>
      <c r="BU654" s="71">
        <f>IFERROR(__xludf.DUMMYFUNCTION("""COMPUTED_VALUE"""),413.31200000000007)</f>
        <v>413.312</v>
      </c>
      <c r="BV654" s="71">
        <f>IFERROR(__xludf.DUMMYFUNCTION("""COMPUTED_VALUE"""),2996.512)</f>
        <v>2996.512</v>
      </c>
    </row>
    <row r="655">
      <c r="A655" s="53">
        <v>1.0</v>
      </c>
      <c r="B655" s="72"/>
      <c r="C655" s="120" t="s">
        <v>603</v>
      </c>
      <c r="D655" s="74" t="s">
        <v>1570</v>
      </c>
      <c r="E655" s="54" t="s">
        <v>38</v>
      </c>
      <c r="F655" s="54" t="s">
        <v>42</v>
      </c>
      <c r="G655" s="141" t="s">
        <v>1571</v>
      </c>
      <c r="H655" s="141" t="s">
        <v>1571</v>
      </c>
      <c r="I655" s="54">
        <f t="shared" si="24"/>
        <v>25</v>
      </c>
      <c r="J655" s="56"/>
      <c r="K655" s="75"/>
      <c r="L655" s="76"/>
      <c r="M655" s="59"/>
      <c r="N655" s="60">
        <v>339.0</v>
      </c>
      <c r="O655" s="61">
        <v>366.0</v>
      </c>
      <c r="P655" s="62">
        <v>165.0</v>
      </c>
      <c r="Q655" s="63">
        <v>165.0</v>
      </c>
      <c r="R655" s="64">
        <v>229.0</v>
      </c>
      <c r="S655" s="111">
        <v>240.0</v>
      </c>
      <c r="T655" s="65">
        <f t="shared" si="2"/>
        <v>38.4</v>
      </c>
      <c r="U655" s="65">
        <f t="shared" si="3"/>
        <v>278.4</v>
      </c>
      <c r="V655" s="66">
        <f t="shared" si="4"/>
        <v>0.0480349345</v>
      </c>
      <c r="W655" s="67">
        <f t="shared" si="5"/>
        <v>228</v>
      </c>
      <c r="X655" s="67">
        <f t="shared" si="6"/>
        <v>36.48</v>
      </c>
      <c r="Y655" s="67">
        <f t="shared" si="7"/>
        <v>264.48</v>
      </c>
      <c r="Z655" s="67">
        <f t="shared" si="8"/>
        <v>216</v>
      </c>
      <c r="AA655" s="67">
        <f t="shared" si="9"/>
        <v>34.56</v>
      </c>
      <c r="AB655" s="67">
        <f t="shared" si="10"/>
        <v>250.56</v>
      </c>
      <c r="AC655" s="67">
        <f t="shared" si="11"/>
        <v>204</v>
      </c>
      <c r="AD655" s="67">
        <f t="shared" si="12"/>
        <v>32.64</v>
      </c>
      <c r="AE655" s="67">
        <f t="shared" si="13"/>
        <v>236.64</v>
      </c>
      <c r="AF655" s="67">
        <f t="shared" si="14"/>
        <v>199.2</v>
      </c>
      <c r="AG655" s="67">
        <f t="shared" si="15"/>
        <v>31.872</v>
      </c>
      <c r="AH655" s="67">
        <f t="shared" si="16"/>
        <v>231.072</v>
      </c>
      <c r="AI655" s="67">
        <f t="shared" si="17"/>
        <v>192</v>
      </c>
      <c r="AJ655" s="68">
        <f t="shared" si="31"/>
        <v>30.72</v>
      </c>
      <c r="AK655" s="68">
        <f t="shared" si="32"/>
        <v>222.72</v>
      </c>
      <c r="AL655" s="70">
        <f>IFERROR(__xludf.DUMMYFUNCTION("""COMPUTED_VALUE"""),1.0)</f>
        <v>1</v>
      </c>
      <c r="AM655" s="70"/>
      <c r="AN655" s="71" t="str">
        <f>IFERROR(__xludf.DUMMYFUNCTION("""COMPUTED_VALUE""")," P")</f>
        <v>P</v>
      </c>
      <c r="AO655" s="71" t="str">
        <f>IFERROR(__xludf.DUMMYFUNCTION("""COMPUTED_VALUE""")," GU02")</f>
        <v>GU02</v>
      </c>
      <c r="AP655" s="71" t="str">
        <f>IFERROR(__xludf.DUMMYFUNCTION("""COMPUTED_VALUE""")," PZA")</f>
        <v>PZA</v>
      </c>
      <c r="AQ655" s="71" t="str">
        <f>IFERROR(__xludf.DUMMYFUNCTION("""COMPUTED_VALUE""")," REF")</f>
        <v>REF</v>
      </c>
      <c r="AR655" s="71" t="str">
        <f>IFERROR(__xludf.DUMMYFUNCTION("""COMPUTED_VALUE""")," GUÍA DE BRONCE DÚPLEX IZQUIERDA")</f>
        <v>GUÍA DE BRONCE DÚPLEX IZQUIERDA</v>
      </c>
      <c r="AS655" s="71" t="str">
        <f>IFERROR(__xludf.DUMMYFUNCTION("""COMPUTED_VALUE""")," GUIA DE BRONCE DPLX IZQUIERDA")</f>
        <v>GUIA DE BRONCE DPLX IZQUIERDA</v>
      </c>
      <c r="AT655" s="71">
        <f>IFERROR(__xludf.DUMMYFUNCTION("""COMPUTED_VALUE"""),29.0)</f>
        <v>29</v>
      </c>
      <c r="AU655" s="71"/>
      <c r="AV655" s="71"/>
      <c r="AW655" s="71"/>
      <c r="AX655" s="71"/>
      <c r="AY655" s="71">
        <f>IFERROR(__xludf.DUMMYFUNCTION("""COMPUTED_VALUE"""),1911.0)</f>
        <v>1911</v>
      </c>
      <c r="AZ655" s="71">
        <f>IFERROR(__xludf.DUMMYFUNCTION("""COMPUTED_VALUE"""),2063.0)</f>
        <v>2063</v>
      </c>
      <c r="BA655" s="71">
        <f>IFERROR(__xludf.DUMMYFUNCTION("""COMPUTED_VALUE"""),2761.72)</f>
        <v>2761.72</v>
      </c>
      <c r="BB655" s="71">
        <f>IFERROR(__xludf.DUMMYFUNCTION("""COMPUTED_VALUE"""),2761.72)</f>
        <v>2761.72</v>
      </c>
      <c r="BC655" s="71">
        <f>IFERROR(__xludf.DUMMYFUNCTION("""COMPUTED_VALUE"""),3075.0)</f>
        <v>3075</v>
      </c>
      <c r="BD655" s="71">
        <f>IFERROR(__xludf.DUMMYFUNCTION("""COMPUTED_VALUE"""),3229.0)</f>
        <v>3229</v>
      </c>
      <c r="BE655" s="71">
        <f>IFERROR(__xludf.DUMMYFUNCTION("""COMPUTED_VALUE"""),516.64)</f>
        <v>516.64</v>
      </c>
      <c r="BF655" s="71">
        <f>IFERROR(__xludf.DUMMYFUNCTION("""COMPUTED_VALUE"""),3745.64)</f>
        <v>3745.64</v>
      </c>
      <c r="BG655" s="71">
        <f>IFERROR(__xludf.DUMMYFUNCTION("""COMPUTED_VALUE"""),0.05008130081300813)</f>
        <v>0.05008130081</v>
      </c>
      <c r="BH655" s="71">
        <f>IFERROR(__xludf.DUMMYFUNCTION("""COMPUTED_VALUE"""),3067.5499999999997)</f>
        <v>3067.55</v>
      </c>
      <c r="BI655" s="71">
        <f>IFERROR(__xludf.DUMMYFUNCTION("""COMPUTED_VALUE"""),490.808)</f>
        <v>490.808</v>
      </c>
      <c r="BJ655" s="71">
        <f>IFERROR(__xludf.DUMMYFUNCTION("""COMPUTED_VALUE"""),3558.3579999999997)</f>
        <v>3558.358</v>
      </c>
      <c r="BK655" s="71">
        <f>IFERROR(__xludf.DUMMYFUNCTION("""COMPUTED_VALUE"""),2906.1)</f>
        <v>2906.1</v>
      </c>
      <c r="BL655" s="71">
        <f>IFERROR(__xludf.DUMMYFUNCTION("""COMPUTED_VALUE"""),464.976)</f>
        <v>464.976</v>
      </c>
      <c r="BM655" s="71">
        <f>IFERROR(__xludf.DUMMYFUNCTION("""COMPUTED_VALUE"""),3371.076)</f>
        <v>3371.076</v>
      </c>
      <c r="BN655" s="71">
        <f>IFERROR(__xludf.DUMMYFUNCTION("""COMPUTED_VALUE"""),2744.65)</f>
        <v>2744.65</v>
      </c>
      <c r="BO655" s="71">
        <f>IFERROR(__xludf.DUMMYFUNCTION("""COMPUTED_VALUE"""),439.144)</f>
        <v>439.144</v>
      </c>
      <c r="BP655" s="71">
        <f>IFERROR(__xludf.DUMMYFUNCTION("""COMPUTED_VALUE"""),3183.794)</f>
        <v>3183.794</v>
      </c>
      <c r="BQ655" s="71">
        <f>IFERROR(__xludf.DUMMYFUNCTION("""COMPUTED_VALUE"""),2680.0699999999997)</f>
        <v>2680.07</v>
      </c>
      <c r="BR655" s="71">
        <f>IFERROR(__xludf.DUMMYFUNCTION("""COMPUTED_VALUE"""),428.8112)</f>
        <v>428.8112</v>
      </c>
      <c r="BS655" s="71">
        <f>IFERROR(__xludf.DUMMYFUNCTION("""COMPUTED_VALUE"""),3108.8812)</f>
        <v>3108.8812</v>
      </c>
      <c r="BT655" s="71">
        <f>IFERROR(__xludf.DUMMYFUNCTION("""COMPUTED_VALUE"""),2583.2000000000003)</f>
        <v>2583.2</v>
      </c>
      <c r="BU655" s="71">
        <f>IFERROR(__xludf.DUMMYFUNCTION("""COMPUTED_VALUE"""),413.31200000000007)</f>
        <v>413.312</v>
      </c>
      <c r="BV655" s="71">
        <f>IFERROR(__xludf.DUMMYFUNCTION("""COMPUTED_VALUE"""),2996.512)</f>
        <v>2996.512</v>
      </c>
    </row>
    <row r="656">
      <c r="A656" s="53">
        <v>1.0</v>
      </c>
      <c r="B656" s="72"/>
      <c r="C656" s="120" t="s">
        <v>603</v>
      </c>
      <c r="D656" s="74" t="s">
        <v>1572</v>
      </c>
      <c r="E656" s="54" t="s">
        <v>38</v>
      </c>
      <c r="F656" s="54" t="s">
        <v>42</v>
      </c>
      <c r="G656" s="141" t="s">
        <v>1573</v>
      </c>
      <c r="H656" s="141" t="s">
        <v>1573</v>
      </c>
      <c r="I656" s="54">
        <f t="shared" si="24"/>
        <v>23</v>
      </c>
      <c r="J656" s="56"/>
      <c r="K656" s="75"/>
      <c r="L656" s="76"/>
      <c r="M656" s="59"/>
      <c r="N656" s="60">
        <v>339.0</v>
      </c>
      <c r="O656" s="61">
        <v>366.0</v>
      </c>
      <c r="P656" s="62">
        <v>160.0</v>
      </c>
      <c r="Q656" s="63">
        <v>160.0</v>
      </c>
      <c r="R656" s="64">
        <v>229.0</v>
      </c>
      <c r="S656" s="111">
        <v>240.0</v>
      </c>
      <c r="T656" s="65">
        <f t="shared" si="2"/>
        <v>38.4</v>
      </c>
      <c r="U656" s="65">
        <f t="shared" si="3"/>
        <v>278.4</v>
      </c>
      <c r="V656" s="66">
        <f t="shared" si="4"/>
        <v>0.0480349345</v>
      </c>
      <c r="W656" s="67">
        <f t="shared" si="5"/>
        <v>228</v>
      </c>
      <c r="X656" s="67">
        <f t="shared" si="6"/>
        <v>36.48</v>
      </c>
      <c r="Y656" s="67">
        <f t="shared" si="7"/>
        <v>264.48</v>
      </c>
      <c r="Z656" s="67">
        <f t="shared" si="8"/>
        <v>216</v>
      </c>
      <c r="AA656" s="67">
        <f t="shared" si="9"/>
        <v>34.56</v>
      </c>
      <c r="AB656" s="67">
        <f t="shared" si="10"/>
        <v>250.56</v>
      </c>
      <c r="AC656" s="67">
        <f t="shared" si="11"/>
        <v>204</v>
      </c>
      <c r="AD656" s="67">
        <f t="shared" si="12"/>
        <v>32.64</v>
      </c>
      <c r="AE656" s="67">
        <f t="shared" si="13"/>
        <v>236.64</v>
      </c>
      <c r="AF656" s="67">
        <f t="shared" si="14"/>
        <v>199.2</v>
      </c>
      <c r="AG656" s="67">
        <f t="shared" si="15"/>
        <v>31.872</v>
      </c>
      <c r="AH656" s="67">
        <f t="shared" si="16"/>
        <v>231.072</v>
      </c>
      <c r="AI656" s="67">
        <f t="shared" si="17"/>
        <v>192</v>
      </c>
      <c r="AJ656" s="68">
        <f t="shared" si="31"/>
        <v>30.72</v>
      </c>
      <c r="AK656" s="68">
        <f t="shared" si="32"/>
        <v>222.72</v>
      </c>
      <c r="AL656" s="70">
        <f>IFERROR(__xludf.DUMMYFUNCTION("""COMPUTED_VALUE"""),1.0)</f>
        <v>1</v>
      </c>
      <c r="AM656" s="70"/>
      <c r="AN656" s="71" t="str">
        <f>IFERROR(__xludf.DUMMYFUNCTION("""COMPUTED_VALUE""")," P")</f>
        <v>P</v>
      </c>
      <c r="AO656" s="71" t="str">
        <f>IFERROR(__xludf.DUMMYFUNCTION("""COMPUTED_VALUE""")," GU03")</f>
        <v>GU03</v>
      </c>
      <c r="AP656" s="71" t="str">
        <f>IFERROR(__xludf.DUMMYFUNCTION("""COMPUTED_VALUE""")," PZA")</f>
        <v>PZA</v>
      </c>
      <c r="AQ656" s="71" t="str">
        <f>IFERROR(__xludf.DUMMYFUNCTION("""COMPUTED_VALUE""")," REF")</f>
        <v>REF</v>
      </c>
      <c r="AR656" s="71" t="str">
        <f>IFERROR(__xludf.DUMMYFUNCTION("""COMPUTED_VALUE""")," GUÍA DE BRONCE SENCILLA DERECHA")</f>
        <v>GUÍA DE BRONCE SENCILLA DERECHA</v>
      </c>
      <c r="AS656" s="71" t="str">
        <f>IFERROR(__xludf.DUMMYFUNCTION("""COMPUTED_VALUE""")," GUIA DE BRONCE SENCILLA DERECHA")</f>
        <v>GUIA DE BRONCE SENCILLA DERECHA</v>
      </c>
      <c r="AT656" s="71">
        <f>IFERROR(__xludf.DUMMYFUNCTION("""COMPUTED_VALUE"""),31.0)</f>
        <v>31</v>
      </c>
      <c r="AU656" s="71"/>
      <c r="AV656" s="71"/>
      <c r="AW656" s="71"/>
      <c r="AX656" s="71"/>
      <c r="AY656" s="71">
        <f>IFERROR(__xludf.DUMMYFUNCTION("""COMPUTED_VALUE"""),995.0)</f>
        <v>995</v>
      </c>
      <c r="AZ656" s="71">
        <f>IFERROR(__xludf.DUMMYFUNCTION("""COMPUTED_VALUE"""),1074.0)</f>
        <v>1074</v>
      </c>
      <c r="BA656" s="71">
        <f>IFERROR(__xludf.DUMMYFUNCTION("""COMPUTED_VALUE"""),1445.54)</f>
        <v>1445.54</v>
      </c>
      <c r="BB656" s="71">
        <f>IFERROR(__xludf.DUMMYFUNCTION("""COMPUTED_VALUE"""),1445.54)</f>
        <v>1445.54</v>
      </c>
      <c r="BC656" s="71">
        <f>IFERROR(__xludf.DUMMYFUNCTION("""COMPUTED_VALUE"""),1610.0)</f>
        <v>1610</v>
      </c>
      <c r="BD656" s="71">
        <f>IFERROR(__xludf.DUMMYFUNCTION("""COMPUTED_VALUE"""),1691.0)</f>
        <v>1691</v>
      </c>
      <c r="BE656" s="71">
        <f>IFERROR(__xludf.DUMMYFUNCTION("""COMPUTED_VALUE"""),270.56)</f>
        <v>270.56</v>
      </c>
      <c r="BF656" s="71">
        <f>IFERROR(__xludf.DUMMYFUNCTION("""COMPUTED_VALUE"""),1961.56)</f>
        <v>1961.56</v>
      </c>
      <c r="BG656" s="71">
        <f>IFERROR(__xludf.DUMMYFUNCTION("""COMPUTED_VALUE"""),0.05031055900621118)</f>
        <v>0.05031055901</v>
      </c>
      <c r="BH656" s="71">
        <f>IFERROR(__xludf.DUMMYFUNCTION("""COMPUTED_VALUE"""),1606.4499999999998)</f>
        <v>1606.45</v>
      </c>
      <c r="BI656" s="71">
        <f>IFERROR(__xludf.DUMMYFUNCTION("""COMPUTED_VALUE"""),257.032)</f>
        <v>257.032</v>
      </c>
      <c r="BJ656" s="71">
        <f>IFERROR(__xludf.DUMMYFUNCTION("""COMPUTED_VALUE"""),1863.4819999999997)</f>
        <v>1863.482</v>
      </c>
      <c r="BK656" s="71">
        <f>IFERROR(__xludf.DUMMYFUNCTION("""COMPUTED_VALUE"""),1521.9)</f>
        <v>1521.9</v>
      </c>
      <c r="BL656" s="71">
        <f>IFERROR(__xludf.DUMMYFUNCTION("""COMPUTED_VALUE"""),243.50400000000002)</f>
        <v>243.504</v>
      </c>
      <c r="BM656" s="71">
        <f>IFERROR(__xludf.DUMMYFUNCTION("""COMPUTED_VALUE"""),1765.404)</f>
        <v>1765.404</v>
      </c>
      <c r="BN656" s="71">
        <f>IFERROR(__xludf.DUMMYFUNCTION("""COMPUTED_VALUE"""),1437.35)</f>
        <v>1437.35</v>
      </c>
      <c r="BO656" s="71">
        <f>IFERROR(__xludf.DUMMYFUNCTION("""COMPUTED_VALUE"""),229.976)</f>
        <v>229.976</v>
      </c>
      <c r="BP656" s="71">
        <f>IFERROR(__xludf.DUMMYFUNCTION("""COMPUTED_VALUE"""),1667.326)</f>
        <v>1667.326</v>
      </c>
      <c r="BQ656" s="71">
        <f>IFERROR(__xludf.DUMMYFUNCTION("""COMPUTED_VALUE"""),1403.53)</f>
        <v>1403.53</v>
      </c>
      <c r="BR656" s="71">
        <f>IFERROR(__xludf.DUMMYFUNCTION("""COMPUTED_VALUE"""),224.5648)</f>
        <v>224.5648</v>
      </c>
      <c r="BS656" s="71">
        <f>IFERROR(__xludf.DUMMYFUNCTION("""COMPUTED_VALUE"""),1628.0947999999999)</f>
        <v>1628.0948</v>
      </c>
      <c r="BT656" s="71">
        <f>IFERROR(__xludf.DUMMYFUNCTION("""COMPUTED_VALUE"""),1352.8000000000002)</f>
        <v>1352.8</v>
      </c>
      <c r="BU656" s="71">
        <f>IFERROR(__xludf.DUMMYFUNCTION("""COMPUTED_VALUE"""),216.44800000000004)</f>
        <v>216.448</v>
      </c>
      <c r="BV656" s="71">
        <f>IFERROR(__xludf.DUMMYFUNCTION("""COMPUTED_VALUE"""),1569.2480000000003)</f>
        <v>1569.248</v>
      </c>
    </row>
    <row r="657">
      <c r="A657" s="53">
        <v>1.0</v>
      </c>
      <c r="B657" s="53"/>
      <c r="C657" s="53"/>
      <c r="D657" s="53" t="s">
        <v>1574</v>
      </c>
      <c r="E657" s="86" t="s">
        <v>38</v>
      </c>
      <c r="F657" s="91" t="s">
        <v>42</v>
      </c>
      <c r="G657" s="142" t="s">
        <v>1575</v>
      </c>
      <c r="H657" s="142" t="s">
        <v>1575</v>
      </c>
      <c r="I657" s="54">
        <f t="shared" si="24"/>
        <v>29</v>
      </c>
      <c r="J657" s="56"/>
      <c r="K657" s="75"/>
      <c r="L657" s="76"/>
      <c r="M657" s="59"/>
      <c r="N657" s="60"/>
      <c r="O657" s="90"/>
      <c r="P657" s="62">
        <v>250.0</v>
      </c>
      <c r="Q657" s="63">
        <v>250.0</v>
      </c>
      <c r="R657" s="64">
        <v>270.0</v>
      </c>
      <c r="S657" s="111">
        <v>284.0</v>
      </c>
      <c r="T657" s="65">
        <f t="shared" si="2"/>
        <v>45.44</v>
      </c>
      <c r="U657" s="65">
        <f t="shared" si="3"/>
        <v>329.44</v>
      </c>
      <c r="V657" s="66">
        <f t="shared" si="4"/>
        <v>0.05185185185</v>
      </c>
      <c r="W657" s="67">
        <f t="shared" si="5"/>
        <v>269.8</v>
      </c>
      <c r="X657" s="67">
        <f t="shared" si="6"/>
        <v>43.168</v>
      </c>
      <c r="Y657" s="67">
        <f t="shared" si="7"/>
        <v>312.968</v>
      </c>
      <c r="Z657" s="67">
        <f t="shared" si="8"/>
        <v>255.6</v>
      </c>
      <c r="AA657" s="67">
        <f t="shared" si="9"/>
        <v>40.896</v>
      </c>
      <c r="AB657" s="67">
        <f t="shared" si="10"/>
        <v>296.496</v>
      </c>
      <c r="AC657" s="67">
        <f t="shared" si="11"/>
        <v>241.4</v>
      </c>
      <c r="AD657" s="67">
        <f t="shared" si="12"/>
        <v>38.624</v>
      </c>
      <c r="AE657" s="67">
        <f t="shared" si="13"/>
        <v>280.024</v>
      </c>
      <c r="AF657" s="67">
        <f t="shared" si="14"/>
        <v>235.72</v>
      </c>
      <c r="AG657" s="67">
        <f t="shared" si="15"/>
        <v>37.7152</v>
      </c>
      <c r="AH657" s="67">
        <f t="shared" si="16"/>
        <v>273.4352</v>
      </c>
      <c r="AI657" s="67">
        <f t="shared" si="17"/>
        <v>227.2</v>
      </c>
      <c r="AJ657" s="68">
        <f t="shared" si="31"/>
        <v>36.352</v>
      </c>
      <c r="AK657" s="68">
        <f t="shared" si="32"/>
        <v>263.552</v>
      </c>
      <c r="AL657" s="70">
        <f>IFERROR(__xludf.DUMMYFUNCTION("""COMPUTED_VALUE"""),1.0)</f>
        <v>1</v>
      </c>
      <c r="AM657" s="70"/>
      <c r="AN657" s="71" t="str">
        <f>IFERROR(__xludf.DUMMYFUNCTION("""COMPUTED_VALUE""")," P")</f>
        <v>P</v>
      </c>
      <c r="AO657" s="71" t="str">
        <f>IFERROR(__xludf.DUMMYFUNCTION("""COMPUTED_VALUE""")," GU04")</f>
        <v>GU04</v>
      </c>
      <c r="AP657" s="71" t="str">
        <f>IFERROR(__xludf.DUMMYFUNCTION("""COMPUTED_VALUE""")," PZA")</f>
        <v>PZA</v>
      </c>
      <c r="AQ657" s="71" t="str">
        <f>IFERROR(__xludf.DUMMYFUNCTION("""COMPUTED_VALUE""")," REF")</f>
        <v>REF</v>
      </c>
      <c r="AR657" s="71" t="str">
        <f>IFERROR(__xludf.DUMMYFUNCTION("""COMPUTED_VALUE""")," GUÍA DE BRONCE SENCILLA IZQUIERDA")</f>
        <v>GUÍA DE BRONCE SENCILLA IZQUIERDA</v>
      </c>
      <c r="AS657" s="71" t="str">
        <f>IFERROR(__xludf.DUMMYFUNCTION("""COMPUTED_VALUE""")," GUIA DE BRONCE SENCILLA IZQUIERDA")</f>
        <v>GUIA DE BRONCE SENCILLA IZQUIERDA</v>
      </c>
      <c r="AT657" s="71">
        <f>IFERROR(__xludf.DUMMYFUNCTION("""COMPUTED_VALUE"""),33.0)</f>
        <v>33</v>
      </c>
      <c r="AU657" s="71"/>
      <c r="AV657" s="71"/>
      <c r="AW657" s="71"/>
      <c r="AX657" s="71"/>
      <c r="AY657" s="71">
        <f>IFERROR(__xludf.DUMMYFUNCTION("""COMPUTED_VALUE"""),995.0)</f>
        <v>995</v>
      </c>
      <c r="AZ657" s="71">
        <f>IFERROR(__xludf.DUMMYFUNCTION("""COMPUTED_VALUE"""),1074.0)</f>
        <v>1074</v>
      </c>
      <c r="BA657" s="71">
        <f>IFERROR(__xludf.DUMMYFUNCTION("""COMPUTED_VALUE"""),1445.54)</f>
        <v>1445.54</v>
      </c>
      <c r="BB657" s="71">
        <f>IFERROR(__xludf.DUMMYFUNCTION("""COMPUTED_VALUE"""),1445.54)</f>
        <v>1445.54</v>
      </c>
      <c r="BC657" s="71">
        <f>IFERROR(__xludf.DUMMYFUNCTION("""COMPUTED_VALUE"""),1610.0)</f>
        <v>1610</v>
      </c>
      <c r="BD657" s="71">
        <f>IFERROR(__xludf.DUMMYFUNCTION("""COMPUTED_VALUE"""),1691.0)</f>
        <v>1691</v>
      </c>
      <c r="BE657" s="71">
        <f>IFERROR(__xludf.DUMMYFUNCTION("""COMPUTED_VALUE"""),270.56)</f>
        <v>270.56</v>
      </c>
      <c r="BF657" s="71">
        <f>IFERROR(__xludf.DUMMYFUNCTION("""COMPUTED_VALUE"""),1961.56)</f>
        <v>1961.56</v>
      </c>
      <c r="BG657" s="71">
        <f>IFERROR(__xludf.DUMMYFUNCTION("""COMPUTED_VALUE"""),0.05031055900621118)</f>
        <v>0.05031055901</v>
      </c>
      <c r="BH657" s="71">
        <f>IFERROR(__xludf.DUMMYFUNCTION("""COMPUTED_VALUE"""),1606.4499999999998)</f>
        <v>1606.45</v>
      </c>
      <c r="BI657" s="71">
        <f>IFERROR(__xludf.DUMMYFUNCTION("""COMPUTED_VALUE"""),257.032)</f>
        <v>257.032</v>
      </c>
      <c r="BJ657" s="71">
        <f>IFERROR(__xludf.DUMMYFUNCTION("""COMPUTED_VALUE"""),1863.4819999999997)</f>
        <v>1863.482</v>
      </c>
      <c r="BK657" s="71">
        <f>IFERROR(__xludf.DUMMYFUNCTION("""COMPUTED_VALUE"""),1521.9)</f>
        <v>1521.9</v>
      </c>
      <c r="BL657" s="71">
        <f>IFERROR(__xludf.DUMMYFUNCTION("""COMPUTED_VALUE"""),243.50400000000002)</f>
        <v>243.504</v>
      </c>
      <c r="BM657" s="71">
        <f>IFERROR(__xludf.DUMMYFUNCTION("""COMPUTED_VALUE"""),1765.404)</f>
        <v>1765.404</v>
      </c>
      <c r="BN657" s="71">
        <f>IFERROR(__xludf.DUMMYFUNCTION("""COMPUTED_VALUE"""),1437.35)</f>
        <v>1437.35</v>
      </c>
      <c r="BO657" s="71">
        <f>IFERROR(__xludf.DUMMYFUNCTION("""COMPUTED_VALUE"""),229.976)</f>
        <v>229.976</v>
      </c>
      <c r="BP657" s="71">
        <f>IFERROR(__xludf.DUMMYFUNCTION("""COMPUTED_VALUE"""),1667.326)</f>
        <v>1667.326</v>
      </c>
      <c r="BQ657" s="71">
        <f>IFERROR(__xludf.DUMMYFUNCTION("""COMPUTED_VALUE"""),1403.53)</f>
        <v>1403.53</v>
      </c>
      <c r="BR657" s="71">
        <f>IFERROR(__xludf.DUMMYFUNCTION("""COMPUTED_VALUE"""),224.5648)</f>
        <v>224.5648</v>
      </c>
      <c r="BS657" s="71">
        <f>IFERROR(__xludf.DUMMYFUNCTION("""COMPUTED_VALUE"""),1628.0947999999999)</f>
        <v>1628.0948</v>
      </c>
      <c r="BT657" s="71">
        <f>IFERROR(__xludf.DUMMYFUNCTION("""COMPUTED_VALUE"""),1352.8000000000002)</f>
        <v>1352.8</v>
      </c>
      <c r="BU657" s="71">
        <f>IFERROR(__xludf.DUMMYFUNCTION("""COMPUTED_VALUE"""),216.44800000000004)</f>
        <v>216.448</v>
      </c>
      <c r="BV657" s="71">
        <f>IFERROR(__xludf.DUMMYFUNCTION("""COMPUTED_VALUE"""),1569.2480000000003)</f>
        <v>1569.248</v>
      </c>
    </row>
    <row r="658">
      <c r="A658" s="53">
        <v>1.0</v>
      </c>
      <c r="B658" s="53"/>
      <c r="C658" s="53"/>
      <c r="D658" s="53" t="s">
        <v>1576</v>
      </c>
      <c r="E658" s="86" t="s">
        <v>38</v>
      </c>
      <c r="F658" s="91" t="s">
        <v>42</v>
      </c>
      <c r="G658" s="142" t="s">
        <v>1577</v>
      </c>
      <c r="H658" s="142" t="s">
        <v>1577</v>
      </c>
      <c r="I658" s="54">
        <f t="shared" si="24"/>
        <v>25</v>
      </c>
      <c r="J658" s="56"/>
      <c r="K658" s="75"/>
      <c r="L658" s="76"/>
      <c r="M658" s="59"/>
      <c r="N658" s="60"/>
      <c r="O658" s="90"/>
      <c r="P658" s="62">
        <v>250.0</v>
      </c>
      <c r="Q658" s="63">
        <v>250.0</v>
      </c>
      <c r="R658" s="64">
        <v>270.0</v>
      </c>
      <c r="S658" s="111">
        <v>284.0</v>
      </c>
      <c r="T658" s="65">
        <f t="shared" si="2"/>
        <v>45.44</v>
      </c>
      <c r="U658" s="65">
        <f t="shared" si="3"/>
        <v>329.44</v>
      </c>
      <c r="V658" s="66">
        <f t="shared" si="4"/>
        <v>0.05185185185</v>
      </c>
      <c r="W658" s="67">
        <f t="shared" si="5"/>
        <v>269.8</v>
      </c>
      <c r="X658" s="67">
        <f t="shared" si="6"/>
        <v>43.168</v>
      </c>
      <c r="Y658" s="67">
        <f t="shared" si="7"/>
        <v>312.968</v>
      </c>
      <c r="Z658" s="67">
        <f t="shared" si="8"/>
        <v>255.6</v>
      </c>
      <c r="AA658" s="67">
        <f t="shared" si="9"/>
        <v>40.896</v>
      </c>
      <c r="AB658" s="67">
        <f t="shared" si="10"/>
        <v>296.496</v>
      </c>
      <c r="AC658" s="67">
        <f t="shared" si="11"/>
        <v>241.4</v>
      </c>
      <c r="AD658" s="67">
        <f t="shared" si="12"/>
        <v>38.624</v>
      </c>
      <c r="AE658" s="67">
        <f t="shared" si="13"/>
        <v>280.024</v>
      </c>
      <c r="AF658" s="67">
        <f t="shared" si="14"/>
        <v>235.72</v>
      </c>
      <c r="AG658" s="67">
        <f t="shared" si="15"/>
        <v>37.7152</v>
      </c>
      <c r="AH658" s="67">
        <f t="shared" si="16"/>
        <v>273.4352</v>
      </c>
      <c r="AI658" s="67">
        <f t="shared" si="17"/>
        <v>227.2</v>
      </c>
      <c r="AJ658" s="68">
        <f t="shared" si="31"/>
        <v>36.352</v>
      </c>
      <c r="AK658" s="68">
        <f t="shared" si="32"/>
        <v>263.552</v>
      </c>
      <c r="AL658" s="70">
        <f>IFERROR(__xludf.DUMMYFUNCTION("""COMPUTED_VALUE"""),1.0)</f>
        <v>1</v>
      </c>
      <c r="AM658" s="70"/>
      <c r="AN658" s="71" t="str">
        <f>IFERROR(__xludf.DUMMYFUNCTION("""COMPUTED_VALUE""")," P")</f>
        <v>P</v>
      </c>
      <c r="AO658" s="71" t="str">
        <f>IFERROR(__xludf.DUMMYFUNCTION("""COMPUTED_VALUE""")," HE01")</f>
        <v>HE01</v>
      </c>
      <c r="AP658" s="71" t="str">
        <f>IFERROR(__xludf.DUMMYFUNCTION("""COMPUTED_VALUE""")," PZA")</f>
        <v>PZA</v>
      </c>
      <c r="AQ658" s="71" t="str">
        <f>IFERROR(__xludf.DUMMYFUNCTION("""COMPUTED_VALUE""")," REF")</f>
        <v>REF</v>
      </c>
      <c r="AR658" s="71" t="str">
        <f>IFERROR(__xludf.DUMMYFUNCTION("""COMPUTED_VALUE""")," HÉLICE DÚPLEX")</f>
        <v>HÉLICE DÚPLEX</v>
      </c>
      <c r="AS658" s="71" t="str">
        <f>IFERROR(__xludf.DUMMYFUNCTION("""COMPUTED_VALUE""")," HELICE DPLX")</f>
        <v>HELICE DPLX</v>
      </c>
      <c r="AT658" s="71">
        <f>IFERROR(__xludf.DUMMYFUNCTION("""COMPUTED_VALUE"""),11.0)</f>
        <v>11</v>
      </c>
      <c r="AU658" s="71"/>
      <c r="AV658" s="71"/>
      <c r="AW658" s="71"/>
      <c r="AX658" s="71"/>
      <c r="AY658" s="71">
        <f>IFERROR(__xludf.DUMMYFUNCTION("""COMPUTED_VALUE"""),186.0)</f>
        <v>186</v>
      </c>
      <c r="AZ658" s="71">
        <f>IFERROR(__xludf.DUMMYFUNCTION("""COMPUTED_VALUE"""),200.0)</f>
        <v>200</v>
      </c>
      <c r="BA658" s="71">
        <f>IFERROR(__xludf.DUMMYFUNCTION("""COMPUTED_VALUE"""),216.0)</f>
        <v>216</v>
      </c>
      <c r="BB658" s="71">
        <f>IFERROR(__xludf.DUMMYFUNCTION("""COMPUTED_VALUE"""),216.0)</f>
        <v>216</v>
      </c>
      <c r="BC658" s="71">
        <f>IFERROR(__xludf.DUMMYFUNCTION("""COMPUTED_VALUE"""),241.0)</f>
        <v>241</v>
      </c>
      <c r="BD658" s="71">
        <f>IFERROR(__xludf.DUMMYFUNCTION("""COMPUTED_VALUE"""),253.0)</f>
        <v>253</v>
      </c>
      <c r="BE658" s="71">
        <f>IFERROR(__xludf.DUMMYFUNCTION("""COMPUTED_VALUE"""),40.480000000000004)</f>
        <v>40.48</v>
      </c>
      <c r="BF658" s="71">
        <f>IFERROR(__xludf.DUMMYFUNCTION("""COMPUTED_VALUE"""),293.48)</f>
        <v>293.48</v>
      </c>
      <c r="BG658" s="71">
        <f>IFERROR(__xludf.DUMMYFUNCTION("""COMPUTED_VALUE"""),0.04979253112033195)</f>
        <v>0.04979253112</v>
      </c>
      <c r="BH658" s="71">
        <f>IFERROR(__xludf.DUMMYFUNCTION("""COMPUTED_VALUE"""),240.35)</f>
        <v>240.35</v>
      </c>
      <c r="BI658" s="71">
        <f>IFERROR(__xludf.DUMMYFUNCTION("""COMPUTED_VALUE"""),38.456)</f>
        <v>38.456</v>
      </c>
      <c r="BJ658" s="71">
        <f>IFERROR(__xludf.DUMMYFUNCTION("""COMPUTED_VALUE"""),278.806)</f>
        <v>278.806</v>
      </c>
      <c r="BK658" s="71">
        <f>IFERROR(__xludf.DUMMYFUNCTION("""COMPUTED_VALUE"""),227.70000000000002)</f>
        <v>227.7</v>
      </c>
      <c r="BL658" s="71">
        <f>IFERROR(__xludf.DUMMYFUNCTION("""COMPUTED_VALUE"""),36.432)</f>
        <v>36.432</v>
      </c>
      <c r="BM658" s="71">
        <f>IFERROR(__xludf.DUMMYFUNCTION("""COMPUTED_VALUE"""),264.132)</f>
        <v>264.132</v>
      </c>
      <c r="BN658" s="71">
        <f>IFERROR(__xludf.DUMMYFUNCTION("""COMPUTED_VALUE"""),215.04999999999998)</f>
        <v>215.05</v>
      </c>
      <c r="BO658" s="71">
        <f>IFERROR(__xludf.DUMMYFUNCTION("""COMPUTED_VALUE"""),34.408)</f>
        <v>34.408</v>
      </c>
      <c r="BP658" s="71">
        <f>IFERROR(__xludf.DUMMYFUNCTION("""COMPUTED_VALUE"""),249.45799999999997)</f>
        <v>249.458</v>
      </c>
      <c r="BQ658" s="71">
        <f>IFERROR(__xludf.DUMMYFUNCTION("""COMPUTED_VALUE"""),209.98999999999998)</f>
        <v>209.99</v>
      </c>
      <c r="BR658" s="71">
        <f>IFERROR(__xludf.DUMMYFUNCTION("""COMPUTED_VALUE"""),33.5984)</f>
        <v>33.5984</v>
      </c>
      <c r="BS658" s="71">
        <f>IFERROR(__xludf.DUMMYFUNCTION("""COMPUTED_VALUE"""),243.58839999999998)</f>
        <v>243.5884</v>
      </c>
      <c r="BT658" s="71">
        <f>IFERROR(__xludf.DUMMYFUNCTION("""COMPUTED_VALUE"""),202.4)</f>
        <v>202.4</v>
      </c>
      <c r="BU658" s="71">
        <f>IFERROR(__xludf.DUMMYFUNCTION("""COMPUTED_VALUE"""),32.384)</f>
        <v>32.384</v>
      </c>
      <c r="BV658" s="71">
        <f>IFERROR(__xludf.DUMMYFUNCTION("""COMPUTED_VALUE"""),234.784)</f>
        <v>234.784</v>
      </c>
    </row>
    <row r="659">
      <c r="A659" s="53">
        <v>1.0</v>
      </c>
      <c r="B659" s="53"/>
      <c r="C659" s="53"/>
      <c r="D659" s="53" t="s">
        <v>1578</v>
      </c>
      <c r="E659" s="86" t="s">
        <v>38</v>
      </c>
      <c r="F659" s="91" t="s">
        <v>42</v>
      </c>
      <c r="G659" s="142" t="s">
        <v>1579</v>
      </c>
      <c r="H659" s="142" t="s">
        <v>1579</v>
      </c>
      <c r="I659" s="54">
        <f t="shared" si="24"/>
        <v>29</v>
      </c>
      <c r="J659" s="56"/>
      <c r="K659" s="75"/>
      <c r="L659" s="76"/>
      <c r="M659" s="59"/>
      <c r="N659" s="60"/>
      <c r="O659" s="90"/>
      <c r="P659" s="62">
        <v>280.0</v>
      </c>
      <c r="Q659" s="63">
        <v>280.0</v>
      </c>
      <c r="R659" s="64">
        <v>303.0</v>
      </c>
      <c r="S659" s="111">
        <v>318.0</v>
      </c>
      <c r="T659" s="65">
        <f t="shared" si="2"/>
        <v>50.88</v>
      </c>
      <c r="U659" s="65">
        <f t="shared" si="3"/>
        <v>368.88</v>
      </c>
      <c r="V659" s="66">
        <f t="shared" si="4"/>
        <v>0.0495049505</v>
      </c>
      <c r="W659" s="67">
        <f t="shared" si="5"/>
        <v>302.1</v>
      </c>
      <c r="X659" s="67">
        <f t="shared" si="6"/>
        <v>48.336</v>
      </c>
      <c r="Y659" s="67">
        <f t="shared" si="7"/>
        <v>350.436</v>
      </c>
      <c r="Z659" s="67">
        <f t="shared" si="8"/>
        <v>286.2</v>
      </c>
      <c r="AA659" s="67">
        <f t="shared" si="9"/>
        <v>45.792</v>
      </c>
      <c r="AB659" s="67">
        <f t="shared" si="10"/>
        <v>331.992</v>
      </c>
      <c r="AC659" s="67">
        <f t="shared" si="11"/>
        <v>270.3</v>
      </c>
      <c r="AD659" s="67">
        <f t="shared" si="12"/>
        <v>43.248</v>
      </c>
      <c r="AE659" s="67">
        <f t="shared" si="13"/>
        <v>313.548</v>
      </c>
      <c r="AF659" s="67">
        <f t="shared" si="14"/>
        <v>263.94</v>
      </c>
      <c r="AG659" s="67">
        <f t="shared" si="15"/>
        <v>42.2304</v>
      </c>
      <c r="AH659" s="67">
        <f t="shared" si="16"/>
        <v>306.1704</v>
      </c>
      <c r="AI659" s="67">
        <f t="shared" si="17"/>
        <v>254.4</v>
      </c>
      <c r="AJ659" s="68">
        <f t="shared" si="31"/>
        <v>40.704</v>
      </c>
      <c r="AK659" s="68">
        <f t="shared" si="32"/>
        <v>295.104</v>
      </c>
      <c r="AL659" s="70">
        <f>IFERROR(__xludf.DUMMYFUNCTION("""COMPUTED_VALUE"""),1.0)</f>
        <v>1</v>
      </c>
      <c r="AM659" s="70"/>
      <c r="AN659" s="71" t="str">
        <f>IFERROR(__xludf.DUMMYFUNCTION("""COMPUTED_VALUE""")," P")</f>
        <v>P</v>
      </c>
      <c r="AO659" s="71" t="str">
        <f>IFERROR(__xludf.DUMMYFUNCTION("""COMPUTED_VALUE""")," HE96")</f>
        <v>HE96</v>
      </c>
      <c r="AP659" s="71" t="str">
        <f>IFERROR(__xludf.DUMMYFUNCTION("""COMPUTED_VALUE""")," PZA")</f>
        <v>PZA</v>
      </c>
      <c r="AQ659" s="71" t="str">
        <f>IFERROR(__xludf.DUMMYFUNCTION("""COMPUTED_VALUE""")," REF")</f>
        <v>REF</v>
      </c>
      <c r="AR659" s="71" t="str">
        <f>IFERROR(__xludf.DUMMYFUNCTION("""COMPUTED_VALUE""")," HÉLICE DÚPLEX EN ACERO INOX. T-304 GRADO ALIMENTICIO (solera)")</f>
        <v>HÉLICE DÚPLEX EN ACERO INOX. T-304 GRADO ALIMENTICIO (solera)</v>
      </c>
      <c r="AS659" s="71" t="str">
        <f>IFERROR(__xludf.DUMMYFUNCTION("""COMPUTED_VALUE""")," HELICE DPLX INOX GA SOLERA")</f>
        <v>HELICE DPLX INOX GA SOLERA</v>
      </c>
      <c r="AT659" s="71">
        <f>IFERROR(__xludf.DUMMYFUNCTION("""COMPUTED_VALUE"""),26.0)</f>
        <v>26</v>
      </c>
      <c r="AU659" s="71"/>
      <c r="AV659" s="71"/>
      <c r="AW659" s="71"/>
      <c r="AX659" s="71"/>
      <c r="AY659" s="71">
        <f>IFERROR(__xludf.DUMMYFUNCTION("""COMPUTED_VALUE"""),525.0)</f>
        <v>525</v>
      </c>
      <c r="AZ659" s="71">
        <f>IFERROR(__xludf.DUMMYFUNCTION("""COMPUTED_VALUE"""),567.0)</f>
        <v>567</v>
      </c>
      <c r="BA659" s="71">
        <f>IFERROR(__xludf.DUMMYFUNCTION("""COMPUTED_VALUE"""),612.36)</f>
        <v>612.36</v>
      </c>
      <c r="BB659" s="71">
        <f>IFERROR(__xludf.DUMMYFUNCTION("""COMPUTED_VALUE"""),612.36)</f>
        <v>612.36</v>
      </c>
      <c r="BC659" s="71">
        <f>IFERROR(__xludf.DUMMYFUNCTION("""COMPUTED_VALUE"""),683.0)</f>
        <v>683</v>
      </c>
      <c r="BD659" s="71">
        <f>IFERROR(__xludf.DUMMYFUNCTION("""COMPUTED_VALUE"""),717.0)</f>
        <v>717</v>
      </c>
      <c r="BE659" s="71">
        <f>IFERROR(__xludf.DUMMYFUNCTION("""COMPUTED_VALUE"""),114.72)</f>
        <v>114.72</v>
      </c>
      <c r="BF659" s="71">
        <f>IFERROR(__xludf.DUMMYFUNCTION("""COMPUTED_VALUE"""),831.72)</f>
        <v>831.72</v>
      </c>
      <c r="BG659" s="71">
        <f>IFERROR(__xludf.DUMMYFUNCTION("""COMPUTED_VALUE"""),0.04978038067349927)</f>
        <v>0.04978038067</v>
      </c>
      <c r="BH659" s="71">
        <f>IFERROR(__xludf.DUMMYFUNCTION("""COMPUTED_VALUE"""),681.15)</f>
        <v>681.15</v>
      </c>
      <c r="BI659" s="71">
        <f>IFERROR(__xludf.DUMMYFUNCTION("""COMPUTED_VALUE"""),108.984)</f>
        <v>108.984</v>
      </c>
      <c r="BJ659" s="71">
        <f>IFERROR(__xludf.DUMMYFUNCTION("""COMPUTED_VALUE"""),790.134)</f>
        <v>790.134</v>
      </c>
      <c r="BK659" s="71">
        <f>IFERROR(__xludf.DUMMYFUNCTION("""COMPUTED_VALUE"""),645.3000000000001)</f>
        <v>645.3</v>
      </c>
      <c r="BL659" s="71">
        <f>IFERROR(__xludf.DUMMYFUNCTION("""COMPUTED_VALUE"""),103.24800000000002)</f>
        <v>103.248</v>
      </c>
      <c r="BM659" s="71">
        <f>IFERROR(__xludf.DUMMYFUNCTION("""COMPUTED_VALUE"""),748.5480000000001)</f>
        <v>748.548</v>
      </c>
      <c r="BN659" s="71">
        <f>IFERROR(__xludf.DUMMYFUNCTION("""COMPUTED_VALUE"""),609.4499999999999)</f>
        <v>609.45</v>
      </c>
      <c r="BO659" s="71">
        <f>IFERROR(__xludf.DUMMYFUNCTION("""COMPUTED_VALUE"""),97.51199999999999)</f>
        <v>97.512</v>
      </c>
      <c r="BP659" s="71">
        <f>IFERROR(__xludf.DUMMYFUNCTION("""COMPUTED_VALUE"""),706.9619999999999)</f>
        <v>706.962</v>
      </c>
      <c r="BQ659" s="71">
        <f>IFERROR(__xludf.DUMMYFUNCTION("""COMPUTED_VALUE"""),595.11)</f>
        <v>595.11</v>
      </c>
      <c r="BR659" s="71">
        <f>IFERROR(__xludf.DUMMYFUNCTION("""COMPUTED_VALUE"""),95.2176)</f>
        <v>95.2176</v>
      </c>
      <c r="BS659" s="71">
        <f>IFERROR(__xludf.DUMMYFUNCTION("""COMPUTED_VALUE"""),690.3276000000001)</f>
        <v>690.3276</v>
      </c>
      <c r="BT659" s="71">
        <f>IFERROR(__xludf.DUMMYFUNCTION("""COMPUTED_VALUE"""),573.6)</f>
        <v>573.6</v>
      </c>
      <c r="BU659" s="71">
        <f>IFERROR(__xludf.DUMMYFUNCTION("""COMPUTED_VALUE"""),91.77600000000001)</f>
        <v>91.776</v>
      </c>
      <c r="BV659" s="71">
        <f>IFERROR(__xludf.DUMMYFUNCTION("""COMPUTED_VALUE"""),665.376)</f>
        <v>665.376</v>
      </c>
    </row>
    <row r="660">
      <c r="A660" s="53">
        <v>1.0</v>
      </c>
      <c r="B660" s="53"/>
      <c r="C660" s="53"/>
      <c r="D660" s="53" t="s">
        <v>1580</v>
      </c>
      <c r="E660" s="86" t="s">
        <v>38</v>
      </c>
      <c r="F660" s="91" t="s">
        <v>42</v>
      </c>
      <c r="G660" s="142" t="s">
        <v>1581</v>
      </c>
      <c r="H660" s="142" t="s">
        <v>1581</v>
      </c>
      <c r="I660" s="54">
        <f t="shared" si="24"/>
        <v>25</v>
      </c>
      <c r="J660" s="56"/>
      <c r="K660" s="75"/>
      <c r="L660" s="76"/>
      <c r="M660" s="59"/>
      <c r="N660" s="60"/>
      <c r="O660" s="90"/>
      <c r="P660" s="62">
        <v>280.0</v>
      </c>
      <c r="Q660" s="63">
        <v>280.0</v>
      </c>
      <c r="R660" s="64">
        <v>303.0</v>
      </c>
      <c r="S660" s="111">
        <v>318.0</v>
      </c>
      <c r="T660" s="65">
        <f t="shared" si="2"/>
        <v>50.88</v>
      </c>
      <c r="U660" s="65">
        <f t="shared" si="3"/>
        <v>368.88</v>
      </c>
      <c r="V660" s="66">
        <f t="shared" si="4"/>
        <v>0.0495049505</v>
      </c>
      <c r="W660" s="67">
        <f t="shared" si="5"/>
        <v>302.1</v>
      </c>
      <c r="X660" s="67">
        <f t="shared" si="6"/>
        <v>48.336</v>
      </c>
      <c r="Y660" s="67">
        <f t="shared" si="7"/>
        <v>350.436</v>
      </c>
      <c r="Z660" s="67">
        <f t="shared" si="8"/>
        <v>286.2</v>
      </c>
      <c r="AA660" s="67">
        <f t="shared" si="9"/>
        <v>45.792</v>
      </c>
      <c r="AB660" s="67">
        <f t="shared" si="10"/>
        <v>331.992</v>
      </c>
      <c r="AC660" s="67">
        <f t="shared" si="11"/>
        <v>270.3</v>
      </c>
      <c r="AD660" s="67">
        <f t="shared" si="12"/>
        <v>43.248</v>
      </c>
      <c r="AE660" s="67">
        <f t="shared" si="13"/>
        <v>313.548</v>
      </c>
      <c r="AF660" s="67">
        <f t="shared" si="14"/>
        <v>263.94</v>
      </c>
      <c r="AG660" s="67">
        <f t="shared" si="15"/>
        <v>42.2304</v>
      </c>
      <c r="AH660" s="67">
        <f t="shared" si="16"/>
        <v>306.1704</v>
      </c>
      <c r="AI660" s="67">
        <f t="shared" si="17"/>
        <v>254.4</v>
      </c>
      <c r="AJ660" s="68">
        <f t="shared" si="31"/>
        <v>40.704</v>
      </c>
      <c r="AK660" s="68">
        <f t="shared" si="32"/>
        <v>295.104</v>
      </c>
      <c r="AL660" s="70">
        <f>IFERROR(__xludf.DUMMYFUNCTION("""COMPUTED_VALUE"""),1.0)</f>
        <v>1</v>
      </c>
      <c r="AM660" s="70"/>
      <c r="AN660" s="71" t="str">
        <f>IFERROR(__xludf.DUMMYFUNCTION("""COMPUTED_VALUE""")," P")</f>
        <v>P</v>
      </c>
      <c r="AO660" s="71" t="str">
        <f>IFERROR(__xludf.DUMMYFUNCTION("""COMPUTED_VALUE""")," HE02")</f>
        <v>HE02</v>
      </c>
      <c r="AP660" s="71" t="str">
        <f>IFERROR(__xludf.DUMMYFUNCTION("""COMPUTED_VALUE""")," PZA")</f>
        <v>PZA</v>
      </c>
      <c r="AQ660" s="71" t="str">
        <f>IFERROR(__xludf.DUMMYFUNCTION("""COMPUTED_VALUE""")," REF")</f>
        <v>REF</v>
      </c>
      <c r="AR660" s="71" t="str">
        <f>IFERROR(__xludf.DUMMYFUNCTION("""COMPUTED_VALUE""")," HÉLICE SENCILLA")</f>
        <v>HÉLICE SENCILLA</v>
      </c>
      <c r="AS660" s="71" t="str">
        <f>IFERROR(__xludf.DUMMYFUNCTION("""COMPUTED_VALUE""")," HELICE SENCILLA")</f>
        <v>HELICE SENCILLA</v>
      </c>
      <c r="AT660" s="71">
        <f>IFERROR(__xludf.DUMMYFUNCTION("""COMPUTED_VALUE"""),15.0)</f>
        <v>15</v>
      </c>
      <c r="AU660" s="71"/>
      <c r="AV660" s="71"/>
      <c r="AW660" s="71"/>
      <c r="AX660" s="71"/>
      <c r="AY660" s="71">
        <f>IFERROR(__xludf.DUMMYFUNCTION("""COMPUTED_VALUE"""),155.0)</f>
        <v>155</v>
      </c>
      <c r="AZ660" s="71">
        <f>IFERROR(__xludf.DUMMYFUNCTION("""COMPUTED_VALUE"""),167.0)</f>
        <v>167</v>
      </c>
      <c r="BA660" s="71">
        <f>IFERROR(__xludf.DUMMYFUNCTION("""COMPUTED_VALUE"""),180.36)</f>
        <v>180.36</v>
      </c>
      <c r="BB660" s="71">
        <f>IFERROR(__xludf.DUMMYFUNCTION("""COMPUTED_VALUE"""),180.36)</f>
        <v>180.36</v>
      </c>
      <c r="BC660" s="71">
        <f>IFERROR(__xludf.DUMMYFUNCTION("""COMPUTED_VALUE"""),202.0)</f>
        <v>202</v>
      </c>
      <c r="BD660" s="71">
        <f>IFERROR(__xludf.DUMMYFUNCTION("""COMPUTED_VALUE"""),212.0)</f>
        <v>212</v>
      </c>
      <c r="BE660" s="71">
        <f>IFERROR(__xludf.DUMMYFUNCTION("""COMPUTED_VALUE"""),33.92)</f>
        <v>33.92</v>
      </c>
      <c r="BF660" s="71">
        <f>IFERROR(__xludf.DUMMYFUNCTION("""COMPUTED_VALUE"""),245.92000000000002)</f>
        <v>245.92</v>
      </c>
      <c r="BG660" s="71">
        <f>IFERROR(__xludf.DUMMYFUNCTION("""COMPUTED_VALUE"""),0.04950495049504951)</f>
        <v>0.0495049505</v>
      </c>
      <c r="BH660" s="71">
        <f>IFERROR(__xludf.DUMMYFUNCTION("""COMPUTED_VALUE"""),201.39999999999998)</f>
        <v>201.4</v>
      </c>
      <c r="BI660" s="71">
        <f>IFERROR(__xludf.DUMMYFUNCTION("""COMPUTED_VALUE"""),32.224)</f>
        <v>32.224</v>
      </c>
      <c r="BJ660" s="71">
        <f>IFERROR(__xludf.DUMMYFUNCTION("""COMPUTED_VALUE"""),233.62399999999997)</f>
        <v>233.624</v>
      </c>
      <c r="BK660" s="71">
        <f>IFERROR(__xludf.DUMMYFUNCTION("""COMPUTED_VALUE"""),190.8)</f>
        <v>190.8</v>
      </c>
      <c r="BL660" s="71">
        <f>IFERROR(__xludf.DUMMYFUNCTION("""COMPUTED_VALUE"""),30.528000000000002)</f>
        <v>30.528</v>
      </c>
      <c r="BM660" s="71">
        <f>IFERROR(__xludf.DUMMYFUNCTION("""COMPUTED_VALUE"""),221.328)</f>
        <v>221.328</v>
      </c>
      <c r="BN660" s="71">
        <f>IFERROR(__xludf.DUMMYFUNCTION("""COMPUTED_VALUE"""),180.2)</f>
        <v>180.2</v>
      </c>
      <c r="BO660" s="71">
        <f>IFERROR(__xludf.DUMMYFUNCTION("""COMPUTED_VALUE"""),28.831999999999997)</f>
        <v>28.832</v>
      </c>
      <c r="BP660" s="71">
        <f>IFERROR(__xludf.DUMMYFUNCTION("""COMPUTED_VALUE"""),209.03199999999998)</f>
        <v>209.032</v>
      </c>
      <c r="BQ660" s="71">
        <f>IFERROR(__xludf.DUMMYFUNCTION("""COMPUTED_VALUE"""),175.95999999999998)</f>
        <v>175.96</v>
      </c>
      <c r="BR660" s="71">
        <f>IFERROR(__xludf.DUMMYFUNCTION("""COMPUTED_VALUE"""),28.153599999999997)</f>
        <v>28.1536</v>
      </c>
      <c r="BS660" s="71">
        <f>IFERROR(__xludf.DUMMYFUNCTION("""COMPUTED_VALUE"""),204.11359999999996)</f>
        <v>204.1136</v>
      </c>
      <c r="BT660" s="71">
        <f>IFERROR(__xludf.DUMMYFUNCTION("""COMPUTED_VALUE"""),169.60000000000002)</f>
        <v>169.6</v>
      </c>
      <c r="BU660" s="71">
        <f>IFERROR(__xludf.DUMMYFUNCTION("""COMPUTED_VALUE"""),27.136000000000003)</f>
        <v>27.136</v>
      </c>
      <c r="BV660" s="71">
        <f>IFERROR(__xludf.DUMMYFUNCTION("""COMPUTED_VALUE"""),196.73600000000002)</f>
        <v>196.736</v>
      </c>
    </row>
    <row r="661">
      <c r="A661" s="53">
        <v>1.0</v>
      </c>
      <c r="B661" s="53"/>
      <c r="C661" s="73" t="s">
        <v>12</v>
      </c>
      <c r="D661" s="53" t="s">
        <v>1582</v>
      </c>
      <c r="E661" s="54" t="s">
        <v>38</v>
      </c>
      <c r="F661" s="54" t="s">
        <v>42</v>
      </c>
      <c r="G661" s="141" t="s">
        <v>1583</v>
      </c>
      <c r="H661" s="141" t="s">
        <v>1583</v>
      </c>
      <c r="I661" s="54">
        <f t="shared" si="24"/>
        <v>25</v>
      </c>
      <c r="J661" s="56"/>
      <c r="K661" s="75"/>
      <c r="L661" s="76"/>
      <c r="M661" s="59"/>
      <c r="N661" s="79">
        <v>1490.0</v>
      </c>
      <c r="O661" s="61">
        <v>1609.0</v>
      </c>
      <c r="P661" s="62">
        <v>915.0</v>
      </c>
      <c r="Q661" s="63">
        <v>915.0</v>
      </c>
      <c r="R661" s="64">
        <v>961.0</v>
      </c>
      <c r="S661" s="111">
        <v>1009.0</v>
      </c>
      <c r="T661" s="65">
        <f t="shared" si="2"/>
        <v>161.44</v>
      </c>
      <c r="U661" s="65">
        <f t="shared" si="3"/>
        <v>1170.44</v>
      </c>
      <c r="V661" s="66">
        <f t="shared" si="4"/>
        <v>0.04994797086</v>
      </c>
      <c r="W661" s="67">
        <f t="shared" si="5"/>
        <v>958.55</v>
      </c>
      <c r="X661" s="67">
        <f t="shared" si="6"/>
        <v>153.368</v>
      </c>
      <c r="Y661" s="67">
        <f t="shared" si="7"/>
        <v>1111.918</v>
      </c>
      <c r="Z661" s="67">
        <f t="shared" si="8"/>
        <v>908.1</v>
      </c>
      <c r="AA661" s="67">
        <f t="shared" si="9"/>
        <v>145.296</v>
      </c>
      <c r="AB661" s="67">
        <f t="shared" si="10"/>
        <v>1053.396</v>
      </c>
      <c r="AC661" s="67">
        <f t="shared" si="11"/>
        <v>857.65</v>
      </c>
      <c r="AD661" s="67">
        <f t="shared" si="12"/>
        <v>137.224</v>
      </c>
      <c r="AE661" s="67">
        <f t="shared" si="13"/>
        <v>994.874</v>
      </c>
      <c r="AF661" s="67">
        <f t="shared" si="14"/>
        <v>837.47</v>
      </c>
      <c r="AG661" s="67">
        <f t="shared" si="15"/>
        <v>133.9952</v>
      </c>
      <c r="AH661" s="67">
        <f t="shared" si="16"/>
        <v>971.4652</v>
      </c>
      <c r="AI661" s="67">
        <f t="shared" si="17"/>
        <v>807.2</v>
      </c>
      <c r="AJ661" s="68">
        <f t="shared" si="31"/>
        <v>129.152</v>
      </c>
      <c r="AK661" s="68">
        <f t="shared" si="32"/>
        <v>936.352</v>
      </c>
      <c r="AL661" s="136">
        <f>IFERROR(__xludf.DUMMYFUNCTION("""COMPUTED_VALUE"""),1.0)</f>
        <v>1</v>
      </c>
      <c r="AM661" s="136"/>
      <c r="AN661" s="137" t="str">
        <f>IFERROR(__xludf.DUMMYFUNCTION("""COMPUTED_VALUE""")," P")</f>
        <v>P</v>
      </c>
      <c r="AO661" s="137" t="str">
        <f>IFERROR(__xludf.DUMMYFUNCTION("""COMPUTED_VALUE""")," HE97")</f>
        <v>HE97</v>
      </c>
      <c r="AP661" s="137" t="str">
        <f>IFERROR(__xludf.DUMMYFUNCTION("""COMPUTED_VALUE""")," PZA")</f>
        <v>PZA</v>
      </c>
      <c r="AQ661" s="137" t="str">
        <f>IFERROR(__xludf.DUMMYFUNCTION("""COMPUTED_VALUE""")," REF")</f>
        <v>REF</v>
      </c>
      <c r="AR661" s="137" t="str">
        <f>IFERROR(__xludf.DUMMYFUNCTION("""COMPUTED_VALUE""")," HÉLICE SENCILLA EN ACERO INOX. T-304 GRADO ALIMENTICIO")</f>
        <v>HÉLICE SENCILLA EN ACERO INOX. T-304 GRADO ALIMENTICIO</v>
      </c>
      <c r="AS661" s="137" t="str">
        <f>IFERROR(__xludf.DUMMYFUNCTION("""COMPUTED_VALUE""")," HELICE SENC INOX GA")</f>
        <v>HELICE SENC INOX GA</v>
      </c>
      <c r="AT661" s="137">
        <f>IFERROR(__xludf.DUMMYFUNCTION("""COMPUTED_VALUE"""),19.0)</f>
        <v>19</v>
      </c>
      <c r="AU661" s="137"/>
      <c r="AV661" s="137"/>
      <c r="AW661" s="137"/>
      <c r="AX661" s="137"/>
      <c r="AY661" s="137">
        <f>IFERROR(__xludf.DUMMYFUNCTION("""COMPUTED_VALUE"""),410.0)</f>
        <v>410</v>
      </c>
      <c r="AZ661" s="137">
        <f>IFERROR(__xludf.DUMMYFUNCTION("""COMPUTED_VALUE"""),442.0)</f>
        <v>442</v>
      </c>
      <c r="BA661" s="137">
        <f>IFERROR(__xludf.DUMMYFUNCTION("""COMPUTED_VALUE"""),477.36)</f>
        <v>477.36</v>
      </c>
      <c r="BB661" s="137">
        <f>IFERROR(__xludf.DUMMYFUNCTION("""COMPUTED_VALUE"""),477.36)</f>
        <v>477.36</v>
      </c>
      <c r="BC661" s="137">
        <f>IFERROR(__xludf.DUMMYFUNCTION("""COMPUTED_VALUE"""),699.0)</f>
        <v>699</v>
      </c>
      <c r="BD661" s="137">
        <f>IFERROR(__xludf.DUMMYFUNCTION("""COMPUTED_VALUE"""),734.0)</f>
        <v>734</v>
      </c>
      <c r="BE661" s="137">
        <f>IFERROR(__xludf.DUMMYFUNCTION("""COMPUTED_VALUE"""),117.44)</f>
        <v>117.44</v>
      </c>
      <c r="BF661" s="137">
        <f>IFERROR(__xludf.DUMMYFUNCTION("""COMPUTED_VALUE"""),851.44)</f>
        <v>851.44</v>
      </c>
      <c r="BG661" s="137">
        <f>IFERROR(__xludf.DUMMYFUNCTION("""COMPUTED_VALUE"""),0.05007153075822604)</f>
        <v>0.05007153076</v>
      </c>
      <c r="BH661" s="137">
        <f>IFERROR(__xludf.DUMMYFUNCTION("""COMPUTED_VALUE"""),697.3)</f>
        <v>697.3</v>
      </c>
      <c r="BI661" s="137">
        <f>IFERROR(__xludf.DUMMYFUNCTION("""COMPUTED_VALUE"""),111.568)</f>
        <v>111.568</v>
      </c>
      <c r="BJ661" s="137">
        <f>IFERROR(__xludf.DUMMYFUNCTION("""COMPUTED_VALUE"""),808.8679999999999)</f>
        <v>808.868</v>
      </c>
      <c r="BK661" s="137">
        <f>IFERROR(__xludf.DUMMYFUNCTION("""COMPUTED_VALUE"""),660.6)</f>
        <v>660.6</v>
      </c>
      <c r="BL661" s="137">
        <f>IFERROR(__xludf.DUMMYFUNCTION("""COMPUTED_VALUE"""),105.69600000000001)</f>
        <v>105.696</v>
      </c>
      <c r="BM661" s="137">
        <f>IFERROR(__xludf.DUMMYFUNCTION("""COMPUTED_VALUE"""),766.296)</f>
        <v>766.296</v>
      </c>
      <c r="BN661" s="137">
        <f>IFERROR(__xludf.DUMMYFUNCTION("""COMPUTED_VALUE"""),623.9)</f>
        <v>623.9</v>
      </c>
      <c r="BO661" s="137">
        <f>IFERROR(__xludf.DUMMYFUNCTION("""COMPUTED_VALUE"""),99.824)</f>
        <v>99.824</v>
      </c>
      <c r="BP661" s="137">
        <f>IFERROR(__xludf.DUMMYFUNCTION("""COMPUTED_VALUE"""),723.7239999999999)</f>
        <v>723.724</v>
      </c>
      <c r="BQ661" s="137">
        <f>IFERROR(__xludf.DUMMYFUNCTION("""COMPUTED_VALUE"""),609.22)</f>
        <v>609.22</v>
      </c>
      <c r="BR661" s="137">
        <f>IFERROR(__xludf.DUMMYFUNCTION("""COMPUTED_VALUE"""),97.4752)</f>
        <v>97.4752</v>
      </c>
      <c r="BS661" s="137">
        <f>IFERROR(__xludf.DUMMYFUNCTION("""COMPUTED_VALUE"""),706.6952)</f>
        <v>706.6952</v>
      </c>
      <c r="BT661" s="137">
        <f>IFERROR(__xludf.DUMMYFUNCTION("""COMPUTED_VALUE"""),587.2)</f>
        <v>587.2</v>
      </c>
      <c r="BU661" s="137">
        <f>IFERROR(__xludf.DUMMYFUNCTION("""COMPUTED_VALUE"""),93.95200000000001)</f>
        <v>93.952</v>
      </c>
      <c r="BV661" s="137">
        <f>IFERROR(__xludf.DUMMYFUNCTION("""COMPUTED_VALUE"""),681.152)</f>
        <v>681.152</v>
      </c>
    </row>
    <row r="662">
      <c r="A662" s="53">
        <v>1.0</v>
      </c>
      <c r="B662" s="72"/>
      <c r="C662" s="120" t="s">
        <v>603</v>
      </c>
      <c r="D662" s="74" t="s">
        <v>1584</v>
      </c>
      <c r="E662" s="54" t="s">
        <v>38</v>
      </c>
      <c r="F662" s="54" t="s">
        <v>42</v>
      </c>
      <c r="G662" s="141" t="s">
        <v>1585</v>
      </c>
      <c r="H662" s="141" t="s">
        <v>1585</v>
      </c>
      <c r="I662" s="54">
        <f t="shared" si="24"/>
        <v>29</v>
      </c>
      <c r="J662" s="56"/>
      <c r="K662" s="75"/>
      <c r="L662" s="76"/>
      <c r="M662" s="59"/>
      <c r="N662" s="60">
        <v>1460.0</v>
      </c>
      <c r="O662" s="61">
        <v>1576.0</v>
      </c>
      <c r="P662" s="62">
        <v>955.0</v>
      </c>
      <c r="Q662" s="63">
        <v>955.0</v>
      </c>
      <c r="R662" s="64">
        <v>1485.0</v>
      </c>
      <c r="S662" s="111">
        <v>1559.0</v>
      </c>
      <c r="T662" s="65">
        <f t="shared" si="2"/>
        <v>249.44</v>
      </c>
      <c r="U662" s="65">
        <f t="shared" si="3"/>
        <v>1808.44</v>
      </c>
      <c r="V662" s="66">
        <f t="shared" si="4"/>
        <v>0.04983164983</v>
      </c>
      <c r="W662" s="67">
        <f t="shared" si="5"/>
        <v>1481.05</v>
      </c>
      <c r="X662" s="67">
        <f t="shared" si="6"/>
        <v>236.968</v>
      </c>
      <c r="Y662" s="67">
        <f t="shared" si="7"/>
        <v>1718.018</v>
      </c>
      <c r="Z662" s="67">
        <f t="shared" si="8"/>
        <v>1403.1</v>
      </c>
      <c r="AA662" s="67">
        <f t="shared" si="9"/>
        <v>224.496</v>
      </c>
      <c r="AB662" s="67">
        <f t="shared" si="10"/>
        <v>1627.596</v>
      </c>
      <c r="AC662" s="67">
        <f t="shared" si="11"/>
        <v>1325.15</v>
      </c>
      <c r="AD662" s="67">
        <f t="shared" si="12"/>
        <v>212.024</v>
      </c>
      <c r="AE662" s="67">
        <f t="shared" si="13"/>
        <v>1537.174</v>
      </c>
      <c r="AF662" s="67">
        <f t="shared" si="14"/>
        <v>1293.97</v>
      </c>
      <c r="AG662" s="67">
        <f t="shared" si="15"/>
        <v>207.0352</v>
      </c>
      <c r="AH662" s="67">
        <f t="shared" si="16"/>
        <v>1501.0052</v>
      </c>
      <c r="AI662" s="67">
        <f t="shared" si="17"/>
        <v>1247.2</v>
      </c>
      <c r="AJ662" s="68">
        <f t="shared" si="31"/>
        <v>199.552</v>
      </c>
      <c r="AK662" s="68">
        <f t="shared" si="32"/>
        <v>1446.752</v>
      </c>
      <c r="AL662" s="70">
        <f>IFERROR(__xludf.DUMMYFUNCTION("""COMPUTED_VALUE"""),1.0)</f>
        <v>1</v>
      </c>
      <c r="AM662" s="70">
        <f>IFERROR(__xludf.DUMMYFUNCTION("""COMPUTED_VALUE"""),3.0)</f>
        <v>3</v>
      </c>
      <c r="AN662" s="71" t="str">
        <f>IFERROR(__xludf.DUMMYFUNCTION("""COMPUTED_VALUE""")," C")</f>
        <v>C</v>
      </c>
      <c r="AO662" s="71" t="str">
        <f>IFERROR(__xludf.DUMMYFUNCTION("""COMPUTED_VALUE""")," IY01")</f>
        <v>IY01</v>
      </c>
      <c r="AP662" s="71" t="str">
        <f>IFERROR(__xludf.DUMMYFUNCTION("""COMPUTED_VALUE""")," PZA")</f>
        <v>PZA</v>
      </c>
      <c r="AQ662" s="71" t="str">
        <f>IFERROR(__xludf.DUMMYFUNCTION("""COMPUTED_VALUE""")," REF")</f>
        <v>REF</v>
      </c>
      <c r="AR662" s="71" t="str">
        <f>IFERROR(__xludf.DUMMYFUNCTION("""COMPUTED_VALUE""")," INYECTOR DE GRASA LIGERA DE 140 Z")</f>
        <v>INYECTOR DE GRASA LIGERA DE 140 Z</v>
      </c>
      <c r="AS662" s="71" t="str">
        <f>IFERROR(__xludf.DUMMYFUNCTION("""COMPUTED_VALUE""")," INYECTOR DE GRASA LIGERA DE 140 Z")</f>
        <v>INYECTOR DE GRASA LIGERA DE 140 Z</v>
      </c>
      <c r="AT662" s="71">
        <f>IFERROR(__xludf.DUMMYFUNCTION("""COMPUTED_VALUE"""),33.0)</f>
        <v>33</v>
      </c>
      <c r="AU662" s="71"/>
      <c r="AV662" s="71"/>
      <c r="AW662" s="71"/>
      <c r="AX662" s="71"/>
      <c r="AY662" s="71">
        <f>IFERROR(__xludf.DUMMYFUNCTION("""COMPUTED_VALUE"""),464.0)</f>
        <v>464</v>
      </c>
      <c r="AZ662" s="71">
        <f>IFERROR(__xludf.DUMMYFUNCTION("""COMPUTED_VALUE"""),501.0)</f>
        <v>501</v>
      </c>
      <c r="BA662" s="71">
        <f>IFERROR(__xludf.DUMMYFUNCTION("""COMPUTED_VALUE"""),541.08)</f>
        <v>541.08</v>
      </c>
      <c r="BB662" s="71">
        <f>IFERROR(__xludf.DUMMYFUNCTION("""COMPUTED_VALUE"""),541.08)</f>
        <v>541.08</v>
      </c>
      <c r="BC662" s="71">
        <f>IFERROR(__xludf.DUMMYFUNCTION("""COMPUTED_VALUE"""),603.0)</f>
        <v>603</v>
      </c>
      <c r="BD662" s="71">
        <f>IFERROR(__xludf.DUMMYFUNCTION("""COMPUTED_VALUE"""),633.0)</f>
        <v>633</v>
      </c>
      <c r="BE662" s="71">
        <f>IFERROR(__xludf.DUMMYFUNCTION("""COMPUTED_VALUE"""),101.28)</f>
        <v>101.28</v>
      </c>
      <c r="BF662" s="71">
        <f>IFERROR(__xludf.DUMMYFUNCTION("""COMPUTED_VALUE"""),734.28)</f>
        <v>734.28</v>
      </c>
      <c r="BG662" s="71">
        <f>IFERROR(__xludf.DUMMYFUNCTION("""COMPUTED_VALUE"""),0.04975124378109453)</f>
        <v>0.04975124378</v>
      </c>
      <c r="BH662" s="71">
        <f>IFERROR(__xludf.DUMMYFUNCTION("""COMPUTED_VALUE"""),601.35)</f>
        <v>601.35</v>
      </c>
      <c r="BI662" s="71">
        <f>IFERROR(__xludf.DUMMYFUNCTION("""COMPUTED_VALUE"""),96.21600000000001)</f>
        <v>96.216</v>
      </c>
      <c r="BJ662" s="71">
        <f>IFERROR(__xludf.DUMMYFUNCTION("""COMPUTED_VALUE"""),697.566)</f>
        <v>697.566</v>
      </c>
      <c r="BK662" s="71">
        <f>IFERROR(__xludf.DUMMYFUNCTION("""COMPUTED_VALUE"""),569.7)</f>
        <v>569.7</v>
      </c>
      <c r="BL662" s="71">
        <f>IFERROR(__xludf.DUMMYFUNCTION("""COMPUTED_VALUE"""),91.15200000000002)</f>
        <v>91.152</v>
      </c>
      <c r="BM662" s="71">
        <f>IFERROR(__xludf.DUMMYFUNCTION("""COMPUTED_VALUE"""),660.8520000000001)</f>
        <v>660.852</v>
      </c>
      <c r="BN662" s="71">
        <f>IFERROR(__xludf.DUMMYFUNCTION("""COMPUTED_VALUE"""),569.7)</f>
        <v>569.7</v>
      </c>
      <c r="BO662" s="71">
        <f>IFERROR(__xludf.DUMMYFUNCTION("""COMPUTED_VALUE"""),91.15200000000002)</f>
        <v>91.152</v>
      </c>
      <c r="BP662" s="71">
        <f>IFERROR(__xludf.DUMMYFUNCTION("""COMPUTED_VALUE"""),660.8520000000001)</f>
        <v>660.852</v>
      </c>
      <c r="BQ662" s="71">
        <f>IFERROR(__xludf.DUMMYFUNCTION("""COMPUTED_VALUE"""),569.7)</f>
        <v>569.7</v>
      </c>
      <c r="BR662" s="71">
        <f>IFERROR(__xludf.DUMMYFUNCTION("""COMPUTED_VALUE"""),91.15200000000002)</f>
        <v>91.152</v>
      </c>
      <c r="BS662" s="71">
        <f>IFERROR(__xludf.DUMMYFUNCTION("""COMPUTED_VALUE"""),660.8520000000001)</f>
        <v>660.852</v>
      </c>
      <c r="BT662" s="71">
        <f>IFERROR(__xludf.DUMMYFUNCTION("""COMPUTED_VALUE"""),569.7)</f>
        <v>569.7</v>
      </c>
      <c r="BU662" s="71">
        <f>IFERROR(__xludf.DUMMYFUNCTION("""COMPUTED_VALUE"""),91.15200000000002)</f>
        <v>91.152</v>
      </c>
      <c r="BV662" s="71">
        <f>IFERROR(__xludf.DUMMYFUNCTION("""COMPUTED_VALUE"""),660.8520000000001)</f>
        <v>660.852</v>
      </c>
    </row>
    <row r="663">
      <c r="A663" s="53">
        <v>1.0</v>
      </c>
      <c r="B663" s="72"/>
      <c r="C663" s="120" t="s">
        <v>603</v>
      </c>
      <c r="D663" s="74" t="s">
        <v>1586</v>
      </c>
      <c r="E663" s="54" t="s">
        <v>38</v>
      </c>
      <c r="F663" s="54" t="s">
        <v>42</v>
      </c>
      <c r="G663" s="141" t="s">
        <v>1587</v>
      </c>
      <c r="H663" s="141" t="s">
        <v>1587</v>
      </c>
      <c r="I663" s="54">
        <f t="shared" si="24"/>
        <v>25</v>
      </c>
      <c r="J663" s="56"/>
      <c r="K663" s="75"/>
      <c r="L663" s="76"/>
      <c r="M663" s="59"/>
      <c r="N663" s="60">
        <v>1460.0</v>
      </c>
      <c r="O663" s="61">
        <v>1576.0</v>
      </c>
      <c r="P663" s="62">
        <v>955.0</v>
      </c>
      <c r="Q663" s="63">
        <v>955.0</v>
      </c>
      <c r="R663" s="64">
        <v>1485.0</v>
      </c>
      <c r="S663" s="111">
        <v>1559.0</v>
      </c>
      <c r="T663" s="65">
        <f t="shared" si="2"/>
        <v>249.44</v>
      </c>
      <c r="U663" s="65">
        <f t="shared" si="3"/>
        <v>1808.44</v>
      </c>
      <c r="V663" s="66">
        <f t="shared" si="4"/>
        <v>0.04983164983</v>
      </c>
      <c r="W663" s="67">
        <f t="shared" si="5"/>
        <v>1481.05</v>
      </c>
      <c r="X663" s="67">
        <f t="shared" si="6"/>
        <v>236.968</v>
      </c>
      <c r="Y663" s="67">
        <f t="shared" si="7"/>
        <v>1718.018</v>
      </c>
      <c r="Z663" s="67">
        <f t="shared" si="8"/>
        <v>1403.1</v>
      </c>
      <c r="AA663" s="67">
        <f t="shared" si="9"/>
        <v>224.496</v>
      </c>
      <c r="AB663" s="67">
        <f t="shared" si="10"/>
        <v>1627.596</v>
      </c>
      <c r="AC663" s="67">
        <f t="shared" si="11"/>
        <v>1325.15</v>
      </c>
      <c r="AD663" s="67">
        <f t="shared" si="12"/>
        <v>212.024</v>
      </c>
      <c r="AE663" s="67">
        <f t="shared" si="13"/>
        <v>1537.174</v>
      </c>
      <c r="AF663" s="67">
        <f t="shared" si="14"/>
        <v>1293.97</v>
      </c>
      <c r="AG663" s="67">
        <f t="shared" si="15"/>
        <v>207.0352</v>
      </c>
      <c r="AH663" s="67">
        <f t="shared" si="16"/>
        <v>1501.0052</v>
      </c>
      <c r="AI663" s="67">
        <f t="shared" si="17"/>
        <v>1247.2</v>
      </c>
      <c r="AJ663" s="68">
        <f t="shared" si="31"/>
        <v>199.552</v>
      </c>
      <c r="AK663" s="68">
        <f t="shared" si="32"/>
        <v>1446.752</v>
      </c>
      <c r="AL663" s="70">
        <f>IFERROR(__xludf.DUMMYFUNCTION("""COMPUTED_VALUE"""),1.0)</f>
        <v>1</v>
      </c>
      <c r="AM663" s="70"/>
      <c r="AN663" s="71" t="str">
        <f>IFERROR(__xludf.DUMMYFUNCTION("""COMPUTED_VALUE""")," C")</f>
        <v>C</v>
      </c>
      <c r="AO663" s="71" t="str">
        <f>IFERROR(__xludf.DUMMYFUNCTION("""COMPUTED_VALUE""")," JG185")</f>
        <v>JG185</v>
      </c>
      <c r="AP663" s="71" t="str">
        <f>IFERROR(__xludf.DUMMYFUNCTION("""COMPUTED_VALUE""")," JGO")</f>
        <v>JGO</v>
      </c>
      <c r="AQ663" s="71" t="str">
        <f>IFERROR(__xludf.DUMMYFUNCTION("""COMPUTED_VALUE""")," REF")</f>
        <v>REF</v>
      </c>
      <c r="AR663" s="71" t="str">
        <f>IFERROR(__xludf.DUMMYFUNCTION("""COMPUTED_VALUE""")," JGO SINFIN CH DPX 6PZA NYLAMID MAQUINADO")</f>
        <v>JGO SINFIN CH DPX 6PZA NYLAMID MAQUINADO</v>
      </c>
      <c r="AS663" s="71" t="str">
        <f>IFERROR(__xludf.DUMMYFUNCTION("""COMPUTED_VALUE""")," JGO SINFIN CH DPX 6PZA NYLAMID MAQUINADO")</f>
        <v>JGO SINFIN CH DPX 6PZA NYLAMID MAQUINADO</v>
      </c>
      <c r="AT663" s="71">
        <f>IFERROR(__xludf.DUMMYFUNCTION("""COMPUTED_VALUE"""),40.0)</f>
        <v>40</v>
      </c>
      <c r="AU663" s="71"/>
      <c r="AV663" s="71"/>
      <c r="AW663" s="71"/>
      <c r="AX663" s="71"/>
      <c r="AY663" s="71">
        <f>IFERROR(__xludf.DUMMYFUNCTION("""COMPUTED_VALUE"""),1800.0)</f>
        <v>1800</v>
      </c>
      <c r="AZ663" s="71">
        <f>IFERROR(__xludf.DUMMYFUNCTION("""COMPUTED_VALUE"""),2475.0)</f>
        <v>2475</v>
      </c>
      <c r="BA663" s="71">
        <f>IFERROR(__xludf.DUMMYFUNCTION("""COMPUTED_VALUE"""),2500.0)</f>
        <v>2500</v>
      </c>
      <c r="BB663" s="71">
        <f>IFERROR(__xludf.DUMMYFUNCTION("""COMPUTED_VALUE"""),2500.0)</f>
        <v>2500</v>
      </c>
      <c r="BC663" s="71">
        <f>IFERROR(__xludf.DUMMYFUNCTION("""COMPUTED_VALUE"""),2400.0)</f>
        <v>2400</v>
      </c>
      <c r="BD663" s="71">
        <f>IFERROR(__xludf.DUMMYFUNCTION("""COMPUTED_VALUE"""),2520.0)</f>
        <v>2520</v>
      </c>
      <c r="BE663" s="71">
        <f>IFERROR(__xludf.DUMMYFUNCTION("""COMPUTED_VALUE"""),403.2)</f>
        <v>403.2</v>
      </c>
      <c r="BF663" s="71">
        <f>IFERROR(__xludf.DUMMYFUNCTION("""COMPUTED_VALUE"""),2923.2)</f>
        <v>2923.2</v>
      </c>
      <c r="BG663" s="71">
        <f>IFERROR(__xludf.DUMMYFUNCTION("""COMPUTED_VALUE"""),0.05)</f>
        <v>0.05</v>
      </c>
      <c r="BH663" s="71">
        <f>IFERROR(__xludf.DUMMYFUNCTION("""COMPUTED_VALUE"""),2394.0)</f>
        <v>2394</v>
      </c>
      <c r="BI663" s="71">
        <f>IFERROR(__xludf.DUMMYFUNCTION("""COMPUTED_VALUE"""),383.04)</f>
        <v>383.04</v>
      </c>
      <c r="BJ663" s="71">
        <f>IFERROR(__xludf.DUMMYFUNCTION("""COMPUTED_VALUE"""),2777.04)</f>
        <v>2777.04</v>
      </c>
      <c r="BK663" s="71">
        <f>IFERROR(__xludf.DUMMYFUNCTION("""COMPUTED_VALUE"""),2268.0)</f>
        <v>2268</v>
      </c>
      <c r="BL663" s="71">
        <f>IFERROR(__xludf.DUMMYFUNCTION("""COMPUTED_VALUE"""),362.88)</f>
        <v>362.88</v>
      </c>
      <c r="BM663" s="71">
        <f>IFERROR(__xludf.DUMMYFUNCTION("""COMPUTED_VALUE"""),2630.88)</f>
        <v>2630.88</v>
      </c>
      <c r="BN663" s="71">
        <f>IFERROR(__xludf.DUMMYFUNCTION("""COMPUTED_VALUE"""),2142.0)</f>
        <v>2142</v>
      </c>
      <c r="BO663" s="71">
        <f>IFERROR(__xludf.DUMMYFUNCTION("""COMPUTED_VALUE"""),342.72)</f>
        <v>342.72</v>
      </c>
      <c r="BP663" s="71">
        <f>IFERROR(__xludf.DUMMYFUNCTION("""COMPUTED_VALUE"""),2484.7200000000003)</f>
        <v>2484.72</v>
      </c>
      <c r="BQ663" s="71">
        <f>IFERROR(__xludf.DUMMYFUNCTION("""COMPUTED_VALUE"""),2091.6)</f>
        <v>2091.6</v>
      </c>
      <c r="BR663" s="71">
        <f>IFERROR(__xludf.DUMMYFUNCTION("""COMPUTED_VALUE"""),334.656)</f>
        <v>334.656</v>
      </c>
      <c r="BS663" s="71">
        <f>IFERROR(__xludf.DUMMYFUNCTION("""COMPUTED_VALUE"""),2426.256)</f>
        <v>2426.256</v>
      </c>
      <c r="BT663" s="71">
        <f>IFERROR(__xludf.DUMMYFUNCTION("""COMPUTED_VALUE"""),2016.0)</f>
        <v>2016</v>
      </c>
      <c r="BU663" s="71">
        <f>IFERROR(__xludf.DUMMYFUNCTION("""COMPUTED_VALUE"""),322.56)</f>
        <v>322.56</v>
      </c>
      <c r="BV663" s="71">
        <f>IFERROR(__xludf.DUMMYFUNCTION("""COMPUTED_VALUE"""),2338.56)</f>
        <v>2338.56</v>
      </c>
    </row>
    <row r="664">
      <c r="A664" s="53">
        <v>1.0</v>
      </c>
      <c r="B664" s="72"/>
      <c r="C664" s="120" t="s">
        <v>603</v>
      </c>
      <c r="D664" s="74" t="s">
        <v>1588</v>
      </c>
      <c r="E664" s="54" t="s">
        <v>38</v>
      </c>
      <c r="F664" s="54" t="s">
        <v>42</v>
      </c>
      <c r="G664" s="141" t="s">
        <v>1589</v>
      </c>
      <c r="H664" s="141" t="s">
        <v>1589</v>
      </c>
      <c r="I664" s="54">
        <f t="shared" si="24"/>
        <v>21</v>
      </c>
      <c r="J664" s="56"/>
      <c r="K664" s="75"/>
      <c r="L664" s="76"/>
      <c r="M664" s="59"/>
      <c r="N664" s="60">
        <v>1460.0</v>
      </c>
      <c r="O664" s="61">
        <v>1576.0</v>
      </c>
      <c r="P664" s="62">
        <v>950.0</v>
      </c>
      <c r="Q664" s="63">
        <v>950.0</v>
      </c>
      <c r="R664" s="64">
        <v>1485.0</v>
      </c>
      <c r="S664" s="111">
        <v>1559.0</v>
      </c>
      <c r="T664" s="65">
        <f t="shared" si="2"/>
        <v>249.44</v>
      </c>
      <c r="U664" s="65">
        <f t="shared" si="3"/>
        <v>1808.44</v>
      </c>
      <c r="V664" s="66">
        <f t="shared" si="4"/>
        <v>0.04983164983</v>
      </c>
      <c r="W664" s="67">
        <f t="shared" si="5"/>
        <v>1481.05</v>
      </c>
      <c r="X664" s="67">
        <f t="shared" si="6"/>
        <v>236.968</v>
      </c>
      <c r="Y664" s="67">
        <f t="shared" si="7"/>
        <v>1718.018</v>
      </c>
      <c r="Z664" s="67">
        <f t="shared" si="8"/>
        <v>1403.1</v>
      </c>
      <c r="AA664" s="67">
        <f t="shared" si="9"/>
        <v>224.496</v>
      </c>
      <c r="AB664" s="67">
        <f t="shared" si="10"/>
        <v>1627.596</v>
      </c>
      <c r="AC664" s="67">
        <f t="shared" si="11"/>
        <v>1325.15</v>
      </c>
      <c r="AD664" s="67">
        <f t="shared" si="12"/>
        <v>212.024</v>
      </c>
      <c r="AE664" s="67">
        <f t="shared" si="13"/>
        <v>1537.174</v>
      </c>
      <c r="AF664" s="67">
        <f t="shared" si="14"/>
        <v>1293.97</v>
      </c>
      <c r="AG664" s="67">
        <f t="shared" si="15"/>
        <v>207.0352</v>
      </c>
      <c r="AH664" s="67">
        <f t="shared" si="16"/>
        <v>1501.0052</v>
      </c>
      <c r="AI664" s="67">
        <f t="shared" si="17"/>
        <v>1247.2</v>
      </c>
      <c r="AJ664" s="68">
        <f t="shared" si="31"/>
        <v>199.552</v>
      </c>
      <c r="AK664" s="68">
        <f t="shared" si="32"/>
        <v>1446.752</v>
      </c>
      <c r="AL664" s="70">
        <f>IFERROR(__xludf.DUMMYFUNCTION("""COMPUTED_VALUE"""),1.0)</f>
        <v>1</v>
      </c>
      <c r="AM664" s="70"/>
      <c r="AN664" s="71" t="str">
        <f>IFERROR(__xludf.DUMMYFUNCTION("""COMPUTED_VALUE""")," P")</f>
        <v>P</v>
      </c>
      <c r="AO664" s="71" t="str">
        <f>IFERROR(__xludf.DUMMYFUNCTION("""COMPUTED_VALUE""")," JG184")</f>
        <v>JG184</v>
      </c>
      <c r="AP664" s="71" t="str">
        <f>IFERROR(__xludf.DUMMYFUNCTION("""COMPUTED_VALUE""")," JGO")</f>
        <v>JGO</v>
      </c>
      <c r="AQ664" s="71" t="str">
        <f>IFERROR(__xludf.DUMMYFUNCTION("""COMPUTED_VALUE""")," REF")</f>
        <v>REF</v>
      </c>
      <c r="AR664" s="71" t="str">
        <f>IFERROR(__xludf.DUMMYFUNCTION("""COMPUTED_VALUE""")," JGO SINFIN CH SEN 4PZA NYLAMID MAQUINADO")</f>
        <v>JGO SINFIN CH SEN 4PZA NYLAMID MAQUINADO</v>
      </c>
      <c r="AS664" s="71" t="str">
        <f>IFERROR(__xludf.DUMMYFUNCTION("""COMPUTED_VALUE""")," JGO SINFIN CH SEN 4PZA NYLAMID MAQUINADO")</f>
        <v>JGO SINFIN CH SEN 4PZA NYLAMID MAQUINADO</v>
      </c>
      <c r="AT664" s="71">
        <f>IFERROR(__xludf.DUMMYFUNCTION("""COMPUTED_VALUE"""),40.0)</f>
        <v>40</v>
      </c>
      <c r="AU664" s="71"/>
      <c r="AV664" s="71"/>
      <c r="AW664" s="71"/>
      <c r="AX664" s="71"/>
      <c r="AY664" s="71">
        <f>IFERROR(__xludf.DUMMYFUNCTION("""COMPUTED_VALUE"""),1200.0)</f>
        <v>1200</v>
      </c>
      <c r="AZ664" s="71">
        <f>IFERROR(__xludf.DUMMYFUNCTION("""COMPUTED_VALUE"""),1650.0)</f>
        <v>1650</v>
      </c>
      <c r="BA664" s="71">
        <f>IFERROR(__xludf.DUMMYFUNCTION("""COMPUTED_VALUE"""),1650.0)</f>
        <v>1650</v>
      </c>
      <c r="BB664" s="71">
        <f>IFERROR(__xludf.DUMMYFUNCTION("""COMPUTED_VALUE"""),1650.0)</f>
        <v>1650</v>
      </c>
      <c r="BC664" s="71">
        <f>IFERROR(__xludf.DUMMYFUNCTION("""COMPUTED_VALUE"""),1600.0)</f>
        <v>1600</v>
      </c>
      <c r="BD664" s="71">
        <f>IFERROR(__xludf.DUMMYFUNCTION("""COMPUTED_VALUE"""),1680.0)</f>
        <v>1680</v>
      </c>
      <c r="BE664" s="71">
        <f>IFERROR(__xludf.DUMMYFUNCTION("""COMPUTED_VALUE"""),268.8)</f>
        <v>268.8</v>
      </c>
      <c r="BF664" s="71">
        <f>IFERROR(__xludf.DUMMYFUNCTION("""COMPUTED_VALUE"""),1948.8)</f>
        <v>1948.8</v>
      </c>
      <c r="BG664" s="71">
        <f>IFERROR(__xludf.DUMMYFUNCTION("""COMPUTED_VALUE"""),0.05)</f>
        <v>0.05</v>
      </c>
      <c r="BH664" s="71">
        <f>IFERROR(__xludf.DUMMYFUNCTION("""COMPUTED_VALUE"""),1596.0)</f>
        <v>1596</v>
      </c>
      <c r="BI664" s="71">
        <f>IFERROR(__xludf.DUMMYFUNCTION("""COMPUTED_VALUE"""),255.36)</f>
        <v>255.36</v>
      </c>
      <c r="BJ664" s="71">
        <f>IFERROR(__xludf.DUMMYFUNCTION("""COMPUTED_VALUE"""),1851.3600000000001)</f>
        <v>1851.36</v>
      </c>
      <c r="BK664" s="71">
        <f>IFERROR(__xludf.DUMMYFUNCTION("""COMPUTED_VALUE"""),1512.0)</f>
        <v>1512</v>
      </c>
      <c r="BL664" s="71">
        <f>IFERROR(__xludf.DUMMYFUNCTION("""COMPUTED_VALUE"""),241.92000000000002)</f>
        <v>241.92</v>
      </c>
      <c r="BM664" s="71">
        <f>IFERROR(__xludf.DUMMYFUNCTION("""COMPUTED_VALUE"""),1753.92)</f>
        <v>1753.92</v>
      </c>
      <c r="BN664" s="71">
        <f>IFERROR(__xludf.DUMMYFUNCTION("""COMPUTED_VALUE"""),1428.0)</f>
        <v>1428</v>
      </c>
      <c r="BO664" s="71">
        <f>IFERROR(__xludf.DUMMYFUNCTION("""COMPUTED_VALUE"""),228.48000000000002)</f>
        <v>228.48</v>
      </c>
      <c r="BP664" s="71">
        <f>IFERROR(__xludf.DUMMYFUNCTION("""COMPUTED_VALUE"""),1656.48)</f>
        <v>1656.48</v>
      </c>
      <c r="BQ664" s="71">
        <f>IFERROR(__xludf.DUMMYFUNCTION("""COMPUTED_VALUE"""),1394.3999999999999)</f>
        <v>1394.4</v>
      </c>
      <c r="BR664" s="71">
        <f>IFERROR(__xludf.DUMMYFUNCTION("""COMPUTED_VALUE"""),223.10399999999998)</f>
        <v>223.104</v>
      </c>
      <c r="BS664" s="71">
        <f>IFERROR(__xludf.DUMMYFUNCTION("""COMPUTED_VALUE"""),1617.504)</f>
        <v>1617.504</v>
      </c>
      <c r="BT664" s="71">
        <f>IFERROR(__xludf.DUMMYFUNCTION("""COMPUTED_VALUE"""),1344.0)</f>
        <v>1344</v>
      </c>
      <c r="BU664" s="71">
        <f>IFERROR(__xludf.DUMMYFUNCTION("""COMPUTED_VALUE"""),215.04)</f>
        <v>215.04</v>
      </c>
      <c r="BV664" s="71">
        <f>IFERROR(__xludf.DUMMYFUNCTION("""COMPUTED_VALUE"""),1559.04)</f>
        <v>1559.04</v>
      </c>
    </row>
    <row r="665">
      <c r="A665" s="53">
        <v>1.0</v>
      </c>
      <c r="B665" s="53"/>
      <c r="C665" s="73" t="s">
        <v>12</v>
      </c>
      <c r="D665" s="53" t="s">
        <v>1590</v>
      </c>
      <c r="E665" s="54" t="s">
        <v>38</v>
      </c>
      <c r="F665" s="54" t="s">
        <v>42</v>
      </c>
      <c r="G665" s="141" t="s">
        <v>1591</v>
      </c>
      <c r="H665" s="141" t="s">
        <v>1591</v>
      </c>
      <c r="I665" s="54">
        <f t="shared" si="24"/>
        <v>29</v>
      </c>
      <c r="J665" s="56"/>
      <c r="K665" s="75"/>
      <c r="L665" s="76"/>
      <c r="M665" s="59"/>
      <c r="N665" s="79">
        <v>1560.0</v>
      </c>
      <c r="O665" s="61">
        <v>1684.0</v>
      </c>
      <c r="P665" s="62">
        <v>995.0</v>
      </c>
      <c r="Q665" s="63">
        <v>995.0</v>
      </c>
      <c r="R665" s="64">
        <v>1045.0</v>
      </c>
      <c r="S665" s="111">
        <v>1097.0</v>
      </c>
      <c r="T665" s="65">
        <f t="shared" si="2"/>
        <v>175.52</v>
      </c>
      <c r="U665" s="65">
        <f t="shared" si="3"/>
        <v>1272.52</v>
      </c>
      <c r="V665" s="66">
        <f t="shared" si="4"/>
        <v>0.04976076555</v>
      </c>
      <c r="W665" s="67">
        <f t="shared" si="5"/>
        <v>1042.15</v>
      </c>
      <c r="X665" s="67">
        <f t="shared" si="6"/>
        <v>166.744</v>
      </c>
      <c r="Y665" s="67">
        <f t="shared" si="7"/>
        <v>1208.894</v>
      </c>
      <c r="Z665" s="67">
        <f t="shared" si="8"/>
        <v>987.3</v>
      </c>
      <c r="AA665" s="67">
        <f t="shared" si="9"/>
        <v>157.968</v>
      </c>
      <c r="AB665" s="67">
        <f t="shared" si="10"/>
        <v>1145.268</v>
      </c>
      <c r="AC665" s="67">
        <f t="shared" si="11"/>
        <v>932.45</v>
      </c>
      <c r="AD665" s="67">
        <f t="shared" si="12"/>
        <v>149.192</v>
      </c>
      <c r="AE665" s="67">
        <f t="shared" si="13"/>
        <v>1081.642</v>
      </c>
      <c r="AF665" s="67">
        <f t="shared" si="14"/>
        <v>910.51</v>
      </c>
      <c r="AG665" s="67">
        <f t="shared" si="15"/>
        <v>145.6816</v>
      </c>
      <c r="AH665" s="67">
        <f t="shared" si="16"/>
        <v>1056.1916</v>
      </c>
      <c r="AI665" s="67">
        <f t="shared" si="17"/>
        <v>877.6</v>
      </c>
      <c r="AJ665" s="68">
        <f t="shared" si="31"/>
        <v>140.416</v>
      </c>
      <c r="AK665" s="68">
        <f t="shared" si="32"/>
        <v>1018.016</v>
      </c>
      <c r="AL665" s="136">
        <f>IFERROR(__xludf.DUMMYFUNCTION("""COMPUTED_VALUE"""),1.0)</f>
        <v>1</v>
      </c>
      <c r="AM665" s="136"/>
      <c r="AN665" s="137" t="str">
        <f>IFERROR(__xludf.DUMMYFUNCTION("""COMPUTED_VALUE""")," P")</f>
        <v>P</v>
      </c>
      <c r="AO665" s="137" t="str">
        <f>IFERROR(__xludf.DUMMYFUNCTION("""COMPUTED_VALUE""")," JG102")</f>
        <v>JG102</v>
      </c>
      <c r="AP665" s="137" t="str">
        <f>IFERROR(__xludf.DUMMYFUNCTION("""COMPUTED_VALUE""")," JGO")</f>
        <v>JGO</v>
      </c>
      <c r="AQ665" s="137" t="str">
        <f>IFERROR(__xludf.DUMMYFUNCTION("""COMPUTED_VALUE""")," REF")</f>
        <v>REF</v>
      </c>
      <c r="AR665" s="137" t="str">
        <f>IFERROR(__xludf.DUMMYFUNCTION("""COMPUTED_VALUE""")," JUEGO DE 4 BAYONETAS CHICAS SENCILLA TV-50 (B.C.)")</f>
        <v>JUEGO DE 4 BAYONETAS CHICAS SENCILLA TV-50 (B.C.)</v>
      </c>
      <c r="AS665" s="137" t="str">
        <f>IFERROR(__xludf.DUMMYFUNCTION("""COMPUTED_VALUE""")," JUEGO 4 BAYONETAS CHICAS SENCILLA TV/BC")</f>
        <v>JUEGO 4 BAYONETAS CHICAS SENCILLA TV/BC</v>
      </c>
      <c r="AT665" s="137">
        <f>IFERROR(__xludf.DUMMYFUNCTION("""COMPUTED_VALUE"""),39.0)</f>
        <v>39</v>
      </c>
      <c r="AU665" s="137"/>
      <c r="AV665" s="137"/>
      <c r="AW665" s="137"/>
      <c r="AX665" s="137"/>
      <c r="AY665" s="137"/>
      <c r="AZ665" s="137">
        <f>IFERROR(__xludf.DUMMYFUNCTION("""COMPUTED_VALUE"""),416.0)</f>
        <v>416</v>
      </c>
      <c r="BA665" s="137">
        <f>IFERROR(__xludf.DUMMYFUNCTION("""COMPUTED_VALUE"""),449.28000000000003)</f>
        <v>449.28</v>
      </c>
      <c r="BB665" s="137">
        <f>IFERROR(__xludf.DUMMYFUNCTION("""COMPUTED_VALUE"""),449.28000000000003)</f>
        <v>449.28</v>
      </c>
      <c r="BC665" s="137">
        <f>IFERROR(__xludf.DUMMYFUNCTION("""COMPUTED_VALUE"""),536.0)</f>
        <v>536</v>
      </c>
      <c r="BD665" s="137">
        <f>IFERROR(__xludf.DUMMYFUNCTION("""COMPUTED_VALUE"""),563.0)</f>
        <v>563</v>
      </c>
      <c r="BE665" s="137">
        <f>IFERROR(__xludf.DUMMYFUNCTION("""COMPUTED_VALUE"""),90.08)</f>
        <v>90.08</v>
      </c>
      <c r="BF665" s="137">
        <f>IFERROR(__xludf.DUMMYFUNCTION("""COMPUTED_VALUE"""),653.08)</f>
        <v>653.08</v>
      </c>
      <c r="BG665" s="137">
        <f>IFERROR(__xludf.DUMMYFUNCTION("""COMPUTED_VALUE"""),0.05037313432835821)</f>
        <v>0.05037313433</v>
      </c>
      <c r="BH665" s="137">
        <f>IFERROR(__xludf.DUMMYFUNCTION("""COMPUTED_VALUE"""),534.85)</f>
        <v>534.85</v>
      </c>
      <c r="BI665" s="137">
        <f>IFERROR(__xludf.DUMMYFUNCTION("""COMPUTED_VALUE"""),85.57600000000001)</f>
        <v>85.576</v>
      </c>
      <c r="BJ665" s="137">
        <f>IFERROR(__xludf.DUMMYFUNCTION("""COMPUTED_VALUE"""),620.426)</f>
        <v>620.426</v>
      </c>
      <c r="BK665" s="137">
        <f>IFERROR(__xludf.DUMMYFUNCTION("""COMPUTED_VALUE"""),506.7)</f>
        <v>506.7</v>
      </c>
      <c r="BL665" s="137">
        <f>IFERROR(__xludf.DUMMYFUNCTION("""COMPUTED_VALUE"""),81.072)</f>
        <v>81.072</v>
      </c>
      <c r="BM665" s="137">
        <f>IFERROR(__xludf.DUMMYFUNCTION("""COMPUTED_VALUE"""),587.7719999999999)</f>
        <v>587.772</v>
      </c>
      <c r="BN665" s="137">
        <f>IFERROR(__xludf.DUMMYFUNCTION("""COMPUTED_VALUE"""),478.55)</f>
        <v>478.55</v>
      </c>
      <c r="BO665" s="137">
        <f>IFERROR(__xludf.DUMMYFUNCTION("""COMPUTED_VALUE"""),76.568)</f>
        <v>76.568</v>
      </c>
      <c r="BP665" s="137">
        <f>IFERROR(__xludf.DUMMYFUNCTION("""COMPUTED_VALUE"""),555.118)</f>
        <v>555.118</v>
      </c>
      <c r="BQ665" s="137">
        <f>IFERROR(__xludf.DUMMYFUNCTION("""COMPUTED_VALUE"""),467.28999999999996)</f>
        <v>467.29</v>
      </c>
      <c r="BR665" s="137">
        <f>IFERROR(__xludf.DUMMYFUNCTION("""COMPUTED_VALUE"""),74.76639999999999)</f>
        <v>74.7664</v>
      </c>
      <c r="BS665" s="137">
        <f>IFERROR(__xludf.DUMMYFUNCTION("""COMPUTED_VALUE"""),542.0563999999999)</f>
        <v>542.0564</v>
      </c>
      <c r="BT665" s="137">
        <f>IFERROR(__xludf.DUMMYFUNCTION("""COMPUTED_VALUE"""),450.40000000000003)</f>
        <v>450.4</v>
      </c>
      <c r="BU665" s="137">
        <f>IFERROR(__xludf.DUMMYFUNCTION("""COMPUTED_VALUE"""),72.06400000000001)</f>
        <v>72.064</v>
      </c>
      <c r="BV665" s="137">
        <f>IFERROR(__xludf.DUMMYFUNCTION("""COMPUTED_VALUE"""),522.464)</f>
        <v>522.464</v>
      </c>
    </row>
    <row r="666">
      <c r="A666" s="53">
        <v>1.0</v>
      </c>
      <c r="B666" s="53"/>
      <c r="C666" s="53"/>
      <c r="D666" s="53" t="s">
        <v>1592</v>
      </c>
      <c r="E666" s="55" t="s">
        <v>38</v>
      </c>
      <c r="F666" s="91" t="s">
        <v>42</v>
      </c>
      <c r="G666" s="142" t="s">
        <v>1593</v>
      </c>
      <c r="H666" s="142" t="s">
        <v>1593</v>
      </c>
      <c r="I666" s="54">
        <f t="shared" si="24"/>
        <v>25</v>
      </c>
      <c r="J666" s="56"/>
      <c r="K666" s="75"/>
      <c r="L666" s="76"/>
      <c r="M666" s="59"/>
      <c r="N666" s="60"/>
      <c r="O666" s="90"/>
      <c r="P666" s="62">
        <v>1100.0</v>
      </c>
      <c r="Q666" s="63">
        <v>1100.0</v>
      </c>
      <c r="R666" s="64">
        <v>1188.0</v>
      </c>
      <c r="S666" s="111">
        <v>1247.0</v>
      </c>
      <c r="T666" s="65">
        <f t="shared" si="2"/>
        <v>199.52</v>
      </c>
      <c r="U666" s="65">
        <f t="shared" si="3"/>
        <v>1446.52</v>
      </c>
      <c r="V666" s="66">
        <f t="shared" si="4"/>
        <v>0.04966329966</v>
      </c>
      <c r="W666" s="67">
        <f t="shared" si="5"/>
        <v>1184.65</v>
      </c>
      <c r="X666" s="67">
        <f t="shared" si="6"/>
        <v>189.544</v>
      </c>
      <c r="Y666" s="67">
        <f t="shared" si="7"/>
        <v>1374.194</v>
      </c>
      <c r="Z666" s="67">
        <f t="shared" si="8"/>
        <v>1122.3</v>
      </c>
      <c r="AA666" s="67">
        <f t="shared" si="9"/>
        <v>179.568</v>
      </c>
      <c r="AB666" s="67">
        <f t="shared" si="10"/>
        <v>1301.868</v>
      </c>
      <c r="AC666" s="67">
        <f t="shared" si="11"/>
        <v>1059.95</v>
      </c>
      <c r="AD666" s="67">
        <f t="shared" si="12"/>
        <v>169.592</v>
      </c>
      <c r="AE666" s="67">
        <f t="shared" si="13"/>
        <v>1229.542</v>
      </c>
      <c r="AF666" s="67">
        <f t="shared" si="14"/>
        <v>1035.01</v>
      </c>
      <c r="AG666" s="67">
        <f t="shared" si="15"/>
        <v>165.6016</v>
      </c>
      <c r="AH666" s="67">
        <f t="shared" si="16"/>
        <v>1200.6116</v>
      </c>
      <c r="AI666" s="67">
        <f t="shared" si="17"/>
        <v>997.6</v>
      </c>
      <c r="AJ666" s="68">
        <f t="shared" si="31"/>
        <v>159.616</v>
      </c>
      <c r="AK666" s="68">
        <f t="shared" si="32"/>
        <v>1157.216</v>
      </c>
      <c r="AL666" s="70">
        <f>IFERROR(__xludf.DUMMYFUNCTION("""COMPUTED_VALUE"""),1.0)</f>
        <v>1</v>
      </c>
      <c r="AM666" s="70"/>
      <c r="AN666" s="71" t="str">
        <f>IFERROR(__xludf.DUMMYFUNCTION("""COMPUTED_VALUE""")," P")</f>
        <v>P</v>
      </c>
      <c r="AO666" s="71" t="str">
        <f>IFERROR(__xludf.DUMMYFUNCTION("""COMPUTED_VALUE""")," JG103")</f>
        <v>JG103</v>
      </c>
      <c r="AP666" s="71" t="str">
        <f>IFERROR(__xludf.DUMMYFUNCTION("""COMPUTED_VALUE""")," JGO")</f>
        <v>JGO</v>
      </c>
      <c r="AQ666" s="71" t="str">
        <f>IFERROR(__xludf.DUMMYFUNCTION("""COMPUTED_VALUE""")," REF")</f>
        <v>REF</v>
      </c>
      <c r="AR666" s="71" t="str">
        <f>IFERROR(__xludf.DUMMYFUNCTION("""COMPUTED_VALUE""")," JUEGO DE 4 BAYONETAS CHICAS SENCILLA TV-50 (B.C.) EN ACERO INOX. T-304 GRADO ALIMENTICIO")</f>
        <v>JUEGO DE 4 BAYONETAS CHICAS SENCILLA TV-50 (B.C.) EN ACERO INOX. T-304 GRADO ALIMENTICIO</v>
      </c>
      <c r="AS666" s="71" t="str">
        <f>IFERROR(__xludf.DUMMYFUNCTION("""COMPUTED_VALUE""")," JUEGO 4 BAYONETAS CHICAS SENC BC INOX GA")</f>
        <v>JUEGO 4 BAYONETAS CHICAS SENC BC INOX GA</v>
      </c>
      <c r="AT666" s="71">
        <f>IFERROR(__xludf.DUMMYFUNCTION("""COMPUTED_VALUE"""),40.0)</f>
        <v>40</v>
      </c>
      <c r="AU666" s="71"/>
      <c r="AV666" s="71"/>
      <c r="AW666" s="71"/>
      <c r="AX666" s="71"/>
      <c r="AY666" s="71"/>
      <c r="AZ666" s="71">
        <f>IFERROR(__xludf.DUMMYFUNCTION("""COMPUTED_VALUE"""),815.0)</f>
        <v>815</v>
      </c>
      <c r="BA666" s="71">
        <f>IFERROR(__xludf.DUMMYFUNCTION("""COMPUTED_VALUE"""),1347.84)</f>
        <v>1347.84</v>
      </c>
      <c r="BB666" s="71">
        <f>IFERROR(__xludf.DUMMYFUNCTION("""COMPUTED_VALUE"""),1347.84)</f>
        <v>1347.84</v>
      </c>
      <c r="BC666" s="71">
        <f>IFERROR(__xludf.DUMMYFUNCTION("""COMPUTED_VALUE"""),1416.0)</f>
        <v>1416</v>
      </c>
      <c r="BD666" s="71">
        <f>IFERROR(__xludf.DUMMYFUNCTION("""COMPUTED_VALUE"""),1487.0)</f>
        <v>1487</v>
      </c>
      <c r="BE666" s="71">
        <f>IFERROR(__xludf.DUMMYFUNCTION("""COMPUTED_VALUE"""),237.92000000000002)</f>
        <v>237.92</v>
      </c>
      <c r="BF666" s="71">
        <f>IFERROR(__xludf.DUMMYFUNCTION("""COMPUTED_VALUE"""),1724.92)</f>
        <v>1724.92</v>
      </c>
      <c r="BG666" s="71">
        <f>IFERROR(__xludf.DUMMYFUNCTION("""COMPUTED_VALUE"""),0.05014124293785311)</f>
        <v>0.05014124294</v>
      </c>
      <c r="BH666" s="71">
        <f>IFERROR(__xludf.DUMMYFUNCTION("""COMPUTED_VALUE"""),1412.6499999999999)</f>
        <v>1412.65</v>
      </c>
      <c r="BI666" s="71">
        <f>IFERROR(__xludf.DUMMYFUNCTION("""COMPUTED_VALUE"""),226.02399999999997)</f>
        <v>226.024</v>
      </c>
      <c r="BJ666" s="71">
        <f>IFERROR(__xludf.DUMMYFUNCTION("""COMPUTED_VALUE"""),1638.6739999999998)</f>
        <v>1638.674</v>
      </c>
      <c r="BK666" s="71">
        <f>IFERROR(__xludf.DUMMYFUNCTION("""COMPUTED_VALUE"""),1338.3)</f>
        <v>1338.3</v>
      </c>
      <c r="BL666" s="71">
        <f>IFERROR(__xludf.DUMMYFUNCTION("""COMPUTED_VALUE"""),214.128)</f>
        <v>214.128</v>
      </c>
      <c r="BM666" s="71">
        <f>IFERROR(__xludf.DUMMYFUNCTION("""COMPUTED_VALUE"""),1552.4279999999999)</f>
        <v>1552.428</v>
      </c>
      <c r="BN666" s="71">
        <f>IFERROR(__xludf.DUMMYFUNCTION("""COMPUTED_VALUE"""),1263.95)</f>
        <v>1263.95</v>
      </c>
      <c r="BO666" s="71">
        <f>IFERROR(__xludf.DUMMYFUNCTION("""COMPUTED_VALUE"""),202.232)</f>
        <v>202.232</v>
      </c>
      <c r="BP666" s="71">
        <f>IFERROR(__xludf.DUMMYFUNCTION("""COMPUTED_VALUE"""),1466.182)</f>
        <v>1466.182</v>
      </c>
      <c r="BQ666" s="71">
        <f>IFERROR(__xludf.DUMMYFUNCTION("""COMPUTED_VALUE"""),1234.21)</f>
        <v>1234.21</v>
      </c>
      <c r="BR666" s="71">
        <f>IFERROR(__xludf.DUMMYFUNCTION("""COMPUTED_VALUE"""),197.4736)</f>
        <v>197.4736</v>
      </c>
      <c r="BS666" s="71">
        <f>IFERROR(__xludf.DUMMYFUNCTION("""COMPUTED_VALUE"""),1431.6836)</f>
        <v>1431.6836</v>
      </c>
      <c r="BT666" s="71">
        <f>IFERROR(__xludf.DUMMYFUNCTION("""COMPUTED_VALUE"""),1189.6000000000001)</f>
        <v>1189.6</v>
      </c>
      <c r="BU666" s="71">
        <f>IFERROR(__xludf.DUMMYFUNCTION("""COMPUTED_VALUE"""),190.336)</f>
        <v>190.336</v>
      </c>
      <c r="BV666" s="71">
        <f>IFERROR(__xludf.DUMMYFUNCTION("""COMPUTED_VALUE"""),1379.9360000000001)</f>
        <v>1379.936</v>
      </c>
    </row>
    <row r="667">
      <c r="A667" s="53">
        <v>1.0</v>
      </c>
      <c r="B667" s="53">
        <v>0.0</v>
      </c>
      <c r="C667" s="120" t="s">
        <v>603</v>
      </c>
      <c r="D667" s="53" t="s">
        <v>1594</v>
      </c>
      <c r="E667" s="54" t="s">
        <v>38</v>
      </c>
      <c r="F667" s="54" t="s">
        <v>42</v>
      </c>
      <c r="G667" s="141" t="s">
        <v>1593</v>
      </c>
      <c r="H667" s="141" t="s">
        <v>1593</v>
      </c>
      <c r="I667" s="54">
        <f t="shared" si="24"/>
        <v>25</v>
      </c>
      <c r="J667" s="56"/>
      <c r="K667" s="75"/>
      <c r="L667" s="76" t="s">
        <v>1369</v>
      </c>
      <c r="M667" s="59"/>
      <c r="N667" s="79">
        <v>1703.0</v>
      </c>
      <c r="O667" s="61">
        <v>1839.0</v>
      </c>
      <c r="P667" s="62">
        <v>1100.0</v>
      </c>
      <c r="Q667" s="63">
        <v>1100.0</v>
      </c>
      <c r="R667" s="64">
        <v>1188.0</v>
      </c>
      <c r="S667" s="111">
        <v>1247.0</v>
      </c>
      <c r="T667" s="65">
        <f t="shared" si="2"/>
        <v>199.52</v>
      </c>
      <c r="U667" s="65">
        <f t="shared" si="3"/>
        <v>1446.52</v>
      </c>
      <c r="V667" s="66">
        <f t="shared" si="4"/>
        <v>0.04966329966</v>
      </c>
      <c r="W667" s="67" t="b">
        <f t="shared" si="5"/>
        <v>0</v>
      </c>
      <c r="X667" s="67">
        <f t="shared" si="6"/>
        <v>0</v>
      </c>
      <c r="Y667" s="67">
        <f t="shared" si="7"/>
        <v>0</v>
      </c>
      <c r="Z667" s="67" t="b">
        <f t="shared" si="8"/>
        <v>0</v>
      </c>
      <c r="AA667" s="67">
        <f t="shared" si="9"/>
        <v>0</v>
      </c>
      <c r="AB667" s="67">
        <f t="shared" si="10"/>
        <v>0</v>
      </c>
      <c r="AC667" s="67" t="b">
        <f t="shared" si="11"/>
        <v>0</v>
      </c>
      <c r="AD667" s="67">
        <f t="shared" si="12"/>
        <v>0</v>
      </c>
      <c r="AE667" s="67">
        <f t="shared" si="13"/>
        <v>0</v>
      </c>
      <c r="AF667" s="67" t="b">
        <f t="shared" si="14"/>
        <v>0</v>
      </c>
      <c r="AG667" s="67">
        <f t="shared" si="15"/>
        <v>0</v>
      </c>
      <c r="AH667" s="67">
        <f t="shared" si="16"/>
        <v>0</v>
      </c>
      <c r="AI667" s="67" t="b">
        <f t="shared" si="17"/>
        <v>0</v>
      </c>
      <c r="AJ667" s="68">
        <f t="shared" si="31"/>
        <v>0</v>
      </c>
      <c r="AK667" s="68">
        <f t="shared" si="32"/>
        <v>0</v>
      </c>
      <c r="AL667" s="70">
        <f>IFERROR(__xludf.DUMMYFUNCTION("""COMPUTED_VALUE"""),1.0)</f>
        <v>1</v>
      </c>
      <c r="AM667" s="70"/>
      <c r="AN667" s="71" t="str">
        <f>IFERROR(__xludf.DUMMYFUNCTION("""COMPUTED_VALUE""")," C")</f>
        <v>C</v>
      </c>
      <c r="AO667" s="71" t="str">
        <f>IFERROR(__xludf.DUMMYFUNCTION("""COMPUTED_VALUE""")," JG167")</f>
        <v>JG167</v>
      </c>
      <c r="AP667" s="71" t="str">
        <f>IFERROR(__xludf.DUMMYFUNCTION("""COMPUTED_VALUE""")," JGO")</f>
        <v>JGO</v>
      </c>
      <c r="AQ667" s="71" t="str">
        <f>IFERROR(__xludf.DUMMYFUNCTION("""COMPUTED_VALUE""")," REF")</f>
        <v>REF</v>
      </c>
      <c r="AR667" s="71" t="str">
        <f>IFERROR(__xludf.DUMMYFUNCTION("""COMPUTED_VALUE""")," JUEGO DE 4 BIRLOS PARA CARRO SUPERIOR DÚPLEX")</f>
        <v>JUEGO DE 4 BIRLOS PARA CARRO SUPERIOR DÚPLEX</v>
      </c>
      <c r="AS667" s="71" t="str">
        <f>IFERROR(__xludf.DUMMYFUNCTION("""COMPUTED_VALUE""")," JUEGO 4 BIRLOS PARA CARRO SUPERIOR DPLX")</f>
        <v>JUEGO 4 BIRLOS PARA CARRO SUPERIOR DPLX</v>
      </c>
      <c r="AT667" s="71">
        <f>IFERROR(__xludf.DUMMYFUNCTION("""COMPUTED_VALUE"""),39.0)</f>
        <v>39</v>
      </c>
      <c r="AU667" s="71"/>
      <c r="AV667" s="71"/>
      <c r="AW667" s="71"/>
      <c r="AX667" s="71"/>
      <c r="AY667" s="71">
        <f>IFERROR(__xludf.DUMMYFUNCTION("""COMPUTED_VALUE"""),142.0)</f>
        <v>142</v>
      </c>
      <c r="AZ667" s="71">
        <f>IFERROR(__xludf.DUMMYFUNCTION("""COMPUTED_VALUE"""),153.0)</f>
        <v>153</v>
      </c>
      <c r="BA667" s="71">
        <f>IFERROR(__xludf.DUMMYFUNCTION("""COMPUTED_VALUE"""),165.24)</f>
        <v>165.24</v>
      </c>
      <c r="BB667" s="71">
        <f>IFERROR(__xludf.DUMMYFUNCTION("""COMPUTED_VALUE"""),165.24)</f>
        <v>165.24</v>
      </c>
      <c r="BC667" s="71">
        <f>IFERROR(__xludf.DUMMYFUNCTION("""COMPUTED_VALUE"""),183.0)</f>
        <v>183</v>
      </c>
      <c r="BD667" s="71">
        <f>IFERROR(__xludf.DUMMYFUNCTION("""COMPUTED_VALUE"""),192.0)</f>
        <v>192</v>
      </c>
      <c r="BE667" s="71">
        <f>IFERROR(__xludf.DUMMYFUNCTION("""COMPUTED_VALUE"""),30.72)</f>
        <v>30.72</v>
      </c>
      <c r="BF667" s="71">
        <f>IFERROR(__xludf.DUMMYFUNCTION("""COMPUTED_VALUE"""),222.72)</f>
        <v>222.72</v>
      </c>
      <c r="BG667" s="71">
        <f>IFERROR(__xludf.DUMMYFUNCTION("""COMPUTED_VALUE"""),0.04918032786885246)</f>
        <v>0.04918032787</v>
      </c>
      <c r="BH667" s="71">
        <f>IFERROR(__xludf.DUMMYFUNCTION("""COMPUTED_VALUE"""),182.39999999999998)</f>
        <v>182.4</v>
      </c>
      <c r="BI667" s="71">
        <f>IFERROR(__xludf.DUMMYFUNCTION("""COMPUTED_VALUE"""),29.183999999999997)</f>
        <v>29.184</v>
      </c>
      <c r="BJ667" s="71">
        <f>IFERROR(__xludf.DUMMYFUNCTION("""COMPUTED_VALUE"""),211.58399999999997)</f>
        <v>211.584</v>
      </c>
      <c r="BK667" s="71">
        <f>IFERROR(__xludf.DUMMYFUNCTION("""COMPUTED_VALUE"""),172.8)</f>
        <v>172.8</v>
      </c>
      <c r="BL667" s="71">
        <f>IFERROR(__xludf.DUMMYFUNCTION("""COMPUTED_VALUE"""),27.648000000000003)</f>
        <v>27.648</v>
      </c>
      <c r="BM667" s="71">
        <f>IFERROR(__xludf.DUMMYFUNCTION("""COMPUTED_VALUE"""),200.448)</f>
        <v>200.448</v>
      </c>
      <c r="BN667" s="71">
        <f>IFERROR(__xludf.DUMMYFUNCTION("""COMPUTED_VALUE"""),163.2)</f>
        <v>163.2</v>
      </c>
      <c r="BO667" s="71">
        <f>IFERROR(__xludf.DUMMYFUNCTION("""COMPUTED_VALUE"""),26.112)</f>
        <v>26.112</v>
      </c>
      <c r="BP667" s="71">
        <f>IFERROR(__xludf.DUMMYFUNCTION("""COMPUTED_VALUE"""),189.31199999999998)</f>
        <v>189.312</v>
      </c>
      <c r="BQ667" s="71">
        <f>IFERROR(__xludf.DUMMYFUNCTION("""COMPUTED_VALUE"""),159.35999999999999)</f>
        <v>159.36</v>
      </c>
      <c r="BR667" s="71">
        <f>IFERROR(__xludf.DUMMYFUNCTION("""COMPUTED_VALUE"""),25.4976)</f>
        <v>25.4976</v>
      </c>
      <c r="BS667" s="71">
        <f>IFERROR(__xludf.DUMMYFUNCTION("""COMPUTED_VALUE"""),184.8576)</f>
        <v>184.8576</v>
      </c>
      <c r="BT667" s="71">
        <f>IFERROR(__xludf.DUMMYFUNCTION("""COMPUTED_VALUE"""),153.60000000000002)</f>
        <v>153.6</v>
      </c>
      <c r="BU667" s="71">
        <f>IFERROR(__xludf.DUMMYFUNCTION("""COMPUTED_VALUE"""),24.576000000000004)</f>
        <v>24.576</v>
      </c>
      <c r="BV667" s="71">
        <f>IFERROR(__xludf.DUMMYFUNCTION("""COMPUTED_VALUE"""),178.17600000000002)</f>
        <v>178.176</v>
      </c>
    </row>
    <row r="668">
      <c r="A668" s="53">
        <v>1.0</v>
      </c>
      <c r="B668" s="53"/>
      <c r="C668" s="73" t="s">
        <v>12</v>
      </c>
      <c r="D668" s="53" t="s">
        <v>1595</v>
      </c>
      <c r="E668" s="54" t="s">
        <v>38</v>
      </c>
      <c r="F668" s="54" t="s">
        <v>42</v>
      </c>
      <c r="G668" s="141" t="s">
        <v>1596</v>
      </c>
      <c r="H668" s="141" t="s">
        <v>1596</v>
      </c>
      <c r="I668" s="54">
        <f t="shared" si="24"/>
        <v>29</v>
      </c>
      <c r="J668" s="56"/>
      <c r="K668" s="75"/>
      <c r="L668" s="76"/>
      <c r="M668" s="59"/>
      <c r="N668" s="79">
        <v>1873.0</v>
      </c>
      <c r="O668" s="61">
        <v>2022.0</v>
      </c>
      <c r="P668" s="62">
        <v>1200.0</v>
      </c>
      <c r="Q668" s="63">
        <v>1200.0</v>
      </c>
      <c r="R668" s="64">
        <v>1260.0</v>
      </c>
      <c r="S668" s="111">
        <v>1323.0</v>
      </c>
      <c r="T668" s="65">
        <f t="shared" si="2"/>
        <v>211.68</v>
      </c>
      <c r="U668" s="65">
        <f t="shared" si="3"/>
        <v>1534.68</v>
      </c>
      <c r="V668" s="66">
        <f t="shared" si="4"/>
        <v>0.05</v>
      </c>
      <c r="W668" s="67">
        <f t="shared" si="5"/>
        <v>1256.85</v>
      </c>
      <c r="X668" s="67">
        <f t="shared" si="6"/>
        <v>201.096</v>
      </c>
      <c r="Y668" s="67">
        <f t="shared" si="7"/>
        <v>1457.946</v>
      </c>
      <c r="Z668" s="67">
        <f t="shared" si="8"/>
        <v>1190.7</v>
      </c>
      <c r="AA668" s="67">
        <f t="shared" si="9"/>
        <v>190.512</v>
      </c>
      <c r="AB668" s="67">
        <f t="shared" si="10"/>
        <v>1381.212</v>
      </c>
      <c r="AC668" s="67">
        <f t="shared" si="11"/>
        <v>1124.55</v>
      </c>
      <c r="AD668" s="67">
        <f t="shared" si="12"/>
        <v>179.928</v>
      </c>
      <c r="AE668" s="67">
        <f t="shared" si="13"/>
        <v>1304.478</v>
      </c>
      <c r="AF668" s="67">
        <f t="shared" si="14"/>
        <v>1098.09</v>
      </c>
      <c r="AG668" s="67">
        <f t="shared" si="15"/>
        <v>175.6944</v>
      </c>
      <c r="AH668" s="67">
        <f t="shared" si="16"/>
        <v>1273.7844</v>
      </c>
      <c r="AI668" s="67">
        <f t="shared" si="17"/>
        <v>1058.4</v>
      </c>
      <c r="AJ668" s="68">
        <f t="shared" si="31"/>
        <v>169.344</v>
      </c>
      <c r="AK668" s="68">
        <f t="shared" si="32"/>
        <v>1227.744</v>
      </c>
      <c r="AL668" s="136">
        <f>IFERROR(__xludf.DUMMYFUNCTION("""COMPUTED_VALUE"""),1.0)</f>
        <v>1</v>
      </c>
      <c r="AM668" s="136"/>
      <c r="AN668" s="137" t="str">
        <f>IFERROR(__xludf.DUMMYFUNCTION("""COMPUTED_VALUE""")," C")</f>
        <v>C</v>
      </c>
      <c r="AO668" s="137" t="str">
        <f>IFERROR(__xludf.DUMMYFUNCTION("""COMPUTED_VALUE""")," JG168")</f>
        <v>JG168</v>
      </c>
      <c r="AP668" s="137" t="str">
        <f>IFERROR(__xludf.DUMMYFUNCTION("""COMPUTED_VALUE""")," JGO")</f>
        <v>JGO</v>
      </c>
      <c r="AQ668" s="137" t="str">
        <f>IFERROR(__xludf.DUMMYFUNCTION("""COMPUTED_VALUE""")," REF")</f>
        <v>REF</v>
      </c>
      <c r="AR668" s="137" t="str">
        <f>IFERROR(__xludf.DUMMYFUNCTION("""COMPUTED_VALUE""")," JUEGO DE 4 BIRLOS PARA CARRO SUPERIOR SENCILLO")</f>
        <v>JUEGO DE 4 BIRLOS PARA CARRO SUPERIOR SENCILLO</v>
      </c>
      <c r="AS668" s="137" t="str">
        <f>IFERROR(__xludf.DUMMYFUNCTION("""COMPUTED_VALUE""")," JUEGO 4 BIRLOS PARA CARRO SUPERIOR SENC")</f>
        <v>JUEGO 4 BIRLOS PARA CARRO SUPERIOR SENC</v>
      </c>
      <c r="AT668" s="137">
        <f>IFERROR(__xludf.DUMMYFUNCTION("""COMPUTED_VALUE"""),39.0)</f>
        <v>39</v>
      </c>
      <c r="AU668" s="137"/>
      <c r="AV668" s="137"/>
      <c r="AW668" s="137"/>
      <c r="AX668" s="137"/>
      <c r="AY668" s="137">
        <f>IFERROR(__xludf.DUMMYFUNCTION("""COMPUTED_VALUE"""),142.0)</f>
        <v>142</v>
      </c>
      <c r="AZ668" s="137">
        <f>IFERROR(__xludf.DUMMYFUNCTION("""COMPUTED_VALUE"""),153.0)</f>
        <v>153</v>
      </c>
      <c r="BA668" s="137">
        <f>IFERROR(__xludf.DUMMYFUNCTION("""COMPUTED_VALUE"""),165.24)</f>
        <v>165.24</v>
      </c>
      <c r="BB668" s="137">
        <f>IFERROR(__xludf.DUMMYFUNCTION("""COMPUTED_VALUE"""),165.24)</f>
        <v>165.24</v>
      </c>
      <c r="BC668" s="137">
        <f>IFERROR(__xludf.DUMMYFUNCTION("""COMPUTED_VALUE"""),183.0)</f>
        <v>183</v>
      </c>
      <c r="BD668" s="137">
        <f>IFERROR(__xludf.DUMMYFUNCTION("""COMPUTED_VALUE"""),192.0)</f>
        <v>192</v>
      </c>
      <c r="BE668" s="137">
        <f>IFERROR(__xludf.DUMMYFUNCTION("""COMPUTED_VALUE"""),30.72)</f>
        <v>30.72</v>
      </c>
      <c r="BF668" s="137">
        <f>IFERROR(__xludf.DUMMYFUNCTION("""COMPUTED_VALUE"""),222.72)</f>
        <v>222.72</v>
      </c>
      <c r="BG668" s="137">
        <f>IFERROR(__xludf.DUMMYFUNCTION("""COMPUTED_VALUE"""),0.04918032786885246)</f>
        <v>0.04918032787</v>
      </c>
      <c r="BH668" s="137">
        <f>IFERROR(__xludf.DUMMYFUNCTION("""COMPUTED_VALUE"""),182.39999999999998)</f>
        <v>182.4</v>
      </c>
      <c r="BI668" s="137">
        <f>IFERROR(__xludf.DUMMYFUNCTION("""COMPUTED_VALUE"""),29.183999999999997)</f>
        <v>29.184</v>
      </c>
      <c r="BJ668" s="137">
        <f>IFERROR(__xludf.DUMMYFUNCTION("""COMPUTED_VALUE"""),211.58399999999997)</f>
        <v>211.584</v>
      </c>
      <c r="BK668" s="137">
        <f>IFERROR(__xludf.DUMMYFUNCTION("""COMPUTED_VALUE"""),172.8)</f>
        <v>172.8</v>
      </c>
      <c r="BL668" s="137">
        <f>IFERROR(__xludf.DUMMYFUNCTION("""COMPUTED_VALUE"""),27.648000000000003)</f>
        <v>27.648</v>
      </c>
      <c r="BM668" s="137">
        <f>IFERROR(__xludf.DUMMYFUNCTION("""COMPUTED_VALUE"""),200.448)</f>
        <v>200.448</v>
      </c>
      <c r="BN668" s="137">
        <f>IFERROR(__xludf.DUMMYFUNCTION("""COMPUTED_VALUE"""),163.2)</f>
        <v>163.2</v>
      </c>
      <c r="BO668" s="137">
        <f>IFERROR(__xludf.DUMMYFUNCTION("""COMPUTED_VALUE"""),26.112)</f>
        <v>26.112</v>
      </c>
      <c r="BP668" s="137">
        <f>IFERROR(__xludf.DUMMYFUNCTION("""COMPUTED_VALUE"""),189.31199999999998)</f>
        <v>189.312</v>
      </c>
      <c r="BQ668" s="137">
        <f>IFERROR(__xludf.DUMMYFUNCTION("""COMPUTED_VALUE"""),159.35999999999999)</f>
        <v>159.36</v>
      </c>
      <c r="BR668" s="137">
        <f>IFERROR(__xludf.DUMMYFUNCTION("""COMPUTED_VALUE"""),25.4976)</f>
        <v>25.4976</v>
      </c>
      <c r="BS668" s="137">
        <f>IFERROR(__xludf.DUMMYFUNCTION("""COMPUTED_VALUE"""),184.8576)</f>
        <v>184.8576</v>
      </c>
      <c r="BT668" s="137">
        <f>IFERROR(__xludf.DUMMYFUNCTION("""COMPUTED_VALUE"""),153.60000000000002)</f>
        <v>153.6</v>
      </c>
      <c r="BU668" s="137">
        <f>IFERROR(__xludf.DUMMYFUNCTION("""COMPUTED_VALUE"""),24.576000000000004)</f>
        <v>24.576</v>
      </c>
      <c r="BV668" s="137">
        <f>IFERROR(__xludf.DUMMYFUNCTION("""COMPUTED_VALUE"""),178.17600000000002)</f>
        <v>178.176</v>
      </c>
    </row>
    <row r="669">
      <c r="A669" s="53">
        <v>1.0</v>
      </c>
      <c r="B669" s="72"/>
      <c r="C669" s="120" t="s">
        <v>603</v>
      </c>
      <c r="D669" s="74" t="s">
        <v>1597</v>
      </c>
      <c r="E669" s="54" t="s">
        <v>38</v>
      </c>
      <c r="F669" s="54" t="s">
        <v>42</v>
      </c>
      <c r="G669" s="54" t="s">
        <v>1598</v>
      </c>
      <c r="H669" s="54" t="s">
        <v>1598</v>
      </c>
      <c r="I669" s="54">
        <f t="shared" si="24"/>
        <v>33</v>
      </c>
      <c r="J669" s="56"/>
      <c r="K669" s="75"/>
      <c r="L669" s="76"/>
      <c r="M669" s="59"/>
      <c r="N669" s="60">
        <v>254.0</v>
      </c>
      <c r="O669" s="61">
        <v>274.0</v>
      </c>
      <c r="P669" s="62">
        <v>295.92</v>
      </c>
      <c r="Q669" s="63">
        <v>295.92</v>
      </c>
      <c r="R669" s="64">
        <v>340.0</v>
      </c>
      <c r="S669" s="111">
        <v>357.0</v>
      </c>
      <c r="T669" s="65">
        <f t="shared" si="2"/>
        <v>57.12</v>
      </c>
      <c r="U669" s="65">
        <f t="shared" si="3"/>
        <v>414.12</v>
      </c>
      <c r="V669" s="66">
        <f t="shared" si="4"/>
        <v>0.05</v>
      </c>
      <c r="W669" s="67">
        <f t="shared" si="5"/>
        <v>339.15</v>
      </c>
      <c r="X669" s="67">
        <f t="shared" si="6"/>
        <v>54.264</v>
      </c>
      <c r="Y669" s="67">
        <f t="shared" si="7"/>
        <v>393.414</v>
      </c>
      <c r="Z669" s="67">
        <f t="shared" si="8"/>
        <v>321.3</v>
      </c>
      <c r="AA669" s="67">
        <f t="shared" si="9"/>
        <v>51.408</v>
      </c>
      <c r="AB669" s="67">
        <f t="shared" si="10"/>
        <v>372.708</v>
      </c>
      <c r="AC669" s="67">
        <f t="shared" si="11"/>
        <v>303.45</v>
      </c>
      <c r="AD669" s="67">
        <f t="shared" si="12"/>
        <v>48.552</v>
      </c>
      <c r="AE669" s="67">
        <f t="shared" si="13"/>
        <v>352.002</v>
      </c>
      <c r="AF669" s="67">
        <f t="shared" si="14"/>
        <v>296.31</v>
      </c>
      <c r="AG669" s="67">
        <f t="shared" si="15"/>
        <v>47.4096</v>
      </c>
      <c r="AH669" s="67">
        <f t="shared" si="16"/>
        <v>343.7196</v>
      </c>
      <c r="AI669" s="67">
        <f t="shared" si="17"/>
        <v>285.6</v>
      </c>
      <c r="AJ669" s="68">
        <f t="shared" si="31"/>
        <v>45.696</v>
      </c>
      <c r="AK669" s="68">
        <f t="shared" si="32"/>
        <v>331.296</v>
      </c>
      <c r="AL669" s="70">
        <f>IFERROR(__xludf.DUMMYFUNCTION("""COMPUTED_VALUE"""),1.0)</f>
        <v>1</v>
      </c>
      <c r="AM669" s="70"/>
      <c r="AN669" s="71" t="str">
        <f>IFERROR(__xludf.DUMMYFUNCTION("""COMPUTED_VALUE""")," P")</f>
        <v>P</v>
      </c>
      <c r="AO669" s="71" t="str">
        <f>IFERROR(__xludf.DUMMYFUNCTION("""COMPUTED_VALUE""")," JG166")</f>
        <v>JG166</v>
      </c>
      <c r="AP669" s="71" t="str">
        <f>IFERROR(__xludf.DUMMYFUNCTION("""COMPUTED_VALUE""")," JGO")</f>
        <v>JGO</v>
      </c>
      <c r="AQ669" s="71" t="str">
        <f>IFERROR(__xludf.DUMMYFUNCTION("""COMPUTED_VALUE""")," REF")</f>
        <v>REF</v>
      </c>
      <c r="AR669" s="71" t="str">
        <f>IFERROR(__xludf.DUMMYFUNCTION("""COMPUTED_VALUE""")," JUEGO DE 6 BAYONETAS CHICAS DÚPLEX (B.C.)")</f>
        <v>JUEGO DE 6 BAYONETAS CHICAS DÚPLEX (B.C.)</v>
      </c>
      <c r="AS669" s="71" t="str">
        <f>IFERROR(__xludf.DUMMYFUNCTION("""COMPUTED_VALUE""")," JUEGO 6 BAYONETAS CHICAS DPLX BC")</f>
        <v>JUEGO 6 BAYONETAS CHICAS DPLX BC</v>
      </c>
      <c r="AT669" s="71">
        <f>IFERROR(__xludf.DUMMYFUNCTION("""COMPUTED_VALUE"""),32.0)</f>
        <v>32</v>
      </c>
      <c r="AU669" s="71"/>
      <c r="AV669" s="71"/>
      <c r="AW669" s="71"/>
      <c r="AX669" s="71"/>
      <c r="AY669" s="71">
        <f>IFERROR(__xludf.DUMMYFUNCTION("""COMPUTED_VALUE"""),513.0)</f>
        <v>513</v>
      </c>
      <c r="AZ669" s="71">
        <f>IFERROR(__xludf.DUMMYFUNCTION("""COMPUTED_VALUE"""),696.0)</f>
        <v>696</v>
      </c>
      <c r="BA669" s="71">
        <f>IFERROR(__xludf.DUMMYFUNCTION("""COMPUTED_VALUE"""),751.6800000000001)</f>
        <v>751.68</v>
      </c>
      <c r="BB669" s="71">
        <f>IFERROR(__xludf.DUMMYFUNCTION("""COMPUTED_VALUE"""),751.6800000000001)</f>
        <v>751.68</v>
      </c>
      <c r="BC669" s="71">
        <f>IFERROR(__xludf.DUMMYFUNCTION("""COMPUTED_VALUE"""),830.0)</f>
        <v>830</v>
      </c>
      <c r="BD669" s="71">
        <f>IFERROR(__xludf.DUMMYFUNCTION("""COMPUTED_VALUE"""),872.0)</f>
        <v>872</v>
      </c>
      <c r="BE669" s="71">
        <f>IFERROR(__xludf.DUMMYFUNCTION("""COMPUTED_VALUE"""),139.52)</f>
        <v>139.52</v>
      </c>
      <c r="BF669" s="71">
        <f>IFERROR(__xludf.DUMMYFUNCTION("""COMPUTED_VALUE"""),1011.52)</f>
        <v>1011.52</v>
      </c>
      <c r="BG669" s="71">
        <f>IFERROR(__xludf.DUMMYFUNCTION("""COMPUTED_VALUE"""),0.05060240963855422)</f>
        <v>0.05060240964</v>
      </c>
      <c r="BH669" s="71">
        <f>IFERROR(__xludf.DUMMYFUNCTION("""COMPUTED_VALUE"""),828.4)</f>
        <v>828.4</v>
      </c>
      <c r="BI669" s="71">
        <f>IFERROR(__xludf.DUMMYFUNCTION("""COMPUTED_VALUE"""),132.544)</f>
        <v>132.544</v>
      </c>
      <c r="BJ669" s="71">
        <f>IFERROR(__xludf.DUMMYFUNCTION("""COMPUTED_VALUE"""),960.944)</f>
        <v>960.944</v>
      </c>
      <c r="BK669" s="71">
        <f>IFERROR(__xludf.DUMMYFUNCTION("""COMPUTED_VALUE"""),784.8000000000001)</f>
        <v>784.8</v>
      </c>
      <c r="BL669" s="71">
        <f>IFERROR(__xludf.DUMMYFUNCTION("""COMPUTED_VALUE"""),125.56800000000001)</f>
        <v>125.568</v>
      </c>
      <c r="BM669" s="71">
        <f>IFERROR(__xludf.DUMMYFUNCTION("""COMPUTED_VALUE"""),910.368)</f>
        <v>910.368</v>
      </c>
      <c r="BN669" s="71">
        <f>IFERROR(__xludf.DUMMYFUNCTION("""COMPUTED_VALUE"""),741.1999999999999)</f>
        <v>741.2</v>
      </c>
      <c r="BO669" s="71">
        <f>IFERROR(__xludf.DUMMYFUNCTION("""COMPUTED_VALUE"""),118.59199999999998)</f>
        <v>118.592</v>
      </c>
      <c r="BP669" s="71">
        <f>IFERROR(__xludf.DUMMYFUNCTION("""COMPUTED_VALUE"""),859.7919999999999)</f>
        <v>859.792</v>
      </c>
      <c r="BQ669" s="71">
        <f>IFERROR(__xludf.DUMMYFUNCTION("""COMPUTED_VALUE"""),723.76)</f>
        <v>723.76</v>
      </c>
      <c r="BR669" s="71">
        <f>IFERROR(__xludf.DUMMYFUNCTION("""COMPUTED_VALUE"""),115.80160000000001)</f>
        <v>115.8016</v>
      </c>
      <c r="BS669" s="71">
        <f>IFERROR(__xludf.DUMMYFUNCTION("""COMPUTED_VALUE"""),839.5616)</f>
        <v>839.5616</v>
      </c>
      <c r="BT669" s="71">
        <f>IFERROR(__xludf.DUMMYFUNCTION("""COMPUTED_VALUE"""),697.6)</f>
        <v>697.6</v>
      </c>
      <c r="BU669" s="71">
        <f>IFERROR(__xludf.DUMMYFUNCTION("""COMPUTED_VALUE"""),111.616)</f>
        <v>111.616</v>
      </c>
      <c r="BV669" s="71">
        <f>IFERROR(__xludf.DUMMYFUNCTION("""COMPUTED_VALUE"""),809.216)</f>
        <v>809.216</v>
      </c>
    </row>
    <row r="670">
      <c r="A670" s="53"/>
      <c r="B670" s="53"/>
      <c r="C670" s="53" t="s">
        <v>12</v>
      </c>
      <c r="D670" s="53" t="s">
        <v>1599</v>
      </c>
      <c r="E670" s="54" t="s">
        <v>38</v>
      </c>
      <c r="F670" s="54" t="s">
        <v>42</v>
      </c>
      <c r="G670" s="54" t="s">
        <v>1600</v>
      </c>
      <c r="H670" s="54" t="s">
        <v>1600</v>
      </c>
      <c r="I670" s="54">
        <f t="shared" si="24"/>
        <v>29</v>
      </c>
      <c r="J670" s="56"/>
      <c r="K670" s="75"/>
      <c r="L670" s="76"/>
      <c r="M670" s="59"/>
      <c r="N670" s="79">
        <v>279.0</v>
      </c>
      <c r="O670" s="61">
        <v>301.0</v>
      </c>
      <c r="P670" s="63">
        <v>325.08000000000004</v>
      </c>
      <c r="Q670" s="63">
        <v>325.08000000000004</v>
      </c>
      <c r="R670" s="64">
        <v>342.0</v>
      </c>
      <c r="S670" s="111">
        <v>359.0</v>
      </c>
      <c r="T670" s="65">
        <f t="shared" si="2"/>
        <v>57.44</v>
      </c>
      <c r="U670" s="65">
        <f t="shared" si="3"/>
        <v>416.44</v>
      </c>
      <c r="V670" s="66">
        <f t="shared" si="4"/>
        <v>0.04970760234</v>
      </c>
      <c r="W670" s="67">
        <f t="shared" si="5"/>
        <v>341.05</v>
      </c>
      <c r="X670" s="67">
        <f t="shared" si="6"/>
        <v>54.568</v>
      </c>
      <c r="Y670" s="67">
        <f t="shared" si="7"/>
        <v>395.618</v>
      </c>
      <c r="Z670" s="67">
        <f t="shared" si="8"/>
        <v>323.1</v>
      </c>
      <c r="AA670" s="67">
        <f t="shared" si="9"/>
        <v>51.696</v>
      </c>
      <c r="AB670" s="67">
        <f t="shared" si="10"/>
        <v>374.796</v>
      </c>
      <c r="AC670" s="67">
        <f t="shared" si="11"/>
        <v>305.15</v>
      </c>
      <c r="AD670" s="67">
        <f t="shared" si="12"/>
        <v>48.824</v>
      </c>
      <c r="AE670" s="67">
        <f t="shared" si="13"/>
        <v>353.974</v>
      </c>
      <c r="AF670" s="67">
        <f t="shared" si="14"/>
        <v>297.97</v>
      </c>
      <c r="AG670" s="67">
        <f t="shared" si="15"/>
        <v>47.6752</v>
      </c>
      <c r="AH670" s="67">
        <f t="shared" si="16"/>
        <v>345.6452</v>
      </c>
      <c r="AI670" s="67">
        <f t="shared" si="17"/>
        <v>287.2</v>
      </c>
      <c r="AJ670" s="68">
        <f t="shared" si="31"/>
        <v>45.952</v>
      </c>
      <c r="AK670" s="68">
        <f t="shared" si="32"/>
        <v>333.152</v>
      </c>
      <c r="AL670" s="136">
        <f>IFERROR(__xludf.DUMMYFUNCTION("""COMPUTED_VALUE"""),1.0)</f>
        <v>1</v>
      </c>
      <c r="AM670" s="136"/>
      <c r="AN670" s="137" t="str">
        <f>IFERROR(__xludf.DUMMYFUNCTION("""COMPUTED_VALUE""")," P")</f>
        <v>P</v>
      </c>
      <c r="AO670" s="137" t="str">
        <f>IFERROR(__xludf.DUMMYFUNCTION("""COMPUTED_VALUE""")," JG93")</f>
        <v>JG93</v>
      </c>
      <c r="AP670" s="137" t="str">
        <f>IFERROR(__xludf.DUMMYFUNCTION("""COMPUTED_VALUE""")," JGO")</f>
        <v>JGO</v>
      </c>
      <c r="AQ670" s="137" t="str">
        <f>IFERROR(__xludf.DUMMYFUNCTION("""COMPUTED_VALUE""")," REF")</f>
        <v>REF</v>
      </c>
      <c r="AR670" s="137" t="str">
        <f>IFERROR(__xludf.DUMMYFUNCTION("""COMPUTED_VALUE""")," JUEGO DE 6 BAYONETAS CHICAS DÚPLEX (B.C.) EN ACERO INOX. T-304 GRADO ALIMENTICIO")</f>
        <v>JUEGO DE 6 BAYONETAS CHICAS DÚPLEX (B.C.) EN ACERO INOX. T-304 GRADO ALIMENTICIO</v>
      </c>
      <c r="AS670" s="137" t="str">
        <f>IFERROR(__xludf.DUMMYFUNCTION("""COMPUTED_VALUE""")," JUEGO 6 BAYONETAS CHICAS DPLX BC INOX GA")</f>
        <v>JUEGO 6 BAYONETAS CHICAS DPLX BC INOX GA</v>
      </c>
      <c r="AT670" s="137">
        <f>IFERROR(__xludf.DUMMYFUNCTION("""COMPUTED_VALUE"""),40.0)</f>
        <v>40</v>
      </c>
      <c r="AU670" s="137"/>
      <c r="AV670" s="137"/>
      <c r="AW670" s="137"/>
      <c r="AX670" s="137"/>
      <c r="AY670" s="137">
        <f>IFERROR(__xludf.DUMMYFUNCTION("""COMPUTED_VALUE"""),1202.0)</f>
        <v>1202</v>
      </c>
      <c r="AZ670" s="137">
        <f>IFERROR(__xludf.DUMMYFUNCTION("""COMPUTED_VALUE"""),1298.0)</f>
        <v>1298</v>
      </c>
      <c r="BA670" s="137">
        <f>IFERROR(__xludf.DUMMYFUNCTION("""COMPUTED_VALUE"""),2255.04)</f>
        <v>2255.04</v>
      </c>
      <c r="BB670" s="137">
        <f>IFERROR(__xludf.DUMMYFUNCTION("""COMPUTED_VALUE"""),2255.04)</f>
        <v>2255.04</v>
      </c>
      <c r="BC670" s="137">
        <f>IFERROR(__xludf.DUMMYFUNCTION("""COMPUTED_VALUE"""),2369.0)</f>
        <v>2369</v>
      </c>
      <c r="BD670" s="137">
        <f>IFERROR(__xludf.DUMMYFUNCTION("""COMPUTED_VALUE"""),2487.0)</f>
        <v>2487</v>
      </c>
      <c r="BE670" s="137">
        <f>IFERROR(__xludf.DUMMYFUNCTION("""COMPUTED_VALUE"""),397.92)</f>
        <v>397.92</v>
      </c>
      <c r="BF670" s="137">
        <f>IFERROR(__xludf.DUMMYFUNCTION("""COMPUTED_VALUE"""),2884.92)</f>
        <v>2884.92</v>
      </c>
      <c r="BG670" s="137">
        <f>IFERROR(__xludf.DUMMYFUNCTION("""COMPUTED_VALUE"""),0.049810046433094134)</f>
        <v>0.04981004643</v>
      </c>
      <c r="BH670" s="137">
        <f>IFERROR(__xludf.DUMMYFUNCTION("""COMPUTED_VALUE"""),2362.65)</f>
        <v>2362.65</v>
      </c>
      <c r="BI670" s="137">
        <f>IFERROR(__xludf.DUMMYFUNCTION("""COMPUTED_VALUE"""),378.024)</f>
        <v>378.024</v>
      </c>
      <c r="BJ670" s="137">
        <f>IFERROR(__xludf.DUMMYFUNCTION("""COMPUTED_VALUE"""),2740.674)</f>
        <v>2740.674</v>
      </c>
      <c r="BK670" s="137">
        <f>IFERROR(__xludf.DUMMYFUNCTION("""COMPUTED_VALUE"""),2238.3)</f>
        <v>2238.3</v>
      </c>
      <c r="BL670" s="137">
        <f>IFERROR(__xludf.DUMMYFUNCTION("""COMPUTED_VALUE"""),358.12800000000004)</f>
        <v>358.128</v>
      </c>
      <c r="BM670" s="137">
        <f>IFERROR(__xludf.DUMMYFUNCTION("""COMPUTED_VALUE"""),2596.4280000000003)</f>
        <v>2596.428</v>
      </c>
      <c r="BN670" s="137">
        <f>IFERROR(__xludf.DUMMYFUNCTION("""COMPUTED_VALUE"""),2113.95)</f>
        <v>2113.95</v>
      </c>
      <c r="BO670" s="137">
        <f>IFERROR(__xludf.DUMMYFUNCTION("""COMPUTED_VALUE"""),338.23199999999997)</f>
        <v>338.232</v>
      </c>
      <c r="BP670" s="137">
        <f>IFERROR(__xludf.DUMMYFUNCTION("""COMPUTED_VALUE"""),2452.182)</f>
        <v>2452.182</v>
      </c>
      <c r="BQ670" s="137">
        <f>IFERROR(__xludf.DUMMYFUNCTION("""COMPUTED_VALUE"""),2064.21)</f>
        <v>2064.21</v>
      </c>
      <c r="BR670" s="137">
        <f>IFERROR(__xludf.DUMMYFUNCTION("""COMPUTED_VALUE"""),330.2736)</f>
        <v>330.2736</v>
      </c>
      <c r="BS670" s="137">
        <f>IFERROR(__xludf.DUMMYFUNCTION("""COMPUTED_VALUE"""),2394.4836)</f>
        <v>2394.4836</v>
      </c>
      <c r="BT670" s="137">
        <f>IFERROR(__xludf.DUMMYFUNCTION("""COMPUTED_VALUE"""),1989.6000000000001)</f>
        <v>1989.6</v>
      </c>
      <c r="BU670" s="137">
        <f>IFERROR(__xludf.DUMMYFUNCTION("""COMPUTED_VALUE"""),318.336)</f>
        <v>318.336</v>
      </c>
      <c r="BV670" s="137">
        <f>IFERROR(__xludf.DUMMYFUNCTION("""COMPUTED_VALUE"""),2307.936)</f>
        <v>2307.936</v>
      </c>
    </row>
    <row r="671">
      <c r="A671" s="53"/>
      <c r="B671" s="53"/>
      <c r="C671" s="53" t="s">
        <v>53</v>
      </c>
      <c r="D671" s="53" t="s">
        <v>1601</v>
      </c>
      <c r="E671" s="54" t="s">
        <v>38</v>
      </c>
      <c r="F671" s="55" t="s">
        <v>39</v>
      </c>
      <c r="G671" s="55" t="s">
        <v>1602</v>
      </c>
      <c r="H671" s="55" t="s">
        <v>1602</v>
      </c>
      <c r="I671" s="54">
        <f t="shared" si="24"/>
        <v>25</v>
      </c>
      <c r="J671" s="56"/>
      <c r="K671" s="57"/>
      <c r="L671" s="76"/>
      <c r="M671" s="59"/>
      <c r="N671" s="60"/>
      <c r="O671" s="61">
        <v>435.84</v>
      </c>
      <c r="P671" s="62">
        <v>470.7072</v>
      </c>
      <c r="Q671" s="63">
        <v>470.7072</v>
      </c>
      <c r="R671" s="64">
        <v>495.0</v>
      </c>
      <c r="S671" s="111">
        <v>520.0</v>
      </c>
      <c r="T671" s="65">
        <f t="shared" si="2"/>
        <v>83.2</v>
      </c>
      <c r="U671" s="65">
        <f t="shared" si="3"/>
        <v>603.2</v>
      </c>
      <c r="V671" s="66">
        <f t="shared" si="4"/>
        <v>0.05050505051</v>
      </c>
      <c r="W671" s="67">
        <f t="shared" si="5"/>
        <v>494</v>
      </c>
      <c r="X671" s="67">
        <f t="shared" si="6"/>
        <v>79.04</v>
      </c>
      <c r="Y671" s="67">
        <f t="shared" si="7"/>
        <v>573.04</v>
      </c>
      <c r="Z671" s="67">
        <f t="shared" si="8"/>
        <v>468</v>
      </c>
      <c r="AA671" s="67">
        <f t="shared" si="9"/>
        <v>74.88</v>
      </c>
      <c r="AB671" s="67">
        <f t="shared" si="10"/>
        <v>542.88</v>
      </c>
      <c r="AC671" s="67">
        <f t="shared" si="11"/>
        <v>442</v>
      </c>
      <c r="AD671" s="67">
        <f t="shared" si="12"/>
        <v>70.72</v>
      </c>
      <c r="AE671" s="67">
        <f t="shared" si="13"/>
        <v>512.72</v>
      </c>
      <c r="AF671" s="67">
        <f t="shared" si="14"/>
        <v>431.6</v>
      </c>
      <c r="AG671" s="67">
        <f t="shared" si="15"/>
        <v>69.056</v>
      </c>
      <c r="AH671" s="67">
        <f t="shared" si="16"/>
        <v>500.656</v>
      </c>
      <c r="AI671" s="67">
        <f t="shared" si="17"/>
        <v>416</v>
      </c>
      <c r="AJ671" s="68">
        <f t="shared" si="31"/>
        <v>66.56</v>
      </c>
      <c r="AK671" s="68">
        <f t="shared" si="32"/>
        <v>482.56</v>
      </c>
      <c r="AL671" s="70">
        <f>IFERROR(__xludf.DUMMYFUNCTION("""COMPUTED_VALUE"""),1.0)</f>
        <v>1</v>
      </c>
      <c r="AM671" s="70"/>
      <c r="AN671" s="71" t="str">
        <f>IFERROR(__xludf.DUMMYFUNCTION("""COMPUTED_VALUE""")," P")</f>
        <v>P</v>
      </c>
      <c r="AO671" s="71" t="str">
        <f>IFERROR(__xludf.DUMMYFUNCTION("""COMPUTED_VALUE""")," JG06")</f>
        <v>JG06</v>
      </c>
      <c r="AP671" s="71" t="str">
        <f>IFERROR(__xludf.DUMMYFUNCTION("""COMPUTED_VALUE""")," JGO")</f>
        <v>JGO</v>
      </c>
      <c r="AQ671" s="71" t="str">
        <f>IFERROR(__xludf.DUMMYFUNCTION("""COMPUTED_VALUE""")," REF")</f>
        <v>REF</v>
      </c>
      <c r="AR671" s="71" t="str">
        <f>IFERROR(__xludf.DUMMYFUNCTION("""COMPUTED_VALUE""")," JUEGO DE ABRAZADERAS PARA RIELES MODELO ANTERIOR")</f>
        <v>JUEGO DE ABRAZADERAS PARA RIELES MODELO ANTERIOR</v>
      </c>
      <c r="AS671" s="71" t="str">
        <f>IFERROR(__xludf.DUMMYFUNCTION("""COMPUTED_VALUE""")," JUEGO ABRAZADERAS PARA RIELES MA")</f>
        <v>JUEGO ABRAZADERAS PARA RIELES MA</v>
      </c>
      <c r="AT671" s="71">
        <f>IFERROR(__xludf.DUMMYFUNCTION("""COMPUTED_VALUE"""),32.0)</f>
        <v>32</v>
      </c>
      <c r="AU671" s="71"/>
      <c r="AV671" s="71"/>
      <c r="AW671" s="71"/>
      <c r="AX671" s="71"/>
      <c r="AY671" s="71">
        <f>IFERROR(__xludf.DUMMYFUNCTION("""COMPUTED_VALUE"""),257.0)</f>
        <v>257</v>
      </c>
      <c r="AZ671" s="71">
        <f>IFERROR(__xludf.DUMMYFUNCTION("""COMPUTED_VALUE"""),277.0)</f>
        <v>277</v>
      </c>
      <c r="BA671" s="71">
        <f>IFERROR(__xludf.DUMMYFUNCTION("""COMPUTED_VALUE"""),299.16)</f>
        <v>299.16</v>
      </c>
      <c r="BB671" s="71">
        <f>IFERROR(__xludf.DUMMYFUNCTION("""COMPUTED_VALUE"""),299.16)</f>
        <v>299.16</v>
      </c>
      <c r="BC671" s="71">
        <f>IFERROR(__xludf.DUMMYFUNCTION("""COMPUTED_VALUE"""),334.0)</f>
        <v>334</v>
      </c>
      <c r="BD671" s="71">
        <f>IFERROR(__xludf.DUMMYFUNCTION("""COMPUTED_VALUE"""),351.0)</f>
        <v>351</v>
      </c>
      <c r="BE671" s="71">
        <f>IFERROR(__xludf.DUMMYFUNCTION("""COMPUTED_VALUE"""),56.160000000000004)</f>
        <v>56.16</v>
      </c>
      <c r="BF671" s="71">
        <f>IFERROR(__xludf.DUMMYFUNCTION("""COMPUTED_VALUE"""),407.16)</f>
        <v>407.16</v>
      </c>
      <c r="BG671" s="71">
        <f>IFERROR(__xludf.DUMMYFUNCTION("""COMPUTED_VALUE"""),0.05089820359281437)</f>
        <v>0.05089820359</v>
      </c>
      <c r="BH671" s="71">
        <f>IFERROR(__xludf.DUMMYFUNCTION("""COMPUTED_VALUE"""),333.45)</f>
        <v>333.45</v>
      </c>
      <c r="BI671" s="71">
        <f>IFERROR(__xludf.DUMMYFUNCTION("""COMPUTED_VALUE"""),53.352)</f>
        <v>53.352</v>
      </c>
      <c r="BJ671" s="71">
        <f>IFERROR(__xludf.DUMMYFUNCTION("""COMPUTED_VALUE"""),386.80199999999996)</f>
        <v>386.802</v>
      </c>
      <c r="BK671" s="71">
        <f>IFERROR(__xludf.DUMMYFUNCTION("""COMPUTED_VALUE"""),315.90000000000003)</f>
        <v>315.9</v>
      </c>
      <c r="BL671" s="71">
        <f>IFERROR(__xludf.DUMMYFUNCTION("""COMPUTED_VALUE"""),50.544000000000004)</f>
        <v>50.544</v>
      </c>
      <c r="BM671" s="71">
        <f>IFERROR(__xludf.DUMMYFUNCTION("""COMPUTED_VALUE"""),366.444)</f>
        <v>366.444</v>
      </c>
      <c r="BN671" s="71">
        <f>IFERROR(__xludf.DUMMYFUNCTION("""COMPUTED_VALUE"""),298.34999999999997)</f>
        <v>298.35</v>
      </c>
      <c r="BO671" s="71">
        <f>IFERROR(__xludf.DUMMYFUNCTION("""COMPUTED_VALUE"""),47.736)</f>
        <v>47.736</v>
      </c>
      <c r="BP671" s="71">
        <f>IFERROR(__xludf.DUMMYFUNCTION("""COMPUTED_VALUE"""),346.08599999999996)</f>
        <v>346.086</v>
      </c>
      <c r="BQ671" s="71">
        <f>IFERROR(__xludf.DUMMYFUNCTION("""COMPUTED_VALUE"""),291.33)</f>
        <v>291.33</v>
      </c>
      <c r="BR671" s="71">
        <f>IFERROR(__xludf.DUMMYFUNCTION("""COMPUTED_VALUE"""),46.6128)</f>
        <v>46.6128</v>
      </c>
      <c r="BS671" s="71">
        <f>IFERROR(__xludf.DUMMYFUNCTION("""COMPUTED_VALUE"""),337.9428)</f>
        <v>337.9428</v>
      </c>
      <c r="BT671" s="71">
        <f>IFERROR(__xludf.DUMMYFUNCTION("""COMPUTED_VALUE"""),280.8)</f>
        <v>280.8</v>
      </c>
      <c r="BU671" s="71">
        <f>IFERROR(__xludf.DUMMYFUNCTION("""COMPUTED_VALUE"""),44.928000000000004)</f>
        <v>44.928</v>
      </c>
      <c r="BV671" s="71">
        <f>IFERROR(__xludf.DUMMYFUNCTION("""COMPUTED_VALUE"""),325.728)</f>
        <v>325.728</v>
      </c>
    </row>
    <row r="672">
      <c r="A672" s="53"/>
      <c r="B672" s="53"/>
      <c r="C672" s="53" t="s">
        <v>12</v>
      </c>
      <c r="D672" s="53" t="s">
        <v>1603</v>
      </c>
      <c r="E672" s="54" t="s">
        <v>38</v>
      </c>
      <c r="F672" s="54" t="s">
        <v>42</v>
      </c>
      <c r="G672" s="55" t="s">
        <v>1604</v>
      </c>
      <c r="H672" s="55" t="s">
        <v>1604</v>
      </c>
      <c r="I672" s="54">
        <f t="shared" si="24"/>
        <v>33</v>
      </c>
      <c r="J672" s="56"/>
      <c r="K672" s="75"/>
      <c r="L672" s="76"/>
      <c r="M672" s="59"/>
      <c r="N672" s="79"/>
      <c r="O672" s="61">
        <v>523.0</v>
      </c>
      <c r="P672" s="62">
        <v>564.84</v>
      </c>
      <c r="Q672" s="63">
        <v>564.84</v>
      </c>
      <c r="R672" s="64">
        <v>611.0</v>
      </c>
      <c r="S672" s="111">
        <v>642.0</v>
      </c>
      <c r="T672" s="65">
        <f t="shared" si="2"/>
        <v>102.72</v>
      </c>
      <c r="U672" s="65">
        <f t="shared" si="3"/>
        <v>744.72</v>
      </c>
      <c r="V672" s="66">
        <f t="shared" si="4"/>
        <v>0.05073649755</v>
      </c>
      <c r="W672" s="67">
        <f t="shared" si="5"/>
        <v>609.9</v>
      </c>
      <c r="X672" s="67">
        <f t="shared" si="6"/>
        <v>97.584</v>
      </c>
      <c r="Y672" s="67">
        <f t="shared" si="7"/>
        <v>707.484</v>
      </c>
      <c r="Z672" s="67">
        <f t="shared" si="8"/>
        <v>577.8</v>
      </c>
      <c r="AA672" s="67">
        <f t="shared" si="9"/>
        <v>92.448</v>
      </c>
      <c r="AB672" s="67">
        <f t="shared" si="10"/>
        <v>670.248</v>
      </c>
      <c r="AC672" s="67">
        <f t="shared" si="11"/>
        <v>545.7</v>
      </c>
      <c r="AD672" s="67">
        <f t="shared" si="12"/>
        <v>87.312</v>
      </c>
      <c r="AE672" s="67">
        <f t="shared" si="13"/>
        <v>633.012</v>
      </c>
      <c r="AF672" s="67">
        <f t="shared" si="14"/>
        <v>532.86</v>
      </c>
      <c r="AG672" s="67">
        <f t="shared" si="15"/>
        <v>85.2576</v>
      </c>
      <c r="AH672" s="67">
        <f t="shared" si="16"/>
        <v>618.1176</v>
      </c>
      <c r="AI672" s="67">
        <f t="shared" si="17"/>
        <v>513.6</v>
      </c>
      <c r="AJ672" s="68">
        <f t="shared" si="31"/>
        <v>82.176</v>
      </c>
      <c r="AK672" s="68">
        <f t="shared" si="32"/>
        <v>595.776</v>
      </c>
      <c r="AL672" s="70">
        <f>IFERROR(__xludf.DUMMYFUNCTION("""COMPUTED_VALUE"""),1.0)</f>
        <v>1</v>
      </c>
      <c r="AM672" s="70"/>
      <c r="AN672" s="71" t="str">
        <f>IFERROR(__xludf.DUMMYFUNCTION("""COMPUTED_VALUE""")," P")</f>
        <v>P</v>
      </c>
      <c r="AO672" s="71" t="str">
        <f>IFERROR(__xludf.DUMMYFUNCTION("""COMPUTED_VALUE""")," JG07")</f>
        <v>JG07</v>
      </c>
      <c r="AP672" s="71" t="str">
        <f>IFERROR(__xludf.DUMMYFUNCTION("""COMPUTED_VALUE""")," JGO")</f>
        <v>JGO</v>
      </c>
      <c r="AQ672" s="71" t="str">
        <f>IFERROR(__xludf.DUMMYFUNCTION("""COMPUTED_VALUE""")," REF")</f>
        <v>REF</v>
      </c>
      <c r="AR672" s="71" t="str">
        <f>IFERROR(__xludf.DUMMYFUNCTION("""COMPUTED_VALUE""")," JUEGO DE ALUMINIO DÚPLEX")</f>
        <v>JUEGO DE ALUMINIO DÚPLEX</v>
      </c>
      <c r="AS672" s="71" t="str">
        <f>IFERROR(__xludf.DUMMYFUNCTION("""COMPUTED_VALUE""")," JUEGO ALUMINIO DPLX")</f>
        <v>JUEGO ALUMINIO DPLX</v>
      </c>
      <c r="AT672" s="71">
        <f>IFERROR(__xludf.DUMMYFUNCTION("""COMPUTED_VALUE"""),19.0)</f>
        <v>19</v>
      </c>
      <c r="AU672" s="71"/>
      <c r="AV672" s="71"/>
      <c r="AW672" s="71"/>
      <c r="AX672" s="71"/>
      <c r="AY672" s="71">
        <f>IFERROR(__xludf.DUMMYFUNCTION("""COMPUTED_VALUE"""),27660.0)</f>
        <v>27660</v>
      </c>
      <c r="AZ672" s="71">
        <f>IFERROR(__xludf.DUMMYFUNCTION("""COMPUTED_VALUE"""),29872.0)</f>
        <v>29872</v>
      </c>
      <c r="BA672" s="71">
        <f>IFERROR(__xludf.DUMMYFUNCTION("""COMPUTED_VALUE"""),35487.93)</f>
        <v>35487.93</v>
      </c>
      <c r="BB672" s="71">
        <f>IFERROR(__xludf.DUMMYFUNCTION("""COMPUTED_VALUE"""),35487.93)</f>
        <v>35487.93</v>
      </c>
      <c r="BC672" s="71">
        <f>IFERROR(__xludf.DUMMYFUNCTION("""COMPUTED_VALUE"""),37263.0)</f>
        <v>37263</v>
      </c>
      <c r="BD672" s="71">
        <f>IFERROR(__xludf.DUMMYFUNCTION("""COMPUTED_VALUE"""),39126.0)</f>
        <v>39126</v>
      </c>
      <c r="BE672" s="71">
        <f>IFERROR(__xludf.DUMMYFUNCTION("""COMPUTED_VALUE"""),6260.16)</f>
        <v>6260.16</v>
      </c>
      <c r="BF672" s="71">
        <f>IFERROR(__xludf.DUMMYFUNCTION("""COMPUTED_VALUE"""),45386.16)</f>
        <v>45386.16</v>
      </c>
      <c r="BG672" s="71">
        <f>IFERROR(__xludf.DUMMYFUNCTION("""COMPUTED_VALUE"""),0.049995974559214236)</f>
        <v>0.04999597456</v>
      </c>
      <c r="BH672" s="71">
        <f>IFERROR(__xludf.DUMMYFUNCTION("""COMPUTED_VALUE"""),37169.7)</f>
        <v>37169.7</v>
      </c>
      <c r="BI672" s="71">
        <f>IFERROR(__xludf.DUMMYFUNCTION("""COMPUTED_VALUE"""),5947.152)</f>
        <v>5947.152</v>
      </c>
      <c r="BJ672" s="71">
        <f>IFERROR(__xludf.DUMMYFUNCTION("""COMPUTED_VALUE"""),43116.852)</f>
        <v>43116.852</v>
      </c>
      <c r="BK672" s="71">
        <f>IFERROR(__xludf.DUMMYFUNCTION("""COMPUTED_VALUE"""),35213.4)</f>
        <v>35213.4</v>
      </c>
      <c r="BL672" s="71">
        <f>IFERROR(__xludf.DUMMYFUNCTION("""COMPUTED_VALUE"""),5634.144)</f>
        <v>5634.144</v>
      </c>
      <c r="BM672" s="71">
        <f>IFERROR(__xludf.DUMMYFUNCTION("""COMPUTED_VALUE"""),40847.544)</f>
        <v>40847.544</v>
      </c>
      <c r="BN672" s="71">
        <f>IFERROR(__xludf.DUMMYFUNCTION("""COMPUTED_VALUE"""),33257.1)</f>
        <v>33257.1</v>
      </c>
      <c r="BO672" s="71">
        <f>IFERROR(__xludf.DUMMYFUNCTION("""COMPUTED_VALUE"""),5321.1359999999995)</f>
        <v>5321.136</v>
      </c>
      <c r="BP672" s="71">
        <f>IFERROR(__xludf.DUMMYFUNCTION("""COMPUTED_VALUE"""),38578.236)</f>
        <v>38578.236</v>
      </c>
      <c r="BQ672" s="71">
        <f>IFERROR(__xludf.DUMMYFUNCTION("""COMPUTED_VALUE"""),32474.579999999998)</f>
        <v>32474.58</v>
      </c>
      <c r="BR672" s="71">
        <f>IFERROR(__xludf.DUMMYFUNCTION("""COMPUTED_VALUE"""),5195.9328)</f>
        <v>5195.9328</v>
      </c>
      <c r="BS672" s="71">
        <f>IFERROR(__xludf.DUMMYFUNCTION("""COMPUTED_VALUE"""),37670.5128)</f>
        <v>37670.5128</v>
      </c>
      <c r="BT672" s="71">
        <f>IFERROR(__xludf.DUMMYFUNCTION("""COMPUTED_VALUE"""),31300.800000000003)</f>
        <v>31300.8</v>
      </c>
      <c r="BU672" s="71">
        <f>IFERROR(__xludf.DUMMYFUNCTION("""COMPUTED_VALUE"""),5008.128000000001)</f>
        <v>5008.128</v>
      </c>
      <c r="BV672" s="71">
        <f>IFERROR(__xludf.DUMMYFUNCTION("""COMPUTED_VALUE"""),36308.928)</f>
        <v>36308.928</v>
      </c>
    </row>
    <row r="673">
      <c r="A673" s="53"/>
      <c r="B673" s="53"/>
      <c r="C673" s="53" t="s">
        <v>53</v>
      </c>
      <c r="D673" s="53" t="s">
        <v>1605</v>
      </c>
      <c r="E673" s="54" t="s">
        <v>38</v>
      </c>
      <c r="F673" s="54" t="s">
        <v>42</v>
      </c>
      <c r="G673" s="55" t="s">
        <v>1606</v>
      </c>
      <c r="H673" s="55" t="s">
        <v>1606</v>
      </c>
      <c r="I673" s="54">
        <f t="shared" si="24"/>
        <v>17</v>
      </c>
      <c r="J673" s="56"/>
      <c r="K673" s="57"/>
      <c r="L673" s="87"/>
      <c r="M673" s="59"/>
      <c r="N673" s="60"/>
      <c r="O673" s="90"/>
      <c r="P673" s="62">
        <v>1000.0</v>
      </c>
      <c r="Q673" s="63">
        <v>1000.0</v>
      </c>
      <c r="R673" s="64">
        <v>1050.0</v>
      </c>
      <c r="S673" s="111">
        <v>1103.0</v>
      </c>
      <c r="T673" s="65">
        <f t="shared" si="2"/>
        <v>176.48</v>
      </c>
      <c r="U673" s="65">
        <f t="shared" si="3"/>
        <v>1279.48</v>
      </c>
      <c r="V673" s="66">
        <f t="shared" si="4"/>
        <v>0.05047619048</v>
      </c>
      <c r="W673" s="67">
        <f t="shared" si="5"/>
        <v>1047.85</v>
      </c>
      <c r="X673" s="67">
        <f t="shared" si="6"/>
        <v>167.656</v>
      </c>
      <c r="Y673" s="67">
        <f t="shared" si="7"/>
        <v>1215.506</v>
      </c>
      <c r="Z673" s="67">
        <f t="shared" si="8"/>
        <v>992.7</v>
      </c>
      <c r="AA673" s="67">
        <f t="shared" si="9"/>
        <v>158.832</v>
      </c>
      <c r="AB673" s="67">
        <f t="shared" si="10"/>
        <v>1151.532</v>
      </c>
      <c r="AC673" s="67">
        <f t="shared" si="11"/>
        <v>937.55</v>
      </c>
      <c r="AD673" s="67">
        <f t="shared" si="12"/>
        <v>150.008</v>
      </c>
      <c r="AE673" s="67">
        <f t="shared" si="13"/>
        <v>1087.558</v>
      </c>
      <c r="AF673" s="67">
        <f t="shared" si="14"/>
        <v>915.49</v>
      </c>
      <c r="AG673" s="67">
        <f t="shared" si="15"/>
        <v>146.4784</v>
      </c>
      <c r="AH673" s="67">
        <f t="shared" si="16"/>
        <v>1061.9684</v>
      </c>
      <c r="AI673" s="67">
        <f t="shared" si="17"/>
        <v>882.4</v>
      </c>
      <c r="AJ673" s="68">
        <f t="shared" si="31"/>
        <v>141.184</v>
      </c>
      <c r="AK673" s="68">
        <f t="shared" si="32"/>
        <v>1023.584</v>
      </c>
      <c r="AL673" s="70">
        <f>IFERROR(__xludf.DUMMYFUNCTION("""COMPUTED_VALUE"""),1.0)</f>
        <v>1</v>
      </c>
      <c r="AM673" s="70"/>
      <c r="AN673" s="71" t="str">
        <f>IFERROR(__xludf.DUMMYFUNCTION("""COMPUTED_VALUE""")," P")</f>
        <v>P</v>
      </c>
      <c r="AO673" s="71" t="str">
        <f>IFERROR(__xludf.DUMMYFUNCTION("""COMPUTED_VALUE""")," JG08")</f>
        <v>JG08</v>
      </c>
      <c r="AP673" s="71" t="str">
        <f>IFERROR(__xludf.DUMMYFUNCTION("""COMPUTED_VALUE""")," JGO")</f>
        <v>JGO</v>
      </c>
      <c r="AQ673" s="71" t="str">
        <f>IFERROR(__xludf.DUMMYFUNCTION("""COMPUTED_VALUE""")," REF")</f>
        <v>REF</v>
      </c>
      <c r="AR673" s="71" t="str">
        <f>IFERROR(__xludf.DUMMYFUNCTION("""COMPUTED_VALUE""")," JUEGO DE ALUMINIO ESPECIAL CHICO")</f>
        <v>JUEGO DE ALUMINIO ESPECIAL CHICO</v>
      </c>
      <c r="AS673" s="71" t="str">
        <f>IFERROR(__xludf.DUMMYFUNCTION("""COMPUTED_VALUE""")," JUEGO DE ALUMINIO ESPECIAL CHICO")</f>
        <v>JUEGO DE ALUMINIO ESPECIAL CHICO</v>
      </c>
      <c r="AT673" s="71">
        <f>IFERROR(__xludf.DUMMYFUNCTION("""COMPUTED_VALUE"""),32.0)</f>
        <v>32</v>
      </c>
      <c r="AU673" s="71"/>
      <c r="AV673" s="71"/>
      <c r="AW673" s="71"/>
      <c r="AX673" s="71"/>
      <c r="AY673" s="71">
        <f>IFERROR(__xludf.DUMMYFUNCTION("""COMPUTED_VALUE"""),7965.0)</f>
        <v>7965</v>
      </c>
      <c r="AZ673" s="71">
        <f>IFERROR(__xludf.DUMMYFUNCTION("""COMPUTED_VALUE"""),8602.0)</f>
        <v>8602</v>
      </c>
      <c r="BA673" s="71">
        <f>IFERROR(__xludf.DUMMYFUNCTION("""COMPUTED_VALUE"""),13093.75)</f>
        <v>13093.75</v>
      </c>
      <c r="BB673" s="71">
        <f>IFERROR(__xludf.DUMMYFUNCTION("""COMPUTED_VALUE"""),13093.75)</f>
        <v>13093.75</v>
      </c>
      <c r="BC673" s="71">
        <f>IFERROR(__xludf.DUMMYFUNCTION("""COMPUTED_VALUE"""),15125.0)</f>
        <v>15125</v>
      </c>
      <c r="BD673" s="71">
        <f>IFERROR(__xludf.DUMMYFUNCTION("""COMPUTED_VALUE"""),15881.0)</f>
        <v>15881</v>
      </c>
      <c r="BE673" s="71">
        <f>IFERROR(__xludf.DUMMYFUNCTION("""COMPUTED_VALUE"""),2540.96)</f>
        <v>2540.96</v>
      </c>
      <c r="BF673" s="71">
        <f>IFERROR(__xludf.DUMMYFUNCTION("""COMPUTED_VALUE"""),18421.96)</f>
        <v>18421.96</v>
      </c>
      <c r="BG673" s="71">
        <f>IFERROR(__xludf.DUMMYFUNCTION("""COMPUTED_VALUE"""),0.04998347107438016)</f>
        <v>0.04998347107</v>
      </c>
      <c r="BH673" s="71">
        <f>IFERROR(__xludf.DUMMYFUNCTION("""COMPUTED_VALUE"""),15086.949999999999)</f>
        <v>15086.95</v>
      </c>
      <c r="BI673" s="71">
        <f>IFERROR(__xludf.DUMMYFUNCTION("""COMPUTED_VALUE"""),2413.912)</f>
        <v>2413.912</v>
      </c>
      <c r="BJ673" s="71">
        <f>IFERROR(__xludf.DUMMYFUNCTION("""COMPUTED_VALUE"""),17500.861999999997)</f>
        <v>17500.862</v>
      </c>
      <c r="BK673" s="71">
        <f>IFERROR(__xludf.DUMMYFUNCTION("""COMPUTED_VALUE"""),14292.9)</f>
        <v>14292.9</v>
      </c>
      <c r="BL673" s="71">
        <f>IFERROR(__xludf.DUMMYFUNCTION("""COMPUTED_VALUE"""),2286.864)</f>
        <v>2286.864</v>
      </c>
      <c r="BM673" s="71">
        <f>IFERROR(__xludf.DUMMYFUNCTION("""COMPUTED_VALUE"""),16579.764)</f>
        <v>16579.764</v>
      </c>
      <c r="BN673" s="71">
        <f>IFERROR(__xludf.DUMMYFUNCTION("""COMPUTED_VALUE"""),13498.85)</f>
        <v>13498.85</v>
      </c>
      <c r="BO673" s="71">
        <f>IFERROR(__xludf.DUMMYFUNCTION("""COMPUTED_VALUE"""),2159.8160000000003)</f>
        <v>2159.816</v>
      </c>
      <c r="BP673" s="71">
        <f>IFERROR(__xludf.DUMMYFUNCTION("""COMPUTED_VALUE"""),15658.666000000001)</f>
        <v>15658.666</v>
      </c>
      <c r="BQ673" s="71">
        <f>IFERROR(__xludf.DUMMYFUNCTION("""COMPUTED_VALUE"""),13181.23)</f>
        <v>13181.23</v>
      </c>
      <c r="BR673" s="71">
        <f>IFERROR(__xludf.DUMMYFUNCTION("""COMPUTED_VALUE"""),2108.9968)</f>
        <v>2108.9968</v>
      </c>
      <c r="BS673" s="71">
        <f>IFERROR(__xludf.DUMMYFUNCTION("""COMPUTED_VALUE"""),15290.2268)</f>
        <v>15290.2268</v>
      </c>
      <c r="BT673" s="71">
        <f>IFERROR(__xludf.DUMMYFUNCTION("""COMPUTED_VALUE"""),12704.800000000001)</f>
        <v>12704.8</v>
      </c>
      <c r="BU673" s="71">
        <f>IFERROR(__xludf.DUMMYFUNCTION("""COMPUTED_VALUE"""),2032.7680000000003)</f>
        <v>2032.768</v>
      </c>
      <c r="BV673" s="71">
        <f>IFERROR(__xludf.DUMMYFUNCTION("""COMPUTED_VALUE"""),14737.568000000001)</f>
        <v>14737.568</v>
      </c>
    </row>
    <row r="674">
      <c r="A674" s="53"/>
      <c r="B674" s="53"/>
      <c r="C674" s="53" t="s">
        <v>36</v>
      </c>
      <c r="D674" s="85" t="s">
        <v>1607</v>
      </c>
      <c r="E674" s="54" t="s">
        <v>38</v>
      </c>
      <c r="F674" s="55" t="s">
        <v>39</v>
      </c>
      <c r="G674" s="55" t="s">
        <v>1608</v>
      </c>
      <c r="H674" s="55" t="s">
        <v>1608</v>
      </c>
      <c r="I674" s="54">
        <f t="shared" si="24"/>
        <v>38</v>
      </c>
      <c r="J674" s="56"/>
      <c r="K674" s="57"/>
      <c r="L674" s="76"/>
      <c r="M674" s="59"/>
      <c r="N674" s="60"/>
      <c r="O674" s="61">
        <v>328.8</v>
      </c>
      <c r="P674" s="62">
        <v>355.10400000000004</v>
      </c>
      <c r="Q674" s="63">
        <v>355.10400000000004</v>
      </c>
      <c r="R674" s="64">
        <v>373.0</v>
      </c>
      <c r="S674" s="107">
        <v>392.0</v>
      </c>
      <c r="T674" s="65">
        <f t="shared" si="2"/>
        <v>62.72</v>
      </c>
      <c r="U674" s="65">
        <f t="shared" si="3"/>
        <v>454.72</v>
      </c>
      <c r="V674" s="66">
        <f t="shared" si="4"/>
        <v>0.0509383378</v>
      </c>
      <c r="W674" s="67">
        <f t="shared" si="5"/>
        <v>372.4</v>
      </c>
      <c r="X674" s="67">
        <f t="shared" si="6"/>
        <v>59.584</v>
      </c>
      <c r="Y674" s="67">
        <f t="shared" si="7"/>
        <v>431.984</v>
      </c>
      <c r="Z674" s="67">
        <f t="shared" si="8"/>
        <v>352.8</v>
      </c>
      <c r="AA674" s="67">
        <f t="shared" si="9"/>
        <v>56.448</v>
      </c>
      <c r="AB674" s="67">
        <f t="shared" si="10"/>
        <v>409.248</v>
      </c>
      <c r="AC674" s="67">
        <f t="shared" si="11"/>
        <v>333.2</v>
      </c>
      <c r="AD674" s="67">
        <f t="shared" si="12"/>
        <v>53.312</v>
      </c>
      <c r="AE674" s="67">
        <f t="shared" si="13"/>
        <v>386.512</v>
      </c>
      <c r="AF674" s="67">
        <f t="shared" si="14"/>
        <v>325.36</v>
      </c>
      <c r="AG674" s="67">
        <f t="shared" si="15"/>
        <v>52.0576</v>
      </c>
      <c r="AH674" s="67">
        <f t="shared" si="16"/>
        <v>377.4176</v>
      </c>
      <c r="AI674" s="67">
        <f t="shared" si="17"/>
        <v>313.6</v>
      </c>
      <c r="AJ674" s="68">
        <f t="shared" si="31"/>
        <v>50.176</v>
      </c>
      <c r="AK674" s="68">
        <f t="shared" si="32"/>
        <v>363.776</v>
      </c>
      <c r="AL674" s="70">
        <f>IFERROR(__xludf.DUMMYFUNCTION("""COMPUTED_VALUE"""),1.0)</f>
        <v>1</v>
      </c>
      <c r="AM674" s="70"/>
      <c r="AN674" s="71" t="str">
        <f>IFERROR(__xludf.DUMMYFUNCTION("""COMPUTED_VALUE""")," P")</f>
        <v>P</v>
      </c>
      <c r="AO674" s="71" t="str">
        <f>IFERROR(__xludf.DUMMYFUNCTION("""COMPUTED_VALUE""")," JG09")</f>
        <v>JG09</v>
      </c>
      <c r="AP674" s="71" t="str">
        <f>IFERROR(__xludf.DUMMYFUNCTION("""COMPUTED_VALUE""")," JGO")</f>
        <v>JGO</v>
      </c>
      <c r="AQ674" s="71" t="str">
        <f>IFERROR(__xludf.DUMMYFUNCTION("""COMPUTED_VALUE""")," REF")</f>
        <v>REF</v>
      </c>
      <c r="AR674" s="71" t="str">
        <f>IFERROR(__xludf.DUMMYFUNCTION("""COMPUTED_VALUE""")," JUEGO DE ALUMINIO SENCILLO GRANDE")</f>
        <v>JUEGO DE ALUMINIO SENCILLO GRANDE</v>
      </c>
      <c r="AS674" s="71" t="str">
        <f>IFERROR(__xludf.DUMMYFUNCTION("""COMPUTED_VALUE""")," JUEGO DE ALUMINIO SENCILLO GRANDE")</f>
        <v>JUEGO DE ALUMINIO SENCILLO GRANDE</v>
      </c>
      <c r="AT674" s="71">
        <f>IFERROR(__xludf.DUMMYFUNCTION("""COMPUTED_VALUE"""),33.0)</f>
        <v>33</v>
      </c>
      <c r="AU674" s="71"/>
      <c r="AV674" s="71"/>
      <c r="AW674" s="71"/>
      <c r="AX674" s="71"/>
      <c r="AY674" s="71">
        <f>IFERROR(__xludf.DUMMYFUNCTION("""COMPUTED_VALUE"""),8554.0)</f>
        <v>8554</v>
      </c>
      <c r="AZ674" s="71">
        <f>IFERROR(__xludf.DUMMYFUNCTION("""COMPUTED_VALUE"""),9238.0)</f>
        <v>9238</v>
      </c>
      <c r="BA674" s="71">
        <f>IFERROR(__xludf.DUMMYFUNCTION("""COMPUTED_VALUE"""),13093.75)</f>
        <v>13093.75</v>
      </c>
      <c r="BB674" s="71">
        <f>IFERROR(__xludf.DUMMYFUNCTION("""COMPUTED_VALUE"""),13093.75)</f>
        <v>13093.75</v>
      </c>
      <c r="BC674" s="71">
        <f>IFERROR(__xludf.DUMMYFUNCTION("""COMPUTED_VALUE"""),15125.0)</f>
        <v>15125</v>
      </c>
      <c r="BD674" s="71">
        <f>IFERROR(__xludf.DUMMYFUNCTION("""COMPUTED_VALUE"""),15881.0)</f>
        <v>15881</v>
      </c>
      <c r="BE674" s="71">
        <f>IFERROR(__xludf.DUMMYFUNCTION("""COMPUTED_VALUE"""),2540.96)</f>
        <v>2540.96</v>
      </c>
      <c r="BF674" s="71">
        <f>IFERROR(__xludf.DUMMYFUNCTION("""COMPUTED_VALUE"""),18421.96)</f>
        <v>18421.96</v>
      </c>
      <c r="BG674" s="71">
        <f>IFERROR(__xludf.DUMMYFUNCTION("""COMPUTED_VALUE"""),0.04998347107438016)</f>
        <v>0.04998347107</v>
      </c>
      <c r="BH674" s="71">
        <f>IFERROR(__xludf.DUMMYFUNCTION("""COMPUTED_VALUE"""),15086.949999999999)</f>
        <v>15086.95</v>
      </c>
      <c r="BI674" s="71">
        <f>IFERROR(__xludf.DUMMYFUNCTION("""COMPUTED_VALUE"""),2413.912)</f>
        <v>2413.912</v>
      </c>
      <c r="BJ674" s="71">
        <f>IFERROR(__xludf.DUMMYFUNCTION("""COMPUTED_VALUE"""),17500.861999999997)</f>
        <v>17500.862</v>
      </c>
      <c r="BK674" s="71">
        <f>IFERROR(__xludf.DUMMYFUNCTION("""COMPUTED_VALUE"""),14292.9)</f>
        <v>14292.9</v>
      </c>
      <c r="BL674" s="71">
        <f>IFERROR(__xludf.DUMMYFUNCTION("""COMPUTED_VALUE"""),2286.864)</f>
        <v>2286.864</v>
      </c>
      <c r="BM674" s="71">
        <f>IFERROR(__xludf.DUMMYFUNCTION("""COMPUTED_VALUE"""),16579.764)</f>
        <v>16579.764</v>
      </c>
      <c r="BN674" s="71">
        <f>IFERROR(__xludf.DUMMYFUNCTION("""COMPUTED_VALUE"""),13498.85)</f>
        <v>13498.85</v>
      </c>
      <c r="BO674" s="71">
        <f>IFERROR(__xludf.DUMMYFUNCTION("""COMPUTED_VALUE"""),2159.8160000000003)</f>
        <v>2159.816</v>
      </c>
      <c r="BP674" s="71">
        <f>IFERROR(__xludf.DUMMYFUNCTION("""COMPUTED_VALUE"""),15658.666000000001)</f>
        <v>15658.666</v>
      </c>
      <c r="BQ674" s="71">
        <f>IFERROR(__xludf.DUMMYFUNCTION("""COMPUTED_VALUE"""),13181.23)</f>
        <v>13181.23</v>
      </c>
      <c r="BR674" s="71">
        <f>IFERROR(__xludf.DUMMYFUNCTION("""COMPUTED_VALUE"""),2108.9968)</f>
        <v>2108.9968</v>
      </c>
      <c r="BS674" s="71">
        <f>IFERROR(__xludf.DUMMYFUNCTION("""COMPUTED_VALUE"""),15290.2268)</f>
        <v>15290.2268</v>
      </c>
      <c r="BT674" s="71">
        <f>IFERROR(__xludf.DUMMYFUNCTION("""COMPUTED_VALUE"""),12704.800000000001)</f>
        <v>12704.8</v>
      </c>
      <c r="BU674" s="71">
        <f>IFERROR(__xludf.DUMMYFUNCTION("""COMPUTED_VALUE"""),2032.7680000000003)</f>
        <v>2032.768</v>
      </c>
      <c r="BV674" s="71">
        <f>IFERROR(__xludf.DUMMYFUNCTION("""COMPUTED_VALUE"""),14737.568000000001)</f>
        <v>14737.568</v>
      </c>
    </row>
    <row r="675">
      <c r="A675" s="53"/>
      <c r="B675" s="53">
        <v>3.0</v>
      </c>
      <c r="C675" s="53" t="s">
        <v>36</v>
      </c>
      <c r="D675" s="98" t="s">
        <v>1609</v>
      </c>
      <c r="E675" s="54" t="s">
        <v>38</v>
      </c>
      <c r="F675" s="55" t="s">
        <v>1610</v>
      </c>
      <c r="G675" s="86" t="s">
        <v>1611</v>
      </c>
      <c r="H675" s="86" t="s">
        <v>1612</v>
      </c>
      <c r="I675" s="54">
        <f t="shared" si="24"/>
        <v>39</v>
      </c>
      <c r="J675" s="56"/>
      <c r="K675" s="57"/>
      <c r="L675" s="76"/>
      <c r="M675" s="59"/>
      <c r="N675" s="60"/>
      <c r="O675" s="61">
        <v>25993.0</v>
      </c>
      <c r="P675" s="62">
        <v>28072.440000000002</v>
      </c>
      <c r="Q675" s="63">
        <v>28072.440000000002</v>
      </c>
      <c r="R675" s="64">
        <v>30950.0</v>
      </c>
      <c r="S675" s="112">
        <v>32498.0</v>
      </c>
      <c r="T675" s="65">
        <f t="shared" si="2"/>
        <v>5199.68</v>
      </c>
      <c r="U675" s="65">
        <f t="shared" si="3"/>
        <v>37697.68</v>
      </c>
      <c r="V675" s="66">
        <f t="shared" si="4"/>
        <v>0.05001615509</v>
      </c>
      <c r="W675" s="67">
        <f t="shared" si="5"/>
        <v>30873.1</v>
      </c>
      <c r="X675" s="67">
        <f t="shared" si="6"/>
        <v>4939.696</v>
      </c>
      <c r="Y675" s="67">
        <f t="shared" si="7"/>
        <v>35812.796</v>
      </c>
      <c r="Z675" s="67">
        <f t="shared" si="8"/>
        <v>29248.2</v>
      </c>
      <c r="AA675" s="67">
        <f t="shared" si="9"/>
        <v>4679.712</v>
      </c>
      <c r="AB675" s="67">
        <f t="shared" si="10"/>
        <v>33927.912</v>
      </c>
      <c r="AC675" s="67">
        <f t="shared" si="11"/>
        <v>29248.2</v>
      </c>
      <c r="AD675" s="67">
        <f t="shared" si="12"/>
        <v>4679.712</v>
      </c>
      <c r="AE675" s="67">
        <f t="shared" si="13"/>
        <v>33927.912</v>
      </c>
      <c r="AF675" s="67">
        <f t="shared" si="14"/>
        <v>29248.2</v>
      </c>
      <c r="AG675" s="67">
        <f t="shared" si="15"/>
        <v>4679.712</v>
      </c>
      <c r="AH675" s="67">
        <f t="shared" si="16"/>
        <v>33927.912</v>
      </c>
      <c r="AI675" s="67">
        <f t="shared" si="17"/>
        <v>29248.2</v>
      </c>
      <c r="AJ675" s="111">
        <f t="shared" si="31"/>
        <v>4679.712</v>
      </c>
      <c r="AK675" s="111">
        <f t="shared" si="32"/>
        <v>33927.912</v>
      </c>
      <c r="AL675" s="70">
        <f>IFERROR(__xludf.DUMMYFUNCTION("""COMPUTED_VALUE"""),1.0)</f>
        <v>1</v>
      </c>
      <c r="AM675" s="70"/>
      <c r="AN675" s="71" t="str">
        <f>IFERROR(__xludf.DUMMYFUNCTION("""COMPUTED_VALUE""")," P")</f>
        <v>P</v>
      </c>
      <c r="AO675" s="71" t="str">
        <f>IFERROR(__xludf.DUMMYFUNCTION("""COMPUTED_VALUE""")," JG195")</f>
        <v>JG195</v>
      </c>
      <c r="AP675" s="71" t="str">
        <f>IFERROR(__xludf.DUMMYFUNCTION("""COMPUTED_VALUE""")," JGO")</f>
        <v>JGO</v>
      </c>
      <c r="AQ675" s="71" t="str">
        <f>IFERROR(__xludf.DUMMYFUNCTION("""COMPUTED_VALUE""")," REF")</f>
        <v>REF</v>
      </c>
      <c r="AR675" s="71" t="str">
        <f>IFERROR(__xludf.DUMMYFUNCTION("""COMPUTED_VALUE""")," JUEGO DE BANDAS METÁLICAS DÚPLEX (B.C.)")</f>
        <v>JUEGO DE BANDAS METÁLICAS DÚPLEX (B.C.)</v>
      </c>
      <c r="AS675" s="71" t="str">
        <f>IFERROR(__xludf.DUMMYFUNCTION("""COMPUTED_VALUE""")," JUEGO DE BANDAS METALICAS DPLX BC")</f>
        <v>JUEGO DE BANDAS METALICAS DPLX BC</v>
      </c>
      <c r="AT675" s="71">
        <f>IFERROR(__xludf.DUMMYFUNCTION("""COMPUTED_VALUE"""),33.0)</f>
        <v>33</v>
      </c>
      <c r="AU675" s="71"/>
      <c r="AV675" s="71"/>
      <c r="AW675" s="71"/>
      <c r="AX675" s="71"/>
      <c r="AY675" s="71">
        <f>IFERROR(__xludf.DUMMYFUNCTION("""COMPUTED_VALUE"""),11120.0)</f>
        <v>11120</v>
      </c>
      <c r="AZ675" s="71">
        <f>IFERROR(__xludf.DUMMYFUNCTION("""COMPUTED_VALUE"""),10036.0)</f>
        <v>10036</v>
      </c>
      <c r="BA675" s="71">
        <f>IFERROR(__xludf.DUMMYFUNCTION("""COMPUTED_VALUE"""),10838.880000000001)</f>
        <v>10838.88</v>
      </c>
      <c r="BB675" s="71">
        <f>IFERROR(__xludf.DUMMYFUNCTION("""COMPUTED_VALUE"""),10838.880000000001)</f>
        <v>10838.88</v>
      </c>
      <c r="BC675" s="71">
        <f>IFERROR(__xludf.DUMMYFUNCTION("""COMPUTED_VALUE"""),12065.0)</f>
        <v>12065</v>
      </c>
      <c r="BD675" s="71">
        <f>IFERROR(__xludf.DUMMYFUNCTION("""COMPUTED_VALUE"""),12668.0)</f>
        <v>12668</v>
      </c>
      <c r="BE675" s="71">
        <f>IFERROR(__xludf.DUMMYFUNCTION("""COMPUTED_VALUE"""),2026.88)</f>
        <v>2026.88</v>
      </c>
      <c r="BF675" s="71">
        <f>IFERROR(__xludf.DUMMYFUNCTION("""COMPUTED_VALUE"""),14694.880000000001)</f>
        <v>14694.88</v>
      </c>
      <c r="BG675" s="71">
        <f>IFERROR(__xludf.DUMMYFUNCTION("""COMPUTED_VALUE"""),0.04997927890592623)</f>
        <v>0.04997927891</v>
      </c>
      <c r="BH675" s="71">
        <f>IFERROR(__xludf.DUMMYFUNCTION("""COMPUTED_VALUE"""),12034.599999999999)</f>
        <v>12034.6</v>
      </c>
      <c r="BI675" s="71">
        <f>IFERROR(__xludf.DUMMYFUNCTION("""COMPUTED_VALUE"""),1925.5359999999998)</f>
        <v>1925.536</v>
      </c>
      <c r="BJ675" s="71">
        <f>IFERROR(__xludf.DUMMYFUNCTION("""COMPUTED_VALUE"""),13960.135999999999)</f>
        <v>13960.136</v>
      </c>
      <c r="BK675" s="71">
        <f>IFERROR(__xludf.DUMMYFUNCTION("""COMPUTED_VALUE"""),11401.2)</f>
        <v>11401.2</v>
      </c>
      <c r="BL675" s="71">
        <f>IFERROR(__xludf.DUMMYFUNCTION("""COMPUTED_VALUE"""),1824.1920000000002)</f>
        <v>1824.192</v>
      </c>
      <c r="BM675" s="71">
        <f>IFERROR(__xludf.DUMMYFUNCTION("""COMPUTED_VALUE"""),13225.392000000002)</f>
        <v>13225.392</v>
      </c>
      <c r="BN675" s="71">
        <f>IFERROR(__xludf.DUMMYFUNCTION("""COMPUTED_VALUE"""),10767.8)</f>
        <v>10767.8</v>
      </c>
      <c r="BO675" s="71">
        <f>IFERROR(__xludf.DUMMYFUNCTION("""COMPUTED_VALUE"""),1722.848)</f>
        <v>1722.848</v>
      </c>
      <c r="BP675" s="71">
        <f>IFERROR(__xludf.DUMMYFUNCTION("""COMPUTED_VALUE"""),12490.648)</f>
        <v>12490.648</v>
      </c>
      <c r="BQ675" s="71">
        <f>IFERROR(__xludf.DUMMYFUNCTION("""COMPUTED_VALUE"""),10514.439999999999)</f>
        <v>10514.44</v>
      </c>
      <c r="BR675" s="71">
        <f>IFERROR(__xludf.DUMMYFUNCTION("""COMPUTED_VALUE"""),1682.3103999999998)</f>
        <v>1682.3104</v>
      </c>
      <c r="BS675" s="71">
        <f>IFERROR(__xludf.DUMMYFUNCTION("""COMPUTED_VALUE"""),12196.750399999999)</f>
        <v>12196.7504</v>
      </c>
      <c r="BT675" s="71">
        <f>IFERROR(__xludf.DUMMYFUNCTION("""COMPUTED_VALUE"""),10134.400000000001)</f>
        <v>10134.4</v>
      </c>
      <c r="BU675" s="71">
        <f>IFERROR(__xludf.DUMMYFUNCTION("""COMPUTED_VALUE"""),1621.5040000000004)</f>
        <v>1621.504</v>
      </c>
      <c r="BV675" s="71">
        <f>IFERROR(__xludf.DUMMYFUNCTION("""COMPUTED_VALUE"""),11755.904000000002)</f>
        <v>11755.904</v>
      </c>
    </row>
    <row r="676">
      <c r="A676" s="53"/>
      <c r="B676" s="53">
        <v>3.0</v>
      </c>
      <c r="C676" s="53" t="s">
        <v>36</v>
      </c>
      <c r="D676" s="98" t="s">
        <v>1613</v>
      </c>
      <c r="E676" s="54" t="s">
        <v>38</v>
      </c>
      <c r="F676" s="55" t="s">
        <v>1610</v>
      </c>
      <c r="G676" s="86" t="s">
        <v>1614</v>
      </c>
      <c r="H676" s="86" t="s">
        <v>1615</v>
      </c>
      <c r="I676" s="54">
        <f t="shared" si="24"/>
        <v>39</v>
      </c>
      <c r="J676" s="56"/>
      <c r="K676" s="57"/>
      <c r="L676" s="76"/>
      <c r="M676" s="59"/>
      <c r="N676" s="60"/>
      <c r="O676" s="61">
        <v>53948.0</v>
      </c>
      <c r="P676" s="62">
        <v>58263.840000000004</v>
      </c>
      <c r="Q676" s="63">
        <v>58263.840000000004</v>
      </c>
      <c r="R676" s="64">
        <v>64236.0</v>
      </c>
      <c r="S676" s="126">
        <v>36718.0</v>
      </c>
      <c r="T676" s="65">
        <f t="shared" si="2"/>
        <v>5874.88</v>
      </c>
      <c r="U676" s="65">
        <f t="shared" si="3"/>
        <v>42592.88</v>
      </c>
      <c r="V676" s="66">
        <f t="shared" si="4"/>
        <v>-0.4283890653</v>
      </c>
      <c r="W676" s="67">
        <f t="shared" si="5"/>
        <v>34882.1</v>
      </c>
      <c r="X676" s="67">
        <f t="shared" si="6"/>
        <v>5581.136</v>
      </c>
      <c r="Y676" s="67">
        <f t="shared" si="7"/>
        <v>40463.236</v>
      </c>
      <c r="Z676" s="67">
        <f t="shared" si="8"/>
        <v>33046.2</v>
      </c>
      <c r="AA676" s="67">
        <f t="shared" si="9"/>
        <v>5287.392</v>
      </c>
      <c r="AB676" s="67">
        <f t="shared" si="10"/>
        <v>38333.592</v>
      </c>
      <c r="AC676" s="67">
        <f t="shared" si="11"/>
        <v>33046.2</v>
      </c>
      <c r="AD676" s="67">
        <f t="shared" si="12"/>
        <v>5287.392</v>
      </c>
      <c r="AE676" s="67">
        <f t="shared" si="13"/>
        <v>38333.592</v>
      </c>
      <c r="AF676" s="67">
        <f t="shared" si="14"/>
        <v>33046.2</v>
      </c>
      <c r="AG676" s="67">
        <f t="shared" si="15"/>
        <v>5287.392</v>
      </c>
      <c r="AH676" s="67">
        <f t="shared" si="16"/>
        <v>38333.592</v>
      </c>
      <c r="AI676" s="67">
        <f t="shared" si="17"/>
        <v>33046.2</v>
      </c>
      <c r="AJ676" s="111">
        <f t="shared" si="31"/>
        <v>5287.392</v>
      </c>
      <c r="AK676" s="111">
        <f t="shared" si="32"/>
        <v>38333.592</v>
      </c>
      <c r="AL676" s="70">
        <f>IFERROR(__xludf.DUMMYFUNCTION("""COMPUTED_VALUE"""),1.0)</f>
        <v>1</v>
      </c>
      <c r="AM676" s="70"/>
      <c r="AN676" s="71" t="str">
        <f>IFERROR(__xludf.DUMMYFUNCTION("""COMPUTED_VALUE""")," P")</f>
        <v>P</v>
      </c>
      <c r="AO676" s="71" t="str">
        <f>IFERROR(__xludf.DUMMYFUNCTION("""COMPUTED_VALUE""")," JG197")</f>
        <v>JG197</v>
      </c>
      <c r="AP676" s="71" t="str">
        <f>IFERROR(__xludf.DUMMYFUNCTION("""COMPUTED_VALUE""")," JGO")</f>
        <v>JGO</v>
      </c>
      <c r="AQ676" s="71" t="str">
        <f>IFERROR(__xludf.DUMMYFUNCTION("""COMPUTED_VALUE""")," REF")</f>
        <v>REF</v>
      </c>
      <c r="AR676" s="71" t="str">
        <f>IFERROR(__xludf.DUMMYFUNCTION("""COMPUTED_VALUE""")," JUEGO DE BANDAS METÁLICAS DÚPLEX MODELO ANTERIOR")</f>
        <v>JUEGO DE BANDAS METÁLICAS DÚPLEX MODELO ANTERIOR</v>
      </c>
      <c r="AS676" s="71" t="str">
        <f>IFERROR(__xludf.DUMMYFUNCTION("""COMPUTED_VALUE""")," JUEGO BANDAS METALICAS DPLX MA")</f>
        <v>JUEGO BANDAS METALICAS DPLX MA</v>
      </c>
      <c r="AT676" s="71">
        <f>IFERROR(__xludf.DUMMYFUNCTION("""COMPUTED_VALUE"""),30.0)</f>
        <v>30</v>
      </c>
      <c r="AU676" s="71"/>
      <c r="AV676" s="71"/>
      <c r="AW676" s="71"/>
      <c r="AX676" s="71"/>
      <c r="AY676" s="71">
        <f>IFERROR(__xludf.DUMMYFUNCTION("""COMPUTED_VALUE"""),9551.0)</f>
        <v>9551</v>
      </c>
      <c r="AZ676" s="71">
        <f>IFERROR(__xludf.DUMMYFUNCTION("""COMPUTED_VALUE"""),9309.0)</f>
        <v>9309</v>
      </c>
      <c r="BA676" s="71">
        <f>IFERROR(__xludf.DUMMYFUNCTION("""COMPUTED_VALUE"""),10053.720000000001)</f>
        <v>10053.72</v>
      </c>
      <c r="BB676" s="71">
        <f>IFERROR(__xludf.DUMMYFUNCTION("""COMPUTED_VALUE"""),10053.720000000001)</f>
        <v>10053.72</v>
      </c>
      <c r="BC676" s="71">
        <f>IFERROR(__xludf.DUMMYFUNCTION("""COMPUTED_VALUE"""),10557.0)</f>
        <v>10557</v>
      </c>
      <c r="BD676" s="71">
        <f>IFERROR(__xludf.DUMMYFUNCTION("""COMPUTED_VALUE"""),11085.0)</f>
        <v>11085</v>
      </c>
      <c r="BE676" s="71">
        <f>IFERROR(__xludf.DUMMYFUNCTION("""COMPUTED_VALUE"""),1773.6000000000001)</f>
        <v>1773.6</v>
      </c>
      <c r="BF676" s="71">
        <f>IFERROR(__xludf.DUMMYFUNCTION("""COMPUTED_VALUE"""),12858.6)</f>
        <v>12858.6</v>
      </c>
      <c r="BG676" s="71">
        <f>IFERROR(__xludf.DUMMYFUNCTION("""COMPUTED_VALUE"""),0.05001420858198352)</f>
        <v>0.05001420858</v>
      </c>
      <c r="BH676" s="71">
        <f>IFERROR(__xludf.DUMMYFUNCTION("""COMPUTED_VALUE"""),10530.75)</f>
        <v>10530.75</v>
      </c>
      <c r="BI676" s="71">
        <f>IFERROR(__xludf.DUMMYFUNCTION("""COMPUTED_VALUE"""),1684.92)</f>
        <v>1684.92</v>
      </c>
      <c r="BJ676" s="71">
        <f>IFERROR(__xludf.DUMMYFUNCTION("""COMPUTED_VALUE"""),12215.67)</f>
        <v>12215.67</v>
      </c>
      <c r="BK676" s="71">
        <f>IFERROR(__xludf.DUMMYFUNCTION("""COMPUTED_VALUE"""),9976.5)</f>
        <v>9976.5</v>
      </c>
      <c r="BL676" s="71">
        <f>IFERROR(__xludf.DUMMYFUNCTION("""COMPUTED_VALUE"""),1596.24)</f>
        <v>1596.24</v>
      </c>
      <c r="BM676" s="71">
        <f>IFERROR(__xludf.DUMMYFUNCTION("""COMPUTED_VALUE"""),11572.74)</f>
        <v>11572.74</v>
      </c>
      <c r="BN676" s="71">
        <f>IFERROR(__xludf.DUMMYFUNCTION("""COMPUTED_VALUE"""),9422.25)</f>
        <v>9422.25</v>
      </c>
      <c r="BO676" s="71">
        <f>IFERROR(__xludf.DUMMYFUNCTION("""COMPUTED_VALUE"""),1507.56)</f>
        <v>1507.56</v>
      </c>
      <c r="BP676" s="71">
        <f>IFERROR(__xludf.DUMMYFUNCTION("""COMPUTED_VALUE"""),10929.81)</f>
        <v>10929.81</v>
      </c>
      <c r="BQ676" s="71">
        <f>IFERROR(__xludf.DUMMYFUNCTION("""COMPUTED_VALUE"""),9200.55)</f>
        <v>9200.55</v>
      </c>
      <c r="BR676" s="71">
        <f>IFERROR(__xludf.DUMMYFUNCTION("""COMPUTED_VALUE"""),1472.088)</f>
        <v>1472.088</v>
      </c>
      <c r="BS676" s="71">
        <f>IFERROR(__xludf.DUMMYFUNCTION("""COMPUTED_VALUE"""),10672.637999999999)</f>
        <v>10672.638</v>
      </c>
      <c r="BT676" s="71">
        <f>IFERROR(__xludf.DUMMYFUNCTION("""COMPUTED_VALUE"""),8868.0)</f>
        <v>8868</v>
      </c>
      <c r="BU676" s="71">
        <f>IFERROR(__xludf.DUMMYFUNCTION("""COMPUTED_VALUE"""),1418.88)</f>
        <v>1418.88</v>
      </c>
      <c r="BV676" s="71">
        <f>IFERROR(__xludf.DUMMYFUNCTION("""COMPUTED_VALUE"""),10286.880000000001)</f>
        <v>10286.88</v>
      </c>
    </row>
    <row r="677">
      <c r="A677" s="53"/>
      <c r="B677" s="53"/>
      <c r="C677" s="73" t="s">
        <v>53</v>
      </c>
      <c r="D677" s="53" t="s">
        <v>1616</v>
      </c>
      <c r="E677" s="54" t="s">
        <v>38</v>
      </c>
      <c r="F677" s="54" t="s">
        <v>42</v>
      </c>
      <c r="G677" s="55" t="s">
        <v>1617</v>
      </c>
      <c r="H677" s="54" t="s">
        <v>1618</v>
      </c>
      <c r="I677" s="54">
        <f t="shared" si="24"/>
        <v>40</v>
      </c>
      <c r="J677" s="56"/>
      <c r="K677" s="75"/>
      <c r="L677" s="76"/>
      <c r="M677" s="59"/>
      <c r="N677" s="79">
        <v>244.0</v>
      </c>
      <c r="O677" s="61">
        <v>263.0</v>
      </c>
      <c r="P677" s="62">
        <v>284.04</v>
      </c>
      <c r="Q677" s="63">
        <v>284.04</v>
      </c>
      <c r="R677" s="64">
        <v>299.0</v>
      </c>
      <c r="S677" s="111">
        <v>314.0</v>
      </c>
      <c r="T677" s="65">
        <f t="shared" si="2"/>
        <v>50.24</v>
      </c>
      <c r="U677" s="65">
        <f t="shared" si="3"/>
        <v>364.24</v>
      </c>
      <c r="V677" s="66">
        <f t="shared" si="4"/>
        <v>0.05016722408</v>
      </c>
      <c r="W677" s="67">
        <f t="shared" si="5"/>
        <v>298.3</v>
      </c>
      <c r="X677" s="67">
        <f t="shared" si="6"/>
        <v>47.728</v>
      </c>
      <c r="Y677" s="67">
        <f t="shared" si="7"/>
        <v>346.028</v>
      </c>
      <c r="Z677" s="67">
        <f t="shared" si="8"/>
        <v>282.6</v>
      </c>
      <c r="AA677" s="67">
        <f t="shared" si="9"/>
        <v>45.216</v>
      </c>
      <c r="AB677" s="67">
        <f t="shared" si="10"/>
        <v>327.816</v>
      </c>
      <c r="AC677" s="67">
        <f t="shared" si="11"/>
        <v>266.9</v>
      </c>
      <c r="AD677" s="67">
        <f t="shared" si="12"/>
        <v>42.704</v>
      </c>
      <c r="AE677" s="67">
        <f t="shared" si="13"/>
        <v>309.604</v>
      </c>
      <c r="AF677" s="67">
        <f t="shared" si="14"/>
        <v>260.62</v>
      </c>
      <c r="AG677" s="67">
        <f t="shared" si="15"/>
        <v>41.6992</v>
      </c>
      <c r="AH677" s="67">
        <f t="shared" si="16"/>
        <v>302.3192</v>
      </c>
      <c r="AI677" s="67">
        <f t="shared" si="17"/>
        <v>251.2</v>
      </c>
      <c r="AJ677" s="68">
        <f t="shared" si="31"/>
        <v>40.192</v>
      </c>
      <c r="AK677" s="68">
        <f t="shared" si="32"/>
        <v>291.392</v>
      </c>
      <c r="AL677" s="70">
        <f>IFERROR(__xludf.DUMMYFUNCTION("""COMPUTED_VALUE"""),1.0)</f>
        <v>1</v>
      </c>
      <c r="AM677" s="70"/>
      <c r="AN677" s="71" t="str">
        <f>IFERROR(__xludf.DUMMYFUNCTION("""COMPUTED_VALUE""")," P")</f>
        <v>P</v>
      </c>
      <c r="AO677" s="71" t="str">
        <f>IFERROR(__xludf.DUMMYFUNCTION("""COMPUTED_VALUE""")," JG198")</f>
        <v>JG198</v>
      </c>
      <c r="AP677" s="71" t="str">
        <f>IFERROR(__xludf.DUMMYFUNCTION("""COMPUTED_VALUE""")," JGO")</f>
        <v>JGO</v>
      </c>
      <c r="AQ677" s="71" t="str">
        <f>IFERROR(__xludf.DUMMYFUNCTION("""COMPUTED_VALUE""")," REF")</f>
        <v>REF</v>
      </c>
      <c r="AR677" s="71" t="str">
        <f>IFERROR(__xludf.DUMMYFUNCTION("""COMPUTED_VALUE""")," JUEGO DE BANDAS METÁLICAS SENCILLA MODELO ANTERIOR")</f>
        <v>JUEGO DE BANDAS METÁLICAS SENCILLA MODELO ANTERIOR</v>
      </c>
      <c r="AS677" s="71" t="str">
        <f>IFERROR(__xludf.DUMMYFUNCTION("""COMPUTED_VALUE""")," JUEGO BANDAS METALICAS SENCILLA MA")</f>
        <v>JUEGO BANDAS METALICAS SENCILLA MA</v>
      </c>
      <c r="AT677" s="71">
        <f>IFERROR(__xludf.DUMMYFUNCTION("""COMPUTED_VALUE"""),34.0)</f>
        <v>34</v>
      </c>
      <c r="AU677" s="71"/>
      <c r="AV677" s="71"/>
      <c r="AW677" s="71" t="str">
        <f>IFERROR(__xludf.DUMMYFUNCTION("""COMPUTED_VALUE""")," dar de baja")</f>
        <v>dar de baja</v>
      </c>
      <c r="AX677" s="71"/>
      <c r="AY677" s="71">
        <f>IFERROR(__xludf.DUMMYFUNCTION("""COMPUTED_VALUE"""),7181.0)</f>
        <v>7181</v>
      </c>
      <c r="AZ677" s="71">
        <f>IFERROR(__xludf.DUMMYFUNCTION("""COMPUTED_VALUE"""),6481.0)</f>
        <v>6481</v>
      </c>
      <c r="BA677" s="71">
        <f>IFERROR(__xludf.DUMMYFUNCTION("""COMPUTED_VALUE"""),6999.4800000000005)</f>
        <v>6999.48</v>
      </c>
      <c r="BB677" s="71">
        <f>IFERROR(__xludf.DUMMYFUNCTION("""COMPUTED_VALUE"""),6999.4800000000005)</f>
        <v>6999.48</v>
      </c>
      <c r="BC677" s="71">
        <f>IFERROR(__xludf.DUMMYFUNCTION("""COMPUTED_VALUE"""),7791.0)</f>
        <v>7791</v>
      </c>
      <c r="BD677" s="71">
        <f>IFERROR(__xludf.DUMMYFUNCTION("""COMPUTED_VALUE"""),8181.0)</f>
        <v>8181</v>
      </c>
      <c r="BE677" s="71">
        <f>IFERROR(__xludf.DUMMYFUNCTION("""COMPUTED_VALUE"""),1308.96)</f>
        <v>1308.96</v>
      </c>
      <c r="BF677" s="71">
        <f>IFERROR(__xludf.DUMMYFUNCTION("""COMPUTED_VALUE"""),9489.96)</f>
        <v>9489.96</v>
      </c>
      <c r="BG677" s="71">
        <f>IFERROR(__xludf.DUMMYFUNCTION("""COMPUTED_VALUE"""),0.05005775895263766)</f>
        <v>0.05005775895</v>
      </c>
      <c r="BH677" s="71">
        <f>IFERROR(__xludf.DUMMYFUNCTION("""COMPUTED_VALUE"""),7771.95)</f>
        <v>7771.95</v>
      </c>
      <c r="BI677" s="71">
        <f>IFERROR(__xludf.DUMMYFUNCTION("""COMPUTED_VALUE"""),1243.512)</f>
        <v>1243.512</v>
      </c>
      <c r="BJ677" s="71">
        <f>IFERROR(__xludf.DUMMYFUNCTION("""COMPUTED_VALUE"""),9015.462)</f>
        <v>9015.462</v>
      </c>
      <c r="BK677" s="71">
        <f>IFERROR(__xludf.DUMMYFUNCTION("""COMPUTED_VALUE"""),7362.900000000001)</f>
        <v>7362.9</v>
      </c>
      <c r="BL677" s="71">
        <f>IFERROR(__xludf.DUMMYFUNCTION("""COMPUTED_VALUE"""),1178.064)</f>
        <v>1178.064</v>
      </c>
      <c r="BM677" s="71">
        <f>IFERROR(__xludf.DUMMYFUNCTION("""COMPUTED_VALUE"""),8540.964)</f>
        <v>8540.964</v>
      </c>
      <c r="BN677" s="71">
        <f>IFERROR(__xludf.DUMMYFUNCTION("""COMPUTED_VALUE"""),6953.849999999999)</f>
        <v>6953.85</v>
      </c>
      <c r="BO677" s="71">
        <f>IFERROR(__xludf.DUMMYFUNCTION("""COMPUTED_VALUE"""),1112.616)</f>
        <v>1112.616</v>
      </c>
      <c r="BP677" s="71">
        <f>IFERROR(__xludf.DUMMYFUNCTION("""COMPUTED_VALUE"""),8066.465999999999)</f>
        <v>8066.466</v>
      </c>
      <c r="BQ677" s="71">
        <f>IFERROR(__xludf.DUMMYFUNCTION("""COMPUTED_VALUE"""),6790.23)</f>
        <v>6790.23</v>
      </c>
      <c r="BR677" s="71">
        <f>IFERROR(__xludf.DUMMYFUNCTION("""COMPUTED_VALUE"""),1086.4368)</f>
        <v>1086.4368</v>
      </c>
      <c r="BS677" s="71">
        <f>IFERROR(__xludf.DUMMYFUNCTION("""COMPUTED_VALUE"""),7876.666799999999)</f>
        <v>7876.6668</v>
      </c>
      <c r="BT677" s="71">
        <f>IFERROR(__xludf.DUMMYFUNCTION("""COMPUTED_VALUE"""),6544.8)</f>
        <v>6544.8</v>
      </c>
      <c r="BU677" s="71">
        <f>IFERROR(__xludf.DUMMYFUNCTION("""COMPUTED_VALUE"""),1047.1680000000001)</f>
        <v>1047.168</v>
      </c>
      <c r="BV677" s="71">
        <f>IFERROR(__xludf.DUMMYFUNCTION("""COMPUTED_VALUE"""),7591.968000000001)</f>
        <v>7591.968</v>
      </c>
    </row>
    <row r="678">
      <c r="A678" s="53">
        <v>1.0</v>
      </c>
      <c r="B678" s="72"/>
      <c r="C678" s="73" t="s">
        <v>53</v>
      </c>
      <c r="D678" s="74" t="s">
        <v>1619</v>
      </c>
      <c r="E678" s="54" t="s">
        <v>38</v>
      </c>
      <c r="F678" s="54" t="s">
        <v>42</v>
      </c>
      <c r="G678" s="88" t="s">
        <v>1620</v>
      </c>
      <c r="H678" s="54" t="s">
        <v>1620</v>
      </c>
      <c r="I678" s="54">
        <f t="shared" si="24"/>
        <v>34</v>
      </c>
      <c r="J678" s="56"/>
      <c r="K678" s="75"/>
      <c r="L678" s="76"/>
      <c r="M678" s="59"/>
      <c r="N678" s="60">
        <v>756.0</v>
      </c>
      <c r="O678" s="61">
        <v>816.0</v>
      </c>
      <c r="P678" s="62">
        <v>881.2800000000001</v>
      </c>
      <c r="Q678" s="63">
        <v>881.2800000000001</v>
      </c>
      <c r="R678" s="64">
        <v>982.0</v>
      </c>
      <c r="S678" s="111">
        <v>1031.0</v>
      </c>
      <c r="T678" s="65">
        <f t="shared" si="2"/>
        <v>164.96</v>
      </c>
      <c r="U678" s="65">
        <f t="shared" si="3"/>
        <v>1195.96</v>
      </c>
      <c r="V678" s="66">
        <f t="shared" si="4"/>
        <v>0.04989816701</v>
      </c>
      <c r="W678" s="67">
        <f t="shared" si="5"/>
        <v>979.45</v>
      </c>
      <c r="X678" s="67">
        <f t="shared" si="6"/>
        <v>156.712</v>
      </c>
      <c r="Y678" s="67">
        <f t="shared" si="7"/>
        <v>1136.162</v>
      </c>
      <c r="Z678" s="67">
        <f t="shared" si="8"/>
        <v>927.9</v>
      </c>
      <c r="AA678" s="67">
        <f t="shared" si="9"/>
        <v>148.464</v>
      </c>
      <c r="AB678" s="67">
        <f t="shared" si="10"/>
        <v>1076.364</v>
      </c>
      <c r="AC678" s="67">
        <f t="shared" si="11"/>
        <v>876.35</v>
      </c>
      <c r="AD678" s="67">
        <f t="shared" si="12"/>
        <v>140.216</v>
      </c>
      <c r="AE678" s="67">
        <f t="shared" si="13"/>
        <v>1016.566</v>
      </c>
      <c r="AF678" s="67">
        <f t="shared" si="14"/>
        <v>855.73</v>
      </c>
      <c r="AG678" s="67">
        <f t="shared" si="15"/>
        <v>136.9168</v>
      </c>
      <c r="AH678" s="67">
        <f t="shared" si="16"/>
        <v>992.6468</v>
      </c>
      <c r="AI678" s="67">
        <f t="shared" si="17"/>
        <v>824.8</v>
      </c>
      <c r="AJ678" s="68">
        <f t="shared" si="31"/>
        <v>131.968</v>
      </c>
      <c r="AK678" s="68">
        <f t="shared" si="32"/>
        <v>956.768</v>
      </c>
      <c r="AL678" s="70">
        <f>IFERROR(__xludf.DUMMYFUNCTION("""COMPUTED_VALUE"""),1.0)</f>
        <v>1</v>
      </c>
      <c r="AM678" s="70"/>
      <c r="AN678" s="71" t="str">
        <f>IFERROR(__xludf.DUMMYFUNCTION("""COMPUTED_VALUE""")," P")</f>
        <v>P</v>
      </c>
      <c r="AO678" s="71" t="str">
        <f>IFERROR(__xludf.DUMMYFUNCTION("""COMPUTED_VALUE""")," JG199")</f>
        <v>JG199</v>
      </c>
      <c r="AP678" s="71" t="str">
        <f>IFERROR(__xludf.DUMMYFUNCTION("""COMPUTED_VALUE""")," JGO")</f>
        <v>JGO</v>
      </c>
      <c r="AQ678" s="71" t="str">
        <f>IFERROR(__xludf.DUMMYFUNCTION("""COMPUTED_VALUE""")," REF")</f>
        <v>REF</v>
      </c>
      <c r="AR678" s="71" t="str">
        <f>IFERROR(__xludf.DUMMYFUNCTION("""COMPUTED_VALUE""")," JUEGO DE BANDAS METÁLICAS SENCILLA TV-30")</f>
        <v>JUEGO DE BANDAS METÁLICAS SENCILLA TV-30</v>
      </c>
      <c r="AS678" s="71" t="str">
        <f>IFERROR(__xludf.DUMMYFUNCTION("""COMPUTED_VALUE""")," JUEGO BANDAS METALICAS SENCILLA TV-30")</f>
        <v>JUEGO BANDAS METALICAS SENCILLA TV-30</v>
      </c>
      <c r="AT678" s="71">
        <f>IFERROR(__xludf.DUMMYFUNCTION("""COMPUTED_VALUE"""),37.0)</f>
        <v>37</v>
      </c>
      <c r="AU678" s="71"/>
      <c r="AV678" s="71"/>
      <c r="AW678" s="71"/>
      <c r="AX678" s="71"/>
      <c r="AY678" s="71">
        <f>IFERROR(__xludf.DUMMYFUNCTION("""COMPUTED_VALUE"""),5914.0)</f>
        <v>5914</v>
      </c>
      <c r="AZ678" s="71">
        <f>IFERROR(__xludf.DUMMYFUNCTION("""COMPUTED_VALUE"""),5337.0)</f>
        <v>5337</v>
      </c>
      <c r="BA678" s="71">
        <f>IFERROR(__xludf.DUMMYFUNCTION("""COMPUTED_VALUE"""),5763.96)</f>
        <v>5763.96</v>
      </c>
      <c r="BB678" s="71">
        <f>IFERROR(__xludf.DUMMYFUNCTION("""COMPUTED_VALUE"""),5763.96)</f>
        <v>5763.96</v>
      </c>
      <c r="BC678" s="71">
        <f>IFERROR(__xludf.DUMMYFUNCTION("""COMPUTED_VALUE"""),6416.0)</f>
        <v>6416</v>
      </c>
      <c r="BD678" s="71">
        <f>IFERROR(__xludf.DUMMYFUNCTION("""COMPUTED_VALUE"""),6737.0)</f>
        <v>6737</v>
      </c>
      <c r="BE678" s="71">
        <f>IFERROR(__xludf.DUMMYFUNCTION("""COMPUTED_VALUE"""),1077.92)</f>
        <v>1077.92</v>
      </c>
      <c r="BF678" s="71">
        <f>IFERROR(__xludf.DUMMYFUNCTION("""COMPUTED_VALUE"""),7814.92)</f>
        <v>7814.92</v>
      </c>
      <c r="BG678" s="71">
        <f>IFERROR(__xludf.DUMMYFUNCTION("""COMPUTED_VALUE"""),0.050031172069825436)</f>
        <v>0.05003117207</v>
      </c>
      <c r="BH678" s="71">
        <f>IFERROR(__xludf.DUMMYFUNCTION("""COMPUTED_VALUE"""),6400.15)</f>
        <v>6400.15</v>
      </c>
      <c r="BI678" s="71">
        <f>IFERROR(__xludf.DUMMYFUNCTION("""COMPUTED_VALUE"""),1024.024)</f>
        <v>1024.024</v>
      </c>
      <c r="BJ678" s="71">
        <f>IFERROR(__xludf.DUMMYFUNCTION("""COMPUTED_VALUE"""),7424.173999999999)</f>
        <v>7424.174</v>
      </c>
      <c r="BK678" s="71">
        <f>IFERROR(__xludf.DUMMYFUNCTION("""COMPUTED_VALUE"""),6063.3)</f>
        <v>6063.3</v>
      </c>
      <c r="BL678" s="71">
        <f>IFERROR(__xludf.DUMMYFUNCTION("""COMPUTED_VALUE"""),970.128)</f>
        <v>970.128</v>
      </c>
      <c r="BM678" s="71">
        <f>IFERROR(__xludf.DUMMYFUNCTION("""COMPUTED_VALUE"""),7033.428)</f>
        <v>7033.428</v>
      </c>
      <c r="BN678" s="71">
        <f>IFERROR(__xludf.DUMMYFUNCTION("""COMPUTED_VALUE"""),5726.45)</f>
        <v>5726.45</v>
      </c>
      <c r="BO678" s="71">
        <f>IFERROR(__xludf.DUMMYFUNCTION("""COMPUTED_VALUE"""),916.232)</f>
        <v>916.232</v>
      </c>
      <c r="BP678" s="71">
        <f>IFERROR(__xludf.DUMMYFUNCTION("""COMPUTED_VALUE"""),6642.682)</f>
        <v>6642.682</v>
      </c>
      <c r="BQ678" s="71">
        <f>IFERROR(__xludf.DUMMYFUNCTION("""COMPUTED_VALUE"""),5591.71)</f>
        <v>5591.71</v>
      </c>
      <c r="BR678" s="71">
        <f>IFERROR(__xludf.DUMMYFUNCTION("""COMPUTED_VALUE"""),894.6736000000001)</f>
        <v>894.6736</v>
      </c>
      <c r="BS678" s="71">
        <f>IFERROR(__xludf.DUMMYFUNCTION("""COMPUTED_VALUE"""),6486.3836)</f>
        <v>6486.3836</v>
      </c>
      <c r="BT678" s="71">
        <f>IFERROR(__xludf.DUMMYFUNCTION("""COMPUTED_VALUE"""),5389.6)</f>
        <v>5389.6</v>
      </c>
      <c r="BU678" s="71">
        <f>IFERROR(__xludf.DUMMYFUNCTION("""COMPUTED_VALUE"""),862.3360000000001)</f>
        <v>862.336</v>
      </c>
      <c r="BV678" s="71">
        <f>IFERROR(__xludf.DUMMYFUNCTION("""COMPUTED_VALUE"""),6251.936000000001)</f>
        <v>6251.936</v>
      </c>
    </row>
    <row r="679">
      <c r="A679" s="53">
        <v>1.0</v>
      </c>
      <c r="B679" s="72"/>
      <c r="C679" s="73" t="s">
        <v>53</v>
      </c>
      <c r="D679" s="74" t="s">
        <v>1621</v>
      </c>
      <c r="E679" s="54" t="s">
        <v>38</v>
      </c>
      <c r="F679" s="54" t="s">
        <v>42</v>
      </c>
      <c r="G679" s="88" t="s">
        <v>1622</v>
      </c>
      <c r="H679" s="54" t="s">
        <v>1622</v>
      </c>
      <c r="I679" s="54">
        <f t="shared" si="24"/>
        <v>32</v>
      </c>
      <c r="J679" s="56"/>
      <c r="K679" s="75"/>
      <c r="L679" s="76"/>
      <c r="M679" s="59"/>
      <c r="N679" s="60">
        <v>256.0</v>
      </c>
      <c r="O679" s="61">
        <v>276.0</v>
      </c>
      <c r="P679" s="62">
        <v>298.08000000000004</v>
      </c>
      <c r="Q679" s="63">
        <v>298.08000000000004</v>
      </c>
      <c r="R679" s="64">
        <v>332.0</v>
      </c>
      <c r="S679" s="111">
        <v>349.0</v>
      </c>
      <c r="T679" s="65">
        <f t="shared" si="2"/>
        <v>55.84</v>
      </c>
      <c r="U679" s="65">
        <f t="shared" si="3"/>
        <v>404.84</v>
      </c>
      <c r="V679" s="66">
        <f t="shared" si="4"/>
        <v>0.05120481928</v>
      </c>
      <c r="W679" s="67">
        <f t="shared" si="5"/>
        <v>331.55</v>
      </c>
      <c r="X679" s="67">
        <f t="shared" si="6"/>
        <v>53.048</v>
      </c>
      <c r="Y679" s="67">
        <f t="shared" si="7"/>
        <v>384.598</v>
      </c>
      <c r="Z679" s="67">
        <f t="shared" si="8"/>
        <v>314.1</v>
      </c>
      <c r="AA679" s="67">
        <f t="shared" si="9"/>
        <v>50.256</v>
      </c>
      <c r="AB679" s="67">
        <f t="shared" si="10"/>
        <v>364.356</v>
      </c>
      <c r="AC679" s="67">
        <f t="shared" si="11"/>
        <v>296.65</v>
      </c>
      <c r="AD679" s="67">
        <f t="shared" si="12"/>
        <v>47.464</v>
      </c>
      <c r="AE679" s="67">
        <f t="shared" si="13"/>
        <v>344.114</v>
      </c>
      <c r="AF679" s="67">
        <f t="shared" si="14"/>
        <v>289.67</v>
      </c>
      <c r="AG679" s="67">
        <f t="shared" si="15"/>
        <v>46.3472</v>
      </c>
      <c r="AH679" s="67">
        <f t="shared" si="16"/>
        <v>336.0172</v>
      </c>
      <c r="AI679" s="67">
        <f t="shared" si="17"/>
        <v>279.2</v>
      </c>
      <c r="AJ679" s="68">
        <f t="shared" si="31"/>
        <v>44.672</v>
      </c>
      <c r="AK679" s="68">
        <f t="shared" si="32"/>
        <v>323.872</v>
      </c>
      <c r="AL679" s="70">
        <f>IFERROR(__xludf.DUMMYFUNCTION("""COMPUTED_VALUE"""),1.0)</f>
        <v>1</v>
      </c>
      <c r="AM679" s="70"/>
      <c r="AN679" s="71" t="str">
        <f>IFERROR(__xludf.DUMMYFUNCTION("""COMPUTED_VALUE""")," P")</f>
        <v>P</v>
      </c>
      <c r="AO679" s="71" t="str">
        <f>IFERROR(__xludf.DUMMYFUNCTION("""COMPUTED_VALUE""")," JG200")</f>
        <v>JG200</v>
      </c>
      <c r="AP679" s="71" t="str">
        <f>IFERROR(__xludf.DUMMYFUNCTION("""COMPUTED_VALUE""")," JGO")</f>
        <v>JGO</v>
      </c>
      <c r="AQ679" s="71" t="str">
        <f>IFERROR(__xludf.DUMMYFUNCTION("""COMPUTED_VALUE""")," REF")</f>
        <v>REF</v>
      </c>
      <c r="AR679" s="71" t="str">
        <f>IFERROR(__xludf.DUMMYFUNCTION("""COMPUTED_VALUE""")," JUEGO DE BANDAS METÁLICAS SENCILLA TV-40")</f>
        <v>JUEGO DE BANDAS METÁLICAS SENCILLA TV-40</v>
      </c>
      <c r="AS679" s="71" t="str">
        <f>IFERROR(__xludf.DUMMYFUNCTION("""COMPUTED_VALUE""")," JUEGO BANDAS METALICAS SENCILLA TV-40")</f>
        <v>JUEGO BANDAS METALICAS SENCILLA TV-40</v>
      </c>
      <c r="AT679" s="71">
        <f>IFERROR(__xludf.DUMMYFUNCTION("""COMPUTED_VALUE"""),37.0)</f>
        <v>37</v>
      </c>
      <c r="AU679" s="71"/>
      <c r="AV679" s="71"/>
      <c r="AW679" s="71"/>
      <c r="AX679" s="71"/>
      <c r="AY679" s="71">
        <f>IFERROR(__xludf.DUMMYFUNCTION("""COMPUTED_VALUE"""),6662.0)</f>
        <v>6662</v>
      </c>
      <c r="AZ679" s="71">
        <f>IFERROR(__xludf.DUMMYFUNCTION("""COMPUTED_VALUE"""),6013.0)</f>
        <v>6013</v>
      </c>
      <c r="BA679" s="71">
        <f>IFERROR(__xludf.DUMMYFUNCTION("""COMPUTED_VALUE"""),6494.040000000001)</f>
        <v>6494.04</v>
      </c>
      <c r="BB679" s="71">
        <f>IFERROR(__xludf.DUMMYFUNCTION("""COMPUTED_VALUE"""),6494.040000000001)</f>
        <v>6494.04</v>
      </c>
      <c r="BC679" s="71">
        <f>IFERROR(__xludf.DUMMYFUNCTION("""COMPUTED_VALUE"""),7229.0)</f>
        <v>7229</v>
      </c>
      <c r="BD679" s="71">
        <f>IFERROR(__xludf.DUMMYFUNCTION("""COMPUTED_VALUE"""),7590.0)</f>
        <v>7590</v>
      </c>
      <c r="BE679" s="71">
        <f>IFERROR(__xludf.DUMMYFUNCTION("""COMPUTED_VALUE"""),1214.4)</f>
        <v>1214.4</v>
      </c>
      <c r="BF679" s="71">
        <f>IFERROR(__xludf.DUMMYFUNCTION("""COMPUTED_VALUE"""),8804.4)</f>
        <v>8804.4</v>
      </c>
      <c r="BG679" s="71">
        <f>IFERROR(__xludf.DUMMYFUNCTION("""COMPUTED_VALUE"""),0.04993775072624153)</f>
        <v>0.04993775073</v>
      </c>
      <c r="BH679" s="71">
        <f>IFERROR(__xludf.DUMMYFUNCTION("""COMPUTED_VALUE"""),7210.5)</f>
        <v>7210.5</v>
      </c>
      <c r="BI679" s="71">
        <f>IFERROR(__xludf.DUMMYFUNCTION("""COMPUTED_VALUE"""),1153.68)</f>
        <v>1153.68</v>
      </c>
      <c r="BJ679" s="71">
        <f>IFERROR(__xludf.DUMMYFUNCTION("""COMPUTED_VALUE"""),8364.18)</f>
        <v>8364.18</v>
      </c>
      <c r="BK679" s="71">
        <f>IFERROR(__xludf.DUMMYFUNCTION("""COMPUTED_VALUE"""),6831.0)</f>
        <v>6831</v>
      </c>
      <c r="BL679" s="71">
        <f>IFERROR(__xludf.DUMMYFUNCTION("""COMPUTED_VALUE"""),1092.96)</f>
        <v>1092.96</v>
      </c>
      <c r="BM679" s="71">
        <f>IFERROR(__xludf.DUMMYFUNCTION("""COMPUTED_VALUE"""),7923.96)</f>
        <v>7923.96</v>
      </c>
      <c r="BN679" s="71">
        <f>IFERROR(__xludf.DUMMYFUNCTION("""COMPUTED_VALUE"""),6451.5)</f>
        <v>6451.5</v>
      </c>
      <c r="BO679" s="71">
        <f>IFERROR(__xludf.DUMMYFUNCTION("""COMPUTED_VALUE"""),1032.24)</f>
        <v>1032.24</v>
      </c>
      <c r="BP679" s="71">
        <f>IFERROR(__xludf.DUMMYFUNCTION("""COMPUTED_VALUE"""),7483.74)</f>
        <v>7483.74</v>
      </c>
      <c r="BQ679" s="71">
        <f>IFERROR(__xludf.DUMMYFUNCTION("""COMPUTED_VALUE"""),6299.7)</f>
        <v>6299.7</v>
      </c>
      <c r="BR679" s="71">
        <f>IFERROR(__xludf.DUMMYFUNCTION("""COMPUTED_VALUE"""),1007.952)</f>
        <v>1007.952</v>
      </c>
      <c r="BS679" s="71">
        <f>IFERROR(__xludf.DUMMYFUNCTION("""COMPUTED_VALUE"""),7307.652)</f>
        <v>7307.652</v>
      </c>
      <c r="BT679" s="71">
        <f>IFERROR(__xludf.DUMMYFUNCTION("""COMPUTED_VALUE"""),6072.0)</f>
        <v>6072</v>
      </c>
      <c r="BU679" s="71">
        <f>IFERROR(__xludf.DUMMYFUNCTION("""COMPUTED_VALUE"""),971.52)</f>
        <v>971.52</v>
      </c>
      <c r="BV679" s="71">
        <f>IFERROR(__xludf.DUMMYFUNCTION("""COMPUTED_VALUE"""),7043.52)</f>
        <v>7043.52</v>
      </c>
    </row>
    <row r="680">
      <c r="A680" s="53">
        <v>1.0</v>
      </c>
      <c r="B680" s="72"/>
      <c r="C680" s="73" t="s">
        <v>53</v>
      </c>
      <c r="D680" s="74" t="s">
        <v>1623</v>
      </c>
      <c r="E680" s="54" t="s">
        <v>38</v>
      </c>
      <c r="F680" s="54" t="s">
        <v>42</v>
      </c>
      <c r="G680" s="88" t="s">
        <v>1624</v>
      </c>
      <c r="H680" s="54" t="s">
        <v>1624</v>
      </c>
      <c r="I680" s="54">
        <f t="shared" si="24"/>
        <v>37</v>
      </c>
      <c r="J680" s="56"/>
      <c r="K680" s="75"/>
      <c r="L680" s="76"/>
      <c r="M680" s="59"/>
      <c r="N680" s="60">
        <v>802.0</v>
      </c>
      <c r="O680" s="61">
        <v>866.0</v>
      </c>
      <c r="P680" s="62">
        <v>935.2800000000001</v>
      </c>
      <c r="Q680" s="63">
        <v>935.2800000000001</v>
      </c>
      <c r="R680" s="64">
        <v>1042.0</v>
      </c>
      <c r="S680" s="111">
        <v>1094.0</v>
      </c>
      <c r="T680" s="65">
        <f t="shared" si="2"/>
        <v>175.04</v>
      </c>
      <c r="U680" s="65">
        <f t="shared" si="3"/>
        <v>1269.04</v>
      </c>
      <c r="V680" s="66">
        <f t="shared" si="4"/>
        <v>0.04990403071</v>
      </c>
      <c r="W680" s="67">
        <f t="shared" si="5"/>
        <v>1039.3</v>
      </c>
      <c r="X680" s="67">
        <f t="shared" si="6"/>
        <v>166.288</v>
      </c>
      <c r="Y680" s="67">
        <f t="shared" si="7"/>
        <v>1205.588</v>
      </c>
      <c r="Z680" s="67">
        <f t="shared" si="8"/>
        <v>984.6</v>
      </c>
      <c r="AA680" s="67">
        <f t="shared" si="9"/>
        <v>157.536</v>
      </c>
      <c r="AB680" s="67">
        <f t="shared" si="10"/>
        <v>1142.136</v>
      </c>
      <c r="AC680" s="67">
        <f t="shared" si="11"/>
        <v>929.9</v>
      </c>
      <c r="AD680" s="67">
        <f t="shared" si="12"/>
        <v>148.784</v>
      </c>
      <c r="AE680" s="67">
        <f t="shared" si="13"/>
        <v>1078.684</v>
      </c>
      <c r="AF680" s="67">
        <f t="shared" si="14"/>
        <v>908.02</v>
      </c>
      <c r="AG680" s="67">
        <f t="shared" si="15"/>
        <v>145.2832</v>
      </c>
      <c r="AH680" s="67">
        <f t="shared" si="16"/>
        <v>1053.3032</v>
      </c>
      <c r="AI680" s="67">
        <f t="shared" si="17"/>
        <v>875.2</v>
      </c>
      <c r="AJ680" s="68">
        <f t="shared" si="31"/>
        <v>140.032</v>
      </c>
      <c r="AK680" s="68">
        <f t="shared" si="32"/>
        <v>1015.232</v>
      </c>
      <c r="AL680" s="70">
        <f>IFERROR(__xludf.DUMMYFUNCTION("""COMPUTED_VALUE"""),1.0)</f>
        <v>1</v>
      </c>
      <c r="AM680" s="70"/>
      <c r="AN680" s="71" t="str">
        <f>IFERROR(__xludf.DUMMYFUNCTION("""COMPUTED_VALUE""")," P")</f>
        <v>P</v>
      </c>
      <c r="AO680" s="71" t="str">
        <f>IFERROR(__xludf.DUMMYFUNCTION("""COMPUTED_VALUE""")," JG196")</f>
        <v>JG196</v>
      </c>
      <c r="AP680" s="71" t="str">
        <f>IFERROR(__xludf.DUMMYFUNCTION("""COMPUTED_VALUE""")," JGO")</f>
        <v>JGO</v>
      </c>
      <c r="AQ680" s="71" t="str">
        <f>IFERROR(__xludf.DUMMYFUNCTION("""COMPUTED_VALUE""")," REF")</f>
        <v>REF</v>
      </c>
      <c r="AR680" s="71" t="str">
        <f>IFERROR(__xludf.DUMMYFUNCTION("""COMPUTED_VALUE""")," JUEGO DE BANDAS METÁLICAS SENCILLA TV-50 (B.C.)")</f>
        <v>JUEGO DE BANDAS METÁLICAS SENCILLA TV-50 (B.C.)</v>
      </c>
      <c r="AS680" s="71" t="str">
        <f>IFERROR(__xludf.DUMMYFUNCTION("""COMPUTED_VALUE""")," JUEGO BANDAS METALICAS SENCILLA TV/BC")</f>
        <v>JUEGO BANDAS METALICAS SENCILLA TV/BC</v>
      </c>
      <c r="AT680" s="71">
        <f>IFERROR(__xludf.DUMMYFUNCTION("""COMPUTED_VALUE"""),37.0)</f>
        <v>37</v>
      </c>
      <c r="AU680" s="71"/>
      <c r="AV680" s="71"/>
      <c r="AW680" s="71"/>
      <c r="AX680" s="71"/>
      <c r="AY680" s="71">
        <f>IFERROR(__xludf.DUMMYFUNCTION("""COMPUTED_VALUE"""),7882.0)</f>
        <v>7882</v>
      </c>
      <c r="AZ680" s="71">
        <f>IFERROR(__xludf.DUMMYFUNCTION("""COMPUTED_VALUE"""),7114.0)</f>
        <v>7114</v>
      </c>
      <c r="BA680" s="71">
        <f>IFERROR(__xludf.DUMMYFUNCTION("""COMPUTED_VALUE"""),7683.120000000001)</f>
        <v>7683.12</v>
      </c>
      <c r="BB680" s="71">
        <f>IFERROR(__xludf.DUMMYFUNCTION("""COMPUTED_VALUE"""),7683.120000000001)</f>
        <v>7683.12</v>
      </c>
      <c r="BC680" s="71">
        <f>IFERROR(__xludf.DUMMYFUNCTION("""COMPUTED_VALUE"""),8553.0)</f>
        <v>8553</v>
      </c>
      <c r="BD680" s="71">
        <f>IFERROR(__xludf.DUMMYFUNCTION("""COMPUTED_VALUE"""),8981.0)</f>
        <v>8981</v>
      </c>
      <c r="BE680" s="71">
        <f>IFERROR(__xludf.DUMMYFUNCTION("""COMPUTED_VALUE"""),1436.96)</f>
        <v>1436.96</v>
      </c>
      <c r="BF680" s="71">
        <f>IFERROR(__xludf.DUMMYFUNCTION("""COMPUTED_VALUE"""),10417.96)</f>
        <v>10417.96</v>
      </c>
      <c r="BG680" s="71">
        <f>IFERROR(__xludf.DUMMYFUNCTION("""COMPUTED_VALUE"""),0.05004092131415878)</f>
        <v>0.05004092131</v>
      </c>
      <c r="BH680" s="71">
        <f>IFERROR(__xludf.DUMMYFUNCTION("""COMPUTED_VALUE"""),8531.949999999999)</f>
        <v>8531.95</v>
      </c>
      <c r="BI680" s="71">
        <f>IFERROR(__xludf.DUMMYFUNCTION("""COMPUTED_VALUE"""),1365.1119999999999)</f>
        <v>1365.112</v>
      </c>
      <c r="BJ680" s="71">
        <f>IFERROR(__xludf.DUMMYFUNCTION("""COMPUTED_VALUE"""),9897.061999999998)</f>
        <v>9897.062</v>
      </c>
      <c r="BK680" s="71">
        <f>IFERROR(__xludf.DUMMYFUNCTION("""COMPUTED_VALUE"""),8082.900000000001)</f>
        <v>8082.9</v>
      </c>
      <c r="BL680" s="71">
        <f>IFERROR(__xludf.DUMMYFUNCTION("""COMPUTED_VALUE"""),1293.2640000000001)</f>
        <v>1293.264</v>
      </c>
      <c r="BM680" s="71">
        <f>IFERROR(__xludf.DUMMYFUNCTION("""COMPUTED_VALUE"""),9376.164)</f>
        <v>9376.164</v>
      </c>
      <c r="BN680" s="71">
        <f>IFERROR(__xludf.DUMMYFUNCTION("""COMPUTED_VALUE"""),7633.849999999999)</f>
        <v>7633.85</v>
      </c>
      <c r="BO680" s="71">
        <f>IFERROR(__xludf.DUMMYFUNCTION("""COMPUTED_VALUE"""),1221.416)</f>
        <v>1221.416</v>
      </c>
      <c r="BP680" s="71">
        <f>IFERROR(__xludf.DUMMYFUNCTION("""COMPUTED_VALUE"""),8855.266)</f>
        <v>8855.266</v>
      </c>
      <c r="BQ680" s="71">
        <f>IFERROR(__xludf.DUMMYFUNCTION("""COMPUTED_VALUE"""),7454.23)</f>
        <v>7454.23</v>
      </c>
      <c r="BR680" s="71">
        <f>IFERROR(__xludf.DUMMYFUNCTION("""COMPUTED_VALUE"""),1192.6768)</f>
        <v>1192.6768</v>
      </c>
      <c r="BS680" s="71">
        <f>IFERROR(__xludf.DUMMYFUNCTION("""COMPUTED_VALUE"""),8646.906799999999)</f>
        <v>8646.9068</v>
      </c>
      <c r="BT680" s="71">
        <f>IFERROR(__xludf.DUMMYFUNCTION("""COMPUTED_VALUE"""),7184.8)</f>
        <v>7184.8</v>
      </c>
      <c r="BU680" s="71">
        <f>IFERROR(__xludf.DUMMYFUNCTION("""COMPUTED_VALUE"""),1149.568)</f>
        <v>1149.568</v>
      </c>
      <c r="BV680" s="71">
        <f>IFERROR(__xludf.DUMMYFUNCTION("""COMPUTED_VALUE"""),8334.368)</f>
        <v>8334.368</v>
      </c>
    </row>
    <row r="681">
      <c r="A681" s="53">
        <v>1.0</v>
      </c>
      <c r="B681" s="72"/>
      <c r="C681" s="73" t="s">
        <v>53</v>
      </c>
      <c r="D681" s="74" t="s">
        <v>1625</v>
      </c>
      <c r="E681" s="54" t="s">
        <v>38</v>
      </c>
      <c r="F681" s="54" t="s">
        <v>42</v>
      </c>
      <c r="G681" s="88" t="s">
        <v>1626</v>
      </c>
      <c r="H681" s="54" t="s">
        <v>1626</v>
      </c>
      <c r="I681" s="54">
        <f t="shared" si="24"/>
        <v>35</v>
      </c>
      <c r="J681" s="56"/>
      <c r="K681" s="75"/>
      <c r="L681" s="76"/>
      <c r="M681" s="59"/>
      <c r="N681" s="60">
        <v>289.0</v>
      </c>
      <c r="O681" s="61">
        <v>312.0</v>
      </c>
      <c r="P681" s="62">
        <v>336.96000000000004</v>
      </c>
      <c r="Q681" s="63">
        <v>336.96000000000004</v>
      </c>
      <c r="R681" s="64">
        <v>376.0</v>
      </c>
      <c r="S681" s="111">
        <v>395.0</v>
      </c>
      <c r="T681" s="65">
        <f t="shared" si="2"/>
        <v>63.2</v>
      </c>
      <c r="U681" s="65">
        <f t="shared" si="3"/>
        <v>458.2</v>
      </c>
      <c r="V681" s="66">
        <f t="shared" si="4"/>
        <v>0.05053191489</v>
      </c>
      <c r="W681" s="67">
        <f t="shared" si="5"/>
        <v>375.25</v>
      </c>
      <c r="X681" s="67">
        <f t="shared" si="6"/>
        <v>60.04</v>
      </c>
      <c r="Y681" s="67">
        <f t="shared" si="7"/>
        <v>435.29</v>
      </c>
      <c r="Z681" s="67">
        <f t="shared" si="8"/>
        <v>355.5</v>
      </c>
      <c r="AA681" s="67">
        <f t="shared" si="9"/>
        <v>56.88</v>
      </c>
      <c r="AB681" s="67">
        <f t="shared" si="10"/>
        <v>412.38</v>
      </c>
      <c r="AC681" s="67">
        <f t="shared" si="11"/>
        <v>335.75</v>
      </c>
      <c r="AD681" s="67">
        <f t="shared" si="12"/>
        <v>53.72</v>
      </c>
      <c r="AE681" s="67">
        <f t="shared" si="13"/>
        <v>389.47</v>
      </c>
      <c r="AF681" s="67">
        <f t="shared" si="14"/>
        <v>327.85</v>
      </c>
      <c r="AG681" s="67">
        <f t="shared" si="15"/>
        <v>52.456</v>
      </c>
      <c r="AH681" s="67">
        <f t="shared" si="16"/>
        <v>380.306</v>
      </c>
      <c r="AI681" s="67">
        <f t="shared" si="17"/>
        <v>316</v>
      </c>
      <c r="AJ681" s="68">
        <f t="shared" si="31"/>
        <v>50.56</v>
      </c>
      <c r="AK681" s="68">
        <f t="shared" si="32"/>
        <v>366.56</v>
      </c>
      <c r="AL681" s="70">
        <f>IFERROR(__xludf.DUMMYFUNCTION("""COMPUTED_VALUE"""),1.0)</f>
        <v>1</v>
      </c>
      <c r="AM681" s="70"/>
      <c r="AN681" s="71" t="str">
        <f>IFERROR(__xludf.DUMMYFUNCTION("""COMPUTED_VALUE""")," CP")</f>
        <v>CP</v>
      </c>
      <c r="AO681" s="71" t="str">
        <f>IFERROR(__xludf.DUMMYFUNCTION("""COMPUTED_VALUE""")," JGB2")</f>
        <v>JGB2</v>
      </c>
      <c r="AP681" s="71" t="str">
        <f>IFERROR(__xludf.DUMMYFUNCTION("""COMPUTED_VALUE""")," JGO")</f>
        <v>JGO</v>
      </c>
      <c r="AQ681" s="71" t="str">
        <f>IFERROR(__xludf.DUMMYFUNCTION("""COMPUTED_VALUE""")," REF")</f>
        <v>REF</v>
      </c>
      <c r="AR681" s="71" t="str">
        <f>IFERROR(__xludf.DUMMYFUNCTION("""COMPUTED_VALUE""")," JUEGO DE BIKINIS PARA MAQ. DE RODILLOS DE PIEDRA")</f>
        <v>JUEGO DE BIKINIS PARA MAQ. DE RODILLOS DE PIEDRA</v>
      </c>
      <c r="AS681" s="71" t="str">
        <f>IFERROR(__xludf.DUMMYFUNCTION("""COMPUTED_VALUE""")," JUEGO BIKINIS P/MAQ RODILLOS PIEDRA")</f>
        <v>JUEGO BIKINIS P/MAQ RODILLOS PIEDRA</v>
      </c>
      <c r="AT681" s="71">
        <f>IFERROR(__xludf.DUMMYFUNCTION("""COMPUTED_VALUE"""),35.0)</f>
        <v>35</v>
      </c>
      <c r="AU681" s="71"/>
      <c r="AV681" s="71"/>
      <c r="AW681" s="71"/>
      <c r="AX681" s="71"/>
      <c r="AY681" s="71">
        <f>IFERROR(__xludf.DUMMYFUNCTION("""COMPUTED_VALUE"""),125.0)</f>
        <v>125</v>
      </c>
      <c r="AZ681" s="71">
        <f>IFERROR(__xludf.DUMMYFUNCTION("""COMPUTED_VALUE"""),135.0)</f>
        <v>135</v>
      </c>
      <c r="BA681" s="71">
        <f>IFERROR(__xludf.DUMMYFUNCTION("""COMPUTED_VALUE"""),145.8)</f>
        <v>145.8</v>
      </c>
      <c r="BB681" s="71">
        <f>IFERROR(__xludf.DUMMYFUNCTION("""COMPUTED_VALUE"""),145.8)</f>
        <v>145.8</v>
      </c>
      <c r="BC681" s="71">
        <f>IFERROR(__xludf.DUMMYFUNCTION("""COMPUTED_VALUE"""),163.0)</f>
        <v>163</v>
      </c>
      <c r="BD681" s="71">
        <f>IFERROR(__xludf.DUMMYFUNCTION("""COMPUTED_VALUE"""),171.0)</f>
        <v>171</v>
      </c>
      <c r="BE681" s="71">
        <f>IFERROR(__xludf.DUMMYFUNCTION("""COMPUTED_VALUE"""),27.36)</f>
        <v>27.36</v>
      </c>
      <c r="BF681" s="71">
        <f>IFERROR(__xludf.DUMMYFUNCTION("""COMPUTED_VALUE"""),198.36)</f>
        <v>198.36</v>
      </c>
      <c r="BG681" s="71">
        <f>IFERROR(__xludf.DUMMYFUNCTION("""COMPUTED_VALUE"""),0.049079754601226995)</f>
        <v>0.0490797546</v>
      </c>
      <c r="BH681" s="71">
        <f>IFERROR(__xludf.DUMMYFUNCTION("""COMPUTED_VALUE"""),162.45)</f>
        <v>162.45</v>
      </c>
      <c r="BI681" s="71">
        <f>IFERROR(__xludf.DUMMYFUNCTION("""COMPUTED_VALUE"""),25.991999999999997)</f>
        <v>25.992</v>
      </c>
      <c r="BJ681" s="71">
        <f>IFERROR(__xludf.DUMMYFUNCTION("""COMPUTED_VALUE"""),188.44199999999998)</f>
        <v>188.442</v>
      </c>
      <c r="BK681" s="71">
        <f>IFERROR(__xludf.DUMMYFUNCTION("""COMPUTED_VALUE"""),153.9)</f>
        <v>153.9</v>
      </c>
      <c r="BL681" s="71">
        <f>IFERROR(__xludf.DUMMYFUNCTION("""COMPUTED_VALUE"""),24.624000000000002)</f>
        <v>24.624</v>
      </c>
      <c r="BM681" s="71">
        <f>IFERROR(__xludf.DUMMYFUNCTION("""COMPUTED_VALUE"""),178.524)</f>
        <v>178.524</v>
      </c>
      <c r="BN681" s="71">
        <f>IFERROR(__xludf.DUMMYFUNCTION("""COMPUTED_VALUE"""),145.35)</f>
        <v>145.35</v>
      </c>
      <c r="BO681" s="71">
        <f>IFERROR(__xludf.DUMMYFUNCTION("""COMPUTED_VALUE"""),23.256)</f>
        <v>23.256</v>
      </c>
      <c r="BP681" s="71">
        <f>IFERROR(__xludf.DUMMYFUNCTION("""COMPUTED_VALUE"""),168.606)</f>
        <v>168.606</v>
      </c>
      <c r="BQ681" s="71">
        <f>IFERROR(__xludf.DUMMYFUNCTION("""COMPUTED_VALUE"""),141.93)</f>
        <v>141.93</v>
      </c>
      <c r="BR681" s="71">
        <f>IFERROR(__xludf.DUMMYFUNCTION("""COMPUTED_VALUE"""),22.7088)</f>
        <v>22.7088</v>
      </c>
      <c r="BS681" s="71">
        <f>IFERROR(__xludf.DUMMYFUNCTION("""COMPUTED_VALUE"""),164.6388)</f>
        <v>164.6388</v>
      </c>
      <c r="BT681" s="71">
        <f>IFERROR(__xludf.DUMMYFUNCTION("""COMPUTED_VALUE"""),136.8)</f>
        <v>136.8</v>
      </c>
      <c r="BU681" s="71">
        <f>IFERROR(__xludf.DUMMYFUNCTION("""COMPUTED_VALUE"""),21.888)</f>
        <v>21.888</v>
      </c>
      <c r="BV681" s="71">
        <f>IFERROR(__xludf.DUMMYFUNCTION("""COMPUTED_VALUE"""),158.68800000000002)</f>
        <v>158.688</v>
      </c>
    </row>
    <row r="682">
      <c r="A682" s="53"/>
      <c r="B682" s="53">
        <v>3.0</v>
      </c>
      <c r="C682" s="53" t="s">
        <v>36</v>
      </c>
      <c r="D682" s="98" t="s">
        <v>1627</v>
      </c>
      <c r="E682" s="54" t="s">
        <v>38</v>
      </c>
      <c r="F682" s="55" t="s">
        <v>96</v>
      </c>
      <c r="G682" s="81" t="s">
        <v>1628</v>
      </c>
      <c r="H682" s="81"/>
      <c r="I682" s="54">
        <f t="shared" si="24"/>
        <v>0</v>
      </c>
      <c r="J682" s="99"/>
      <c r="K682" s="99"/>
      <c r="L682" s="76"/>
      <c r="M682" s="59"/>
      <c r="N682" s="60"/>
      <c r="O682" s="100">
        <v>13349.0</v>
      </c>
      <c r="P682" s="62">
        <v>14416.92</v>
      </c>
      <c r="Q682" s="63">
        <v>14416.92</v>
      </c>
      <c r="R682" s="64">
        <v>15895.0</v>
      </c>
      <c r="S682" s="107">
        <v>16690.0</v>
      </c>
      <c r="T682" s="65">
        <f t="shared" si="2"/>
        <v>2670.4</v>
      </c>
      <c r="U682" s="65">
        <f t="shared" si="3"/>
        <v>19360.4</v>
      </c>
      <c r="V682" s="66">
        <f t="shared" si="4"/>
        <v>0.05001572822</v>
      </c>
      <c r="W682" s="67">
        <f t="shared" si="5"/>
        <v>15855.5</v>
      </c>
      <c r="X682" s="67">
        <f t="shared" si="6"/>
        <v>2536.88</v>
      </c>
      <c r="Y682" s="67">
        <f t="shared" si="7"/>
        <v>18392.38</v>
      </c>
      <c r="Z682" s="67">
        <f t="shared" si="8"/>
        <v>15021</v>
      </c>
      <c r="AA682" s="67">
        <f t="shared" si="9"/>
        <v>2403.36</v>
      </c>
      <c r="AB682" s="67">
        <f t="shared" si="10"/>
        <v>17424.36</v>
      </c>
      <c r="AC682" s="67">
        <f t="shared" si="11"/>
        <v>15021</v>
      </c>
      <c r="AD682" s="67">
        <f t="shared" si="12"/>
        <v>2403.36</v>
      </c>
      <c r="AE682" s="67">
        <f t="shared" si="13"/>
        <v>17424.36</v>
      </c>
      <c r="AF682" s="67">
        <f t="shared" si="14"/>
        <v>15021</v>
      </c>
      <c r="AG682" s="67">
        <f t="shared" si="15"/>
        <v>2403.36</v>
      </c>
      <c r="AH682" s="67">
        <f t="shared" si="16"/>
        <v>17424.36</v>
      </c>
      <c r="AI682" s="67">
        <f t="shared" si="17"/>
        <v>15021</v>
      </c>
      <c r="AJ682" s="68">
        <f t="shared" si="31"/>
        <v>2403.36</v>
      </c>
      <c r="AK682" s="68">
        <f t="shared" si="32"/>
        <v>17424.36</v>
      </c>
      <c r="AL682" s="70">
        <f>IFERROR(__xludf.DUMMYFUNCTION("""COMPUTED_VALUE"""),1.0)</f>
        <v>1</v>
      </c>
      <c r="AM682" s="70"/>
      <c r="AN682" s="71" t="str">
        <f>IFERROR(__xludf.DUMMYFUNCTION("""COMPUTED_VALUE""")," CP")</f>
        <v>CP</v>
      </c>
      <c r="AO682" s="71" t="str">
        <f>IFERROR(__xludf.DUMMYFUNCTION("""COMPUTED_VALUE""")," JGB3")</f>
        <v>JGB3</v>
      </c>
      <c r="AP682" s="71" t="str">
        <f>IFERROR(__xludf.DUMMYFUNCTION("""COMPUTED_VALUE""")," JGO")</f>
        <v>JGO</v>
      </c>
      <c r="AQ682" s="71" t="str">
        <f>IFERROR(__xludf.DUMMYFUNCTION("""COMPUTED_VALUE""")," REF")</f>
        <v>REF</v>
      </c>
      <c r="AR682" s="71" t="str">
        <f>IFERROR(__xludf.DUMMYFUNCTION("""COMPUTED_VALUE""")," JUEGO DE BIKINIS PARA MAQ. DE RODILLOS NO. 4")</f>
        <v>JUEGO DE BIKINIS PARA MAQ. DE RODILLOS NO. 4</v>
      </c>
      <c r="AS682" s="71" t="str">
        <f>IFERROR(__xludf.DUMMYFUNCTION("""COMPUTED_VALUE""")," JUEGO BIKINIS PARA MAQ DE RODILLOS NO4")</f>
        <v>JUEGO BIKINIS PARA MAQ DE RODILLOS NO4</v>
      </c>
      <c r="AT682" s="71">
        <f>IFERROR(__xludf.DUMMYFUNCTION("""COMPUTED_VALUE"""),38.0)</f>
        <v>38</v>
      </c>
      <c r="AU682" s="71"/>
      <c r="AV682" s="71"/>
      <c r="AW682" s="71"/>
      <c r="AX682" s="71"/>
      <c r="AY682" s="71">
        <f>IFERROR(__xludf.DUMMYFUNCTION("""COMPUTED_VALUE"""),1400.0)</f>
        <v>1400</v>
      </c>
      <c r="AZ682" s="71">
        <f>IFERROR(__xludf.DUMMYFUNCTION("""COMPUTED_VALUE"""),1512.0)</f>
        <v>1512</v>
      </c>
      <c r="BA682" s="71">
        <f>IFERROR(__xludf.DUMMYFUNCTION("""COMPUTED_VALUE"""),1632.96)</f>
        <v>1632.96</v>
      </c>
      <c r="BB682" s="71">
        <f>IFERROR(__xludf.DUMMYFUNCTION("""COMPUTED_VALUE"""),1632.96)</f>
        <v>1632.96</v>
      </c>
      <c r="BC682" s="71">
        <f>IFERROR(__xludf.DUMMYFUNCTION("""COMPUTED_VALUE"""),1818.0)</f>
        <v>1818</v>
      </c>
      <c r="BD682" s="71">
        <f>IFERROR(__xludf.DUMMYFUNCTION("""COMPUTED_VALUE"""),1909.0)</f>
        <v>1909</v>
      </c>
      <c r="BE682" s="71">
        <f>IFERROR(__xludf.DUMMYFUNCTION("""COMPUTED_VALUE"""),305.44)</f>
        <v>305.44</v>
      </c>
      <c r="BF682" s="71">
        <f>IFERROR(__xludf.DUMMYFUNCTION("""COMPUTED_VALUE"""),2214.44)</f>
        <v>2214.44</v>
      </c>
      <c r="BG682" s="71">
        <f>IFERROR(__xludf.DUMMYFUNCTION("""COMPUTED_VALUE"""),0.05005500550055005)</f>
        <v>0.0500550055</v>
      </c>
      <c r="BH682" s="71">
        <f>IFERROR(__xludf.DUMMYFUNCTION("""COMPUTED_VALUE"""),1813.55)</f>
        <v>1813.55</v>
      </c>
      <c r="BI682" s="71">
        <f>IFERROR(__xludf.DUMMYFUNCTION("""COMPUTED_VALUE"""),290.168)</f>
        <v>290.168</v>
      </c>
      <c r="BJ682" s="71">
        <f>IFERROR(__xludf.DUMMYFUNCTION("""COMPUTED_VALUE"""),2103.718)</f>
        <v>2103.718</v>
      </c>
      <c r="BK682" s="71">
        <f>IFERROR(__xludf.DUMMYFUNCTION("""COMPUTED_VALUE"""),1718.1000000000001)</f>
        <v>1718.1</v>
      </c>
      <c r="BL682" s="71">
        <f>IFERROR(__xludf.DUMMYFUNCTION("""COMPUTED_VALUE"""),274.896)</f>
        <v>274.896</v>
      </c>
      <c r="BM682" s="71">
        <f>IFERROR(__xludf.DUMMYFUNCTION("""COMPUTED_VALUE"""),1992.996)</f>
        <v>1992.996</v>
      </c>
      <c r="BN682" s="71">
        <f>IFERROR(__xludf.DUMMYFUNCTION("""COMPUTED_VALUE"""),1622.6499999999999)</f>
        <v>1622.65</v>
      </c>
      <c r="BO682" s="71">
        <f>IFERROR(__xludf.DUMMYFUNCTION("""COMPUTED_VALUE"""),259.62399999999997)</f>
        <v>259.624</v>
      </c>
      <c r="BP682" s="71">
        <f>IFERROR(__xludf.DUMMYFUNCTION("""COMPUTED_VALUE"""),1882.274)</f>
        <v>1882.274</v>
      </c>
      <c r="BQ682" s="71">
        <f>IFERROR(__xludf.DUMMYFUNCTION("""COMPUTED_VALUE"""),1584.47)</f>
        <v>1584.47</v>
      </c>
      <c r="BR682" s="71">
        <f>IFERROR(__xludf.DUMMYFUNCTION("""COMPUTED_VALUE"""),253.51520000000002)</f>
        <v>253.5152</v>
      </c>
      <c r="BS682" s="71">
        <f>IFERROR(__xludf.DUMMYFUNCTION("""COMPUTED_VALUE"""),1837.9852)</f>
        <v>1837.9852</v>
      </c>
      <c r="BT682" s="71">
        <f>IFERROR(__xludf.DUMMYFUNCTION("""COMPUTED_VALUE"""),1527.2)</f>
        <v>1527.2</v>
      </c>
      <c r="BU682" s="71">
        <f>IFERROR(__xludf.DUMMYFUNCTION("""COMPUTED_VALUE"""),244.352)</f>
        <v>244.352</v>
      </c>
      <c r="BV682" s="71">
        <f>IFERROR(__xludf.DUMMYFUNCTION("""COMPUTED_VALUE"""),1771.5520000000001)</f>
        <v>1771.552</v>
      </c>
    </row>
    <row r="683">
      <c r="A683" s="53"/>
      <c r="B683" s="53"/>
      <c r="C683" s="53"/>
      <c r="D683" s="53" t="s">
        <v>1629</v>
      </c>
      <c r="E683" s="55" t="s">
        <v>38</v>
      </c>
      <c r="F683" s="89"/>
      <c r="G683" s="84" t="s">
        <v>1630</v>
      </c>
      <c r="H683" s="55"/>
      <c r="I683" s="54">
        <f t="shared" si="24"/>
        <v>0</v>
      </c>
      <c r="J683" s="56"/>
      <c r="K683" s="57"/>
      <c r="L683" s="55"/>
      <c r="M683" s="59"/>
      <c r="N683" s="60"/>
      <c r="O683" s="90"/>
      <c r="P683" s="62">
        <v>37900.0</v>
      </c>
      <c r="Q683" s="63">
        <v>37900.0</v>
      </c>
      <c r="R683" s="64">
        <v>41785.0</v>
      </c>
      <c r="S683" s="111">
        <v>43874.0</v>
      </c>
      <c r="T683" s="65">
        <f t="shared" si="2"/>
        <v>7019.84</v>
      </c>
      <c r="U683" s="65">
        <f t="shared" si="3"/>
        <v>50893.84</v>
      </c>
      <c r="V683" s="66">
        <f t="shared" si="4"/>
        <v>0.04999401699</v>
      </c>
      <c r="W683" s="67">
        <f t="shared" si="5"/>
        <v>41680.3</v>
      </c>
      <c r="X683" s="67">
        <f t="shared" si="6"/>
        <v>6668.848</v>
      </c>
      <c r="Y683" s="67">
        <f t="shared" si="7"/>
        <v>48349.148</v>
      </c>
      <c r="Z683" s="67">
        <f t="shared" si="8"/>
        <v>39486.6</v>
      </c>
      <c r="AA683" s="67">
        <f t="shared" si="9"/>
        <v>6317.856</v>
      </c>
      <c r="AB683" s="67">
        <f t="shared" si="10"/>
        <v>45804.456</v>
      </c>
      <c r="AC683" s="67">
        <f t="shared" si="11"/>
        <v>37292.9</v>
      </c>
      <c r="AD683" s="67">
        <f t="shared" si="12"/>
        <v>5966.864</v>
      </c>
      <c r="AE683" s="67">
        <f t="shared" si="13"/>
        <v>43259.764</v>
      </c>
      <c r="AF683" s="67">
        <f t="shared" si="14"/>
        <v>36415.42</v>
      </c>
      <c r="AG683" s="67">
        <f t="shared" si="15"/>
        <v>5826.4672</v>
      </c>
      <c r="AH683" s="67">
        <f t="shared" si="16"/>
        <v>42241.8872</v>
      </c>
      <c r="AI683" s="67">
        <f t="shared" si="17"/>
        <v>35099.2</v>
      </c>
      <c r="AJ683" s="68">
        <f t="shared" si="31"/>
        <v>5615.872</v>
      </c>
      <c r="AK683" s="68">
        <f t="shared" si="32"/>
        <v>40715.072</v>
      </c>
      <c r="AL683" s="70">
        <f>IFERROR(__xludf.DUMMYFUNCTION("""COMPUTED_VALUE"""),1.0)</f>
        <v>1</v>
      </c>
      <c r="AM683" s="70"/>
      <c r="AN683" s="71" t="str">
        <f>IFERROR(__xludf.DUMMYFUNCTION("""COMPUTED_VALUE""")," CP")</f>
        <v>CP</v>
      </c>
      <c r="AO683" s="71" t="str">
        <f>IFERROR(__xludf.DUMMYFUNCTION("""COMPUTED_VALUE""")," JGB4")</f>
        <v>JGB4</v>
      </c>
      <c r="AP683" s="71" t="str">
        <f>IFERROR(__xludf.DUMMYFUNCTION("""COMPUTED_VALUE""")," JGO")</f>
        <v>JGO</v>
      </c>
      <c r="AQ683" s="71" t="str">
        <f>IFERROR(__xludf.DUMMYFUNCTION("""COMPUTED_VALUE""")," REF")</f>
        <v>REF</v>
      </c>
      <c r="AR683" s="71" t="str">
        <f>IFERROR(__xludf.DUMMYFUNCTION("""COMPUTED_VALUE""")," JUEGO DE BIKINIS PARA MAQ. DE RODILLOS NO. 6")</f>
        <v>JUEGO DE BIKINIS PARA MAQ. DE RODILLOS NO. 6</v>
      </c>
      <c r="AS683" s="71" t="str">
        <f>IFERROR(__xludf.DUMMYFUNCTION("""COMPUTED_VALUE""")," JUEGO BIKINIS PARA MAQ DE RODILLOS NO6")</f>
        <v>JUEGO BIKINIS PARA MAQ DE RODILLOS NO6</v>
      </c>
      <c r="AT683" s="71">
        <f>IFERROR(__xludf.DUMMYFUNCTION("""COMPUTED_VALUE"""),38.0)</f>
        <v>38</v>
      </c>
      <c r="AU683" s="71"/>
      <c r="AV683" s="71"/>
      <c r="AW683" s="71"/>
      <c r="AX683" s="71"/>
      <c r="AY683" s="71">
        <f>IFERROR(__xludf.DUMMYFUNCTION("""COMPUTED_VALUE"""),1400.0)</f>
        <v>1400</v>
      </c>
      <c r="AZ683" s="71">
        <f>IFERROR(__xludf.DUMMYFUNCTION("""COMPUTED_VALUE"""),1512.0)</f>
        <v>1512</v>
      </c>
      <c r="BA683" s="71">
        <f>IFERROR(__xludf.DUMMYFUNCTION("""COMPUTED_VALUE"""),1632.96)</f>
        <v>1632.96</v>
      </c>
      <c r="BB683" s="71">
        <f>IFERROR(__xludf.DUMMYFUNCTION("""COMPUTED_VALUE"""),1632.96)</f>
        <v>1632.96</v>
      </c>
      <c r="BC683" s="71">
        <f>IFERROR(__xludf.DUMMYFUNCTION("""COMPUTED_VALUE"""),1818.0)</f>
        <v>1818</v>
      </c>
      <c r="BD683" s="71">
        <f>IFERROR(__xludf.DUMMYFUNCTION("""COMPUTED_VALUE"""),1909.0)</f>
        <v>1909</v>
      </c>
      <c r="BE683" s="71">
        <f>IFERROR(__xludf.DUMMYFUNCTION("""COMPUTED_VALUE"""),305.44)</f>
        <v>305.44</v>
      </c>
      <c r="BF683" s="71">
        <f>IFERROR(__xludf.DUMMYFUNCTION("""COMPUTED_VALUE"""),2214.44)</f>
        <v>2214.44</v>
      </c>
      <c r="BG683" s="71">
        <f>IFERROR(__xludf.DUMMYFUNCTION("""COMPUTED_VALUE"""),0.05005500550055005)</f>
        <v>0.0500550055</v>
      </c>
      <c r="BH683" s="71">
        <f>IFERROR(__xludf.DUMMYFUNCTION("""COMPUTED_VALUE"""),1813.55)</f>
        <v>1813.55</v>
      </c>
      <c r="BI683" s="71">
        <f>IFERROR(__xludf.DUMMYFUNCTION("""COMPUTED_VALUE"""),290.168)</f>
        <v>290.168</v>
      </c>
      <c r="BJ683" s="71">
        <f>IFERROR(__xludf.DUMMYFUNCTION("""COMPUTED_VALUE"""),2103.718)</f>
        <v>2103.718</v>
      </c>
      <c r="BK683" s="71">
        <f>IFERROR(__xludf.DUMMYFUNCTION("""COMPUTED_VALUE"""),1718.1000000000001)</f>
        <v>1718.1</v>
      </c>
      <c r="BL683" s="71">
        <f>IFERROR(__xludf.DUMMYFUNCTION("""COMPUTED_VALUE"""),274.896)</f>
        <v>274.896</v>
      </c>
      <c r="BM683" s="71">
        <f>IFERROR(__xludf.DUMMYFUNCTION("""COMPUTED_VALUE"""),1992.996)</f>
        <v>1992.996</v>
      </c>
      <c r="BN683" s="71">
        <f>IFERROR(__xludf.DUMMYFUNCTION("""COMPUTED_VALUE"""),1622.6499999999999)</f>
        <v>1622.65</v>
      </c>
      <c r="BO683" s="71">
        <f>IFERROR(__xludf.DUMMYFUNCTION("""COMPUTED_VALUE"""),259.62399999999997)</f>
        <v>259.624</v>
      </c>
      <c r="BP683" s="71">
        <f>IFERROR(__xludf.DUMMYFUNCTION("""COMPUTED_VALUE"""),1882.274)</f>
        <v>1882.274</v>
      </c>
      <c r="BQ683" s="71">
        <f>IFERROR(__xludf.DUMMYFUNCTION("""COMPUTED_VALUE"""),1584.47)</f>
        <v>1584.47</v>
      </c>
      <c r="BR683" s="71">
        <f>IFERROR(__xludf.DUMMYFUNCTION("""COMPUTED_VALUE"""),253.51520000000002)</f>
        <v>253.5152</v>
      </c>
      <c r="BS683" s="71">
        <f>IFERROR(__xludf.DUMMYFUNCTION("""COMPUTED_VALUE"""),1837.9852)</f>
        <v>1837.9852</v>
      </c>
      <c r="BT683" s="71">
        <f>IFERROR(__xludf.DUMMYFUNCTION("""COMPUTED_VALUE"""),1527.2)</f>
        <v>1527.2</v>
      </c>
      <c r="BU683" s="71">
        <f>IFERROR(__xludf.DUMMYFUNCTION("""COMPUTED_VALUE"""),244.352)</f>
        <v>244.352</v>
      </c>
      <c r="BV683" s="71">
        <f>IFERROR(__xludf.DUMMYFUNCTION("""COMPUTED_VALUE"""),1771.5520000000001)</f>
        <v>1771.552</v>
      </c>
    </row>
    <row r="684">
      <c r="A684" s="53"/>
      <c r="B684" s="53"/>
      <c r="C684" s="53" t="s">
        <v>53</v>
      </c>
      <c r="D684" s="53" t="s">
        <v>1631</v>
      </c>
      <c r="E684" s="54" t="s">
        <v>38</v>
      </c>
      <c r="F684" s="54" t="s">
        <v>42</v>
      </c>
      <c r="G684" s="55" t="s">
        <v>1632</v>
      </c>
      <c r="H684" s="55" t="s">
        <v>1633</v>
      </c>
      <c r="I684" s="54">
        <f t="shared" si="24"/>
        <v>38</v>
      </c>
      <c r="J684" s="56"/>
      <c r="K684" s="57"/>
      <c r="L684" s="76"/>
      <c r="M684" s="59"/>
      <c r="N684" s="79"/>
      <c r="O684" s="61">
        <v>3846.0</v>
      </c>
      <c r="P684" s="62">
        <v>4153.68</v>
      </c>
      <c r="Q684" s="63">
        <v>4153.68</v>
      </c>
      <c r="R684" s="64">
        <v>4362.0</v>
      </c>
      <c r="S684" s="111">
        <v>4580.0</v>
      </c>
      <c r="T684" s="65">
        <f t="shared" si="2"/>
        <v>732.8</v>
      </c>
      <c r="U684" s="65">
        <f t="shared" si="3"/>
        <v>5312.8</v>
      </c>
      <c r="V684" s="66">
        <f t="shared" si="4"/>
        <v>0.04997707474</v>
      </c>
      <c r="W684" s="67">
        <f t="shared" si="5"/>
        <v>4351</v>
      </c>
      <c r="X684" s="67">
        <f t="shared" si="6"/>
        <v>696.16</v>
      </c>
      <c r="Y684" s="67">
        <f t="shared" si="7"/>
        <v>5047.16</v>
      </c>
      <c r="Z684" s="67">
        <f t="shared" si="8"/>
        <v>4122</v>
      </c>
      <c r="AA684" s="67">
        <f t="shared" si="9"/>
        <v>659.52</v>
      </c>
      <c r="AB684" s="67">
        <f t="shared" si="10"/>
        <v>4781.52</v>
      </c>
      <c r="AC684" s="67">
        <f t="shared" si="11"/>
        <v>3893</v>
      </c>
      <c r="AD684" s="67">
        <f t="shared" si="12"/>
        <v>622.88</v>
      </c>
      <c r="AE684" s="67">
        <f t="shared" si="13"/>
        <v>4515.88</v>
      </c>
      <c r="AF684" s="67">
        <f t="shared" si="14"/>
        <v>3801.4</v>
      </c>
      <c r="AG684" s="67">
        <f t="shared" si="15"/>
        <v>608.224</v>
      </c>
      <c r="AH684" s="67">
        <f t="shared" si="16"/>
        <v>4409.624</v>
      </c>
      <c r="AI684" s="67">
        <f t="shared" si="17"/>
        <v>3664</v>
      </c>
      <c r="AJ684" s="68">
        <f t="shared" si="31"/>
        <v>586.24</v>
      </c>
      <c r="AK684" s="68">
        <f t="shared" si="32"/>
        <v>4250.24</v>
      </c>
      <c r="AL684" s="70">
        <f>IFERROR(__xludf.DUMMYFUNCTION("""COMPUTED_VALUE"""),1.0)</f>
        <v>1</v>
      </c>
      <c r="AM684" s="70"/>
      <c r="AN684" s="71" t="str">
        <f>IFERROR(__xludf.DUMMYFUNCTION("""COMPUTED_VALUE""")," P")</f>
        <v>P</v>
      </c>
      <c r="AO684" s="71" t="str">
        <f>IFERROR(__xludf.DUMMYFUNCTION("""COMPUTED_VALUE""")," JGB1")</f>
        <v>JGB1</v>
      </c>
      <c r="AP684" s="71" t="str">
        <f>IFERROR(__xludf.DUMMYFUNCTION("""COMPUTED_VALUE""")," JGO")</f>
        <v>JGO</v>
      </c>
      <c r="AQ684" s="71" t="str">
        <f>IFERROR(__xludf.DUMMYFUNCTION("""COMPUTED_VALUE""")," REF")</f>
        <v>REF</v>
      </c>
      <c r="AR684" s="71" t="str">
        <f>IFERROR(__xludf.DUMMYFUNCTION("""COMPUTED_VALUE""")," JUEGO DE BIKINIS PARA MAQ. DE RODILLOS NO. 8")</f>
        <v>JUEGO DE BIKINIS PARA MAQ. DE RODILLOS NO. 8</v>
      </c>
      <c r="AS684" s="71" t="str">
        <f>IFERROR(__xludf.DUMMYFUNCTION("""COMPUTED_VALUE""")," JUEGO BIKINIS PARA MAQ DE RODILLOS NO8")</f>
        <v>JUEGO BIKINIS PARA MAQ DE RODILLOS NO8</v>
      </c>
      <c r="AT684" s="71">
        <f>IFERROR(__xludf.DUMMYFUNCTION("""COMPUTED_VALUE"""),38.0)</f>
        <v>38</v>
      </c>
      <c r="AU684" s="71"/>
      <c r="AV684" s="71"/>
      <c r="AW684" s="71"/>
      <c r="AX684" s="71"/>
      <c r="AY684" s="71">
        <f>IFERROR(__xludf.DUMMYFUNCTION("""COMPUTED_VALUE"""),1400.0)</f>
        <v>1400</v>
      </c>
      <c r="AZ684" s="71">
        <f>IFERROR(__xludf.DUMMYFUNCTION("""COMPUTED_VALUE"""),1512.0)</f>
        <v>1512</v>
      </c>
      <c r="BA684" s="71">
        <f>IFERROR(__xludf.DUMMYFUNCTION("""COMPUTED_VALUE"""),1632.96)</f>
        <v>1632.96</v>
      </c>
      <c r="BB684" s="71">
        <f>IFERROR(__xludf.DUMMYFUNCTION("""COMPUTED_VALUE"""),1632.96)</f>
        <v>1632.96</v>
      </c>
      <c r="BC684" s="71">
        <f>IFERROR(__xludf.DUMMYFUNCTION("""COMPUTED_VALUE"""),1818.0)</f>
        <v>1818</v>
      </c>
      <c r="BD684" s="71">
        <f>IFERROR(__xludf.DUMMYFUNCTION("""COMPUTED_VALUE"""),1909.0)</f>
        <v>1909</v>
      </c>
      <c r="BE684" s="71">
        <f>IFERROR(__xludf.DUMMYFUNCTION("""COMPUTED_VALUE"""),305.44)</f>
        <v>305.44</v>
      </c>
      <c r="BF684" s="71">
        <f>IFERROR(__xludf.DUMMYFUNCTION("""COMPUTED_VALUE"""),2214.44)</f>
        <v>2214.44</v>
      </c>
      <c r="BG684" s="71">
        <f>IFERROR(__xludf.DUMMYFUNCTION("""COMPUTED_VALUE"""),0.05005500550055005)</f>
        <v>0.0500550055</v>
      </c>
      <c r="BH684" s="71">
        <f>IFERROR(__xludf.DUMMYFUNCTION("""COMPUTED_VALUE"""),1813.55)</f>
        <v>1813.55</v>
      </c>
      <c r="BI684" s="71">
        <f>IFERROR(__xludf.DUMMYFUNCTION("""COMPUTED_VALUE"""),290.168)</f>
        <v>290.168</v>
      </c>
      <c r="BJ684" s="71">
        <f>IFERROR(__xludf.DUMMYFUNCTION("""COMPUTED_VALUE"""),2103.718)</f>
        <v>2103.718</v>
      </c>
      <c r="BK684" s="71">
        <f>IFERROR(__xludf.DUMMYFUNCTION("""COMPUTED_VALUE"""),1718.1000000000001)</f>
        <v>1718.1</v>
      </c>
      <c r="BL684" s="71">
        <f>IFERROR(__xludf.DUMMYFUNCTION("""COMPUTED_VALUE"""),274.896)</f>
        <v>274.896</v>
      </c>
      <c r="BM684" s="71">
        <f>IFERROR(__xludf.DUMMYFUNCTION("""COMPUTED_VALUE"""),1992.996)</f>
        <v>1992.996</v>
      </c>
      <c r="BN684" s="71">
        <f>IFERROR(__xludf.DUMMYFUNCTION("""COMPUTED_VALUE"""),1622.6499999999999)</f>
        <v>1622.65</v>
      </c>
      <c r="BO684" s="71">
        <f>IFERROR(__xludf.DUMMYFUNCTION("""COMPUTED_VALUE"""),259.62399999999997)</f>
        <v>259.624</v>
      </c>
      <c r="BP684" s="71">
        <f>IFERROR(__xludf.DUMMYFUNCTION("""COMPUTED_VALUE"""),1882.274)</f>
        <v>1882.274</v>
      </c>
      <c r="BQ684" s="71">
        <f>IFERROR(__xludf.DUMMYFUNCTION("""COMPUTED_VALUE"""),1584.47)</f>
        <v>1584.47</v>
      </c>
      <c r="BR684" s="71">
        <f>IFERROR(__xludf.DUMMYFUNCTION("""COMPUTED_VALUE"""),253.51520000000002)</f>
        <v>253.5152</v>
      </c>
      <c r="BS684" s="71">
        <f>IFERROR(__xludf.DUMMYFUNCTION("""COMPUTED_VALUE"""),1837.9852)</f>
        <v>1837.9852</v>
      </c>
      <c r="BT684" s="71">
        <f>IFERROR(__xludf.DUMMYFUNCTION("""COMPUTED_VALUE"""),1527.2)</f>
        <v>1527.2</v>
      </c>
      <c r="BU684" s="71">
        <f>IFERROR(__xludf.DUMMYFUNCTION("""COMPUTED_VALUE"""),244.352)</f>
        <v>244.352</v>
      </c>
      <c r="BV684" s="71">
        <f>IFERROR(__xludf.DUMMYFUNCTION("""COMPUTED_VALUE"""),1771.5520000000001)</f>
        <v>1771.552</v>
      </c>
    </row>
    <row r="685">
      <c r="A685" s="53"/>
      <c r="B685" s="53"/>
      <c r="C685" s="53" t="s">
        <v>36</v>
      </c>
      <c r="D685" s="85" t="s">
        <v>1634</v>
      </c>
      <c r="E685" s="54" t="s">
        <v>38</v>
      </c>
      <c r="F685" s="55" t="s">
        <v>39</v>
      </c>
      <c r="G685" s="86" t="s">
        <v>1635</v>
      </c>
      <c r="H685" s="55"/>
      <c r="I685" s="54">
        <f t="shared" si="24"/>
        <v>0</v>
      </c>
      <c r="J685" s="56"/>
      <c r="K685" s="57"/>
      <c r="L685" s="76"/>
      <c r="M685" s="59"/>
      <c r="N685" s="60"/>
      <c r="O685" s="61">
        <v>3500.16</v>
      </c>
      <c r="P685" s="62">
        <v>3780.1728000000003</v>
      </c>
      <c r="Q685" s="63">
        <v>3780.1728000000003</v>
      </c>
      <c r="R685" s="64">
        <v>3969.0</v>
      </c>
      <c r="S685" s="107">
        <v>4167.0</v>
      </c>
      <c r="T685" s="65">
        <f t="shared" si="2"/>
        <v>666.72</v>
      </c>
      <c r="U685" s="65">
        <f t="shared" si="3"/>
        <v>4833.72</v>
      </c>
      <c r="V685" s="66">
        <f t="shared" si="4"/>
        <v>0.04988662132</v>
      </c>
      <c r="W685" s="67">
        <f t="shared" si="5"/>
        <v>3958.65</v>
      </c>
      <c r="X685" s="67">
        <f t="shared" si="6"/>
        <v>633.384</v>
      </c>
      <c r="Y685" s="67">
        <f t="shared" si="7"/>
        <v>4592.034</v>
      </c>
      <c r="Z685" s="67">
        <f t="shared" si="8"/>
        <v>3750.3</v>
      </c>
      <c r="AA685" s="67">
        <f t="shared" si="9"/>
        <v>600.048</v>
      </c>
      <c r="AB685" s="67">
        <f t="shared" si="10"/>
        <v>4350.348</v>
      </c>
      <c r="AC685" s="67">
        <f t="shared" si="11"/>
        <v>3541.95</v>
      </c>
      <c r="AD685" s="67">
        <f t="shared" si="12"/>
        <v>566.712</v>
      </c>
      <c r="AE685" s="67">
        <f t="shared" si="13"/>
        <v>4108.662</v>
      </c>
      <c r="AF685" s="67">
        <f t="shared" si="14"/>
        <v>3458.61</v>
      </c>
      <c r="AG685" s="67">
        <f t="shared" si="15"/>
        <v>553.3776</v>
      </c>
      <c r="AH685" s="67">
        <f t="shared" si="16"/>
        <v>4011.9876</v>
      </c>
      <c r="AI685" s="67">
        <f t="shared" si="17"/>
        <v>3333.6</v>
      </c>
      <c r="AJ685" s="68">
        <f t="shared" si="31"/>
        <v>533.376</v>
      </c>
      <c r="AK685" s="68">
        <f t="shared" si="32"/>
        <v>3866.976</v>
      </c>
      <c r="AL685" s="70">
        <f>IFERROR(__xludf.DUMMYFUNCTION("""COMPUTED_VALUE"""),1.0)</f>
        <v>1</v>
      </c>
      <c r="AM685" s="70"/>
      <c r="AN685" s="71" t="str">
        <f>IFERROR(__xludf.DUMMYFUNCTION("""COMPUTED_VALUE""")," P")</f>
        <v>P</v>
      </c>
      <c r="AO685" s="71" t="str">
        <f>IFERROR(__xludf.DUMMYFUNCTION("""COMPUTED_VALUE""")," JG172")</f>
        <v>JG172</v>
      </c>
      <c r="AP685" s="71" t="str">
        <f>IFERROR(__xludf.DUMMYFUNCTION("""COMPUTED_VALUE""")," JGO")</f>
        <v>JGO</v>
      </c>
      <c r="AQ685" s="71" t="str">
        <f>IFERROR(__xludf.DUMMYFUNCTION("""COMPUTED_VALUE""")," REF")</f>
        <v>REF</v>
      </c>
      <c r="AR685" s="71" t="str">
        <f>IFERROR(__xludf.DUMMYFUNCTION("""COMPUTED_VALUE""")," JUEGO DE BRONCES DÚPLEX MAQUINADOS")</f>
        <v>JUEGO DE BRONCES DÚPLEX MAQUINADOS</v>
      </c>
      <c r="AS685" s="71" t="str">
        <f>IFERROR(__xludf.DUMMYFUNCTION("""COMPUTED_VALUE""")," JUEGO BRONCES DPLX MAQUINADOS")</f>
        <v>JUEGO BRONCES DPLX MAQUINADOS</v>
      </c>
      <c r="AT685" s="71">
        <f>IFERROR(__xludf.DUMMYFUNCTION("""COMPUTED_VALUE"""),29.0)</f>
        <v>29</v>
      </c>
      <c r="AU685" s="71"/>
      <c r="AV685" s="71"/>
      <c r="AW685" s="71"/>
      <c r="AX685" s="71"/>
      <c r="AY685" s="71">
        <f>IFERROR(__xludf.DUMMYFUNCTION("""COMPUTED_VALUE"""),12135.0)</f>
        <v>12135</v>
      </c>
      <c r="AZ685" s="71">
        <f>IFERROR(__xludf.DUMMYFUNCTION("""COMPUTED_VALUE"""),13105.0)</f>
        <v>13105</v>
      </c>
      <c r="BA685" s="71">
        <f>IFERROR(__xludf.DUMMYFUNCTION("""COMPUTED_VALUE"""),19810.0)</f>
        <v>19810</v>
      </c>
      <c r="BB685" s="71">
        <f>IFERROR(__xludf.DUMMYFUNCTION("""COMPUTED_VALUE"""),19810.0)</f>
        <v>19810</v>
      </c>
      <c r="BC685" s="71">
        <f>IFERROR(__xludf.DUMMYFUNCTION("""COMPUTED_VALUE"""),20801.0)</f>
        <v>20801</v>
      </c>
      <c r="BD685" s="71">
        <f>IFERROR(__xludf.DUMMYFUNCTION("""COMPUTED_VALUE"""),21841.0)</f>
        <v>21841</v>
      </c>
      <c r="BE685" s="71">
        <f>IFERROR(__xludf.DUMMYFUNCTION("""COMPUTED_VALUE"""),3494.56)</f>
        <v>3494.56</v>
      </c>
      <c r="BF685" s="71">
        <f>IFERROR(__xludf.DUMMYFUNCTION("""COMPUTED_VALUE"""),25335.56)</f>
        <v>25335.56</v>
      </c>
      <c r="BG685" s="71">
        <f>IFERROR(__xludf.DUMMYFUNCTION("""COMPUTED_VALUE"""),0.049997596269410124)</f>
        <v>0.04999759627</v>
      </c>
      <c r="BH685" s="71">
        <f>IFERROR(__xludf.DUMMYFUNCTION("""COMPUTED_VALUE"""),20748.95)</f>
        <v>20748.95</v>
      </c>
      <c r="BI685" s="71">
        <f>IFERROR(__xludf.DUMMYFUNCTION("""COMPUTED_VALUE"""),3319.8320000000003)</f>
        <v>3319.832</v>
      </c>
      <c r="BJ685" s="71">
        <f>IFERROR(__xludf.DUMMYFUNCTION("""COMPUTED_VALUE"""),24068.782)</f>
        <v>24068.782</v>
      </c>
      <c r="BK685" s="71">
        <f>IFERROR(__xludf.DUMMYFUNCTION("""COMPUTED_VALUE"""),19656.9)</f>
        <v>19656.9</v>
      </c>
      <c r="BL685" s="71">
        <f>IFERROR(__xludf.DUMMYFUNCTION("""COMPUTED_VALUE"""),3145.1040000000003)</f>
        <v>3145.104</v>
      </c>
      <c r="BM685" s="71">
        <f>IFERROR(__xludf.DUMMYFUNCTION("""COMPUTED_VALUE"""),22802.004)</f>
        <v>22802.004</v>
      </c>
      <c r="BN685" s="71">
        <f>IFERROR(__xludf.DUMMYFUNCTION("""COMPUTED_VALUE"""),18564.85)</f>
        <v>18564.85</v>
      </c>
      <c r="BO685" s="71">
        <f>IFERROR(__xludf.DUMMYFUNCTION("""COMPUTED_VALUE"""),2970.3759999999997)</f>
        <v>2970.376</v>
      </c>
      <c r="BP685" s="71">
        <f>IFERROR(__xludf.DUMMYFUNCTION("""COMPUTED_VALUE"""),21535.226)</f>
        <v>21535.226</v>
      </c>
      <c r="BQ685" s="71">
        <f>IFERROR(__xludf.DUMMYFUNCTION("""COMPUTED_VALUE"""),18128.03)</f>
        <v>18128.03</v>
      </c>
      <c r="BR685" s="71">
        <f>IFERROR(__xludf.DUMMYFUNCTION("""COMPUTED_VALUE"""),2900.4847999999997)</f>
        <v>2900.4848</v>
      </c>
      <c r="BS685" s="71">
        <f>IFERROR(__xludf.DUMMYFUNCTION("""COMPUTED_VALUE"""),21028.514799999997)</f>
        <v>21028.5148</v>
      </c>
      <c r="BT685" s="71">
        <f>IFERROR(__xludf.DUMMYFUNCTION("""COMPUTED_VALUE"""),17472.8)</f>
        <v>17472.8</v>
      </c>
      <c r="BU685" s="71">
        <f>IFERROR(__xludf.DUMMYFUNCTION("""COMPUTED_VALUE"""),2795.648)</f>
        <v>2795.648</v>
      </c>
      <c r="BV685" s="71">
        <f>IFERROR(__xludf.DUMMYFUNCTION("""COMPUTED_VALUE"""),20268.448)</f>
        <v>20268.448</v>
      </c>
    </row>
    <row r="686">
      <c r="A686" s="53"/>
      <c r="B686" s="53"/>
      <c r="C686" s="53" t="s">
        <v>36</v>
      </c>
      <c r="D686" s="85" t="s">
        <v>1636</v>
      </c>
      <c r="E686" s="54" t="s">
        <v>38</v>
      </c>
      <c r="F686" s="55" t="s">
        <v>39</v>
      </c>
      <c r="G686" s="86" t="s">
        <v>1637</v>
      </c>
      <c r="H686" s="55"/>
      <c r="I686" s="54">
        <f t="shared" si="24"/>
        <v>0</v>
      </c>
      <c r="J686" s="56"/>
      <c r="K686" s="57"/>
      <c r="L686" s="76"/>
      <c r="M686" s="59"/>
      <c r="N686" s="60"/>
      <c r="O686" s="61">
        <v>3500.16</v>
      </c>
      <c r="P686" s="62">
        <v>3780.1728000000003</v>
      </c>
      <c r="Q686" s="63">
        <v>3780.1728000000003</v>
      </c>
      <c r="R686" s="64">
        <v>3969.0</v>
      </c>
      <c r="S686" s="107">
        <v>4167.0</v>
      </c>
      <c r="T686" s="65">
        <f t="shared" si="2"/>
        <v>666.72</v>
      </c>
      <c r="U686" s="65">
        <f t="shared" si="3"/>
        <v>4833.72</v>
      </c>
      <c r="V686" s="66">
        <f t="shared" si="4"/>
        <v>0.04988662132</v>
      </c>
      <c r="W686" s="67">
        <f t="shared" si="5"/>
        <v>3958.65</v>
      </c>
      <c r="X686" s="67">
        <f t="shared" si="6"/>
        <v>633.384</v>
      </c>
      <c r="Y686" s="67">
        <f t="shared" si="7"/>
        <v>4592.034</v>
      </c>
      <c r="Z686" s="67">
        <f t="shared" si="8"/>
        <v>3750.3</v>
      </c>
      <c r="AA686" s="67">
        <f t="shared" si="9"/>
        <v>600.048</v>
      </c>
      <c r="AB686" s="67">
        <f t="shared" si="10"/>
        <v>4350.348</v>
      </c>
      <c r="AC686" s="67">
        <f t="shared" si="11"/>
        <v>3541.95</v>
      </c>
      <c r="AD686" s="67">
        <f t="shared" si="12"/>
        <v>566.712</v>
      </c>
      <c r="AE686" s="67">
        <f t="shared" si="13"/>
        <v>4108.662</v>
      </c>
      <c r="AF686" s="67">
        <f t="shared" si="14"/>
        <v>3458.61</v>
      </c>
      <c r="AG686" s="67">
        <f t="shared" si="15"/>
        <v>553.3776</v>
      </c>
      <c r="AH686" s="67">
        <f t="shared" si="16"/>
        <v>4011.9876</v>
      </c>
      <c r="AI686" s="67">
        <f t="shared" si="17"/>
        <v>3333.6</v>
      </c>
      <c r="AJ686" s="68">
        <f t="shared" si="31"/>
        <v>533.376</v>
      </c>
      <c r="AK686" s="68">
        <f t="shared" si="32"/>
        <v>3866.976</v>
      </c>
      <c r="AL686" s="70">
        <f>IFERROR(__xludf.DUMMYFUNCTION("""COMPUTED_VALUE"""),1.0)</f>
        <v>1</v>
      </c>
      <c r="AM686" s="70"/>
      <c r="AN686" s="71" t="str">
        <f>IFERROR(__xludf.DUMMYFUNCTION("""COMPUTED_VALUE""")," P")</f>
        <v>P</v>
      </c>
      <c r="AO686" s="71" t="str">
        <f>IFERROR(__xludf.DUMMYFUNCTION("""COMPUTED_VALUE""")," JG173")</f>
        <v>JG173</v>
      </c>
      <c r="AP686" s="71" t="str">
        <f>IFERROR(__xludf.DUMMYFUNCTION("""COMPUTED_VALUE""")," JGO")</f>
        <v>JGO</v>
      </c>
      <c r="AQ686" s="71" t="str">
        <f>IFERROR(__xludf.DUMMYFUNCTION("""COMPUTED_VALUE""")," REF")</f>
        <v>REF</v>
      </c>
      <c r="AR686" s="71" t="str">
        <f>IFERROR(__xludf.DUMMYFUNCTION("""COMPUTED_VALUE""")," JUEGO DE BRONCES SENCILLOS MAQUINADOS")</f>
        <v>JUEGO DE BRONCES SENCILLOS MAQUINADOS</v>
      </c>
      <c r="AS686" s="71" t="str">
        <f>IFERROR(__xludf.DUMMYFUNCTION("""COMPUTED_VALUE""")," JUEGO BRONCES SENCILLOS MAQUINADOS")</f>
        <v>JUEGO BRONCES SENCILLOS MAQUINADOS</v>
      </c>
      <c r="AT686" s="71">
        <f>IFERROR(__xludf.DUMMYFUNCTION("""COMPUTED_VALUE"""),34.0)</f>
        <v>34</v>
      </c>
      <c r="AU686" s="71"/>
      <c r="AV686" s="71"/>
      <c r="AW686" s="71"/>
      <c r="AX686" s="71"/>
      <c r="AY686" s="71">
        <f>IFERROR(__xludf.DUMMYFUNCTION("""COMPUTED_VALUE"""),5935.0)</f>
        <v>5935</v>
      </c>
      <c r="AZ686" s="71">
        <f>IFERROR(__xludf.DUMMYFUNCTION("""COMPUTED_VALUE"""),6409.0)</f>
        <v>6409</v>
      </c>
      <c r="BA686" s="71">
        <f>IFERROR(__xludf.DUMMYFUNCTION("""COMPUTED_VALUE"""),9690.0)</f>
        <v>9690</v>
      </c>
      <c r="BB686" s="71">
        <f>IFERROR(__xludf.DUMMYFUNCTION("""COMPUTED_VALUE"""),9690.0)</f>
        <v>9690</v>
      </c>
      <c r="BC686" s="71">
        <f>IFERROR(__xludf.DUMMYFUNCTION("""COMPUTED_VALUE"""),10175.0)</f>
        <v>10175</v>
      </c>
      <c r="BD686" s="71">
        <f>IFERROR(__xludf.DUMMYFUNCTION("""COMPUTED_VALUE"""),10684.0)</f>
        <v>10684</v>
      </c>
      <c r="BE686" s="71">
        <f>IFERROR(__xludf.DUMMYFUNCTION("""COMPUTED_VALUE"""),1709.44)</f>
        <v>1709.44</v>
      </c>
      <c r="BF686" s="71">
        <f>IFERROR(__xludf.DUMMYFUNCTION("""COMPUTED_VALUE"""),12393.44)</f>
        <v>12393.44</v>
      </c>
      <c r="BG686" s="71">
        <f>IFERROR(__xludf.DUMMYFUNCTION("""COMPUTED_VALUE"""),0.050024570024570024)</f>
        <v>0.05002457002</v>
      </c>
      <c r="BH686" s="71">
        <f>IFERROR(__xludf.DUMMYFUNCTION("""COMPUTED_VALUE"""),10149.8)</f>
        <v>10149.8</v>
      </c>
      <c r="BI686" s="71">
        <f>IFERROR(__xludf.DUMMYFUNCTION("""COMPUTED_VALUE"""),1623.9679999999998)</f>
        <v>1623.968</v>
      </c>
      <c r="BJ686" s="71">
        <f>IFERROR(__xludf.DUMMYFUNCTION("""COMPUTED_VALUE"""),11773.768)</f>
        <v>11773.768</v>
      </c>
      <c r="BK686" s="71">
        <f>IFERROR(__xludf.DUMMYFUNCTION("""COMPUTED_VALUE"""),9615.6)</f>
        <v>9615.6</v>
      </c>
      <c r="BL686" s="71">
        <f>IFERROR(__xludf.DUMMYFUNCTION("""COMPUTED_VALUE"""),1538.496)</f>
        <v>1538.496</v>
      </c>
      <c r="BM686" s="71">
        <f>IFERROR(__xludf.DUMMYFUNCTION("""COMPUTED_VALUE"""),11154.096000000001)</f>
        <v>11154.096</v>
      </c>
      <c r="BN686" s="71">
        <f>IFERROR(__xludf.DUMMYFUNCTION("""COMPUTED_VALUE"""),9081.4)</f>
        <v>9081.4</v>
      </c>
      <c r="BO686" s="71">
        <f>IFERROR(__xludf.DUMMYFUNCTION("""COMPUTED_VALUE"""),1453.024)</f>
        <v>1453.024</v>
      </c>
      <c r="BP686" s="71">
        <f>IFERROR(__xludf.DUMMYFUNCTION("""COMPUTED_VALUE"""),10534.423999999999)</f>
        <v>10534.424</v>
      </c>
      <c r="BQ686" s="71">
        <f>IFERROR(__xludf.DUMMYFUNCTION("""COMPUTED_VALUE"""),8867.72)</f>
        <v>8867.72</v>
      </c>
      <c r="BR686" s="71">
        <f>IFERROR(__xludf.DUMMYFUNCTION("""COMPUTED_VALUE"""),1418.8352)</f>
        <v>1418.8352</v>
      </c>
      <c r="BS686" s="71">
        <f>IFERROR(__xludf.DUMMYFUNCTION("""COMPUTED_VALUE"""),10286.555199999999)</f>
        <v>10286.5552</v>
      </c>
      <c r="BT686" s="71">
        <f>IFERROR(__xludf.DUMMYFUNCTION("""COMPUTED_VALUE"""),8547.2)</f>
        <v>8547.2</v>
      </c>
      <c r="BU686" s="71">
        <f>IFERROR(__xludf.DUMMYFUNCTION("""COMPUTED_VALUE"""),1367.5520000000001)</f>
        <v>1367.552</v>
      </c>
      <c r="BV686" s="71">
        <f>IFERROR(__xludf.DUMMYFUNCTION("""COMPUTED_VALUE"""),9914.752)</f>
        <v>9914.752</v>
      </c>
    </row>
    <row r="687">
      <c r="A687" s="53"/>
      <c r="B687" s="53"/>
      <c r="C687" s="53" t="s">
        <v>53</v>
      </c>
      <c r="D687" s="53" t="s">
        <v>1638</v>
      </c>
      <c r="E687" s="54" t="s">
        <v>38</v>
      </c>
      <c r="F687" s="54" t="s">
        <v>42</v>
      </c>
      <c r="G687" s="55" t="s">
        <v>1639</v>
      </c>
      <c r="H687" s="55" t="s">
        <v>1640</v>
      </c>
      <c r="I687" s="54">
        <f t="shared" si="24"/>
        <v>37</v>
      </c>
      <c r="J687" s="56"/>
      <c r="K687" s="57"/>
      <c r="L687" s="76"/>
      <c r="M687" s="59"/>
      <c r="N687" s="79"/>
      <c r="O687" s="61">
        <v>602.0</v>
      </c>
      <c r="P687" s="63">
        <v>650.1600000000001</v>
      </c>
      <c r="Q687" s="63">
        <v>650.1600000000001</v>
      </c>
      <c r="R687" s="64">
        <v>683.0</v>
      </c>
      <c r="S687" s="111">
        <v>717.0</v>
      </c>
      <c r="T687" s="65">
        <f t="shared" si="2"/>
        <v>114.72</v>
      </c>
      <c r="U687" s="65">
        <f t="shared" si="3"/>
        <v>831.72</v>
      </c>
      <c r="V687" s="66">
        <f t="shared" si="4"/>
        <v>0.04978038067</v>
      </c>
      <c r="W687" s="67">
        <f t="shared" si="5"/>
        <v>681.15</v>
      </c>
      <c r="X687" s="67">
        <f t="shared" si="6"/>
        <v>108.984</v>
      </c>
      <c r="Y687" s="67">
        <f t="shared" si="7"/>
        <v>790.134</v>
      </c>
      <c r="Z687" s="67">
        <f t="shared" si="8"/>
        <v>645.3</v>
      </c>
      <c r="AA687" s="67">
        <f t="shared" si="9"/>
        <v>103.248</v>
      </c>
      <c r="AB687" s="67">
        <f t="shared" si="10"/>
        <v>748.548</v>
      </c>
      <c r="AC687" s="67">
        <f t="shared" si="11"/>
        <v>609.45</v>
      </c>
      <c r="AD687" s="67">
        <f t="shared" si="12"/>
        <v>97.512</v>
      </c>
      <c r="AE687" s="67">
        <f t="shared" si="13"/>
        <v>706.962</v>
      </c>
      <c r="AF687" s="67">
        <f t="shared" si="14"/>
        <v>595.11</v>
      </c>
      <c r="AG687" s="67">
        <f t="shared" si="15"/>
        <v>95.2176</v>
      </c>
      <c r="AH687" s="67">
        <f t="shared" si="16"/>
        <v>690.3276</v>
      </c>
      <c r="AI687" s="67">
        <f t="shared" si="17"/>
        <v>573.6</v>
      </c>
      <c r="AJ687" s="68">
        <f t="shared" si="31"/>
        <v>91.776</v>
      </c>
      <c r="AK687" s="68">
        <f t="shared" si="32"/>
        <v>665.376</v>
      </c>
      <c r="AL687" s="70">
        <f>IFERROR(__xludf.DUMMYFUNCTION("""COMPUTED_VALUE"""),1.0)</f>
        <v>1</v>
      </c>
      <c r="AM687" s="70"/>
      <c r="AN687" s="71" t="str">
        <f>IFERROR(__xludf.DUMMYFUNCTION("""COMPUTED_VALUE""")," C")</f>
        <v>C</v>
      </c>
      <c r="AO687" s="71" t="str">
        <f>IFERROR(__xludf.DUMMYFUNCTION("""COMPUTED_VALUE""")," JG77")</f>
        <v>JG77</v>
      </c>
      <c r="AP687" s="71" t="str">
        <f>IFERROR(__xludf.DUMMYFUNCTION("""COMPUTED_VALUE""")," JGO")</f>
        <v>JGO</v>
      </c>
      <c r="AQ687" s="71" t="str">
        <f>IFERROR(__xludf.DUMMYFUNCTION("""COMPUTED_VALUE""")," REF")</f>
        <v>REF</v>
      </c>
      <c r="AR687" s="71" t="str">
        <f>IFERROR(__xludf.DUMMYFUNCTION("""COMPUTED_VALUE""")," JUEGO DE CABLES CON 3 BUJIAS")</f>
        <v>JUEGO DE CABLES CON 3 BUJIAS</v>
      </c>
      <c r="AS687" s="71" t="str">
        <f>IFERROR(__xludf.DUMMYFUNCTION("""COMPUTED_VALUE""")," JUEGO CABLES CON 3 BUJIAS")</f>
        <v>JUEGO CABLES CON 3 BUJIAS</v>
      </c>
      <c r="AT687" s="71">
        <f>IFERROR(__xludf.DUMMYFUNCTION("""COMPUTED_VALUE"""),25.0)</f>
        <v>25</v>
      </c>
      <c r="AU687" s="71"/>
      <c r="AV687" s="71"/>
      <c r="AW687" s="71"/>
      <c r="AX687" s="71"/>
      <c r="AY687" s="71">
        <f>IFERROR(__xludf.DUMMYFUNCTION("""COMPUTED_VALUE"""),1444.0)</f>
        <v>1444</v>
      </c>
      <c r="AZ687" s="71">
        <f>IFERROR(__xludf.DUMMYFUNCTION("""COMPUTED_VALUE"""),1559.0)</f>
        <v>1559</v>
      </c>
      <c r="BA687" s="71">
        <f>IFERROR(__xludf.DUMMYFUNCTION("""COMPUTED_VALUE"""),1683.72)</f>
        <v>1683.72</v>
      </c>
      <c r="BB687" s="71">
        <f>IFERROR(__xludf.DUMMYFUNCTION("""COMPUTED_VALUE"""),1683.72)</f>
        <v>1683.72</v>
      </c>
      <c r="BC687" s="71">
        <f>IFERROR(__xludf.DUMMYFUNCTION("""COMPUTED_VALUE"""),1875.0)</f>
        <v>1875</v>
      </c>
      <c r="BD687" s="71">
        <f>IFERROR(__xludf.DUMMYFUNCTION("""COMPUTED_VALUE"""),1969.0)</f>
        <v>1969</v>
      </c>
      <c r="BE687" s="71">
        <f>IFERROR(__xludf.DUMMYFUNCTION("""COMPUTED_VALUE"""),315.04)</f>
        <v>315.04</v>
      </c>
      <c r="BF687" s="71">
        <f>IFERROR(__xludf.DUMMYFUNCTION("""COMPUTED_VALUE"""),2284.04)</f>
        <v>2284.04</v>
      </c>
      <c r="BG687" s="71">
        <f>IFERROR(__xludf.DUMMYFUNCTION("""COMPUTED_VALUE"""),0.050133333333333335)</f>
        <v>0.05013333333</v>
      </c>
      <c r="BH687" s="71">
        <f>IFERROR(__xludf.DUMMYFUNCTION("""COMPUTED_VALUE"""),1870.55)</f>
        <v>1870.55</v>
      </c>
      <c r="BI687" s="71">
        <f>IFERROR(__xludf.DUMMYFUNCTION("""COMPUTED_VALUE"""),299.288)</f>
        <v>299.288</v>
      </c>
      <c r="BJ687" s="71">
        <f>IFERROR(__xludf.DUMMYFUNCTION("""COMPUTED_VALUE"""),2169.8379999999997)</f>
        <v>2169.838</v>
      </c>
      <c r="BK687" s="71">
        <f>IFERROR(__xludf.DUMMYFUNCTION("""COMPUTED_VALUE"""),1772.1000000000001)</f>
        <v>1772.1</v>
      </c>
      <c r="BL687" s="71">
        <f>IFERROR(__xludf.DUMMYFUNCTION("""COMPUTED_VALUE"""),283.536)</f>
        <v>283.536</v>
      </c>
      <c r="BM687" s="71">
        <f>IFERROR(__xludf.DUMMYFUNCTION("""COMPUTED_VALUE"""),2055.636)</f>
        <v>2055.636</v>
      </c>
      <c r="BN687" s="71">
        <f>IFERROR(__xludf.DUMMYFUNCTION("""COMPUTED_VALUE"""),1673.6499999999999)</f>
        <v>1673.65</v>
      </c>
      <c r="BO687" s="71">
        <f>IFERROR(__xludf.DUMMYFUNCTION("""COMPUTED_VALUE"""),267.784)</f>
        <v>267.784</v>
      </c>
      <c r="BP687" s="71">
        <f>IFERROR(__xludf.DUMMYFUNCTION("""COMPUTED_VALUE"""),1941.4339999999997)</f>
        <v>1941.434</v>
      </c>
      <c r="BQ687" s="71">
        <f>IFERROR(__xludf.DUMMYFUNCTION("""COMPUTED_VALUE"""),1634.27)</f>
        <v>1634.27</v>
      </c>
      <c r="BR687" s="71">
        <f>IFERROR(__xludf.DUMMYFUNCTION("""COMPUTED_VALUE"""),261.4832)</f>
        <v>261.4832</v>
      </c>
      <c r="BS687" s="71">
        <f>IFERROR(__xludf.DUMMYFUNCTION("""COMPUTED_VALUE"""),1895.7532)</f>
        <v>1895.7532</v>
      </c>
      <c r="BT687" s="71">
        <f>IFERROR(__xludf.DUMMYFUNCTION("""COMPUTED_VALUE"""),1575.2)</f>
        <v>1575.2</v>
      </c>
      <c r="BU687" s="71">
        <f>IFERROR(__xludf.DUMMYFUNCTION("""COMPUTED_VALUE"""),252.032)</f>
        <v>252.032</v>
      </c>
      <c r="BV687" s="71">
        <f>IFERROR(__xludf.DUMMYFUNCTION("""COMPUTED_VALUE"""),1827.232)</f>
        <v>1827.232</v>
      </c>
    </row>
    <row r="688">
      <c r="A688" s="53"/>
      <c r="B688" s="53"/>
      <c r="C688" s="53" t="s">
        <v>53</v>
      </c>
      <c r="D688" s="53" t="s">
        <v>1641</v>
      </c>
      <c r="E688" s="54" t="s">
        <v>38</v>
      </c>
      <c r="F688" s="54" t="s">
        <v>42</v>
      </c>
      <c r="G688" s="55" t="s">
        <v>1642</v>
      </c>
      <c r="H688" s="55" t="s">
        <v>1643</v>
      </c>
      <c r="I688" s="54">
        <f t="shared" si="24"/>
        <v>37</v>
      </c>
      <c r="J688" s="56"/>
      <c r="K688" s="57"/>
      <c r="L688" s="76"/>
      <c r="M688" s="59"/>
      <c r="N688" s="79"/>
      <c r="O688" s="61">
        <v>991.0</v>
      </c>
      <c r="P688" s="62">
        <v>1070.28</v>
      </c>
      <c r="Q688" s="63">
        <v>1070.28</v>
      </c>
      <c r="R688" s="64">
        <v>1124.0</v>
      </c>
      <c r="S688" s="111">
        <v>1180.0</v>
      </c>
      <c r="T688" s="65">
        <f t="shared" si="2"/>
        <v>188.8</v>
      </c>
      <c r="U688" s="65">
        <f t="shared" si="3"/>
        <v>1368.8</v>
      </c>
      <c r="V688" s="66">
        <f t="shared" si="4"/>
        <v>0.04982206406</v>
      </c>
      <c r="W688" s="67">
        <f t="shared" si="5"/>
        <v>1121</v>
      </c>
      <c r="X688" s="67">
        <f t="shared" si="6"/>
        <v>179.36</v>
      </c>
      <c r="Y688" s="67">
        <f t="shared" si="7"/>
        <v>1300.36</v>
      </c>
      <c r="Z688" s="67">
        <f t="shared" si="8"/>
        <v>1062</v>
      </c>
      <c r="AA688" s="67">
        <f t="shared" si="9"/>
        <v>169.92</v>
      </c>
      <c r="AB688" s="67">
        <f t="shared" si="10"/>
        <v>1231.92</v>
      </c>
      <c r="AC688" s="67">
        <f t="shared" si="11"/>
        <v>1003</v>
      </c>
      <c r="AD688" s="67">
        <f t="shared" si="12"/>
        <v>160.48</v>
      </c>
      <c r="AE688" s="67">
        <f t="shared" si="13"/>
        <v>1163.48</v>
      </c>
      <c r="AF688" s="67">
        <f t="shared" si="14"/>
        <v>979.4</v>
      </c>
      <c r="AG688" s="67">
        <f t="shared" si="15"/>
        <v>156.704</v>
      </c>
      <c r="AH688" s="67">
        <f t="shared" si="16"/>
        <v>1136.104</v>
      </c>
      <c r="AI688" s="67">
        <f t="shared" si="17"/>
        <v>944</v>
      </c>
      <c r="AJ688" s="68">
        <f t="shared" si="31"/>
        <v>151.04</v>
      </c>
      <c r="AK688" s="68">
        <f t="shared" si="32"/>
        <v>1095.04</v>
      </c>
      <c r="AL688" s="70">
        <f>IFERROR(__xludf.DUMMYFUNCTION("""COMPUTED_VALUE"""),1.0)</f>
        <v>1</v>
      </c>
      <c r="AM688" s="70"/>
      <c r="AN688" s="71" t="str">
        <f>IFERROR(__xludf.DUMMYFUNCTION("""COMPUTED_VALUE""")," P")</f>
        <v>P</v>
      </c>
      <c r="AO688" s="71" t="str">
        <f>IFERROR(__xludf.DUMMYFUNCTION("""COMPUTED_VALUE""")," JG72")</f>
        <v>JG72</v>
      </c>
      <c r="AP688" s="71" t="str">
        <f>IFERROR(__xludf.DUMMYFUNCTION("""COMPUTED_VALUE""")," JGO")</f>
        <v>JGO</v>
      </c>
      <c r="AQ688" s="71" t="str">
        <f>IFERROR(__xludf.DUMMYFUNCTION("""COMPUTED_VALUE""")," REF")</f>
        <v>REF</v>
      </c>
      <c r="AR688" s="71" t="str">
        <f>IFERROR(__xludf.DUMMYFUNCTION("""COMPUTED_VALUE""")," JUEGO DE DISCOS DENTADOS 4.5"" FIERRO PARA MOLINO DE CHILES")</f>
        <v>JUEGO DE DISCOS DENTADOS 4.5" FIERRO PARA MOLINO DE CHILES</v>
      </c>
      <c r="AS688" s="71" t="str">
        <f>IFERROR(__xludf.DUMMYFUNCTION("""COMPUTED_VALUE""")," JUEGO DISCOS DENT 4.5 FIERR P/MOL CHILES")</f>
        <v>JUEGO DISCOS DENT 4.5 FIERR P/MOL CHILES</v>
      </c>
      <c r="AT688" s="71">
        <f>IFERROR(__xludf.DUMMYFUNCTION("""COMPUTED_VALUE"""),40.0)</f>
        <v>40</v>
      </c>
      <c r="AU688" s="71"/>
      <c r="AV688" s="71"/>
      <c r="AW688" s="71"/>
      <c r="AX688" s="71"/>
      <c r="AY688" s="71">
        <f>IFERROR(__xludf.DUMMYFUNCTION("""COMPUTED_VALUE"""),1739.0)</f>
        <v>1739</v>
      </c>
      <c r="AZ688" s="71">
        <f>IFERROR(__xludf.DUMMYFUNCTION("""COMPUTED_VALUE"""),1878.0)</f>
        <v>1878</v>
      </c>
      <c r="BA688" s="71">
        <f>IFERROR(__xludf.DUMMYFUNCTION("""COMPUTED_VALUE"""),2028.2400000000002)</f>
        <v>2028.24</v>
      </c>
      <c r="BB688" s="71">
        <f>IFERROR(__xludf.DUMMYFUNCTION("""COMPUTED_VALUE"""),2028.2400000000002)</f>
        <v>2028.24</v>
      </c>
      <c r="BC688" s="71">
        <f>IFERROR(__xludf.DUMMYFUNCTION("""COMPUTED_VALUE"""),2258.0)</f>
        <v>2258</v>
      </c>
      <c r="BD688" s="71">
        <f>IFERROR(__xludf.DUMMYFUNCTION("""COMPUTED_VALUE"""),2371.0)</f>
        <v>2371</v>
      </c>
      <c r="BE688" s="71">
        <f>IFERROR(__xludf.DUMMYFUNCTION("""COMPUTED_VALUE"""),379.36)</f>
        <v>379.36</v>
      </c>
      <c r="BF688" s="71">
        <f>IFERROR(__xludf.DUMMYFUNCTION("""COMPUTED_VALUE"""),2750.36)</f>
        <v>2750.36</v>
      </c>
      <c r="BG688" s="71">
        <f>IFERROR(__xludf.DUMMYFUNCTION("""COMPUTED_VALUE"""),0.05004428697962799)</f>
        <v>0.05004428698</v>
      </c>
      <c r="BH688" s="71">
        <f>IFERROR(__xludf.DUMMYFUNCTION("""COMPUTED_VALUE"""),2252.45)</f>
        <v>2252.45</v>
      </c>
      <c r="BI688" s="71">
        <f>IFERROR(__xludf.DUMMYFUNCTION("""COMPUTED_VALUE"""),360.392)</f>
        <v>360.392</v>
      </c>
      <c r="BJ688" s="71">
        <f>IFERROR(__xludf.DUMMYFUNCTION("""COMPUTED_VALUE"""),2612.8419999999996)</f>
        <v>2612.842</v>
      </c>
      <c r="BK688" s="71">
        <f>IFERROR(__xludf.DUMMYFUNCTION("""COMPUTED_VALUE"""),2133.9)</f>
        <v>2133.9</v>
      </c>
      <c r="BL688" s="71">
        <f>IFERROR(__xludf.DUMMYFUNCTION("""COMPUTED_VALUE"""),341.42400000000004)</f>
        <v>341.424</v>
      </c>
      <c r="BM688" s="71">
        <f>IFERROR(__xludf.DUMMYFUNCTION("""COMPUTED_VALUE"""),2475.324)</f>
        <v>2475.324</v>
      </c>
      <c r="BN688" s="71">
        <f>IFERROR(__xludf.DUMMYFUNCTION("""COMPUTED_VALUE"""),2015.35)</f>
        <v>2015.35</v>
      </c>
      <c r="BO688" s="71">
        <f>IFERROR(__xludf.DUMMYFUNCTION("""COMPUTED_VALUE"""),322.456)</f>
        <v>322.456</v>
      </c>
      <c r="BP688" s="71">
        <f>IFERROR(__xludf.DUMMYFUNCTION("""COMPUTED_VALUE"""),2337.806)</f>
        <v>2337.806</v>
      </c>
      <c r="BQ688" s="71">
        <f>IFERROR(__xludf.DUMMYFUNCTION("""COMPUTED_VALUE"""),1967.9299999999998)</f>
        <v>1967.93</v>
      </c>
      <c r="BR688" s="71">
        <f>IFERROR(__xludf.DUMMYFUNCTION("""COMPUTED_VALUE"""),314.86879999999996)</f>
        <v>314.8688</v>
      </c>
      <c r="BS688" s="71">
        <f>IFERROR(__xludf.DUMMYFUNCTION("""COMPUTED_VALUE"""),2282.7987999999996)</f>
        <v>2282.7988</v>
      </c>
      <c r="BT688" s="71">
        <f>IFERROR(__xludf.DUMMYFUNCTION("""COMPUTED_VALUE"""),1896.8000000000002)</f>
        <v>1896.8</v>
      </c>
      <c r="BU688" s="71">
        <f>IFERROR(__xludf.DUMMYFUNCTION("""COMPUTED_VALUE"""),303.48800000000006)</f>
        <v>303.488</v>
      </c>
      <c r="BV688" s="71">
        <f>IFERROR(__xludf.DUMMYFUNCTION("""COMPUTED_VALUE"""),2200.2880000000005)</f>
        <v>2200.288</v>
      </c>
    </row>
    <row r="689">
      <c r="A689" s="53"/>
      <c r="B689" s="53"/>
      <c r="C689" s="53" t="s">
        <v>53</v>
      </c>
      <c r="D689" s="53" t="s">
        <v>1644</v>
      </c>
      <c r="E689" s="54" t="s">
        <v>38</v>
      </c>
      <c r="F689" s="54" t="s">
        <v>42</v>
      </c>
      <c r="G689" s="55" t="s">
        <v>1645</v>
      </c>
      <c r="H689" s="55" t="s">
        <v>1646</v>
      </c>
      <c r="I689" s="54">
        <f t="shared" si="24"/>
        <v>37</v>
      </c>
      <c r="J689" s="56"/>
      <c r="K689" s="57"/>
      <c r="L689" s="76"/>
      <c r="M689" s="59"/>
      <c r="N689" s="79"/>
      <c r="O689" s="61">
        <v>1458.0</v>
      </c>
      <c r="P689" s="62">
        <v>1574.64</v>
      </c>
      <c r="Q689" s="63">
        <v>1574.64</v>
      </c>
      <c r="R689" s="64">
        <v>1654.0</v>
      </c>
      <c r="S689" s="111">
        <v>1737.0</v>
      </c>
      <c r="T689" s="65">
        <f t="shared" si="2"/>
        <v>277.92</v>
      </c>
      <c r="U689" s="65">
        <f t="shared" si="3"/>
        <v>2014.92</v>
      </c>
      <c r="V689" s="66">
        <f t="shared" si="4"/>
        <v>0.05018137848</v>
      </c>
      <c r="W689" s="67">
        <f t="shared" si="5"/>
        <v>1650.15</v>
      </c>
      <c r="X689" s="67">
        <f t="shared" si="6"/>
        <v>264.024</v>
      </c>
      <c r="Y689" s="67">
        <f t="shared" si="7"/>
        <v>1914.174</v>
      </c>
      <c r="Z689" s="67">
        <f t="shared" si="8"/>
        <v>1563.3</v>
      </c>
      <c r="AA689" s="67">
        <f t="shared" si="9"/>
        <v>250.128</v>
      </c>
      <c r="AB689" s="67">
        <f t="shared" si="10"/>
        <v>1813.428</v>
      </c>
      <c r="AC689" s="67">
        <f t="shared" si="11"/>
        <v>1476.45</v>
      </c>
      <c r="AD689" s="67">
        <f t="shared" si="12"/>
        <v>236.232</v>
      </c>
      <c r="AE689" s="67">
        <f t="shared" si="13"/>
        <v>1712.682</v>
      </c>
      <c r="AF689" s="67">
        <f t="shared" si="14"/>
        <v>1441.71</v>
      </c>
      <c r="AG689" s="67">
        <f t="shared" si="15"/>
        <v>230.6736</v>
      </c>
      <c r="AH689" s="67">
        <f t="shared" si="16"/>
        <v>1672.3836</v>
      </c>
      <c r="AI689" s="67">
        <f t="shared" si="17"/>
        <v>1389.6</v>
      </c>
      <c r="AJ689" s="68">
        <f t="shared" si="31"/>
        <v>222.336</v>
      </c>
      <c r="AK689" s="68">
        <f t="shared" si="32"/>
        <v>1611.936</v>
      </c>
      <c r="AL689" s="70">
        <f>IFERROR(__xludf.DUMMYFUNCTION("""COMPUTED_VALUE"""),1.0)</f>
        <v>1</v>
      </c>
      <c r="AM689" s="70"/>
      <c r="AN689" s="71" t="str">
        <f>IFERROR(__xludf.DUMMYFUNCTION("""COMPUTED_VALUE""")," P")</f>
        <v>P</v>
      </c>
      <c r="AO689" s="71" t="str">
        <f>IFERROR(__xludf.DUMMYFUNCTION("""COMPUTED_VALUE""")," JG74")</f>
        <v>JG74</v>
      </c>
      <c r="AP689" s="71" t="str">
        <f>IFERROR(__xludf.DUMMYFUNCTION("""COMPUTED_VALUE""")," JGO")</f>
        <v>JGO</v>
      </c>
      <c r="AQ689" s="71" t="str">
        <f>IFERROR(__xludf.DUMMYFUNCTION("""COMPUTED_VALUE""")," REF")</f>
        <v>REF</v>
      </c>
      <c r="AR689" s="71" t="str">
        <f>IFERROR(__xludf.DUMMYFUNCTION("""COMPUTED_VALUE""")," JUEGO DE DISCOS DENTADOS 7"" FIERRO PARA MOLINO DE CHILES")</f>
        <v>JUEGO DE DISCOS DENTADOS 7" FIERRO PARA MOLINO DE CHILES</v>
      </c>
      <c r="AS689" s="71" t="str">
        <f>IFERROR(__xludf.DUMMYFUNCTION("""COMPUTED_VALUE""")," JUEGO DISCOS DENT 7 FIERRO P/MOL CHILES")</f>
        <v>JUEGO DISCOS DENT 7 FIERRO P/MOL CHILES</v>
      </c>
      <c r="AT689" s="71">
        <f>IFERROR(__xludf.DUMMYFUNCTION("""COMPUTED_VALUE"""),39.0)</f>
        <v>39</v>
      </c>
      <c r="AU689" s="71"/>
      <c r="AV689" s="71"/>
      <c r="AW689" s="71"/>
      <c r="AX689" s="71"/>
      <c r="AY689" s="71">
        <f>IFERROR(__xludf.DUMMYFUNCTION("""COMPUTED_VALUE"""),3481.0)</f>
        <v>3481</v>
      </c>
      <c r="AZ689" s="71">
        <f>IFERROR(__xludf.DUMMYFUNCTION("""COMPUTED_VALUE"""),3759.0)</f>
        <v>3759</v>
      </c>
      <c r="BA689" s="71">
        <f>IFERROR(__xludf.DUMMYFUNCTION("""COMPUTED_VALUE"""),4059.7200000000003)</f>
        <v>4059.72</v>
      </c>
      <c r="BB689" s="71">
        <f>IFERROR(__xludf.DUMMYFUNCTION("""COMPUTED_VALUE"""),4059.7200000000003)</f>
        <v>4059.72</v>
      </c>
      <c r="BC689" s="71">
        <f>IFERROR(__xludf.DUMMYFUNCTION("""COMPUTED_VALUE"""),4520.0)</f>
        <v>4520</v>
      </c>
      <c r="BD689" s="71">
        <f>IFERROR(__xludf.DUMMYFUNCTION("""COMPUTED_VALUE"""),4746.0)</f>
        <v>4746</v>
      </c>
      <c r="BE689" s="71">
        <f>IFERROR(__xludf.DUMMYFUNCTION("""COMPUTED_VALUE"""),759.36)</f>
        <v>759.36</v>
      </c>
      <c r="BF689" s="71">
        <f>IFERROR(__xludf.DUMMYFUNCTION("""COMPUTED_VALUE"""),5505.36)</f>
        <v>5505.36</v>
      </c>
      <c r="BG689" s="71">
        <f>IFERROR(__xludf.DUMMYFUNCTION("""COMPUTED_VALUE"""),0.05)</f>
        <v>0.05</v>
      </c>
      <c r="BH689" s="71">
        <f>IFERROR(__xludf.DUMMYFUNCTION("""COMPUTED_VALUE"""),4508.7)</f>
        <v>4508.7</v>
      </c>
      <c r="BI689" s="71">
        <f>IFERROR(__xludf.DUMMYFUNCTION("""COMPUTED_VALUE"""),721.3919999999999)</f>
        <v>721.392</v>
      </c>
      <c r="BJ689" s="71">
        <f>IFERROR(__xludf.DUMMYFUNCTION("""COMPUTED_VALUE"""),5230.092)</f>
        <v>5230.092</v>
      </c>
      <c r="BK689" s="71">
        <f>IFERROR(__xludf.DUMMYFUNCTION("""COMPUTED_VALUE"""),4271.400000000001)</f>
        <v>4271.4</v>
      </c>
      <c r="BL689" s="71">
        <f>IFERROR(__xludf.DUMMYFUNCTION("""COMPUTED_VALUE"""),683.4240000000001)</f>
        <v>683.424</v>
      </c>
      <c r="BM689" s="71">
        <f>IFERROR(__xludf.DUMMYFUNCTION("""COMPUTED_VALUE"""),4954.8240000000005)</f>
        <v>4954.824</v>
      </c>
      <c r="BN689" s="71">
        <f>IFERROR(__xludf.DUMMYFUNCTION("""COMPUTED_VALUE"""),4034.1)</f>
        <v>4034.1</v>
      </c>
      <c r="BO689" s="71">
        <f>IFERROR(__xludf.DUMMYFUNCTION("""COMPUTED_VALUE"""),645.456)</f>
        <v>645.456</v>
      </c>
      <c r="BP689" s="71">
        <f>IFERROR(__xludf.DUMMYFUNCTION("""COMPUTED_VALUE"""),4679.556)</f>
        <v>4679.556</v>
      </c>
      <c r="BQ689" s="71">
        <f>IFERROR(__xludf.DUMMYFUNCTION("""COMPUTED_VALUE"""),3939.18)</f>
        <v>3939.18</v>
      </c>
      <c r="BR689" s="71">
        <f>IFERROR(__xludf.DUMMYFUNCTION("""COMPUTED_VALUE"""),630.2687999999999)</f>
        <v>630.2688</v>
      </c>
      <c r="BS689" s="71">
        <f>IFERROR(__xludf.DUMMYFUNCTION("""COMPUTED_VALUE"""),4569.4488)</f>
        <v>4569.4488</v>
      </c>
      <c r="BT689" s="71">
        <f>IFERROR(__xludf.DUMMYFUNCTION("""COMPUTED_VALUE"""),3796.8)</f>
        <v>3796.8</v>
      </c>
      <c r="BU689" s="71">
        <f>IFERROR(__xludf.DUMMYFUNCTION("""COMPUTED_VALUE"""),607.488)</f>
        <v>607.488</v>
      </c>
      <c r="BV689" s="71">
        <f>IFERROR(__xludf.DUMMYFUNCTION("""COMPUTED_VALUE"""),4404.2880000000005)</f>
        <v>4404.288</v>
      </c>
    </row>
    <row r="690">
      <c r="A690" s="53">
        <v>1.0</v>
      </c>
      <c r="B690" s="72"/>
      <c r="C690" s="73" t="s">
        <v>53</v>
      </c>
      <c r="D690" s="74" t="s">
        <v>1647</v>
      </c>
      <c r="E690" s="54" t="s">
        <v>38</v>
      </c>
      <c r="F690" s="54" t="s">
        <v>42</v>
      </c>
      <c r="G690" s="88" t="s">
        <v>1648</v>
      </c>
      <c r="H690" s="54" t="s">
        <v>1649</v>
      </c>
      <c r="I690" s="54">
        <f t="shared" si="24"/>
        <v>32</v>
      </c>
      <c r="J690" s="56"/>
      <c r="K690" s="75"/>
      <c r="L690" s="76"/>
      <c r="M690" s="59"/>
      <c r="N690" s="60">
        <v>2029.0</v>
      </c>
      <c r="O690" s="61">
        <v>2191.0</v>
      </c>
      <c r="P690" s="62">
        <v>2366.28</v>
      </c>
      <c r="Q690" s="63">
        <v>2366.28</v>
      </c>
      <c r="R690" s="64">
        <v>2635.0</v>
      </c>
      <c r="S690" s="111">
        <v>2767.0</v>
      </c>
      <c r="T690" s="65">
        <f t="shared" si="2"/>
        <v>442.72</v>
      </c>
      <c r="U690" s="65">
        <f t="shared" si="3"/>
        <v>3209.72</v>
      </c>
      <c r="V690" s="66">
        <f t="shared" si="4"/>
        <v>0.05009487666</v>
      </c>
      <c r="W690" s="67">
        <f t="shared" si="5"/>
        <v>2628.65</v>
      </c>
      <c r="X690" s="67">
        <f t="shared" si="6"/>
        <v>420.584</v>
      </c>
      <c r="Y690" s="67">
        <f t="shared" si="7"/>
        <v>3049.234</v>
      </c>
      <c r="Z690" s="67">
        <f t="shared" si="8"/>
        <v>2490.3</v>
      </c>
      <c r="AA690" s="67">
        <f t="shared" si="9"/>
        <v>398.448</v>
      </c>
      <c r="AB690" s="67">
        <f t="shared" si="10"/>
        <v>2888.748</v>
      </c>
      <c r="AC690" s="67">
        <f t="shared" si="11"/>
        <v>2351.95</v>
      </c>
      <c r="AD690" s="67">
        <f t="shared" si="12"/>
        <v>376.312</v>
      </c>
      <c r="AE690" s="67">
        <f t="shared" si="13"/>
        <v>2728.262</v>
      </c>
      <c r="AF690" s="67">
        <f t="shared" si="14"/>
        <v>2296.61</v>
      </c>
      <c r="AG690" s="67">
        <f t="shared" si="15"/>
        <v>367.4576</v>
      </c>
      <c r="AH690" s="67">
        <f t="shared" si="16"/>
        <v>2664.0676</v>
      </c>
      <c r="AI690" s="67">
        <f t="shared" si="17"/>
        <v>2213.6</v>
      </c>
      <c r="AJ690" s="68">
        <f t="shared" si="31"/>
        <v>354.176</v>
      </c>
      <c r="AK690" s="68">
        <f t="shared" si="32"/>
        <v>2567.776</v>
      </c>
      <c r="AL690" s="70">
        <f>IFERROR(__xludf.DUMMYFUNCTION("""COMPUTED_VALUE"""),1.0)</f>
        <v>1</v>
      </c>
      <c r="AM690" s="70"/>
      <c r="AN690" s="71" t="str">
        <f>IFERROR(__xludf.DUMMYFUNCTION("""COMPUTED_VALUE""")," P")</f>
        <v>P</v>
      </c>
      <c r="AO690" s="71" t="str">
        <f>IFERROR(__xludf.DUMMYFUNCTION("""COMPUTED_VALUE""")," JG18")</f>
        <v>JG18</v>
      </c>
      <c r="AP690" s="71" t="str">
        <f>IFERROR(__xludf.DUMMYFUNCTION("""COMPUTED_VALUE""")," JGO")</f>
        <v>JGO</v>
      </c>
      <c r="AQ690" s="71" t="str">
        <f>IFERROR(__xludf.DUMMYFUNCTION("""COMPUTED_VALUE""")," REF")</f>
        <v>REF</v>
      </c>
      <c r="AR690" s="71" t="str">
        <f>IFERROR(__xludf.DUMMYFUNCTION("""COMPUTED_VALUE""")," JUEGO DE GUÍAS DE BRONCE DÚPLEX")</f>
        <v>JUEGO DE GUÍAS DE BRONCE DÚPLEX</v>
      </c>
      <c r="AS690" s="71" t="str">
        <f>IFERROR(__xludf.DUMMYFUNCTION("""COMPUTED_VALUE""")," JUEGO DE GUIAS DE BRONCE DPLX")</f>
        <v>JUEGO DE GUIAS DE BRONCE DPLX</v>
      </c>
      <c r="AT690" s="71">
        <f>IFERROR(__xludf.DUMMYFUNCTION("""COMPUTED_VALUE"""),29.0)</f>
        <v>29</v>
      </c>
      <c r="AU690" s="71"/>
      <c r="AV690" s="71"/>
      <c r="AW690" s="71">
        <f>IFERROR(__xludf.DUMMYFUNCTION("""COMPUTED_VALUE"""),6246.071999999999)</f>
        <v>6246.072</v>
      </c>
      <c r="AX690" s="71"/>
      <c r="AY690" s="71">
        <f>IFERROR(__xludf.DUMMYFUNCTION("""COMPUTED_VALUE"""),3825.0)</f>
        <v>3825</v>
      </c>
      <c r="AZ690" s="71">
        <f>IFERROR(__xludf.DUMMYFUNCTION("""COMPUTED_VALUE"""),4131.0)</f>
        <v>4131</v>
      </c>
      <c r="BA690" s="71">
        <f>IFERROR(__xludf.DUMMYFUNCTION("""COMPUTED_VALUE"""),4461.4800000000005)</f>
        <v>4461.48</v>
      </c>
      <c r="BB690" s="71">
        <f>IFERROR(__xludf.DUMMYFUNCTION("""COMPUTED_VALUE"""),4461.4800000000005)</f>
        <v>4461.48</v>
      </c>
      <c r="BC690" s="71">
        <f>IFERROR(__xludf.DUMMYFUNCTION("""COMPUTED_VALUE"""),4967.0)</f>
        <v>4967</v>
      </c>
      <c r="BD690" s="71">
        <f>IFERROR(__xludf.DUMMYFUNCTION("""COMPUTED_VALUE"""),5215.0)</f>
        <v>5215</v>
      </c>
      <c r="BE690" s="71">
        <f>IFERROR(__xludf.DUMMYFUNCTION("""COMPUTED_VALUE"""),834.4)</f>
        <v>834.4</v>
      </c>
      <c r="BF690" s="71">
        <f>IFERROR(__xludf.DUMMYFUNCTION("""COMPUTED_VALUE"""),6049.4)</f>
        <v>6049.4</v>
      </c>
      <c r="BG690" s="71">
        <f>IFERROR(__xludf.DUMMYFUNCTION("""COMPUTED_VALUE"""),0.04992953493054157)</f>
        <v>0.04992953493</v>
      </c>
      <c r="BH690" s="71">
        <f>IFERROR(__xludf.DUMMYFUNCTION("""COMPUTED_VALUE"""),4954.25)</f>
        <v>4954.25</v>
      </c>
      <c r="BI690" s="71">
        <f>IFERROR(__xludf.DUMMYFUNCTION("""COMPUTED_VALUE"""),792.6800000000001)</f>
        <v>792.68</v>
      </c>
      <c r="BJ690" s="71">
        <f>IFERROR(__xludf.DUMMYFUNCTION("""COMPUTED_VALUE"""),5746.93)</f>
        <v>5746.93</v>
      </c>
      <c r="BK690" s="71">
        <f>IFERROR(__xludf.DUMMYFUNCTION("""COMPUTED_VALUE"""),4693.5)</f>
        <v>4693.5</v>
      </c>
      <c r="BL690" s="71">
        <f>IFERROR(__xludf.DUMMYFUNCTION("""COMPUTED_VALUE"""),750.96)</f>
        <v>750.96</v>
      </c>
      <c r="BM690" s="71">
        <f>IFERROR(__xludf.DUMMYFUNCTION("""COMPUTED_VALUE"""),5444.46)</f>
        <v>5444.46</v>
      </c>
      <c r="BN690" s="71">
        <f>IFERROR(__xludf.DUMMYFUNCTION("""COMPUTED_VALUE"""),4432.75)</f>
        <v>4432.75</v>
      </c>
      <c r="BO690" s="71">
        <f>IFERROR(__xludf.DUMMYFUNCTION("""COMPUTED_VALUE"""),709.24)</f>
        <v>709.24</v>
      </c>
      <c r="BP690" s="71">
        <f>IFERROR(__xludf.DUMMYFUNCTION("""COMPUTED_VALUE"""),5141.99)</f>
        <v>5141.99</v>
      </c>
      <c r="BQ690" s="71">
        <f>IFERROR(__xludf.DUMMYFUNCTION("""COMPUTED_VALUE"""),4328.45)</f>
        <v>4328.45</v>
      </c>
      <c r="BR690" s="71">
        <f>IFERROR(__xludf.DUMMYFUNCTION("""COMPUTED_VALUE"""),692.552)</f>
        <v>692.552</v>
      </c>
      <c r="BS690" s="71">
        <f>IFERROR(__xludf.DUMMYFUNCTION("""COMPUTED_VALUE"""),5021.0019999999995)</f>
        <v>5021.002</v>
      </c>
      <c r="BT690" s="71">
        <f>IFERROR(__xludf.DUMMYFUNCTION("""COMPUTED_VALUE"""),4172.0)</f>
        <v>4172</v>
      </c>
      <c r="BU690" s="71">
        <f>IFERROR(__xludf.DUMMYFUNCTION("""COMPUTED_VALUE"""),667.52)</f>
        <v>667.52</v>
      </c>
      <c r="BV690" s="71">
        <f>IFERROR(__xludf.DUMMYFUNCTION("""COMPUTED_VALUE"""),4839.52)</f>
        <v>4839.52</v>
      </c>
    </row>
    <row r="691">
      <c r="A691" s="53">
        <v>1.0</v>
      </c>
      <c r="B691" s="72"/>
      <c r="C691" s="73" t="s">
        <v>53</v>
      </c>
      <c r="D691" s="74" t="s">
        <v>1650</v>
      </c>
      <c r="E691" s="54" t="s">
        <v>38</v>
      </c>
      <c r="F691" s="54" t="s">
        <v>42</v>
      </c>
      <c r="G691" s="55" t="s">
        <v>1651</v>
      </c>
      <c r="H691" s="54" t="s">
        <v>1652</v>
      </c>
      <c r="I691" s="54">
        <f t="shared" si="24"/>
        <v>31</v>
      </c>
      <c r="J691" s="56"/>
      <c r="K691" s="75"/>
      <c r="L691" s="87"/>
      <c r="M691" s="59"/>
      <c r="N691" s="60">
        <v>1715.0</v>
      </c>
      <c r="O691" s="61">
        <v>1852.0</v>
      </c>
      <c r="P691" s="62">
        <v>2000.16</v>
      </c>
      <c r="Q691" s="63">
        <v>2000.16</v>
      </c>
      <c r="R691" s="64">
        <v>2228.0</v>
      </c>
      <c r="S691" s="111">
        <v>2339.0</v>
      </c>
      <c r="T691" s="65">
        <f t="shared" si="2"/>
        <v>374.24</v>
      </c>
      <c r="U691" s="65">
        <f t="shared" si="3"/>
        <v>2713.24</v>
      </c>
      <c r="V691" s="66">
        <f t="shared" si="4"/>
        <v>0.04982046679</v>
      </c>
      <c r="W691" s="67">
        <f t="shared" si="5"/>
        <v>2222.05</v>
      </c>
      <c r="X691" s="67">
        <f t="shared" si="6"/>
        <v>355.528</v>
      </c>
      <c r="Y691" s="67">
        <f t="shared" si="7"/>
        <v>2577.578</v>
      </c>
      <c r="Z691" s="67">
        <f t="shared" si="8"/>
        <v>2105.1</v>
      </c>
      <c r="AA691" s="67">
        <f t="shared" si="9"/>
        <v>336.816</v>
      </c>
      <c r="AB691" s="67">
        <f t="shared" si="10"/>
        <v>2441.916</v>
      </c>
      <c r="AC691" s="67">
        <f t="shared" si="11"/>
        <v>1988.15</v>
      </c>
      <c r="AD691" s="67">
        <f t="shared" si="12"/>
        <v>318.104</v>
      </c>
      <c r="AE691" s="67">
        <f t="shared" si="13"/>
        <v>2306.254</v>
      </c>
      <c r="AF691" s="67">
        <f t="shared" si="14"/>
        <v>1941.37</v>
      </c>
      <c r="AG691" s="67">
        <f t="shared" si="15"/>
        <v>310.6192</v>
      </c>
      <c r="AH691" s="67">
        <f t="shared" si="16"/>
        <v>2251.9892</v>
      </c>
      <c r="AI691" s="67">
        <f t="shared" si="17"/>
        <v>1871.2</v>
      </c>
      <c r="AJ691" s="68">
        <f t="shared" si="31"/>
        <v>299.392</v>
      </c>
      <c r="AK691" s="68">
        <f t="shared" si="32"/>
        <v>2170.592</v>
      </c>
      <c r="AL691" s="70">
        <f>IFERROR(__xludf.DUMMYFUNCTION("""COMPUTED_VALUE"""),1.0)</f>
        <v>1</v>
      </c>
      <c r="AM691" s="70"/>
      <c r="AN691" s="71" t="str">
        <f>IFERROR(__xludf.DUMMYFUNCTION("""COMPUTED_VALUE""")," P")</f>
        <v>P</v>
      </c>
      <c r="AO691" s="71" t="str">
        <f>IFERROR(__xludf.DUMMYFUNCTION("""COMPUTED_VALUE""")," JG19")</f>
        <v>JG19</v>
      </c>
      <c r="AP691" s="71" t="str">
        <f>IFERROR(__xludf.DUMMYFUNCTION("""COMPUTED_VALUE""")," JGO")</f>
        <v>JGO</v>
      </c>
      <c r="AQ691" s="71" t="str">
        <f>IFERROR(__xludf.DUMMYFUNCTION("""COMPUTED_VALUE""")," REF")</f>
        <v>REF</v>
      </c>
      <c r="AR691" s="71" t="str">
        <f>IFERROR(__xludf.DUMMYFUNCTION("""COMPUTED_VALUE""")," JUEGO DE GUÍAS DE BRONCE SENCILLA")</f>
        <v>JUEGO DE GUÍAS DE BRONCE SENCILLA</v>
      </c>
      <c r="AS691" s="71" t="str">
        <f>IFERROR(__xludf.DUMMYFUNCTION("""COMPUTED_VALUE""")," JUEGO DE GUIAS DE BRONCE SENCILLA")</f>
        <v>JUEGO DE GUIAS DE BRONCE SENCILLA</v>
      </c>
      <c r="AT691" s="71">
        <f>IFERROR(__xludf.DUMMYFUNCTION("""COMPUTED_VALUE"""),33.0)</f>
        <v>33</v>
      </c>
      <c r="AU691" s="71"/>
      <c r="AV691" s="71"/>
      <c r="AW691" s="71"/>
      <c r="AX691" s="71"/>
      <c r="AY691" s="71">
        <f>IFERROR(__xludf.DUMMYFUNCTION("""COMPUTED_VALUE"""),1989.0)</f>
        <v>1989</v>
      </c>
      <c r="AZ691" s="71">
        <f>IFERROR(__xludf.DUMMYFUNCTION("""COMPUTED_VALUE"""),2148.0)</f>
        <v>2148</v>
      </c>
      <c r="BA691" s="71">
        <f>IFERROR(__xludf.DUMMYFUNCTION("""COMPUTED_VALUE"""),2319.84)</f>
        <v>2319.84</v>
      </c>
      <c r="BB691" s="71">
        <f>IFERROR(__xludf.DUMMYFUNCTION("""COMPUTED_VALUE"""),2319.84)</f>
        <v>2319.84</v>
      </c>
      <c r="BC691" s="71">
        <f>IFERROR(__xludf.DUMMYFUNCTION("""COMPUTED_VALUE"""),2583.0)</f>
        <v>2583</v>
      </c>
      <c r="BD691" s="71">
        <f>IFERROR(__xludf.DUMMYFUNCTION("""COMPUTED_VALUE"""),2712.0)</f>
        <v>2712</v>
      </c>
      <c r="BE691" s="71">
        <f>IFERROR(__xludf.DUMMYFUNCTION("""COMPUTED_VALUE"""),433.92)</f>
        <v>433.92</v>
      </c>
      <c r="BF691" s="71">
        <f>IFERROR(__xludf.DUMMYFUNCTION("""COMPUTED_VALUE"""),3145.92)</f>
        <v>3145.92</v>
      </c>
      <c r="BG691" s="71">
        <f>IFERROR(__xludf.DUMMYFUNCTION("""COMPUTED_VALUE"""),0.04994192799070848)</f>
        <v>0.04994192799</v>
      </c>
      <c r="BH691" s="71">
        <f>IFERROR(__xludf.DUMMYFUNCTION("""COMPUTED_VALUE"""),2576.4)</f>
        <v>2576.4</v>
      </c>
      <c r="BI691" s="71">
        <f>IFERROR(__xludf.DUMMYFUNCTION("""COMPUTED_VALUE"""),412.22400000000005)</f>
        <v>412.224</v>
      </c>
      <c r="BJ691" s="71">
        <f>IFERROR(__xludf.DUMMYFUNCTION("""COMPUTED_VALUE"""),2988.6240000000003)</f>
        <v>2988.624</v>
      </c>
      <c r="BK691" s="71">
        <f>IFERROR(__xludf.DUMMYFUNCTION("""COMPUTED_VALUE"""),2440.8)</f>
        <v>2440.8</v>
      </c>
      <c r="BL691" s="71">
        <f>IFERROR(__xludf.DUMMYFUNCTION("""COMPUTED_VALUE"""),390.528)</f>
        <v>390.528</v>
      </c>
      <c r="BM691" s="71">
        <f>IFERROR(__xludf.DUMMYFUNCTION("""COMPUTED_VALUE"""),2831.3280000000004)</f>
        <v>2831.328</v>
      </c>
      <c r="BN691" s="71">
        <f>IFERROR(__xludf.DUMMYFUNCTION("""COMPUTED_VALUE"""),2305.2)</f>
        <v>2305.2</v>
      </c>
      <c r="BO691" s="71">
        <f>IFERROR(__xludf.DUMMYFUNCTION("""COMPUTED_VALUE"""),368.832)</f>
        <v>368.832</v>
      </c>
      <c r="BP691" s="71">
        <f>IFERROR(__xludf.DUMMYFUNCTION("""COMPUTED_VALUE"""),2674.0319999999997)</f>
        <v>2674.032</v>
      </c>
      <c r="BQ691" s="71">
        <f>IFERROR(__xludf.DUMMYFUNCTION("""COMPUTED_VALUE"""),2250.96)</f>
        <v>2250.96</v>
      </c>
      <c r="BR691" s="71">
        <f>IFERROR(__xludf.DUMMYFUNCTION("""COMPUTED_VALUE"""),360.15360000000004)</f>
        <v>360.1536</v>
      </c>
      <c r="BS691" s="71">
        <f>IFERROR(__xludf.DUMMYFUNCTION("""COMPUTED_VALUE"""),2611.1136)</f>
        <v>2611.1136</v>
      </c>
      <c r="BT691" s="71">
        <f>IFERROR(__xludf.DUMMYFUNCTION("""COMPUTED_VALUE"""),2169.6)</f>
        <v>2169.6</v>
      </c>
      <c r="BU691" s="71">
        <f>IFERROR(__xludf.DUMMYFUNCTION("""COMPUTED_VALUE"""),347.13599999999997)</f>
        <v>347.136</v>
      </c>
      <c r="BV691" s="71">
        <f>IFERROR(__xludf.DUMMYFUNCTION("""COMPUTED_VALUE"""),2516.736)</f>
        <v>2516.736</v>
      </c>
    </row>
    <row r="692">
      <c r="A692" s="53">
        <v>1.0</v>
      </c>
      <c r="B692" s="72"/>
      <c r="C692" s="73" t="s">
        <v>53</v>
      </c>
      <c r="D692" s="74" t="s">
        <v>1653</v>
      </c>
      <c r="E692" s="54" t="s">
        <v>38</v>
      </c>
      <c r="F692" s="54" t="s">
        <v>42</v>
      </c>
      <c r="G692" s="55" t="s">
        <v>1654</v>
      </c>
      <c r="H692" s="54" t="s">
        <v>1655</v>
      </c>
      <c r="I692" s="54">
        <f t="shared" si="24"/>
        <v>31</v>
      </c>
      <c r="J692" s="56"/>
      <c r="K692" s="75"/>
      <c r="L692" s="76"/>
      <c r="M692" s="59"/>
      <c r="N692" s="60">
        <v>1915.0</v>
      </c>
      <c r="O692" s="61">
        <v>2068.0</v>
      </c>
      <c r="P692" s="62">
        <v>2233.44</v>
      </c>
      <c r="Q692" s="63">
        <v>2233.44</v>
      </c>
      <c r="R692" s="64">
        <v>2487.0</v>
      </c>
      <c r="S692" s="111">
        <v>2611.0</v>
      </c>
      <c r="T692" s="65">
        <f t="shared" si="2"/>
        <v>417.76</v>
      </c>
      <c r="U692" s="65">
        <f t="shared" si="3"/>
        <v>3028.76</v>
      </c>
      <c r="V692" s="66">
        <f t="shared" si="4"/>
        <v>0.04985926819</v>
      </c>
      <c r="W692" s="67">
        <f t="shared" si="5"/>
        <v>2480.45</v>
      </c>
      <c r="X692" s="67">
        <f t="shared" si="6"/>
        <v>396.872</v>
      </c>
      <c r="Y692" s="67">
        <f t="shared" si="7"/>
        <v>2877.322</v>
      </c>
      <c r="Z692" s="67">
        <f t="shared" si="8"/>
        <v>2349.9</v>
      </c>
      <c r="AA692" s="67">
        <f t="shared" si="9"/>
        <v>375.984</v>
      </c>
      <c r="AB692" s="67">
        <f t="shared" si="10"/>
        <v>2725.884</v>
      </c>
      <c r="AC692" s="67">
        <f t="shared" si="11"/>
        <v>2219.35</v>
      </c>
      <c r="AD692" s="67">
        <f t="shared" si="12"/>
        <v>355.096</v>
      </c>
      <c r="AE692" s="67">
        <f t="shared" si="13"/>
        <v>2574.446</v>
      </c>
      <c r="AF692" s="67">
        <f t="shared" si="14"/>
        <v>2167.13</v>
      </c>
      <c r="AG692" s="67">
        <f t="shared" si="15"/>
        <v>346.7408</v>
      </c>
      <c r="AH692" s="67">
        <f t="shared" si="16"/>
        <v>2513.8708</v>
      </c>
      <c r="AI692" s="67">
        <f t="shared" si="17"/>
        <v>2088.8</v>
      </c>
      <c r="AJ692" s="68">
        <f t="shared" si="31"/>
        <v>334.208</v>
      </c>
      <c r="AK692" s="68">
        <f t="shared" si="32"/>
        <v>2423.008</v>
      </c>
      <c r="AL692" s="70">
        <f>IFERROR(__xludf.DUMMYFUNCTION("""COMPUTED_VALUE"""),1.0)</f>
        <v>1</v>
      </c>
      <c r="AM692" s="70"/>
      <c r="AN692" s="71" t="str">
        <f>IFERROR(__xludf.DUMMYFUNCTION("""COMPUTED_VALUE""")," C")</f>
        <v>C</v>
      </c>
      <c r="AO692" s="71" t="str">
        <f>IFERROR(__xludf.DUMMYFUNCTION("""COMPUTED_VALUE""")," JG186")</f>
        <v>JG186</v>
      </c>
      <c r="AP692" s="71" t="str">
        <f>IFERROR(__xludf.DUMMYFUNCTION("""COMPUTED_VALUE""")," JGO")</f>
        <v>JGO</v>
      </c>
      <c r="AQ692" s="71" t="str">
        <f>IFERROR(__xludf.DUMMYFUNCTION("""COMPUTED_VALUE""")," REF")</f>
        <v>REF</v>
      </c>
      <c r="AR692" s="71" t="str">
        <f>IFERROR(__xludf.DUMMYFUNCTION("""COMPUTED_VALUE""")," JUEGO DE JUNTAS PARA REDUCTOR")</f>
        <v>JUEGO DE JUNTAS PARA REDUCTOR</v>
      </c>
      <c r="AS692" s="71" t="str">
        <f>IFERROR(__xludf.DUMMYFUNCTION("""COMPUTED_VALUE""")," JUEGO DE JUNTAS PARA REDUCTOR")</f>
        <v>JUEGO DE JUNTAS PARA REDUCTOR</v>
      </c>
      <c r="AT692" s="71">
        <f>IFERROR(__xludf.DUMMYFUNCTION("""COMPUTED_VALUE"""),29.0)</f>
        <v>29</v>
      </c>
      <c r="AU692" s="71"/>
      <c r="AV692" s="71"/>
      <c r="AW692" s="71"/>
      <c r="AX692" s="71"/>
      <c r="AY692" s="71">
        <f>IFERROR(__xludf.DUMMYFUNCTION("""COMPUTED_VALUE"""),24.0)</f>
        <v>24</v>
      </c>
      <c r="AZ692" s="71">
        <f>IFERROR(__xludf.DUMMYFUNCTION("""COMPUTED_VALUE"""),25.0)</f>
        <v>25</v>
      </c>
      <c r="BA692" s="71">
        <f>IFERROR(__xludf.DUMMYFUNCTION("""COMPUTED_VALUE"""),27.0)</f>
        <v>27</v>
      </c>
      <c r="BB692" s="71">
        <f>IFERROR(__xludf.DUMMYFUNCTION("""COMPUTED_VALUE"""),27.0)</f>
        <v>27</v>
      </c>
      <c r="BC692" s="71">
        <f>IFERROR(__xludf.DUMMYFUNCTION("""COMPUTED_VALUE"""),31.0)</f>
        <v>31</v>
      </c>
      <c r="BD692" s="71">
        <f>IFERROR(__xludf.DUMMYFUNCTION("""COMPUTED_VALUE"""),33.0)</f>
        <v>33</v>
      </c>
      <c r="BE692" s="71">
        <f>IFERROR(__xludf.DUMMYFUNCTION("""COMPUTED_VALUE"""),5.28)</f>
        <v>5.28</v>
      </c>
      <c r="BF692" s="71">
        <f>IFERROR(__xludf.DUMMYFUNCTION("""COMPUTED_VALUE"""),38.28)</f>
        <v>38.28</v>
      </c>
      <c r="BG692" s="71">
        <f>IFERROR(__xludf.DUMMYFUNCTION("""COMPUTED_VALUE"""),0.06451612903225806)</f>
        <v>0.06451612903</v>
      </c>
      <c r="BH692" s="71">
        <f>IFERROR(__xludf.DUMMYFUNCTION("""COMPUTED_VALUE"""),31.349999999999998)</f>
        <v>31.35</v>
      </c>
      <c r="BI692" s="71">
        <f>IFERROR(__xludf.DUMMYFUNCTION("""COMPUTED_VALUE"""),5.016)</f>
        <v>5.016</v>
      </c>
      <c r="BJ692" s="71">
        <f>IFERROR(__xludf.DUMMYFUNCTION("""COMPUTED_VALUE"""),36.366)</f>
        <v>36.366</v>
      </c>
      <c r="BK692" s="71">
        <f>IFERROR(__xludf.DUMMYFUNCTION("""COMPUTED_VALUE"""),29.7)</f>
        <v>29.7</v>
      </c>
      <c r="BL692" s="71">
        <f>IFERROR(__xludf.DUMMYFUNCTION("""COMPUTED_VALUE"""),4.752)</f>
        <v>4.752</v>
      </c>
      <c r="BM692" s="71">
        <f>IFERROR(__xludf.DUMMYFUNCTION("""COMPUTED_VALUE"""),34.452)</f>
        <v>34.452</v>
      </c>
      <c r="BN692" s="71">
        <f>IFERROR(__xludf.DUMMYFUNCTION("""COMPUTED_VALUE"""),28.05)</f>
        <v>28.05</v>
      </c>
      <c r="BO692" s="71">
        <f>IFERROR(__xludf.DUMMYFUNCTION("""COMPUTED_VALUE"""),4.488)</f>
        <v>4.488</v>
      </c>
      <c r="BP692" s="71">
        <f>IFERROR(__xludf.DUMMYFUNCTION("""COMPUTED_VALUE"""),32.538000000000004)</f>
        <v>32.538</v>
      </c>
      <c r="BQ692" s="71">
        <f>IFERROR(__xludf.DUMMYFUNCTION("""COMPUTED_VALUE"""),27.389999999999997)</f>
        <v>27.39</v>
      </c>
      <c r="BR692" s="71">
        <f>IFERROR(__xludf.DUMMYFUNCTION("""COMPUTED_VALUE"""),4.3824)</f>
        <v>4.3824</v>
      </c>
      <c r="BS692" s="71">
        <f>IFERROR(__xludf.DUMMYFUNCTION("""COMPUTED_VALUE"""),31.772399999999998)</f>
        <v>31.7724</v>
      </c>
      <c r="BT692" s="71">
        <f>IFERROR(__xludf.DUMMYFUNCTION("""COMPUTED_VALUE"""),26.400000000000002)</f>
        <v>26.4</v>
      </c>
      <c r="BU692" s="71">
        <f>IFERROR(__xludf.DUMMYFUNCTION("""COMPUTED_VALUE"""),4.224)</f>
        <v>4.224</v>
      </c>
      <c r="BV692" s="71">
        <f>IFERROR(__xludf.DUMMYFUNCTION("""COMPUTED_VALUE"""),30.624000000000002)</f>
        <v>30.624</v>
      </c>
    </row>
    <row r="693">
      <c r="A693" s="53">
        <v>1.0</v>
      </c>
      <c r="B693" s="72"/>
      <c r="C693" s="73" t="s">
        <v>53</v>
      </c>
      <c r="D693" s="74" t="s">
        <v>1656</v>
      </c>
      <c r="E693" s="54" t="s">
        <v>38</v>
      </c>
      <c r="F693" s="54" t="s">
        <v>42</v>
      </c>
      <c r="G693" s="88" t="s">
        <v>1657</v>
      </c>
      <c r="H693" s="54" t="s">
        <v>1658</v>
      </c>
      <c r="I693" s="54">
        <f t="shared" si="24"/>
        <v>28</v>
      </c>
      <c r="J693" s="56"/>
      <c r="K693" s="75"/>
      <c r="L693" s="87"/>
      <c r="M693" s="59"/>
      <c r="N693" s="60">
        <v>260.0</v>
      </c>
      <c r="O693" s="61">
        <v>280.0</v>
      </c>
      <c r="P693" s="62">
        <v>302.40000000000003</v>
      </c>
      <c r="Q693" s="63">
        <v>302.40000000000003</v>
      </c>
      <c r="R693" s="64">
        <v>338.0</v>
      </c>
      <c r="S693" s="111">
        <v>355.0</v>
      </c>
      <c r="T693" s="65">
        <f t="shared" si="2"/>
        <v>56.8</v>
      </c>
      <c r="U693" s="65">
        <f t="shared" si="3"/>
        <v>411.8</v>
      </c>
      <c r="V693" s="66">
        <f t="shared" si="4"/>
        <v>0.05029585799</v>
      </c>
      <c r="W693" s="67">
        <f t="shared" si="5"/>
        <v>337.25</v>
      </c>
      <c r="X693" s="67">
        <f t="shared" si="6"/>
        <v>53.96</v>
      </c>
      <c r="Y693" s="67">
        <f t="shared" si="7"/>
        <v>391.21</v>
      </c>
      <c r="Z693" s="67">
        <f t="shared" si="8"/>
        <v>319.5</v>
      </c>
      <c r="AA693" s="67">
        <f t="shared" si="9"/>
        <v>51.12</v>
      </c>
      <c r="AB693" s="67">
        <f t="shared" si="10"/>
        <v>370.62</v>
      </c>
      <c r="AC693" s="67">
        <f t="shared" si="11"/>
        <v>301.75</v>
      </c>
      <c r="AD693" s="67">
        <f t="shared" si="12"/>
        <v>48.28</v>
      </c>
      <c r="AE693" s="67">
        <f t="shared" si="13"/>
        <v>350.03</v>
      </c>
      <c r="AF693" s="67">
        <f t="shared" si="14"/>
        <v>294.65</v>
      </c>
      <c r="AG693" s="67">
        <f t="shared" si="15"/>
        <v>47.144</v>
      </c>
      <c r="AH693" s="67">
        <f t="shared" si="16"/>
        <v>341.794</v>
      </c>
      <c r="AI693" s="67">
        <f t="shared" si="17"/>
        <v>284</v>
      </c>
      <c r="AJ693" s="68">
        <f t="shared" si="31"/>
        <v>45.44</v>
      </c>
      <c r="AK693" s="68">
        <f t="shared" si="32"/>
        <v>329.44</v>
      </c>
      <c r="AL693" s="70">
        <f>IFERROR(__xludf.DUMMYFUNCTION("""COMPUTED_VALUE"""),1.0)</f>
        <v>1</v>
      </c>
      <c r="AM693" s="70"/>
      <c r="AN693" s="71" t="str">
        <f>IFERROR(__xludf.DUMMYFUNCTION("""COMPUTED_VALUE""")," P")</f>
        <v>P</v>
      </c>
      <c r="AO693" s="71" t="str">
        <f>IFERROR(__xludf.DUMMYFUNCTION("""COMPUTED_VALUE""")," JG174")</f>
        <v>JG174</v>
      </c>
      <c r="AP693" s="71" t="str">
        <f>IFERROR(__xludf.DUMMYFUNCTION("""COMPUTED_VALUE""")," JGO")</f>
        <v>JGO</v>
      </c>
      <c r="AQ693" s="71" t="str">
        <f>IFERROR(__xludf.DUMMYFUNCTION("""COMPUTED_VALUE""")," REF")</f>
        <v>REF</v>
      </c>
      <c r="AR693" s="71" t="str">
        <f>IFERROR(__xludf.DUMMYFUNCTION("""COMPUTED_VALUE""")," JUEGO DE LATERALES SENCILLO MODELO ANTERIOR")</f>
        <v>JUEGO DE LATERALES SENCILLO MODELO ANTERIOR</v>
      </c>
      <c r="AS693" s="71" t="str">
        <f>IFERROR(__xludf.DUMMYFUNCTION("""COMPUTED_VALUE""")," JUEGO DE LATERALES SENCILLO MA")</f>
        <v>JUEGO DE LATERALES SENCILLO MA</v>
      </c>
      <c r="AT693" s="71">
        <f>IFERROR(__xludf.DUMMYFUNCTION("""COMPUTED_VALUE"""),30.0)</f>
        <v>30</v>
      </c>
      <c r="AU693" s="71"/>
      <c r="AV693" s="71"/>
      <c r="AW693" s="71"/>
      <c r="AX693" s="71"/>
      <c r="AY693" s="71">
        <f>IFERROR(__xludf.DUMMYFUNCTION("""COMPUTED_VALUE"""),5559.0)</f>
        <v>5559</v>
      </c>
      <c r="AZ693" s="71">
        <f>IFERROR(__xludf.DUMMYFUNCTION("""COMPUTED_VALUE"""),6003.0)</f>
        <v>6003</v>
      </c>
      <c r="BA693" s="71">
        <f>IFERROR(__xludf.DUMMYFUNCTION("""COMPUTED_VALUE"""),6483.240000000001)</f>
        <v>6483.24</v>
      </c>
      <c r="BB693" s="71">
        <f>IFERROR(__xludf.DUMMYFUNCTION("""COMPUTED_VALUE"""),6483.240000000001)</f>
        <v>6483.24</v>
      </c>
      <c r="BC693" s="71">
        <f>IFERROR(__xludf.DUMMYFUNCTION("""COMPUTED_VALUE"""),7149.0)</f>
        <v>7149</v>
      </c>
      <c r="BD693" s="71">
        <f>IFERROR(__xludf.DUMMYFUNCTION("""COMPUTED_VALUE"""),7506.0)</f>
        <v>7506</v>
      </c>
      <c r="BE693" s="71">
        <f>IFERROR(__xludf.DUMMYFUNCTION("""COMPUTED_VALUE"""),1200.96)</f>
        <v>1200.96</v>
      </c>
      <c r="BF693" s="71">
        <f>IFERROR(__xludf.DUMMYFUNCTION("""COMPUTED_VALUE"""),8706.96)</f>
        <v>8706.96</v>
      </c>
      <c r="BG693" s="71">
        <f>IFERROR(__xludf.DUMMYFUNCTION("""COMPUTED_VALUE"""),0.049937054133445236)</f>
        <v>0.04993705413</v>
      </c>
      <c r="BH693" s="71">
        <f>IFERROR(__xludf.DUMMYFUNCTION("""COMPUTED_VALUE"""),7130.7)</f>
        <v>7130.7</v>
      </c>
      <c r="BI693" s="71">
        <f>IFERROR(__xludf.DUMMYFUNCTION("""COMPUTED_VALUE"""),1140.912)</f>
        <v>1140.912</v>
      </c>
      <c r="BJ693" s="71">
        <f>IFERROR(__xludf.DUMMYFUNCTION("""COMPUTED_VALUE"""),8271.612)</f>
        <v>8271.612</v>
      </c>
      <c r="BK693" s="71">
        <f>IFERROR(__xludf.DUMMYFUNCTION("""COMPUTED_VALUE"""),6755.400000000001)</f>
        <v>6755.4</v>
      </c>
      <c r="BL693" s="71">
        <f>IFERROR(__xludf.DUMMYFUNCTION("""COMPUTED_VALUE"""),1080.864)</f>
        <v>1080.864</v>
      </c>
      <c r="BM693" s="71">
        <f>IFERROR(__xludf.DUMMYFUNCTION("""COMPUTED_VALUE"""),7836.264000000001)</f>
        <v>7836.264</v>
      </c>
      <c r="BN693" s="71">
        <f>IFERROR(__xludf.DUMMYFUNCTION("""COMPUTED_VALUE"""),6380.099999999999)</f>
        <v>6380.1</v>
      </c>
      <c r="BO693" s="71">
        <f>IFERROR(__xludf.DUMMYFUNCTION("""COMPUTED_VALUE"""),1020.8159999999999)</f>
        <v>1020.816</v>
      </c>
      <c r="BP693" s="71">
        <f>IFERROR(__xludf.DUMMYFUNCTION("""COMPUTED_VALUE"""),7400.915999999999)</f>
        <v>7400.916</v>
      </c>
      <c r="BQ693" s="71">
        <f>IFERROR(__xludf.DUMMYFUNCTION("""COMPUTED_VALUE"""),6229.98)</f>
        <v>6229.98</v>
      </c>
      <c r="BR693" s="71">
        <f>IFERROR(__xludf.DUMMYFUNCTION("""COMPUTED_VALUE"""),996.7968)</f>
        <v>996.7968</v>
      </c>
      <c r="BS693" s="71">
        <f>IFERROR(__xludf.DUMMYFUNCTION("""COMPUTED_VALUE"""),7226.7768)</f>
        <v>7226.7768</v>
      </c>
      <c r="BT693" s="71">
        <f>IFERROR(__xludf.DUMMYFUNCTION("""COMPUTED_VALUE"""),6004.8)</f>
        <v>6004.8</v>
      </c>
      <c r="BU693" s="71">
        <f>IFERROR(__xludf.DUMMYFUNCTION("""COMPUTED_VALUE"""),960.768)</f>
        <v>960.768</v>
      </c>
      <c r="BV693" s="71">
        <f>IFERROR(__xludf.DUMMYFUNCTION("""COMPUTED_VALUE"""),6965.568)</f>
        <v>6965.568</v>
      </c>
    </row>
    <row r="694">
      <c r="A694" s="53">
        <v>1.0</v>
      </c>
      <c r="B694" s="72"/>
      <c r="C694" s="73" t="s">
        <v>53</v>
      </c>
      <c r="D694" s="74" t="s">
        <v>1659</v>
      </c>
      <c r="E694" s="54" t="s">
        <v>38</v>
      </c>
      <c r="F694" s="54" t="s">
        <v>42</v>
      </c>
      <c r="G694" s="88" t="s">
        <v>1660</v>
      </c>
      <c r="H694" s="54" t="s">
        <v>1661</v>
      </c>
      <c r="I694" s="54">
        <f t="shared" si="24"/>
        <v>39</v>
      </c>
      <c r="J694" s="56"/>
      <c r="K694" s="75"/>
      <c r="L694" s="76"/>
      <c r="M694" s="59"/>
      <c r="N694" s="60">
        <v>191.0</v>
      </c>
      <c r="O694" s="61">
        <v>206.0</v>
      </c>
      <c r="P694" s="62">
        <v>222.48000000000002</v>
      </c>
      <c r="Q694" s="63">
        <v>222.48000000000002</v>
      </c>
      <c r="R694" s="64">
        <v>248.0</v>
      </c>
      <c r="S694" s="111">
        <v>260.0</v>
      </c>
      <c r="T694" s="65">
        <f t="shared" si="2"/>
        <v>41.6</v>
      </c>
      <c r="U694" s="65">
        <f t="shared" si="3"/>
        <v>301.6</v>
      </c>
      <c r="V694" s="66">
        <f t="shared" si="4"/>
        <v>0.04838709677</v>
      </c>
      <c r="W694" s="67">
        <f t="shared" si="5"/>
        <v>247</v>
      </c>
      <c r="X694" s="67">
        <f t="shared" si="6"/>
        <v>39.52</v>
      </c>
      <c r="Y694" s="67">
        <f t="shared" si="7"/>
        <v>286.52</v>
      </c>
      <c r="Z694" s="67">
        <f t="shared" si="8"/>
        <v>234</v>
      </c>
      <c r="AA694" s="67">
        <f t="shared" si="9"/>
        <v>37.44</v>
      </c>
      <c r="AB694" s="67">
        <f t="shared" si="10"/>
        <v>271.44</v>
      </c>
      <c r="AC694" s="67">
        <f t="shared" si="11"/>
        <v>221</v>
      </c>
      <c r="AD694" s="67">
        <f t="shared" si="12"/>
        <v>35.36</v>
      </c>
      <c r="AE694" s="67">
        <f t="shared" si="13"/>
        <v>256.36</v>
      </c>
      <c r="AF694" s="67">
        <f t="shared" si="14"/>
        <v>215.8</v>
      </c>
      <c r="AG694" s="67">
        <f t="shared" si="15"/>
        <v>34.528</v>
      </c>
      <c r="AH694" s="67">
        <f t="shared" si="16"/>
        <v>250.328</v>
      </c>
      <c r="AI694" s="67">
        <f t="shared" si="17"/>
        <v>208</v>
      </c>
      <c r="AJ694" s="68">
        <f t="shared" si="31"/>
        <v>33.28</v>
      </c>
      <c r="AK694" s="68">
        <f t="shared" si="32"/>
        <v>241.28</v>
      </c>
      <c r="AL694" s="70">
        <f>IFERROR(__xludf.DUMMYFUNCTION("""COMPUTED_VALUE"""),1.0)</f>
        <v>1</v>
      </c>
      <c r="AM694" s="70"/>
      <c r="AN694" s="71" t="str">
        <f>IFERROR(__xludf.DUMMYFUNCTION("""COMPUTED_VALUE""")," P")</f>
        <v>P</v>
      </c>
      <c r="AO694" s="71" t="str">
        <f>IFERROR(__xludf.DUMMYFUNCTION("""COMPUTED_VALUE""")," JG175")</f>
        <v>JG175</v>
      </c>
      <c r="AP694" s="71" t="str">
        <f>IFERROR(__xludf.DUMMYFUNCTION("""COMPUTED_VALUE""")," JGO")</f>
        <v>JGO</v>
      </c>
      <c r="AQ694" s="71" t="str">
        <f>IFERROR(__xludf.DUMMYFUNCTION("""COMPUTED_VALUE""")," REF")</f>
        <v>REF</v>
      </c>
      <c r="AR694" s="71" t="str">
        <f>IFERROR(__xludf.DUMMYFUNCTION("""COMPUTED_VALUE""")," JUEGO DE LATERALES SENCILLO TV-50 (B.C.)")</f>
        <v>JUEGO DE LATERALES SENCILLO TV-50 (B.C.)</v>
      </c>
      <c r="AS694" s="71" t="str">
        <f>IFERROR(__xludf.DUMMYFUNCTION("""COMPUTED_VALUE""")," JUEGO DE LATERALES SENCILLO TV/BC")</f>
        <v>JUEGO DE LATERALES SENCILLO TV/BC</v>
      </c>
      <c r="AT694" s="71">
        <f>IFERROR(__xludf.DUMMYFUNCTION("""COMPUTED_VALUE"""),33.0)</f>
        <v>33</v>
      </c>
      <c r="AU694" s="71"/>
      <c r="AV694" s="71"/>
      <c r="AW694" s="71"/>
      <c r="AX694" s="71"/>
      <c r="AY694" s="71">
        <f>IFERROR(__xludf.DUMMYFUNCTION("""COMPUTED_VALUE"""),5559.0)</f>
        <v>5559</v>
      </c>
      <c r="AZ694" s="71">
        <f>IFERROR(__xludf.DUMMYFUNCTION("""COMPUTED_VALUE"""),6003.0)</f>
        <v>6003</v>
      </c>
      <c r="BA694" s="71">
        <f>IFERROR(__xludf.DUMMYFUNCTION("""COMPUTED_VALUE"""),6483.240000000001)</f>
        <v>6483.24</v>
      </c>
      <c r="BB694" s="71">
        <f>IFERROR(__xludf.DUMMYFUNCTION("""COMPUTED_VALUE"""),6483.240000000001)</f>
        <v>6483.24</v>
      </c>
      <c r="BC694" s="71">
        <f>IFERROR(__xludf.DUMMYFUNCTION("""COMPUTED_VALUE"""),7217.0)</f>
        <v>7217</v>
      </c>
      <c r="BD694" s="71">
        <f>IFERROR(__xludf.DUMMYFUNCTION("""COMPUTED_VALUE"""),7578.0)</f>
        <v>7578</v>
      </c>
      <c r="BE694" s="71">
        <f>IFERROR(__xludf.DUMMYFUNCTION("""COMPUTED_VALUE"""),1212.48)</f>
        <v>1212.48</v>
      </c>
      <c r="BF694" s="71">
        <f>IFERROR(__xludf.DUMMYFUNCTION("""COMPUTED_VALUE"""),8790.48)</f>
        <v>8790.48</v>
      </c>
      <c r="BG694" s="71">
        <f>IFERROR(__xludf.DUMMYFUNCTION("""COMPUTED_VALUE"""),0.05002078425938756)</f>
        <v>0.05002078426</v>
      </c>
      <c r="BH694" s="71">
        <f>IFERROR(__xludf.DUMMYFUNCTION("""COMPUTED_VALUE"""),7199.099999999999)</f>
        <v>7199.1</v>
      </c>
      <c r="BI694" s="71">
        <f>IFERROR(__xludf.DUMMYFUNCTION("""COMPUTED_VALUE"""),1151.856)</f>
        <v>1151.856</v>
      </c>
      <c r="BJ694" s="71">
        <f>IFERROR(__xludf.DUMMYFUNCTION("""COMPUTED_VALUE"""),8350.956)</f>
        <v>8350.956</v>
      </c>
      <c r="BK694" s="71">
        <f>IFERROR(__xludf.DUMMYFUNCTION("""COMPUTED_VALUE"""),6820.2)</f>
        <v>6820.2</v>
      </c>
      <c r="BL694" s="71">
        <f>IFERROR(__xludf.DUMMYFUNCTION("""COMPUTED_VALUE"""),1091.232)</f>
        <v>1091.232</v>
      </c>
      <c r="BM694" s="71">
        <f>IFERROR(__xludf.DUMMYFUNCTION("""COMPUTED_VALUE"""),7911.432)</f>
        <v>7911.432</v>
      </c>
      <c r="BN694" s="71">
        <f>IFERROR(__xludf.DUMMYFUNCTION("""COMPUTED_VALUE"""),6441.3)</f>
        <v>6441.3</v>
      </c>
      <c r="BO694" s="71">
        <f>IFERROR(__xludf.DUMMYFUNCTION("""COMPUTED_VALUE"""),1030.608)</f>
        <v>1030.608</v>
      </c>
      <c r="BP694" s="71">
        <f>IFERROR(__xludf.DUMMYFUNCTION("""COMPUTED_VALUE"""),7471.908)</f>
        <v>7471.908</v>
      </c>
      <c r="BQ694" s="71">
        <f>IFERROR(__xludf.DUMMYFUNCTION("""COMPUTED_VALUE"""),6289.74)</f>
        <v>6289.74</v>
      </c>
      <c r="BR694" s="71">
        <f>IFERROR(__xludf.DUMMYFUNCTION("""COMPUTED_VALUE"""),1006.3584)</f>
        <v>1006.3584</v>
      </c>
      <c r="BS694" s="71">
        <f>IFERROR(__xludf.DUMMYFUNCTION("""COMPUTED_VALUE"""),7296.0984)</f>
        <v>7296.0984</v>
      </c>
      <c r="BT694" s="71">
        <f>IFERROR(__xludf.DUMMYFUNCTION("""COMPUTED_VALUE"""),6062.400000000001)</f>
        <v>6062.4</v>
      </c>
      <c r="BU694" s="71">
        <f>IFERROR(__xludf.DUMMYFUNCTION("""COMPUTED_VALUE"""),969.9840000000002)</f>
        <v>969.984</v>
      </c>
      <c r="BV694" s="71">
        <f>IFERROR(__xludf.DUMMYFUNCTION("""COMPUTED_VALUE"""),7032.384000000001)</f>
        <v>7032.384</v>
      </c>
    </row>
    <row r="695">
      <c r="A695" s="53">
        <v>1.0</v>
      </c>
      <c r="B695" s="72"/>
      <c r="C695" s="73" t="s">
        <v>53</v>
      </c>
      <c r="D695" s="74" t="s">
        <v>1662</v>
      </c>
      <c r="E695" s="54" t="s">
        <v>38</v>
      </c>
      <c r="F695" s="54" t="s">
        <v>42</v>
      </c>
      <c r="G695" s="88" t="s">
        <v>1663</v>
      </c>
      <c r="H695" s="54" t="s">
        <v>1664</v>
      </c>
      <c r="I695" s="54">
        <f t="shared" si="24"/>
        <v>35</v>
      </c>
      <c r="J695" s="56"/>
      <c r="K695" s="75"/>
      <c r="L695" s="76"/>
      <c r="M695" s="59"/>
      <c r="N695" s="60">
        <v>176.0</v>
      </c>
      <c r="O695" s="61">
        <v>190.0</v>
      </c>
      <c r="P695" s="62">
        <v>205.20000000000002</v>
      </c>
      <c r="Q695" s="63">
        <v>205.20000000000002</v>
      </c>
      <c r="R695" s="64">
        <v>229.0</v>
      </c>
      <c r="S695" s="111">
        <v>240.0</v>
      </c>
      <c r="T695" s="65">
        <f t="shared" si="2"/>
        <v>38.4</v>
      </c>
      <c r="U695" s="65">
        <f t="shared" si="3"/>
        <v>278.4</v>
      </c>
      <c r="V695" s="66">
        <f t="shared" si="4"/>
        <v>0.0480349345</v>
      </c>
      <c r="W695" s="67">
        <f t="shared" si="5"/>
        <v>228</v>
      </c>
      <c r="X695" s="67">
        <f t="shared" si="6"/>
        <v>36.48</v>
      </c>
      <c r="Y695" s="67">
        <f t="shared" si="7"/>
        <v>264.48</v>
      </c>
      <c r="Z695" s="67">
        <f t="shared" si="8"/>
        <v>216</v>
      </c>
      <c r="AA695" s="67">
        <f t="shared" si="9"/>
        <v>34.56</v>
      </c>
      <c r="AB695" s="67">
        <f t="shared" si="10"/>
        <v>250.56</v>
      </c>
      <c r="AC695" s="67">
        <f t="shared" si="11"/>
        <v>204</v>
      </c>
      <c r="AD695" s="67">
        <f t="shared" si="12"/>
        <v>32.64</v>
      </c>
      <c r="AE695" s="67">
        <f t="shared" si="13"/>
        <v>236.64</v>
      </c>
      <c r="AF695" s="67">
        <f t="shared" si="14"/>
        <v>199.2</v>
      </c>
      <c r="AG695" s="67">
        <f t="shared" si="15"/>
        <v>31.872</v>
      </c>
      <c r="AH695" s="67">
        <f t="shared" si="16"/>
        <v>231.072</v>
      </c>
      <c r="AI695" s="67">
        <f t="shared" si="17"/>
        <v>192</v>
      </c>
      <c r="AJ695" s="68">
        <f t="shared" si="31"/>
        <v>30.72</v>
      </c>
      <c r="AK695" s="68">
        <f t="shared" si="32"/>
        <v>222.72</v>
      </c>
      <c r="AL695" s="70">
        <f>IFERROR(__xludf.DUMMYFUNCTION("""COMPUTED_VALUE"""),1.0)</f>
        <v>1</v>
      </c>
      <c r="AM695" s="70"/>
      <c r="AN695" s="71" t="str">
        <f>IFERROR(__xludf.DUMMYFUNCTION("""COMPUTED_VALUE""")," C")</f>
        <v>C</v>
      </c>
      <c r="AO695" s="71" t="str">
        <f>IFERROR(__xludf.DUMMYFUNCTION("""COMPUTED_VALUE""")," JG23")</f>
        <v>JG23</v>
      </c>
      <c r="AP695" s="71" t="str">
        <f>IFERROR(__xludf.DUMMYFUNCTION("""COMPUTED_VALUE""")," JGO")</f>
        <v>JGO</v>
      </c>
      <c r="AQ695" s="71" t="str">
        <f>IFERROR(__xludf.DUMMYFUNCTION("""COMPUTED_VALUE""")," REF")</f>
        <v>REF</v>
      </c>
      <c r="AR695" s="71" t="str">
        <f>IFERROR(__xludf.DUMMYFUNCTION("""COMPUTED_VALUE""")," JUEGO DE LLAVES ALLEN (TRUPER)")</f>
        <v>JUEGO DE LLAVES ALLEN (TRUPER)</v>
      </c>
      <c r="AS695" s="71" t="str">
        <f>IFERROR(__xludf.DUMMYFUNCTION("""COMPUTED_VALUE""")," JUEGO DE LLAVES ALLEN (TRUPER)")</f>
        <v>JUEGO DE LLAVES ALLEN (TRUPER)</v>
      </c>
      <c r="AT695" s="71">
        <f>IFERROR(__xludf.DUMMYFUNCTION("""COMPUTED_VALUE"""),30.0)</f>
        <v>30</v>
      </c>
      <c r="AU695" s="71"/>
      <c r="AV695" s="71"/>
      <c r="AW695" s="71"/>
      <c r="AX695" s="71"/>
      <c r="AY695" s="71">
        <f>IFERROR(__xludf.DUMMYFUNCTION("""COMPUTED_VALUE"""),297.0)</f>
        <v>297</v>
      </c>
      <c r="AZ695" s="71">
        <f>IFERROR(__xludf.DUMMYFUNCTION("""COMPUTED_VALUE"""),320.0)</f>
        <v>320</v>
      </c>
      <c r="BA695" s="71">
        <f>IFERROR(__xludf.DUMMYFUNCTION("""COMPUTED_VALUE"""),345.6)</f>
        <v>345.6</v>
      </c>
      <c r="BB695" s="71">
        <f>IFERROR(__xludf.DUMMYFUNCTION("""COMPUTED_VALUE"""),345.6)</f>
        <v>345.6</v>
      </c>
      <c r="BC695" s="71">
        <f>IFERROR(__xludf.DUMMYFUNCTION("""COMPUTED_VALUE"""),386.0)</f>
        <v>386</v>
      </c>
      <c r="BD695" s="71">
        <f>IFERROR(__xludf.DUMMYFUNCTION("""COMPUTED_VALUE"""),405.0)</f>
        <v>405</v>
      </c>
      <c r="BE695" s="71">
        <f>IFERROR(__xludf.DUMMYFUNCTION("""COMPUTED_VALUE"""),64.8)</f>
        <v>64.8</v>
      </c>
      <c r="BF695" s="71">
        <f>IFERROR(__xludf.DUMMYFUNCTION("""COMPUTED_VALUE"""),469.8)</f>
        <v>469.8</v>
      </c>
      <c r="BG695" s="71">
        <f>IFERROR(__xludf.DUMMYFUNCTION("""COMPUTED_VALUE"""),0.04922279792746114)</f>
        <v>0.04922279793</v>
      </c>
      <c r="BH695" s="71">
        <f>IFERROR(__xludf.DUMMYFUNCTION("""COMPUTED_VALUE"""),384.75)</f>
        <v>384.75</v>
      </c>
      <c r="BI695" s="71">
        <f>IFERROR(__xludf.DUMMYFUNCTION("""COMPUTED_VALUE"""),61.56)</f>
        <v>61.56</v>
      </c>
      <c r="BJ695" s="71">
        <f>IFERROR(__xludf.DUMMYFUNCTION("""COMPUTED_VALUE"""),446.31)</f>
        <v>446.31</v>
      </c>
      <c r="BK695" s="71">
        <f>IFERROR(__xludf.DUMMYFUNCTION("""COMPUTED_VALUE"""),364.5)</f>
        <v>364.5</v>
      </c>
      <c r="BL695" s="71">
        <f>IFERROR(__xludf.DUMMYFUNCTION("""COMPUTED_VALUE"""),58.32)</f>
        <v>58.32</v>
      </c>
      <c r="BM695" s="71">
        <f>IFERROR(__xludf.DUMMYFUNCTION("""COMPUTED_VALUE"""),422.82)</f>
        <v>422.82</v>
      </c>
      <c r="BN695" s="71">
        <f>IFERROR(__xludf.DUMMYFUNCTION("""COMPUTED_VALUE"""),344.25)</f>
        <v>344.25</v>
      </c>
      <c r="BO695" s="71">
        <f>IFERROR(__xludf.DUMMYFUNCTION("""COMPUTED_VALUE"""),55.08)</f>
        <v>55.08</v>
      </c>
      <c r="BP695" s="71">
        <f>IFERROR(__xludf.DUMMYFUNCTION("""COMPUTED_VALUE"""),399.33)</f>
        <v>399.33</v>
      </c>
      <c r="BQ695" s="71">
        <f>IFERROR(__xludf.DUMMYFUNCTION("""COMPUTED_VALUE"""),336.15)</f>
        <v>336.15</v>
      </c>
      <c r="BR695" s="71">
        <f>IFERROR(__xludf.DUMMYFUNCTION("""COMPUTED_VALUE"""),53.784)</f>
        <v>53.784</v>
      </c>
      <c r="BS695" s="71">
        <f>IFERROR(__xludf.DUMMYFUNCTION("""COMPUTED_VALUE"""),389.93399999999997)</f>
        <v>389.934</v>
      </c>
      <c r="BT695" s="71">
        <f>IFERROR(__xludf.DUMMYFUNCTION("""COMPUTED_VALUE"""),324.0)</f>
        <v>324</v>
      </c>
      <c r="BU695" s="71">
        <f>IFERROR(__xludf.DUMMYFUNCTION("""COMPUTED_VALUE"""),51.84)</f>
        <v>51.84</v>
      </c>
      <c r="BV695" s="71">
        <f>IFERROR(__xludf.DUMMYFUNCTION("""COMPUTED_VALUE"""),375.84000000000003)</f>
        <v>375.84</v>
      </c>
    </row>
    <row r="696">
      <c r="A696" s="53"/>
      <c r="B696" s="53"/>
      <c r="C696" s="53" t="s">
        <v>36</v>
      </c>
      <c r="D696" s="85" t="s">
        <v>1665</v>
      </c>
      <c r="E696" s="54" t="s">
        <v>38</v>
      </c>
      <c r="F696" s="55" t="s">
        <v>39</v>
      </c>
      <c r="G696" s="86" t="s">
        <v>1666</v>
      </c>
      <c r="H696" s="55" t="s">
        <v>1666</v>
      </c>
      <c r="I696" s="54">
        <f t="shared" si="24"/>
        <v>40</v>
      </c>
      <c r="J696" s="56"/>
      <c r="K696" s="57"/>
      <c r="L696" s="76"/>
      <c r="M696" s="59"/>
      <c r="N696" s="60"/>
      <c r="O696" s="61">
        <v>13286.4</v>
      </c>
      <c r="P696" s="62">
        <v>14349.312</v>
      </c>
      <c r="Q696" s="63">
        <v>14349.312</v>
      </c>
      <c r="R696" s="64">
        <v>15067.0</v>
      </c>
      <c r="S696" s="107">
        <v>15820.0</v>
      </c>
      <c r="T696" s="65">
        <f t="shared" si="2"/>
        <v>2531.2</v>
      </c>
      <c r="U696" s="65">
        <f t="shared" si="3"/>
        <v>18351.2</v>
      </c>
      <c r="V696" s="66">
        <f t="shared" si="4"/>
        <v>0.04997677043</v>
      </c>
      <c r="W696" s="67">
        <f t="shared" si="5"/>
        <v>15029</v>
      </c>
      <c r="X696" s="67">
        <f t="shared" si="6"/>
        <v>2404.64</v>
      </c>
      <c r="Y696" s="67">
        <f t="shared" si="7"/>
        <v>17433.64</v>
      </c>
      <c r="Z696" s="67">
        <f t="shared" si="8"/>
        <v>14238</v>
      </c>
      <c r="AA696" s="67">
        <f t="shared" si="9"/>
        <v>2278.08</v>
      </c>
      <c r="AB696" s="67">
        <f t="shared" si="10"/>
        <v>16516.08</v>
      </c>
      <c r="AC696" s="67">
        <f t="shared" si="11"/>
        <v>13447</v>
      </c>
      <c r="AD696" s="67">
        <f t="shared" si="12"/>
        <v>2151.52</v>
      </c>
      <c r="AE696" s="67">
        <f t="shared" si="13"/>
        <v>15598.52</v>
      </c>
      <c r="AF696" s="125">
        <v>15070.0</v>
      </c>
      <c r="AG696" s="67">
        <f t="shared" si="15"/>
        <v>2411.2</v>
      </c>
      <c r="AH696" s="67">
        <f t="shared" si="16"/>
        <v>17481.2</v>
      </c>
      <c r="AI696" s="67">
        <f t="shared" si="17"/>
        <v>12656</v>
      </c>
      <c r="AJ696" s="68">
        <f t="shared" si="31"/>
        <v>2024.96</v>
      </c>
      <c r="AK696" s="68">
        <f t="shared" si="32"/>
        <v>14680.96</v>
      </c>
      <c r="AL696" s="70">
        <f>IFERROR(__xludf.DUMMYFUNCTION("""COMPUTED_VALUE"""),1.0)</f>
        <v>1</v>
      </c>
      <c r="AM696" s="70"/>
      <c r="AN696" s="71" t="str">
        <f>IFERROR(__xludf.DUMMYFUNCTION("""COMPUTED_VALUE""")," C")</f>
        <v>C</v>
      </c>
      <c r="AO696" s="71" t="str">
        <f>IFERROR(__xludf.DUMMYFUNCTION("""COMPUTED_VALUE""")," JG149")</f>
        <v>JG149</v>
      </c>
      <c r="AP696" s="71" t="str">
        <f>IFERROR(__xludf.DUMMYFUNCTION("""COMPUTED_VALUE""")," PZA")</f>
        <v>PZA</v>
      </c>
      <c r="AQ696" s="71" t="str">
        <f>IFERROR(__xludf.DUMMYFUNCTION("""COMPUTED_VALUE""")," REF")</f>
        <v>REF</v>
      </c>
      <c r="AR696" s="71" t="str">
        <f>IFERROR(__xludf.DUMMYFUNCTION("""COMPUTED_VALUE""")," JUEGO DE PIEDRAS DE 10"" LISAS INT 3 1/2""")</f>
        <v>JUEGO DE PIEDRAS DE 10" LISAS INT 3 1/2"</v>
      </c>
      <c r="AS696" s="71" t="str">
        <f>IFERROR(__xludf.DUMMYFUNCTION("""COMPUTED_VALUE""")," PIEDRAS 10 INT 3 1/2 PILOTO")</f>
        <v>PIEDRAS 10 INT 3 1/2 PILOTO</v>
      </c>
      <c r="AT696" s="71">
        <f>IFERROR(__xludf.DUMMYFUNCTION("""COMPUTED_VALUE"""),27.0)</f>
        <v>27</v>
      </c>
      <c r="AU696" s="71"/>
      <c r="AV696" s="71"/>
      <c r="AW696" s="71"/>
      <c r="AX696" s="71"/>
      <c r="AY696" s="71">
        <f>IFERROR(__xludf.DUMMYFUNCTION("""COMPUTED_VALUE"""),738.0)</f>
        <v>738</v>
      </c>
      <c r="AZ696" s="71">
        <f>IFERROR(__xludf.DUMMYFUNCTION("""COMPUTED_VALUE"""),797.0)</f>
        <v>797</v>
      </c>
      <c r="BA696" s="71">
        <f>IFERROR(__xludf.DUMMYFUNCTION("""COMPUTED_VALUE"""),860.7600000000001)</f>
        <v>860.76</v>
      </c>
      <c r="BB696" s="71">
        <f>IFERROR(__xludf.DUMMYFUNCTION("""COMPUTED_VALUE"""),860.7600000000001)</f>
        <v>860.76</v>
      </c>
      <c r="BC696" s="71">
        <f>IFERROR(__xludf.DUMMYFUNCTION("""COMPUTED_VALUE"""),905.0)</f>
        <v>905</v>
      </c>
      <c r="BD696" s="71">
        <f>IFERROR(__xludf.DUMMYFUNCTION("""COMPUTED_VALUE"""),950.0)</f>
        <v>950</v>
      </c>
      <c r="BE696" s="71">
        <f>IFERROR(__xludf.DUMMYFUNCTION("""COMPUTED_VALUE"""),152.0)</f>
        <v>152</v>
      </c>
      <c r="BF696" s="71">
        <f>IFERROR(__xludf.DUMMYFUNCTION("""COMPUTED_VALUE"""),1102.0)</f>
        <v>1102</v>
      </c>
      <c r="BG696" s="71">
        <f>IFERROR(__xludf.DUMMYFUNCTION("""COMPUTED_VALUE"""),0.049723756906077346)</f>
        <v>0.04972375691</v>
      </c>
      <c r="BH696" s="71">
        <f>IFERROR(__xludf.DUMMYFUNCTION("""COMPUTED_VALUE"""),902.5)</f>
        <v>902.5</v>
      </c>
      <c r="BI696" s="71">
        <f>IFERROR(__xludf.DUMMYFUNCTION("""COMPUTED_VALUE"""),144.4)</f>
        <v>144.4</v>
      </c>
      <c r="BJ696" s="71">
        <f>IFERROR(__xludf.DUMMYFUNCTION("""COMPUTED_VALUE"""),1046.9)</f>
        <v>1046.9</v>
      </c>
      <c r="BK696" s="71">
        <f>IFERROR(__xludf.DUMMYFUNCTION("""COMPUTED_VALUE"""),855.0)</f>
        <v>855</v>
      </c>
      <c r="BL696" s="71">
        <f>IFERROR(__xludf.DUMMYFUNCTION("""COMPUTED_VALUE"""),136.8)</f>
        <v>136.8</v>
      </c>
      <c r="BM696" s="71">
        <f>IFERROR(__xludf.DUMMYFUNCTION("""COMPUTED_VALUE"""),991.8)</f>
        <v>991.8</v>
      </c>
      <c r="BN696" s="71">
        <f>IFERROR(__xludf.DUMMYFUNCTION("""COMPUTED_VALUE"""),807.5)</f>
        <v>807.5</v>
      </c>
      <c r="BO696" s="71">
        <f>IFERROR(__xludf.DUMMYFUNCTION("""COMPUTED_VALUE"""),129.2)</f>
        <v>129.2</v>
      </c>
      <c r="BP696" s="71">
        <f>IFERROR(__xludf.DUMMYFUNCTION("""COMPUTED_VALUE"""),936.7)</f>
        <v>936.7</v>
      </c>
      <c r="BQ696" s="71">
        <f>IFERROR(__xludf.DUMMYFUNCTION("""COMPUTED_VALUE"""),788.5)</f>
        <v>788.5</v>
      </c>
      <c r="BR696" s="71">
        <f>IFERROR(__xludf.DUMMYFUNCTION("""COMPUTED_VALUE"""),126.16)</f>
        <v>126.16</v>
      </c>
      <c r="BS696" s="71">
        <f>IFERROR(__xludf.DUMMYFUNCTION("""COMPUTED_VALUE"""),914.66)</f>
        <v>914.66</v>
      </c>
      <c r="BT696" s="71">
        <f>IFERROR(__xludf.DUMMYFUNCTION("""COMPUTED_VALUE"""),760.0)</f>
        <v>760</v>
      </c>
      <c r="BU696" s="71">
        <f>IFERROR(__xludf.DUMMYFUNCTION("""COMPUTED_VALUE"""),121.60000000000001)</f>
        <v>121.6</v>
      </c>
      <c r="BV696" s="71">
        <f>IFERROR(__xludf.DUMMYFUNCTION("""COMPUTED_VALUE"""),881.6)</f>
        <v>881.6</v>
      </c>
    </row>
    <row r="697">
      <c r="A697" s="53"/>
      <c r="B697" s="53"/>
      <c r="C697" s="73" t="s">
        <v>12</v>
      </c>
      <c r="D697" s="53" t="s">
        <v>1667</v>
      </c>
      <c r="E697" s="54" t="s">
        <v>38</v>
      </c>
      <c r="F697" s="54" t="s">
        <v>42</v>
      </c>
      <c r="G697" s="55" t="s">
        <v>1668</v>
      </c>
      <c r="H697" s="54" t="s">
        <v>1669</v>
      </c>
      <c r="I697" s="54">
        <f t="shared" si="24"/>
        <v>35</v>
      </c>
      <c r="J697" s="56"/>
      <c r="K697" s="57"/>
      <c r="L697" s="76"/>
      <c r="M697" s="59"/>
      <c r="N697" s="79">
        <v>68913.0</v>
      </c>
      <c r="O697" s="61">
        <v>74426.0</v>
      </c>
      <c r="P697" s="62">
        <v>80380.08</v>
      </c>
      <c r="Q697" s="63">
        <v>80380.08</v>
      </c>
      <c r="R697" s="64">
        <v>84399.0</v>
      </c>
      <c r="S697" s="111">
        <v>88619.0</v>
      </c>
      <c r="T697" s="65">
        <f t="shared" si="2"/>
        <v>14179.04</v>
      </c>
      <c r="U697" s="65">
        <f t="shared" si="3"/>
        <v>102798.04</v>
      </c>
      <c r="V697" s="66">
        <f t="shared" si="4"/>
        <v>0.05000059242</v>
      </c>
      <c r="W697" s="67">
        <f t="shared" si="5"/>
        <v>84188.05</v>
      </c>
      <c r="X697" s="67">
        <f t="shared" si="6"/>
        <v>13470.088</v>
      </c>
      <c r="Y697" s="67">
        <f t="shared" si="7"/>
        <v>97658.138</v>
      </c>
      <c r="Z697" s="67">
        <f t="shared" si="8"/>
        <v>79757.1</v>
      </c>
      <c r="AA697" s="67">
        <f t="shared" si="9"/>
        <v>12761.136</v>
      </c>
      <c r="AB697" s="67">
        <f t="shared" si="10"/>
        <v>92518.236</v>
      </c>
      <c r="AC697" s="67">
        <f t="shared" si="11"/>
        <v>75326.15</v>
      </c>
      <c r="AD697" s="67">
        <f t="shared" si="12"/>
        <v>12052.184</v>
      </c>
      <c r="AE697" s="67">
        <f t="shared" si="13"/>
        <v>87378.334</v>
      </c>
      <c r="AF697" s="67">
        <f t="shared" ref="AF697:AF2124" si="33">(IF(B697="",(S697*(1-$AF$1)),(IF(B697=1,(S697*(1-$AF$1)),(IF(B697=2,(S697*(1-0.15)),(IF(B697=3,(S697*(1-0.1)),(IF(B697=4,(S697*(1))))))))))))</f>
        <v>73553.77</v>
      </c>
      <c r="AG697" s="67">
        <f t="shared" si="15"/>
        <v>11768.6032</v>
      </c>
      <c r="AH697" s="67">
        <f t="shared" si="16"/>
        <v>85322.3732</v>
      </c>
      <c r="AI697" s="67">
        <f t="shared" si="17"/>
        <v>70895.2</v>
      </c>
      <c r="AJ697" s="68">
        <f t="shared" si="31"/>
        <v>11343.232</v>
      </c>
      <c r="AK697" s="68">
        <f t="shared" si="32"/>
        <v>82238.432</v>
      </c>
      <c r="AL697" s="70">
        <f>IFERROR(__xludf.DUMMYFUNCTION("""COMPUTED_VALUE"""),1.0)</f>
        <v>1</v>
      </c>
      <c r="AM697" s="70"/>
      <c r="AN697" s="71" t="str">
        <f>IFERROR(__xludf.DUMMYFUNCTION("""COMPUTED_VALUE""")," C")</f>
        <v>C</v>
      </c>
      <c r="AO697" s="71" t="str">
        <f>IFERROR(__xludf.DUMMYFUNCTION("""COMPUTED_VALUE""")," JG122")</f>
        <v>JG122</v>
      </c>
      <c r="AP697" s="71" t="str">
        <f>IFERROR(__xludf.DUMMYFUNCTION("""COMPUTED_VALUE""")," PZA")</f>
        <v>PZA</v>
      </c>
      <c r="AQ697" s="71" t="str">
        <f>IFERROR(__xludf.DUMMYFUNCTION("""COMPUTED_VALUE""")," REF")</f>
        <v>REF</v>
      </c>
      <c r="AR697" s="71" t="str">
        <f>IFERROR(__xludf.DUMMYFUNCTION("""COMPUTED_VALUE""")," JUEGO DE PIEDRAS DE 10"" LISAS INTERIOR 2 1/2""")</f>
        <v>JUEGO DE PIEDRAS DE 10" LISAS INTERIOR 2 1/2"</v>
      </c>
      <c r="AS697" s="71" t="str">
        <f>IFERROR(__xludf.DUMMYFUNCTION("""COMPUTED_VALUE""")," PIEDRAS 10 INT 2 1/2 PILOTO")</f>
        <v>PIEDRAS 10 INT 2 1/2 PILOTO</v>
      </c>
      <c r="AT697" s="71">
        <f>IFERROR(__xludf.DUMMYFUNCTION("""COMPUTED_VALUE"""),27.0)</f>
        <v>27</v>
      </c>
      <c r="AU697" s="71"/>
      <c r="AV697" s="71"/>
      <c r="AW697" s="71"/>
      <c r="AX697" s="71"/>
      <c r="AY697" s="71">
        <f>IFERROR(__xludf.DUMMYFUNCTION("""COMPUTED_VALUE"""),738.0)</f>
        <v>738</v>
      </c>
      <c r="AZ697" s="71">
        <f>IFERROR(__xludf.DUMMYFUNCTION("""COMPUTED_VALUE"""),797.0)</f>
        <v>797</v>
      </c>
      <c r="BA697" s="71">
        <f>IFERROR(__xludf.DUMMYFUNCTION("""COMPUTED_VALUE"""),860.7600000000001)</f>
        <v>860.76</v>
      </c>
      <c r="BB697" s="71">
        <f>IFERROR(__xludf.DUMMYFUNCTION("""COMPUTED_VALUE"""),860.7600000000001)</f>
        <v>860.76</v>
      </c>
      <c r="BC697" s="71">
        <f>IFERROR(__xludf.DUMMYFUNCTION("""COMPUTED_VALUE"""),905.0)</f>
        <v>905</v>
      </c>
      <c r="BD697" s="71">
        <f>IFERROR(__xludf.DUMMYFUNCTION("""COMPUTED_VALUE"""),950.0)</f>
        <v>950</v>
      </c>
      <c r="BE697" s="71">
        <f>IFERROR(__xludf.DUMMYFUNCTION("""COMPUTED_VALUE"""),152.0)</f>
        <v>152</v>
      </c>
      <c r="BF697" s="71">
        <f>IFERROR(__xludf.DUMMYFUNCTION("""COMPUTED_VALUE"""),1102.0)</f>
        <v>1102</v>
      </c>
      <c r="BG697" s="71">
        <f>IFERROR(__xludf.DUMMYFUNCTION("""COMPUTED_VALUE"""),0.049723756906077346)</f>
        <v>0.04972375691</v>
      </c>
      <c r="BH697" s="71">
        <f>IFERROR(__xludf.DUMMYFUNCTION("""COMPUTED_VALUE"""),902.5)</f>
        <v>902.5</v>
      </c>
      <c r="BI697" s="71">
        <f>IFERROR(__xludf.DUMMYFUNCTION("""COMPUTED_VALUE"""),144.4)</f>
        <v>144.4</v>
      </c>
      <c r="BJ697" s="71">
        <f>IFERROR(__xludf.DUMMYFUNCTION("""COMPUTED_VALUE"""),1046.9)</f>
        <v>1046.9</v>
      </c>
      <c r="BK697" s="71">
        <f>IFERROR(__xludf.DUMMYFUNCTION("""COMPUTED_VALUE"""),855.0)</f>
        <v>855</v>
      </c>
      <c r="BL697" s="71">
        <f>IFERROR(__xludf.DUMMYFUNCTION("""COMPUTED_VALUE"""),136.8)</f>
        <v>136.8</v>
      </c>
      <c r="BM697" s="71">
        <f>IFERROR(__xludf.DUMMYFUNCTION("""COMPUTED_VALUE"""),991.8)</f>
        <v>991.8</v>
      </c>
      <c r="BN697" s="71">
        <f>IFERROR(__xludf.DUMMYFUNCTION("""COMPUTED_VALUE"""),807.5)</f>
        <v>807.5</v>
      </c>
      <c r="BO697" s="71">
        <f>IFERROR(__xludf.DUMMYFUNCTION("""COMPUTED_VALUE"""),129.2)</f>
        <v>129.2</v>
      </c>
      <c r="BP697" s="71">
        <f>IFERROR(__xludf.DUMMYFUNCTION("""COMPUTED_VALUE"""),936.7)</f>
        <v>936.7</v>
      </c>
      <c r="BQ697" s="71">
        <f>IFERROR(__xludf.DUMMYFUNCTION("""COMPUTED_VALUE"""),788.5)</f>
        <v>788.5</v>
      </c>
      <c r="BR697" s="71">
        <f>IFERROR(__xludf.DUMMYFUNCTION("""COMPUTED_VALUE"""),126.16)</f>
        <v>126.16</v>
      </c>
      <c r="BS697" s="71">
        <f>IFERROR(__xludf.DUMMYFUNCTION("""COMPUTED_VALUE"""),914.66)</f>
        <v>914.66</v>
      </c>
      <c r="BT697" s="71">
        <f>IFERROR(__xludf.DUMMYFUNCTION("""COMPUTED_VALUE"""),760.0)</f>
        <v>760</v>
      </c>
      <c r="BU697" s="71">
        <f>IFERROR(__xludf.DUMMYFUNCTION("""COMPUTED_VALUE"""),121.60000000000001)</f>
        <v>121.6</v>
      </c>
      <c r="BV697" s="71">
        <f>IFERROR(__xludf.DUMMYFUNCTION("""COMPUTED_VALUE"""),881.6)</f>
        <v>881.6</v>
      </c>
    </row>
    <row r="698">
      <c r="A698" s="53"/>
      <c r="B698" s="53">
        <v>3.0</v>
      </c>
      <c r="C698" s="53" t="s">
        <v>36</v>
      </c>
      <c r="D698" s="98" t="s">
        <v>1670</v>
      </c>
      <c r="E698" s="54" t="s">
        <v>38</v>
      </c>
      <c r="F698" s="55" t="s">
        <v>187</v>
      </c>
      <c r="G698" s="117" t="s">
        <v>1671</v>
      </c>
      <c r="H698" s="55"/>
      <c r="I698" s="54">
        <f t="shared" si="24"/>
        <v>0</v>
      </c>
      <c r="J698" s="56"/>
      <c r="K698" s="57"/>
      <c r="L698" s="76"/>
      <c r="M698" s="59"/>
      <c r="N698" s="60"/>
      <c r="O698" s="61">
        <v>192.0</v>
      </c>
      <c r="P698" s="62">
        <v>207.36</v>
      </c>
      <c r="Q698" s="63">
        <v>207.36</v>
      </c>
      <c r="R698" s="64">
        <v>228.0</v>
      </c>
      <c r="S698" s="107">
        <v>239.0</v>
      </c>
      <c r="T698" s="65">
        <f t="shared" si="2"/>
        <v>38.24</v>
      </c>
      <c r="U698" s="65">
        <f t="shared" si="3"/>
        <v>277.24</v>
      </c>
      <c r="V698" s="66">
        <f t="shared" si="4"/>
        <v>0.04824561404</v>
      </c>
      <c r="W698" s="67">
        <f t="shared" si="5"/>
        <v>227.05</v>
      </c>
      <c r="X698" s="67">
        <f t="shared" si="6"/>
        <v>36.328</v>
      </c>
      <c r="Y698" s="67">
        <f t="shared" si="7"/>
        <v>263.378</v>
      </c>
      <c r="Z698" s="67">
        <f t="shared" si="8"/>
        <v>215.1</v>
      </c>
      <c r="AA698" s="67">
        <f t="shared" si="9"/>
        <v>34.416</v>
      </c>
      <c r="AB698" s="67">
        <f t="shared" si="10"/>
        <v>249.516</v>
      </c>
      <c r="AC698" s="67">
        <f t="shared" si="11"/>
        <v>215.1</v>
      </c>
      <c r="AD698" s="67">
        <f t="shared" si="12"/>
        <v>34.416</v>
      </c>
      <c r="AE698" s="67">
        <f t="shared" si="13"/>
        <v>249.516</v>
      </c>
      <c r="AF698" s="67">
        <f t="shared" si="33"/>
        <v>215.1</v>
      </c>
      <c r="AG698" s="67">
        <f t="shared" si="15"/>
        <v>34.416</v>
      </c>
      <c r="AH698" s="67">
        <f t="shared" si="16"/>
        <v>249.516</v>
      </c>
      <c r="AI698" s="67">
        <f t="shared" si="17"/>
        <v>215.1</v>
      </c>
      <c r="AJ698" s="68">
        <f t="shared" si="31"/>
        <v>34.416</v>
      </c>
      <c r="AK698" s="68">
        <f t="shared" si="32"/>
        <v>249.516</v>
      </c>
      <c r="AL698" s="70">
        <f>IFERROR(__xludf.DUMMYFUNCTION("""COMPUTED_VALUE"""),1.0)</f>
        <v>1</v>
      </c>
      <c r="AM698" s="70"/>
      <c r="AN698" s="71" t="str">
        <f>IFERROR(__xludf.DUMMYFUNCTION("""COMPUTED_VALUE""")," C")</f>
        <v>C</v>
      </c>
      <c r="AO698" s="71" t="str">
        <f>IFERROR(__xludf.DUMMYFUNCTION("""COMPUTED_VALUE""")," JG123")</f>
        <v>JG123</v>
      </c>
      <c r="AP698" s="71" t="str">
        <f>IFERROR(__xludf.DUMMYFUNCTION("""COMPUTED_VALUE""")," PZA")</f>
        <v>PZA</v>
      </c>
      <c r="AQ698" s="71" t="str">
        <f>IFERROR(__xludf.DUMMYFUNCTION("""COMPUTED_VALUE""")," REF")</f>
        <v>REF</v>
      </c>
      <c r="AR698" s="71" t="str">
        <f>IFERROR(__xludf.DUMMYFUNCTION("""COMPUTED_VALUE""")," JUEGO DE PIEDRAS DE 10"" LISAS INTERIOR 2 1/4""")</f>
        <v>JUEGO DE PIEDRAS DE 10" LISAS INTERIOR 2 1/4"</v>
      </c>
      <c r="AS698" s="71" t="str">
        <f>IFERROR(__xludf.DUMMYFUNCTION("""COMPUTED_VALUE""")," PIEDRAS 10 INT 2 1/4 PILOTO")</f>
        <v>PIEDRAS 10 INT 2 1/4 PILOTO</v>
      </c>
      <c r="AT698" s="71">
        <f>IFERROR(__xludf.DUMMYFUNCTION("""COMPUTED_VALUE"""),27.0)</f>
        <v>27</v>
      </c>
      <c r="AU698" s="71"/>
      <c r="AV698" s="71"/>
      <c r="AW698" s="71"/>
      <c r="AX698" s="71"/>
      <c r="AY698" s="71">
        <f>IFERROR(__xludf.DUMMYFUNCTION("""COMPUTED_VALUE"""),738.0)</f>
        <v>738</v>
      </c>
      <c r="AZ698" s="71">
        <f>IFERROR(__xludf.DUMMYFUNCTION("""COMPUTED_VALUE"""),797.0)</f>
        <v>797</v>
      </c>
      <c r="BA698" s="71">
        <f>IFERROR(__xludf.DUMMYFUNCTION("""COMPUTED_VALUE"""),860.7600000000001)</f>
        <v>860.76</v>
      </c>
      <c r="BB698" s="71">
        <f>IFERROR(__xludf.DUMMYFUNCTION("""COMPUTED_VALUE"""),860.7600000000001)</f>
        <v>860.76</v>
      </c>
      <c r="BC698" s="71">
        <f>IFERROR(__xludf.DUMMYFUNCTION("""COMPUTED_VALUE"""),905.0)</f>
        <v>905</v>
      </c>
      <c r="BD698" s="71">
        <f>IFERROR(__xludf.DUMMYFUNCTION("""COMPUTED_VALUE"""),950.0)</f>
        <v>950</v>
      </c>
      <c r="BE698" s="71">
        <f>IFERROR(__xludf.DUMMYFUNCTION("""COMPUTED_VALUE"""),152.0)</f>
        <v>152</v>
      </c>
      <c r="BF698" s="71">
        <f>IFERROR(__xludf.DUMMYFUNCTION("""COMPUTED_VALUE"""),1102.0)</f>
        <v>1102</v>
      </c>
      <c r="BG698" s="71">
        <f>IFERROR(__xludf.DUMMYFUNCTION("""COMPUTED_VALUE"""),0.049723756906077346)</f>
        <v>0.04972375691</v>
      </c>
      <c r="BH698" s="71">
        <f>IFERROR(__xludf.DUMMYFUNCTION("""COMPUTED_VALUE"""),902.5)</f>
        <v>902.5</v>
      </c>
      <c r="BI698" s="71">
        <f>IFERROR(__xludf.DUMMYFUNCTION("""COMPUTED_VALUE"""),144.4)</f>
        <v>144.4</v>
      </c>
      <c r="BJ698" s="71">
        <f>IFERROR(__xludf.DUMMYFUNCTION("""COMPUTED_VALUE"""),1046.9)</f>
        <v>1046.9</v>
      </c>
      <c r="BK698" s="71">
        <f>IFERROR(__xludf.DUMMYFUNCTION("""COMPUTED_VALUE"""),855.0)</f>
        <v>855</v>
      </c>
      <c r="BL698" s="71">
        <f>IFERROR(__xludf.DUMMYFUNCTION("""COMPUTED_VALUE"""),136.8)</f>
        <v>136.8</v>
      </c>
      <c r="BM698" s="71">
        <f>IFERROR(__xludf.DUMMYFUNCTION("""COMPUTED_VALUE"""),991.8)</f>
        <v>991.8</v>
      </c>
      <c r="BN698" s="71">
        <f>IFERROR(__xludf.DUMMYFUNCTION("""COMPUTED_VALUE"""),807.5)</f>
        <v>807.5</v>
      </c>
      <c r="BO698" s="71">
        <f>IFERROR(__xludf.DUMMYFUNCTION("""COMPUTED_VALUE"""),129.2)</f>
        <v>129.2</v>
      </c>
      <c r="BP698" s="71">
        <f>IFERROR(__xludf.DUMMYFUNCTION("""COMPUTED_VALUE"""),936.7)</f>
        <v>936.7</v>
      </c>
      <c r="BQ698" s="71">
        <f>IFERROR(__xludf.DUMMYFUNCTION("""COMPUTED_VALUE"""),788.5)</f>
        <v>788.5</v>
      </c>
      <c r="BR698" s="71">
        <f>IFERROR(__xludf.DUMMYFUNCTION("""COMPUTED_VALUE"""),126.16)</f>
        <v>126.16</v>
      </c>
      <c r="BS698" s="71">
        <f>IFERROR(__xludf.DUMMYFUNCTION("""COMPUTED_VALUE"""),914.66)</f>
        <v>914.66</v>
      </c>
      <c r="BT698" s="71">
        <f>IFERROR(__xludf.DUMMYFUNCTION("""COMPUTED_VALUE"""),760.0)</f>
        <v>760</v>
      </c>
      <c r="BU698" s="71">
        <f>IFERROR(__xludf.DUMMYFUNCTION("""COMPUTED_VALUE"""),121.60000000000001)</f>
        <v>121.6</v>
      </c>
      <c r="BV698" s="71">
        <f>IFERROR(__xludf.DUMMYFUNCTION("""COMPUTED_VALUE"""),881.6)</f>
        <v>881.6</v>
      </c>
    </row>
    <row r="699">
      <c r="A699" s="53"/>
      <c r="B699" s="53"/>
      <c r="C699" s="53" t="s">
        <v>53</v>
      </c>
      <c r="D699" s="53" t="s">
        <v>1672</v>
      </c>
      <c r="E699" s="54" t="s">
        <v>38</v>
      </c>
      <c r="F699" s="54" t="s">
        <v>42</v>
      </c>
      <c r="G699" s="55" t="s">
        <v>1673</v>
      </c>
      <c r="H699" s="54" t="s">
        <v>1673</v>
      </c>
      <c r="I699" s="54">
        <f t="shared" si="24"/>
        <v>25</v>
      </c>
      <c r="J699" s="56"/>
      <c r="K699" s="57"/>
      <c r="L699" s="76"/>
      <c r="M699" s="59"/>
      <c r="N699" s="79">
        <v>251.0</v>
      </c>
      <c r="O699" s="61">
        <v>271.0</v>
      </c>
      <c r="P699" s="63">
        <v>292.68</v>
      </c>
      <c r="Q699" s="63">
        <v>292.68</v>
      </c>
      <c r="R699" s="64">
        <v>308.0</v>
      </c>
      <c r="S699" s="111">
        <v>323.0</v>
      </c>
      <c r="T699" s="65">
        <f t="shared" si="2"/>
        <v>51.68</v>
      </c>
      <c r="U699" s="65">
        <f t="shared" si="3"/>
        <v>374.68</v>
      </c>
      <c r="V699" s="66">
        <f t="shared" si="4"/>
        <v>0.0487012987</v>
      </c>
      <c r="W699" s="67">
        <f t="shared" si="5"/>
        <v>306.85</v>
      </c>
      <c r="X699" s="67">
        <f t="shared" si="6"/>
        <v>49.096</v>
      </c>
      <c r="Y699" s="67">
        <f t="shared" si="7"/>
        <v>355.946</v>
      </c>
      <c r="Z699" s="67">
        <f t="shared" si="8"/>
        <v>290.7</v>
      </c>
      <c r="AA699" s="67">
        <f t="shared" si="9"/>
        <v>46.512</v>
      </c>
      <c r="AB699" s="67">
        <f t="shared" si="10"/>
        <v>337.212</v>
      </c>
      <c r="AC699" s="67">
        <f t="shared" si="11"/>
        <v>274.55</v>
      </c>
      <c r="AD699" s="67">
        <f t="shared" si="12"/>
        <v>43.928</v>
      </c>
      <c r="AE699" s="67">
        <f t="shared" si="13"/>
        <v>318.478</v>
      </c>
      <c r="AF699" s="67">
        <f t="shared" si="33"/>
        <v>268.09</v>
      </c>
      <c r="AG699" s="67">
        <f t="shared" si="15"/>
        <v>42.8944</v>
      </c>
      <c r="AH699" s="67">
        <f t="shared" si="16"/>
        <v>310.9844</v>
      </c>
      <c r="AI699" s="67">
        <f t="shared" si="17"/>
        <v>258.4</v>
      </c>
      <c r="AJ699" s="68">
        <f t="shared" si="31"/>
        <v>41.344</v>
      </c>
      <c r="AK699" s="68">
        <f t="shared" si="32"/>
        <v>299.744</v>
      </c>
      <c r="AL699" s="136">
        <f>IFERROR(__xludf.DUMMYFUNCTION("""COMPUTED_VALUE"""),1.0)</f>
        <v>1</v>
      </c>
      <c r="AM699" s="136"/>
      <c r="AN699" s="137" t="str">
        <f>IFERROR(__xludf.DUMMYFUNCTION("""COMPUTED_VALUE""")," C")</f>
        <v>C</v>
      </c>
      <c r="AO699" s="137" t="str">
        <f>IFERROR(__xludf.DUMMYFUNCTION("""COMPUTED_VALUE""")," JG150")</f>
        <v>JG150</v>
      </c>
      <c r="AP699" s="137" t="str">
        <f>IFERROR(__xludf.DUMMYFUNCTION("""COMPUTED_VALUE""")," PZA")</f>
        <v>PZA</v>
      </c>
      <c r="AQ699" s="137" t="str">
        <f>IFERROR(__xludf.DUMMYFUNCTION("""COMPUTED_VALUE""")," REF")</f>
        <v>REF</v>
      </c>
      <c r="AR699" s="137" t="str">
        <f>IFERROR(__xludf.DUMMYFUNCTION("""COMPUTED_VALUE""")," JUEGO DE PIEDRAS DE 10"" NEVADO INT 2 1/2""")</f>
        <v>JUEGO DE PIEDRAS DE 10" NEVADO INT 2 1/2"</v>
      </c>
      <c r="AS699" s="137" t="str">
        <f>IFERROR(__xludf.DUMMYFUNCTION("""COMPUTED_VALUE""")," JUEGO PIEDRAS 10 NEVADO INT 2 1/2")</f>
        <v>JUEGO PIEDRAS 10 NEVADO INT 2 1/2</v>
      </c>
      <c r="AT699" s="137">
        <f>IFERROR(__xludf.DUMMYFUNCTION("""COMPUTED_VALUE"""),33.0)</f>
        <v>33</v>
      </c>
      <c r="AU699" s="137"/>
      <c r="AV699" s="137"/>
      <c r="AW699" s="137"/>
      <c r="AX699" s="137"/>
      <c r="AY699" s="137">
        <f>IFERROR(__xludf.DUMMYFUNCTION("""COMPUTED_VALUE"""),738.0)</f>
        <v>738</v>
      </c>
      <c r="AZ699" s="137">
        <f>IFERROR(__xludf.DUMMYFUNCTION("""COMPUTED_VALUE"""),797.0)</f>
        <v>797</v>
      </c>
      <c r="BA699" s="137">
        <f>IFERROR(__xludf.DUMMYFUNCTION("""COMPUTED_VALUE"""),860.7600000000001)</f>
        <v>860.76</v>
      </c>
      <c r="BB699" s="137">
        <f>IFERROR(__xludf.DUMMYFUNCTION("""COMPUTED_VALUE"""),860.7600000000001)</f>
        <v>860.76</v>
      </c>
      <c r="BC699" s="137">
        <f>IFERROR(__xludf.DUMMYFUNCTION("""COMPUTED_VALUE"""),905.0)</f>
        <v>905</v>
      </c>
      <c r="BD699" s="137">
        <f>IFERROR(__xludf.DUMMYFUNCTION("""COMPUTED_VALUE"""),950.0)</f>
        <v>950</v>
      </c>
      <c r="BE699" s="137">
        <f>IFERROR(__xludf.DUMMYFUNCTION("""COMPUTED_VALUE"""),152.0)</f>
        <v>152</v>
      </c>
      <c r="BF699" s="137">
        <f>IFERROR(__xludf.DUMMYFUNCTION("""COMPUTED_VALUE"""),1102.0)</f>
        <v>1102</v>
      </c>
      <c r="BG699" s="137">
        <f>IFERROR(__xludf.DUMMYFUNCTION("""COMPUTED_VALUE"""),0.049723756906077346)</f>
        <v>0.04972375691</v>
      </c>
      <c r="BH699" s="137">
        <f>IFERROR(__xludf.DUMMYFUNCTION("""COMPUTED_VALUE"""),902.5)</f>
        <v>902.5</v>
      </c>
      <c r="BI699" s="137">
        <f>IFERROR(__xludf.DUMMYFUNCTION("""COMPUTED_VALUE"""),144.4)</f>
        <v>144.4</v>
      </c>
      <c r="BJ699" s="137">
        <f>IFERROR(__xludf.DUMMYFUNCTION("""COMPUTED_VALUE"""),1046.9)</f>
        <v>1046.9</v>
      </c>
      <c r="BK699" s="137">
        <f>IFERROR(__xludf.DUMMYFUNCTION("""COMPUTED_VALUE"""),855.0)</f>
        <v>855</v>
      </c>
      <c r="BL699" s="137">
        <f>IFERROR(__xludf.DUMMYFUNCTION("""COMPUTED_VALUE"""),136.8)</f>
        <v>136.8</v>
      </c>
      <c r="BM699" s="137">
        <f>IFERROR(__xludf.DUMMYFUNCTION("""COMPUTED_VALUE"""),991.8)</f>
        <v>991.8</v>
      </c>
      <c r="BN699" s="137">
        <f>IFERROR(__xludf.DUMMYFUNCTION("""COMPUTED_VALUE"""),807.5)</f>
        <v>807.5</v>
      </c>
      <c r="BO699" s="137">
        <f>IFERROR(__xludf.DUMMYFUNCTION("""COMPUTED_VALUE"""),129.2)</f>
        <v>129.2</v>
      </c>
      <c r="BP699" s="137">
        <f>IFERROR(__xludf.DUMMYFUNCTION("""COMPUTED_VALUE"""),936.7)</f>
        <v>936.7</v>
      </c>
      <c r="BQ699" s="137">
        <f>IFERROR(__xludf.DUMMYFUNCTION("""COMPUTED_VALUE"""),788.5)</f>
        <v>788.5</v>
      </c>
      <c r="BR699" s="137">
        <f>IFERROR(__xludf.DUMMYFUNCTION("""COMPUTED_VALUE"""),126.16)</f>
        <v>126.16</v>
      </c>
      <c r="BS699" s="137">
        <f>IFERROR(__xludf.DUMMYFUNCTION("""COMPUTED_VALUE"""),914.66)</f>
        <v>914.66</v>
      </c>
      <c r="BT699" s="137">
        <f>IFERROR(__xludf.DUMMYFUNCTION("""COMPUTED_VALUE"""),760.0)</f>
        <v>760</v>
      </c>
      <c r="BU699" s="137">
        <f>IFERROR(__xludf.DUMMYFUNCTION("""COMPUTED_VALUE"""),121.60000000000001)</f>
        <v>121.6</v>
      </c>
      <c r="BV699" s="137">
        <f>IFERROR(__xludf.DUMMYFUNCTION("""COMPUTED_VALUE"""),881.6)</f>
        <v>881.6</v>
      </c>
    </row>
    <row r="700">
      <c r="A700" s="53"/>
      <c r="B700" s="53">
        <v>3.0</v>
      </c>
      <c r="C700" s="53" t="s">
        <v>36</v>
      </c>
      <c r="D700" s="98" t="s">
        <v>1674</v>
      </c>
      <c r="E700" s="54" t="s">
        <v>38</v>
      </c>
      <c r="F700" s="55" t="s">
        <v>61</v>
      </c>
      <c r="G700" s="101" t="s">
        <v>1675</v>
      </c>
      <c r="H700" s="55"/>
      <c r="I700" s="54">
        <f t="shared" si="24"/>
        <v>0</v>
      </c>
      <c r="J700" s="56"/>
      <c r="K700" s="57"/>
      <c r="L700" s="76"/>
      <c r="M700" s="59"/>
      <c r="N700" s="60"/>
      <c r="O700" s="61">
        <v>93864.0</v>
      </c>
      <c r="P700" s="62">
        <v>101373.12000000001</v>
      </c>
      <c r="Q700" s="63">
        <v>101373.12000000001</v>
      </c>
      <c r="R700" s="64">
        <v>111765.0</v>
      </c>
      <c r="S700" s="107">
        <v>117353.0</v>
      </c>
      <c r="T700" s="65">
        <f t="shared" si="2"/>
        <v>18776.48</v>
      </c>
      <c r="U700" s="65">
        <f t="shared" si="3"/>
        <v>136129.48</v>
      </c>
      <c r="V700" s="66">
        <f t="shared" si="4"/>
        <v>0.04999776316</v>
      </c>
      <c r="W700" s="67">
        <f t="shared" si="5"/>
        <v>111485.35</v>
      </c>
      <c r="X700" s="67">
        <f t="shared" si="6"/>
        <v>17837.656</v>
      </c>
      <c r="Y700" s="67">
        <f t="shared" si="7"/>
        <v>129323.006</v>
      </c>
      <c r="Z700" s="67">
        <f t="shared" si="8"/>
        <v>105617.7</v>
      </c>
      <c r="AA700" s="67">
        <f t="shared" si="9"/>
        <v>16898.832</v>
      </c>
      <c r="AB700" s="67">
        <f t="shared" si="10"/>
        <v>122516.532</v>
      </c>
      <c r="AC700" s="67">
        <f t="shared" si="11"/>
        <v>105617.7</v>
      </c>
      <c r="AD700" s="67">
        <f t="shared" si="12"/>
        <v>16898.832</v>
      </c>
      <c r="AE700" s="67">
        <f t="shared" si="13"/>
        <v>122516.532</v>
      </c>
      <c r="AF700" s="67">
        <f t="shared" si="33"/>
        <v>105617.7</v>
      </c>
      <c r="AG700" s="67">
        <f t="shared" si="15"/>
        <v>16898.832</v>
      </c>
      <c r="AH700" s="67">
        <f t="shared" si="16"/>
        <v>122516.532</v>
      </c>
      <c r="AI700" s="67">
        <f t="shared" si="17"/>
        <v>105617.7</v>
      </c>
      <c r="AJ700" s="68">
        <f t="shared" si="31"/>
        <v>16898.832</v>
      </c>
      <c r="AK700" s="68">
        <f t="shared" si="32"/>
        <v>122516.532</v>
      </c>
      <c r="AL700" s="70">
        <f>IFERROR(__xludf.DUMMYFUNCTION("""COMPUTED_VALUE"""),1.0)</f>
        <v>1</v>
      </c>
      <c r="AM700" s="70"/>
      <c r="AN700" s="71" t="str">
        <f>IFERROR(__xludf.DUMMYFUNCTION("""COMPUTED_VALUE""")," C")</f>
        <v>C</v>
      </c>
      <c r="AO700" s="71" t="str">
        <f>IFERROR(__xludf.DUMMYFUNCTION("""COMPUTED_VALUE""")," JG29")</f>
        <v>JG29</v>
      </c>
      <c r="AP700" s="71" t="str">
        <f>IFERROR(__xludf.DUMMYFUNCTION("""COMPUTED_VALUE""")," JGO")</f>
        <v>JGO</v>
      </c>
      <c r="AQ700" s="71" t="str">
        <f>IFERROR(__xludf.DUMMYFUNCTION("""COMPUTED_VALUE""")," REF")</f>
        <v>REF</v>
      </c>
      <c r="AR700" s="71" t="str">
        <f>IFERROR(__xludf.DUMMYFUNCTION("""COMPUTED_VALUE""")," JUEGO DE PIEDRAS DE 10"" PARA MOLINO TIPO CAMARADA INTERIOR 2 1/4''")</f>
        <v>JUEGO DE PIEDRAS DE 10" PARA MOLINO TIPO CAMARADA INTERIOR 2 1/4''</v>
      </c>
      <c r="AS700" s="71" t="str">
        <f>IFERROR(__xludf.DUMMYFUNCTION("""COMPUTED_VALUE""")," JUEGO PIEDRAS 10 P/MOL CAMARAD INT 2 1/4")</f>
        <v>JUEGO PIEDRAS 10 P/MOL CAMARAD INT 2 1/4</v>
      </c>
      <c r="AT700" s="71">
        <f>IFERROR(__xludf.DUMMYFUNCTION("""COMPUTED_VALUE"""),40.0)</f>
        <v>40</v>
      </c>
      <c r="AU700" s="71"/>
      <c r="AV700" s="71"/>
      <c r="AW700" s="71"/>
      <c r="AX700" s="71"/>
      <c r="AY700" s="71">
        <f>IFERROR(__xludf.DUMMYFUNCTION("""COMPUTED_VALUE"""),0.0)</f>
        <v>0</v>
      </c>
      <c r="AZ700" s="71">
        <f>IFERROR(__xludf.DUMMYFUNCTION("""COMPUTED_VALUE"""),0.0)</f>
        <v>0</v>
      </c>
      <c r="BA700" s="71">
        <f>IFERROR(__xludf.DUMMYFUNCTION("""COMPUTED_VALUE"""),1438.56)</f>
        <v>1438.56</v>
      </c>
      <c r="BB700" s="71">
        <f>IFERROR(__xludf.DUMMYFUNCTION("""COMPUTED_VALUE"""),1438.56)</f>
        <v>1438.56</v>
      </c>
      <c r="BC700" s="71">
        <f>IFERROR(__xludf.DUMMYFUNCTION("""COMPUTED_VALUE"""),1511.0)</f>
        <v>1511</v>
      </c>
      <c r="BD700" s="71">
        <f>IFERROR(__xludf.DUMMYFUNCTION("""COMPUTED_VALUE"""),1587.0)</f>
        <v>1587</v>
      </c>
      <c r="BE700" s="71">
        <f>IFERROR(__xludf.DUMMYFUNCTION("""COMPUTED_VALUE"""),253.92000000000002)</f>
        <v>253.92</v>
      </c>
      <c r="BF700" s="71">
        <f>IFERROR(__xludf.DUMMYFUNCTION("""COMPUTED_VALUE"""),1840.92)</f>
        <v>1840.92</v>
      </c>
      <c r="BG700" s="71">
        <f>IFERROR(__xludf.DUMMYFUNCTION("""COMPUTED_VALUE"""),0.05029781601588352)</f>
        <v>0.05029781602</v>
      </c>
      <c r="BH700" s="71">
        <f>IFERROR(__xludf.DUMMYFUNCTION("""COMPUTED_VALUE"""),1507.6499999999999)</f>
        <v>1507.65</v>
      </c>
      <c r="BI700" s="71">
        <f>IFERROR(__xludf.DUMMYFUNCTION("""COMPUTED_VALUE"""),241.224)</f>
        <v>241.224</v>
      </c>
      <c r="BJ700" s="71">
        <f>IFERROR(__xludf.DUMMYFUNCTION("""COMPUTED_VALUE"""),1748.8739999999998)</f>
        <v>1748.874</v>
      </c>
      <c r="BK700" s="71">
        <f>IFERROR(__xludf.DUMMYFUNCTION("""COMPUTED_VALUE"""),1428.3)</f>
        <v>1428.3</v>
      </c>
      <c r="BL700" s="71">
        <f>IFERROR(__xludf.DUMMYFUNCTION("""COMPUTED_VALUE"""),228.528)</f>
        <v>228.528</v>
      </c>
      <c r="BM700" s="71">
        <f>IFERROR(__xludf.DUMMYFUNCTION("""COMPUTED_VALUE"""),1656.828)</f>
        <v>1656.828</v>
      </c>
      <c r="BN700" s="71">
        <f>IFERROR(__xludf.DUMMYFUNCTION("""COMPUTED_VALUE"""),1348.95)</f>
        <v>1348.95</v>
      </c>
      <c r="BO700" s="71">
        <f>IFERROR(__xludf.DUMMYFUNCTION("""COMPUTED_VALUE"""),215.83200000000002)</f>
        <v>215.832</v>
      </c>
      <c r="BP700" s="71">
        <f>IFERROR(__xludf.DUMMYFUNCTION("""COMPUTED_VALUE"""),1564.7820000000002)</f>
        <v>1564.782</v>
      </c>
      <c r="BQ700" s="71">
        <f>IFERROR(__xludf.DUMMYFUNCTION("""COMPUTED_VALUE"""),1317.21)</f>
        <v>1317.21</v>
      </c>
      <c r="BR700" s="71">
        <f>IFERROR(__xludf.DUMMYFUNCTION("""COMPUTED_VALUE"""),210.7536)</f>
        <v>210.7536</v>
      </c>
      <c r="BS700" s="71">
        <f>IFERROR(__xludf.DUMMYFUNCTION("""COMPUTED_VALUE"""),1527.9636)</f>
        <v>1527.9636</v>
      </c>
      <c r="BT700" s="71">
        <f>IFERROR(__xludf.DUMMYFUNCTION("""COMPUTED_VALUE"""),1269.6000000000001)</f>
        <v>1269.6</v>
      </c>
      <c r="BU700" s="71">
        <f>IFERROR(__xludf.DUMMYFUNCTION("""COMPUTED_VALUE"""),203.13600000000002)</f>
        <v>203.136</v>
      </c>
      <c r="BV700" s="71">
        <f>IFERROR(__xludf.DUMMYFUNCTION("""COMPUTED_VALUE"""),1472.736)</f>
        <v>1472.736</v>
      </c>
    </row>
    <row r="701">
      <c r="A701" s="53"/>
      <c r="B701" s="53">
        <v>3.0</v>
      </c>
      <c r="C701" s="53" t="s">
        <v>36</v>
      </c>
      <c r="D701" s="98" t="s">
        <v>1676</v>
      </c>
      <c r="E701" s="54" t="s">
        <v>38</v>
      </c>
      <c r="F701" s="55" t="s">
        <v>61</v>
      </c>
      <c r="G701" s="101" t="s">
        <v>1677</v>
      </c>
      <c r="H701" s="55"/>
      <c r="I701" s="54">
        <f t="shared" si="24"/>
        <v>0</v>
      </c>
      <c r="J701" s="56"/>
      <c r="K701" s="57"/>
      <c r="L701" s="76"/>
      <c r="M701" s="59"/>
      <c r="N701" s="60"/>
      <c r="O701" s="61">
        <v>73000.0</v>
      </c>
      <c r="P701" s="62">
        <v>78840.0</v>
      </c>
      <c r="Q701" s="63">
        <v>78840.0</v>
      </c>
      <c r="R701" s="64">
        <v>86922.0</v>
      </c>
      <c r="S701" s="107">
        <v>91268.0</v>
      </c>
      <c r="T701" s="65">
        <f t="shared" si="2"/>
        <v>14602.88</v>
      </c>
      <c r="U701" s="65">
        <f t="shared" si="3"/>
        <v>105870.88</v>
      </c>
      <c r="V701" s="66">
        <f t="shared" si="4"/>
        <v>0.04999884954</v>
      </c>
      <c r="W701" s="67">
        <f t="shared" si="5"/>
        <v>86704.6</v>
      </c>
      <c r="X701" s="67">
        <f t="shared" si="6"/>
        <v>13872.736</v>
      </c>
      <c r="Y701" s="67">
        <f t="shared" si="7"/>
        <v>100577.336</v>
      </c>
      <c r="Z701" s="67">
        <f t="shared" si="8"/>
        <v>82141.2</v>
      </c>
      <c r="AA701" s="67">
        <f t="shared" si="9"/>
        <v>13142.592</v>
      </c>
      <c r="AB701" s="67">
        <f t="shared" si="10"/>
        <v>95283.792</v>
      </c>
      <c r="AC701" s="67">
        <f t="shared" si="11"/>
        <v>82141.2</v>
      </c>
      <c r="AD701" s="67">
        <f t="shared" si="12"/>
        <v>13142.592</v>
      </c>
      <c r="AE701" s="67">
        <f t="shared" si="13"/>
        <v>95283.792</v>
      </c>
      <c r="AF701" s="67">
        <f t="shared" si="33"/>
        <v>82141.2</v>
      </c>
      <c r="AG701" s="67">
        <f t="shared" si="15"/>
        <v>13142.592</v>
      </c>
      <c r="AH701" s="67">
        <f t="shared" si="16"/>
        <v>95283.792</v>
      </c>
      <c r="AI701" s="67">
        <f t="shared" si="17"/>
        <v>82141.2</v>
      </c>
      <c r="AJ701" s="68">
        <f t="shared" si="31"/>
        <v>13142.592</v>
      </c>
      <c r="AK701" s="68">
        <f t="shared" si="32"/>
        <v>95283.792</v>
      </c>
      <c r="AL701" s="70">
        <f>IFERROR(__xludf.DUMMYFUNCTION("""COMPUTED_VALUE"""),1.0)</f>
        <v>1</v>
      </c>
      <c r="AM701" s="70"/>
      <c r="AN701" s="71" t="str">
        <f>IFERROR(__xludf.DUMMYFUNCTION("""COMPUTED_VALUE""")," C")</f>
        <v>C</v>
      </c>
      <c r="AO701" s="71" t="str">
        <f>IFERROR(__xludf.DUMMYFUNCTION("""COMPUTED_VALUE""")," JG56")</f>
        <v>JG56</v>
      </c>
      <c r="AP701" s="71" t="str">
        <f>IFERROR(__xludf.DUMMYFUNCTION("""COMPUTED_VALUE""")," JGO")</f>
        <v>JGO</v>
      </c>
      <c r="AQ701" s="71" t="str">
        <f>IFERROR(__xludf.DUMMYFUNCTION("""COMPUTED_VALUE""")," REF")</f>
        <v>REF</v>
      </c>
      <c r="AR701" s="71" t="str">
        <f>IFERROR(__xludf.DUMMYFUNCTION("""COMPUTED_VALUE""")," JUEGO DE PIEDRAS DE 10"" PARA MOLINO TORTIMEX INTERIOR 2 1/8""")</f>
        <v>JUEGO DE PIEDRAS DE 10" PARA MOLINO TORTIMEX INTERIOR 2 1/8"</v>
      </c>
      <c r="AS701" s="71" t="str">
        <f>IFERROR(__xludf.DUMMYFUNCTION("""COMPUTED_VALUE""")," JUEGO PIEDRAS 10 MOL TORTIMEX INT 2 1/8")</f>
        <v>JUEGO PIEDRAS 10 MOL TORTIMEX INT 2 1/8</v>
      </c>
      <c r="AT701" s="71">
        <f>IFERROR(__xludf.DUMMYFUNCTION("""COMPUTED_VALUE"""),39.0)</f>
        <v>39</v>
      </c>
      <c r="AU701" s="71"/>
      <c r="AV701" s="71"/>
      <c r="AW701" s="71"/>
      <c r="AX701" s="71"/>
      <c r="AY701" s="71">
        <f>IFERROR(__xludf.DUMMYFUNCTION("""COMPUTED_VALUE"""),738.0)</f>
        <v>738</v>
      </c>
      <c r="AZ701" s="71">
        <f>IFERROR(__xludf.DUMMYFUNCTION("""COMPUTED_VALUE"""),797.0)</f>
        <v>797</v>
      </c>
      <c r="BA701" s="71">
        <f>IFERROR(__xludf.DUMMYFUNCTION("""COMPUTED_VALUE"""),860.7600000000001)</f>
        <v>860.76</v>
      </c>
      <c r="BB701" s="71">
        <f>IFERROR(__xludf.DUMMYFUNCTION("""COMPUTED_VALUE"""),860.7600000000001)</f>
        <v>860.76</v>
      </c>
      <c r="BC701" s="71">
        <f>IFERROR(__xludf.DUMMYFUNCTION("""COMPUTED_VALUE"""),959.0)</f>
        <v>959</v>
      </c>
      <c r="BD701" s="71">
        <f>IFERROR(__xludf.DUMMYFUNCTION("""COMPUTED_VALUE"""),1007.0)</f>
        <v>1007</v>
      </c>
      <c r="BE701" s="71">
        <f>IFERROR(__xludf.DUMMYFUNCTION("""COMPUTED_VALUE"""),161.12)</f>
        <v>161.12</v>
      </c>
      <c r="BF701" s="71">
        <f>IFERROR(__xludf.DUMMYFUNCTION("""COMPUTED_VALUE"""),1168.12)</f>
        <v>1168.12</v>
      </c>
      <c r="BG701" s="71">
        <f>IFERROR(__xludf.DUMMYFUNCTION("""COMPUTED_VALUE"""),0.05005213764337852)</f>
        <v>0.05005213764</v>
      </c>
      <c r="BH701" s="71">
        <f>IFERROR(__xludf.DUMMYFUNCTION("""COMPUTED_VALUE"""),956.65)</f>
        <v>956.65</v>
      </c>
      <c r="BI701" s="71">
        <f>IFERROR(__xludf.DUMMYFUNCTION("""COMPUTED_VALUE"""),153.064)</f>
        <v>153.064</v>
      </c>
      <c r="BJ701" s="71">
        <f>IFERROR(__xludf.DUMMYFUNCTION("""COMPUTED_VALUE"""),1109.714)</f>
        <v>1109.714</v>
      </c>
      <c r="BK701" s="71">
        <f>IFERROR(__xludf.DUMMYFUNCTION("""COMPUTED_VALUE"""),906.3000000000001)</f>
        <v>906.3</v>
      </c>
      <c r="BL701" s="71">
        <f>IFERROR(__xludf.DUMMYFUNCTION("""COMPUTED_VALUE"""),145.008)</f>
        <v>145.008</v>
      </c>
      <c r="BM701" s="71">
        <f>IFERROR(__xludf.DUMMYFUNCTION("""COMPUTED_VALUE"""),1051.308)</f>
        <v>1051.308</v>
      </c>
      <c r="BN701" s="71">
        <f>IFERROR(__xludf.DUMMYFUNCTION("""COMPUTED_VALUE"""),855.9499999999999)</f>
        <v>855.95</v>
      </c>
      <c r="BO701" s="71">
        <f>IFERROR(__xludf.DUMMYFUNCTION("""COMPUTED_VALUE"""),136.952)</f>
        <v>136.952</v>
      </c>
      <c r="BP701" s="71">
        <f>IFERROR(__xludf.DUMMYFUNCTION("""COMPUTED_VALUE"""),992.9019999999999)</f>
        <v>992.902</v>
      </c>
      <c r="BQ701" s="71">
        <f>IFERROR(__xludf.DUMMYFUNCTION("""COMPUTED_VALUE"""),835.81)</f>
        <v>835.81</v>
      </c>
      <c r="BR701" s="71">
        <f>IFERROR(__xludf.DUMMYFUNCTION("""COMPUTED_VALUE"""),133.7296)</f>
        <v>133.7296</v>
      </c>
      <c r="BS701" s="71">
        <f>IFERROR(__xludf.DUMMYFUNCTION("""COMPUTED_VALUE"""),969.5396)</f>
        <v>969.5396</v>
      </c>
      <c r="BT701" s="71">
        <f>IFERROR(__xludf.DUMMYFUNCTION("""COMPUTED_VALUE"""),805.6)</f>
        <v>805.6</v>
      </c>
      <c r="BU701" s="71">
        <f>IFERROR(__xludf.DUMMYFUNCTION("""COMPUTED_VALUE"""),128.89600000000002)</f>
        <v>128.896</v>
      </c>
      <c r="BV701" s="71">
        <f>IFERROR(__xludf.DUMMYFUNCTION("""COMPUTED_VALUE"""),934.4960000000001)</f>
        <v>934.496</v>
      </c>
    </row>
    <row r="702">
      <c r="A702" s="53"/>
      <c r="B702" s="53">
        <v>3.0</v>
      </c>
      <c r="C702" s="53" t="s">
        <v>36</v>
      </c>
      <c r="D702" s="98" t="s">
        <v>1678</v>
      </c>
      <c r="E702" s="54" t="s">
        <v>38</v>
      </c>
      <c r="F702" s="55" t="s">
        <v>61</v>
      </c>
      <c r="G702" s="101" t="s">
        <v>1679</v>
      </c>
      <c r="H702" s="55"/>
      <c r="I702" s="54">
        <f t="shared" si="24"/>
        <v>0</v>
      </c>
      <c r="J702" s="56"/>
      <c r="K702" s="57"/>
      <c r="L702" s="76"/>
      <c r="M702" s="59"/>
      <c r="N702" s="60"/>
      <c r="O702" s="61">
        <v>60943.0</v>
      </c>
      <c r="P702" s="62">
        <v>65818.44</v>
      </c>
      <c r="Q702" s="63">
        <v>65818.44</v>
      </c>
      <c r="R702" s="64">
        <v>72565.0</v>
      </c>
      <c r="S702" s="107">
        <v>76193.0</v>
      </c>
      <c r="T702" s="65">
        <f t="shared" si="2"/>
        <v>12190.88</v>
      </c>
      <c r="U702" s="65">
        <f t="shared" si="3"/>
        <v>88383.88</v>
      </c>
      <c r="V702" s="66">
        <f t="shared" si="4"/>
        <v>0.04999655481</v>
      </c>
      <c r="W702" s="67">
        <f t="shared" si="5"/>
        <v>72383.35</v>
      </c>
      <c r="X702" s="67">
        <f t="shared" si="6"/>
        <v>11581.336</v>
      </c>
      <c r="Y702" s="67">
        <f t="shared" si="7"/>
        <v>83964.686</v>
      </c>
      <c r="Z702" s="67">
        <f t="shared" si="8"/>
        <v>68573.7</v>
      </c>
      <c r="AA702" s="67">
        <f t="shared" si="9"/>
        <v>10971.792</v>
      </c>
      <c r="AB702" s="67">
        <f t="shared" si="10"/>
        <v>79545.492</v>
      </c>
      <c r="AC702" s="67">
        <f t="shared" si="11"/>
        <v>68573.7</v>
      </c>
      <c r="AD702" s="67">
        <f t="shared" si="12"/>
        <v>10971.792</v>
      </c>
      <c r="AE702" s="67">
        <f t="shared" si="13"/>
        <v>79545.492</v>
      </c>
      <c r="AF702" s="67">
        <f t="shared" si="33"/>
        <v>68573.7</v>
      </c>
      <c r="AG702" s="67">
        <f t="shared" si="15"/>
        <v>10971.792</v>
      </c>
      <c r="AH702" s="67">
        <f t="shared" si="16"/>
        <v>79545.492</v>
      </c>
      <c r="AI702" s="67">
        <f t="shared" si="17"/>
        <v>68573.7</v>
      </c>
      <c r="AJ702" s="68">
        <f t="shared" si="31"/>
        <v>10971.792</v>
      </c>
      <c r="AK702" s="68">
        <f t="shared" si="32"/>
        <v>79545.492</v>
      </c>
      <c r="AL702" s="70">
        <f>IFERROR(__xludf.DUMMYFUNCTION("""COMPUTED_VALUE"""),1.0)</f>
        <v>1</v>
      </c>
      <c r="AM702" s="70"/>
      <c r="AN702" s="71" t="str">
        <f>IFERROR(__xludf.DUMMYFUNCTION("""COMPUTED_VALUE""")," C")</f>
        <v>C</v>
      </c>
      <c r="AO702" s="71" t="str">
        <f>IFERROR(__xludf.DUMMYFUNCTION("""COMPUTED_VALUE""")," JG121")</f>
        <v>JG121</v>
      </c>
      <c r="AP702" s="71" t="str">
        <f>IFERROR(__xludf.DUMMYFUNCTION("""COMPUTED_VALUE""")," PZA")</f>
        <v>PZA</v>
      </c>
      <c r="AQ702" s="71" t="str">
        <f>IFERROR(__xludf.DUMMYFUNCTION("""COMPUTED_VALUE""")," REF")</f>
        <v>REF</v>
      </c>
      <c r="AR702" s="71" t="str">
        <f>IFERROR(__xludf.DUMMYFUNCTION("""COMPUTED_VALUE""")," JUEGO DE PIEDRAS DE 10"" TIPO CAMARADA INT 2 1/2""")</f>
        <v>JUEGO DE PIEDRAS DE 10" TIPO CAMARADA INT 2 1/2"</v>
      </c>
      <c r="AS702" s="71" t="str">
        <f>IFERROR(__xludf.DUMMYFUNCTION("""COMPUTED_VALUE""")," JUEGO PIEDRAS 10 CAMARADA INT 2 1/2")</f>
        <v>JUEGO PIEDRAS 10 CAMARADA INT 2 1/2</v>
      </c>
      <c r="AT702" s="71">
        <f>IFERROR(__xludf.DUMMYFUNCTION("""COMPUTED_VALUE"""),35.0)</f>
        <v>35</v>
      </c>
      <c r="AU702" s="71"/>
      <c r="AV702" s="71"/>
      <c r="AW702" s="71"/>
      <c r="AX702" s="71"/>
      <c r="AY702" s="71">
        <f>IFERROR(__xludf.DUMMYFUNCTION("""COMPUTED_VALUE"""),754.0)</f>
        <v>754</v>
      </c>
      <c r="AZ702" s="71">
        <f>IFERROR(__xludf.DUMMYFUNCTION("""COMPUTED_VALUE"""),1332.0)</f>
        <v>1332</v>
      </c>
      <c r="BA702" s="71">
        <f>IFERROR(__xludf.DUMMYFUNCTION("""COMPUTED_VALUE"""),1438.5600000000002)</f>
        <v>1438.56</v>
      </c>
      <c r="BB702" s="71">
        <f>IFERROR(__xludf.DUMMYFUNCTION("""COMPUTED_VALUE"""),1438.5600000000002)</f>
        <v>1438.56</v>
      </c>
      <c r="BC702" s="71">
        <f>IFERROR(__xludf.DUMMYFUNCTION("""COMPUTED_VALUE"""),1602.0)</f>
        <v>1602</v>
      </c>
      <c r="BD702" s="71">
        <f>IFERROR(__xludf.DUMMYFUNCTION("""COMPUTED_VALUE"""),1682.0)</f>
        <v>1682</v>
      </c>
      <c r="BE702" s="71">
        <f>IFERROR(__xludf.DUMMYFUNCTION("""COMPUTED_VALUE"""),269.12)</f>
        <v>269.12</v>
      </c>
      <c r="BF702" s="71">
        <f>IFERROR(__xludf.DUMMYFUNCTION("""COMPUTED_VALUE"""),1951.12)</f>
        <v>1951.12</v>
      </c>
      <c r="BG702" s="71">
        <f>IFERROR(__xludf.DUMMYFUNCTION("""COMPUTED_VALUE"""),0.049937578027465665)</f>
        <v>0.04993757803</v>
      </c>
      <c r="BH702" s="71">
        <f>IFERROR(__xludf.DUMMYFUNCTION("""COMPUTED_VALUE"""),1597.8999999999999)</f>
        <v>1597.9</v>
      </c>
      <c r="BI702" s="71">
        <f>IFERROR(__xludf.DUMMYFUNCTION("""COMPUTED_VALUE"""),255.664)</f>
        <v>255.664</v>
      </c>
      <c r="BJ702" s="71">
        <f>IFERROR(__xludf.DUMMYFUNCTION("""COMPUTED_VALUE"""),1853.5639999999999)</f>
        <v>1853.564</v>
      </c>
      <c r="BK702" s="71">
        <f>IFERROR(__xludf.DUMMYFUNCTION("""COMPUTED_VALUE"""),1513.8)</f>
        <v>1513.8</v>
      </c>
      <c r="BL702" s="71">
        <f>IFERROR(__xludf.DUMMYFUNCTION("""COMPUTED_VALUE"""),242.208)</f>
        <v>242.208</v>
      </c>
      <c r="BM702" s="71">
        <f>IFERROR(__xludf.DUMMYFUNCTION("""COMPUTED_VALUE"""),1756.008)</f>
        <v>1756.008</v>
      </c>
      <c r="BN702" s="71">
        <f>IFERROR(__xludf.DUMMYFUNCTION("""COMPUTED_VALUE"""),1429.7)</f>
        <v>1429.7</v>
      </c>
      <c r="BO702" s="71">
        <f>IFERROR(__xludf.DUMMYFUNCTION("""COMPUTED_VALUE"""),228.752)</f>
        <v>228.752</v>
      </c>
      <c r="BP702" s="71">
        <f>IFERROR(__xludf.DUMMYFUNCTION("""COMPUTED_VALUE"""),1658.452)</f>
        <v>1658.452</v>
      </c>
      <c r="BQ702" s="71">
        <f>IFERROR(__xludf.DUMMYFUNCTION("""COMPUTED_VALUE"""),1396.06)</f>
        <v>1396.06</v>
      </c>
      <c r="BR702" s="71">
        <f>IFERROR(__xludf.DUMMYFUNCTION("""COMPUTED_VALUE"""),223.3696)</f>
        <v>223.3696</v>
      </c>
      <c r="BS702" s="71">
        <f>IFERROR(__xludf.DUMMYFUNCTION("""COMPUTED_VALUE"""),1619.4296)</f>
        <v>1619.4296</v>
      </c>
      <c r="BT702" s="71">
        <f>IFERROR(__xludf.DUMMYFUNCTION("""COMPUTED_VALUE"""),1345.6000000000001)</f>
        <v>1345.6</v>
      </c>
      <c r="BU702" s="71">
        <f>IFERROR(__xludf.DUMMYFUNCTION("""COMPUTED_VALUE"""),215.29600000000002)</f>
        <v>215.296</v>
      </c>
      <c r="BV702" s="71">
        <f>IFERROR(__xludf.DUMMYFUNCTION("""COMPUTED_VALUE"""),1560.8960000000002)</f>
        <v>1560.896</v>
      </c>
    </row>
    <row r="703">
      <c r="A703" s="53"/>
      <c r="B703" s="53">
        <v>3.0</v>
      </c>
      <c r="C703" s="53" t="s">
        <v>36</v>
      </c>
      <c r="D703" s="121" t="s">
        <v>1680</v>
      </c>
      <c r="E703" s="54" t="s">
        <v>38</v>
      </c>
      <c r="F703" s="55" t="s">
        <v>61</v>
      </c>
      <c r="G703" s="101" t="s">
        <v>1681</v>
      </c>
      <c r="H703" s="55"/>
      <c r="I703" s="54">
        <f t="shared" si="24"/>
        <v>0</v>
      </c>
      <c r="J703" s="56"/>
      <c r="K703" s="57"/>
      <c r="L703" s="76"/>
      <c r="M703" s="59"/>
      <c r="N703" s="60"/>
      <c r="O703" s="61">
        <v>61648.0</v>
      </c>
      <c r="P703" s="62">
        <v>66579.84000000001</v>
      </c>
      <c r="Q703" s="63">
        <v>66579.84000000001</v>
      </c>
      <c r="R703" s="64">
        <v>73405.0</v>
      </c>
      <c r="S703" s="107">
        <v>77075.0</v>
      </c>
      <c r="T703" s="65">
        <f t="shared" si="2"/>
        <v>12332</v>
      </c>
      <c r="U703" s="65">
        <f t="shared" si="3"/>
        <v>89407</v>
      </c>
      <c r="V703" s="66">
        <f t="shared" si="4"/>
        <v>0.04999659424</v>
      </c>
      <c r="W703" s="67">
        <f t="shared" si="5"/>
        <v>73221.25</v>
      </c>
      <c r="X703" s="67">
        <f t="shared" si="6"/>
        <v>11715.4</v>
      </c>
      <c r="Y703" s="67">
        <f t="shared" si="7"/>
        <v>84936.65</v>
      </c>
      <c r="Z703" s="67">
        <f t="shared" si="8"/>
        <v>69367.5</v>
      </c>
      <c r="AA703" s="67">
        <f t="shared" si="9"/>
        <v>11098.8</v>
      </c>
      <c r="AB703" s="67">
        <f t="shared" si="10"/>
        <v>80466.3</v>
      </c>
      <c r="AC703" s="67">
        <f t="shared" si="11"/>
        <v>69367.5</v>
      </c>
      <c r="AD703" s="67">
        <f t="shared" si="12"/>
        <v>11098.8</v>
      </c>
      <c r="AE703" s="67">
        <f t="shared" si="13"/>
        <v>80466.3</v>
      </c>
      <c r="AF703" s="67">
        <f t="shared" si="33"/>
        <v>69367.5</v>
      </c>
      <c r="AG703" s="67">
        <f t="shared" si="15"/>
        <v>11098.8</v>
      </c>
      <c r="AH703" s="67">
        <f t="shared" si="16"/>
        <v>80466.3</v>
      </c>
      <c r="AI703" s="67">
        <f t="shared" si="17"/>
        <v>69367.5</v>
      </c>
      <c r="AJ703" s="68">
        <f t="shared" si="31"/>
        <v>11098.8</v>
      </c>
      <c r="AK703" s="68">
        <f t="shared" si="32"/>
        <v>80466.3</v>
      </c>
      <c r="AL703" s="70">
        <f>IFERROR(__xludf.DUMMYFUNCTION("""COMPUTED_VALUE"""),1.0)</f>
        <v>1</v>
      </c>
      <c r="AM703" s="70"/>
      <c r="AN703" s="71" t="str">
        <f>IFERROR(__xludf.DUMMYFUNCTION("""COMPUTED_VALUE""")," C")</f>
        <v>C</v>
      </c>
      <c r="AO703" s="71" t="str">
        <f>IFERROR(__xludf.DUMMYFUNCTION("""COMPUTED_VALUE""")," JG125")</f>
        <v>JG125</v>
      </c>
      <c r="AP703" s="71" t="str">
        <f>IFERROR(__xludf.DUMMYFUNCTION("""COMPUTED_VALUE""")," PZA")</f>
        <v>PZA</v>
      </c>
      <c r="AQ703" s="71" t="str">
        <f>IFERROR(__xludf.DUMMYFUNCTION("""COMPUTED_VALUE""")," REF")</f>
        <v>REF</v>
      </c>
      <c r="AR703" s="71" t="str">
        <f>IFERROR(__xludf.DUMMYFUNCTION("""COMPUTED_VALUE""")," JUEGO DE PIEDRAS DE 10"" TOLUCA INT 2 1/2""")</f>
        <v>JUEGO DE PIEDRAS DE 10" TOLUCA INT 2 1/2"</v>
      </c>
      <c r="AS703" s="71" t="str">
        <f>IFERROR(__xludf.DUMMYFUNCTION("""COMPUTED_VALUE""")," JUEGO PIEDRAS 10 TOLUCA INT 2 1/2")</f>
        <v>JUEGO PIEDRAS 10 TOLUCA INT 2 1/2</v>
      </c>
      <c r="AT703" s="71">
        <f>IFERROR(__xludf.DUMMYFUNCTION("""COMPUTED_VALUE"""),33.0)</f>
        <v>33</v>
      </c>
      <c r="AU703" s="71"/>
      <c r="AV703" s="71"/>
      <c r="AW703" s="71"/>
      <c r="AX703" s="71"/>
      <c r="AY703" s="71">
        <f>IFERROR(__xludf.DUMMYFUNCTION("""COMPUTED_VALUE"""),780.0)</f>
        <v>780</v>
      </c>
      <c r="AZ703" s="71">
        <f>IFERROR(__xludf.DUMMYFUNCTION("""COMPUTED_VALUE"""),738.0)</f>
        <v>738</v>
      </c>
      <c r="BA703" s="71">
        <f>IFERROR(__xludf.DUMMYFUNCTION("""COMPUTED_VALUE"""),797.0400000000001)</f>
        <v>797.04</v>
      </c>
      <c r="BB703" s="71">
        <f>IFERROR(__xludf.DUMMYFUNCTION("""COMPUTED_VALUE"""),797.0400000000001)</f>
        <v>797.04</v>
      </c>
      <c r="BC703" s="71">
        <f>IFERROR(__xludf.DUMMYFUNCTION("""COMPUTED_VALUE"""),837.0)</f>
        <v>837</v>
      </c>
      <c r="BD703" s="71">
        <f>IFERROR(__xludf.DUMMYFUNCTION("""COMPUTED_VALUE"""),879.0)</f>
        <v>879</v>
      </c>
      <c r="BE703" s="71">
        <f>IFERROR(__xludf.DUMMYFUNCTION("""COMPUTED_VALUE"""),140.64000000000001)</f>
        <v>140.64</v>
      </c>
      <c r="BF703" s="71">
        <f>IFERROR(__xludf.DUMMYFUNCTION("""COMPUTED_VALUE"""),1019.64)</f>
        <v>1019.64</v>
      </c>
      <c r="BG703" s="71">
        <f>IFERROR(__xludf.DUMMYFUNCTION("""COMPUTED_VALUE"""),0.05017921146953405)</f>
        <v>0.05017921147</v>
      </c>
      <c r="BH703" s="71">
        <f>IFERROR(__xludf.DUMMYFUNCTION("""COMPUTED_VALUE"""),835.05)</f>
        <v>835.05</v>
      </c>
      <c r="BI703" s="71">
        <f>IFERROR(__xludf.DUMMYFUNCTION("""COMPUTED_VALUE"""),133.608)</f>
        <v>133.608</v>
      </c>
      <c r="BJ703" s="71">
        <f>IFERROR(__xludf.DUMMYFUNCTION("""COMPUTED_VALUE"""),968.6579999999999)</f>
        <v>968.658</v>
      </c>
      <c r="BK703" s="71">
        <f>IFERROR(__xludf.DUMMYFUNCTION("""COMPUTED_VALUE"""),791.1)</f>
        <v>791.1</v>
      </c>
      <c r="BL703" s="71">
        <f>IFERROR(__xludf.DUMMYFUNCTION("""COMPUTED_VALUE"""),126.57600000000001)</f>
        <v>126.576</v>
      </c>
      <c r="BM703" s="71">
        <f>IFERROR(__xludf.DUMMYFUNCTION("""COMPUTED_VALUE"""),917.676)</f>
        <v>917.676</v>
      </c>
      <c r="BN703" s="71">
        <f>IFERROR(__xludf.DUMMYFUNCTION("""COMPUTED_VALUE"""),747.15)</f>
        <v>747.15</v>
      </c>
      <c r="BO703" s="71">
        <f>IFERROR(__xludf.DUMMYFUNCTION("""COMPUTED_VALUE"""),119.544)</f>
        <v>119.544</v>
      </c>
      <c r="BP703" s="71">
        <f>IFERROR(__xludf.DUMMYFUNCTION("""COMPUTED_VALUE"""),866.694)</f>
        <v>866.694</v>
      </c>
      <c r="BQ703" s="71">
        <f>IFERROR(__xludf.DUMMYFUNCTION("""COMPUTED_VALUE"""),729.5699999999999)</f>
        <v>729.57</v>
      </c>
      <c r="BR703" s="71">
        <f>IFERROR(__xludf.DUMMYFUNCTION("""COMPUTED_VALUE"""),116.73119999999999)</f>
        <v>116.7312</v>
      </c>
      <c r="BS703" s="71">
        <f>IFERROR(__xludf.DUMMYFUNCTION("""COMPUTED_VALUE"""),846.3011999999999)</f>
        <v>846.3012</v>
      </c>
      <c r="BT703" s="71">
        <f>IFERROR(__xludf.DUMMYFUNCTION("""COMPUTED_VALUE"""),703.2)</f>
        <v>703.2</v>
      </c>
      <c r="BU703" s="71">
        <f>IFERROR(__xludf.DUMMYFUNCTION("""COMPUTED_VALUE"""),112.51200000000001)</f>
        <v>112.512</v>
      </c>
      <c r="BV703" s="71">
        <f>IFERROR(__xludf.DUMMYFUNCTION("""COMPUTED_VALUE"""),815.7120000000001)</f>
        <v>815.712</v>
      </c>
    </row>
    <row r="704">
      <c r="A704" s="53"/>
      <c r="B704" s="53">
        <v>3.0</v>
      </c>
      <c r="C704" s="53" t="s">
        <v>36</v>
      </c>
      <c r="D704" s="98" t="s">
        <v>1682</v>
      </c>
      <c r="E704" s="54" t="s">
        <v>38</v>
      </c>
      <c r="F704" s="55" t="s">
        <v>187</v>
      </c>
      <c r="G704" s="117" t="s">
        <v>1683</v>
      </c>
      <c r="H704" s="55"/>
      <c r="I704" s="54">
        <f t="shared" si="24"/>
        <v>0</v>
      </c>
      <c r="J704" s="56"/>
      <c r="K704" s="57"/>
      <c r="L704" s="76"/>
      <c r="M704" s="59"/>
      <c r="N704" s="60"/>
      <c r="O704" s="61">
        <v>83947.0</v>
      </c>
      <c r="P704" s="62">
        <v>90662.76000000001</v>
      </c>
      <c r="Q704" s="63">
        <v>90662.76000000001</v>
      </c>
      <c r="R704" s="64">
        <v>99956.0</v>
      </c>
      <c r="S704" s="107">
        <v>104954.0</v>
      </c>
      <c r="T704" s="65">
        <f t="shared" si="2"/>
        <v>16792.64</v>
      </c>
      <c r="U704" s="65">
        <f t="shared" si="3"/>
        <v>121746.64</v>
      </c>
      <c r="V704" s="66">
        <f t="shared" si="4"/>
        <v>0.05000200088</v>
      </c>
      <c r="W704" s="67">
        <f t="shared" si="5"/>
        <v>99706.3</v>
      </c>
      <c r="X704" s="67">
        <f t="shared" si="6"/>
        <v>15953.008</v>
      </c>
      <c r="Y704" s="67">
        <f t="shared" si="7"/>
        <v>115659.308</v>
      </c>
      <c r="Z704" s="67">
        <f t="shared" si="8"/>
        <v>94458.6</v>
      </c>
      <c r="AA704" s="67">
        <f t="shared" si="9"/>
        <v>15113.376</v>
      </c>
      <c r="AB704" s="67">
        <f t="shared" si="10"/>
        <v>109571.976</v>
      </c>
      <c r="AC704" s="67">
        <f t="shared" si="11"/>
        <v>94458.6</v>
      </c>
      <c r="AD704" s="67">
        <f t="shared" si="12"/>
        <v>15113.376</v>
      </c>
      <c r="AE704" s="67">
        <f t="shared" si="13"/>
        <v>109571.976</v>
      </c>
      <c r="AF704" s="67">
        <f t="shared" si="33"/>
        <v>94458.6</v>
      </c>
      <c r="AG704" s="67">
        <f t="shared" si="15"/>
        <v>15113.376</v>
      </c>
      <c r="AH704" s="67">
        <f t="shared" si="16"/>
        <v>109571.976</v>
      </c>
      <c r="AI704" s="67">
        <f t="shared" si="17"/>
        <v>94458.6</v>
      </c>
      <c r="AJ704" s="68">
        <f t="shared" si="31"/>
        <v>15113.376</v>
      </c>
      <c r="AK704" s="68">
        <f t="shared" si="32"/>
        <v>109571.976</v>
      </c>
      <c r="AL704" s="70">
        <f>IFERROR(__xludf.DUMMYFUNCTION("""COMPUTED_VALUE"""),1.0)</f>
        <v>1</v>
      </c>
      <c r="AM704" s="70"/>
      <c r="AN704" s="71" t="str">
        <f>IFERROR(__xludf.DUMMYFUNCTION("""COMPUTED_VALUE""")," C")</f>
        <v>C</v>
      </c>
      <c r="AO704" s="71" t="str">
        <f>IFERROR(__xludf.DUMMYFUNCTION("""COMPUTED_VALUE""")," JG126")</f>
        <v>JG126</v>
      </c>
      <c r="AP704" s="71" t="str">
        <f>IFERROR(__xludf.DUMMYFUNCTION("""COMPUTED_VALUE""")," PZA")</f>
        <v>PZA</v>
      </c>
      <c r="AQ704" s="71" t="str">
        <f>IFERROR(__xludf.DUMMYFUNCTION("""COMPUTED_VALUE""")," REF")</f>
        <v>REF</v>
      </c>
      <c r="AR704" s="71" t="str">
        <f>IFERROR(__xludf.DUMMYFUNCTION("""COMPUTED_VALUE""")," JUEGO DE PIEDRAS DE 10"" TOLUCA INT 2 1/4""")</f>
        <v>JUEGO DE PIEDRAS DE 10" TOLUCA INT 2 1/4"</v>
      </c>
      <c r="AS704" s="71" t="str">
        <f>IFERROR(__xludf.DUMMYFUNCTION("""COMPUTED_VALUE""")," JUEGO PIEDRAS 10 TOLUCA INT 2 1/4")</f>
        <v>JUEGO PIEDRAS 10 TOLUCA INT 2 1/4</v>
      </c>
      <c r="AT704" s="71">
        <f>IFERROR(__xludf.DUMMYFUNCTION("""COMPUTED_VALUE"""),33.0)</f>
        <v>33</v>
      </c>
      <c r="AU704" s="71"/>
      <c r="AV704" s="71"/>
      <c r="AW704" s="71"/>
      <c r="AX704" s="71"/>
      <c r="AY704" s="71">
        <f>IFERROR(__xludf.DUMMYFUNCTION("""COMPUTED_VALUE"""),780.0)</f>
        <v>780</v>
      </c>
      <c r="AZ704" s="71">
        <f>IFERROR(__xludf.DUMMYFUNCTION("""COMPUTED_VALUE"""),738.0)</f>
        <v>738</v>
      </c>
      <c r="BA704" s="71">
        <f>IFERROR(__xludf.DUMMYFUNCTION("""COMPUTED_VALUE"""),797.0400000000001)</f>
        <v>797.04</v>
      </c>
      <c r="BB704" s="71">
        <f>IFERROR(__xludf.DUMMYFUNCTION("""COMPUTED_VALUE"""),797.0400000000001)</f>
        <v>797.04</v>
      </c>
      <c r="BC704" s="71">
        <f>IFERROR(__xludf.DUMMYFUNCTION("""COMPUTED_VALUE"""),837.0)</f>
        <v>837</v>
      </c>
      <c r="BD704" s="71">
        <f>IFERROR(__xludf.DUMMYFUNCTION("""COMPUTED_VALUE"""),879.0)</f>
        <v>879</v>
      </c>
      <c r="BE704" s="71">
        <f>IFERROR(__xludf.DUMMYFUNCTION("""COMPUTED_VALUE"""),140.64000000000001)</f>
        <v>140.64</v>
      </c>
      <c r="BF704" s="71">
        <f>IFERROR(__xludf.DUMMYFUNCTION("""COMPUTED_VALUE"""),1019.64)</f>
        <v>1019.64</v>
      </c>
      <c r="BG704" s="71">
        <f>IFERROR(__xludf.DUMMYFUNCTION("""COMPUTED_VALUE"""),0.05017921146953405)</f>
        <v>0.05017921147</v>
      </c>
      <c r="BH704" s="71">
        <f>IFERROR(__xludf.DUMMYFUNCTION("""COMPUTED_VALUE"""),835.05)</f>
        <v>835.05</v>
      </c>
      <c r="BI704" s="71">
        <f>IFERROR(__xludf.DUMMYFUNCTION("""COMPUTED_VALUE"""),133.608)</f>
        <v>133.608</v>
      </c>
      <c r="BJ704" s="71">
        <f>IFERROR(__xludf.DUMMYFUNCTION("""COMPUTED_VALUE"""),968.6579999999999)</f>
        <v>968.658</v>
      </c>
      <c r="BK704" s="71">
        <f>IFERROR(__xludf.DUMMYFUNCTION("""COMPUTED_VALUE"""),791.1)</f>
        <v>791.1</v>
      </c>
      <c r="BL704" s="71">
        <f>IFERROR(__xludf.DUMMYFUNCTION("""COMPUTED_VALUE"""),126.57600000000001)</f>
        <v>126.576</v>
      </c>
      <c r="BM704" s="71">
        <f>IFERROR(__xludf.DUMMYFUNCTION("""COMPUTED_VALUE"""),917.676)</f>
        <v>917.676</v>
      </c>
      <c r="BN704" s="71">
        <f>IFERROR(__xludf.DUMMYFUNCTION("""COMPUTED_VALUE"""),747.15)</f>
        <v>747.15</v>
      </c>
      <c r="BO704" s="71">
        <f>IFERROR(__xludf.DUMMYFUNCTION("""COMPUTED_VALUE"""),119.544)</f>
        <v>119.544</v>
      </c>
      <c r="BP704" s="71">
        <f>IFERROR(__xludf.DUMMYFUNCTION("""COMPUTED_VALUE"""),866.694)</f>
        <v>866.694</v>
      </c>
      <c r="BQ704" s="71">
        <f>IFERROR(__xludf.DUMMYFUNCTION("""COMPUTED_VALUE"""),729.5699999999999)</f>
        <v>729.57</v>
      </c>
      <c r="BR704" s="71">
        <f>IFERROR(__xludf.DUMMYFUNCTION("""COMPUTED_VALUE"""),116.73119999999999)</f>
        <v>116.7312</v>
      </c>
      <c r="BS704" s="71">
        <f>IFERROR(__xludf.DUMMYFUNCTION("""COMPUTED_VALUE"""),846.3011999999999)</f>
        <v>846.3012</v>
      </c>
      <c r="BT704" s="71">
        <f>IFERROR(__xludf.DUMMYFUNCTION("""COMPUTED_VALUE"""),703.2)</f>
        <v>703.2</v>
      </c>
      <c r="BU704" s="71">
        <f>IFERROR(__xludf.DUMMYFUNCTION("""COMPUTED_VALUE"""),112.51200000000001)</f>
        <v>112.512</v>
      </c>
      <c r="BV704" s="71">
        <f>IFERROR(__xludf.DUMMYFUNCTION("""COMPUTED_VALUE"""),815.7120000000001)</f>
        <v>815.712</v>
      </c>
    </row>
    <row r="705">
      <c r="A705" s="53"/>
      <c r="B705" s="53">
        <v>3.0</v>
      </c>
      <c r="C705" s="53" t="s">
        <v>36</v>
      </c>
      <c r="D705" s="98" t="s">
        <v>1684</v>
      </c>
      <c r="E705" s="54" t="s">
        <v>38</v>
      </c>
      <c r="F705" s="55" t="s">
        <v>187</v>
      </c>
      <c r="G705" s="117" t="s">
        <v>1685</v>
      </c>
      <c r="H705" s="55"/>
      <c r="I705" s="54">
        <f t="shared" si="24"/>
        <v>0</v>
      </c>
      <c r="J705" s="56"/>
      <c r="K705" s="57"/>
      <c r="L705" s="76"/>
      <c r="M705" s="59"/>
      <c r="N705" s="60"/>
      <c r="O705" s="61">
        <v>50859.0</v>
      </c>
      <c r="P705" s="62">
        <v>54927.72</v>
      </c>
      <c r="Q705" s="63">
        <v>54927.72</v>
      </c>
      <c r="R705" s="64">
        <v>60558.0</v>
      </c>
      <c r="S705" s="107">
        <v>63586.0</v>
      </c>
      <c r="T705" s="65">
        <f t="shared" si="2"/>
        <v>10173.76</v>
      </c>
      <c r="U705" s="65">
        <f t="shared" si="3"/>
        <v>73759.76</v>
      </c>
      <c r="V705" s="66">
        <f t="shared" si="4"/>
        <v>0.05000165131</v>
      </c>
      <c r="W705" s="67">
        <f t="shared" si="5"/>
        <v>60406.7</v>
      </c>
      <c r="X705" s="67">
        <f t="shared" si="6"/>
        <v>9665.072</v>
      </c>
      <c r="Y705" s="67">
        <f t="shared" si="7"/>
        <v>70071.772</v>
      </c>
      <c r="Z705" s="67">
        <f t="shared" si="8"/>
        <v>57227.4</v>
      </c>
      <c r="AA705" s="67">
        <f t="shared" si="9"/>
        <v>9156.384</v>
      </c>
      <c r="AB705" s="67">
        <f t="shared" si="10"/>
        <v>66383.784</v>
      </c>
      <c r="AC705" s="67">
        <f t="shared" si="11"/>
        <v>57227.4</v>
      </c>
      <c r="AD705" s="67">
        <f t="shared" si="12"/>
        <v>9156.384</v>
      </c>
      <c r="AE705" s="67">
        <f t="shared" si="13"/>
        <v>66383.784</v>
      </c>
      <c r="AF705" s="67">
        <f t="shared" si="33"/>
        <v>57227.4</v>
      </c>
      <c r="AG705" s="67">
        <f t="shared" si="15"/>
        <v>9156.384</v>
      </c>
      <c r="AH705" s="67">
        <f t="shared" si="16"/>
        <v>66383.784</v>
      </c>
      <c r="AI705" s="67">
        <f t="shared" si="17"/>
        <v>57227.4</v>
      </c>
      <c r="AJ705" s="68">
        <f t="shared" si="31"/>
        <v>9156.384</v>
      </c>
      <c r="AK705" s="68">
        <f t="shared" si="32"/>
        <v>66383.784</v>
      </c>
      <c r="AL705" s="70">
        <f>IFERROR(__xludf.DUMMYFUNCTION("""COMPUTED_VALUE"""),1.0)</f>
        <v>1</v>
      </c>
      <c r="AM705" s="70"/>
      <c r="AN705" s="71" t="str">
        <f>IFERROR(__xludf.DUMMYFUNCTION("""COMPUTED_VALUE""")," C")</f>
        <v>C</v>
      </c>
      <c r="AO705" s="71" t="str">
        <f>IFERROR(__xludf.DUMMYFUNCTION("""COMPUTED_VALUE""")," JG124")</f>
        <v>JG124</v>
      </c>
      <c r="AP705" s="71" t="str">
        <f>IFERROR(__xludf.DUMMYFUNCTION("""COMPUTED_VALUE""")," PZA")</f>
        <v>PZA</v>
      </c>
      <c r="AQ705" s="71" t="str">
        <f>IFERROR(__xludf.DUMMYFUNCTION("""COMPUTED_VALUE""")," REF")</f>
        <v>REF</v>
      </c>
      <c r="AR705" s="71" t="str">
        <f>IFERROR(__xludf.DUMMYFUNCTION("""COMPUTED_VALUE""")," JUEGO DE PIEDRAS DE 10"" TOLUCA INT 3 1/2""")</f>
        <v>JUEGO DE PIEDRAS DE 10" TOLUCA INT 3 1/2"</v>
      </c>
      <c r="AS705" s="71" t="str">
        <f>IFERROR(__xludf.DUMMYFUNCTION("""COMPUTED_VALUE""")," JUEGO PIEDRAS 10 TOLUCA INT 3 1/2")</f>
        <v>JUEGO PIEDRAS 10 TOLUCA INT 3 1/2</v>
      </c>
      <c r="AT705" s="71">
        <f>IFERROR(__xludf.DUMMYFUNCTION("""COMPUTED_VALUE"""),33.0)</f>
        <v>33</v>
      </c>
      <c r="AU705" s="71"/>
      <c r="AV705" s="71"/>
      <c r="AW705" s="71"/>
      <c r="AX705" s="71"/>
      <c r="AY705" s="71">
        <f>IFERROR(__xludf.DUMMYFUNCTION("""COMPUTED_VALUE"""),780.0)</f>
        <v>780</v>
      </c>
      <c r="AZ705" s="71">
        <f>IFERROR(__xludf.DUMMYFUNCTION("""COMPUTED_VALUE"""),738.0)</f>
        <v>738</v>
      </c>
      <c r="BA705" s="71">
        <f>IFERROR(__xludf.DUMMYFUNCTION("""COMPUTED_VALUE"""),797.0400000000001)</f>
        <v>797.04</v>
      </c>
      <c r="BB705" s="71">
        <f>IFERROR(__xludf.DUMMYFUNCTION("""COMPUTED_VALUE"""),797.0400000000001)</f>
        <v>797.04</v>
      </c>
      <c r="BC705" s="71">
        <f>IFERROR(__xludf.DUMMYFUNCTION("""COMPUTED_VALUE"""),888.0)</f>
        <v>888</v>
      </c>
      <c r="BD705" s="71">
        <f>IFERROR(__xludf.DUMMYFUNCTION("""COMPUTED_VALUE"""),932.0)</f>
        <v>932</v>
      </c>
      <c r="BE705" s="71">
        <f>IFERROR(__xludf.DUMMYFUNCTION("""COMPUTED_VALUE"""),149.12)</f>
        <v>149.12</v>
      </c>
      <c r="BF705" s="71">
        <f>IFERROR(__xludf.DUMMYFUNCTION("""COMPUTED_VALUE"""),1081.12)</f>
        <v>1081.12</v>
      </c>
      <c r="BG705" s="71">
        <f>IFERROR(__xludf.DUMMYFUNCTION("""COMPUTED_VALUE"""),0.04954954954954955)</f>
        <v>0.04954954955</v>
      </c>
      <c r="BH705" s="71">
        <f>IFERROR(__xludf.DUMMYFUNCTION("""COMPUTED_VALUE"""),885.4)</f>
        <v>885.4</v>
      </c>
      <c r="BI705" s="71">
        <f>IFERROR(__xludf.DUMMYFUNCTION("""COMPUTED_VALUE"""),141.664)</f>
        <v>141.664</v>
      </c>
      <c r="BJ705" s="71">
        <f>IFERROR(__xludf.DUMMYFUNCTION("""COMPUTED_VALUE"""),1027.0639999999999)</f>
        <v>1027.064</v>
      </c>
      <c r="BK705" s="71">
        <f>IFERROR(__xludf.DUMMYFUNCTION("""COMPUTED_VALUE"""),838.8000000000001)</f>
        <v>838.8</v>
      </c>
      <c r="BL705" s="71">
        <f>IFERROR(__xludf.DUMMYFUNCTION("""COMPUTED_VALUE"""),134.20800000000003)</f>
        <v>134.208</v>
      </c>
      <c r="BM705" s="71">
        <f>IFERROR(__xludf.DUMMYFUNCTION("""COMPUTED_VALUE"""),973.008)</f>
        <v>973.008</v>
      </c>
      <c r="BN705" s="71">
        <f>IFERROR(__xludf.DUMMYFUNCTION("""COMPUTED_VALUE"""),792.1999999999999)</f>
        <v>792.2</v>
      </c>
      <c r="BO705" s="71">
        <f>IFERROR(__xludf.DUMMYFUNCTION("""COMPUTED_VALUE"""),126.752)</f>
        <v>126.752</v>
      </c>
      <c r="BP705" s="71">
        <f>IFERROR(__xludf.DUMMYFUNCTION("""COMPUTED_VALUE"""),918.9519999999999)</f>
        <v>918.952</v>
      </c>
      <c r="BQ705" s="71">
        <f>IFERROR(__xludf.DUMMYFUNCTION("""COMPUTED_VALUE"""),773.56)</f>
        <v>773.56</v>
      </c>
      <c r="BR705" s="71">
        <f>IFERROR(__xludf.DUMMYFUNCTION("""COMPUTED_VALUE"""),123.7696)</f>
        <v>123.7696</v>
      </c>
      <c r="BS705" s="71">
        <f>IFERROR(__xludf.DUMMYFUNCTION("""COMPUTED_VALUE"""),897.3295999999999)</f>
        <v>897.3296</v>
      </c>
      <c r="BT705" s="71">
        <f>IFERROR(__xludf.DUMMYFUNCTION("""COMPUTED_VALUE"""),745.6)</f>
        <v>745.6</v>
      </c>
      <c r="BU705" s="71">
        <f>IFERROR(__xludf.DUMMYFUNCTION("""COMPUTED_VALUE"""),119.296)</f>
        <v>119.296</v>
      </c>
      <c r="BV705" s="71">
        <f>IFERROR(__xludf.DUMMYFUNCTION("""COMPUTED_VALUE"""),864.8960000000001)</f>
        <v>864.896</v>
      </c>
    </row>
    <row r="706">
      <c r="A706" s="53"/>
      <c r="B706" s="53"/>
      <c r="C706" s="53"/>
      <c r="D706" s="53" t="s">
        <v>1686</v>
      </c>
      <c r="E706" s="55" t="s">
        <v>38</v>
      </c>
      <c r="F706" s="89"/>
      <c r="G706" s="84" t="s">
        <v>1687</v>
      </c>
      <c r="H706" s="55"/>
      <c r="I706" s="54">
        <f t="shared" si="24"/>
        <v>0</v>
      </c>
      <c r="J706" s="56"/>
      <c r="K706" s="57"/>
      <c r="L706" s="55"/>
      <c r="M706" s="59"/>
      <c r="N706" s="60"/>
      <c r="O706" s="90"/>
      <c r="P706" s="62">
        <v>19980.0</v>
      </c>
      <c r="Q706" s="63">
        <v>19980.0</v>
      </c>
      <c r="R706" s="64">
        <v>22028.0</v>
      </c>
      <c r="S706" s="111">
        <v>23129.0</v>
      </c>
      <c r="T706" s="65">
        <f t="shared" si="2"/>
        <v>3700.64</v>
      </c>
      <c r="U706" s="65">
        <f t="shared" si="3"/>
        <v>26829.64</v>
      </c>
      <c r="V706" s="66">
        <f t="shared" si="4"/>
        <v>0.04998184129</v>
      </c>
      <c r="W706" s="67">
        <f t="shared" si="5"/>
        <v>21972.55</v>
      </c>
      <c r="X706" s="67">
        <f t="shared" si="6"/>
        <v>3515.608</v>
      </c>
      <c r="Y706" s="67">
        <f t="shared" si="7"/>
        <v>25488.158</v>
      </c>
      <c r="Z706" s="67">
        <f t="shared" si="8"/>
        <v>20816.1</v>
      </c>
      <c r="AA706" s="67">
        <f t="shared" si="9"/>
        <v>3330.576</v>
      </c>
      <c r="AB706" s="67">
        <f t="shared" si="10"/>
        <v>24146.676</v>
      </c>
      <c r="AC706" s="67">
        <f t="shared" si="11"/>
        <v>19659.65</v>
      </c>
      <c r="AD706" s="67">
        <f t="shared" si="12"/>
        <v>3145.544</v>
      </c>
      <c r="AE706" s="67">
        <f t="shared" si="13"/>
        <v>22805.194</v>
      </c>
      <c r="AF706" s="67">
        <f t="shared" si="33"/>
        <v>19197.07</v>
      </c>
      <c r="AG706" s="67">
        <f t="shared" si="15"/>
        <v>3071.5312</v>
      </c>
      <c r="AH706" s="67">
        <f t="shared" si="16"/>
        <v>22268.6012</v>
      </c>
      <c r="AI706" s="67">
        <f t="shared" si="17"/>
        <v>18503.2</v>
      </c>
      <c r="AJ706" s="68">
        <f t="shared" si="31"/>
        <v>2960.512</v>
      </c>
      <c r="AK706" s="68">
        <f t="shared" si="32"/>
        <v>21463.712</v>
      </c>
      <c r="AL706" s="70">
        <f>IFERROR(__xludf.DUMMYFUNCTION("""COMPUTED_VALUE"""),1.0)</f>
        <v>1</v>
      </c>
      <c r="AM706" s="70"/>
      <c r="AN706" s="71" t="str">
        <f>IFERROR(__xludf.DUMMYFUNCTION("""COMPUTED_VALUE""")," C")</f>
        <v>C</v>
      </c>
      <c r="AO706" s="71" t="str">
        <f>IFERROR(__xludf.DUMMYFUNCTION("""COMPUTED_VALUE""")," JG128")</f>
        <v>JG128</v>
      </c>
      <c r="AP706" s="71" t="str">
        <f>IFERROR(__xludf.DUMMYFUNCTION("""COMPUTED_VALUE""")," PZA")</f>
        <v>PZA</v>
      </c>
      <c r="AQ706" s="71" t="str">
        <f>IFERROR(__xludf.DUMMYFUNCTION("""COMPUTED_VALUE""")," REF")</f>
        <v>REF</v>
      </c>
      <c r="AR706" s="71" t="str">
        <f>IFERROR(__xludf.DUMMYFUNCTION("""COMPUTED_VALUE""")," JUEGO DE PIEDRAS DE 11"" LISA INT 2""")</f>
        <v>JUEGO DE PIEDRAS DE 11" LISA INT 2"</v>
      </c>
      <c r="AS706" s="71" t="str">
        <f>IFERROR(__xludf.DUMMYFUNCTION("""COMPUTED_VALUE""")," PIEDRAS 11 INT 2 PILOTO")</f>
        <v>PIEDRAS 11 INT 2 PILOTO</v>
      </c>
      <c r="AT706" s="71">
        <f>IFERROR(__xludf.DUMMYFUNCTION("""COMPUTED_VALUE"""),23.0)</f>
        <v>23</v>
      </c>
      <c r="AU706" s="71"/>
      <c r="AV706" s="71"/>
      <c r="AW706" s="71"/>
      <c r="AX706" s="71"/>
      <c r="AY706" s="71">
        <f>IFERROR(__xludf.DUMMYFUNCTION("""COMPUTED_VALUE"""),888.0)</f>
        <v>888</v>
      </c>
      <c r="AZ706" s="71">
        <f>IFERROR(__xludf.DUMMYFUNCTION("""COMPUTED_VALUE"""),959.0)</f>
        <v>959</v>
      </c>
      <c r="BA706" s="71">
        <f>IFERROR(__xludf.DUMMYFUNCTION("""COMPUTED_VALUE"""),1035.72)</f>
        <v>1035.72</v>
      </c>
      <c r="BB706" s="71">
        <f>IFERROR(__xludf.DUMMYFUNCTION("""COMPUTED_VALUE"""),1035.72)</f>
        <v>1035.72</v>
      </c>
      <c r="BC706" s="71">
        <f>IFERROR(__xludf.DUMMYFUNCTION("""COMPUTED_VALUE"""),1153.0)</f>
        <v>1153</v>
      </c>
      <c r="BD706" s="71">
        <f>IFERROR(__xludf.DUMMYFUNCTION("""COMPUTED_VALUE"""),1211.0)</f>
        <v>1211</v>
      </c>
      <c r="BE706" s="71">
        <f>IFERROR(__xludf.DUMMYFUNCTION("""COMPUTED_VALUE"""),193.76)</f>
        <v>193.76</v>
      </c>
      <c r="BF706" s="71">
        <f>IFERROR(__xludf.DUMMYFUNCTION("""COMPUTED_VALUE"""),1404.76)</f>
        <v>1404.76</v>
      </c>
      <c r="BG706" s="71">
        <f>IFERROR(__xludf.DUMMYFUNCTION("""COMPUTED_VALUE"""),0.05030355594102342)</f>
        <v>0.05030355594</v>
      </c>
      <c r="BH706" s="71">
        <f>IFERROR(__xludf.DUMMYFUNCTION("""COMPUTED_VALUE"""),1150.45)</f>
        <v>1150.45</v>
      </c>
      <c r="BI706" s="71">
        <f>IFERROR(__xludf.DUMMYFUNCTION("""COMPUTED_VALUE"""),184.072)</f>
        <v>184.072</v>
      </c>
      <c r="BJ706" s="71">
        <f>IFERROR(__xludf.DUMMYFUNCTION("""COMPUTED_VALUE"""),1334.522)</f>
        <v>1334.522</v>
      </c>
      <c r="BK706" s="71">
        <f>IFERROR(__xludf.DUMMYFUNCTION("""COMPUTED_VALUE"""),1089.9)</f>
        <v>1089.9</v>
      </c>
      <c r="BL706" s="71">
        <f>IFERROR(__xludf.DUMMYFUNCTION("""COMPUTED_VALUE"""),174.38400000000001)</f>
        <v>174.384</v>
      </c>
      <c r="BM706" s="71">
        <f>IFERROR(__xludf.DUMMYFUNCTION("""COMPUTED_VALUE"""),1264.284)</f>
        <v>1264.284</v>
      </c>
      <c r="BN706" s="71">
        <f>IFERROR(__xludf.DUMMYFUNCTION("""COMPUTED_VALUE"""),1029.35)</f>
        <v>1029.35</v>
      </c>
      <c r="BO706" s="71">
        <f>IFERROR(__xludf.DUMMYFUNCTION("""COMPUTED_VALUE"""),164.696)</f>
        <v>164.696</v>
      </c>
      <c r="BP706" s="71">
        <f>IFERROR(__xludf.DUMMYFUNCTION("""COMPUTED_VALUE"""),1194.0459999999998)</f>
        <v>1194.046</v>
      </c>
      <c r="BQ706" s="71">
        <f>IFERROR(__xludf.DUMMYFUNCTION("""COMPUTED_VALUE"""),1005.13)</f>
        <v>1005.13</v>
      </c>
      <c r="BR706" s="71">
        <f>IFERROR(__xludf.DUMMYFUNCTION("""COMPUTED_VALUE"""),160.8208)</f>
        <v>160.8208</v>
      </c>
      <c r="BS706" s="71">
        <f>IFERROR(__xludf.DUMMYFUNCTION("""COMPUTED_VALUE"""),1165.9508)</f>
        <v>1165.9508</v>
      </c>
      <c r="BT706" s="71">
        <f>IFERROR(__xludf.DUMMYFUNCTION("""COMPUTED_VALUE"""),968.8000000000001)</f>
        <v>968.8</v>
      </c>
      <c r="BU706" s="71">
        <f>IFERROR(__xludf.DUMMYFUNCTION("""COMPUTED_VALUE"""),155.008)</f>
        <v>155.008</v>
      </c>
      <c r="BV706" s="71">
        <f>IFERROR(__xludf.DUMMYFUNCTION("""COMPUTED_VALUE"""),1123.808)</f>
        <v>1123.808</v>
      </c>
    </row>
    <row r="707">
      <c r="A707" s="53"/>
      <c r="B707" s="53">
        <v>3.0</v>
      </c>
      <c r="C707" s="53" t="s">
        <v>36</v>
      </c>
      <c r="D707" s="53" t="s">
        <v>1688</v>
      </c>
      <c r="E707" s="54" t="s">
        <v>38</v>
      </c>
      <c r="F707" s="55" t="s">
        <v>61</v>
      </c>
      <c r="G707" s="84" t="s">
        <v>1689</v>
      </c>
      <c r="H707" s="55"/>
      <c r="I707" s="54">
        <f t="shared" si="24"/>
        <v>0</v>
      </c>
      <c r="J707" s="56"/>
      <c r="K707" s="57"/>
      <c r="L707" s="76"/>
      <c r="M707" s="59"/>
      <c r="N707" s="60"/>
      <c r="O707" s="61">
        <v>32005.0</v>
      </c>
      <c r="P707" s="62">
        <v>34565.4</v>
      </c>
      <c r="Q707" s="63">
        <v>34565.4</v>
      </c>
      <c r="R707" s="64">
        <v>38108.0</v>
      </c>
      <c r="S707" s="107">
        <v>40013.0</v>
      </c>
      <c r="T707" s="65">
        <f t="shared" si="2"/>
        <v>6402.08</v>
      </c>
      <c r="U707" s="65">
        <f t="shared" si="3"/>
        <v>46415.08</v>
      </c>
      <c r="V707" s="66">
        <f t="shared" si="4"/>
        <v>0.04998950352</v>
      </c>
      <c r="W707" s="67">
        <f t="shared" si="5"/>
        <v>38012.35</v>
      </c>
      <c r="X707" s="67">
        <f t="shared" si="6"/>
        <v>6081.976</v>
      </c>
      <c r="Y707" s="67">
        <f t="shared" si="7"/>
        <v>44094.326</v>
      </c>
      <c r="Z707" s="67">
        <f t="shared" si="8"/>
        <v>36011.7</v>
      </c>
      <c r="AA707" s="67">
        <f t="shared" si="9"/>
        <v>5761.872</v>
      </c>
      <c r="AB707" s="67">
        <f t="shared" si="10"/>
        <v>41773.572</v>
      </c>
      <c r="AC707" s="67">
        <f t="shared" si="11"/>
        <v>36011.7</v>
      </c>
      <c r="AD707" s="67">
        <f t="shared" si="12"/>
        <v>5761.872</v>
      </c>
      <c r="AE707" s="67">
        <f t="shared" si="13"/>
        <v>41773.572</v>
      </c>
      <c r="AF707" s="67">
        <f t="shared" si="33"/>
        <v>36011.7</v>
      </c>
      <c r="AG707" s="67">
        <f t="shared" si="15"/>
        <v>5761.872</v>
      </c>
      <c r="AH707" s="67">
        <f t="shared" si="16"/>
        <v>41773.572</v>
      </c>
      <c r="AI707" s="67">
        <f t="shared" si="17"/>
        <v>36011.7</v>
      </c>
      <c r="AJ707" s="68">
        <f t="shared" si="31"/>
        <v>5761.872</v>
      </c>
      <c r="AK707" s="68">
        <f t="shared" si="32"/>
        <v>41773.572</v>
      </c>
      <c r="AL707" s="70">
        <f>IFERROR(__xludf.DUMMYFUNCTION("""COMPUTED_VALUE"""),1.0)</f>
        <v>1</v>
      </c>
      <c r="AM707" s="70"/>
      <c r="AN707" s="71" t="str">
        <f>IFERROR(__xludf.DUMMYFUNCTION("""COMPUTED_VALUE""")," C")</f>
        <v>C</v>
      </c>
      <c r="AO707" s="71" t="str">
        <f>IFERROR(__xludf.DUMMYFUNCTION("""COMPUTED_VALUE""")," JG151")</f>
        <v>JG151</v>
      </c>
      <c r="AP707" s="71" t="str">
        <f>IFERROR(__xludf.DUMMYFUNCTION("""COMPUTED_VALUE""")," PZA")</f>
        <v>PZA</v>
      </c>
      <c r="AQ707" s="71" t="str">
        <f>IFERROR(__xludf.DUMMYFUNCTION("""COMPUTED_VALUE""")," REF")</f>
        <v>REF</v>
      </c>
      <c r="AR707" s="71" t="str">
        <f>IFERROR(__xludf.DUMMYFUNCTION("""COMPUTED_VALUE""")," JUEGO DE PIEDRAS DE 11"" NEVADO INT 2""")</f>
        <v>JUEGO DE PIEDRAS DE 11" NEVADO INT 2"</v>
      </c>
      <c r="AS707" s="71" t="str">
        <f>IFERROR(__xludf.DUMMYFUNCTION("""COMPUTED_VALUE""")," JUEGO PIEDRAS 11 NEVADO INT 2")</f>
        <v>JUEGO PIEDRAS 11 NEVADO INT 2</v>
      </c>
      <c r="AT707" s="71">
        <f>IFERROR(__xludf.DUMMYFUNCTION("""COMPUTED_VALUE"""),29.0)</f>
        <v>29</v>
      </c>
      <c r="AU707" s="71"/>
      <c r="AV707" s="71"/>
      <c r="AW707" s="71"/>
      <c r="AX707" s="71"/>
      <c r="AY707" s="71">
        <f>IFERROR(__xludf.DUMMYFUNCTION("""COMPUTED_VALUE"""),819.0)</f>
        <v>819</v>
      </c>
      <c r="AZ707" s="71">
        <f>IFERROR(__xludf.DUMMYFUNCTION("""COMPUTED_VALUE"""),884.0)</f>
        <v>884</v>
      </c>
      <c r="BA707" s="71">
        <f>IFERROR(__xludf.DUMMYFUNCTION("""COMPUTED_VALUE"""),954.72)</f>
        <v>954.72</v>
      </c>
      <c r="BB707" s="71">
        <f>IFERROR(__xludf.DUMMYFUNCTION("""COMPUTED_VALUE"""),954.72)</f>
        <v>954.72</v>
      </c>
      <c r="BC707" s="71">
        <f>IFERROR(__xludf.DUMMYFUNCTION("""COMPUTED_VALUE"""),1003.0)</f>
        <v>1003</v>
      </c>
      <c r="BD707" s="71">
        <f>IFERROR(__xludf.DUMMYFUNCTION("""COMPUTED_VALUE"""),1053.0)</f>
        <v>1053</v>
      </c>
      <c r="BE707" s="71">
        <f>IFERROR(__xludf.DUMMYFUNCTION("""COMPUTED_VALUE"""),168.48)</f>
        <v>168.48</v>
      </c>
      <c r="BF707" s="71">
        <f>IFERROR(__xludf.DUMMYFUNCTION("""COMPUTED_VALUE"""),1221.48)</f>
        <v>1221.48</v>
      </c>
      <c r="BG707" s="71">
        <f>IFERROR(__xludf.DUMMYFUNCTION("""COMPUTED_VALUE"""),0.049850448654037885)</f>
        <v>0.04985044865</v>
      </c>
      <c r="BH707" s="71">
        <f>IFERROR(__xludf.DUMMYFUNCTION("""COMPUTED_VALUE"""),1000.3499999999999)</f>
        <v>1000.35</v>
      </c>
      <c r="BI707" s="71">
        <f>IFERROR(__xludf.DUMMYFUNCTION("""COMPUTED_VALUE"""),160.05599999999998)</f>
        <v>160.056</v>
      </c>
      <c r="BJ707" s="71">
        <f>IFERROR(__xludf.DUMMYFUNCTION("""COMPUTED_VALUE"""),1160.406)</f>
        <v>1160.406</v>
      </c>
      <c r="BK707" s="71">
        <f>IFERROR(__xludf.DUMMYFUNCTION("""COMPUTED_VALUE"""),947.7)</f>
        <v>947.7</v>
      </c>
      <c r="BL707" s="71">
        <f>IFERROR(__xludf.DUMMYFUNCTION("""COMPUTED_VALUE"""),151.632)</f>
        <v>151.632</v>
      </c>
      <c r="BM707" s="71">
        <f>IFERROR(__xludf.DUMMYFUNCTION("""COMPUTED_VALUE"""),1099.332)</f>
        <v>1099.332</v>
      </c>
      <c r="BN707" s="71">
        <f>IFERROR(__xludf.DUMMYFUNCTION("""COMPUTED_VALUE"""),895.05)</f>
        <v>895.05</v>
      </c>
      <c r="BO707" s="71">
        <f>IFERROR(__xludf.DUMMYFUNCTION("""COMPUTED_VALUE"""),143.208)</f>
        <v>143.208</v>
      </c>
      <c r="BP707" s="71">
        <f>IFERROR(__xludf.DUMMYFUNCTION("""COMPUTED_VALUE"""),1038.258)</f>
        <v>1038.258</v>
      </c>
      <c r="BQ707" s="71">
        <f>IFERROR(__xludf.DUMMYFUNCTION("""COMPUTED_VALUE"""),873.99)</f>
        <v>873.99</v>
      </c>
      <c r="BR707" s="71">
        <f>IFERROR(__xludf.DUMMYFUNCTION("""COMPUTED_VALUE"""),139.8384)</f>
        <v>139.8384</v>
      </c>
      <c r="BS707" s="71">
        <f>IFERROR(__xludf.DUMMYFUNCTION("""COMPUTED_VALUE"""),1013.8284)</f>
        <v>1013.8284</v>
      </c>
      <c r="BT707" s="71">
        <f>IFERROR(__xludf.DUMMYFUNCTION("""COMPUTED_VALUE"""),842.4000000000001)</f>
        <v>842.4</v>
      </c>
      <c r="BU707" s="71">
        <f>IFERROR(__xludf.DUMMYFUNCTION("""COMPUTED_VALUE"""),134.78400000000002)</f>
        <v>134.784</v>
      </c>
      <c r="BV707" s="71">
        <f>IFERROR(__xludf.DUMMYFUNCTION("""COMPUTED_VALUE"""),977.1840000000001)</f>
        <v>977.184</v>
      </c>
    </row>
    <row r="708">
      <c r="A708" s="53"/>
      <c r="B708" s="53">
        <v>3.0</v>
      </c>
      <c r="C708" s="53" t="s">
        <v>36</v>
      </c>
      <c r="D708" s="53" t="s">
        <v>1690</v>
      </c>
      <c r="E708" s="54" t="s">
        <v>38</v>
      </c>
      <c r="F708" s="55" t="s">
        <v>61</v>
      </c>
      <c r="G708" s="84" t="s">
        <v>1691</v>
      </c>
      <c r="H708" s="55"/>
      <c r="I708" s="54">
        <f t="shared" si="24"/>
        <v>0</v>
      </c>
      <c r="J708" s="56"/>
      <c r="K708" s="57"/>
      <c r="L708" s="76"/>
      <c r="M708" s="59"/>
      <c r="N708" s="60"/>
      <c r="O708" s="61">
        <v>23776.0</v>
      </c>
      <c r="P708" s="62">
        <v>25678.08</v>
      </c>
      <c r="Q708" s="63">
        <v>25678.08</v>
      </c>
      <c r="R708" s="64">
        <v>28311.0</v>
      </c>
      <c r="S708" s="107">
        <v>29727.0</v>
      </c>
      <c r="T708" s="65">
        <f t="shared" si="2"/>
        <v>4756.32</v>
      </c>
      <c r="U708" s="65">
        <f t="shared" si="3"/>
        <v>34483.32</v>
      </c>
      <c r="V708" s="66">
        <f t="shared" si="4"/>
        <v>0.05001589488</v>
      </c>
      <c r="W708" s="67">
        <f t="shared" si="5"/>
        <v>28240.65</v>
      </c>
      <c r="X708" s="67">
        <f t="shared" si="6"/>
        <v>4518.504</v>
      </c>
      <c r="Y708" s="67">
        <f t="shared" si="7"/>
        <v>32759.154</v>
      </c>
      <c r="Z708" s="67">
        <f t="shared" si="8"/>
        <v>26754.3</v>
      </c>
      <c r="AA708" s="67">
        <f t="shared" si="9"/>
        <v>4280.688</v>
      </c>
      <c r="AB708" s="67">
        <f t="shared" si="10"/>
        <v>31034.988</v>
      </c>
      <c r="AC708" s="67">
        <f t="shared" si="11"/>
        <v>26754.3</v>
      </c>
      <c r="AD708" s="67">
        <f t="shared" si="12"/>
        <v>4280.688</v>
      </c>
      <c r="AE708" s="67">
        <f t="shared" si="13"/>
        <v>31034.988</v>
      </c>
      <c r="AF708" s="67">
        <f t="shared" si="33"/>
        <v>26754.3</v>
      </c>
      <c r="AG708" s="67">
        <f t="shared" si="15"/>
        <v>4280.688</v>
      </c>
      <c r="AH708" s="67">
        <f t="shared" si="16"/>
        <v>31034.988</v>
      </c>
      <c r="AI708" s="67">
        <f t="shared" si="17"/>
        <v>26754.3</v>
      </c>
      <c r="AJ708" s="68">
        <f t="shared" si="31"/>
        <v>4280.688</v>
      </c>
      <c r="AK708" s="68">
        <f t="shared" si="32"/>
        <v>31034.988</v>
      </c>
      <c r="AL708" s="70">
        <f>IFERROR(__xludf.DUMMYFUNCTION("""COMPUTED_VALUE"""),1.0)</f>
        <v>1</v>
      </c>
      <c r="AM708" s="70"/>
      <c r="AN708" s="71" t="str">
        <f>IFERROR(__xludf.DUMMYFUNCTION("""COMPUTED_VALUE""")," C")</f>
        <v>C</v>
      </c>
      <c r="AO708" s="71" t="str">
        <f>IFERROR(__xludf.DUMMYFUNCTION("""COMPUTED_VALUE""")," JG65")</f>
        <v>JG65</v>
      </c>
      <c r="AP708" s="71" t="str">
        <f>IFERROR(__xludf.DUMMYFUNCTION("""COMPUTED_VALUE""")," JGO")</f>
        <v>JGO</v>
      </c>
      <c r="AQ708" s="71" t="str">
        <f>IFERROR(__xludf.DUMMYFUNCTION("""COMPUTED_VALUE""")," REF")</f>
        <v>REF</v>
      </c>
      <c r="AR708" s="71" t="str">
        <f>IFERROR(__xludf.DUMMYFUNCTION("""COMPUTED_VALUE""")," JUEGO DE PIEDRAS DE 11"" PARA MOLINO TIPO CAMARADA")</f>
        <v>JUEGO DE PIEDRAS DE 11" PARA MOLINO TIPO CAMARADA</v>
      </c>
      <c r="AS708" s="71" t="str">
        <f>IFERROR(__xludf.DUMMYFUNCTION("""COMPUTED_VALUE""")," JUEGO PIEDRAS 11 MOLINO CAMARADA")</f>
        <v>JUEGO PIEDRAS 11 MOLINO CAMARADA</v>
      </c>
      <c r="AT708" s="71">
        <f>IFERROR(__xludf.DUMMYFUNCTION("""COMPUTED_VALUE"""),32.0)</f>
        <v>32</v>
      </c>
      <c r="AU708" s="71"/>
      <c r="AV708" s="71"/>
      <c r="AW708" s="71"/>
      <c r="AX708" s="71"/>
      <c r="AY708" s="71">
        <f>IFERROR(__xludf.DUMMYFUNCTION("""COMPUTED_VALUE"""),1077.0)</f>
        <v>1077</v>
      </c>
      <c r="AZ708" s="71">
        <f>IFERROR(__xludf.DUMMYFUNCTION("""COMPUTED_VALUE"""),1449.0)</f>
        <v>1449</v>
      </c>
      <c r="BA708" s="71">
        <f>IFERROR(__xludf.DUMMYFUNCTION("""COMPUTED_VALUE"""),1564.92)</f>
        <v>1564.92</v>
      </c>
      <c r="BB708" s="71">
        <f>IFERROR(__xludf.DUMMYFUNCTION("""COMPUTED_VALUE"""),1564.92)</f>
        <v>1564.92</v>
      </c>
      <c r="BC708" s="71">
        <f>IFERROR(__xludf.DUMMYFUNCTION("""COMPUTED_VALUE"""),1742.0)</f>
        <v>1742</v>
      </c>
      <c r="BD708" s="71">
        <f>IFERROR(__xludf.DUMMYFUNCTION("""COMPUTED_VALUE"""),1829.0)</f>
        <v>1829</v>
      </c>
      <c r="BE708" s="71">
        <f>IFERROR(__xludf.DUMMYFUNCTION("""COMPUTED_VALUE"""),292.64)</f>
        <v>292.64</v>
      </c>
      <c r="BF708" s="71">
        <f>IFERROR(__xludf.DUMMYFUNCTION("""COMPUTED_VALUE"""),2121.64)</f>
        <v>2121.64</v>
      </c>
      <c r="BG708" s="71">
        <f>IFERROR(__xludf.DUMMYFUNCTION("""COMPUTED_VALUE"""),0.04994259471871412)</f>
        <v>0.04994259472</v>
      </c>
      <c r="BH708" s="71">
        <f>IFERROR(__xludf.DUMMYFUNCTION("""COMPUTED_VALUE"""),1737.55)</f>
        <v>1737.55</v>
      </c>
      <c r="BI708" s="71">
        <f>IFERROR(__xludf.DUMMYFUNCTION("""COMPUTED_VALUE"""),278.008)</f>
        <v>278.008</v>
      </c>
      <c r="BJ708" s="71">
        <f>IFERROR(__xludf.DUMMYFUNCTION("""COMPUTED_VALUE"""),2015.558)</f>
        <v>2015.558</v>
      </c>
      <c r="BK708" s="71">
        <f>IFERROR(__xludf.DUMMYFUNCTION("""COMPUTED_VALUE"""),1646.1000000000001)</f>
        <v>1646.1</v>
      </c>
      <c r="BL708" s="71">
        <f>IFERROR(__xludf.DUMMYFUNCTION("""COMPUTED_VALUE"""),263.37600000000003)</f>
        <v>263.376</v>
      </c>
      <c r="BM708" s="71">
        <f>IFERROR(__xludf.DUMMYFUNCTION("""COMPUTED_VALUE"""),1909.476)</f>
        <v>1909.476</v>
      </c>
      <c r="BN708" s="71">
        <f>IFERROR(__xludf.DUMMYFUNCTION("""COMPUTED_VALUE"""),1554.6499999999999)</f>
        <v>1554.65</v>
      </c>
      <c r="BO708" s="71">
        <f>IFERROR(__xludf.DUMMYFUNCTION("""COMPUTED_VALUE"""),248.74399999999997)</f>
        <v>248.744</v>
      </c>
      <c r="BP708" s="71">
        <f>IFERROR(__xludf.DUMMYFUNCTION("""COMPUTED_VALUE"""),1803.3939999999998)</f>
        <v>1803.394</v>
      </c>
      <c r="BQ708" s="71">
        <f>IFERROR(__xludf.DUMMYFUNCTION("""COMPUTED_VALUE"""),1518.07)</f>
        <v>1518.07</v>
      </c>
      <c r="BR708" s="71">
        <f>IFERROR(__xludf.DUMMYFUNCTION("""COMPUTED_VALUE"""),242.8912)</f>
        <v>242.8912</v>
      </c>
      <c r="BS708" s="71">
        <f>IFERROR(__xludf.DUMMYFUNCTION("""COMPUTED_VALUE"""),1760.9612)</f>
        <v>1760.9612</v>
      </c>
      <c r="BT708" s="71">
        <f>IFERROR(__xludf.DUMMYFUNCTION("""COMPUTED_VALUE"""),1463.2)</f>
        <v>1463.2</v>
      </c>
      <c r="BU708" s="71">
        <f>IFERROR(__xludf.DUMMYFUNCTION("""COMPUTED_VALUE"""),234.11200000000002)</f>
        <v>234.112</v>
      </c>
      <c r="BV708" s="71">
        <f>IFERROR(__xludf.DUMMYFUNCTION("""COMPUTED_VALUE"""),1697.3120000000001)</f>
        <v>1697.312</v>
      </c>
    </row>
    <row r="709">
      <c r="A709" s="53"/>
      <c r="B709" s="53"/>
      <c r="C709" s="53" t="s">
        <v>36</v>
      </c>
      <c r="D709" s="85" t="s">
        <v>1692</v>
      </c>
      <c r="E709" s="54" t="s">
        <v>38</v>
      </c>
      <c r="F709" s="55" t="s">
        <v>39</v>
      </c>
      <c r="G709" s="86" t="s">
        <v>1693</v>
      </c>
      <c r="H709" s="55"/>
      <c r="I709" s="54">
        <f t="shared" si="24"/>
        <v>0</v>
      </c>
      <c r="J709" s="56"/>
      <c r="K709" s="57"/>
      <c r="L709" s="76" t="s">
        <v>661</v>
      </c>
      <c r="M709" s="59"/>
      <c r="N709" s="60"/>
      <c r="O709" s="61">
        <v>117.12</v>
      </c>
      <c r="P709" s="62">
        <v>126.48960000000001</v>
      </c>
      <c r="Q709" s="63">
        <v>126.48960000000001</v>
      </c>
      <c r="R709" s="64">
        <v>133.0</v>
      </c>
      <c r="S709" s="107">
        <v>140.0</v>
      </c>
      <c r="T709" s="65">
        <f t="shared" si="2"/>
        <v>22.4</v>
      </c>
      <c r="U709" s="65">
        <f t="shared" si="3"/>
        <v>162.4</v>
      </c>
      <c r="V709" s="66">
        <f t="shared" si="4"/>
        <v>0.05263157895</v>
      </c>
      <c r="W709" s="67">
        <f t="shared" si="5"/>
        <v>133</v>
      </c>
      <c r="X709" s="67">
        <f t="shared" si="6"/>
        <v>21.28</v>
      </c>
      <c r="Y709" s="67">
        <f t="shared" si="7"/>
        <v>154.28</v>
      </c>
      <c r="Z709" s="67">
        <f t="shared" si="8"/>
        <v>126</v>
      </c>
      <c r="AA709" s="67">
        <f t="shared" si="9"/>
        <v>20.16</v>
      </c>
      <c r="AB709" s="67">
        <f t="shared" si="10"/>
        <v>146.16</v>
      </c>
      <c r="AC709" s="67">
        <f t="shared" si="11"/>
        <v>119</v>
      </c>
      <c r="AD709" s="67">
        <f t="shared" si="12"/>
        <v>19.04</v>
      </c>
      <c r="AE709" s="67">
        <f t="shared" si="13"/>
        <v>138.04</v>
      </c>
      <c r="AF709" s="67">
        <f t="shared" si="33"/>
        <v>116.2</v>
      </c>
      <c r="AG709" s="67">
        <f t="shared" si="15"/>
        <v>18.592</v>
      </c>
      <c r="AH709" s="67">
        <f t="shared" si="16"/>
        <v>134.792</v>
      </c>
      <c r="AI709" s="67">
        <f t="shared" si="17"/>
        <v>112</v>
      </c>
      <c r="AJ709" s="68">
        <f t="shared" si="31"/>
        <v>17.92</v>
      </c>
      <c r="AK709" s="68">
        <f t="shared" si="32"/>
        <v>129.92</v>
      </c>
      <c r="AL709" s="70">
        <f>IFERROR(__xludf.DUMMYFUNCTION("""COMPUTED_VALUE"""),1.0)</f>
        <v>1</v>
      </c>
      <c r="AM709" s="70"/>
      <c r="AN709" s="71" t="str">
        <f>IFERROR(__xludf.DUMMYFUNCTION("""COMPUTED_VALUE""")," C")</f>
        <v>C</v>
      </c>
      <c r="AO709" s="71" t="str">
        <f>IFERROR(__xludf.DUMMYFUNCTION("""COMPUTED_VALUE""")," JG127")</f>
        <v>JG127</v>
      </c>
      <c r="AP709" s="71" t="str">
        <f>IFERROR(__xludf.DUMMYFUNCTION("""COMPUTED_VALUE""")," PZA")</f>
        <v>PZA</v>
      </c>
      <c r="AQ709" s="71" t="str">
        <f>IFERROR(__xludf.DUMMYFUNCTION("""COMPUTED_VALUE""")," REF")</f>
        <v>REF</v>
      </c>
      <c r="AR709" s="71" t="str">
        <f>IFERROR(__xludf.DUMMYFUNCTION("""COMPUTED_VALUE""")," JUEGO DE PIEDRAS DE 11"" TIPO CAMARADA INT 2 1/2""")</f>
        <v>JUEGO DE PIEDRAS DE 11" TIPO CAMARADA INT 2 1/2"</v>
      </c>
      <c r="AS709" s="71" t="str">
        <f>IFERROR(__xludf.DUMMYFUNCTION("""COMPUTED_VALUE""")," JUEGO PIEDRAS 11 CAMARADA INT 2 1/2")</f>
        <v>JUEGO PIEDRAS 11 CAMARADA INT 2 1/2</v>
      </c>
      <c r="AT709" s="71">
        <f>IFERROR(__xludf.DUMMYFUNCTION("""COMPUTED_VALUE"""),35.0)</f>
        <v>35</v>
      </c>
      <c r="AU709" s="71"/>
      <c r="AV709" s="71"/>
      <c r="AW709" s="71"/>
      <c r="AX709" s="71"/>
      <c r="AY709" s="71">
        <f>IFERROR(__xludf.DUMMYFUNCTION("""COMPUTED_VALUE"""),1077.0)</f>
        <v>1077</v>
      </c>
      <c r="AZ709" s="71">
        <f>IFERROR(__xludf.DUMMYFUNCTION("""COMPUTED_VALUE"""),1163.0)</f>
        <v>1163</v>
      </c>
      <c r="BA709" s="71">
        <f>IFERROR(__xludf.DUMMYFUNCTION("""COMPUTED_VALUE"""),1564.92)</f>
        <v>1564.92</v>
      </c>
      <c r="BB709" s="71">
        <f>IFERROR(__xludf.DUMMYFUNCTION("""COMPUTED_VALUE"""),1564.92)</f>
        <v>1564.92</v>
      </c>
      <c r="BC709" s="71">
        <f>IFERROR(__xludf.DUMMYFUNCTION("""COMPUTED_VALUE"""),1644.0)</f>
        <v>1644</v>
      </c>
      <c r="BD709" s="71">
        <f>IFERROR(__xludf.DUMMYFUNCTION("""COMPUTED_VALUE"""),1726.0)</f>
        <v>1726</v>
      </c>
      <c r="BE709" s="71">
        <f>IFERROR(__xludf.DUMMYFUNCTION("""COMPUTED_VALUE"""),276.16)</f>
        <v>276.16</v>
      </c>
      <c r="BF709" s="71">
        <f>IFERROR(__xludf.DUMMYFUNCTION("""COMPUTED_VALUE"""),2002.16)</f>
        <v>2002.16</v>
      </c>
      <c r="BG709" s="71">
        <f>IFERROR(__xludf.DUMMYFUNCTION("""COMPUTED_VALUE"""),0.049878345498783457)</f>
        <v>0.0498783455</v>
      </c>
      <c r="BH709" s="71">
        <f>IFERROR(__xludf.DUMMYFUNCTION("""COMPUTED_VALUE"""),1639.6999999999998)</f>
        <v>1639.7</v>
      </c>
      <c r="BI709" s="71">
        <f>IFERROR(__xludf.DUMMYFUNCTION("""COMPUTED_VALUE"""),262.352)</f>
        <v>262.352</v>
      </c>
      <c r="BJ709" s="71">
        <f>IFERROR(__xludf.DUMMYFUNCTION("""COMPUTED_VALUE"""),1902.0519999999997)</f>
        <v>1902.052</v>
      </c>
      <c r="BK709" s="71">
        <f>IFERROR(__xludf.DUMMYFUNCTION("""COMPUTED_VALUE"""),1553.4)</f>
        <v>1553.4</v>
      </c>
      <c r="BL709" s="71">
        <f>IFERROR(__xludf.DUMMYFUNCTION("""COMPUTED_VALUE"""),248.544)</f>
        <v>248.544</v>
      </c>
      <c r="BM709" s="71">
        <f>IFERROR(__xludf.DUMMYFUNCTION("""COMPUTED_VALUE"""),1801.9440000000002)</f>
        <v>1801.944</v>
      </c>
      <c r="BN709" s="71">
        <f>IFERROR(__xludf.DUMMYFUNCTION("""COMPUTED_VALUE"""),1467.1)</f>
        <v>1467.1</v>
      </c>
      <c r="BO709" s="71">
        <f>IFERROR(__xludf.DUMMYFUNCTION("""COMPUTED_VALUE"""),234.736)</f>
        <v>234.736</v>
      </c>
      <c r="BP709" s="71">
        <f>IFERROR(__xludf.DUMMYFUNCTION("""COMPUTED_VALUE"""),1701.8359999999998)</f>
        <v>1701.836</v>
      </c>
      <c r="BQ709" s="71">
        <f>IFERROR(__xludf.DUMMYFUNCTION("""COMPUTED_VALUE"""),1432.58)</f>
        <v>1432.58</v>
      </c>
      <c r="BR709" s="71">
        <f>IFERROR(__xludf.DUMMYFUNCTION("""COMPUTED_VALUE"""),229.2128)</f>
        <v>229.2128</v>
      </c>
      <c r="BS709" s="71">
        <f>IFERROR(__xludf.DUMMYFUNCTION("""COMPUTED_VALUE"""),1661.7928)</f>
        <v>1661.7928</v>
      </c>
      <c r="BT709" s="71">
        <f>IFERROR(__xludf.DUMMYFUNCTION("""COMPUTED_VALUE"""),1380.8000000000002)</f>
        <v>1380.8</v>
      </c>
      <c r="BU709" s="71">
        <f>IFERROR(__xludf.DUMMYFUNCTION("""COMPUTED_VALUE"""),220.92800000000003)</f>
        <v>220.928</v>
      </c>
      <c r="BV709" s="71">
        <f>IFERROR(__xludf.DUMMYFUNCTION("""COMPUTED_VALUE"""),1601.7280000000003)</f>
        <v>1601.728</v>
      </c>
    </row>
    <row r="710">
      <c r="A710" s="53">
        <v>1.0</v>
      </c>
      <c r="B710" s="72"/>
      <c r="C710" s="73" t="s">
        <v>53</v>
      </c>
      <c r="D710" s="53" t="s">
        <v>1694</v>
      </c>
      <c r="E710" s="54" t="s">
        <v>38</v>
      </c>
      <c r="F710" s="54" t="s">
        <v>42</v>
      </c>
      <c r="G710" s="88" t="s">
        <v>1695</v>
      </c>
      <c r="H710" s="54" t="s">
        <v>1696</v>
      </c>
      <c r="I710" s="54">
        <f t="shared" si="24"/>
        <v>40</v>
      </c>
      <c r="J710" s="56"/>
      <c r="K710" s="75"/>
      <c r="L710" s="87"/>
      <c r="M710" s="59"/>
      <c r="N710" s="60">
        <v>607.0</v>
      </c>
      <c r="O710" s="61">
        <v>655.0</v>
      </c>
      <c r="P710" s="62">
        <v>707.4000000000001</v>
      </c>
      <c r="Q710" s="63">
        <v>707.4000000000001</v>
      </c>
      <c r="R710" s="64">
        <v>788.0</v>
      </c>
      <c r="S710" s="111">
        <v>827.0</v>
      </c>
      <c r="T710" s="65">
        <f t="shared" si="2"/>
        <v>132.32</v>
      </c>
      <c r="U710" s="65">
        <f t="shared" si="3"/>
        <v>959.32</v>
      </c>
      <c r="V710" s="66">
        <f t="shared" si="4"/>
        <v>0.04949238579</v>
      </c>
      <c r="W710" s="67">
        <f t="shared" si="5"/>
        <v>785.65</v>
      </c>
      <c r="X710" s="67">
        <f t="shared" si="6"/>
        <v>125.704</v>
      </c>
      <c r="Y710" s="67">
        <f t="shared" si="7"/>
        <v>911.354</v>
      </c>
      <c r="Z710" s="67">
        <f t="shared" si="8"/>
        <v>744.3</v>
      </c>
      <c r="AA710" s="67">
        <f t="shared" si="9"/>
        <v>119.088</v>
      </c>
      <c r="AB710" s="67">
        <f t="shared" si="10"/>
        <v>863.388</v>
      </c>
      <c r="AC710" s="67">
        <f t="shared" si="11"/>
        <v>702.95</v>
      </c>
      <c r="AD710" s="67">
        <f t="shared" si="12"/>
        <v>112.472</v>
      </c>
      <c r="AE710" s="67">
        <f t="shared" si="13"/>
        <v>815.422</v>
      </c>
      <c r="AF710" s="67">
        <f t="shared" si="33"/>
        <v>686.41</v>
      </c>
      <c r="AG710" s="67">
        <f t="shared" si="15"/>
        <v>109.8256</v>
      </c>
      <c r="AH710" s="67">
        <f t="shared" si="16"/>
        <v>796.2356</v>
      </c>
      <c r="AI710" s="67">
        <f t="shared" si="17"/>
        <v>661.6</v>
      </c>
      <c r="AJ710" s="68">
        <f t="shared" si="31"/>
        <v>105.856</v>
      </c>
      <c r="AK710" s="68">
        <f t="shared" si="32"/>
        <v>767.456</v>
      </c>
      <c r="AL710" s="70">
        <f>IFERROR(__xludf.DUMMYFUNCTION("""COMPUTED_VALUE"""),1.0)</f>
        <v>1</v>
      </c>
      <c r="AM710" s="70"/>
      <c r="AN710" s="71" t="str">
        <f>IFERROR(__xludf.DUMMYFUNCTION("""COMPUTED_VALUE""")," C")</f>
        <v>C</v>
      </c>
      <c r="AO710" s="71" t="str">
        <f>IFERROR(__xludf.DUMMYFUNCTION("""COMPUTED_VALUE""")," JG152")</f>
        <v>JG152</v>
      </c>
      <c r="AP710" s="71" t="str">
        <f>IFERROR(__xludf.DUMMYFUNCTION("""COMPUTED_VALUE""")," PZA")</f>
        <v>PZA</v>
      </c>
      <c r="AQ710" s="71" t="str">
        <f>IFERROR(__xludf.DUMMYFUNCTION("""COMPUTED_VALUE""")," REF")</f>
        <v>REF</v>
      </c>
      <c r="AR710" s="71" t="str">
        <f>IFERROR(__xludf.DUMMYFUNCTION("""COMPUTED_VALUE""")," JUEGO DE PIEDRAS DE 11"" TOLUCA INT 2""")</f>
        <v>JUEGO DE PIEDRAS DE 11" TOLUCA INT 2"</v>
      </c>
      <c r="AS710" s="71" t="str">
        <f>IFERROR(__xludf.DUMMYFUNCTION("""COMPUTED_VALUE""")," JUEGO PIEDRAS 11 TOLUCA INT 2")</f>
        <v>JUEGO PIEDRAS 11 TOLUCA INT 2</v>
      </c>
      <c r="AT710" s="71">
        <f>IFERROR(__xludf.DUMMYFUNCTION("""COMPUTED_VALUE"""),29.0)</f>
        <v>29</v>
      </c>
      <c r="AU710" s="71"/>
      <c r="AV710" s="71"/>
      <c r="AW710" s="71"/>
      <c r="AX710" s="71"/>
      <c r="AY710" s="71">
        <f>IFERROR(__xludf.DUMMYFUNCTION("""COMPUTED_VALUE"""),819.0)</f>
        <v>819</v>
      </c>
      <c r="AZ710" s="71">
        <f>IFERROR(__xludf.DUMMYFUNCTION("""COMPUTED_VALUE"""),884.0)</f>
        <v>884</v>
      </c>
      <c r="BA710" s="71">
        <f>IFERROR(__xludf.DUMMYFUNCTION("""COMPUTED_VALUE"""),954.72)</f>
        <v>954.72</v>
      </c>
      <c r="BB710" s="71">
        <f>IFERROR(__xludf.DUMMYFUNCTION("""COMPUTED_VALUE"""),954.72)</f>
        <v>954.72</v>
      </c>
      <c r="BC710" s="71">
        <f>IFERROR(__xludf.DUMMYFUNCTION("""COMPUTED_VALUE"""),1063.0)</f>
        <v>1063</v>
      </c>
      <c r="BD710" s="71">
        <f>IFERROR(__xludf.DUMMYFUNCTION("""COMPUTED_VALUE"""),1116.0)</f>
        <v>1116</v>
      </c>
      <c r="BE710" s="71">
        <f>IFERROR(__xludf.DUMMYFUNCTION("""COMPUTED_VALUE"""),178.56)</f>
        <v>178.56</v>
      </c>
      <c r="BF710" s="71">
        <f>IFERROR(__xludf.DUMMYFUNCTION("""COMPUTED_VALUE"""),1294.56)</f>
        <v>1294.56</v>
      </c>
      <c r="BG710" s="71">
        <f>IFERROR(__xludf.DUMMYFUNCTION("""COMPUTED_VALUE"""),0.04985888993414864)</f>
        <v>0.04985888993</v>
      </c>
      <c r="BH710" s="71">
        <f>IFERROR(__xludf.DUMMYFUNCTION("""COMPUTED_VALUE"""),1060.2)</f>
        <v>1060.2</v>
      </c>
      <c r="BI710" s="71">
        <f>IFERROR(__xludf.DUMMYFUNCTION("""COMPUTED_VALUE"""),169.632)</f>
        <v>169.632</v>
      </c>
      <c r="BJ710" s="71">
        <f>IFERROR(__xludf.DUMMYFUNCTION("""COMPUTED_VALUE"""),1229.832)</f>
        <v>1229.832</v>
      </c>
      <c r="BK710" s="71">
        <f>IFERROR(__xludf.DUMMYFUNCTION("""COMPUTED_VALUE"""),1004.4)</f>
        <v>1004.4</v>
      </c>
      <c r="BL710" s="71">
        <f>IFERROR(__xludf.DUMMYFUNCTION("""COMPUTED_VALUE"""),160.704)</f>
        <v>160.704</v>
      </c>
      <c r="BM710" s="71">
        <f>IFERROR(__xludf.DUMMYFUNCTION("""COMPUTED_VALUE"""),1165.104)</f>
        <v>1165.104</v>
      </c>
      <c r="BN710" s="71">
        <f>IFERROR(__xludf.DUMMYFUNCTION("""COMPUTED_VALUE"""),948.6)</f>
        <v>948.6</v>
      </c>
      <c r="BO710" s="71">
        <f>IFERROR(__xludf.DUMMYFUNCTION("""COMPUTED_VALUE"""),151.776)</f>
        <v>151.776</v>
      </c>
      <c r="BP710" s="71">
        <f>IFERROR(__xludf.DUMMYFUNCTION("""COMPUTED_VALUE"""),1100.376)</f>
        <v>1100.376</v>
      </c>
      <c r="BQ710" s="71">
        <f>IFERROR(__xludf.DUMMYFUNCTION("""COMPUTED_VALUE"""),926.28)</f>
        <v>926.28</v>
      </c>
      <c r="BR710" s="71">
        <f>IFERROR(__xludf.DUMMYFUNCTION("""COMPUTED_VALUE"""),148.2048)</f>
        <v>148.2048</v>
      </c>
      <c r="BS710" s="71">
        <f>IFERROR(__xludf.DUMMYFUNCTION("""COMPUTED_VALUE"""),1074.4848)</f>
        <v>1074.4848</v>
      </c>
      <c r="BT710" s="71">
        <f>IFERROR(__xludf.DUMMYFUNCTION("""COMPUTED_VALUE"""),892.8000000000001)</f>
        <v>892.8</v>
      </c>
      <c r="BU710" s="71">
        <f>IFERROR(__xludf.DUMMYFUNCTION("""COMPUTED_VALUE"""),142.848)</f>
        <v>142.848</v>
      </c>
      <c r="BV710" s="71">
        <f>IFERROR(__xludf.DUMMYFUNCTION("""COMPUTED_VALUE"""),1035.6480000000001)</f>
        <v>1035.648</v>
      </c>
    </row>
    <row r="711">
      <c r="A711" s="53">
        <v>1.0</v>
      </c>
      <c r="B711" s="72"/>
      <c r="C711" s="73" t="s">
        <v>53</v>
      </c>
      <c r="D711" s="53" t="s">
        <v>1697</v>
      </c>
      <c r="E711" s="54" t="s">
        <v>38</v>
      </c>
      <c r="F711" s="54" t="s">
        <v>42</v>
      </c>
      <c r="G711" s="88" t="s">
        <v>1698</v>
      </c>
      <c r="H711" s="54" t="s">
        <v>1699</v>
      </c>
      <c r="I711" s="54">
        <f t="shared" si="24"/>
        <v>40</v>
      </c>
      <c r="J711" s="56"/>
      <c r="K711" s="75"/>
      <c r="L711" s="76"/>
      <c r="M711" s="59"/>
      <c r="N711" s="60">
        <v>596.0</v>
      </c>
      <c r="O711" s="61">
        <v>643.0</v>
      </c>
      <c r="P711" s="62">
        <v>694.44</v>
      </c>
      <c r="Q711" s="63">
        <v>694.44</v>
      </c>
      <c r="R711" s="64">
        <v>774.0</v>
      </c>
      <c r="S711" s="111">
        <v>813.0</v>
      </c>
      <c r="T711" s="65">
        <f t="shared" si="2"/>
        <v>130.08</v>
      </c>
      <c r="U711" s="65">
        <f t="shared" si="3"/>
        <v>943.08</v>
      </c>
      <c r="V711" s="66">
        <f t="shared" si="4"/>
        <v>0.0503875969</v>
      </c>
      <c r="W711" s="67">
        <f t="shared" si="5"/>
        <v>772.35</v>
      </c>
      <c r="X711" s="67">
        <f t="shared" si="6"/>
        <v>123.576</v>
      </c>
      <c r="Y711" s="67">
        <f t="shared" si="7"/>
        <v>895.926</v>
      </c>
      <c r="Z711" s="67">
        <f t="shared" si="8"/>
        <v>731.7</v>
      </c>
      <c r="AA711" s="67">
        <f t="shared" si="9"/>
        <v>117.072</v>
      </c>
      <c r="AB711" s="67">
        <f t="shared" si="10"/>
        <v>848.772</v>
      </c>
      <c r="AC711" s="67">
        <f t="shared" si="11"/>
        <v>691.05</v>
      </c>
      <c r="AD711" s="67">
        <f t="shared" si="12"/>
        <v>110.568</v>
      </c>
      <c r="AE711" s="67">
        <f t="shared" si="13"/>
        <v>801.618</v>
      </c>
      <c r="AF711" s="67">
        <f t="shared" si="33"/>
        <v>674.79</v>
      </c>
      <c r="AG711" s="67">
        <f t="shared" si="15"/>
        <v>107.9664</v>
      </c>
      <c r="AH711" s="67">
        <f t="shared" si="16"/>
        <v>782.7564</v>
      </c>
      <c r="AI711" s="67">
        <f t="shared" si="17"/>
        <v>650.4</v>
      </c>
      <c r="AJ711" s="68">
        <f t="shared" si="31"/>
        <v>104.064</v>
      </c>
      <c r="AK711" s="68">
        <f t="shared" si="32"/>
        <v>754.464</v>
      </c>
      <c r="AL711" s="70">
        <f>IFERROR(__xludf.DUMMYFUNCTION("""COMPUTED_VALUE"""),1.0)</f>
        <v>1</v>
      </c>
      <c r="AM711" s="70"/>
      <c r="AN711" s="71" t="str">
        <f>IFERROR(__xludf.DUMMYFUNCTION("""COMPUTED_VALUE""")," C")</f>
        <v>C</v>
      </c>
      <c r="AO711" s="71" t="str">
        <f>IFERROR(__xludf.DUMMYFUNCTION("""COMPUTED_VALUE""")," JG132")</f>
        <v>JG132</v>
      </c>
      <c r="AP711" s="71" t="str">
        <f>IFERROR(__xludf.DUMMYFUNCTION("""COMPUTED_VALUE""")," PZA")</f>
        <v>PZA</v>
      </c>
      <c r="AQ711" s="71" t="str">
        <f>IFERROR(__xludf.DUMMYFUNCTION("""COMPUTED_VALUE""")," REF")</f>
        <v>REF</v>
      </c>
      <c r="AR711" s="71" t="str">
        <f>IFERROR(__xludf.DUMMYFUNCTION("""COMPUTED_VALUE""")," JUEGO DE PIEDRAS DE 12"" LISA INT 2 1/4""")</f>
        <v>JUEGO DE PIEDRAS DE 12" LISA INT 2 1/4"</v>
      </c>
      <c r="AS711" s="71" t="str">
        <f>IFERROR(__xludf.DUMMYFUNCTION("""COMPUTED_VALUE""")," PIEDRAS 12 INT 2 1/4 PILOTO")</f>
        <v>PIEDRAS 12 INT 2 1/4 PILOTO</v>
      </c>
      <c r="AT711" s="71">
        <f>IFERROR(__xludf.DUMMYFUNCTION("""COMPUTED_VALUE"""),27.0)</f>
        <v>27</v>
      </c>
      <c r="AU711" s="71"/>
      <c r="AV711" s="71"/>
      <c r="AW711" s="71"/>
      <c r="AX711" s="71"/>
      <c r="AY711" s="71">
        <f>IFERROR(__xludf.DUMMYFUNCTION("""COMPUTED_VALUE"""),1149.0)</f>
        <v>1149</v>
      </c>
      <c r="AZ711" s="71">
        <f>IFERROR(__xludf.DUMMYFUNCTION("""COMPUTED_VALUE"""),1240.0)</f>
        <v>1240</v>
      </c>
      <c r="BA711" s="71">
        <f>IFERROR(__xludf.DUMMYFUNCTION("""COMPUTED_VALUE"""),1339.2)</f>
        <v>1339.2</v>
      </c>
      <c r="BB711" s="71">
        <f>IFERROR(__xludf.DUMMYFUNCTION("""COMPUTED_VALUE"""),1339.2)</f>
        <v>1339.2</v>
      </c>
      <c r="BC711" s="71">
        <f>IFERROR(__xludf.DUMMYFUNCTION("""COMPUTED_VALUE"""),1491.0)</f>
        <v>1491</v>
      </c>
      <c r="BD711" s="71">
        <f>IFERROR(__xludf.DUMMYFUNCTION("""COMPUTED_VALUE"""),1566.0)</f>
        <v>1566</v>
      </c>
      <c r="BE711" s="71">
        <f>IFERROR(__xludf.DUMMYFUNCTION("""COMPUTED_VALUE"""),250.56)</f>
        <v>250.56</v>
      </c>
      <c r="BF711" s="71">
        <f>IFERROR(__xludf.DUMMYFUNCTION("""COMPUTED_VALUE"""),1816.56)</f>
        <v>1816.56</v>
      </c>
      <c r="BG711" s="71">
        <f>IFERROR(__xludf.DUMMYFUNCTION("""COMPUTED_VALUE"""),0.05030181086519115)</f>
        <v>0.05030181087</v>
      </c>
      <c r="BH711" s="71">
        <f>IFERROR(__xludf.DUMMYFUNCTION("""COMPUTED_VALUE"""),1487.6999999999998)</f>
        <v>1487.7</v>
      </c>
      <c r="BI711" s="71">
        <f>IFERROR(__xludf.DUMMYFUNCTION("""COMPUTED_VALUE"""),238.03199999999998)</f>
        <v>238.032</v>
      </c>
      <c r="BJ711" s="71">
        <f>IFERROR(__xludf.DUMMYFUNCTION("""COMPUTED_VALUE"""),1725.7319999999997)</f>
        <v>1725.732</v>
      </c>
      <c r="BK711" s="71">
        <f>IFERROR(__xludf.DUMMYFUNCTION("""COMPUTED_VALUE"""),1409.4)</f>
        <v>1409.4</v>
      </c>
      <c r="BL711" s="71">
        <f>IFERROR(__xludf.DUMMYFUNCTION("""COMPUTED_VALUE"""),225.50400000000002)</f>
        <v>225.504</v>
      </c>
      <c r="BM711" s="71">
        <f>IFERROR(__xludf.DUMMYFUNCTION("""COMPUTED_VALUE"""),1634.904)</f>
        <v>1634.904</v>
      </c>
      <c r="BN711" s="71">
        <f>IFERROR(__xludf.DUMMYFUNCTION("""COMPUTED_VALUE"""),1331.1)</f>
        <v>1331.1</v>
      </c>
      <c r="BO711" s="71">
        <f>IFERROR(__xludf.DUMMYFUNCTION("""COMPUTED_VALUE"""),212.976)</f>
        <v>212.976</v>
      </c>
      <c r="BP711" s="71">
        <f>IFERROR(__xludf.DUMMYFUNCTION("""COMPUTED_VALUE"""),1544.076)</f>
        <v>1544.076</v>
      </c>
      <c r="BQ711" s="71">
        <f>IFERROR(__xludf.DUMMYFUNCTION("""COMPUTED_VALUE"""),1299.78)</f>
        <v>1299.78</v>
      </c>
      <c r="BR711" s="71">
        <f>IFERROR(__xludf.DUMMYFUNCTION("""COMPUTED_VALUE"""),207.9648)</f>
        <v>207.9648</v>
      </c>
      <c r="BS711" s="71">
        <f>IFERROR(__xludf.DUMMYFUNCTION("""COMPUTED_VALUE"""),1507.7448)</f>
        <v>1507.7448</v>
      </c>
      <c r="BT711" s="71">
        <f>IFERROR(__xludf.DUMMYFUNCTION("""COMPUTED_VALUE"""),1252.8000000000002)</f>
        <v>1252.8</v>
      </c>
      <c r="BU711" s="71">
        <f>IFERROR(__xludf.DUMMYFUNCTION("""COMPUTED_VALUE"""),200.44800000000004)</f>
        <v>200.448</v>
      </c>
      <c r="BV711" s="71">
        <f>IFERROR(__xludf.DUMMYFUNCTION("""COMPUTED_VALUE"""),1453.2480000000003)</f>
        <v>1453.248</v>
      </c>
    </row>
    <row r="712">
      <c r="A712" s="53">
        <v>1.0</v>
      </c>
      <c r="B712" s="72"/>
      <c r="C712" s="73" t="s">
        <v>53</v>
      </c>
      <c r="D712" s="53" t="s">
        <v>1700</v>
      </c>
      <c r="E712" s="54" t="s">
        <v>38</v>
      </c>
      <c r="F712" s="54" t="s">
        <v>42</v>
      </c>
      <c r="G712" s="88" t="s">
        <v>1701</v>
      </c>
      <c r="H712" s="54" t="s">
        <v>1702</v>
      </c>
      <c r="I712" s="54">
        <f t="shared" si="24"/>
        <v>40</v>
      </c>
      <c r="J712" s="56"/>
      <c r="K712" s="75"/>
      <c r="L712" s="76"/>
      <c r="M712" s="59"/>
      <c r="N712" s="60">
        <v>457.0</v>
      </c>
      <c r="O712" s="61">
        <v>493.0</v>
      </c>
      <c r="P712" s="62">
        <v>532.44</v>
      </c>
      <c r="Q712" s="63">
        <v>532.44</v>
      </c>
      <c r="R712" s="64">
        <v>594.0</v>
      </c>
      <c r="S712" s="111">
        <v>624.0</v>
      </c>
      <c r="T712" s="65">
        <f t="shared" si="2"/>
        <v>99.84</v>
      </c>
      <c r="U712" s="65">
        <f t="shared" si="3"/>
        <v>723.84</v>
      </c>
      <c r="V712" s="66">
        <f t="shared" si="4"/>
        <v>0.05050505051</v>
      </c>
      <c r="W712" s="67">
        <f t="shared" si="5"/>
        <v>592.8</v>
      </c>
      <c r="X712" s="67">
        <f t="shared" si="6"/>
        <v>94.848</v>
      </c>
      <c r="Y712" s="67">
        <f t="shared" si="7"/>
        <v>687.648</v>
      </c>
      <c r="Z712" s="67">
        <f t="shared" si="8"/>
        <v>561.6</v>
      </c>
      <c r="AA712" s="67">
        <f t="shared" si="9"/>
        <v>89.856</v>
      </c>
      <c r="AB712" s="67">
        <f t="shared" si="10"/>
        <v>651.456</v>
      </c>
      <c r="AC712" s="67">
        <f t="shared" si="11"/>
        <v>530.4</v>
      </c>
      <c r="AD712" s="67">
        <f t="shared" si="12"/>
        <v>84.864</v>
      </c>
      <c r="AE712" s="67">
        <f t="shared" si="13"/>
        <v>615.264</v>
      </c>
      <c r="AF712" s="67">
        <f t="shared" si="33"/>
        <v>517.92</v>
      </c>
      <c r="AG712" s="67">
        <f t="shared" si="15"/>
        <v>82.8672</v>
      </c>
      <c r="AH712" s="67">
        <f t="shared" si="16"/>
        <v>600.7872</v>
      </c>
      <c r="AI712" s="67">
        <f t="shared" si="17"/>
        <v>499.2</v>
      </c>
      <c r="AJ712" s="68">
        <f t="shared" si="31"/>
        <v>79.872</v>
      </c>
      <c r="AK712" s="68">
        <f t="shared" si="32"/>
        <v>579.072</v>
      </c>
      <c r="AL712" s="70">
        <f>IFERROR(__xludf.DUMMYFUNCTION("""COMPUTED_VALUE"""),1.0)</f>
        <v>1</v>
      </c>
      <c r="AM712" s="70"/>
      <c r="AN712" s="71" t="str">
        <f>IFERROR(__xludf.DUMMYFUNCTION("""COMPUTED_VALUE""")," C")</f>
        <v>C</v>
      </c>
      <c r="AO712" s="71" t="str">
        <f>IFERROR(__xludf.DUMMYFUNCTION("""COMPUTED_VALUE""")," JG134")</f>
        <v>JG134</v>
      </c>
      <c r="AP712" s="71" t="str">
        <f>IFERROR(__xludf.DUMMYFUNCTION("""COMPUTED_VALUE""")," PZA")</f>
        <v>PZA</v>
      </c>
      <c r="AQ712" s="71" t="str">
        <f>IFERROR(__xludf.DUMMYFUNCTION("""COMPUTED_VALUE""")," REF")</f>
        <v>REF</v>
      </c>
      <c r="AR712" s="71" t="str">
        <f>IFERROR(__xludf.DUMMYFUNCTION("""COMPUTED_VALUE""")," JUEGO DE PIEDRAS DE 12"" LISA INT 3 1/2""")</f>
        <v>JUEGO DE PIEDRAS DE 12" LISA INT 3 1/2"</v>
      </c>
      <c r="AS712" s="71" t="str">
        <f>IFERROR(__xludf.DUMMYFUNCTION("""COMPUTED_VALUE""")," PIEDRAS 12 INT 3 1/2 PILOTO")</f>
        <v>PIEDRAS 12 INT 3 1/2 PILOTO</v>
      </c>
      <c r="AT712" s="71">
        <f>IFERROR(__xludf.DUMMYFUNCTION("""COMPUTED_VALUE"""),27.0)</f>
        <v>27</v>
      </c>
      <c r="AU712" s="71"/>
      <c r="AV712" s="71"/>
      <c r="AW712" s="71"/>
      <c r="AX712" s="71"/>
      <c r="AY712" s="71">
        <f>IFERROR(__xludf.DUMMYFUNCTION("""COMPUTED_VALUE"""),1149.0)</f>
        <v>1149</v>
      </c>
      <c r="AZ712" s="71">
        <f>IFERROR(__xludf.DUMMYFUNCTION("""COMPUTED_VALUE"""),1240.0)</f>
        <v>1240</v>
      </c>
      <c r="BA712" s="71">
        <f>IFERROR(__xludf.DUMMYFUNCTION("""COMPUTED_VALUE"""),1339.2)</f>
        <v>1339.2</v>
      </c>
      <c r="BB712" s="71">
        <f>IFERROR(__xludf.DUMMYFUNCTION("""COMPUTED_VALUE"""),1339.2)</f>
        <v>1339.2</v>
      </c>
      <c r="BC712" s="71">
        <f>IFERROR(__xludf.DUMMYFUNCTION("""COMPUTED_VALUE"""),1406.0)</f>
        <v>1406</v>
      </c>
      <c r="BD712" s="71">
        <f>IFERROR(__xludf.DUMMYFUNCTION("""COMPUTED_VALUE"""),1476.0)</f>
        <v>1476</v>
      </c>
      <c r="BE712" s="71">
        <f>IFERROR(__xludf.DUMMYFUNCTION("""COMPUTED_VALUE"""),236.16)</f>
        <v>236.16</v>
      </c>
      <c r="BF712" s="71">
        <f>IFERROR(__xludf.DUMMYFUNCTION("""COMPUTED_VALUE"""),1712.16)</f>
        <v>1712.16</v>
      </c>
      <c r="BG712" s="71">
        <f>IFERROR(__xludf.DUMMYFUNCTION("""COMPUTED_VALUE"""),0.049786628733997154)</f>
        <v>0.04978662873</v>
      </c>
      <c r="BH712" s="71">
        <f>IFERROR(__xludf.DUMMYFUNCTION("""COMPUTED_VALUE"""),1402.2)</f>
        <v>1402.2</v>
      </c>
      <c r="BI712" s="71">
        <f>IFERROR(__xludf.DUMMYFUNCTION("""COMPUTED_VALUE"""),224.352)</f>
        <v>224.352</v>
      </c>
      <c r="BJ712" s="71">
        <f>IFERROR(__xludf.DUMMYFUNCTION("""COMPUTED_VALUE"""),1626.5520000000001)</f>
        <v>1626.552</v>
      </c>
      <c r="BK712" s="71">
        <f>IFERROR(__xludf.DUMMYFUNCTION("""COMPUTED_VALUE"""),1328.4)</f>
        <v>1328.4</v>
      </c>
      <c r="BL712" s="71">
        <f>IFERROR(__xludf.DUMMYFUNCTION("""COMPUTED_VALUE"""),212.544)</f>
        <v>212.544</v>
      </c>
      <c r="BM712" s="71">
        <f>IFERROR(__xludf.DUMMYFUNCTION("""COMPUTED_VALUE"""),1540.9440000000002)</f>
        <v>1540.944</v>
      </c>
      <c r="BN712" s="71">
        <f>IFERROR(__xludf.DUMMYFUNCTION("""COMPUTED_VALUE"""),1254.6)</f>
        <v>1254.6</v>
      </c>
      <c r="BO712" s="71">
        <f>IFERROR(__xludf.DUMMYFUNCTION("""COMPUTED_VALUE"""),200.736)</f>
        <v>200.736</v>
      </c>
      <c r="BP712" s="71">
        <f>IFERROR(__xludf.DUMMYFUNCTION("""COMPUTED_VALUE"""),1455.3359999999998)</f>
        <v>1455.336</v>
      </c>
      <c r="BQ712" s="71">
        <f>IFERROR(__xludf.DUMMYFUNCTION("""COMPUTED_VALUE"""),1225.08)</f>
        <v>1225.08</v>
      </c>
      <c r="BR712" s="71">
        <f>IFERROR(__xludf.DUMMYFUNCTION("""COMPUTED_VALUE"""),196.0128)</f>
        <v>196.0128</v>
      </c>
      <c r="BS712" s="71">
        <f>IFERROR(__xludf.DUMMYFUNCTION("""COMPUTED_VALUE"""),1421.0928)</f>
        <v>1421.0928</v>
      </c>
      <c r="BT712" s="71">
        <f>IFERROR(__xludf.DUMMYFUNCTION("""COMPUTED_VALUE"""),1180.8)</f>
        <v>1180.8</v>
      </c>
      <c r="BU712" s="71">
        <f>IFERROR(__xludf.DUMMYFUNCTION("""COMPUTED_VALUE"""),188.928)</f>
        <v>188.928</v>
      </c>
      <c r="BV712" s="71">
        <f>IFERROR(__xludf.DUMMYFUNCTION("""COMPUTED_VALUE"""),1369.728)</f>
        <v>1369.728</v>
      </c>
    </row>
    <row r="713">
      <c r="A713" s="53">
        <v>1.0</v>
      </c>
      <c r="B713" s="72"/>
      <c r="C713" s="73" t="s">
        <v>53</v>
      </c>
      <c r="D713" s="74" t="s">
        <v>1703</v>
      </c>
      <c r="E713" s="54" t="s">
        <v>38</v>
      </c>
      <c r="F713" s="54" t="s">
        <v>42</v>
      </c>
      <c r="G713" s="88" t="s">
        <v>1704</v>
      </c>
      <c r="H713" s="54" t="s">
        <v>1705</v>
      </c>
      <c r="I713" s="54">
        <f t="shared" si="24"/>
        <v>27</v>
      </c>
      <c r="J713" s="56"/>
      <c r="K713" s="75"/>
      <c r="L713" s="76"/>
      <c r="M713" s="59"/>
      <c r="N713" s="60">
        <v>341.0</v>
      </c>
      <c r="O713" s="61">
        <v>368.0</v>
      </c>
      <c r="P713" s="62">
        <v>397.44000000000005</v>
      </c>
      <c r="Q713" s="63">
        <v>397.44000000000005</v>
      </c>
      <c r="R713" s="64">
        <v>444.0</v>
      </c>
      <c r="S713" s="65">
        <v>372.8</v>
      </c>
      <c r="T713" s="65">
        <f t="shared" si="2"/>
        <v>59.648</v>
      </c>
      <c r="U713" s="65">
        <f t="shared" si="3"/>
        <v>432.448</v>
      </c>
      <c r="V713" s="66">
        <f t="shared" si="4"/>
        <v>-0.1603603604</v>
      </c>
      <c r="W713" s="67">
        <f t="shared" si="5"/>
        <v>354.16</v>
      </c>
      <c r="X713" s="67">
        <f t="shared" si="6"/>
        <v>56.6656</v>
      </c>
      <c r="Y713" s="67">
        <f t="shared" si="7"/>
        <v>410.8256</v>
      </c>
      <c r="Z713" s="67">
        <f t="shared" si="8"/>
        <v>335.52</v>
      </c>
      <c r="AA713" s="67">
        <f t="shared" si="9"/>
        <v>53.6832</v>
      </c>
      <c r="AB713" s="67">
        <f t="shared" si="10"/>
        <v>389.2032</v>
      </c>
      <c r="AC713" s="67">
        <f t="shared" si="11"/>
        <v>316.88</v>
      </c>
      <c r="AD713" s="67">
        <f t="shared" si="12"/>
        <v>50.7008</v>
      </c>
      <c r="AE713" s="67">
        <f t="shared" si="13"/>
        <v>367.5808</v>
      </c>
      <c r="AF713" s="67">
        <f t="shared" si="33"/>
        <v>309.424</v>
      </c>
      <c r="AG713" s="67">
        <f t="shared" si="15"/>
        <v>49.50784</v>
      </c>
      <c r="AH713" s="67">
        <f t="shared" si="16"/>
        <v>358.93184</v>
      </c>
      <c r="AI713" s="67">
        <f t="shared" si="17"/>
        <v>298.24</v>
      </c>
      <c r="AJ713" s="68">
        <f t="shared" si="31"/>
        <v>47.7184</v>
      </c>
      <c r="AK713" s="68">
        <f t="shared" si="32"/>
        <v>345.9584</v>
      </c>
      <c r="AL713" s="70">
        <f>IFERROR(__xludf.DUMMYFUNCTION("""COMPUTED_VALUE"""),1.0)</f>
        <v>1</v>
      </c>
      <c r="AM713" s="70"/>
      <c r="AN713" s="71" t="str">
        <f>IFERROR(__xludf.DUMMYFUNCTION("""COMPUTED_VALUE""")," C")</f>
        <v>C</v>
      </c>
      <c r="AO713" s="71" t="str">
        <f>IFERROR(__xludf.DUMMYFUNCTION("""COMPUTED_VALUE""")," JG153")</f>
        <v>JG153</v>
      </c>
      <c r="AP713" s="71" t="str">
        <f>IFERROR(__xludf.DUMMYFUNCTION("""COMPUTED_VALUE""")," PZA")</f>
        <v>PZA</v>
      </c>
      <c r="AQ713" s="71" t="str">
        <f>IFERROR(__xludf.DUMMYFUNCTION("""COMPUTED_VALUE""")," REF")</f>
        <v>REF</v>
      </c>
      <c r="AR713" s="71" t="str">
        <f>IFERROR(__xludf.DUMMYFUNCTION("""COMPUTED_VALUE""")," JUEGO DE PIEDRAS DE 12"" LISAS INT 3""")</f>
        <v>JUEGO DE PIEDRAS DE 12" LISAS INT 3"</v>
      </c>
      <c r="AS713" s="71" t="str">
        <f>IFERROR(__xludf.DUMMYFUNCTION("""COMPUTED_VALUE""")," PIEDRAS 12 INT 3 PILOTO")</f>
        <v>PIEDRAS 12 INT 3 PILOTO</v>
      </c>
      <c r="AT713" s="71">
        <f>IFERROR(__xludf.DUMMYFUNCTION("""COMPUTED_VALUE"""),23.0)</f>
        <v>23</v>
      </c>
      <c r="AU713" s="71"/>
      <c r="AV713" s="71"/>
      <c r="AW713" s="71"/>
      <c r="AX713" s="71"/>
      <c r="AY713" s="71">
        <f>IFERROR(__xludf.DUMMYFUNCTION("""COMPUTED_VALUE"""),1149.0)</f>
        <v>1149</v>
      </c>
      <c r="AZ713" s="71">
        <f>IFERROR(__xludf.DUMMYFUNCTION("""COMPUTED_VALUE"""),1240.0)</f>
        <v>1240</v>
      </c>
      <c r="BA713" s="71">
        <f>IFERROR(__xludf.DUMMYFUNCTION("""COMPUTED_VALUE"""),1339.2)</f>
        <v>1339.2</v>
      </c>
      <c r="BB713" s="71">
        <f>IFERROR(__xludf.DUMMYFUNCTION("""COMPUTED_VALUE"""),1339.2)</f>
        <v>1339.2</v>
      </c>
      <c r="BC713" s="71">
        <f>IFERROR(__xludf.DUMMYFUNCTION("""COMPUTED_VALUE"""),1406.0)</f>
        <v>1406</v>
      </c>
      <c r="BD713" s="71">
        <f>IFERROR(__xludf.DUMMYFUNCTION("""COMPUTED_VALUE"""),1476.0)</f>
        <v>1476</v>
      </c>
      <c r="BE713" s="71">
        <f>IFERROR(__xludf.DUMMYFUNCTION("""COMPUTED_VALUE"""),236.16)</f>
        <v>236.16</v>
      </c>
      <c r="BF713" s="71">
        <f>IFERROR(__xludf.DUMMYFUNCTION("""COMPUTED_VALUE"""),1712.16)</f>
        <v>1712.16</v>
      </c>
      <c r="BG713" s="71">
        <f>IFERROR(__xludf.DUMMYFUNCTION("""COMPUTED_VALUE"""),0.049786628733997154)</f>
        <v>0.04978662873</v>
      </c>
      <c r="BH713" s="71">
        <f>IFERROR(__xludf.DUMMYFUNCTION("""COMPUTED_VALUE"""),1402.2)</f>
        <v>1402.2</v>
      </c>
      <c r="BI713" s="71">
        <f>IFERROR(__xludf.DUMMYFUNCTION("""COMPUTED_VALUE"""),224.352)</f>
        <v>224.352</v>
      </c>
      <c r="BJ713" s="71">
        <f>IFERROR(__xludf.DUMMYFUNCTION("""COMPUTED_VALUE"""),1626.5520000000001)</f>
        <v>1626.552</v>
      </c>
      <c r="BK713" s="71">
        <f>IFERROR(__xludf.DUMMYFUNCTION("""COMPUTED_VALUE"""),1328.4)</f>
        <v>1328.4</v>
      </c>
      <c r="BL713" s="71">
        <f>IFERROR(__xludf.DUMMYFUNCTION("""COMPUTED_VALUE"""),212.544)</f>
        <v>212.544</v>
      </c>
      <c r="BM713" s="71">
        <f>IFERROR(__xludf.DUMMYFUNCTION("""COMPUTED_VALUE"""),1540.9440000000002)</f>
        <v>1540.944</v>
      </c>
      <c r="BN713" s="71">
        <f>IFERROR(__xludf.DUMMYFUNCTION("""COMPUTED_VALUE"""),1254.6)</f>
        <v>1254.6</v>
      </c>
      <c r="BO713" s="71">
        <f>IFERROR(__xludf.DUMMYFUNCTION("""COMPUTED_VALUE"""),200.736)</f>
        <v>200.736</v>
      </c>
      <c r="BP713" s="71">
        <f>IFERROR(__xludf.DUMMYFUNCTION("""COMPUTED_VALUE"""),1455.3359999999998)</f>
        <v>1455.336</v>
      </c>
      <c r="BQ713" s="71">
        <f>IFERROR(__xludf.DUMMYFUNCTION("""COMPUTED_VALUE"""),1225.08)</f>
        <v>1225.08</v>
      </c>
      <c r="BR713" s="71">
        <f>IFERROR(__xludf.DUMMYFUNCTION("""COMPUTED_VALUE"""),196.0128)</f>
        <v>196.0128</v>
      </c>
      <c r="BS713" s="71">
        <f>IFERROR(__xludf.DUMMYFUNCTION("""COMPUTED_VALUE"""),1421.0928)</f>
        <v>1421.0928</v>
      </c>
      <c r="BT713" s="71">
        <f>IFERROR(__xludf.DUMMYFUNCTION("""COMPUTED_VALUE"""),1180.8)</f>
        <v>1180.8</v>
      </c>
      <c r="BU713" s="71">
        <f>IFERROR(__xludf.DUMMYFUNCTION("""COMPUTED_VALUE"""),188.928)</f>
        <v>188.928</v>
      </c>
      <c r="BV713" s="71">
        <f>IFERROR(__xludf.DUMMYFUNCTION("""COMPUTED_VALUE"""),1369.728)</f>
        <v>1369.728</v>
      </c>
    </row>
    <row r="714">
      <c r="A714" s="53">
        <v>1.0</v>
      </c>
      <c r="B714" s="72"/>
      <c r="C714" s="73" t="s">
        <v>53</v>
      </c>
      <c r="D714" s="53" t="s">
        <v>1706</v>
      </c>
      <c r="E714" s="54" t="s">
        <v>38</v>
      </c>
      <c r="F714" s="54" t="s">
        <v>42</v>
      </c>
      <c r="G714" s="88" t="s">
        <v>1707</v>
      </c>
      <c r="H714" s="54" t="s">
        <v>1708</v>
      </c>
      <c r="I714" s="54">
        <f t="shared" si="24"/>
        <v>40</v>
      </c>
      <c r="J714" s="56"/>
      <c r="K714" s="75"/>
      <c r="L714" s="87"/>
      <c r="M714" s="59"/>
      <c r="N714" s="60">
        <v>607.0</v>
      </c>
      <c r="O714" s="61">
        <v>655.0</v>
      </c>
      <c r="P714" s="62">
        <v>707.4000000000001</v>
      </c>
      <c r="Q714" s="63">
        <v>707.4000000000001</v>
      </c>
      <c r="R714" s="64">
        <v>788.0</v>
      </c>
      <c r="S714" s="111">
        <v>827.0</v>
      </c>
      <c r="T714" s="65">
        <f t="shared" si="2"/>
        <v>132.32</v>
      </c>
      <c r="U714" s="65">
        <f t="shared" si="3"/>
        <v>959.32</v>
      </c>
      <c r="V714" s="66">
        <f t="shared" si="4"/>
        <v>0.04949238579</v>
      </c>
      <c r="W714" s="67">
        <f t="shared" si="5"/>
        <v>785.65</v>
      </c>
      <c r="X714" s="67">
        <f t="shared" si="6"/>
        <v>125.704</v>
      </c>
      <c r="Y714" s="67">
        <f t="shared" si="7"/>
        <v>911.354</v>
      </c>
      <c r="Z714" s="67">
        <f t="shared" si="8"/>
        <v>744.3</v>
      </c>
      <c r="AA714" s="67">
        <f t="shared" si="9"/>
        <v>119.088</v>
      </c>
      <c r="AB714" s="67">
        <f t="shared" si="10"/>
        <v>863.388</v>
      </c>
      <c r="AC714" s="67">
        <f t="shared" si="11"/>
        <v>702.95</v>
      </c>
      <c r="AD714" s="67">
        <f t="shared" si="12"/>
        <v>112.472</v>
      </c>
      <c r="AE714" s="67">
        <f t="shared" si="13"/>
        <v>815.422</v>
      </c>
      <c r="AF714" s="67">
        <f t="shared" si="33"/>
        <v>686.41</v>
      </c>
      <c r="AG714" s="67">
        <f t="shared" si="15"/>
        <v>109.8256</v>
      </c>
      <c r="AH714" s="67">
        <f t="shared" si="16"/>
        <v>796.2356</v>
      </c>
      <c r="AI714" s="67">
        <f t="shared" si="17"/>
        <v>661.6</v>
      </c>
      <c r="AJ714" s="68">
        <f t="shared" si="31"/>
        <v>105.856</v>
      </c>
      <c r="AK714" s="68">
        <f t="shared" si="32"/>
        <v>767.456</v>
      </c>
      <c r="AL714" s="70">
        <f>IFERROR(__xludf.DUMMYFUNCTION("""COMPUTED_VALUE"""),1.0)</f>
        <v>1</v>
      </c>
      <c r="AM714" s="70"/>
      <c r="AN714" s="71" t="str">
        <f>IFERROR(__xludf.DUMMYFUNCTION("""COMPUTED_VALUE""")," C")</f>
        <v>C</v>
      </c>
      <c r="AO714" s="71" t="str">
        <f>IFERROR(__xludf.DUMMYFUNCTION("""COMPUTED_VALUE""")," JG131")</f>
        <v>JG131</v>
      </c>
      <c r="AP714" s="71" t="str">
        <f>IFERROR(__xludf.DUMMYFUNCTION("""COMPUTED_VALUE""")," PZA")</f>
        <v>PZA</v>
      </c>
      <c r="AQ714" s="71" t="str">
        <f>IFERROR(__xludf.DUMMYFUNCTION("""COMPUTED_VALUE""")," REF")</f>
        <v>REF</v>
      </c>
      <c r="AR714" s="71" t="str">
        <f>IFERROR(__xludf.DUMMYFUNCTION("""COMPUTED_VALUE""")," JUEGO DE PIEDRAS DE 12"" TIPO CAMARADA 2 1/2""")</f>
        <v>JUEGO DE PIEDRAS DE 12" TIPO CAMARADA 2 1/2"</v>
      </c>
      <c r="AS714" s="71" t="str">
        <f>IFERROR(__xludf.DUMMYFUNCTION("""COMPUTED_VALUE""")," JUEGO PIEDRAS 12 TIPO CAMARADA 2 1/2")</f>
        <v>JUEGO PIEDRAS 12 TIPO CAMARADA 2 1/2</v>
      </c>
      <c r="AT714" s="71">
        <f>IFERROR(__xludf.DUMMYFUNCTION("""COMPUTED_VALUE"""),36.0)</f>
        <v>36</v>
      </c>
      <c r="AU714" s="71"/>
      <c r="AV714" s="71"/>
      <c r="AW714" s="71"/>
      <c r="AX714" s="71"/>
      <c r="AY714" s="71">
        <f>IFERROR(__xludf.DUMMYFUNCTION("""COMPUTED_VALUE"""),1204.0)</f>
        <v>1204</v>
      </c>
      <c r="AZ714" s="71">
        <f>IFERROR(__xludf.DUMMYFUNCTION("""COMPUTED_VALUE"""),1300.0)</f>
        <v>1300</v>
      </c>
      <c r="BA714" s="71">
        <f>IFERROR(__xludf.DUMMYFUNCTION("""COMPUTED_VALUE"""),1642.56)</f>
        <v>1642.56</v>
      </c>
      <c r="BB714" s="71">
        <f>IFERROR(__xludf.DUMMYFUNCTION("""COMPUTED_VALUE"""),1642.56)</f>
        <v>1642.56</v>
      </c>
      <c r="BC714" s="71">
        <f>IFERROR(__xludf.DUMMYFUNCTION("""COMPUTED_VALUE"""),1726.0)</f>
        <v>1726</v>
      </c>
      <c r="BD714" s="71">
        <f>IFERROR(__xludf.DUMMYFUNCTION("""COMPUTED_VALUE"""),1812.0)</f>
        <v>1812</v>
      </c>
      <c r="BE714" s="71">
        <f>IFERROR(__xludf.DUMMYFUNCTION("""COMPUTED_VALUE"""),289.92)</f>
        <v>289.92</v>
      </c>
      <c r="BF714" s="71">
        <f>IFERROR(__xludf.DUMMYFUNCTION("""COMPUTED_VALUE"""),2101.92)</f>
        <v>2101.92</v>
      </c>
      <c r="BG714" s="71">
        <f>IFERROR(__xludf.DUMMYFUNCTION("""COMPUTED_VALUE"""),0.04982618771726535)</f>
        <v>0.04982618772</v>
      </c>
      <c r="BH714" s="71">
        <f>IFERROR(__xludf.DUMMYFUNCTION("""COMPUTED_VALUE"""),1721.3999999999999)</f>
        <v>1721.4</v>
      </c>
      <c r="BI714" s="71">
        <f>IFERROR(__xludf.DUMMYFUNCTION("""COMPUTED_VALUE"""),275.424)</f>
        <v>275.424</v>
      </c>
      <c r="BJ714" s="71">
        <f>IFERROR(__xludf.DUMMYFUNCTION("""COMPUTED_VALUE"""),1996.8239999999998)</f>
        <v>1996.824</v>
      </c>
      <c r="BK714" s="71">
        <f>IFERROR(__xludf.DUMMYFUNCTION("""COMPUTED_VALUE"""),1630.8)</f>
        <v>1630.8</v>
      </c>
      <c r="BL714" s="71">
        <f>IFERROR(__xludf.DUMMYFUNCTION("""COMPUTED_VALUE"""),260.928)</f>
        <v>260.928</v>
      </c>
      <c r="BM714" s="71">
        <f>IFERROR(__xludf.DUMMYFUNCTION("""COMPUTED_VALUE"""),1891.728)</f>
        <v>1891.728</v>
      </c>
      <c r="BN714" s="71">
        <f>IFERROR(__xludf.DUMMYFUNCTION("""COMPUTED_VALUE"""),1540.2)</f>
        <v>1540.2</v>
      </c>
      <c r="BO714" s="71">
        <f>IFERROR(__xludf.DUMMYFUNCTION("""COMPUTED_VALUE"""),246.43200000000002)</f>
        <v>246.432</v>
      </c>
      <c r="BP714" s="71">
        <f>IFERROR(__xludf.DUMMYFUNCTION("""COMPUTED_VALUE"""),1786.632)</f>
        <v>1786.632</v>
      </c>
      <c r="BQ714" s="71">
        <f>IFERROR(__xludf.DUMMYFUNCTION("""COMPUTED_VALUE"""),1503.96)</f>
        <v>1503.96</v>
      </c>
      <c r="BR714" s="71">
        <f>IFERROR(__xludf.DUMMYFUNCTION("""COMPUTED_VALUE"""),240.6336)</f>
        <v>240.6336</v>
      </c>
      <c r="BS714" s="71">
        <f>IFERROR(__xludf.DUMMYFUNCTION("""COMPUTED_VALUE"""),1744.5936000000002)</f>
        <v>1744.5936</v>
      </c>
      <c r="BT714" s="71">
        <f>IFERROR(__xludf.DUMMYFUNCTION("""COMPUTED_VALUE"""),1449.6000000000001)</f>
        <v>1449.6</v>
      </c>
      <c r="BU714" s="71">
        <f>IFERROR(__xludf.DUMMYFUNCTION("""COMPUTED_VALUE"""),231.93600000000004)</f>
        <v>231.936</v>
      </c>
      <c r="BV714" s="71">
        <f>IFERROR(__xludf.DUMMYFUNCTION("""COMPUTED_VALUE"""),1681.536)</f>
        <v>1681.536</v>
      </c>
    </row>
    <row r="715">
      <c r="A715" s="53">
        <v>1.0</v>
      </c>
      <c r="B715" s="72"/>
      <c r="C715" s="73" t="s">
        <v>53</v>
      </c>
      <c r="D715" s="53" t="s">
        <v>1709</v>
      </c>
      <c r="E715" s="54" t="s">
        <v>38</v>
      </c>
      <c r="F715" s="54" t="s">
        <v>42</v>
      </c>
      <c r="G715" s="88" t="s">
        <v>1710</v>
      </c>
      <c r="H715" s="54" t="s">
        <v>1711</v>
      </c>
      <c r="I715" s="54">
        <f t="shared" si="24"/>
        <v>40</v>
      </c>
      <c r="J715" s="56"/>
      <c r="K715" s="75"/>
      <c r="L715" s="76"/>
      <c r="M715" s="59"/>
      <c r="N715" s="60">
        <v>570.0</v>
      </c>
      <c r="O715" s="61">
        <v>615.0</v>
      </c>
      <c r="P715" s="62">
        <v>664.2</v>
      </c>
      <c r="Q715" s="63">
        <v>664.2</v>
      </c>
      <c r="R715" s="64">
        <v>741.0</v>
      </c>
      <c r="S715" s="111">
        <v>778.0</v>
      </c>
      <c r="T715" s="65">
        <f t="shared" si="2"/>
        <v>124.48</v>
      </c>
      <c r="U715" s="65">
        <f t="shared" si="3"/>
        <v>902.48</v>
      </c>
      <c r="V715" s="66">
        <f t="shared" si="4"/>
        <v>0.04993252362</v>
      </c>
      <c r="W715" s="67">
        <f t="shared" si="5"/>
        <v>739.1</v>
      </c>
      <c r="X715" s="67">
        <f t="shared" si="6"/>
        <v>118.256</v>
      </c>
      <c r="Y715" s="67">
        <f t="shared" si="7"/>
        <v>857.356</v>
      </c>
      <c r="Z715" s="67">
        <f t="shared" si="8"/>
        <v>700.2</v>
      </c>
      <c r="AA715" s="67">
        <f t="shared" si="9"/>
        <v>112.032</v>
      </c>
      <c r="AB715" s="67">
        <f t="shared" si="10"/>
        <v>812.232</v>
      </c>
      <c r="AC715" s="67">
        <f t="shared" si="11"/>
        <v>661.3</v>
      </c>
      <c r="AD715" s="67">
        <f t="shared" si="12"/>
        <v>105.808</v>
      </c>
      <c r="AE715" s="67">
        <f t="shared" si="13"/>
        <v>767.108</v>
      </c>
      <c r="AF715" s="67">
        <f t="shared" si="33"/>
        <v>645.74</v>
      </c>
      <c r="AG715" s="67">
        <f t="shared" si="15"/>
        <v>103.3184</v>
      </c>
      <c r="AH715" s="67">
        <f t="shared" si="16"/>
        <v>749.0584</v>
      </c>
      <c r="AI715" s="67">
        <f t="shared" si="17"/>
        <v>622.4</v>
      </c>
      <c r="AJ715" s="68">
        <f t="shared" si="31"/>
        <v>99.584</v>
      </c>
      <c r="AK715" s="68">
        <f t="shared" si="32"/>
        <v>721.984</v>
      </c>
      <c r="AL715" s="70">
        <f>IFERROR(__xludf.DUMMYFUNCTION("""COMPUTED_VALUE"""),1.0)</f>
        <v>1</v>
      </c>
      <c r="AM715" s="70"/>
      <c r="AN715" s="71" t="str">
        <f>IFERROR(__xludf.DUMMYFUNCTION("""COMPUTED_VALUE""")," C")</f>
        <v>C</v>
      </c>
      <c r="AO715" s="71" t="str">
        <f>IFERROR(__xludf.DUMMYFUNCTION("""COMPUTED_VALUE""")," JG133")</f>
        <v>JG133</v>
      </c>
      <c r="AP715" s="71" t="str">
        <f>IFERROR(__xludf.DUMMYFUNCTION("""COMPUTED_VALUE""")," PZA")</f>
        <v>PZA</v>
      </c>
      <c r="AQ715" s="71" t="str">
        <f>IFERROR(__xludf.DUMMYFUNCTION("""COMPUTED_VALUE""")," REF")</f>
        <v>REF</v>
      </c>
      <c r="AR715" s="71" t="str">
        <f>IFERROR(__xludf.DUMMYFUNCTION("""COMPUTED_VALUE""")," JUEGO DE PIEDRAS DE 12"" TOLUCA INT 2 1/2""")</f>
        <v>JUEGO DE PIEDRAS DE 12" TOLUCA INT 2 1/2"</v>
      </c>
      <c r="AS715" s="71" t="str">
        <f>IFERROR(__xludf.DUMMYFUNCTION("""COMPUTED_VALUE""")," JUEGO PIEDRAS 12 TOLUCA INT 2 1/2")</f>
        <v>JUEGO PIEDRAS 12 TOLUCA INT 2 1/2</v>
      </c>
      <c r="AT715" s="71">
        <f>IFERROR(__xludf.DUMMYFUNCTION("""COMPUTED_VALUE"""),33.0)</f>
        <v>33</v>
      </c>
      <c r="AU715" s="71"/>
      <c r="AV715" s="71"/>
      <c r="AW715" s="71"/>
      <c r="AX715" s="71"/>
      <c r="AY715" s="71">
        <f>IFERROR(__xludf.DUMMYFUNCTION("""COMPUTED_VALUE"""),945.0)</f>
        <v>945</v>
      </c>
      <c r="AZ715" s="71">
        <f>IFERROR(__xludf.DUMMYFUNCTION("""COMPUTED_VALUE"""),1260.0)</f>
        <v>1260</v>
      </c>
      <c r="BA715" s="71">
        <f>IFERROR(__xludf.DUMMYFUNCTION("""COMPUTED_VALUE"""),1360.8000000000002)</f>
        <v>1360.8</v>
      </c>
      <c r="BB715" s="71">
        <f>IFERROR(__xludf.DUMMYFUNCTION("""COMPUTED_VALUE"""),1360.8000000000002)</f>
        <v>1360.8</v>
      </c>
      <c r="BC715" s="71">
        <f>IFERROR(__xludf.DUMMYFUNCTION("""COMPUTED_VALUE"""),1430.0)</f>
        <v>1430</v>
      </c>
      <c r="BD715" s="71">
        <f>IFERROR(__xludf.DUMMYFUNCTION("""COMPUTED_VALUE"""),1502.0)</f>
        <v>1502</v>
      </c>
      <c r="BE715" s="71">
        <f>IFERROR(__xludf.DUMMYFUNCTION("""COMPUTED_VALUE"""),240.32)</f>
        <v>240.32</v>
      </c>
      <c r="BF715" s="71">
        <f>IFERROR(__xludf.DUMMYFUNCTION("""COMPUTED_VALUE"""),1742.32)</f>
        <v>1742.32</v>
      </c>
      <c r="BG715" s="71">
        <f>IFERROR(__xludf.DUMMYFUNCTION("""COMPUTED_VALUE"""),0.05034965034965035)</f>
        <v>0.05034965035</v>
      </c>
      <c r="BH715" s="71">
        <f>IFERROR(__xludf.DUMMYFUNCTION("""COMPUTED_VALUE"""),1426.8999999999999)</f>
        <v>1426.9</v>
      </c>
      <c r="BI715" s="71">
        <f>IFERROR(__xludf.DUMMYFUNCTION("""COMPUTED_VALUE"""),228.30399999999997)</f>
        <v>228.304</v>
      </c>
      <c r="BJ715" s="71">
        <f>IFERROR(__xludf.DUMMYFUNCTION("""COMPUTED_VALUE"""),1655.2039999999997)</f>
        <v>1655.204</v>
      </c>
      <c r="BK715" s="71">
        <f>IFERROR(__xludf.DUMMYFUNCTION("""COMPUTED_VALUE"""),1351.8)</f>
        <v>1351.8</v>
      </c>
      <c r="BL715" s="71">
        <f>IFERROR(__xludf.DUMMYFUNCTION("""COMPUTED_VALUE"""),216.288)</f>
        <v>216.288</v>
      </c>
      <c r="BM715" s="71">
        <f>IFERROR(__xludf.DUMMYFUNCTION("""COMPUTED_VALUE"""),1568.088)</f>
        <v>1568.088</v>
      </c>
      <c r="BN715" s="71">
        <f>IFERROR(__xludf.DUMMYFUNCTION("""COMPUTED_VALUE"""),1276.7)</f>
        <v>1276.7</v>
      </c>
      <c r="BO715" s="71">
        <f>IFERROR(__xludf.DUMMYFUNCTION("""COMPUTED_VALUE"""),204.27200000000002)</f>
        <v>204.272</v>
      </c>
      <c r="BP715" s="71">
        <f>IFERROR(__xludf.DUMMYFUNCTION("""COMPUTED_VALUE"""),1480.972)</f>
        <v>1480.972</v>
      </c>
      <c r="BQ715" s="71">
        <f>IFERROR(__xludf.DUMMYFUNCTION("""COMPUTED_VALUE"""),1246.6599999999999)</f>
        <v>1246.66</v>
      </c>
      <c r="BR715" s="71">
        <f>IFERROR(__xludf.DUMMYFUNCTION("""COMPUTED_VALUE"""),199.4656)</f>
        <v>199.4656</v>
      </c>
      <c r="BS715" s="71">
        <f>IFERROR(__xludf.DUMMYFUNCTION("""COMPUTED_VALUE"""),1446.1255999999998)</f>
        <v>1446.1256</v>
      </c>
      <c r="BT715" s="71">
        <f>IFERROR(__xludf.DUMMYFUNCTION("""COMPUTED_VALUE"""),1201.6000000000001)</f>
        <v>1201.6</v>
      </c>
      <c r="BU715" s="71">
        <f>IFERROR(__xludf.DUMMYFUNCTION("""COMPUTED_VALUE"""),192.25600000000003)</f>
        <v>192.256</v>
      </c>
      <c r="BV715" s="71">
        <f>IFERROR(__xludf.DUMMYFUNCTION("""COMPUTED_VALUE"""),1393.8560000000002)</f>
        <v>1393.856</v>
      </c>
    </row>
    <row r="716">
      <c r="A716" s="53">
        <v>1.0</v>
      </c>
      <c r="B716" s="72"/>
      <c r="C716" s="73" t="s">
        <v>53</v>
      </c>
      <c r="D716" s="53" t="s">
        <v>1712</v>
      </c>
      <c r="E716" s="54" t="s">
        <v>38</v>
      </c>
      <c r="F716" s="54" t="s">
        <v>42</v>
      </c>
      <c r="G716" s="88" t="s">
        <v>1713</v>
      </c>
      <c r="H716" s="54" t="s">
        <v>1714</v>
      </c>
      <c r="I716" s="54">
        <f t="shared" si="24"/>
        <v>40</v>
      </c>
      <c r="J716" s="56"/>
      <c r="K716" s="57"/>
      <c r="L716" s="87"/>
      <c r="M716" s="59"/>
      <c r="N716" s="60">
        <v>457.0</v>
      </c>
      <c r="O716" s="61">
        <v>493.0</v>
      </c>
      <c r="P716" s="62">
        <v>532.44</v>
      </c>
      <c r="Q716" s="63">
        <v>532.44</v>
      </c>
      <c r="R716" s="64">
        <v>594.0</v>
      </c>
      <c r="S716" s="111">
        <v>624.0</v>
      </c>
      <c r="T716" s="65">
        <f t="shared" si="2"/>
        <v>99.84</v>
      </c>
      <c r="U716" s="65">
        <f t="shared" si="3"/>
        <v>723.84</v>
      </c>
      <c r="V716" s="66">
        <f t="shared" si="4"/>
        <v>0.05050505051</v>
      </c>
      <c r="W716" s="67">
        <f t="shared" si="5"/>
        <v>592.8</v>
      </c>
      <c r="X716" s="67">
        <f t="shared" si="6"/>
        <v>94.848</v>
      </c>
      <c r="Y716" s="67">
        <f t="shared" si="7"/>
        <v>687.648</v>
      </c>
      <c r="Z716" s="67">
        <f t="shared" si="8"/>
        <v>561.6</v>
      </c>
      <c r="AA716" s="67">
        <f t="shared" si="9"/>
        <v>89.856</v>
      </c>
      <c r="AB716" s="67">
        <f t="shared" si="10"/>
        <v>651.456</v>
      </c>
      <c r="AC716" s="67">
        <f t="shared" si="11"/>
        <v>530.4</v>
      </c>
      <c r="AD716" s="67">
        <f t="shared" si="12"/>
        <v>84.864</v>
      </c>
      <c r="AE716" s="67">
        <f t="shared" si="13"/>
        <v>615.264</v>
      </c>
      <c r="AF716" s="67">
        <f t="shared" si="33"/>
        <v>517.92</v>
      </c>
      <c r="AG716" s="67">
        <f t="shared" si="15"/>
        <v>82.8672</v>
      </c>
      <c r="AH716" s="67">
        <f t="shared" si="16"/>
        <v>600.7872</v>
      </c>
      <c r="AI716" s="67">
        <f t="shared" si="17"/>
        <v>499.2</v>
      </c>
      <c r="AJ716" s="68">
        <f t="shared" si="31"/>
        <v>79.872</v>
      </c>
      <c r="AK716" s="68">
        <f t="shared" si="32"/>
        <v>579.072</v>
      </c>
      <c r="AL716" s="70">
        <f>IFERROR(__xludf.DUMMYFUNCTION("""COMPUTED_VALUE"""),1.0)</f>
        <v>1</v>
      </c>
      <c r="AM716" s="70"/>
      <c r="AN716" s="71" t="str">
        <f>IFERROR(__xludf.DUMMYFUNCTION("""COMPUTED_VALUE""")," C")</f>
        <v>C</v>
      </c>
      <c r="AO716" s="71" t="str">
        <f>IFERROR(__xludf.DUMMYFUNCTION("""COMPUTED_VALUE""")," JG130")</f>
        <v>JG130</v>
      </c>
      <c r="AP716" s="71" t="str">
        <f>IFERROR(__xludf.DUMMYFUNCTION("""COMPUTED_VALUE""")," PZA")</f>
        <v>PZA</v>
      </c>
      <c r="AQ716" s="71" t="str">
        <f>IFERROR(__xludf.DUMMYFUNCTION("""COMPUTED_VALUE""")," REF")</f>
        <v>REF</v>
      </c>
      <c r="AR716" s="71" t="str">
        <f>IFERROR(__xludf.DUMMYFUNCTION("""COMPUTED_VALUE""")," JUEGO DE PIEDRAS DE 12"" TOLUCA INT 2 1/4""")</f>
        <v>JUEGO DE PIEDRAS DE 12" TOLUCA INT 2 1/4"</v>
      </c>
      <c r="AS716" s="71" t="str">
        <f>IFERROR(__xludf.DUMMYFUNCTION("""COMPUTED_VALUE""")," JUEGO PIEDRAS 12 TOLUCA INT 2 1/4")</f>
        <v>JUEGO PIEDRAS 12 TOLUCA INT 2 1/4</v>
      </c>
      <c r="AT716" s="71">
        <f>IFERROR(__xludf.DUMMYFUNCTION("""COMPUTED_VALUE"""),33.0)</f>
        <v>33</v>
      </c>
      <c r="AU716" s="71"/>
      <c r="AV716" s="71"/>
      <c r="AW716" s="71"/>
      <c r="AX716" s="71"/>
      <c r="AY716" s="71">
        <f>IFERROR(__xludf.DUMMYFUNCTION("""COMPUTED_VALUE"""),945.0)</f>
        <v>945</v>
      </c>
      <c r="AZ716" s="71">
        <f>IFERROR(__xludf.DUMMYFUNCTION("""COMPUTED_VALUE"""),1020.0)</f>
        <v>1020</v>
      </c>
      <c r="BA716" s="71">
        <f>IFERROR(__xludf.DUMMYFUNCTION("""COMPUTED_VALUE"""),1101.6000000000001)</f>
        <v>1101.6</v>
      </c>
      <c r="BB716" s="71">
        <f>IFERROR(__xludf.DUMMYFUNCTION("""COMPUTED_VALUE"""),1101.6000000000001)</f>
        <v>1101.6</v>
      </c>
      <c r="BC716" s="71">
        <f>IFERROR(__xludf.DUMMYFUNCTION("""COMPUTED_VALUE"""),1227.0)</f>
        <v>1227</v>
      </c>
      <c r="BD716" s="71">
        <f>IFERROR(__xludf.DUMMYFUNCTION("""COMPUTED_VALUE"""),1288.0)</f>
        <v>1288</v>
      </c>
      <c r="BE716" s="71">
        <f>IFERROR(__xludf.DUMMYFUNCTION("""COMPUTED_VALUE"""),206.08)</f>
        <v>206.08</v>
      </c>
      <c r="BF716" s="71">
        <f>IFERROR(__xludf.DUMMYFUNCTION("""COMPUTED_VALUE"""),1494.08)</f>
        <v>1494.08</v>
      </c>
      <c r="BG716" s="71">
        <f>IFERROR(__xludf.DUMMYFUNCTION("""COMPUTED_VALUE"""),0.04971475142624287)</f>
        <v>0.04971475143</v>
      </c>
      <c r="BH716" s="71">
        <f>IFERROR(__xludf.DUMMYFUNCTION("""COMPUTED_VALUE"""),1223.6)</f>
        <v>1223.6</v>
      </c>
      <c r="BI716" s="71">
        <f>IFERROR(__xludf.DUMMYFUNCTION("""COMPUTED_VALUE"""),195.77599999999998)</f>
        <v>195.776</v>
      </c>
      <c r="BJ716" s="71">
        <f>IFERROR(__xludf.DUMMYFUNCTION("""COMPUTED_VALUE"""),1419.376)</f>
        <v>1419.376</v>
      </c>
      <c r="BK716" s="71">
        <f>IFERROR(__xludf.DUMMYFUNCTION("""COMPUTED_VALUE"""),1159.2)</f>
        <v>1159.2</v>
      </c>
      <c r="BL716" s="71">
        <f>IFERROR(__xludf.DUMMYFUNCTION("""COMPUTED_VALUE"""),185.472)</f>
        <v>185.472</v>
      </c>
      <c r="BM716" s="71">
        <f>IFERROR(__xludf.DUMMYFUNCTION("""COMPUTED_VALUE"""),1344.672)</f>
        <v>1344.672</v>
      </c>
      <c r="BN716" s="71">
        <f>IFERROR(__xludf.DUMMYFUNCTION("""COMPUTED_VALUE"""),1094.8)</f>
        <v>1094.8</v>
      </c>
      <c r="BO716" s="71">
        <f>IFERROR(__xludf.DUMMYFUNCTION("""COMPUTED_VALUE"""),175.168)</f>
        <v>175.168</v>
      </c>
      <c r="BP716" s="71">
        <f>IFERROR(__xludf.DUMMYFUNCTION("""COMPUTED_VALUE"""),1269.9679999999998)</f>
        <v>1269.968</v>
      </c>
      <c r="BQ716" s="71">
        <f>IFERROR(__xludf.DUMMYFUNCTION("""COMPUTED_VALUE"""),1069.04)</f>
        <v>1069.04</v>
      </c>
      <c r="BR716" s="71">
        <f>IFERROR(__xludf.DUMMYFUNCTION("""COMPUTED_VALUE"""),171.0464)</f>
        <v>171.0464</v>
      </c>
      <c r="BS716" s="71">
        <f>IFERROR(__xludf.DUMMYFUNCTION("""COMPUTED_VALUE"""),1240.0864)</f>
        <v>1240.0864</v>
      </c>
      <c r="BT716" s="71">
        <f>IFERROR(__xludf.DUMMYFUNCTION("""COMPUTED_VALUE"""),1030.4)</f>
        <v>1030.4</v>
      </c>
      <c r="BU716" s="71">
        <f>IFERROR(__xludf.DUMMYFUNCTION("""COMPUTED_VALUE"""),164.864)</f>
        <v>164.864</v>
      </c>
      <c r="BV716" s="71">
        <f>IFERROR(__xludf.DUMMYFUNCTION("""COMPUTED_VALUE"""),1195.2640000000001)</f>
        <v>1195.264</v>
      </c>
    </row>
    <row r="717">
      <c r="A717" s="53">
        <v>1.0</v>
      </c>
      <c r="B717" s="72"/>
      <c r="C717" s="73" t="s">
        <v>53</v>
      </c>
      <c r="D717" s="74" t="s">
        <v>1715</v>
      </c>
      <c r="E717" s="54" t="s">
        <v>38</v>
      </c>
      <c r="F717" s="54" t="s">
        <v>42</v>
      </c>
      <c r="G717" s="88" t="s">
        <v>1716</v>
      </c>
      <c r="H717" s="54" t="s">
        <v>1717</v>
      </c>
      <c r="I717" s="54">
        <f t="shared" si="24"/>
        <v>27</v>
      </c>
      <c r="J717" s="56"/>
      <c r="K717" s="75"/>
      <c r="L717" s="76"/>
      <c r="M717" s="59"/>
      <c r="N717" s="60">
        <v>348.0</v>
      </c>
      <c r="O717" s="61">
        <v>375.0</v>
      </c>
      <c r="P717" s="62">
        <v>405.0</v>
      </c>
      <c r="Q717" s="63">
        <v>405.0</v>
      </c>
      <c r="R717" s="64">
        <v>452.0</v>
      </c>
      <c r="S717" s="111">
        <v>475.0</v>
      </c>
      <c r="T717" s="65">
        <f t="shared" si="2"/>
        <v>76</v>
      </c>
      <c r="U717" s="65">
        <f t="shared" si="3"/>
        <v>551</v>
      </c>
      <c r="V717" s="66">
        <f t="shared" si="4"/>
        <v>0.05088495575</v>
      </c>
      <c r="W717" s="67">
        <f t="shared" si="5"/>
        <v>451.25</v>
      </c>
      <c r="X717" s="67">
        <f t="shared" si="6"/>
        <v>72.2</v>
      </c>
      <c r="Y717" s="67">
        <f t="shared" si="7"/>
        <v>523.45</v>
      </c>
      <c r="Z717" s="67">
        <f t="shared" si="8"/>
        <v>427.5</v>
      </c>
      <c r="AA717" s="67">
        <f t="shared" si="9"/>
        <v>68.4</v>
      </c>
      <c r="AB717" s="67">
        <f t="shared" si="10"/>
        <v>495.9</v>
      </c>
      <c r="AC717" s="67">
        <f t="shared" si="11"/>
        <v>403.75</v>
      </c>
      <c r="AD717" s="67">
        <f t="shared" si="12"/>
        <v>64.6</v>
      </c>
      <c r="AE717" s="67">
        <f t="shared" si="13"/>
        <v>468.35</v>
      </c>
      <c r="AF717" s="67">
        <f t="shared" si="33"/>
        <v>394.25</v>
      </c>
      <c r="AG717" s="67">
        <f t="shared" si="15"/>
        <v>63.08</v>
      </c>
      <c r="AH717" s="67">
        <f t="shared" si="16"/>
        <v>457.33</v>
      </c>
      <c r="AI717" s="67">
        <f t="shared" si="17"/>
        <v>380</v>
      </c>
      <c r="AJ717" s="68">
        <f t="shared" si="31"/>
        <v>60.8</v>
      </c>
      <c r="AK717" s="68">
        <f t="shared" si="32"/>
        <v>440.8</v>
      </c>
      <c r="AL717" s="70">
        <f>IFERROR(__xludf.DUMMYFUNCTION("""COMPUTED_VALUE"""),1.0)</f>
        <v>1</v>
      </c>
      <c r="AM717" s="70"/>
      <c r="AN717" s="71" t="str">
        <f>IFERROR(__xludf.DUMMYFUNCTION("""COMPUTED_VALUE""")," C")</f>
        <v>C</v>
      </c>
      <c r="AO717" s="71" t="str">
        <f>IFERROR(__xludf.DUMMYFUNCTION("""COMPUTED_VALUE""")," JG154")</f>
        <v>JG154</v>
      </c>
      <c r="AP717" s="71" t="str">
        <f>IFERROR(__xludf.DUMMYFUNCTION("""COMPUTED_VALUE""")," PZA")</f>
        <v>PZA</v>
      </c>
      <c r="AQ717" s="71" t="str">
        <f>IFERROR(__xludf.DUMMYFUNCTION("""COMPUTED_VALUE""")," REF")</f>
        <v>REF</v>
      </c>
      <c r="AR717" s="71" t="str">
        <f>IFERROR(__xludf.DUMMYFUNCTION("""COMPUTED_VALUE""")," JUEGO DE PIEDRAS DE 13"" TOLUCA INT 2 1/4""")</f>
        <v>JUEGO DE PIEDRAS DE 13" TOLUCA INT 2 1/4"</v>
      </c>
      <c r="AS717" s="71" t="str">
        <f>IFERROR(__xludf.DUMMYFUNCTION("""COMPUTED_VALUE""")," JUEGO PIEDRAS 13 TOLUCA INT 2 1/4")</f>
        <v>JUEGO PIEDRAS 13 TOLUCA INT 2 1/4</v>
      </c>
      <c r="AT717" s="71">
        <f>IFERROR(__xludf.DUMMYFUNCTION("""COMPUTED_VALUE"""),33.0)</f>
        <v>33</v>
      </c>
      <c r="AU717" s="71"/>
      <c r="AV717" s="71"/>
      <c r="AW717" s="71"/>
      <c r="AX717" s="71"/>
      <c r="AY717" s="71">
        <f>IFERROR(__xludf.DUMMYFUNCTION("""COMPUTED_VALUE"""),1305.0)</f>
        <v>1305</v>
      </c>
      <c r="AZ717" s="71">
        <f>IFERROR(__xludf.DUMMYFUNCTION("""COMPUTED_VALUE"""),1409.0)</f>
        <v>1409</v>
      </c>
      <c r="BA717" s="71">
        <f>IFERROR(__xludf.DUMMYFUNCTION("""COMPUTED_VALUE"""),1521.72)</f>
        <v>1521.72</v>
      </c>
      <c r="BB717" s="71">
        <f>IFERROR(__xludf.DUMMYFUNCTION("""COMPUTED_VALUE"""),1521.72)</f>
        <v>1521.72</v>
      </c>
      <c r="BC717" s="71">
        <f>IFERROR(__xludf.DUMMYFUNCTION("""COMPUTED_VALUE"""),1599.0)</f>
        <v>1599</v>
      </c>
      <c r="BD717" s="71">
        <f>IFERROR(__xludf.DUMMYFUNCTION("""COMPUTED_VALUE"""),1679.0)</f>
        <v>1679</v>
      </c>
      <c r="BE717" s="71">
        <f>IFERROR(__xludf.DUMMYFUNCTION("""COMPUTED_VALUE"""),268.64)</f>
        <v>268.64</v>
      </c>
      <c r="BF717" s="71">
        <f>IFERROR(__xludf.DUMMYFUNCTION("""COMPUTED_VALUE"""),1947.6399999999999)</f>
        <v>1947.64</v>
      </c>
      <c r="BG717" s="71">
        <f>IFERROR(__xludf.DUMMYFUNCTION("""COMPUTED_VALUE"""),0.050031269543464665)</f>
        <v>0.05003126954</v>
      </c>
      <c r="BH717" s="71">
        <f>IFERROR(__xludf.DUMMYFUNCTION("""COMPUTED_VALUE"""),1595.05)</f>
        <v>1595.05</v>
      </c>
      <c r="BI717" s="71">
        <f>IFERROR(__xludf.DUMMYFUNCTION("""COMPUTED_VALUE"""),255.208)</f>
        <v>255.208</v>
      </c>
      <c r="BJ717" s="71">
        <f>IFERROR(__xludf.DUMMYFUNCTION("""COMPUTED_VALUE"""),1850.258)</f>
        <v>1850.258</v>
      </c>
      <c r="BK717" s="71">
        <f>IFERROR(__xludf.DUMMYFUNCTION("""COMPUTED_VALUE"""),1511.1000000000001)</f>
        <v>1511.1</v>
      </c>
      <c r="BL717" s="71">
        <f>IFERROR(__xludf.DUMMYFUNCTION("""COMPUTED_VALUE"""),241.77600000000004)</f>
        <v>241.776</v>
      </c>
      <c r="BM717" s="71">
        <f>IFERROR(__xludf.DUMMYFUNCTION("""COMPUTED_VALUE"""),1752.8760000000002)</f>
        <v>1752.876</v>
      </c>
      <c r="BN717" s="71">
        <f>IFERROR(__xludf.DUMMYFUNCTION("""COMPUTED_VALUE"""),1427.1499999999999)</f>
        <v>1427.15</v>
      </c>
      <c r="BO717" s="71">
        <f>IFERROR(__xludf.DUMMYFUNCTION("""COMPUTED_VALUE"""),228.344)</f>
        <v>228.344</v>
      </c>
      <c r="BP717" s="71">
        <f>IFERROR(__xludf.DUMMYFUNCTION("""COMPUTED_VALUE"""),1655.494)</f>
        <v>1655.494</v>
      </c>
      <c r="BQ717" s="71">
        <f>IFERROR(__xludf.DUMMYFUNCTION("""COMPUTED_VALUE"""),1393.57)</f>
        <v>1393.57</v>
      </c>
      <c r="BR717" s="71">
        <f>IFERROR(__xludf.DUMMYFUNCTION("""COMPUTED_VALUE"""),222.97119999999998)</f>
        <v>222.9712</v>
      </c>
      <c r="BS717" s="71">
        <f>IFERROR(__xludf.DUMMYFUNCTION("""COMPUTED_VALUE"""),1616.5412)</f>
        <v>1616.5412</v>
      </c>
      <c r="BT717" s="71">
        <f>IFERROR(__xludf.DUMMYFUNCTION("""COMPUTED_VALUE"""),1343.2)</f>
        <v>1343.2</v>
      </c>
      <c r="BU717" s="71">
        <f>IFERROR(__xludf.DUMMYFUNCTION("""COMPUTED_VALUE"""),214.912)</f>
        <v>214.912</v>
      </c>
      <c r="BV717" s="71">
        <f>IFERROR(__xludf.DUMMYFUNCTION("""COMPUTED_VALUE"""),1558.112)</f>
        <v>1558.112</v>
      </c>
    </row>
    <row r="718">
      <c r="A718" s="53"/>
      <c r="B718" s="53"/>
      <c r="C718" s="53" t="s">
        <v>53</v>
      </c>
      <c r="D718" s="53" t="s">
        <v>1718</v>
      </c>
      <c r="E718" s="54" t="s">
        <v>38</v>
      </c>
      <c r="F718" s="54" t="s">
        <v>42</v>
      </c>
      <c r="G718" s="55" t="s">
        <v>1719</v>
      </c>
      <c r="H718" s="55" t="s">
        <v>1720</v>
      </c>
      <c r="I718" s="54">
        <f t="shared" si="24"/>
        <v>40</v>
      </c>
      <c r="J718" s="56"/>
      <c r="K718" s="75"/>
      <c r="L718" s="76"/>
      <c r="M718" s="59"/>
      <c r="N718" s="79"/>
      <c r="O718" s="61">
        <v>420.0</v>
      </c>
      <c r="P718" s="62">
        <v>453.6</v>
      </c>
      <c r="Q718" s="63">
        <v>453.6</v>
      </c>
      <c r="R718" s="64">
        <v>477.0</v>
      </c>
      <c r="S718" s="111">
        <v>501.0</v>
      </c>
      <c r="T718" s="65">
        <f t="shared" si="2"/>
        <v>80.16</v>
      </c>
      <c r="U718" s="65">
        <f t="shared" si="3"/>
        <v>581.16</v>
      </c>
      <c r="V718" s="66">
        <f t="shared" si="4"/>
        <v>0.05031446541</v>
      </c>
      <c r="W718" s="67">
        <f t="shared" si="5"/>
        <v>475.95</v>
      </c>
      <c r="X718" s="67">
        <f t="shared" si="6"/>
        <v>76.152</v>
      </c>
      <c r="Y718" s="67">
        <f t="shared" si="7"/>
        <v>552.102</v>
      </c>
      <c r="Z718" s="67">
        <f t="shared" si="8"/>
        <v>450.9</v>
      </c>
      <c r="AA718" s="67">
        <f t="shared" si="9"/>
        <v>72.144</v>
      </c>
      <c r="AB718" s="67">
        <f t="shared" si="10"/>
        <v>523.044</v>
      </c>
      <c r="AC718" s="67">
        <f t="shared" si="11"/>
        <v>425.85</v>
      </c>
      <c r="AD718" s="67">
        <f t="shared" si="12"/>
        <v>68.136</v>
      </c>
      <c r="AE718" s="67">
        <f t="shared" si="13"/>
        <v>493.986</v>
      </c>
      <c r="AF718" s="67">
        <f t="shared" si="33"/>
        <v>415.83</v>
      </c>
      <c r="AG718" s="67">
        <f t="shared" si="15"/>
        <v>66.5328</v>
      </c>
      <c r="AH718" s="67">
        <f t="shared" si="16"/>
        <v>482.3628</v>
      </c>
      <c r="AI718" s="67">
        <f t="shared" si="17"/>
        <v>400.8</v>
      </c>
      <c r="AJ718" s="68">
        <f t="shared" si="31"/>
        <v>64.128</v>
      </c>
      <c r="AK718" s="68">
        <f t="shared" si="32"/>
        <v>464.928</v>
      </c>
      <c r="AL718" s="70">
        <f>IFERROR(__xludf.DUMMYFUNCTION("""COMPUTED_VALUE"""),1.0)</f>
        <v>1</v>
      </c>
      <c r="AM718" s="70"/>
      <c r="AN718" s="71" t="str">
        <f>IFERROR(__xludf.DUMMYFUNCTION("""COMPUTED_VALUE""")," C")</f>
        <v>C</v>
      </c>
      <c r="AO718" s="71" t="str">
        <f>IFERROR(__xludf.DUMMYFUNCTION("""COMPUTED_VALUE""")," JG135")</f>
        <v>JG135</v>
      </c>
      <c r="AP718" s="71" t="str">
        <f>IFERROR(__xludf.DUMMYFUNCTION("""COMPUTED_VALUE""")," PZA")</f>
        <v>PZA</v>
      </c>
      <c r="AQ718" s="71" t="str">
        <f>IFERROR(__xludf.DUMMYFUNCTION("""COMPUTED_VALUE""")," REF")</f>
        <v>REF</v>
      </c>
      <c r="AR718" s="71" t="str">
        <f>IFERROR(__xludf.DUMMYFUNCTION("""COMPUTED_VALUE""")," JUEGO DE PIEDRAS DE 13"" TORTIMEX INT 3 1/4""")</f>
        <v>JUEGO DE PIEDRAS DE 13" TORTIMEX INT 3 1/4"</v>
      </c>
      <c r="AS718" s="71" t="str">
        <f>IFERROR(__xludf.DUMMYFUNCTION("""COMPUTED_VALUE""")," JUEGO PIEDRAS 13 TORTIMEX INT 3 1/4")</f>
        <v>JUEGO PIEDRAS 13 TORTIMEX INT 3 1/4</v>
      </c>
      <c r="AT718" s="71">
        <f>IFERROR(__xludf.DUMMYFUNCTION("""COMPUTED_VALUE"""),35.0)</f>
        <v>35</v>
      </c>
      <c r="AU718" s="71"/>
      <c r="AV718" s="71"/>
      <c r="AW718" s="71"/>
      <c r="AX718" s="71"/>
      <c r="AY718" s="71">
        <f>IFERROR(__xludf.DUMMYFUNCTION("""COMPUTED_VALUE"""),1305.0)</f>
        <v>1305</v>
      </c>
      <c r="AZ718" s="71">
        <f>IFERROR(__xludf.DUMMYFUNCTION("""COMPUTED_VALUE"""),1409.0)</f>
        <v>1409</v>
      </c>
      <c r="BA718" s="71">
        <f>IFERROR(__xludf.DUMMYFUNCTION("""COMPUTED_VALUE"""),1521.72)</f>
        <v>1521.72</v>
      </c>
      <c r="BB718" s="71">
        <f>IFERROR(__xludf.DUMMYFUNCTION("""COMPUTED_VALUE"""),1521.72)</f>
        <v>1521.72</v>
      </c>
      <c r="BC718" s="71">
        <f>IFERROR(__xludf.DUMMYFUNCTION("""COMPUTED_VALUE"""),1695.0)</f>
        <v>1695</v>
      </c>
      <c r="BD718" s="71">
        <f>IFERROR(__xludf.DUMMYFUNCTION("""COMPUTED_VALUE"""),1780.0)</f>
        <v>1780</v>
      </c>
      <c r="BE718" s="71">
        <f>IFERROR(__xludf.DUMMYFUNCTION("""COMPUTED_VALUE"""),284.8)</f>
        <v>284.8</v>
      </c>
      <c r="BF718" s="71">
        <f>IFERROR(__xludf.DUMMYFUNCTION("""COMPUTED_VALUE"""),2064.8)</f>
        <v>2064.8</v>
      </c>
      <c r="BG718" s="71">
        <f>IFERROR(__xludf.DUMMYFUNCTION("""COMPUTED_VALUE"""),0.05014749262536873)</f>
        <v>0.05014749263</v>
      </c>
      <c r="BH718" s="71">
        <f>IFERROR(__xludf.DUMMYFUNCTION("""COMPUTED_VALUE"""),1691.0)</f>
        <v>1691</v>
      </c>
      <c r="BI718" s="71">
        <f>IFERROR(__xludf.DUMMYFUNCTION("""COMPUTED_VALUE"""),270.56)</f>
        <v>270.56</v>
      </c>
      <c r="BJ718" s="71">
        <f>IFERROR(__xludf.DUMMYFUNCTION("""COMPUTED_VALUE"""),1961.56)</f>
        <v>1961.56</v>
      </c>
      <c r="BK718" s="71">
        <f>IFERROR(__xludf.DUMMYFUNCTION("""COMPUTED_VALUE"""),1602.0)</f>
        <v>1602</v>
      </c>
      <c r="BL718" s="71">
        <f>IFERROR(__xludf.DUMMYFUNCTION("""COMPUTED_VALUE"""),256.32)</f>
        <v>256.32</v>
      </c>
      <c r="BM718" s="71">
        <f>IFERROR(__xludf.DUMMYFUNCTION("""COMPUTED_VALUE"""),1858.32)</f>
        <v>1858.32</v>
      </c>
      <c r="BN718" s="71">
        <f>IFERROR(__xludf.DUMMYFUNCTION("""COMPUTED_VALUE"""),1513.0)</f>
        <v>1513</v>
      </c>
      <c r="BO718" s="71">
        <f>IFERROR(__xludf.DUMMYFUNCTION("""COMPUTED_VALUE"""),242.08)</f>
        <v>242.08</v>
      </c>
      <c r="BP718" s="71">
        <f>IFERROR(__xludf.DUMMYFUNCTION("""COMPUTED_VALUE"""),1755.08)</f>
        <v>1755.08</v>
      </c>
      <c r="BQ718" s="71">
        <f>IFERROR(__xludf.DUMMYFUNCTION("""COMPUTED_VALUE"""),1477.3999999999999)</f>
        <v>1477.4</v>
      </c>
      <c r="BR718" s="71">
        <f>IFERROR(__xludf.DUMMYFUNCTION("""COMPUTED_VALUE"""),236.384)</f>
        <v>236.384</v>
      </c>
      <c r="BS718" s="71">
        <f>IFERROR(__xludf.DUMMYFUNCTION("""COMPUTED_VALUE"""),1713.7839999999999)</f>
        <v>1713.784</v>
      </c>
      <c r="BT718" s="71">
        <f>IFERROR(__xludf.DUMMYFUNCTION("""COMPUTED_VALUE"""),1424.0)</f>
        <v>1424</v>
      </c>
      <c r="BU718" s="71">
        <f>IFERROR(__xludf.DUMMYFUNCTION("""COMPUTED_VALUE"""),227.84)</f>
        <v>227.84</v>
      </c>
      <c r="BV718" s="71">
        <f>IFERROR(__xludf.DUMMYFUNCTION("""COMPUTED_VALUE"""),1651.84)</f>
        <v>1651.84</v>
      </c>
    </row>
    <row r="719">
      <c r="A719" s="53"/>
      <c r="B719" s="53"/>
      <c r="C719" s="73" t="s">
        <v>53</v>
      </c>
      <c r="D719" s="53" t="s">
        <v>1721</v>
      </c>
      <c r="E719" s="54" t="s">
        <v>38</v>
      </c>
      <c r="F719" s="54" t="s">
        <v>42</v>
      </c>
      <c r="G719" s="55" t="s">
        <v>1722</v>
      </c>
      <c r="H719" s="54" t="s">
        <v>1723</v>
      </c>
      <c r="I719" s="54">
        <f t="shared" si="24"/>
        <v>40</v>
      </c>
      <c r="J719" s="56"/>
      <c r="K719" s="57"/>
      <c r="L719" s="76"/>
      <c r="M719" s="59"/>
      <c r="N719" s="60">
        <v>155.4</v>
      </c>
      <c r="O719" s="61">
        <v>167.0</v>
      </c>
      <c r="P719" s="62">
        <v>180.36</v>
      </c>
      <c r="Q719" s="63">
        <v>180.36</v>
      </c>
      <c r="R719" s="64">
        <v>189.0</v>
      </c>
      <c r="S719" s="111">
        <v>198.0</v>
      </c>
      <c r="T719" s="65">
        <f t="shared" si="2"/>
        <v>31.68</v>
      </c>
      <c r="U719" s="65">
        <f t="shared" si="3"/>
        <v>229.68</v>
      </c>
      <c r="V719" s="66">
        <f t="shared" si="4"/>
        <v>0.04761904762</v>
      </c>
      <c r="W719" s="67">
        <f t="shared" si="5"/>
        <v>188.1</v>
      </c>
      <c r="X719" s="67">
        <f t="shared" si="6"/>
        <v>30.096</v>
      </c>
      <c r="Y719" s="67">
        <f t="shared" si="7"/>
        <v>218.196</v>
      </c>
      <c r="Z719" s="67">
        <f t="shared" si="8"/>
        <v>178.2</v>
      </c>
      <c r="AA719" s="67">
        <f t="shared" si="9"/>
        <v>28.512</v>
      </c>
      <c r="AB719" s="67">
        <f t="shared" si="10"/>
        <v>206.712</v>
      </c>
      <c r="AC719" s="67">
        <f t="shared" si="11"/>
        <v>168.3</v>
      </c>
      <c r="AD719" s="67">
        <f t="shared" si="12"/>
        <v>26.928</v>
      </c>
      <c r="AE719" s="67">
        <f t="shared" si="13"/>
        <v>195.228</v>
      </c>
      <c r="AF719" s="67">
        <f t="shared" si="33"/>
        <v>164.34</v>
      </c>
      <c r="AG719" s="67">
        <f t="shared" si="15"/>
        <v>26.2944</v>
      </c>
      <c r="AH719" s="67">
        <f t="shared" si="16"/>
        <v>190.6344</v>
      </c>
      <c r="AI719" s="67">
        <f t="shared" si="17"/>
        <v>158.4</v>
      </c>
      <c r="AJ719" s="68">
        <f t="shared" si="31"/>
        <v>25.344</v>
      </c>
      <c r="AK719" s="68">
        <f t="shared" si="32"/>
        <v>183.744</v>
      </c>
      <c r="AL719" s="70">
        <f>IFERROR(__xludf.DUMMYFUNCTION("""COMPUTED_VALUE"""),1.0)</f>
        <v>1</v>
      </c>
      <c r="AM719" s="70"/>
      <c r="AN719" s="71" t="str">
        <f>IFERROR(__xludf.DUMMYFUNCTION("""COMPUTED_VALUE""")," C")</f>
        <v>C</v>
      </c>
      <c r="AO719" s="71" t="str">
        <f>IFERROR(__xludf.DUMMYFUNCTION("""COMPUTED_VALUE""")," JG155")</f>
        <v>JG155</v>
      </c>
      <c r="AP719" s="71" t="str">
        <f>IFERROR(__xludf.DUMMYFUNCTION("""COMPUTED_VALUE""")," PZA")</f>
        <v>PZA</v>
      </c>
      <c r="AQ719" s="71" t="str">
        <f>IFERROR(__xludf.DUMMYFUNCTION("""COMPUTED_VALUE""")," REF")</f>
        <v>REF</v>
      </c>
      <c r="AR719" s="71" t="str">
        <f>IFERROR(__xludf.DUMMYFUNCTION("""COMPUTED_VALUE""")," JUEGO DE PIEDRAS DE 14"" CAMARADA INT 2 1/2""")</f>
        <v>JUEGO DE PIEDRAS DE 14" CAMARADA INT 2 1/2"</v>
      </c>
      <c r="AS719" s="71" t="str">
        <f>IFERROR(__xludf.DUMMYFUNCTION("""COMPUTED_VALUE""")," JUEGO PIEDRAS 14 CAMARADA INT 2 1/2")</f>
        <v>JUEGO PIEDRAS 14 CAMARADA INT 2 1/2</v>
      </c>
      <c r="AT719" s="71">
        <f>IFERROR(__xludf.DUMMYFUNCTION("""COMPUTED_VALUE"""),35.0)</f>
        <v>35</v>
      </c>
      <c r="AU719" s="71"/>
      <c r="AV719" s="71"/>
      <c r="AW719" s="71"/>
      <c r="AX719" s="71"/>
      <c r="AY719" s="71">
        <f>IFERROR(__xludf.DUMMYFUNCTION("""COMPUTED_VALUE"""),3060.0)</f>
        <v>3060</v>
      </c>
      <c r="AZ719" s="71">
        <f>IFERROR(__xludf.DUMMYFUNCTION("""COMPUTED_VALUE"""),3304.0)</f>
        <v>3304</v>
      </c>
      <c r="BA719" s="71">
        <f>IFERROR(__xludf.DUMMYFUNCTION("""COMPUTED_VALUE"""),3568.32)</f>
        <v>3568.32</v>
      </c>
      <c r="BB719" s="71">
        <f>IFERROR(__xludf.DUMMYFUNCTION("""COMPUTED_VALUE"""),3568.32)</f>
        <v>3568.32</v>
      </c>
      <c r="BC719" s="71">
        <f>IFERROR(__xludf.DUMMYFUNCTION("""COMPUTED_VALUE"""),3747.0)</f>
        <v>3747</v>
      </c>
      <c r="BD719" s="71">
        <f>IFERROR(__xludf.DUMMYFUNCTION("""COMPUTED_VALUE"""),3934.0)</f>
        <v>3934</v>
      </c>
      <c r="BE719" s="71">
        <f>IFERROR(__xludf.DUMMYFUNCTION("""COMPUTED_VALUE"""),629.44)</f>
        <v>629.44</v>
      </c>
      <c r="BF719" s="71">
        <f>IFERROR(__xludf.DUMMYFUNCTION("""COMPUTED_VALUE"""),4563.4400000000005)</f>
        <v>4563.44</v>
      </c>
      <c r="BG719" s="71">
        <f>IFERROR(__xludf.DUMMYFUNCTION("""COMPUTED_VALUE"""),0.04990659194021884)</f>
        <v>0.04990659194</v>
      </c>
      <c r="BH719" s="71">
        <f>IFERROR(__xludf.DUMMYFUNCTION("""COMPUTED_VALUE"""),3737.2999999999997)</f>
        <v>3737.3</v>
      </c>
      <c r="BI719" s="71">
        <f>IFERROR(__xludf.DUMMYFUNCTION("""COMPUTED_VALUE"""),597.968)</f>
        <v>597.968</v>
      </c>
      <c r="BJ719" s="71">
        <f>IFERROR(__xludf.DUMMYFUNCTION("""COMPUTED_VALUE"""),4335.268)</f>
        <v>4335.268</v>
      </c>
      <c r="BK719" s="71">
        <f>IFERROR(__xludf.DUMMYFUNCTION("""COMPUTED_VALUE"""),3540.6)</f>
        <v>3540.6</v>
      </c>
      <c r="BL719" s="71">
        <f>IFERROR(__xludf.DUMMYFUNCTION("""COMPUTED_VALUE"""),566.496)</f>
        <v>566.496</v>
      </c>
      <c r="BM719" s="71">
        <f>IFERROR(__xludf.DUMMYFUNCTION("""COMPUTED_VALUE"""),4107.096)</f>
        <v>4107.096</v>
      </c>
      <c r="BN719" s="71">
        <f>IFERROR(__xludf.DUMMYFUNCTION("""COMPUTED_VALUE"""),3343.9)</f>
        <v>3343.9</v>
      </c>
      <c r="BO719" s="71">
        <f>IFERROR(__xludf.DUMMYFUNCTION("""COMPUTED_VALUE"""),535.024)</f>
        <v>535.024</v>
      </c>
      <c r="BP719" s="71">
        <f>IFERROR(__xludf.DUMMYFUNCTION("""COMPUTED_VALUE"""),3878.924)</f>
        <v>3878.924</v>
      </c>
      <c r="BQ719" s="71">
        <f>IFERROR(__xludf.DUMMYFUNCTION("""COMPUTED_VALUE"""),3265.22)</f>
        <v>3265.22</v>
      </c>
      <c r="BR719" s="71">
        <f>IFERROR(__xludf.DUMMYFUNCTION("""COMPUTED_VALUE"""),522.4352)</f>
        <v>522.4352</v>
      </c>
      <c r="BS719" s="71">
        <f>IFERROR(__xludf.DUMMYFUNCTION("""COMPUTED_VALUE"""),3787.6551999999997)</f>
        <v>3787.6552</v>
      </c>
      <c r="BT719" s="71">
        <f>IFERROR(__xludf.DUMMYFUNCTION("""COMPUTED_VALUE"""),3147.2000000000003)</f>
        <v>3147.2</v>
      </c>
      <c r="BU719" s="71">
        <f>IFERROR(__xludf.DUMMYFUNCTION("""COMPUTED_VALUE"""),503.5520000000001)</f>
        <v>503.552</v>
      </c>
      <c r="BV719" s="71">
        <f>IFERROR(__xludf.DUMMYFUNCTION("""COMPUTED_VALUE"""),3650.7520000000004)</f>
        <v>3650.752</v>
      </c>
    </row>
    <row r="720">
      <c r="A720" s="53"/>
      <c r="B720" s="53"/>
      <c r="C720" s="53" t="s">
        <v>53</v>
      </c>
      <c r="D720" s="53" t="s">
        <v>1724</v>
      </c>
      <c r="E720" s="54" t="s">
        <v>38</v>
      </c>
      <c r="F720" s="54" t="s">
        <v>42</v>
      </c>
      <c r="G720" s="55" t="s">
        <v>1725</v>
      </c>
      <c r="H720" s="54" t="s">
        <v>1725</v>
      </c>
      <c r="I720" s="54">
        <f t="shared" si="24"/>
        <v>32</v>
      </c>
      <c r="J720" s="56"/>
      <c r="K720" s="57"/>
      <c r="L720" s="76"/>
      <c r="M720" s="59"/>
      <c r="N720" s="79">
        <v>162.0</v>
      </c>
      <c r="O720" s="61">
        <v>174.0</v>
      </c>
      <c r="P720" s="63">
        <v>187.92000000000002</v>
      </c>
      <c r="Q720" s="63">
        <v>187.92000000000002</v>
      </c>
      <c r="R720" s="64">
        <v>198.0</v>
      </c>
      <c r="S720" s="111">
        <v>208.0</v>
      </c>
      <c r="T720" s="65">
        <f t="shared" si="2"/>
        <v>33.28</v>
      </c>
      <c r="U720" s="65">
        <f t="shared" si="3"/>
        <v>241.28</v>
      </c>
      <c r="V720" s="66">
        <f t="shared" si="4"/>
        <v>0.05050505051</v>
      </c>
      <c r="W720" s="67">
        <f t="shared" si="5"/>
        <v>197.6</v>
      </c>
      <c r="X720" s="67">
        <f t="shared" si="6"/>
        <v>31.616</v>
      </c>
      <c r="Y720" s="67">
        <f t="shared" si="7"/>
        <v>229.216</v>
      </c>
      <c r="Z720" s="67">
        <f t="shared" si="8"/>
        <v>187.2</v>
      </c>
      <c r="AA720" s="67">
        <f t="shared" si="9"/>
        <v>29.952</v>
      </c>
      <c r="AB720" s="67">
        <f t="shared" si="10"/>
        <v>217.152</v>
      </c>
      <c r="AC720" s="67">
        <f t="shared" si="11"/>
        <v>176.8</v>
      </c>
      <c r="AD720" s="67">
        <f t="shared" si="12"/>
        <v>28.288</v>
      </c>
      <c r="AE720" s="67">
        <f t="shared" si="13"/>
        <v>205.088</v>
      </c>
      <c r="AF720" s="67">
        <f t="shared" si="33"/>
        <v>172.64</v>
      </c>
      <c r="AG720" s="67">
        <f t="shared" si="15"/>
        <v>27.6224</v>
      </c>
      <c r="AH720" s="67">
        <f t="shared" si="16"/>
        <v>200.2624</v>
      </c>
      <c r="AI720" s="67">
        <f t="shared" si="17"/>
        <v>166.4</v>
      </c>
      <c r="AJ720" s="68">
        <f t="shared" si="31"/>
        <v>26.624</v>
      </c>
      <c r="AK720" s="68">
        <f t="shared" si="32"/>
        <v>193.024</v>
      </c>
      <c r="AL720" s="136">
        <f>IFERROR(__xludf.DUMMYFUNCTION("""COMPUTED_VALUE"""),1.0)</f>
        <v>1</v>
      </c>
      <c r="AM720" s="136"/>
      <c r="AN720" s="137" t="str">
        <f>IFERROR(__xludf.DUMMYFUNCTION("""COMPUTED_VALUE""")," C")</f>
        <v>C</v>
      </c>
      <c r="AO720" s="137" t="str">
        <f>IFERROR(__xludf.DUMMYFUNCTION("""COMPUTED_VALUE""")," JG136")</f>
        <v>JG136</v>
      </c>
      <c r="AP720" s="137" t="str">
        <f>IFERROR(__xludf.DUMMYFUNCTION("""COMPUTED_VALUE""")," PZA")</f>
        <v>PZA</v>
      </c>
      <c r="AQ720" s="137" t="str">
        <f>IFERROR(__xludf.DUMMYFUNCTION("""COMPUTED_VALUE""")," REF")</f>
        <v>REF</v>
      </c>
      <c r="AR720" s="137" t="str">
        <f>IFERROR(__xludf.DUMMYFUNCTION("""COMPUTED_VALUE""")," JUEGO DE PIEDRAS DE 14"" LISA INT 3""")</f>
        <v>JUEGO DE PIEDRAS DE 14" LISA INT 3"</v>
      </c>
      <c r="AS720" s="137" t="str">
        <f>IFERROR(__xludf.DUMMYFUNCTION("""COMPUTED_VALUE""")," PIEDRAS 14 INT 3 PILOTO")</f>
        <v>PIEDRAS 14 INT 3 PILOTO</v>
      </c>
      <c r="AT720" s="137">
        <f>IFERROR(__xludf.DUMMYFUNCTION("""COMPUTED_VALUE"""),23.0)</f>
        <v>23</v>
      </c>
      <c r="AU720" s="137"/>
      <c r="AV720" s="137"/>
      <c r="AW720" s="137"/>
      <c r="AX720" s="137"/>
      <c r="AY720" s="137">
        <f>IFERROR(__xludf.DUMMYFUNCTION("""COMPUTED_VALUE"""),2331.0)</f>
        <v>2331</v>
      </c>
      <c r="AZ720" s="137">
        <f>IFERROR(__xludf.DUMMYFUNCTION("""COMPUTED_VALUE"""),2517.0)</f>
        <v>2517</v>
      </c>
      <c r="BA720" s="137">
        <f>IFERROR(__xludf.DUMMYFUNCTION("""COMPUTED_VALUE"""),2718.36)</f>
        <v>2718.36</v>
      </c>
      <c r="BB720" s="137">
        <f>IFERROR(__xludf.DUMMYFUNCTION("""COMPUTED_VALUE"""),2718.36)</f>
        <v>2718.36</v>
      </c>
      <c r="BC720" s="137">
        <f>IFERROR(__xludf.DUMMYFUNCTION("""COMPUTED_VALUE"""),3027.0)</f>
        <v>3027</v>
      </c>
      <c r="BD720" s="137">
        <f>IFERROR(__xludf.DUMMYFUNCTION("""COMPUTED_VALUE"""),3178.0)</f>
        <v>3178</v>
      </c>
      <c r="BE720" s="137">
        <f>IFERROR(__xludf.DUMMYFUNCTION("""COMPUTED_VALUE"""),508.48)</f>
        <v>508.48</v>
      </c>
      <c r="BF720" s="137">
        <f>IFERROR(__xludf.DUMMYFUNCTION("""COMPUTED_VALUE"""),3686.48)</f>
        <v>3686.48</v>
      </c>
      <c r="BG720" s="137">
        <f>IFERROR(__xludf.DUMMYFUNCTION("""COMPUTED_VALUE"""),0.04988437396762471)</f>
        <v>0.04988437397</v>
      </c>
      <c r="BH720" s="137">
        <f>IFERROR(__xludf.DUMMYFUNCTION("""COMPUTED_VALUE"""),3019.1)</f>
        <v>3019.1</v>
      </c>
      <c r="BI720" s="137">
        <f>IFERROR(__xludf.DUMMYFUNCTION("""COMPUTED_VALUE"""),483.056)</f>
        <v>483.056</v>
      </c>
      <c r="BJ720" s="137">
        <f>IFERROR(__xludf.DUMMYFUNCTION("""COMPUTED_VALUE"""),3502.156)</f>
        <v>3502.156</v>
      </c>
      <c r="BK720" s="137">
        <f>IFERROR(__xludf.DUMMYFUNCTION("""COMPUTED_VALUE"""),2860.2000000000003)</f>
        <v>2860.2</v>
      </c>
      <c r="BL720" s="137">
        <f>IFERROR(__xludf.DUMMYFUNCTION("""COMPUTED_VALUE"""),457.63200000000006)</f>
        <v>457.632</v>
      </c>
      <c r="BM720" s="137">
        <f>IFERROR(__xludf.DUMMYFUNCTION("""COMPUTED_VALUE"""),3317.8320000000003)</f>
        <v>3317.832</v>
      </c>
      <c r="BN720" s="137">
        <f>IFERROR(__xludf.DUMMYFUNCTION("""COMPUTED_VALUE"""),2701.2999999999997)</f>
        <v>2701.3</v>
      </c>
      <c r="BO720" s="137">
        <f>IFERROR(__xludf.DUMMYFUNCTION("""COMPUTED_VALUE"""),432.20799999999997)</f>
        <v>432.208</v>
      </c>
      <c r="BP720" s="137">
        <f>IFERROR(__xludf.DUMMYFUNCTION("""COMPUTED_VALUE"""),3133.508)</f>
        <v>3133.508</v>
      </c>
      <c r="BQ720" s="137">
        <f>IFERROR(__xludf.DUMMYFUNCTION("""COMPUTED_VALUE"""),2637.74)</f>
        <v>2637.74</v>
      </c>
      <c r="BR720" s="137">
        <f>IFERROR(__xludf.DUMMYFUNCTION("""COMPUTED_VALUE"""),422.03839999999997)</f>
        <v>422.0384</v>
      </c>
      <c r="BS720" s="137">
        <f>IFERROR(__xludf.DUMMYFUNCTION("""COMPUTED_VALUE"""),3059.7783999999997)</f>
        <v>3059.7784</v>
      </c>
      <c r="BT720" s="137">
        <f>IFERROR(__xludf.DUMMYFUNCTION("""COMPUTED_VALUE"""),2542.4)</f>
        <v>2542.4</v>
      </c>
      <c r="BU720" s="137">
        <f>IFERROR(__xludf.DUMMYFUNCTION("""COMPUTED_VALUE"""),406.78400000000005)</f>
        <v>406.784</v>
      </c>
      <c r="BV720" s="137">
        <f>IFERROR(__xludf.DUMMYFUNCTION("""COMPUTED_VALUE"""),2949.184)</f>
        <v>2949.184</v>
      </c>
    </row>
    <row r="721">
      <c r="A721" s="53"/>
      <c r="B721" s="53"/>
      <c r="C721" s="53" t="s">
        <v>53</v>
      </c>
      <c r="D721" s="53" t="s">
        <v>1726</v>
      </c>
      <c r="E721" s="54" t="s">
        <v>38</v>
      </c>
      <c r="F721" s="54" t="s">
        <v>42</v>
      </c>
      <c r="G721" s="55" t="s">
        <v>1727</v>
      </c>
      <c r="H721" s="54" t="s">
        <v>1727</v>
      </c>
      <c r="I721" s="54">
        <f t="shared" si="24"/>
        <v>32</v>
      </c>
      <c r="J721" s="56"/>
      <c r="K721" s="57"/>
      <c r="L721" s="77"/>
      <c r="M721" s="59"/>
      <c r="N721" s="79">
        <v>468.0</v>
      </c>
      <c r="O721" s="61">
        <v>505.0</v>
      </c>
      <c r="P721" s="63">
        <v>545.4000000000001</v>
      </c>
      <c r="Q721" s="63">
        <v>545.4000000000001</v>
      </c>
      <c r="R721" s="64">
        <v>573.0</v>
      </c>
      <c r="S721" s="111">
        <v>602.0</v>
      </c>
      <c r="T721" s="65">
        <f t="shared" si="2"/>
        <v>96.32</v>
      </c>
      <c r="U721" s="65">
        <f t="shared" si="3"/>
        <v>698.32</v>
      </c>
      <c r="V721" s="66">
        <f t="shared" si="4"/>
        <v>0.05061082024</v>
      </c>
      <c r="W721" s="67">
        <f t="shared" si="5"/>
        <v>571.9</v>
      </c>
      <c r="X721" s="67">
        <f t="shared" si="6"/>
        <v>91.504</v>
      </c>
      <c r="Y721" s="67">
        <f t="shared" si="7"/>
        <v>663.404</v>
      </c>
      <c r="Z721" s="67">
        <f t="shared" si="8"/>
        <v>541.8</v>
      </c>
      <c r="AA721" s="67">
        <f t="shared" si="9"/>
        <v>86.688</v>
      </c>
      <c r="AB721" s="67">
        <f t="shared" si="10"/>
        <v>628.488</v>
      </c>
      <c r="AC721" s="67">
        <f t="shared" si="11"/>
        <v>511.7</v>
      </c>
      <c r="AD721" s="67">
        <f t="shared" si="12"/>
        <v>81.872</v>
      </c>
      <c r="AE721" s="67">
        <f t="shared" si="13"/>
        <v>593.572</v>
      </c>
      <c r="AF721" s="67">
        <f t="shared" si="33"/>
        <v>499.66</v>
      </c>
      <c r="AG721" s="67">
        <f t="shared" si="15"/>
        <v>79.9456</v>
      </c>
      <c r="AH721" s="67">
        <f t="shared" si="16"/>
        <v>579.6056</v>
      </c>
      <c r="AI721" s="67">
        <f t="shared" si="17"/>
        <v>481.6</v>
      </c>
      <c r="AJ721" s="68">
        <f t="shared" si="31"/>
        <v>77.056</v>
      </c>
      <c r="AK721" s="68">
        <f t="shared" si="32"/>
        <v>558.656</v>
      </c>
      <c r="AL721" s="70">
        <f>IFERROR(__xludf.DUMMYFUNCTION("""COMPUTED_VALUE"""),1.0)</f>
        <v>1</v>
      </c>
      <c r="AM721" s="70"/>
      <c r="AN721" s="71" t="str">
        <f>IFERROR(__xludf.DUMMYFUNCTION("""COMPUTED_VALUE""")," C")</f>
        <v>C</v>
      </c>
      <c r="AO721" s="71" t="str">
        <f>IFERROR(__xludf.DUMMYFUNCTION("""COMPUTED_VALUE""")," JG61")</f>
        <v>JG61</v>
      </c>
      <c r="AP721" s="71" t="str">
        <f>IFERROR(__xludf.DUMMYFUNCTION("""COMPUTED_VALUE""")," JGO")</f>
        <v>JGO</v>
      </c>
      <c r="AQ721" s="71" t="str">
        <f>IFERROR(__xludf.DUMMYFUNCTION("""COMPUTED_VALUE""")," REF")</f>
        <v>REF</v>
      </c>
      <c r="AR721" s="71" t="str">
        <f>IFERROR(__xludf.DUMMYFUNCTION("""COMPUTED_VALUE""")," JUEGO DE PIEDRAS DE 15"" PARA MOLINO TORTIMEX INTERIOR 2 1/8""")</f>
        <v>JUEGO DE PIEDRAS DE 15" PARA MOLINO TORTIMEX INTERIOR 2 1/8"</v>
      </c>
      <c r="AS721" s="71" t="str">
        <f>IFERROR(__xludf.DUMMYFUNCTION("""COMPUTED_VALUE""")," JUEGO PIEDRAS 15 MOL TORTIMEX INT 2 1/8")</f>
        <v>JUEGO PIEDRAS 15 MOL TORTIMEX INT 2 1/8</v>
      </c>
      <c r="AT721" s="71">
        <f>IFERROR(__xludf.DUMMYFUNCTION("""COMPUTED_VALUE"""),39.0)</f>
        <v>39</v>
      </c>
      <c r="AU721" s="71"/>
      <c r="AV721" s="71"/>
      <c r="AW721" s="71"/>
      <c r="AX721" s="71"/>
      <c r="AY721" s="71">
        <f>IFERROR(__xludf.DUMMYFUNCTION("""COMPUTED_VALUE"""),3600.0)</f>
        <v>3600</v>
      </c>
      <c r="AZ721" s="71">
        <f>IFERROR(__xludf.DUMMYFUNCTION("""COMPUTED_VALUE"""),3888.0)</f>
        <v>3888</v>
      </c>
      <c r="BA721" s="71">
        <f>IFERROR(__xludf.DUMMYFUNCTION("""COMPUTED_VALUE"""),4199.04)</f>
        <v>4199.04</v>
      </c>
      <c r="BB721" s="71">
        <f>IFERROR(__xludf.DUMMYFUNCTION("""COMPUTED_VALUE"""),4199.04)</f>
        <v>4199.04</v>
      </c>
      <c r="BC721" s="71">
        <f>IFERROR(__xludf.DUMMYFUNCTION("""COMPUTED_VALUE"""),4674.0)</f>
        <v>4674</v>
      </c>
      <c r="BD721" s="71">
        <f>IFERROR(__xludf.DUMMYFUNCTION("""COMPUTED_VALUE"""),4908.0)</f>
        <v>4908</v>
      </c>
      <c r="BE721" s="71">
        <f>IFERROR(__xludf.DUMMYFUNCTION("""COMPUTED_VALUE"""),785.28)</f>
        <v>785.28</v>
      </c>
      <c r="BF721" s="71">
        <f>IFERROR(__xludf.DUMMYFUNCTION("""COMPUTED_VALUE"""),5693.28)</f>
        <v>5693.28</v>
      </c>
      <c r="BG721" s="71">
        <f>IFERROR(__xludf.DUMMYFUNCTION("""COMPUTED_VALUE"""),0.05006418485237484)</f>
        <v>0.05006418485</v>
      </c>
      <c r="BH721" s="71">
        <f>IFERROR(__xludf.DUMMYFUNCTION("""COMPUTED_VALUE"""),4662.599999999999)</f>
        <v>4662.6</v>
      </c>
      <c r="BI721" s="71">
        <f>IFERROR(__xludf.DUMMYFUNCTION("""COMPUTED_VALUE"""),746.016)</f>
        <v>746.016</v>
      </c>
      <c r="BJ721" s="71">
        <f>IFERROR(__xludf.DUMMYFUNCTION("""COMPUTED_VALUE"""),5408.615999999999)</f>
        <v>5408.616</v>
      </c>
      <c r="BK721" s="71">
        <f>IFERROR(__xludf.DUMMYFUNCTION("""COMPUTED_VALUE"""),4417.2)</f>
        <v>4417.2</v>
      </c>
      <c r="BL721" s="71">
        <f>IFERROR(__xludf.DUMMYFUNCTION("""COMPUTED_VALUE"""),706.752)</f>
        <v>706.752</v>
      </c>
      <c r="BM721" s="71">
        <f>IFERROR(__xludf.DUMMYFUNCTION("""COMPUTED_VALUE"""),5123.951999999999)</f>
        <v>5123.952</v>
      </c>
      <c r="BN721" s="71">
        <f>IFERROR(__xludf.DUMMYFUNCTION("""COMPUTED_VALUE"""),4171.8)</f>
        <v>4171.8</v>
      </c>
      <c r="BO721" s="71">
        <f>IFERROR(__xludf.DUMMYFUNCTION("""COMPUTED_VALUE"""),667.488)</f>
        <v>667.488</v>
      </c>
      <c r="BP721" s="71">
        <f>IFERROR(__xludf.DUMMYFUNCTION("""COMPUTED_VALUE"""),4839.2880000000005)</f>
        <v>4839.288</v>
      </c>
      <c r="BQ721" s="71">
        <f>IFERROR(__xludf.DUMMYFUNCTION("""COMPUTED_VALUE"""),4073.64)</f>
        <v>4073.64</v>
      </c>
      <c r="BR721" s="71">
        <f>IFERROR(__xludf.DUMMYFUNCTION("""COMPUTED_VALUE"""),651.7823999999999)</f>
        <v>651.7824</v>
      </c>
      <c r="BS721" s="71">
        <f>IFERROR(__xludf.DUMMYFUNCTION("""COMPUTED_VALUE"""),4725.4223999999995)</f>
        <v>4725.4224</v>
      </c>
      <c r="BT721" s="71">
        <f>IFERROR(__xludf.DUMMYFUNCTION("""COMPUTED_VALUE"""),3926.4)</f>
        <v>3926.4</v>
      </c>
      <c r="BU721" s="71">
        <f>IFERROR(__xludf.DUMMYFUNCTION("""COMPUTED_VALUE"""),628.224)</f>
        <v>628.224</v>
      </c>
      <c r="BV721" s="71">
        <f>IFERROR(__xludf.DUMMYFUNCTION("""COMPUTED_VALUE"""),4554.624)</f>
        <v>4554.624</v>
      </c>
    </row>
    <row r="722">
      <c r="A722" s="53"/>
      <c r="B722" s="53"/>
      <c r="C722" s="53" t="s">
        <v>53</v>
      </c>
      <c r="D722" s="53" t="s">
        <v>1728</v>
      </c>
      <c r="E722" s="54" t="s">
        <v>38</v>
      </c>
      <c r="F722" s="54" t="s">
        <v>42</v>
      </c>
      <c r="G722" s="55" t="s">
        <v>1729</v>
      </c>
      <c r="H722" s="55" t="s">
        <v>1729</v>
      </c>
      <c r="I722" s="54">
        <f t="shared" si="24"/>
        <v>39</v>
      </c>
      <c r="J722" s="56"/>
      <c r="K722" s="57"/>
      <c r="L722" s="76"/>
      <c r="M722" s="59"/>
      <c r="N722" s="79"/>
      <c r="O722" s="61">
        <v>252.0</v>
      </c>
      <c r="P722" s="62">
        <v>272.16</v>
      </c>
      <c r="Q722" s="63">
        <v>272.16</v>
      </c>
      <c r="R722" s="64">
        <v>286.0</v>
      </c>
      <c r="S722" s="111">
        <v>300.0</v>
      </c>
      <c r="T722" s="65">
        <f t="shared" si="2"/>
        <v>48</v>
      </c>
      <c r="U722" s="65">
        <f t="shared" si="3"/>
        <v>348</v>
      </c>
      <c r="V722" s="66">
        <f t="shared" si="4"/>
        <v>0.04895104895</v>
      </c>
      <c r="W722" s="67">
        <f t="shared" si="5"/>
        <v>285</v>
      </c>
      <c r="X722" s="67">
        <f t="shared" si="6"/>
        <v>45.6</v>
      </c>
      <c r="Y722" s="67">
        <f t="shared" si="7"/>
        <v>330.6</v>
      </c>
      <c r="Z722" s="67">
        <f t="shared" si="8"/>
        <v>270</v>
      </c>
      <c r="AA722" s="67">
        <f t="shared" si="9"/>
        <v>43.2</v>
      </c>
      <c r="AB722" s="67">
        <f t="shared" si="10"/>
        <v>313.2</v>
      </c>
      <c r="AC722" s="67">
        <f t="shared" si="11"/>
        <v>255</v>
      </c>
      <c r="AD722" s="67">
        <f t="shared" si="12"/>
        <v>40.8</v>
      </c>
      <c r="AE722" s="67">
        <f t="shared" si="13"/>
        <v>295.8</v>
      </c>
      <c r="AF722" s="67">
        <f t="shared" si="33"/>
        <v>249</v>
      </c>
      <c r="AG722" s="67">
        <f t="shared" si="15"/>
        <v>39.84</v>
      </c>
      <c r="AH722" s="67">
        <f t="shared" si="16"/>
        <v>288.84</v>
      </c>
      <c r="AI722" s="67">
        <f t="shared" si="17"/>
        <v>240</v>
      </c>
      <c r="AJ722" s="68">
        <f t="shared" si="31"/>
        <v>38.4</v>
      </c>
      <c r="AK722" s="68">
        <f t="shared" si="32"/>
        <v>278.4</v>
      </c>
      <c r="AL722" s="70">
        <f>IFERROR(__xludf.DUMMYFUNCTION("""COMPUTED_VALUE"""),1.0)</f>
        <v>1</v>
      </c>
      <c r="AM722" s="70"/>
      <c r="AN722" s="71" t="str">
        <f>IFERROR(__xludf.DUMMYFUNCTION("""COMPUTED_VALUE""")," C")</f>
        <v>C</v>
      </c>
      <c r="AO722" s="71" t="str">
        <f>IFERROR(__xludf.DUMMYFUNCTION("""COMPUTED_VALUE""")," JG157")</f>
        <v>JG157</v>
      </c>
      <c r="AP722" s="71" t="str">
        <f>IFERROR(__xludf.DUMMYFUNCTION("""COMPUTED_VALUE""")," PZA")</f>
        <v>PZA</v>
      </c>
      <c r="AQ722" s="71" t="str">
        <f>IFERROR(__xludf.DUMMYFUNCTION("""COMPUTED_VALUE""")," REF")</f>
        <v>REF</v>
      </c>
      <c r="AR722" s="71" t="str">
        <f>IFERROR(__xludf.DUMMYFUNCTION("""COMPUTED_VALUE""")," JUEGO DE PIEDRAS DE 16"" CAMARADA INT 2 1/2""")</f>
        <v>JUEGO DE PIEDRAS DE 16" CAMARADA INT 2 1/2"</v>
      </c>
      <c r="AS722" s="71" t="str">
        <f>IFERROR(__xludf.DUMMYFUNCTION("""COMPUTED_VALUE""")," JUEGO PIEDRAS 16 CAMARADA INT 2 1/2")</f>
        <v>JUEGO PIEDRAS 16 CAMARADA INT 2 1/2</v>
      </c>
      <c r="AT722" s="71">
        <f>IFERROR(__xludf.DUMMYFUNCTION("""COMPUTED_VALUE"""),35.0)</f>
        <v>35</v>
      </c>
      <c r="AU722" s="71"/>
      <c r="AV722" s="71"/>
      <c r="AW722" s="71"/>
      <c r="AX722" s="71"/>
      <c r="AY722" s="71">
        <f>IFERROR(__xludf.DUMMYFUNCTION("""COMPUTED_VALUE"""),6120.0)</f>
        <v>6120</v>
      </c>
      <c r="AZ722" s="71">
        <f>IFERROR(__xludf.DUMMYFUNCTION("""COMPUTED_VALUE"""),6609.0)</f>
        <v>6609</v>
      </c>
      <c r="BA722" s="71">
        <f>IFERROR(__xludf.DUMMYFUNCTION("""COMPUTED_VALUE"""),7137.72)</f>
        <v>7137.72</v>
      </c>
      <c r="BB722" s="71">
        <f>IFERROR(__xludf.DUMMYFUNCTION("""COMPUTED_VALUE"""),7137.72)</f>
        <v>7137.72</v>
      </c>
      <c r="BC722" s="71">
        <f>IFERROR(__xludf.DUMMYFUNCTION("""COMPUTED_VALUE"""),7495.0)</f>
        <v>7495</v>
      </c>
      <c r="BD722" s="71">
        <f>IFERROR(__xludf.DUMMYFUNCTION("""COMPUTED_VALUE"""),7870.0)</f>
        <v>7870</v>
      </c>
      <c r="BE722" s="71">
        <f>IFERROR(__xludf.DUMMYFUNCTION("""COMPUTED_VALUE"""),1259.2)</f>
        <v>1259.2</v>
      </c>
      <c r="BF722" s="71">
        <f>IFERROR(__xludf.DUMMYFUNCTION("""COMPUTED_VALUE"""),9129.2)</f>
        <v>9129.2</v>
      </c>
      <c r="BG722" s="71">
        <f>IFERROR(__xludf.DUMMYFUNCTION("""COMPUTED_VALUE"""),0.05003335557038025)</f>
        <v>0.05003335557</v>
      </c>
      <c r="BH722" s="71">
        <f>IFERROR(__xludf.DUMMYFUNCTION("""COMPUTED_VALUE"""),7476.5)</f>
        <v>7476.5</v>
      </c>
      <c r="BI722" s="71">
        <f>IFERROR(__xludf.DUMMYFUNCTION("""COMPUTED_VALUE"""),1196.24)</f>
        <v>1196.24</v>
      </c>
      <c r="BJ722" s="71">
        <f>IFERROR(__xludf.DUMMYFUNCTION("""COMPUTED_VALUE"""),8672.74)</f>
        <v>8672.74</v>
      </c>
      <c r="BK722" s="71">
        <f>IFERROR(__xludf.DUMMYFUNCTION("""COMPUTED_VALUE"""),7083.0)</f>
        <v>7083</v>
      </c>
      <c r="BL722" s="71">
        <f>IFERROR(__xludf.DUMMYFUNCTION("""COMPUTED_VALUE"""),1133.28)</f>
        <v>1133.28</v>
      </c>
      <c r="BM722" s="71">
        <f>IFERROR(__xludf.DUMMYFUNCTION("""COMPUTED_VALUE"""),8216.28)</f>
        <v>8216.28</v>
      </c>
      <c r="BN722" s="71">
        <f>IFERROR(__xludf.DUMMYFUNCTION("""COMPUTED_VALUE"""),6689.5)</f>
        <v>6689.5</v>
      </c>
      <c r="BO722" s="71">
        <f>IFERROR(__xludf.DUMMYFUNCTION("""COMPUTED_VALUE"""),1070.32)</f>
        <v>1070.32</v>
      </c>
      <c r="BP722" s="71">
        <f>IFERROR(__xludf.DUMMYFUNCTION("""COMPUTED_VALUE"""),7759.82)</f>
        <v>7759.82</v>
      </c>
      <c r="BQ722" s="71">
        <f>IFERROR(__xludf.DUMMYFUNCTION("""COMPUTED_VALUE"""),6532.099999999999)</f>
        <v>6532.1</v>
      </c>
      <c r="BR722" s="71">
        <f>IFERROR(__xludf.DUMMYFUNCTION("""COMPUTED_VALUE"""),1045.136)</f>
        <v>1045.136</v>
      </c>
      <c r="BS722" s="71">
        <f>IFERROR(__xludf.DUMMYFUNCTION("""COMPUTED_VALUE"""),7577.235999999999)</f>
        <v>7577.236</v>
      </c>
      <c r="BT722" s="71">
        <f>IFERROR(__xludf.DUMMYFUNCTION("""COMPUTED_VALUE"""),6296.0)</f>
        <v>6296</v>
      </c>
      <c r="BU722" s="71">
        <f>IFERROR(__xludf.DUMMYFUNCTION("""COMPUTED_VALUE"""),1007.36)</f>
        <v>1007.36</v>
      </c>
      <c r="BV722" s="71">
        <f>IFERROR(__xludf.DUMMYFUNCTION("""COMPUTED_VALUE"""),7303.36)</f>
        <v>7303.36</v>
      </c>
    </row>
    <row r="723">
      <c r="A723" s="53"/>
      <c r="B723" s="53"/>
      <c r="C723" s="53" t="s">
        <v>53</v>
      </c>
      <c r="D723" s="53" t="s">
        <v>1730</v>
      </c>
      <c r="E723" s="54" t="s">
        <v>38</v>
      </c>
      <c r="F723" s="54" t="s">
        <v>42</v>
      </c>
      <c r="G723" s="55" t="s">
        <v>1731</v>
      </c>
      <c r="H723" s="55" t="s">
        <v>1731</v>
      </c>
      <c r="I723" s="54">
        <f t="shared" si="24"/>
        <v>39</v>
      </c>
      <c r="J723" s="56"/>
      <c r="K723" s="57"/>
      <c r="L723" s="77"/>
      <c r="M723" s="59"/>
      <c r="N723" s="79"/>
      <c r="O723" s="61">
        <v>505.0</v>
      </c>
      <c r="P723" s="62">
        <v>545.4000000000001</v>
      </c>
      <c r="Q723" s="63">
        <v>545.4000000000001</v>
      </c>
      <c r="R723" s="64">
        <v>573.0</v>
      </c>
      <c r="S723" s="111">
        <v>602.0</v>
      </c>
      <c r="T723" s="65">
        <f t="shared" si="2"/>
        <v>96.32</v>
      </c>
      <c r="U723" s="65">
        <f t="shared" si="3"/>
        <v>698.32</v>
      </c>
      <c r="V723" s="66">
        <f t="shared" si="4"/>
        <v>0.05061082024</v>
      </c>
      <c r="W723" s="67">
        <f t="shared" si="5"/>
        <v>571.9</v>
      </c>
      <c r="X723" s="67">
        <f t="shared" si="6"/>
        <v>91.504</v>
      </c>
      <c r="Y723" s="67">
        <f t="shared" si="7"/>
        <v>663.404</v>
      </c>
      <c r="Z723" s="67">
        <f t="shared" si="8"/>
        <v>541.8</v>
      </c>
      <c r="AA723" s="67">
        <f t="shared" si="9"/>
        <v>86.688</v>
      </c>
      <c r="AB723" s="67">
        <f t="shared" si="10"/>
        <v>628.488</v>
      </c>
      <c r="AC723" s="67">
        <f t="shared" si="11"/>
        <v>511.7</v>
      </c>
      <c r="AD723" s="67">
        <f t="shared" si="12"/>
        <v>81.872</v>
      </c>
      <c r="AE723" s="67">
        <f t="shared" si="13"/>
        <v>593.572</v>
      </c>
      <c r="AF723" s="67">
        <f t="shared" si="33"/>
        <v>499.66</v>
      </c>
      <c r="AG723" s="67">
        <f t="shared" si="15"/>
        <v>79.9456</v>
      </c>
      <c r="AH723" s="67">
        <f t="shared" si="16"/>
        <v>579.6056</v>
      </c>
      <c r="AI723" s="67">
        <f t="shared" si="17"/>
        <v>481.6</v>
      </c>
      <c r="AJ723" s="68">
        <f t="shared" si="31"/>
        <v>77.056</v>
      </c>
      <c r="AK723" s="68">
        <f t="shared" si="32"/>
        <v>558.656</v>
      </c>
      <c r="AL723" s="70">
        <f>IFERROR(__xludf.DUMMYFUNCTION("""COMPUTED_VALUE"""),1.0)</f>
        <v>1</v>
      </c>
      <c r="AM723" s="70"/>
      <c r="AN723" s="71" t="str">
        <f>IFERROR(__xludf.DUMMYFUNCTION("""COMPUTED_VALUE""")," C")</f>
        <v>C</v>
      </c>
      <c r="AO723" s="71" t="str">
        <f>IFERROR(__xludf.DUMMYFUNCTION("""COMPUTED_VALUE""")," JG158")</f>
        <v>JG158</v>
      </c>
      <c r="AP723" s="71" t="str">
        <f>IFERROR(__xludf.DUMMYFUNCTION("""COMPUTED_VALUE""")," PZA")</f>
        <v>PZA</v>
      </c>
      <c r="AQ723" s="71" t="str">
        <f>IFERROR(__xludf.DUMMYFUNCTION("""COMPUTED_VALUE""")," REF")</f>
        <v>REF</v>
      </c>
      <c r="AR723" s="71" t="str">
        <f>IFERROR(__xludf.DUMMYFUNCTION("""COMPUTED_VALUE""")," JUEGO DE PIEDRAS DE 16"" NEVADO INT 2 1/2""")</f>
        <v>JUEGO DE PIEDRAS DE 16" NEVADO INT 2 1/2"</v>
      </c>
      <c r="AS723" s="71" t="str">
        <f>IFERROR(__xludf.DUMMYFUNCTION("""COMPUTED_VALUE""")," JUEGO PIEDRAS 16 NEVADO INT 2 1/2")</f>
        <v>JUEGO PIEDRAS 16 NEVADO INT 2 1/2</v>
      </c>
      <c r="AT723" s="71">
        <f>IFERROR(__xludf.DUMMYFUNCTION("""COMPUTED_VALUE"""),33.0)</f>
        <v>33</v>
      </c>
      <c r="AU723" s="71"/>
      <c r="AV723" s="71"/>
      <c r="AW723" s="71"/>
      <c r="AX723" s="71"/>
      <c r="AY723" s="71">
        <f>IFERROR(__xludf.DUMMYFUNCTION("""COMPUTED_VALUE"""),5445.0)</f>
        <v>5445</v>
      </c>
      <c r="AZ723" s="71">
        <f>IFERROR(__xludf.DUMMYFUNCTION("""COMPUTED_VALUE"""),5880.0)</f>
        <v>5880</v>
      </c>
      <c r="BA723" s="71">
        <f>IFERROR(__xludf.DUMMYFUNCTION("""COMPUTED_VALUE"""),6350.400000000001)</f>
        <v>6350.4</v>
      </c>
      <c r="BB723" s="71">
        <f>IFERROR(__xludf.DUMMYFUNCTION("""COMPUTED_VALUE"""),6350.400000000001)</f>
        <v>6350.4</v>
      </c>
      <c r="BC723" s="71">
        <f>IFERROR(__xludf.DUMMYFUNCTION("""COMPUTED_VALUE"""),6668.0)</f>
        <v>6668</v>
      </c>
      <c r="BD723" s="71">
        <f>IFERROR(__xludf.DUMMYFUNCTION("""COMPUTED_VALUE"""),7001.0)</f>
        <v>7001</v>
      </c>
      <c r="BE723" s="71">
        <f>IFERROR(__xludf.DUMMYFUNCTION("""COMPUTED_VALUE"""),1120.16)</f>
        <v>1120.16</v>
      </c>
      <c r="BF723" s="71">
        <f>IFERROR(__xludf.DUMMYFUNCTION("""COMPUTED_VALUE"""),8121.16)</f>
        <v>8121.16</v>
      </c>
      <c r="BG723" s="71">
        <f>IFERROR(__xludf.DUMMYFUNCTION("""COMPUTED_VALUE"""),0.04994001199760048)</f>
        <v>0.049940012</v>
      </c>
      <c r="BH723" s="71">
        <f>IFERROR(__xludf.DUMMYFUNCTION("""COMPUTED_VALUE"""),6650.95)</f>
        <v>6650.95</v>
      </c>
      <c r="BI723" s="71">
        <f>IFERROR(__xludf.DUMMYFUNCTION("""COMPUTED_VALUE"""),1064.152)</f>
        <v>1064.152</v>
      </c>
      <c r="BJ723" s="71">
        <f>IFERROR(__xludf.DUMMYFUNCTION("""COMPUTED_VALUE"""),7715.102)</f>
        <v>7715.102</v>
      </c>
      <c r="BK723" s="71">
        <f>IFERROR(__xludf.DUMMYFUNCTION("""COMPUTED_VALUE"""),6300.900000000001)</f>
        <v>6300.9</v>
      </c>
      <c r="BL723" s="71">
        <f>IFERROR(__xludf.DUMMYFUNCTION("""COMPUTED_VALUE"""),1008.1440000000001)</f>
        <v>1008.144</v>
      </c>
      <c r="BM723" s="71">
        <f>IFERROR(__xludf.DUMMYFUNCTION("""COMPUTED_VALUE"""),7309.044000000001)</f>
        <v>7309.044</v>
      </c>
      <c r="BN723" s="71">
        <f>IFERROR(__xludf.DUMMYFUNCTION("""COMPUTED_VALUE"""),5950.849999999999)</f>
        <v>5950.85</v>
      </c>
      <c r="BO723" s="71">
        <f>IFERROR(__xludf.DUMMYFUNCTION("""COMPUTED_VALUE"""),952.136)</f>
        <v>952.136</v>
      </c>
      <c r="BP723" s="71">
        <f>IFERROR(__xludf.DUMMYFUNCTION("""COMPUTED_VALUE"""),6902.985999999999)</f>
        <v>6902.986</v>
      </c>
      <c r="BQ723" s="71">
        <f>IFERROR(__xludf.DUMMYFUNCTION("""COMPUTED_VALUE"""),5810.83)</f>
        <v>5810.83</v>
      </c>
      <c r="BR723" s="71">
        <f>IFERROR(__xludf.DUMMYFUNCTION("""COMPUTED_VALUE"""),929.7328)</f>
        <v>929.7328</v>
      </c>
      <c r="BS723" s="71">
        <f>IFERROR(__xludf.DUMMYFUNCTION("""COMPUTED_VALUE"""),6740.5628)</f>
        <v>6740.5628</v>
      </c>
      <c r="BT723" s="71">
        <f>IFERROR(__xludf.DUMMYFUNCTION("""COMPUTED_VALUE"""),5600.8)</f>
        <v>5600.8</v>
      </c>
      <c r="BU723" s="71">
        <f>IFERROR(__xludf.DUMMYFUNCTION("""COMPUTED_VALUE"""),896.128)</f>
        <v>896.128</v>
      </c>
      <c r="BV723" s="71">
        <f>IFERROR(__xludf.DUMMYFUNCTION("""COMPUTED_VALUE"""),6496.928)</f>
        <v>6496.928</v>
      </c>
    </row>
    <row r="724">
      <c r="A724" s="53"/>
      <c r="B724" s="72"/>
      <c r="C724" s="53" t="s">
        <v>53</v>
      </c>
      <c r="D724" s="53" t="s">
        <v>1732</v>
      </c>
      <c r="E724" s="54" t="s">
        <v>38</v>
      </c>
      <c r="F724" s="54" t="s">
        <v>42</v>
      </c>
      <c r="G724" s="54" t="s">
        <v>1733</v>
      </c>
      <c r="H724" s="54" t="s">
        <v>1733</v>
      </c>
      <c r="I724" s="54">
        <f t="shared" si="24"/>
        <v>38</v>
      </c>
      <c r="J724" s="56"/>
      <c r="K724" s="57"/>
      <c r="L724" s="76"/>
      <c r="M724" s="59"/>
      <c r="N724" s="60"/>
      <c r="O724" s="61">
        <v>146.0</v>
      </c>
      <c r="P724" s="62">
        <v>157.68</v>
      </c>
      <c r="Q724" s="63">
        <v>157.68</v>
      </c>
      <c r="R724" s="64">
        <v>171.0</v>
      </c>
      <c r="S724" s="111">
        <v>180.0</v>
      </c>
      <c r="T724" s="65">
        <f t="shared" si="2"/>
        <v>28.8</v>
      </c>
      <c r="U724" s="65">
        <f t="shared" si="3"/>
        <v>208.8</v>
      </c>
      <c r="V724" s="66">
        <f t="shared" si="4"/>
        <v>0.05263157895</v>
      </c>
      <c r="W724" s="67">
        <f t="shared" si="5"/>
        <v>171</v>
      </c>
      <c r="X724" s="67">
        <f t="shared" si="6"/>
        <v>27.36</v>
      </c>
      <c r="Y724" s="67">
        <f t="shared" si="7"/>
        <v>198.36</v>
      </c>
      <c r="Z724" s="67">
        <f t="shared" si="8"/>
        <v>162</v>
      </c>
      <c r="AA724" s="67">
        <f t="shared" si="9"/>
        <v>25.92</v>
      </c>
      <c r="AB724" s="67">
        <f t="shared" si="10"/>
        <v>187.92</v>
      </c>
      <c r="AC724" s="67">
        <f t="shared" si="11"/>
        <v>153</v>
      </c>
      <c r="AD724" s="67">
        <f t="shared" si="12"/>
        <v>24.48</v>
      </c>
      <c r="AE724" s="67">
        <f t="shared" si="13"/>
        <v>177.48</v>
      </c>
      <c r="AF724" s="67">
        <f t="shared" si="33"/>
        <v>149.4</v>
      </c>
      <c r="AG724" s="67">
        <f t="shared" si="15"/>
        <v>23.904</v>
      </c>
      <c r="AH724" s="67">
        <f t="shared" si="16"/>
        <v>173.304</v>
      </c>
      <c r="AI724" s="67">
        <f t="shared" si="17"/>
        <v>144</v>
      </c>
      <c r="AJ724" s="68">
        <f t="shared" si="31"/>
        <v>23.04</v>
      </c>
      <c r="AK724" s="68">
        <f t="shared" si="32"/>
        <v>167.04</v>
      </c>
      <c r="AL724" s="70">
        <f>IFERROR(__xludf.DUMMYFUNCTION("""COMPUTED_VALUE"""),1.0)</f>
        <v>1</v>
      </c>
      <c r="AM724" s="70"/>
      <c r="AN724" s="71" t="str">
        <f>IFERROR(__xludf.DUMMYFUNCTION("""COMPUTED_VALUE""")," C")</f>
        <v>C</v>
      </c>
      <c r="AO724" s="71" t="str">
        <f>IFERROR(__xludf.DUMMYFUNCTION("""COMPUTED_VALUE""")," JG62")</f>
        <v>JG62</v>
      </c>
      <c r="AP724" s="71" t="str">
        <f>IFERROR(__xludf.DUMMYFUNCTION("""COMPUTED_VALUE""")," JGO")</f>
        <v>JGO</v>
      </c>
      <c r="AQ724" s="71" t="str">
        <f>IFERROR(__xludf.DUMMYFUNCTION("""COMPUTED_VALUE""")," REF")</f>
        <v>REF</v>
      </c>
      <c r="AR724" s="71" t="str">
        <f>IFERROR(__xludf.DUMMYFUNCTION("""COMPUTED_VALUE""")," JUEGO DE PIEDRAS DE 16"" PARA MOLINO TORTIMEX INTERIOR 2 1/8""")</f>
        <v>JUEGO DE PIEDRAS DE 16" PARA MOLINO TORTIMEX INTERIOR 2 1/8"</v>
      </c>
      <c r="AS724" s="71" t="str">
        <f>IFERROR(__xludf.DUMMYFUNCTION("""COMPUTED_VALUE""")," JUEGO PIEDRAS 16 MOL TORTIMEX INT 2 1/8")</f>
        <v>JUEGO PIEDRAS 16 MOL TORTIMEX INT 2 1/8</v>
      </c>
      <c r="AT724" s="71">
        <f>IFERROR(__xludf.DUMMYFUNCTION("""COMPUTED_VALUE"""),39.0)</f>
        <v>39</v>
      </c>
      <c r="AU724" s="71"/>
      <c r="AV724" s="71"/>
      <c r="AW724" s="71"/>
      <c r="AX724" s="71"/>
      <c r="AY724" s="71">
        <f>IFERROR(__xludf.DUMMYFUNCTION("""COMPUTED_VALUE"""),5445.0)</f>
        <v>5445</v>
      </c>
      <c r="AZ724" s="71">
        <f>IFERROR(__xludf.DUMMYFUNCTION("""COMPUTED_VALUE"""),5880.0)</f>
        <v>5880</v>
      </c>
      <c r="BA724" s="71">
        <f>IFERROR(__xludf.DUMMYFUNCTION("""COMPUTED_VALUE"""),6350.400000000001)</f>
        <v>6350.4</v>
      </c>
      <c r="BB724" s="71">
        <f>IFERROR(__xludf.DUMMYFUNCTION("""COMPUTED_VALUE"""),6350.400000000001)</f>
        <v>6350.4</v>
      </c>
      <c r="BC724" s="71">
        <f>IFERROR(__xludf.DUMMYFUNCTION("""COMPUTED_VALUE"""),7069.0)</f>
        <v>7069</v>
      </c>
      <c r="BD724" s="71">
        <f>IFERROR(__xludf.DUMMYFUNCTION("""COMPUTED_VALUE"""),7422.0)</f>
        <v>7422</v>
      </c>
      <c r="BE724" s="71">
        <f>IFERROR(__xludf.DUMMYFUNCTION("""COMPUTED_VALUE"""),1187.52)</f>
        <v>1187.52</v>
      </c>
      <c r="BF724" s="71">
        <f>IFERROR(__xludf.DUMMYFUNCTION("""COMPUTED_VALUE"""),8609.52)</f>
        <v>8609.52</v>
      </c>
      <c r="BG724" s="71">
        <f>IFERROR(__xludf.DUMMYFUNCTION("""COMPUTED_VALUE"""),0.049936341773942565)</f>
        <v>0.04993634177</v>
      </c>
      <c r="BH724" s="71">
        <f>IFERROR(__xludf.DUMMYFUNCTION("""COMPUTED_VALUE"""),7050.9)</f>
        <v>7050.9</v>
      </c>
      <c r="BI724" s="71">
        <f>IFERROR(__xludf.DUMMYFUNCTION("""COMPUTED_VALUE"""),1128.144)</f>
        <v>1128.144</v>
      </c>
      <c r="BJ724" s="71">
        <f>IFERROR(__xludf.DUMMYFUNCTION("""COMPUTED_VALUE"""),8179.044)</f>
        <v>8179.044</v>
      </c>
      <c r="BK724" s="71">
        <f>IFERROR(__xludf.DUMMYFUNCTION("""COMPUTED_VALUE"""),6679.8)</f>
        <v>6679.8</v>
      </c>
      <c r="BL724" s="71">
        <f>IFERROR(__xludf.DUMMYFUNCTION("""COMPUTED_VALUE"""),1068.768)</f>
        <v>1068.768</v>
      </c>
      <c r="BM724" s="71">
        <f>IFERROR(__xludf.DUMMYFUNCTION("""COMPUTED_VALUE"""),7748.568)</f>
        <v>7748.568</v>
      </c>
      <c r="BN724" s="71">
        <f>IFERROR(__xludf.DUMMYFUNCTION("""COMPUTED_VALUE"""),6308.7)</f>
        <v>6308.7</v>
      </c>
      <c r="BO724" s="71">
        <f>IFERROR(__xludf.DUMMYFUNCTION("""COMPUTED_VALUE"""),1009.3919999999999)</f>
        <v>1009.392</v>
      </c>
      <c r="BP724" s="71">
        <f>IFERROR(__xludf.DUMMYFUNCTION("""COMPUTED_VALUE"""),7318.092)</f>
        <v>7318.092</v>
      </c>
      <c r="BQ724" s="71">
        <f>IFERROR(__xludf.DUMMYFUNCTION("""COMPUTED_VALUE"""),6160.259999999999)</f>
        <v>6160.26</v>
      </c>
      <c r="BR724" s="71">
        <f>IFERROR(__xludf.DUMMYFUNCTION("""COMPUTED_VALUE"""),985.6415999999999)</f>
        <v>985.6416</v>
      </c>
      <c r="BS724" s="71">
        <f>IFERROR(__xludf.DUMMYFUNCTION("""COMPUTED_VALUE"""),7145.901599999999)</f>
        <v>7145.9016</v>
      </c>
      <c r="BT724" s="71">
        <f>IFERROR(__xludf.DUMMYFUNCTION("""COMPUTED_VALUE"""),5937.6)</f>
        <v>5937.6</v>
      </c>
      <c r="BU724" s="71">
        <f>IFERROR(__xludf.DUMMYFUNCTION("""COMPUTED_VALUE"""),950.0160000000001)</f>
        <v>950.016</v>
      </c>
      <c r="BV724" s="71">
        <f>IFERROR(__xludf.DUMMYFUNCTION("""COMPUTED_VALUE"""),6887.616)</f>
        <v>6887.616</v>
      </c>
    </row>
    <row r="725">
      <c r="A725" s="53">
        <v>1.0</v>
      </c>
      <c r="B725" s="72"/>
      <c r="C725" s="73" t="s">
        <v>53</v>
      </c>
      <c r="D725" s="74" t="s">
        <v>1734</v>
      </c>
      <c r="E725" s="54" t="s">
        <v>38</v>
      </c>
      <c r="F725" s="54" t="s">
        <v>42</v>
      </c>
      <c r="G725" s="88" t="s">
        <v>1735</v>
      </c>
      <c r="H725" s="54" t="s">
        <v>1736</v>
      </c>
      <c r="I725" s="54">
        <f t="shared" si="24"/>
        <v>35</v>
      </c>
      <c r="J725" s="56"/>
      <c r="K725" s="75"/>
      <c r="L725" s="76"/>
      <c r="M725" s="59"/>
      <c r="N725" s="60">
        <v>69.0</v>
      </c>
      <c r="O725" s="61">
        <v>74.0</v>
      </c>
      <c r="P725" s="62">
        <v>79.92</v>
      </c>
      <c r="Q725" s="63">
        <v>79.92</v>
      </c>
      <c r="R725" s="64">
        <v>92.0</v>
      </c>
      <c r="S725" s="111">
        <v>97.0</v>
      </c>
      <c r="T725" s="65">
        <f t="shared" si="2"/>
        <v>15.52</v>
      </c>
      <c r="U725" s="65">
        <f t="shared" si="3"/>
        <v>112.52</v>
      </c>
      <c r="V725" s="66">
        <f t="shared" si="4"/>
        <v>0.05434782609</v>
      </c>
      <c r="W725" s="67">
        <f t="shared" si="5"/>
        <v>92.15</v>
      </c>
      <c r="X725" s="67">
        <f t="shared" si="6"/>
        <v>14.744</v>
      </c>
      <c r="Y725" s="67">
        <f t="shared" si="7"/>
        <v>106.894</v>
      </c>
      <c r="Z725" s="67">
        <f t="shared" si="8"/>
        <v>87.3</v>
      </c>
      <c r="AA725" s="67">
        <f t="shared" si="9"/>
        <v>13.968</v>
      </c>
      <c r="AB725" s="67">
        <f t="shared" si="10"/>
        <v>101.268</v>
      </c>
      <c r="AC725" s="67">
        <f t="shared" si="11"/>
        <v>82.45</v>
      </c>
      <c r="AD725" s="67">
        <f t="shared" si="12"/>
        <v>13.192</v>
      </c>
      <c r="AE725" s="67">
        <f t="shared" si="13"/>
        <v>95.642</v>
      </c>
      <c r="AF725" s="67">
        <f t="shared" si="33"/>
        <v>80.51</v>
      </c>
      <c r="AG725" s="67">
        <f t="shared" si="15"/>
        <v>12.8816</v>
      </c>
      <c r="AH725" s="67">
        <f t="shared" si="16"/>
        <v>93.3916</v>
      </c>
      <c r="AI725" s="67">
        <f t="shared" si="17"/>
        <v>77.6</v>
      </c>
      <c r="AJ725" s="68">
        <f t="shared" si="31"/>
        <v>12.416</v>
      </c>
      <c r="AK725" s="68">
        <f t="shared" si="32"/>
        <v>90.016</v>
      </c>
      <c r="AL725" s="70">
        <f>IFERROR(__xludf.DUMMYFUNCTION("""COMPUTED_VALUE"""),1.0)</f>
        <v>1</v>
      </c>
      <c r="AM725" s="70"/>
      <c r="AN725" s="71" t="str">
        <f>IFERROR(__xludf.DUMMYFUNCTION("""COMPUTED_VALUE""")," C")</f>
        <v>C</v>
      </c>
      <c r="AO725" s="71" t="str">
        <f>IFERROR(__xludf.DUMMYFUNCTION("""COMPUTED_VALUE""")," JG63")</f>
        <v>JG63</v>
      </c>
      <c r="AP725" s="71" t="str">
        <f>IFERROR(__xludf.DUMMYFUNCTION("""COMPUTED_VALUE""")," JGO")</f>
        <v>JGO</v>
      </c>
      <c r="AQ725" s="71" t="str">
        <f>IFERROR(__xludf.DUMMYFUNCTION("""COMPUTED_VALUE""")," REF")</f>
        <v>REF</v>
      </c>
      <c r="AR725" s="71" t="str">
        <f>IFERROR(__xludf.DUMMYFUNCTION("""COMPUTED_VALUE""")," JUEGO DE PIEDRAS DE 17"" PARA MOLINO TORTIMEX INTERIOR 2 1/8""")</f>
        <v>JUEGO DE PIEDRAS DE 17" PARA MOLINO TORTIMEX INTERIOR 2 1/8"</v>
      </c>
      <c r="AS725" s="71" t="str">
        <f>IFERROR(__xludf.DUMMYFUNCTION("""COMPUTED_VALUE""")," JUEGO PIEDRAS 17 MOL TORTIMEX INT 2 1/8")</f>
        <v>JUEGO PIEDRAS 17 MOL TORTIMEX INT 2 1/8</v>
      </c>
      <c r="AT725" s="71">
        <f>IFERROR(__xludf.DUMMYFUNCTION("""COMPUTED_VALUE"""),39.0)</f>
        <v>39</v>
      </c>
      <c r="AU725" s="71"/>
      <c r="AV725" s="71"/>
      <c r="AW725" s="71"/>
      <c r="AX725" s="71"/>
      <c r="AY725" s="71">
        <f>IFERROR(__xludf.DUMMYFUNCTION("""COMPUTED_VALUE"""),5400.0)</f>
        <v>5400</v>
      </c>
      <c r="AZ725" s="71">
        <f>IFERROR(__xludf.DUMMYFUNCTION("""COMPUTED_VALUE"""),5832.0)</f>
        <v>5832</v>
      </c>
      <c r="BA725" s="71">
        <f>IFERROR(__xludf.DUMMYFUNCTION("""COMPUTED_VALUE"""),6298.56)</f>
        <v>6298.56</v>
      </c>
      <c r="BB725" s="71">
        <f>IFERROR(__xludf.DUMMYFUNCTION("""COMPUTED_VALUE"""),6298.56)</f>
        <v>6298.56</v>
      </c>
      <c r="BC725" s="71">
        <f>IFERROR(__xludf.DUMMYFUNCTION("""COMPUTED_VALUE"""),7011.0)</f>
        <v>7011</v>
      </c>
      <c r="BD725" s="71">
        <f>IFERROR(__xludf.DUMMYFUNCTION("""COMPUTED_VALUE"""),7362.0)</f>
        <v>7362</v>
      </c>
      <c r="BE725" s="71">
        <f>IFERROR(__xludf.DUMMYFUNCTION("""COMPUTED_VALUE"""),1177.92)</f>
        <v>1177.92</v>
      </c>
      <c r="BF725" s="71">
        <f>IFERROR(__xludf.DUMMYFUNCTION("""COMPUTED_VALUE"""),8539.92)</f>
        <v>8539.92</v>
      </c>
      <c r="BG725" s="71">
        <f>IFERROR(__xludf.DUMMYFUNCTION("""COMPUTED_VALUE"""),0.05006418485237484)</f>
        <v>0.05006418485</v>
      </c>
      <c r="BH725" s="71">
        <f>IFERROR(__xludf.DUMMYFUNCTION("""COMPUTED_VALUE"""),6993.9)</f>
        <v>6993.9</v>
      </c>
      <c r="BI725" s="71">
        <f>IFERROR(__xludf.DUMMYFUNCTION("""COMPUTED_VALUE"""),1119.024)</f>
        <v>1119.024</v>
      </c>
      <c r="BJ725" s="71">
        <f>IFERROR(__xludf.DUMMYFUNCTION("""COMPUTED_VALUE"""),8112.923999999999)</f>
        <v>8112.924</v>
      </c>
      <c r="BK725" s="71">
        <f>IFERROR(__xludf.DUMMYFUNCTION("""COMPUTED_VALUE"""),6625.8)</f>
        <v>6625.8</v>
      </c>
      <c r="BL725" s="71">
        <f>IFERROR(__xludf.DUMMYFUNCTION("""COMPUTED_VALUE"""),1060.1280000000002)</f>
        <v>1060.128</v>
      </c>
      <c r="BM725" s="71">
        <f>IFERROR(__xludf.DUMMYFUNCTION("""COMPUTED_VALUE"""),7685.928)</f>
        <v>7685.928</v>
      </c>
      <c r="BN725" s="71">
        <f>IFERROR(__xludf.DUMMYFUNCTION("""COMPUTED_VALUE"""),6257.7)</f>
        <v>6257.7</v>
      </c>
      <c r="BO725" s="71">
        <f>IFERROR(__xludf.DUMMYFUNCTION("""COMPUTED_VALUE"""),1001.232)</f>
        <v>1001.232</v>
      </c>
      <c r="BP725" s="71">
        <f>IFERROR(__xludf.DUMMYFUNCTION("""COMPUTED_VALUE"""),7258.932)</f>
        <v>7258.932</v>
      </c>
      <c r="BQ725" s="71">
        <f>IFERROR(__xludf.DUMMYFUNCTION("""COMPUTED_VALUE"""),6110.46)</f>
        <v>6110.46</v>
      </c>
      <c r="BR725" s="71">
        <f>IFERROR(__xludf.DUMMYFUNCTION("""COMPUTED_VALUE"""),977.6736000000001)</f>
        <v>977.6736</v>
      </c>
      <c r="BS725" s="71">
        <f>IFERROR(__xludf.DUMMYFUNCTION("""COMPUTED_VALUE"""),7088.1336)</f>
        <v>7088.1336</v>
      </c>
      <c r="BT725" s="71">
        <f>IFERROR(__xludf.DUMMYFUNCTION("""COMPUTED_VALUE"""),5889.6)</f>
        <v>5889.6</v>
      </c>
      <c r="BU725" s="71">
        <f>IFERROR(__xludf.DUMMYFUNCTION("""COMPUTED_VALUE"""),942.3360000000001)</f>
        <v>942.336</v>
      </c>
      <c r="BV725" s="71">
        <f>IFERROR(__xludf.DUMMYFUNCTION("""COMPUTED_VALUE"""),6831.936000000001)</f>
        <v>6831.936</v>
      </c>
    </row>
    <row r="726">
      <c r="A726" s="53">
        <v>1.0</v>
      </c>
      <c r="B726" s="72"/>
      <c r="C726" s="73" t="s">
        <v>53</v>
      </c>
      <c r="D726" s="74" t="s">
        <v>1737</v>
      </c>
      <c r="E726" s="54" t="s">
        <v>38</v>
      </c>
      <c r="F726" s="54" t="s">
        <v>42</v>
      </c>
      <c r="G726" s="88" t="s">
        <v>1738</v>
      </c>
      <c r="H726" s="54" t="s">
        <v>1738</v>
      </c>
      <c r="I726" s="54">
        <f t="shared" si="24"/>
        <v>39</v>
      </c>
      <c r="J726" s="56"/>
      <c r="K726" s="75"/>
      <c r="L726" s="76"/>
      <c r="M726" s="59"/>
      <c r="N726" s="60">
        <v>68.0</v>
      </c>
      <c r="O726" s="61">
        <v>73.0</v>
      </c>
      <c r="P726" s="62">
        <v>78.84</v>
      </c>
      <c r="Q726" s="63">
        <v>78.84</v>
      </c>
      <c r="R726" s="78">
        <v>105.0</v>
      </c>
      <c r="S726" s="111">
        <v>110.0</v>
      </c>
      <c r="T726" s="65">
        <f t="shared" si="2"/>
        <v>17.6</v>
      </c>
      <c r="U726" s="65">
        <f t="shared" si="3"/>
        <v>127.6</v>
      </c>
      <c r="V726" s="66">
        <f t="shared" si="4"/>
        <v>0.04761904762</v>
      </c>
      <c r="W726" s="67">
        <f t="shared" si="5"/>
        <v>104.5</v>
      </c>
      <c r="X726" s="67">
        <f t="shared" si="6"/>
        <v>16.72</v>
      </c>
      <c r="Y726" s="67">
        <f t="shared" si="7"/>
        <v>121.22</v>
      </c>
      <c r="Z726" s="67">
        <f t="shared" si="8"/>
        <v>99</v>
      </c>
      <c r="AA726" s="67">
        <f t="shared" si="9"/>
        <v>15.84</v>
      </c>
      <c r="AB726" s="67">
        <f t="shared" si="10"/>
        <v>114.84</v>
      </c>
      <c r="AC726" s="67">
        <f t="shared" si="11"/>
        <v>93.5</v>
      </c>
      <c r="AD726" s="67">
        <f t="shared" si="12"/>
        <v>14.96</v>
      </c>
      <c r="AE726" s="67">
        <f t="shared" si="13"/>
        <v>108.46</v>
      </c>
      <c r="AF726" s="67">
        <f t="shared" si="33"/>
        <v>91.3</v>
      </c>
      <c r="AG726" s="67">
        <f t="shared" si="15"/>
        <v>14.608</v>
      </c>
      <c r="AH726" s="67">
        <f t="shared" si="16"/>
        <v>105.908</v>
      </c>
      <c r="AI726" s="67">
        <f t="shared" si="17"/>
        <v>88</v>
      </c>
      <c r="AJ726" s="68">
        <f t="shared" si="31"/>
        <v>14.08</v>
      </c>
      <c r="AK726" s="68">
        <f t="shared" si="32"/>
        <v>102.08</v>
      </c>
      <c r="AL726" s="70">
        <f>IFERROR(__xludf.DUMMYFUNCTION("""COMPUTED_VALUE"""),1.0)</f>
        <v>1</v>
      </c>
      <c r="AM726" s="70"/>
      <c r="AN726" s="71" t="str">
        <f>IFERROR(__xludf.DUMMYFUNCTION("""COMPUTED_VALUE""")," C")</f>
        <v>C</v>
      </c>
      <c r="AO726" s="71" t="str">
        <f>IFERROR(__xludf.DUMMYFUNCTION("""COMPUTED_VALUE""")," JG64")</f>
        <v>JG64</v>
      </c>
      <c r="AP726" s="71" t="str">
        <f>IFERROR(__xludf.DUMMYFUNCTION("""COMPUTED_VALUE""")," JGO")</f>
        <v>JGO</v>
      </c>
      <c r="AQ726" s="71" t="str">
        <f>IFERROR(__xludf.DUMMYFUNCTION("""COMPUTED_VALUE""")," REF")</f>
        <v>REF</v>
      </c>
      <c r="AR726" s="71" t="str">
        <f>IFERROR(__xludf.DUMMYFUNCTION("""COMPUTED_VALUE""")," JUEGO DE PIEDRAS DE 20"" PARA MOLINO TORTIMEX INTERIOR 2 1/8""")</f>
        <v>JUEGO DE PIEDRAS DE 20" PARA MOLINO TORTIMEX INTERIOR 2 1/8"</v>
      </c>
      <c r="AS726" s="71" t="str">
        <f>IFERROR(__xludf.DUMMYFUNCTION("""COMPUTED_VALUE""")," JUEGO PIEDRAS 20 MOL TORTIMEX INT 2 1/8")</f>
        <v>JUEGO PIEDRAS 20 MOL TORTIMEX INT 2 1/8</v>
      </c>
      <c r="AT726" s="71">
        <f>IFERROR(__xludf.DUMMYFUNCTION("""COMPUTED_VALUE"""),39.0)</f>
        <v>39</v>
      </c>
      <c r="AU726" s="71"/>
      <c r="AV726" s="71"/>
      <c r="AW726" s="71"/>
      <c r="AX726" s="71"/>
      <c r="AY726" s="71">
        <f>IFERROR(__xludf.DUMMYFUNCTION("""COMPUTED_VALUE"""),8820.0)</f>
        <v>8820</v>
      </c>
      <c r="AZ726" s="71">
        <f>IFERROR(__xludf.DUMMYFUNCTION("""COMPUTED_VALUE"""),9525.0)</f>
        <v>9525</v>
      </c>
      <c r="BA726" s="71">
        <f>IFERROR(__xludf.DUMMYFUNCTION("""COMPUTED_VALUE"""),10287.0)</f>
        <v>10287</v>
      </c>
      <c r="BB726" s="71">
        <f>IFERROR(__xludf.DUMMYFUNCTION("""COMPUTED_VALUE"""),10287.0)</f>
        <v>10287</v>
      </c>
      <c r="BC726" s="71">
        <f>IFERROR(__xludf.DUMMYFUNCTION("""COMPUTED_VALUE"""),11451.0)</f>
        <v>11451</v>
      </c>
      <c r="BD726" s="71">
        <f>IFERROR(__xludf.DUMMYFUNCTION("""COMPUTED_VALUE"""),12024.0)</f>
        <v>12024</v>
      </c>
      <c r="BE726" s="71">
        <f>IFERROR(__xludf.DUMMYFUNCTION("""COMPUTED_VALUE"""),1923.8400000000001)</f>
        <v>1923.84</v>
      </c>
      <c r="BF726" s="71">
        <f>IFERROR(__xludf.DUMMYFUNCTION("""COMPUTED_VALUE"""),13947.84)</f>
        <v>13947.84</v>
      </c>
      <c r="BG726" s="71">
        <f>IFERROR(__xludf.DUMMYFUNCTION("""COMPUTED_VALUE"""),0.05003929787791459)</f>
        <v>0.05003929788</v>
      </c>
      <c r="BH726" s="71">
        <f>IFERROR(__xludf.DUMMYFUNCTION("""COMPUTED_VALUE"""),11422.8)</f>
        <v>11422.8</v>
      </c>
      <c r="BI726" s="71">
        <f>IFERROR(__xludf.DUMMYFUNCTION("""COMPUTED_VALUE"""),1827.648)</f>
        <v>1827.648</v>
      </c>
      <c r="BJ726" s="71">
        <f>IFERROR(__xludf.DUMMYFUNCTION("""COMPUTED_VALUE"""),13250.447999999999)</f>
        <v>13250.448</v>
      </c>
      <c r="BK726" s="71">
        <f>IFERROR(__xludf.DUMMYFUNCTION("""COMPUTED_VALUE"""),10821.6)</f>
        <v>10821.6</v>
      </c>
      <c r="BL726" s="71">
        <f>IFERROR(__xludf.DUMMYFUNCTION("""COMPUTED_VALUE"""),1731.4560000000001)</f>
        <v>1731.456</v>
      </c>
      <c r="BM726" s="71">
        <f>IFERROR(__xludf.DUMMYFUNCTION("""COMPUTED_VALUE"""),12553.056)</f>
        <v>12553.056</v>
      </c>
      <c r="BN726" s="71">
        <f>IFERROR(__xludf.DUMMYFUNCTION("""COMPUTED_VALUE"""),10220.4)</f>
        <v>10220.4</v>
      </c>
      <c r="BO726" s="71">
        <f>IFERROR(__xludf.DUMMYFUNCTION("""COMPUTED_VALUE"""),1635.264)</f>
        <v>1635.264</v>
      </c>
      <c r="BP726" s="71">
        <f>IFERROR(__xludf.DUMMYFUNCTION("""COMPUTED_VALUE"""),11855.663999999999)</f>
        <v>11855.664</v>
      </c>
      <c r="BQ726" s="71">
        <f>IFERROR(__xludf.DUMMYFUNCTION("""COMPUTED_VALUE"""),9979.92)</f>
        <v>9979.92</v>
      </c>
      <c r="BR726" s="71">
        <f>IFERROR(__xludf.DUMMYFUNCTION("""COMPUTED_VALUE"""),1596.7872)</f>
        <v>1596.7872</v>
      </c>
      <c r="BS726" s="71">
        <f>IFERROR(__xludf.DUMMYFUNCTION("""COMPUTED_VALUE"""),11576.7072)</f>
        <v>11576.7072</v>
      </c>
      <c r="BT726" s="71">
        <f>IFERROR(__xludf.DUMMYFUNCTION("""COMPUTED_VALUE"""),9619.2)</f>
        <v>9619.2</v>
      </c>
      <c r="BU726" s="71">
        <f>IFERROR(__xludf.DUMMYFUNCTION("""COMPUTED_VALUE"""),1539.0720000000001)</f>
        <v>1539.072</v>
      </c>
      <c r="BV726" s="71">
        <f>IFERROR(__xludf.DUMMYFUNCTION("""COMPUTED_VALUE"""),11158.272)</f>
        <v>11158.272</v>
      </c>
    </row>
    <row r="727">
      <c r="A727" s="53">
        <v>1.0</v>
      </c>
      <c r="B727" s="72"/>
      <c r="C727" s="73" t="s">
        <v>53</v>
      </c>
      <c r="D727" s="53" t="s">
        <v>1739</v>
      </c>
      <c r="E727" s="54" t="s">
        <v>38</v>
      </c>
      <c r="F727" s="54" t="s">
        <v>42</v>
      </c>
      <c r="G727" s="54" t="s">
        <v>1740</v>
      </c>
      <c r="H727" s="54" t="s">
        <v>1741</v>
      </c>
      <c r="I727" s="54">
        <f t="shared" si="24"/>
        <v>40</v>
      </c>
      <c r="J727" s="56"/>
      <c r="K727" s="75"/>
      <c r="L727" s="76"/>
      <c r="M727" s="59"/>
      <c r="N727" s="60">
        <v>125.0</v>
      </c>
      <c r="O727" s="61">
        <v>135.0</v>
      </c>
      <c r="P727" s="62">
        <v>145.8</v>
      </c>
      <c r="Q727" s="63">
        <v>145.8</v>
      </c>
      <c r="R727" s="64">
        <v>163.0</v>
      </c>
      <c r="S727" s="111">
        <v>171.0</v>
      </c>
      <c r="T727" s="65">
        <f t="shared" si="2"/>
        <v>27.36</v>
      </c>
      <c r="U727" s="65">
        <f t="shared" si="3"/>
        <v>198.36</v>
      </c>
      <c r="V727" s="66">
        <f t="shared" si="4"/>
        <v>0.0490797546</v>
      </c>
      <c r="W727" s="67">
        <f t="shared" si="5"/>
        <v>162.45</v>
      </c>
      <c r="X727" s="67">
        <f t="shared" si="6"/>
        <v>25.992</v>
      </c>
      <c r="Y727" s="67">
        <f t="shared" si="7"/>
        <v>188.442</v>
      </c>
      <c r="Z727" s="67">
        <f t="shared" si="8"/>
        <v>153.9</v>
      </c>
      <c r="AA727" s="67">
        <f t="shared" si="9"/>
        <v>24.624</v>
      </c>
      <c r="AB727" s="67">
        <f t="shared" si="10"/>
        <v>178.524</v>
      </c>
      <c r="AC727" s="67">
        <f t="shared" si="11"/>
        <v>145.35</v>
      </c>
      <c r="AD727" s="67">
        <f t="shared" si="12"/>
        <v>23.256</v>
      </c>
      <c r="AE727" s="67">
        <f t="shared" si="13"/>
        <v>168.606</v>
      </c>
      <c r="AF727" s="67">
        <f t="shared" si="33"/>
        <v>141.93</v>
      </c>
      <c r="AG727" s="67">
        <f t="shared" si="15"/>
        <v>22.7088</v>
      </c>
      <c r="AH727" s="67">
        <f t="shared" si="16"/>
        <v>164.6388</v>
      </c>
      <c r="AI727" s="67">
        <f t="shared" si="17"/>
        <v>136.8</v>
      </c>
      <c r="AJ727" s="68">
        <f t="shared" si="31"/>
        <v>21.888</v>
      </c>
      <c r="AK727" s="68">
        <f t="shared" si="32"/>
        <v>158.688</v>
      </c>
      <c r="AL727" s="70">
        <f>IFERROR(__xludf.DUMMYFUNCTION("""COMPUTED_VALUE"""),1.0)</f>
        <v>1</v>
      </c>
      <c r="AM727" s="70"/>
      <c r="AN727" s="71" t="str">
        <f>IFERROR(__xludf.DUMMYFUNCTION("""COMPUTED_VALUE""")," C")</f>
        <v>C</v>
      </c>
      <c r="AO727" s="71" t="str">
        <f>IFERROR(__xludf.DUMMYFUNCTION("""COMPUTED_VALUE""")," JG70")</f>
        <v>JG70</v>
      </c>
      <c r="AP727" s="71" t="str">
        <f>IFERROR(__xludf.DUMMYFUNCTION("""COMPUTED_VALUE""")," JGO")</f>
        <v>JGO</v>
      </c>
      <c r="AQ727" s="71" t="str">
        <f>IFERROR(__xludf.DUMMYFUNCTION("""COMPUTED_VALUE""")," REF")</f>
        <v>REF</v>
      </c>
      <c r="AR727" s="71" t="str">
        <f>IFERROR(__xludf.DUMMYFUNCTION("""COMPUTED_VALUE""")," JUEGO DE PIEDRAS DE 4"" PARA MOLINO PONY INTERIOR 1 1/2""")</f>
        <v>JUEGO DE PIEDRAS DE 4" PARA MOLINO PONY INTERIOR 1 1/2"</v>
      </c>
      <c r="AS727" s="71" t="str">
        <f>IFERROR(__xludf.DUMMYFUNCTION("""COMPUTED_VALUE""")," JUEGO PIEDRAS 4 MOLINO PONY INT 1 1/2")</f>
        <v>JUEGO PIEDRAS 4 MOLINO PONY INT 1 1/2</v>
      </c>
      <c r="AT727" s="71">
        <f>IFERROR(__xludf.DUMMYFUNCTION("""COMPUTED_VALUE"""),37.0)</f>
        <v>37</v>
      </c>
      <c r="AU727" s="71"/>
      <c r="AV727" s="71"/>
      <c r="AW727" s="71"/>
      <c r="AX727" s="71"/>
      <c r="AY727" s="71">
        <f>IFERROR(__xludf.DUMMYFUNCTION("""COMPUTED_VALUE"""),225.0)</f>
        <v>225</v>
      </c>
      <c r="AZ727" s="71">
        <f>IFERROR(__xludf.DUMMYFUNCTION("""COMPUTED_VALUE"""),243.0)</f>
        <v>243</v>
      </c>
      <c r="BA727" s="71">
        <f>IFERROR(__xludf.DUMMYFUNCTION("""COMPUTED_VALUE"""),262.44)</f>
        <v>262.44</v>
      </c>
      <c r="BB727" s="71">
        <f>IFERROR(__xludf.DUMMYFUNCTION("""COMPUTED_VALUE"""),262.44)</f>
        <v>262.44</v>
      </c>
      <c r="BC727" s="71">
        <f>IFERROR(__xludf.DUMMYFUNCTION("""COMPUTED_VALUE"""),293.0)</f>
        <v>293</v>
      </c>
      <c r="BD727" s="71">
        <f>IFERROR(__xludf.DUMMYFUNCTION("""COMPUTED_VALUE"""),308.0)</f>
        <v>308</v>
      </c>
      <c r="BE727" s="71">
        <f>IFERROR(__xludf.DUMMYFUNCTION("""COMPUTED_VALUE"""),49.28)</f>
        <v>49.28</v>
      </c>
      <c r="BF727" s="71">
        <f>IFERROR(__xludf.DUMMYFUNCTION("""COMPUTED_VALUE"""),357.28)</f>
        <v>357.28</v>
      </c>
      <c r="BG727" s="71">
        <f>IFERROR(__xludf.DUMMYFUNCTION("""COMPUTED_VALUE"""),0.051194539249146756)</f>
        <v>0.05119453925</v>
      </c>
      <c r="BH727" s="71">
        <f>IFERROR(__xludf.DUMMYFUNCTION("""COMPUTED_VALUE"""),292.59999999999997)</f>
        <v>292.6</v>
      </c>
      <c r="BI727" s="71">
        <f>IFERROR(__xludf.DUMMYFUNCTION("""COMPUTED_VALUE"""),46.815999999999995)</f>
        <v>46.816</v>
      </c>
      <c r="BJ727" s="71">
        <f>IFERROR(__xludf.DUMMYFUNCTION("""COMPUTED_VALUE"""),339.41599999999994)</f>
        <v>339.416</v>
      </c>
      <c r="BK727" s="71">
        <f>IFERROR(__xludf.DUMMYFUNCTION("""COMPUTED_VALUE"""),277.2)</f>
        <v>277.2</v>
      </c>
      <c r="BL727" s="71">
        <f>IFERROR(__xludf.DUMMYFUNCTION("""COMPUTED_VALUE"""),44.352)</f>
        <v>44.352</v>
      </c>
      <c r="BM727" s="71">
        <f>IFERROR(__xludf.DUMMYFUNCTION("""COMPUTED_VALUE"""),321.55199999999996)</f>
        <v>321.552</v>
      </c>
      <c r="BN727" s="71">
        <f>IFERROR(__xludf.DUMMYFUNCTION("""COMPUTED_VALUE"""),261.8)</f>
        <v>261.8</v>
      </c>
      <c r="BO727" s="71">
        <f>IFERROR(__xludf.DUMMYFUNCTION("""COMPUTED_VALUE"""),41.888000000000005)</f>
        <v>41.888</v>
      </c>
      <c r="BP727" s="71">
        <f>IFERROR(__xludf.DUMMYFUNCTION("""COMPUTED_VALUE"""),303.688)</f>
        <v>303.688</v>
      </c>
      <c r="BQ727" s="71">
        <f>IFERROR(__xludf.DUMMYFUNCTION("""COMPUTED_VALUE"""),255.64)</f>
        <v>255.64</v>
      </c>
      <c r="BR727" s="71">
        <f>IFERROR(__xludf.DUMMYFUNCTION("""COMPUTED_VALUE"""),40.9024)</f>
        <v>40.9024</v>
      </c>
      <c r="BS727" s="71">
        <f>IFERROR(__xludf.DUMMYFUNCTION("""COMPUTED_VALUE"""),296.5424)</f>
        <v>296.5424</v>
      </c>
      <c r="BT727" s="71">
        <f>IFERROR(__xludf.DUMMYFUNCTION("""COMPUTED_VALUE"""),246.4)</f>
        <v>246.4</v>
      </c>
      <c r="BU727" s="71">
        <f>IFERROR(__xludf.DUMMYFUNCTION("""COMPUTED_VALUE"""),39.424)</f>
        <v>39.424</v>
      </c>
      <c r="BV727" s="71">
        <f>IFERROR(__xludf.DUMMYFUNCTION("""COMPUTED_VALUE"""),285.824)</f>
        <v>285.824</v>
      </c>
    </row>
    <row r="728">
      <c r="A728" s="53">
        <v>1.0</v>
      </c>
      <c r="B728" s="72"/>
      <c r="C728" s="73" t="s">
        <v>53</v>
      </c>
      <c r="D728" s="74" t="s">
        <v>1742</v>
      </c>
      <c r="E728" s="54" t="s">
        <v>38</v>
      </c>
      <c r="F728" s="54" t="s">
        <v>42</v>
      </c>
      <c r="G728" s="88" t="s">
        <v>1743</v>
      </c>
      <c r="H728" s="54" t="s">
        <v>1744</v>
      </c>
      <c r="I728" s="54">
        <f t="shared" si="24"/>
        <v>39</v>
      </c>
      <c r="J728" s="56"/>
      <c r="K728" s="75"/>
      <c r="L728" s="76"/>
      <c r="M728" s="59"/>
      <c r="N728" s="60">
        <v>77.0</v>
      </c>
      <c r="O728" s="61">
        <v>83.0</v>
      </c>
      <c r="P728" s="62">
        <v>89.64</v>
      </c>
      <c r="Q728" s="63">
        <v>89.64</v>
      </c>
      <c r="R728" s="64">
        <v>101.0</v>
      </c>
      <c r="S728" s="111">
        <v>106.0</v>
      </c>
      <c r="T728" s="65">
        <f t="shared" si="2"/>
        <v>16.96</v>
      </c>
      <c r="U728" s="65">
        <f t="shared" si="3"/>
        <v>122.96</v>
      </c>
      <c r="V728" s="66">
        <f t="shared" si="4"/>
        <v>0.0495049505</v>
      </c>
      <c r="W728" s="67">
        <f t="shared" si="5"/>
        <v>100.7</v>
      </c>
      <c r="X728" s="67">
        <f t="shared" si="6"/>
        <v>16.112</v>
      </c>
      <c r="Y728" s="67">
        <f t="shared" si="7"/>
        <v>116.812</v>
      </c>
      <c r="Z728" s="67">
        <f t="shared" si="8"/>
        <v>95.4</v>
      </c>
      <c r="AA728" s="67">
        <f t="shared" si="9"/>
        <v>15.264</v>
      </c>
      <c r="AB728" s="67">
        <f t="shared" si="10"/>
        <v>110.664</v>
      </c>
      <c r="AC728" s="67">
        <f t="shared" si="11"/>
        <v>90.1</v>
      </c>
      <c r="AD728" s="67">
        <f t="shared" si="12"/>
        <v>14.416</v>
      </c>
      <c r="AE728" s="67">
        <f t="shared" si="13"/>
        <v>104.516</v>
      </c>
      <c r="AF728" s="67">
        <f t="shared" si="33"/>
        <v>87.98</v>
      </c>
      <c r="AG728" s="67">
        <f t="shared" si="15"/>
        <v>14.0768</v>
      </c>
      <c r="AH728" s="67">
        <f t="shared" si="16"/>
        <v>102.0568</v>
      </c>
      <c r="AI728" s="67">
        <f t="shared" si="17"/>
        <v>84.8</v>
      </c>
      <c r="AJ728" s="68">
        <f t="shared" si="31"/>
        <v>13.568</v>
      </c>
      <c r="AK728" s="68">
        <f t="shared" si="32"/>
        <v>98.368</v>
      </c>
      <c r="AL728" s="70">
        <f>IFERROR(__xludf.DUMMYFUNCTION("""COMPUTED_VALUE"""),1.0)</f>
        <v>1</v>
      </c>
      <c r="AM728" s="70"/>
      <c r="AN728" s="71" t="str">
        <f>IFERROR(__xludf.DUMMYFUNCTION("""COMPUTED_VALUE""")," C")</f>
        <v>C</v>
      </c>
      <c r="AO728" s="71" t="str">
        <f>IFERROR(__xludf.DUMMYFUNCTION("""COMPUTED_VALUE""")," JG137")</f>
        <v>JG137</v>
      </c>
      <c r="AP728" s="71" t="str">
        <f>IFERROR(__xludf.DUMMYFUNCTION("""COMPUTED_VALUE""")," PZA")</f>
        <v>PZA</v>
      </c>
      <c r="AQ728" s="71" t="str">
        <f>IFERROR(__xludf.DUMMYFUNCTION("""COMPUTED_VALUE""")," REF")</f>
        <v>REF</v>
      </c>
      <c r="AR728" s="71" t="str">
        <f>IFERROR(__xludf.DUMMYFUNCTION("""COMPUTED_VALUE""")," JUEGO DE PIEDRAS DE 5"" TOLUCA INT 1 1/2""")</f>
        <v>JUEGO DE PIEDRAS DE 5" TOLUCA INT 1 1/2"</v>
      </c>
      <c r="AS728" s="71" t="str">
        <f>IFERROR(__xludf.DUMMYFUNCTION("""COMPUTED_VALUE""")," JUEGO PIEDRAS 5 TOLUCA INT 1 1/2")</f>
        <v>JUEGO PIEDRAS 5 TOLUCA INT 1 1/2</v>
      </c>
      <c r="AT728" s="71">
        <f>IFERROR(__xludf.DUMMYFUNCTION("""COMPUTED_VALUE"""),32.0)</f>
        <v>32</v>
      </c>
      <c r="AU728" s="71"/>
      <c r="AV728" s="71"/>
      <c r="AW728" s="71"/>
      <c r="AX728" s="71"/>
      <c r="AY728" s="71">
        <f>IFERROR(__xludf.DUMMYFUNCTION("""COMPUTED_VALUE"""),224.0)</f>
        <v>224</v>
      </c>
      <c r="AZ728" s="71">
        <f>IFERROR(__xludf.DUMMYFUNCTION("""COMPUTED_VALUE"""),261.0)</f>
        <v>261</v>
      </c>
      <c r="BA728" s="71">
        <f>IFERROR(__xludf.DUMMYFUNCTION("""COMPUTED_VALUE"""),281.88)</f>
        <v>281.88</v>
      </c>
      <c r="BB728" s="71">
        <f>IFERROR(__xludf.DUMMYFUNCTION("""COMPUTED_VALUE"""),281.88)</f>
        <v>281.88</v>
      </c>
      <c r="BC728" s="71">
        <f>IFERROR(__xludf.DUMMYFUNCTION("""COMPUTED_VALUE"""),314.0)</f>
        <v>314</v>
      </c>
      <c r="BD728" s="71">
        <f>IFERROR(__xludf.DUMMYFUNCTION("""COMPUTED_VALUE"""),330.0)</f>
        <v>330</v>
      </c>
      <c r="BE728" s="71">
        <f>IFERROR(__xludf.DUMMYFUNCTION("""COMPUTED_VALUE"""),52.800000000000004)</f>
        <v>52.8</v>
      </c>
      <c r="BF728" s="71">
        <f>IFERROR(__xludf.DUMMYFUNCTION("""COMPUTED_VALUE"""),382.8)</f>
        <v>382.8</v>
      </c>
      <c r="BG728" s="71">
        <f>IFERROR(__xludf.DUMMYFUNCTION("""COMPUTED_VALUE"""),0.050955414012738856)</f>
        <v>0.05095541401</v>
      </c>
      <c r="BH728" s="71">
        <f>IFERROR(__xludf.DUMMYFUNCTION("""COMPUTED_VALUE"""),313.5)</f>
        <v>313.5</v>
      </c>
      <c r="BI728" s="71">
        <f>IFERROR(__xludf.DUMMYFUNCTION("""COMPUTED_VALUE"""),50.160000000000004)</f>
        <v>50.16</v>
      </c>
      <c r="BJ728" s="71">
        <f>IFERROR(__xludf.DUMMYFUNCTION("""COMPUTED_VALUE"""),363.66)</f>
        <v>363.66</v>
      </c>
      <c r="BK728" s="71">
        <f>IFERROR(__xludf.DUMMYFUNCTION("""COMPUTED_VALUE"""),297.0)</f>
        <v>297</v>
      </c>
      <c r="BL728" s="71">
        <f>IFERROR(__xludf.DUMMYFUNCTION("""COMPUTED_VALUE"""),47.52)</f>
        <v>47.52</v>
      </c>
      <c r="BM728" s="71">
        <f>IFERROR(__xludf.DUMMYFUNCTION("""COMPUTED_VALUE"""),344.52)</f>
        <v>344.52</v>
      </c>
      <c r="BN728" s="71">
        <f>IFERROR(__xludf.DUMMYFUNCTION("""COMPUTED_VALUE"""),280.5)</f>
        <v>280.5</v>
      </c>
      <c r="BO728" s="71">
        <f>IFERROR(__xludf.DUMMYFUNCTION("""COMPUTED_VALUE"""),44.88)</f>
        <v>44.88</v>
      </c>
      <c r="BP728" s="71">
        <f>IFERROR(__xludf.DUMMYFUNCTION("""COMPUTED_VALUE"""),325.38)</f>
        <v>325.38</v>
      </c>
      <c r="BQ728" s="71">
        <f>IFERROR(__xludf.DUMMYFUNCTION("""COMPUTED_VALUE"""),273.9)</f>
        <v>273.9</v>
      </c>
      <c r="BR728" s="71">
        <f>IFERROR(__xludf.DUMMYFUNCTION("""COMPUTED_VALUE"""),43.824)</f>
        <v>43.824</v>
      </c>
      <c r="BS728" s="71">
        <f>IFERROR(__xludf.DUMMYFUNCTION("""COMPUTED_VALUE"""),317.724)</f>
        <v>317.724</v>
      </c>
      <c r="BT728" s="71">
        <f>IFERROR(__xludf.DUMMYFUNCTION("""COMPUTED_VALUE"""),264.0)</f>
        <v>264</v>
      </c>
      <c r="BU728" s="71">
        <f>IFERROR(__xludf.DUMMYFUNCTION("""COMPUTED_VALUE"""),42.24)</f>
        <v>42.24</v>
      </c>
      <c r="BV728" s="71">
        <f>IFERROR(__xludf.DUMMYFUNCTION("""COMPUTED_VALUE"""),306.24)</f>
        <v>306.24</v>
      </c>
    </row>
    <row r="729">
      <c r="A729" s="53">
        <v>1.0</v>
      </c>
      <c r="B729" s="72"/>
      <c r="C729" s="73" t="s">
        <v>53</v>
      </c>
      <c r="D729" s="74" t="s">
        <v>1745</v>
      </c>
      <c r="E729" s="54" t="s">
        <v>38</v>
      </c>
      <c r="F729" s="54" t="s">
        <v>42</v>
      </c>
      <c r="G729" s="88" t="s">
        <v>1746</v>
      </c>
      <c r="H729" s="54" t="s">
        <v>1747</v>
      </c>
      <c r="I729" s="54">
        <f t="shared" si="24"/>
        <v>40</v>
      </c>
      <c r="J729" s="56"/>
      <c r="K729" s="57"/>
      <c r="L729" s="87"/>
      <c r="M729" s="59"/>
      <c r="N729" s="60">
        <v>179.0</v>
      </c>
      <c r="O729" s="61">
        <v>193.0</v>
      </c>
      <c r="P729" s="62">
        <v>208.44000000000003</v>
      </c>
      <c r="Q729" s="63">
        <v>208.44000000000003</v>
      </c>
      <c r="R729" s="64">
        <v>233.0</v>
      </c>
      <c r="S729" s="111">
        <v>245.0</v>
      </c>
      <c r="T729" s="65">
        <f t="shared" si="2"/>
        <v>39.2</v>
      </c>
      <c r="U729" s="65">
        <f t="shared" si="3"/>
        <v>284.2</v>
      </c>
      <c r="V729" s="66">
        <f t="shared" si="4"/>
        <v>0.05150214592</v>
      </c>
      <c r="W729" s="67">
        <f t="shared" si="5"/>
        <v>232.75</v>
      </c>
      <c r="X729" s="67">
        <f t="shared" si="6"/>
        <v>37.24</v>
      </c>
      <c r="Y729" s="67">
        <f t="shared" si="7"/>
        <v>269.99</v>
      </c>
      <c r="Z729" s="67">
        <f t="shared" si="8"/>
        <v>220.5</v>
      </c>
      <c r="AA729" s="67">
        <f t="shared" si="9"/>
        <v>35.28</v>
      </c>
      <c r="AB729" s="67">
        <f t="shared" si="10"/>
        <v>255.78</v>
      </c>
      <c r="AC729" s="67">
        <f t="shared" si="11"/>
        <v>208.25</v>
      </c>
      <c r="AD729" s="67">
        <f t="shared" si="12"/>
        <v>33.32</v>
      </c>
      <c r="AE729" s="67">
        <f t="shared" si="13"/>
        <v>241.57</v>
      </c>
      <c r="AF729" s="67">
        <f t="shared" si="33"/>
        <v>203.35</v>
      </c>
      <c r="AG729" s="67">
        <f t="shared" si="15"/>
        <v>32.536</v>
      </c>
      <c r="AH729" s="67">
        <f t="shared" si="16"/>
        <v>235.886</v>
      </c>
      <c r="AI729" s="67">
        <f t="shared" si="17"/>
        <v>196</v>
      </c>
      <c r="AJ729" s="68">
        <f t="shared" si="31"/>
        <v>31.36</v>
      </c>
      <c r="AK729" s="68">
        <f t="shared" si="32"/>
        <v>227.36</v>
      </c>
      <c r="AL729" s="70">
        <f>IFERROR(__xludf.DUMMYFUNCTION("""COMPUTED_VALUE"""),1.0)</f>
        <v>1</v>
      </c>
      <c r="AM729" s="70"/>
      <c r="AN729" s="71" t="str">
        <f>IFERROR(__xludf.DUMMYFUNCTION("""COMPUTED_VALUE""")," C")</f>
        <v>C</v>
      </c>
      <c r="AO729" s="71" t="str">
        <f>IFERROR(__xludf.DUMMYFUNCTION("""COMPUTED_VALUE""")," JG159")</f>
        <v>JG159</v>
      </c>
      <c r="AP729" s="71" t="str">
        <f>IFERROR(__xludf.DUMMYFUNCTION("""COMPUTED_VALUE""")," PZA")</f>
        <v>PZA</v>
      </c>
      <c r="AQ729" s="71" t="str">
        <f>IFERROR(__xludf.DUMMYFUNCTION("""COMPUTED_VALUE""")," REF")</f>
        <v>REF</v>
      </c>
      <c r="AR729" s="71" t="str">
        <f>IFERROR(__xludf.DUMMYFUNCTION("""COMPUTED_VALUE""")," JUEGO DE PIEDRAS DE 5"" TORTIMEX INT 1 1/2""")</f>
        <v>JUEGO DE PIEDRAS DE 5" TORTIMEX INT 1 1/2"</v>
      </c>
      <c r="AS729" s="71" t="str">
        <f>IFERROR(__xludf.DUMMYFUNCTION("""COMPUTED_VALUE""")," JUEGO PIEDRAS 5 TORTIMEX INT 1 1/2")</f>
        <v>JUEGO PIEDRAS 5 TORTIMEX INT 1 1/2</v>
      </c>
      <c r="AT729" s="71">
        <f>IFERROR(__xludf.DUMMYFUNCTION("""COMPUTED_VALUE"""),34.0)</f>
        <v>34</v>
      </c>
      <c r="AU729" s="71"/>
      <c r="AV729" s="71"/>
      <c r="AW729" s="71"/>
      <c r="AX729" s="71"/>
      <c r="AY729" s="71">
        <f>IFERROR(__xludf.DUMMYFUNCTION("""COMPUTED_VALUE"""),225.0)</f>
        <v>225</v>
      </c>
      <c r="AZ729" s="71">
        <f>IFERROR(__xludf.DUMMYFUNCTION("""COMPUTED_VALUE"""),243.0)</f>
        <v>243</v>
      </c>
      <c r="BA729" s="71">
        <f>IFERROR(__xludf.DUMMYFUNCTION("""COMPUTED_VALUE"""),262.44)</f>
        <v>262.44</v>
      </c>
      <c r="BB729" s="71">
        <f>IFERROR(__xludf.DUMMYFUNCTION("""COMPUTED_VALUE"""),262.44)</f>
        <v>262.44</v>
      </c>
      <c r="BC729" s="71">
        <f>IFERROR(__xludf.DUMMYFUNCTION("""COMPUTED_VALUE"""),276.0)</f>
        <v>276</v>
      </c>
      <c r="BD729" s="71">
        <f>IFERROR(__xludf.DUMMYFUNCTION("""COMPUTED_VALUE"""),290.0)</f>
        <v>290</v>
      </c>
      <c r="BE729" s="71">
        <f>IFERROR(__xludf.DUMMYFUNCTION("""COMPUTED_VALUE"""),46.4)</f>
        <v>46.4</v>
      </c>
      <c r="BF729" s="71">
        <f>IFERROR(__xludf.DUMMYFUNCTION("""COMPUTED_VALUE"""),336.4)</f>
        <v>336.4</v>
      </c>
      <c r="BG729" s="71">
        <f>IFERROR(__xludf.DUMMYFUNCTION("""COMPUTED_VALUE"""),0.050724637681159424)</f>
        <v>0.05072463768</v>
      </c>
      <c r="BH729" s="71">
        <f>IFERROR(__xludf.DUMMYFUNCTION("""COMPUTED_VALUE"""),275.5)</f>
        <v>275.5</v>
      </c>
      <c r="BI729" s="71">
        <f>IFERROR(__xludf.DUMMYFUNCTION("""COMPUTED_VALUE"""),44.08)</f>
        <v>44.08</v>
      </c>
      <c r="BJ729" s="71">
        <f>IFERROR(__xludf.DUMMYFUNCTION("""COMPUTED_VALUE"""),319.58)</f>
        <v>319.58</v>
      </c>
      <c r="BK729" s="71">
        <f>IFERROR(__xludf.DUMMYFUNCTION("""COMPUTED_VALUE"""),261.0)</f>
        <v>261</v>
      </c>
      <c r="BL729" s="71">
        <f>IFERROR(__xludf.DUMMYFUNCTION("""COMPUTED_VALUE"""),41.76)</f>
        <v>41.76</v>
      </c>
      <c r="BM729" s="71">
        <f>IFERROR(__xludf.DUMMYFUNCTION("""COMPUTED_VALUE"""),302.76)</f>
        <v>302.76</v>
      </c>
      <c r="BN729" s="71">
        <f>IFERROR(__xludf.DUMMYFUNCTION("""COMPUTED_VALUE"""),246.5)</f>
        <v>246.5</v>
      </c>
      <c r="BO729" s="71">
        <f>IFERROR(__xludf.DUMMYFUNCTION("""COMPUTED_VALUE"""),39.44)</f>
        <v>39.44</v>
      </c>
      <c r="BP729" s="71">
        <f>IFERROR(__xludf.DUMMYFUNCTION("""COMPUTED_VALUE"""),285.94)</f>
        <v>285.94</v>
      </c>
      <c r="BQ729" s="71">
        <f>IFERROR(__xludf.DUMMYFUNCTION("""COMPUTED_VALUE"""),240.7)</f>
        <v>240.7</v>
      </c>
      <c r="BR729" s="71">
        <f>IFERROR(__xludf.DUMMYFUNCTION("""COMPUTED_VALUE"""),38.512)</f>
        <v>38.512</v>
      </c>
      <c r="BS729" s="71">
        <f>IFERROR(__xludf.DUMMYFUNCTION("""COMPUTED_VALUE"""),279.212)</f>
        <v>279.212</v>
      </c>
      <c r="BT729" s="71">
        <f>IFERROR(__xludf.DUMMYFUNCTION("""COMPUTED_VALUE"""),232.0)</f>
        <v>232</v>
      </c>
      <c r="BU729" s="71">
        <f>IFERROR(__xludf.DUMMYFUNCTION("""COMPUTED_VALUE"""),37.12)</f>
        <v>37.12</v>
      </c>
      <c r="BV729" s="71">
        <f>IFERROR(__xludf.DUMMYFUNCTION("""COMPUTED_VALUE"""),269.12)</f>
        <v>269.12</v>
      </c>
    </row>
    <row r="730">
      <c r="A730" s="53">
        <v>1.0</v>
      </c>
      <c r="B730" s="72"/>
      <c r="C730" s="73" t="s">
        <v>53</v>
      </c>
      <c r="D730" s="74" t="s">
        <v>1748</v>
      </c>
      <c r="E730" s="54" t="s">
        <v>38</v>
      </c>
      <c r="F730" s="54" t="s">
        <v>42</v>
      </c>
      <c r="G730" s="88" t="s">
        <v>1749</v>
      </c>
      <c r="H730" s="54" t="s">
        <v>1750</v>
      </c>
      <c r="I730" s="54">
        <f t="shared" si="24"/>
        <v>39</v>
      </c>
      <c r="J730" s="56"/>
      <c r="K730" s="75"/>
      <c r="L730" s="76"/>
      <c r="M730" s="59"/>
      <c r="N730" s="60">
        <v>133.0</v>
      </c>
      <c r="O730" s="61">
        <v>143.0</v>
      </c>
      <c r="P730" s="62">
        <v>154.44</v>
      </c>
      <c r="Q730" s="63">
        <v>154.44</v>
      </c>
      <c r="R730" s="64">
        <v>173.0</v>
      </c>
      <c r="S730" s="111">
        <v>182.0</v>
      </c>
      <c r="T730" s="65">
        <f t="shared" si="2"/>
        <v>29.12</v>
      </c>
      <c r="U730" s="65">
        <f t="shared" si="3"/>
        <v>211.12</v>
      </c>
      <c r="V730" s="66">
        <f t="shared" si="4"/>
        <v>0.05202312139</v>
      </c>
      <c r="W730" s="67">
        <f t="shared" si="5"/>
        <v>172.9</v>
      </c>
      <c r="X730" s="67">
        <f t="shared" si="6"/>
        <v>27.664</v>
      </c>
      <c r="Y730" s="67">
        <f t="shared" si="7"/>
        <v>200.564</v>
      </c>
      <c r="Z730" s="67">
        <f t="shared" si="8"/>
        <v>163.8</v>
      </c>
      <c r="AA730" s="67">
        <f t="shared" si="9"/>
        <v>26.208</v>
      </c>
      <c r="AB730" s="67">
        <f t="shared" si="10"/>
        <v>190.008</v>
      </c>
      <c r="AC730" s="67">
        <f t="shared" si="11"/>
        <v>154.7</v>
      </c>
      <c r="AD730" s="67">
        <f t="shared" si="12"/>
        <v>24.752</v>
      </c>
      <c r="AE730" s="67">
        <f t="shared" si="13"/>
        <v>179.452</v>
      </c>
      <c r="AF730" s="67">
        <f t="shared" si="33"/>
        <v>151.06</v>
      </c>
      <c r="AG730" s="67">
        <f t="shared" si="15"/>
        <v>24.1696</v>
      </c>
      <c r="AH730" s="67">
        <f t="shared" si="16"/>
        <v>175.2296</v>
      </c>
      <c r="AI730" s="67">
        <f t="shared" si="17"/>
        <v>145.6</v>
      </c>
      <c r="AJ730" s="68">
        <f t="shared" si="31"/>
        <v>23.296</v>
      </c>
      <c r="AK730" s="68">
        <f t="shared" si="32"/>
        <v>168.896</v>
      </c>
      <c r="AL730" s="70">
        <f>IFERROR(__xludf.DUMMYFUNCTION("""COMPUTED_VALUE"""),1.0)</f>
        <v>1</v>
      </c>
      <c r="AM730" s="70"/>
      <c r="AN730" s="71" t="str">
        <f>IFERROR(__xludf.DUMMYFUNCTION("""COMPUTED_VALUE""")," C")</f>
        <v>C</v>
      </c>
      <c r="AO730" s="71" t="str">
        <f>IFERROR(__xludf.DUMMYFUNCTION("""COMPUTED_VALUE""")," JG138")</f>
        <v>JG138</v>
      </c>
      <c r="AP730" s="71" t="str">
        <f>IFERROR(__xludf.DUMMYFUNCTION("""COMPUTED_VALUE""")," PZA")</f>
        <v>PZA</v>
      </c>
      <c r="AQ730" s="71" t="str">
        <f>IFERROR(__xludf.DUMMYFUNCTION("""COMPUTED_VALUE""")," REF")</f>
        <v>REF</v>
      </c>
      <c r="AR730" s="71" t="str">
        <f>IFERROR(__xludf.DUMMYFUNCTION("""COMPUTED_VALUE""")," JUEGO DE PIEDRAS DE 6"" TOLUCA INT 1 1/2""")</f>
        <v>JUEGO DE PIEDRAS DE 6" TOLUCA INT 1 1/2"</v>
      </c>
      <c r="AS730" s="71" t="str">
        <f>IFERROR(__xludf.DUMMYFUNCTION("""COMPUTED_VALUE""")," JUEGO PIEDRAS 6 TOLUCA INT 1 1/2")</f>
        <v>JUEGO PIEDRAS 6 TOLUCA INT 1 1/2</v>
      </c>
      <c r="AT730" s="71">
        <f>IFERROR(__xludf.DUMMYFUNCTION("""COMPUTED_VALUE"""),32.0)</f>
        <v>32</v>
      </c>
      <c r="AU730" s="71"/>
      <c r="AV730" s="71"/>
      <c r="AW730" s="71"/>
      <c r="AX730" s="71"/>
      <c r="AY730" s="71">
        <f>IFERROR(__xludf.DUMMYFUNCTION("""COMPUTED_VALUE"""),218.0)</f>
        <v>218</v>
      </c>
      <c r="AZ730" s="71">
        <f>IFERROR(__xludf.DUMMYFUNCTION("""COMPUTED_VALUE"""),270.0)</f>
        <v>270</v>
      </c>
      <c r="BA730" s="71">
        <f>IFERROR(__xludf.DUMMYFUNCTION("""COMPUTED_VALUE"""),291.6)</f>
        <v>291.6</v>
      </c>
      <c r="BB730" s="71">
        <f>IFERROR(__xludf.DUMMYFUNCTION("""COMPUTED_VALUE"""),291.6)</f>
        <v>291.6</v>
      </c>
      <c r="BC730" s="71">
        <f>IFERROR(__xludf.DUMMYFUNCTION("""COMPUTED_VALUE"""),326.0)</f>
        <v>326</v>
      </c>
      <c r="BD730" s="71">
        <f>IFERROR(__xludf.DUMMYFUNCTION("""COMPUTED_VALUE"""),342.0)</f>
        <v>342</v>
      </c>
      <c r="BE730" s="71">
        <f>IFERROR(__xludf.DUMMYFUNCTION("""COMPUTED_VALUE"""),54.72)</f>
        <v>54.72</v>
      </c>
      <c r="BF730" s="71">
        <f>IFERROR(__xludf.DUMMYFUNCTION("""COMPUTED_VALUE"""),396.72)</f>
        <v>396.72</v>
      </c>
      <c r="BG730" s="71">
        <f>IFERROR(__xludf.DUMMYFUNCTION("""COMPUTED_VALUE"""),0.049079754601226995)</f>
        <v>0.0490797546</v>
      </c>
      <c r="BH730" s="71">
        <f>IFERROR(__xludf.DUMMYFUNCTION("""COMPUTED_VALUE"""),324.9)</f>
        <v>324.9</v>
      </c>
      <c r="BI730" s="71">
        <f>IFERROR(__xludf.DUMMYFUNCTION("""COMPUTED_VALUE"""),51.983999999999995)</f>
        <v>51.984</v>
      </c>
      <c r="BJ730" s="71">
        <f>IFERROR(__xludf.DUMMYFUNCTION("""COMPUTED_VALUE"""),376.88399999999996)</f>
        <v>376.884</v>
      </c>
      <c r="BK730" s="71">
        <f>IFERROR(__xludf.DUMMYFUNCTION("""COMPUTED_VALUE"""),307.8)</f>
        <v>307.8</v>
      </c>
      <c r="BL730" s="71">
        <f>IFERROR(__xludf.DUMMYFUNCTION("""COMPUTED_VALUE"""),49.248000000000005)</f>
        <v>49.248</v>
      </c>
      <c r="BM730" s="71">
        <f>IFERROR(__xludf.DUMMYFUNCTION("""COMPUTED_VALUE"""),357.048)</f>
        <v>357.048</v>
      </c>
      <c r="BN730" s="71">
        <f>IFERROR(__xludf.DUMMYFUNCTION("""COMPUTED_VALUE"""),290.7)</f>
        <v>290.7</v>
      </c>
      <c r="BO730" s="71">
        <f>IFERROR(__xludf.DUMMYFUNCTION("""COMPUTED_VALUE"""),46.512)</f>
        <v>46.512</v>
      </c>
      <c r="BP730" s="71">
        <f>IFERROR(__xludf.DUMMYFUNCTION("""COMPUTED_VALUE"""),337.212)</f>
        <v>337.212</v>
      </c>
      <c r="BQ730" s="71">
        <f>IFERROR(__xludf.DUMMYFUNCTION("""COMPUTED_VALUE"""),283.86)</f>
        <v>283.86</v>
      </c>
      <c r="BR730" s="71">
        <f>IFERROR(__xludf.DUMMYFUNCTION("""COMPUTED_VALUE"""),45.4176)</f>
        <v>45.4176</v>
      </c>
      <c r="BS730" s="71">
        <f>IFERROR(__xludf.DUMMYFUNCTION("""COMPUTED_VALUE"""),329.2776)</f>
        <v>329.2776</v>
      </c>
      <c r="BT730" s="71">
        <f>IFERROR(__xludf.DUMMYFUNCTION("""COMPUTED_VALUE"""),273.6)</f>
        <v>273.6</v>
      </c>
      <c r="BU730" s="71">
        <f>IFERROR(__xludf.DUMMYFUNCTION("""COMPUTED_VALUE"""),43.776)</f>
        <v>43.776</v>
      </c>
      <c r="BV730" s="71">
        <f>IFERROR(__xludf.DUMMYFUNCTION("""COMPUTED_VALUE"""),317.37600000000003)</f>
        <v>317.376</v>
      </c>
    </row>
    <row r="731">
      <c r="A731" s="53"/>
      <c r="B731" s="53"/>
      <c r="C731" s="53" t="s">
        <v>53</v>
      </c>
      <c r="D731" s="53" t="s">
        <v>1751</v>
      </c>
      <c r="E731" s="54" t="s">
        <v>38</v>
      </c>
      <c r="F731" s="54" t="s">
        <v>42</v>
      </c>
      <c r="G731" s="55" t="s">
        <v>1752</v>
      </c>
      <c r="H731" s="55" t="s">
        <v>1753</v>
      </c>
      <c r="I731" s="54">
        <f t="shared" si="24"/>
        <v>38</v>
      </c>
      <c r="J731" s="56"/>
      <c r="K731" s="57"/>
      <c r="L731" s="87"/>
      <c r="M731" s="59"/>
      <c r="N731" s="79"/>
      <c r="O731" s="61">
        <v>1600.0</v>
      </c>
      <c r="P731" s="63">
        <v>1728.0</v>
      </c>
      <c r="Q731" s="63">
        <v>1728.0</v>
      </c>
      <c r="R731" s="64">
        <v>1815.0</v>
      </c>
      <c r="S731" s="111">
        <v>1906.0</v>
      </c>
      <c r="T731" s="65">
        <f t="shared" si="2"/>
        <v>304.96</v>
      </c>
      <c r="U731" s="65">
        <f t="shared" si="3"/>
        <v>2210.96</v>
      </c>
      <c r="V731" s="66">
        <f t="shared" si="4"/>
        <v>0.05013774105</v>
      </c>
      <c r="W731" s="67">
        <f t="shared" si="5"/>
        <v>1810.7</v>
      </c>
      <c r="X731" s="67">
        <f t="shared" si="6"/>
        <v>289.712</v>
      </c>
      <c r="Y731" s="67">
        <f t="shared" si="7"/>
        <v>2100.412</v>
      </c>
      <c r="Z731" s="67">
        <f t="shared" si="8"/>
        <v>1715.4</v>
      </c>
      <c r="AA731" s="67">
        <f t="shared" si="9"/>
        <v>274.464</v>
      </c>
      <c r="AB731" s="67">
        <f t="shared" si="10"/>
        <v>1989.864</v>
      </c>
      <c r="AC731" s="67">
        <f t="shared" si="11"/>
        <v>1620.1</v>
      </c>
      <c r="AD731" s="67">
        <f t="shared" si="12"/>
        <v>259.216</v>
      </c>
      <c r="AE731" s="67">
        <f t="shared" si="13"/>
        <v>1879.316</v>
      </c>
      <c r="AF731" s="67">
        <f t="shared" si="33"/>
        <v>1581.98</v>
      </c>
      <c r="AG731" s="67">
        <f t="shared" si="15"/>
        <v>253.1168</v>
      </c>
      <c r="AH731" s="67">
        <f t="shared" si="16"/>
        <v>1835.0968</v>
      </c>
      <c r="AI731" s="67">
        <f t="shared" si="17"/>
        <v>1524.8</v>
      </c>
      <c r="AJ731" s="68">
        <f t="shared" si="31"/>
        <v>243.968</v>
      </c>
      <c r="AK731" s="68">
        <f t="shared" si="32"/>
        <v>1768.768</v>
      </c>
      <c r="AL731" s="70">
        <f>IFERROR(__xludf.DUMMYFUNCTION("""COMPUTED_VALUE"""),1.0)</f>
        <v>1</v>
      </c>
      <c r="AM731" s="70"/>
      <c r="AN731" s="71" t="str">
        <f>IFERROR(__xludf.DUMMYFUNCTION("""COMPUTED_VALUE""")," C")</f>
        <v>C</v>
      </c>
      <c r="AO731" s="71" t="str">
        <f>IFERROR(__xludf.DUMMYFUNCTION("""COMPUTED_VALUE""")," JG140")</f>
        <v>JG140</v>
      </c>
      <c r="AP731" s="71" t="str">
        <f>IFERROR(__xludf.DUMMYFUNCTION("""COMPUTED_VALUE""")," PZA")</f>
        <v>PZA</v>
      </c>
      <c r="AQ731" s="71" t="str">
        <f>IFERROR(__xludf.DUMMYFUNCTION("""COMPUTED_VALUE""")," REF")</f>
        <v>REF</v>
      </c>
      <c r="AR731" s="71" t="str">
        <f>IFERROR(__xludf.DUMMYFUNCTION("""COMPUTED_VALUE""")," JUEGO DE PIEDRAS DE 7"" LISA INT 1 1/2""")</f>
        <v>JUEGO DE PIEDRAS DE 7" LISA INT 1 1/2"</v>
      </c>
      <c r="AS731" s="71" t="str">
        <f>IFERROR(__xludf.DUMMYFUNCTION("""COMPUTED_VALUE""")," PIEDRAS 7 INT 1 1/2 PILOTO")</f>
        <v>PIEDRAS 7 INT 1 1/2 PILOTO</v>
      </c>
      <c r="AT731" s="71">
        <f>IFERROR(__xludf.DUMMYFUNCTION("""COMPUTED_VALUE"""),26.0)</f>
        <v>26</v>
      </c>
      <c r="AU731" s="71"/>
      <c r="AV731" s="71"/>
      <c r="AW731" s="71"/>
      <c r="AX731" s="71"/>
      <c r="AY731" s="71">
        <f>IFERROR(__xludf.DUMMYFUNCTION("""COMPUTED_VALUE"""),320.0)</f>
        <v>320</v>
      </c>
      <c r="AZ731" s="71">
        <f>IFERROR(__xludf.DUMMYFUNCTION("""COMPUTED_VALUE"""),345.0)</f>
        <v>345</v>
      </c>
      <c r="BA731" s="71">
        <f>IFERROR(__xludf.DUMMYFUNCTION("""COMPUTED_VALUE"""),372.6)</f>
        <v>372.6</v>
      </c>
      <c r="BB731" s="71">
        <f>IFERROR(__xludf.DUMMYFUNCTION("""COMPUTED_VALUE"""),372.6)</f>
        <v>372.6</v>
      </c>
      <c r="BC731" s="71">
        <f>IFERROR(__xludf.DUMMYFUNCTION("""COMPUTED_VALUE"""),392.0)</f>
        <v>392</v>
      </c>
      <c r="BD731" s="71">
        <f>IFERROR(__xludf.DUMMYFUNCTION("""COMPUTED_VALUE"""),412.0)</f>
        <v>412</v>
      </c>
      <c r="BE731" s="71">
        <f>IFERROR(__xludf.DUMMYFUNCTION("""COMPUTED_VALUE"""),65.92)</f>
        <v>65.92</v>
      </c>
      <c r="BF731" s="71">
        <f>IFERROR(__xludf.DUMMYFUNCTION("""COMPUTED_VALUE"""),477.92)</f>
        <v>477.92</v>
      </c>
      <c r="BG731" s="71">
        <f>IFERROR(__xludf.DUMMYFUNCTION("""COMPUTED_VALUE"""),0.05102040816326531)</f>
        <v>0.05102040816</v>
      </c>
      <c r="BH731" s="71">
        <f>IFERROR(__xludf.DUMMYFUNCTION("""COMPUTED_VALUE"""),391.4)</f>
        <v>391.4</v>
      </c>
      <c r="BI731" s="71">
        <f>IFERROR(__xludf.DUMMYFUNCTION("""COMPUTED_VALUE"""),62.623999999999995)</f>
        <v>62.624</v>
      </c>
      <c r="BJ731" s="71">
        <f>IFERROR(__xludf.DUMMYFUNCTION("""COMPUTED_VALUE"""),454.024)</f>
        <v>454.024</v>
      </c>
      <c r="BK731" s="71">
        <f>IFERROR(__xludf.DUMMYFUNCTION("""COMPUTED_VALUE"""),370.8)</f>
        <v>370.8</v>
      </c>
      <c r="BL731" s="71">
        <f>IFERROR(__xludf.DUMMYFUNCTION("""COMPUTED_VALUE"""),59.328)</f>
        <v>59.328</v>
      </c>
      <c r="BM731" s="71">
        <f>IFERROR(__xludf.DUMMYFUNCTION("""COMPUTED_VALUE"""),430.12800000000004)</f>
        <v>430.128</v>
      </c>
      <c r="BN731" s="71">
        <f>IFERROR(__xludf.DUMMYFUNCTION("""COMPUTED_VALUE"""),350.2)</f>
        <v>350.2</v>
      </c>
      <c r="BO731" s="71">
        <f>IFERROR(__xludf.DUMMYFUNCTION("""COMPUTED_VALUE"""),56.032)</f>
        <v>56.032</v>
      </c>
      <c r="BP731" s="71">
        <f>IFERROR(__xludf.DUMMYFUNCTION("""COMPUTED_VALUE"""),406.23199999999997)</f>
        <v>406.232</v>
      </c>
      <c r="BQ731" s="71">
        <f>IFERROR(__xludf.DUMMYFUNCTION("""COMPUTED_VALUE"""),341.96)</f>
        <v>341.96</v>
      </c>
      <c r="BR731" s="71">
        <f>IFERROR(__xludf.DUMMYFUNCTION("""COMPUTED_VALUE"""),54.7136)</f>
        <v>54.7136</v>
      </c>
      <c r="BS731" s="71">
        <f>IFERROR(__xludf.DUMMYFUNCTION("""COMPUTED_VALUE"""),396.67359999999996)</f>
        <v>396.6736</v>
      </c>
      <c r="BT731" s="71">
        <f>IFERROR(__xludf.DUMMYFUNCTION("""COMPUTED_VALUE"""),329.6)</f>
        <v>329.6</v>
      </c>
      <c r="BU731" s="71">
        <f>IFERROR(__xludf.DUMMYFUNCTION("""COMPUTED_VALUE"""),52.736000000000004)</f>
        <v>52.736</v>
      </c>
      <c r="BV731" s="71">
        <f>IFERROR(__xludf.DUMMYFUNCTION("""COMPUTED_VALUE"""),382.336)</f>
        <v>382.336</v>
      </c>
    </row>
    <row r="732">
      <c r="A732" s="53">
        <v>1.0</v>
      </c>
      <c r="B732" s="72"/>
      <c r="C732" s="73" t="s">
        <v>53</v>
      </c>
      <c r="D732" s="74" t="s">
        <v>1754</v>
      </c>
      <c r="E732" s="54" t="s">
        <v>38</v>
      </c>
      <c r="F732" s="54" t="s">
        <v>42</v>
      </c>
      <c r="G732" s="88" t="s">
        <v>1755</v>
      </c>
      <c r="H732" s="54" t="s">
        <v>1756</v>
      </c>
      <c r="I732" s="54">
        <f t="shared" si="24"/>
        <v>39</v>
      </c>
      <c r="J732" s="56"/>
      <c r="K732" s="75"/>
      <c r="L732" s="76"/>
      <c r="M732" s="59"/>
      <c r="N732" s="60">
        <v>850.0</v>
      </c>
      <c r="O732" s="61">
        <v>918.0</v>
      </c>
      <c r="P732" s="62">
        <v>991.44</v>
      </c>
      <c r="Q732" s="63">
        <v>991.44</v>
      </c>
      <c r="R732" s="64">
        <v>1095.0</v>
      </c>
      <c r="S732" s="111">
        <v>1150.0</v>
      </c>
      <c r="T732" s="65">
        <f t="shared" si="2"/>
        <v>184</v>
      </c>
      <c r="U732" s="65">
        <f t="shared" si="3"/>
        <v>1334</v>
      </c>
      <c r="V732" s="66">
        <f t="shared" si="4"/>
        <v>0.0502283105</v>
      </c>
      <c r="W732" s="67">
        <f t="shared" si="5"/>
        <v>1092.5</v>
      </c>
      <c r="X732" s="67">
        <f t="shared" si="6"/>
        <v>174.8</v>
      </c>
      <c r="Y732" s="67">
        <f t="shared" si="7"/>
        <v>1267.3</v>
      </c>
      <c r="Z732" s="67">
        <f t="shared" si="8"/>
        <v>1035</v>
      </c>
      <c r="AA732" s="67">
        <f t="shared" si="9"/>
        <v>165.6</v>
      </c>
      <c r="AB732" s="67">
        <f t="shared" si="10"/>
        <v>1200.6</v>
      </c>
      <c r="AC732" s="67">
        <f t="shared" si="11"/>
        <v>977.5</v>
      </c>
      <c r="AD732" s="67">
        <f t="shared" si="12"/>
        <v>156.4</v>
      </c>
      <c r="AE732" s="67">
        <f t="shared" si="13"/>
        <v>1133.9</v>
      </c>
      <c r="AF732" s="67">
        <f t="shared" si="33"/>
        <v>954.5</v>
      </c>
      <c r="AG732" s="67">
        <f t="shared" si="15"/>
        <v>152.72</v>
      </c>
      <c r="AH732" s="67">
        <f t="shared" si="16"/>
        <v>1107.22</v>
      </c>
      <c r="AI732" s="67">
        <f t="shared" si="17"/>
        <v>920</v>
      </c>
      <c r="AJ732" s="68">
        <f t="shared" si="31"/>
        <v>147.2</v>
      </c>
      <c r="AK732" s="68">
        <f t="shared" si="32"/>
        <v>1067.2</v>
      </c>
      <c r="AL732" s="70">
        <f>IFERROR(__xludf.DUMMYFUNCTION("""COMPUTED_VALUE"""),1.0)</f>
        <v>1</v>
      </c>
      <c r="AM732" s="70"/>
      <c r="AN732" s="71" t="str">
        <f>IFERROR(__xludf.DUMMYFUNCTION("""COMPUTED_VALUE""")," C")</f>
        <v>C</v>
      </c>
      <c r="AO732" s="71" t="str">
        <f>IFERROR(__xludf.DUMMYFUNCTION("""COMPUTED_VALUE""")," JG139")</f>
        <v>JG139</v>
      </c>
      <c r="AP732" s="71" t="str">
        <f>IFERROR(__xludf.DUMMYFUNCTION("""COMPUTED_VALUE""")," PZA")</f>
        <v>PZA</v>
      </c>
      <c r="AQ732" s="71" t="str">
        <f>IFERROR(__xludf.DUMMYFUNCTION("""COMPUTED_VALUE""")," REF")</f>
        <v>REF</v>
      </c>
      <c r="AR732" s="71" t="str">
        <f>IFERROR(__xludf.DUMMYFUNCTION("""COMPUTED_VALUE""")," JUEGO DE PIEDRAS DE 7"" TOLUCA INT 1 1/2""")</f>
        <v>JUEGO DE PIEDRAS DE 7" TOLUCA INT 1 1/2"</v>
      </c>
      <c r="AS732" s="71" t="str">
        <f>IFERROR(__xludf.DUMMYFUNCTION("""COMPUTED_VALUE""")," JUEGO PIEDRAS 7 TOLUCA INT 1 1/2")</f>
        <v>JUEGO PIEDRAS 7 TOLUCA INT 1 1/2</v>
      </c>
      <c r="AT732" s="71">
        <f>IFERROR(__xludf.DUMMYFUNCTION("""COMPUTED_VALUE"""),32.0)</f>
        <v>32</v>
      </c>
      <c r="AU732" s="71"/>
      <c r="AV732" s="71"/>
      <c r="AW732" s="71"/>
      <c r="AX732" s="71"/>
      <c r="AY732" s="71">
        <f>IFERROR(__xludf.DUMMYFUNCTION("""COMPUTED_VALUE"""),303.0)</f>
        <v>303</v>
      </c>
      <c r="AZ732" s="71">
        <f>IFERROR(__xludf.DUMMYFUNCTION("""COMPUTED_VALUE"""),342.0)</f>
        <v>342</v>
      </c>
      <c r="BA732" s="71">
        <f>IFERROR(__xludf.DUMMYFUNCTION("""COMPUTED_VALUE"""),369.36)</f>
        <v>369.36</v>
      </c>
      <c r="BB732" s="71">
        <f>IFERROR(__xludf.DUMMYFUNCTION("""COMPUTED_VALUE"""),369.36)</f>
        <v>369.36</v>
      </c>
      <c r="BC732" s="71">
        <f>IFERROR(__xludf.DUMMYFUNCTION("""COMPUTED_VALUE"""),388.0)</f>
        <v>388</v>
      </c>
      <c r="BD732" s="71">
        <f>IFERROR(__xludf.DUMMYFUNCTION("""COMPUTED_VALUE"""),407.0)</f>
        <v>407</v>
      </c>
      <c r="BE732" s="71">
        <f>IFERROR(__xludf.DUMMYFUNCTION("""COMPUTED_VALUE"""),65.12)</f>
        <v>65.12</v>
      </c>
      <c r="BF732" s="71">
        <f>IFERROR(__xludf.DUMMYFUNCTION("""COMPUTED_VALUE"""),472.12)</f>
        <v>472.12</v>
      </c>
      <c r="BG732" s="71">
        <f>IFERROR(__xludf.DUMMYFUNCTION("""COMPUTED_VALUE"""),0.04896907216494845)</f>
        <v>0.04896907216</v>
      </c>
      <c r="BH732" s="71">
        <f>IFERROR(__xludf.DUMMYFUNCTION("""COMPUTED_VALUE"""),386.65)</f>
        <v>386.65</v>
      </c>
      <c r="BI732" s="71">
        <f>IFERROR(__xludf.DUMMYFUNCTION("""COMPUTED_VALUE"""),61.864)</f>
        <v>61.864</v>
      </c>
      <c r="BJ732" s="71">
        <f>IFERROR(__xludf.DUMMYFUNCTION("""COMPUTED_VALUE"""),448.51399999999995)</f>
        <v>448.514</v>
      </c>
      <c r="BK732" s="71">
        <f>IFERROR(__xludf.DUMMYFUNCTION("""COMPUTED_VALUE"""),366.3)</f>
        <v>366.3</v>
      </c>
      <c r="BL732" s="71">
        <f>IFERROR(__xludf.DUMMYFUNCTION("""COMPUTED_VALUE"""),58.608000000000004)</f>
        <v>58.608</v>
      </c>
      <c r="BM732" s="71">
        <f>IFERROR(__xludf.DUMMYFUNCTION("""COMPUTED_VALUE"""),424.908)</f>
        <v>424.908</v>
      </c>
      <c r="BN732" s="71">
        <f>IFERROR(__xludf.DUMMYFUNCTION("""COMPUTED_VALUE"""),345.95)</f>
        <v>345.95</v>
      </c>
      <c r="BO732" s="71">
        <f>IFERROR(__xludf.DUMMYFUNCTION("""COMPUTED_VALUE"""),55.352)</f>
        <v>55.352</v>
      </c>
      <c r="BP732" s="71">
        <f>IFERROR(__xludf.DUMMYFUNCTION("""COMPUTED_VALUE"""),401.30199999999996)</f>
        <v>401.302</v>
      </c>
      <c r="BQ732" s="71">
        <f>IFERROR(__xludf.DUMMYFUNCTION("""COMPUTED_VALUE"""),337.81)</f>
        <v>337.81</v>
      </c>
      <c r="BR732" s="71">
        <f>IFERROR(__xludf.DUMMYFUNCTION("""COMPUTED_VALUE"""),54.0496)</f>
        <v>54.0496</v>
      </c>
      <c r="BS732" s="71">
        <f>IFERROR(__xludf.DUMMYFUNCTION("""COMPUTED_VALUE"""),391.8596)</f>
        <v>391.8596</v>
      </c>
      <c r="BT732" s="71">
        <f>IFERROR(__xludf.DUMMYFUNCTION("""COMPUTED_VALUE"""),325.6)</f>
        <v>325.6</v>
      </c>
      <c r="BU732" s="71">
        <f>IFERROR(__xludf.DUMMYFUNCTION("""COMPUTED_VALUE"""),52.096000000000004)</f>
        <v>52.096</v>
      </c>
      <c r="BV732" s="71">
        <f>IFERROR(__xludf.DUMMYFUNCTION("""COMPUTED_VALUE"""),377.696)</f>
        <v>377.696</v>
      </c>
    </row>
    <row r="733">
      <c r="A733" s="53"/>
      <c r="B733" s="53"/>
      <c r="C733" s="73" t="s">
        <v>53</v>
      </c>
      <c r="D733" s="53" t="s">
        <v>1757</v>
      </c>
      <c r="E733" s="54" t="s">
        <v>38</v>
      </c>
      <c r="F733" s="54" t="s">
        <v>42</v>
      </c>
      <c r="G733" s="55" t="s">
        <v>1758</v>
      </c>
      <c r="H733" s="54" t="s">
        <v>1759</v>
      </c>
      <c r="I733" s="54">
        <f t="shared" si="24"/>
        <v>40</v>
      </c>
      <c r="J733" s="56"/>
      <c r="K733" s="75"/>
      <c r="L733" s="76"/>
      <c r="M733" s="59"/>
      <c r="N733" s="79">
        <v>136.0</v>
      </c>
      <c r="O733" s="61">
        <v>146.0</v>
      </c>
      <c r="P733" s="63">
        <v>157.68</v>
      </c>
      <c r="Q733" s="63">
        <v>157.68</v>
      </c>
      <c r="R733" s="64">
        <v>166.0</v>
      </c>
      <c r="S733" s="111">
        <v>174.0</v>
      </c>
      <c r="T733" s="65">
        <f t="shared" si="2"/>
        <v>27.84</v>
      </c>
      <c r="U733" s="65">
        <f t="shared" si="3"/>
        <v>201.84</v>
      </c>
      <c r="V733" s="66">
        <f t="shared" si="4"/>
        <v>0.04819277108</v>
      </c>
      <c r="W733" s="67">
        <f t="shared" si="5"/>
        <v>165.3</v>
      </c>
      <c r="X733" s="67">
        <f t="shared" si="6"/>
        <v>26.448</v>
      </c>
      <c r="Y733" s="67">
        <f t="shared" si="7"/>
        <v>191.748</v>
      </c>
      <c r="Z733" s="67">
        <f t="shared" si="8"/>
        <v>156.6</v>
      </c>
      <c r="AA733" s="67">
        <f t="shared" si="9"/>
        <v>25.056</v>
      </c>
      <c r="AB733" s="67">
        <f t="shared" si="10"/>
        <v>181.656</v>
      </c>
      <c r="AC733" s="67">
        <f t="shared" si="11"/>
        <v>147.9</v>
      </c>
      <c r="AD733" s="67">
        <f t="shared" si="12"/>
        <v>23.664</v>
      </c>
      <c r="AE733" s="67">
        <f t="shared" si="13"/>
        <v>171.564</v>
      </c>
      <c r="AF733" s="67">
        <f t="shared" si="33"/>
        <v>144.42</v>
      </c>
      <c r="AG733" s="67">
        <f t="shared" si="15"/>
        <v>23.1072</v>
      </c>
      <c r="AH733" s="67">
        <f t="shared" si="16"/>
        <v>167.5272</v>
      </c>
      <c r="AI733" s="67">
        <f t="shared" si="17"/>
        <v>139.2</v>
      </c>
      <c r="AJ733" s="68">
        <f t="shared" si="31"/>
        <v>22.272</v>
      </c>
      <c r="AK733" s="68">
        <f t="shared" si="32"/>
        <v>161.472</v>
      </c>
      <c r="AL733" s="70">
        <f>IFERROR(__xludf.DUMMYFUNCTION("""COMPUTED_VALUE"""),1.0)</f>
        <v>1</v>
      </c>
      <c r="AM733" s="70"/>
      <c r="AN733" s="71" t="str">
        <f>IFERROR(__xludf.DUMMYFUNCTION("""COMPUTED_VALUE""")," C")</f>
        <v>C</v>
      </c>
      <c r="AO733" s="71" t="str">
        <f>IFERROR(__xludf.DUMMYFUNCTION("""COMPUTED_VALUE""")," JG160")</f>
        <v>JG160</v>
      </c>
      <c r="AP733" s="71" t="str">
        <f>IFERROR(__xludf.DUMMYFUNCTION("""COMPUTED_VALUE""")," PZA")</f>
        <v>PZA</v>
      </c>
      <c r="AQ733" s="71" t="str">
        <f>IFERROR(__xludf.DUMMYFUNCTION("""COMPUTED_VALUE""")," REF")</f>
        <v>REF</v>
      </c>
      <c r="AR733" s="71" t="str">
        <f>IFERROR(__xludf.DUMMYFUNCTION("""COMPUTED_VALUE""")," JUEGO DE PIEDRAS DE 7"" TORTIMEX INT 1 1/4""")</f>
        <v>JUEGO DE PIEDRAS DE 7" TORTIMEX INT 1 1/4"</v>
      </c>
      <c r="AS733" s="71" t="str">
        <f>IFERROR(__xludf.DUMMYFUNCTION("""COMPUTED_VALUE""")," JUEGO PIEDRAS 7 TORTIMEX INT 1 1/4")</f>
        <v>JUEGO PIEDRAS 7 TORTIMEX INT 1 1/4</v>
      </c>
      <c r="AT733" s="71">
        <f>IFERROR(__xludf.DUMMYFUNCTION("""COMPUTED_VALUE"""),34.0)</f>
        <v>34</v>
      </c>
      <c r="AU733" s="71"/>
      <c r="AV733" s="71"/>
      <c r="AW733" s="71"/>
      <c r="AX733" s="71"/>
      <c r="AY733" s="71">
        <f>IFERROR(__xludf.DUMMYFUNCTION("""COMPUTED_VALUE"""),324.0)</f>
        <v>324</v>
      </c>
      <c r="AZ733" s="71">
        <f>IFERROR(__xludf.DUMMYFUNCTION("""COMPUTED_VALUE"""),349.0)</f>
        <v>349</v>
      </c>
      <c r="BA733" s="71">
        <f>IFERROR(__xludf.DUMMYFUNCTION("""COMPUTED_VALUE"""),376.92)</f>
        <v>376.92</v>
      </c>
      <c r="BB733" s="71">
        <f>IFERROR(__xludf.DUMMYFUNCTION("""COMPUTED_VALUE"""),376.92)</f>
        <v>376.92</v>
      </c>
      <c r="BC733" s="71">
        <f>IFERROR(__xludf.DUMMYFUNCTION("""COMPUTED_VALUE"""),396.0)</f>
        <v>396</v>
      </c>
      <c r="BD733" s="71">
        <f>IFERROR(__xludf.DUMMYFUNCTION("""COMPUTED_VALUE"""),416.0)</f>
        <v>416</v>
      </c>
      <c r="BE733" s="71">
        <f>IFERROR(__xludf.DUMMYFUNCTION("""COMPUTED_VALUE"""),66.56)</f>
        <v>66.56</v>
      </c>
      <c r="BF733" s="71">
        <f>IFERROR(__xludf.DUMMYFUNCTION("""COMPUTED_VALUE"""),482.56)</f>
        <v>482.56</v>
      </c>
      <c r="BG733" s="71">
        <f>IFERROR(__xludf.DUMMYFUNCTION("""COMPUTED_VALUE"""),0.050505050505050504)</f>
        <v>0.05050505051</v>
      </c>
      <c r="BH733" s="71">
        <f>IFERROR(__xludf.DUMMYFUNCTION("""COMPUTED_VALUE"""),395.2)</f>
        <v>395.2</v>
      </c>
      <c r="BI733" s="71">
        <f>IFERROR(__xludf.DUMMYFUNCTION("""COMPUTED_VALUE"""),63.232)</f>
        <v>63.232</v>
      </c>
      <c r="BJ733" s="71">
        <f>IFERROR(__xludf.DUMMYFUNCTION("""COMPUTED_VALUE"""),458.432)</f>
        <v>458.432</v>
      </c>
      <c r="BK733" s="71">
        <f>IFERROR(__xludf.DUMMYFUNCTION("""COMPUTED_VALUE"""),374.40000000000003)</f>
        <v>374.4</v>
      </c>
      <c r="BL733" s="71">
        <f>IFERROR(__xludf.DUMMYFUNCTION("""COMPUTED_VALUE"""),59.904)</f>
        <v>59.904</v>
      </c>
      <c r="BM733" s="71">
        <f>IFERROR(__xludf.DUMMYFUNCTION("""COMPUTED_VALUE"""),434.30400000000003)</f>
        <v>434.304</v>
      </c>
      <c r="BN733" s="71">
        <f>IFERROR(__xludf.DUMMYFUNCTION("""COMPUTED_VALUE"""),353.59999999999997)</f>
        <v>353.6</v>
      </c>
      <c r="BO733" s="71">
        <f>IFERROR(__xludf.DUMMYFUNCTION("""COMPUTED_VALUE"""),56.57599999999999)</f>
        <v>56.576</v>
      </c>
      <c r="BP733" s="71">
        <f>IFERROR(__xludf.DUMMYFUNCTION("""COMPUTED_VALUE"""),410.17599999999993)</f>
        <v>410.176</v>
      </c>
      <c r="BQ733" s="71">
        <f>IFERROR(__xludf.DUMMYFUNCTION("""COMPUTED_VALUE"""),345.28)</f>
        <v>345.28</v>
      </c>
      <c r="BR733" s="71">
        <f>IFERROR(__xludf.DUMMYFUNCTION("""COMPUTED_VALUE"""),55.2448)</f>
        <v>55.2448</v>
      </c>
      <c r="BS733" s="71">
        <f>IFERROR(__xludf.DUMMYFUNCTION("""COMPUTED_VALUE"""),400.52479999999997)</f>
        <v>400.5248</v>
      </c>
      <c r="BT733" s="71">
        <f>IFERROR(__xludf.DUMMYFUNCTION("""COMPUTED_VALUE"""),332.8)</f>
        <v>332.8</v>
      </c>
      <c r="BU733" s="71">
        <f>IFERROR(__xludf.DUMMYFUNCTION("""COMPUTED_VALUE"""),53.248000000000005)</f>
        <v>53.248</v>
      </c>
      <c r="BV733" s="71">
        <f>IFERROR(__xludf.DUMMYFUNCTION("""COMPUTED_VALUE"""),386.048)</f>
        <v>386.048</v>
      </c>
    </row>
    <row r="734">
      <c r="A734" s="53">
        <v>1.0</v>
      </c>
      <c r="B734" s="72"/>
      <c r="C734" s="73" t="s">
        <v>53</v>
      </c>
      <c r="D734" s="74" t="s">
        <v>1760</v>
      </c>
      <c r="E734" s="54" t="s">
        <v>38</v>
      </c>
      <c r="F734" s="54" t="s">
        <v>42</v>
      </c>
      <c r="G734" s="88" t="s">
        <v>1761</v>
      </c>
      <c r="H734" s="54" t="s">
        <v>1762</v>
      </c>
      <c r="I734" s="54">
        <f t="shared" si="24"/>
        <v>40</v>
      </c>
      <c r="J734" s="56"/>
      <c r="K734" s="75"/>
      <c r="L734" s="76"/>
      <c r="M734" s="59"/>
      <c r="N734" s="60">
        <v>323.0</v>
      </c>
      <c r="O734" s="61">
        <v>348.0</v>
      </c>
      <c r="P734" s="62">
        <v>375.84000000000003</v>
      </c>
      <c r="Q734" s="63">
        <v>375.84000000000003</v>
      </c>
      <c r="R734" s="64">
        <v>419.0</v>
      </c>
      <c r="S734" s="111">
        <v>440.0</v>
      </c>
      <c r="T734" s="65">
        <f t="shared" si="2"/>
        <v>70.4</v>
      </c>
      <c r="U734" s="65">
        <f t="shared" si="3"/>
        <v>510.4</v>
      </c>
      <c r="V734" s="66">
        <f t="shared" si="4"/>
        <v>0.05011933174</v>
      </c>
      <c r="W734" s="67">
        <f t="shared" si="5"/>
        <v>418</v>
      </c>
      <c r="X734" s="67">
        <f t="shared" si="6"/>
        <v>66.88</v>
      </c>
      <c r="Y734" s="67">
        <f t="shared" si="7"/>
        <v>484.88</v>
      </c>
      <c r="Z734" s="67">
        <f t="shared" si="8"/>
        <v>396</v>
      </c>
      <c r="AA734" s="67">
        <f t="shared" si="9"/>
        <v>63.36</v>
      </c>
      <c r="AB734" s="67">
        <f t="shared" si="10"/>
        <v>459.36</v>
      </c>
      <c r="AC734" s="67">
        <f t="shared" si="11"/>
        <v>374</v>
      </c>
      <c r="AD734" s="67">
        <f t="shared" si="12"/>
        <v>59.84</v>
      </c>
      <c r="AE734" s="67">
        <f t="shared" si="13"/>
        <v>433.84</v>
      </c>
      <c r="AF734" s="67">
        <f t="shared" si="33"/>
        <v>365.2</v>
      </c>
      <c r="AG734" s="67">
        <f t="shared" si="15"/>
        <v>58.432</v>
      </c>
      <c r="AH734" s="67">
        <f t="shared" si="16"/>
        <v>423.632</v>
      </c>
      <c r="AI734" s="67">
        <f t="shared" si="17"/>
        <v>352</v>
      </c>
      <c r="AJ734" s="68">
        <f t="shared" si="31"/>
        <v>56.32</v>
      </c>
      <c r="AK734" s="68">
        <f t="shared" si="32"/>
        <v>408.32</v>
      </c>
      <c r="AL734" s="70">
        <f>IFERROR(__xludf.DUMMYFUNCTION("""COMPUTED_VALUE"""),1.0)</f>
        <v>1</v>
      </c>
      <c r="AM734" s="70"/>
      <c r="AN734" s="71" t="str">
        <f>IFERROR(__xludf.DUMMYFUNCTION("""COMPUTED_VALUE""")," C")</f>
        <v>C</v>
      </c>
      <c r="AO734" s="71" t="str">
        <f>IFERROR(__xludf.DUMMYFUNCTION("""COMPUTED_VALUE""")," JG164")</f>
        <v>JG164</v>
      </c>
      <c r="AP734" s="71" t="str">
        <f>IFERROR(__xludf.DUMMYFUNCTION("""COMPUTED_VALUE""")," PZA")</f>
        <v>PZA</v>
      </c>
      <c r="AQ734" s="71" t="str">
        <f>IFERROR(__xludf.DUMMYFUNCTION("""COMPUTED_VALUE""")," REF")</f>
        <v>REF</v>
      </c>
      <c r="AR734" s="71" t="str">
        <f>IFERROR(__xludf.DUMMYFUNCTION("""COMPUTED_VALUE""")," JUEGO DE PIEDRAS DE 8"" LISA INT 1"" 1/2 ")</f>
        <v>JUEGO DE PIEDRAS DE 8" LISA INT 1" 1/2 </v>
      </c>
      <c r="AS734" s="71" t="str">
        <f>IFERROR(__xludf.DUMMYFUNCTION("""COMPUTED_VALUE""")," PIEDRAS 8 INT 1 1/2 PILOTO")</f>
        <v>PIEDRAS 8 INT 1 1/2 PILOTO</v>
      </c>
      <c r="AT734" s="71">
        <f>IFERROR(__xludf.DUMMYFUNCTION("""COMPUTED_VALUE"""),26.0)</f>
        <v>26</v>
      </c>
      <c r="AU734" s="71"/>
      <c r="AV734" s="71"/>
      <c r="AW734" s="71"/>
      <c r="AX734" s="71"/>
      <c r="AY734" s="71">
        <f>IFERROR(__xludf.DUMMYFUNCTION("""COMPUTED_VALUE"""),551.0)</f>
        <v>551</v>
      </c>
      <c r="AZ734" s="71">
        <f>IFERROR(__xludf.DUMMYFUNCTION("""COMPUTED_VALUE"""),595.0)</f>
        <v>595</v>
      </c>
      <c r="BA734" s="71">
        <f>IFERROR(__xludf.DUMMYFUNCTION("""COMPUTED_VALUE"""),642.6)</f>
        <v>642.6</v>
      </c>
      <c r="BB734" s="71">
        <f>IFERROR(__xludf.DUMMYFUNCTION("""COMPUTED_VALUE"""),642.6)</f>
        <v>642.6</v>
      </c>
      <c r="BC734" s="71">
        <f>IFERROR(__xludf.DUMMYFUNCTION("""COMPUTED_VALUE"""),676.0)</f>
        <v>676</v>
      </c>
      <c r="BD734" s="71">
        <f>IFERROR(__xludf.DUMMYFUNCTION("""COMPUTED_VALUE"""),710.0)</f>
        <v>710</v>
      </c>
      <c r="BE734" s="71">
        <f>IFERROR(__xludf.DUMMYFUNCTION("""COMPUTED_VALUE"""),113.60000000000001)</f>
        <v>113.6</v>
      </c>
      <c r="BF734" s="71">
        <f>IFERROR(__xludf.DUMMYFUNCTION("""COMPUTED_VALUE"""),823.6)</f>
        <v>823.6</v>
      </c>
      <c r="BG734" s="71">
        <f>IFERROR(__xludf.DUMMYFUNCTION("""COMPUTED_VALUE"""),0.05029585798816568)</f>
        <v>0.05029585799</v>
      </c>
      <c r="BH734" s="71">
        <f>IFERROR(__xludf.DUMMYFUNCTION("""COMPUTED_VALUE"""),674.5)</f>
        <v>674.5</v>
      </c>
      <c r="BI734" s="71">
        <f>IFERROR(__xludf.DUMMYFUNCTION("""COMPUTED_VALUE"""),107.92)</f>
        <v>107.92</v>
      </c>
      <c r="BJ734" s="71">
        <f>IFERROR(__xludf.DUMMYFUNCTION("""COMPUTED_VALUE"""),782.42)</f>
        <v>782.42</v>
      </c>
      <c r="BK734" s="71">
        <f>IFERROR(__xludf.DUMMYFUNCTION("""COMPUTED_VALUE"""),639.0)</f>
        <v>639</v>
      </c>
      <c r="BL734" s="71">
        <f>IFERROR(__xludf.DUMMYFUNCTION("""COMPUTED_VALUE"""),102.24000000000001)</f>
        <v>102.24</v>
      </c>
      <c r="BM734" s="71">
        <f>IFERROR(__xludf.DUMMYFUNCTION("""COMPUTED_VALUE"""),741.24)</f>
        <v>741.24</v>
      </c>
      <c r="BN734" s="71">
        <f>IFERROR(__xludf.DUMMYFUNCTION("""COMPUTED_VALUE"""),603.5)</f>
        <v>603.5</v>
      </c>
      <c r="BO734" s="71">
        <f>IFERROR(__xludf.DUMMYFUNCTION("""COMPUTED_VALUE"""),96.56)</f>
        <v>96.56</v>
      </c>
      <c r="BP734" s="71">
        <f>IFERROR(__xludf.DUMMYFUNCTION("""COMPUTED_VALUE"""),700.06)</f>
        <v>700.06</v>
      </c>
      <c r="BQ734" s="71">
        <f>IFERROR(__xludf.DUMMYFUNCTION("""COMPUTED_VALUE"""),589.3)</f>
        <v>589.3</v>
      </c>
      <c r="BR734" s="71">
        <f>IFERROR(__xludf.DUMMYFUNCTION("""COMPUTED_VALUE"""),94.288)</f>
        <v>94.288</v>
      </c>
      <c r="BS734" s="71">
        <f>IFERROR(__xludf.DUMMYFUNCTION("""COMPUTED_VALUE"""),683.588)</f>
        <v>683.588</v>
      </c>
      <c r="BT734" s="71">
        <f>IFERROR(__xludf.DUMMYFUNCTION("""COMPUTED_VALUE"""),568.0)</f>
        <v>568</v>
      </c>
      <c r="BU734" s="71">
        <f>IFERROR(__xludf.DUMMYFUNCTION("""COMPUTED_VALUE"""),90.88)</f>
        <v>90.88</v>
      </c>
      <c r="BV734" s="71">
        <f>IFERROR(__xludf.DUMMYFUNCTION("""COMPUTED_VALUE"""),658.88)</f>
        <v>658.88</v>
      </c>
    </row>
    <row r="735">
      <c r="A735" s="53">
        <v>1.0</v>
      </c>
      <c r="B735" s="72"/>
      <c r="C735" s="73" t="s">
        <v>53</v>
      </c>
      <c r="D735" s="74" t="s">
        <v>1763</v>
      </c>
      <c r="E735" s="54" t="s">
        <v>38</v>
      </c>
      <c r="F735" s="54" t="s">
        <v>42</v>
      </c>
      <c r="G735" s="88" t="s">
        <v>1764</v>
      </c>
      <c r="H735" s="54" t="s">
        <v>1765</v>
      </c>
      <c r="I735" s="54">
        <f t="shared" si="24"/>
        <v>33</v>
      </c>
      <c r="J735" s="56"/>
      <c r="K735" s="75"/>
      <c r="L735" s="76"/>
      <c r="M735" s="59"/>
      <c r="N735" s="60">
        <v>128.0</v>
      </c>
      <c r="O735" s="61">
        <v>138.0</v>
      </c>
      <c r="P735" s="62">
        <v>149.04000000000002</v>
      </c>
      <c r="Q735" s="63">
        <v>149.04000000000002</v>
      </c>
      <c r="R735" s="64">
        <v>166.0</v>
      </c>
      <c r="S735" s="111">
        <v>174.0</v>
      </c>
      <c r="T735" s="65">
        <f t="shared" si="2"/>
        <v>27.84</v>
      </c>
      <c r="U735" s="65">
        <f t="shared" si="3"/>
        <v>201.84</v>
      </c>
      <c r="V735" s="66">
        <f t="shared" si="4"/>
        <v>0.04819277108</v>
      </c>
      <c r="W735" s="67">
        <f t="shared" si="5"/>
        <v>165.3</v>
      </c>
      <c r="X735" s="67">
        <f t="shared" si="6"/>
        <v>26.448</v>
      </c>
      <c r="Y735" s="67">
        <f t="shared" si="7"/>
        <v>191.748</v>
      </c>
      <c r="Z735" s="67">
        <f t="shared" si="8"/>
        <v>156.6</v>
      </c>
      <c r="AA735" s="67">
        <f t="shared" si="9"/>
        <v>25.056</v>
      </c>
      <c r="AB735" s="67">
        <f t="shared" si="10"/>
        <v>181.656</v>
      </c>
      <c r="AC735" s="67">
        <f t="shared" si="11"/>
        <v>147.9</v>
      </c>
      <c r="AD735" s="67">
        <f t="shared" si="12"/>
        <v>23.664</v>
      </c>
      <c r="AE735" s="67">
        <f t="shared" si="13"/>
        <v>171.564</v>
      </c>
      <c r="AF735" s="67">
        <f t="shared" si="33"/>
        <v>144.42</v>
      </c>
      <c r="AG735" s="67">
        <f t="shared" si="15"/>
        <v>23.1072</v>
      </c>
      <c r="AH735" s="67">
        <f t="shared" si="16"/>
        <v>167.5272</v>
      </c>
      <c r="AI735" s="67">
        <f t="shared" si="17"/>
        <v>139.2</v>
      </c>
      <c r="AJ735" s="68">
        <f t="shared" si="31"/>
        <v>22.272</v>
      </c>
      <c r="AK735" s="68">
        <f t="shared" si="32"/>
        <v>161.472</v>
      </c>
      <c r="AL735" s="70">
        <f>IFERROR(__xludf.DUMMYFUNCTION("""COMPUTED_VALUE"""),1.0)</f>
        <v>1</v>
      </c>
      <c r="AM735" s="70"/>
      <c r="AN735" s="71" t="str">
        <f>IFERROR(__xludf.DUMMYFUNCTION("""COMPUTED_VALUE""")," C")</f>
        <v>C</v>
      </c>
      <c r="AO735" s="71" t="str">
        <f>IFERROR(__xludf.DUMMYFUNCTION("""COMPUTED_VALUE""")," JG143")</f>
        <v>JG143</v>
      </c>
      <c r="AP735" s="71" t="str">
        <f>IFERROR(__xludf.DUMMYFUNCTION("""COMPUTED_VALUE""")," PZA")</f>
        <v>PZA</v>
      </c>
      <c r="AQ735" s="71" t="str">
        <f>IFERROR(__xludf.DUMMYFUNCTION("""COMPUTED_VALUE""")," REF")</f>
        <v>REF</v>
      </c>
      <c r="AR735" s="71" t="str">
        <f>IFERROR(__xludf.DUMMYFUNCTION("""COMPUTED_VALUE""")," JUEGO DE PIEDRAS DE 8"" LISA INT 2 1/4""")</f>
        <v>JUEGO DE PIEDRAS DE 8" LISA INT 2 1/4"</v>
      </c>
      <c r="AS735" s="71" t="str">
        <f>IFERROR(__xludf.DUMMYFUNCTION("""COMPUTED_VALUE""")," PIEDRAS 8 INT 2 1/4 PILOTO")</f>
        <v>PIEDRAS 8 INT 2 1/4 PILOTO</v>
      </c>
      <c r="AT735" s="71">
        <f>IFERROR(__xludf.DUMMYFUNCTION("""COMPUTED_VALUE"""),26.0)</f>
        <v>26</v>
      </c>
      <c r="AU735" s="71"/>
      <c r="AV735" s="71"/>
      <c r="AW735" s="71"/>
      <c r="AX735" s="71"/>
      <c r="AY735" s="71">
        <f>IFERROR(__xludf.DUMMYFUNCTION("""COMPUTED_VALUE"""),632.0)</f>
        <v>632</v>
      </c>
      <c r="AZ735" s="71">
        <f>IFERROR(__xludf.DUMMYFUNCTION("""COMPUTED_VALUE"""),682.0)</f>
        <v>682</v>
      </c>
      <c r="BA735" s="71">
        <f>IFERROR(__xludf.DUMMYFUNCTION("""COMPUTED_VALUE"""),736.5600000000001)</f>
        <v>736.56</v>
      </c>
      <c r="BB735" s="71">
        <f>IFERROR(__xludf.DUMMYFUNCTION("""COMPUTED_VALUE"""),736.5600000000001)</f>
        <v>736.56</v>
      </c>
      <c r="BC735" s="71">
        <f>IFERROR(__xludf.DUMMYFUNCTION("""COMPUTED_VALUE"""),821.0)</f>
        <v>821</v>
      </c>
      <c r="BD735" s="71">
        <f>IFERROR(__xludf.DUMMYFUNCTION("""COMPUTED_VALUE"""),862.0)</f>
        <v>862</v>
      </c>
      <c r="BE735" s="71">
        <f>IFERROR(__xludf.DUMMYFUNCTION("""COMPUTED_VALUE"""),137.92000000000002)</f>
        <v>137.92</v>
      </c>
      <c r="BF735" s="71">
        <f>IFERROR(__xludf.DUMMYFUNCTION("""COMPUTED_VALUE"""),999.9200000000001)</f>
        <v>999.92</v>
      </c>
      <c r="BG735" s="71">
        <f>IFERROR(__xludf.DUMMYFUNCTION("""COMPUTED_VALUE"""),0.049939098660170524)</f>
        <v>0.04993909866</v>
      </c>
      <c r="BH735" s="71">
        <f>IFERROR(__xludf.DUMMYFUNCTION("""COMPUTED_VALUE"""),818.9)</f>
        <v>818.9</v>
      </c>
      <c r="BI735" s="71">
        <f>IFERROR(__xludf.DUMMYFUNCTION("""COMPUTED_VALUE"""),131.024)</f>
        <v>131.024</v>
      </c>
      <c r="BJ735" s="71">
        <f>IFERROR(__xludf.DUMMYFUNCTION("""COMPUTED_VALUE"""),949.924)</f>
        <v>949.924</v>
      </c>
      <c r="BK735" s="71">
        <f>IFERROR(__xludf.DUMMYFUNCTION("""COMPUTED_VALUE"""),775.8000000000001)</f>
        <v>775.8</v>
      </c>
      <c r="BL735" s="71">
        <f>IFERROR(__xludf.DUMMYFUNCTION("""COMPUTED_VALUE"""),124.12800000000001)</f>
        <v>124.128</v>
      </c>
      <c r="BM735" s="71">
        <f>IFERROR(__xludf.DUMMYFUNCTION("""COMPUTED_VALUE"""),899.9280000000001)</f>
        <v>899.928</v>
      </c>
      <c r="BN735" s="71">
        <f>IFERROR(__xludf.DUMMYFUNCTION("""COMPUTED_VALUE"""),732.6999999999999)</f>
        <v>732.7</v>
      </c>
      <c r="BO735" s="71">
        <f>IFERROR(__xludf.DUMMYFUNCTION("""COMPUTED_VALUE"""),117.23199999999999)</f>
        <v>117.232</v>
      </c>
      <c r="BP735" s="71">
        <f>IFERROR(__xludf.DUMMYFUNCTION("""COMPUTED_VALUE"""),849.9319999999999)</f>
        <v>849.932</v>
      </c>
      <c r="BQ735" s="71">
        <f>IFERROR(__xludf.DUMMYFUNCTION("""COMPUTED_VALUE"""),715.4599999999999)</f>
        <v>715.46</v>
      </c>
      <c r="BR735" s="71">
        <f>IFERROR(__xludf.DUMMYFUNCTION("""COMPUTED_VALUE"""),114.47359999999999)</f>
        <v>114.4736</v>
      </c>
      <c r="BS735" s="71">
        <f>IFERROR(__xludf.DUMMYFUNCTION("""COMPUTED_VALUE"""),829.9336)</f>
        <v>829.9336</v>
      </c>
      <c r="BT735" s="71">
        <f>IFERROR(__xludf.DUMMYFUNCTION("""COMPUTED_VALUE"""),689.6)</f>
        <v>689.6</v>
      </c>
      <c r="BU735" s="71">
        <f>IFERROR(__xludf.DUMMYFUNCTION("""COMPUTED_VALUE"""),110.33600000000001)</f>
        <v>110.336</v>
      </c>
      <c r="BV735" s="71">
        <f>IFERROR(__xludf.DUMMYFUNCTION("""COMPUTED_VALUE"""),799.936)</f>
        <v>799.936</v>
      </c>
    </row>
    <row r="736">
      <c r="A736" s="53">
        <v>1.0</v>
      </c>
      <c r="B736" s="72"/>
      <c r="C736" s="73" t="s">
        <v>53</v>
      </c>
      <c r="D736" s="74" t="s">
        <v>1766</v>
      </c>
      <c r="E736" s="54" t="s">
        <v>38</v>
      </c>
      <c r="F736" s="54" t="s">
        <v>42</v>
      </c>
      <c r="G736" s="88" t="s">
        <v>1767</v>
      </c>
      <c r="H736" s="54" t="s">
        <v>1768</v>
      </c>
      <c r="I736" s="54">
        <f t="shared" si="24"/>
        <v>40</v>
      </c>
      <c r="J736" s="56"/>
      <c r="K736" s="75"/>
      <c r="L736" s="76"/>
      <c r="M736" s="59"/>
      <c r="N736" s="60">
        <v>137.0</v>
      </c>
      <c r="O736" s="61">
        <v>147.0</v>
      </c>
      <c r="P736" s="62">
        <v>158.76000000000002</v>
      </c>
      <c r="Q736" s="63">
        <v>158.76000000000002</v>
      </c>
      <c r="R736" s="64">
        <v>178.0</v>
      </c>
      <c r="S736" s="111">
        <v>187.0</v>
      </c>
      <c r="T736" s="65">
        <f t="shared" si="2"/>
        <v>29.92</v>
      </c>
      <c r="U736" s="65">
        <f t="shared" si="3"/>
        <v>216.92</v>
      </c>
      <c r="V736" s="66">
        <f t="shared" si="4"/>
        <v>0.05056179775</v>
      </c>
      <c r="W736" s="67">
        <f t="shared" si="5"/>
        <v>177.65</v>
      </c>
      <c r="X736" s="67">
        <f t="shared" si="6"/>
        <v>28.424</v>
      </c>
      <c r="Y736" s="67">
        <f t="shared" si="7"/>
        <v>206.074</v>
      </c>
      <c r="Z736" s="67">
        <f t="shared" si="8"/>
        <v>168.3</v>
      </c>
      <c r="AA736" s="67">
        <f t="shared" si="9"/>
        <v>26.928</v>
      </c>
      <c r="AB736" s="67">
        <f t="shared" si="10"/>
        <v>195.228</v>
      </c>
      <c r="AC736" s="67">
        <f t="shared" si="11"/>
        <v>158.95</v>
      </c>
      <c r="AD736" s="67">
        <f t="shared" si="12"/>
        <v>25.432</v>
      </c>
      <c r="AE736" s="67">
        <f t="shared" si="13"/>
        <v>184.382</v>
      </c>
      <c r="AF736" s="67">
        <f t="shared" si="33"/>
        <v>155.21</v>
      </c>
      <c r="AG736" s="67">
        <f t="shared" si="15"/>
        <v>24.8336</v>
      </c>
      <c r="AH736" s="67">
        <f t="shared" si="16"/>
        <v>180.0436</v>
      </c>
      <c r="AI736" s="67">
        <f t="shared" si="17"/>
        <v>149.6</v>
      </c>
      <c r="AJ736" s="68">
        <f t="shared" si="31"/>
        <v>23.936</v>
      </c>
      <c r="AK736" s="68">
        <f t="shared" si="32"/>
        <v>173.536</v>
      </c>
      <c r="AL736" s="70">
        <f>IFERROR(__xludf.DUMMYFUNCTION("""COMPUTED_VALUE"""),1.0)</f>
        <v>1</v>
      </c>
      <c r="AM736" s="70"/>
      <c r="AN736" s="71" t="str">
        <f>IFERROR(__xludf.DUMMYFUNCTION("""COMPUTED_VALUE""")," C")</f>
        <v>C</v>
      </c>
      <c r="AO736" s="71" t="str">
        <f>IFERROR(__xludf.DUMMYFUNCTION("""COMPUTED_VALUE""")," JG141")</f>
        <v>JG141</v>
      </c>
      <c r="AP736" s="71" t="str">
        <f>IFERROR(__xludf.DUMMYFUNCTION("""COMPUTED_VALUE""")," PZA")</f>
        <v>PZA</v>
      </c>
      <c r="AQ736" s="71" t="str">
        <f>IFERROR(__xludf.DUMMYFUNCTION("""COMPUTED_VALUE""")," REF")</f>
        <v>REF</v>
      </c>
      <c r="AR736" s="71" t="str">
        <f>IFERROR(__xludf.DUMMYFUNCTION("""COMPUTED_VALUE""")," JUEGO DE PIEDRAS DE 8"" MOLINO CAMARADA 2 1/2""")</f>
        <v>JUEGO DE PIEDRAS DE 8" MOLINO CAMARADA 2 1/2"</v>
      </c>
      <c r="AS736" s="71" t="str">
        <f>IFERROR(__xludf.DUMMYFUNCTION("""COMPUTED_VALUE""")," JUEGO PIEDRAS 8 MOLINO CAMARADA 2 1/2")</f>
        <v>JUEGO PIEDRAS 8 MOLINO CAMARADA 2 1/2</v>
      </c>
      <c r="AT736" s="71">
        <f>IFERROR(__xludf.DUMMYFUNCTION("""COMPUTED_VALUE"""),37.0)</f>
        <v>37</v>
      </c>
      <c r="AU736" s="71"/>
      <c r="AV736" s="71"/>
      <c r="AW736" s="71"/>
      <c r="AX736" s="71"/>
      <c r="AY736" s="71">
        <f>IFERROR(__xludf.DUMMYFUNCTION("""COMPUTED_VALUE"""),827.0)</f>
        <v>827</v>
      </c>
      <c r="AZ736" s="71">
        <f>IFERROR(__xludf.DUMMYFUNCTION("""COMPUTED_VALUE"""),893.0)</f>
        <v>893</v>
      </c>
      <c r="BA736" s="71">
        <f>IFERROR(__xludf.DUMMYFUNCTION("""COMPUTED_VALUE"""),964.44)</f>
        <v>964.44</v>
      </c>
      <c r="BB736" s="71">
        <f>IFERROR(__xludf.DUMMYFUNCTION("""COMPUTED_VALUE"""),964.44)</f>
        <v>964.44</v>
      </c>
      <c r="BC736" s="71">
        <f>IFERROR(__xludf.DUMMYFUNCTION("""COMPUTED_VALUE"""),1075.0)</f>
        <v>1075</v>
      </c>
      <c r="BD736" s="71">
        <f>IFERROR(__xludf.DUMMYFUNCTION("""COMPUTED_VALUE"""),1129.0)</f>
        <v>1129</v>
      </c>
      <c r="BE736" s="71">
        <f>IFERROR(__xludf.DUMMYFUNCTION("""COMPUTED_VALUE"""),180.64000000000001)</f>
        <v>180.64</v>
      </c>
      <c r="BF736" s="71">
        <f>IFERROR(__xludf.DUMMYFUNCTION("""COMPUTED_VALUE"""),1309.64)</f>
        <v>1309.64</v>
      </c>
      <c r="BG736" s="71">
        <f>IFERROR(__xludf.DUMMYFUNCTION("""COMPUTED_VALUE"""),0.05023255813953489)</f>
        <v>0.05023255814</v>
      </c>
      <c r="BH736" s="71">
        <f>IFERROR(__xludf.DUMMYFUNCTION("""COMPUTED_VALUE"""),1072.55)</f>
        <v>1072.55</v>
      </c>
      <c r="BI736" s="71">
        <f>IFERROR(__xludf.DUMMYFUNCTION("""COMPUTED_VALUE"""),171.608)</f>
        <v>171.608</v>
      </c>
      <c r="BJ736" s="71">
        <f>IFERROR(__xludf.DUMMYFUNCTION("""COMPUTED_VALUE"""),1244.158)</f>
        <v>1244.158</v>
      </c>
      <c r="BK736" s="71">
        <f>IFERROR(__xludf.DUMMYFUNCTION("""COMPUTED_VALUE"""),1016.1)</f>
        <v>1016.1</v>
      </c>
      <c r="BL736" s="71">
        <f>IFERROR(__xludf.DUMMYFUNCTION("""COMPUTED_VALUE"""),162.576)</f>
        <v>162.576</v>
      </c>
      <c r="BM736" s="71">
        <f>IFERROR(__xludf.DUMMYFUNCTION("""COMPUTED_VALUE"""),1178.676)</f>
        <v>1178.676</v>
      </c>
      <c r="BN736" s="71">
        <f>IFERROR(__xludf.DUMMYFUNCTION("""COMPUTED_VALUE"""),959.65)</f>
        <v>959.65</v>
      </c>
      <c r="BO736" s="71">
        <f>IFERROR(__xludf.DUMMYFUNCTION("""COMPUTED_VALUE"""),153.544)</f>
        <v>153.544</v>
      </c>
      <c r="BP736" s="71">
        <f>IFERROR(__xludf.DUMMYFUNCTION("""COMPUTED_VALUE"""),1113.194)</f>
        <v>1113.194</v>
      </c>
      <c r="BQ736" s="71">
        <f>IFERROR(__xludf.DUMMYFUNCTION("""COMPUTED_VALUE"""),937.0699999999999)</f>
        <v>937.07</v>
      </c>
      <c r="BR736" s="71">
        <f>IFERROR(__xludf.DUMMYFUNCTION("""COMPUTED_VALUE"""),149.9312)</f>
        <v>149.9312</v>
      </c>
      <c r="BS736" s="71">
        <f>IFERROR(__xludf.DUMMYFUNCTION("""COMPUTED_VALUE"""),1087.0012)</f>
        <v>1087.0012</v>
      </c>
      <c r="BT736" s="71">
        <f>IFERROR(__xludf.DUMMYFUNCTION("""COMPUTED_VALUE"""),903.2)</f>
        <v>903.2</v>
      </c>
      <c r="BU736" s="71">
        <f>IFERROR(__xludf.DUMMYFUNCTION("""COMPUTED_VALUE"""),144.512)</f>
        <v>144.512</v>
      </c>
      <c r="BV736" s="71">
        <f>IFERROR(__xludf.DUMMYFUNCTION("""COMPUTED_VALUE"""),1047.712)</f>
        <v>1047.712</v>
      </c>
    </row>
    <row r="737">
      <c r="A737" s="53">
        <v>1.0</v>
      </c>
      <c r="B737" s="72"/>
      <c r="C737" s="73" t="s">
        <v>53</v>
      </c>
      <c r="D737" s="74" t="s">
        <v>1769</v>
      </c>
      <c r="E737" s="54" t="s">
        <v>38</v>
      </c>
      <c r="F737" s="54" t="s">
        <v>42</v>
      </c>
      <c r="G737" s="88" t="s">
        <v>1770</v>
      </c>
      <c r="H737" s="54" t="s">
        <v>1771</v>
      </c>
      <c r="I737" s="54">
        <f t="shared" si="24"/>
        <v>40</v>
      </c>
      <c r="J737" s="56"/>
      <c r="K737" s="75"/>
      <c r="L737" s="76"/>
      <c r="M737" s="59"/>
      <c r="N737" s="60">
        <v>164.0</v>
      </c>
      <c r="O737" s="61">
        <v>177.0</v>
      </c>
      <c r="P737" s="62">
        <v>191.16000000000003</v>
      </c>
      <c r="Q737" s="63">
        <v>191.16000000000003</v>
      </c>
      <c r="R737" s="64">
        <v>214.0</v>
      </c>
      <c r="S737" s="111">
        <v>225.0</v>
      </c>
      <c r="T737" s="65">
        <f t="shared" si="2"/>
        <v>36</v>
      </c>
      <c r="U737" s="65">
        <f t="shared" si="3"/>
        <v>261</v>
      </c>
      <c r="V737" s="66">
        <f t="shared" si="4"/>
        <v>0.05140186916</v>
      </c>
      <c r="W737" s="67">
        <f t="shared" si="5"/>
        <v>213.75</v>
      </c>
      <c r="X737" s="67">
        <f t="shared" si="6"/>
        <v>34.2</v>
      </c>
      <c r="Y737" s="67">
        <f t="shared" si="7"/>
        <v>247.95</v>
      </c>
      <c r="Z737" s="67">
        <f t="shared" si="8"/>
        <v>202.5</v>
      </c>
      <c r="AA737" s="67">
        <f t="shared" si="9"/>
        <v>32.4</v>
      </c>
      <c r="AB737" s="67">
        <f t="shared" si="10"/>
        <v>234.9</v>
      </c>
      <c r="AC737" s="67">
        <f t="shared" si="11"/>
        <v>191.25</v>
      </c>
      <c r="AD737" s="67">
        <f t="shared" si="12"/>
        <v>30.6</v>
      </c>
      <c r="AE737" s="67">
        <f t="shared" si="13"/>
        <v>221.85</v>
      </c>
      <c r="AF737" s="67">
        <f t="shared" si="33"/>
        <v>186.75</v>
      </c>
      <c r="AG737" s="67">
        <f t="shared" si="15"/>
        <v>29.88</v>
      </c>
      <c r="AH737" s="67">
        <f t="shared" si="16"/>
        <v>216.63</v>
      </c>
      <c r="AI737" s="67">
        <f t="shared" si="17"/>
        <v>180</v>
      </c>
      <c r="AJ737" s="68">
        <f t="shared" si="31"/>
        <v>28.8</v>
      </c>
      <c r="AK737" s="68">
        <f t="shared" si="32"/>
        <v>208.8</v>
      </c>
      <c r="AL737" s="70">
        <f>IFERROR(__xludf.DUMMYFUNCTION("""COMPUTED_VALUE"""),1.0)</f>
        <v>1</v>
      </c>
      <c r="AM737" s="70"/>
      <c r="AN737" s="71" t="str">
        <f>IFERROR(__xludf.DUMMYFUNCTION("""COMPUTED_VALUE""")," C")</f>
        <v>C</v>
      </c>
      <c r="AO737" s="71" t="str">
        <f>IFERROR(__xludf.DUMMYFUNCTION("""COMPUTED_VALUE""")," JG142")</f>
        <v>JG142</v>
      </c>
      <c r="AP737" s="71" t="str">
        <f>IFERROR(__xludf.DUMMYFUNCTION("""COMPUTED_VALUE""")," PZA")</f>
        <v>PZA</v>
      </c>
      <c r="AQ737" s="71" t="str">
        <f>IFERROR(__xludf.DUMMYFUNCTION("""COMPUTED_VALUE""")," REF")</f>
        <v>REF</v>
      </c>
      <c r="AR737" s="71" t="str">
        <f>IFERROR(__xludf.DUMMYFUNCTION("""COMPUTED_VALUE""")," JUEGO DE PIEDRAS DE 8"" MOLINO TOLUCA 2 1/4""")</f>
        <v>JUEGO DE PIEDRAS DE 8" MOLINO TOLUCA 2 1/4"</v>
      </c>
      <c r="AS737" s="71" t="str">
        <f>IFERROR(__xludf.DUMMYFUNCTION("""COMPUTED_VALUE""")," JUEGO PIEDRAS 8 MOLINO TOLUCA 2 1/4")</f>
        <v>JUEGO PIEDRAS 8 MOLINO TOLUCA 2 1/4</v>
      </c>
      <c r="AT737" s="71">
        <f>IFERROR(__xludf.DUMMYFUNCTION("""COMPUTED_VALUE"""),35.0)</f>
        <v>35</v>
      </c>
      <c r="AU737" s="71"/>
      <c r="AV737" s="71"/>
      <c r="AW737" s="71"/>
      <c r="AX737" s="71"/>
      <c r="AY737" s="71">
        <f>IFERROR(__xludf.DUMMYFUNCTION("""COMPUTED_VALUE"""),584.0)</f>
        <v>584</v>
      </c>
      <c r="AZ737" s="71">
        <f>IFERROR(__xludf.DUMMYFUNCTION("""COMPUTED_VALUE"""),630.0)</f>
        <v>630</v>
      </c>
      <c r="BA737" s="71">
        <f>IFERROR(__xludf.DUMMYFUNCTION("""COMPUTED_VALUE"""),680.4000000000001)</f>
        <v>680.4</v>
      </c>
      <c r="BB737" s="71">
        <f>IFERROR(__xludf.DUMMYFUNCTION("""COMPUTED_VALUE"""),680.4000000000001)</f>
        <v>680.4</v>
      </c>
      <c r="BC737" s="71">
        <f>IFERROR(__xludf.DUMMYFUNCTION("""COMPUTED_VALUE"""),759.0)</f>
        <v>759</v>
      </c>
      <c r="BD737" s="71">
        <f>IFERROR(__xludf.DUMMYFUNCTION("""COMPUTED_VALUE"""),797.0)</f>
        <v>797</v>
      </c>
      <c r="BE737" s="71">
        <f>IFERROR(__xludf.DUMMYFUNCTION("""COMPUTED_VALUE"""),127.52)</f>
        <v>127.52</v>
      </c>
      <c r="BF737" s="71">
        <f>IFERROR(__xludf.DUMMYFUNCTION("""COMPUTED_VALUE"""),924.52)</f>
        <v>924.52</v>
      </c>
      <c r="BG737" s="71">
        <f>IFERROR(__xludf.DUMMYFUNCTION("""COMPUTED_VALUE"""),0.05006587615283267)</f>
        <v>0.05006587615</v>
      </c>
      <c r="BH737" s="71">
        <f>IFERROR(__xludf.DUMMYFUNCTION("""COMPUTED_VALUE"""),757.15)</f>
        <v>757.15</v>
      </c>
      <c r="BI737" s="71">
        <f>IFERROR(__xludf.DUMMYFUNCTION("""COMPUTED_VALUE"""),121.144)</f>
        <v>121.144</v>
      </c>
      <c r="BJ737" s="71">
        <f>IFERROR(__xludf.DUMMYFUNCTION("""COMPUTED_VALUE"""),878.294)</f>
        <v>878.294</v>
      </c>
      <c r="BK737" s="71">
        <f>IFERROR(__xludf.DUMMYFUNCTION("""COMPUTED_VALUE"""),717.3000000000001)</f>
        <v>717.3</v>
      </c>
      <c r="BL737" s="71">
        <f>IFERROR(__xludf.DUMMYFUNCTION("""COMPUTED_VALUE"""),114.76800000000001)</f>
        <v>114.768</v>
      </c>
      <c r="BM737" s="71">
        <f>IFERROR(__xludf.DUMMYFUNCTION("""COMPUTED_VALUE"""),832.0680000000001)</f>
        <v>832.068</v>
      </c>
      <c r="BN737" s="71">
        <f>IFERROR(__xludf.DUMMYFUNCTION("""COMPUTED_VALUE"""),677.4499999999999)</f>
        <v>677.45</v>
      </c>
      <c r="BO737" s="71">
        <f>IFERROR(__xludf.DUMMYFUNCTION("""COMPUTED_VALUE"""),108.392)</f>
        <v>108.392</v>
      </c>
      <c r="BP737" s="71">
        <f>IFERROR(__xludf.DUMMYFUNCTION("""COMPUTED_VALUE"""),785.8419999999999)</f>
        <v>785.842</v>
      </c>
      <c r="BQ737" s="71">
        <f>IFERROR(__xludf.DUMMYFUNCTION("""COMPUTED_VALUE"""),661.51)</f>
        <v>661.51</v>
      </c>
      <c r="BR737" s="71">
        <f>IFERROR(__xludf.DUMMYFUNCTION("""COMPUTED_VALUE"""),105.8416)</f>
        <v>105.8416</v>
      </c>
      <c r="BS737" s="71">
        <f>IFERROR(__xludf.DUMMYFUNCTION("""COMPUTED_VALUE"""),767.3516)</f>
        <v>767.3516</v>
      </c>
      <c r="BT737" s="71">
        <f>IFERROR(__xludf.DUMMYFUNCTION("""COMPUTED_VALUE"""),637.6)</f>
        <v>637.6</v>
      </c>
      <c r="BU737" s="71">
        <f>IFERROR(__xludf.DUMMYFUNCTION("""COMPUTED_VALUE"""),102.016)</f>
        <v>102.016</v>
      </c>
      <c r="BV737" s="71">
        <f>IFERROR(__xludf.DUMMYFUNCTION("""COMPUTED_VALUE"""),739.616)</f>
        <v>739.616</v>
      </c>
    </row>
    <row r="738">
      <c r="A738" s="53">
        <v>1.0</v>
      </c>
      <c r="B738" s="53"/>
      <c r="C738" s="73" t="s">
        <v>53</v>
      </c>
      <c r="D738" s="53" t="s">
        <v>1772</v>
      </c>
      <c r="E738" s="54" t="s">
        <v>38</v>
      </c>
      <c r="F738" s="54" t="s">
        <v>42</v>
      </c>
      <c r="G738" s="55" t="s">
        <v>1773</v>
      </c>
      <c r="H738" s="54" t="s">
        <v>1773</v>
      </c>
      <c r="I738" s="54">
        <f t="shared" si="24"/>
        <v>33</v>
      </c>
      <c r="J738" s="56"/>
      <c r="K738" s="75"/>
      <c r="L738" s="76"/>
      <c r="M738" s="59"/>
      <c r="N738" s="79">
        <v>194.0</v>
      </c>
      <c r="O738" s="61">
        <v>209.0</v>
      </c>
      <c r="P738" s="62">
        <v>129.6</v>
      </c>
      <c r="Q738" s="63">
        <v>129.6</v>
      </c>
      <c r="R738" s="64">
        <v>141.0</v>
      </c>
      <c r="S738" s="111">
        <v>148.0</v>
      </c>
      <c r="T738" s="65">
        <f t="shared" si="2"/>
        <v>23.68</v>
      </c>
      <c r="U738" s="65">
        <f t="shared" si="3"/>
        <v>171.68</v>
      </c>
      <c r="V738" s="66">
        <f t="shared" si="4"/>
        <v>0.04964539007</v>
      </c>
      <c r="W738" s="67">
        <f t="shared" si="5"/>
        <v>140.6</v>
      </c>
      <c r="X738" s="67">
        <f t="shared" si="6"/>
        <v>22.496</v>
      </c>
      <c r="Y738" s="67">
        <f t="shared" si="7"/>
        <v>163.096</v>
      </c>
      <c r="Z738" s="67">
        <f t="shared" si="8"/>
        <v>133.2</v>
      </c>
      <c r="AA738" s="67">
        <f t="shared" si="9"/>
        <v>21.312</v>
      </c>
      <c r="AB738" s="67">
        <f t="shared" si="10"/>
        <v>154.512</v>
      </c>
      <c r="AC738" s="67">
        <f t="shared" si="11"/>
        <v>125.8</v>
      </c>
      <c r="AD738" s="67">
        <f t="shared" si="12"/>
        <v>20.128</v>
      </c>
      <c r="AE738" s="67">
        <f t="shared" si="13"/>
        <v>145.928</v>
      </c>
      <c r="AF738" s="67">
        <f t="shared" si="33"/>
        <v>122.84</v>
      </c>
      <c r="AG738" s="67">
        <f t="shared" si="15"/>
        <v>19.6544</v>
      </c>
      <c r="AH738" s="67">
        <f t="shared" si="16"/>
        <v>142.4944</v>
      </c>
      <c r="AI738" s="67">
        <f t="shared" si="17"/>
        <v>118.4</v>
      </c>
      <c r="AJ738" s="68">
        <f t="shared" si="31"/>
        <v>18.944</v>
      </c>
      <c r="AK738" s="68">
        <f t="shared" si="32"/>
        <v>137.344</v>
      </c>
      <c r="AL738" s="70">
        <f>IFERROR(__xludf.DUMMYFUNCTION("""COMPUTED_VALUE"""),1.0)</f>
        <v>1</v>
      </c>
      <c r="AM738" s="70"/>
      <c r="AN738" s="71" t="str">
        <f>IFERROR(__xludf.DUMMYFUNCTION("""COMPUTED_VALUE""")," C")</f>
        <v>C</v>
      </c>
      <c r="AO738" s="71" t="str">
        <f>IFERROR(__xludf.DUMMYFUNCTION("""COMPUTED_VALUE""")," JG147")</f>
        <v>JG147</v>
      </c>
      <c r="AP738" s="71" t="str">
        <f>IFERROR(__xludf.DUMMYFUNCTION("""COMPUTED_VALUE""")," PZA")</f>
        <v>PZA</v>
      </c>
      <c r="AQ738" s="71" t="str">
        <f>IFERROR(__xludf.DUMMYFUNCTION("""COMPUTED_VALUE""")," REF")</f>
        <v>REF</v>
      </c>
      <c r="AR738" s="71" t="str">
        <f>IFERROR(__xludf.DUMMYFUNCTION("""COMPUTED_VALUE""")," JUEGO DE PIEDRAS DE 9"" LISA INT 2 1/2""")</f>
        <v>JUEGO DE PIEDRAS DE 9" LISA INT 2 1/2"</v>
      </c>
      <c r="AS738" s="71" t="str">
        <f>IFERROR(__xludf.DUMMYFUNCTION("""COMPUTED_VALUE""")," PIEDRAS 9 INT 2 1/2 PILOTO")</f>
        <v>PIEDRAS 9 INT 2 1/2 PILOTO</v>
      </c>
      <c r="AT738" s="71">
        <f>IFERROR(__xludf.DUMMYFUNCTION("""COMPUTED_VALUE"""),26.0)</f>
        <v>26</v>
      </c>
      <c r="AU738" s="71"/>
      <c r="AV738" s="71"/>
      <c r="AW738" s="71"/>
      <c r="AX738" s="71"/>
      <c r="AY738" s="71">
        <f>IFERROR(__xludf.DUMMYFUNCTION("""COMPUTED_VALUE"""),630.0)</f>
        <v>630</v>
      </c>
      <c r="AZ738" s="71">
        <f>IFERROR(__xludf.DUMMYFUNCTION("""COMPUTED_VALUE"""),680.0)</f>
        <v>680</v>
      </c>
      <c r="BA738" s="71">
        <f>IFERROR(__xludf.DUMMYFUNCTION("""COMPUTED_VALUE"""),734.4000000000001)</f>
        <v>734.4</v>
      </c>
      <c r="BB738" s="71">
        <f>IFERROR(__xludf.DUMMYFUNCTION("""COMPUTED_VALUE"""),734.4000000000001)</f>
        <v>734.4</v>
      </c>
      <c r="BC738" s="71">
        <f>IFERROR(__xludf.DUMMYFUNCTION("""COMPUTED_VALUE"""),771.0)</f>
        <v>771</v>
      </c>
      <c r="BD738" s="71">
        <f>IFERROR(__xludf.DUMMYFUNCTION("""COMPUTED_VALUE"""),810.0)</f>
        <v>810</v>
      </c>
      <c r="BE738" s="71">
        <f>IFERROR(__xludf.DUMMYFUNCTION("""COMPUTED_VALUE"""),129.6)</f>
        <v>129.6</v>
      </c>
      <c r="BF738" s="71">
        <f>IFERROR(__xludf.DUMMYFUNCTION("""COMPUTED_VALUE"""),939.6)</f>
        <v>939.6</v>
      </c>
      <c r="BG738" s="71">
        <f>IFERROR(__xludf.DUMMYFUNCTION("""COMPUTED_VALUE"""),0.05058365758754864)</f>
        <v>0.05058365759</v>
      </c>
      <c r="BH738" s="71">
        <f>IFERROR(__xludf.DUMMYFUNCTION("""COMPUTED_VALUE"""),769.5)</f>
        <v>769.5</v>
      </c>
      <c r="BI738" s="71">
        <f>IFERROR(__xludf.DUMMYFUNCTION("""COMPUTED_VALUE"""),123.12)</f>
        <v>123.12</v>
      </c>
      <c r="BJ738" s="71">
        <f>IFERROR(__xludf.DUMMYFUNCTION("""COMPUTED_VALUE"""),892.62)</f>
        <v>892.62</v>
      </c>
      <c r="BK738" s="71">
        <f>IFERROR(__xludf.DUMMYFUNCTION("""COMPUTED_VALUE"""),729.0)</f>
        <v>729</v>
      </c>
      <c r="BL738" s="71">
        <f>IFERROR(__xludf.DUMMYFUNCTION("""COMPUTED_VALUE"""),116.64)</f>
        <v>116.64</v>
      </c>
      <c r="BM738" s="71">
        <f>IFERROR(__xludf.DUMMYFUNCTION("""COMPUTED_VALUE"""),845.64)</f>
        <v>845.64</v>
      </c>
      <c r="BN738" s="71">
        <f>IFERROR(__xludf.DUMMYFUNCTION("""COMPUTED_VALUE"""),688.5)</f>
        <v>688.5</v>
      </c>
      <c r="BO738" s="71">
        <f>IFERROR(__xludf.DUMMYFUNCTION("""COMPUTED_VALUE"""),110.16)</f>
        <v>110.16</v>
      </c>
      <c r="BP738" s="71">
        <f>IFERROR(__xludf.DUMMYFUNCTION("""COMPUTED_VALUE"""),798.66)</f>
        <v>798.66</v>
      </c>
      <c r="BQ738" s="71">
        <f>IFERROR(__xludf.DUMMYFUNCTION("""COMPUTED_VALUE"""),672.3)</f>
        <v>672.3</v>
      </c>
      <c r="BR738" s="71">
        <f>IFERROR(__xludf.DUMMYFUNCTION("""COMPUTED_VALUE"""),107.568)</f>
        <v>107.568</v>
      </c>
      <c r="BS738" s="71">
        <f>IFERROR(__xludf.DUMMYFUNCTION("""COMPUTED_VALUE"""),779.8679999999999)</f>
        <v>779.868</v>
      </c>
      <c r="BT738" s="71">
        <f>IFERROR(__xludf.DUMMYFUNCTION("""COMPUTED_VALUE"""),648.0)</f>
        <v>648</v>
      </c>
      <c r="BU738" s="71">
        <f>IFERROR(__xludf.DUMMYFUNCTION("""COMPUTED_VALUE"""),103.68)</f>
        <v>103.68</v>
      </c>
      <c r="BV738" s="71">
        <f>IFERROR(__xludf.DUMMYFUNCTION("""COMPUTED_VALUE"""),751.6800000000001)</f>
        <v>751.68</v>
      </c>
    </row>
    <row r="739">
      <c r="A739" s="53"/>
      <c r="B739" s="53"/>
      <c r="C739" s="53" t="s">
        <v>53</v>
      </c>
      <c r="D739" s="53" t="s">
        <v>1774</v>
      </c>
      <c r="E739" s="54" t="s">
        <v>38</v>
      </c>
      <c r="F739" s="54" t="s">
        <v>42</v>
      </c>
      <c r="G739" s="55" t="s">
        <v>1775</v>
      </c>
      <c r="H739" s="55" t="s">
        <v>1775</v>
      </c>
      <c r="I739" s="54">
        <f t="shared" si="24"/>
        <v>22</v>
      </c>
      <c r="J739" s="56"/>
      <c r="K739" s="57"/>
      <c r="L739" s="76"/>
      <c r="M739" s="59"/>
      <c r="N739" s="79"/>
      <c r="O739" s="61">
        <v>99.0</v>
      </c>
      <c r="P739" s="62">
        <v>106.92</v>
      </c>
      <c r="Q739" s="63">
        <v>106.92</v>
      </c>
      <c r="R739" s="64">
        <v>113.0</v>
      </c>
      <c r="S739" s="111">
        <v>119.0</v>
      </c>
      <c r="T739" s="65">
        <f t="shared" si="2"/>
        <v>19.04</v>
      </c>
      <c r="U739" s="65">
        <f t="shared" si="3"/>
        <v>138.04</v>
      </c>
      <c r="V739" s="66">
        <f t="shared" si="4"/>
        <v>0.05309734513</v>
      </c>
      <c r="W739" s="67">
        <f t="shared" si="5"/>
        <v>113.05</v>
      </c>
      <c r="X739" s="67">
        <f t="shared" si="6"/>
        <v>18.088</v>
      </c>
      <c r="Y739" s="67">
        <f t="shared" si="7"/>
        <v>131.138</v>
      </c>
      <c r="Z739" s="67">
        <f t="shared" si="8"/>
        <v>107.1</v>
      </c>
      <c r="AA739" s="67">
        <f t="shared" si="9"/>
        <v>17.136</v>
      </c>
      <c r="AB739" s="67">
        <f t="shared" si="10"/>
        <v>124.236</v>
      </c>
      <c r="AC739" s="67">
        <f t="shared" si="11"/>
        <v>101.15</v>
      </c>
      <c r="AD739" s="67">
        <f t="shared" si="12"/>
        <v>16.184</v>
      </c>
      <c r="AE739" s="67">
        <f t="shared" si="13"/>
        <v>117.334</v>
      </c>
      <c r="AF739" s="67">
        <f t="shared" si="33"/>
        <v>98.77</v>
      </c>
      <c r="AG739" s="67">
        <f t="shared" si="15"/>
        <v>15.8032</v>
      </c>
      <c r="AH739" s="67">
        <f t="shared" si="16"/>
        <v>114.5732</v>
      </c>
      <c r="AI739" s="67">
        <f t="shared" si="17"/>
        <v>95.2</v>
      </c>
      <c r="AJ739" s="68">
        <f t="shared" si="31"/>
        <v>15.232</v>
      </c>
      <c r="AK739" s="68">
        <f t="shared" si="32"/>
        <v>110.432</v>
      </c>
      <c r="AL739" s="70">
        <f>IFERROR(__xludf.DUMMYFUNCTION("""COMPUTED_VALUE"""),1.0)</f>
        <v>1</v>
      </c>
      <c r="AM739" s="70"/>
      <c r="AN739" s="71" t="str">
        <f>IFERROR(__xludf.DUMMYFUNCTION("""COMPUTED_VALUE""")," C")</f>
        <v>C</v>
      </c>
      <c r="AO739" s="71" t="str">
        <f>IFERROR(__xludf.DUMMYFUNCTION("""COMPUTED_VALUE""")," JG145")</f>
        <v>JG145</v>
      </c>
      <c r="AP739" s="71" t="str">
        <f>IFERROR(__xludf.DUMMYFUNCTION("""COMPUTED_VALUE""")," PZA")</f>
        <v>PZA</v>
      </c>
      <c r="AQ739" s="71" t="str">
        <f>IFERROR(__xludf.DUMMYFUNCTION("""COMPUTED_VALUE""")," REF")</f>
        <v>REF</v>
      </c>
      <c r="AR739" s="71" t="str">
        <f>IFERROR(__xludf.DUMMYFUNCTION("""COMPUTED_VALUE""")," JUEGO DE PIEDRAS DE 9"" LISAS INT 3 1/2""")</f>
        <v>JUEGO DE PIEDRAS DE 9" LISAS INT 3 1/2"</v>
      </c>
      <c r="AS739" s="71" t="str">
        <f>IFERROR(__xludf.DUMMYFUNCTION("""COMPUTED_VALUE""")," PIEDRAS 9 INT 3 1/2 PILOTO")</f>
        <v>PIEDRAS 9 INT 3 1/2 PILOTO</v>
      </c>
      <c r="AT739" s="71">
        <f>IFERROR(__xludf.DUMMYFUNCTION("""COMPUTED_VALUE"""),26.0)</f>
        <v>26</v>
      </c>
      <c r="AU739" s="71"/>
      <c r="AV739" s="71"/>
      <c r="AW739" s="71"/>
      <c r="AX739" s="71"/>
      <c r="AY739" s="71">
        <f>IFERROR(__xludf.DUMMYFUNCTION("""COMPUTED_VALUE"""),630.0)</f>
        <v>630</v>
      </c>
      <c r="AZ739" s="71">
        <f>IFERROR(__xludf.DUMMYFUNCTION("""COMPUTED_VALUE"""),680.0)</f>
        <v>680</v>
      </c>
      <c r="BA739" s="71">
        <f>IFERROR(__xludf.DUMMYFUNCTION("""COMPUTED_VALUE"""),734.4000000000001)</f>
        <v>734.4</v>
      </c>
      <c r="BB739" s="71">
        <f>IFERROR(__xludf.DUMMYFUNCTION("""COMPUTED_VALUE"""),734.4000000000001)</f>
        <v>734.4</v>
      </c>
      <c r="BC739" s="71">
        <f>IFERROR(__xludf.DUMMYFUNCTION("""COMPUTED_VALUE"""),771.0)</f>
        <v>771</v>
      </c>
      <c r="BD739" s="71">
        <f>IFERROR(__xludf.DUMMYFUNCTION("""COMPUTED_VALUE"""),810.0)</f>
        <v>810</v>
      </c>
      <c r="BE739" s="71">
        <f>IFERROR(__xludf.DUMMYFUNCTION("""COMPUTED_VALUE"""),129.6)</f>
        <v>129.6</v>
      </c>
      <c r="BF739" s="71">
        <f>IFERROR(__xludf.DUMMYFUNCTION("""COMPUTED_VALUE"""),939.6)</f>
        <v>939.6</v>
      </c>
      <c r="BG739" s="71">
        <f>IFERROR(__xludf.DUMMYFUNCTION("""COMPUTED_VALUE"""),0.05058365758754864)</f>
        <v>0.05058365759</v>
      </c>
      <c r="BH739" s="71">
        <f>IFERROR(__xludf.DUMMYFUNCTION("""COMPUTED_VALUE"""),769.5)</f>
        <v>769.5</v>
      </c>
      <c r="BI739" s="71">
        <f>IFERROR(__xludf.DUMMYFUNCTION("""COMPUTED_VALUE"""),123.12)</f>
        <v>123.12</v>
      </c>
      <c r="BJ739" s="71">
        <f>IFERROR(__xludf.DUMMYFUNCTION("""COMPUTED_VALUE"""),892.62)</f>
        <v>892.62</v>
      </c>
      <c r="BK739" s="71">
        <f>IFERROR(__xludf.DUMMYFUNCTION("""COMPUTED_VALUE"""),729.0)</f>
        <v>729</v>
      </c>
      <c r="BL739" s="71">
        <f>IFERROR(__xludf.DUMMYFUNCTION("""COMPUTED_VALUE"""),116.64)</f>
        <v>116.64</v>
      </c>
      <c r="BM739" s="71">
        <f>IFERROR(__xludf.DUMMYFUNCTION("""COMPUTED_VALUE"""),845.64)</f>
        <v>845.64</v>
      </c>
      <c r="BN739" s="71">
        <f>IFERROR(__xludf.DUMMYFUNCTION("""COMPUTED_VALUE"""),688.5)</f>
        <v>688.5</v>
      </c>
      <c r="BO739" s="71">
        <f>IFERROR(__xludf.DUMMYFUNCTION("""COMPUTED_VALUE"""),110.16)</f>
        <v>110.16</v>
      </c>
      <c r="BP739" s="71">
        <f>IFERROR(__xludf.DUMMYFUNCTION("""COMPUTED_VALUE"""),798.66)</f>
        <v>798.66</v>
      </c>
      <c r="BQ739" s="71">
        <f>IFERROR(__xludf.DUMMYFUNCTION("""COMPUTED_VALUE"""),672.3)</f>
        <v>672.3</v>
      </c>
      <c r="BR739" s="71">
        <f>IFERROR(__xludf.DUMMYFUNCTION("""COMPUTED_VALUE"""),107.568)</f>
        <v>107.568</v>
      </c>
      <c r="BS739" s="71">
        <f>IFERROR(__xludf.DUMMYFUNCTION("""COMPUTED_VALUE"""),779.8679999999999)</f>
        <v>779.868</v>
      </c>
      <c r="BT739" s="71">
        <f>IFERROR(__xludf.DUMMYFUNCTION("""COMPUTED_VALUE"""),648.0)</f>
        <v>648</v>
      </c>
      <c r="BU739" s="71">
        <f>IFERROR(__xludf.DUMMYFUNCTION("""COMPUTED_VALUE"""),103.68)</f>
        <v>103.68</v>
      </c>
      <c r="BV739" s="71">
        <f>IFERROR(__xludf.DUMMYFUNCTION("""COMPUTED_VALUE"""),751.6800000000001)</f>
        <v>751.68</v>
      </c>
    </row>
    <row r="740">
      <c r="A740" s="53">
        <v>1.0</v>
      </c>
      <c r="B740" s="53"/>
      <c r="C740" s="73" t="s">
        <v>12</v>
      </c>
      <c r="D740" s="128" t="s">
        <v>1776</v>
      </c>
      <c r="E740" s="54" t="s">
        <v>38</v>
      </c>
      <c r="F740" s="54" t="s">
        <v>42</v>
      </c>
      <c r="G740" s="144" t="s">
        <v>1777</v>
      </c>
      <c r="H740" s="54" t="s">
        <v>1778</v>
      </c>
      <c r="I740" s="54">
        <f t="shared" si="24"/>
        <v>40</v>
      </c>
      <c r="J740" s="56"/>
      <c r="K740" s="75"/>
      <c r="L740" s="76"/>
      <c r="M740" s="59"/>
      <c r="N740" s="60">
        <v>483.0</v>
      </c>
      <c r="O740" s="61">
        <v>521.0</v>
      </c>
      <c r="P740" s="62">
        <v>562.6800000000001</v>
      </c>
      <c r="Q740" s="63">
        <v>562.6800000000001</v>
      </c>
      <c r="R740" s="64">
        <v>627.0</v>
      </c>
      <c r="S740" s="111">
        <v>658.0</v>
      </c>
      <c r="T740" s="65">
        <f t="shared" si="2"/>
        <v>105.28</v>
      </c>
      <c r="U740" s="65">
        <f t="shared" si="3"/>
        <v>763.28</v>
      </c>
      <c r="V740" s="66">
        <f t="shared" si="4"/>
        <v>0.04944178628</v>
      </c>
      <c r="W740" s="67">
        <f t="shared" si="5"/>
        <v>625.1</v>
      </c>
      <c r="X740" s="67">
        <f t="shared" si="6"/>
        <v>100.016</v>
      </c>
      <c r="Y740" s="67">
        <f t="shared" si="7"/>
        <v>725.116</v>
      </c>
      <c r="Z740" s="67">
        <f t="shared" si="8"/>
        <v>592.2</v>
      </c>
      <c r="AA740" s="67">
        <f t="shared" si="9"/>
        <v>94.752</v>
      </c>
      <c r="AB740" s="67">
        <f t="shared" si="10"/>
        <v>686.952</v>
      </c>
      <c r="AC740" s="67">
        <f t="shared" si="11"/>
        <v>559.3</v>
      </c>
      <c r="AD740" s="67">
        <f t="shared" si="12"/>
        <v>89.488</v>
      </c>
      <c r="AE740" s="67">
        <f t="shared" si="13"/>
        <v>648.788</v>
      </c>
      <c r="AF740" s="67">
        <f t="shared" si="33"/>
        <v>546.14</v>
      </c>
      <c r="AG740" s="67">
        <f t="shared" si="15"/>
        <v>87.3824</v>
      </c>
      <c r="AH740" s="67">
        <f t="shared" si="16"/>
        <v>633.5224</v>
      </c>
      <c r="AI740" s="67">
        <f t="shared" si="17"/>
        <v>526.4</v>
      </c>
      <c r="AJ740" s="68">
        <f t="shared" si="31"/>
        <v>84.224</v>
      </c>
      <c r="AK740" s="68">
        <f t="shared" si="32"/>
        <v>610.624</v>
      </c>
      <c r="AL740" s="70">
        <f>IFERROR(__xludf.DUMMYFUNCTION("""COMPUTED_VALUE"""),1.0)</f>
        <v>1</v>
      </c>
      <c r="AM740" s="70"/>
      <c r="AN740" s="71" t="str">
        <f>IFERROR(__xludf.DUMMYFUNCTION("""COMPUTED_VALUE""")," C")</f>
        <v>C</v>
      </c>
      <c r="AO740" s="71" t="str">
        <f>IFERROR(__xludf.DUMMYFUNCTION("""COMPUTED_VALUE""")," JG161")</f>
        <v>JG161</v>
      </c>
      <c r="AP740" s="71" t="str">
        <f>IFERROR(__xludf.DUMMYFUNCTION("""COMPUTED_VALUE""")," PZA")</f>
        <v>PZA</v>
      </c>
      <c r="AQ740" s="71" t="str">
        <f>IFERROR(__xludf.DUMMYFUNCTION("""COMPUTED_VALUE""")," REF")</f>
        <v>REF</v>
      </c>
      <c r="AR740" s="71" t="str">
        <f>IFERROR(__xludf.DUMMYFUNCTION("""COMPUTED_VALUE""")," JUEGO DE PIEDRAS DE 9"" LISAS INT 3""")</f>
        <v>JUEGO DE PIEDRAS DE 9" LISAS INT 3"</v>
      </c>
      <c r="AS740" s="71" t="str">
        <f>IFERROR(__xludf.DUMMYFUNCTION("""COMPUTED_VALUE""")," PIEDRAS 9 INT 3 PILOTO")</f>
        <v>PIEDRAS 9 INT 3 PILOTO</v>
      </c>
      <c r="AT740" s="71">
        <f>IFERROR(__xludf.DUMMYFUNCTION("""COMPUTED_VALUE"""),22.0)</f>
        <v>22</v>
      </c>
      <c r="AU740" s="71"/>
      <c r="AV740" s="71"/>
      <c r="AW740" s="71"/>
      <c r="AX740" s="71"/>
      <c r="AY740" s="71">
        <f>IFERROR(__xludf.DUMMYFUNCTION("""COMPUTED_VALUE"""),630.0)</f>
        <v>630</v>
      </c>
      <c r="AZ740" s="71">
        <f>IFERROR(__xludf.DUMMYFUNCTION("""COMPUTED_VALUE"""),680.0)</f>
        <v>680</v>
      </c>
      <c r="BA740" s="71">
        <f>IFERROR(__xludf.DUMMYFUNCTION("""COMPUTED_VALUE"""),734.4000000000001)</f>
        <v>734.4</v>
      </c>
      <c r="BB740" s="71">
        <f>IFERROR(__xludf.DUMMYFUNCTION("""COMPUTED_VALUE"""),734.4000000000001)</f>
        <v>734.4</v>
      </c>
      <c r="BC740" s="71">
        <f>IFERROR(__xludf.DUMMYFUNCTION("""COMPUTED_VALUE"""),771.0)</f>
        <v>771</v>
      </c>
      <c r="BD740" s="71">
        <f>IFERROR(__xludf.DUMMYFUNCTION("""COMPUTED_VALUE"""),810.0)</f>
        <v>810</v>
      </c>
      <c r="BE740" s="71">
        <f>IFERROR(__xludf.DUMMYFUNCTION("""COMPUTED_VALUE"""),129.6)</f>
        <v>129.6</v>
      </c>
      <c r="BF740" s="71">
        <f>IFERROR(__xludf.DUMMYFUNCTION("""COMPUTED_VALUE"""),939.6)</f>
        <v>939.6</v>
      </c>
      <c r="BG740" s="71">
        <f>IFERROR(__xludf.DUMMYFUNCTION("""COMPUTED_VALUE"""),0.05058365758754864)</f>
        <v>0.05058365759</v>
      </c>
      <c r="BH740" s="71">
        <f>IFERROR(__xludf.DUMMYFUNCTION("""COMPUTED_VALUE"""),769.5)</f>
        <v>769.5</v>
      </c>
      <c r="BI740" s="71">
        <f>IFERROR(__xludf.DUMMYFUNCTION("""COMPUTED_VALUE"""),123.12)</f>
        <v>123.12</v>
      </c>
      <c r="BJ740" s="71">
        <f>IFERROR(__xludf.DUMMYFUNCTION("""COMPUTED_VALUE"""),892.62)</f>
        <v>892.62</v>
      </c>
      <c r="BK740" s="71">
        <f>IFERROR(__xludf.DUMMYFUNCTION("""COMPUTED_VALUE"""),729.0)</f>
        <v>729</v>
      </c>
      <c r="BL740" s="71">
        <f>IFERROR(__xludf.DUMMYFUNCTION("""COMPUTED_VALUE"""),116.64)</f>
        <v>116.64</v>
      </c>
      <c r="BM740" s="71">
        <f>IFERROR(__xludf.DUMMYFUNCTION("""COMPUTED_VALUE"""),845.64)</f>
        <v>845.64</v>
      </c>
      <c r="BN740" s="71">
        <f>IFERROR(__xludf.DUMMYFUNCTION("""COMPUTED_VALUE"""),688.5)</f>
        <v>688.5</v>
      </c>
      <c r="BO740" s="71">
        <f>IFERROR(__xludf.DUMMYFUNCTION("""COMPUTED_VALUE"""),110.16)</f>
        <v>110.16</v>
      </c>
      <c r="BP740" s="71">
        <f>IFERROR(__xludf.DUMMYFUNCTION("""COMPUTED_VALUE"""),798.66)</f>
        <v>798.66</v>
      </c>
      <c r="BQ740" s="71">
        <f>IFERROR(__xludf.DUMMYFUNCTION("""COMPUTED_VALUE"""),672.3)</f>
        <v>672.3</v>
      </c>
      <c r="BR740" s="71">
        <f>IFERROR(__xludf.DUMMYFUNCTION("""COMPUTED_VALUE"""),107.568)</f>
        <v>107.568</v>
      </c>
      <c r="BS740" s="71">
        <f>IFERROR(__xludf.DUMMYFUNCTION("""COMPUTED_VALUE"""),779.8679999999999)</f>
        <v>779.868</v>
      </c>
      <c r="BT740" s="71">
        <f>IFERROR(__xludf.DUMMYFUNCTION("""COMPUTED_VALUE"""),648.0)</f>
        <v>648</v>
      </c>
      <c r="BU740" s="71">
        <f>IFERROR(__xludf.DUMMYFUNCTION("""COMPUTED_VALUE"""),103.68)</f>
        <v>103.68</v>
      </c>
      <c r="BV740" s="71">
        <f>IFERROR(__xludf.DUMMYFUNCTION("""COMPUTED_VALUE"""),751.6800000000001)</f>
        <v>751.68</v>
      </c>
    </row>
    <row r="741">
      <c r="A741" s="53"/>
      <c r="B741" s="53"/>
      <c r="C741" s="73" t="s">
        <v>12</v>
      </c>
      <c r="D741" s="53" t="s">
        <v>1779</v>
      </c>
      <c r="E741" s="54" t="s">
        <v>38</v>
      </c>
      <c r="F741" s="54" t="s">
        <v>42</v>
      </c>
      <c r="G741" s="55" t="s">
        <v>1780</v>
      </c>
      <c r="H741" s="54" t="s">
        <v>1780</v>
      </c>
      <c r="I741" s="54">
        <f t="shared" si="24"/>
        <v>25</v>
      </c>
      <c r="J741" s="56"/>
      <c r="K741" s="75"/>
      <c r="L741" s="76"/>
      <c r="M741" s="59"/>
      <c r="N741" s="79">
        <v>140.0</v>
      </c>
      <c r="O741" s="61">
        <v>151.0</v>
      </c>
      <c r="P741" s="62">
        <v>170.0</v>
      </c>
      <c r="Q741" s="63">
        <v>170.0</v>
      </c>
      <c r="R741" s="64">
        <v>184.0</v>
      </c>
      <c r="S741" s="111">
        <v>193.0</v>
      </c>
      <c r="T741" s="65">
        <f t="shared" si="2"/>
        <v>30.88</v>
      </c>
      <c r="U741" s="65">
        <f t="shared" si="3"/>
        <v>223.88</v>
      </c>
      <c r="V741" s="66">
        <f t="shared" si="4"/>
        <v>0.04891304348</v>
      </c>
      <c r="W741" s="67">
        <f t="shared" si="5"/>
        <v>183.35</v>
      </c>
      <c r="X741" s="67">
        <f t="shared" si="6"/>
        <v>29.336</v>
      </c>
      <c r="Y741" s="67">
        <f t="shared" si="7"/>
        <v>212.686</v>
      </c>
      <c r="Z741" s="67">
        <f t="shared" si="8"/>
        <v>173.7</v>
      </c>
      <c r="AA741" s="67">
        <f t="shared" si="9"/>
        <v>27.792</v>
      </c>
      <c r="AB741" s="67">
        <f t="shared" si="10"/>
        <v>201.492</v>
      </c>
      <c r="AC741" s="67">
        <f t="shared" si="11"/>
        <v>164.05</v>
      </c>
      <c r="AD741" s="67">
        <f t="shared" si="12"/>
        <v>26.248</v>
      </c>
      <c r="AE741" s="67">
        <f t="shared" si="13"/>
        <v>190.298</v>
      </c>
      <c r="AF741" s="67">
        <f t="shared" si="33"/>
        <v>160.19</v>
      </c>
      <c r="AG741" s="67">
        <f t="shared" si="15"/>
        <v>25.6304</v>
      </c>
      <c r="AH741" s="67">
        <f t="shared" si="16"/>
        <v>185.8204</v>
      </c>
      <c r="AI741" s="67">
        <f t="shared" si="17"/>
        <v>154.4</v>
      </c>
      <c r="AJ741" s="68">
        <f t="shared" si="31"/>
        <v>24.704</v>
      </c>
      <c r="AK741" s="68">
        <f t="shared" si="32"/>
        <v>179.104</v>
      </c>
      <c r="AL741" s="70">
        <f>IFERROR(__xludf.DUMMYFUNCTION("""COMPUTED_VALUE"""),1.0)</f>
        <v>1</v>
      </c>
      <c r="AM741" s="70"/>
      <c r="AN741" s="71" t="str">
        <f>IFERROR(__xludf.DUMMYFUNCTION("""COMPUTED_VALUE""")," C")</f>
        <v>C</v>
      </c>
      <c r="AO741" s="71" t="str">
        <f>IFERROR(__xludf.DUMMYFUNCTION("""COMPUTED_VALUE""")," JG129")</f>
        <v>JG129</v>
      </c>
      <c r="AP741" s="71" t="str">
        <f>IFERROR(__xludf.DUMMYFUNCTION("""COMPUTED_VALUE""")," PZA")</f>
        <v>PZA</v>
      </c>
      <c r="AQ741" s="71" t="str">
        <f>IFERROR(__xludf.DUMMYFUNCTION("""COMPUTED_VALUE""")," REF")</f>
        <v>REF</v>
      </c>
      <c r="AR741" s="71" t="str">
        <f>IFERROR(__xludf.DUMMYFUNCTION("""COMPUTED_VALUE""")," JUEGO DE PIEDRAS DE 9"" MOLINO TOLUCA INT 2 1/4""")</f>
        <v>JUEGO DE PIEDRAS DE 9" MOLINO TOLUCA INT 2 1/4"</v>
      </c>
      <c r="AS741" s="71" t="str">
        <f>IFERROR(__xludf.DUMMYFUNCTION("""COMPUTED_VALUE""")," JUEGO PIEDRAS 9 MOLINO TOLUCA INT 2 1/4")</f>
        <v>JUEGO PIEDRAS 9 MOLINO TOLUCA INT 2 1/4</v>
      </c>
      <c r="AT741" s="71">
        <f>IFERROR(__xludf.DUMMYFUNCTION("""COMPUTED_VALUE"""),39.0)</f>
        <v>39</v>
      </c>
      <c r="AU741" s="71"/>
      <c r="AV741" s="71"/>
      <c r="AW741" s="71"/>
      <c r="AX741" s="71"/>
      <c r="AY741" s="71">
        <f>IFERROR(__xludf.DUMMYFUNCTION("""COMPUTED_VALUE"""),597.0)</f>
        <v>597</v>
      </c>
      <c r="AZ741" s="71">
        <f>IFERROR(__xludf.DUMMYFUNCTION("""COMPUTED_VALUE"""),644.0)</f>
        <v>644</v>
      </c>
      <c r="BA741" s="71">
        <f>IFERROR(__xludf.DUMMYFUNCTION("""COMPUTED_VALUE"""),695.5200000000001)</f>
        <v>695.52</v>
      </c>
      <c r="BB741" s="71">
        <f>IFERROR(__xludf.DUMMYFUNCTION("""COMPUTED_VALUE"""),695.5200000000001)</f>
        <v>695.52</v>
      </c>
      <c r="BC741" s="71">
        <f>IFERROR(__xludf.DUMMYFUNCTION("""COMPUTED_VALUE"""),731.0)</f>
        <v>731</v>
      </c>
      <c r="BD741" s="71">
        <f>IFERROR(__xludf.DUMMYFUNCTION("""COMPUTED_VALUE"""),768.0)</f>
        <v>768</v>
      </c>
      <c r="BE741" s="71">
        <f>IFERROR(__xludf.DUMMYFUNCTION("""COMPUTED_VALUE"""),122.88)</f>
        <v>122.88</v>
      </c>
      <c r="BF741" s="71">
        <f>IFERROR(__xludf.DUMMYFUNCTION("""COMPUTED_VALUE"""),890.88)</f>
        <v>890.88</v>
      </c>
      <c r="BG741" s="71">
        <f>IFERROR(__xludf.DUMMYFUNCTION("""COMPUTED_VALUE"""),0.0506155950752394)</f>
        <v>0.05061559508</v>
      </c>
      <c r="BH741" s="71">
        <f>IFERROR(__xludf.DUMMYFUNCTION("""COMPUTED_VALUE"""),729.5999999999999)</f>
        <v>729.6</v>
      </c>
      <c r="BI741" s="71">
        <f>IFERROR(__xludf.DUMMYFUNCTION("""COMPUTED_VALUE"""),116.73599999999999)</f>
        <v>116.736</v>
      </c>
      <c r="BJ741" s="71">
        <f>IFERROR(__xludf.DUMMYFUNCTION("""COMPUTED_VALUE"""),846.3359999999999)</f>
        <v>846.336</v>
      </c>
      <c r="BK741" s="71">
        <f>IFERROR(__xludf.DUMMYFUNCTION("""COMPUTED_VALUE"""),691.2)</f>
        <v>691.2</v>
      </c>
      <c r="BL741" s="71">
        <f>IFERROR(__xludf.DUMMYFUNCTION("""COMPUTED_VALUE"""),110.59200000000001)</f>
        <v>110.592</v>
      </c>
      <c r="BM741" s="71">
        <f>IFERROR(__xludf.DUMMYFUNCTION("""COMPUTED_VALUE"""),801.792)</f>
        <v>801.792</v>
      </c>
      <c r="BN741" s="71">
        <f>IFERROR(__xludf.DUMMYFUNCTION("""COMPUTED_VALUE"""),652.8)</f>
        <v>652.8</v>
      </c>
      <c r="BO741" s="71">
        <f>IFERROR(__xludf.DUMMYFUNCTION("""COMPUTED_VALUE"""),104.448)</f>
        <v>104.448</v>
      </c>
      <c r="BP741" s="71">
        <f>IFERROR(__xludf.DUMMYFUNCTION("""COMPUTED_VALUE"""),757.2479999999999)</f>
        <v>757.248</v>
      </c>
      <c r="BQ741" s="71">
        <f>IFERROR(__xludf.DUMMYFUNCTION("""COMPUTED_VALUE"""),637.4399999999999)</f>
        <v>637.44</v>
      </c>
      <c r="BR741" s="71">
        <f>IFERROR(__xludf.DUMMYFUNCTION("""COMPUTED_VALUE"""),101.9904)</f>
        <v>101.9904</v>
      </c>
      <c r="BS741" s="71">
        <f>IFERROR(__xludf.DUMMYFUNCTION("""COMPUTED_VALUE"""),739.4304)</f>
        <v>739.4304</v>
      </c>
      <c r="BT741" s="71">
        <f>IFERROR(__xludf.DUMMYFUNCTION("""COMPUTED_VALUE"""),614.4000000000001)</f>
        <v>614.4</v>
      </c>
      <c r="BU741" s="71">
        <f>IFERROR(__xludf.DUMMYFUNCTION("""COMPUTED_VALUE"""),98.30400000000002)</f>
        <v>98.304</v>
      </c>
      <c r="BV741" s="71">
        <f>IFERROR(__xludf.DUMMYFUNCTION("""COMPUTED_VALUE"""),712.7040000000001)</f>
        <v>712.704</v>
      </c>
    </row>
    <row r="742">
      <c r="A742" s="53">
        <v>1.0</v>
      </c>
      <c r="B742" s="53"/>
      <c r="C742" s="73" t="s">
        <v>53</v>
      </c>
      <c r="D742" s="128" t="s">
        <v>1781</v>
      </c>
      <c r="E742" s="54" t="s">
        <v>38</v>
      </c>
      <c r="F742" s="54" t="s">
        <v>42</v>
      </c>
      <c r="G742" s="144" t="s">
        <v>1782</v>
      </c>
      <c r="H742" s="54" t="s">
        <v>1783</v>
      </c>
      <c r="I742" s="54">
        <f t="shared" si="24"/>
        <v>40</v>
      </c>
      <c r="J742" s="56"/>
      <c r="K742" s="57"/>
      <c r="L742" s="87"/>
      <c r="M742" s="59"/>
      <c r="N742" s="60">
        <v>1726.0</v>
      </c>
      <c r="O742" s="61">
        <v>1864.0</v>
      </c>
      <c r="P742" s="62">
        <v>2013.1200000000001</v>
      </c>
      <c r="Q742" s="63">
        <v>2013.1200000000001</v>
      </c>
      <c r="R742" s="64">
        <v>2241.0</v>
      </c>
      <c r="S742" s="111">
        <v>2353.0</v>
      </c>
      <c r="T742" s="65">
        <f t="shared" si="2"/>
        <v>376.48</v>
      </c>
      <c r="U742" s="65">
        <f t="shared" si="3"/>
        <v>2729.48</v>
      </c>
      <c r="V742" s="66">
        <f t="shared" si="4"/>
        <v>0.04997768853</v>
      </c>
      <c r="W742" s="67">
        <f t="shared" si="5"/>
        <v>2235.35</v>
      </c>
      <c r="X742" s="67">
        <f t="shared" si="6"/>
        <v>357.656</v>
      </c>
      <c r="Y742" s="67">
        <f t="shared" si="7"/>
        <v>2593.006</v>
      </c>
      <c r="Z742" s="67">
        <f t="shared" si="8"/>
        <v>2117.7</v>
      </c>
      <c r="AA742" s="67">
        <f t="shared" si="9"/>
        <v>338.832</v>
      </c>
      <c r="AB742" s="67">
        <f t="shared" si="10"/>
        <v>2456.532</v>
      </c>
      <c r="AC742" s="67">
        <f t="shared" si="11"/>
        <v>2000.05</v>
      </c>
      <c r="AD742" s="67">
        <f t="shared" si="12"/>
        <v>320.008</v>
      </c>
      <c r="AE742" s="67">
        <f t="shared" si="13"/>
        <v>2320.058</v>
      </c>
      <c r="AF742" s="67">
        <f t="shared" si="33"/>
        <v>1952.99</v>
      </c>
      <c r="AG742" s="67">
        <f t="shared" si="15"/>
        <v>312.4784</v>
      </c>
      <c r="AH742" s="67">
        <f t="shared" si="16"/>
        <v>2265.4684</v>
      </c>
      <c r="AI742" s="67">
        <f t="shared" si="17"/>
        <v>1882.4</v>
      </c>
      <c r="AJ742" s="68">
        <f t="shared" si="31"/>
        <v>301.184</v>
      </c>
      <c r="AK742" s="68">
        <f t="shared" si="32"/>
        <v>2183.584</v>
      </c>
      <c r="AL742" s="70">
        <f>IFERROR(__xludf.DUMMYFUNCTION("""COMPUTED_VALUE"""),1.0)</f>
        <v>1</v>
      </c>
      <c r="AM742" s="70"/>
      <c r="AN742" s="71" t="str">
        <f>IFERROR(__xludf.DUMMYFUNCTION("""COMPUTED_VALUE""")," C")</f>
        <v>C</v>
      </c>
      <c r="AO742" s="71" t="str">
        <f>IFERROR(__xludf.DUMMYFUNCTION("""COMPUTED_VALUE""")," JG162")</f>
        <v>JG162</v>
      </c>
      <c r="AP742" s="71" t="str">
        <f>IFERROR(__xludf.DUMMYFUNCTION("""COMPUTED_VALUE""")," PZA")</f>
        <v>PZA</v>
      </c>
      <c r="AQ742" s="71" t="str">
        <f>IFERROR(__xludf.DUMMYFUNCTION("""COMPUTED_VALUE""")," REF")</f>
        <v>REF</v>
      </c>
      <c r="AR742" s="71" t="str">
        <f>IFERROR(__xludf.DUMMYFUNCTION("""COMPUTED_VALUE""")," JUEGO DE PIEDRAS DE 9"" NEVADO INT 2 1/2""")</f>
        <v>JUEGO DE PIEDRAS DE 9" NEVADO INT 2 1/2"</v>
      </c>
      <c r="AS742" s="71" t="str">
        <f>IFERROR(__xludf.DUMMYFUNCTION("""COMPUTED_VALUE""")," JUEGO PIEDRAS 9 NEVADO INT 2 1/2")</f>
        <v>JUEGO PIEDRAS 9 NEVADO INT 2 1/2</v>
      </c>
      <c r="AT742" s="71">
        <f>IFERROR(__xludf.DUMMYFUNCTION("""COMPUTED_VALUE"""),32.0)</f>
        <v>32</v>
      </c>
      <c r="AU742" s="71"/>
      <c r="AV742" s="71"/>
      <c r="AW742" s="71"/>
      <c r="AX742" s="71"/>
      <c r="AY742" s="71">
        <f>IFERROR(__xludf.DUMMYFUNCTION("""COMPUTED_VALUE"""),630.0)</f>
        <v>630</v>
      </c>
      <c r="AZ742" s="71">
        <f>IFERROR(__xludf.DUMMYFUNCTION("""COMPUTED_VALUE"""),680.0)</f>
        <v>680</v>
      </c>
      <c r="BA742" s="71">
        <f>IFERROR(__xludf.DUMMYFUNCTION("""COMPUTED_VALUE"""),734.4000000000001)</f>
        <v>734.4</v>
      </c>
      <c r="BB742" s="71">
        <f>IFERROR(__xludf.DUMMYFUNCTION("""COMPUTED_VALUE"""),734.4000000000001)</f>
        <v>734.4</v>
      </c>
      <c r="BC742" s="71">
        <f>IFERROR(__xludf.DUMMYFUNCTION("""COMPUTED_VALUE"""),771.0)</f>
        <v>771</v>
      </c>
      <c r="BD742" s="71">
        <f>IFERROR(__xludf.DUMMYFUNCTION("""COMPUTED_VALUE"""),810.0)</f>
        <v>810</v>
      </c>
      <c r="BE742" s="71">
        <f>IFERROR(__xludf.DUMMYFUNCTION("""COMPUTED_VALUE"""),129.6)</f>
        <v>129.6</v>
      </c>
      <c r="BF742" s="71">
        <f>IFERROR(__xludf.DUMMYFUNCTION("""COMPUTED_VALUE"""),939.6)</f>
        <v>939.6</v>
      </c>
      <c r="BG742" s="71">
        <f>IFERROR(__xludf.DUMMYFUNCTION("""COMPUTED_VALUE"""),0.05058365758754864)</f>
        <v>0.05058365759</v>
      </c>
      <c r="BH742" s="71">
        <f>IFERROR(__xludf.DUMMYFUNCTION("""COMPUTED_VALUE"""),769.5)</f>
        <v>769.5</v>
      </c>
      <c r="BI742" s="71">
        <f>IFERROR(__xludf.DUMMYFUNCTION("""COMPUTED_VALUE"""),123.12)</f>
        <v>123.12</v>
      </c>
      <c r="BJ742" s="71">
        <f>IFERROR(__xludf.DUMMYFUNCTION("""COMPUTED_VALUE"""),892.62)</f>
        <v>892.62</v>
      </c>
      <c r="BK742" s="71">
        <f>IFERROR(__xludf.DUMMYFUNCTION("""COMPUTED_VALUE"""),729.0)</f>
        <v>729</v>
      </c>
      <c r="BL742" s="71">
        <f>IFERROR(__xludf.DUMMYFUNCTION("""COMPUTED_VALUE"""),116.64)</f>
        <v>116.64</v>
      </c>
      <c r="BM742" s="71">
        <f>IFERROR(__xludf.DUMMYFUNCTION("""COMPUTED_VALUE"""),845.64)</f>
        <v>845.64</v>
      </c>
      <c r="BN742" s="71">
        <f>IFERROR(__xludf.DUMMYFUNCTION("""COMPUTED_VALUE"""),688.5)</f>
        <v>688.5</v>
      </c>
      <c r="BO742" s="71">
        <f>IFERROR(__xludf.DUMMYFUNCTION("""COMPUTED_VALUE"""),110.16)</f>
        <v>110.16</v>
      </c>
      <c r="BP742" s="71">
        <f>IFERROR(__xludf.DUMMYFUNCTION("""COMPUTED_VALUE"""),798.66)</f>
        <v>798.66</v>
      </c>
      <c r="BQ742" s="71">
        <f>IFERROR(__xludf.DUMMYFUNCTION("""COMPUTED_VALUE"""),672.3)</f>
        <v>672.3</v>
      </c>
      <c r="BR742" s="71">
        <f>IFERROR(__xludf.DUMMYFUNCTION("""COMPUTED_VALUE"""),107.568)</f>
        <v>107.568</v>
      </c>
      <c r="BS742" s="71">
        <f>IFERROR(__xludf.DUMMYFUNCTION("""COMPUTED_VALUE"""),779.8679999999999)</f>
        <v>779.868</v>
      </c>
      <c r="BT742" s="71">
        <f>IFERROR(__xludf.DUMMYFUNCTION("""COMPUTED_VALUE"""),648.0)</f>
        <v>648</v>
      </c>
      <c r="BU742" s="71">
        <f>IFERROR(__xludf.DUMMYFUNCTION("""COMPUTED_VALUE"""),103.68)</f>
        <v>103.68</v>
      </c>
      <c r="BV742" s="71">
        <f>IFERROR(__xludf.DUMMYFUNCTION("""COMPUTED_VALUE"""),751.6800000000001)</f>
        <v>751.68</v>
      </c>
    </row>
    <row r="743">
      <c r="A743" s="53"/>
      <c r="B743" s="53"/>
      <c r="C743" s="53" t="s">
        <v>53</v>
      </c>
      <c r="D743" s="53" t="s">
        <v>1784</v>
      </c>
      <c r="E743" s="54" t="s">
        <v>38</v>
      </c>
      <c r="F743" s="54" t="s">
        <v>42</v>
      </c>
      <c r="G743" s="55" t="s">
        <v>1785</v>
      </c>
      <c r="H743" s="55" t="s">
        <v>1786</v>
      </c>
      <c r="I743" s="54">
        <f t="shared" si="24"/>
        <v>39</v>
      </c>
      <c r="J743" s="56"/>
      <c r="K743" s="57"/>
      <c r="L743" s="76"/>
      <c r="M743" s="59"/>
      <c r="N743" s="79"/>
      <c r="O743" s="61">
        <v>973.0</v>
      </c>
      <c r="P743" s="62">
        <v>1050.8400000000001</v>
      </c>
      <c r="Q743" s="63">
        <v>1050.8400000000001</v>
      </c>
      <c r="R743" s="64">
        <v>1104.0</v>
      </c>
      <c r="S743" s="111">
        <v>1159.0</v>
      </c>
      <c r="T743" s="65">
        <f t="shared" si="2"/>
        <v>185.44</v>
      </c>
      <c r="U743" s="65">
        <f t="shared" si="3"/>
        <v>1344.44</v>
      </c>
      <c r="V743" s="66">
        <f t="shared" si="4"/>
        <v>0.04981884058</v>
      </c>
      <c r="W743" s="67">
        <f t="shared" si="5"/>
        <v>1101.05</v>
      </c>
      <c r="X743" s="67">
        <f t="shared" si="6"/>
        <v>176.168</v>
      </c>
      <c r="Y743" s="67">
        <f t="shared" si="7"/>
        <v>1277.218</v>
      </c>
      <c r="Z743" s="67">
        <f t="shared" si="8"/>
        <v>1043.1</v>
      </c>
      <c r="AA743" s="67">
        <f t="shared" si="9"/>
        <v>166.896</v>
      </c>
      <c r="AB743" s="67">
        <f t="shared" si="10"/>
        <v>1209.996</v>
      </c>
      <c r="AC743" s="67">
        <f t="shared" si="11"/>
        <v>985.15</v>
      </c>
      <c r="AD743" s="67">
        <f t="shared" si="12"/>
        <v>157.624</v>
      </c>
      <c r="AE743" s="67">
        <f t="shared" si="13"/>
        <v>1142.774</v>
      </c>
      <c r="AF743" s="67">
        <f t="shared" si="33"/>
        <v>961.97</v>
      </c>
      <c r="AG743" s="67">
        <f t="shared" si="15"/>
        <v>153.9152</v>
      </c>
      <c r="AH743" s="67">
        <f t="shared" si="16"/>
        <v>1115.8852</v>
      </c>
      <c r="AI743" s="67">
        <f t="shared" si="17"/>
        <v>927.2</v>
      </c>
      <c r="AJ743" s="68">
        <f t="shared" si="31"/>
        <v>148.352</v>
      </c>
      <c r="AK743" s="68">
        <f t="shared" si="32"/>
        <v>1075.552</v>
      </c>
      <c r="AL743" s="70">
        <f>IFERROR(__xludf.DUMMYFUNCTION("""COMPUTED_VALUE"""),1.0)</f>
        <v>1</v>
      </c>
      <c r="AM743" s="70"/>
      <c r="AN743" s="71" t="str">
        <f>IFERROR(__xludf.DUMMYFUNCTION("""COMPUTED_VALUE""")," C")</f>
        <v>C</v>
      </c>
      <c r="AO743" s="71" t="str">
        <f>IFERROR(__xludf.DUMMYFUNCTION("""COMPUTED_VALUE""")," JG55")</f>
        <v>JG55</v>
      </c>
      <c r="AP743" s="71" t="str">
        <f>IFERROR(__xludf.DUMMYFUNCTION("""COMPUTED_VALUE""")," JGO")</f>
        <v>JGO</v>
      </c>
      <c r="AQ743" s="71" t="str">
        <f>IFERROR(__xludf.DUMMYFUNCTION("""COMPUTED_VALUE""")," REF")</f>
        <v>REF</v>
      </c>
      <c r="AR743" s="71" t="str">
        <f>IFERROR(__xludf.DUMMYFUNCTION("""COMPUTED_VALUE""")," JUEGO DE PIEDRAS DE 9"" PARA MOLINO TORTIMEX 1 7/8""")</f>
        <v>JUEGO DE PIEDRAS DE 9" PARA MOLINO TORTIMEX 1 7/8"</v>
      </c>
      <c r="AS743" s="71" t="str">
        <f>IFERROR(__xludf.DUMMYFUNCTION("""COMPUTED_VALUE""")," JUEGO PIEDRAS DE 9 MOLINO TORTIMEX 1 7/8")</f>
        <v>JUEGO PIEDRAS DE 9 MOLINO TORTIMEX 1 7/8</v>
      </c>
      <c r="AT743" s="71">
        <f>IFERROR(__xludf.DUMMYFUNCTION("""COMPUTED_VALUE"""),40.0)</f>
        <v>40</v>
      </c>
      <c r="AU743" s="71"/>
      <c r="AV743" s="71"/>
      <c r="AW743" s="71"/>
      <c r="AX743" s="71"/>
      <c r="AY743" s="71">
        <f>IFERROR(__xludf.DUMMYFUNCTION("""COMPUTED_VALUE"""),684.0)</f>
        <v>684</v>
      </c>
      <c r="AZ743" s="71">
        <f>IFERROR(__xludf.DUMMYFUNCTION("""COMPUTED_VALUE"""),738.0)</f>
        <v>738</v>
      </c>
      <c r="BA743" s="71">
        <f>IFERROR(__xludf.DUMMYFUNCTION("""COMPUTED_VALUE"""),797.0400000000001)</f>
        <v>797.04</v>
      </c>
      <c r="BB743" s="71">
        <f>IFERROR(__xludf.DUMMYFUNCTION("""COMPUTED_VALUE"""),797.0400000000001)</f>
        <v>797.04</v>
      </c>
      <c r="BC743" s="71">
        <f>IFERROR(__xludf.DUMMYFUNCTION("""COMPUTED_VALUE"""),888.0)</f>
        <v>888</v>
      </c>
      <c r="BD743" s="71">
        <f>IFERROR(__xludf.DUMMYFUNCTION("""COMPUTED_VALUE"""),932.0)</f>
        <v>932</v>
      </c>
      <c r="BE743" s="71">
        <f>IFERROR(__xludf.DUMMYFUNCTION("""COMPUTED_VALUE"""),149.12)</f>
        <v>149.12</v>
      </c>
      <c r="BF743" s="71">
        <f>IFERROR(__xludf.DUMMYFUNCTION("""COMPUTED_VALUE"""),1081.12)</f>
        <v>1081.12</v>
      </c>
      <c r="BG743" s="71">
        <f>IFERROR(__xludf.DUMMYFUNCTION("""COMPUTED_VALUE"""),0.04954954954954955)</f>
        <v>0.04954954955</v>
      </c>
      <c r="BH743" s="71">
        <f>IFERROR(__xludf.DUMMYFUNCTION("""COMPUTED_VALUE"""),885.4)</f>
        <v>885.4</v>
      </c>
      <c r="BI743" s="71">
        <f>IFERROR(__xludf.DUMMYFUNCTION("""COMPUTED_VALUE"""),141.664)</f>
        <v>141.664</v>
      </c>
      <c r="BJ743" s="71">
        <f>IFERROR(__xludf.DUMMYFUNCTION("""COMPUTED_VALUE"""),1027.0639999999999)</f>
        <v>1027.064</v>
      </c>
      <c r="BK743" s="71">
        <f>IFERROR(__xludf.DUMMYFUNCTION("""COMPUTED_VALUE"""),838.8000000000001)</f>
        <v>838.8</v>
      </c>
      <c r="BL743" s="71">
        <f>IFERROR(__xludf.DUMMYFUNCTION("""COMPUTED_VALUE"""),134.20800000000003)</f>
        <v>134.208</v>
      </c>
      <c r="BM743" s="71">
        <f>IFERROR(__xludf.DUMMYFUNCTION("""COMPUTED_VALUE"""),973.008)</f>
        <v>973.008</v>
      </c>
      <c r="BN743" s="71">
        <f>IFERROR(__xludf.DUMMYFUNCTION("""COMPUTED_VALUE"""),792.1999999999999)</f>
        <v>792.2</v>
      </c>
      <c r="BO743" s="71">
        <f>IFERROR(__xludf.DUMMYFUNCTION("""COMPUTED_VALUE"""),126.752)</f>
        <v>126.752</v>
      </c>
      <c r="BP743" s="71">
        <f>IFERROR(__xludf.DUMMYFUNCTION("""COMPUTED_VALUE"""),918.9519999999999)</f>
        <v>918.952</v>
      </c>
      <c r="BQ743" s="71">
        <f>IFERROR(__xludf.DUMMYFUNCTION("""COMPUTED_VALUE"""),773.56)</f>
        <v>773.56</v>
      </c>
      <c r="BR743" s="71">
        <f>IFERROR(__xludf.DUMMYFUNCTION("""COMPUTED_VALUE"""),123.7696)</f>
        <v>123.7696</v>
      </c>
      <c r="BS743" s="71">
        <f>IFERROR(__xludf.DUMMYFUNCTION("""COMPUTED_VALUE"""),897.3295999999999)</f>
        <v>897.3296</v>
      </c>
      <c r="BT743" s="71">
        <f>IFERROR(__xludf.DUMMYFUNCTION("""COMPUTED_VALUE"""),745.6)</f>
        <v>745.6</v>
      </c>
      <c r="BU743" s="71">
        <f>IFERROR(__xludf.DUMMYFUNCTION("""COMPUTED_VALUE"""),119.296)</f>
        <v>119.296</v>
      </c>
      <c r="BV743" s="71">
        <f>IFERROR(__xludf.DUMMYFUNCTION("""COMPUTED_VALUE"""),864.8960000000001)</f>
        <v>864.896</v>
      </c>
    </row>
    <row r="744">
      <c r="A744" s="53"/>
      <c r="B744" s="53"/>
      <c r="C744" s="53" t="s">
        <v>53</v>
      </c>
      <c r="D744" s="53" t="s">
        <v>1787</v>
      </c>
      <c r="E744" s="54" t="s">
        <v>38</v>
      </c>
      <c r="F744" s="54" t="s">
        <v>42</v>
      </c>
      <c r="G744" s="55" t="s">
        <v>1788</v>
      </c>
      <c r="H744" s="55" t="s">
        <v>1789</v>
      </c>
      <c r="I744" s="54">
        <f t="shared" si="24"/>
        <v>39</v>
      </c>
      <c r="J744" s="56"/>
      <c r="K744" s="57"/>
      <c r="L744" s="76"/>
      <c r="M744" s="59"/>
      <c r="N744" s="60"/>
      <c r="O744" s="61">
        <v>765.0</v>
      </c>
      <c r="P744" s="62">
        <v>826.2</v>
      </c>
      <c r="Q744" s="63">
        <v>826.2</v>
      </c>
      <c r="R744" s="64">
        <v>868.0</v>
      </c>
      <c r="S744" s="111">
        <v>911.0</v>
      </c>
      <c r="T744" s="65">
        <f t="shared" si="2"/>
        <v>145.76</v>
      </c>
      <c r="U744" s="65">
        <f t="shared" si="3"/>
        <v>1056.76</v>
      </c>
      <c r="V744" s="66">
        <f t="shared" si="4"/>
        <v>0.04953917051</v>
      </c>
      <c r="W744" s="67">
        <f t="shared" si="5"/>
        <v>865.45</v>
      </c>
      <c r="X744" s="67">
        <f t="shared" si="6"/>
        <v>138.472</v>
      </c>
      <c r="Y744" s="67">
        <f t="shared" si="7"/>
        <v>1003.922</v>
      </c>
      <c r="Z744" s="67">
        <f t="shared" si="8"/>
        <v>819.9</v>
      </c>
      <c r="AA744" s="67">
        <f t="shared" si="9"/>
        <v>131.184</v>
      </c>
      <c r="AB744" s="67">
        <f t="shared" si="10"/>
        <v>951.084</v>
      </c>
      <c r="AC744" s="67">
        <f t="shared" si="11"/>
        <v>774.35</v>
      </c>
      <c r="AD744" s="67">
        <f t="shared" si="12"/>
        <v>123.896</v>
      </c>
      <c r="AE744" s="67">
        <f t="shared" si="13"/>
        <v>898.246</v>
      </c>
      <c r="AF744" s="67">
        <f t="shared" si="33"/>
        <v>756.13</v>
      </c>
      <c r="AG744" s="67">
        <f t="shared" si="15"/>
        <v>120.9808</v>
      </c>
      <c r="AH744" s="67">
        <f t="shared" si="16"/>
        <v>877.1108</v>
      </c>
      <c r="AI744" s="67">
        <f t="shared" si="17"/>
        <v>728.8</v>
      </c>
      <c r="AJ744" s="68">
        <f t="shared" si="31"/>
        <v>116.608</v>
      </c>
      <c r="AK744" s="68">
        <f t="shared" si="32"/>
        <v>845.408</v>
      </c>
      <c r="AL744" s="70">
        <f>IFERROR(__xludf.DUMMYFUNCTION("""COMPUTED_VALUE"""),1.0)</f>
        <v>1</v>
      </c>
      <c r="AM744" s="70"/>
      <c r="AN744" s="71" t="str">
        <f>IFERROR(__xludf.DUMMYFUNCTION("""COMPUTED_VALUE""")," C")</f>
        <v>C</v>
      </c>
      <c r="AO744" s="71" t="str">
        <f>IFERROR(__xludf.DUMMYFUNCTION("""COMPUTED_VALUE""")," JG148")</f>
        <v>JG148</v>
      </c>
      <c r="AP744" s="71" t="str">
        <f>IFERROR(__xludf.DUMMYFUNCTION("""COMPUTED_VALUE""")," PZA")</f>
        <v>PZA</v>
      </c>
      <c r="AQ744" s="71" t="str">
        <f>IFERROR(__xludf.DUMMYFUNCTION("""COMPUTED_VALUE""")," REF")</f>
        <v>REF</v>
      </c>
      <c r="AR744" s="71" t="str">
        <f>IFERROR(__xludf.DUMMYFUNCTION("""COMPUTED_VALUE""")," JUEGO DE PIEDRAS DE 9"" TIPO CAMARADA INT 2 1/2""")</f>
        <v>JUEGO DE PIEDRAS DE 9" TIPO CAMARADA INT 2 1/2"</v>
      </c>
      <c r="AS744" s="71" t="str">
        <f>IFERROR(__xludf.DUMMYFUNCTION("""COMPUTED_VALUE""")," JUEGO PIEDRAS 9 CAMARADA INT 2 1/2")</f>
        <v>JUEGO PIEDRAS 9 CAMARADA INT 2 1/2</v>
      </c>
      <c r="AT744" s="71">
        <f>IFERROR(__xludf.DUMMYFUNCTION("""COMPUTED_VALUE"""),34.0)</f>
        <v>34</v>
      </c>
      <c r="AU744" s="71"/>
      <c r="AV744" s="71"/>
      <c r="AW744" s="71"/>
      <c r="AX744" s="71"/>
      <c r="AY744" s="71">
        <f>IFERROR(__xludf.DUMMYFUNCTION("""COMPUTED_VALUE"""),875.0)</f>
        <v>875</v>
      </c>
      <c r="AZ744" s="71">
        <f>IFERROR(__xludf.DUMMYFUNCTION("""COMPUTED_VALUE"""),945.0)</f>
        <v>945</v>
      </c>
      <c r="BA744" s="71">
        <f>IFERROR(__xludf.DUMMYFUNCTION("""COMPUTED_VALUE"""),1020.6)</f>
        <v>1020.6</v>
      </c>
      <c r="BB744" s="71">
        <f>IFERROR(__xludf.DUMMYFUNCTION("""COMPUTED_VALUE"""),1020.6)</f>
        <v>1020.6</v>
      </c>
      <c r="BC744" s="71">
        <f>IFERROR(__xludf.DUMMYFUNCTION("""COMPUTED_VALUE"""),1137.0)</f>
        <v>1137</v>
      </c>
      <c r="BD744" s="71">
        <f>IFERROR(__xludf.DUMMYFUNCTION("""COMPUTED_VALUE"""),1194.0)</f>
        <v>1194</v>
      </c>
      <c r="BE744" s="71">
        <f>IFERROR(__xludf.DUMMYFUNCTION("""COMPUTED_VALUE"""),191.04)</f>
        <v>191.04</v>
      </c>
      <c r="BF744" s="71">
        <f>IFERROR(__xludf.DUMMYFUNCTION("""COMPUTED_VALUE"""),1385.04)</f>
        <v>1385.04</v>
      </c>
      <c r="BG744" s="71">
        <f>IFERROR(__xludf.DUMMYFUNCTION("""COMPUTED_VALUE"""),0.05013192612137203)</f>
        <v>0.05013192612</v>
      </c>
      <c r="BH744" s="71">
        <f>IFERROR(__xludf.DUMMYFUNCTION("""COMPUTED_VALUE"""),1134.3)</f>
        <v>1134.3</v>
      </c>
      <c r="BI744" s="71">
        <f>IFERROR(__xludf.DUMMYFUNCTION("""COMPUTED_VALUE"""),181.488)</f>
        <v>181.488</v>
      </c>
      <c r="BJ744" s="71">
        <f>IFERROR(__xludf.DUMMYFUNCTION("""COMPUTED_VALUE"""),1315.788)</f>
        <v>1315.788</v>
      </c>
      <c r="BK744" s="71">
        <f>IFERROR(__xludf.DUMMYFUNCTION("""COMPUTED_VALUE"""),1074.6000000000001)</f>
        <v>1074.6</v>
      </c>
      <c r="BL744" s="71">
        <f>IFERROR(__xludf.DUMMYFUNCTION("""COMPUTED_VALUE"""),171.93600000000004)</f>
        <v>171.936</v>
      </c>
      <c r="BM744" s="71">
        <f>IFERROR(__xludf.DUMMYFUNCTION("""COMPUTED_VALUE"""),1246.536)</f>
        <v>1246.536</v>
      </c>
      <c r="BN744" s="71">
        <f>IFERROR(__xludf.DUMMYFUNCTION("""COMPUTED_VALUE"""),1014.9)</f>
        <v>1014.9</v>
      </c>
      <c r="BO744" s="71">
        <f>IFERROR(__xludf.DUMMYFUNCTION("""COMPUTED_VALUE"""),162.384)</f>
        <v>162.384</v>
      </c>
      <c r="BP744" s="71">
        <f>IFERROR(__xludf.DUMMYFUNCTION("""COMPUTED_VALUE"""),1177.2839999999999)</f>
        <v>1177.284</v>
      </c>
      <c r="BQ744" s="71">
        <f>IFERROR(__xludf.DUMMYFUNCTION("""COMPUTED_VALUE"""),991.02)</f>
        <v>991.02</v>
      </c>
      <c r="BR744" s="71">
        <f>IFERROR(__xludf.DUMMYFUNCTION("""COMPUTED_VALUE"""),158.5632)</f>
        <v>158.5632</v>
      </c>
      <c r="BS744" s="71">
        <f>IFERROR(__xludf.DUMMYFUNCTION("""COMPUTED_VALUE"""),1149.5832)</f>
        <v>1149.5832</v>
      </c>
      <c r="BT744" s="71">
        <f>IFERROR(__xludf.DUMMYFUNCTION("""COMPUTED_VALUE"""),955.2)</f>
        <v>955.2</v>
      </c>
      <c r="BU744" s="71">
        <f>IFERROR(__xludf.DUMMYFUNCTION("""COMPUTED_VALUE"""),152.83200000000002)</f>
        <v>152.832</v>
      </c>
      <c r="BV744" s="71">
        <f>IFERROR(__xludf.DUMMYFUNCTION("""COMPUTED_VALUE"""),1108.0320000000002)</f>
        <v>1108.032</v>
      </c>
    </row>
    <row r="745">
      <c r="A745" s="53">
        <v>1.0</v>
      </c>
      <c r="B745" s="72"/>
      <c r="C745" s="73" t="s">
        <v>12</v>
      </c>
      <c r="D745" s="74" t="s">
        <v>1790</v>
      </c>
      <c r="E745" s="54" t="s">
        <v>38</v>
      </c>
      <c r="F745" s="54" t="s">
        <v>42</v>
      </c>
      <c r="G745" s="54" t="s">
        <v>1791</v>
      </c>
      <c r="H745" s="54" t="s">
        <v>1792</v>
      </c>
      <c r="I745" s="54">
        <f t="shared" si="24"/>
        <v>27</v>
      </c>
      <c r="J745" s="56"/>
      <c r="K745" s="75"/>
      <c r="L745" s="76"/>
      <c r="M745" s="59"/>
      <c r="N745" s="60">
        <v>112.0</v>
      </c>
      <c r="O745" s="61">
        <v>120.0</v>
      </c>
      <c r="P745" s="62">
        <v>129.60000000000002</v>
      </c>
      <c r="Q745" s="63">
        <v>129.60000000000002</v>
      </c>
      <c r="R745" s="64">
        <v>150.0</v>
      </c>
      <c r="S745" s="111">
        <v>158.0</v>
      </c>
      <c r="T745" s="65">
        <f t="shared" si="2"/>
        <v>25.28</v>
      </c>
      <c r="U745" s="65">
        <f t="shared" si="3"/>
        <v>183.28</v>
      </c>
      <c r="V745" s="66">
        <f t="shared" si="4"/>
        <v>0.05333333333</v>
      </c>
      <c r="W745" s="67">
        <f t="shared" si="5"/>
        <v>150.1</v>
      </c>
      <c r="X745" s="67">
        <f t="shared" si="6"/>
        <v>24.016</v>
      </c>
      <c r="Y745" s="67">
        <f t="shared" si="7"/>
        <v>174.116</v>
      </c>
      <c r="Z745" s="67">
        <f t="shared" si="8"/>
        <v>142.2</v>
      </c>
      <c r="AA745" s="67">
        <f t="shared" si="9"/>
        <v>22.752</v>
      </c>
      <c r="AB745" s="67">
        <f t="shared" si="10"/>
        <v>164.952</v>
      </c>
      <c r="AC745" s="67">
        <f t="shared" si="11"/>
        <v>134.3</v>
      </c>
      <c r="AD745" s="67">
        <f t="shared" si="12"/>
        <v>21.488</v>
      </c>
      <c r="AE745" s="67">
        <f t="shared" si="13"/>
        <v>155.788</v>
      </c>
      <c r="AF745" s="67">
        <f t="shared" si="33"/>
        <v>131.14</v>
      </c>
      <c r="AG745" s="67">
        <f t="shared" si="15"/>
        <v>20.9824</v>
      </c>
      <c r="AH745" s="67">
        <f t="shared" si="16"/>
        <v>152.1224</v>
      </c>
      <c r="AI745" s="67">
        <f t="shared" si="17"/>
        <v>126.4</v>
      </c>
      <c r="AJ745" s="68">
        <f t="shared" si="31"/>
        <v>20.224</v>
      </c>
      <c r="AK745" s="68">
        <f t="shared" si="32"/>
        <v>146.624</v>
      </c>
      <c r="AL745" s="70">
        <f>IFERROR(__xludf.DUMMYFUNCTION("""COMPUTED_VALUE"""),1.0)</f>
        <v>1</v>
      </c>
      <c r="AM745" s="70"/>
      <c r="AN745" s="71" t="str">
        <f>IFERROR(__xludf.DUMMYFUNCTION("""COMPUTED_VALUE""")," C")</f>
        <v>C</v>
      </c>
      <c r="AO745" s="71" t="str">
        <f>IFERROR(__xludf.DUMMYFUNCTION("""COMPUTED_VALUE""")," JG146")</f>
        <v>JG146</v>
      </c>
      <c r="AP745" s="71" t="str">
        <f>IFERROR(__xludf.DUMMYFUNCTION("""COMPUTED_VALUE""")," PZA")</f>
        <v>PZA</v>
      </c>
      <c r="AQ745" s="71" t="str">
        <f>IFERROR(__xludf.DUMMYFUNCTION("""COMPUTED_VALUE""")," REF")</f>
        <v>REF</v>
      </c>
      <c r="AR745" s="71" t="str">
        <f>IFERROR(__xludf.DUMMYFUNCTION("""COMPUTED_VALUE""")," JUEGO DE PIEDRAS DE 9"" TOLUCA INT 2 1/2""")</f>
        <v>JUEGO DE PIEDRAS DE 9" TOLUCA INT 2 1/2"</v>
      </c>
      <c r="AS745" s="71" t="str">
        <f>IFERROR(__xludf.DUMMYFUNCTION("""COMPUTED_VALUE""")," JUEGO PIEDRAS 9 TOLUCA INT 2 1/2")</f>
        <v>JUEGO PIEDRAS 9 TOLUCA INT 2 1/2</v>
      </c>
      <c r="AT745" s="71">
        <f>IFERROR(__xludf.DUMMYFUNCTION("""COMPUTED_VALUE"""),32.0)</f>
        <v>32</v>
      </c>
      <c r="AU745" s="71"/>
      <c r="AV745" s="71"/>
      <c r="AW745" s="71"/>
      <c r="AX745" s="71"/>
      <c r="AY745" s="71">
        <f>IFERROR(__xludf.DUMMYFUNCTION("""COMPUTED_VALUE"""),597.0)</f>
        <v>597</v>
      </c>
      <c r="AZ745" s="71">
        <f>IFERROR(__xludf.DUMMYFUNCTION("""COMPUTED_VALUE"""),666.0)</f>
        <v>666</v>
      </c>
      <c r="BA745" s="71">
        <f>IFERROR(__xludf.DUMMYFUNCTION("""COMPUTED_VALUE"""),719.2800000000001)</f>
        <v>719.28</v>
      </c>
      <c r="BB745" s="71">
        <f>IFERROR(__xludf.DUMMYFUNCTION("""COMPUTED_VALUE"""),719.2800000000001)</f>
        <v>719.28</v>
      </c>
      <c r="BC745" s="71">
        <f>IFERROR(__xludf.DUMMYFUNCTION("""COMPUTED_VALUE"""),755.0)</f>
        <v>755</v>
      </c>
      <c r="BD745" s="71">
        <f>IFERROR(__xludf.DUMMYFUNCTION("""COMPUTED_VALUE"""),793.0)</f>
        <v>793</v>
      </c>
      <c r="BE745" s="71">
        <f>IFERROR(__xludf.DUMMYFUNCTION("""COMPUTED_VALUE"""),126.88000000000001)</f>
        <v>126.88</v>
      </c>
      <c r="BF745" s="71">
        <f>IFERROR(__xludf.DUMMYFUNCTION("""COMPUTED_VALUE"""),919.88)</f>
        <v>919.88</v>
      </c>
      <c r="BG745" s="71">
        <f>IFERROR(__xludf.DUMMYFUNCTION("""COMPUTED_VALUE"""),0.05033112582781457)</f>
        <v>0.05033112583</v>
      </c>
      <c r="BH745" s="71">
        <f>IFERROR(__xludf.DUMMYFUNCTION("""COMPUTED_VALUE"""),753.3499999999999)</f>
        <v>753.35</v>
      </c>
      <c r="BI745" s="71">
        <f>IFERROR(__xludf.DUMMYFUNCTION("""COMPUTED_VALUE"""),120.53599999999999)</f>
        <v>120.536</v>
      </c>
      <c r="BJ745" s="71">
        <f>IFERROR(__xludf.DUMMYFUNCTION("""COMPUTED_VALUE"""),873.8859999999999)</f>
        <v>873.886</v>
      </c>
      <c r="BK745" s="71">
        <f>IFERROR(__xludf.DUMMYFUNCTION("""COMPUTED_VALUE"""),713.7)</f>
        <v>713.7</v>
      </c>
      <c r="BL745" s="71">
        <f>IFERROR(__xludf.DUMMYFUNCTION("""COMPUTED_VALUE"""),114.19200000000001)</f>
        <v>114.192</v>
      </c>
      <c r="BM745" s="71">
        <f>IFERROR(__xludf.DUMMYFUNCTION("""COMPUTED_VALUE"""),827.892)</f>
        <v>827.892</v>
      </c>
      <c r="BN745" s="71">
        <f>IFERROR(__xludf.DUMMYFUNCTION("""COMPUTED_VALUE"""),674.05)</f>
        <v>674.05</v>
      </c>
      <c r="BO745" s="71">
        <f>IFERROR(__xludf.DUMMYFUNCTION("""COMPUTED_VALUE"""),107.848)</f>
        <v>107.848</v>
      </c>
      <c r="BP745" s="71">
        <f>IFERROR(__xludf.DUMMYFUNCTION("""COMPUTED_VALUE"""),781.8979999999999)</f>
        <v>781.898</v>
      </c>
      <c r="BQ745" s="71">
        <f>IFERROR(__xludf.DUMMYFUNCTION("""COMPUTED_VALUE"""),658.1899999999999)</f>
        <v>658.19</v>
      </c>
      <c r="BR745" s="71">
        <f>IFERROR(__xludf.DUMMYFUNCTION("""COMPUTED_VALUE"""),105.31039999999999)</f>
        <v>105.3104</v>
      </c>
      <c r="BS745" s="71">
        <f>IFERROR(__xludf.DUMMYFUNCTION("""COMPUTED_VALUE"""),763.5003999999999)</f>
        <v>763.5004</v>
      </c>
      <c r="BT745" s="71">
        <f>IFERROR(__xludf.DUMMYFUNCTION("""COMPUTED_VALUE"""),634.4000000000001)</f>
        <v>634.4</v>
      </c>
      <c r="BU745" s="71">
        <f>IFERROR(__xludf.DUMMYFUNCTION("""COMPUTED_VALUE"""),101.50400000000002)</f>
        <v>101.504</v>
      </c>
      <c r="BV745" s="71">
        <f>IFERROR(__xludf.DUMMYFUNCTION("""COMPUTED_VALUE"""),735.9040000000001)</f>
        <v>735.904</v>
      </c>
    </row>
    <row r="746">
      <c r="A746" s="53">
        <v>1.0</v>
      </c>
      <c r="B746" s="72"/>
      <c r="C746" s="73" t="s">
        <v>12</v>
      </c>
      <c r="D746" s="74" t="s">
        <v>1793</v>
      </c>
      <c r="E746" s="54" t="s">
        <v>38</v>
      </c>
      <c r="F746" s="54" t="s">
        <v>42</v>
      </c>
      <c r="G746" s="54" t="s">
        <v>1794</v>
      </c>
      <c r="H746" s="54" t="s">
        <v>1795</v>
      </c>
      <c r="I746" s="54">
        <f t="shared" si="24"/>
        <v>31</v>
      </c>
      <c r="J746" s="56"/>
      <c r="K746" s="57"/>
      <c r="L746" s="87"/>
      <c r="M746" s="59"/>
      <c r="N746" s="60">
        <v>160.0</v>
      </c>
      <c r="O746" s="61">
        <v>205.0</v>
      </c>
      <c r="P746" s="62">
        <v>221.4</v>
      </c>
      <c r="Q746" s="63">
        <v>221.4</v>
      </c>
      <c r="R746" s="64">
        <v>254.0</v>
      </c>
      <c r="S746" s="111">
        <v>267.0</v>
      </c>
      <c r="T746" s="65">
        <f t="shared" si="2"/>
        <v>42.72</v>
      </c>
      <c r="U746" s="65">
        <f t="shared" si="3"/>
        <v>309.72</v>
      </c>
      <c r="V746" s="66">
        <f t="shared" si="4"/>
        <v>0.05118110236</v>
      </c>
      <c r="W746" s="67">
        <f t="shared" si="5"/>
        <v>253.65</v>
      </c>
      <c r="X746" s="67">
        <f t="shared" si="6"/>
        <v>40.584</v>
      </c>
      <c r="Y746" s="67">
        <f t="shared" si="7"/>
        <v>294.234</v>
      </c>
      <c r="Z746" s="67">
        <f t="shared" si="8"/>
        <v>240.3</v>
      </c>
      <c r="AA746" s="67">
        <f t="shared" si="9"/>
        <v>38.448</v>
      </c>
      <c r="AB746" s="67">
        <f t="shared" si="10"/>
        <v>278.748</v>
      </c>
      <c r="AC746" s="67">
        <f t="shared" si="11"/>
        <v>226.95</v>
      </c>
      <c r="AD746" s="67">
        <f t="shared" si="12"/>
        <v>36.312</v>
      </c>
      <c r="AE746" s="67">
        <f t="shared" si="13"/>
        <v>263.262</v>
      </c>
      <c r="AF746" s="67">
        <f t="shared" si="33"/>
        <v>221.61</v>
      </c>
      <c r="AG746" s="67">
        <f t="shared" si="15"/>
        <v>35.4576</v>
      </c>
      <c r="AH746" s="67">
        <f t="shared" si="16"/>
        <v>257.0676</v>
      </c>
      <c r="AI746" s="67">
        <f t="shared" si="17"/>
        <v>213.6</v>
      </c>
      <c r="AJ746" s="68">
        <f t="shared" si="31"/>
        <v>34.176</v>
      </c>
      <c r="AK746" s="68">
        <f t="shared" si="32"/>
        <v>247.776</v>
      </c>
      <c r="AL746" s="70">
        <f>IFERROR(__xludf.DUMMYFUNCTION("""COMPUTED_VALUE"""),1.0)</f>
        <v>1</v>
      </c>
      <c r="AM746" s="70"/>
      <c r="AN746" s="71" t="str">
        <f>IFERROR(__xludf.DUMMYFUNCTION("""COMPUTED_VALUE""")," C")</f>
        <v>C</v>
      </c>
      <c r="AO746" s="71" t="str">
        <f>IFERROR(__xludf.DUMMYFUNCTION("""COMPUTED_VALUE""")," JG144")</f>
        <v>JG144</v>
      </c>
      <c r="AP746" s="71" t="str">
        <f>IFERROR(__xludf.DUMMYFUNCTION("""COMPUTED_VALUE""")," PZA")</f>
        <v>PZA</v>
      </c>
      <c r="AQ746" s="71" t="str">
        <f>IFERROR(__xludf.DUMMYFUNCTION("""COMPUTED_VALUE""")," REF")</f>
        <v>REF</v>
      </c>
      <c r="AR746" s="71" t="str">
        <f>IFERROR(__xludf.DUMMYFUNCTION("""COMPUTED_VALUE""")," JUEGO DE PIEDRAS DE 9"" TOLUCA INT 3""")</f>
        <v>JUEGO DE PIEDRAS DE 9" TOLUCA INT 3"</v>
      </c>
      <c r="AS746" s="71" t="str">
        <f>IFERROR(__xludf.DUMMYFUNCTION("""COMPUTED_VALUE""")," JUEGO PIEDRAS 9 TOLUCA INT 3")</f>
        <v>JUEGO PIEDRAS 9 TOLUCA INT 3</v>
      </c>
      <c r="AT746" s="71">
        <f>IFERROR(__xludf.DUMMYFUNCTION("""COMPUTED_VALUE"""),28.0)</f>
        <v>28</v>
      </c>
      <c r="AU746" s="71"/>
      <c r="AV746" s="71"/>
      <c r="AW746" s="71"/>
      <c r="AX746" s="71"/>
      <c r="AY746" s="71">
        <f>IFERROR(__xludf.DUMMYFUNCTION("""COMPUTED_VALUE"""),630.0)</f>
        <v>630</v>
      </c>
      <c r="AZ746" s="71">
        <f>IFERROR(__xludf.DUMMYFUNCTION("""COMPUTED_VALUE"""),680.0)</f>
        <v>680</v>
      </c>
      <c r="BA746" s="71">
        <f>IFERROR(__xludf.DUMMYFUNCTION("""COMPUTED_VALUE"""),734.4000000000001)</f>
        <v>734.4</v>
      </c>
      <c r="BB746" s="71">
        <f>IFERROR(__xludf.DUMMYFUNCTION("""COMPUTED_VALUE"""),734.4000000000001)</f>
        <v>734.4</v>
      </c>
      <c r="BC746" s="71">
        <f>IFERROR(__xludf.DUMMYFUNCTION("""COMPUTED_VALUE"""),771.0)</f>
        <v>771</v>
      </c>
      <c r="BD746" s="71">
        <f>IFERROR(__xludf.DUMMYFUNCTION("""COMPUTED_VALUE"""),810.0)</f>
        <v>810</v>
      </c>
      <c r="BE746" s="71">
        <f>IFERROR(__xludf.DUMMYFUNCTION("""COMPUTED_VALUE"""),129.6)</f>
        <v>129.6</v>
      </c>
      <c r="BF746" s="71">
        <f>IFERROR(__xludf.DUMMYFUNCTION("""COMPUTED_VALUE"""),939.6)</f>
        <v>939.6</v>
      </c>
      <c r="BG746" s="71">
        <f>IFERROR(__xludf.DUMMYFUNCTION("""COMPUTED_VALUE"""),0.05058365758754864)</f>
        <v>0.05058365759</v>
      </c>
      <c r="BH746" s="71">
        <f>IFERROR(__xludf.DUMMYFUNCTION("""COMPUTED_VALUE"""),769.5)</f>
        <v>769.5</v>
      </c>
      <c r="BI746" s="71">
        <f>IFERROR(__xludf.DUMMYFUNCTION("""COMPUTED_VALUE"""),123.12)</f>
        <v>123.12</v>
      </c>
      <c r="BJ746" s="71">
        <f>IFERROR(__xludf.DUMMYFUNCTION("""COMPUTED_VALUE"""),892.62)</f>
        <v>892.62</v>
      </c>
      <c r="BK746" s="71">
        <f>IFERROR(__xludf.DUMMYFUNCTION("""COMPUTED_VALUE"""),729.0)</f>
        <v>729</v>
      </c>
      <c r="BL746" s="71">
        <f>IFERROR(__xludf.DUMMYFUNCTION("""COMPUTED_VALUE"""),116.64)</f>
        <v>116.64</v>
      </c>
      <c r="BM746" s="71">
        <f>IFERROR(__xludf.DUMMYFUNCTION("""COMPUTED_VALUE"""),845.64)</f>
        <v>845.64</v>
      </c>
      <c r="BN746" s="71">
        <f>IFERROR(__xludf.DUMMYFUNCTION("""COMPUTED_VALUE"""),688.5)</f>
        <v>688.5</v>
      </c>
      <c r="BO746" s="71">
        <f>IFERROR(__xludf.DUMMYFUNCTION("""COMPUTED_VALUE"""),110.16)</f>
        <v>110.16</v>
      </c>
      <c r="BP746" s="71">
        <f>IFERROR(__xludf.DUMMYFUNCTION("""COMPUTED_VALUE"""),798.66)</f>
        <v>798.66</v>
      </c>
      <c r="BQ746" s="71">
        <f>IFERROR(__xludf.DUMMYFUNCTION("""COMPUTED_VALUE"""),672.3)</f>
        <v>672.3</v>
      </c>
      <c r="BR746" s="71">
        <f>IFERROR(__xludf.DUMMYFUNCTION("""COMPUTED_VALUE"""),107.568)</f>
        <v>107.568</v>
      </c>
      <c r="BS746" s="71">
        <f>IFERROR(__xludf.DUMMYFUNCTION("""COMPUTED_VALUE"""),779.8679999999999)</f>
        <v>779.868</v>
      </c>
      <c r="BT746" s="71">
        <f>IFERROR(__xludf.DUMMYFUNCTION("""COMPUTED_VALUE"""),648.0)</f>
        <v>648</v>
      </c>
      <c r="BU746" s="71">
        <f>IFERROR(__xludf.DUMMYFUNCTION("""COMPUTED_VALUE"""),103.68)</f>
        <v>103.68</v>
      </c>
      <c r="BV746" s="71">
        <f>IFERROR(__xludf.DUMMYFUNCTION("""COMPUTED_VALUE"""),751.6800000000001)</f>
        <v>751.68</v>
      </c>
    </row>
    <row r="747">
      <c r="A747" s="53">
        <v>1.0</v>
      </c>
      <c r="B747" s="72"/>
      <c r="C747" s="73" t="s">
        <v>12</v>
      </c>
      <c r="D747" s="74" t="s">
        <v>1796</v>
      </c>
      <c r="E747" s="54" t="s">
        <v>38</v>
      </c>
      <c r="F747" s="54" t="s">
        <v>42</v>
      </c>
      <c r="G747" s="54" t="s">
        <v>1797</v>
      </c>
      <c r="H747" s="54" t="s">
        <v>1798</v>
      </c>
      <c r="I747" s="54">
        <f t="shared" si="24"/>
        <v>29</v>
      </c>
      <c r="J747" s="56"/>
      <c r="K747" s="75"/>
      <c r="L747" s="76"/>
      <c r="M747" s="59"/>
      <c r="N747" s="60">
        <v>110.0</v>
      </c>
      <c r="O747" s="61">
        <v>118.0</v>
      </c>
      <c r="P747" s="62">
        <v>127.44000000000001</v>
      </c>
      <c r="Q747" s="63">
        <v>127.44000000000001</v>
      </c>
      <c r="R747" s="64">
        <v>147.0</v>
      </c>
      <c r="S747" s="111">
        <v>154.0</v>
      </c>
      <c r="T747" s="65">
        <f t="shared" si="2"/>
        <v>24.64</v>
      </c>
      <c r="U747" s="65">
        <f t="shared" si="3"/>
        <v>178.64</v>
      </c>
      <c r="V747" s="66">
        <f t="shared" si="4"/>
        <v>0.04761904762</v>
      </c>
      <c r="W747" s="67">
        <f t="shared" si="5"/>
        <v>146.3</v>
      </c>
      <c r="X747" s="67">
        <f t="shared" si="6"/>
        <v>23.408</v>
      </c>
      <c r="Y747" s="67">
        <f t="shared" si="7"/>
        <v>169.708</v>
      </c>
      <c r="Z747" s="67">
        <f t="shared" si="8"/>
        <v>138.6</v>
      </c>
      <c r="AA747" s="67">
        <f t="shared" si="9"/>
        <v>22.176</v>
      </c>
      <c r="AB747" s="67">
        <f t="shared" si="10"/>
        <v>160.776</v>
      </c>
      <c r="AC747" s="67">
        <f t="shared" si="11"/>
        <v>130.9</v>
      </c>
      <c r="AD747" s="67">
        <f t="shared" si="12"/>
        <v>20.944</v>
      </c>
      <c r="AE747" s="67">
        <f t="shared" si="13"/>
        <v>151.844</v>
      </c>
      <c r="AF747" s="67">
        <f t="shared" si="33"/>
        <v>127.82</v>
      </c>
      <c r="AG747" s="67">
        <f t="shared" si="15"/>
        <v>20.4512</v>
      </c>
      <c r="AH747" s="67">
        <f t="shared" si="16"/>
        <v>148.2712</v>
      </c>
      <c r="AI747" s="67">
        <f t="shared" si="17"/>
        <v>123.2</v>
      </c>
      <c r="AJ747" s="68">
        <f t="shared" si="31"/>
        <v>19.712</v>
      </c>
      <c r="AK747" s="68">
        <f t="shared" si="32"/>
        <v>142.912</v>
      </c>
      <c r="AL747" s="70">
        <f>IFERROR(__xludf.DUMMYFUNCTION("""COMPUTED_VALUE"""),1.0)</f>
        <v>1</v>
      </c>
      <c r="AM747" s="70"/>
      <c r="AN747" s="71" t="str">
        <f>IFERROR(__xludf.DUMMYFUNCTION("""COMPUTED_VALUE""")," CP")</f>
        <v>CP</v>
      </c>
      <c r="AO747" s="71" t="str">
        <f>IFERROR(__xludf.DUMMYFUNCTION("""COMPUTED_VALUE""")," JG30")</f>
        <v>JG30</v>
      </c>
      <c r="AP747" s="71" t="str">
        <f>IFERROR(__xludf.DUMMYFUNCTION("""COMPUTED_VALUE""")," JGO")</f>
        <v>JGO</v>
      </c>
      <c r="AQ747" s="71" t="str">
        <f>IFERROR(__xludf.DUMMYFUNCTION("""COMPUTED_VALUE""")," REF")</f>
        <v>REF</v>
      </c>
      <c r="AR747" s="71" t="str">
        <f>IFERROR(__xludf.DUMMYFUNCTION("""COMPUTED_VALUE""")," JUEGO DE RIELES PARA CHASIS TV-30")</f>
        <v>JUEGO DE RIELES PARA CHASIS TV-30</v>
      </c>
      <c r="AS747" s="71" t="str">
        <f>IFERROR(__xludf.DUMMYFUNCTION("""COMPUTED_VALUE""")," JUEGO RIELES P/CHASIS TV30")</f>
        <v>JUEGO RIELES P/CHASIS TV30</v>
      </c>
      <c r="AT747" s="71">
        <f>IFERROR(__xludf.DUMMYFUNCTION("""COMPUTED_VALUE"""),26.0)</f>
        <v>26</v>
      </c>
      <c r="AU747" s="71"/>
      <c r="AV747" s="71"/>
      <c r="AW747" s="71"/>
      <c r="AX747" s="71"/>
      <c r="AY747" s="71">
        <f>IFERROR(__xludf.DUMMYFUNCTION("""COMPUTED_VALUE"""),3574.0)</f>
        <v>3574</v>
      </c>
      <c r="AZ747" s="71">
        <f>IFERROR(__xludf.DUMMYFUNCTION("""COMPUTED_VALUE"""),3859.0)</f>
        <v>3859</v>
      </c>
      <c r="BA747" s="71">
        <f>IFERROR(__xludf.DUMMYFUNCTION("""COMPUTED_VALUE"""),4167.72)</f>
        <v>4167.72</v>
      </c>
      <c r="BB747" s="71">
        <f>IFERROR(__xludf.DUMMYFUNCTION("""COMPUTED_VALUE"""),4167.72)</f>
        <v>4167.72</v>
      </c>
      <c r="BC747" s="71">
        <f>IFERROR(__xludf.DUMMYFUNCTION("""COMPUTED_VALUE"""),4639.0)</f>
        <v>4639</v>
      </c>
      <c r="BD747" s="71">
        <f>IFERROR(__xludf.DUMMYFUNCTION("""COMPUTED_VALUE"""),4871.0)</f>
        <v>4871</v>
      </c>
      <c r="BE747" s="71">
        <f>IFERROR(__xludf.DUMMYFUNCTION("""COMPUTED_VALUE"""),779.36)</f>
        <v>779.36</v>
      </c>
      <c r="BF747" s="71">
        <f>IFERROR(__xludf.DUMMYFUNCTION("""COMPUTED_VALUE"""),5650.36)</f>
        <v>5650.36</v>
      </c>
      <c r="BG747" s="71">
        <f>IFERROR(__xludf.DUMMYFUNCTION("""COMPUTED_VALUE"""),0.050010778184953655)</f>
        <v>0.05001077818</v>
      </c>
      <c r="BH747" s="71">
        <f>IFERROR(__xludf.DUMMYFUNCTION("""COMPUTED_VALUE"""),4627.45)</f>
        <v>4627.45</v>
      </c>
      <c r="BI747" s="71">
        <f>IFERROR(__xludf.DUMMYFUNCTION("""COMPUTED_VALUE"""),740.3919999999999)</f>
        <v>740.392</v>
      </c>
      <c r="BJ747" s="71">
        <f>IFERROR(__xludf.DUMMYFUNCTION("""COMPUTED_VALUE"""),5367.842)</f>
        <v>5367.842</v>
      </c>
      <c r="BK747" s="71">
        <f>IFERROR(__xludf.DUMMYFUNCTION("""COMPUTED_VALUE"""),4383.900000000001)</f>
        <v>4383.9</v>
      </c>
      <c r="BL747" s="71">
        <f>IFERROR(__xludf.DUMMYFUNCTION("""COMPUTED_VALUE"""),701.4240000000001)</f>
        <v>701.424</v>
      </c>
      <c r="BM747" s="71">
        <f>IFERROR(__xludf.DUMMYFUNCTION("""COMPUTED_VALUE"""),5085.3240000000005)</f>
        <v>5085.324</v>
      </c>
      <c r="BN747" s="71">
        <f>IFERROR(__xludf.DUMMYFUNCTION("""COMPUTED_VALUE"""),4140.349999999999)</f>
        <v>4140.35</v>
      </c>
      <c r="BO747" s="71">
        <f>IFERROR(__xludf.DUMMYFUNCTION("""COMPUTED_VALUE"""),662.4559999999999)</f>
        <v>662.456</v>
      </c>
      <c r="BP747" s="71">
        <f>IFERROR(__xludf.DUMMYFUNCTION("""COMPUTED_VALUE"""),4802.806)</f>
        <v>4802.806</v>
      </c>
      <c r="BQ747" s="71">
        <f>IFERROR(__xludf.DUMMYFUNCTION("""COMPUTED_VALUE"""),4042.93)</f>
        <v>4042.93</v>
      </c>
      <c r="BR747" s="71">
        <f>IFERROR(__xludf.DUMMYFUNCTION("""COMPUTED_VALUE"""),646.8688)</f>
        <v>646.8688</v>
      </c>
      <c r="BS747" s="71">
        <f>IFERROR(__xludf.DUMMYFUNCTION("""COMPUTED_VALUE"""),4689.7988)</f>
        <v>4689.7988</v>
      </c>
      <c r="BT747" s="71">
        <f>IFERROR(__xludf.DUMMYFUNCTION("""COMPUTED_VALUE"""),3896.8)</f>
        <v>3896.8</v>
      </c>
      <c r="BU747" s="71">
        <f>IFERROR(__xludf.DUMMYFUNCTION("""COMPUTED_VALUE"""),623.488)</f>
        <v>623.488</v>
      </c>
      <c r="BV747" s="71">
        <f>IFERROR(__xludf.DUMMYFUNCTION("""COMPUTED_VALUE"""),4520.2880000000005)</f>
        <v>4520.288</v>
      </c>
    </row>
    <row r="748">
      <c r="A748" s="53">
        <v>1.0</v>
      </c>
      <c r="B748" s="72"/>
      <c r="C748" s="73" t="s">
        <v>12</v>
      </c>
      <c r="D748" s="74" t="s">
        <v>1799</v>
      </c>
      <c r="E748" s="54" t="s">
        <v>38</v>
      </c>
      <c r="F748" s="54" t="s">
        <v>42</v>
      </c>
      <c r="G748" s="54" t="s">
        <v>1800</v>
      </c>
      <c r="H748" s="54" t="s">
        <v>1801</v>
      </c>
      <c r="I748" s="54">
        <f t="shared" si="24"/>
        <v>26</v>
      </c>
      <c r="J748" s="56"/>
      <c r="K748" s="75"/>
      <c r="L748" s="76"/>
      <c r="M748" s="59"/>
      <c r="N748" s="60">
        <v>112.0</v>
      </c>
      <c r="O748" s="61">
        <v>120.0</v>
      </c>
      <c r="P748" s="62">
        <v>129.60000000000002</v>
      </c>
      <c r="Q748" s="63">
        <v>129.60000000000002</v>
      </c>
      <c r="R748" s="64">
        <v>150.0</v>
      </c>
      <c r="S748" s="111">
        <v>158.0</v>
      </c>
      <c r="T748" s="65">
        <f t="shared" si="2"/>
        <v>25.28</v>
      </c>
      <c r="U748" s="65">
        <f t="shared" si="3"/>
        <v>183.28</v>
      </c>
      <c r="V748" s="66">
        <f t="shared" si="4"/>
        <v>0.05333333333</v>
      </c>
      <c r="W748" s="67">
        <f t="shared" si="5"/>
        <v>150.1</v>
      </c>
      <c r="X748" s="67">
        <f t="shared" si="6"/>
        <v>24.016</v>
      </c>
      <c r="Y748" s="67">
        <f t="shared" si="7"/>
        <v>174.116</v>
      </c>
      <c r="Z748" s="67">
        <f t="shared" si="8"/>
        <v>142.2</v>
      </c>
      <c r="AA748" s="67">
        <f t="shared" si="9"/>
        <v>22.752</v>
      </c>
      <c r="AB748" s="67">
        <f t="shared" si="10"/>
        <v>164.952</v>
      </c>
      <c r="AC748" s="67">
        <f t="shared" si="11"/>
        <v>134.3</v>
      </c>
      <c r="AD748" s="67">
        <f t="shared" si="12"/>
        <v>21.488</v>
      </c>
      <c r="AE748" s="67">
        <f t="shared" si="13"/>
        <v>155.788</v>
      </c>
      <c r="AF748" s="67">
        <f t="shared" si="33"/>
        <v>131.14</v>
      </c>
      <c r="AG748" s="67">
        <f t="shared" si="15"/>
        <v>20.9824</v>
      </c>
      <c r="AH748" s="67">
        <f t="shared" si="16"/>
        <v>152.1224</v>
      </c>
      <c r="AI748" s="67">
        <f t="shared" si="17"/>
        <v>126.4</v>
      </c>
      <c r="AJ748" s="68">
        <f t="shared" si="31"/>
        <v>20.224</v>
      </c>
      <c r="AK748" s="68">
        <f t="shared" si="32"/>
        <v>146.624</v>
      </c>
      <c r="AL748" s="70">
        <f>IFERROR(__xludf.DUMMYFUNCTION("""COMPUTED_VALUE"""),1.0)</f>
        <v>1</v>
      </c>
      <c r="AM748" s="70"/>
      <c r="AN748" s="71" t="str">
        <f>IFERROR(__xludf.DUMMYFUNCTION("""COMPUTED_VALUE""")," CP")</f>
        <v>CP</v>
      </c>
      <c r="AO748" s="71" t="str">
        <f>IFERROR(__xludf.DUMMYFUNCTION("""COMPUTED_VALUE""")," JG31")</f>
        <v>JG31</v>
      </c>
      <c r="AP748" s="71" t="str">
        <f>IFERROR(__xludf.DUMMYFUNCTION("""COMPUTED_VALUE""")," JGO")</f>
        <v>JGO</v>
      </c>
      <c r="AQ748" s="71" t="str">
        <f>IFERROR(__xludf.DUMMYFUNCTION("""COMPUTED_VALUE""")," REF")</f>
        <v>REF</v>
      </c>
      <c r="AR748" s="71" t="str">
        <f>IFERROR(__xludf.DUMMYFUNCTION("""COMPUTED_VALUE""")," JUEGO DE RIELES PARA CHASIS TV-40")</f>
        <v>JUEGO DE RIELES PARA CHASIS TV-40</v>
      </c>
      <c r="AS748" s="71" t="str">
        <f>IFERROR(__xludf.DUMMYFUNCTION("""COMPUTED_VALUE""")," JUEGO RIELES P/CHASIS TV40")</f>
        <v>JUEGO RIELES P/CHASIS TV40</v>
      </c>
      <c r="AT748" s="71">
        <f>IFERROR(__xludf.DUMMYFUNCTION("""COMPUTED_VALUE"""),26.0)</f>
        <v>26</v>
      </c>
      <c r="AU748" s="71"/>
      <c r="AV748" s="71"/>
      <c r="AW748" s="71"/>
      <c r="AX748" s="71"/>
      <c r="AY748" s="71">
        <f>IFERROR(__xludf.DUMMYFUNCTION("""COMPUTED_VALUE"""),4019.0)</f>
        <v>4019</v>
      </c>
      <c r="AZ748" s="71">
        <f>IFERROR(__xludf.DUMMYFUNCTION("""COMPUTED_VALUE"""),4340.0)</f>
        <v>4340</v>
      </c>
      <c r="BA748" s="71">
        <f>IFERROR(__xludf.DUMMYFUNCTION("""COMPUTED_VALUE"""),4687.200000000001)</f>
        <v>4687.2</v>
      </c>
      <c r="BB748" s="71">
        <f>IFERROR(__xludf.DUMMYFUNCTION("""COMPUTED_VALUE"""),4687.200000000001)</f>
        <v>4687.2</v>
      </c>
      <c r="BC748" s="71">
        <f>IFERROR(__xludf.DUMMYFUNCTION("""COMPUTED_VALUE"""),5218.0)</f>
        <v>5218</v>
      </c>
      <c r="BD748" s="71">
        <f>IFERROR(__xludf.DUMMYFUNCTION("""COMPUTED_VALUE"""),5479.0)</f>
        <v>5479</v>
      </c>
      <c r="BE748" s="71">
        <f>IFERROR(__xludf.DUMMYFUNCTION("""COMPUTED_VALUE"""),876.64)</f>
        <v>876.64</v>
      </c>
      <c r="BF748" s="71">
        <f>IFERROR(__xludf.DUMMYFUNCTION("""COMPUTED_VALUE"""),6355.64)</f>
        <v>6355.64</v>
      </c>
      <c r="BG748" s="71">
        <f>IFERROR(__xludf.DUMMYFUNCTION("""COMPUTED_VALUE"""),0.0500191644308164)</f>
        <v>0.05001916443</v>
      </c>
      <c r="BH748" s="71">
        <f>IFERROR(__xludf.DUMMYFUNCTION("""COMPUTED_VALUE"""),5205.05)</f>
        <v>5205.05</v>
      </c>
      <c r="BI748" s="71">
        <f>IFERROR(__xludf.DUMMYFUNCTION("""COMPUTED_VALUE"""),832.808)</f>
        <v>832.808</v>
      </c>
      <c r="BJ748" s="71">
        <f>IFERROR(__xludf.DUMMYFUNCTION("""COMPUTED_VALUE"""),6037.858)</f>
        <v>6037.858</v>
      </c>
      <c r="BK748" s="71">
        <f>IFERROR(__xludf.DUMMYFUNCTION("""COMPUTED_VALUE"""),4931.1)</f>
        <v>4931.1</v>
      </c>
      <c r="BL748" s="71">
        <f>IFERROR(__xludf.DUMMYFUNCTION("""COMPUTED_VALUE"""),788.9760000000001)</f>
        <v>788.976</v>
      </c>
      <c r="BM748" s="71">
        <f>IFERROR(__xludf.DUMMYFUNCTION("""COMPUTED_VALUE"""),5720.076000000001)</f>
        <v>5720.076</v>
      </c>
      <c r="BN748" s="71">
        <f>IFERROR(__xludf.DUMMYFUNCTION("""COMPUTED_VALUE"""),4657.15)</f>
        <v>4657.15</v>
      </c>
      <c r="BO748" s="71">
        <f>IFERROR(__xludf.DUMMYFUNCTION("""COMPUTED_VALUE"""),745.144)</f>
        <v>745.144</v>
      </c>
      <c r="BP748" s="71">
        <f>IFERROR(__xludf.DUMMYFUNCTION("""COMPUTED_VALUE"""),5402.294)</f>
        <v>5402.294</v>
      </c>
      <c r="BQ748" s="71">
        <f>IFERROR(__xludf.DUMMYFUNCTION("""COMPUTED_VALUE"""),4547.57)</f>
        <v>4547.57</v>
      </c>
      <c r="BR748" s="71">
        <f>IFERROR(__xludf.DUMMYFUNCTION("""COMPUTED_VALUE"""),727.6111999999999)</f>
        <v>727.6112</v>
      </c>
      <c r="BS748" s="71">
        <f>IFERROR(__xludf.DUMMYFUNCTION("""COMPUTED_VALUE"""),5275.1812)</f>
        <v>5275.1812</v>
      </c>
      <c r="BT748" s="71">
        <f>IFERROR(__xludf.DUMMYFUNCTION("""COMPUTED_VALUE"""),4383.2)</f>
        <v>4383.2</v>
      </c>
      <c r="BU748" s="71">
        <f>IFERROR(__xludf.DUMMYFUNCTION("""COMPUTED_VALUE"""),701.312)</f>
        <v>701.312</v>
      </c>
      <c r="BV748" s="71">
        <f>IFERROR(__xludf.DUMMYFUNCTION("""COMPUTED_VALUE"""),5084.512)</f>
        <v>5084.512</v>
      </c>
    </row>
    <row r="749">
      <c r="A749" s="53">
        <v>1.0</v>
      </c>
      <c r="B749" s="72"/>
      <c r="C749" s="73" t="s">
        <v>12</v>
      </c>
      <c r="D749" s="74" t="s">
        <v>1802</v>
      </c>
      <c r="E749" s="54" t="s">
        <v>38</v>
      </c>
      <c r="F749" s="54" t="s">
        <v>42</v>
      </c>
      <c r="G749" s="54" t="s">
        <v>1803</v>
      </c>
      <c r="H749" s="54" t="s">
        <v>1804</v>
      </c>
      <c r="I749" s="54">
        <f t="shared" si="24"/>
        <v>30</v>
      </c>
      <c r="J749" s="56"/>
      <c r="K749" s="75"/>
      <c r="L749" s="76"/>
      <c r="M749" s="59"/>
      <c r="N749" s="60">
        <v>160.0</v>
      </c>
      <c r="O749" s="61">
        <v>202.0</v>
      </c>
      <c r="P749" s="62">
        <v>218.16000000000003</v>
      </c>
      <c r="Q749" s="63">
        <v>218.16000000000003</v>
      </c>
      <c r="R749" s="64">
        <v>251.0</v>
      </c>
      <c r="S749" s="111">
        <v>264.0</v>
      </c>
      <c r="T749" s="65">
        <f t="shared" si="2"/>
        <v>42.24</v>
      </c>
      <c r="U749" s="65">
        <f t="shared" si="3"/>
        <v>306.24</v>
      </c>
      <c r="V749" s="66">
        <f t="shared" si="4"/>
        <v>0.05179282869</v>
      </c>
      <c r="W749" s="67">
        <f t="shared" si="5"/>
        <v>250.8</v>
      </c>
      <c r="X749" s="67">
        <f t="shared" si="6"/>
        <v>40.128</v>
      </c>
      <c r="Y749" s="67">
        <f t="shared" si="7"/>
        <v>290.928</v>
      </c>
      <c r="Z749" s="67">
        <f t="shared" si="8"/>
        <v>237.6</v>
      </c>
      <c r="AA749" s="67">
        <f t="shared" si="9"/>
        <v>38.016</v>
      </c>
      <c r="AB749" s="67">
        <f t="shared" si="10"/>
        <v>275.616</v>
      </c>
      <c r="AC749" s="67">
        <f t="shared" si="11"/>
        <v>224.4</v>
      </c>
      <c r="AD749" s="67">
        <f t="shared" si="12"/>
        <v>35.904</v>
      </c>
      <c r="AE749" s="67">
        <f t="shared" si="13"/>
        <v>260.304</v>
      </c>
      <c r="AF749" s="67">
        <f t="shared" si="33"/>
        <v>219.12</v>
      </c>
      <c r="AG749" s="67">
        <f t="shared" si="15"/>
        <v>35.0592</v>
      </c>
      <c r="AH749" s="67">
        <f t="shared" si="16"/>
        <v>254.1792</v>
      </c>
      <c r="AI749" s="67">
        <f t="shared" si="17"/>
        <v>211.2</v>
      </c>
      <c r="AJ749" s="68">
        <f t="shared" si="31"/>
        <v>33.792</v>
      </c>
      <c r="AK749" s="68">
        <f t="shared" si="32"/>
        <v>244.992</v>
      </c>
      <c r="AL749" s="70">
        <f>IFERROR(__xludf.DUMMYFUNCTION("""COMPUTED_VALUE"""),1.0)</f>
        <v>1</v>
      </c>
      <c r="AM749" s="70"/>
      <c r="AN749" s="71" t="str">
        <f>IFERROR(__xludf.DUMMYFUNCTION("""COMPUTED_VALUE""")," CP")</f>
        <v>CP</v>
      </c>
      <c r="AO749" s="71" t="str">
        <f>IFERROR(__xludf.DUMMYFUNCTION("""COMPUTED_VALUE""")," JG32")</f>
        <v>JG32</v>
      </c>
      <c r="AP749" s="71" t="str">
        <f>IFERROR(__xludf.DUMMYFUNCTION("""COMPUTED_VALUE""")," JGO")</f>
        <v>JGO</v>
      </c>
      <c r="AQ749" s="71" t="str">
        <f>IFERROR(__xludf.DUMMYFUNCTION("""COMPUTED_VALUE""")," REF")</f>
        <v>REF</v>
      </c>
      <c r="AR749" s="71" t="str">
        <f>IFERROR(__xludf.DUMMYFUNCTION("""COMPUTED_VALUE""")," JUEGO DE RIELES SENCILLO CON ABRAZADERAS PARA CHASIS MODELO ANTERIOR")</f>
        <v>JUEGO DE RIELES SENCILLO CON ABRAZADERAS PARA CHASIS MODELO ANTERIOR</v>
      </c>
      <c r="AS749" s="71" t="str">
        <f>IFERROR(__xludf.DUMMYFUNCTION("""COMPUTED_VALUE""")," JUEGO RIELES SENC C/ABRAZAD P/CHASIS MA")</f>
        <v>JUEGO RIELES SENC C/ABRAZAD P/CHASIS MA</v>
      </c>
      <c r="AT749" s="71">
        <f>IFERROR(__xludf.DUMMYFUNCTION("""COMPUTED_VALUE"""),39.0)</f>
        <v>39</v>
      </c>
      <c r="AU749" s="71"/>
      <c r="AV749" s="71"/>
      <c r="AW749" s="71"/>
      <c r="AX749" s="71"/>
      <c r="AY749" s="71">
        <f>IFERROR(__xludf.DUMMYFUNCTION("""COMPUTED_VALUE"""),1013.0)</f>
        <v>1013</v>
      </c>
      <c r="AZ749" s="71">
        <f>IFERROR(__xludf.DUMMYFUNCTION("""COMPUTED_VALUE"""),1094.0)</f>
        <v>1094</v>
      </c>
      <c r="BA749" s="71">
        <f>IFERROR(__xludf.DUMMYFUNCTION("""COMPUTED_VALUE"""),1181.52)</f>
        <v>1181.52</v>
      </c>
      <c r="BB749" s="71">
        <f>IFERROR(__xludf.DUMMYFUNCTION("""COMPUTED_VALUE"""),1181.52)</f>
        <v>1181.52</v>
      </c>
      <c r="BC749" s="71">
        <f>IFERROR(__xludf.DUMMYFUNCTION("""COMPUTED_VALUE"""),1316.0)</f>
        <v>1316</v>
      </c>
      <c r="BD749" s="71">
        <f>IFERROR(__xludf.DUMMYFUNCTION("""COMPUTED_VALUE"""),1382.0)</f>
        <v>1382</v>
      </c>
      <c r="BE749" s="71">
        <f>IFERROR(__xludf.DUMMYFUNCTION("""COMPUTED_VALUE"""),221.12)</f>
        <v>221.12</v>
      </c>
      <c r="BF749" s="71">
        <f>IFERROR(__xludf.DUMMYFUNCTION("""COMPUTED_VALUE"""),1603.12)</f>
        <v>1603.12</v>
      </c>
      <c r="BG749" s="71">
        <f>IFERROR(__xludf.DUMMYFUNCTION("""COMPUTED_VALUE"""),0.05015197568389058)</f>
        <v>0.05015197568</v>
      </c>
      <c r="BH749" s="71">
        <f>IFERROR(__xludf.DUMMYFUNCTION("""COMPUTED_VALUE"""),1312.8999999999999)</f>
        <v>1312.9</v>
      </c>
      <c r="BI749" s="71">
        <f>IFERROR(__xludf.DUMMYFUNCTION("""COMPUTED_VALUE"""),210.064)</f>
        <v>210.064</v>
      </c>
      <c r="BJ749" s="71">
        <f>IFERROR(__xludf.DUMMYFUNCTION("""COMPUTED_VALUE"""),1522.964)</f>
        <v>1522.964</v>
      </c>
      <c r="BK749" s="71">
        <f>IFERROR(__xludf.DUMMYFUNCTION("""COMPUTED_VALUE"""),1243.8)</f>
        <v>1243.8</v>
      </c>
      <c r="BL749" s="71">
        <f>IFERROR(__xludf.DUMMYFUNCTION("""COMPUTED_VALUE"""),199.008)</f>
        <v>199.008</v>
      </c>
      <c r="BM749" s="71">
        <f>IFERROR(__xludf.DUMMYFUNCTION("""COMPUTED_VALUE"""),1442.808)</f>
        <v>1442.808</v>
      </c>
      <c r="BN749" s="71">
        <f>IFERROR(__xludf.DUMMYFUNCTION("""COMPUTED_VALUE"""),1174.7)</f>
        <v>1174.7</v>
      </c>
      <c r="BO749" s="71">
        <f>IFERROR(__xludf.DUMMYFUNCTION("""COMPUTED_VALUE"""),187.952)</f>
        <v>187.952</v>
      </c>
      <c r="BP749" s="71">
        <f>IFERROR(__xludf.DUMMYFUNCTION("""COMPUTED_VALUE"""),1362.652)</f>
        <v>1362.652</v>
      </c>
      <c r="BQ749" s="71">
        <f>IFERROR(__xludf.DUMMYFUNCTION("""COMPUTED_VALUE"""),1147.06)</f>
        <v>1147.06</v>
      </c>
      <c r="BR749" s="71">
        <f>IFERROR(__xludf.DUMMYFUNCTION("""COMPUTED_VALUE"""),183.5296)</f>
        <v>183.5296</v>
      </c>
      <c r="BS749" s="71">
        <f>IFERROR(__xludf.DUMMYFUNCTION("""COMPUTED_VALUE"""),1330.5896)</f>
        <v>1330.5896</v>
      </c>
      <c r="BT749" s="71">
        <f>IFERROR(__xludf.DUMMYFUNCTION("""COMPUTED_VALUE"""),1105.6000000000001)</f>
        <v>1105.6</v>
      </c>
      <c r="BU749" s="71">
        <f>IFERROR(__xludf.DUMMYFUNCTION("""COMPUTED_VALUE"""),176.89600000000002)</f>
        <v>176.896</v>
      </c>
      <c r="BV749" s="71">
        <f>IFERROR(__xludf.DUMMYFUNCTION("""COMPUTED_VALUE"""),1282.496)</f>
        <v>1282.496</v>
      </c>
    </row>
    <row r="750">
      <c r="A750" s="53">
        <v>1.0</v>
      </c>
      <c r="B750" s="72"/>
      <c r="C750" s="73" t="s">
        <v>12</v>
      </c>
      <c r="D750" s="74" t="s">
        <v>1805</v>
      </c>
      <c r="E750" s="54" t="s">
        <v>38</v>
      </c>
      <c r="F750" s="54" t="s">
        <v>42</v>
      </c>
      <c r="G750" s="54" t="s">
        <v>1806</v>
      </c>
      <c r="H750" s="54" t="s">
        <v>1807</v>
      </c>
      <c r="I750" s="54">
        <f t="shared" si="24"/>
        <v>28</v>
      </c>
      <c r="J750" s="56"/>
      <c r="K750" s="75"/>
      <c r="L750" s="76"/>
      <c r="M750" s="59"/>
      <c r="N750" s="60">
        <v>110.0</v>
      </c>
      <c r="O750" s="61">
        <v>118.0</v>
      </c>
      <c r="P750" s="62">
        <v>127.44000000000001</v>
      </c>
      <c r="Q750" s="63">
        <v>127.44000000000001</v>
      </c>
      <c r="R750" s="64">
        <v>147.0</v>
      </c>
      <c r="S750" s="111">
        <v>154.0</v>
      </c>
      <c r="T750" s="65">
        <f t="shared" si="2"/>
        <v>24.64</v>
      </c>
      <c r="U750" s="65">
        <f t="shared" si="3"/>
        <v>178.64</v>
      </c>
      <c r="V750" s="66">
        <f t="shared" si="4"/>
        <v>0.04761904762</v>
      </c>
      <c r="W750" s="67">
        <f t="shared" si="5"/>
        <v>146.3</v>
      </c>
      <c r="X750" s="67">
        <f t="shared" si="6"/>
        <v>23.408</v>
      </c>
      <c r="Y750" s="67">
        <f t="shared" si="7"/>
        <v>169.708</v>
      </c>
      <c r="Z750" s="67">
        <f t="shared" si="8"/>
        <v>138.6</v>
      </c>
      <c r="AA750" s="67">
        <f t="shared" si="9"/>
        <v>22.176</v>
      </c>
      <c r="AB750" s="67">
        <f t="shared" si="10"/>
        <v>160.776</v>
      </c>
      <c r="AC750" s="67">
        <f t="shared" si="11"/>
        <v>130.9</v>
      </c>
      <c r="AD750" s="67">
        <f t="shared" si="12"/>
        <v>20.944</v>
      </c>
      <c r="AE750" s="67">
        <f t="shared" si="13"/>
        <v>151.844</v>
      </c>
      <c r="AF750" s="67">
        <f t="shared" si="33"/>
        <v>127.82</v>
      </c>
      <c r="AG750" s="67">
        <f t="shared" si="15"/>
        <v>20.4512</v>
      </c>
      <c r="AH750" s="67">
        <f t="shared" si="16"/>
        <v>148.2712</v>
      </c>
      <c r="AI750" s="67">
        <f t="shared" si="17"/>
        <v>123.2</v>
      </c>
      <c r="AJ750" s="68">
        <f t="shared" si="31"/>
        <v>19.712</v>
      </c>
      <c r="AK750" s="68">
        <f t="shared" si="32"/>
        <v>142.912</v>
      </c>
      <c r="AL750" s="70">
        <f>IFERROR(__xludf.DUMMYFUNCTION("""COMPUTED_VALUE"""),1.0)</f>
        <v>1</v>
      </c>
      <c r="AM750" s="70">
        <f>IFERROR(__xludf.DUMMYFUNCTION("""COMPUTED_VALUE"""),4.0)</f>
        <v>4</v>
      </c>
      <c r="AN750" s="71" t="str">
        <f>IFERROR(__xludf.DUMMYFUNCTION("""COMPUTED_VALUE""")," CP")</f>
        <v>CP</v>
      </c>
      <c r="AO750" s="71" t="str">
        <f>IFERROR(__xludf.DUMMYFUNCTION("""COMPUTED_VALUE""")," JG34")</f>
        <v>JG34</v>
      </c>
      <c r="AP750" s="71" t="str">
        <f>IFERROR(__xludf.DUMMYFUNCTION("""COMPUTED_VALUE""")," JGO")</f>
        <v>JGO</v>
      </c>
      <c r="AQ750" s="71" t="str">
        <f>IFERROR(__xludf.DUMMYFUNCTION("""COMPUTED_VALUE""")," REF")</f>
        <v>REF</v>
      </c>
      <c r="AR750" s="71" t="str">
        <f>IFERROR(__xludf.DUMMYFUNCTION("""COMPUTED_VALUE""")," JUEGO DE RIELES SENCILLO PARA CHASIS (B.C.)")</f>
        <v>JUEGO DE RIELES SENCILLO PARA CHASIS (B.C.)</v>
      </c>
      <c r="AS750" s="71" t="str">
        <f>IFERROR(__xludf.DUMMYFUNCTION("""COMPUTED_VALUE""")," JUEGO RIELES SENCILLO PARA CHASIS BC")</f>
        <v>JUEGO RIELES SENCILLO PARA CHASIS BC</v>
      </c>
      <c r="AT750" s="71">
        <f>IFERROR(__xludf.DUMMYFUNCTION("""COMPUTED_VALUE"""),36.0)</f>
        <v>36</v>
      </c>
      <c r="AU750" s="71"/>
      <c r="AV750" s="71"/>
      <c r="AW750" s="71"/>
      <c r="AX750" s="71"/>
      <c r="AY750" s="71">
        <f>IFERROR(__xludf.DUMMYFUNCTION("""COMPUTED_VALUE"""),3046.0)</f>
        <v>3046</v>
      </c>
      <c r="AZ750" s="71">
        <f>IFERROR(__xludf.DUMMYFUNCTION("""COMPUTED_VALUE"""),3421.0)</f>
        <v>3421</v>
      </c>
      <c r="BA750" s="71">
        <f>IFERROR(__xludf.DUMMYFUNCTION("""COMPUTED_VALUE"""),4740.2)</f>
        <v>4740.2</v>
      </c>
      <c r="BB750" s="71">
        <f>IFERROR(__xludf.DUMMYFUNCTION("""COMPUTED_VALUE"""),4740.2)</f>
        <v>4740.2</v>
      </c>
      <c r="BC750" s="71">
        <f>IFERROR(__xludf.DUMMYFUNCTION("""COMPUTED_VALUE"""),5339.0)</f>
        <v>5339</v>
      </c>
      <c r="BD750" s="71">
        <f>IFERROR(__xludf.DUMMYFUNCTION("""COMPUTED_VALUE"""),5606.0)</f>
        <v>5606</v>
      </c>
      <c r="BE750" s="71">
        <f>IFERROR(__xludf.DUMMYFUNCTION("""COMPUTED_VALUE"""),896.96)</f>
        <v>896.96</v>
      </c>
      <c r="BF750" s="71">
        <f>IFERROR(__xludf.DUMMYFUNCTION("""COMPUTED_VALUE"""),6502.96)</f>
        <v>6502.96</v>
      </c>
      <c r="BG750" s="71">
        <f>IFERROR(__xludf.DUMMYFUNCTION("""COMPUTED_VALUE"""),0.05000936504963476)</f>
        <v>0.05000936505</v>
      </c>
      <c r="BH750" s="71">
        <f>IFERROR(__xludf.DUMMYFUNCTION("""COMPUTED_VALUE"""),5606.0)</f>
        <v>5606</v>
      </c>
      <c r="BI750" s="71">
        <f>IFERROR(__xludf.DUMMYFUNCTION("""COMPUTED_VALUE"""),896.96)</f>
        <v>896.96</v>
      </c>
      <c r="BJ750" s="71">
        <f>IFERROR(__xludf.DUMMYFUNCTION("""COMPUTED_VALUE"""),6502.96)</f>
        <v>6502.96</v>
      </c>
      <c r="BK750" s="71">
        <f>IFERROR(__xludf.DUMMYFUNCTION("""COMPUTED_VALUE"""),5606.0)</f>
        <v>5606</v>
      </c>
      <c r="BL750" s="71">
        <f>IFERROR(__xludf.DUMMYFUNCTION("""COMPUTED_VALUE"""),896.96)</f>
        <v>896.96</v>
      </c>
      <c r="BM750" s="71">
        <f>IFERROR(__xludf.DUMMYFUNCTION("""COMPUTED_VALUE"""),6502.96)</f>
        <v>6502.96</v>
      </c>
      <c r="BN750" s="71">
        <f>IFERROR(__xludf.DUMMYFUNCTION("""COMPUTED_VALUE"""),5606.0)</f>
        <v>5606</v>
      </c>
      <c r="BO750" s="71">
        <f>IFERROR(__xludf.DUMMYFUNCTION("""COMPUTED_VALUE"""),896.96)</f>
        <v>896.96</v>
      </c>
      <c r="BP750" s="71">
        <f>IFERROR(__xludf.DUMMYFUNCTION("""COMPUTED_VALUE"""),6502.96)</f>
        <v>6502.96</v>
      </c>
      <c r="BQ750" s="71">
        <f>IFERROR(__xludf.DUMMYFUNCTION("""COMPUTED_VALUE"""),5606.0)</f>
        <v>5606</v>
      </c>
      <c r="BR750" s="71">
        <f>IFERROR(__xludf.DUMMYFUNCTION("""COMPUTED_VALUE"""),896.96)</f>
        <v>896.96</v>
      </c>
      <c r="BS750" s="71">
        <f>IFERROR(__xludf.DUMMYFUNCTION("""COMPUTED_VALUE"""),6502.96)</f>
        <v>6502.96</v>
      </c>
      <c r="BT750" s="71">
        <f>IFERROR(__xludf.DUMMYFUNCTION("""COMPUTED_VALUE"""),5606.0)</f>
        <v>5606</v>
      </c>
      <c r="BU750" s="71">
        <f>IFERROR(__xludf.DUMMYFUNCTION("""COMPUTED_VALUE"""),896.96)</f>
        <v>896.96</v>
      </c>
      <c r="BV750" s="71">
        <f>IFERROR(__xludf.DUMMYFUNCTION("""COMPUTED_VALUE"""),6502.96)</f>
        <v>6502.96</v>
      </c>
    </row>
    <row r="751">
      <c r="A751" s="53"/>
      <c r="B751" s="53"/>
      <c r="C751" s="73" t="s">
        <v>12</v>
      </c>
      <c r="D751" s="53" t="s">
        <v>1808</v>
      </c>
      <c r="E751" s="54" t="s">
        <v>38</v>
      </c>
      <c r="F751" s="54" t="s">
        <v>42</v>
      </c>
      <c r="G751" s="55" t="s">
        <v>1809</v>
      </c>
      <c r="H751" s="54" t="s">
        <v>1810</v>
      </c>
      <c r="I751" s="54">
        <f t="shared" si="24"/>
        <v>38</v>
      </c>
      <c r="J751" s="56"/>
      <c r="K751" s="75"/>
      <c r="L751" s="76"/>
      <c r="M751" s="59"/>
      <c r="N751" s="79">
        <v>128.0</v>
      </c>
      <c r="O751" s="61">
        <v>138.0</v>
      </c>
      <c r="P751" s="63">
        <v>149.04000000000002</v>
      </c>
      <c r="Q751" s="63">
        <v>149.04000000000002</v>
      </c>
      <c r="R751" s="64">
        <v>161.0</v>
      </c>
      <c r="S751" s="111">
        <v>169.0</v>
      </c>
      <c r="T751" s="65">
        <f t="shared" si="2"/>
        <v>27.04</v>
      </c>
      <c r="U751" s="65">
        <f t="shared" si="3"/>
        <v>196.04</v>
      </c>
      <c r="V751" s="66">
        <f t="shared" si="4"/>
        <v>0.04968944099</v>
      </c>
      <c r="W751" s="67">
        <f t="shared" si="5"/>
        <v>160.55</v>
      </c>
      <c r="X751" s="67">
        <f t="shared" si="6"/>
        <v>25.688</v>
      </c>
      <c r="Y751" s="67">
        <f t="shared" si="7"/>
        <v>186.238</v>
      </c>
      <c r="Z751" s="67">
        <f t="shared" si="8"/>
        <v>152.1</v>
      </c>
      <c r="AA751" s="67">
        <f t="shared" si="9"/>
        <v>24.336</v>
      </c>
      <c r="AB751" s="67">
        <f t="shared" si="10"/>
        <v>176.436</v>
      </c>
      <c r="AC751" s="67">
        <f t="shared" si="11"/>
        <v>143.65</v>
      </c>
      <c r="AD751" s="67">
        <f t="shared" si="12"/>
        <v>22.984</v>
      </c>
      <c r="AE751" s="67">
        <f t="shared" si="13"/>
        <v>166.634</v>
      </c>
      <c r="AF751" s="67">
        <f t="shared" si="33"/>
        <v>140.27</v>
      </c>
      <c r="AG751" s="67">
        <f t="shared" si="15"/>
        <v>22.4432</v>
      </c>
      <c r="AH751" s="67">
        <f t="shared" si="16"/>
        <v>162.7132</v>
      </c>
      <c r="AI751" s="67">
        <f t="shared" si="17"/>
        <v>135.2</v>
      </c>
      <c r="AJ751" s="68">
        <f t="shared" si="31"/>
        <v>21.632</v>
      </c>
      <c r="AK751" s="68">
        <f t="shared" si="32"/>
        <v>156.832</v>
      </c>
      <c r="AL751" s="70">
        <f>IFERROR(__xludf.DUMMYFUNCTION("""COMPUTED_VALUE"""),1.0)</f>
        <v>1</v>
      </c>
      <c r="AM751" s="70"/>
      <c r="AN751" s="71" t="str">
        <f>IFERROR(__xludf.DUMMYFUNCTION("""COMPUTED_VALUE""")," CP")</f>
        <v>CP</v>
      </c>
      <c r="AO751" s="71" t="str">
        <f>IFERROR(__xludf.DUMMYFUNCTION("""COMPUTED_VALUE""")," JG33")</f>
        <v>JG33</v>
      </c>
      <c r="AP751" s="71" t="str">
        <f>IFERROR(__xludf.DUMMYFUNCTION("""COMPUTED_VALUE""")," JGO")</f>
        <v>JGO</v>
      </c>
      <c r="AQ751" s="71" t="str">
        <f>IFERROR(__xludf.DUMMYFUNCTION("""COMPUTED_VALUE""")," REF")</f>
        <v>REF</v>
      </c>
      <c r="AR751" s="71" t="str">
        <f>IFERROR(__xludf.DUMMYFUNCTION("""COMPUTED_VALUE""")," JUEGO DE RIELES SENCILLO PARA CHASIS TV-50 y B.C.")</f>
        <v>JUEGO DE RIELES SENCILLO PARA CHASIS TV-50 y B.C.</v>
      </c>
      <c r="AS751" s="71" t="str">
        <f>IFERROR(__xludf.DUMMYFUNCTION("""COMPUTED_VALUE""")," JUEGO RIELES SENC P/CHASIS TV-50/BC")</f>
        <v>JUEGO RIELES SENC P/CHASIS TV-50/BC</v>
      </c>
      <c r="AT751" s="71">
        <f>IFERROR(__xludf.DUMMYFUNCTION("""COMPUTED_VALUE"""),35.0)</f>
        <v>35</v>
      </c>
      <c r="AU751" s="71"/>
      <c r="AV751" s="71"/>
      <c r="AW751" s="71"/>
      <c r="AX751" s="71"/>
      <c r="AY751" s="71">
        <f>IFERROR(__xludf.DUMMYFUNCTION("""COMPUTED_VALUE"""),4877.0)</f>
        <v>4877</v>
      </c>
      <c r="AZ751" s="71">
        <f>IFERROR(__xludf.DUMMYFUNCTION("""COMPUTED_VALUE"""),5267.0)</f>
        <v>5267</v>
      </c>
      <c r="BA751" s="71">
        <f>IFERROR(__xludf.DUMMYFUNCTION("""COMPUTED_VALUE"""),5688.360000000001)</f>
        <v>5688.36</v>
      </c>
      <c r="BB751" s="71">
        <f>IFERROR(__xludf.DUMMYFUNCTION("""COMPUTED_VALUE"""),5688.360000000001)</f>
        <v>5688.36</v>
      </c>
      <c r="BC751" s="71">
        <f>IFERROR(__xludf.DUMMYFUNCTION("""COMPUTED_VALUE"""),6332.0)</f>
        <v>6332</v>
      </c>
      <c r="BD751" s="71">
        <f>IFERROR(__xludf.DUMMYFUNCTION("""COMPUTED_VALUE"""),6649.0)</f>
        <v>6649</v>
      </c>
      <c r="BE751" s="71">
        <f>IFERROR(__xludf.DUMMYFUNCTION("""COMPUTED_VALUE"""),1063.84)</f>
        <v>1063.84</v>
      </c>
      <c r="BF751" s="71">
        <f>IFERROR(__xludf.DUMMYFUNCTION("""COMPUTED_VALUE"""),7712.84)</f>
        <v>7712.84</v>
      </c>
      <c r="BG751" s="71">
        <f>IFERROR(__xludf.DUMMYFUNCTION("""COMPUTED_VALUE"""),0.050063171193935566)</f>
        <v>0.05006317119</v>
      </c>
      <c r="BH751" s="71">
        <f>IFERROR(__xludf.DUMMYFUNCTION("""COMPUTED_VALUE"""),6316.549999999999)</f>
        <v>6316.55</v>
      </c>
      <c r="BI751" s="71">
        <f>IFERROR(__xludf.DUMMYFUNCTION("""COMPUTED_VALUE"""),1010.6479999999999)</f>
        <v>1010.648</v>
      </c>
      <c r="BJ751" s="71">
        <f>IFERROR(__xludf.DUMMYFUNCTION("""COMPUTED_VALUE"""),7327.197999999999)</f>
        <v>7327.198</v>
      </c>
      <c r="BK751" s="71">
        <f>IFERROR(__xludf.DUMMYFUNCTION("""COMPUTED_VALUE"""),5984.1)</f>
        <v>5984.1</v>
      </c>
      <c r="BL751" s="71">
        <f>IFERROR(__xludf.DUMMYFUNCTION("""COMPUTED_VALUE"""),957.4560000000001)</f>
        <v>957.456</v>
      </c>
      <c r="BM751" s="71">
        <f>IFERROR(__xludf.DUMMYFUNCTION("""COMPUTED_VALUE"""),6941.5560000000005)</f>
        <v>6941.556</v>
      </c>
      <c r="BN751" s="71">
        <f>IFERROR(__xludf.DUMMYFUNCTION("""COMPUTED_VALUE"""),5651.65)</f>
        <v>5651.65</v>
      </c>
      <c r="BO751" s="71">
        <f>IFERROR(__xludf.DUMMYFUNCTION("""COMPUTED_VALUE"""),904.264)</f>
        <v>904.264</v>
      </c>
      <c r="BP751" s="71">
        <f>IFERROR(__xludf.DUMMYFUNCTION("""COMPUTED_VALUE"""),6555.914)</f>
        <v>6555.914</v>
      </c>
      <c r="BQ751" s="71">
        <f>IFERROR(__xludf.DUMMYFUNCTION("""COMPUTED_VALUE"""),5518.67)</f>
        <v>5518.67</v>
      </c>
      <c r="BR751" s="71">
        <f>IFERROR(__xludf.DUMMYFUNCTION("""COMPUTED_VALUE"""),882.9872)</f>
        <v>882.9872</v>
      </c>
      <c r="BS751" s="71">
        <f>IFERROR(__xludf.DUMMYFUNCTION("""COMPUTED_VALUE"""),6401.6572)</f>
        <v>6401.6572</v>
      </c>
      <c r="BT751" s="71">
        <f>IFERROR(__xludf.DUMMYFUNCTION("""COMPUTED_VALUE"""),5319.200000000001)</f>
        <v>5319.2</v>
      </c>
      <c r="BU751" s="71">
        <f>IFERROR(__xludf.DUMMYFUNCTION("""COMPUTED_VALUE"""),851.0720000000001)</f>
        <v>851.072</v>
      </c>
      <c r="BV751" s="71">
        <f>IFERROR(__xludf.DUMMYFUNCTION("""COMPUTED_VALUE"""),6170.272000000001)</f>
        <v>6170.272</v>
      </c>
    </row>
    <row r="752">
      <c r="A752" s="53">
        <v>1.0</v>
      </c>
      <c r="B752" s="72"/>
      <c r="C752" s="73" t="s">
        <v>53</v>
      </c>
      <c r="D752" s="74" t="s">
        <v>1811</v>
      </c>
      <c r="E752" s="54" t="s">
        <v>38</v>
      </c>
      <c r="F752" s="54" t="s">
        <v>42</v>
      </c>
      <c r="G752" s="55" t="s">
        <v>1812</v>
      </c>
      <c r="H752" s="54" t="s">
        <v>1813</v>
      </c>
      <c r="I752" s="54">
        <f t="shared" si="24"/>
        <v>40</v>
      </c>
      <c r="J752" s="56"/>
      <c r="K752" s="75"/>
      <c r="L752" s="76"/>
      <c r="M752" s="59"/>
      <c r="N752" s="60">
        <v>159.0</v>
      </c>
      <c r="O752" s="61">
        <v>171.0</v>
      </c>
      <c r="P752" s="62">
        <v>184.68</v>
      </c>
      <c r="Q752" s="63">
        <v>184.68</v>
      </c>
      <c r="R752" s="64">
        <v>206.0</v>
      </c>
      <c r="S752" s="111">
        <v>216.0</v>
      </c>
      <c r="T752" s="65">
        <f t="shared" si="2"/>
        <v>34.56</v>
      </c>
      <c r="U752" s="65">
        <f t="shared" si="3"/>
        <v>250.56</v>
      </c>
      <c r="V752" s="66">
        <f t="shared" si="4"/>
        <v>0.04854368932</v>
      </c>
      <c r="W752" s="67">
        <f t="shared" si="5"/>
        <v>205.2</v>
      </c>
      <c r="X752" s="67">
        <f t="shared" si="6"/>
        <v>32.832</v>
      </c>
      <c r="Y752" s="67">
        <f t="shared" si="7"/>
        <v>238.032</v>
      </c>
      <c r="Z752" s="67">
        <f t="shared" si="8"/>
        <v>194.4</v>
      </c>
      <c r="AA752" s="67">
        <f t="shared" si="9"/>
        <v>31.104</v>
      </c>
      <c r="AB752" s="67">
        <f t="shared" si="10"/>
        <v>225.504</v>
      </c>
      <c r="AC752" s="67">
        <f t="shared" si="11"/>
        <v>183.6</v>
      </c>
      <c r="AD752" s="67">
        <f t="shared" si="12"/>
        <v>29.376</v>
      </c>
      <c r="AE752" s="67">
        <f t="shared" si="13"/>
        <v>212.976</v>
      </c>
      <c r="AF752" s="67">
        <f t="shared" si="33"/>
        <v>179.28</v>
      </c>
      <c r="AG752" s="67">
        <f t="shared" si="15"/>
        <v>28.6848</v>
      </c>
      <c r="AH752" s="67">
        <f t="shared" si="16"/>
        <v>207.9648</v>
      </c>
      <c r="AI752" s="67">
        <f t="shared" si="17"/>
        <v>172.8</v>
      </c>
      <c r="AJ752" s="68">
        <f t="shared" si="31"/>
        <v>27.648</v>
      </c>
      <c r="AK752" s="68">
        <f t="shared" si="32"/>
        <v>200.448</v>
      </c>
      <c r="AL752" s="70">
        <f>IFERROR(__xludf.DUMMYFUNCTION("""COMPUTED_VALUE"""),1.0)</f>
        <v>1</v>
      </c>
      <c r="AM752" s="70"/>
      <c r="AN752" s="71" t="str">
        <f>IFERROR(__xludf.DUMMYFUNCTION("""COMPUTED_VALUE""")," CP")</f>
        <v>CP</v>
      </c>
      <c r="AO752" s="71" t="str">
        <f>IFERROR(__xludf.DUMMYFUNCTION("""COMPUTED_VALUE""")," JG44")</f>
        <v>JG44</v>
      </c>
      <c r="AP752" s="71" t="str">
        <f>IFERROR(__xludf.DUMMYFUNCTION("""COMPUTED_VALUE""")," JGO")</f>
        <v>JGO</v>
      </c>
      <c r="AQ752" s="71" t="str">
        <f>IFERROR(__xludf.DUMMYFUNCTION("""COMPUTED_VALUE""")," REF")</f>
        <v>REF</v>
      </c>
      <c r="AR752" s="71" t="str">
        <f>IFERROR(__xludf.DUMMYFUNCTION("""COMPUTED_VALUE""")," JUEGO DE RIELES SENCILLO SIN ABRAZADERAS PARA CHASIS MODELO ANTERIOR")</f>
        <v>JUEGO DE RIELES SENCILLO SIN ABRAZADERAS PARA CHASIS MODELO ANTERIOR</v>
      </c>
      <c r="AS752" s="71" t="str">
        <f>IFERROR(__xludf.DUMMYFUNCTION("""COMPUTED_VALUE""")," JUEGO RIELES SENC SIN ABRAZAD P/CHASI MA")</f>
        <v>JUEGO RIELES SENC SIN ABRAZAD P/CHASI MA</v>
      </c>
      <c r="AT752" s="71">
        <f>IFERROR(__xludf.DUMMYFUNCTION("""COMPUTED_VALUE"""),40.0)</f>
        <v>40</v>
      </c>
      <c r="AU752" s="71"/>
      <c r="AV752" s="71"/>
      <c r="AW752" s="71"/>
      <c r="AX752" s="71"/>
      <c r="AY752" s="71">
        <f>IFERROR(__xludf.DUMMYFUNCTION("""COMPUTED_VALUE"""),859.0)</f>
        <v>859</v>
      </c>
      <c r="AZ752" s="71">
        <f>IFERROR(__xludf.DUMMYFUNCTION("""COMPUTED_VALUE"""),927.0)</f>
        <v>927</v>
      </c>
      <c r="BA752" s="71">
        <f>IFERROR(__xludf.DUMMYFUNCTION("""COMPUTED_VALUE"""),1001.1600000000001)</f>
        <v>1001.16</v>
      </c>
      <c r="BB752" s="71">
        <f>IFERROR(__xludf.DUMMYFUNCTION("""COMPUTED_VALUE"""),1001.1600000000001)</f>
        <v>1001.16</v>
      </c>
      <c r="BC752" s="71">
        <f>IFERROR(__xludf.DUMMYFUNCTION("""COMPUTED_VALUE"""),1116.0)</f>
        <v>1116</v>
      </c>
      <c r="BD752" s="71">
        <f>IFERROR(__xludf.DUMMYFUNCTION("""COMPUTED_VALUE"""),1172.0)</f>
        <v>1172</v>
      </c>
      <c r="BE752" s="71">
        <f>IFERROR(__xludf.DUMMYFUNCTION("""COMPUTED_VALUE"""),187.52)</f>
        <v>187.52</v>
      </c>
      <c r="BF752" s="71">
        <f>IFERROR(__xludf.DUMMYFUNCTION("""COMPUTED_VALUE"""),1359.52)</f>
        <v>1359.52</v>
      </c>
      <c r="BG752" s="71">
        <f>IFERROR(__xludf.DUMMYFUNCTION("""COMPUTED_VALUE"""),0.05017921146953405)</f>
        <v>0.05017921147</v>
      </c>
      <c r="BH752" s="71">
        <f>IFERROR(__xludf.DUMMYFUNCTION("""COMPUTED_VALUE"""),1113.3999999999999)</f>
        <v>1113.4</v>
      </c>
      <c r="BI752" s="71">
        <f>IFERROR(__xludf.DUMMYFUNCTION("""COMPUTED_VALUE"""),178.14399999999998)</f>
        <v>178.144</v>
      </c>
      <c r="BJ752" s="71">
        <f>IFERROR(__xludf.DUMMYFUNCTION("""COMPUTED_VALUE"""),1291.5439999999999)</f>
        <v>1291.544</v>
      </c>
      <c r="BK752" s="71">
        <f>IFERROR(__xludf.DUMMYFUNCTION("""COMPUTED_VALUE"""),1054.8)</f>
        <v>1054.8</v>
      </c>
      <c r="BL752" s="71">
        <f>IFERROR(__xludf.DUMMYFUNCTION("""COMPUTED_VALUE"""),168.768)</f>
        <v>168.768</v>
      </c>
      <c r="BM752" s="71">
        <f>IFERROR(__xludf.DUMMYFUNCTION("""COMPUTED_VALUE"""),1223.568)</f>
        <v>1223.568</v>
      </c>
      <c r="BN752" s="71">
        <f>IFERROR(__xludf.DUMMYFUNCTION("""COMPUTED_VALUE"""),996.1999999999999)</f>
        <v>996.2</v>
      </c>
      <c r="BO752" s="71">
        <f>IFERROR(__xludf.DUMMYFUNCTION("""COMPUTED_VALUE"""),159.392)</f>
        <v>159.392</v>
      </c>
      <c r="BP752" s="71">
        <f>IFERROR(__xludf.DUMMYFUNCTION("""COMPUTED_VALUE"""),1155.5919999999999)</f>
        <v>1155.592</v>
      </c>
      <c r="BQ752" s="71">
        <f>IFERROR(__xludf.DUMMYFUNCTION("""COMPUTED_VALUE"""),972.76)</f>
        <v>972.76</v>
      </c>
      <c r="BR752" s="71">
        <f>IFERROR(__xludf.DUMMYFUNCTION("""COMPUTED_VALUE"""),155.6416)</f>
        <v>155.6416</v>
      </c>
      <c r="BS752" s="71">
        <f>IFERROR(__xludf.DUMMYFUNCTION("""COMPUTED_VALUE"""),1128.4016)</f>
        <v>1128.4016</v>
      </c>
      <c r="BT752" s="71">
        <f>IFERROR(__xludf.DUMMYFUNCTION("""COMPUTED_VALUE"""),937.6)</f>
        <v>937.6</v>
      </c>
      <c r="BU752" s="71">
        <f>IFERROR(__xludf.DUMMYFUNCTION("""COMPUTED_VALUE"""),150.01600000000002)</f>
        <v>150.016</v>
      </c>
      <c r="BV752" s="71">
        <f>IFERROR(__xludf.DUMMYFUNCTION("""COMPUTED_VALUE"""),1087.616)</f>
        <v>1087.616</v>
      </c>
    </row>
    <row r="753">
      <c r="A753" s="53">
        <v>1.0</v>
      </c>
      <c r="B753" s="72"/>
      <c r="C753" s="73" t="s">
        <v>53</v>
      </c>
      <c r="D753" s="74" t="s">
        <v>1814</v>
      </c>
      <c r="E753" s="54" t="s">
        <v>38</v>
      </c>
      <c r="F753" s="54" t="s">
        <v>42</v>
      </c>
      <c r="G753" s="88" t="s">
        <v>1815</v>
      </c>
      <c r="H753" s="54" t="s">
        <v>1816</v>
      </c>
      <c r="I753" s="54">
        <f t="shared" si="24"/>
        <v>40</v>
      </c>
      <c r="J753" s="56"/>
      <c r="K753" s="75"/>
      <c r="L753" s="76"/>
      <c r="M753" s="59"/>
      <c r="N753" s="60">
        <v>159.0</v>
      </c>
      <c r="O753" s="61">
        <v>171.0</v>
      </c>
      <c r="P753" s="62">
        <v>184.68</v>
      </c>
      <c r="Q753" s="63">
        <v>184.68</v>
      </c>
      <c r="R753" s="64">
        <v>206.0</v>
      </c>
      <c r="S753" s="111">
        <v>216.0</v>
      </c>
      <c r="T753" s="65">
        <f t="shared" si="2"/>
        <v>34.56</v>
      </c>
      <c r="U753" s="65">
        <f t="shared" si="3"/>
        <v>250.56</v>
      </c>
      <c r="V753" s="66">
        <f t="shared" si="4"/>
        <v>0.04854368932</v>
      </c>
      <c r="W753" s="67">
        <f t="shared" si="5"/>
        <v>205.2</v>
      </c>
      <c r="X753" s="67">
        <f t="shared" si="6"/>
        <v>32.832</v>
      </c>
      <c r="Y753" s="67">
        <f t="shared" si="7"/>
        <v>238.032</v>
      </c>
      <c r="Z753" s="67">
        <f t="shared" si="8"/>
        <v>194.4</v>
      </c>
      <c r="AA753" s="67">
        <f t="shared" si="9"/>
        <v>31.104</v>
      </c>
      <c r="AB753" s="67">
        <f t="shared" si="10"/>
        <v>225.504</v>
      </c>
      <c r="AC753" s="67">
        <f t="shared" si="11"/>
        <v>183.6</v>
      </c>
      <c r="AD753" s="67">
        <f t="shared" si="12"/>
        <v>29.376</v>
      </c>
      <c r="AE753" s="67">
        <f t="shared" si="13"/>
        <v>212.976</v>
      </c>
      <c r="AF753" s="67">
        <f t="shared" si="33"/>
        <v>179.28</v>
      </c>
      <c r="AG753" s="67">
        <f t="shared" si="15"/>
        <v>28.6848</v>
      </c>
      <c r="AH753" s="67">
        <f t="shared" si="16"/>
        <v>207.9648</v>
      </c>
      <c r="AI753" s="67">
        <f t="shared" si="17"/>
        <v>172.8</v>
      </c>
      <c r="AJ753" s="68">
        <f t="shared" si="31"/>
        <v>27.648</v>
      </c>
      <c r="AK753" s="68">
        <f t="shared" si="32"/>
        <v>200.448</v>
      </c>
      <c r="AL753" s="70">
        <f>IFERROR(__xludf.DUMMYFUNCTION("""COMPUTED_VALUE"""),1.0)</f>
        <v>1</v>
      </c>
      <c r="AM753" s="70"/>
      <c r="AN753" s="71" t="str">
        <f>IFERROR(__xludf.DUMMYFUNCTION("""COMPUTED_VALUE""")," P")</f>
        <v>P</v>
      </c>
      <c r="AO753" s="71" t="str">
        <f>IFERROR(__xludf.DUMMYFUNCTION("""COMPUTED_VALUE""")," JG176")</f>
        <v>JG176</v>
      </c>
      <c r="AP753" s="71" t="str">
        <f>IFERROR(__xludf.DUMMYFUNCTION("""COMPUTED_VALUE""")," JGO")</f>
        <v>JGO</v>
      </c>
      <c r="AQ753" s="71" t="str">
        <f>IFERROR(__xludf.DUMMYFUNCTION("""COMPUTED_VALUE""")," REF")</f>
        <v>REF</v>
      </c>
      <c r="AR753" s="71" t="str">
        <f>IFERROR(__xludf.DUMMYFUNCTION("""COMPUTED_VALUE""")," JUEGO DE SINFINES CORTOS DÚPLEX (6 PIEZAS)")</f>
        <v>JUEGO DE SINFINES CORTOS DÚPLEX (6 PIEZAS)</v>
      </c>
      <c r="AS753" s="71" t="str">
        <f>IFERROR(__xludf.DUMMYFUNCTION("""COMPUTED_VALUE""")," JUEGO SINFINES CORTOS DPLX (6 PIEZAS)")</f>
        <v>JUEGO SINFINES CORTOS DPLX (6 PIEZAS)</v>
      </c>
      <c r="AT753" s="71">
        <f>IFERROR(__xludf.DUMMYFUNCTION("""COMPUTED_VALUE"""),37.0)</f>
        <v>37</v>
      </c>
      <c r="AU753" s="71"/>
      <c r="AV753" s="71"/>
      <c r="AW753" s="71"/>
      <c r="AX753" s="71"/>
      <c r="AY753" s="71">
        <f>IFERROR(__xludf.DUMMYFUNCTION("""COMPUTED_VALUE"""),468.0)</f>
        <v>468</v>
      </c>
      <c r="AZ753" s="71">
        <f>IFERROR(__xludf.DUMMYFUNCTION("""COMPUTED_VALUE"""),558.0)</f>
        <v>558</v>
      </c>
      <c r="BA753" s="71">
        <f>IFERROR(__xludf.DUMMYFUNCTION("""COMPUTED_VALUE"""),602.64)</f>
        <v>602.64</v>
      </c>
      <c r="BB753" s="71">
        <f>IFERROR(__xludf.DUMMYFUNCTION("""COMPUTED_VALUE"""),602.64)</f>
        <v>602.64</v>
      </c>
      <c r="BC753" s="71">
        <f>IFERROR(__xludf.DUMMYFUNCTION("""COMPUTED_VALUE"""),756.0)</f>
        <v>756</v>
      </c>
      <c r="BD753" s="71">
        <f>IFERROR(__xludf.DUMMYFUNCTION("""COMPUTED_VALUE"""),794.0)</f>
        <v>794</v>
      </c>
      <c r="BE753" s="71">
        <f>IFERROR(__xludf.DUMMYFUNCTION("""COMPUTED_VALUE"""),127.04)</f>
        <v>127.04</v>
      </c>
      <c r="BF753" s="71">
        <f>IFERROR(__xludf.DUMMYFUNCTION("""COMPUTED_VALUE"""),921.04)</f>
        <v>921.04</v>
      </c>
      <c r="BG753" s="71">
        <f>IFERROR(__xludf.DUMMYFUNCTION("""COMPUTED_VALUE"""),0.05026455026455026)</f>
        <v>0.05026455026</v>
      </c>
      <c r="BH753" s="71">
        <f>IFERROR(__xludf.DUMMYFUNCTION("""COMPUTED_VALUE"""),754.3)</f>
        <v>754.3</v>
      </c>
      <c r="BI753" s="71">
        <f>IFERROR(__xludf.DUMMYFUNCTION("""COMPUTED_VALUE"""),120.68799999999999)</f>
        <v>120.688</v>
      </c>
      <c r="BJ753" s="71">
        <f>IFERROR(__xludf.DUMMYFUNCTION("""COMPUTED_VALUE"""),874.9879999999999)</f>
        <v>874.988</v>
      </c>
      <c r="BK753" s="71">
        <f>IFERROR(__xludf.DUMMYFUNCTION("""COMPUTED_VALUE"""),714.6)</f>
        <v>714.6</v>
      </c>
      <c r="BL753" s="71">
        <f>IFERROR(__xludf.DUMMYFUNCTION("""COMPUTED_VALUE"""),114.33600000000001)</f>
        <v>114.336</v>
      </c>
      <c r="BM753" s="71">
        <f>IFERROR(__xludf.DUMMYFUNCTION("""COMPUTED_VALUE"""),828.936)</f>
        <v>828.936</v>
      </c>
      <c r="BN753" s="71">
        <f>IFERROR(__xludf.DUMMYFUNCTION("""COMPUTED_VALUE"""),674.9)</f>
        <v>674.9</v>
      </c>
      <c r="BO753" s="71">
        <f>IFERROR(__xludf.DUMMYFUNCTION("""COMPUTED_VALUE"""),107.984)</f>
        <v>107.984</v>
      </c>
      <c r="BP753" s="71">
        <f>IFERROR(__xludf.DUMMYFUNCTION("""COMPUTED_VALUE"""),782.884)</f>
        <v>782.884</v>
      </c>
      <c r="BQ753" s="71">
        <f>IFERROR(__xludf.DUMMYFUNCTION("""COMPUTED_VALUE"""),659.02)</f>
        <v>659.02</v>
      </c>
      <c r="BR753" s="71">
        <f>IFERROR(__xludf.DUMMYFUNCTION("""COMPUTED_VALUE"""),105.4432)</f>
        <v>105.4432</v>
      </c>
      <c r="BS753" s="71">
        <f>IFERROR(__xludf.DUMMYFUNCTION("""COMPUTED_VALUE"""),764.4632)</f>
        <v>764.4632</v>
      </c>
      <c r="BT753" s="71">
        <f>IFERROR(__xludf.DUMMYFUNCTION("""COMPUTED_VALUE"""),635.2)</f>
        <v>635.2</v>
      </c>
      <c r="BU753" s="71">
        <f>IFERROR(__xludf.DUMMYFUNCTION("""COMPUTED_VALUE"""),101.632)</f>
        <v>101.632</v>
      </c>
      <c r="BV753" s="71">
        <f>IFERROR(__xludf.DUMMYFUNCTION("""COMPUTED_VALUE"""),736.8320000000001)</f>
        <v>736.832</v>
      </c>
    </row>
    <row r="754">
      <c r="A754" s="53">
        <v>1.0</v>
      </c>
      <c r="B754" s="72"/>
      <c r="C754" s="73" t="s">
        <v>53</v>
      </c>
      <c r="D754" s="74" t="s">
        <v>1817</v>
      </c>
      <c r="E754" s="54" t="s">
        <v>38</v>
      </c>
      <c r="F754" s="54" t="s">
        <v>42</v>
      </c>
      <c r="G754" s="88" t="s">
        <v>1818</v>
      </c>
      <c r="H754" s="54" t="s">
        <v>1819</v>
      </c>
      <c r="I754" s="54">
        <f t="shared" si="24"/>
        <v>40</v>
      </c>
      <c r="J754" s="56"/>
      <c r="K754" s="75"/>
      <c r="L754" s="76"/>
      <c r="M754" s="59"/>
      <c r="N754" s="60">
        <v>87.0</v>
      </c>
      <c r="O754" s="61">
        <v>93.0</v>
      </c>
      <c r="P754" s="62">
        <v>100.44000000000001</v>
      </c>
      <c r="Q754" s="63">
        <v>100.44000000000001</v>
      </c>
      <c r="R754" s="64">
        <v>113.0</v>
      </c>
      <c r="S754" s="111">
        <v>119.0</v>
      </c>
      <c r="T754" s="65">
        <f t="shared" si="2"/>
        <v>19.04</v>
      </c>
      <c r="U754" s="65">
        <f t="shared" si="3"/>
        <v>138.04</v>
      </c>
      <c r="V754" s="66">
        <f t="shared" si="4"/>
        <v>0.05309734513</v>
      </c>
      <c r="W754" s="67">
        <f t="shared" si="5"/>
        <v>113.05</v>
      </c>
      <c r="X754" s="67">
        <f t="shared" si="6"/>
        <v>18.088</v>
      </c>
      <c r="Y754" s="67">
        <f t="shared" si="7"/>
        <v>131.138</v>
      </c>
      <c r="Z754" s="67">
        <f t="shared" si="8"/>
        <v>107.1</v>
      </c>
      <c r="AA754" s="67">
        <f t="shared" si="9"/>
        <v>17.136</v>
      </c>
      <c r="AB754" s="67">
        <f t="shared" si="10"/>
        <v>124.236</v>
      </c>
      <c r="AC754" s="67">
        <f t="shared" si="11"/>
        <v>101.15</v>
      </c>
      <c r="AD754" s="67">
        <f t="shared" si="12"/>
        <v>16.184</v>
      </c>
      <c r="AE754" s="67">
        <f t="shared" si="13"/>
        <v>117.334</v>
      </c>
      <c r="AF754" s="67">
        <f t="shared" si="33"/>
        <v>98.77</v>
      </c>
      <c r="AG754" s="67">
        <f t="shared" si="15"/>
        <v>15.8032</v>
      </c>
      <c r="AH754" s="67">
        <f t="shared" si="16"/>
        <v>114.5732</v>
      </c>
      <c r="AI754" s="67">
        <f t="shared" si="17"/>
        <v>95.2</v>
      </c>
      <c r="AJ754" s="68">
        <f t="shared" si="31"/>
        <v>15.232</v>
      </c>
      <c r="AK754" s="68">
        <f t="shared" si="32"/>
        <v>110.432</v>
      </c>
      <c r="AL754" s="70">
        <f>IFERROR(__xludf.DUMMYFUNCTION("""COMPUTED_VALUE"""),1.0)</f>
        <v>1</v>
      </c>
      <c r="AM754" s="70"/>
      <c r="AN754" s="71" t="str">
        <f>IFERROR(__xludf.DUMMYFUNCTION("""COMPUTED_VALUE""")," P")</f>
        <v>P</v>
      </c>
      <c r="AO754" s="71" t="str">
        <f>IFERROR(__xludf.DUMMYFUNCTION("""COMPUTED_VALUE""")," JG180")</f>
        <v>JG180</v>
      </c>
      <c r="AP754" s="71" t="str">
        <f>IFERROR(__xludf.DUMMYFUNCTION("""COMPUTED_VALUE""")," JGO")</f>
        <v>JGO</v>
      </c>
      <c r="AQ754" s="71" t="str">
        <f>IFERROR(__xludf.DUMMYFUNCTION("""COMPUTED_VALUE""")," REF")</f>
        <v>REF</v>
      </c>
      <c r="AR754" s="71" t="str">
        <f>IFERROR(__xludf.DUMMYFUNCTION("""COMPUTED_VALUE""")," JUEGO DE SINFINES CORTOS DÚPLEX (6 PIEZAS) EN ACERO INOX. T-304 GRADO ALIMENTICIO")</f>
        <v>JUEGO DE SINFINES CORTOS DÚPLEX (6 PIEZAS) EN ACERO INOX. T-304 GRADO ALIMENTICIO</v>
      </c>
      <c r="AS754" s="71" t="str">
        <f>IFERROR(__xludf.DUMMYFUNCTION("""COMPUTED_VALUE""")," JUEGO SINFINES CORTOS DPLX 6PZA INOX GA")</f>
        <v>JUEGO SINFINES CORTOS DPLX 6PZA INOX GA</v>
      </c>
      <c r="AT754" s="71">
        <f>IFERROR(__xludf.DUMMYFUNCTION("""COMPUTED_VALUE"""),39.0)</f>
        <v>39</v>
      </c>
      <c r="AU754" s="71"/>
      <c r="AV754" s="71"/>
      <c r="AW754" s="71"/>
      <c r="AX754" s="71"/>
      <c r="AY754" s="71">
        <f>IFERROR(__xludf.DUMMYFUNCTION("""COMPUTED_VALUE"""),1729.0)</f>
        <v>1729</v>
      </c>
      <c r="AZ754" s="71">
        <f>IFERROR(__xludf.DUMMYFUNCTION("""COMPUTED_VALUE"""),1867.0)</f>
        <v>1867</v>
      </c>
      <c r="BA754" s="71">
        <f>IFERROR(__xludf.DUMMYFUNCTION("""COMPUTED_VALUE"""),2016.3600000000001)</f>
        <v>2016.36</v>
      </c>
      <c r="BB754" s="71">
        <f>IFERROR(__xludf.DUMMYFUNCTION("""COMPUTED_VALUE"""),2016.3600000000001)</f>
        <v>2016.36</v>
      </c>
      <c r="BC754" s="71">
        <f>IFERROR(__xludf.DUMMYFUNCTION("""COMPUTED_VALUE"""),2372.0)</f>
        <v>2372</v>
      </c>
      <c r="BD754" s="71">
        <f>IFERROR(__xludf.DUMMYFUNCTION("""COMPUTED_VALUE"""),2491.0)</f>
        <v>2491</v>
      </c>
      <c r="BE754" s="71">
        <f>IFERROR(__xludf.DUMMYFUNCTION("""COMPUTED_VALUE"""),398.56)</f>
        <v>398.56</v>
      </c>
      <c r="BF754" s="71">
        <f>IFERROR(__xludf.DUMMYFUNCTION("""COMPUTED_VALUE"""),2889.56)</f>
        <v>2889.56</v>
      </c>
      <c r="BG754" s="71">
        <f>IFERROR(__xludf.DUMMYFUNCTION("""COMPUTED_VALUE"""),0.050168634064080946)</f>
        <v>0.05016863406</v>
      </c>
      <c r="BH754" s="71">
        <f>IFERROR(__xludf.DUMMYFUNCTION("""COMPUTED_VALUE"""),2366.45)</f>
        <v>2366.45</v>
      </c>
      <c r="BI754" s="71">
        <f>IFERROR(__xludf.DUMMYFUNCTION("""COMPUTED_VALUE"""),378.632)</f>
        <v>378.632</v>
      </c>
      <c r="BJ754" s="71">
        <f>IFERROR(__xludf.DUMMYFUNCTION("""COMPUTED_VALUE"""),2745.082)</f>
        <v>2745.082</v>
      </c>
      <c r="BK754" s="71">
        <f>IFERROR(__xludf.DUMMYFUNCTION("""COMPUTED_VALUE"""),2241.9)</f>
        <v>2241.9</v>
      </c>
      <c r="BL754" s="71">
        <f>IFERROR(__xludf.DUMMYFUNCTION("""COMPUTED_VALUE"""),358.704)</f>
        <v>358.704</v>
      </c>
      <c r="BM754" s="71">
        <f>IFERROR(__xludf.DUMMYFUNCTION("""COMPUTED_VALUE"""),2600.6040000000003)</f>
        <v>2600.604</v>
      </c>
      <c r="BN754" s="71">
        <f>IFERROR(__xludf.DUMMYFUNCTION("""COMPUTED_VALUE"""),2117.35)</f>
        <v>2117.35</v>
      </c>
      <c r="BO754" s="71">
        <f>IFERROR(__xludf.DUMMYFUNCTION("""COMPUTED_VALUE"""),338.776)</f>
        <v>338.776</v>
      </c>
      <c r="BP754" s="71">
        <f>IFERROR(__xludf.DUMMYFUNCTION("""COMPUTED_VALUE"""),2456.1259999999997)</f>
        <v>2456.126</v>
      </c>
      <c r="BQ754" s="71">
        <f>IFERROR(__xludf.DUMMYFUNCTION("""COMPUTED_VALUE"""),2067.5299999999997)</f>
        <v>2067.53</v>
      </c>
      <c r="BR754" s="71">
        <f>IFERROR(__xludf.DUMMYFUNCTION("""COMPUTED_VALUE"""),330.80479999999994)</f>
        <v>330.8048</v>
      </c>
      <c r="BS754" s="71">
        <f>IFERROR(__xludf.DUMMYFUNCTION("""COMPUTED_VALUE"""),2398.3347999999996)</f>
        <v>2398.3348</v>
      </c>
      <c r="BT754" s="71">
        <f>IFERROR(__xludf.DUMMYFUNCTION("""COMPUTED_VALUE"""),1992.8000000000002)</f>
        <v>1992.8</v>
      </c>
      <c r="BU754" s="71">
        <f>IFERROR(__xludf.DUMMYFUNCTION("""COMPUTED_VALUE"""),318.848)</f>
        <v>318.848</v>
      </c>
      <c r="BV754" s="71">
        <f>IFERROR(__xludf.DUMMYFUNCTION("""COMPUTED_VALUE"""),2311.648)</f>
        <v>2311.648</v>
      </c>
    </row>
    <row r="755">
      <c r="A755" s="53">
        <v>1.0</v>
      </c>
      <c r="B755" s="72"/>
      <c r="C755" s="73" t="s">
        <v>53</v>
      </c>
      <c r="D755" s="74" t="s">
        <v>1820</v>
      </c>
      <c r="E755" s="54" t="s">
        <v>38</v>
      </c>
      <c r="F755" s="54" t="s">
        <v>42</v>
      </c>
      <c r="G755" s="88" t="s">
        <v>1821</v>
      </c>
      <c r="H755" s="54" t="s">
        <v>1822</v>
      </c>
      <c r="I755" s="54">
        <f t="shared" si="24"/>
        <v>40</v>
      </c>
      <c r="J755" s="56"/>
      <c r="K755" s="75"/>
      <c r="L755" s="76"/>
      <c r="M755" s="59"/>
      <c r="N755" s="60">
        <v>87.0</v>
      </c>
      <c r="O755" s="61">
        <v>93.0</v>
      </c>
      <c r="P755" s="62">
        <v>100.44000000000001</v>
      </c>
      <c r="Q755" s="63">
        <v>100.44000000000001</v>
      </c>
      <c r="R755" s="64">
        <v>113.0</v>
      </c>
      <c r="S755" s="111">
        <v>119.0</v>
      </c>
      <c r="T755" s="65">
        <f t="shared" si="2"/>
        <v>19.04</v>
      </c>
      <c r="U755" s="65">
        <f t="shared" si="3"/>
        <v>138.04</v>
      </c>
      <c r="V755" s="66">
        <f t="shared" si="4"/>
        <v>0.05309734513</v>
      </c>
      <c r="W755" s="67">
        <f t="shared" si="5"/>
        <v>113.05</v>
      </c>
      <c r="X755" s="67">
        <f t="shared" si="6"/>
        <v>18.088</v>
      </c>
      <c r="Y755" s="67">
        <f t="shared" si="7"/>
        <v>131.138</v>
      </c>
      <c r="Z755" s="67">
        <f t="shared" si="8"/>
        <v>107.1</v>
      </c>
      <c r="AA755" s="67">
        <f t="shared" si="9"/>
        <v>17.136</v>
      </c>
      <c r="AB755" s="67">
        <f t="shared" si="10"/>
        <v>124.236</v>
      </c>
      <c r="AC755" s="67">
        <f t="shared" si="11"/>
        <v>101.15</v>
      </c>
      <c r="AD755" s="67">
        <f t="shared" si="12"/>
        <v>16.184</v>
      </c>
      <c r="AE755" s="67">
        <f t="shared" si="13"/>
        <v>117.334</v>
      </c>
      <c r="AF755" s="67">
        <f t="shared" si="33"/>
        <v>98.77</v>
      </c>
      <c r="AG755" s="67">
        <f t="shared" si="15"/>
        <v>15.8032</v>
      </c>
      <c r="AH755" s="67">
        <f t="shared" si="16"/>
        <v>114.5732</v>
      </c>
      <c r="AI755" s="67">
        <f t="shared" si="17"/>
        <v>95.2</v>
      </c>
      <c r="AJ755" s="68">
        <f t="shared" si="31"/>
        <v>15.232</v>
      </c>
      <c r="AK755" s="68">
        <f t="shared" si="32"/>
        <v>110.432</v>
      </c>
      <c r="AL755" s="70">
        <f>IFERROR(__xludf.DUMMYFUNCTION("""COMPUTED_VALUE"""),1.0)</f>
        <v>1</v>
      </c>
      <c r="AM755" s="70"/>
      <c r="AN755" s="71" t="str">
        <f>IFERROR(__xludf.DUMMYFUNCTION("""COMPUTED_VALUE""")," P")</f>
        <v>P</v>
      </c>
      <c r="AO755" s="71" t="str">
        <f>IFERROR(__xludf.DUMMYFUNCTION("""COMPUTED_VALUE""")," JG177")</f>
        <v>JG177</v>
      </c>
      <c r="AP755" s="71" t="str">
        <f>IFERROR(__xludf.DUMMYFUNCTION("""COMPUTED_VALUE""")," JGO")</f>
        <v>JGO</v>
      </c>
      <c r="AQ755" s="71" t="str">
        <f>IFERROR(__xludf.DUMMYFUNCTION("""COMPUTED_VALUE""")," REF")</f>
        <v>REF</v>
      </c>
      <c r="AR755" s="71" t="str">
        <f>IFERROR(__xludf.DUMMYFUNCTION("""COMPUTED_VALUE""")," JUEGO DE SINFINES CORTOS SENCILLOS (4 PIEZAS)")</f>
        <v>JUEGO DE SINFINES CORTOS SENCILLOS (4 PIEZAS)</v>
      </c>
      <c r="AS755" s="71" t="str">
        <f>IFERROR(__xludf.DUMMYFUNCTION("""COMPUTED_VALUE""")," JUEGO SINFINES CORTOS SENCILLOS 4PZA")</f>
        <v>JUEGO SINFINES CORTOS SENCILLOS 4PZA</v>
      </c>
      <c r="AT755" s="71">
        <f>IFERROR(__xludf.DUMMYFUNCTION("""COMPUTED_VALUE"""),36.0)</f>
        <v>36</v>
      </c>
      <c r="AU755" s="71"/>
      <c r="AV755" s="71"/>
      <c r="AW755" s="71"/>
      <c r="AX755" s="71"/>
      <c r="AY755" s="71">
        <f>IFERROR(__xludf.DUMMYFUNCTION("""COMPUTED_VALUE"""),324.0)</f>
        <v>324</v>
      </c>
      <c r="AZ755" s="71">
        <f>IFERROR(__xludf.DUMMYFUNCTION("""COMPUTED_VALUE"""),372.0)</f>
        <v>372</v>
      </c>
      <c r="BA755" s="71">
        <f>IFERROR(__xludf.DUMMYFUNCTION("""COMPUTED_VALUE"""),401.76000000000005)</f>
        <v>401.76</v>
      </c>
      <c r="BB755" s="71">
        <f>IFERROR(__xludf.DUMMYFUNCTION("""COMPUTED_VALUE"""),401.76000000000005)</f>
        <v>401.76</v>
      </c>
      <c r="BC755" s="71">
        <f>IFERROR(__xludf.DUMMYFUNCTION("""COMPUTED_VALUE"""),504.0)</f>
        <v>504</v>
      </c>
      <c r="BD755" s="71">
        <f>IFERROR(__xludf.DUMMYFUNCTION("""COMPUTED_VALUE"""),529.0)</f>
        <v>529</v>
      </c>
      <c r="BE755" s="71">
        <f>IFERROR(__xludf.DUMMYFUNCTION("""COMPUTED_VALUE"""),84.64)</f>
        <v>84.64</v>
      </c>
      <c r="BF755" s="71">
        <f>IFERROR(__xludf.DUMMYFUNCTION("""COMPUTED_VALUE"""),613.64)</f>
        <v>613.64</v>
      </c>
      <c r="BG755" s="71">
        <f>IFERROR(__xludf.DUMMYFUNCTION("""COMPUTED_VALUE"""),0.0496031746031746)</f>
        <v>0.0496031746</v>
      </c>
      <c r="BH755" s="71">
        <f>IFERROR(__xludf.DUMMYFUNCTION("""COMPUTED_VALUE"""),502.54999999999995)</f>
        <v>502.55</v>
      </c>
      <c r="BI755" s="71">
        <f>IFERROR(__xludf.DUMMYFUNCTION("""COMPUTED_VALUE"""),80.408)</f>
        <v>80.408</v>
      </c>
      <c r="BJ755" s="71">
        <f>IFERROR(__xludf.DUMMYFUNCTION("""COMPUTED_VALUE"""),582.958)</f>
        <v>582.958</v>
      </c>
      <c r="BK755" s="71">
        <f>IFERROR(__xludf.DUMMYFUNCTION("""COMPUTED_VALUE"""),476.1)</f>
        <v>476.1</v>
      </c>
      <c r="BL755" s="71">
        <f>IFERROR(__xludf.DUMMYFUNCTION("""COMPUTED_VALUE"""),76.176)</f>
        <v>76.176</v>
      </c>
      <c r="BM755" s="71">
        <f>IFERROR(__xludf.DUMMYFUNCTION("""COMPUTED_VALUE"""),552.2760000000001)</f>
        <v>552.276</v>
      </c>
      <c r="BN755" s="71">
        <f>IFERROR(__xludf.DUMMYFUNCTION("""COMPUTED_VALUE"""),449.65)</f>
        <v>449.65</v>
      </c>
      <c r="BO755" s="71">
        <f>IFERROR(__xludf.DUMMYFUNCTION("""COMPUTED_VALUE"""),71.944)</f>
        <v>71.944</v>
      </c>
      <c r="BP755" s="71">
        <f>IFERROR(__xludf.DUMMYFUNCTION("""COMPUTED_VALUE"""),521.5939999999999)</f>
        <v>521.594</v>
      </c>
      <c r="BQ755" s="71">
        <f>IFERROR(__xludf.DUMMYFUNCTION("""COMPUTED_VALUE"""),439.07)</f>
        <v>439.07</v>
      </c>
      <c r="BR755" s="71">
        <f>IFERROR(__xludf.DUMMYFUNCTION("""COMPUTED_VALUE"""),70.2512)</f>
        <v>70.2512</v>
      </c>
      <c r="BS755" s="71">
        <f>IFERROR(__xludf.DUMMYFUNCTION("""COMPUTED_VALUE"""),509.3212)</f>
        <v>509.3212</v>
      </c>
      <c r="BT755" s="71">
        <f>IFERROR(__xludf.DUMMYFUNCTION("""COMPUTED_VALUE"""),423.20000000000005)</f>
        <v>423.2</v>
      </c>
      <c r="BU755" s="71">
        <f>IFERROR(__xludf.DUMMYFUNCTION("""COMPUTED_VALUE"""),67.712)</f>
        <v>67.712</v>
      </c>
      <c r="BV755" s="71">
        <f>IFERROR(__xludf.DUMMYFUNCTION("""COMPUTED_VALUE"""),490.91200000000003)</f>
        <v>490.912</v>
      </c>
    </row>
    <row r="756">
      <c r="A756" s="53">
        <v>1.0</v>
      </c>
      <c r="B756" s="72"/>
      <c r="C756" s="73" t="s">
        <v>53</v>
      </c>
      <c r="D756" s="74" t="s">
        <v>1823</v>
      </c>
      <c r="E756" s="54" t="s">
        <v>38</v>
      </c>
      <c r="F756" s="54" t="s">
        <v>42</v>
      </c>
      <c r="G756" s="88" t="s">
        <v>1824</v>
      </c>
      <c r="H756" s="54" t="s">
        <v>1825</v>
      </c>
      <c r="I756" s="54">
        <f t="shared" si="24"/>
        <v>37</v>
      </c>
      <c r="J756" s="56"/>
      <c r="K756" s="75"/>
      <c r="L756" s="76"/>
      <c r="M756" s="59"/>
      <c r="N756" s="60">
        <v>166.0</v>
      </c>
      <c r="O756" s="61">
        <v>179.0</v>
      </c>
      <c r="P756" s="62">
        <v>193.32000000000002</v>
      </c>
      <c r="Q756" s="63">
        <v>193.32000000000002</v>
      </c>
      <c r="R756" s="64">
        <v>216.0</v>
      </c>
      <c r="S756" s="111">
        <v>227.0</v>
      </c>
      <c r="T756" s="65">
        <f t="shared" si="2"/>
        <v>36.32</v>
      </c>
      <c r="U756" s="65">
        <f t="shared" si="3"/>
        <v>263.32</v>
      </c>
      <c r="V756" s="66">
        <f t="shared" si="4"/>
        <v>0.05092592593</v>
      </c>
      <c r="W756" s="67">
        <f t="shared" si="5"/>
        <v>215.65</v>
      </c>
      <c r="X756" s="67">
        <f t="shared" si="6"/>
        <v>34.504</v>
      </c>
      <c r="Y756" s="67">
        <f t="shared" si="7"/>
        <v>250.154</v>
      </c>
      <c r="Z756" s="67">
        <f t="shared" si="8"/>
        <v>204.3</v>
      </c>
      <c r="AA756" s="67">
        <f t="shared" si="9"/>
        <v>32.688</v>
      </c>
      <c r="AB756" s="67">
        <f t="shared" si="10"/>
        <v>236.988</v>
      </c>
      <c r="AC756" s="67">
        <f t="shared" si="11"/>
        <v>192.95</v>
      </c>
      <c r="AD756" s="67">
        <f t="shared" si="12"/>
        <v>30.872</v>
      </c>
      <c r="AE756" s="67">
        <f t="shared" si="13"/>
        <v>223.822</v>
      </c>
      <c r="AF756" s="67">
        <f t="shared" si="33"/>
        <v>188.41</v>
      </c>
      <c r="AG756" s="67">
        <f t="shared" si="15"/>
        <v>30.1456</v>
      </c>
      <c r="AH756" s="67">
        <f t="shared" si="16"/>
        <v>218.5556</v>
      </c>
      <c r="AI756" s="67">
        <f t="shared" si="17"/>
        <v>181.6</v>
      </c>
      <c r="AJ756" s="68">
        <f t="shared" si="31"/>
        <v>29.056</v>
      </c>
      <c r="AK756" s="68">
        <f t="shared" si="32"/>
        <v>210.656</v>
      </c>
      <c r="AL756" s="70">
        <f>IFERROR(__xludf.DUMMYFUNCTION("""COMPUTED_VALUE"""),1.0)</f>
        <v>1</v>
      </c>
      <c r="AM756" s="70"/>
      <c r="AN756" s="71" t="str">
        <f>IFERROR(__xludf.DUMMYFUNCTION("""COMPUTED_VALUE""")," P")</f>
        <v>P</v>
      </c>
      <c r="AO756" s="71" t="str">
        <f>IFERROR(__xludf.DUMMYFUNCTION("""COMPUTED_VALUE""")," JG169")</f>
        <v>JG169</v>
      </c>
      <c r="AP756" s="71" t="str">
        <f>IFERROR(__xludf.DUMMYFUNCTION("""COMPUTED_VALUE""")," JGO")</f>
        <v>JGO</v>
      </c>
      <c r="AQ756" s="71" t="str">
        <f>IFERROR(__xludf.DUMMYFUNCTION("""COMPUTED_VALUE""")," REF")</f>
        <v>REF</v>
      </c>
      <c r="AR756" s="71" t="str">
        <f>IFERROR(__xludf.DUMMYFUNCTION("""COMPUTED_VALUE""")," JUEGO DE SINFINES CORTOS SENCILLOS (4 PIEZAS) DE POLIGAR GRADO ALIMENTICIO")</f>
        <v>JUEGO DE SINFINES CORTOS SENCILLOS (4 PIEZAS) DE POLIGAR GRADO ALIMENTICIO</v>
      </c>
      <c r="AS756" s="71" t="str">
        <f>IFERROR(__xludf.DUMMYFUNCTION("""COMPUTED_VALUE""")," JGO SINFINES CORTOS SENC 4PZA POLIGAR GA")</f>
        <v>JGO SINFINES CORTOS SENC 4PZA POLIGAR GA</v>
      </c>
      <c r="AT756" s="71">
        <f>IFERROR(__xludf.DUMMYFUNCTION("""COMPUTED_VALUE"""),40.0)</f>
        <v>40</v>
      </c>
      <c r="AU756" s="71"/>
      <c r="AV756" s="71"/>
      <c r="AW756" s="71"/>
      <c r="AX756" s="71"/>
      <c r="AY756" s="71">
        <f>IFERROR(__xludf.DUMMYFUNCTION("""COMPUTED_VALUE"""),655.0)</f>
        <v>655</v>
      </c>
      <c r="AZ756" s="71">
        <f>IFERROR(__xludf.DUMMYFUNCTION("""COMPUTED_VALUE"""),707.0)</f>
        <v>707</v>
      </c>
      <c r="BA756" s="71">
        <f>IFERROR(__xludf.DUMMYFUNCTION("""COMPUTED_VALUE"""),763.5600000000001)</f>
        <v>763.56</v>
      </c>
      <c r="BB756" s="71">
        <f>IFERROR(__xludf.DUMMYFUNCTION("""COMPUTED_VALUE"""),763.5600000000001)</f>
        <v>763.56</v>
      </c>
      <c r="BC756" s="71">
        <f>IFERROR(__xludf.DUMMYFUNCTION("""COMPUTED_VALUE"""),851.0)</f>
        <v>851</v>
      </c>
      <c r="BD756" s="71">
        <f>IFERROR(__xludf.DUMMYFUNCTION("""COMPUTED_VALUE"""),894.0)</f>
        <v>894</v>
      </c>
      <c r="BE756" s="71">
        <f>IFERROR(__xludf.DUMMYFUNCTION("""COMPUTED_VALUE"""),143.04)</f>
        <v>143.04</v>
      </c>
      <c r="BF756" s="71">
        <f>IFERROR(__xludf.DUMMYFUNCTION("""COMPUTED_VALUE"""),1037.04)</f>
        <v>1037.04</v>
      </c>
      <c r="BG756" s="71">
        <f>IFERROR(__xludf.DUMMYFUNCTION("""COMPUTED_VALUE"""),0.05052878965922444)</f>
        <v>0.05052878966</v>
      </c>
      <c r="BH756" s="71">
        <f>IFERROR(__xludf.DUMMYFUNCTION("""COMPUTED_VALUE"""),849.3)</f>
        <v>849.3</v>
      </c>
      <c r="BI756" s="71">
        <f>IFERROR(__xludf.DUMMYFUNCTION("""COMPUTED_VALUE"""),135.888)</f>
        <v>135.888</v>
      </c>
      <c r="BJ756" s="71">
        <f>IFERROR(__xludf.DUMMYFUNCTION("""COMPUTED_VALUE"""),985.188)</f>
        <v>985.188</v>
      </c>
      <c r="BK756" s="71">
        <f>IFERROR(__xludf.DUMMYFUNCTION("""COMPUTED_VALUE"""),804.6)</f>
        <v>804.6</v>
      </c>
      <c r="BL756" s="71">
        <f>IFERROR(__xludf.DUMMYFUNCTION("""COMPUTED_VALUE"""),128.73600000000002)</f>
        <v>128.736</v>
      </c>
      <c r="BM756" s="71">
        <f>IFERROR(__xludf.DUMMYFUNCTION("""COMPUTED_VALUE"""),933.336)</f>
        <v>933.336</v>
      </c>
      <c r="BN756" s="71">
        <f>IFERROR(__xludf.DUMMYFUNCTION("""COMPUTED_VALUE"""),759.9)</f>
        <v>759.9</v>
      </c>
      <c r="BO756" s="71">
        <f>IFERROR(__xludf.DUMMYFUNCTION("""COMPUTED_VALUE"""),121.584)</f>
        <v>121.584</v>
      </c>
      <c r="BP756" s="71">
        <f>IFERROR(__xludf.DUMMYFUNCTION("""COMPUTED_VALUE"""),881.4839999999999)</f>
        <v>881.484</v>
      </c>
      <c r="BQ756" s="71">
        <f>IFERROR(__xludf.DUMMYFUNCTION("""COMPUTED_VALUE"""),742.02)</f>
        <v>742.02</v>
      </c>
      <c r="BR756" s="71">
        <f>IFERROR(__xludf.DUMMYFUNCTION("""COMPUTED_VALUE"""),118.7232)</f>
        <v>118.7232</v>
      </c>
      <c r="BS756" s="71">
        <f>IFERROR(__xludf.DUMMYFUNCTION("""COMPUTED_VALUE"""),860.7432)</f>
        <v>860.7432</v>
      </c>
      <c r="BT756" s="71">
        <f>IFERROR(__xludf.DUMMYFUNCTION("""COMPUTED_VALUE"""),715.2)</f>
        <v>715.2</v>
      </c>
      <c r="BU756" s="71">
        <f>IFERROR(__xludf.DUMMYFUNCTION("""COMPUTED_VALUE"""),114.43200000000002)</f>
        <v>114.432</v>
      </c>
      <c r="BV756" s="71">
        <f>IFERROR(__xludf.DUMMYFUNCTION("""COMPUTED_VALUE"""),829.6320000000001)</f>
        <v>829.632</v>
      </c>
    </row>
    <row r="757">
      <c r="A757" s="53"/>
      <c r="B757" s="53"/>
      <c r="C757" s="53" t="s">
        <v>53</v>
      </c>
      <c r="D757" s="53" t="s">
        <v>1826</v>
      </c>
      <c r="E757" s="54" t="s">
        <v>38</v>
      </c>
      <c r="F757" s="54" t="s">
        <v>42</v>
      </c>
      <c r="G757" s="55" t="s">
        <v>1827</v>
      </c>
      <c r="H757" s="55" t="s">
        <v>1828</v>
      </c>
      <c r="I757" s="54">
        <f t="shared" si="24"/>
        <v>40</v>
      </c>
      <c r="J757" s="56"/>
      <c r="K757" s="57"/>
      <c r="L757" s="76"/>
      <c r="M757" s="59"/>
      <c r="N757" s="60"/>
      <c r="O757" s="61">
        <v>420.0</v>
      </c>
      <c r="P757" s="62">
        <v>453.6</v>
      </c>
      <c r="Q757" s="63">
        <v>453.6</v>
      </c>
      <c r="R757" s="64">
        <v>477.0</v>
      </c>
      <c r="S757" s="111">
        <v>501.0</v>
      </c>
      <c r="T757" s="65">
        <f t="shared" si="2"/>
        <v>80.16</v>
      </c>
      <c r="U757" s="65">
        <f t="shared" si="3"/>
        <v>581.16</v>
      </c>
      <c r="V757" s="66">
        <f t="shared" si="4"/>
        <v>0.05031446541</v>
      </c>
      <c r="W757" s="67">
        <f t="shared" si="5"/>
        <v>475.95</v>
      </c>
      <c r="X757" s="67">
        <f t="shared" si="6"/>
        <v>76.152</v>
      </c>
      <c r="Y757" s="67">
        <f t="shared" si="7"/>
        <v>552.102</v>
      </c>
      <c r="Z757" s="67">
        <f t="shared" si="8"/>
        <v>450.9</v>
      </c>
      <c r="AA757" s="67">
        <f t="shared" si="9"/>
        <v>72.144</v>
      </c>
      <c r="AB757" s="67">
        <f t="shared" si="10"/>
        <v>523.044</v>
      </c>
      <c r="AC757" s="67">
        <f t="shared" si="11"/>
        <v>425.85</v>
      </c>
      <c r="AD757" s="67">
        <f t="shared" si="12"/>
        <v>68.136</v>
      </c>
      <c r="AE757" s="67">
        <f t="shared" si="13"/>
        <v>493.986</v>
      </c>
      <c r="AF757" s="67">
        <f t="shared" si="33"/>
        <v>415.83</v>
      </c>
      <c r="AG757" s="67">
        <f t="shared" si="15"/>
        <v>66.5328</v>
      </c>
      <c r="AH757" s="67">
        <f t="shared" si="16"/>
        <v>482.3628</v>
      </c>
      <c r="AI757" s="67">
        <f t="shared" si="17"/>
        <v>400.8</v>
      </c>
      <c r="AJ757" s="68">
        <f t="shared" si="31"/>
        <v>64.128</v>
      </c>
      <c r="AK757" s="68">
        <f t="shared" si="32"/>
        <v>464.928</v>
      </c>
      <c r="AL757" s="70">
        <f>IFERROR(__xludf.DUMMYFUNCTION("""COMPUTED_VALUE"""),1.0)</f>
        <v>1</v>
      </c>
      <c r="AM757" s="70"/>
      <c r="AN757" s="71" t="str">
        <f>IFERROR(__xludf.DUMMYFUNCTION("""COMPUTED_VALUE""")," P")</f>
        <v>P</v>
      </c>
      <c r="AO757" s="71" t="str">
        <f>IFERROR(__xludf.DUMMYFUNCTION("""COMPUTED_VALUE""")," JG181")</f>
        <v>JG181</v>
      </c>
      <c r="AP757" s="71" t="str">
        <f>IFERROR(__xludf.DUMMYFUNCTION("""COMPUTED_VALUE""")," JGO")</f>
        <v>JGO</v>
      </c>
      <c r="AQ757" s="71" t="str">
        <f>IFERROR(__xludf.DUMMYFUNCTION("""COMPUTED_VALUE""")," REF")</f>
        <v>REF</v>
      </c>
      <c r="AR757" s="71" t="str">
        <f>IFERROR(__xludf.DUMMYFUNCTION("""COMPUTED_VALUE""")," JUEGO DE SINFINES CORTOS SENCILLOS (4 PIEZAS) EN ACERO INOX. T-304 GRADO ALIMENTICIO")</f>
        <v>JUEGO DE SINFINES CORTOS SENCILLOS (4 PIEZAS) EN ACERO INOX. T-304 GRADO ALIMENTICIO</v>
      </c>
      <c r="AS757" s="71" t="str">
        <f>IFERROR(__xludf.DUMMYFUNCTION("""COMPUTED_VALUE""")," JGO SINFINES CORTOS SENC 4PZA INOX GA")</f>
        <v>JGO SINFINES CORTOS SENC 4PZA INOX GA</v>
      </c>
      <c r="AT757" s="71">
        <f>IFERROR(__xludf.DUMMYFUNCTION("""COMPUTED_VALUE"""),37.0)</f>
        <v>37</v>
      </c>
      <c r="AU757" s="71"/>
      <c r="AV757" s="71"/>
      <c r="AW757" s="71"/>
      <c r="AX757" s="71"/>
      <c r="AY757" s="71">
        <f>IFERROR(__xludf.DUMMYFUNCTION("""COMPUTED_VALUE"""),1153.0)</f>
        <v>1153</v>
      </c>
      <c r="AZ757" s="71">
        <f>IFERROR(__xludf.DUMMYFUNCTION("""COMPUTED_VALUE"""),1245.0)</f>
        <v>1245</v>
      </c>
      <c r="BA757" s="71">
        <f>IFERROR(__xludf.DUMMYFUNCTION("""COMPUTED_VALUE"""),1344.6000000000001)</f>
        <v>1344.6</v>
      </c>
      <c r="BB757" s="71">
        <f>IFERROR(__xludf.DUMMYFUNCTION("""COMPUTED_VALUE"""),1344.6000000000001)</f>
        <v>1344.6</v>
      </c>
      <c r="BC757" s="71">
        <f>IFERROR(__xludf.DUMMYFUNCTION("""COMPUTED_VALUE"""),1582.0)</f>
        <v>1582</v>
      </c>
      <c r="BD757" s="71">
        <f>IFERROR(__xludf.DUMMYFUNCTION("""COMPUTED_VALUE"""),1661.0)</f>
        <v>1661</v>
      </c>
      <c r="BE757" s="71">
        <f>IFERROR(__xludf.DUMMYFUNCTION("""COMPUTED_VALUE"""),265.76)</f>
        <v>265.76</v>
      </c>
      <c r="BF757" s="71">
        <f>IFERROR(__xludf.DUMMYFUNCTION("""COMPUTED_VALUE"""),1926.76)</f>
        <v>1926.76</v>
      </c>
      <c r="BG757" s="71">
        <f>IFERROR(__xludf.DUMMYFUNCTION("""COMPUTED_VALUE"""),0.04993678887484197)</f>
        <v>0.04993678887</v>
      </c>
      <c r="BH757" s="71">
        <f>IFERROR(__xludf.DUMMYFUNCTION("""COMPUTED_VALUE"""),1577.9499999999998)</f>
        <v>1577.95</v>
      </c>
      <c r="BI757" s="71">
        <f>IFERROR(__xludf.DUMMYFUNCTION("""COMPUTED_VALUE"""),252.47199999999998)</f>
        <v>252.472</v>
      </c>
      <c r="BJ757" s="71">
        <f>IFERROR(__xludf.DUMMYFUNCTION("""COMPUTED_VALUE"""),1830.4219999999998)</f>
        <v>1830.422</v>
      </c>
      <c r="BK757" s="71">
        <f>IFERROR(__xludf.DUMMYFUNCTION("""COMPUTED_VALUE"""),1494.9)</f>
        <v>1494.9</v>
      </c>
      <c r="BL757" s="71">
        <f>IFERROR(__xludf.DUMMYFUNCTION("""COMPUTED_VALUE"""),239.18400000000003)</f>
        <v>239.184</v>
      </c>
      <c r="BM757" s="71">
        <f>IFERROR(__xludf.DUMMYFUNCTION("""COMPUTED_VALUE"""),1734.084)</f>
        <v>1734.084</v>
      </c>
      <c r="BN757" s="71">
        <f>IFERROR(__xludf.DUMMYFUNCTION("""COMPUTED_VALUE"""),1411.85)</f>
        <v>1411.85</v>
      </c>
      <c r="BO757" s="71">
        <f>IFERROR(__xludf.DUMMYFUNCTION("""COMPUTED_VALUE"""),225.896)</f>
        <v>225.896</v>
      </c>
      <c r="BP757" s="71">
        <f>IFERROR(__xludf.DUMMYFUNCTION("""COMPUTED_VALUE"""),1637.7459999999999)</f>
        <v>1637.746</v>
      </c>
      <c r="BQ757" s="71">
        <f>IFERROR(__xludf.DUMMYFUNCTION("""COMPUTED_VALUE"""),1378.6299999999999)</f>
        <v>1378.63</v>
      </c>
      <c r="BR757" s="71">
        <f>IFERROR(__xludf.DUMMYFUNCTION("""COMPUTED_VALUE"""),220.58079999999998)</f>
        <v>220.5808</v>
      </c>
      <c r="BS757" s="71">
        <f>IFERROR(__xludf.DUMMYFUNCTION("""COMPUTED_VALUE"""),1599.2107999999998)</f>
        <v>1599.2108</v>
      </c>
      <c r="BT757" s="71">
        <f>IFERROR(__xludf.DUMMYFUNCTION("""COMPUTED_VALUE"""),1328.8000000000002)</f>
        <v>1328.8</v>
      </c>
      <c r="BU757" s="71">
        <f>IFERROR(__xludf.DUMMYFUNCTION("""COMPUTED_VALUE"""),212.60800000000003)</f>
        <v>212.608</v>
      </c>
      <c r="BV757" s="71">
        <f>IFERROR(__xludf.DUMMYFUNCTION("""COMPUTED_VALUE"""),1541.4080000000001)</f>
        <v>1541.408</v>
      </c>
    </row>
    <row r="758">
      <c r="A758" s="53">
        <v>1.0</v>
      </c>
      <c r="B758" s="72"/>
      <c r="C758" s="73" t="s">
        <v>53</v>
      </c>
      <c r="D758" s="74" t="s">
        <v>1829</v>
      </c>
      <c r="E758" s="54" t="s">
        <v>38</v>
      </c>
      <c r="F758" s="54" t="s">
        <v>42</v>
      </c>
      <c r="G758" s="54" t="s">
        <v>1830</v>
      </c>
      <c r="H758" s="54" t="s">
        <v>1830</v>
      </c>
      <c r="I758" s="54">
        <f t="shared" si="24"/>
        <v>38</v>
      </c>
      <c r="J758" s="56"/>
      <c r="K758" s="75"/>
      <c r="L758" s="76"/>
      <c r="M758" s="59"/>
      <c r="N758" s="60">
        <v>77.0</v>
      </c>
      <c r="O758" s="61">
        <v>83.0</v>
      </c>
      <c r="P758" s="62">
        <v>89.64</v>
      </c>
      <c r="Q758" s="63">
        <v>89.64</v>
      </c>
      <c r="R758" s="64">
        <v>101.0</v>
      </c>
      <c r="S758" s="111">
        <v>106.0</v>
      </c>
      <c r="T758" s="65">
        <f t="shared" si="2"/>
        <v>16.96</v>
      </c>
      <c r="U758" s="65">
        <f t="shared" si="3"/>
        <v>122.96</v>
      </c>
      <c r="V758" s="66">
        <f t="shared" si="4"/>
        <v>0.0495049505</v>
      </c>
      <c r="W758" s="67">
        <f t="shared" si="5"/>
        <v>100.7</v>
      </c>
      <c r="X758" s="67">
        <f t="shared" si="6"/>
        <v>16.112</v>
      </c>
      <c r="Y758" s="67">
        <f t="shared" si="7"/>
        <v>116.812</v>
      </c>
      <c r="Z758" s="67">
        <f t="shared" si="8"/>
        <v>95.4</v>
      </c>
      <c r="AA758" s="67">
        <f t="shared" si="9"/>
        <v>15.264</v>
      </c>
      <c r="AB758" s="67">
        <f t="shared" si="10"/>
        <v>110.664</v>
      </c>
      <c r="AC758" s="67">
        <f t="shared" si="11"/>
        <v>90.1</v>
      </c>
      <c r="AD758" s="67">
        <f t="shared" si="12"/>
        <v>14.416</v>
      </c>
      <c r="AE758" s="67">
        <f t="shared" si="13"/>
        <v>104.516</v>
      </c>
      <c r="AF758" s="67">
        <f t="shared" si="33"/>
        <v>87.98</v>
      </c>
      <c r="AG758" s="67">
        <f t="shared" si="15"/>
        <v>14.0768</v>
      </c>
      <c r="AH758" s="67">
        <f t="shared" si="16"/>
        <v>102.0568</v>
      </c>
      <c r="AI758" s="67">
        <f t="shared" si="17"/>
        <v>84.8</v>
      </c>
      <c r="AJ758" s="68">
        <f t="shared" si="31"/>
        <v>13.568</v>
      </c>
      <c r="AK758" s="68">
        <f t="shared" si="32"/>
        <v>98.368</v>
      </c>
      <c r="AL758" s="70">
        <f>IFERROR(__xludf.DUMMYFUNCTION("""COMPUTED_VALUE"""),1.0)</f>
        <v>1</v>
      </c>
      <c r="AM758" s="70"/>
      <c r="AN758" s="71" t="str">
        <f>IFERROR(__xludf.DUMMYFUNCTION("""COMPUTED_VALUE""")," P")</f>
        <v>P</v>
      </c>
      <c r="AO758" s="71" t="str">
        <f>IFERROR(__xludf.DUMMYFUNCTION("""COMPUTED_VALUE""")," JG178")</f>
        <v>JG178</v>
      </c>
      <c r="AP758" s="71" t="str">
        <f>IFERROR(__xludf.DUMMYFUNCTION("""COMPUTED_VALUE""")," JGO")</f>
        <v>JGO</v>
      </c>
      <c r="AQ758" s="71" t="str">
        <f>IFERROR(__xludf.DUMMYFUNCTION("""COMPUTED_VALUE""")," REF")</f>
        <v>REF</v>
      </c>
      <c r="AR758" s="71" t="str">
        <f>IFERROR(__xludf.DUMMYFUNCTION("""COMPUTED_VALUE""")," JUEGO DE SINFINES LARGOS DÚPLEX (6 PIEZAS)")</f>
        <v>JUEGO DE SINFINES LARGOS DÚPLEX (6 PIEZAS)</v>
      </c>
      <c r="AS758" s="71" t="str">
        <f>IFERROR(__xludf.DUMMYFUNCTION("""COMPUTED_VALUE""")," JUEGO SINFINES LARGOS DPLX (6 PIEZAS)")</f>
        <v>JUEGO SINFINES LARGOS DPLX (6 PIEZAS)</v>
      </c>
      <c r="AT758" s="71">
        <f>IFERROR(__xludf.DUMMYFUNCTION("""COMPUTED_VALUE"""),37.0)</f>
        <v>37</v>
      </c>
      <c r="AU758" s="71"/>
      <c r="AV758" s="71"/>
      <c r="AW758" s="71"/>
      <c r="AX758" s="71"/>
      <c r="AY758" s="71">
        <f>IFERROR(__xludf.DUMMYFUNCTION("""COMPUTED_VALUE"""),472.0)</f>
        <v>472</v>
      </c>
      <c r="AZ758" s="71">
        <f>IFERROR(__xludf.DUMMYFUNCTION("""COMPUTED_VALUE"""),569.0)</f>
        <v>569</v>
      </c>
      <c r="BA758" s="71">
        <f>IFERROR(__xludf.DUMMYFUNCTION("""COMPUTED_VALUE"""),614.5200000000001)</f>
        <v>614.52</v>
      </c>
      <c r="BB758" s="71">
        <f>IFERROR(__xludf.DUMMYFUNCTION("""COMPUTED_VALUE"""),614.5200000000001)</f>
        <v>614.52</v>
      </c>
      <c r="BC758" s="71">
        <f>IFERROR(__xludf.DUMMYFUNCTION("""COMPUTED_VALUE"""),775.0)</f>
        <v>775</v>
      </c>
      <c r="BD758" s="71">
        <f>IFERROR(__xludf.DUMMYFUNCTION("""COMPUTED_VALUE"""),814.0)</f>
        <v>814</v>
      </c>
      <c r="BE758" s="71">
        <f>IFERROR(__xludf.DUMMYFUNCTION("""COMPUTED_VALUE"""),130.24)</f>
        <v>130.24</v>
      </c>
      <c r="BF758" s="71">
        <f>IFERROR(__xludf.DUMMYFUNCTION("""COMPUTED_VALUE"""),944.24)</f>
        <v>944.24</v>
      </c>
      <c r="BG758" s="71">
        <f>IFERROR(__xludf.DUMMYFUNCTION("""COMPUTED_VALUE"""),0.05032258064516129)</f>
        <v>0.05032258065</v>
      </c>
      <c r="BH758" s="71">
        <f>IFERROR(__xludf.DUMMYFUNCTION("""COMPUTED_VALUE"""),773.3)</f>
        <v>773.3</v>
      </c>
      <c r="BI758" s="71">
        <f>IFERROR(__xludf.DUMMYFUNCTION("""COMPUTED_VALUE"""),123.728)</f>
        <v>123.728</v>
      </c>
      <c r="BJ758" s="71">
        <f>IFERROR(__xludf.DUMMYFUNCTION("""COMPUTED_VALUE"""),897.0279999999999)</f>
        <v>897.028</v>
      </c>
      <c r="BK758" s="71">
        <f>IFERROR(__xludf.DUMMYFUNCTION("""COMPUTED_VALUE"""),732.6)</f>
        <v>732.6</v>
      </c>
      <c r="BL758" s="71">
        <f>IFERROR(__xludf.DUMMYFUNCTION("""COMPUTED_VALUE"""),117.21600000000001)</f>
        <v>117.216</v>
      </c>
      <c r="BM758" s="71">
        <f>IFERROR(__xludf.DUMMYFUNCTION("""COMPUTED_VALUE"""),849.816)</f>
        <v>849.816</v>
      </c>
      <c r="BN758" s="71">
        <f>IFERROR(__xludf.DUMMYFUNCTION("""COMPUTED_VALUE"""),691.9)</f>
        <v>691.9</v>
      </c>
      <c r="BO758" s="71">
        <f>IFERROR(__xludf.DUMMYFUNCTION("""COMPUTED_VALUE"""),110.704)</f>
        <v>110.704</v>
      </c>
      <c r="BP758" s="71">
        <f>IFERROR(__xludf.DUMMYFUNCTION("""COMPUTED_VALUE"""),802.6039999999999)</f>
        <v>802.604</v>
      </c>
      <c r="BQ758" s="71">
        <f>IFERROR(__xludf.DUMMYFUNCTION("""COMPUTED_VALUE"""),675.62)</f>
        <v>675.62</v>
      </c>
      <c r="BR758" s="71">
        <f>IFERROR(__xludf.DUMMYFUNCTION("""COMPUTED_VALUE"""),108.0992)</f>
        <v>108.0992</v>
      </c>
      <c r="BS758" s="71">
        <f>IFERROR(__xludf.DUMMYFUNCTION("""COMPUTED_VALUE"""),783.7192)</f>
        <v>783.7192</v>
      </c>
      <c r="BT758" s="71">
        <f>IFERROR(__xludf.DUMMYFUNCTION("""COMPUTED_VALUE"""),651.2)</f>
        <v>651.2</v>
      </c>
      <c r="BU758" s="71">
        <f>IFERROR(__xludf.DUMMYFUNCTION("""COMPUTED_VALUE"""),104.19200000000001)</f>
        <v>104.192</v>
      </c>
      <c r="BV758" s="71">
        <f>IFERROR(__xludf.DUMMYFUNCTION("""COMPUTED_VALUE"""),755.392)</f>
        <v>755.392</v>
      </c>
    </row>
    <row r="759">
      <c r="A759" s="53"/>
      <c r="B759" s="53"/>
      <c r="C759" s="53" t="s">
        <v>53</v>
      </c>
      <c r="D759" s="53" t="s">
        <v>1831</v>
      </c>
      <c r="E759" s="54" t="s">
        <v>38</v>
      </c>
      <c r="F759" s="54" t="s">
        <v>42</v>
      </c>
      <c r="G759" s="55" t="s">
        <v>1832</v>
      </c>
      <c r="H759" s="55" t="s">
        <v>1833</v>
      </c>
      <c r="I759" s="54">
        <f t="shared" si="24"/>
        <v>38</v>
      </c>
      <c r="J759" s="56"/>
      <c r="K759" s="57"/>
      <c r="L759" s="76"/>
      <c r="M759" s="59"/>
      <c r="N759" s="60"/>
      <c r="O759" s="61">
        <v>576.0</v>
      </c>
      <c r="P759" s="62">
        <v>622.08</v>
      </c>
      <c r="Q759" s="63">
        <v>622.08</v>
      </c>
      <c r="R759" s="64">
        <v>654.0</v>
      </c>
      <c r="S759" s="111">
        <v>687.0</v>
      </c>
      <c r="T759" s="65">
        <f t="shared" si="2"/>
        <v>109.92</v>
      </c>
      <c r="U759" s="65">
        <f t="shared" si="3"/>
        <v>796.92</v>
      </c>
      <c r="V759" s="66">
        <f t="shared" si="4"/>
        <v>0.0504587156</v>
      </c>
      <c r="W759" s="67">
        <f t="shared" si="5"/>
        <v>652.65</v>
      </c>
      <c r="X759" s="67">
        <f t="shared" si="6"/>
        <v>104.424</v>
      </c>
      <c r="Y759" s="67">
        <f t="shared" si="7"/>
        <v>757.074</v>
      </c>
      <c r="Z759" s="67">
        <f t="shared" si="8"/>
        <v>618.3</v>
      </c>
      <c r="AA759" s="67">
        <f t="shared" si="9"/>
        <v>98.928</v>
      </c>
      <c r="AB759" s="67">
        <f t="shared" si="10"/>
        <v>717.228</v>
      </c>
      <c r="AC759" s="67">
        <f t="shared" si="11"/>
        <v>583.95</v>
      </c>
      <c r="AD759" s="67">
        <f t="shared" si="12"/>
        <v>93.432</v>
      </c>
      <c r="AE759" s="67">
        <f t="shared" si="13"/>
        <v>677.382</v>
      </c>
      <c r="AF759" s="67">
        <f t="shared" si="33"/>
        <v>570.21</v>
      </c>
      <c r="AG759" s="67">
        <f t="shared" si="15"/>
        <v>91.2336</v>
      </c>
      <c r="AH759" s="67">
        <f t="shared" si="16"/>
        <v>661.4436</v>
      </c>
      <c r="AI759" s="67">
        <f t="shared" si="17"/>
        <v>549.6</v>
      </c>
      <c r="AJ759" s="68">
        <f t="shared" si="31"/>
        <v>87.936</v>
      </c>
      <c r="AK759" s="68">
        <f t="shared" si="32"/>
        <v>637.536</v>
      </c>
      <c r="AL759" s="70">
        <f>IFERROR(__xludf.DUMMYFUNCTION("""COMPUTED_VALUE"""),1.0)</f>
        <v>1</v>
      </c>
      <c r="AM759" s="70"/>
      <c r="AN759" s="71" t="str">
        <f>IFERROR(__xludf.DUMMYFUNCTION("""COMPUTED_VALUE""")," P")</f>
        <v>P</v>
      </c>
      <c r="AO759" s="71" t="str">
        <f>IFERROR(__xludf.DUMMYFUNCTION("""COMPUTED_VALUE""")," JG182")</f>
        <v>JG182</v>
      </c>
      <c r="AP759" s="71" t="str">
        <f>IFERROR(__xludf.DUMMYFUNCTION("""COMPUTED_VALUE""")," JGO")</f>
        <v>JGO</v>
      </c>
      <c r="AQ759" s="71" t="str">
        <f>IFERROR(__xludf.DUMMYFUNCTION("""COMPUTED_VALUE""")," REF")</f>
        <v>REF</v>
      </c>
      <c r="AR759" s="71" t="str">
        <f>IFERROR(__xludf.DUMMYFUNCTION("""COMPUTED_VALUE""")," JUEGO DE SINFINES LARGOS DÚPLEX (6 PIEZAS) EN ACERO INOX. T-304 GRADO ALIMENTICIO")</f>
        <v>JUEGO DE SINFINES LARGOS DÚPLEX (6 PIEZAS) EN ACERO INOX. T-304 GRADO ALIMENTICIO</v>
      </c>
      <c r="AS759" s="71" t="str">
        <f>IFERROR(__xludf.DUMMYFUNCTION("""COMPUTED_VALUE""")," JUEGO SINFINES LARGOS DPLX 6PZA INOX")</f>
        <v>JUEGO SINFINES LARGOS DPLX 6PZA INOX</v>
      </c>
      <c r="AT759" s="71">
        <f>IFERROR(__xludf.DUMMYFUNCTION("""COMPUTED_VALUE"""),36.0)</f>
        <v>36</v>
      </c>
      <c r="AU759" s="71"/>
      <c r="AV759" s="71"/>
      <c r="AW759" s="71"/>
      <c r="AX759" s="71"/>
      <c r="AY759" s="71">
        <f>IFERROR(__xludf.DUMMYFUNCTION("""COMPUTED_VALUE"""),1862.0)</f>
        <v>1862</v>
      </c>
      <c r="AZ759" s="71">
        <f>IFERROR(__xludf.DUMMYFUNCTION("""COMPUTED_VALUE"""),2010.0)</f>
        <v>2010</v>
      </c>
      <c r="BA759" s="71">
        <f>IFERROR(__xludf.DUMMYFUNCTION("""COMPUTED_VALUE"""),2170.8)</f>
        <v>2170.8</v>
      </c>
      <c r="BB759" s="71">
        <f>IFERROR(__xludf.DUMMYFUNCTION("""COMPUTED_VALUE"""),2170.8)</f>
        <v>2170.8</v>
      </c>
      <c r="BC759" s="71">
        <f>IFERROR(__xludf.DUMMYFUNCTION("""COMPUTED_VALUE"""),2554.0)</f>
        <v>2554</v>
      </c>
      <c r="BD759" s="71">
        <f>IFERROR(__xludf.DUMMYFUNCTION("""COMPUTED_VALUE"""),2682.0)</f>
        <v>2682</v>
      </c>
      <c r="BE759" s="71">
        <f>IFERROR(__xludf.DUMMYFUNCTION("""COMPUTED_VALUE"""),429.12)</f>
        <v>429.12</v>
      </c>
      <c r="BF759" s="71">
        <f>IFERROR(__xludf.DUMMYFUNCTION("""COMPUTED_VALUE"""),3111.12)</f>
        <v>3111.12</v>
      </c>
      <c r="BG759" s="71">
        <f>IFERROR(__xludf.DUMMYFUNCTION("""COMPUTED_VALUE"""),0.050117462803445575)</f>
        <v>0.0501174628</v>
      </c>
      <c r="BH759" s="71">
        <f>IFERROR(__xludf.DUMMYFUNCTION("""COMPUTED_VALUE"""),2547.9)</f>
        <v>2547.9</v>
      </c>
      <c r="BI759" s="71">
        <f>IFERROR(__xludf.DUMMYFUNCTION("""COMPUTED_VALUE"""),407.66400000000004)</f>
        <v>407.664</v>
      </c>
      <c r="BJ759" s="71">
        <f>IFERROR(__xludf.DUMMYFUNCTION("""COMPUTED_VALUE"""),2955.5640000000003)</f>
        <v>2955.564</v>
      </c>
      <c r="BK759" s="71">
        <f>IFERROR(__xludf.DUMMYFUNCTION("""COMPUTED_VALUE"""),2413.8)</f>
        <v>2413.8</v>
      </c>
      <c r="BL759" s="71">
        <f>IFERROR(__xludf.DUMMYFUNCTION("""COMPUTED_VALUE"""),386.208)</f>
        <v>386.208</v>
      </c>
      <c r="BM759" s="71">
        <f>IFERROR(__xludf.DUMMYFUNCTION("""COMPUTED_VALUE"""),2800.0080000000003)</f>
        <v>2800.008</v>
      </c>
      <c r="BN759" s="71">
        <f>IFERROR(__xludf.DUMMYFUNCTION("""COMPUTED_VALUE"""),2279.7)</f>
        <v>2279.7</v>
      </c>
      <c r="BO759" s="71">
        <f>IFERROR(__xludf.DUMMYFUNCTION("""COMPUTED_VALUE"""),364.75199999999995)</f>
        <v>364.752</v>
      </c>
      <c r="BP759" s="71">
        <f>IFERROR(__xludf.DUMMYFUNCTION("""COMPUTED_VALUE"""),2644.4519999999998)</f>
        <v>2644.452</v>
      </c>
      <c r="BQ759" s="71">
        <f>IFERROR(__xludf.DUMMYFUNCTION("""COMPUTED_VALUE"""),2226.06)</f>
        <v>2226.06</v>
      </c>
      <c r="BR759" s="71">
        <f>IFERROR(__xludf.DUMMYFUNCTION("""COMPUTED_VALUE"""),356.1696)</f>
        <v>356.1696</v>
      </c>
      <c r="BS759" s="71">
        <f>IFERROR(__xludf.DUMMYFUNCTION("""COMPUTED_VALUE"""),2582.2296)</f>
        <v>2582.2296</v>
      </c>
      <c r="BT759" s="71">
        <f>IFERROR(__xludf.DUMMYFUNCTION("""COMPUTED_VALUE"""),2145.6)</f>
        <v>2145.6</v>
      </c>
      <c r="BU759" s="71">
        <f>IFERROR(__xludf.DUMMYFUNCTION("""COMPUTED_VALUE"""),343.296)</f>
        <v>343.296</v>
      </c>
      <c r="BV759" s="71">
        <f>IFERROR(__xludf.DUMMYFUNCTION("""COMPUTED_VALUE"""),2488.8959999999997)</f>
        <v>2488.896</v>
      </c>
    </row>
    <row r="760">
      <c r="A760" s="53"/>
      <c r="B760" s="53"/>
      <c r="C760" s="53" t="s">
        <v>53</v>
      </c>
      <c r="D760" s="53" t="s">
        <v>1834</v>
      </c>
      <c r="E760" s="54" t="s">
        <v>38</v>
      </c>
      <c r="F760" s="54" t="s">
        <v>42</v>
      </c>
      <c r="G760" s="55" t="s">
        <v>1835</v>
      </c>
      <c r="H760" s="55" t="s">
        <v>1836</v>
      </c>
      <c r="I760" s="54">
        <f t="shared" si="24"/>
        <v>35</v>
      </c>
      <c r="J760" s="56"/>
      <c r="K760" s="57"/>
      <c r="L760" s="76"/>
      <c r="M760" s="59"/>
      <c r="N760" s="60"/>
      <c r="O760" s="61">
        <v>576.0</v>
      </c>
      <c r="P760" s="62">
        <v>622.08</v>
      </c>
      <c r="Q760" s="63">
        <v>622.08</v>
      </c>
      <c r="R760" s="64">
        <v>654.0</v>
      </c>
      <c r="S760" s="111">
        <v>687.0</v>
      </c>
      <c r="T760" s="65">
        <f t="shared" si="2"/>
        <v>109.92</v>
      </c>
      <c r="U760" s="65">
        <f t="shared" si="3"/>
        <v>796.92</v>
      </c>
      <c r="V760" s="66">
        <f t="shared" si="4"/>
        <v>0.0504587156</v>
      </c>
      <c r="W760" s="67">
        <f t="shared" si="5"/>
        <v>652.65</v>
      </c>
      <c r="X760" s="67">
        <f t="shared" si="6"/>
        <v>104.424</v>
      </c>
      <c r="Y760" s="67">
        <f t="shared" si="7"/>
        <v>757.074</v>
      </c>
      <c r="Z760" s="67">
        <f t="shared" si="8"/>
        <v>618.3</v>
      </c>
      <c r="AA760" s="67">
        <f t="shared" si="9"/>
        <v>98.928</v>
      </c>
      <c r="AB760" s="67">
        <f t="shared" si="10"/>
        <v>717.228</v>
      </c>
      <c r="AC760" s="67">
        <f t="shared" si="11"/>
        <v>583.95</v>
      </c>
      <c r="AD760" s="67">
        <f t="shared" si="12"/>
        <v>93.432</v>
      </c>
      <c r="AE760" s="67">
        <f t="shared" si="13"/>
        <v>677.382</v>
      </c>
      <c r="AF760" s="67">
        <f t="shared" si="33"/>
        <v>570.21</v>
      </c>
      <c r="AG760" s="67">
        <f t="shared" si="15"/>
        <v>91.2336</v>
      </c>
      <c r="AH760" s="67">
        <f t="shared" si="16"/>
        <v>661.4436</v>
      </c>
      <c r="AI760" s="67">
        <f t="shared" si="17"/>
        <v>549.6</v>
      </c>
      <c r="AJ760" s="68">
        <f t="shared" si="31"/>
        <v>87.936</v>
      </c>
      <c r="AK760" s="68">
        <f t="shared" si="32"/>
        <v>637.536</v>
      </c>
      <c r="AL760" s="70">
        <f>IFERROR(__xludf.DUMMYFUNCTION("""COMPUTED_VALUE"""),1.0)</f>
        <v>1</v>
      </c>
      <c r="AM760" s="70"/>
      <c r="AN760" s="71" t="str">
        <f>IFERROR(__xludf.DUMMYFUNCTION("""COMPUTED_VALUE""")," P")</f>
        <v>P</v>
      </c>
      <c r="AO760" s="71" t="str">
        <f>IFERROR(__xludf.DUMMYFUNCTION("""COMPUTED_VALUE""")," JG179")</f>
        <v>JG179</v>
      </c>
      <c r="AP760" s="71" t="str">
        <f>IFERROR(__xludf.DUMMYFUNCTION("""COMPUTED_VALUE""")," JGO")</f>
        <v>JGO</v>
      </c>
      <c r="AQ760" s="71" t="str">
        <f>IFERROR(__xludf.DUMMYFUNCTION("""COMPUTED_VALUE""")," REF")</f>
        <v>REF</v>
      </c>
      <c r="AR760" s="71" t="str">
        <f>IFERROR(__xludf.DUMMYFUNCTION("""COMPUTED_VALUE""")," JUEGO DE SINFINES LARGOS SENCILLOS (4 PIEZAS)")</f>
        <v>JUEGO DE SINFINES LARGOS SENCILLOS (4 PIEZAS)</v>
      </c>
      <c r="AS760" s="71" t="str">
        <f>IFERROR(__xludf.DUMMYFUNCTION("""COMPUTED_VALUE""")," JUEGO SINFINES LARGOS SENCILLOS 4PZA")</f>
        <v>JUEGO SINFINES LARGOS SENCILLOS 4PZA</v>
      </c>
      <c r="AT760" s="71">
        <f>IFERROR(__xludf.DUMMYFUNCTION("""COMPUTED_VALUE"""),36.0)</f>
        <v>36</v>
      </c>
      <c r="AU760" s="71"/>
      <c r="AV760" s="71"/>
      <c r="AW760" s="71"/>
      <c r="AX760" s="71"/>
      <c r="AY760" s="71">
        <f>IFERROR(__xludf.DUMMYFUNCTION("""COMPUTED_VALUE"""),328.0)</f>
        <v>328</v>
      </c>
      <c r="AZ760" s="71">
        <f>IFERROR(__xludf.DUMMYFUNCTION("""COMPUTED_VALUE"""),380.0)</f>
        <v>380</v>
      </c>
      <c r="BA760" s="71">
        <f>IFERROR(__xludf.DUMMYFUNCTION("""COMPUTED_VALUE"""),410.40000000000003)</f>
        <v>410.4</v>
      </c>
      <c r="BB760" s="71">
        <f>IFERROR(__xludf.DUMMYFUNCTION("""COMPUTED_VALUE"""),410.40000000000003)</f>
        <v>410.4</v>
      </c>
      <c r="BC760" s="71">
        <f>IFERROR(__xludf.DUMMYFUNCTION("""COMPUTED_VALUE"""),517.0)</f>
        <v>517</v>
      </c>
      <c r="BD760" s="71">
        <f>IFERROR(__xludf.DUMMYFUNCTION("""COMPUTED_VALUE"""),543.0)</f>
        <v>543</v>
      </c>
      <c r="BE760" s="71">
        <f>IFERROR(__xludf.DUMMYFUNCTION("""COMPUTED_VALUE"""),86.88)</f>
        <v>86.88</v>
      </c>
      <c r="BF760" s="71">
        <f>IFERROR(__xludf.DUMMYFUNCTION("""COMPUTED_VALUE"""),629.88)</f>
        <v>629.88</v>
      </c>
      <c r="BG760" s="71">
        <f>IFERROR(__xludf.DUMMYFUNCTION("""COMPUTED_VALUE"""),0.05029013539651837)</f>
        <v>0.0502901354</v>
      </c>
      <c r="BH760" s="71">
        <f>IFERROR(__xludf.DUMMYFUNCTION("""COMPUTED_VALUE"""),515.85)</f>
        <v>515.85</v>
      </c>
      <c r="BI760" s="71">
        <f>IFERROR(__xludf.DUMMYFUNCTION("""COMPUTED_VALUE"""),82.536)</f>
        <v>82.536</v>
      </c>
      <c r="BJ760" s="71">
        <f>IFERROR(__xludf.DUMMYFUNCTION("""COMPUTED_VALUE"""),598.386)</f>
        <v>598.386</v>
      </c>
      <c r="BK760" s="71">
        <f>IFERROR(__xludf.DUMMYFUNCTION("""COMPUTED_VALUE"""),488.7)</f>
        <v>488.7</v>
      </c>
      <c r="BL760" s="71">
        <f>IFERROR(__xludf.DUMMYFUNCTION("""COMPUTED_VALUE"""),78.192)</f>
        <v>78.192</v>
      </c>
      <c r="BM760" s="71">
        <f>IFERROR(__xludf.DUMMYFUNCTION("""COMPUTED_VALUE"""),566.8919999999999)</f>
        <v>566.892</v>
      </c>
      <c r="BN760" s="71">
        <f>IFERROR(__xludf.DUMMYFUNCTION("""COMPUTED_VALUE"""),461.55)</f>
        <v>461.55</v>
      </c>
      <c r="BO760" s="71">
        <f>IFERROR(__xludf.DUMMYFUNCTION("""COMPUTED_VALUE"""),73.848)</f>
        <v>73.848</v>
      </c>
      <c r="BP760" s="71">
        <f>IFERROR(__xludf.DUMMYFUNCTION("""COMPUTED_VALUE"""),535.398)</f>
        <v>535.398</v>
      </c>
      <c r="BQ760" s="71">
        <f>IFERROR(__xludf.DUMMYFUNCTION("""COMPUTED_VALUE"""),450.69)</f>
        <v>450.69</v>
      </c>
      <c r="BR760" s="71">
        <f>IFERROR(__xludf.DUMMYFUNCTION("""COMPUTED_VALUE"""),72.1104)</f>
        <v>72.1104</v>
      </c>
      <c r="BS760" s="71">
        <f>IFERROR(__xludf.DUMMYFUNCTION("""COMPUTED_VALUE"""),522.8004)</f>
        <v>522.8004</v>
      </c>
      <c r="BT760" s="71">
        <f>IFERROR(__xludf.DUMMYFUNCTION("""COMPUTED_VALUE"""),434.40000000000003)</f>
        <v>434.4</v>
      </c>
      <c r="BU760" s="71">
        <f>IFERROR(__xludf.DUMMYFUNCTION("""COMPUTED_VALUE"""),69.504)</f>
        <v>69.504</v>
      </c>
      <c r="BV760" s="71">
        <f>IFERROR(__xludf.DUMMYFUNCTION("""COMPUTED_VALUE"""),503.90400000000005)</f>
        <v>503.904</v>
      </c>
    </row>
    <row r="761">
      <c r="A761" s="53">
        <v>1.0</v>
      </c>
      <c r="B761" s="72"/>
      <c r="C761" s="73" t="s">
        <v>53</v>
      </c>
      <c r="D761" s="74" t="s">
        <v>1837</v>
      </c>
      <c r="E761" s="54" t="s">
        <v>38</v>
      </c>
      <c r="F761" s="54" t="s">
        <v>42</v>
      </c>
      <c r="G761" s="88" t="s">
        <v>1838</v>
      </c>
      <c r="H761" s="54" t="s">
        <v>1839</v>
      </c>
      <c r="I761" s="54">
        <f t="shared" si="24"/>
        <v>36</v>
      </c>
      <c r="J761" s="56"/>
      <c r="K761" s="75"/>
      <c r="L761" s="76"/>
      <c r="M761" s="59"/>
      <c r="N761" s="60">
        <v>111.0</v>
      </c>
      <c r="O761" s="61">
        <v>119.0</v>
      </c>
      <c r="P761" s="62">
        <v>128.52</v>
      </c>
      <c r="Q761" s="63">
        <v>128.52</v>
      </c>
      <c r="R761" s="64">
        <v>144.0</v>
      </c>
      <c r="S761" s="111">
        <v>151.0</v>
      </c>
      <c r="T761" s="65">
        <f t="shared" si="2"/>
        <v>24.16</v>
      </c>
      <c r="U761" s="65">
        <f t="shared" si="3"/>
        <v>175.16</v>
      </c>
      <c r="V761" s="66">
        <f t="shared" si="4"/>
        <v>0.04861111111</v>
      </c>
      <c r="W761" s="67">
        <f t="shared" si="5"/>
        <v>143.45</v>
      </c>
      <c r="X761" s="67">
        <f t="shared" si="6"/>
        <v>22.952</v>
      </c>
      <c r="Y761" s="67">
        <f t="shared" si="7"/>
        <v>166.402</v>
      </c>
      <c r="Z761" s="67">
        <f t="shared" si="8"/>
        <v>135.9</v>
      </c>
      <c r="AA761" s="67">
        <f t="shared" si="9"/>
        <v>21.744</v>
      </c>
      <c r="AB761" s="67">
        <f t="shared" si="10"/>
        <v>157.644</v>
      </c>
      <c r="AC761" s="67">
        <f t="shared" si="11"/>
        <v>128.35</v>
      </c>
      <c r="AD761" s="67">
        <f t="shared" si="12"/>
        <v>20.536</v>
      </c>
      <c r="AE761" s="67">
        <f t="shared" si="13"/>
        <v>148.886</v>
      </c>
      <c r="AF761" s="67">
        <f t="shared" si="33"/>
        <v>125.33</v>
      </c>
      <c r="AG761" s="67">
        <f t="shared" si="15"/>
        <v>20.0528</v>
      </c>
      <c r="AH761" s="67">
        <f t="shared" si="16"/>
        <v>145.3828</v>
      </c>
      <c r="AI761" s="67">
        <f t="shared" si="17"/>
        <v>120.8</v>
      </c>
      <c r="AJ761" s="68">
        <f t="shared" si="31"/>
        <v>19.328</v>
      </c>
      <c r="AK761" s="68">
        <f t="shared" si="32"/>
        <v>140.128</v>
      </c>
      <c r="AL761" s="70">
        <f>IFERROR(__xludf.DUMMYFUNCTION("""COMPUTED_VALUE"""),1.0)</f>
        <v>1</v>
      </c>
      <c r="AM761" s="70"/>
      <c r="AN761" s="71" t="str">
        <f>IFERROR(__xludf.DUMMYFUNCTION("""COMPUTED_VALUE""")," P")</f>
        <v>P</v>
      </c>
      <c r="AO761" s="71" t="str">
        <f>IFERROR(__xludf.DUMMYFUNCTION("""COMPUTED_VALUE""")," JG170")</f>
        <v>JG170</v>
      </c>
      <c r="AP761" s="71" t="str">
        <f>IFERROR(__xludf.DUMMYFUNCTION("""COMPUTED_VALUE""")," JGO")</f>
        <v>JGO</v>
      </c>
      <c r="AQ761" s="71" t="str">
        <f>IFERROR(__xludf.DUMMYFUNCTION("""COMPUTED_VALUE""")," REF")</f>
        <v>REF</v>
      </c>
      <c r="AR761" s="71" t="str">
        <f>IFERROR(__xludf.DUMMYFUNCTION("""COMPUTED_VALUE""")," JUEGO DE SINFINES LARGOS SENCILLOS (4 PIEZAS) DE POLIGAR GRADO ALIMENTICIO")</f>
        <v>JUEGO DE SINFINES LARGOS SENCILLOS (4 PIEZAS) DE POLIGAR GRADO ALIMENTICIO</v>
      </c>
      <c r="AS761" s="71" t="str">
        <f>IFERROR(__xludf.DUMMYFUNCTION("""COMPUTED_VALUE""")," JUEGO SINFINES LARGOS SENC 4PZA POLIGAR")</f>
        <v>JUEGO SINFINES LARGOS SENC 4PZA POLIGAR</v>
      </c>
      <c r="AT761" s="71">
        <f>IFERROR(__xludf.DUMMYFUNCTION("""COMPUTED_VALUE"""),39.0)</f>
        <v>39</v>
      </c>
      <c r="AU761" s="71"/>
      <c r="AV761" s="71"/>
      <c r="AW761" s="71"/>
      <c r="AX761" s="71"/>
      <c r="AY761" s="71">
        <f>IFERROR(__xludf.DUMMYFUNCTION("""COMPUTED_VALUE"""),655.0)</f>
        <v>655</v>
      </c>
      <c r="AZ761" s="71">
        <f>IFERROR(__xludf.DUMMYFUNCTION("""COMPUTED_VALUE"""),707.0)</f>
        <v>707</v>
      </c>
      <c r="BA761" s="71">
        <f>IFERROR(__xludf.DUMMYFUNCTION("""COMPUTED_VALUE"""),763.5600000000001)</f>
        <v>763.56</v>
      </c>
      <c r="BB761" s="71">
        <f>IFERROR(__xludf.DUMMYFUNCTION("""COMPUTED_VALUE"""),763.5600000000001)</f>
        <v>763.56</v>
      </c>
      <c r="BC761" s="71">
        <f>IFERROR(__xludf.DUMMYFUNCTION("""COMPUTED_VALUE"""),851.0)</f>
        <v>851</v>
      </c>
      <c r="BD761" s="71">
        <f>IFERROR(__xludf.DUMMYFUNCTION("""COMPUTED_VALUE"""),894.0)</f>
        <v>894</v>
      </c>
      <c r="BE761" s="71">
        <f>IFERROR(__xludf.DUMMYFUNCTION("""COMPUTED_VALUE"""),143.04)</f>
        <v>143.04</v>
      </c>
      <c r="BF761" s="71">
        <f>IFERROR(__xludf.DUMMYFUNCTION("""COMPUTED_VALUE"""),1037.04)</f>
        <v>1037.04</v>
      </c>
      <c r="BG761" s="71">
        <f>IFERROR(__xludf.DUMMYFUNCTION("""COMPUTED_VALUE"""),0.05052878965922444)</f>
        <v>0.05052878966</v>
      </c>
      <c r="BH761" s="71">
        <f>IFERROR(__xludf.DUMMYFUNCTION("""COMPUTED_VALUE"""),849.3)</f>
        <v>849.3</v>
      </c>
      <c r="BI761" s="71">
        <f>IFERROR(__xludf.DUMMYFUNCTION("""COMPUTED_VALUE"""),135.888)</f>
        <v>135.888</v>
      </c>
      <c r="BJ761" s="71">
        <f>IFERROR(__xludf.DUMMYFUNCTION("""COMPUTED_VALUE"""),985.188)</f>
        <v>985.188</v>
      </c>
      <c r="BK761" s="71">
        <f>IFERROR(__xludf.DUMMYFUNCTION("""COMPUTED_VALUE"""),804.6)</f>
        <v>804.6</v>
      </c>
      <c r="BL761" s="71">
        <f>IFERROR(__xludf.DUMMYFUNCTION("""COMPUTED_VALUE"""),128.73600000000002)</f>
        <v>128.736</v>
      </c>
      <c r="BM761" s="71">
        <f>IFERROR(__xludf.DUMMYFUNCTION("""COMPUTED_VALUE"""),933.336)</f>
        <v>933.336</v>
      </c>
      <c r="BN761" s="71">
        <f>IFERROR(__xludf.DUMMYFUNCTION("""COMPUTED_VALUE"""),759.9)</f>
        <v>759.9</v>
      </c>
      <c r="BO761" s="71">
        <f>IFERROR(__xludf.DUMMYFUNCTION("""COMPUTED_VALUE"""),121.584)</f>
        <v>121.584</v>
      </c>
      <c r="BP761" s="71">
        <f>IFERROR(__xludf.DUMMYFUNCTION("""COMPUTED_VALUE"""),881.4839999999999)</f>
        <v>881.484</v>
      </c>
      <c r="BQ761" s="71">
        <f>IFERROR(__xludf.DUMMYFUNCTION("""COMPUTED_VALUE"""),742.02)</f>
        <v>742.02</v>
      </c>
      <c r="BR761" s="71">
        <f>IFERROR(__xludf.DUMMYFUNCTION("""COMPUTED_VALUE"""),118.7232)</f>
        <v>118.7232</v>
      </c>
      <c r="BS761" s="71">
        <f>IFERROR(__xludf.DUMMYFUNCTION("""COMPUTED_VALUE"""),860.7432)</f>
        <v>860.7432</v>
      </c>
      <c r="BT761" s="71">
        <f>IFERROR(__xludf.DUMMYFUNCTION("""COMPUTED_VALUE"""),715.2)</f>
        <v>715.2</v>
      </c>
      <c r="BU761" s="71">
        <f>IFERROR(__xludf.DUMMYFUNCTION("""COMPUTED_VALUE"""),114.43200000000002)</f>
        <v>114.432</v>
      </c>
      <c r="BV761" s="71">
        <f>IFERROR(__xludf.DUMMYFUNCTION("""COMPUTED_VALUE"""),829.6320000000001)</f>
        <v>829.632</v>
      </c>
    </row>
    <row r="762">
      <c r="A762" s="53">
        <v>1.0</v>
      </c>
      <c r="B762" s="72"/>
      <c r="C762" s="73" t="s">
        <v>53</v>
      </c>
      <c r="D762" s="74" t="s">
        <v>1840</v>
      </c>
      <c r="E762" s="54" t="s">
        <v>38</v>
      </c>
      <c r="F762" s="54" t="s">
        <v>42</v>
      </c>
      <c r="G762" s="88" t="s">
        <v>1841</v>
      </c>
      <c r="H762" s="54" t="s">
        <v>1842</v>
      </c>
      <c r="I762" s="54">
        <f t="shared" si="24"/>
        <v>34</v>
      </c>
      <c r="J762" s="56"/>
      <c r="K762" s="75"/>
      <c r="L762" s="76"/>
      <c r="M762" s="59"/>
      <c r="N762" s="60">
        <v>131.0</v>
      </c>
      <c r="O762" s="61">
        <v>141.0</v>
      </c>
      <c r="P762" s="62">
        <v>152.28</v>
      </c>
      <c r="Q762" s="63">
        <v>152.28</v>
      </c>
      <c r="R762" s="64">
        <v>171.0</v>
      </c>
      <c r="S762" s="111">
        <v>180.0</v>
      </c>
      <c r="T762" s="65">
        <f t="shared" si="2"/>
        <v>28.8</v>
      </c>
      <c r="U762" s="65">
        <f t="shared" si="3"/>
        <v>208.8</v>
      </c>
      <c r="V762" s="66">
        <f t="shared" si="4"/>
        <v>0.05263157895</v>
      </c>
      <c r="W762" s="67">
        <f t="shared" si="5"/>
        <v>171</v>
      </c>
      <c r="X762" s="67">
        <f t="shared" si="6"/>
        <v>27.36</v>
      </c>
      <c r="Y762" s="67">
        <f t="shared" si="7"/>
        <v>198.36</v>
      </c>
      <c r="Z762" s="67">
        <f t="shared" si="8"/>
        <v>162</v>
      </c>
      <c r="AA762" s="67">
        <f t="shared" si="9"/>
        <v>25.92</v>
      </c>
      <c r="AB762" s="67">
        <f t="shared" si="10"/>
        <v>187.92</v>
      </c>
      <c r="AC762" s="67">
        <f t="shared" si="11"/>
        <v>153</v>
      </c>
      <c r="AD762" s="67">
        <f t="shared" si="12"/>
        <v>24.48</v>
      </c>
      <c r="AE762" s="67">
        <f t="shared" si="13"/>
        <v>177.48</v>
      </c>
      <c r="AF762" s="67">
        <f t="shared" si="33"/>
        <v>149.4</v>
      </c>
      <c r="AG762" s="67">
        <f t="shared" si="15"/>
        <v>23.904</v>
      </c>
      <c r="AH762" s="67">
        <f t="shared" si="16"/>
        <v>173.304</v>
      </c>
      <c r="AI762" s="67">
        <f t="shared" si="17"/>
        <v>144</v>
      </c>
      <c r="AJ762" s="68">
        <f t="shared" si="31"/>
        <v>23.04</v>
      </c>
      <c r="AK762" s="68">
        <f t="shared" si="32"/>
        <v>167.04</v>
      </c>
      <c r="AL762" s="70">
        <f>IFERROR(__xludf.DUMMYFUNCTION("""COMPUTED_VALUE"""),1.0)</f>
        <v>1</v>
      </c>
      <c r="AM762" s="70"/>
      <c r="AN762" s="71" t="str">
        <f>IFERROR(__xludf.DUMMYFUNCTION("""COMPUTED_VALUE""")," P")</f>
        <v>P</v>
      </c>
      <c r="AO762" s="71" t="str">
        <f>IFERROR(__xludf.DUMMYFUNCTION("""COMPUTED_VALUE""")," JG183")</f>
        <v>JG183</v>
      </c>
      <c r="AP762" s="71" t="str">
        <f>IFERROR(__xludf.DUMMYFUNCTION("""COMPUTED_VALUE""")," JGO")</f>
        <v>JGO</v>
      </c>
      <c r="AQ762" s="71" t="str">
        <f>IFERROR(__xludf.DUMMYFUNCTION("""COMPUTED_VALUE""")," REF")</f>
        <v>REF</v>
      </c>
      <c r="AR762" s="71" t="str">
        <f>IFERROR(__xludf.DUMMYFUNCTION("""COMPUTED_VALUE""")," JUEGO DE SINFINES LARGOS SENCILLOS (4 PIEZAS) EN ACERO INOX. T-304 GRADO ALIMENTICIO")</f>
        <v>JUEGO DE SINFINES LARGOS SENCILLOS (4 PIEZAS) EN ACERO INOX. T-304 GRADO ALIMENTICIO</v>
      </c>
      <c r="AS762" s="71" t="str">
        <f>IFERROR(__xludf.DUMMYFUNCTION("""COMPUTED_VALUE""")," JUEGO SINFINES LARGOS SENCILLO 4PZA INOX")</f>
        <v>JUEGO SINFINES LARGOS SENCILLO 4PZA INOX</v>
      </c>
      <c r="AT762" s="71">
        <f>IFERROR(__xludf.DUMMYFUNCTION("""COMPUTED_VALUE"""),40.0)</f>
        <v>40</v>
      </c>
      <c r="AU762" s="71"/>
      <c r="AV762" s="71"/>
      <c r="AW762" s="71"/>
      <c r="AX762" s="71"/>
      <c r="AY762" s="71">
        <f>IFERROR(__xludf.DUMMYFUNCTION("""COMPUTED_VALUE"""),1242.0)</f>
        <v>1242</v>
      </c>
      <c r="AZ762" s="71">
        <f>IFERROR(__xludf.DUMMYFUNCTION("""COMPUTED_VALUE"""),1341.0)</f>
        <v>1341</v>
      </c>
      <c r="BA762" s="71">
        <f>IFERROR(__xludf.DUMMYFUNCTION("""COMPUTED_VALUE"""),1448.2800000000002)</f>
        <v>1448.28</v>
      </c>
      <c r="BB762" s="71">
        <f>IFERROR(__xludf.DUMMYFUNCTION("""COMPUTED_VALUE"""),1448.2800000000002)</f>
        <v>1448.28</v>
      </c>
      <c r="BC762" s="71">
        <f>IFERROR(__xludf.DUMMYFUNCTION("""COMPUTED_VALUE"""),1705.0)</f>
        <v>1705</v>
      </c>
      <c r="BD762" s="71">
        <f>IFERROR(__xludf.DUMMYFUNCTION("""COMPUTED_VALUE"""),1790.0)</f>
        <v>1790</v>
      </c>
      <c r="BE762" s="71">
        <f>IFERROR(__xludf.DUMMYFUNCTION("""COMPUTED_VALUE"""),286.40000000000003)</f>
        <v>286.4</v>
      </c>
      <c r="BF762" s="71">
        <f>IFERROR(__xludf.DUMMYFUNCTION("""COMPUTED_VALUE"""),2076.4)</f>
        <v>2076.4</v>
      </c>
      <c r="BG762" s="71">
        <f>IFERROR(__xludf.DUMMYFUNCTION("""COMPUTED_VALUE"""),0.04985337243401759)</f>
        <v>0.04985337243</v>
      </c>
      <c r="BH762" s="71">
        <f>IFERROR(__xludf.DUMMYFUNCTION("""COMPUTED_VALUE"""),1700.5)</f>
        <v>1700.5</v>
      </c>
      <c r="BI762" s="71">
        <f>IFERROR(__xludf.DUMMYFUNCTION("""COMPUTED_VALUE"""),272.08)</f>
        <v>272.08</v>
      </c>
      <c r="BJ762" s="71">
        <f>IFERROR(__xludf.DUMMYFUNCTION("""COMPUTED_VALUE"""),1972.58)</f>
        <v>1972.58</v>
      </c>
      <c r="BK762" s="71">
        <f>IFERROR(__xludf.DUMMYFUNCTION("""COMPUTED_VALUE"""),1611.0)</f>
        <v>1611</v>
      </c>
      <c r="BL762" s="71">
        <f>IFERROR(__xludf.DUMMYFUNCTION("""COMPUTED_VALUE"""),257.76)</f>
        <v>257.76</v>
      </c>
      <c r="BM762" s="71">
        <f>IFERROR(__xludf.DUMMYFUNCTION("""COMPUTED_VALUE"""),1868.76)</f>
        <v>1868.76</v>
      </c>
      <c r="BN762" s="71">
        <f>IFERROR(__xludf.DUMMYFUNCTION("""COMPUTED_VALUE"""),1521.5)</f>
        <v>1521.5</v>
      </c>
      <c r="BO762" s="71">
        <f>IFERROR(__xludf.DUMMYFUNCTION("""COMPUTED_VALUE"""),243.44)</f>
        <v>243.44</v>
      </c>
      <c r="BP762" s="71">
        <f>IFERROR(__xludf.DUMMYFUNCTION("""COMPUTED_VALUE"""),1764.94)</f>
        <v>1764.94</v>
      </c>
      <c r="BQ762" s="71">
        <f>IFERROR(__xludf.DUMMYFUNCTION("""COMPUTED_VALUE"""),1485.6999999999998)</f>
        <v>1485.7</v>
      </c>
      <c r="BR762" s="71">
        <f>IFERROR(__xludf.DUMMYFUNCTION("""COMPUTED_VALUE"""),237.712)</f>
        <v>237.712</v>
      </c>
      <c r="BS762" s="71">
        <f>IFERROR(__xludf.DUMMYFUNCTION("""COMPUTED_VALUE"""),1723.4119999999998)</f>
        <v>1723.412</v>
      </c>
      <c r="BT762" s="71">
        <f>IFERROR(__xludf.DUMMYFUNCTION("""COMPUTED_VALUE"""),1432.0)</f>
        <v>1432</v>
      </c>
      <c r="BU762" s="71">
        <f>IFERROR(__xludf.DUMMYFUNCTION("""COMPUTED_VALUE"""),229.12)</f>
        <v>229.12</v>
      </c>
      <c r="BV762" s="71">
        <f>IFERROR(__xludf.DUMMYFUNCTION("""COMPUTED_VALUE"""),1661.12)</f>
        <v>1661.12</v>
      </c>
    </row>
    <row r="763">
      <c r="A763" s="53">
        <v>1.0</v>
      </c>
      <c r="B763" s="53"/>
      <c r="C763" s="53" t="s">
        <v>36</v>
      </c>
      <c r="D763" s="85" t="s">
        <v>1843</v>
      </c>
      <c r="E763" s="54" t="s">
        <v>38</v>
      </c>
      <c r="F763" s="55" t="s">
        <v>39</v>
      </c>
      <c r="G763" s="86" t="s">
        <v>1844</v>
      </c>
      <c r="H763" s="55"/>
      <c r="I763" s="54">
        <f t="shared" si="24"/>
        <v>0</v>
      </c>
      <c r="J763" s="56"/>
      <c r="K763" s="57"/>
      <c r="L763" s="87"/>
      <c r="M763" s="59"/>
      <c r="N763" s="60"/>
      <c r="O763" s="61">
        <v>297.6</v>
      </c>
      <c r="P763" s="62">
        <v>219.0</v>
      </c>
      <c r="Q763" s="63">
        <v>219.0</v>
      </c>
      <c r="R763" s="64">
        <v>230.0</v>
      </c>
      <c r="S763" s="107">
        <v>242.0</v>
      </c>
      <c r="T763" s="65">
        <f t="shared" si="2"/>
        <v>38.72</v>
      </c>
      <c r="U763" s="65">
        <f t="shared" si="3"/>
        <v>280.72</v>
      </c>
      <c r="V763" s="66">
        <f t="shared" si="4"/>
        <v>0.05217391304</v>
      </c>
      <c r="W763" s="67">
        <f t="shared" si="5"/>
        <v>229.9</v>
      </c>
      <c r="X763" s="67">
        <f t="shared" si="6"/>
        <v>36.784</v>
      </c>
      <c r="Y763" s="67">
        <f t="shared" si="7"/>
        <v>266.684</v>
      </c>
      <c r="Z763" s="67">
        <f t="shared" si="8"/>
        <v>217.8</v>
      </c>
      <c r="AA763" s="67">
        <f t="shared" si="9"/>
        <v>34.848</v>
      </c>
      <c r="AB763" s="67">
        <f t="shared" si="10"/>
        <v>252.648</v>
      </c>
      <c r="AC763" s="67">
        <f t="shared" si="11"/>
        <v>205.7</v>
      </c>
      <c r="AD763" s="67">
        <f t="shared" si="12"/>
        <v>32.912</v>
      </c>
      <c r="AE763" s="67">
        <f t="shared" si="13"/>
        <v>238.612</v>
      </c>
      <c r="AF763" s="67">
        <f t="shared" si="33"/>
        <v>200.86</v>
      </c>
      <c r="AG763" s="67">
        <f t="shared" si="15"/>
        <v>32.1376</v>
      </c>
      <c r="AH763" s="67">
        <f t="shared" si="16"/>
        <v>232.9976</v>
      </c>
      <c r="AI763" s="67">
        <f t="shared" si="17"/>
        <v>193.6</v>
      </c>
      <c r="AJ763" s="68">
        <f t="shared" si="31"/>
        <v>30.976</v>
      </c>
      <c r="AK763" s="68">
        <f t="shared" si="32"/>
        <v>224.576</v>
      </c>
      <c r="AL763" s="70">
        <f>IFERROR(__xludf.DUMMYFUNCTION("""COMPUTED_VALUE"""),1.0)</f>
        <v>1</v>
      </c>
      <c r="AM763" s="70"/>
      <c r="AN763" s="71" t="str">
        <f>IFERROR(__xludf.DUMMYFUNCTION("""COMPUTED_VALUE""")," P")</f>
        <v>P</v>
      </c>
      <c r="AO763" s="71" t="str">
        <f>IFERROR(__xludf.DUMMYFUNCTION("""COMPUTED_VALUE""")," JG171")</f>
        <v>JG171</v>
      </c>
      <c r="AP763" s="71" t="str">
        <f>IFERROR(__xludf.DUMMYFUNCTION("""COMPUTED_VALUE""")," JGO")</f>
        <v>JGO</v>
      </c>
      <c r="AQ763" s="71" t="str">
        <f>IFERROR(__xludf.DUMMYFUNCTION("""COMPUTED_VALUE""")," REF")</f>
        <v>REF</v>
      </c>
      <c r="AR763" s="71" t="str">
        <f>IFERROR(__xludf.DUMMYFUNCTION("""COMPUTED_VALUE""")," JUEGO DE SINFINES MIXTOS SENCILLOS (4 PIEZAS) DE POLIGAR GRADO ALIMENTICIO 2 CORTOS IZQUIERDOS Y 2 LARGOS DERECHOS")</f>
        <v>JUEGO DE SINFINES MIXTOS SENCILLOS (4 PIEZAS) DE POLIGAR GRADO ALIMENTICIO 2 CORTOS IZQUIERDOS Y 2 LARGOS DERECHOS</v>
      </c>
      <c r="AS763" s="71" t="str">
        <f>IFERROR(__xludf.DUMMYFUNCTION("""COMPUTED_VALUE""")," JUEGO SINFINES 2CIZQ 2LDER SENC POLIGAR")</f>
        <v>JUEGO SINFINES 2CIZQ 2LDER SENC POLIGAR</v>
      </c>
      <c r="AT763" s="71">
        <f>IFERROR(__xludf.DUMMYFUNCTION("""COMPUTED_VALUE"""),39.0)</f>
        <v>39</v>
      </c>
      <c r="AU763" s="71"/>
      <c r="AV763" s="71"/>
      <c r="AW763" s="71"/>
      <c r="AX763" s="71"/>
      <c r="AY763" s="71">
        <f>IFERROR(__xludf.DUMMYFUNCTION("""COMPUTED_VALUE"""),655.0)</f>
        <v>655</v>
      </c>
      <c r="AZ763" s="71">
        <f>IFERROR(__xludf.DUMMYFUNCTION("""COMPUTED_VALUE"""),707.0)</f>
        <v>707</v>
      </c>
      <c r="BA763" s="71">
        <f>IFERROR(__xludf.DUMMYFUNCTION("""COMPUTED_VALUE"""),763.5600000000001)</f>
        <v>763.56</v>
      </c>
      <c r="BB763" s="71">
        <f>IFERROR(__xludf.DUMMYFUNCTION("""COMPUTED_VALUE"""),763.5600000000001)</f>
        <v>763.56</v>
      </c>
      <c r="BC763" s="71">
        <f>IFERROR(__xludf.DUMMYFUNCTION("""COMPUTED_VALUE"""),851.0)</f>
        <v>851</v>
      </c>
      <c r="BD763" s="71">
        <f>IFERROR(__xludf.DUMMYFUNCTION("""COMPUTED_VALUE"""),894.0)</f>
        <v>894</v>
      </c>
      <c r="BE763" s="71">
        <f>IFERROR(__xludf.DUMMYFUNCTION("""COMPUTED_VALUE"""),143.04)</f>
        <v>143.04</v>
      </c>
      <c r="BF763" s="71">
        <f>IFERROR(__xludf.DUMMYFUNCTION("""COMPUTED_VALUE"""),1037.04)</f>
        <v>1037.04</v>
      </c>
      <c r="BG763" s="71">
        <f>IFERROR(__xludf.DUMMYFUNCTION("""COMPUTED_VALUE"""),0.05052878965922444)</f>
        <v>0.05052878966</v>
      </c>
      <c r="BH763" s="71">
        <f>IFERROR(__xludf.DUMMYFUNCTION("""COMPUTED_VALUE"""),849.3)</f>
        <v>849.3</v>
      </c>
      <c r="BI763" s="71">
        <f>IFERROR(__xludf.DUMMYFUNCTION("""COMPUTED_VALUE"""),135.888)</f>
        <v>135.888</v>
      </c>
      <c r="BJ763" s="71">
        <f>IFERROR(__xludf.DUMMYFUNCTION("""COMPUTED_VALUE"""),985.188)</f>
        <v>985.188</v>
      </c>
      <c r="BK763" s="71">
        <f>IFERROR(__xludf.DUMMYFUNCTION("""COMPUTED_VALUE"""),804.6)</f>
        <v>804.6</v>
      </c>
      <c r="BL763" s="71">
        <f>IFERROR(__xludf.DUMMYFUNCTION("""COMPUTED_VALUE"""),128.73600000000002)</f>
        <v>128.736</v>
      </c>
      <c r="BM763" s="71">
        <f>IFERROR(__xludf.DUMMYFUNCTION("""COMPUTED_VALUE"""),933.336)</f>
        <v>933.336</v>
      </c>
      <c r="BN763" s="71">
        <f>IFERROR(__xludf.DUMMYFUNCTION("""COMPUTED_VALUE"""),759.9)</f>
        <v>759.9</v>
      </c>
      <c r="BO763" s="71">
        <f>IFERROR(__xludf.DUMMYFUNCTION("""COMPUTED_VALUE"""),121.584)</f>
        <v>121.584</v>
      </c>
      <c r="BP763" s="71">
        <f>IFERROR(__xludf.DUMMYFUNCTION("""COMPUTED_VALUE"""),881.4839999999999)</f>
        <v>881.484</v>
      </c>
      <c r="BQ763" s="71">
        <f>IFERROR(__xludf.DUMMYFUNCTION("""COMPUTED_VALUE"""),742.02)</f>
        <v>742.02</v>
      </c>
      <c r="BR763" s="71">
        <f>IFERROR(__xludf.DUMMYFUNCTION("""COMPUTED_VALUE"""),118.7232)</f>
        <v>118.7232</v>
      </c>
      <c r="BS763" s="71">
        <f>IFERROR(__xludf.DUMMYFUNCTION("""COMPUTED_VALUE"""),860.7432)</f>
        <v>860.7432</v>
      </c>
      <c r="BT763" s="71">
        <f>IFERROR(__xludf.DUMMYFUNCTION("""COMPUTED_VALUE"""),715.2)</f>
        <v>715.2</v>
      </c>
      <c r="BU763" s="71">
        <f>IFERROR(__xludf.DUMMYFUNCTION("""COMPUTED_VALUE"""),114.43200000000002)</f>
        <v>114.432</v>
      </c>
      <c r="BV763" s="71">
        <f>IFERROR(__xludf.DUMMYFUNCTION("""COMPUTED_VALUE"""),829.6320000000001)</f>
        <v>829.632</v>
      </c>
    </row>
    <row r="764">
      <c r="A764" s="53">
        <v>1.0</v>
      </c>
      <c r="B764" s="53"/>
      <c r="C764" s="73" t="s">
        <v>53</v>
      </c>
      <c r="D764" s="53" t="s">
        <v>1845</v>
      </c>
      <c r="E764" s="54" t="s">
        <v>38</v>
      </c>
      <c r="F764" s="54" t="s">
        <v>42</v>
      </c>
      <c r="G764" s="55" t="s">
        <v>1846</v>
      </c>
      <c r="H764" s="54" t="s">
        <v>1846</v>
      </c>
      <c r="I764" s="54">
        <f t="shared" si="24"/>
        <v>24</v>
      </c>
      <c r="J764" s="56"/>
      <c r="K764" s="75"/>
      <c r="L764" s="76"/>
      <c r="M764" s="59"/>
      <c r="N764" s="79"/>
      <c r="O764" s="61">
        <v>230.0</v>
      </c>
      <c r="P764" s="63">
        <v>149.04</v>
      </c>
      <c r="Q764" s="63">
        <v>149.04</v>
      </c>
      <c r="R764" s="64">
        <v>161.0</v>
      </c>
      <c r="S764" s="111">
        <v>169.0</v>
      </c>
      <c r="T764" s="65">
        <f t="shared" si="2"/>
        <v>27.04</v>
      </c>
      <c r="U764" s="65">
        <f t="shared" si="3"/>
        <v>196.04</v>
      </c>
      <c r="V764" s="66">
        <f t="shared" si="4"/>
        <v>0.04968944099</v>
      </c>
      <c r="W764" s="67">
        <f t="shared" si="5"/>
        <v>160.55</v>
      </c>
      <c r="X764" s="67">
        <f t="shared" si="6"/>
        <v>25.688</v>
      </c>
      <c r="Y764" s="67">
        <f t="shared" si="7"/>
        <v>186.238</v>
      </c>
      <c r="Z764" s="67">
        <f t="shared" si="8"/>
        <v>152.1</v>
      </c>
      <c r="AA764" s="67">
        <f t="shared" si="9"/>
        <v>24.336</v>
      </c>
      <c r="AB764" s="67">
        <f t="shared" si="10"/>
        <v>176.436</v>
      </c>
      <c r="AC764" s="67">
        <f t="shared" si="11"/>
        <v>143.65</v>
      </c>
      <c r="AD764" s="67">
        <f t="shared" si="12"/>
        <v>22.984</v>
      </c>
      <c r="AE764" s="67">
        <f t="shared" si="13"/>
        <v>166.634</v>
      </c>
      <c r="AF764" s="67">
        <f t="shared" si="33"/>
        <v>140.27</v>
      </c>
      <c r="AG764" s="67">
        <f t="shared" si="15"/>
        <v>22.4432</v>
      </c>
      <c r="AH764" s="67">
        <f t="shared" si="16"/>
        <v>162.7132</v>
      </c>
      <c r="AI764" s="67">
        <f t="shared" si="17"/>
        <v>135.2</v>
      </c>
      <c r="AJ764" s="68">
        <f t="shared" si="31"/>
        <v>21.632</v>
      </c>
      <c r="AK764" s="68">
        <f t="shared" si="32"/>
        <v>156.832</v>
      </c>
      <c r="AL764" s="70">
        <f>IFERROR(__xludf.DUMMYFUNCTION("""COMPUTED_VALUE"""),1.0)</f>
        <v>1</v>
      </c>
      <c r="AM764" s="70"/>
      <c r="AN764" s="71" t="str">
        <f>IFERROR(__xludf.DUMMYFUNCTION("""COMPUTED_VALUE""")," P")</f>
        <v>P</v>
      </c>
      <c r="AO764" s="71" t="str">
        <f>IFERROR(__xludf.DUMMYFUNCTION("""COMPUTED_VALUE""")," JG40")</f>
        <v>JG40</v>
      </c>
      <c r="AP764" s="71" t="str">
        <f>IFERROR(__xludf.DUMMYFUNCTION("""COMPUTED_VALUE""")," JGO")</f>
        <v>JGO</v>
      </c>
      <c r="AQ764" s="71" t="str">
        <f>IFERROR(__xludf.DUMMYFUNCTION("""COMPUTED_VALUE""")," REF")</f>
        <v>REF</v>
      </c>
      <c r="AR764" s="71" t="str">
        <f>IFERROR(__xludf.DUMMYFUNCTION("""COMPUTED_VALUE""")," JUEGO DE TAPAS EN ACERO INOXIDABLE SENCILLO MODELO ANTERIOR")</f>
        <v>JUEGO DE TAPAS EN ACERO INOXIDABLE SENCILLO MODELO ANTERIOR</v>
      </c>
      <c r="AS764" s="71" t="str">
        <f>IFERROR(__xludf.DUMMYFUNCTION("""COMPUTED_VALUE""")," JUEGO TAPAS INOX SENCILLO MA")</f>
        <v>JUEGO TAPAS INOX SENCILLO MA</v>
      </c>
      <c r="AT764" s="71">
        <f>IFERROR(__xludf.DUMMYFUNCTION("""COMPUTED_VALUE"""),28.0)</f>
        <v>28</v>
      </c>
      <c r="AU764" s="71"/>
      <c r="AV764" s="71"/>
      <c r="AW764" s="71"/>
      <c r="AX764" s="71"/>
      <c r="AY764" s="71">
        <f>IFERROR(__xludf.DUMMYFUNCTION("""COMPUTED_VALUE"""),16172.0)</f>
        <v>16172</v>
      </c>
      <c r="AZ764" s="71">
        <f>IFERROR(__xludf.DUMMYFUNCTION("""COMPUTED_VALUE"""),17465.0)</f>
        <v>17465</v>
      </c>
      <c r="BA764" s="71">
        <f>IFERROR(__xludf.DUMMYFUNCTION("""COMPUTED_VALUE"""),18862.2)</f>
        <v>18862.2</v>
      </c>
      <c r="BB764" s="71">
        <f>IFERROR(__xludf.DUMMYFUNCTION("""COMPUTED_VALUE"""),18862.2)</f>
        <v>18862.2</v>
      </c>
      <c r="BC764" s="71">
        <f>IFERROR(__xludf.DUMMYFUNCTION("""COMPUTED_VALUE"""),20994.0)</f>
        <v>20994</v>
      </c>
      <c r="BD764" s="71">
        <f>IFERROR(__xludf.DUMMYFUNCTION("""COMPUTED_VALUE"""),22044.0)</f>
        <v>22044</v>
      </c>
      <c r="BE764" s="71">
        <f>IFERROR(__xludf.DUMMYFUNCTION("""COMPUTED_VALUE"""),3527.04)</f>
        <v>3527.04</v>
      </c>
      <c r="BF764" s="71">
        <f>IFERROR(__xludf.DUMMYFUNCTION("""COMPUTED_VALUE"""),25571.04)</f>
        <v>25571.04</v>
      </c>
      <c r="BG764" s="71">
        <f>IFERROR(__xludf.DUMMYFUNCTION("""COMPUTED_VALUE"""),0.05001428979708488)</f>
        <v>0.0500142898</v>
      </c>
      <c r="BH764" s="71">
        <f>IFERROR(__xludf.DUMMYFUNCTION("""COMPUTED_VALUE"""),20941.8)</f>
        <v>20941.8</v>
      </c>
      <c r="BI764" s="71">
        <f>IFERROR(__xludf.DUMMYFUNCTION("""COMPUTED_VALUE"""),3350.688)</f>
        <v>3350.688</v>
      </c>
      <c r="BJ764" s="71">
        <f>IFERROR(__xludf.DUMMYFUNCTION("""COMPUTED_VALUE"""),24292.487999999998)</f>
        <v>24292.488</v>
      </c>
      <c r="BK764" s="71">
        <f>IFERROR(__xludf.DUMMYFUNCTION("""COMPUTED_VALUE"""),19839.600000000002)</f>
        <v>19839.6</v>
      </c>
      <c r="BL764" s="71">
        <f>IFERROR(__xludf.DUMMYFUNCTION("""COMPUTED_VALUE"""),3174.3360000000002)</f>
        <v>3174.336</v>
      </c>
      <c r="BM764" s="71">
        <f>IFERROR(__xludf.DUMMYFUNCTION("""COMPUTED_VALUE"""),23013.936)</f>
        <v>23013.936</v>
      </c>
      <c r="BN764" s="71">
        <f>IFERROR(__xludf.DUMMYFUNCTION("""COMPUTED_VALUE"""),18737.399999999998)</f>
        <v>18737.4</v>
      </c>
      <c r="BO764" s="71">
        <f>IFERROR(__xludf.DUMMYFUNCTION("""COMPUTED_VALUE"""),2997.984)</f>
        <v>2997.984</v>
      </c>
      <c r="BP764" s="71">
        <f>IFERROR(__xludf.DUMMYFUNCTION("""COMPUTED_VALUE"""),21735.384)</f>
        <v>21735.384</v>
      </c>
      <c r="BQ764" s="71">
        <f>IFERROR(__xludf.DUMMYFUNCTION("""COMPUTED_VALUE"""),18296.52)</f>
        <v>18296.52</v>
      </c>
      <c r="BR764" s="71">
        <f>IFERROR(__xludf.DUMMYFUNCTION("""COMPUTED_VALUE"""),2927.4432)</f>
        <v>2927.4432</v>
      </c>
      <c r="BS764" s="71">
        <f>IFERROR(__xludf.DUMMYFUNCTION("""COMPUTED_VALUE"""),21223.963200000002)</f>
        <v>21223.9632</v>
      </c>
      <c r="BT764" s="71">
        <f>IFERROR(__xludf.DUMMYFUNCTION("""COMPUTED_VALUE"""),17635.2)</f>
        <v>17635.2</v>
      </c>
      <c r="BU764" s="71">
        <f>IFERROR(__xludf.DUMMYFUNCTION("""COMPUTED_VALUE"""),2821.632)</f>
        <v>2821.632</v>
      </c>
      <c r="BV764" s="71">
        <f>IFERROR(__xludf.DUMMYFUNCTION("""COMPUTED_VALUE"""),20456.832000000002)</f>
        <v>20456.832</v>
      </c>
    </row>
    <row r="765">
      <c r="A765" s="53"/>
      <c r="B765" s="53"/>
      <c r="C765" s="53"/>
      <c r="D765" s="53" t="s">
        <v>1847</v>
      </c>
      <c r="E765" s="86" t="s">
        <v>38</v>
      </c>
      <c r="F765" s="91" t="s">
        <v>42</v>
      </c>
      <c r="G765" s="84" t="s">
        <v>1848</v>
      </c>
      <c r="H765" s="55"/>
      <c r="I765" s="54">
        <f t="shared" si="24"/>
        <v>0</v>
      </c>
      <c r="J765" s="56"/>
      <c r="K765" s="57"/>
      <c r="L765" s="87"/>
      <c r="M765" s="59"/>
      <c r="N765" s="60"/>
      <c r="O765" s="90"/>
      <c r="P765" s="62">
        <v>385.0</v>
      </c>
      <c r="Q765" s="63">
        <v>385.0</v>
      </c>
      <c r="R765" s="64">
        <v>405.0</v>
      </c>
      <c r="S765" s="111">
        <v>425.0</v>
      </c>
      <c r="T765" s="65">
        <f t="shared" si="2"/>
        <v>68</v>
      </c>
      <c r="U765" s="65">
        <f t="shared" si="3"/>
        <v>493</v>
      </c>
      <c r="V765" s="66">
        <f t="shared" si="4"/>
        <v>0.04938271605</v>
      </c>
      <c r="W765" s="67">
        <f t="shared" si="5"/>
        <v>403.75</v>
      </c>
      <c r="X765" s="67">
        <f t="shared" si="6"/>
        <v>64.6</v>
      </c>
      <c r="Y765" s="67">
        <f t="shared" si="7"/>
        <v>468.35</v>
      </c>
      <c r="Z765" s="67">
        <f t="shared" si="8"/>
        <v>382.5</v>
      </c>
      <c r="AA765" s="67">
        <f t="shared" si="9"/>
        <v>61.2</v>
      </c>
      <c r="AB765" s="67">
        <f t="shared" si="10"/>
        <v>443.7</v>
      </c>
      <c r="AC765" s="67">
        <f t="shared" si="11"/>
        <v>361.25</v>
      </c>
      <c r="AD765" s="67">
        <f t="shared" si="12"/>
        <v>57.8</v>
      </c>
      <c r="AE765" s="67">
        <f t="shared" si="13"/>
        <v>419.05</v>
      </c>
      <c r="AF765" s="67">
        <f t="shared" si="33"/>
        <v>352.75</v>
      </c>
      <c r="AG765" s="67">
        <f t="shared" si="15"/>
        <v>56.44</v>
      </c>
      <c r="AH765" s="67">
        <f t="shared" si="16"/>
        <v>409.19</v>
      </c>
      <c r="AI765" s="67">
        <f t="shared" si="17"/>
        <v>340</v>
      </c>
      <c r="AJ765" s="68">
        <f t="shared" si="31"/>
        <v>54.4</v>
      </c>
      <c r="AK765" s="68">
        <f t="shared" si="32"/>
        <v>394.4</v>
      </c>
      <c r="AL765" s="70">
        <f>IFERROR(__xludf.DUMMYFUNCTION("""COMPUTED_VALUE"""),1.0)</f>
        <v>1</v>
      </c>
      <c r="AM765" s="70"/>
      <c r="AN765" s="71" t="str">
        <f>IFERROR(__xludf.DUMMYFUNCTION("""COMPUTED_VALUE""")," P")</f>
        <v>P</v>
      </c>
      <c r="AO765" s="71" t="str">
        <f>IFERROR(__xludf.DUMMYFUNCTION("""COMPUTED_VALUE""")," JG41")</f>
        <v>JG41</v>
      </c>
      <c r="AP765" s="71" t="str">
        <f>IFERROR(__xludf.DUMMYFUNCTION("""COMPUTED_VALUE""")," JGO")</f>
        <v>JGO</v>
      </c>
      <c r="AQ765" s="71" t="str">
        <f>IFERROR(__xludf.DUMMYFUNCTION("""COMPUTED_VALUE""")," REF")</f>
        <v>REF</v>
      </c>
      <c r="AR765" s="71" t="str">
        <f>IFERROR(__xludf.DUMMYFUNCTION("""COMPUTED_VALUE""")," JUEGO DE TAPAS EN ACERO INOXIDABLE SENCILLO TV-30 CON CAMPANA")</f>
        <v>JUEGO DE TAPAS EN ACERO INOXIDABLE SENCILLO TV-30 CON CAMPANA</v>
      </c>
      <c r="AS765" s="71" t="str">
        <f>IFERROR(__xludf.DUMMYFUNCTION("""COMPUTED_VALUE""")," JUEGO TAPAS INOX SENC TV30 C/CAMPANA")</f>
        <v>JUEGO TAPAS INOX SENC TV30 C/CAMPANA</v>
      </c>
      <c r="AT765" s="71">
        <f>IFERROR(__xludf.DUMMYFUNCTION("""COMPUTED_VALUE"""),36.0)</f>
        <v>36</v>
      </c>
      <c r="AU765" s="71"/>
      <c r="AV765" s="71"/>
      <c r="AW765" s="71"/>
      <c r="AX765" s="71"/>
      <c r="AY765" s="71">
        <f>IFERROR(__xludf.DUMMYFUNCTION("""COMPUTED_VALUE"""),21119.0)</f>
        <v>21119</v>
      </c>
      <c r="AZ765" s="71">
        <f>IFERROR(__xludf.DUMMYFUNCTION("""COMPUTED_VALUE"""),22808.0)</f>
        <v>22808</v>
      </c>
      <c r="BA765" s="71">
        <f>IFERROR(__xludf.DUMMYFUNCTION("""COMPUTED_VALUE"""),24632.640000000003)</f>
        <v>24632.64</v>
      </c>
      <c r="BB765" s="71">
        <f>IFERROR(__xludf.DUMMYFUNCTION("""COMPUTED_VALUE"""),24632.640000000003)</f>
        <v>24632.64</v>
      </c>
      <c r="BC765" s="71">
        <f>IFERROR(__xludf.DUMMYFUNCTION("""COMPUTED_VALUE"""),27417.0)</f>
        <v>27417</v>
      </c>
      <c r="BD765" s="71">
        <f>IFERROR(__xludf.DUMMYFUNCTION("""COMPUTED_VALUE"""),28788.0)</f>
        <v>28788</v>
      </c>
      <c r="BE765" s="71">
        <f>IFERROR(__xludf.DUMMYFUNCTION("""COMPUTED_VALUE"""),4606.08)</f>
        <v>4606.08</v>
      </c>
      <c r="BF765" s="71">
        <f>IFERROR(__xludf.DUMMYFUNCTION("""COMPUTED_VALUE"""),33394.08)</f>
        <v>33394.08</v>
      </c>
      <c r="BG765" s="71">
        <f>IFERROR(__xludf.DUMMYFUNCTION("""COMPUTED_VALUE"""),0.05000547105810264)</f>
        <v>0.05000547106</v>
      </c>
      <c r="BH765" s="71">
        <f>IFERROR(__xludf.DUMMYFUNCTION("""COMPUTED_VALUE"""),27348.6)</f>
        <v>27348.6</v>
      </c>
      <c r="BI765" s="71">
        <f>IFERROR(__xludf.DUMMYFUNCTION("""COMPUTED_VALUE"""),4375.776)</f>
        <v>4375.776</v>
      </c>
      <c r="BJ765" s="71">
        <f>IFERROR(__xludf.DUMMYFUNCTION("""COMPUTED_VALUE"""),31724.375999999997)</f>
        <v>31724.376</v>
      </c>
      <c r="BK765" s="71">
        <f>IFERROR(__xludf.DUMMYFUNCTION("""COMPUTED_VALUE"""),25909.2)</f>
        <v>25909.2</v>
      </c>
      <c r="BL765" s="71">
        <f>IFERROR(__xludf.DUMMYFUNCTION("""COMPUTED_VALUE"""),4145.472)</f>
        <v>4145.472</v>
      </c>
      <c r="BM765" s="71">
        <f>IFERROR(__xludf.DUMMYFUNCTION("""COMPUTED_VALUE"""),30054.672)</f>
        <v>30054.672</v>
      </c>
      <c r="BN765" s="71">
        <f>IFERROR(__xludf.DUMMYFUNCTION("""COMPUTED_VALUE"""),24469.8)</f>
        <v>24469.8</v>
      </c>
      <c r="BO765" s="71">
        <f>IFERROR(__xludf.DUMMYFUNCTION("""COMPUTED_VALUE"""),3915.168)</f>
        <v>3915.168</v>
      </c>
      <c r="BP765" s="71">
        <f>IFERROR(__xludf.DUMMYFUNCTION("""COMPUTED_VALUE"""),28384.968)</f>
        <v>28384.968</v>
      </c>
      <c r="BQ765" s="71">
        <f>IFERROR(__xludf.DUMMYFUNCTION("""COMPUTED_VALUE"""),23894.039999999997)</f>
        <v>23894.04</v>
      </c>
      <c r="BR765" s="71">
        <f>IFERROR(__xludf.DUMMYFUNCTION("""COMPUTED_VALUE"""),3823.0463999999997)</f>
        <v>3823.0464</v>
      </c>
      <c r="BS765" s="71">
        <f>IFERROR(__xludf.DUMMYFUNCTION("""COMPUTED_VALUE"""),27717.086399999997)</f>
        <v>27717.0864</v>
      </c>
      <c r="BT765" s="71">
        <f>IFERROR(__xludf.DUMMYFUNCTION("""COMPUTED_VALUE"""),23030.4)</f>
        <v>23030.4</v>
      </c>
      <c r="BU765" s="71">
        <f>IFERROR(__xludf.DUMMYFUNCTION("""COMPUTED_VALUE"""),3684.8640000000005)</f>
        <v>3684.864</v>
      </c>
      <c r="BV765" s="71">
        <f>IFERROR(__xludf.DUMMYFUNCTION("""COMPUTED_VALUE"""),26715.264000000003)</f>
        <v>26715.264</v>
      </c>
    </row>
    <row r="766">
      <c r="A766" s="53"/>
      <c r="B766" s="53"/>
      <c r="C766" s="73" t="s">
        <v>53</v>
      </c>
      <c r="D766" s="53" t="s">
        <v>1849</v>
      </c>
      <c r="E766" s="54" t="s">
        <v>38</v>
      </c>
      <c r="F766" s="54" t="s">
        <v>42</v>
      </c>
      <c r="G766" s="55" t="s">
        <v>1850</v>
      </c>
      <c r="H766" s="54" t="s">
        <v>1850</v>
      </c>
      <c r="I766" s="54">
        <f t="shared" si="24"/>
        <v>26</v>
      </c>
      <c r="J766" s="56"/>
      <c r="K766" s="57"/>
      <c r="L766" s="76"/>
      <c r="M766" s="59"/>
      <c r="N766" s="79"/>
      <c r="O766" s="61">
        <v>301.0</v>
      </c>
      <c r="P766" s="63">
        <v>325.08000000000004</v>
      </c>
      <c r="Q766" s="63">
        <v>325.08000000000004</v>
      </c>
      <c r="R766" s="64">
        <v>342.0</v>
      </c>
      <c r="S766" s="111">
        <v>359.0</v>
      </c>
      <c r="T766" s="65">
        <f t="shared" si="2"/>
        <v>57.44</v>
      </c>
      <c r="U766" s="65">
        <f t="shared" si="3"/>
        <v>416.44</v>
      </c>
      <c r="V766" s="66">
        <f t="shared" si="4"/>
        <v>0.04970760234</v>
      </c>
      <c r="W766" s="67">
        <f t="shared" si="5"/>
        <v>341.05</v>
      </c>
      <c r="X766" s="67">
        <f t="shared" si="6"/>
        <v>54.568</v>
      </c>
      <c r="Y766" s="67">
        <f t="shared" si="7"/>
        <v>395.618</v>
      </c>
      <c r="Z766" s="67">
        <f t="shared" si="8"/>
        <v>323.1</v>
      </c>
      <c r="AA766" s="67">
        <f t="shared" si="9"/>
        <v>51.696</v>
      </c>
      <c r="AB766" s="67">
        <f t="shared" si="10"/>
        <v>374.796</v>
      </c>
      <c r="AC766" s="67">
        <f t="shared" si="11"/>
        <v>305.15</v>
      </c>
      <c r="AD766" s="67">
        <f t="shared" si="12"/>
        <v>48.824</v>
      </c>
      <c r="AE766" s="67">
        <f t="shared" si="13"/>
        <v>353.974</v>
      </c>
      <c r="AF766" s="67">
        <f t="shared" si="33"/>
        <v>297.97</v>
      </c>
      <c r="AG766" s="67">
        <f t="shared" si="15"/>
        <v>47.6752</v>
      </c>
      <c r="AH766" s="67">
        <f t="shared" si="16"/>
        <v>345.6452</v>
      </c>
      <c r="AI766" s="67">
        <f t="shared" si="17"/>
        <v>287.2</v>
      </c>
      <c r="AJ766" s="68">
        <f t="shared" si="31"/>
        <v>45.952</v>
      </c>
      <c r="AK766" s="68">
        <f t="shared" si="32"/>
        <v>333.152</v>
      </c>
      <c r="AL766" s="70">
        <f>IFERROR(__xludf.DUMMYFUNCTION("""COMPUTED_VALUE"""),1.0)</f>
        <v>1</v>
      </c>
      <c r="AM766" s="70"/>
      <c r="AN766" s="71" t="str">
        <f>IFERROR(__xludf.DUMMYFUNCTION("""COMPUTED_VALUE""")," P")</f>
        <v>P</v>
      </c>
      <c r="AO766" s="71" t="str">
        <f>IFERROR(__xludf.DUMMYFUNCTION("""COMPUTED_VALUE""")," JG42")</f>
        <v>JG42</v>
      </c>
      <c r="AP766" s="71" t="str">
        <f>IFERROR(__xludf.DUMMYFUNCTION("""COMPUTED_VALUE""")," JGO")</f>
        <v>JGO</v>
      </c>
      <c r="AQ766" s="71" t="str">
        <f>IFERROR(__xludf.DUMMYFUNCTION("""COMPUTED_VALUE""")," REF")</f>
        <v>REF</v>
      </c>
      <c r="AR766" s="71" t="str">
        <f>IFERROR(__xludf.DUMMYFUNCTION("""COMPUTED_VALUE""")," JUEGO DE TAPAS EN ACERO INOXIDABLE SENCILLO TV-40 CON CAMPANA")</f>
        <v>JUEGO DE TAPAS EN ACERO INOXIDABLE SENCILLO TV-40 CON CAMPANA</v>
      </c>
      <c r="AS766" s="71" t="str">
        <f>IFERROR(__xludf.DUMMYFUNCTION("""COMPUTED_VALUE""")," JUEGO TAPAS INOX SENC TV40 C/CAMPANA")</f>
        <v>JUEGO TAPAS INOX SENC TV40 C/CAMPANA</v>
      </c>
      <c r="AT766" s="71">
        <f>IFERROR(__xludf.DUMMYFUNCTION("""COMPUTED_VALUE"""),36.0)</f>
        <v>36</v>
      </c>
      <c r="AU766" s="71"/>
      <c r="AV766" s="71"/>
      <c r="AW766" s="71"/>
      <c r="AX766" s="71"/>
      <c r="AY766" s="71">
        <f>IFERROR(__xludf.DUMMYFUNCTION("""COMPUTED_VALUE"""),22756.0)</f>
        <v>22756</v>
      </c>
      <c r="AZ766" s="71">
        <f>IFERROR(__xludf.DUMMYFUNCTION("""COMPUTED_VALUE"""),24576.0)</f>
        <v>24576</v>
      </c>
      <c r="BA766" s="71">
        <f>IFERROR(__xludf.DUMMYFUNCTION("""COMPUTED_VALUE"""),26542.08)</f>
        <v>26542.08</v>
      </c>
      <c r="BB766" s="71">
        <f>IFERROR(__xludf.DUMMYFUNCTION("""COMPUTED_VALUE"""),26542.08)</f>
        <v>26542.08</v>
      </c>
      <c r="BC766" s="71">
        <f>IFERROR(__xludf.DUMMYFUNCTION("""COMPUTED_VALUE"""),29542.0)</f>
        <v>29542</v>
      </c>
      <c r="BD766" s="71">
        <f>IFERROR(__xludf.DUMMYFUNCTION("""COMPUTED_VALUE"""),31019.0)</f>
        <v>31019</v>
      </c>
      <c r="BE766" s="71">
        <f>IFERROR(__xludf.DUMMYFUNCTION("""COMPUTED_VALUE"""),4963.04)</f>
        <v>4963.04</v>
      </c>
      <c r="BF766" s="71">
        <f>IFERROR(__xludf.DUMMYFUNCTION("""COMPUTED_VALUE"""),35982.04)</f>
        <v>35982.04</v>
      </c>
      <c r="BG766" s="71">
        <f>IFERROR(__xludf.DUMMYFUNCTION("""COMPUTED_VALUE"""),0.049996614988829464)</f>
        <v>0.04999661499</v>
      </c>
      <c r="BH766" s="71">
        <f>IFERROR(__xludf.DUMMYFUNCTION("""COMPUTED_VALUE"""),29468.05)</f>
        <v>29468.05</v>
      </c>
      <c r="BI766" s="71">
        <f>IFERROR(__xludf.DUMMYFUNCTION("""COMPUTED_VALUE"""),4714.888)</f>
        <v>4714.888</v>
      </c>
      <c r="BJ766" s="71">
        <f>IFERROR(__xludf.DUMMYFUNCTION("""COMPUTED_VALUE"""),34182.938)</f>
        <v>34182.938</v>
      </c>
      <c r="BK766" s="71">
        <f>IFERROR(__xludf.DUMMYFUNCTION("""COMPUTED_VALUE"""),27917.100000000002)</f>
        <v>27917.1</v>
      </c>
      <c r="BL766" s="71">
        <f>IFERROR(__xludf.DUMMYFUNCTION("""COMPUTED_VALUE"""),4466.736000000001)</f>
        <v>4466.736</v>
      </c>
      <c r="BM766" s="71">
        <f>IFERROR(__xludf.DUMMYFUNCTION("""COMPUTED_VALUE"""),32383.836000000003)</f>
        <v>32383.836</v>
      </c>
      <c r="BN766" s="71">
        <f>IFERROR(__xludf.DUMMYFUNCTION("""COMPUTED_VALUE"""),26366.149999999998)</f>
        <v>26366.15</v>
      </c>
      <c r="BO766" s="71">
        <f>IFERROR(__xludf.DUMMYFUNCTION("""COMPUTED_VALUE"""),4218.584)</f>
        <v>4218.584</v>
      </c>
      <c r="BP766" s="71">
        <f>IFERROR(__xludf.DUMMYFUNCTION("""COMPUTED_VALUE"""),30584.733999999997)</f>
        <v>30584.734</v>
      </c>
      <c r="BQ766" s="71">
        <f>IFERROR(__xludf.DUMMYFUNCTION("""COMPUTED_VALUE"""),25745.77)</f>
        <v>25745.77</v>
      </c>
      <c r="BR766" s="71">
        <f>IFERROR(__xludf.DUMMYFUNCTION("""COMPUTED_VALUE"""),4119.3232)</f>
        <v>4119.3232</v>
      </c>
      <c r="BS766" s="71">
        <f>IFERROR(__xludf.DUMMYFUNCTION("""COMPUTED_VALUE"""),29865.0932)</f>
        <v>29865.0932</v>
      </c>
      <c r="BT766" s="71">
        <f>IFERROR(__xludf.DUMMYFUNCTION("""COMPUTED_VALUE"""),24815.2)</f>
        <v>24815.2</v>
      </c>
      <c r="BU766" s="71">
        <f>IFERROR(__xludf.DUMMYFUNCTION("""COMPUTED_VALUE"""),3970.4320000000002)</f>
        <v>3970.432</v>
      </c>
      <c r="BV766" s="71">
        <f>IFERROR(__xludf.DUMMYFUNCTION("""COMPUTED_VALUE"""),28785.632)</f>
        <v>28785.632</v>
      </c>
    </row>
    <row r="767">
      <c r="A767" s="53"/>
      <c r="B767" s="53"/>
      <c r="C767" s="53" t="s">
        <v>53</v>
      </c>
      <c r="D767" s="53" t="s">
        <v>1851</v>
      </c>
      <c r="E767" s="54" t="s">
        <v>38</v>
      </c>
      <c r="F767" s="54" t="s">
        <v>42</v>
      </c>
      <c r="G767" s="55" t="s">
        <v>1852</v>
      </c>
      <c r="H767" s="54" t="s">
        <v>1852</v>
      </c>
      <c r="I767" s="54">
        <f t="shared" si="24"/>
        <v>26</v>
      </c>
      <c r="J767" s="56"/>
      <c r="K767" s="57"/>
      <c r="L767" s="77"/>
      <c r="M767" s="59"/>
      <c r="N767" s="79">
        <v>468.0</v>
      </c>
      <c r="O767" s="61">
        <v>505.0</v>
      </c>
      <c r="P767" s="63">
        <v>545.4000000000001</v>
      </c>
      <c r="Q767" s="63">
        <v>545.4000000000001</v>
      </c>
      <c r="R767" s="64">
        <v>573.0</v>
      </c>
      <c r="S767" s="111">
        <v>602.0</v>
      </c>
      <c r="T767" s="65">
        <f t="shared" si="2"/>
        <v>96.32</v>
      </c>
      <c r="U767" s="65">
        <f t="shared" si="3"/>
        <v>698.32</v>
      </c>
      <c r="V767" s="66">
        <f t="shared" si="4"/>
        <v>0.05061082024</v>
      </c>
      <c r="W767" s="67">
        <f t="shared" si="5"/>
        <v>571.9</v>
      </c>
      <c r="X767" s="67">
        <f t="shared" si="6"/>
        <v>91.504</v>
      </c>
      <c r="Y767" s="67">
        <f t="shared" si="7"/>
        <v>663.404</v>
      </c>
      <c r="Z767" s="67">
        <f t="shared" si="8"/>
        <v>541.8</v>
      </c>
      <c r="AA767" s="67">
        <f t="shared" si="9"/>
        <v>86.688</v>
      </c>
      <c r="AB767" s="67">
        <f t="shared" si="10"/>
        <v>628.488</v>
      </c>
      <c r="AC767" s="67">
        <f t="shared" si="11"/>
        <v>511.7</v>
      </c>
      <c r="AD767" s="67">
        <f t="shared" si="12"/>
        <v>81.872</v>
      </c>
      <c r="AE767" s="67">
        <f t="shared" si="13"/>
        <v>593.572</v>
      </c>
      <c r="AF767" s="67">
        <f t="shared" si="33"/>
        <v>499.66</v>
      </c>
      <c r="AG767" s="67">
        <f t="shared" si="15"/>
        <v>79.9456</v>
      </c>
      <c r="AH767" s="67">
        <f t="shared" si="16"/>
        <v>579.6056</v>
      </c>
      <c r="AI767" s="67">
        <f t="shared" si="17"/>
        <v>481.6</v>
      </c>
      <c r="AJ767" s="68">
        <f t="shared" si="31"/>
        <v>77.056</v>
      </c>
      <c r="AK767" s="68">
        <f t="shared" si="32"/>
        <v>558.656</v>
      </c>
      <c r="AL767" s="70">
        <f>IFERROR(__xludf.DUMMYFUNCTION("""COMPUTED_VALUE"""),1.0)</f>
        <v>1</v>
      </c>
      <c r="AM767" s="70"/>
      <c r="AN767" s="71" t="str">
        <f>IFERROR(__xludf.DUMMYFUNCTION("""COMPUTED_VALUE""")," P")</f>
        <v>P</v>
      </c>
      <c r="AO767" s="71" t="str">
        <f>IFERROR(__xludf.DUMMYFUNCTION("""COMPUTED_VALUE""")," JG39")</f>
        <v>JG39</v>
      </c>
      <c r="AP767" s="71" t="str">
        <f>IFERROR(__xludf.DUMMYFUNCTION("""COMPUTED_VALUE""")," JGO")</f>
        <v>JGO</v>
      </c>
      <c r="AQ767" s="71" t="str">
        <f>IFERROR(__xludf.DUMMYFUNCTION("""COMPUTED_VALUE""")," REF")</f>
        <v>REF</v>
      </c>
      <c r="AR767" s="71" t="str">
        <f>IFERROR(__xludf.DUMMYFUNCTION("""COMPUTED_VALUE""")," JUEGO DE TAPAS EN ACERO INOXIDABLE SENCILLO TV-50 (B.C.) CON CAMPANA")</f>
        <v>JUEGO DE TAPAS EN ACERO INOXIDABLE SENCILLO TV-50 (B.C.) CON CAMPANA</v>
      </c>
      <c r="AS767" s="71" t="str">
        <f>IFERROR(__xludf.DUMMYFUNCTION("""COMPUTED_VALUE""")," JUEGO TAPAS INOX SENC TV50 BC C/CAMPANA")</f>
        <v>JUEGO TAPAS INOX SENC TV50 BC C/CAMPANA</v>
      </c>
      <c r="AT767" s="71">
        <f>IFERROR(__xludf.DUMMYFUNCTION("""COMPUTED_VALUE"""),39.0)</f>
        <v>39</v>
      </c>
      <c r="AU767" s="71"/>
      <c r="AV767" s="71"/>
      <c r="AW767" s="71"/>
      <c r="AX767" s="71"/>
      <c r="AY767" s="71">
        <f>IFERROR(__xludf.DUMMYFUNCTION("""COMPUTED_VALUE"""),26015.0)</f>
        <v>26015</v>
      </c>
      <c r="AZ767" s="71">
        <f>IFERROR(__xludf.DUMMYFUNCTION("""COMPUTED_VALUE"""),28096.0)</f>
        <v>28096</v>
      </c>
      <c r="BA767" s="71">
        <f>IFERROR(__xludf.DUMMYFUNCTION("""COMPUTED_VALUE"""),30343.68)</f>
        <v>30343.68</v>
      </c>
      <c r="BB767" s="71">
        <f>IFERROR(__xludf.DUMMYFUNCTION("""COMPUTED_VALUE"""),30343.68)</f>
        <v>30343.68</v>
      </c>
      <c r="BC767" s="71">
        <f>IFERROR(__xludf.DUMMYFUNCTION("""COMPUTED_VALUE"""),33774.0)</f>
        <v>33774</v>
      </c>
      <c r="BD767" s="71">
        <f>IFERROR(__xludf.DUMMYFUNCTION("""COMPUTED_VALUE"""),35463.0)</f>
        <v>35463</v>
      </c>
      <c r="BE767" s="71">
        <f>IFERROR(__xludf.DUMMYFUNCTION("""COMPUTED_VALUE"""),5674.08)</f>
        <v>5674.08</v>
      </c>
      <c r="BF767" s="71">
        <f>IFERROR(__xludf.DUMMYFUNCTION("""COMPUTED_VALUE"""),41137.08)</f>
        <v>41137.08</v>
      </c>
      <c r="BG767" s="71">
        <f>IFERROR(__xludf.DUMMYFUNCTION("""COMPUTED_VALUE"""),0.050008882572392964)</f>
        <v>0.05000888257</v>
      </c>
      <c r="BH767" s="71">
        <f>IFERROR(__xludf.DUMMYFUNCTION("""COMPUTED_VALUE"""),33689.85)</f>
        <v>33689.85</v>
      </c>
      <c r="BI767" s="71">
        <f>IFERROR(__xludf.DUMMYFUNCTION("""COMPUTED_VALUE"""),5390.376)</f>
        <v>5390.376</v>
      </c>
      <c r="BJ767" s="71">
        <f>IFERROR(__xludf.DUMMYFUNCTION("""COMPUTED_VALUE"""),39080.225999999995)</f>
        <v>39080.226</v>
      </c>
      <c r="BK767" s="71">
        <f>IFERROR(__xludf.DUMMYFUNCTION("""COMPUTED_VALUE"""),31916.7)</f>
        <v>31916.7</v>
      </c>
      <c r="BL767" s="71">
        <f>IFERROR(__xludf.DUMMYFUNCTION("""COMPUTED_VALUE"""),5106.6720000000005)</f>
        <v>5106.672</v>
      </c>
      <c r="BM767" s="71">
        <f>IFERROR(__xludf.DUMMYFUNCTION("""COMPUTED_VALUE"""),37023.372)</f>
        <v>37023.372</v>
      </c>
      <c r="BN767" s="71">
        <f>IFERROR(__xludf.DUMMYFUNCTION("""COMPUTED_VALUE"""),30143.55)</f>
        <v>30143.55</v>
      </c>
      <c r="BO767" s="71">
        <f>IFERROR(__xludf.DUMMYFUNCTION("""COMPUTED_VALUE"""),4822.968)</f>
        <v>4822.968</v>
      </c>
      <c r="BP767" s="71">
        <f>IFERROR(__xludf.DUMMYFUNCTION("""COMPUTED_VALUE"""),34966.518)</f>
        <v>34966.518</v>
      </c>
      <c r="BQ767" s="71">
        <f>IFERROR(__xludf.DUMMYFUNCTION("""COMPUTED_VALUE"""),29434.289999999997)</f>
        <v>29434.29</v>
      </c>
      <c r="BR767" s="71">
        <f>IFERROR(__xludf.DUMMYFUNCTION("""COMPUTED_VALUE"""),4709.4864)</f>
        <v>4709.4864</v>
      </c>
      <c r="BS767" s="71">
        <f>IFERROR(__xludf.DUMMYFUNCTION("""COMPUTED_VALUE"""),34143.776399999995)</f>
        <v>34143.7764</v>
      </c>
      <c r="BT767" s="71">
        <f>IFERROR(__xludf.DUMMYFUNCTION("""COMPUTED_VALUE"""),28370.4)</f>
        <v>28370.4</v>
      </c>
      <c r="BU767" s="71">
        <f>IFERROR(__xludf.DUMMYFUNCTION("""COMPUTED_VALUE"""),4539.264)</f>
        <v>4539.264</v>
      </c>
      <c r="BV767" s="71">
        <f>IFERROR(__xludf.DUMMYFUNCTION("""COMPUTED_VALUE"""),32909.664000000004)</f>
        <v>32909.664</v>
      </c>
    </row>
    <row r="768">
      <c r="A768" s="53"/>
      <c r="B768" s="53">
        <v>3.0</v>
      </c>
      <c r="C768" s="53" t="s">
        <v>36</v>
      </c>
      <c r="D768" s="120" t="s">
        <v>1853</v>
      </c>
      <c r="E768" s="54" t="s">
        <v>38</v>
      </c>
      <c r="F768" s="55" t="s">
        <v>187</v>
      </c>
      <c r="G768" s="138" t="s">
        <v>1854</v>
      </c>
      <c r="H768" s="55"/>
      <c r="I768" s="54">
        <f t="shared" si="24"/>
        <v>0</v>
      </c>
      <c r="J768" s="56"/>
      <c r="K768" s="57"/>
      <c r="L768" s="76"/>
      <c r="M768" s="59"/>
      <c r="N768" s="60"/>
      <c r="O768" s="61">
        <v>3438.0</v>
      </c>
      <c r="P768" s="62">
        <v>3713.0400000000004</v>
      </c>
      <c r="Q768" s="63">
        <v>3713.0400000000004</v>
      </c>
      <c r="R768" s="64">
        <v>4094.0</v>
      </c>
      <c r="S768" s="107">
        <v>4299.0</v>
      </c>
      <c r="T768" s="65">
        <f t="shared" si="2"/>
        <v>687.84</v>
      </c>
      <c r="U768" s="65">
        <f t="shared" si="3"/>
        <v>4986.84</v>
      </c>
      <c r="V768" s="66">
        <f t="shared" si="4"/>
        <v>0.05007327797</v>
      </c>
      <c r="W768" s="67">
        <f t="shared" si="5"/>
        <v>4084.05</v>
      </c>
      <c r="X768" s="67">
        <f t="shared" si="6"/>
        <v>653.448</v>
      </c>
      <c r="Y768" s="67">
        <f t="shared" si="7"/>
        <v>4737.498</v>
      </c>
      <c r="Z768" s="67">
        <f t="shared" si="8"/>
        <v>3869.1</v>
      </c>
      <c r="AA768" s="67">
        <f t="shared" si="9"/>
        <v>619.056</v>
      </c>
      <c r="AB768" s="67">
        <f t="shared" si="10"/>
        <v>4488.156</v>
      </c>
      <c r="AC768" s="67">
        <f t="shared" si="11"/>
        <v>3869.1</v>
      </c>
      <c r="AD768" s="67">
        <f t="shared" si="12"/>
        <v>619.056</v>
      </c>
      <c r="AE768" s="67">
        <f t="shared" si="13"/>
        <v>4488.156</v>
      </c>
      <c r="AF768" s="67">
        <f t="shared" si="33"/>
        <v>3869.1</v>
      </c>
      <c r="AG768" s="67">
        <f t="shared" si="15"/>
        <v>619.056</v>
      </c>
      <c r="AH768" s="67">
        <f t="shared" si="16"/>
        <v>4488.156</v>
      </c>
      <c r="AI768" s="67">
        <f t="shared" si="17"/>
        <v>3869.1</v>
      </c>
      <c r="AJ768" s="68">
        <f t="shared" si="31"/>
        <v>619.056</v>
      </c>
      <c r="AK768" s="68">
        <f t="shared" si="32"/>
        <v>4488.156</v>
      </c>
      <c r="AL768" s="70">
        <f>IFERROR(__xludf.DUMMYFUNCTION("""COMPUTED_VALUE"""),1.0)</f>
        <v>1</v>
      </c>
      <c r="AM768" s="70"/>
      <c r="AN768" s="71" t="str">
        <f>IFERROR(__xludf.DUMMYFUNCTION("""COMPUTED_VALUE""")," P")</f>
        <v>P</v>
      </c>
      <c r="AO768" s="71" t="str">
        <f>IFERROR(__xludf.DUMMYFUNCTION("""COMPUTED_VALUE""")," JG43")</f>
        <v>JG43</v>
      </c>
      <c r="AP768" s="71" t="str">
        <f>IFERROR(__xludf.DUMMYFUNCTION("""COMPUTED_VALUE""")," JGO")</f>
        <v>JGO</v>
      </c>
      <c r="AQ768" s="71" t="str">
        <f>IFERROR(__xludf.DUMMYFUNCTION("""COMPUTED_VALUE""")," REF")</f>
        <v>REF</v>
      </c>
      <c r="AR768" s="71" t="str">
        <f>IFERROR(__xludf.DUMMYFUNCTION("""COMPUTED_VALUE""")," JUEGO DE TIRANTES PARA ACOMODADOR DE TORTILLA")</f>
        <v>JUEGO DE TIRANTES PARA ACOMODADOR DE TORTILLA</v>
      </c>
      <c r="AS768" s="71" t="str">
        <f>IFERROR(__xludf.DUMMYFUNCTION("""COMPUTED_VALUE""")," JUEGO TIRANTES P/ACOMODADOR TORTILLA")</f>
        <v>JUEGO TIRANTES P/ACOMODADOR TORTILLA</v>
      </c>
      <c r="AT768" s="71">
        <f>IFERROR(__xludf.DUMMYFUNCTION("""COMPUTED_VALUE"""),36.0)</f>
        <v>36</v>
      </c>
      <c r="AU768" s="71"/>
      <c r="AV768" s="71"/>
      <c r="AW768" s="71"/>
      <c r="AX768" s="71"/>
      <c r="AY768" s="71">
        <f>IFERROR(__xludf.DUMMYFUNCTION("""COMPUTED_VALUE"""),88.0)</f>
        <v>88</v>
      </c>
      <c r="AZ768" s="71">
        <f>IFERROR(__xludf.DUMMYFUNCTION("""COMPUTED_VALUE"""),95.0)</f>
        <v>95</v>
      </c>
      <c r="BA768" s="71">
        <f>IFERROR(__xludf.DUMMYFUNCTION("""COMPUTED_VALUE"""),102.60000000000001)</f>
        <v>102.6</v>
      </c>
      <c r="BB768" s="71">
        <f>IFERROR(__xludf.DUMMYFUNCTION("""COMPUTED_VALUE"""),102.60000000000001)</f>
        <v>102.6</v>
      </c>
      <c r="BC768" s="71">
        <f>IFERROR(__xludf.DUMMYFUNCTION("""COMPUTED_VALUE"""),115.0)</f>
        <v>115</v>
      </c>
      <c r="BD768" s="71">
        <f>IFERROR(__xludf.DUMMYFUNCTION("""COMPUTED_VALUE"""),121.0)</f>
        <v>121</v>
      </c>
      <c r="BE768" s="71">
        <f>IFERROR(__xludf.DUMMYFUNCTION("""COMPUTED_VALUE"""),19.36)</f>
        <v>19.36</v>
      </c>
      <c r="BF768" s="71">
        <f>IFERROR(__xludf.DUMMYFUNCTION("""COMPUTED_VALUE"""),140.36)</f>
        <v>140.36</v>
      </c>
      <c r="BG768" s="71">
        <f>IFERROR(__xludf.DUMMYFUNCTION("""COMPUTED_VALUE"""),0.05217391304347826)</f>
        <v>0.05217391304</v>
      </c>
      <c r="BH768" s="71">
        <f>IFERROR(__xludf.DUMMYFUNCTION("""COMPUTED_VALUE"""),114.94999999999999)</f>
        <v>114.95</v>
      </c>
      <c r="BI768" s="71">
        <f>IFERROR(__xludf.DUMMYFUNCTION("""COMPUTED_VALUE"""),18.392)</f>
        <v>18.392</v>
      </c>
      <c r="BJ768" s="71">
        <f>IFERROR(__xludf.DUMMYFUNCTION("""COMPUTED_VALUE"""),133.34199999999998)</f>
        <v>133.342</v>
      </c>
      <c r="BK768" s="71">
        <f>IFERROR(__xludf.DUMMYFUNCTION("""COMPUTED_VALUE"""),108.9)</f>
        <v>108.9</v>
      </c>
      <c r="BL768" s="71">
        <f>IFERROR(__xludf.DUMMYFUNCTION("""COMPUTED_VALUE"""),17.424000000000003)</f>
        <v>17.424</v>
      </c>
      <c r="BM768" s="71">
        <f>IFERROR(__xludf.DUMMYFUNCTION("""COMPUTED_VALUE"""),126.32400000000001)</f>
        <v>126.324</v>
      </c>
      <c r="BN768" s="71">
        <f>IFERROR(__xludf.DUMMYFUNCTION("""COMPUTED_VALUE"""),102.85)</f>
        <v>102.85</v>
      </c>
      <c r="BO768" s="71">
        <f>IFERROR(__xludf.DUMMYFUNCTION("""COMPUTED_VALUE"""),16.456)</f>
        <v>16.456</v>
      </c>
      <c r="BP768" s="71">
        <f>IFERROR(__xludf.DUMMYFUNCTION("""COMPUTED_VALUE"""),119.306)</f>
        <v>119.306</v>
      </c>
      <c r="BQ768" s="71">
        <f>IFERROR(__xludf.DUMMYFUNCTION("""COMPUTED_VALUE"""),100.42999999999999)</f>
        <v>100.43</v>
      </c>
      <c r="BR768" s="71">
        <f>IFERROR(__xludf.DUMMYFUNCTION("""COMPUTED_VALUE"""),16.0688)</f>
        <v>16.0688</v>
      </c>
      <c r="BS768" s="71">
        <f>IFERROR(__xludf.DUMMYFUNCTION("""COMPUTED_VALUE"""),116.49879999999999)</f>
        <v>116.4988</v>
      </c>
      <c r="BT768" s="71">
        <f>IFERROR(__xludf.DUMMYFUNCTION("""COMPUTED_VALUE"""),96.80000000000001)</f>
        <v>96.8</v>
      </c>
      <c r="BU768" s="71">
        <f>IFERROR(__xludf.DUMMYFUNCTION("""COMPUTED_VALUE"""),15.488000000000001)</f>
        <v>15.488</v>
      </c>
      <c r="BV768" s="71">
        <f>IFERROR(__xludf.DUMMYFUNCTION("""COMPUTED_VALUE"""),112.28800000000001)</f>
        <v>112.288</v>
      </c>
    </row>
    <row r="769">
      <c r="A769" s="53"/>
      <c r="B769" s="53"/>
      <c r="C769" s="73" t="s">
        <v>53</v>
      </c>
      <c r="D769" s="53" t="s">
        <v>1855</v>
      </c>
      <c r="E769" s="54" t="s">
        <v>38</v>
      </c>
      <c r="F769" s="54" t="s">
        <v>42</v>
      </c>
      <c r="G769" s="55" t="s">
        <v>1856</v>
      </c>
      <c r="H769" s="54" t="s">
        <v>1857</v>
      </c>
      <c r="I769" s="54">
        <f t="shared" si="24"/>
        <v>38</v>
      </c>
      <c r="J769" s="56"/>
      <c r="K769" s="57"/>
      <c r="L769" s="76"/>
      <c r="M769" s="59"/>
      <c r="N769" s="79">
        <v>1508.0</v>
      </c>
      <c r="O769" s="61">
        <v>1628.0</v>
      </c>
      <c r="P769" s="62">
        <v>1758.24</v>
      </c>
      <c r="Q769" s="63">
        <v>1758.24</v>
      </c>
      <c r="R769" s="64">
        <v>1846.0</v>
      </c>
      <c r="S769" s="111">
        <v>1938.0</v>
      </c>
      <c r="T769" s="65">
        <f t="shared" si="2"/>
        <v>310.08</v>
      </c>
      <c r="U769" s="65">
        <f t="shared" si="3"/>
        <v>2248.08</v>
      </c>
      <c r="V769" s="66">
        <f t="shared" si="4"/>
        <v>0.04983748646</v>
      </c>
      <c r="W769" s="67">
        <f t="shared" si="5"/>
        <v>1841.1</v>
      </c>
      <c r="X769" s="67">
        <f t="shared" si="6"/>
        <v>294.576</v>
      </c>
      <c r="Y769" s="67">
        <f t="shared" si="7"/>
        <v>2135.676</v>
      </c>
      <c r="Z769" s="67">
        <f t="shared" si="8"/>
        <v>1744.2</v>
      </c>
      <c r="AA769" s="67">
        <f t="shared" si="9"/>
        <v>279.072</v>
      </c>
      <c r="AB769" s="67">
        <f t="shared" si="10"/>
        <v>2023.272</v>
      </c>
      <c r="AC769" s="67">
        <f t="shared" si="11"/>
        <v>1647.3</v>
      </c>
      <c r="AD769" s="67">
        <f t="shared" si="12"/>
        <v>263.568</v>
      </c>
      <c r="AE769" s="67">
        <f t="shared" si="13"/>
        <v>1910.868</v>
      </c>
      <c r="AF769" s="67">
        <f t="shared" si="33"/>
        <v>1608.54</v>
      </c>
      <c r="AG769" s="67">
        <f t="shared" si="15"/>
        <v>257.3664</v>
      </c>
      <c r="AH769" s="67">
        <f t="shared" si="16"/>
        <v>1865.9064</v>
      </c>
      <c r="AI769" s="67">
        <f t="shared" si="17"/>
        <v>1550.4</v>
      </c>
      <c r="AJ769" s="68">
        <f t="shared" si="31"/>
        <v>248.064</v>
      </c>
      <c r="AK769" s="68">
        <f t="shared" si="32"/>
        <v>1798.464</v>
      </c>
      <c r="AL769" s="70">
        <f>IFERROR(__xludf.DUMMYFUNCTION("""COMPUTED_VALUE"""),1.0)</f>
        <v>1</v>
      </c>
      <c r="AM769" s="70"/>
      <c r="AN769" s="71" t="str">
        <f>IFERROR(__xludf.DUMMYFUNCTION("""COMPUTED_VALUE""")," P")</f>
        <v>P</v>
      </c>
      <c r="AO769" s="71" t="str">
        <f>IFERROR(__xludf.DUMMYFUNCTION("""COMPUTED_VALUE""")," JG98")</f>
        <v>JG98</v>
      </c>
      <c r="AP769" s="71" t="str">
        <f>IFERROR(__xludf.DUMMYFUNCTION("""COMPUTED_VALUE""")," JGO")</f>
        <v>JGO</v>
      </c>
      <c r="AQ769" s="71" t="str">
        <f>IFERROR(__xludf.DUMMYFUNCTION("""COMPUTED_VALUE""")," REF")</f>
        <v>REF</v>
      </c>
      <c r="AR769" s="71" t="str">
        <f>IFERROR(__xludf.DUMMYFUNCTION("""COMPUTED_VALUE""")," JUEGO SENCILLO ROLADO EN ACERO INOX. T-304-L GRADO ALIMENTICIO (TOLVA ROLADA, BASE SUPERIOR, BASE INFERIOR C/BRONCES, BUJES Y BIRLOS, CÁMARA DE PRESIÓN, TUBO DE RECIRCULACIÓN, LENGÜETA, SINFÍN ARMADO Y COPLE)")</f>
        <v>JUEGO SENCILLO ROLADO EN ACERO INOX. T-304-L GRADO ALIMENTICIO (TOLVA ROLADA, BASE SUPERIOR, BASE INFERIOR C/BRONCES, BUJES Y BIRLOS, CÁMARA DE PRESIÓN, TUBO DE RECIRCULACIÓN, LENGÜETA, SINFÍN ARMADO Y COPLE)</v>
      </c>
      <c r="AS769" s="71" t="str">
        <f>IFERROR(__xludf.DUMMYFUNCTION("""COMPUTED_VALUE""")," JGO TOLV BSUP-INF CAM TUBRC LENG SNF CPL")</f>
        <v>JGO TOLV BSUP-INF CAM TUBRC LENG SNF CPL</v>
      </c>
      <c r="AT769" s="71">
        <f>IFERROR(__xludf.DUMMYFUNCTION("""COMPUTED_VALUE"""),40.0)</f>
        <v>40</v>
      </c>
      <c r="AU769" s="71"/>
      <c r="AV769" s="71"/>
      <c r="AW769" s="71"/>
      <c r="AX769" s="71"/>
      <c r="AY769" s="71">
        <f>IFERROR(__xludf.DUMMYFUNCTION("""COMPUTED_VALUE"""),55281.0)</f>
        <v>55281</v>
      </c>
      <c r="AZ769" s="71">
        <f>IFERROR(__xludf.DUMMYFUNCTION("""COMPUTED_VALUE"""),59703.0)</f>
        <v>59703</v>
      </c>
      <c r="BA769" s="71">
        <f>IFERROR(__xludf.DUMMYFUNCTION("""COMPUTED_VALUE"""),64479.240000000005)</f>
        <v>64479.24</v>
      </c>
      <c r="BB769" s="71">
        <f>IFERROR(__xludf.DUMMYFUNCTION("""COMPUTED_VALUE"""),64479.240000000005)</f>
        <v>64479.24</v>
      </c>
      <c r="BC769" s="71">
        <f>IFERROR(__xludf.DUMMYFUNCTION("""COMPUTED_VALUE"""),71766.0)</f>
        <v>71766</v>
      </c>
      <c r="BD769" s="71">
        <f>IFERROR(__xludf.DUMMYFUNCTION("""COMPUTED_VALUE"""),75354.0)</f>
        <v>75354</v>
      </c>
      <c r="BE769" s="71">
        <f>IFERROR(__xludf.DUMMYFUNCTION("""COMPUTED_VALUE"""),12056.64)</f>
        <v>12056.64</v>
      </c>
      <c r="BF769" s="71">
        <f>IFERROR(__xludf.DUMMYFUNCTION("""COMPUTED_VALUE"""),87410.64)</f>
        <v>87410.64</v>
      </c>
      <c r="BG769" s="71">
        <f>IFERROR(__xludf.DUMMYFUNCTION("""COMPUTED_VALUE"""),0.04999581974751275)</f>
        <v>0.04999581975</v>
      </c>
      <c r="BH769" s="71">
        <f>IFERROR(__xludf.DUMMYFUNCTION("""COMPUTED_VALUE"""),71586.3)</f>
        <v>71586.3</v>
      </c>
      <c r="BI769" s="71">
        <f>IFERROR(__xludf.DUMMYFUNCTION("""COMPUTED_VALUE"""),11453.808)</f>
        <v>11453.808</v>
      </c>
      <c r="BJ769" s="71">
        <f>IFERROR(__xludf.DUMMYFUNCTION("""COMPUTED_VALUE"""),83040.10800000001)</f>
        <v>83040.108</v>
      </c>
      <c r="BK769" s="71">
        <f>IFERROR(__xludf.DUMMYFUNCTION("""COMPUTED_VALUE"""),67818.6)</f>
        <v>67818.6</v>
      </c>
      <c r="BL769" s="71">
        <f>IFERROR(__xludf.DUMMYFUNCTION("""COMPUTED_VALUE"""),10850.976)</f>
        <v>10850.976</v>
      </c>
      <c r="BM769" s="71">
        <f>IFERROR(__xludf.DUMMYFUNCTION("""COMPUTED_VALUE"""),78669.576)</f>
        <v>78669.576</v>
      </c>
      <c r="BN769" s="71">
        <f>IFERROR(__xludf.DUMMYFUNCTION("""COMPUTED_VALUE"""),64050.9)</f>
        <v>64050.9</v>
      </c>
      <c r="BO769" s="71">
        <f>IFERROR(__xludf.DUMMYFUNCTION("""COMPUTED_VALUE"""),10248.144)</f>
        <v>10248.144</v>
      </c>
      <c r="BP769" s="71">
        <f>IFERROR(__xludf.DUMMYFUNCTION("""COMPUTED_VALUE"""),74299.044)</f>
        <v>74299.044</v>
      </c>
      <c r="BQ769" s="71">
        <f>IFERROR(__xludf.DUMMYFUNCTION("""COMPUTED_VALUE"""),62543.82)</f>
        <v>62543.82</v>
      </c>
      <c r="BR769" s="71">
        <f>IFERROR(__xludf.DUMMYFUNCTION("""COMPUTED_VALUE"""),10007.0112)</f>
        <v>10007.0112</v>
      </c>
      <c r="BS769" s="71">
        <f>IFERROR(__xludf.DUMMYFUNCTION("""COMPUTED_VALUE"""),72550.8312)</f>
        <v>72550.8312</v>
      </c>
      <c r="BT769" s="71">
        <f>IFERROR(__xludf.DUMMYFUNCTION("""COMPUTED_VALUE"""),60283.200000000004)</f>
        <v>60283.2</v>
      </c>
      <c r="BU769" s="71">
        <f>IFERROR(__xludf.DUMMYFUNCTION("""COMPUTED_VALUE"""),9645.312000000002)</f>
        <v>9645.312</v>
      </c>
      <c r="BV769" s="71">
        <f>IFERROR(__xludf.DUMMYFUNCTION("""COMPUTED_VALUE"""),69928.512)</f>
        <v>69928.512</v>
      </c>
    </row>
    <row r="770">
      <c r="A770" s="53"/>
      <c r="B770" s="53"/>
      <c r="C770" s="73" t="s">
        <v>53</v>
      </c>
      <c r="D770" s="53" t="s">
        <v>1858</v>
      </c>
      <c r="E770" s="54" t="s">
        <v>38</v>
      </c>
      <c r="F770" s="54" t="s">
        <v>42</v>
      </c>
      <c r="G770" s="55" t="s">
        <v>1859</v>
      </c>
      <c r="H770" s="54" t="s">
        <v>1860</v>
      </c>
      <c r="I770" s="54">
        <f t="shared" si="24"/>
        <v>37</v>
      </c>
      <c r="J770" s="56"/>
      <c r="K770" s="57"/>
      <c r="L770" s="76"/>
      <c r="M770" s="59"/>
      <c r="N770" s="79">
        <v>1508.0</v>
      </c>
      <c r="O770" s="61">
        <v>1628.0</v>
      </c>
      <c r="P770" s="62">
        <v>1758.24</v>
      </c>
      <c r="Q770" s="63">
        <v>1758.24</v>
      </c>
      <c r="R770" s="64">
        <v>1846.0</v>
      </c>
      <c r="S770" s="111">
        <v>1938.0</v>
      </c>
      <c r="T770" s="65">
        <f t="shared" si="2"/>
        <v>310.08</v>
      </c>
      <c r="U770" s="65">
        <f t="shared" si="3"/>
        <v>2248.08</v>
      </c>
      <c r="V770" s="66">
        <f t="shared" si="4"/>
        <v>0.04983748646</v>
      </c>
      <c r="W770" s="67">
        <f t="shared" si="5"/>
        <v>1841.1</v>
      </c>
      <c r="X770" s="67">
        <f t="shared" si="6"/>
        <v>294.576</v>
      </c>
      <c r="Y770" s="67">
        <f t="shared" si="7"/>
        <v>2135.676</v>
      </c>
      <c r="Z770" s="67">
        <f t="shared" si="8"/>
        <v>1744.2</v>
      </c>
      <c r="AA770" s="67">
        <f t="shared" si="9"/>
        <v>279.072</v>
      </c>
      <c r="AB770" s="67">
        <f t="shared" si="10"/>
        <v>2023.272</v>
      </c>
      <c r="AC770" s="67">
        <f t="shared" si="11"/>
        <v>1647.3</v>
      </c>
      <c r="AD770" s="67">
        <f t="shared" si="12"/>
        <v>263.568</v>
      </c>
      <c r="AE770" s="67">
        <f t="shared" si="13"/>
        <v>1910.868</v>
      </c>
      <c r="AF770" s="67">
        <f t="shared" si="33"/>
        <v>1608.54</v>
      </c>
      <c r="AG770" s="67">
        <f t="shared" si="15"/>
        <v>257.3664</v>
      </c>
      <c r="AH770" s="67">
        <f t="shared" si="16"/>
        <v>1865.9064</v>
      </c>
      <c r="AI770" s="67">
        <f t="shared" si="17"/>
        <v>1550.4</v>
      </c>
      <c r="AJ770" s="68">
        <f t="shared" si="31"/>
        <v>248.064</v>
      </c>
      <c r="AK770" s="68">
        <f t="shared" si="32"/>
        <v>1798.464</v>
      </c>
      <c r="AL770" s="70">
        <f>IFERROR(__xludf.DUMMYFUNCTION("""COMPUTED_VALUE"""),1.0)</f>
        <v>1</v>
      </c>
      <c r="AM770" s="70"/>
      <c r="AN770" s="71" t="str">
        <f>IFERROR(__xludf.DUMMYFUNCTION("""COMPUTED_VALUE""")," P")</f>
        <v>P</v>
      </c>
      <c r="AO770" s="71" t="str">
        <f>IFERROR(__xludf.DUMMYFUNCTION("""COMPUTED_VALUE""")," LA01")</f>
        <v>LA01</v>
      </c>
      <c r="AP770" s="71" t="str">
        <f>IFERROR(__xludf.DUMMYFUNCTION("""COMPUTED_VALUE""")," PZA")</f>
        <v>PZA</v>
      </c>
      <c r="AQ770" s="71" t="str">
        <f>IFERROR(__xludf.DUMMYFUNCTION("""COMPUTED_VALUE""")," REF")</f>
        <v>REF</v>
      </c>
      <c r="AR770" s="71" t="str">
        <f>IFERROR(__xludf.DUMMYFUNCTION("""COMPUTED_VALUE""")," LATERAL DE BRONCE CHICO DERECHO")</f>
        <v>LATERAL DE BRONCE CHICO DERECHO</v>
      </c>
      <c r="AS770" s="71" t="str">
        <f>IFERROR(__xludf.DUMMYFUNCTION("""COMPUTED_VALUE""")," LATERAL DE BRONCE CHICO DERECHO")</f>
        <v>LATERAL DE BRONCE CHICO DERECHO</v>
      </c>
      <c r="AT770" s="71">
        <f>IFERROR(__xludf.DUMMYFUNCTION("""COMPUTED_VALUE"""),31.0)</f>
        <v>31</v>
      </c>
      <c r="AU770" s="71"/>
      <c r="AV770" s="71"/>
      <c r="AW770" s="71"/>
      <c r="AX770" s="71"/>
      <c r="AY770" s="71">
        <f>IFERROR(__xludf.DUMMYFUNCTION("""COMPUTED_VALUE"""),134.0)</f>
        <v>134</v>
      </c>
      <c r="AZ770" s="71">
        <f>IFERROR(__xludf.DUMMYFUNCTION("""COMPUTED_VALUE"""),144.0)</f>
        <v>144</v>
      </c>
      <c r="BA770" s="71">
        <f>IFERROR(__xludf.DUMMYFUNCTION("""COMPUTED_VALUE"""),155.52)</f>
        <v>155.52</v>
      </c>
      <c r="BB770" s="71">
        <f>IFERROR(__xludf.DUMMYFUNCTION("""COMPUTED_VALUE"""),155.52)</f>
        <v>155.52</v>
      </c>
      <c r="BC770" s="71">
        <f>IFERROR(__xludf.DUMMYFUNCTION("""COMPUTED_VALUE"""),174.0)</f>
        <v>174</v>
      </c>
      <c r="BD770" s="71">
        <f>IFERROR(__xludf.DUMMYFUNCTION("""COMPUTED_VALUE"""),183.0)</f>
        <v>183</v>
      </c>
      <c r="BE770" s="71">
        <f>IFERROR(__xludf.DUMMYFUNCTION("""COMPUTED_VALUE"""),29.28)</f>
        <v>29.28</v>
      </c>
      <c r="BF770" s="71">
        <f>IFERROR(__xludf.DUMMYFUNCTION("""COMPUTED_VALUE"""),212.28)</f>
        <v>212.28</v>
      </c>
      <c r="BG770" s="71">
        <f>IFERROR(__xludf.DUMMYFUNCTION("""COMPUTED_VALUE"""),0.05172413793103448)</f>
        <v>0.05172413793</v>
      </c>
      <c r="BH770" s="71">
        <f>IFERROR(__xludf.DUMMYFUNCTION("""COMPUTED_VALUE"""),173.85)</f>
        <v>173.85</v>
      </c>
      <c r="BI770" s="71">
        <f>IFERROR(__xludf.DUMMYFUNCTION("""COMPUTED_VALUE"""),27.816)</f>
        <v>27.816</v>
      </c>
      <c r="BJ770" s="71">
        <f>IFERROR(__xludf.DUMMYFUNCTION("""COMPUTED_VALUE"""),201.666)</f>
        <v>201.666</v>
      </c>
      <c r="BK770" s="71">
        <f>IFERROR(__xludf.DUMMYFUNCTION("""COMPUTED_VALUE"""),164.70000000000002)</f>
        <v>164.7</v>
      </c>
      <c r="BL770" s="71">
        <f>IFERROR(__xludf.DUMMYFUNCTION("""COMPUTED_VALUE"""),26.352000000000004)</f>
        <v>26.352</v>
      </c>
      <c r="BM770" s="71">
        <f>IFERROR(__xludf.DUMMYFUNCTION("""COMPUTED_VALUE"""),191.05200000000002)</f>
        <v>191.052</v>
      </c>
      <c r="BN770" s="71">
        <f>IFERROR(__xludf.DUMMYFUNCTION("""COMPUTED_VALUE"""),155.54999999999998)</f>
        <v>155.55</v>
      </c>
      <c r="BO770" s="71">
        <f>IFERROR(__xludf.DUMMYFUNCTION("""COMPUTED_VALUE"""),24.887999999999998)</f>
        <v>24.888</v>
      </c>
      <c r="BP770" s="71">
        <f>IFERROR(__xludf.DUMMYFUNCTION("""COMPUTED_VALUE"""),180.438)</f>
        <v>180.438</v>
      </c>
      <c r="BQ770" s="71">
        <f>IFERROR(__xludf.DUMMYFUNCTION("""COMPUTED_VALUE"""),151.89)</f>
        <v>151.89</v>
      </c>
      <c r="BR770" s="71">
        <f>IFERROR(__xludf.DUMMYFUNCTION("""COMPUTED_VALUE"""),24.3024)</f>
        <v>24.3024</v>
      </c>
      <c r="BS770" s="71">
        <f>IFERROR(__xludf.DUMMYFUNCTION("""COMPUTED_VALUE"""),176.1924)</f>
        <v>176.1924</v>
      </c>
      <c r="BT770" s="71">
        <f>IFERROR(__xludf.DUMMYFUNCTION("""COMPUTED_VALUE"""),146.4)</f>
        <v>146.4</v>
      </c>
      <c r="BU770" s="71">
        <f>IFERROR(__xludf.DUMMYFUNCTION("""COMPUTED_VALUE"""),23.424000000000003)</f>
        <v>23.424</v>
      </c>
      <c r="BV770" s="71">
        <f>IFERROR(__xludf.DUMMYFUNCTION("""COMPUTED_VALUE"""),169.824)</f>
        <v>169.824</v>
      </c>
    </row>
    <row r="771">
      <c r="A771" s="53"/>
      <c r="B771" s="53"/>
      <c r="C771" s="53" t="s">
        <v>53</v>
      </c>
      <c r="D771" s="53" t="s">
        <v>1861</v>
      </c>
      <c r="E771" s="54" t="s">
        <v>38</v>
      </c>
      <c r="F771" s="54" t="s">
        <v>42</v>
      </c>
      <c r="G771" s="55" t="s">
        <v>1862</v>
      </c>
      <c r="H771" s="54" t="s">
        <v>1862</v>
      </c>
      <c r="I771" s="54">
        <f t="shared" si="24"/>
        <v>14</v>
      </c>
      <c r="J771" s="56"/>
      <c r="K771" s="57"/>
      <c r="L771" s="76"/>
      <c r="M771" s="59"/>
      <c r="N771" s="79">
        <v>80.0</v>
      </c>
      <c r="O771" s="61">
        <v>86.0</v>
      </c>
      <c r="P771" s="63">
        <v>92.88000000000001</v>
      </c>
      <c r="Q771" s="63">
        <v>92.88000000000001</v>
      </c>
      <c r="R771" s="64">
        <v>98.0</v>
      </c>
      <c r="S771" s="111">
        <v>103.0</v>
      </c>
      <c r="T771" s="65">
        <f t="shared" si="2"/>
        <v>16.48</v>
      </c>
      <c r="U771" s="65">
        <f t="shared" si="3"/>
        <v>119.48</v>
      </c>
      <c r="V771" s="66">
        <f t="shared" si="4"/>
        <v>0.05102040816</v>
      </c>
      <c r="W771" s="67">
        <f t="shared" si="5"/>
        <v>97.85</v>
      </c>
      <c r="X771" s="67">
        <f t="shared" si="6"/>
        <v>15.656</v>
      </c>
      <c r="Y771" s="67">
        <f t="shared" si="7"/>
        <v>113.506</v>
      </c>
      <c r="Z771" s="67">
        <f t="shared" si="8"/>
        <v>92.7</v>
      </c>
      <c r="AA771" s="67">
        <f t="shared" si="9"/>
        <v>14.832</v>
      </c>
      <c r="AB771" s="67">
        <f t="shared" si="10"/>
        <v>107.532</v>
      </c>
      <c r="AC771" s="67">
        <f t="shared" si="11"/>
        <v>87.55</v>
      </c>
      <c r="AD771" s="67">
        <f t="shared" si="12"/>
        <v>14.008</v>
      </c>
      <c r="AE771" s="67">
        <f t="shared" si="13"/>
        <v>101.558</v>
      </c>
      <c r="AF771" s="67">
        <f t="shared" si="33"/>
        <v>85.49</v>
      </c>
      <c r="AG771" s="67">
        <f t="shared" si="15"/>
        <v>13.6784</v>
      </c>
      <c r="AH771" s="67">
        <f t="shared" si="16"/>
        <v>99.1684</v>
      </c>
      <c r="AI771" s="67">
        <f t="shared" si="17"/>
        <v>82.4</v>
      </c>
      <c r="AJ771" s="68">
        <f t="shared" si="31"/>
        <v>13.184</v>
      </c>
      <c r="AK771" s="68">
        <f t="shared" si="32"/>
        <v>95.584</v>
      </c>
      <c r="AL771" s="70">
        <f>IFERROR(__xludf.DUMMYFUNCTION("""COMPUTED_VALUE"""),1.0)</f>
        <v>1</v>
      </c>
      <c r="AM771" s="70"/>
      <c r="AN771" s="71" t="str">
        <f>IFERROR(__xludf.DUMMYFUNCTION("""COMPUTED_VALUE""")," P")</f>
        <v>P</v>
      </c>
      <c r="AO771" s="71" t="str">
        <f>IFERROR(__xludf.DUMMYFUNCTION("""COMPUTED_VALUE""")," LA02")</f>
        <v>LA02</v>
      </c>
      <c r="AP771" s="71" t="str">
        <f>IFERROR(__xludf.DUMMYFUNCTION("""COMPUTED_VALUE""")," PZA")</f>
        <v>PZA</v>
      </c>
      <c r="AQ771" s="71" t="str">
        <f>IFERROR(__xludf.DUMMYFUNCTION("""COMPUTED_VALUE""")," REF")</f>
        <v>REF</v>
      </c>
      <c r="AR771" s="71" t="str">
        <f>IFERROR(__xludf.DUMMYFUNCTION("""COMPUTED_VALUE""")," LATERAL DE BRONCE CHICO IZQUIERDO")</f>
        <v>LATERAL DE BRONCE CHICO IZQUIERDO</v>
      </c>
      <c r="AS771" s="71" t="str">
        <f>IFERROR(__xludf.DUMMYFUNCTION("""COMPUTED_VALUE""")," LATERAL DE BRONCE CHICO IZQUIERDO")</f>
        <v>LATERAL DE BRONCE CHICO IZQUIERDO</v>
      </c>
      <c r="AT771" s="71">
        <f>IFERROR(__xludf.DUMMYFUNCTION("""COMPUTED_VALUE"""),33.0)</f>
        <v>33</v>
      </c>
      <c r="AU771" s="71"/>
      <c r="AV771" s="71"/>
      <c r="AW771" s="71"/>
      <c r="AX771" s="71"/>
      <c r="AY771" s="71">
        <f>IFERROR(__xludf.DUMMYFUNCTION("""COMPUTED_VALUE"""),136.0)</f>
        <v>136</v>
      </c>
      <c r="AZ771" s="71">
        <f>IFERROR(__xludf.DUMMYFUNCTION("""COMPUTED_VALUE"""),146.0)</f>
        <v>146</v>
      </c>
      <c r="BA771" s="71">
        <f>IFERROR(__xludf.DUMMYFUNCTION("""COMPUTED_VALUE"""),157.68)</f>
        <v>157.68</v>
      </c>
      <c r="BB771" s="71">
        <f>IFERROR(__xludf.DUMMYFUNCTION("""COMPUTED_VALUE"""),157.68)</f>
        <v>157.68</v>
      </c>
      <c r="BC771" s="71">
        <f>IFERROR(__xludf.DUMMYFUNCTION("""COMPUTED_VALUE"""),177.0)</f>
        <v>177</v>
      </c>
      <c r="BD771" s="71">
        <f>IFERROR(__xludf.DUMMYFUNCTION("""COMPUTED_VALUE"""),186.0)</f>
        <v>186</v>
      </c>
      <c r="BE771" s="71">
        <f>IFERROR(__xludf.DUMMYFUNCTION("""COMPUTED_VALUE"""),29.76)</f>
        <v>29.76</v>
      </c>
      <c r="BF771" s="71">
        <f>IFERROR(__xludf.DUMMYFUNCTION("""COMPUTED_VALUE"""),215.76)</f>
        <v>215.76</v>
      </c>
      <c r="BG771" s="71">
        <f>IFERROR(__xludf.DUMMYFUNCTION("""COMPUTED_VALUE"""),0.05084745762711865)</f>
        <v>0.05084745763</v>
      </c>
      <c r="BH771" s="71">
        <f>IFERROR(__xludf.DUMMYFUNCTION("""COMPUTED_VALUE"""),176.7)</f>
        <v>176.7</v>
      </c>
      <c r="BI771" s="71">
        <f>IFERROR(__xludf.DUMMYFUNCTION("""COMPUTED_VALUE"""),28.272)</f>
        <v>28.272</v>
      </c>
      <c r="BJ771" s="71">
        <f>IFERROR(__xludf.DUMMYFUNCTION("""COMPUTED_VALUE"""),204.97199999999998)</f>
        <v>204.972</v>
      </c>
      <c r="BK771" s="71">
        <f>IFERROR(__xludf.DUMMYFUNCTION("""COMPUTED_VALUE"""),167.4)</f>
        <v>167.4</v>
      </c>
      <c r="BL771" s="71">
        <f>IFERROR(__xludf.DUMMYFUNCTION("""COMPUTED_VALUE"""),26.784000000000002)</f>
        <v>26.784</v>
      </c>
      <c r="BM771" s="71">
        <f>IFERROR(__xludf.DUMMYFUNCTION("""COMPUTED_VALUE"""),194.184)</f>
        <v>194.184</v>
      </c>
      <c r="BN771" s="71">
        <f>IFERROR(__xludf.DUMMYFUNCTION("""COMPUTED_VALUE"""),158.1)</f>
        <v>158.1</v>
      </c>
      <c r="BO771" s="71">
        <f>IFERROR(__xludf.DUMMYFUNCTION("""COMPUTED_VALUE"""),25.296)</f>
        <v>25.296</v>
      </c>
      <c r="BP771" s="71">
        <f>IFERROR(__xludf.DUMMYFUNCTION("""COMPUTED_VALUE"""),183.396)</f>
        <v>183.396</v>
      </c>
      <c r="BQ771" s="71">
        <f>IFERROR(__xludf.DUMMYFUNCTION("""COMPUTED_VALUE"""),154.38)</f>
        <v>154.38</v>
      </c>
      <c r="BR771" s="71">
        <f>IFERROR(__xludf.DUMMYFUNCTION("""COMPUTED_VALUE"""),24.7008)</f>
        <v>24.7008</v>
      </c>
      <c r="BS771" s="71">
        <f>IFERROR(__xludf.DUMMYFUNCTION("""COMPUTED_VALUE"""),179.0808)</f>
        <v>179.0808</v>
      </c>
      <c r="BT771" s="71">
        <f>IFERROR(__xludf.DUMMYFUNCTION("""COMPUTED_VALUE"""),148.8)</f>
        <v>148.8</v>
      </c>
      <c r="BU771" s="71">
        <f>IFERROR(__xludf.DUMMYFUNCTION("""COMPUTED_VALUE"""),23.808000000000003)</f>
        <v>23.808</v>
      </c>
      <c r="BV771" s="71">
        <f>IFERROR(__xludf.DUMMYFUNCTION("""COMPUTED_VALUE"""),172.608)</f>
        <v>172.608</v>
      </c>
    </row>
    <row r="772">
      <c r="A772" s="53"/>
      <c r="B772" s="72"/>
      <c r="C772" s="53" t="s">
        <v>53</v>
      </c>
      <c r="D772" s="53" t="s">
        <v>1863</v>
      </c>
      <c r="E772" s="54" t="s">
        <v>38</v>
      </c>
      <c r="F772" s="54" t="s">
        <v>42</v>
      </c>
      <c r="G772" s="54" t="s">
        <v>1864</v>
      </c>
      <c r="H772" s="54" t="s">
        <v>1865</v>
      </c>
      <c r="I772" s="54">
        <f t="shared" si="24"/>
        <v>28</v>
      </c>
      <c r="J772" s="56"/>
      <c r="K772" s="75"/>
      <c r="L772" s="76"/>
      <c r="M772" s="59"/>
      <c r="N772" s="60"/>
      <c r="O772" s="61">
        <v>130.0</v>
      </c>
      <c r="P772" s="62">
        <v>140.4</v>
      </c>
      <c r="Q772" s="63">
        <v>140.4</v>
      </c>
      <c r="R772" s="64">
        <v>147.0</v>
      </c>
      <c r="S772" s="111">
        <v>154.0</v>
      </c>
      <c r="T772" s="65">
        <f t="shared" si="2"/>
        <v>24.64</v>
      </c>
      <c r="U772" s="65">
        <f t="shared" si="3"/>
        <v>178.64</v>
      </c>
      <c r="V772" s="66">
        <f t="shared" si="4"/>
        <v>0.04761904762</v>
      </c>
      <c r="W772" s="67">
        <f t="shared" si="5"/>
        <v>146.3</v>
      </c>
      <c r="X772" s="67">
        <f t="shared" si="6"/>
        <v>23.408</v>
      </c>
      <c r="Y772" s="67">
        <f t="shared" si="7"/>
        <v>169.708</v>
      </c>
      <c r="Z772" s="67">
        <f t="shared" si="8"/>
        <v>138.6</v>
      </c>
      <c r="AA772" s="67">
        <f t="shared" si="9"/>
        <v>22.176</v>
      </c>
      <c r="AB772" s="67">
        <f t="shared" si="10"/>
        <v>160.776</v>
      </c>
      <c r="AC772" s="67">
        <f t="shared" si="11"/>
        <v>130.9</v>
      </c>
      <c r="AD772" s="67">
        <f t="shared" si="12"/>
        <v>20.944</v>
      </c>
      <c r="AE772" s="67">
        <f t="shared" si="13"/>
        <v>151.844</v>
      </c>
      <c r="AF772" s="67">
        <f t="shared" si="33"/>
        <v>127.82</v>
      </c>
      <c r="AG772" s="67">
        <f t="shared" si="15"/>
        <v>20.4512</v>
      </c>
      <c r="AH772" s="67">
        <f t="shared" si="16"/>
        <v>148.2712</v>
      </c>
      <c r="AI772" s="67">
        <f t="shared" si="17"/>
        <v>123.2</v>
      </c>
      <c r="AJ772" s="68">
        <f t="shared" si="31"/>
        <v>19.712</v>
      </c>
      <c r="AK772" s="68">
        <f t="shared" si="32"/>
        <v>142.912</v>
      </c>
      <c r="AL772" s="70">
        <f>IFERROR(__xludf.DUMMYFUNCTION("""COMPUTED_VALUE"""),1.0)</f>
        <v>1</v>
      </c>
      <c r="AM772" s="70"/>
      <c r="AN772" s="71" t="str">
        <f>IFERROR(__xludf.DUMMYFUNCTION("""COMPUTED_VALUE""")," P")</f>
        <v>P</v>
      </c>
      <c r="AO772" s="71" t="str">
        <f>IFERROR(__xludf.DUMMYFUNCTION("""COMPUTED_VALUE""")," LA03")</f>
        <v>LA03</v>
      </c>
      <c r="AP772" s="71" t="str">
        <f>IFERROR(__xludf.DUMMYFUNCTION("""COMPUTED_VALUE""")," PZA")</f>
        <v>PZA</v>
      </c>
      <c r="AQ772" s="71" t="str">
        <f>IFERROR(__xludf.DUMMYFUNCTION("""COMPUTED_VALUE""")," REF")</f>
        <v>REF</v>
      </c>
      <c r="AR772" s="71" t="str">
        <f>IFERROR(__xludf.DUMMYFUNCTION("""COMPUTED_VALUE""")," LATERAL DE BRONCE GRANDE DERECHO")</f>
        <v>LATERAL DE BRONCE GRANDE DERECHO</v>
      </c>
      <c r="AS772" s="71" t="str">
        <f>IFERROR(__xludf.DUMMYFUNCTION("""COMPUTED_VALUE""")," LATERAL DE BRONCE GRANDE DERECHO")</f>
        <v>LATERAL DE BRONCE GRANDE DERECHO</v>
      </c>
      <c r="AT772" s="71">
        <f>IFERROR(__xludf.DUMMYFUNCTION("""COMPUTED_VALUE"""),32.0)</f>
        <v>32</v>
      </c>
      <c r="AU772" s="71"/>
      <c r="AV772" s="71"/>
      <c r="AW772" s="71"/>
      <c r="AX772" s="71"/>
      <c r="AY772" s="71">
        <f>IFERROR(__xludf.DUMMYFUNCTION("""COMPUTED_VALUE"""),300.0)</f>
        <v>300</v>
      </c>
      <c r="AZ772" s="71">
        <f>IFERROR(__xludf.DUMMYFUNCTION("""COMPUTED_VALUE"""),324.0)</f>
        <v>324</v>
      </c>
      <c r="BA772" s="71">
        <f>IFERROR(__xludf.DUMMYFUNCTION("""COMPUTED_VALUE"""),349.92)</f>
        <v>349.92</v>
      </c>
      <c r="BB772" s="71">
        <f>IFERROR(__xludf.DUMMYFUNCTION("""COMPUTED_VALUE"""),349.92)</f>
        <v>349.92</v>
      </c>
      <c r="BC772" s="71">
        <f>IFERROR(__xludf.DUMMYFUNCTION("""COMPUTED_VALUE"""),387.0)</f>
        <v>387</v>
      </c>
      <c r="BD772" s="71">
        <f>IFERROR(__xludf.DUMMYFUNCTION("""COMPUTED_VALUE"""),406.0)</f>
        <v>406</v>
      </c>
      <c r="BE772" s="71">
        <f>IFERROR(__xludf.DUMMYFUNCTION("""COMPUTED_VALUE"""),64.96000000000001)</f>
        <v>64.96</v>
      </c>
      <c r="BF772" s="71">
        <f>IFERROR(__xludf.DUMMYFUNCTION("""COMPUTED_VALUE"""),470.96000000000004)</f>
        <v>470.96</v>
      </c>
      <c r="BG772" s="71">
        <f>IFERROR(__xludf.DUMMYFUNCTION("""COMPUTED_VALUE"""),0.04909560723514212)</f>
        <v>0.04909560724</v>
      </c>
      <c r="BH772" s="71">
        <f>IFERROR(__xludf.DUMMYFUNCTION("""COMPUTED_VALUE"""),385.7)</f>
        <v>385.7</v>
      </c>
      <c r="BI772" s="71">
        <f>IFERROR(__xludf.DUMMYFUNCTION("""COMPUTED_VALUE"""),61.711999999999996)</f>
        <v>61.712</v>
      </c>
      <c r="BJ772" s="71">
        <f>IFERROR(__xludf.DUMMYFUNCTION("""COMPUTED_VALUE"""),447.412)</f>
        <v>447.412</v>
      </c>
      <c r="BK772" s="71">
        <f>IFERROR(__xludf.DUMMYFUNCTION("""COMPUTED_VALUE"""),365.40000000000003)</f>
        <v>365.4</v>
      </c>
      <c r="BL772" s="71">
        <f>IFERROR(__xludf.DUMMYFUNCTION("""COMPUTED_VALUE"""),58.464000000000006)</f>
        <v>58.464</v>
      </c>
      <c r="BM772" s="71">
        <f>IFERROR(__xludf.DUMMYFUNCTION("""COMPUTED_VALUE"""),423.86400000000003)</f>
        <v>423.864</v>
      </c>
      <c r="BN772" s="71">
        <f>IFERROR(__xludf.DUMMYFUNCTION("""COMPUTED_VALUE"""),345.09999999999997)</f>
        <v>345.1</v>
      </c>
      <c r="BO772" s="71">
        <f>IFERROR(__xludf.DUMMYFUNCTION("""COMPUTED_VALUE"""),55.215999999999994)</f>
        <v>55.216</v>
      </c>
      <c r="BP772" s="71">
        <f>IFERROR(__xludf.DUMMYFUNCTION("""COMPUTED_VALUE"""),400.316)</f>
        <v>400.316</v>
      </c>
      <c r="BQ772" s="71">
        <f>IFERROR(__xludf.DUMMYFUNCTION("""COMPUTED_VALUE"""),336.97999999999996)</f>
        <v>336.98</v>
      </c>
      <c r="BR772" s="71">
        <f>IFERROR(__xludf.DUMMYFUNCTION("""COMPUTED_VALUE"""),53.916799999999995)</f>
        <v>53.9168</v>
      </c>
      <c r="BS772" s="71">
        <f>IFERROR(__xludf.DUMMYFUNCTION("""COMPUTED_VALUE"""),390.8968)</f>
        <v>390.8968</v>
      </c>
      <c r="BT772" s="71">
        <f>IFERROR(__xludf.DUMMYFUNCTION("""COMPUTED_VALUE"""),324.8)</f>
        <v>324.8</v>
      </c>
      <c r="BU772" s="71">
        <f>IFERROR(__xludf.DUMMYFUNCTION("""COMPUTED_VALUE"""),51.968)</f>
        <v>51.968</v>
      </c>
      <c r="BV772" s="71">
        <f>IFERROR(__xludf.DUMMYFUNCTION("""COMPUTED_VALUE"""),376.76800000000003)</f>
        <v>376.768</v>
      </c>
    </row>
    <row r="773">
      <c r="A773" s="53">
        <v>1.0</v>
      </c>
      <c r="B773" s="72"/>
      <c r="C773" s="73" t="s">
        <v>12</v>
      </c>
      <c r="D773" s="53" t="s">
        <v>1866</v>
      </c>
      <c r="E773" s="54" t="s">
        <v>38</v>
      </c>
      <c r="F773" s="54" t="s">
        <v>42</v>
      </c>
      <c r="G773" s="54" t="s">
        <v>1867</v>
      </c>
      <c r="H773" s="54" t="s">
        <v>1868</v>
      </c>
      <c r="I773" s="54">
        <f t="shared" si="24"/>
        <v>40</v>
      </c>
      <c r="J773" s="56"/>
      <c r="K773" s="75"/>
      <c r="L773" s="76" t="s">
        <v>1869</v>
      </c>
      <c r="M773" s="59"/>
      <c r="N773" s="60">
        <v>80.0</v>
      </c>
      <c r="O773" s="61">
        <v>86.0</v>
      </c>
      <c r="P773" s="62">
        <v>92.88000000000001</v>
      </c>
      <c r="Q773" s="63">
        <v>92.88000000000001</v>
      </c>
      <c r="R773" s="64">
        <v>104.0</v>
      </c>
      <c r="S773" s="65">
        <v>84.0</v>
      </c>
      <c r="T773" s="65">
        <f t="shared" si="2"/>
        <v>13.44</v>
      </c>
      <c r="U773" s="65">
        <f t="shared" si="3"/>
        <v>97.44</v>
      </c>
      <c r="V773" s="66">
        <f t="shared" si="4"/>
        <v>-0.1923076923</v>
      </c>
      <c r="W773" s="67">
        <f t="shared" si="5"/>
        <v>79.8</v>
      </c>
      <c r="X773" s="67">
        <f t="shared" si="6"/>
        <v>12.768</v>
      </c>
      <c r="Y773" s="67">
        <f t="shared" si="7"/>
        <v>92.568</v>
      </c>
      <c r="Z773" s="67">
        <f t="shared" si="8"/>
        <v>75.6</v>
      </c>
      <c r="AA773" s="67">
        <f t="shared" si="9"/>
        <v>12.096</v>
      </c>
      <c r="AB773" s="67">
        <f t="shared" si="10"/>
        <v>87.696</v>
      </c>
      <c r="AC773" s="67">
        <f t="shared" si="11"/>
        <v>71.4</v>
      </c>
      <c r="AD773" s="67">
        <f t="shared" si="12"/>
        <v>11.424</v>
      </c>
      <c r="AE773" s="67">
        <f t="shared" si="13"/>
        <v>82.824</v>
      </c>
      <c r="AF773" s="67">
        <f t="shared" si="33"/>
        <v>69.72</v>
      </c>
      <c r="AG773" s="67">
        <f t="shared" si="15"/>
        <v>11.1552</v>
      </c>
      <c r="AH773" s="67">
        <f t="shared" si="16"/>
        <v>80.8752</v>
      </c>
      <c r="AI773" s="67">
        <f t="shared" si="17"/>
        <v>67.2</v>
      </c>
      <c r="AJ773" s="68">
        <f t="shared" si="31"/>
        <v>10.752</v>
      </c>
      <c r="AK773" s="68">
        <f t="shared" si="32"/>
        <v>77.952</v>
      </c>
      <c r="AL773" s="70">
        <f>IFERROR(__xludf.DUMMYFUNCTION("""COMPUTED_VALUE"""),1.0)</f>
        <v>1</v>
      </c>
      <c r="AM773" s="70"/>
      <c r="AN773" s="71" t="str">
        <f>IFERROR(__xludf.DUMMYFUNCTION("""COMPUTED_VALUE""")," P")</f>
        <v>P</v>
      </c>
      <c r="AO773" s="71" t="str">
        <f>IFERROR(__xludf.DUMMYFUNCTION("""COMPUTED_VALUE""")," LA04")</f>
        <v>LA04</v>
      </c>
      <c r="AP773" s="71" t="str">
        <f>IFERROR(__xludf.DUMMYFUNCTION("""COMPUTED_VALUE""")," PZA")</f>
        <v>PZA</v>
      </c>
      <c r="AQ773" s="71" t="str">
        <f>IFERROR(__xludf.DUMMYFUNCTION("""COMPUTED_VALUE""")," REF")</f>
        <v>REF</v>
      </c>
      <c r="AR773" s="71" t="str">
        <f>IFERROR(__xludf.DUMMYFUNCTION("""COMPUTED_VALUE""")," LATERAL DE BRONCE GRANDE IZQUIERDO")</f>
        <v>LATERAL DE BRONCE GRANDE IZQUIERDO</v>
      </c>
      <c r="AS773" s="71" t="str">
        <f>IFERROR(__xludf.DUMMYFUNCTION("""COMPUTED_VALUE""")," LATERAL DE BRONCE GRANDE IZQUIERDO")</f>
        <v>LATERAL DE BRONCE GRANDE IZQUIERDO</v>
      </c>
      <c r="AT773" s="71">
        <f>IFERROR(__xludf.DUMMYFUNCTION("""COMPUTED_VALUE"""),34.0)</f>
        <v>34</v>
      </c>
      <c r="AU773" s="71"/>
      <c r="AV773" s="71"/>
      <c r="AW773" s="71"/>
      <c r="AX773" s="71"/>
      <c r="AY773" s="71">
        <f>IFERROR(__xludf.DUMMYFUNCTION("""COMPUTED_VALUE"""),300.0)</f>
        <v>300</v>
      </c>
      <c r="AZ773" s="71">
        <f>IFERROR(__xludf.DUMMYFUNCTION("""COMPUTED_VALUE"""),324.0)</f>
        <v>324</v>
      </c>
      <c r="BA773" s="71">
        <f>IFERROR(__xludf.DUMMYFUNCTION("""COMPUTED_VALUE"""),349.92)</f>
        <v>349.92</v>
      </c>
      <c r="BB773" s="71">
        <f>IFERROR(__xludf.DUMMYFUNCTION("""COMPUTED_VALUE"""),349.92)</f>
        <v>349.92</v>
      </c>
      <c r="BC773" s="71">
        <f>IFERROR(__xludf.DUMMYFUNCTION("""COMPUTED_VALUE"""),387.0)</f>
        <v>387</v>
      </c>
      <c r="BD773" s="71">
        <f>IFERROR(__xludf.DUMMYFUNCTION("""COMPUTED_VALUE"""),406.0)</f>
        <v>406</v>
      </c>
      <c r="BE773" s="71">
        <f>IFERROR(__xludf.DUMMYFUNCTION("""COMPUTED_VALUE"""),64.96000000000001)</f>
        <v>64.96</v>
      </c>
      <c r="BF773" s="71">
        <f>IFERROR(__xludf.DUMMYFUNCTION("""COMPUTED_VALUE"""),470.96000000000004)</f>
        <v>470.96</v>
      </c>
      <c r="BG773" s="71">
        <f>IFERROR(__xludf.DUMMYFUNCTION("""COMPUTED_VALUE"""),0.04909560723514212)</f>
        <v>0.04909560724</v>
      </c>
      <c r="BH773" s="71">
        <f>IFERROR(__xludf.DUMMYFUNCTION("""COMPUTED_VALUE"""),385.7)</f>
        <v>385.7</v>
      </c>
      <c r="BI773" s="71">
        <f>IFERROR(__xludf.DUMMYFUNCTION("""COMPUTED_VALUE"""),61.711999999999996)</f>
        <v>61.712</v>
      </c>
      <c r="BJ773" s="71">
        <f>IFERROR(__xludf.DUMMYFUNCTION("""COMPUTED_VALUE"""),447.412)</f>
        <v>447.412</v>
      </c>
      <c r="BK773" s="71">
        <f>IFERROR(__xludf.DUMMYFUNCTION("""COMPUTED_VALUE"""),365.40000000000003)</f>
        <v>365.4</v>
      </c>
      <c r="BL773" s="71">
        <f>IFERROR(__xludf.DUMMYFUNCTION("""COMPUTED_VALUE"""),58.464000000000006)</f>
        <v>58.464</v>
      </c>
      <c r="BM773" s="71">
        <f>IFERROR(__xludf.DUMMYFUNCTION("""COMPUTED_VALUE"""),423.86400000000003)</f>
        <v>423.864</v>
      </c>
      <c r="BN773" s="71">
        <f>IFERROR(__xludf.DUMMYFUNCTION("""COMPUTED_VALUE"""),345.09999999999997)</f>
        <v>345.1</v>
      </c>
      <c r="BO773" s="71">
        <f>IFERROR(__xludf.DUMMYFUNCTION("""COMPUTED_VALUE"""),55.215999999999994)</f>
        <v>55.216</v>
      </c>
      <c r="BP773" s="71">
        <f>IFERROR(__xludf.DUMMYFUNCTION("""COMPUTED_VALUE"""),400.316)</f>
        <v>400.316</v>
      </c>
      <c r="BQ773" s="71">
        <f>IFERROR(__xludf.DUMMYFUNCTION("""COMPUTED_VALUE"""),336.97999999999996)</f>
        <v>336.98</v>
      </c>
      <c r="BR773" s="71">
        <f>IFERROR(__xludf.DUMMYFUNCTION("""COMPUTED_VALUE"""),53.916799999999995)</f>
        <v>53.9168</v>
      </c>
      <c r="BS773" s="71">
        <f>IFERROR(__xludf.DUMMYFUNCTION("""COMPUTED_VALUE"""),390.8968)</f>
        <v>390.8968</v>
      </c>
      <c r="BT773" s="71">
        <f>IFERROR(__xludf.DUMMYFUNCTION("""COMPUTED_VALUE"""),324.8)</f>
        <v>324.8</v>
      </c>
      <c r="BU773" s="71">
        <f>IFERROR(__xludf.DUMMYFUNCTION("""COMPUTED_VALUE"""),51.968)</f>
        <v>51.968</v>
      </c>
      <c r="BV773" s="71">
        <f>IFERROR(__xludf.DUMMYFUNCTION("""COMPUTED_VALUE"""),376.76800000000003)</f>
        <v>376.768</v>
      </c>
    </row>
    <row r="774">
      <c r="A774" s="53">
        <v>1.0</v>
      </c>
      <c r="B774" s="72"/>
      <c r="C774" s="73" t="s">
        <v>12</v>
      </c>
      <c r="D774" s="53" t="s">
        <v>1870</v>
      </c>
      <c r="E774" s="54" t="s">
        <v>38</v>
      </c>
      <c r="F774" s="54" t="s">
        <v>42</v>
      </c>
      <c r="G774" s="54" t="s">
        <v>1871</v>
      </c>
      <c r="H774" s="54" t="s">
        <v>1872</v>
      </c>
      <c r="I774" s="54">
        <f t="shared" si="24"/>
        <v>39</v>
      </c>
      <c r="J774" s="56"/>
      <c r="K774" s="75"/>
      <c r="L774" s="76" t="s">
        <v>1869</v>
      </c>
      <c r="M774" s="59"/>
      <c r="N774" s="60">
        <v>80.0</v>
      </c>
      <c r="O774" s="61">
        <v>86.0</v>
      </c>
      <c r="P774" s="62">
        <v>92.88000000000001</v>
      </c>
      <c r="Q774" s="63">
        <v>92.88000000000001</v>
      </c>
      <c r="R774" s="64">
        <v>104.0</v>
      </c>
      <c r="S774" s="65">
        <v>99.0</v>
      </c>
      <c r="T774" s="65">
        <f t="shared" si="2"/>
        <v>15.84</v>
      </c>
      <c r="U774" s="65">
        <f t="shared" si="3"/>
        <v>114.84</v>
      </c>
      <c r="V774" s="66">
        <f t="shared" si="4"/>
        <v>-0.04807692308</v>
      </c>
      <c r="W774" s="67">
        <f t="shared" si="5"/>
        <v>94.05</v>
      </c>
      <c r="X774" s="67">
        <f t="shared" si="6"/>
        <v>15.048</v>
      </c>
      <c r="Y774" s="67">
        <f t="shared" si="7"/>
        <v>109.098</v>
      </c>
      <c r="Z774" s="67">
        <f t="shared" si="8"/>
        <v>89.1</v>
      </c>
      <c r="AA774" s="67">
        <f t="shared" si="9"/>
        <v>14.256</v>
      </c>
      <c r="AB774" s="67">
        <f t="shared" si="10"/>
        <v>103.356</v>
      </c>
      <c r="AC774" s="67">
        <f t="shared" si="11"/>
        <v>84.15</v>
      </c>
      <c r="AD774" s="67">
        <f t="shared" si="12"/>
        <v>13.464</v>
      </c>
      <c r="AE774" s="67">
        <f t="shared" si="13"/>
        <v>97.614</v>
      </c>
      <c r="AF774" s="67">
        <f t="shared" si="33"/>
        <v>82.17</v>
      </c>
      <c r="AG774" s="67">
        <f t="shared" si="15"/>
        <v>13.1472</v>
      </c>
      <c r="AH774" s="67">
        <f t="shared" si="16"/>
        <v>95.3172</v>
      </c>
      <c r="AI774" s="67">
        <f t="shared" si="17"/>
        <v>79.2</v>
      </c>
      <c r="AJ774" s="68">
        <f t="shared" si="31"/>
        <v>12.672</v>
      </c>
      <c r="AK774" s="68">
        <f t="shared" si="32"/>
        <v>91.872</v>
      </c>
      <c r="AL774" s="70">
        <f>IFERROR(__xludf.DUMMYFUNCTION("""COMPUTED_VALUE"""),1.0)</f>
        <v>1</v>
      </c>
      <c r="AM774" s="70"/>
      <c r="AN774" s="71" t="str">
        <f>IFERROR(__xludf.DUMMYFUNCTION("""COMPUTED_VALUE""")," P")</f>
        <v>P</v>
      </c>
      <c r="AO774" s="71" t="str">
        <f>IFERROR(__xludf.DUMMYFUNCTION("""COMPUTED_VALUE""")," LA05")</f>
        <v>LA05</v>
      </c>
      <c r="AP774" s="71" t="str">
        <f>IFERROR(__xludf.DUMMYFUNCTION("""COMPUTED_VALUE""")," PZA")</f>
        <v>PZA</v>
      </c>
      <c r="AQ774" s="71" t="str">
        <f>IFERROR(__xludf.DUMMYFUNCTION("""COMPUTED_VALUE""")," REF")</f>
        <v>REF</v>
      </c>
      <c r="AR774" s="71" t="str">
        <f>IFERROR(__xludf.DUMMYFUNCTION("""COMPUTED_VALUE""")," LATERAL DE COLA SENCILLO MODELO ANTERIOR")</f>
        <v>LATERAL DE COLA SENCILLO MODELO ANTERIOR</v>
      </c>
      <c r="AS774" s="71" t="str">
        <f>IFERROR(__xludf.DUMMYFUNCTION("""COMPUTED_VALUE""")," LATERAL DE COLA SENCILLO MODELO ANTERIOR")</f>
        <v>LATERAL DE COLA SENCILLO MODELO ANTERIOR</v>
      </c>
      <c r="AT774" s="71">
        <f>IFERROR(__xludf.DUMMYFUNCTION("""COMPUTED_VALUE"""),40.0)</f>
        <v>40</v>
      </c>
      <c r="AU774" s="71"/>
      <c r="AV774" s="71"/>
      <c r="AW774" s="71"/>
      <c r="AX774" s="71"/>
      <c r="AY774" s="71">
        <f>IFERROR(__xludf.DUMMYFUNCTION("""COMPUTED_VALUE"""),2541.0)</f>
        <v>2541</v>
      </c>
      <c r="AZ774" s="71">
        <f>IFERROR(__xludf.DUMMYFUNCTION("""COMPUTED_VALUE"""),2744.0)</f>
        <v>2744</v>
      </c>
      <c r="BA774" s="71">
        <f>IFERROR(__xludf.DUMMYFUNCTION("""COMPUTED_VALUE"""),2963.52)</f>
        <v>2963.52</v>
      </c>
      <c r="BB774" s="71">
        <f>IFERROR(__xludf.DUMMYFUNCTION("""COMPUTED_VALUE"""),2963.52)</f>
        <v>2963.52</v>
      </c>
      <c r="BC774" s="71">
        <f>IFERROR(__xludf.DUMMYFUNCTION("""COMPUTED_VALUE"""),3300.0)</f>
        <v>3300</v>
      </c>
      <c r="BD774" s="71">
        <f>IFERROR(__xludf.DUMMYFUNCTION("""COMPUTED_VALUE"""),3465.0)</f>
        <v>3465</v>
      </c>
      <c r="BE774" s="71">
        <f>IFERROR(__xludf.DUMMYFUNCTION("""COMPUTED_VALUE"""),554.4)</f>
        <v>554.4</v>
      </c>
      <c r="BF774" s="71">
        <f>IFERROR(__xludf.DUMMYFUNCTION("""COMPUTED_VALUE"""),4019.4)</f>
        <v>4019.4</v>
      </c>
      <c r="BG774" s="71">
        <f>IFERROR(__xludf.DUMMYFUNCTION("""COMPUTED_VALUE"""),0.05)</f>
        <v>0.05</v>
      </c>
      <c r="BH774" s="71">
        <f>IFERROR(__xludf.DUMMYFUNCTION("""COMPUTED_VALUE"""),3291.75)</f>
        <v>3291.75</v>
      </c>
      <c r="BI774" s="71">
        <f>IFERROR(__xludf.DUMMYFUNCTION("""COMPUTED_VALUE"""),526.6800000000001)</f>
        <v>526.68</v>
      </c>
      <c r="BJ774" s="71">
        <f>IFERROR(__xludf.DUMMYFUNCTION("""COMPUTED_VALUE"""),3818.4300000000003)</f>
        <v>3818.43</v>
      </c>
      <c r="BK774" s="71">
        <f>IFERROR(__xludf.DUMMYFUNCTION("""COMPUTED_VALUE"""),3118.5)</f>
        <v>3118.5</v>
      </c>
      <c r="BL774" s="71">
        <f>IFERROR(__xludf.DUMMYFUNCTION("""COMPUTED_VALUE"""),498.96000000000004)</f>
        <v>498.96</v>
      </c>
      <c r="BM774" s="71">
        <f>IFERROR(__xludf.DUMMYFUNCTION("""COMPUTED_VALUE"""),3617.46)</f>
        <v>3617.46</v>
      </c>
      <c r="BN774" s="71">
        <f>IFERROR(__xludf.DUMMYFUNCTION("""COMPUTED_VALUE"""),2945.25)</f>
        <v>2945.25</v>
      </c>
      <c r="BO774" s="71">
        <f>IFERROR(__xludf.DUMMYFUNCTION("""COMPUTED_VALUE"""),471.24)</f>
        <v>471.24</v>
      </c>
      <c r="BP774" s="71">
        <f>IFERROR(__xludf.DUMMYFUNCTION("""COMPUTED_VALUE"""),3416.49)</f>
        <v>3416.49</v>
      </c>
      <c r="BQ774" s="71">
        <f>IFERROR(__xludf.DUMMYFUNCTION("""COMPUTED_VALUE"""),2875.95)</f>
        <v>2875.95</v>
      </c>
      <c r="BR774" s="71">
        <f>IFERROR(__xludf.DUMMYFUNCTION("""COMPUTED_VALUE"""),460.152)</f>
        <v>460.152</v>
      </c>
      <c r="BS774" s="71">
        <f>IFERROR(__xludf.DUMMYFUNCTION("""COMPUTED_VALUE"""),3336.102)</f>
        <v>3336.102</v>
      </c>
      <c r="BT774" s="71">
        <f>IFERROR(__xludf.DUMMYFUNCTION("""COMPUTED_VALUE"""),2772.0)</f>
        <v>2772</v>
      </c>
      <c r="BU774" s="71">
        <f>IFERROR(__xludf.DUMMYFUNCTION("""COMPUTED_VALUE"""),443.52)</f>
        <v>443.52</v>
      </c>
      <c r="BV774" s="71">
        <f>IFERROR(__xludf.DUMMYFUNCTION("""COMPUTED_VALUE"""),3215.52)</f>
        <v>3215.52</v>
      </c>
    </row>
    <row r="775">
      <c r="A775" s="53">
        <v>1.0</v>
      </c>
      <c r="B775" s="72"/>
      <c r="C775" s="73" t="s">
        <v>53</v>
      </c>
      <c r="D775" s="74" t="s">
        <v>1873</v>
      </c>
      <c r="E775" s="54" t="s">
        <v>38</v>
      </c>
      <c r="F775" s="54" t="s">
        <v>42</v>
      </c>
      <c r="G775" s="54" t="s">
        <v>1874</v>
      </c>
      <c r="H775" s="54" t="s">
        <v>1875</v>
      </c>
      <c r="I775" s="54">
        <f t="shared" si="24"/>
        <v>39</v>
      </c>
      <c r="J775" s="56"/>
      <c r="K775" s="75"/>
      <c r="L775" s="76"/>
      <c r="M775" s="59"/>
      <c r="N775" s="60">
        <v>80.0</v>
      </c>
      <c r="O775" s="61">
        <v>86.0</v>
      </c>
      <c r="P775" s="62">
        <v>92.88000000000001</v>
      </c>
      <c r="Q775" s="63">
        <v>92.88000000000001</v>
      </c>
      <c r="R775" s="64">
        <v>104.0</v>
      </c>
      <c r="S775" s="111">
        <v>109.0</v>
      </c>
      <c r="T775" s="65">
        <f t="shared" si="2"/>
        <v>17.44</v>
      </c>
      <c r="U775" s="65">
        <f t="shared" si="3"/>
        <v>126.44</v>
      </c>
      <c r="V775" s="66">
        <f t="shared" si="4"/>
        <v>0.04807692308</v>
      </c>
      <c r="W775" s="67">
        <f t="shared" si="5"/>
        <v>103.55</v>
      </c>
      <c r="X775" s="67">
        <f t="shared" si="6"/>
        <v>16.568</v>
      </c>
      <c r="Y775" s="67">
        <f t="shared" si="7"/>
        <v>120.118</v>
      </c>
      <c r="Z775" s="67">
        <f t="shared" si="8"/>
        <v>98.1</v>
      </c>
      <c r="AA775" s="67">
        <f t="shared" si="9"/>
        <v>15.696</v>
      </c>
      <c r="AB775" s="67">
        <f t="shared" si="10"/>
        <v>113.796</v>
      </c>
      <c r="AC775" s="67">
        <f t="shared" si="11"/>
        <v>92.65</v>
      </c>
      <c r="AD775" s="67">
        <f t="shared" si="12"/>
        <v>14.824</v>
      </c>
      <c r="AE775" s="67">
        <f t="shared" si="13"/>
        <v>107.474</v>
      </c>
      <c r="AF775" s="67">
        <f t="shared" si="33"/>
        <v>90.47</v>
      </c>
      <c r="AG775" s="67">
        <f t="shared" si="15"/>
        <v>14.4752</v>
      </c>
      <c r="AH775" s="67">
        <f t="shared" si="16"/>
        <v>104.9452</v>
      </c>
      <c r="AI775" s="67">
        <f t="shared" si="17"/>
        <v>87.2</v>
      </c>
      <c r="AJ775" s="68">
        <f t="shared" si="31"/>
        <v>13.952</v>
      </c>
      <c r="AK775" s="68">
        <f t="shared" si="32"/>
        <v>101.152</v>
      </c>
      <c r="AL775" s="70">
        <f>IFERROR(__xludf.DUMMYFUNCTION("""COMPUTED_VALUE"""),1.0)</f>
        <v>1</v>
      </c>
      <c r="AM775" s="70"/>
      <c r="AN775" s="71" t="str">
        <f>IFERROR(__xludf.DUMMYFUNCTION("""COMPUTED_VALUE""")," P")</f>
        <v>P</v>
      </c>
      <c r="AO775" s="71" t="str">
        <f>IFERROR(__xludf.DUMMYFUNCTION("""COMPUTED_VALUE""")," LA06")</f>
        <v>LA06</v>
      </c>
      <c r="AP775" s="71" t="str">
        <f>IFERROR(__xludf.DUMMYFUNCTION("""COMPUTED_VALUE""")," PZA")</f>
        <v>PZA</v>
      </c>
      <c r="AQ775" s="71" t="str">
        <f>IFERROR(__xludf.DUMMYFUNCTION("""COMPUTED_VALUE""")," REF")</f>
        <v>REF</v>
      </c>
      <c r="AR775" s="71" t="str">
        <f>IFERROR(__xludf.DUMMYFUNCTION("""COMPUTED_VALUE""")," LATERAL DE COLA SENCILLO TV-50 (B.C.)")</f>
        <v>LATERAL DE COLA SENCILLO TV-50 (B.C.)</v>
      </c>
      <c r="AS775" s="71" t="str">
        <f>IFERROR(__xludf.DUMMYFUNCTION("""COMPUTED_VALUE""")," LATERAL DE COLA SENCILLO TV-50 BC")</f>
        <v>LATERAL DE COLA SENCILLO TV-50 BC</v>
      </c>
      <c r="AT775" s="71">
        <f>IFERROR(__xludf.DUMMYFUNCTION("""COMPUTED_VALUE"""),33.0)</f>
        <v>33</v>
      </c>
      <c r="AU775" s="71"/>
      <c r="AV775" s="71"/>
      <c r="AW775" s="71"/>
      <c r="AX775" s="71"/>
      <c r="AY775" s="71">
        <f>IFERROR(__xludf.DUMMYFUNCTION("""COMPUTED_VALUE"""),2697.0)</f>
        <v>2697</v>
      </c>
      <c r="AZ775" s="71">
        <f>IFERROR(__xludf.DUMMYFUNCTION("""COMPUTED_VALUE"""),2912.0)</f>
        <v>2912</v>
      </c>
      <c r="BA775" s="71">
        <f>IFERROR(__xludf.DUMMYFUNCTION("""COMPUTED_VALUE"""),3144.96)</f>
        <v>3144.96</v>
      </c>
      <c r="BB775" s="71">
        <f>IFERROR(__xludf.DUMMYFUNCTION("""COMPUTED_VALUE"""),3144.96)</f>
        <v>3144.96</v>
      </c>
      <c r="BC775" s="71">
        <f>IFERROR(__xludf.DUMMYFUNCTION("""COMPUTED_VALUE"""),3501.0)</f>
        <v>3501</v>
      </c>
      <c r="BD775" s="71">
        <f>IFERROR(__xludf.DUMMYFUNCTION("""COMPUTED_VALUE"""),3676.0)</f>
        <v>3676</v>
      </c>
      <c r="BE775" s="71">
        <f>IFERROR(__xludf.DUMMYFUNCTION("""COMPUTED_VALUE"""),588.16)</f>
        <v>588.16</v>
      </c>
      <c r="BF775" s="71">
        <f>IFERROR(__xludf.DUMMYFUNCTION("""COMPUTED_VALUE"""),4264.16)</f>
        <v>4264.16</v>
      </c>
      <c r="BG775" s="71">
        <f>IFERROR(__xludf.DUMMYFUNCTION("""COMPUTED_VALUE"""),0.04998571836618109)</f>
        <v>0.04998571837</v>
      </c>
      <c r="BH775" s="71">
        <f>IFERROR(__xludf.DUMMYFUNCTION("""COMPUTED_VALUE"""),3492.2)</f>
        <v>3492.2</v>
      </c>
      <c r="BI775" s="71">
        <f>IFERROR(__xludf.DUMMYFUNCTION("""COMPUTED_VALUE"""),558.752)</f>
        <v>558.752</v>
      </c>
      <c r="BJ775" s="71">
        <f>IFERROR(__xludf.DUMMYFUNCTION("""COMPUTED_VALUE"""),4050.9519999999998)</f>
        <v>4050.952</v>
      </c>
      <c r="BK775" s="71">
        <f>IFERROR(__xludf.DUMMYFUNCTION("""COMPUTED_VALUE"""),3308.4)</f>
        <v>3308.4</v>
      </c>
      <c r="BL775" s="71">
        <f>IFERROR(__xludf.DUMMYFUNCTION("""COMPUTED_VALUE"""),529.344)</f>
        <v>529.344</v>
      </c>
      <c r="BM775" s="71">
        <f>IFERROR(__xludf.DUMMYFUNCTION("""COMPUTED_VALUE"""),3837.744)</f>
        <v>3837.744</v>
      </c>
      <c r="BN775" s="71">
        <f>IFERROR(__xludf.DUMMYFUNCTION("""COMPUTED_VALUE"""),3124.6)</f>
        <v>3124.6</v>
      </c>
      <c r="BO775" s="71">
        <f>IFERROR(__xludf.DUMMYFUNCTION("""COMPUTED_VALUE"""),499.936)</f>
        <v>499.936</v>
      </c>
      <c r="BP775" s="71">
        <f>IFERROR(__xludf.DUMMYFUNCTION("""COMPUTED_VALUE"""),3624.536)</f>
        <v>3624.536</v>
      </c>
      <c r="BQ775" s="71">
        <f>IFERROR(__xludf.DUMMYFUNCTION("""COMPUTED_VALUE"""),3051.08)</f>
        <v>3051.08</v>
      </c>
      <c r="BR775" s="71">
        <f>IFERROR(__xludf.DUMMYFUNCTION("""COMPUTED_VALUE"""),488.1728)</f>
        <v>488.1728</v>
      </c>
      <c r="BS775" s="71">
        <f>IFERROR(__xludf.DUMMYFUNCTION("""COMPUTED_VALUE"""),3539.2527999999998)</f>
        <v>3539.2528</v>
      </c>
      <c r="BT775" s="71">
        <f>IFERROR(__xludf.DUMMYFUNCTION("""COMPUTED_VALUE"""),2940.8)</f>
        <v>2940.8</v>
      </c>
      <c r="BU775" s="71">
        <f>IFERROR(__xludf.DUMMYFUNCTION("""COMPUTED_VALUE"""),470.528)</f>
        <v>470.528</v>
      </c>
      <c r="BV775" s="71">
        <f>IFERROR(__xludf.DUMMYFUNCTION("""COMPUTED_VALUE"""),3411.3280000000004)</f>
        <v>3411.328</v>
      </c>
    </row>
    <row r="776">
      <c r="A776" s="53"/>
      <c r="B776" s="53"/>
      <c r="C776" s="73" t="s">
        <v>53</v>
      </c>
      <c r="D776" s="53" t="s">
        <v>1876</v>
      </c>
      <c r="E776" s="54" t="s">
        <v>38</v>
      </c>
      <c r="F776" s="54" t="s">
        <v>42</v>
      </c>
      <c r="G776" s="55" t="s">
        <v>1877</v>
      </c>
      <c r="H776" s="54" t="s">
        <v>1877</v>
      </c>
      <c r="I776" s="54">
        <f t="shared" si="24"/>
        <v>40</v>
      </c>
      <c r="J776" s="56"/>
      <c r="K776" s="75"/>
      <c r="L776" s="145"/>
      <c r="M776" s="59"/>
      <c r="N776" s="79">
        <v>106.0</v>
      </c>
      <c r="O776" s="61">
        <v>114.0</v>
      </c>
      <c r="P776" s="63">
        <v>123.12</v>
      </c>
      <c r="Q776" s="63">
        <v>123.12</v>
      </c>
      <c r="R776" s="64">
        <v>130.0</v>
      </c>
      <c r="S776" s="111">
        <v>137.0</v>
      </c>
      <c r="T776" s="65">
        <f t="shared" si="2"/>
        <v>21.92</v>
      </c>
      <c r="U776" s="65">
        <f t="shared" si="3"/>
        <v>158.92</v>
      </c>
      <c r="V776" s="66">
        <f t="shared" si="4"/>
        <v>0.05384615385</v>
      </c>
      <c r="W776" s="67">
        <f t="shared" si="5"/>
        <v>130.15</v>
      </c>
      <c r="X776" s="67">
        <f t="shared" si="6"/>
        <v>20.824</v>
      </c>
      <c r="Y776" s="67">
        <f t="shared" si="7"/>
        <v>150.974</v>
      </c>
      <c r="Z776" s="67">
        <f t="shared" si="8"/>
        <v>123.3</v>
      </c>
      <c r="AA776" s="67">
        <f t="shared" si="9"/>
        <v>19.728</v>
      </c>
      <c r="AB776" s="67">
        <f t="shared" si="10"/>
        <v>143.028</v>
      </c>
      <c r="AC776" s="67">
        <f t="shared" si="11"/>
        <v>116.45</v>
      </c>
      <c r="AD776" s="67">
        <f t="shared" si="12"/>
        <v>18.632</v>
      </c>
      <c r="AE776" s="67">
        <f t="shared" si="13"/>
        <v>135.082</v>
      </c>
      <c r="AF776" s="67">
        <f t="shared" si="33"/>
        <v>113.71</v>
      </c>
      <c r="AG776" s="67">
        <f t="shared" si="15"/>
        <v>18.1936</v>
      </c>
      <c r="AH776" s="67">
        <f t="shared" si="16"/>
        <v>131.9036</v>
      </c>
      <c r="AI776" s="67">
        <f t="shared" si="17"/>
        <v>109.6</v>
      </c>
      <c r="AJ776" s="68">
        <f t="shared" si="31"/>
        <v>17.536</v>
      </c>
      <c r="AK776" s="68">
        <f t="shared" si="32"/>
        <v>127.136</v>
      </c>
      <c r="AL776" s="70">
        <f>IFERROR(__xludf.DUMMYFUNCTION("""COMPUTED_VALUE"""),1.0)</f>
        <v>1</v>
      </c>
      <c r="AM776" s="70"/>
      <c r="AN776" s="71" t="str">
        <f>IFERROR(__xludf.DUMMYFUNCTION("""COMPUTED_VALUE""")," P")</f>
        <v>P</v>
      </c>
      <c r="AO776" s="71" t="str">
        <f>IFERROR(__xludf.DUMMYFUNCTION("""COMPUTED_VALUE""")," LA07")</f>
        <v>LA07</v>
      </c>
      <c r="AP776" s="71" t="str">
        <f>IFERROR(__xludf.DUMMYFUNCTION("""COMPUTED_VALUE""")," PZA")</f>
        <v>PZA</v>
      </c>
      <c r="AQ776" s="71" t="str">
        <f>IFERROR(__xludf.DUMMYFUNCTION("""COMPUTED_VALUE""")," REF")</f>
        <v>REF</v>
      </c>
      <c r="AR776" s="71" t="str">
        <f>IFERROR(__xludf.DUMMYFUNCTION("""COMPUTED_VALUE""")," LATERAL DE MESA SENCILLO MODELO ANTERIOR")</f>
        <v>LATERAL DE MESA SENCILLO MODELO ANTERIOR</v>
      </c>
      <c r="AS776" s="71" t="str">
        <f>IFERROR(__xludf.DUMMYFUNCTION("""COMPUTED_VALUE""")," LATERAL DE MESA SENCILLO MODELO ANTERIOR")</f>
        <v>LATERAL DE MESA SENCILLO MODELO ANTERIOR</v>
      </c>
      <c r="AT776" s="71">
        <f>IFERROR(__xludf.DUMMYFUNCTION("""COMPUTED_VALUE"""),40.0)</f>
        <v>40</v>
      </c>
      <c r="AU776" s="71"/>
      <c r="AV776" s="71"/>
      <c r="AW776" s="71"/>
      <c r="AX776" s="71"/>
      <c r="AY776" s="71">
        <f>IFERROR(__xludf.DUMMYFUNCTION("""COMPUTED_VALUE"""),2355.0)</f>
        <v>2355</v>
      </c>
      <c r="AZ776" s="71">
        <f>IFERROR(__xludf.DUMMYFUNCTION("""COMPUTED_VALUE"""),2543.0)</f>
        <v>2543</v>
      </c>
      <c r="BA776" s="71">
        <f>IFERROR(__xludf.DUMMYFUNCTION("""COMPUTED_VALUE"""),2746.44)</f>
        <v>2746.44</v>
      </c>
      <c r="BB776" s="71">
        <f>IFERROR(__xludf.DUMMYFUNCTION("""COMPUTED_VALUE"""),2746.44)</f>
        <v>2746.44</v>
      </c>
      <c r="BC776" s="71">
        <f>IFERROR(__xludf.DUMMYFUNCTION("""COMPUTED_VALUE"""),3058.0)</f>
        <v>3058</v>
      </c>
      <c r="BD776" s="71">
        <f>IFERROR(__xludf.DUMMYFUNCTION("""COMPUTED_VALUE"""),3211.0)</f>
        <v>3211</v>
      </c>
      <c r="BE776" s="71">
        <f>IFERROR(__xludf.DUMMYFUNCTION("""COMPUTED_VALUE"""),513.76)</f>
        <v>513.76</v>
      </c>
      <c r="BF776" s="71">
        <f>IFERROR(__xludf.DUMMYFUNCTION("""COMPUTED_VALUE"""),3724.76)</f>
        <v>3724.76</v>
      </c>
      <c r="BG776" s="71">
        <f>IFERROR(__xludf.DUMMYFUNCTION("""COMPUTED_VALUE"""),0.0500327011118378)</f>
        <v>0.05003270111</v>
      </c>
      <c r="BH776" s="71">
        <f>IFERROR(__xludf.DUMMYFUNCTION("""COMPUTED_VALUE"""),3050.45)</f>
        <v>3050.45</v>
      </c>
      <c r="BI776" s="71">
        <f>IFERROR(__xludf.DUMMYFUNCTION("""COMPUTED_VALUE"""),488.072)</f>
        <v>488.072</v>
      </c>
      <c r="BJ776" s="71">
        <f>IFERROR(__xludf.DUMMYFUNCTION("""COMPUTED_VALUE"""),3538.522)</f>
        <v>3538.522</v>
      </c>
      <c r="BK776" s="71">
        <f>IFERROR(__xludf.DUMMYFUNCTION("""COMPUTED_VALUE"""),2889.9)</f>
        <v>2889.9</v>
      </c>
      <c r="BL776" s="71">
        <f>IFERROR(__xludf.DUMMYFUNCTION("""COMPUTED_VALUE"""),462.384)</f>
        <v>462.384</v>
      </c>
      <c r="BM776" s="71">
        <f>IFERROR(__xludf.DUMMYFUNCTION("""COMPUTED_VALUE"""),3352.284)</f>
        <v>3352.284</v>
      </c>
      <c r="BN776" s="71">
        <f>IFERROR(__xludf.DUMMYFUNCTION("""COMPUTED_VALUE"""),2729.35)</f>
        <v>2729.35</v>
      </c>
      <c r="BO776" s="71">
        <f>IFERROR(__xludf.DUMMYFUNCTION("""COMPUTED_VALUE"""),436.69599999999997)</f>
        <v>436.696</v>
      </c>
      <c r="BP776" s="71">
        <f>IFERROR(__xludf.DUMMYFUNCTION("""COMPUTED_VALUE"""),3166.046)</f>
        <v>3166.046</v>
      </c>
      <c r="BQ776" s="71">
        <f>IFERROR(__xludf.DUMMYFUNCTION("""COMPUTED_VALUE"""),2665.1299999999997)</f>
        <v>2665.13</v>
      </c>
      <c r="BR776" s="71">
        <f>IFERROR(__xludf.DUMMYFUNCTION("""COMPUTED_VALUE"""),426.42079999999993)</f>
        <v>426.4208</v>
      </c>
      <c r="BS776" s="71">
        <f>IFERROR(__xludf.DUMMYFUNCTION("""COMPUTED_VALUE"""),3091.5507999999995)</f>
        <v>3091.5508</v>
      </c>
      <c r="BT776" s="71">
        <f>IFERROR(__xludf.DUMMYFUNCTION("""COMPUTED_VALUE"""),2568.8)</f>
        <v>2568.8</v>
      </c>
      <c r="BU776" s="71">
        <f>IFERROR(__xludf.DUMMYFUNCTION("""COMPUTED_VALUE"""),411.00800000000004)</f>
        <v>411.008</v>
      </c>
      <c r="BV776" s="71">
        <f>IFERROR(__xludf.DUMMYFUNCTION("""COMPUTED_VALUE"""),2979.808)</f>
        <v>2979.808</v>
      </c>
    </row>
    <row r="777">
      <c r="A777" s="53"/>
      <c r="B777" s="53"/>
      <c r="C777" s="73" t="s">
        <v>53</v>
      </c>
      <c r="D777" s="53" t="s">
        <v>1878</v>
      </c>
      <c r="E777" s="54" t="s">
        <v>38</v>
      </c>
      <c r="F777" s="54" t="s">
        <v>42</v>
      </c>
      <c r="G777" s="55" t="s">
        <v>1879</v>
      </c>
      <c r="H777" s="54" t="s">
        <v>1880</v>
      </c>
      <c r="I777" s="54">
        <f t="shared" si="24"/>
        <v>38</v>
      </c>
      <c r="J777" s="56"/>
      <c r="K777" s="57"/>
      <c r="L777" s="76"/>
      <c r="M777" s="59"/>
      <c r="N777" s="79">
        <v>104.0</v>
      </c>
      <c r="O777" s="61">
        <v>112.0</v>
      </c>
      <c r="P777" s="63">
        <v>120.96000000000001</v>
      </c>
      <c r="Q777" s="63">
        <v>120.96000000000001</v>
      </c>
      <c r="R777" s="64">
        <v>128.0</v>
      </c>
      <c r="S777" s="111">
        <v>134.0</v>
      </c>
      <c r="T777" s="65">
        <f t="shared" si="2"/>
        <v>21.44</v>
      </c>
      <c r="U777" s="65">
        <f t="shared" si="3"/>
        <v>155.44</v>
      </c>
      <c r="V777" s="66">
        <f t="shared" si="4"/>
        <v>0.046875</v>
      </c>
      <c r="W777" s="67">
        <f t="shared" si="5"/>
        <v>127.3</v>
      </c>
      <c r="X777" s="67">
        <f t="shared" si="6"/>
        <v>20.368</v>
      </c>
      <c r="Y777" s="67">
        <f t="shared" si="7"/>
        <v>147.668</v>
      </c>
      <c r="Z777" s="67">
        <f t="shared" si="8"/>
        <v>120.6</v>
      </c>
      <c r="AA777" s="67">
        <f t="shared" si="9"/>
        <v>19.296</v>
      </c>
      <c r="AB777" s="67">
        <f t="shared" si="10"/>
        <v>139.896</v>
      </c>
      <c r="AC777" s="67">
        <f t="shared" si="11"/>
        <v>113.9</v>
      </c>
      <c r="AD777" s="67">
        <f t="shared" si="12"/>
        <v>18.224</v>
      </c>
      <c r="AE777" s="67">
        <f t="shared" si="13"/>
        <v>132.124</v>
      </c>
      <c r="AF777" s="67">
        <f t="shared" si="33"/>
        <v>111.22</v>
      </c>
      <c r="AG777" s="67">
        <f t="shared" si="15"/>
        <v>17.7952</v>
      </c>
      <c r="AH777" s="67">
        <f t="shared" si="16"/>
        <v>129.0152</v>
      </c>
      <c r="AI777" s="67">
        <f t="shared" si="17"/>
        <v>107.2</v>
      </c>
      <c r="AJ777" s="68">
        <f t="shared" si="31"/>
        <v>17.152</v>
      </c>
      <c r="AK777" s="68">
        <f t="shared" si="32"/>
        <v>124.352</v>
      </c>
      <c r="AL777" s="70">
        <f>IFERROR(__xludf.DUMMYFUNCTION("""COMPUTED_VALUE"""),1.0)</f>
        <v>1</v>
      </c>
      <c r="AM777" s="70"/>
      <c r="AN777" s="71" t="str">
        <f>IFERROR(__xludf.DUMMYFUNCTION("""COMPUTED_VALUE""")," P")</f>
        <v>P</v>
      </c>
      <c r="AO777" s="71" t="str">
        <f>IFERROR(__xludf.DUMMYFUNCTION("""COMPUTED_VALUE""")," LA08")</f>
        <v>LA08</v>
      </c>
      <c r="AP777" s="71" t="str">
        <f>IFERROR(__xludf.DUMMYFUNCTION("""COMPUTED_VALUE""")," PZA")</f>
        <v>PZA</v>
      </c>
      <c r="AQ777" s="71" t="str">
        <f>IFERROR(__xludf.DUMMYFUNCTION("""COMPUTED_VALUE""")," REF")</f>
        <v>REF</v>
      </c>
      <c r="AR777" s="71" t="str">
        <f>IFERROR(__xludf.DUMMYFUNCTION("""COMPUTED_VALUE""")," LATERAL DE MESA SENCILLO TV-50 (B.C.)")</f>
        <v>LATERAL DE MESA SENCILLO TV-50 (B.C.)</v>
      </c>
      <c r="AS777" s="71" t="str">
        <f>IFERROR(__xludf.DUMMYFUNCTION("""COMPUTED_VALUE""")," LATERAL DE MESA SENCILLO TV-50 BC")</f>
        <v>LATERAL DE MESA SENCILLO TV-50 BC</v>
      </c>
      <c r="AT777" s="71">
        <f>IFERROR(__xludf.DUMMYFUNCTION("""COMPUTED_VALUE"""),33.0)</f>
        <v>33</v>
      </c>
      <c r="AU777" s="71"/>
      <c r="AV777" s="71"/>
      <c r="AW777" s="71"/>
      <c r="AX777" s="71"/>
      <c r="AY777" s="71">
        <f>IFERROR(__xludf.DUMMYFUNCTION("""COMPUTED_VALUE"""),2471.0)</f>
        <v>2471</v>
      </c>
      <c r="AZ777" s="71">
        <f>IFERROR(__xludf.DUMMYFUNCTION("""COMPUTED_VALUE"""),2668.0)</f>
        <v>2668</v>
      </c>
      <c r="BA777" s="71">
        <f>IFERROR(__xludf.DUMMYFUNCTION("""COMPUTED_VALUE"""),2881.44)</f>
        <v>2881.44</v>
      </c>
      <c r="BB777" s="71">
        <f>IFERROR(__xludf.DUMMYFUNCTION("""COMPUTED_VALUE"""),2881.44)</f>
        <v>2881.44</v>
      </c>
      <c r="BC777" s="71">
        <f>IFERROR(__xludf.DUMMYFUNCTION("""COMPUTED_VALUE"""),3208.0)</f>
        <v>3208</v>
      </c>
      <c r="BD777" s="71">
        <f>IFERROR(__xludf.DUMMYFUNCTION("""COMPUTED_VALUE"""),3368.0)</f>
        <v>3368</v>
      </c>
      <c r="BE777" s="71">
        <f>IFERROR(__xludf.DUMMYFUNCTION("""COMPUTED_VALUE"""),538.88)</f>
        <v>538.88</v>
      </c>
      <c r="BF777" s="71">
        <f>IFERROR(__xludf.DUMMYFUNCTION("""COMPUTED_VALUE"""),3906.88)</f>
        <v>3906.88</v>
      </c>
      <c r="BG777" s="71">
        <f>IFERROR(__xludf.DUMMYFUNCTION("""COMPUTED_VALUE"""),0.04987531172069826)</f>
        <v>0.04987531172</v>
      </c>
      <c r="BH777" s="71">
        <f>IFERROR(__xludf.DUMMYFUNCTION("""COMPUTED_VALUE"""),3199.6)</f>
        <v>3199.6</v>
      </c>
      <c r="BI777" s="71">
        <f>IFERROR(__xludf.DUMMYFUNCTION("""COMPUTED_VALUE"""),511.936)</f>
        <v>511.936</v>
      </c>
      <c r="BJ777" s="71">
        <f>IFERROR(__xludf.DUMMYFUNCTION("""COMPUTED_VALUE"""),3711.536)</f>
        <v>3711.536</v>
      </c>
      <c r="BK777" s="71">
        <f>IFERROR(__xludf.DUMMYFUNCTION("""COMPUTED_VALUE"""),3031.2000000000003)</f>
        <v>3031.2</v>
      </c>
      <c r="BL777" s="71">
        <f>IFERROR(__xludf.DUMMYFUNCTION("""COMPUTED_VALUE"""),484.9920000000001)</f>
        <v>484.992</v>
      </c>
      <c r="BM777" s="71">
        <f>IFERROR(__xludf.DUMMYFUNCTION("""COMPUTED_VALUE"""),3516.1920000000005)</f>
        <v>3516.192</v>
      </c>
      <c r="BN777" s="71">
        <f>IFERROR(__xludf.DUMMYFUNCTION("""COMPUTED_VALUE"""),2862.7999999999997)</f>
        <v>2862.8</v>
      </c>
      <c r="BO777" s="71">
        <f>IFERROR(__xludf.DUMMYFUNCTION("""COMPUTED_VALUE"""),458.04799999999994)</f>
        <v>458.048</v>
      </c>
      <c r="BP777" s="71">
        <f>IFERROR(__xludf.DUMMYFUNCTION("""COMPUTED_VALUE"""),3320.8479999999995)</f>
        <v>3320.848</v>
      </c>
      <c r="BQ777" s="71">
        <f>IFERROR(__xludf.DUMMYFUNCTION("""COMPUTED_VALUE"""),2795.44)</f>
        <v>2795.44</v>
      </c>
      <c r="BR777" s="71">
        <f>IFERROR(__xludf.DUMMYFUNCTION("""COMPUTED_VALUE"""),447.2704)</f>
        <v>447.2704</v>
      </c>
      <c r="BS777" s="71">
        <f>IFERROR(__xludf.DUMMYFUNCTION("""COMPUTED_VALUE"""),3242.7104)</f>
        <v>3242.7104</v>
      </c>
      <c r="BT777" s="71">
        <f>IFERROR(__xludf.DUMMYFUNCTION("""COMPUTED_VALUE"""),2694.4)</f>
        <v>2694.4</v>
      </c>
      <c r="BU777" s="71">
        <f>IFERROR(__xludf.DUMMYFUNCTION("""COMPUTED_VALUE"""),431.10400000000004)</f>
        <v>431.104</v>
      </c>
      <c r="BV777" s="71">
        <f>IFERROR(__xludf.DUMMYFUNCTION("""COMPUTED_VALUE"""),3125.504)</f>
        <v>3125.504</v>
      </c>
    </row>
    <row r="778">
      <c r="A778" s="53"/>
      <c r="B778" s="53"/>
      <c r="C778" s="53" t="s">
        <v>36</v>
      </c>
      <c r="D778" s="85" t="s">
        <v>1881</v>
      </c>
      <c r="E778" s="54" t="s">
        <v>38</v>
      </c>
      <c r="F778" s="55" t="s">
        <v>39</v>
      </c>
      <c r="G778" s="86" t="s">
        <v>1882</v>
      </c>
      <c r="H778" s="55"/>
      <c r="I778" s="54">
        <f t="shared" si="24"/>
        <v>0</v>
      </c>
      <c r="J778" s="56"/>
      <c r="K778" s="57"/>
      <c r="L778" s="76"/>
      <c r="M778" s="59"/>
      <c r="N778" s="60"/>
      <c r="O778" s="61">
        <v>138.24</v>
      </c>
      <c r="P778" s="62">
        <v>149.2992</v>
      </c>
      <c r="Q778" s="63">
        <v>149.2992</v>
      </c>
      <c r="R778" s="64">
        <v>157.0</v>
      </c>
      <c r="S778" s="107">
        <v>165.0</v>
      </c>
      <c r="T778" s="65">
        <f t="shared" si="2"/>
        <v>26.4</v>
      </c>
      <c r="U778" s="65">
        <f t="shared" si="3"/>
        <v>191.4</v>
      </c>
      <c r="V778" s="66">
        <f t="shared" si="4"/>
        <v>0.05095541401</v>
      </c>
      <c r="W778" s="67">
        <f t="shared" si="5"/>
        <v>156.75</v>
      </c>
      <c r="X778" s="67">
        <f t="shared" si="6"/>
        <v>25.08</v>
      </c>
      <c r="Y778" s="67">
        <f t="shared" si="7"/>
        <v>181.83</v>
      </c>
      <c r="Z778" s="67">
        <f t="shared" si="8"/>
        <v>148.5</v>
      </c>
      <c r="AA778" s="67">
        <f t="shared" si="9"/>
        <v>23.76</v>
      </c>
      <c r="AB778" s="67">
        <f t="shared" si="10"/>
        <v>172.26</v>
      </c>
      <c r="AC778" s="67">
        <f t="shared" si="11"/>
        <v>140.25</v>
      </c>
      <c r="AD778" s="67">
        <f t="shared" si="12"/>
        <v>22.44</v>
      </c>
      <c r="AE778" s="67">
        <f t="shared" si="13"/>
        <v>162.69</v>
      </c>
      <c r="AF778" s="67">
        <f t="shared" si="33"/>
        <v>136.95</v>
      </c>
      <c r="AG778" s="67">
        <f t="shared" si="15"/>
        <v>21.912</v>
      </c>
      <c r="AH778" s="67">
        <f t="shared" si="16"/>
        <v>158.862</v>
      </c>
      <c r="AI778" s="67">
        <f t="shared" si="17"/>
        <v>132</v>
      </c>
      <c r="AJ778" s="68">
        <f t="shared" si="31"/>
        <v>21.12</v>
      </c>
      <c r="AK778" s="68">
        <f t="shared" si="32"/>
        <v>153.12</v>
      </c>
      <c r="AL778" s="70">
        <f>IFERROR(__xludf.DUMMYFUNCTION("""COMPUTED_VALUE"""),1.0)</f>
        <v>1</v>
      </c>
      <c r="AM778" s="70"/>
      <c r="AN778" s="71" t="str">
        <f>IFERROR(__xludf.DUMMYFUNCTION("""COMPUTED_VALUE""")," P")</f>
        <v>P</v>
      </c>
      <c r="AO778" s="71" t="str">
        <f>IFERROR(__xludf.DUMMYFUNCTION("""COMPUTED_VALUE""")," LE07")</f>
        <v>LE07</v>
      </c>
      <c r="AP778" s="71" t="str">
        <f>IFERROR(__xludf.DUMMYFUNCTION("""COMPUTED_VALUE""")," PZA")</f>
        <v>PZA</v>
      </c>
      <c r="AQ778" s="71" t="str">
        <f>IFERROR(__xludf.DUMMYFUNCTION("""COMPUTED_VALUE""")," REF")</f>
        <v>REF</v>
      </c>
      <c r="AR778" s="71" t="str">
        <f>IFERROR(__xludf.DUMMYFUNCTION("""COMPUTED_VALUE""")," LENGÜETA ARMADA CON PERILLA DE ACERO")</f>
        <v>LENGÜETA ARMADA CON PERILLA DE ACERO</v>
      </c>
      <c r="AS778" s="71" t="str">
        <f>IFERROR(__xludf.DUMMYFUNCTION("""COMPUTED_VALUE""")," LENGÜETA ARMADA CON PERILLA DE ACERO")</f>
        <v>LENGÜETA ARMADA CON PERILLA DE ACERO</v>
      </c>
      <c r="AT778" s="71">
        <f>IFERROR(__xludf.DUMMYFUNCTION("""COMPUTED_VALUE"""),36.0)</f>
        <v>36</v>
      </c>
      <c r="AU778" s="71"/>
      <c r="AV778" s="71"/>
      <c r="AW778" s="71"/>
      <c r="AX778" s="71"/>
      <c r="AY778" s="71">
        <f>IFERROR(__xludf.DUMMYFUNCTION("""COMPUTED_VALUE"""),231.0)</f>
        <v>231</v>
      </c>
      <c r="AZ778" s="71">
        <f>IFERROR(__xludf.DUMMYFUNCTION("""COMPUTED_VALUE"""),282.0)</f>
        <v>282</v>
      </c>
      <c r="BA778" s="71">
        <f>IFERROR(__xludf.DUMMYFUNCTION("""COMPUTED_VALUE"""),304.56)</f>
        <v>304.56</v>
      </c>
      <c r="BB778" s="71">
        <f>IFERROR(__xludf.DUMMYFUNCTION("""COMPUTED_VALUE"""),304.56)</f>
        <v>304.56</v>
      </c>
      <c r="BC778" s="71">
        <f>IFERROR(__xludf.DUMMYFUNCTION("""COMPUTED_VALUE"""),346.0)</f>
        <v>346</v>
      </c>
      <c r="BD778" s="71">
        <f>IFERROR(__xludf.DUMMYFUNCTION("""COMPUTED_VALUE"""),363.0)</f>
        <v>363</v>
      </c>
      <c r="BE778" s="71">
        <f>IFERROR(__xludf.DUMMYFUNCTION("""COMPUTED_VALUE"""),58.08)</f>
        <v>58.08</v>
      </c>
      <c r="BF778" s="71">
        <f>IFERROR(__xludf.DUMMYFUNCTION("""COMPUTED_VALUE"""),421.08)</f>
        <v>421.08</v>
      </c>
      <c r="BG778" s="71">
        <f>IFERROR(__xludf.DUMMYFUNCTION("""COMPUTED_VALUE"""),0.049132947976878616)</f>
        <v>0.04913294798</v>
      </c>
      <c r="BH778" s="71">
        <f>IFERROR(__xludf.DUMMYFUNCTION("""COMPUTED_VALUE"""),344.84999999999997)</f>
        <v>344.85</v>
      </c>
      <c r="BI778" s="71">
        <f>IFERROR(__xludf.DUMMYFUNCTION("""COMPUTED_VALUE"""),55.175999999999995)</f>
        <v>55.176</v>
      </c>
      <c r="BJ778" s="71">
        <f>IFERROR(__xludf.DUMMYFUNCTION("""COMPUTED_VALUE"""),400.02599999999995)</f>
        <v>400.026</v>
      </c>
      <c r="BK778" s="71">
        <f>IFERROR(__xludf.DUMMYFUNCTION("""COMPUTED_VALUE"""),326.7)</f>
        <v>326.7</v>
      </c>
      <c r="BL778" s="71">
        <f>IFERROR(__xludf.DUMMYFUNCTION("""COMPUTED_VALUE"""),52.272)</f>
        <v>52.272</v>
      </c>
      <c r="BM778" s="71">
        <f>IFERROR(__xludf.DUMMYFUNCTION("""COMPUTED_VALUE"""),378.972)</f>
        <v>378.972</v>
      </c>
      <c r="BN778" s="71">
        <f>IFERROR(__xludf.DUMMYFUNCTION("""COMPUTED_VALUE"""),308.55)</f>
        <v>308.55</v>
      </c>
      <c r="BO778" s="71">
        <f>IFERROR(__xludf.DUMMYFUNCTION("""COMPUTED_VALUE"""),49.368)</f>
        <v>49.368</v>
      </c>
      <c r="BP778" s="71">
        <f>IFERROR(__xludf.DUMMYFUNCTION("""COMPUTED_VALUE"""),357.918)</f>
        <v>357.918</v>
      </c>
      <c r="BQ778" s="71">
        <f>IFERROR(__xludf.DUMMYFUNCTION("""COMPUTED_VALUE"""),301.28999999999996)</f>
        <v>301.29</v>
      </c>
      <c r="BR778" s="71">
        <f>IFERROR(__xludf.DUMMYFUNCTION("""COMPUTED_VALUE"""),48.206399999999995)</f>
        <v>48.2064</v>
      </c>
      <c r="BS778" s="71">
        <f>IFERROR(__xludf.DUMMYFUNCTION("""COMPUTED_VALUE"""),349.49639999999994)</f>
        <v>349.4964</v>
      </c>
      <c r="BT778" s="71">
        <f>IFERROR(__xludf.DUMMYFUNCTION("""COMPUTED_VALUE"""),290.40000000000003)</f>
        <v>290.4</v>
      </c>
      <c r="BU778" s="71">
        <f>IFERROR(__xludf.DUMMYFUNCTION("""COMPUTED_VALUE"""),46.464000000000006)</f>
        <v>46.464</v>
      </c>
      <c r="BV778" s="71">
        <f>IFERROR(__xludf.DUMMYFUNCTION("""COMPUTED_VALUE"""),336.86400000000003)</f>
        <v>336.864</v>
      </c>
    </row>
    <row r="779">
      <c r="A779" s="53"/>
      <c r="B779" s="53"/>
      <c r="C779" s="73" t="s">
        <v>53</v>
      </c>
      <c r="D779" s="53" t="s">
        <v>1883</v>
      </c>
      <c r="E779" s="54" t="s">
        <v>38</v>
      </c>
      <c r="F779" s="54" t="s">
        <v>42</v>
      </c>
      <c r="G779" s="55" t="s">
        <v>1884</v>
      </c>
      <c r="H779" s="55" t="s">
        <v>1885</v>
      </c>
      <c r="I779" s="54">
        <f t="shared" si="24"/>
        <v>30</v>
      </c>
      <c r="J779" s="56"/>
      <c r="K779" s="75"/>
      <c r="L779" s="76"/>
      <c r="M779" s="59"/>
      <c r="N779" s="60"/>
      <c r="O779" s="90"/>
      <c r="P779" s="62">
        <v>156.76</v>
      </c>
      <c r="Q779" s="63">
        <v>156.76</v>
      </c>
      <c r="R779" s="64">
        <v>165.0</v>
      </c>
      <c r="S779" s="111">
        <v>173.0</v>
      </c>
      <c r="T779" s="65">
        <f t="shared" si="2"/>
        <v>27.68</v>
      </c>
      <c r="U779" s="65">
        <f t="shared" si="3"/>
        <v>200.68</v>
      </c>
      <c r="V779" s="66">
        <f t="shared" si="4"/>
        <v>0.04848484848</v>
      </c>
      <c r="W779" s="67">
        <f t="shared" si="5"/>
        <v>164.35</v>
      </c>
      <c r="X779" s="67">
        <f t="shared" si="6"/>
        <v>26.296</v>
      </c>
      <c r="Y779" s="67">
        <f t="shared" si="7"/>
        <v>190.646</v>
      </c>
      <c r="Z779" s="67">
        <f t="shared" si="8"/>
        <v>155.7</v>
      </c>
      <c r="AA779" s="67">
        <f t="shared" si="9"/>
        <v>24.912</v>
      </c>
      <c r="AB779" s="67">
        <f t="shared" si="10"/>
        <v>180.612</v>
      </c>
      <c r="AC779" s="67">
        <f t="shared" si="11"/>
        <v>147.05</v>
      </c>
      <c r="AD779" s="67">
        <f t="shared" si="12"/>
        <v>23.528</v>
      </c>
      <c r="AE779" s="67">
        <f t="shared" si="13"/>
        <v>170.578</v>
      </c>
      <c r="AF779" s="67">
        <f t="shared" si="33"/>
        <v>143.59</v>
      </c>
      <c r="AG779" s="67">
        <f t="shared" si="15"/>
        <v>22.9744</v>
      </c>
      <c r="AH779" s="67">
        <f t="shared" si="16"/>
        <v>166.5644</v>
      </c>
      <c r="AI779" s="67">
        <f t="shared" si="17"/>
        <v>138.4</v>
      </c>
      <c r="AJ779" s="68">
        <f t="shared" si="31"/>
        <v>22.144</v>
      </c>
      <c r="AK779" s="68">
        <f t="shared" si="32"/>
        <v>160.544</v>
      </c>
      <c r="AL779" s="70">
        <f>IFERROR(__xludf.DUMMYFUNCTION("""COMPUTED_VALUE"""),1.0)</f>
        <v>1</v>
      </c>
      <c r="AM779" s="70"/>
      <c r="AN779" s="71" t="str">
        <f>IFERROR(__xludf.DUMMYFUNCTION("""COMPUTED_VALUE""")," P")</f>
        <v>P</v>
      </c>
      <c r="AO779" s="71" t="str">
        <f>IFERROR(__xludf.DUMMYFUNCTION("""COMPUTED_VALUE""")," LE05")</f>
        <v>LE05</v>
      </c>
      <c r="AP779" s="71" t="str">
        <f>IFERROR(__xludf.DUMMYFUNCTION("""COMPUTED_VALUE""")," PZA")</f>
        <v>PZA</v>
      </c>
      <c r="AQ779" s="71" t="str">
        <f>IFERROR(__xludf.DUMMYFUNCTION("""COMPUTED_VALUE""")," REF")</f>
        <v>REF</v>
      </c>
      <c r="AR779" s="71" t="str">
        <f>IFERROR(__xludf.DUMMYFUNCTION("""COMPUTED_VALUE""")," LENGÜETA ARMADA CON PERILLA DE BRONCE")</f>
        <v>LENGÜETA ARMADA CON PERILLA DE BRONCE</v>
      </c>
      <c r="AS779" s="71" t="str">
        <f>IFERROR(__xludf.DUMMYFUNCTION("""COMPUTED_VALUE""")," LENGÜETA ARMADA CON PERILLA DE BRONCE")</f>
        <v>LENGÜETA ARMADA CON PERILLA DE BRONCE</v>
      </c>
      <c r="AT779" s="71">
        <f>IFERROR(__xludf.DUMMYFUNCTION("""COMPUTED_VALUE"""),37.0)</f>
        <v>37</v>
      </c>
      <c r="AU779" s="71"/>
      <c r="AV779" s="71"/>
      <c r="AW779" s="71"/>
      <c r="AX779" s="71"/>
      <c r="AY779" s="71">
        <f>IFERROR(__xludf.DUMMYFUNCTION("""COMPUTED_VALUE"""),312.0)</f>
        <v>312</v>
      </c>
      <c r="AZ779" s="71">
        <f>IFERROR(__xludf.DUMMYFUNCTION("""COMPUTED_VALUE"""),336.0)</f>
        <v>336</v>
      </c>
      <c r="BA779" s="71">
        <f>IFERROR(__xludf.DUMMYFUNCTION("""COMPUTED_VALUE"""),362.88)</f>
        <v>362.88</v>
      </c>
      <c r="BB779" s="71">
        <f>IFERROR(__xludf.DUMMYFUNCTION("""COMPUTED_VALUE"""),362.88)</f>
        <v>362.88</v>
      </c>
      <c r="BC779" s="71">
        <f>IFERROR(__xludf.DUMMYFUNCTION("""COMPUTED_VALUE"""),412.0)</f>
        <v>412</v>
      </c>
      <c r="BD779" s="71">
        <f>IFERROR(__xludf.DUMMYFUNCTION("""COMPUTED_VALUE"""),433.0)</f>
        <v>433</v>
      </c>
      <c r="BE779" s="71">
        <f>IFERROR(__xludf.DUMMYFUNCTION("""COMPUTED_VALUE"""),69.28)</f>
        <v>69.28</v>
      </c>
      <c r="BF779" s="71">
        <f>IFERROR(__xludf.DUMMYFUNCTION("""COMPUTED_VALUE"""),502.28)</f>
        <v>502.28</v>
      </c>
      <c r="BG779" s="71">
        <f>IFERROR(__xludf.DUMMYFUNCTION("""COMPUTED_VALUE"""),0.050970873786407765)</f>
        <v>0.05097087379</v>
      </c>
      <c r="BH779" s="71">
        <f>IFERROR(__xludf.DUMMYFUNCTION("""COMPUTED_VALUE"""),411.34999999999997)</f>
        <v>411.35</v>
      </c>
      <c r="BI779" s="71">
        <f>IFERROR(__xludf.DUMMYFUNCTION("""COMPUTED_VALUE"""),65.816)</f>
        <v>65.816</v>
      </c>
      <c r="BJ779" s="71">
        <f>IFERROR(__xludf.DUMMYFUNCTION("""COMPUTED_VALUE"""),477.16599999999994)</f>
        <v>477.166</v>
      </c>
      <c r="BK779" s="71">
        <f>IFERROR(__xludf.DUMMYFUNCTION("""COMPUTED_VALUE"""),389.7)</f>
        <v>389.7</v>
      </c>
      <c r="BL779" s="71">
        <f>IFERROR(__xludf.DUMMYFUNCTION("""COMPUTED_VALUE"""),62.352)</f>
        <v>62.352</v>
      </c>
      <c r="BM779" s="71">
        <f>IFERROR(__xludf.DUMMYFUNCTION("""COMPUTED_VALUE"""),452.05199999999996)</f>
        <v>452.052</v>
      </c>
      <c r="BN779" s="71">
        <f>IFERROR(__xludf.DUMMYFUNCTION("""COMPUTED_VALUE"""),368.05)</f>
        <v>368.05</v>
      </c>
      <c r="BO779" s="71">
        <f>IFERROR(__xludf.DUMMYFUNCTION("""COMPUTED_VALUE"""),58.888000000000005)</f>
        <v>58.888</v>
      </c>
      <c r="BP779" s="71">
        <f>IFERROR(__xludf.DUMMYFUNCTION("""COMPUTED_VALUE"""),426.938)</f>
        <v>426.938</v>
      </c>
      <c r="BQ779" s="71">
        <f>IFERROR(__xludf.DUMMYFUNCTION("""COMPUTED_VALUE"""),359.39)</f>
        <v>359.39</v>
      </c>
      <c r="BR779" s="71">
        <f>IFERROR(__xludf.DUMMYFUNCTION("""COMPUTED_VALUE"""),57.5024)</f>
        <v>57.5024</v>
      </c>
      <c r="BS779" s="71">
        <f>IFERROR(__xludf.DUMMYFUNCTION("""COMPUTED_VALUE"""),416.8924)</f>
        <v>416.8924</v>
      </c>
      <c r="BT779" s="71">
        <f>IFERROR(__xludf.DUMMYFUNCTION("""COMPUTED_VALUE"""),346.40000000000003)</f>
        <v>346.4</v>
      </c>
      <c r="BU779" s="71">
        <f>IFERROR(__xludf.DUMMYFUNCTION("""COMPUTED_VALUE"""),55.42400000000001)</f>
        <v>55.424</v>
      </c>
      <c r="BV779" s="71">
        <f>IFERROR(__xludf.DUMMYFUNCTION("""COMPUTED_VALUE"""),401.82400000000007)</f>
        <v>401.824</v>
      </c>
    </row>
    <row r="780">
      <c r="A780" s="53"/>
      <c r="B780" s="53"/>
      <c r="C780" s="73" t="s">
        <v>53</v>
      </c>
      <c r="D780" s="53" t="s">
        <v>1886</v>
      </c>
      <c r="E780" s="54" t="s">
        <v>38</v>
      </c>
      <c r="F780" s="54" t="s">
        <v>42</v>
      </c>
      <c r="G780" s="55" t="s">
        <v>1887</v>
      </c>
      <c r="H780" s="54" t="s">
        <v>1887</v>
      </c>
      <c r="I780" s="54">
        <f t="shared" si="24"/>
        <v>27</v>
      </c>
      <c r="J780" s="56"/>
      <c r="K780" s="57"/>
      <c r="L780" s="76"/>
      <c r="M780" s="59"/>
      <c r="N780" s="79">
        <v>82.0</v>
      </c>
      <c r="O780" s="61">
        <v>88.0</v>
      </c>
      <c r="P780" s="63">
        <v>95.04</v>
      </c>
      <c r="Q780" s="63">
        <v>95.04</v>
      </c>
      <c r="R780" s="64">
        <v>100.0</v>
      </c>
      <c r="S780" s="111">
        <v>105.0</v>
      </c>
      <c r="T780" s="65">
        <f t="shared" si="2"/>
        <v>16.8</v>
      </c>
      <c r="U780" s="65">
        <f t="shared" si="3"/>
        <v>121.8</v>
      </c>
      <c r="V780" s="66">
        <f t="shared" si="4"/>
        <v>0.05</v>
      </c>
      <c r="W780" s="67">
        <f t="shared" si="5"/>
        <v>99.75</v>
      </c>
      <c r="X780" s="67">
        <f t="shared" si="6"/>
        <v>15.96</v>
      </c>
      <c r="Y780" s="67">
        <f t="shared" si="7"/>
        <v>115.71</v>
      </c>
      <c r="Z780" s="67">
        <f t="shared" si="8"/>
        <v>94.5</v>
      </c>
      <c r="AA780" s="67">
        <f t="shared" si="9"/>
        <v>15.12</v>
      </c>
      <c r="AB780" s="67">
        <f t="shared" si="10"/>
        <v>109.62</v>
      </c>
      <c r="AC780" s="67">
        <f t="shared" si="11"/>
        <v>89.25</v>
      </c>
      <c r="AD780" s="67">
        <f t="shared" si="12"/>
        <v>14.28</v>
      </c>
      <c r="AE780" s="67">
        <f t="shared" si="13"/>
        <v>103.53</v>
      </c>
      <c r="AF780" s="67">
        <f t="shared" si="33"/>
        <v>87.15</v>
      </c>
      <c r="AG780" s="67">
        <f t="shared" si="15"/>
        <v>13.944</v>
      </c>
      <c r="AH780" s="67">
        <f t="shared" si="16"/>
        <v>101.094</v>
      </c>
      <c r="AI780" s="67">
        <f t="shared" si="17"/>
        <v>84</v>
      </c>
      <c r="AJ780" s="68">
        <f t="shared" si="31"/>
        <v>13.44</v>
      </c>
      <c r="AK780" s="68">
        <f t="shared" si="32"/>
        <v>97.44</v>
      </c>
      <c r="AL780" s="70">
        <f>IFERROR(__xludf.DUMMYFUNCTION("""COMPUTED_VALUE"""),1.0)</f>
        <v>1</v>
      </c>
      <c r="AM780" s="70"/>
      <c r="AN780" s="71" t="str">
        <f>IFERROR(__xludf.DUMMYFUNCTION("""COMPUTED_VALUE""")," P")</f>
        <v>P</v>
      </c>
      <c r="AO780" s="71" t="str">
        <f>IFERROR(__xludf.DUMMYFUNCTION("""COMPUTED_VALUE""")," LE06")</f>
        <v>LE06</v>
      </c>
      <c r="AP780" s="71" t="str">
        <f>IFERROR(__xludf.DUMMYFUNCTION("""COMPUTED_VALUE""")," PZA")</f>
        <v>PZA</v>
      </c>
      <c r="AQ780" s="71" t="str">
        <f>IFERROR(__xludf.DUMMYFUNCTION("""COMPUTED_VALUE""")," REF")</f>
        <v>REF</v>
      </c>
      <c r="AR780" s="71" t="str">
        <f>IFERROR(__xludf.DUMMYFUNCTION("""COMPUTED_VALUE""")," LENGÜETA ARMADA EN ACERO INOX. T-304 GRADO ALIMENTICIO")</f>
        <v>LENGÜETA ARMADA EN ACERO INOX. T-304 GRADO ALIMENTICIO</v>
      </c>
      <c r="AS780" s="71" t="str">
        <f>IFERROR(__xludf.DUMMYFUNCTION("""COMPUTED_VALUE""")," LENGÜETA ARMADA INOX GA")</f>
        <v>LENGÜETA ARMADA INOX GA</v>
      </c>
      <c r="AT780" s="71">
        <f>IFERROR(__xludf.DUMMYFUNCTION("""COMPUTED_VALUE"""),23.0)</f>
        <v>23</v>
      </c>
      <c r="AU780" s="71"/>
      <c r="AV780" s="71"/>
      <c r="AW780" s="71"/>
      <c r="AX780" s="71"/>
      <c r="AY780" s="71">
        <f>IFERROR(__xludf.DUMMYFUNCTION("""COMPUTED_VALUE"""),437.0)</f>
        <v>437</v>
      </c>
      <c r="AZ780" s="71">
        <f>IFERROR(__xludf.DUMMYFUNCTION("""COMPUTED_VALUE"""),581.0)</f>
        <v>581</v>
      </c>
      <c r="BA780" s="71">
        <f>IFERROR(__xludf.DUMMYFUNCTION("""COMPUTED_VALUE"""),627.48)</f>
        <v>627.48</v>
      </c>
      <c r="BB780" s="71">
        <f>IFERROR(__xludf.DUMMYFUNCTION("""COMPUTED_VALUE"""),627.48)</f>
        <v>627.48</v>
      </c>
      <c r="BC780" s="71">
        <f>IFERROR(__xludf.DUMMYFUNCTION("""COMPUTED_VALUE"""),712.0)</f>
        <v>712</v>
      </c>
      <c r="BD780" s="71">
        <f>IFERROR(__xludf.DUMMYFUNCTION("""COMPUTED_VALUE"""),748.0)</f>
        <v>748</v>
      </c>
      <c r="BE780" s="71">
        <f>IFERROR(__xludf.DUMMYFUNCTION("""COMPUTED_VALUE"""),119.68)</f>
        <v>119.68</v>
      </c>
      <c r="BF780" s="71">
        <f>IFERROR(__xludf.DUMMYFUNCTION("""COMPUTED_VALUE"""),867.6800000000001)</f>
        <v>867.68</v>
      </c>
      <c r="BG780" s="71">
        <f>IFERROR(__xludf.DUMMYFUNCTION("""COMPUTED_VALUE"""),0.05056179775280899)</f>
        <v>0.05056179775</v>
      </c>
      <c r="BH780" s="71">
        <f>IFERROR(__xludf.DUMMYFUNCTION("""COMPUTED_VALUE"""),710.6)</f>
        <v>710.6</v>
      </c>
      <c r="BI780" s="71">
        <f>IFERROR(__xludf.DUMMYFUNCTION("""COMPUTED_VALUE"""),113.69600000000001)</f>
        <v>113.696</v>
      </c>
      <c r="BJ780" s="71">
        <f>IFERROR(__xludf.DUMMYFUNCTION("""COMPUTED_VALUE"""),824.296)</f>
        <v>824.296</v>
      </c>
      <c r="BK780" s="71">
        <f>IFERROR(__xludf.DUMMYFUNCTION("""COMPUTED_VALUE"""),673.2)</f>
        <v>673.2</v>
      </c>
      <c r="BL780" s="71">
        <f>IFERROR(__xludf.DUMMYFUNCTION("""COMPUTED_VALUE"""),107.712)</f>
        <v>107.712</v>
      </c>
      <c r="BM780" s="71">
        <f>IFERROR(__xludf.DUMMYFUNCTION("""COMPUTED_VALUE"""),780.912)</f>
        <v>780.912</v>
      </c>
      <c r="BN780" s="71">
        <f>IFERROR(__xludf.DUMMYFUNCTION("""COMPUTED_VALUE"""),635.8)</f>
        <v>635.8</v>
      </c>
      <c r="BO780" s="71">
        <f>IFERROR(__xludf.DUMMYFUNCTION("""COMPUTED_VALUE"""),101.728)</f>
        <v>101.728</v>
      </c>
      <c r="BP780" s="71">
        <f>IFERROR(__xludf.DUMMYFUNCTION("""COMPUTED_VALUE"""),737.5279999999999)</f>
        <v>737.528</v>
      </c>
      <c r="BQ780" s="71">
        <f>IFERROR(__xludf.DUMMYFUNCTION("""COMPUTED_VALUE"""),620.8399999999999)</f>
        <v>620.84</v>
      </c>
      <c r="BR780" s="71">
        <f>IFERROR(__xludf.DUMMYFUNCTION("""COMPUTED_VALUE"""),99.33439999999999)</f>
        <v>99.3344</v>
      </c>
      <c r="BS780" s="71">
        <f>IFERROR(__xludf.DUMMYFUNCTION("""COMPUTED_VALUE"""),720.1743999999999)</f>
        <v>720.1744</v>
      </c>
      <c r="BT780" s="71">
        <f>IFERROR(__xludf.DUMMYFUNCTION("""COMPUTED_VALUE"""),598.4)</f>
        <v>598.4</v>
      </c>
      <c r="BU780" s="71">
        <f>IFERROR(__xludf.DUMMYFUNCTION("""COMPUTED_VALUE"""),95.744)</f>
        <v>95.744</v>
      </c>
      <c r="BV780" s="71">
        <f>IFERROR(__xludf.DUMMYFUNCTION("""COMPUTED_VALUE"""),694.144)</f>
        <v>694.144</v>
      </c>
    </row>
    <row r="781">
      <c r="A781" s="53"/>
      <c r="B781" s="53"/>
      <c r="C781" s="73" t="s">
        <v>53</v>
      </c>
      <c r="D781" s="53" t="s">
        <v>1888</v>
      </c>
      <c r="E781" s="54" t="s">
        <v>38</v>
      </c>
      <c r="F781" s="54" t="s">
        <v>42</v>
      </c>
      <c r="G781" s="55" t="s">
        <v>1889</v>
      </c>
      <c r="H781" s="54" t="s">
        <v>1889</v>
      </c>
      <c r="I781" s="54">
        <f t="shared" si="24"/>
        <v>29</v>
      </c>
      <c r="J781" s="56"/>
      <c r="K781" s="57"/>
      <c r="L781" s="76"/>
      <c r="M781" s="59"/>
      <c r="N781" s="79">
        <v>80.0</v>
      </c>
      <c r="O781" s="61">
        <v>86.0</v>
      </c>
      <c r="P781" s="63">
        <v>92.88000000000001</v>
      </c>
      <c r="Q781" s="63">
        <v>92.88000000000001</v>
      </c>
      <c r="R781" s="64">
        <v>98.0</v>
      </c>
      <c r="S781" s="111">
        <v>103.0</v>
      </c>
      <c r="T781" s="65">
        <f t="shared" si="2"/>
        <v>16.48</v>
      </c>
      <c r="U781" s="65">
        <f t="shared" si="3"/>
        <v>119.48</v>
      </c>
      <c r="V781" s="66">
        <f t="shared" si="4"/>
        <v>0.05102040816</v>
      </c>
      <c r="W781" s="67">
        <f t="shared" si="5"/>
        <v>97.85</v>
      </c>
      <c r="X781" s="67">
        <f t="shared" si="6"/>
        <v>15.656</v>
      </c>
      <c r="Y781" s="67">
        <f t="shared" si="7"/>
        <v>113.506</v>
      </c>
      <c r="Z781" s="67">
        <f t="shared" si="8"/>
        <v>92.7</v>
      </c>
      <c r="AA781" s="67">
        <f t="shared" si="9"/>
        <v>14.832</v>
      </c>
      <c r="AB781" s="67">
        <f t="shared" si="10"/>
        <v>107.532</v>
      </c>
      <c r="AC781" s="67">
        <f t="shared" si="11"/>
        <v>87.55</v>
      </c>
      <c r="AD781" s="67">
        <f t="shared" si="12"/>
        <v>14.008</v>
      </c>
      <c r="AE781" s="67">
        <f t="shared" si="13"/>
        <v>101.558</v>
      </c>
      <c r="AF781" s="67">
        <f t="shared" si="33"/>
        <v>85.49</v>
      </c>
      <c r="AG781" s="67">
        <f t="shared" si="15"/>
        <v>13.6784</v>
      </c>
      <c r="AH781" s="67">
        <f t="shared" si="16"/>
        <v>99.1684</v>
      </c>
      <c r="AI781" s="67">
        <f t="shared" si="17"/>
        <v>82.4</v>
      </c>
      <c r="AJ781" s="68">
        <f t="shared" si="31"/>
        <v>13.184</v>
      </c>
      <c r="AK781" s="68">
        <f t="shared" si="32"/>
        <v>95.584</v>
      </c>
      <c r="AL781" s="70">
        <f>IFERROR(__xludf.DUMMYFUNCTION("""COMPUTED_VALUE"""),1.0)</f>
        <v>1</v>
      </c>
      <c r="AM781" s="70"/>
      <c r="AN781" s="71" t="str">
        <f>IFERROR(__xludf.DUMMYFUNCTION("""COMPUTED_VALUE""")," C")</f>
        <v>C</v>
      </c>
      <c r="AO781" s="71" t="str">
        <f>IFERROR(__xludf.DUMMYFUNCTION("""COMPUTED_VALUE""")," LE04")</f>
        <v>LE04</v>
      </c>
      <c r="AP781" s="71" t="str">
        <f>IFERROR(__xludf.DUMMYFUNCTION("""COMPUTED_VALUE""")," PZA")</f>
        <v>PZA</v>
      </c>
      <c r="AQ781" s="71" t="str">
        <f>IFERROR(__xludf.DUMMYFUNCTION("""COMPUTED_VALUE""")," REF")</f>
        <v>REF</v>
      </c>
      <c r="AR781" s="71" t="str">
        <f>IFERROR(__xludf.DUMMYFUNCTION("""COMPUTED_VALUE""")," LENGÜETA PARA MOLINO CAMARADA EN ACERO INOX.")</f>
        <v>LENGÜETA PARA MOLINO CAMARADA EN ACERO INOX.</v>
      </c>
      <c r="AS781" s="71" t="str">
        <f>IFERROR(__xludf.DUMMYFUNCTION("""COMPUTED_VALUE""")," LENG P/MOLINO CAMARADA INOX")</f>
        <v>LENG P/MOLINO CAMARADA INOX</v>
      </c>
      <c r="AT781" s="71">
        <f>IFERROR(__xludf.DUMMYFUNCTION("""COMPUTED_VALUE"""),27.0)</f>
        <v>27</v>
      </c>
      <c r="AU781" s="71"/>
      <c r="AV781" s="71"/>
      <c r="AW781" s="71"/>
      <c r="AX781" s="71"/>
      <c r="AY781" s="71">
        <f>IFERROR(__xludf.DUMMYFUNCTION("""COMPUTED_VALUE"""),1036.0)</f>
        <v>1036</v>
      </c>
      <c r="AZ781" s="71">
        <f>IFERROR(__xludf.DUMMYFUNCTION("""COMPUTED_VALUE"""),1118.0)</f>
        <v>1118</v>
      </c>
      <c r="BA781" s="71">
        <f>IFERROR(__xludf.DUMMYFUNCTION("""COMPUTED_VALUE"""),1207.44)</f>
        <v>1207.44</v>
      </c>
      <c r="BB781" s="71">
        <f>IFERROR(__xludf.DUMMYFUNCTION("""COMPUTED_VALUE"""),1207.44)</f>
        <v>1207.44</v>
      </c>
      <c r="BC781" s="71">
        <f>IFERROR(__xludf.DUMMYFUNCTION("""COMPUTED_VALUE"""),1371.0)</f>
        <v>1371</v>
      </c>
      <c r="BD781" s="71">
        <f>IFERROR(__xludf.DUMMYFUNCTION("""COMPUTED_VALUE"""),1440.0)</f>
        <v>1440</v>
      </c>
      <c r="BE781" s="71">
        <f>IFERROR(__xludf.DUMMYFUNCTION("""COMPUTED_VALUE"""),230.4)</f>
        <v>230.4</v>
      </c>
      <c r="BF781" s="71">
        <f>IFERROR(__xludf.DUMMYFUNCTION("""COMPUTED_VALUE"""),1670.4)</f>
        <v>1670.4</v>
      </c>
      <c r="BG781" s="71">
        <f>IFERROR(__xludf.DUMMYFUNCTION("""COMPUTED_VALUE"""),0.05032822757111598)</f>
        <v>0.05032822757</v>
      </c>
      <c r="BH781" s="71">
        <f>IFERROR(__xludf.DUMMYFUNCTION("""COMPUTED_VALUE"""),1368.0)</f>
        <v>1368</v>
      </c>
      <c r="BI781" s="71">
        <f>IFERROR(__xludf.DUMMYFUNCTION("""COMPUTED_VALUE"""),218.88)</f>
        <v>218.88</v>
      </c>
      <c r="BJ781" s="71">
        <f>IFERROR(__xludf.DUMMYFUNCTION("""COMPUTED_VALUE"""),1586.88)</f>
        <v>1586.88</v>
      </c>
      <c r="BK781" s="71">
        <f>IFERROR(__xludf.DUMMYFUNCTION("""COMPUTED_VALUE"""),1296.0)</f>
        <v>1296</v>
      </c>
      <c r="BL781" s="71">
        <f>IFERROR(__xludf.DUMMYFUNCTION("""COMPUTED_VALUE"""),207.36)</f>
        <v>207.36</v>
      </c>
      <c r="BM781" s="71">
        <f>IFERROR(__xludf.DUMMYFUNCTION("""COMPUTED_VALUE"""),1503.3600000000001)</f>
        <v>1503.36</v>
      </c>
      <c r="BN781" s="71">
        <f>IFERROR(__xludf.DUMMYFUNCTION("""COMPUTED_VALUE"""),1224.0)</f>
        <v>1224</v>
      </c>
      <c r="BO781" s="71">
        <f>IFERROR(__xludf.DUMMYFUNCTION("""COMPUTED_VALUE"""),195.84)</f>
        <v>195.84</v>
      </c>
      <c r="BP781" s="71">
        <f>IFERROR(__xludf.DUMMYFUNCTION("""COMPUTED_VALUE"""),1419.84)</f>
        <v>1419.84</v>
      </c>
      <c r="BQ781" s="71">
        <f>IFERROR(__xludf.DUMMYFUNCTION("""COMPUTED_VALUE"""),1195.2)</f>
        <v>1195.2</v>
      </c>
      <c r="BR781" s="71">
        <f>IFERROR(__xludf.DUMMYFUNCTION("""COMPUTED_VALUE"""),191.232)</f>
        <v>191.232</v>
      </c>
      <c r="BS781" s="71">
        <f>IFERROR(__xludf.DUMMYFUNCTION("""COMPUTED_VALUE"""),1386.432)</f>
        <v>1386.432</v>
      </c>
      <c r="BT781" s="71">
        <f>IFERROR(__xludf.DUMMYFUNCTION("""COMPUTED_VALUE"""),1152.0)</f>
        <v>1152</v>
      </c>
      <c r="BU781" s="71">
        <f>IFERROR(__xludf.DUMMYFUNCTION("""COMPUTED_VALUE"""),184.32)</f>
        <v>184.32</v>
      </c>
      <c r="BV781" s="71">
        <f>IFERROR(__xludf.DUMMYFUNCTION("""COMPUTED_VALUE"""),1336.32)</f>
        <v>1336.32</v>
      </c>
    </row>
    <row r="782">
      <c r="A782" s="53">
        <v>1.0</v>
      </c>
      <c r="B782" s="72"/>
      <c r="C782" s="73" t="s">
        <v>53</v>
      </c>
      <c r="D782" s="74" t="s">
        <v>1890</v>
      </c>
      <c r="E782" s="54" t="s">
        <v>38</v>
      </c>
      <c r="F782" s="54" t="s">
        <v>42</v>
      </c>
      <c r="G782" s="88" t="s">
        <v>1891</v>
      </c>
      <c r="H782" s="54" t="s">
        <v>1892</v>
      </c>
      <c r="I782" s="54">
        <f t="shared" si="24"/>
        <v>23</v>
      </c>
      <c r="J782" s="56"/>
      <c r="K782" s="57"/>
      <c r="L782" s="87"/>
      <c r="M782" s="59"/>
      <c r="N782" s="60">
        <v>26.0</v>
      </c>
      <c r="O782" s="61">
        <v>28.0</v>
      </c>
      <c r="P782" s="62">
        <v>30.240000000000002</v>
      </c>
      <c r="Q782" s="63">
        <v>30.240000000000002</v>
      </c>
      <c r="R782" s="64">
        <v>35.0</v>
      </c>
      <c r="S782" s="111">
        <v>37.0</v>
      </c>
      <c r="T782" s="65">
        <f t="shared" si="2"/>
        <v>5.92</v>
      </c>
      <c r="U782" s="65">
        <f t="shared" si="3"/>
        <v>42.92</v>
      </c>
      <c r="V782" s="66">
        <f t="shared" si="4"/>
        <v>0.05714285714</v>
      </c>
      <c r="W782" s="67">
        <f t="shared" si="5"/>
        <v>35.15</v>
      </c>
      <c r="X782" s="67">
        <f t="shared" si="6"/>
        <v>5.624</v>
      </c>
      <c r="Y782" s="67">
        <f t="shared" si="7"/>
        <v>40.774</v>
      </c>
      <c r="Z782" s="67">
        <f t="shared" si="8"/>
        <v>33.3</v>
      </c>
      <c r="AA782" s="67">
        <f t="shared" si="9"/>
        <v>5.328</v>
      </c>
      <c r="AB782" s="67">
        <f t="shared" si="10"/>
        <v>38.628</v>
      </c>
      <c r="AC782" s="67">
        <f t="shared" si="11"/>
        <v>31.45</v>
      </c>
      <c r="AD782" s="67">
        <f t="shared" si="12"/>
        <v>5.032</v>
      </c>
      <c r="AE782" s="67">
        <f t="shared" si="13"/>
        <v>36.482</v>
      </c>
      <c r="AF782" s="67">
        <f t="shared" si="33"/>
        <v>30.71</v>
      </c>
      <c r="AG782" s="67">
        <f t="shared" si="15"/>
        <v>4.9136</v>
      </c>
      <c r="AH782" s="67">
        <f t="shared" si="16"/>
        <v>35.6236</v>
      </c>
      <c r="AI782" s="67">
        <f t="shared" si="17"/>
        <v>29.6</v>
      </c>
      <c r="AJ782" s="68">
        <f t="shared" si="31"/>
        <v>4.736</v>
      </c>
      <c r="AK782" s="68">
        <f t="shared" si="32"/>
        <v>34.336</v>
      </c>
      <c r="AL782" s="70">
        <f>IFERROR(__xludf.DUMMYFUNCTION("""COMPUTED_VALUE"""),1.0)</f>
        <v>1</v>
      </c>
      <c r="AM782" s="70"/>
      <c r="AN782" s="71" t="str">
        <f>IFERROR(__xludf.DUMMYFUNCTION("""COMPUTED_VALUE""")," P")</f>
        <v>P</v>
      </c>
      <c r="AO782" s="71" t="str">
        <f>IFERROR(__xludf.DUMMYFUNCTION("""COMPUTED_VALUE""")," LE03")</f>
        <v>LE03</v>
      </c>
      <c r="AP782" s="71" t="str">
        <f>IFERROR(__xludf.DUMMYFUNCTION("""COMPUTED_VALUE""")," PZA")</f>
        <v>PZA</v>
      </c>
      <c r="AQ782" s="71" t="str">
        <f>IFERROR(__xludf.DUMMYFUNCTION("""COMPUTED_VALUE""")," REF")</f>
        <v>REF</v>
      </c>
      <c r="AR782" s="71" t="str">
        <f>IFERROR(__xludf.DUMMYFUNCTION("""COMPUTED_VALUE""")," LENGÜETA SOLA")</f>
        <v>LENGÜETA SOLA</v>
      </c>
      <c r="AS782" s="71" t="str">
        <f>IFERROR(__xludf.DUMMYFUNCTION("""COMPUTED_VALUE""")," LENGÜETA SOLA")</f>
        <v>LENGÜETA SOLA</v>
      </c>
      <c r="AT782" s="71">
        <f>IFERROR(__xludf.DUMMYFUNCTION("""COMPUTED_VALUE"""),13.0)</f>
        <v>13</v>
      </c>
      <c r="AU782" s="71"/>
      <c r="AV782" s="71"/>
      <c r="AW782" s="71"/>
      <c r="AX782" s="71"/>
      <c r="AY782" s="71">
        <f>IFERROR(__xludf.DUMMYFUNCTION("""COMPUTED_VALUE"""),63.0)</f>
        <v>63</v>
      </c>
      <c r="AZ782" s="71">
        <f>IFERROR(__xludf.DUMMYFUNCTION("""COMPUTED_VALUE"""),74.0)</f>
        <v>74</v>
      </c>
      <c r="BA782" s="71">
        <f>IFERROR(__xludf.DUMMYFUNCTION("""COMPUTED_VALUE"""),79.92)</f>
        <v>79.92</v>
      </c>
      <c r="BB782" s="71">
        <f>IFERROR(__xludf.DUMMYFUNCTION("""COMPUTED_VALUE"""),79.92)</f>
        <v>79.92</v>
      </c>
      <c r="BC782" s="71">
        <f>IFERROR(__xludf.DUMMYFUNCTION("""COMPUTED_VALUE"""),92.0)</f>
        <v>92</v>
      </c>
      <c r="BD782" s="71">
        <f>IFERROR(__xludf.DUMMYFUNCTION("""COMPUTED_VALUE"""),97.0)</f>
        <v>97</v>
      </c>
      <c r="BE782" s="71">
        <f>IFERROR(__xludf.DUMMYFUNCTION("""COMPUTED_VALUE"""),15.52)</f>
        <v>15.52</v>
      </c>
      <c r="BF782" s="71">
        <f>IFERROR(__xludf.DUMMYFUNCTION("""COMPUTED_VALUE"""),112.52)</f>
        <v>112.52</v>
      </c>
      <c r="BG782" s="71">
        <f>IFERROR(__xludf.DUMMYFUNCTION("""COMPUTED_VALUE"""),0.05434782608695652)</f>
        <v>0.05434782609</v>
      </c>
      <c r="BH782" s="71">
        <f>IFERROR(__xludf.DUMMYFUNCTION("""COMPUTED_VALUE"""),92.14999999999999)</f>
        <v>92.15</v>
      </c>
      <c r="BI782" s="71">
        <f>IFERROR(__xludf.DUMMYFUNCTION("""COMPUTED_VALUE"""),14.744)</f>
        <v>14.744</v>
      </c>
      <c r="BJ782" s="71">
        <f>IFERROR(__xludf.DUMMYFUNCTION("""COMPUTED_VALUE"""),106.89399999999999)</f>
        <v>106.894</v>
      </c>
      <c r="BK782" s="71">
        <f>IFERROR(__xludf.DUMMYFUNCTION("""COMPUTED_VALUE"""),87.3)</f>
        <v>87.3</v>
      </c>
      <c r="BL782" s="71">
        <f>IFERROR(__xludf.DUMMYFUNCTION("""COMPUTED_VALUE"""),13.968)</f>
        <v>13.968</v>
      </c>
      <c r="BM782" s="71">
        <f>IFERROR(__xludf.DUMMYFUNCTION("""COMPUTED_VALUE"""),101.268)</f>
        <v>101.268</v>
      </c>
      <c r="BN782" s="71">
        <f>IFERROR(__xludf.DUMMYFUNCTION("""COMPUTED_VALUE"""),82.45)</f>
        <v>82.45</v>
      </c>
      <c r="BO782" s="71">
        <f>IFERROR(__xludf.DUMMYFUNCTION("""COMPUTED_VALUE"""),13.192)</f>
        <v>13.192</v>
      </c>
      <c r="BP782" s="71">
        <f>IFERROR(__xludf.DUMMYFUNCTION("""COMPUTED_VALUE"""),95.642)</f>
        <v>95.642</v>
      </c>
      <c r="BQ782" s="71">
        <f>IFERROR(__xludf.DUMMYFUNCTION("""COMPUTED_VALUE"""),80.50999999999999)</f>
        <v>80.51</v>
      </c>
      <c r="BR782" s="71">
        <f>IFERROR(__xludf.DUMMYFUNCTION("""COMPUTED_VALUE"""),12.881599999999999)</f>
        <v>12.8816</v>
      </c>
      <c r="BS782" s="71">
        <f>IFERROR(__xludf.DUMMYFUNCTION("""COMPUTED_VALUE"""),93.39159999999998)</f>
        <v>93.3916</v>
      </c>
      <c r="BT782" s="71">
        <f>IFERROR(__xludf.DUMMYFUNCTION("""COMPUTED_VALUE"""),77.60000000000001)</f>
        <v>77.6</v>
      </c>
      <c r="BU782" s="71">
        <f>IFERROR(__xludf.DUMMYFUNCTION("""COMPUTED_VALUE"""),12.416000000000002)</f>
        <v>12.416</v>
      </c>
      <c r="BV782" s="71">
        <f>IFERROR(__xludf.DUMMYFUNCTION("""COMPUTED_VALUE"""),90.016)</f>
        <v>90.016</v>
      </c>
    </row>
    <row r="783">
      <c r="A783" s="53"/>
      <c r="B783" s="53"/>
      <c r="C783" s="53" t="s">
        <v>36</v>
      </c>
      <c r="D783" s="85" t="s">
        <v>1893</v>
      </c>
      <c r="E783" s="54" t="s">
        <v>38</v>
      </c>
      <c r="F783" s="55" t="s">
        <v>39</v>
      </c>
      <c r="G783" s="86" t="s">
        <v>1894</v>
      </c>
      <c r="H783" s="55"/>
      <c r="I783" s="54">
        <f t="shared" si="24"/>
        <v>0</v>
      </c>
      <c r="J783" s="56"/>
      <c r="K783" s="57"/>
      <c r="L783" s="76"/>
      <c r="M783" s="59"/>
      <c r="N783" s="60"/>
      <c r="O783" s="61">
        <v>215.04</v>
      </c>
      <c r="P783" s="62">
        <v>232.2432</v>
      </c>
      <c r="Q783" s="63">
        <v>232.2432</v>
      </c>
      <c r="R783" s="64">
        <v>244.0</v>
      </c>
      <c r="S783" s="107">
        <v>256.0</v>
      </c>
      <c r="T783" s="65">
        <f t="shared" si="2"/>
        <v>40.96</v>
      </c>
      <c r="U783" s="65">
        <f t="shared" si="3"/>
        <v>296.96</v>
      </c>
      <c r="V783" s="66">
        <f t="shared" si="4"/>
        <v>0.04918032787</v>
      </c>
      <c r="W783" s="67">
        <f t="shared" si="5"/>
        <v>243.2</v>
      </c>
      <c r="X783" s="67">
        <f t="shared" si="6"/>
        <v>38.912</v>
      </c>
      <c r="Y783" s="67">
        <f t="shared" si="7"/>
        <v>282.112</v>
      </c>
      <c r="Z783" s="67">
        <f t="shared" si="8"/>
        <v>230.4</v>
      </c>
      <c r="AA783" s="67">
        <f t="shared" si="9"/>
        <v>36.864</v>
      </c>
      <c r="AB783" s="67">
        <f t="shared" si="10"/>
        <v>267.264</v>
      </c>
      <c r="AC783" s="67">
        <f t="shared" si="11"/>
        <v>217.6</v>
      </c>
      <c r="AD783" s="67">
        <f t="shared" si="12"/>
        <v>34.816</v>
      </c>
      <c r="AE783" s="67">
        <f t="shared" si="13"/>
        <v>252.416</v>
      </c>
      <c r="AF783" s="67">
        <f t="shared" si="33"/>
        <v>212.48</v>
      </c>
      <c r="AG783" s="67">
        <f t="shared" si="15"/>
        <v>33.9968</v>
      </c>
      <c r="AH783" s="67">
        <f t="shared" si="16"/>
        <v>246.4768</v>
      </c>
      <c r="AI783" s="67">
        <f t="shared" si="17"/>
        <v>204.8</v>
      </c>
      <c r="AJ783" s="68">
        <f t="shared" si="31"/>
        <v>32.768</v>
      </c>
      <c r="AK783" s="68">
        <f t="shared" si="32"/>
        <v>237.568</v>
      </c>
      <c r="AL783" s="70">
        <f>IFERROR(__xludf.DUMMYFUNCTION("""COMPUTED_VALUE"""),1.0)</f>
        <v>1</v>
      </c>
      <c r="AM783" s="70"/>
      <c r="AN783" s="71" t="str">
        <f>IFERROR(__xludf.DUMMYFUNCTION("""COMPUTED_VALUE""")," P")</f>
        <v>P</v>
      </c>
      <c r="AO783" s="71" t="str">
        <f>IFERROR(__xludf.DUMMYFUNCTION("""COMPUTED_VALUE""")," LE99")</f>
        <v>LE99</v>
      </c>
      <c r="AP783" s="71" t="str">
        <f>IFERROR(__xludf.DUMMYFUNCTION("""COMPUTED_VALUE""")," PZA")</f>
        <v>PZA</v>
      </c>
      <c r="AQ783" s="71" t="str">
        <f>IFERROR(__xludf.DUMMYFUNCTION("""COMPUTED_VALUE""")," REF")</f>
        <v>REF</v>
      </c>
      <c r="AR783" s="71" t="str">
        <f>IFERROR(__xludf.DUMMYFUNCTION("""COMPUTED_VALUE""")," LENGÜETA SOLA EN ACERO INOX. T-304 GRADO ALIMENTICIO")</f>
        <v>LENGÜETA SOLA EN ACERO INOX. T-304 GRADO ALIMENTICIO</v>
      </c>
      <c r="AS783" s="71" t="str">
        <f>IFERROR(__xludf.DUMMYFUNCTION("""COMPUTED_VALUE""")," LENGÜETA SOLA INOX GA")</f>
        <v>LENGÜETA SOLA INOX GA</v>
      </c>
      <c r="AT783" s="71">
        <f>IFERROR(__xludf.DUMMYFUNCTION("""COMPUTED_VALUE"""),21.0)</f>
        <v>21</v>
      </c>
      <c r="AU783" s="71"/>
      <c r="AV783" s="71"/>
      <c r="AW783" s="71"/>
      <c r="AX783" s="71"/>
      <c r="AY783" s="71">
        <f>IFERROR(__xludf.DUMMYFUNCTION("""COMPUTED_VALUE"""),188.0)</f>
        <v>188</v>
      </c>
      <c r="AZ783" s="71">
        <f>IFERROR(__xludf.DUMMYFUNCTION("""COMPUTED_VALUE"""),250.0)</f>
        <v>250</v>
      </c>
      <c r="BA783" s="71">
        <f>IFERROR(__xludf.DUMMYFUNCTION("""COMPUTED_VALUE"""),270.0)</f>
        <v>270</v>
      </c>
      <c r="BB783" s="71">
        <f>IFERROR(__xludf.DUMMYFUNCTION("""COMPUTED_VALUE"""),270.0)</f>
        <v>270</v>
      </c>
      <c r="BC783" s="71">
        <f>IFERROR(__xludf.DUMMYFUNCTION("""COMPUTED_VALUE"""),307.0)</f>
        <v>307</v>
      </c>
      <c r="BD783" s="71">
        <f>IFERROR(__xludf.DUMMYFUNCTION("""COMPUTED_VALUE"""),322.0)</f>
        <v>322</v>
      </c>
      <c r="BE783" s="71">
        <f>IFERROR(__xludf.DUMMYFUNCTION("""COMPUTED_VALUE"""),51.52)</f>
        <v>51.52</v>
      </c>
      <c r="BF783" s="71">
        <f>IFERROR(__xludf.DUMMYFUNCTION("""COMPUTED_VALUE"""),373.52)</f>
        <v>373.52</v>
      </c>
      <c r="BG783" s="71">
        <f>IFERROR(__xludf.DUMMYFUNCTION("""COMPUTED_VALUE"""),0.048859934853420196)</f>
        <v>0.04885993485</v>
      </c>
      <c r="BH783" s="71">
        <f>IFERROR(__xludf.DUMMYFUNCTION("""COMPUTED_VALUE"""),305.9)</f>
        <v>305.9</v>
      </c>
      <c r="BI783" s="71">
        <f>IFERROR(__xludf.DUMMYFUNCTION("""COMPUTED_VALUE"""),48.943999999999996)</f>
        <v>48.944</v>
      </c>
      <c r="BJ783" s="71">
        <f>IFERROR(__xludf.DUMMYFUNCTION("""COMPUTED_VALUE"""),354.844)</f>
        <v>354.844</v>
      </c>
      <c r="BK783" s="71">
        <f>IFERROR(__xludf.DUMMYFUNCTION("""COMPUTED_VALUE"""),289.8)</f>
        <v>289.8</v>
      </c>
      <c r="BL783" s="71">
        <f>IFERROR(__xludf.DUMMYFUNCTION("""COMPUTED_VALUE"""),46.368)</f>
        <v>46.368</v>
      </c>
      <c r="BM783" s="71">
        <f>IFERROR(__xludf.DUMMYFUNCTION("""COMPUTED_VALUE"""),336.168)</f>
        <v>336.168</v>
      </c>
      <c r="BN783" s="71">
        <f>IFERROR(__xludf.DUMMYFUNCTION("""COMPUTED_VALUE"""),273.7)</f>
        <v>273.7</v>
      </c>
      <c r="BO783" s="71">
        <f>IFERROR(__xludf.DUMMYFUNCTION("""COMPUTED_VALUE"""),43.792)</f>
        <v>43.792</v>
      </c>
      <c r="BP783" s="71">
        <f>IFERROR(__xludf.DUMMYFUNCTION("""COMPUTED_VALUE"""),317.49199999999996)</f>
        <v>317.492</v>
      </c>
      <c r="BQ783" s="71">
        <f>IFERROR(__xludf.DUMMYFUNCTION("""COMPUTED_VALUE"""),267.26)</f>
        <v>267.26</v>
      </c>
      <c r="BR783" s="71">
        <f>IFERROR(__xludf.DUMMYFUNCTION("""COMPUTED_VALUE"""),42.7616)</f>
        <v>42.7616</v>
      </c>
      <c r="BS783" s="71">
        <f>IFERROR(__xludf.DUMMYFUNCTION("""COMPUTED_VALUE"""),310.0216)</f>
        <v>310.0216</v>
      </c>
      <c r="BT783" s="71">
        <f>IFERROR(__xludf.DUMMYFUNCTION("""COMPUTED_VALUE"""),257.6)</f>
        <v>257.6</v>
      </c>
      <c r="BU783" s="71">
        <f>IFERROR(__xludf.DUMMYFUNCTION("""COMPUTED_VALUE"""),41.216)</f>
        <v>41.216</v>
      </c>
      <c r="BV783" s="71">
        <f>IFERROR(__xludf.DUMMYFUNCTION("""COMPUTED_VALUE"""),298.81600000000003)</f>
        <v>298.816</v>
      </c>
    </row>
    <row r="784">
      <c r="A784" s="53"/>
      <c r="B784" s="53"/>
      <c r="C784" s="53" t="s">
        <v>36</v>
      </c>
      <c r="D784" s="85" t="s">
        <v>1895</v>
      </c>
      <c r="E784" s="54" t="s">
        <v>38</v>
      </c>
      <c r="F784" s="55" t="s">
        <v>39</v>
      </c>
      <c r="G784" s="86" t="s">
        <v>1896</v>
      </c>
      <c r="H784" s="55"/>
      <c r="I784" s="54">
        <f t="shared" si="24"/>
        <v>0</v>
      </c>
      <c r="J784" s="56"/>
      <c r="K784" s="57"/>
      <c r="L784" s="76"/>
      <c r="M784" s="59"/>
      <c r="N784" s="60"/>
      <c r="O784" s="61">
        <v>238.66</v>
      </c>
      <c r="P784" s="62">
        <v>257.75280000000004</v>
      </c>
      <c r="Q784" s="63">
        <v>257.75280000000004</v>
      </c>
      <c r="R784" s="64">
        <v>271.0</v>
      </c>
      <c r="S784" s="107">
        <v>285.0</v>
      </c>
      <c r="T784" s="65">
        <f t="shared" si="2"/>
        <v>45.6</v>
      </c>
      <c r="U784" s="65">
        <f t="shared" si="3"/>
        <v>330.6</v>
      </c>
      <c r="V784" s="66">
        <f t="shared" si="4"/>
        <v>0.05166051661</v>
      </c>
      <c r="W784" s="67">
        <f t="shared" si="5"/>
        <v>270.75</v>
      </c>
      <c r="X784" s="67">
        <f t="shared" si="6"/>
        <v>43.32</v>
      </c>
      <c r="Y784" s="67">
        <f t="shared" si="7"/>
        <v>314.07</v>
      </c>
      <c r="Z784" s="67">
        <f t="shared" si="8"/>
        <v>256.5</v>
      </c>
      <c r="AA784" s="67">
        <f t="shared" si="9"/>
        <v>41.04</v>
      </c>
      <c r="AB784" s="67">
        <f t="shared" si="10"/>
        <v>297.54</v>
      </c>
      <c r="AC784" s="67">
        <f t="shared" si="11"/>
        <v>242.25</v>
      </c>
      <c r="AD784" s="67">
        <f t="shared" si="12"/>
        <v>38.76</v>
      </c>
      <c r="AE784" s="67">
        <f t="shared" si="13"/>
        <v>281.01</v>
      </c>
      <c r="AF784" s="67">
        <f t="shared" si="33"/>
        <v>236.55</v>
      </c>
      <c r="AG784" s="67">
        <f t="shared" si="15"/>
        <v>37.848</v>
      </c>
      <c r="AH784" s="67">
        <f t="shared" si="16"/>
        <v>274.398</v>
      </c>
      <c r="AI784" s="67">
        <f t="shared" si="17"/>
        <v>228</v>
      </c>
      <c r="AJ784" s="68">
        <f t="shared" si="31"/>
        <v>36.48</v>
      </c>
      <c r="AK784" s="68">
        <f t="shared" si="32"/>
        <v>264.48</v>
      </c>
      <c r="AL784" s="70">
        <f>IFERROR(__xludf.DUMMYFUNCTION("""COMPUTED_VALUE"""),1.0)</f>
        <v>1</v>
      </c>
      <c r="AM784" s="70"/>
      <c r="AN784" s="71" t="str">
        <f>IFERROR(__xludf.DUMMYFUNCTION("""COMPUTED_VALUE""")," P")</f>
        <v>P</v>
      </c>
      <c r="AO784" s="71" t="str">
        <f>IFERROR(__xludf.DUMMYFUNCTION("""COMPUTED_VALUE""")," LV01")</f>
        <v>LV01</v>
      </c>
      <c r="AP784" s="71" t="str">
        <f>IFERROR(__xludf.DUMMYFUNCTION("""COMPUTED_VALUE""")," PZA")</f>
        <v>PZA</v>
      </c>
      <c r="AQ784" s="71" t="str">
        <f>IFERROR(__xludf.DUMMYFUNCTION("""COMPUTED_VALUE""")," REF")</f>
        <v>REF</v>
      </c>
      <c r="AR784" s="71" t="str">
        <f>IFERROR(__xludf.DUMMYFUNCTION("""COMPUTED_VALUE""")," LEVA DÚPLEX")</f>
        <v>LEVA DÚPLEX</v>
      </c>
      <c r="AS784" s="71" t="str">
        <f>IFERROR(__xludf.DUMMYFUNCTION("""COMPUTED_VALUE""")," LEVA DPLX")</f>
        <v>LEVA DPLX</v>
      </c>
      <c r="AT784" s="71">
        <f>IFERROR(__xludf.DUMMYFUNCTION("""COMPUTED_VALUE"""),9.0)</f>
        <v>9</v>
      </c>
      <c r="AU784" s="71"/>
      <c r="AV784" s="71"/>
      <c r="AW784" s="71"/>
      <c r="AX784" s="71"/>
      <c r="AY784" s="71">
        <f>IFERROR(__xludf.DUMMYFUNCTION("""COMPUTED_VALUE"""),241.0)</f>
        <v>241</v>
      </c>
      <c r="AZ784" s="71">
        <f>IFERROR(__xludf.DUMMYFUNCTION("""COMPUTED_VALUE"""),260.0)</f>
        <v>260</v>
      </c>
      <c r="BA784" s="71">
        <f>IFERROR(__xludf.DUMMYFUNCTION("""COMPUTED_VALUE"""),280.8)</f>
        <v>280.8</v>
      </c>
      <c r="BB784" s="71">
        <f>IFERROR(__xludf.DUMMYFUNCTION("""COMPUTED_VALUE"""),280.8)</f>
        <v>280.8</v>
      </c>
      <c r="BC784" s="71">
        <f>IFERROR(__xludf.DUMMYFUNCTION("""COMPUTED_VALUE"""),313.0)</f>
        <v>313</v>
      </c>
      <c r="BD784" s="71">
        <f>IFERROR(__xludf.DUMMYFUNCTION("""COMPUTED_VALUE"""),329.0)</f>
        <v>329</v>
      </c>
      <c r="BE784" s="71">
        <f>IFERROR(__xludf.DUMMYFUNCTION("""COMPUTED_VALUE"""),52.64)</f>
        <v>52.64</v>
      </c>
      <c r="BF784" s="71">
        <f>IFERROR(__xludf.DUMMYFUNCTION("""COMPUTED_VALUE"""),381.64)</f>
        <v>381.64</v>
      </c>
      <c r="BG784" s="71">
        <f>IFERROR(__xludf.DUMMYFUNCTION("""COMPUTED_VALUE"""),0.051118210862619806)</f>
        <v>0.05111821086</v>
      </c>
      <c r="BH784" s="71">
        <f>IFERROR(__xludf.DUMMYFUNCTION("""COMPUTED_VALUE"""),312.55)</f>
        <v>312.55</v>
      </c>
      <c r="BI784" s="71">
        <f>IFERROR(__xludf.DUMMYFUNCTION("""COMPUTED_VALUE"""),50.008)</f>
        <v>50.008</v>
      </c>
      <c r="BJ784" s="71">
        <f>IFERROR(__xludf.DUMMYFUNCTION("""COMPUTED_VALUE"""),362.558)</f>
        <v>362.558</v>
      </c>
      <c r="BK784" s="71">
        <f>IFERROR(__xludf.DUMMYFUNCTION("""COMPUTED_VALUE"""),296.1)</f>
        <v>296.1</v>
      </c>
      <c r="BL784" s="71">
        <f>IFERROR(__xludf.DUMMYFUNCTION("""COMPUTED_VALUE"""),47.376000000000005)</f>
        <v>47.376</v>
      </c>
      <c r="BM784" s="71">
        <f>IFERROR(__xludf.DUMMYFUNCTION("""COMPUTED_VALUE"""),343.476)</f>
        <v>343.476</v>
      </c>
      <c r="BN784" s="71">
        <f>IFERROR(__xludf.DUMMYFUNCTION("""COMPUTED_VALUE"""),279.65)</f>
        <v>279.65</v>
      </c>
      <c r="BO784" s="71">
        <f>IFERROR(__xludf.DUMMYFUNCTION("""COMPUTED_VALUE"""),44.744)</f>
        <v>44.744</v>
      </c>
      <c r="BP784" s="71">
        <f>IFERROR(__xludf.DUMMYFUNCTION("""COMPUTED_VALUE"""),324.394)</f>
        <v>324.394</v>
      </c>
      <c r="BQ784" s="71">
        <f>IFERROR(__xludf.DUMMYFUNCTION("""COMPUTED_VALUE"""),273.07)</f>
        <v>273.07</v>
      </c>
      <c r="BR784" s="71">
        <f>IFERROR(__xludf.DUMMYFUNCTION("""COMPUTED_VALUE"""),43.6912)</f>
        <v>43.6912</v>
      </c>
      <c r="BS784" s="71">
        <f>IFERROR(__xludf.DUMMYFUNCTION("""COMPUTED_VALUE"""),316.7612)</f>
        <v>316.7612</v>
      </c>
      <c r="BT784" s="71">
        <f>IFERROR(__xludf.DUMMYFUNCTION("""COMPUTED_VALUE"""),263.2)</f>
        <v>263.2</v>
      </c>
      <c r="BU784" s="71">
        <f>IFERROR(__xludf.DUMMYFUNCTION("""COMPUTED_VALUE"""),42.112)</f>
        <v>42.112</v>
      </c>
      <c r="BV784" s="71">
        <f>IFERROR(__xludf.DUMMYFUNCTION("""COMPUTED_VALUE"""),305.312)</f>
        <v>305.312</v>
      </c>
    </row>
    <row r="785">
      <c r="A785" s="53"/>
      <c r="B785" s="53"/>
      <c r="C785" s="53" t="s">
        <v>36</v>
      </c>
      <c r="D785" s="85" t="s">
        <v>1897</v>
      </c>
      <c r="E785" s="54" t="s">
        <v>38</v>
      </c>
      <c r="F785" s="55" t="s">
        <v>39</v>
      </c>
      <c r="G785" s="86" t="s">
        <v>1898</v>
      </c>
      <c r="H785" s="55"/>
      <c r="I785" s="54">
        <f t="shared" si="24"/>
        <v>0</v>
      </c>
      <c r="J785" s="56"/>
      <c r="K785" s="57"/>
      <c r="L785" s="76"/>
      <c r="M785" s="59"/>
      <c r="N785" s="60"/>
      <c r="O785" s="61">
        <v>30.72</v>
      </c>
      <c r="P785" s="62">
        <v>33.1776</v>
      </c>
      <c r="Q785" s="63">
        <v>33.1776</v>
      </c>
      <c r="R785" s="64">
        <v>35.0</v>
      </c>
      <c r="S785" s="107">
        <v>37.0</v>
      </c>
      <c r="T785" s="65">
        <f t="shared" si="2"/>
        <v>5.92</v>
      </c>
      <c r="U785" s="65">
        <f t="shared" si="3"/>
        <v>42.92</v>
      </c>
      <c r="V785" s="66">
        <f t="shared" si="4"/>
        <v>0.05714285714</v>
      </c>
      <c r="W785" s="67">
        <f t="shared" si="5"/>
        <v>35.15</v>
      </c>
      <c r="X785" s="67">
        <f t="shared" si="6"/>
        <v>5.624</v>
      </c>
      <c r="Y785" s="67">
        <f t="shared" si="7"/>
        <v>40.774</v>
      </c>
      <c r="Z785" s="67">
        <f t="shared" si="8"/>
        <v>33.3</v>
      </c>
      <c r="AA785" s="67">
        <f t="shared" si="9"/>
        <v>5.328</v>
      </c>
      <c r="AB785" s="67">
        <f t="shared" si="10"/>
        <v>38.628</v>
      </c>
      <c r="AC785" s="67">
        <f t="shared" si="11"/>
        <v>31.45</v>
      </c>
      <c r="AD785" s="67">
        <f t="shared" si="12"/>
        <v>5.032</v>
      </c>
      <c r="AE785" s="67">
        <f t="shared" si="13"/>
        <v>36.482</v>
      </c>
      <c r="AF785" s="67">
        <f t="shared" si="33"/>
        <v>30.71</v>
      </c>
      <c r="AG785" s="67">
        <f t="shared" si="15"/>
        <v>4.9136</v>
      </c>
      <c r="AH785" s="67">
        <f t="shared" si="16"/>
        <v>35.6236</v>
      </c>
      <c r="AI785" s="67">
        <f t="shared" si="17"/>
        <v>29.6</v>
      </c>
      <c r="AJ785" s="68">
        <f t="shared" si="31"/>
        <v>4.736</v>
      </c>
      <c r="AK785" s="68">
        <f t="shared" si="32"/>
        <v>34.336</v>
      </c>
      <c r="AL785" s="70">
        <f>IFERROR(__xludf.DUMMYFUNCTION("""COMPUTED_VALUE"""),1.0)</f>
        <v>1</v>
      </c>
      <c r="AM785" s="70"/>
      <c r="AN785" s="71" t="str">
        <f>IFERROR(__xludf.DUMMYFUNCTION("""COMPUTED_VALUE""")," P")</f>
        <v>P</v>
      </c>
      <c r="AO785" s="71" t="str">
        <f>IFERROR(__xludf.DUMMYFUNCTION("""COMPUTED_VALUE""")," LV04")</f>
        <v>LV04</v>
      </c>
      <c r="AP785" s="71" t="str">
        <f>IFERROR(__xludf.DUMMYFUNCTION("""COMPUTED_VALUE""")," PZA")</f>
        <v>PZA</v>
      </c>
      <c r="AQ785" s="71" t="str">
        <f>IFERROR(__xludf.DUMMYFUNCTION("""COMPUTED_VALUE""")," REF")</f>
        <v>REF</v>
      </c>
      <c r="AR785" s="71" t="str">
        <f>IFERROR(__xludf.DUMMYFUNCTION("""COMPUTED_VALUE""")," LEVA SENCILLA MODELO ANTERIOR,TV-30 TV-40 PREPARADA")</f>
        <v>LEVA SENCILLA MODELO ANTERIOR,TV-30 TV-40 PREPARADA</v>
      </c>
      <c r="AS785" s="71" t="str">
        <f>IFERROR(__xludf.DUMMYFUNCTION("""COMPUTED_VALUE""")," LEVA SENCILLA MA PREPARADA")</f>
        <v>LEVA SENCILLA MA PREPARADA</v>
      </c>
      <c r="AT785" s="71">
        <f>IFERROR(__xludf.DUMMYFUNCTION("""COMPUTED_VALUE"""),26.0)</f>
        <v>26</v>
      </c>
      <c r="AU785" s="71"/>
      <c r="AV785" s="71"/>
      <c r="AW785" s="71"/>
      <c r="AX785" s="71"/>
      <c r="AY785" s="71">
        <f>IFERROR(__xludf.DUMMYFUNCTION("""COMPUTED_VALUE"""),203.0)</f>
        <v>203</v>
      </c>
      <c r="AZ785" s="71">
        <f>IFERROR(__xludf.DUMMYFUNCTION("""COMPUTED_VALUE"""),219.0)</f>
        <v>219</v>
      </c>
      <c r="BA785" s="71">
        <f>IFERROR(__xludf.DUMMYFUNCTION("""COMPUTED_VALUE"""),236.52)</f>
        <v>236.52</v>
      </c>
      <c r="BB785" s="71">
        <f>IFERROR(__xludf.DUMMYFUNCTION("""COMPUTED_VALUE"""),236.52)</f>
        <v>236.52</v>
      </c>
      <c r="BC785" s="71">
        <f>IFERROR(__xludf.DUMMYFUNCTION("""COMPUTED_VALUE"""),264.0)</f>
        <v>264</v>
      </c>
      <c r="BD785" s="71">
        <f>IFERROR(__xludf.DUMMYFUNCTION("""COMPUTED_VALUE"""),277.0)</f>
        <v>277</v>
      </c>
      <c r="BE785" s="71">
        <f>IFERROR(__xludf.DUMMYFUNCTION("""COMPUTED_VALUE"""),44.32)</f>
        <v>44.32</v>
      </c>
      <c r="BF785" s="71">
        <f>IFERROR(__xludf.DUMMYFUNCTION("""COMPUTED_VALUE"""),321.32)</f>
        <v>321.32</v>
      </c>
      <c r="BG785" s="71">
        <f>IFERROR(__xludf.DUMMYFUNCTION("""COMPUTED_VALUE"""),0.04924242424242424)</f>
        <v>0.04924242424</v>
      </c>
      <c r="BH785" s="71">
        <f>IFERROR(__xludf.DUMMYFUNCTION("""COMPUTED_VALUE"""),263.15)</f>
        <v>263.15</v>
      </c>
      <c r="BI785" s="71">
        <f>IFERROR(__xludf.DUMMYFUNCTION("""COMPUTED_VALUE"""),42.104)</f>
        <v>42.104</v>
      </c>
      <c r="BJ785" s="71">
        <f>IFERROR(__xludf.DUMMYFUNCTION("""COMPUTED_VALUE"""),305.25399999999996)</f>
        <v>305.254</v>
      </c>
      <c r="BK785" s="71">
        <f>IFERROR(__xludf.DUMMYFUNCTION("""COMPUTED_VALUE"""),249.3)</f>
        <v>249.3</v>
      </c>
      <c r="BL785" s="71">
        <f>IFERROR(__xludf.DUMMYFUNCTION("""COMPUTED_VALUE"""),39.888000000000005)</f>
        <v>39.888</v>
      </c>
      <c r="BM785" s="71">
        <f>IFERROR(__xludf.DUMMYFUNCTION("""COMPUTED_VALUE"""),289.188)</f>
        <v>289.188</v>
      </c>
      <c r="BN785" s="71">
        <f>IFERROR(__xludf.DUMMYFUNCTION("""COMPUTED_VALUE"""),235.45)</f>
        <v>235.45</v>
      </c>
      <c r="BO785" s="71">
        <f>IFERROR(__xludf.DUMMYFUNCTION("""COMPUTED_VALUE"""),37.672)</f>
        <v>37.672</v>
      </c>
      <c r="BP785" s="71">
        <f>IFERROR(__xludf.DUMMYFUNCTION("""COMPUTED_VALUE"""),273.12199999999996)</f>
        <v>273.122</v>
      </c>
      <c r="BQ785" s="71">
        <f>IFERROR(__xludf.DUMMYFUNCTION("""COMPUTED_VALUE"""),229.91)</f>
        <v>229.91</v>
      </c>
      <c r="BR785" s="71">
        <f>IFERROR(__xludf.DUMMYFUNCTION("""COMPUTED_VALUE"""),36.7856)</f>
        <v>36.7856</v>
      </c>
      <c r="BS785" s="71">
        <f>IFERROR(__xludf.DUMMYFUNCTION("""COMPUTED_VALUE"""),266.6956)</f>
        <v>266.6956</v>
      </c>
      <c r="BT785" s="71">
        <f>IFERROR(__xludf.DUMMYFUNCTION("""COMPUTED_VALUE"""),221.60000000000002)</f>
        <v>221.6</v>
      </c>
      <c r="BU785" s="71">
        <f>IFERROR(__xludf.DUMMYFUNCTION("""COMPUTED_VALUE"""),35.456)</f>
        <v>35.456</v>
      </c>
      <c r="BV785" s="71">
        <f>IFERROR(__xludf.DUMMYFUNCTION("""COMPUTED_VALUE"""),257.05600000000004)</f>
        <v>257.056</v>
      </c>
    </row>
    <row r="786">
      <c r="A786" s="53"/>
      <c r="B786" s="53"/>
      <c r="C786" s="53" t="s">
        <v>53</v>
      </c>
      <c r="D786" s="53" t="s">
        <v>1899</v>
      </c>
      <c r="E786" s="54" t="s">
        <v>38</v>
      </c>
      <c r="F786" s="55" t="s">
        <v>39</v>
      </c>
      <c r="G786" s="55" t="s">
        <v>1900</v>
      </c>
      <c r="H786" s="55" t="s">
        <v>1898</v>
      </c>
      <c r="I786" s="54">
        <f t="shared" si="24"/>
        <v>24</v>
      </c>
      <c r="J786" s="56"/>
      <c r="K786" s="57"/>
      <c r="L786" s="76"/>
      <c r="M786" s="59"/>
      <c r="N786" s="60"/>
      <c r="O786" s="61">
        <v>14.4</v>
      </c>
      <c r="P786" s="62">
        <v>15.552000000000001</v>
      </c>
      <c r="Q786" s="63">
        <v>15.552000000000001</v>
      </c>
      <c r="R786" s="64">
        <v>17.0</v>
      </c>
      <c r="S786" s="111">
        <v>17.85</v>
      </c>
      <c r="T786" s="65">
        <f t="shared" si="2"/>
        <v>2.856</v>
      </c>
      <c r="U786" s="65">
        <f t="shared" si="3"/>
        <v>20.706</v>
      </c>
      <c r="V786" s="66">
        <f t="shared" si="4"/>
        <v>0.05</v>
      </c>
      <c r="W786" s="67">
        <f t="shared" si="5"/>
        <v>16.9575</v>
      </c>
      <c r="X786" s="67">
        <f t="shared" si="6"/>
        <v>2.7132</v>
      </c>
      <c r="Y786" s="67">
        <f t="shared" si="7"/>
        <v>19.6707</v>
      </c>
      <c r="Z786" s="67">
        <f t="shared" si="8"/>
        <v>16.065</v>
      </c>
      <c r="AA786" s="67">
        <f t="shared" si="9"/>
        <v>2.5704</v>
      </c>
      <c r="AB786" s="67">
        <f t="shared" si="10"/>
        <v>18.6354</v>
      </c>
      <c r="AC786" s="67">
        <f t="shared" si="11"/>
        <v>15.1725</v>
      </c>
      <c r="AD786" s="67">
        <f t="shared" si="12"/>
        <v>2.4276</v>
      </c>
      <c r="AE786" s="67">
        <f t="shared" si="13"/>
        <v>17.6001</v>
      </c>
      <c r="AF786" s="67">
        <f t="shared" si="33"/>
        <v>14.8155</v>
      </c>
      <c r="AG786" s="67">
        <f t="shared" si="15"/>
        <v>2.37048</v>
      </c>
      <c r="AH786" s="67">
        <f t="shared" si="16"/>
        <v>17.18598</v>
      </c>
      <c r="AI786" s="67">
        <f t="shared" si="17"/>
        <v>14.28</v>
      </c>
      <c r="AJ786" s="68">
        <f t="shared" si="31"/>
        <v>2.2848</v>
      </c>
      <c r="AK786" s="68">
        <f t="shared" si="32"/>
        <v>16.5648</v>
      </c>
      <c r="AL786" s="70">
        <f>IFERROR(__xludf.DUMMYFUNCTION("""COMPUTED_VALUE"""),1.0)</f>
        <v>1</v>
      </c>
      <c r="AM786" s="70"/>
      <c r="AN786" s="71" t="str">
        <f>IFERROR(__xludf.DUMMYFUNCTION("""COMPUTED_VALUE""")," P")</f>
        <v>P</v>
      </c>
      <c r="AO786" s="71" t="str">
        <f>IFERROR(__xludf.DUMMYFUNCTION("""COMPUTED_VALUE""")," LV05")</f>
        <v>LV05</v>
      </c>
      <c r="AP786" s="71" t="str">
        <f>IFERROR(__xludf.DUMMYFUNCTION("""COMPUTED_VALUE""")," PZA")</f>
        <v>PZA</v>
      </c>
      <c r="AQ786" s="71" t="str">
        <f>IFERROR(__xludf.DUMMYFUNCTION("""COMPUTED_VALUE""")," REF")</f>
        <v>REF</v>
      </c>
      <c r="AR786" s="71" t="str">
        <f>IFERROR(__xludf.DUMMYFUNCTION("""COMPUTED_VALUE""")," LEVA SENCILLA TV-50 (B.C.) PREPARADA")</f>
        <v>LEVA SENCILLA TV-50 (B.C.) PREPARADA</v>
      </c>
      <c r="AS786" s="71" t="str">
        <f>IFERROR(__xludf.DUMMYFUNCTION("""COMPUTED_VALUE""")," LEVA SENCILLA TV-50 BC PREPARADA")</f>
        <v>LEVA SENCILLA TV-50 BC PREPARADA</v>
      </c>
      <c r="AT786" s="71">
        <f>IFERROR(__xludf.DUMMYFUNCTION("""COMPUTED_VALUE"""),32.0)</f>
        <v>32</v>
      </c>
      <c r="AU786" s="71"/>
      <c r="AV786" s="71"/>
      <c r="AW786" s="71"/>
      <c r="AX786" s="71"/>
      <c r="AY786" s="71">
        <f>IFERROR(__xludf.DUMMYFUNCTION("""COMPUTED_VALUE"""),208.0)</f>
        <v>208</v>
      </c>
      <c r="AZ786" s="71">
        <f>IFERROR(__xludf.DUMMYFUNCTION("""COMPUTED_VALUE"""),224.0)</f>
        <v>224</v>
      </c>
      <c r="BA786" s="71">
        <f>IFERROR(__xludf.DUMMYFUNCTION("""COMPUTED_VALUE"""),241.92000000000002)</f>
        <v>241.92</v>
      </c>
      <c r="BB786" s="71">
        <f>IFERROR(__xludf.DUMMYFUNCTION("""COMPUTED_VALUE"""),241.92000000000002)</f>
        <v>241.92</v>
      </c>
      <c r="BC786" s="71">
        <f>IFERROR(__xludf.DUMMYFUNCTION("""COMPUTED_VALUE"""),270.0)</f>
        <v>270</v>
      </c>
      <c r="BD786" s="71">
        <f>IFERROR(__xludf.DUMMYFUNCTION("""COMPUTED_VALUE"""),284.0)</f>
        <v>284</v>
      </c>
      <c r="BE786" s="71">
        <f>IFERROR(__xludf.DUMMYFUNCTION("""COMPUTED_VALUE"""),45.44)</f>
        <v>45.44</v>
      </c>
      <c r="BF786" s="71">
        <f>IFERROR(__xludf.DUMMYFUNCTION("""COMPUTED_VALUE"""),329.44)</f>
        <v>329.44</v>
      </c>
      <c r="BG786" s="71">
        <f>IFERROR(__xludf.DUMMYFUNCTION("""COMPUTED_VALUE"""),0.05185185185185185)</f>
        <v>0.05185185185</v>
      </c>
      <c r="BH786" s="71">
        <f>IFERROR(__xludf.DUMMYFUNCTION("""COMPUTED_VALUE"""),269.8)</f>
        <v>269.8</v>
      </c>
      <c r="BI786" s="71">
        <f>IFERROR(__xludf.DUMMYFUNCTION("""COMPUTED_VALUE"""),43.168)</f>
        <v>43.168</v>
      </c>
      <c r="BJ786" s="71">
        <f>IFERROR(__xludf.DUMMYFUNCTION("""COMPUTED_VALUE"""),312.968)</f>
        <v>312.968</v>
      </c>
      <c r="BK786" s="71">
        <f>IFERROR(__xludf.DUMMYFUNCTION("""COMPUTED_VALUE"""),255.6)</f>
        <v>255.6</v>
      </c>
      <c r="BL786" s="71">
        <f>IFERROR(__xludf.DUMMYFUNCTION("""COMPUTED_VALUE"""),40.896)</f>
        <v>40.896</v>
      </c>
      <c r="BM786" s="71">
        <f>IFERROR(__xludf.DUMMYFUNCTION("""COMPUTED_VALUE"""),296.496)</f>
        <v>296.496</v>
      </c>
      <c r="BN786" s="71">
        <f>IFERROR(__xludf.DUMMYFUNCTION("""COMPUTED_VALUE"""),241.4)</f>
        <v>241.4</v>
      </c>
      <c r="BO786" s="71">
        <f>IFERROR(__xludf.DUMMYFUNCTION("""COMPUTED_VALUE"""),38.624)</f>
        <v>38.624</v>
      </c>
      <c r="BP786" s="71">
        <f>IFERROR(__xludf.DUMMYFUNCTION("""COMPUTED_VALUE"""),280.024)</f>
        <v>280.024</v>
      </c>
      <c r="BQ786" s="71">
        <f>IFERROR(__xludf.DUMMYFUNCTION("""COMPUTED_VALUE"""),235.72)</f>
        <v>235.72</v>
      </c>
      <c r="BR786" s="71">
        <f>IFERROR(__xludf.DUMMYFUNCTION("""COMPUTED_VALUE"""),37.7152)</f>
        <v>37.7152</v>
      </c>
      <c r="BS786" s="71">
        <f>IFERROR(__xludf.DUMMYFUNCTION("""COMPUTED_VALUE"""),273.4352)</f>
        <v>273.4352</v>
      </c>
      <c r="BT786" s="71">
        <f>IFERROR(__xludf.DUMMYFUNCTION("""COMPUTED_VALUE"""),227.20000000000002)</f>
        <v>227.2</v>
      </c>
      <c r="BU786" s="71">
        <f>IFERROR(__xludf.DUMMYFUNCTION("""COMPUTED_VALUE"""),36.352000000000004)</f>
        <v>36.352</v>
      </c>
      <c r="BV786" s="71">
        <f>IFERROR(__xludf.DUMMYFUNCTION("""COMPUTED_VALUE"""),263.552)</f>
        <v>263.552</v>
      </c>
    </row>
    <row r="787">
      <c r="A787" s="53"/>
      <c r="B787" s="53"/>
      <c r="C787" s="53" t="s">
        <v>36</v>
      </c>
      <c r="D787" s="85" t="s">
        <v>1901</v>
      </c>
      <c r="E787" s="54" t="s">
        <v>38</v>
      </c>
      <c r="F787" s="55" t="s">
        <v>39</v>
      </c>
      <c r="G787" s="86" t="s">
        <v>1902</v>
      </c>
      <c r="H787" s="55"/>
      <c r="I787" s="54">
        <f t="shared" si="24"/>
        <v>0</v>
      </c>
      <c r="J787" s="56"/>
      <c r="K787" s="57"/>
      <c r="L787" s="76"/>
      <c r="M787" s="59"/>
      <c r="N787" s="60"/>
      <c r="O787" s="61">
        <v>17.28</v>
      </c>
      <c r="P787" s="62">
        <v>18.6624</v>
      </c>
      <c r="Q787" s="63">
        <v>18.6624</v>
      </c>
      <c r="R787" s="64">
        <v>20.0</v>
      </c>
      <c r="S787" s="107">
        <v>21.0</v>
      </c>
      <c r="T787" s="65">
        <f t="shared" si="2"/>
        <v>3.36</v>
      </c>
      <c r="U787" s="65">
        <f t="shared" si="3"/>
        <v>24.36</v>
      </c>
      <c r="V787" s="66">
        <f t="shared" si="4"/>
        <v>0.05</v>
      </c>
      <c r="W787" s="67">
        <f t="shared" si="5"/>
        <v>19.95</v>
      </c>
      <c r="X787" s="67">
        <f t="shared" si="6"/>
        <v>3.192</v>
      </c>
      <c r="Y787" s="67">
        <f t="shared" si="7"/>
        <v>23.142</v>
      </c>
      <c r="Z787" s="67">
        <f t="shared" si="8"/>
        <v>18.9</v>
      </c>
      <c r="AA787" s="67">
        <f t="shared" si="9"/>
        <v>3.024</v>
      </c>
      <c r="AB787" s="67">
        <f t="shared" si="10"/>
        <v>21.924</v>
      </c>
      <c r="AC787" s="67">
        <f t="shared" si="11"/>
        <v>17.85</v>
      </c>
      <c r="AD787" s="67">
        <f t="shared" si="12"/>
        <v>2.856</v>
      </c>
      <c r="AE787" s="67">
        <f t="shared" si="13"/>
        <v>20.706</v>
      </c>
      <c r="AF787" s="67">
        <f t="shared" si="33"/>
        <v>17.43</v>
      </c>
      <c r="AG787" s="67">
        <f t="shared" si="15"/>
        <v>2.7888</v>
      </c>
      <c r="AH787" s="67">
        <f t="shared" si="16"/>
        <v>20.2188</v>
      </c>
      <c r="AI787" s="67">
        <f t="shared" si="17"/>
        <v>16.8</v>
      </c>
      <c r="AJ787" s="68">
        <f t="shared" si="31"/>
        <v>2.688</v>
      </c>
      <c r="AK787" s="68">
        <f t="shared" si="32"/>
        <v>19.488</v>
      </c>
      <c r="AL787" s="70">
        <f>IFERROR(__xludf.DUMMYFUNCTION("""COMPUTED_VALUE"""),1.0)</f>
        <v>1</v>
      </c>
      <c r="AM787" s="70"/>
      <c r="AN787" s="71" t="str">
        <f>IFERROR(__xludf.DUMMYFUNCTION("""COMPUTED_VALUE""")," P")</f>
        <v>P</v>
      </c>
      <c r="AO787" s="71" t="str">
        <f>IFERROR(__xludf.DUMMYFUNCTION("""COMPUTED_VALUE""")," LV08")</f>
        <v>LV08</v>
      </c>
      <c r="AP787" s="71" t="str">
        <f>IFERROR(__xludf.DUMMYFUNCTION("""COMPUTED_VALUE""")," PZA")</f>
        <v>PZA</v>
      </c>
      <c r="AQ787" s="71" t="str">
        <f>IFERROR(__xludf.DUMMYFUNCTION("""COMPUTED_VALUE""")," REF")</f>
        <v>REF</v>
      </c>
      <c r="AR787" s="71" t="str">
        <f>IFERROR(__xludf.DUMMYFUNCTION("""COMPUTED_VALUE""")," LEVA TIPO PUEBLA MODELO ANTERIOR,TV-30 TV-40 PREPARADA")</f>
        <v>LEVA TIPO PUEBLA MODELO ANTERIOR,TV-30 TV-40 PREPARADA</v>
      </c>
      <c r="AS787" s="71" t="str">
        <f>IFERROR(__xludf.DUMMYFUNCTION("""COMPUTED_VALUE""")," LEVA T/PUEBLA MA PREPARADA")</f>
        <v>LEVA T/PUEBLA MA PREPARADA</v>
      </c>
      <c r="AT787" s="71">
        <f>IFERROR(__xludf.DUMMYFUNCTION("""COMPUTED_VALUE"""),26.0)</f>
        <v>26</v>
      </c>
      <c r="AU787" s="71"/>
      <c r="AV787" s="71"/>
      <c r="AW787" s="71"/>
      <c r="AX787" s="71"/>
      <c r="AY787" s="71">
        <f>IFERROR(__xludf.DUMMYFUNCTION("""COMPUTED_VALUE"""),244.0)</f>
        <v>244</v>
      </c>
      <c r="AZ787" s="71">
        <f>IFERROR(__xludf.DUMMYFUNCTION("""COMPUTED_VALUE"""),263.0)</f>
        <v>263</v>
      </c>
      <c r="BA787" s="71">
        <f>IFERROR(__xludf.DUMMYFUNCTION("""COMPUTED_VALUE"""),284.04)</f>
        <v>284.04</v>
      </c>
      <c r="BB787" s="71">
        <f>IFERROR(__xludf.DUMMYFUNCTION("""COMPUTED_VALUE"""),284.04)</f>
        <v>284.04</v>
      </c>
      <c r="BC787" s="71">
        <f>IFERROR(__xludf.DUMMYFUNCTION("""COMPUTED_VALUE"""),318.0)</f>
        <v>318</v>
      </c>
      <c r="BD787" s="71">
        <f>IFERROR(__xludf.DUMMYFUNCTION("""COMPUTED_VALUE"""),334.0)</f>
        <v>334</v>
      </c>
      <c r="BE787" s="71">
        <f>IFERROR(__xludf.DUMMYFUNCTION("""COMPUTED_VALUE"""),53.44)</f>
        <v>53.44</v>
      </c>
      <c r="BF787" s="71">
        <f>IFERROR(__xludf.DUMMYFUNCTION("""COMPUTED_VALUE"""),387.44)</f>
        <v>387.44</v>
      </c>
      <c r="BG787" s="71">
        <f>IFERROR(__xludf.DUMMYFUNCTION("""COMPUTED_VALUE"""),0.050314465408805034)</f>
        <v>0.05031446541</v>
      </c>
      <c r="BH787" s="71">
        <f>IFERROR(__xludf.DUMMYFUNCTION("""COMPUTED_VALUE"""),317.3)</f>
        <v>317.3</v>
      </c>
      <c r="BI787" s="71">
        <f>IFERROR(__xludf.DUMMYFUNCTION("""COMPUTED_VALUE"""),50.768)</f>
        <v>50.768</v>
      </c>
      <c r="BJ787" s="71">
        <f>IFERROR(__xludf.DUMMYFUNCTION("""COMPUTED_VALUE"""),368.068)</f>
        <v>368.068</v>
      </c>
      <c r="BK787" s="71">
        <f>IFERROR(__xludf.DUMMYFUNCTION("""COMPUTED_VALUE"""),300.6)</f>
        <v>300.6</v>
      </c>
      <c r="BL787" s="71">
        <f>IFERROR(__xludf.DUMMYFUNCTION("""COMPUTED_VALUE"""),48.096000000000004)</f>
        <v>48.096</v>
      </c>
      <c r="BM787" s="71">
        <f>IFERROR(__xludf.DUMMYFUNCTION("""COMPUTED_VALUE"""),348.696)</f>
        <v>348.696</v>
      </c>
      <c r="BN787" s="71">
        <f>IFERROR(__xludf.DUMMYFUNCTION("""COMPUTED_VALUE"""),283.9)</f>
        <v>283.9</v>
      </c>
      <c r="BO787" s="71">
        <f>IFERROR(__xludf.DUMMYFUNCTION("""COMPUTED_VALUE"""),45.424)</f>
        <v>45.424</v>
      </c>
      <c r="BP787" s="71">
        <f>IFERROR(__xludf.DUMMYFUNCTION("""COMPUTED_VALUE"""),329.32399999999996)</f>
        <v>329.324</v>
      </c>
      <c r="BQ787" s="71">
        <f>IFERROR(__xludf.DUMMYFUNCTION("""COMPUTED_VALUE"""),277.21999999999997)</f>
        <v>277.22</v>
      </c>
      <c r="BR787" s="71">
        <f>IFERROR(__xludf.DUMMYFUNCTION("""COMPUTED_VALUE"""),44.355199999999996)</f>
        <v>44.3552</v>
      </c>
      <c r="BS787" s="71">
        <f>IFERROR(__xludf.DUMMYFUNCTION("""COMPUTED_VALUE"""),321.5752)</f>
        <v>321.5752</v>
      </c>
      <c r="BT787" s="71">
        <f>IFERROR(__xludf.DUMMYFUNCTION("""COMPUTED_VALUE"""),267.2)</f>
        <v>267.2</v>
      </c>
      <c r="BU787" s="71">
        <f>IFERROR(__xludf.DUMMYFUNCTION("""COMPUTED_VALUE"""),42.752)</f>
        <v>42.752</v>
      </c>
      <c r="BV787" s="71">
        <f>IFERROR(__xludf.DUMMYFUNCTION("""COMPUTED_VALUE"""),309.952)</f>
        <v>309.952</v>
      </c>
    </row>
    <row r="788">
      <c r="A788" s="53">
        <v>1.0</v>
      </c>
      <c r="B788" s="72"/>
      <c r="C788" s="73" t="s">
        <v>53</v>
      </c>
      <c r="D788" s="74" t="s">
        <v>1903</v>
      </c>
      <c r="E788" s="54" t="s">
        <v>38</v>
      </c>
      <c r="F788" s="54" t="s">
        <v>42</v>
      </c>
      <c r="G788" s="88" t="s">
        <v>1904</v>
      </c>
      <c r="H788" s="54" t="s">
        <v>1905</v>
      </c>
      <c r="I788" s="54">
        <f t="shared" si="24"/>
        <v>19</v>
      </c>
      <c r="J788" s="56"/>
      <c r="K788" s="75"/>
      <c r="L788" s="76"/>
      <c r="M788" s="59"/>
      <c r="N788" s="60">
        <v>279.0</v>
      </c>
      <c r="O788" s="61">
        <v>301.0</v>
      </c>
      <c r="P788" s="62">
        <v>325.08000000000004</v>
      </c>
      <c r="Q788" s="63">
        <v>325.08000000000004</v>
      </c>
      <c r="R788" s="64">
        <v>360.0</v>
      </c>
      <c r="S788" s="111">
        <v>378.0</v>
      </c>
      <c r="T788" s="65">
        <f t="shared" si="2"/>
        <v>60.48</v>
      </c>
      <c r="U788" s="65">
        <f t="shared" si="3"/>
        <v>438.48</v>
      </c>
      <c r="V788" s="66">
        <f t="shared" si="4"/>
        <v>0.05</v>
      </c>
      <c r="W788" s="67">
        <f t="shared" si="5"/>
        <v>359.1</v>
      </c>
      <c r="X788" s="67">
        <f t="shared" si="6"/>
        <v>57.456</v>
      </c>
      <c r="Y788" s="67">
        <f t="shared" si="7"/>
        <v>416.556</v>
      </c>
      <c r="Z788" s="67">
        <f t="shared" si="8"/>
        <v>340.2</v>
      </c>
      <c r="AA788" s="67">
        <f t="shared" si="9"/>
        <v>54.432</v>
      </c>
      <c r="AB788" s="67">
        <f t="shared" si="10"/>
        <v>394.632</v>
      </c>
      <c r="AC788" s="67">
        <f t="shared" si="11"/>
        <v>321.3</v>
      </c>
      <c r="AD788" s="67">
        <f t="shared" si="12"/>
        <v>51.408</v>
      </c>
      <c r="AE788" s="67">
        <f t="shared" si="13"/>
        <v>372.708</v>
      </c>
      <c r="AF788" s="67">
        <f t="shared" si="33"/>
        <v>313.74</v>
      </c>
      <c r="AG788" s="67">
        <f t="shared" si="15"/>
        <v>50.1984</v>
      </c>
      <c r="AH788" s="67">
        <f t="shared" si="16"/>
        <v>363.9384</v>
      </c>
      <c r="AI788" s="67">
        <f t="shared" si="17"/>
        <v>302.4</v>
      </c>
      <c r="AJ788" s="68">
        <f t="shared" si="31"/>
        <v>48.384</v>
      </c>
      <c r="AK788" s="68">
        <f t="shared" si="32"/>
        <v>350.784</v>
      </c>
      <c r="AL788" s="70">
        <f>IFERROR(__xludf.DUMMYFUNCTION("""COMPUTED_VALUE"""),1.0)</f>
        <v>1</v>
      </c>
      <c r="AM788" s="70"/>
      <c r="AN788" s="71" t="str">
        <f>IFERROR(__xludf.DUMMYFUNCTION("""COMPUTED_VALUE""")," P")</f>
        <v>P</v>
      </c>
      <c r="AO788" s="71" t="str">
        <f>IFERROR(__xludf.DUMMYFUNCTION("""COMPUTED_VALUE""")," LV09")</f>
        <v>LV09</v>
      </c>
      <c r="AP788" s="71" t="str">
        <f>IFERROR(__xludf.DUMMYFUNCTION("""COMPUTED_VALUE""")," PZA")</f>
        <v>PZA</v>
      </c>
      <c r="AQ788" s="71" t="str">
        <f>IFERROR(__xludf.DUMMYFUNCTION("""COMPUTED_VALUE""")," REF")</f>
        <v>REF</v>
      </c>
      <c r="AR788" s="71" t="str">
        <f>IFERROR(__xludf.DUMMYFUNCTION("""COMPUTED_VALUE""")," LEVA TIPO PUEBLA TV-50 (B.C.) PREPARADA")</f>
        <v>LEVA TIPO PUEBLA TV-50 (B.C.) PREPARADA</v>
      </c>
      <c r="AS788" s="71" t="str">
        <f>IFERROR(__xludf.DUMMYFUNCTION("""COMPUTED_VALUE""")," LEVA TIPO PUEBLA TV-50 BC PREPARADA")</f>
        <v>LEVA TIPO PUEBLA TV-50 BC PREPARADA</v>
      </c>
      <c r="AT788" s="71">
        <f>IFERROR(__xludf.DUMMYFUNCTION("""COMPUTED_VALUE"""),35.0)</f>
        <v>35</v>
      </c>
      <c r="AU788" s="71"/>
      <c r="AV788" s="71"/>
      <c r="AW788" s="71"/>
      <c r="AX788" s="71"/>
      <c r="AY788" s="71">
        <f>IFERROR(__xludf.DUMMYFUNCTION("""COMPUTED_VALUE"""),244.0)</f>
        <v>244</v>
      </c>
      <c r="AZ788" s="71">
        <f>IFERROR(__xludf.DUMMYFUNCTION("""COMPUTED_VALUE"""),263.0)</f>
        <v>263</v>
      </c>
      <c r="BA788" s="71">
        <f>IFERROR(__xludf.DUMMYFUNCTION("""COMPUTED_VALUE"""),284.04)</f>
        <v>284.04</v>
      </c>
      <c r="BB788" s="71">
        <f>IFERROR(__xludf.DUMMYFUNCTION("""COMPUTED_VALUE"""),284.04)</f>
        <v>284.04</v>
      </c>
      <c r="BC788" s="71">
        <f>IFERROR(__xludf.DUMMYFUNCTION("""COMPUTED_VALUE"""),318.0)</f>
        <v>318</v>
      </c>
      <c r="BD788" s="71">
        <f>IFERROR(__xludf.DUMMYFUNCTION("""COMPUTED_VALUE"""),334.0)</f>
        <v>334</v>
      </c>
      <c r="BE788" s="71">
        <f>IFERROR(__xludf.DUMMYFUNCTION("""COMPUTED_VALUE"""),53.44)</f>
        <v>53.44</v>
      </c>
      <c r="BF788" s="71">
        <f>IFERROR(__xludf.DUMMYFUNCTION("""COMPUTED_VALUE"""),387.44)</f>
        <v>387.44</v>
      </c>
      <c r="BG788" s="71">
        <f>IFERROR(__xludf.DUMMYFUNCTION("""COMPUTED_VALUE"""),0.050314465408805034)</f>
        <v>0.05031446541</v>
      </c>
      <c r="BH788" s="71">
        <f>IFERROR(__xludf.DUMMYFUNCTION("""COMPUTED_VALUE"""),317.3)</f>
        <v>317.3</v>
      </c>
      <c r="BI788" s="71">
        <f>IFERROR(__xludf.DUMMYFUNCTION("""COMPUTED_VALUE"""),50.768)</f>
        <v>50.768</v>
      </c>
      <c r="BJ788" s="71">
        <f>IFERROR(__xludf.DUMMYFUNCTION("""COMPUTED_VALUE"""),368.068)</f>
        <v>368.068</v>
      </c>
      <c r="BK788" s="71">
        <f>IFERROR(__xludf.DUMMYFUNCTION("""COMPUTED_VALUE"""),300.6)</f>
        <v>300.6</v>
      </c>
      <c r="BL788" s="71">
        <f>IFERROR(__xludf.DUMMYFUNCTION("""COMPUTED_VALUE"""),48.096000000000004)</f>
        <v>48.096</v>
      </c>
      <c r="BM788" s="71">
        <f>IFERROR(__xludf.DUMMYFUNCTION("""COMPUTED_VALUE"""),348.696)</f>
        <v>348.696</v>
      </c>
      <c r="BN788" s="71">
        <f>IFERROR(__xludf.DUMMYFUNCTION("""COMPUTED_VALUE"""),283.9)</f>
        <v>283.9</v>
      </c>
      <c r="BO788" s="71">
        <f>IFERROR(__xludf.DUMMYFUNCTION("""COMPUTED_VALUE"""),45.424)</f>
        <v>45.424</v>
      </c>
      <c r="BP788" s="71">
        <f>IFERROR(__xludf.DUMMYFUNCTION("""COMPUTED_VALUE"""),329.32399999999996)</f>
        <v>329.324</v>
      </c>
      <c r="BQ788" s="71">
        <f>IFERROR(__xludf.DUMMYFUNCTION("""COMPUTED_VALUE"""),277.21999999999997)</f>
        <v>277.22</v>
      </c>
      <c r="BR788" s="71">
        <f>IFERROR(__xludf.DUMMYFUNCTION("""COMPUTED_VALUE"""),44.355199999999996)</f>
        <v>44.3552</v>
      </c>
      <c r="BS788" s="71">
        <f>IFERROR(__xludf.DUMMYFUNCTION("""COMPUTED_VALUE"""),321.5752)</f>
        <v>321.5752</v>
      </c>
      <c r="BT788" s="71">
        <f>IFERROR(__xludf.DUMMYFUNCTION("""COMPUTED_VALUE"""),267.2)</f>
        <v>267.2</v>
      </c>
      <c r="BU788" s="71">
        <f>IFERROR(__xludf.DUMMYFUNCTION("""COMPUTED_VALUE"""),42.752)</f>
        <v>42.752</v>
      </c>
      <c r="BV788" s="71">
        <f>IFERROR(__xludf.DUMMYFUNCTION("""COMPUTED_VALUE"""),309.952)</f>
        <v>309.952</v>
      </c>
    </row>
    <row r="789">
      <c r="A789" s="53">
        <v>1.0</v>
      </c>
      <c r="B789" s="72"/>
      <c r="C789" s="73" t="s">
        <v>53</v>
      </c>
      <c r="D789" s="74" t="s">
        <v>1906</v>
      </c>
      <c r="E789" s="54" t="s">
        <v>38</v>
      </c>
      <c r="F789" s="54" t="s">
        <v>42</v>
      </c>
      <c r="G789" s="88" t="s">
        <v>1907</v>
      </c>
      <c r="H789" s="54" t="s">
        <v>1907</v>
      </c>
      <c r="I789" s="54">
        <f t="shared" si="24"/>
        <v>23</v>
      </c>
      <c r="J789" s="56"/>
      <c r="K789" s="75"/>
      <c r="L789" s="76"/>
      <c r="M789" s="59"/>
      <c r="N789" s="60">
        <v>264.0</v>
      </c>
      <c r="O789" s="61">
        <v>285.0</v>
      </c>
      <c r="P789" s="62">
        <v>307.8</v>
      </c>
      <c r="Q789" s="63">
        <v>307.8</v>
      </c>
      <c r="R789" s="64">
        <v>341.0</v>
      </c>
      <c r="S789" s="65">
        <v>426.0</v>
      </c>
      <c r="T789" s="65">
        <f t="shared" si="2"/>
        <v>68.16</v>
      </c>
      <c r="U789" s="65">
        <f t="shared" si="3"/>
        <v>494.16</v>
      </c>
      <c r="V789" s="66">
        <f t="shared" si="4"/>
        <v>0.2492668622</v>
      </c>
      <c r="W789" s="67">
        <f t="shared" si="5"/>
        <v>404.7</v>
      </c>
      <c r="X789" s="67">
        <f t="shared" si="6"/>
        <v>64.752</v>
      </c>
      <c r="Y789" s="67">
        <f t="shared" si="7"/>
        <v>469.452</v>
      </c>
      <c r="Z789" s="67">
        <f t="shared" si="8"/>
        <v>383.4</v>
      </c>
      <c r="AA789" s="67">
        <f t="shared" si="9"/>
        <v>61.344</v>
      </c>
      <c r="AB789" s="67">
        <f t="shared" si="10"/>
        <v>444.744</v>
      </c>
      <c r="AC789" s="67">
        <f t="shared" si="11"/>
        <v>362.1</v>
      </c>
      <c r="AD789" s="67">
        <f t="shared" si="12"/>
        <v>57.936</v>
      </c>
      <c r="AE789" s="67">
        <f t="shared" si="13"/>
        <v>420.036</v>
      </c>
      <c r="AF789" s="67">
        <f t="shared" si="33"/>
        <v>353.58</v>
      </c>
      <c r="AG789" s="67">
        <f t="shared" si="15"/>
        <v>56.5728</v>
      </c>
      <c r="AH789" s="67">
        <f t="shared" si="16"/>
        <v>410.1528</v>
      </c>
      <c r="AI789" s="67">
        <f t="shared" si="17"/>
        <v>340.8</v>
      </c>
      <c r="AJ789" s="68">
        <f t="shared" si="31"/>
        <v>54.528</v>
      </c>
      <c r="AK789" s="68">
        <f t="shared" si="32"/>
        <v>395.328</v>
      </c>
      <c r="AL789" s="70">
        <f>IFERROR(__xludf.DUMMYFUNCTION("""COMPUTED_VALUE"""),1.0)</f>
        <v>1</v>
      </c>
      <c r="AM789" s="70"/>
      <c r="AN789" s="71" t="str">
        <f>IFERROR(__xludf.DUMMYFUNCTION("""COMPUTED_VALUE""")," C")</f>
        <v>C</v>
      </c>
      <c r="AO789" s="71" t="str">
        <f>IFERROR(__xludf.DUMMYFUNCTION("""COMPUTED_VALUE""")," LL02")</f>
        <v>LL02</v>
      </c>
      <c r="AP789" s="71" t="str">
        <f>IFERROR(__xludf.DUMMYFUNCTION("""COMPUTED_VALUE""")," PZA")</f>
        <v>PZA</v>
      </c>
      <c r="AQ789" s="71" t="str">
        <f>IFERROR(__xludf.DUMMYFUNCTION("""COMPUTED_VALUE""")," REF")</f>
        <v>REF</v>
      </c>
      <c r="AR789" s="71" t="str">
        <f>IFERROR(__xludf.DUMMYFUNCTION("""COMPUTED_VALUE""")," LLAVE ALLEN 1/8 CORTA")</f>
        <v>LLAVE ALLEN 1/8 CORTA</v>
      </c>
      <c r="AS789" s="71" t="str">
        <f>IFERROR(__xludf.DUMMYFUNCTION("""COMPUTED_VALUE""")," LLAVE ALLEN 1/8 CORTA")</f>
        <v>LLAVE ALLEN 1/8 CORTA</v>
      </c>
      <c r="AT789" s="71">
        <f>IFERROR(__xludf.DUMMYFUNCTION("""COMPUTED_VALUE"""),21.0)</f>
        <v>21</v>
      </c>
      <c r="AU789" s="71"/>
      <c r="AV789" s="71"/>
      <c r="AW789" s="71"/>
      <c r="AX789" s="71"/>
      <c r="AY789" s="71">
        <f>IFERROR(__xludf.DUMMYFUNCTION("""COMPUTED_VALUE"""),11.0)</f>
        <v>11</v>
      </c>
      <c r="AZ789" s="71">
        <f>IFERROR(__xludf.DUMMYFUNCTION("""COMPUTED_VALUE"""),6.0)</f>
        <v>6</v>
      </c>
      <c r="BA789" s="71">
        <f>IFERROR(__xludf.DUMMYFUNCTION("""COMPUTED_VALUE"""),6.48)</f>
        <v>6.48</v>
      </c>
      <c r="BB789" s="71">
        <f>IFERROR(__xludf.DUMMYFUNCTION("""COMPUTED_VALUE"""),6.48)</f>
        <v>6.48</v>
      </c>
      <c r="BC789" s="71">
        <f>IFERROR(__xludf.DUMMYFUNCTION("""COMPUTED_VALUE"""),8.0)</f>
        <v>8</v>
      </c>
      <c r="BD789" s="71">
        <f>IFERROR(__xludf.DUMMYFUNCTION("""COMPUTED_VALUE"""),8.4)</f>
        <v>8.4</v>
      </c>
      <c r="BE789" s="71">
        <f>IFERROR(__xludf.DUMMYFUNCTION("""COMPUTED_VALUE"""),1.344)</f>
        <v>1.344</v>
      </c>
      <c r="BF789" s="71">
        <f>IFERROR(__xludf.DUMMYFUNCTION("""COMPUTED_VALUE"""),9.744)</f>
        <v>9.744</v>
      </c>
      <c r="BG789" s="71">
        <f>IFERROR(__xludf.DUMMYFUNCTION("""COMPUTED_VALUE"""),0.050000000000000044)</f>
        <v>0.05</v>
      </c>
      <c r="BH789" s="71">
        <f>IFERROR(__xludf.DUMMYFUNCTION("""COMPUTED_VALUE"""),7.9799999999999995)</f>
        <v>7.98</v>
      </c>
      <c r="BI789" s="71">
        <f>IFERROR(__xludf.DUMMYFUNCTION("""COMPUTED_VALUE"""),1.2768)</f>
        <v>1.2768</v>
      </c>
      <c r="BJ789" s="71">
        <f>IFERROR(__xludf.DUMMYFUNCTION("""COMPUTED_VALUE"""),9.2568)</f>
        <v>9.2568</v>
      </c>
      <c r="BK789" s="71">
        <f>IFERROR(__xludf.DUMMYFUNCTION("""COMPUTED_VALUE"""),7.5600000000000005)</f>
        <v>7.56</v>
      </c>
      <c r="BL789" s="71">
        <f>IFERROR(__xludf.DUMMYFUNCTION("""COMPUTED_VALUE"""),1.2096)</f>
        <v>1.2096</v>
      </c>
      <c r="BM789" s="71">
        <f>IFERROR(__xludf.DUMMYFUNCTION("""COMPUTED_VALUE"""),8.7696)</f>
        <v>8.7696</v>
      </c>
      <c r="BN789" s="71">
        <f>IFERROR(__xludf.DUMMYFUNCTION("""COMPUTED_VALUE"""),7.14)</f>
        <v>7.14</v>
      </c>
      <c r="BO789" s="71">
        <f>IFERROR(__xludf.DUMMYFUNCTION("""COMPUTED_VALUE"""),1.1424)</f>
        <v>1.1424</v>
      </c>
      <c r="BP789" s="71">
        <f>IFERROR(__xludf.DUMMYFUNCTION("""COMPUTED_VALUE"""),8.282399999999999)</f>
        <v>8.2824</v>
      </c>
      <c r="BQ789" s="71">
        <f>IFERROR(__xludf.DUMMYFUNCTION("""COMPUTED_VALUE"""),6.9719999999999995)</f>
        <v>6.972</v>
      </c>
      <c r="BR789" s="71">
        <f>IFERROR(__xludf.DUMMYFUNCTION("""COMPUTED_VALUE"""),1.1155199999999998)</f>
        <v>1.11552</v>
      </c>
      <c r="BS789" s="71">
        <f>IFERROR(__xludf.DUMMYFUNCTION("""COMPUTED_VALUE"""),8.08752)</f>
        <v>8.08752</v>
      </c>
      <c r="BT789" s="71">
        <f>IFERROR(__xludf.DUMMYFUNCTION("""COMPUTED_VALUE"""),6.720000000000001)</f>
        <v>6.72</v>
      </c>
      <c r="BU789" s="71">
        <f>IFERROR(__xludf.DUMMYFUNCTION("""COMPUTED_VALUE"""),1.0752000000000002)</f>
        <v>1.0752</v>
      </c>
      <c r="BV789" s="71">
        <f>IFERROR(__xludf.DUMMYFUNCTION("""COMPUTED_VALUE"""),7.795200000000001)</f>
        <v>7.7952</v>
      </c>
    </row>
    <row r="790">
      <c r="A790" s="53">
        <v>1.0</v>
      </c>
      <c r="B790" s="72"/>
      <c r="C790" s="73" t="s">
        <v>53</v>
      </c>
      <c r="D790" s="74" t="s">
        <v>1908</v>
      </c>
      <c r="E790" s="54" t="s">
        <v>38</v>
      </c>
      <c r="F790" s="54" t="s">
        <v>42</v>
      </c>
      <c r="G790" s="88" t="s">
        <v>1909</v>
      </c>
      <c r="H790" s="54" t="s">
        <v>1910</v>
      </c>
      <c r="I790" s="54">
        <f t="shared" si="24"/>
        <v>18</v>
      </c>
      <c r="J790" s="56"/>
      <c r="K790" s="75"/>
      <c r="L790" s="146"/>
      <c r="M790" s="59"/>
      <c r="N790" s="60">
        <v>184.0</v>
      </c>
      <c r="O790" s="61">
        <v>230.0</v>
      </c>
      <c r="P790" s="62">
        <v>248.4</v>
      </c>
      <c r="Q790" s="63">
        <v>248.4</v>
      </c>
      <c r="R790" s="64">
        <v>278.0</v>
      </c>
      <c r="S790" s="111">
        <v>292.0</v>
      </c>
      <c r="T790" s="65">
        <f t="shared" si="2"/>
        <v>46.72</v>
      </c>
      <c r="U790" s="65">
        <f t="shared" si="3"/>
        <v>338.72</v>
      </c>
      <c r="V790" s="66">
        <f t="shared" si="4"/>
        <v>0.05035971223</v>
      </c>
      <c r="W790" s="67">
        <f t="shared" si="5"/>
        <v>277.4</v>
      </c>
      <c r="X790" s="67">
        <f t="shared" si="6"/>
        <v>44.384</v>
      </c>
      <c r="Y790" s="67">
        <f t="shared" si="7"/>
        <v>321.784</v>
      </c>
      <c r="Z790" s="67">
        <f t="shared" si="8"/>
        <v>262.8</v>
      </c>
      <c r="AA790" s="67">
        <f t="shared" si="9"/>
        <v>42.048</v>
      </c>
      <c r="AB790" s="67">
        <f t="shared" si="10"/>
        <v>304.848</v>
      </c>
      <c r="AC790" s="67">
        <f t="shared" si="11"/>
        <v>248.2</v>
      </c>
      <c r="AD790" s="67">
        <f t="shared" si="12"/>
        <v>39.712</v>
      </c>
      <c r="AE790" s="67">
        <f t="shared" si="13"/>
        <v>287.912</v>
      </c>
      <c r="AF790" s="67">
        <f t="shared" si="33"/>
        <v>242.36</v>
      </c>
      <c r="AG790" s="67">
        <f t="shared" si="15"/>
        <v>38.7776</v>
      </c>
      <c r="AH790" s="67">
        <f t="shared" si="16"/>
        <v>281.1376</v>
      </c>
      <c r="AI790" s="67">
        <f t="shared" si="17"/>
        <v>233.6</v>
      </c>
      <c r="AJ790" s="68">
        <f t="shared" si="31"/>
        <v>37.376</v>
      </c>
      <c r="AK790" s="68">
        <f t="shared" si="32"/>
        <v>270.976</v>
      </c>
      <c r="AL790" s="70">
        <f>IFERROR(__xludf.DUMMYFUNCTION("""COMPUTED_VALUE"""),1.0)</f>
        <v>1</v>
      </c>
      <c r="AM790" s="70"/>
      <c r="AN790" s="71" t="str">
        <f>IFERROR(__xludf.DUMMYFUNCTION("""COMPUTED_VALUE""")," C")</f>
        <v>C</v>
      </c>
      <c r="AO790" s="71" t="str">
        <f>IFERROR(__xludf.DUMMYFUNCTION("""COMPUTED_VALUE""")," LL03")</f>
        <v>LL03</v>
      </c>
      <c r="AP790" s="71" t="str">
        <f>IFERROR(__xludf.DUMMYFUNCTION("""COMPUTED_VALUE""")," PZA")</f>
        <v>PZA</v>
      </c>
      <c r="AQ790" s="71" t="str">
        <f>IFERROR(__xludf.DUMMYFUNCTION("""COMPUTED_VALUE""")," REF")</f>
        <v>REF</v>
      </c>
      <c r="AR790" s="71" t="str">
        <f>IFERROR(__xludf.DUMMYFUNCTION("""COMPUTED_VALUE""")," LLAVE ALLEN 1/8 LARGA")</f>
        <v>LLAVE ALLEN 1/8 LARGA</v>
      </c>
      <c r="AS790" s="71" t="str">
        <f>IFERROR(__xludf.DUMMYFUNCTION("""COMPUTED_VALUE""")," LLAVE ALLEN 1/8 LARGA")</f>
        <v>LLAVE ALLEN 1/8 LARGA</v>
      </c>
      <c r="AT790" s="71">
        <f>IFERROR(__xludf.DUMMYFUNCTION("""COMPUTED_VALUE"""),21.0)</f>
        <v>21</v>
      </c>
      <c r="AU790" s="71"/>
      <c r="AV790" s="71"/>
      <c r="AW790" s="71"/>
      <c r="AX790" s="71"/>
      <c r="AY790" s="71">
        <f>IFERROR(__xludf.DUMMYFUNCTION("""COMPUTED_VALUE"""),29.0)</f>
        <v>29</v>
      </c>
      <c r="AZ790" s="71">
        <f>IFERROR(__xludf.DUMMYFUNCTION("""COMPUTED_VALUE"""),31.0)</f>
        <v>31</v>
      </c>
      <c r="BA790" s="71">
        <f>IFERROR(__xludf.DUMMYFUNCTION("""COMPUTED_VALUE"""),33.480000000000004)</f>
        <v>33.48</v>
      </c>
      <c r="BB790" s="71">
        <f>IFERROR(__xludf.DUMMYFUNCTION("""COMPUTED_VALUE"""),33.480000000000004)</f>
        <v>33.48</v>
      </c>
      <c r="BC790" s="71">
        <f>IFERROR(__xludf.DUMMYFUNCTION("""COMPUTED_VALUE"""),38.0)</f>
        <v>38</v>
      </c>
      <c r="BD790" s="71">
        <f>IFERROR(__xludf.DUMMYFUNCTION("""COMPUTED_VALUE"""),40.0)</f>
        <v>40</v>
      </c>
      <c r="BE790" s="71">
        <f>IFERROR(__xludf.DUMMYFUNCTION("""COMPUTED_VALUE"""),6.4)</f>
        <v>6.4</v>
      </c>
      <c r="BF790" s="71">
        <f>IFERROR(__xludf.DUMMYFUNCTION("""COMPUTED_VALUE"""),46.4)</f>
        <v>46.4</v>
      </c>
      <c r="BG790" s="71">
        <f>IFERROR(__xludf.DUMMYFUNCTION("""COMPUTED_VALUE"""),0.05263157894736842)</f>
        <v>0.05263157895</v>
      </c>
      <c r="BH790" s="71">
        <f>IFERROR(__xludf.DUMMYFUNCTION("""COMPUTED_VALUE"""),38.0)</f>
        <v>38</v>
      </c>
      <c r="BI790" s="71">
        <f>IFERROR(__xludf.DUMMYFUNCTION("""COMPUTED_VALUE"""),6.08)</f>
        <v>6.08</v>
      </c>
      <c r="BJ790" s="71">
        <f>IFERROR(__xludf.DUMMYFUNCTION("""COMPUTED_VALUE"""),44.08)</f>
        <v>44.08</v>
      </c>
      <c r="BK790" s="71">
        <f>IFERROR(__xludf.DUMMYFUNCTION("""COMPUTED_VALUE"""),36.0)</f>
        <v>36</v>
      </c>
      <c r="BL790" s="71">
        <f>IFERROR(__xludf.DUMMYFUNCTION("""COMPUTED_VALUE"""),5.76)</f>
        <v>5.76</v>
      </c>
      <c r="BM790" s="71">
        <f>IFERROR(__xludf.DUMMYFUNCTION("""COMPUTED_VALUE"""),41.76)</f>
        <v>41.76</v>
      </c>
      <c r="BN790" s="71">
        <f>IFERROR(__xludf.DUMMYFUNCTION("""COMPUTED_VALUE"""),34.0)</f>
        <v>34</v>
      </c>
      <c r="BO790" s="71">
        <f>IFERROR(__xludf.DUMMYFUNCTION("""COMPUTED_VALUE"""),5.44)</f>
        <v>5.44</v>
      </c>
      <c r="BP790" s="71">
        <f>IFERROR(__xludf.DUMMYFUNCTION("""COMPUTED_VALUE"""),39.44)</f>
        <v>39.44</v>
      </c>
      <c r="BQ790" s="71">
        <f>IFERROR(__xludf.DUMMYFUNCTION("""COMPUTED_VALUE"""),33.199999999999996)</f>
        <v>33.2</v>
      </c>
      <c r="BR790" s="71">
        <f>IFERROR(__xludf.DUMMYFUNCTION("""COMPUTED_VALUE"""),5.311999999999999)</f>
        <v>5.312</v>
      </c>
      <c r="BS790" s="71">
        <f>IFERROR(__xludf.DUMMYFUNCTION("""COMPUTED_VALUE"""),38.51199999999999)</f>
        <v>38.512</v>
      </c>
      <c r="BT790" s="71">
        <f>IFERROR(__xludf.DUMMYFUNCTION("""COMPUTED_VALUE"""),32.0)</f>
        <v>32</v>
      </c>
      <c r="BU790" s="71">
        <f>IFERROR(__xludf.DUMMYFUNCTION("""COMPUTED_VALUE"""),5.12)</f>
        <v>5.12</v>
      </c>
      <c r="BV790" s="71">
        <f>IFERROR(__xludf.DUMMYFUNCTION("""COMPUTED_VALUE"""),37.12)</f>
        <v>37.12</v>
      </c>
    </row>
    <row r="791">
      <c r="A791" s="53">
        <v>1.0</v>
      </c>
      <c r="B791" s="72"/>
      <c r="C791" s="73" t="s">
        <v>53</v>
      </c>
      <c r="D791" s="74" t="s">
        <v>1911</v>
      </c>
      <c r="E791" s="54" t="s">
        <v>38</v>
      </c>
      <c r="F791" s="54" t="s">
        <v>42</v>
      </c>
      <c r="G791" s="88" t="s">
        <v>1912</v>
      </c>
      <c r="H791" s="54" t="s">
        <v>1913</v>
      </c>
      <c r="I791" s="54">
        <f t="shared" si="24"/>
        <v>34</v>
      </c>
      <c r="J791" s="56"/>
      <c r="K791" s="75"/>
      <c r="L791" s="76"/>
      <c r="M791" s="59"/>
      <c r="N791" s="60">
        <v>75.0</v>
      </c>
      <c r="O791" s="61">
        <v>81.0</v>
      </c>
      <c r="P791" s="62">
        <v>87.48</v>
      </c>
      <c r="Q791" s="63">
        <v>87.48</v>
      </c>
      <c r="R791" s="64">
        <v>97.0</v>
      </c>
      <c r="S791" s="111">
        <v>102.0</v>
      </c>
      <c r="T791" s="65">
        <f t="shared" si="2"/>
        <v>16.32</v>
      </c>
      <c r="U791" s="65">
        <f t="shared" si="3"/>
        <v>118.32</v>
      </c>
      <c r="V791" s="66">
        <f t="shared" si="4"/>
        <v>0.05154639175</v>
      </c>
      <c r="W791" s="67">
        <f t="shared" si="5"/>
        <v>96.9</v>
      </c>
      <c r="X791" s="67">
        <f t="shared" si="6"/>
        <v>15.504</v>
      </c>
      <c r="Y791" s="67">
        <f t="shared" si="7"/>
        <v>112.404</v>
      </c>
      <c r="Z791" s="67">
        <f t="shared" si="8"/>
        <v>91.8</v>
      </c>
      <c r="AA791" s="67">
        <f t="shared" si="9"/>
        <v>14.688</v>
      </c>
      <c r="AB791" s="67">
        <f t="shared" si="10"/>
        <v>106.488</v>
      </c>
      <c r="AC791" s="67">
        <f t="shared" si="11"/>
        <v>86.7</v>
      </c>
      <c r="AD791" s="67">
        <f t="shared" si="12"/>
        <v>13.872</v>
      </c>
      <c r="AE791" s="67">
        <f t="shared" si="13"/>
        <v>100.572</v>
      </c>
      <c r="AF791" s="67">
        <f t="shared" si="33"/>
        <v>84.66</v>
      </c>
      <c r="AG791" s="67">
        <f t="shared" si="15"/>
        <v>13.5456</v>
      </c>
      <c r="AH791" s="67">
        <f t="shared" si="16"/>
        <v>98.2056</v>
      </c>
      <c r="AI791" s="67">
        <f t="shared" si="17"/>
        <v>81.6</v>
      </c>
      <c r="AJ791" s="68">
        <f t="shared" si="31"/>
        <v>13.056</v>
      </c>
      <c r="AK791" s="68">
        <f t="shared" si="32"/>
        <v>94.656</v>
      </c>
      <c r="AL791" s="70">
        <f>IFERROR(__xludf.DUMMYFUNCTION("""COMPUTED_VALUE"""),1.0)</f>
        <v>1</v>
      </c>
      <c r="AM791" s="70"/>
      <c r="AN791" s="71" t="str">
        <f>IFERROR(__xludf.DUMMYFUNCTION("""COMPUTED_VALUE""")," C")</f>
        <v>C</v>
      </c>
      <c r="AO791" s="71" t="str">
        <f>IFERROR(__xludf.DUMMYFUNCTION("""COMPUTED_VALUE""")," LL04")</f>
        <v>LL04</v>
      </c>
      <c r="AP791" s="71" t="str">
        <f>IFERROR(__xludf.DUMMYFUNCTION("""COMPUTED_VALUE""")," PZA")</f>
        <v>PZA</v>
      </c>
      <c r="AQ791" s="71" t="str">
        <f>IFERROR(__xludf.DUMMYFUNCTION("""COMPUTED_VALUE""")," REF")</f>
        <v>REF</v>
      </c>
      <c r="AR791" s="71" t="str">
        <f>IFERROR(__xludf.DUMMYFUNCTION("""COMPUTED_VALUE""")," LLAVE ALLEN 3/16 CORTA")</f>
        <v>LLAVE ALLEN 3/16 CORTA</v>
      </c>
      <c r="AS791" s="71" t="str">
        <f>IFERROR(__xludf.DUMMYFUNCTION("""COMPUTED_VALUE""")," LLAVE ALLEN 3/16 CORTA")</f>
        <v>LLAVE ALLEN 3/16 CORTA</v>
      </c>
      <c r="AT791" s="71">
        <f>IFERROR(__xludf.DUMMYFUNCTION("""COMPUTED_VALUE"""),22.0)</f>
        <v>22</v>
      </c>
      <c r="AU791" s="71"/>
      <c r="AV791" s="71"/>
      <c r="AW791" s="71"/>
      <c r="AX791" s="71"/>
      <c r="AY791" s="71">
        <f>IFERROR(__xludf.DUMMYFUNCTION("""COMPUTED_VALUE"""),15.0)</f>
        <v>15</v>
      </c>
      <c r="AZ791" s="71">
        <f>IFERROR(__xludf.DUMMYFUNCTION("""COMPUTED_VALUE"""),16.0)</f>
        <v>16</v>
      </c>
      <c r="BA791" s="71">
        <f>IFERROR(__xludf.DUMMYFUNCTION("""COMPUTED_VALUE"""),17.28)</f>
        <v>17.28</v>
      </c>
      <c r="BB791" s="71">
        <f>IFERROR(__xludf.DUMMYFUNCTION("""COMPUTED_VALUE"""),17.28)</f>
        <v>17.28</v>
      </c>
      <c r="BC791" s="71">
        <f>IFERROR(__xludf.DUMMYFUNCTION("""COMPUTED_VALUE"""),20.0)</f>
        <v>20</v>
      </c>
      <c r="BD791" s="71">
        <f>IFERROR(__xludf.DUMMYFUNCTION("""COMPUTED_VALUE"""),21.0)</f>
        <v>21</v>
      </c>
      <c r="BE791" s="71">
        <f>IFERROR(__xludf.DUMMYFUNCTION("""COMPUTED_VALUE"""),3.36)</f>
        <v>3.36</v>
      </c>
      <c r="BF791" s="71">
        <f>IFERROR(__xludf.DUMMYFUNCTION("""COMPUTED_VALUE"""),24.36)</f>
        <v>24.36</v>
      </c>
      <c r="BG791" s="71">
        <f>IFERROR(__xludf.DUMMYFUNCTION("""COMPUTED_VALUE"""),0.05)</f>
        <v>0.05</v>
      </c>
      <c r="BH791" s="71">
        <f>IFERROR(__xludf.DUMMYFUNCTION("""COMPUTED_VALUE"""),19.95)</f>
        <v>19.95</v>
      </c>
      <c r="BI791" s="71">
        <f>IFERROR(__xludf.DUMMYFUNCTION("""COMPUTED_VALUE"""),3.192)</f>
        <v>3.192</v>
      </c>
      <c r="BJ791" s="71">
        <f>IFERROR(__xludf.DUMMYFUNCTION("""COMPUTED_VALUE"""),23.142)</f>
        <v>23.142</v>
      </c>
      <c r="BK791" s="71">
        <f>IFERROR(__xludf.DUMMYFUNCTION("""COMPUTED_VALUE"""),18.900000000000002)</f>
        <v>18.9</v>
      </c>
      <c r="BL791" s="71">
        <f>IFERROR(__xludf.DUMMYFUNCTION("""COMPUTED_VALUE"""),3.0240000000000005)</f>
        <v>3.024</v>
      </c>
      <c r="BM791" s="71">
        <f>IFERROR(__xludf.DUMMYFUNCTION("""COMPUTED_VALUE"""),21.924000000000003)</f>
        <v>21.924</v>
      </c>
      <c r="BN791" s="71">
        <f>IFERROR(__xludf.DUMMYFUNCTION("""COMPUTED_VALUE"""),17.849999999999998)</f>
        <v>17.85</v>
      </c>
      <c r="BO791" s="71">
        <f>IFERROR(__xludf.DUMMYFUNCTION("""COMPUTED_VALUE"""),2.856)</f>
        <v>2.856</v>
      </c>
      <c r="BP791" s="71">
        <f>IFERROR(__xludf.DUMMYFUNCTION("""COMPUTED_VALUE"""),20.705999999999996)</f>
        <v>20.706</v>
      </c>
      <c r="BQ791" s="71">
        <f>IFERROR(__xludf.DUMMYFUNCTION("""COMPUTED_VALUE"""),17.43)</f>
        <v>17.43</v>
      </c>
      <c r="BR791" s="71">
        <f>IFERROR(__xludf.DUMMYFUNCTION("""COMPUTED_VALUE"""),2.7888)</f>
        <v>2.7888</v>
      </c>
      <c r="BS791" s="71">
        <f>IFERROR(__xludf.DUMMYFUNCTION("""COMPUTED_VALUE"""),20.2188)</f>
        <v>20.2188</v>
      </c>
      <c r="BT791" s="71">
        <f>IFERROR(__xludf.DUMMYFUNCTION("""COMPUTED_VALUE"""),16.8)</f>
        <v>16.8</v>
      </c>
      <c r="BU791" s="71">
        <f>IFERROR(__xludf.DUMMYFUNCTION("""COMPUTED_VALUE"""),2.688)</f>
        <v>2.688</v>
      </c>
      <c r="BV791" s="71">
        <f>IFERROR(__xludf.DUMMYFUNCTION("""COMPUTED_VALUE"""),19.488)</f>
        <v>19.488</v>
      </c>
    </row>
    <row r="792">
      <c r="A792" s="53"/>
      <c r="B792" s="53"/>
      <c r="C792" s="73" t="s">
        <v>53</v>
      </c>
      <c r="D792" s="53" t="s">
        <v>1914</v>
      </c>
      <c r="E792" s="54" t="s">
        <v>38</v>
      </c>
      <c r="F792" s="55" t="s">
        <v>309</v>
      </c>
      <c r="G792" s="54" t="s">
        <v>1915</v>
      </c>
      <c r="H792" s="55"/>
      <c r="I792" s="54">
        <f t="shared" si="24"/>
        <v>0</v>
      </c>
      <c r="J792" s="56"/>
      <c r="K792" s="57"/>
      <c r="L792" s="76"/>
      <c r="M792" s="59"/>
      <c r="N792" s="60"/>
      <c r="O792" s="90">
        <v>81.0</v>
      </c>
      <c r="P792" s="62">
        <v>87.48</v>
      </c>
      <c r="Q792" s="63">
        <v>87.48</v>
      </c>
      <c r="R792" s="64">
        <v>97.0</v>
      </c>
      <c r="S792" s="111">
        <v>102.0</v>
      </c>
      <c r="T792" s="65">
        <f t="shared" si="2"/>
        <v>16.32</v>
      </c>
      <c r="U792" s="65">
        <f t="shared" si="3"/>
        <v>118.32</v>
      </c>
      <c r="V792" s="66">
        <f t="shared" si="4"/>
        <v>0.05154639175</v>
      </c>
      <c r="W792" s="67">
        <f t="shared" si="5"/>
        <v>96.9</v>
      </c>
      <c r="X792" s="67">
        <f t="shared" si="6"/>
        <v>15.504</v>
      </c>
      <c r="Y792" s="67">
        <f t="shared" si="7"/>
        <v>112.404</v>
      </c>
      <c r="Z792" s="67">
        <f t="shared" si="8"/>
        <v>91.8</v>
      </c>
      <c r="AA792" s="67">
        <f t="shared" si="9"/>
        <v>14.688</v>
      </c>
      <c r="AB792" s="67">
        <f t="shared" si="10"/>
        <v>106.488</v>
      </c>
      <c r="AC792" s="67">
        <f t="shared" si="11"/>
        <v>86.7</v>
      </c>
      <c r="AD792" s="67">
        <f t="shared" si="12"/>
        <v>13.872</v>
      </c>
      <c r="AE792" s="67">
        <f t="shared" si="13"/>
        <v>100.572</v>
      </c>
      <c r="AF792" s="67">
        <f t="shared" si="33"/>
        <v>84.66</v>
      </c>
      <c r="AG792" s="67">
        <f t="shared" si="15"/>
        <v>13.5456</v>
      </c>
      <c r="AH792" s="67">
        <f t="shared" si="16"/>
        <v>98.2056</v>
      </c>
      <c r="AI792" s="67">
        <f t="shared" si="17"/>
        <v>81.6</v>
      </c>
      <c r="AJ792" s="68">
        <f t="shared" si="31"/>
        <v>13.056</v>
      </c>
      <c r="AK792" s="68">
        <f t="shared" si="32"/>
        <v>94.656</v>
      </c>
      <c r="AL792" s="70">
        <f>IFERROR(__xludf.DUMMYFUNCTION("""COMPUTED_VALUE"""),1.0)</f>
        <v>1</v>
      </c>
      <c r="AM792" s="70"/>
      <c r="AN792" s="71" t="str">
        <f>IFERROR(__xludf.DUMMYFUNCTION("""COMPUTED_VALUE""")," C")</f>
        <v>C</v>
      </c>
      <c r="AO792" s="71" t="str">
        <f>IFERROR(__xludf.DUMMYFUNCTION("""COMPUTED_VALUE""")," LL05")</f>
        <v>LL05</v>
      </c>
      <c r="AP792" s="71" t="str">
        <f>IFERROR(__xludf.DUMMYFUNCTION("""COMPUTED_VALUE""")," PZA")</f>
        <v>PZA</v>
      </c>
      <c r="AQ792" s="71" t="str">
        <f>IFERROR(__xludf.DUMMYFUNCTION("""COMPUTED_VALUE""")," REF")</f>
        <v>REF</v>
      </c>
      <c r="AR792" s="71" t="str">
        <f>IFERROR(__xludf.DUMMYFUNCTION("""COMPUTED_VALUE""")," LLAVE ALLEN 3/16 LARGA")</f>
        <v>LLAVE ALLEN 3/16 LARGA</v>
      </c>
      <c r="AS792" s="71" t="str">
        <f>IFERROR(__xludf.DUMMYFUNCTION("""COMPUTED_VALUE""")," LLAVE ALLEN 3/16 LARGA")</f>
        <v>LLAVE ALLEN 3/16 LARGA</v>
      </c>
      <c r="AT792" s="71">
        <f>IFERROR(__xludf.DUMMYFUNCTION("""COMPUTED_VALUE"""),22.0)</f>
        <v>22</v>
      </c>
      <c r="AU792" s="71"/>
      <c r="AV792" s="71"/>
      <c r="AW792" s="71"/>
      <c r="AX792" s="71"/>
      <c r="AY792" s="71">
        <f>IFERROR(__xludf.DUMMYFUNCTION("""COMPUTED_VALUE"""),25.0)</f>
        <v>25</v>
      </c>
      <c r="AZ792" s="71">
        <f>IFERROR(__xludf.DUMMYFUNCTION("""COMPUTED_VALUE"""),27.0)</f>
        <v>27</v>
      </c>
      <c r="BA792" s="71">
        <f>IFERROR(__xludf.DUMMYFUNCTION("""COMPUTED_VALUE"""),29.160000000000004)</f>
        <v>29.16</v>
      </c>
      <c r="BB792" s="71">
        <f>IFERROR(__xludf.DUMMYFUNCTION("""COMPUTED_VALUE"""),29.160000000000004)</f>
        <v>29.16</v>
      </c>
      <c r="BC792" s="71">
        <f>IFERROR(__xludf.DUMMYFUNCTION("""COMPUTED_VALUE"""),33.0)</f>
        <v>33</v>
      </c>
      <c r="BD792" s="71">
        <f>IFERROR(__xludf.DUMMYFUNCTION("""COMPUTED_VALUE"""),35.0)</f>
        <v>35</v>
      </c>
      <c r="BE792" s="71">
        <f>IFERROR(__xludf.DUMMYFUNCTION("""COMPUTED_VALUE"""),5.6000000000000005)</f>
        <v>5.6</v>
      </c>
      <c r="BF792" s="71">
        <f>IFERROR(__xludf.DUMMYFUNCTION("""COMPUTED_VALUE"""),40.6)</f>
        <v>40.6</v>
      </c>
      <c r="BG792" s="71">
        <f>IFERROR(__xludf.DUMMYFUNCTION("""COMPUTED_VALUE"""),0.06060606060606061)</f>
        <v>0.06060606061</v>
      </c>
      <c r="BH792" s="71">
        <f>IFERROR(__xludf.DUMMYFUNCTION("""COMPUTED_VALUE"""),33.25)</f>
        <v>33.25</v>
      </c>
      <c r="BI792" s="71">
        <f>IFERROR(__xludf.DUMMYFUNCTION("""COMPUTED_VALUE"""),5.32)</f>
        <v>5.32</v>
      </c>
      <c r="BJ792" s="71">
        <f>IFERROR(__xludf.DUMMYFUNCTION("""COMPUTED_VALUE"""),38.57)</f>
        <v>38.57</v>
      </c>
      <c r="BK792" s="71">
        <f>IFERROR(__xludf.DUMMYFUNCTION("""COMPUTED_VALUE"""),31.5)</f>
        <v>31.5</v>
      </c>
      <c r="BL792" s="71">
        <f>IFERROR(__xludf.DUMMYFUNCTION("""COMPUTED_VALUE"""),5.04)</f>
        <v>5.04</v>
      </c>
      <c r="BM792" s="71">
        <f>IFERROR(__xludf.DUMMYFUNCTION("""COMPUTED_VALUE"""),36.54)</f>
        <v>36.54</v>
      </c>
      <c r="BN792" s="71">
        <f>IFERROR(__xludf.DUMMYFUNCTION("""COMPUTED_VALUE"""),29.75)</f>
        <v>29.75</v>
      </c>
      <c r="BO792" s="71">
        <f>IFERROR(__xludf.DUMMYFUNCTION("""COMPUTED_VALUE"""),4.76)</f>
        <v>4.76</v>
      </c>
      <c r="BP792" s="71">
        <f>IFERROR(__xludf.DUMMYFUNCTION("""COMPUTED_VALUE"""),34.51)</f>
        <v>34.51</v>
      </c>
      <c r="BQ792" s="71">
        <f>IFERROR(__xludf.DUMMYFUNCTION("""COMPUTED_VALUE"""),29.049999999999997)</f>
        <v>29.05</v>
      </c>
      <c r="BR792" s="71">
        <f>IFERROR(__xludf.DUMMYFUNCTION("""COMPUTED_VALUE"""),4.648)</f>
        <v>4.648</v>
      </c>
      <c r="BS792" s="71">
        <f>IFERROR(__xludf.DUMMYFUNCTION("""COMPUTED_VALUE"""),33.69799999999999)</f>
        <v>33.698</v>
      </c>
      <c r="BT792" s="71">
        <f>IFERROR(__xludf.DUMMYFUNCTION("""COMPUTED_VALUE"""),28.0)</f>
        <v>28</v>
      </c>
      <c r="BU792" s="71">
        <f>IFERROR(__xludf.DUMMYFUNCTION("""COMPUTED_VALUE"""),4.48)</f>
        <v>4.48</v>
      </c>
      <c r="BV792" s="71">
        <f>IFERROR(__xludf.DUMMYFUNCTION("""COMPUTED_VALUE"""),32.480000000000004)</f>
        <v>32.48</v>
      </c>
    </row>
    <row r="793">
      <c r="A793" s="53"/>
      <c r="B793" s="53"/>
      <c r="C793" s="73" t="s">
        <v>53</v>
      </c>
      <c r="D793" s="53" t="s">
        <v>1916</v>
      </c>
      <c r="E793" s="54" t="s">
        <v>38</v>
      </c>
      <c r="F793" s="55" t="s">
        <v>309</v>
      </c>
      <c r="G793" s="54" t="s">
        <v>1917</v>
      </c>
      <c r="H793" s="55"/>
      <c r="I793" s="54">
        <f t="shared" si="24"/>
        <v>0</v>
      </c>
      <c r="J793" s="56"/>
      <c r="K793" s="57"/>
      <c r="L793" s="76"/>
      <c r="M793" s="59"/>
      <c r="N793" s="60"/>
      <c r="O793" s="90">
        <v>72.0</v>
      </c>
      <c r="P793" s="62">
        <v>77.76</v>
      </c>
      <c r="Q793" s="63">
        <v>77.76</v>
      </c>
      <c r="R793" s="64">
        <v>92.0</v>
      </c>
      <c r="S793" s="111">
        <v>97.0</v>
      </c>
      <c r="T793" s="65">
        <f t="shared" si="2"/>
        <v>15.52</v>
      </c>
      <c r="U793" s="65">
        <f t="shared" si="3"/>
        <v>112.52</v>
      </c>
      <c r="V793" s="66">
        <f t="shared" si="4"/>
        <v>0.05434782609</v>
      </c>
      <c r="W793" s="67">
        <f t="shared" si="5"/>
        <v>92.15</v>
      </c>
      <c r="X793" s="67">
        <f t="shared" si="6"/>
        <v>14.744</v>
      </c>
      <c r="Y793" s="67">
        <f t="shared" si="7"/>
        <v>106.894</v>
      </c>
      <c r="Z793" s="67">
        <f t="shared" si="8"/>
        <v>87.3</v>
      </c>
      <c r="AA793" s="67">
        <f t="shared" si="9"/>
        <v>13.968</v>
      </c>
      <c r="AB793" s="67">
        <f t="shared" si="10"/>
        <v>101.268</v>
      </c>
      <c r="AC793" s="67">
        <f t="shared" si="11"/>
        <v>82.45</v>
      </c>
      <c r="AD793" s="67">
        <f t="shared" si="12"/>
        <v>13.192</v>
      </c>
      <c r="AE793" s="67">
        <f t="shared" si="13"/>
        <v>95.642</v>
      </c>
      <c r="AF793" s="67">
        <f t="shared" si="33"/>
        <v>80.51</v>
      </c>
      <c r="AG793" s="67">
        <f t="shared" si="15"/>
        <v>12.8816</v>
      </c>
      <c r="AH793" s="67">
        <f t="shared" si="16"/>
        <v>93.3916</v>
      </c>
      <c r="AI793" s="67">
        <f t="shared" si="17"/>
        <v>77.6</v>
      </c>
      <c r="AJ793" s="68">
        <f t="shared" si="31"/>
        <v>12.416</v>
      </c>
      <c r="AK793" s="68">
        <f t="shared" si="32"/>
        <v>90.016</v>
      </c>
      <c r="AL793" s="70">
        <f>IFERROR(__xludf.DUMMYFUNCTION("""COMPUTED_VALUE"""),1.0)</f>
        <v>1</v>
      </c>
      <c r="AM793" s="70"/>
      <c r="AN793" s="71" t="str">
        <f>IFERROR(__xludf.DUMMYFUNCTION("""COMPUTED_VALUE""")," C")</f>
        <v>C</v>
      </c>
      <c r="AO793" s="71" t="str">
        <f>IFERROR(__xludf.DUMMYFUNCTION("""COMPUTED_VALUE""")," LL06")</f>
        <v>LL06</v>
      </c>
      <c r="AP793" s="71" t="str">
        <f>IFERROR(__xludf.DUMMYFUNCTION("""COMPUTED_VALUE""")," PZA")</f>
        <v>PZA</v>
      </c>
      <c r="AQ793" s="71" t="str">
        <f>IFERROR(__xludf.DUMMYFUNCTION("""COMPUTED_VALUE""")," REF")</f>
        <v>REF</v>
      </c>
      <c r="AR793" s="71" t="str">
        <f>IFERROR(__xludf.DUMMYFUNCTION("""COMPUTED_VALUE""")," LLAVE ALLEN 5/32 CORTA")</f>
        <v>LLAVE ALLEN 5/32 CORTA</v>
      </c>
      <c r="AS793" s="71" t="str">
        <f>IFERROR(__xludf.DUMMYFUNCTION("""COMPUTED_VALUE""")," LLAVE ALLEN 5/32 CORTA")</f>
        <v>LLAVE ALLEN 5/32 CORTA</v>
      </c>
      <c r="AT793" s="71">
        <f>IFERROR(__xludf.DUMMYFUNCTION("""COMPUTED_VALUE"""),22.0)</f>
        <v>22</v>
      </c>
      <c r="AU793" s="71"/>
      <c r="AV793" s="71"/>
      <c r="AW793" s="71"/>
      <c r="AX793" s="71"/>
      <c r="AY793" s="71">
        <f>IFERROR(__xludf.DUMMYFUNCTION("""COMPUTED_VALUE"""),10.0)</f>
        <v>10</v>
      </c>
      <c r="AZ793" s="71">
        <f>IFERROR(__xludf.DUMMYFUNCTION("""COMPUTED_VALUE"""),8.0)</f>
        <v>8</v>
      </c>
      <c r="BA793" s="71">
        <f>IFERROR(__xludf.DUMMYFUNCTION("""COMPUTED_VALUE"""),8.64)</f>
        <v>8.64</v>
      </c>
      <c r="BB793" s="71">
        <f>IFERROR(__xludf.DUMMYFUNCTION("""COMPUTED_VALUE"""),8.64)</f>
        <v>8.64</v>
      </c>
      <c r="BC793" s="71">
        <f>IFERROR(__xludf.DUMMYFUNCTION("""COMPUTED_VALUE"""),10.0)</f>
        <v>10</v>
      </c>
      <c r="BD793" s="71">
        <f>IFERROR(__xludf.DUMMYFUNCTION("""COMPUTED_VALUE"""),10.5)</f>
        <v>10.5</v>
      </c>
      <c r="BE793" s="71">
        <f>IFERROR(__xludf.DUMMYFUNCTION("""COMPUTED_VALUE"""),1.68)</f>
        <v>1.68</v>
      </c>
      <c r="BF793" s="71">
        <f>IFERROR(__xludf.DUMMYFUNCTION("""COMPUTED_VALUE"""),12.18)</f>
        <v>12.18</v>
      </c>
      <c r="BG793" s="71">
        <f>IFERROR(__xludf.DUMMYFUNCTION("""COMPUTED_VALUE"""),0.05)</f>
        <v>0.05</v>
      </c>
      <c r="BH793" s="71">
        <f>IFERROR(__xludf.DUMMYFUNCTION("""COMPUTED_VALUE"""),9.975)</f>
        <v>9.975</v>
      </c>
      <c r="BI793" s="71">
        <f>IFERROR(__xludf.DUMMYFUNCTION("""COMPUTED_VALUE"""),1.596)</f>
        <v>1.596</v>
      </c>
      <c r="BJ793" s="71">
        <f>IFERROR(__xludf.DUMMYFUNCTION("""COMPUTED_VALUE"""),11.571)</f>
        <v>11.571</v>
      </c>
      <c r="BK793" s="71">
        <f>IFERROR(__xludf.DUMMYFUNCTION("""COMPUTED_VALUE"""),9.450000000000001)</f>
        <v>9.45</v>
      </c>
      <c r="BL793" s="71">
        <f>IFERROR(__xludf.DUMMYFUNCTION("""COMPUTED_VALUE"""),1.5120000000000002)</f>
        <v>1.512</v>
      </c>
      <c r="BM793" s="71">
        <f>IFERROR(__xludf.DUMMYFUNCTION("""COMPUTED_VALUE"""),10.962000000000002)</f>
        <v>10.962</v>
      </c>
      <c r="BN793" s="71">
        <f>IFERROR(__xludf.DUMMYFUNCTION("""COMPUTED_VALUE"""),8.924999999999999)</f>
        <v>8.925</v>
      </c>
      <c r="BO793" s="71">
        <f>IFERROR(__xludf.DUMMYFUNCTION("""COMPUTED_VALUE"""),1.428)</f>
        <v>1.428</v>
      </c>
      <c r="BP793" s="71">
        <f>IFERROR(__xludf.DUMMYFUNCTION("""COMPUTED_VALUE"""),10.352999999999998)</f>
        <v>10.353</v>
      </c>
      <c r="BQ793" s="71">
        <f>IFERROR(__xludf.DUMMYFUNCTION("""COMPUTED_VALUE"""),8.715)</f>
        <v>8.715</v>
      </c>
      <c r="BR793" s="71">
        <f>IFERROR(__xludf.DUMMYFUNCTION("""COMPUTED_VALUE"""),1.3944)</f>
        <v>1.3944</v>
      </c>
      <c r="BS793" s="71">
        <f>IFERROR(__xludf.DUMMYFUNCTION("""COMPUTED_VALUE"""),10.1094)</f>
        <v>10.1094</v>
      </c>
      <c r="BT793" s="71">
        <f>IFERROR(__xludf.DUMMYFUNCTION("""COMPUTED_VALUE"""),8.4)</f>
        <v>8.4</v>
      </c>
      <c r="BU793" s="71">
        <f>IFERROR(__xludf.DUMMYFUNCTION("""COMPUTED_VALUE"""),1.344)</f>
        <v>1.344</v>
      </c>
      <c r="BV793" s="71">
        <f>IFERROR(__xludf.DUMMYFUNCTION("""COMPUTED_VALUE"""),9.744)</f>
        <v>9.744</v>
      </c>
    </row>
    <row r="794">
      <c r="A794" s="53">
        <v>1.0</v>
      </c>
      <c r="B794" s="72"/>
      <c r="C794" s="73" t="s">
        <v>53</v>
      </c>
      <c r="D794" s="74" t="s">
        <v>1918</v>
      </c>
      <c r="E794" s="54" t="s">
        <v>38</v>
      </c>
      <c r="F794" s="54" t="s">
        <v>42</v>
      </c>
      <c r="G794" s="88" t="s">
        <v>1919</v>
      </c>
      <c r="H794" s="54" t="s">
        <v>1920</v>
      </c>
      <c r="I794" s="54">
        <f t="shared" si="24"/>
        <v>34</v>
      </c>
      <c r="J794" s="56"/>
      <c r="K794" s="75"/>
      <c r="L794" s="76"/>
      <c r="M794" s="59"/>
      <c r="N794" s="60">
        <v>71.0</v>
      </c>
      <c r="O794" s="61">
        <v>76.0</v>
      </c>
      <c r="P794" s="62">
        <v>82.08000000000001</v>
      </c>
      <c r="Q794" s="63">
        <v>82.08000000000001</v>
      </c>
      <c r="R794" s="64">
        <v>92.0</v>
      </c>
      <c r="S794" s="111">
        <v>97.0</v>
      </c>
      <c r="T794" s="65">
        <f t="shared" si="2"/>
        <v>15.52</v>
      </c>
      <c r="U794" s="65">
        <f t="shared" si="3"/>
        <v>112.52</v>
      </c>
      <c r="V794" s="66">
        <f t="shared" si="4"/>
        <v>0.05434782609</v>
      </c>
      <c r="W794" s="67">
        <f t="shared" si="5"/>
        <v>92.15</v>
      </c>
      <c r="X794" s="67">
        <f t="shared" si="6"/>
        <v>14.744</v>
      </c>
      <c r="Y794" s="67">
        <f t="shared" si="7"/>
        <v>106.894</v>
      </c>
      <c r="Z794" s="67">
        <f t="shared" si="8"/>
        <v>87.3</v>
      </c>
      <c r="AA794" s="67">
        <f t="shared" si="9"/>
        <v>13.968</v>
      </c>
      <c r="AB794" s="67">
        <f t="shared" si="10"/>
        <v>101.268</v>
      </c>
      <c r="AC794" s="67">
        <f t="shared" si="11"/>
        <v>82.45</v>
      </c>
      <c r="AD794" s="67">
        <f t="shared" si="12"/>
        <v>13.192</v>
      </c>
      <c r="AE794" s="67">
        <f t="shared" si="13"/>
        <v>95.642</v>
      </c>
      <c r="AF794" s="67">
        <f t="shared" si="33"/>
        <v>80.51</v>
      </c>
      <c r="AG794" s="67">
        <f t="shared" si="15"/>
        <v>12.8816</v>
      </c>
      <c r="AH794" s="67">
        <f t="shared" si="16"/>
        <v>93.3916</v>
      </c>
      <c r="AI794" s="67">
        <f t="shared" si="17"/>
        <v>77.6</v>
      </c>
      <c r="AJ794" s="68">
        <f t="shared" si="31"/>
        <v>12.416</v>
      </c>
      <c r="AK794" s="68">
        <f t="shared" si="32"/>
        <v>90.016</v>
      </c>
      <c r="AL794" s="70">
        <f>IFERROR(__xludf.DUMMYFUNCTION("""COMPUTED_VALUE"""),1.0)</f>
        <v>1</v>
      </c>
      <c r="AM794" s="70"/>
      <c r="AN794" s="71" t="str">
        <f>IFERROR(__xludf.DUMMYFUNCTION("""COMPUTED_VALUE""")," P")</f>
        <v>P</v>
      </c>
      <c r="AO794" s="71" t="str">
        <f>IFERROR(__xludf.DUMMYFUNCTION("""COMPUTED_VALUE""")," LL08")</f>
        <v>LL08</v>
      </c>
      <c r="AP794" s="71" t="str">
        <f>IFERROR(__xludf.DUMMYFUNCTION("""COMPUTED_VALUE""")," PZA")</f>
        <v>PZA</v>
      </c>
      <c r="AQ794" s="71" t="str">
        <f>IFERROR(__xludf.DUMMYFUNCTION("""COMPUTED_VALUE""")," REF")</f>
        <v>REF</v>
      </c>
      <c r="AR794" s="71" t="str">
        <f>IFERROR(__xludf.DUMMYFUNCTION("""COMPUTED_VALUE""")," LLAVE DE CUADRO")</f>
        <v>LLAVE DE CUADRO</v>
      </c>
      <c r="AS794" s="71" t="str">
        <f>IFERROR(__xludf.DUMMYFUNCTION("""COMPUTED_VALUE""")," LLAVE DE CUADRO")</f>
        <v>LLAVE DE CUADRO</v>
      </c>
      <c r="AT794" s="71">
        <f>IFERROR(__xludf.DUMMYFUNCTION("""COMPUTED_VALUE"""),15.0)</f>
        <v>15</v>
      </c>
      <c r="AU794" s="71"/>
      <c r="AV794" s="71"/>
      <c r="AW794" s="71"/>
      <c r="AX794" s="71"/>
      <c r="AY794" s="71">
        <f>IFERROR(__xludf.DUMMYFUNCTION("""COMPUTED_VALUE"""),29.0)</f>
        <v>29</v>
      </c>
      <c r="AZ794" s="71">
        <f>IFERROR(__xludf.DUMMYFUNCTION("""COMPUTED_VALUE"""),31.0)</f>
        <v>31</v>
      </c>
      <c r="BA794" s="71">
        <f>IFERROR(__xludf.DUMMYFUNCTION("""COMPUTED_VALUE"""),33.480000000000004)</f>
        <v>33.48</v>
      </c>
      <c r="BB794" s="71">
        <f>IFERROR(__xludf.DUMMYFUNCTION("""COMPUTED_VALUE"""),33.480000000000004)</f>
        <v>33.48</v>
      </c>
      <c r="BC794" s="71">
        <f>IFERROR(__xludf.DUMMYFUNCTION("""COMPUTED_VALUE"""),38.0)</f>
        <v>38</v>
      </c>
      <c r="BD794" s="71">
        <f>IFERROR(__xludf.DUMMYFUNCTION("""COMPUTED_VALUE"""),40.0)</f>
        <v>40</v>
      </c>
      <c r="BE794" s="71">
        <f>IFERROR(__xludf.DUMMYFUNCTION("""COMPUTED_VALUE"""),6.4)</f>
        <v>6.4</v>
      </c>
      <c r="BF794" s="71">
        <f>IFERROR(__xludf.DUMMYFUNCTION("""COMPUTED_VALUE"""),46.4)</f>
        <v>46.4</v>
      </c>
      <c r="BG794" s="71">
        <f>IFERROR(__xludf.DUMMYFUNCTION("""COMPUTED_VALUE"""),0.05263157894736842)</f>
        <v>0.05263157895</v>
      </c>
      <c r="BH794" s="71">
        <f>IFERROR(__xludf.DUMMYFUNCTION("""COMPUTED_VALUE"""),38.0)</f>
        <v>38</v>
      </c>
      <c r="BI794" s="71">
        <f>IFERROR(__xludf.DUMMYFUNCTION("""COMPUTED_VALUE"""),6.08)</f>
        <v>6.08</v>
      </c>
      <c r="BJ794" s="71">
        <f>IFERROR(__xludf.DUMMYFUNCTION("""COMPUTED_VALUE"""),44.08)</f>
        <v>44.08</v>
      </c>
      <c r="BK794" s="71">
        <f>IFERROR(__xludf.DUMMYFUNCTION("""COMPUTED_VALUE"""),36.0)</f>
        <v>36</v>
      </c>
      <c r="BL794" s="71">
        <f>IFERROR(__xludf.DUMMYFUNCTION("""COMPUTED_VALUE"""),5.76)</f>
        <v>5.76</v>
      </c>
      <c r="BM794" s="71">
        <f>IFERROR(__xludf.DUMMYFUNCTION("""COMPUTED_VALUE"""),41.76)</f>
        <v>41.76</v>
      </c>
      <c r="BN794" s="71">
        <f>IFERROR(__xludf.DUMMYFUNCTION("""COMPUTED_VALUE"""),34.0)</f>
        <v>34</v>
      </c>
      <c r="BO794" s="71">
        <f>IFERROR(__xludf.DUMMYFUNCTION("""COMPUTED_VALUE"""),5.44)</f>
        <v>5.44</v>
      </c>
      <c r="BP794" s="71">
        <f>IFERROR(__xludf.DUMMYFUNCTION("""COMPUTED_VALUE"""),39.44)</f>
        <v>39.44</v>
      </c>
      <c r="BQ794" s="71">
        <f>IFERROR(__xludf.DUMMYFUNCTION("""COMPUTED_VALUE"""),33.199999999999996)</f>
        <v>33.2</v>
      </c>
      <c r="BR794" s="71">
        <f>IFERROR(__xludf.DUMMYFUNCTION("""COMPUTED_VALUE"""),5.311999999999999)</f>
        <v>5.312</v>
      </c>
      <c r="BS794" s="71">
        <f>IFERROR(__xludf.DUMMYFUNCTION("""COMPUTED_VALUE"""),38.51199999999999)</f>
        <v>38.512</v>
      </c>
      <c r="BT794" s="71">
        <f>IFERROR(__xludf.DUMMYFUNCTION("""COMPUTED_VALUE"""),32.0)</f>
        <v>32</v>
      </c>
      <c r="BU794" s="71">
        <f>IFERROR(__xludf.DUMMYFUNCTION("""COMPUTED_VALUE"""),5.12)</f>
        <v>5.12</v>
      </c>
      <c r="BV794" s="71">
        <f>IFERROR(__xludf.DUMMYFUNCTION("""COMPUTED_VALUE"""),37.12)</f>
        <v>37.12</v>
      </c>
    </row>
    <row r="795">
      <c r="A795" s="53"/>
      <c r="B795" s="53"/>
      <c r="C795" s="73" t="s">
        <v>53</v>
      </c>
      <c r="D795" s="53" t="s">
        <v>1921</v>
      </c>
      <c r="E795" s="54" t="s">
        <v>38</v>
      </c>
      <c r="F795" s="55" t="s">
        <v>309</v>
      </c>
      <c r="G795" s="54" t="s">
        <v>1922</v>
      </c>
      <c r="H795" s="55"/>
      <c r="I795" s="54">
        <f t="shared" si="24"/>
        <v>0</v>
      </c>
      <c r="J795" s="56"/>
      <c r="K795" s="57"/>
      <c r="L795" s="76"/>
      <c r="M795" s="59"/>
      <c r="N795" s="60"/>
      <c r="O795" s="90">
        <v>58.0</v>
      </c>
      <c r="P795" s="62">
        <v>62.64</v>
      </c>
      <c r="Q795" s="63">
        <v>62.64</v>
      </c>
      <c r="R795" s="64">
        <v>97.0</v>
      </c>
      <c r="S795" s="111">
        <v>102.0</v>
      </c>
      <c r="T795" s="65">
        <f t="shared" si="2"/>
        <v>16.32</v>
      </c>
      <c r="U795" s="65">
        <f t="shared" si="3"/>
        <v>118.32</v>
      </c>
      <c r="V795" s="66">
        <f t="shared" si="4"/>
        <v>0.05154639175</v>
      </c>
      <c r="W795" s="67">
        <f t="shared" si="5"/>
        <v>96.9</v>
      </c>
      <c r="X795" s="67">
        <f t="shared" si="6"/>
        <v>15.504</v>
      </c>
      <c r="Y795" s="67">
        <f t="shared" si="7"/>
        <v>112.404</v>
      </c>
      <c r="Z795" s="67">
        <f t="shared" si="8"/>
        <v>91.8</v>
      </c>
      <c r="AA795" s="67">
        <f t="shared" si="9"/>
        <v>14.688</v>
      </c>
      <c r="AB795" s="67">
        <f t="shared" si="10"/>
        <v>106.488</v>
      </c>
      <c r="AC795" s="67">
        <f t="shared" si="11"/>
        <v>86.7</v>
      </c>
      <c r="AD795" s="67">
        <f t="shared" si="12"/>
        <v>13.872</v>
      </c>
      <c r="AE795" s="67">
        <f t="shared" si="13"/>
        <v>100.572</v>
      </c>
      <c r="AF795" s="67">
        <f t="shared" si="33"/>
        <v>84.66</v>
      </c>
      <c r="AG795" s="67">
        <f t="shared" si="15"/>
        <v>13.5456</v>
      </c>
      <c r="AH795" s="67">
        <f t="shared" si="16"/>
        <v>98.2056</v>
      </c>
      <c r="AI795" s="67">
        <f t="shared" si="17"/>
        <v>81.6</v>
      </c>
      <c r="AJ795" s="68">
        <f t="shared" si="31"/>
        <v>13.056</v>
      </c>
      <c r="AK795" s="68">
        <f t="shared" si="32"/>
        <v>94.656</v>
      </c>
      <c r="AL795" s="70">
        <f>IFERROR(__xludf.DUMMYFUNCTION("""COMPUTED_VALUE"""),1.0)</f>
        <v>1</v>
      </c>
      <c r="AM795" s="70"/>
      <c r="AN795" s="71" t="str">
        <f>IFERROR(__xludf.DUMMYFUNCTION("""COMPUTED_VALUE""")," P")</f>
        <v>P</v>
      </c>
      <c r="AO795" s="71" t="str">
        <f>IFERROR(__xludf.DUMMYFUNCTION("""COMPUTED_VALUE""")," LL09")</f>
        <v>LL09</v>
      </c>
      <c r="AP795" s="71" t="str">
        <f>IFERROR(__xludf.DUMMYFUNCTION("""COMPUTED_VALUE""")," PZA")</f>
        <v>PZA</v>
      </c>
      <c r="AQ795" s="71" t="str">
        <f>IFERROR(__xludf.DUMMYFUNCTION("""COMPUTED_VALUE""")," REF")</f>
        <v>REF</v>
      </c>
      <c r="AR795" s="71" t="str">
        <f>IFERROR(__xludf.DUMMYFUNCTION("""COMPUTED_VALUE""")," LLAVE GLOBO PARA VÁLVULA CARBURADORA ENTRADA 3/8 MODELO ANTERIOR SENCILLO")</f>
        <v>LLAVE GLOBO PARA VÁLVULA CARBURADORA ENTRADA 3/8 MODELO ANTERIOR SENCILLO</v>
      </c>
      <c r="AS795" s="71" t="str">
        <f>IFERROR(__xludf.DUMMYFUNCTION("""COMPUTED_VALUE""")," LLAVE GLOBO P/VALV CARB ENT 3/8 MA SENC")</f>
        <v>LLAVE GLOBO P/VALV CARB ENT 3/8 MA SENC</v>
      </c>
      <c r="AT795" s="71">
        <f>IFERROR(__xludf.DUMMYFUNCTION("""COMPUTED_VALUE"""),39.0)</f>
        <v>39</v>
      </c>
      <c r="AU795" s="71"/>
      <c r="AV795" s="71"/>
      <c r="AW795" s="71"/>
      <c r="AX795" s="71"/>
      <c r="AY795" s="71">
        <f>IFERROR(__xludf.DUMMYFUNCTION("""COMPUTED_VALUE"""),792.0)</f>
        <v>792</v>
      </c>
      <c r="AZ795" s="71">
        <f>IFERROR(__xludf.DUMMYFUNCTION("""COMPUTED_VALUE"""),855.0)</f>
        <v>855</v>
      </c>
      <c r="BA795" s="71">
        <f>IFERROR(__xludf.DUMMYFUNCTION("""COMPUTED_VALUE"""),923.4000000000001)</f>
        <v>923.4</v>
      </c>
      <c r="BB795" s="71">
        <f>IFERROR(__xludf.DUMMYFUNCTION("""COMPUTED_VALUE"""),923.4000000000001)</f>
        <v>923.4</v>
      </c>
      <c r="BC795" s="71">
        <f>IFERROR(__xludf.DUMMYFUNCTION("""COMPUTED_VALUE"""),1028.0)</f>
        <v>1028</v>
      </c>
      <c r="BD795" s="71">
        <f>IFERROR(__xludf.DUMMYFUNCTION("""COMPUTED_VALUE"""),1079.0)</f>
        <v>1079</v>
      </c>
      <c r="BE795" s="71">
        <f>IFERROR(__xludf.DUMMYFUNCTION("""COMPUTED_VALUE"""),172.64000000000001)</f>
        <v>172.64</v>
      </c>
      <c r="BF795" s="71">
        <f>IFERROR(__xludf.DUMMYFUNCTION("""COMPUTED_VALUE"""),1251.64)</f>
        <v>1251.64</v>
      </c>
      <c r="BG795" s="71">
        <f>IFERROR(__xludf.DUMMYFUNCTION("""COMPUTED_VALUE"""),0.04961089494163424)</f>
        <v>0.04961089494</v>
      </c>
      <c r="BH795" s="71">
        <f>IFERROR(__xludf.DUMMYFUNCTION("""COMPUTED_VALUE"""),1025.05)</f>
        <v>1025.05</v>
      </c>
      <c r="BI795" s="71">
        <f>IFERROR(__xludf.DUMMYFUNCTION("""COMPUTED_VALUE"""),164.008)</f>
        <v>164.008</v>
      </c>
      <c r="BJ795" s="71">
        <f>IFERROR(__xludf.DUMMYFUNCTION("""COMPUTED_VALUE"""),1189.058)</f>
        <v>1189.058</v>
      </c>
      <c r="BK795" s="71">
        <f>IFERROR(__xludf.DUMMYFUNCTION("""COMPUTED_VALUE"""),971.1)</f>
        <v>971.1</v>
      </c>
      <c r="BL795" s="71">
        <f>IFERROR(__xludf.DUMMYFUNCTION("""COMPUTED_VALUE"""),155.376)</f>
        <v>155.376</v>
      </c>
      <c r="BM795" s="71">
        <f>IFERROR(__xludf.DUMMYFUNCTION("""COMPUTED_VALUE"""),1126.476)</f>
        <v>1126.476</v>
      </c>
      <c r="BN795" s="71">
        <f>IFERROR(__xludf.DUMMYFUNCTION("""COMPUTED_VALUE"""),917.15)</f>
        <v>917.15</v>
      </c>
      <c r="BO795" s="71">
        <f>IFERROR(__xludf.DUMMYFUNCTION("""COMPUTED_VALUE"""),146.744)</f>
        <v>146.744</v>
      </c>
      <c r="BP795" s="71">
        <f>IFERROR(__xludf.DUMMYFUNCTION("""COMPUTED_VALUE"""),1063.894)</f>
        <v>1063.894</v>
      </c>
      <c r="BQ795" s="71">
        <f>IFERROR(__xludf.DUMMYFUNCTION("""COMPUTED_VALUE"""),895.5699999999999)</f>
        <v>895.57</v>
      </c>
      <c r="BR795" s="71">
        <f>IFERROR(__xludf.DUMMYFUNCTION("""COMPUTED_VALUE"""),143.2912)</f>
        <v>143.2912</v>
      </c>
      <c r="BS795" s="71">
        <f>IFERROR(__xludf.DUMMYFUNCTION("""COMPUTED_VALUE"""),1038.8611999999998)</f>
        <v>1038.8612</v>
      </c>
      <c r="BT795" s="71">
        <f>IFERROR(__xludf.DUMMYFUNCTION("""COMPUTED_VALUE"""),863.2)</f>
        <v>863.2</v>
      </c>
      <c r="BU795" s="71">
        <f>IFERROR(__xludf.DUMMYFUNCTION("""COMPUTED_VALUE"""),138.11200000000002)</f>
        <v>138.112</v>
      </c>
      <c r="BV795" s="71">
        <f>IFERROR(__xludf.DUMMYFUNCTION("""COMPUTED_VALUE"""),1001.3120000000001)</f>
        <v>1001.312</v>
      </c>
    </row>
    <row r="796">
      <c r="A796" s="53">
        <v>1.0</v>
      </c>
      <c r="B796" s="72"/>
      <c r="C796" s="73" t="s">
        <v>53</v>
      </c>
      <c r="D796" s="74" t="s">
        <v>1923</v>
      </c>
      <c r="E796" s="54" t="s">
        <v>38</v>
      </c>
      <c r="F796" s="54" t="s">
        <v>42</v>
      </c>
      <c r="G796" s="88" t="s">
        <v>1924</v>
      </c>
      <c r="H796" s="54" t="s">
        <v>1922</v>
      </c>
      <c r="I796" s="54">
        <f t="shared" si="24"/>
        <v>38</v>
      </c>
      <c r="J796" s="56"/>
      <c r="K796" s="75"/>
      <c r="L796" s="76"/>
      <c r="M796" s="59"/>
      <c r="N796" s="60">
        <v>57.0</v>
      </c>
      <c r="O796" s="61">
        <v>61.0</v>
      </c>
      <c r="P796" s="62">
        <v>65.88000000000001</v>
      </c>
      <c r="Q796" s="63">
        <v>65.88000000000001</v>
      </c>
      <c r="R796" s="64">
        <v>97.0</v>
      </c>
      <c r="S796" s="111">
        <v>102.0</v>
      </c>
      <c r="T796" s="65">
        <f t="shared" si="2"/>
        <v>16.32</v>
      </c>
      <c r="U796" s="65">
        <f t="shared" si="3"/>
        <v>118.32</v>
      </c>
      <c r="V796" s="66">
        <f t="shared" si="4"/>
        <v>0.05154639175</v>
      </c>
      <c r="W796" s="67">
        <f t="shared" si="5"/>
        <v>96.9</v>
      </c>
      <c r="X796" s="67">
        <f t="shared" si="6"/>
        <v>15.504</v>
      </c>
      <c r="Y796" s="67">
        <f t="shared" si="7"/>
        <v>112.404</v>
      </c>
      <c r="Z796" s="67">
        <f t="shared" si="8"/>
        <v>91.8</v>
      </c>
      <c r="AA796" s="67">
        <f t="shared" si="9"/>
        <v>14.688</v>
      </c>
      <c r="AB796" s="67">
        <f t="shared" si="10"/>
        <v>106.488</v>
      </c>
      <c r="AC796" s="67">
        <f t="shared" si="11"/>
        <v>86.7</v>
      </c>
      <c r="AD796" s="67">
        <f t="shared" si="12"/>
        <v>13.872</v>
      </c>
      <c r="AE796" s="67">
        <f t="shared" si="13"/>
        <v>100.572</v>
      </c>
      <c r="AF796" s="67">
        <f t="shared" si="33"/>
        <v>84.66</v>
      </c>
      <c r="AG796" s="67">
        <f t="shared" si="15"/>
        <v>13.5456</v>
      </c>
      <c r="AH796" s="67">
        <f t="shared" si="16"/>
        <v>98.2056</v>
      </c>
      <c r="AI796" s="67">
        <f t="shared" si="17"/>
        <v>81.6</v>
      </c>
      <c r="AJ796" s="68">
        <f t="shared" si="31"/>
        <v>13.056</v>
      </c>
      <c r="AK796" s="68">
        <f t="shared" si="32"/>
        <v>94.656</v>
      </c>
      <c r="AL796" s="70">
        <f>IFERROR(__xludf.DUMMYFUNCTION("""COMPUTED_VALUE"""),1.0)</f>
        <v>1</v>
      </c>
      <c r="AM796" s="70"/>
      <c r="AN796" s="71" t="str">
        <f>IFERROR(__xludf.DUMMYFUNCTION("""COMPUTED_VALUE""")," C")</f>
        <v>C</v>
      </c>
      <c r="AO796" s="71" t="str">
        <f>IFERROR(__xludf.DUMMYFUNCTION("""COMPUTED_VALUE""")," LL10")</f>
        <v>LL10</v>
      </c>
      <c r="AP796" s="71" t="str">
        <f>IFERROR(__xludf.DUMMYFUNCTION("""COMPUTED_VALUE""")," PZA")</f>
        <v>PZA</v>
      </c>
      <c r="AQ796" s="71" t="str">
        <f>IFERROR(__xludf.DUMMYFUNCTION("""COMPUTED_VALUE""")," REF")</f>
        <v>REF</v>
      </c>
      <c r="AR796" s="71" t="str">
        <f>IFERROR(__xludf.DUMMYFUNCTION("""COMPUTED_VALUE""")," LLAVE GLOBO PARA VÁLVULA CARBURADORA ENTRADA DE 1/2 TV-50 (B.C.) SENCILLO")</f>
        <v>LLAVE GLOBO PARA VÁLVULA CARBURADORA ENTRADA DE 1/2 TV-50 (B.C.) SENCILLO</v>
      </c>
      <c r="AS796" s="71" t="str">
        <f>IFERROR(__xludf.DUMMYFUNCTION("""COMPUTED_VALUE""")," LLAVE GLOB P/VALV CAR ENT1/2 TV50BC SENC")</f>
        <v>LLAVE GLOB P/VALV CAR ENT1/2 TV50BC SENC</v>
      </c>
      <c r="AT796" s="71">
        <f>IFERROR(__xludf.DUMMYFUNCTION("""COMPUTED_VALUE"""),40.0)</f>
        <v>40</v>
      </c>
      <c r="AU796" s="71"/>
      <c r="AV796" s="71"/>
      <c r="AW796" s="71"/>
      <c r="AX796" s="71"/>
      <c r="AY796" s="71">
        <f>IFERROR(__xludf.DUMMYFUNCTION("""COMPUTED_VALUE"""),968.0)</f>
        <v>968</v>
      </c>
      <c r="AZ796" s="71">
        <f>IFERROR(__xludf.DUMMYFUNCTION("""COMPUTED_VALUE"""),1045.0)</f>
        <v>1045</v>
      </c>
      <c r="BA796" s="71">
        <f>IFERROR(__xludf.DUMMYFUNCTION("""COMPUTED_VALUE"""),1128.6000000000001)</f>
        <v>1128.6</v>
      </c>
      <c r="BB796" s="71">
        <f>IFERROR(__xludf.DUMMYFUNCTION("""COMPUTED_VALUE"""),1128.6000000000001)</f>
        <v>1128.6</v>
      </c>
      <c r="BC796" s="71">
        <f>IFERROR(__xludf.DUMMYFUNCTION("""COMPUTED_VALUE"""),1257.0)</f>
        <v>1257</v>
      </c>
      <c r="BD796" s="71">
        <f>IFERROR(__xludf.DUMMYFUNCTION("""COMPUTED_VALUE"""),1320.0)</f>
        <v>1320</v>
      </c>
      <c r="BE796" s="71">
        <f>IFERROR(__xludf.DUMMYFUNCTION("""COMPUTED_VALUE"""),211.20000000000002)</f>
        <v>211.2</v>
      </c>
      <c r="BF796" s="71">
        <f>IFERROR(__xludf.DUMMYFUNCTION("""COMPUTED_VALUE"""),1531.2)</f>
        <v>1531.2</v>
      </c>
      <c r="BG796" s="71">
        <f>IFERROR(__xludf.DUMMYFUNCTION("""COMPUTED_VALUE"""),0.050119331742243436)</f>
        <v>0.05011933174</v>
      </c>
      <c r="BH796" s="71">
        <f>IFERROR(__xludf.DUMMYFUNCTION("""COMPUTED_VALUE"""),1254.0)</f>
        <v>1254</v>
      </c>
      <c r="BI796" s="71">
        <f>IFERROR(__xludf.DUMMYFUNCTION("""COMPUTED_VALUE"""),200.64000000000001)</f>
        <v>200.64</v>
      </c>
      <c r="BJ796" s="71">
        <f>IFERROR(__xludf.DUMMYFUNCTION("""COMPUTED_VALUE"""),1454.64)</f>
        <v>1454.64</v>
      </c>
      <c r="BK796" s="71">
        <f>IFERROR(__xludf.DUMMYFUNCTION("""COMPUTED_VALUE"""),1188.0)</f>
        <v>1188</v>
      </c>
      <c r="BL796" s="71">
        <f>IFERROR(__xludf.DUMMYFUNCTION("""COMPUTED_VALUE"""),190.08)</f>
        <v>190.08</v>
      </c>
      <c r="BM796" s="71">
        <f>IFERROR(__xludf.DUMMYFUNCTION("""COMPUTED_VALUE"""),1378.08)</f>
        <v>1378.08</v>
      </c>
      <c r="BN796" s="71">
        <f>IFERROR(__xludf.DUMMYFUNCTION("""COMPUTED_VALUE"""),1122.0)</f>
        <v>1122</v>
      </c>
      <c r="BO796" s="71">
        <f>IFERROR(__xludf.DUMMYFUNCTION("""COMPUTED_VALUE"""),179.52)</f>
        <v>179.52</v>
      </c>
      <c r="BP796" s="71">
        <f>IFERROR(__xludf.DUMMYFUNCTION("""COMPUTED_VALUE"""),1301.52)</f>
        <v>1301.52</v>
      </c>
      <c r="BQ796" s="71">
        <f>IFERROR(__xludf.DUMMYFUNCTION("""COMPUTED_VALUE"""),1095.6)</f>
        <v>1095.6</v>
      </c>
      <c r="BR796" s="71">
        <f>IFERROR(__xludf.DUMMYFUNCTION("""COMPUTED_VALUE"""),175.296)</f>
        <v>175.296</v>
      </c>
      <c r="BS796" s="71">
        <f>IFERROR(__xludf.DUMMYFUNCTION("""COMPUTED_VALUE"""),1270.896)</f>
        <v>1270.896</v>
      </c>
      <c r="BT796" s="71">
        <f>IFERROR(__xludf.DUMMYFUNCTION("""COMPUTED_VALUE"""),1056.0)</f>
        <v>1056</v>
      </c>
      <c r="BU796" s="71">
        <f>IFERROR(__xludf.DUMMYFUNCTION("""COMPUTED_VALUE"""),168.96)</f>
        <v>168.96</v>
      </c>
      <c r="BV796" s="71">
        <f>IFERROR(__xludf.DUMMYFUNCTION("""COMPUTED_VALUE"""),1224.96)</f>
        <v>1224.96</v>
      </c>
    </row>
    <row r="797">
      <c r="A797" s="53"/>
      <c r="B797" s="53"/>
      <c r="C797" s="53" t="s">
        <v>53</v>
      </c>
      <c r="D797" s="53" t="s">
        <v>1925</v>
      </c>
      <c r="E797" s="54" t="s">
        <v>38</v>
      </c>
      <c r="F797" s="55" t="s">
        <v>42</v>
      </c>
      <c r="G797" s="55" t="s">
        <v>1926</v>
      </c>
      <c r="H797" s="55" t="s">
        <v>1927</v>
      </c>
      <c r="I797" s="54">
        <f t="shared" si="24"/>
        <v>40</v>
      </c>
      <c r="J797" s="56"/>
      <c r="K797" s="75"/>
      <c r="L797" s="76"/>
      <c r="M797" s="59"/>
      <c r="N797" s="60"/>
      <c r="O797" s="90"/>
      <c r="P797" s="62">
        <v>130.0</v>
      </c>
      <c r="Q797" s="63">
        <v>130.0</v>
      </c>
      <c r="R797" s="64">
        <v>179.0</v>
      </c>
      <c r="S797" s="111">
        <v>188.0</v>
      </c>
      <c r="T797" s="65">
        <f t="shared" si="2"/>
        <v>30.08</v>
      </c>
      <c r="U797" s="65">
        <f t="shared" si="3"/>
        <v>218.08</v>
      </c>
      <c r="V797" s="66">
        <f t="shared" si="4"/>
        <v>0.05027932961</v>
      </c>
      <c r="W797" s="67">
        <f t="shared" si="5"/>
        <v>178.6</v>
      </c>
      <c r="X797" s="67">
        <f t="shared" si="6"/>
        <v>28.576</v>
      </c>
      <c r="Y797" s="67">
        <f t="shared" si="7"/>
        <v>207.176</v>
      </c>
      <c r="Z797" s="67">
        <f t="shared" si="8"/>
        <v>169.2</v>
      </c>
      <c r="AA797" s="67">
        <f t="shared" si="9"/>
        <v>27.072</v>
      </c>
      <c r="AB797" s="67">
        <f t="shared" si="10"/>
        <v>196.272</v>
      </c>
      <c r="AC797" s="67">
        <f t="shared" si="11"/>
        <v>159.8</v>
      </c>
      <c r="AD797" s="67">
        <f t="shared" si="12"/>
        <v>25.568</v>
      </c>
      <c r="AE797" s="67">
        <f t="shared" si="13"/>
        <v>185.368</v>
      </c>
      <c r="AF797" s="67">
        <f t="shared" si="33"/>
        <v>156.04</v>
      </c>
      <c r="AG797" s="67">
        <f t="shared" si="15"/>
        <v>24.9664</v>
      </c>
      <c r="AH797" s="67">
        <f t="shared" si="16"/>
        <v>181.0064</v>
      </c>
      <c r="AI797" s="67">
        <f t="shared" si="17"/>
        <v>150.4</v>
      </c>
      <c r="AJ797" s="68">
        <f t="shared" si="31"/>
        <v>24.064</v>
      </c>
      <c r="AK797" s="68">
        <f t="shared" si="32"/>
        <v>174.464</v>
      </c>
      <c r="AL797" s="70">
        <f>IFERROR(__xludf.DUMMYFUNCTION("""COMPUTED_VALUE"""),1.0)</f>
        <v>1</v>
      </c>
      <c r="AM797" s="70"/>
      <c r="AN797" s="71" t="str">
        <f>IFERROR(__xludf.DUMMYFUNCTION("""COMPUTED_VALUE""")," C")</f>
        <v>C</v>
      </c>
      <c r="AO797" s="71" t="str">
        <f>IFERROR(__xludf.DUMMYFUNCTION("""COMPUTED_VALUE""")," ML04")</f>
        <v>ML04</v>
      </c>
      <c r="AP797" s="71" t="str">
        <f>IFERROR(__xludf.DUMMYFUNCTION("""COMPUTED_VALUE""")," PZA")</f>
        <v>PZA</v>
      </c>
      <c r="AQ797" s="71" t="str">
        <f>IFERROR(__xludf.DUMMYFUNCTION("""COMPUTED_VALUE""")," REF")</f>
        <v>REF</v>
      </c>
      <c r="AR797" s="71" t="str">
        <f>IFERROR(__xludf.DUMMYFUNCTION("""COMPUTED_VALUE""")," MALLA DE 14"" CON PASADOR (10 MT.)")</f>
        <v>MALLA DE 14" CON PASADOR (10 MT.)</v>
      </c>
      <c r="AS797" s="71" t="str">
        <f>IFERROR(__xludf.DUMMYFUNCTION("""COMPUTED_VALUE""")," MALLA DE 14 CON PASADOR (10 MT.)")</f>
        <v>MALLA DE 14 CON PASADOR (10 MT.)</v>
      </c>
      <c r="AT797" s="71">
        <f>IFERROR(__xludf.DUMMYFUNCTION("""COMPUTED_VALUE"""),32.0)</f>
        <v>32</v>
      </c>
      <c r="AU797" s="71"/>
      <c r="AV797" s="71"/>
      <c r="AW797" s="71"/>
      <c r="AX797" s="71"/>
      <c r="AY797" s="71">
        <f>IFERROR(__xludf.DUMMYFUNCTION("""COMPUTED_VALUE"""),1588.0)</f>
        <v>1588</v>
      </c>
      <c r="AZ797" s="71">
        <f>IFERROR(__xludf.DUMMYFUNCTION("""COMPUTED_VALUE"""),1715.0)</f>
        <v>1715</v>
      </c>
      <c r="BA797" s="71">
        <f>IFERROR(__xludf.DUMMYFUNCTION("""COMPUTED_VALUE"""),1852.2)</f>
        <v>1852.2</v>
      </c>
      <c r="BB797" s="71">
        <f>IFERROR(__xludf.DUMMYFUNCTION("""COMPUTED_VALUE"""),1852.2)</f>
        <v>1852.2</v>
      </c>
      <c r="BC797" s="71">
        <f>IFERROR(__xludf.DUMMYFUNCTION("""COMPUTED_VALUE"""),2063.0)</f>
        <v>2063</v>
      </c>
      <c r="BD797" s="71">
        <f>IFERROR(__xludf.DUMMYFUNCTION("""COMPUTED_VALUE"""),2166.0)</f>
        <v>2166</v>
      </c>
      <c r="BE797" s="71">
        <f>IFERROR(__xludf.DUMMYFUNCTION("""COMPUTED_VALUE"""),346.56)</f>
        <v>346.56</v>
      </c>
      <c r="BF797" s="71">
        <f>IFERROR(__xludf.DUMMYFUNCTION("""COMPUTED_VALUE"""),2512.56)</f>
        <v>2512.56</v>
      </c>
      <c r="BG797" s="71">
        <f>IFERROR(__xludf.DUMMYFUNCTION("""COMPUTED_VALUE"""),0.04992729035385361)</f>
        <v>0.04992729035</v>
      </c>
      <c r="BH797" s="71">
        <f>IFERROR(__xludf.DUMMYFUNCTION("""COMPUTED_VALUE"""),2057.7)</f>
        <v>2057.7</v>
      </c>
      <c r="BI797" s="71">
        <f>IFERROR(__xludf.DUMMYFUNCTION("""COMPUTED_VALUE"""),329.23199999999997)</f>
        <v>329.232</v>
      </c>
      <c r="BJ797" s="71">
        <f>IFERROR(__xludf.DUMMYFUNCTION("""COMPUTED_VALUE"""),2386.932)</f>
        <v>2386.932</v>
      </c>
      <c r="BK797" s="71">
        <f>IFERROR(__xludf.DUMMYFUNCTION("""COMPUTED_VALUE"""),1949.4)</f>
        <v>1949.4</v>
      </c>
      <c r="BL797" s="71">
        <f>IFERROR(__xludf.DUMMYFUNCTION("""COMPUTED_VALUE"""),311.904)</f>
        <v>311.904</v>
      </c>
      <c r="BM797" s="71">
        <f>IFERROR(__xludf.DUMMYFUNCTION("""COMPUTED_VALUE"""),2261.304)</f>
        <v>2261.304</v>
      </c>
      <c r="BN797" s="71">
        <f>IFERROR(__xludf.DUMMYFUNCTION("""COMPUTED_VALUE"""),1841.1)</f>
        <v>1841.1</v>
      </c>
      <c r="BO797" s="71">
        <f>IFERROR(__xludf.DUMMYFUNCTION("""COMPUTED_VALUE"""),294.57599999999996)</f>
        <v>294.576</v>
      </c>
      <c r="BP797" s="71">
        <f>IFERROR(__xludf.DUMMYFUNCTION("""COMPUTED_VALUE"""),2135.676)</f>
        <v>2135.676</v>
      </c>
      <c r="BQ797" s="71">
        <f>IFERROR(__xludf.DUMMYFUNCTION("""COMPUTED_VALUE"""),1797.78)</f>
        <v>1797.78</v>
      </c>
      <c r="BR797" s="71">
        <f>IFERROR(__xludf.DUMMYFUNCTION("""COMPUTED_VALUE"""),287.6448)</f>
        <v>287.6448</v>
      </c>
      <c r="BS797" s="71">
        <f>IFERROR(__xludf.DUMMYFUNCTION("""COMPUTED_VALUE"""),2085.4248)</f>
        <v>2085.4248</v>
      </c>
      <c r="BT797" s="71">
        <f>IFERROR(__xludf.DUMMYFUNCTION("""COMPUTED_VALUE"""),1732.8000000000002)</f>
        <v>1732.8</v>
      </c>
      <c r="BU797" s="71">
        <f>IFERROR(__xludf.DUMMYFUNCTION("""COMPUTED_VALUE"""),277.24800000000005)</f>
        <v>277.248</v>
      </c>
      <c r="BV797" s="71">
        <f>IFERROR(__xludf.DUMMYFUNCTION("""COMPUTED_VALUE"""),2010.0480000000002)</f>
        <v>2010.048</v>
      </c>
    </row>
    <row r="798">
      <c r="A798" s="53">
        <v>1.0</v>
      </c>
      <c r="B798" s="72"/>
      <c r="C798" s="73" t="s">
        <v>53</v>
      </c>
      <c r="D798" s="74" t="s">
        <v>1928</v>
      </c>
      <c r="E798" s="54" t="s">
        <v>38</v>
      </c>
      <c r="F798" s="54" t="s">
        <v>42</v>
      </c>
      <c r="G798" s="88" t="s">
        <v>1929</v>
      </c>
      <c r="H798" s="54" t="s">
        <v>1930</v>
      </c>
      <c r="I798" s="54">
        <f t="shared" si="24"/>
        <v>38</v>
      </c>
      <c r="J798" s="56"/>
      <c r="K798" s="75"/>
      <c r="L798" s="76"/>
      <c r="M798" s="59"/>
      <c r="N798" s="60">
        <v>55.0</v>
      </c>
      <c r="O798" s="61">
        <v>59.0</v>
      </c>
      <c r="P798" s="62">
        <v>63.720000000000006</v>
      </c>
      <c r="Q798" s="63">
        <v>63.720000000000006</v>
      </c>
      <c r="R798" s="64">
        <v>72.0</v>
      </c>
      <c r="S798" s="111">
        <v>76.0</v>
      </c>
      <c r="T798" s="65">
        <f t="shared" si="2"/>
        <v>12.16</v>
      </c>
      <c r="U798" s="65">
        <f t="shared" si="3"/>
        <v>88.16</v>
      </c>
      <c r="V798" s="66">
        <f t="shared" si="4"/>
        <v>0.05555555556</v>
      </c>
      <c r="W798" s="67">
        <f t="shared" si="5"/>
        <v>72.2</v>
      </c>
      <c r="X798" s="67">
        <f t="shared" si="6"/>
        <v>11.552</v>
      </c>
      <c r="Y798" s="67">
        <f t="shared" si="7"/>
        <v>83.752</v>
      </c>
      <c r="Z798" s="67">
        <f t="shared" si="8"/>
        <v>68.4</v>
      </c>
      <c r="AA798" s="67">
        <f t="shared" si="9"/>
        <v>10.944</v>
      </c>
      <c r="AB798" s="67">
        <f t="shared" si="10"/>
        <v>79.344</v>
      </c>
      <c r="AC798" s="67">
        <f t="shared" si="11"/>
        <v>64.6</v>
      </c>
      <c r="AD798" s="67">
        <f t="shared" si="12"/>
        <v>10.336</v>
      </c>
      <c r="AE798" s="67">
        <f t="shared" si="13"/>
        <v>74.936</v>
      </c>
      <c r="AF798" s="67">
        <f t="shared" si="33"/>
        <v>63.08</v>
      </c>
      <c r="AG798" s="67">
        <f t="shared" si="15"/>
        <v>10.0928</v>
      </c>
      <c r="AH798" s="67">
        <f t="shared" si="16"/>
        <v>73.1728</v>
      </c>
      <c r="AI798" s="67">
        <f t="shared" si="17"/>
        <v>60.8</v>
      </c>
      <c r="AJ798" s="68">
        <f t="shared" si="31"/>
        <v>9.728</v>
      </c>
      <c r="AK798" s="68">
        <f t="shared" si="32"/>
        <v>70.528</v>
      </c>
      <c r="AL798" s="70">
        <f>IFERROR(__xludf.DUMMYFUNCTION("""COMPUTED_VALUE"""),1.0)</f>
        <v>1</v>
      </c>
      <c r="AM798" s="70"/>
      <c r="AN798" s="71" t="str">
        <f>IFERROR(__xludf.DUMMYFUNCTION("""COMPUTED_VALUE""")," C")</f>
        <v>C</v>
      </c>
      <c r="AO798" s="71" t="str">
        <f>IFERROR(__xludf.DUMMYFUNCTION("""COMPUTED_VALUE""")," ML05")</f>
        <v>ML05</v>
      </c>
      <c r="AP798" s="71" t="str">
        <f>IFERROR(__xludf.DUMMYFUNCTION("""COMPUTED_VALUE""")," PZA")</f>
        <v>PZA</v>
      </c>
      <c r="AQ798" s="71" t="str">
        <f>IFERROR(__xludf.DUMMYFUNCTION("""COMPUTED_VALUE""")," REF")</f>
        <v>REF</v>
      </c>
      <c r="AR798" s="71" t="str">
        <f>IFERROR(__xludf.DUMMYFUNCTION("""COMPUTED_VALUE""")," MALLA DE 15"" CON PASADOR (10 MT.)")</f>
        <v>MALLA DE 15" CON PASADOR (10 MT.)</v>
      </c>
      <c r="AS798" s="71" t="str">
        <f>IFERROR(__xludf.DUMMYFUNCTION("""COMPUTED_VALUE""")," MALLA DE 15 CON PASADOR (10 MT.)")</f>
        <v>MALLA DE 15 CON PASADOR (10 MT.)</v>
      </c>
      <c r="AT798" s="71">
        <f>IFERROR(__xludf.DUMMYFUNCTION("""COMPUTED_VALUE"""),32.0)</f>
        <v>32</v>
      </c>
      <c r="AU798" s="71"/>
      <c r="AV798" s="71"/>
      <c r="AW798" s="71"/>
      <c r="AX798" s="71"/>
      <c r="AY798" s="71">
        <f>IFERROR(__xludf.DUMMYFUNCTION("""COMPUTED_VALUE"""),1701.0)</f>
        <v>1701</v>
      </c>
      <c r="AZ798" s="71">
        <f>IFERROR(__xludf.DUMMYFUNCTION("""COMPUTED_VALUE"""),1837.0)</f>
        <v>1837</v>
      </c>
      <c r="BA798" s="71">
        <f>IFERROR(__xludf.DUMMYFUNCTION("""COMPUTED_VALUE"""),1983.96)</f>
        <v>1983.96</v>
      </c>
      <c r="BB798" s="71">
        <f>IFERROR(__xludf.DUMMYFUNCTION("""COMPUTED_VALUE"""),1983.96)</f>
        <v>1983.96</v>
      </c>
      <c r="BC798" s="71">
        <f>IFERROR(__xludf.DUMMYFUNCTION("""COMPUTED_VALUE"""),2209.0)</f>
        <v>2209</v>
      </c>
      <c r="BD798" s="71">
        <f>IFERROR(__xludf.DUMMYFUNCTION("""COMPUTED_VALUE"""),2319.0)</f>
        <v>2319</v>
      </c>
      <c r="BE798" s="71">
        <f>IFERROR(__xludf.DUMMYFUNCTION("""COMPUTED_VALUE"""),371.04)</f>
        <v>371.04</v>
      </c>
      <c r="BF798" s="71">
        <f>IFERROR(__xludf.DUMMYFUNCTION("""COMPUTED_VALUE"""),2690.04)</f>
        <v>2690.04</v>
      </c>
      <c r="BG798" s="71">
        <f>IFERROR(__xludf.DUMMYFUNCTION("""COMPUTED_VALUE"""),0.04979628791308284)</f>
        <v>0.04979628791</v>
      </c>
      <c r="BH798" s="71">
        <f>IFERROR(__xludf.DUMMYFUNCTION("""COMPUTED_VALUE"""),2203.0499999999997)</f>
        <v>2203.05</v>
      </c>
      <c r="BI798" s="71">
        <f>IFERROR(__xludf.DUMMYFUNCTION("""COMPUTED_VALUE"""),352.48799999999994)</f>
        <v>352.488</v>
      </c>
      <c r="BJ798" s="71">
        <f>IFERROR(__xludf.DUMMYFUNCTION("""COMPUTED_VALUE"""),2555.5379999999996)</f>
        <v>2555.538</v>
      </c>
      <c r="BK798" s="71">
        <f>IFERROR(__xludf.DUMMYFUNCTION("""COMPUTED_VALUE"""),2087.1)</f>
        <v>2087.1</v>
      </c>
      <c r="BL798" s="71">
        <f>IFERROR(__xludf.DUMMYFUNCTION("""COMPUTED_VALUE"""),333.936)</f>
        <v>333.936</v>
      </c>
      <c r="BM798" s="71">
        <f>IFERROR(__xludf.DUMMYFUNCTION("""COMPUTED_VALUE"""),2421.036)</f>
        <v>2421.036</v>
      </c>
      <c r="BN798" s="71">
        <f>IFERROR(__xludf.DUMMYFUNCTION("""COMPUTED_VALUE"""),1971.1499999999999)</f>
        <v>1971.15</v>
      </c>
      <c r="BO798" s="71">
        <f>IFERROR(__xludf.DUMMYFUNCTION("""COMPUTED_VALUE"""),315.38399999999996)</f>
        <v>315.384</v>
      </c>
      <c r="BP798" s="71">
        <f>IFERROR(__xludf.DUMMYFUNCTION("""COMPUTED_VALUE"""),2286.5339999999997)</f>
        <v>2286.534</v>
      </c>
      <c r="BQ798" s="71">
        <f>IFERROR(__xludf.DUMMYFUNCTION("""COMPUTED_VALUE"""),1924.77)</f>
        <v>1924.77</v>
      </c>
      <c r="BR798" s="71">
        <f>IFERROR(__xludf.DUMMYFUNCTION("""COMPUTED_VALUE"""),307.96320000000003)</f>
        <v>307.9632</v>
      </c>
      <c r="BS798" s="71">
        <f>IFERROR(__xludf.DUMMYFUNCTION("""COMPUTED_VALUE"""),2232.7332)</f>
        <v>2232.7332</v>
      </c>
      <c r="BT798" s="71">
        <f>IFERROR(__xludf.DUMMYFUNCTION("""COMPUTED_VALUE"""),1855.2)</f>
        <v>1855.2</v>
      </c>
      <c r="BU798" s="71">
        <f>IFERROR(__xludf.DUMMYFUNCTION("""COMPUTED_VALUE"""),296.832)</f>
        <v>296.832</v>
      </c>
      <c r="BV798" s="71">
        <f>IFERROR(__xludf.DUMMYFUNCTION("""COMPUTED_VALUE"""),2152.032)</f>
        <v>2152.032</v>
      </c>
    </row>
    <row r="799">
      <c r="A799" s="53"/>
      <c r="B799" s="53"/>
      <c r="C799" s="73" t="s">
        <v>53</v>
      </c>
      <c r="D799" s="53" t="s">
        <v>1931</v>
      </c>
      <c r="E799" s="54" t="s">
        <v>38</v>
      </c>
      <c r="F799" s="55" t="s">
        <v>309</v>
      </c>
      <c r="G799" s="54" t="s">
        <v>1929</v>
      </c>
      <c r="H799" s="55"/>
      <c r="I799" s="54">
        <f t="shared" si="24"/>
        <v>0</v>
      </c>
      <c r="J799" s="56"/>
      <c r="K799" s="57"/>
      <c r="L799" s="76"/>
      <c r="M799" s="59"/>
      <c r="N799" s="60"/>
      <c r="O799" s="90">
        <v>59.0</v>
      </c>
      <c r="P799" s="62">
        <v>63.720000000000006</v>
      </c>
      <c r="Q799" s="63">
        <v>63.720000000000006</v>
      </c>
      <c r="R799" s="64">
        <v>72.0</v>
      </c>
      <c r="S799" s="111">
        <v>76.0</v>
      </c>
      <c r="T799" s="65">
        <f t="shared" si="2"/>
        <v>12.16</v>
      </c>
      <c r="U799" s="65">
        <f t="shared" si="3"/>
        <v>88.16</v>
      </c>
      <c r="V799" s="66">
        <f t="shared" si="4"/>
        <v>0.05555555556</v>
      </c>
      <c r="W799" s="67">
        <f t="shared" si="5"/>
        <v>72.2</v>
      </c>
      <c r="X799" s="67">
        <f t="shared" si="6"/>
        <v>11.552</v>
      </c>
      <c r="Y799" s="67">
        <f t="shared" si="7"/>
        <v>83.752</v>
      </c>
      <c r="Z799" s="67">
        <f t="shared" si="8"/>
        <v>68.4</v>
      </c>
      <c r="AA799" s="67">
        <f t="shared" si="9"/>
        <v>10.944</v>
      </c>
      <c r="AB799" s="67">
        <f t="shared" si="10"/>
        <v>79.344</v>
      </c>
      <c r="AC799" s="67">
        <f t="shared" si="11"/>
        <v>64.6</v>
      </c>
      <c r="AD799" s="67">
        <f t="shared" si="12"/>
        <v>10.336</v>
      </c>
      <c r="AE799" s="67">
        <f t="shared" si="13"/>
        <v>74.936</v>
      </c>
      <c r="AF799" s="67">
        <f t="shared" si="33"/>
        <v>63.08</v>
      </c>
      <c r="AG799" s="67">
        <f t="shared" si="15"/>
        <v>10.0928</v>
      </c>
      <c r="AH799" s="67">
        <f t="shared" si="16"/>
        <v>73.1728</v>
      </c>
      <c r="AI799" s="67">
        <f t="shared" si="17"/>
        <v>60.8</v>
      </c>
      <c r="AJ799" s="68">
        <f t="shared" si="31"/>
        <v>9.728</v>
      </c>
      <c r="AK799" s="68">
        <f t="shared" si="32"/>
        <v>70.528</v>
      </c>
      <c r="AL799" s="70">
        <f>IFERROR(__xludf.DUMMYFUNCTION("""COMPUTED_VALUE"""),1.0)</f>
        <v>1</v>
      </c>
      <c r="AM799" s="70"/>
      <c r="AN799" s="71" t="str">
        <f>IFERROR(__xludf.DUMMYFUNCTION("""COMPUTED_VALUE""")," C")</f>
        <v>C</v>
      </c>
      <c r="AO799" s="71" t="str">
        <f>IFERROR(__xludf.DUMMYFUNCTION("""COMPUTED_VALUE""")," ML06")</f>
        <v>ML06</v>
      </c>
      <c r="AP799" s="71" t="str">
        <f>IFERROR(__xludf.DUMMYFUNCTION("""COMPUTED_VALUE""")," PZA")</f>
        <v>PZA</v>
      </c>
      <c r="AQ799" s="71" t="str">
        <f>IFERROR(__xludf.DUMMYFUNCTION("""COMPUTED_VALUE""")," REF")</f>
        <v>REF</v>
      </c>
      <c r="AR799" s="71" t="str">
        <f>IFERROR(__xludf.DUMMYFUNCTION("""COMPUTED_VALUE""")," MALLA DE 18"" PARA ENFRIADOR CON PASADOR GALVANIZADA (10 MT.)")</f>
        <v>MALLA DE 18" PARA ENFRIADOR CON PASADOR GALVANIZADA (10 MT.)</v>
      </c>
      <c r="AS799" s="71" t="str">
        <f>IFERROR(__xludf.DUMMYFUNCTION("""COMPUTED_VALUE""")," MALLA 18'' P/ENFR C/PASADOR GALV 10 M")</f>
        <v>MALLA 18'' P/ENFR C/PASADOR GALV 10 M</v>
      </c>
      <c r="AT799" s="71">
        <f>IFERROR(__xludf.DUMMYFUNCTION("""COMPUTED_VALUE"""),37.0)</f>
        <v>37</v>
      </c>
      <c r="AU799" s="71"/>
      <c r="AV799" s="71"/>
      <c r="AW799" s="71"/>
      <c r="AX799" s="71"/>
      <c r="AY799" s="71">
        <f>IFERROR(__xludf.DUMMYFUNCTION("""COMPUTED_VALUE"""),2042.0)</f>
        <v>2042</v>
      </c>
      <c r="AZ799" s="71">
        <f>IFERROR(__xludf.DUMMYFUNCTION("""COMPUTED_VALUE"""),2205.0)</f>
        <v>2205</v>
      </c>
      <c r="BA799" s="71">
        <f>IFERROR(__xludf.DUMMYFUNCTION("""COMPUTED_VALUE"""),2381.4)</f>
        <v>2381.4</v>
      </c>
      <c r="BB799" s="71">
        <f>IFERROR(__xludf.DUMMYFUNCTION("""COMPUTED_VALUE"""),2381.4)</f>
        <v>2381.4</v>
      </c>
      <c r="BC799" s="71">
        <f>IFERROR(__xludf.DUMMYFUNCTION("""COMPUTED_VALUE"""),2652.0)</f>
        <v>2652</v>
      </c>
      <c r="BD799" s="71">
        <f>IFERROR(__xludf.DUMMYFUNCTION("""COMPUTED_VALUE"""),2785.0)</f>
        <v>2785</v>
      </c>
      <c r="BE799" s="71">
        <f>IFERROR(__xludf.DUMMYFUNCTION("""COMPUTED_VALUE"""),445.6)</f>
        <v>445.6</v>
      </c>
      <c r="BF799" s="71">
        <f>IFERROR(__xludf.DUMMYFUNCTION("""COMPUTED_VALUE"""),3230.6)</f>
        <v>3230.6</v>
      </c>
      <c r="BG799" s="71">
        <f>IFERROR(__xludf.DUMMYFUNCTION("""COMPUTED_VALUE"""),0.05015082956259427)</f>
        <v>0.05015082956</v>
      </c>
      <c r="BH799" s="71">
        <f>IFERROR(__xludf.DUMMYFUNCTION("""COMPUTED_VALUE"""),2645.75)</f>
        <v>2645.75</v>
      </c>
      <c r="BI799" s="71">
        <f>IFERROR(__xludf.DUMMYFUNCTION("""COMPUTED_VALUE"""),423.32)</f>
        <v>423.32</v>
      </c>
      <c r="BJ799" s="71">
        <f>IFERROR(__xludf.DUMMYFUNCTION("""COMPUTED_VALUE"""),3069.07)</f>
        <v>3069.07</v>
      </c>
      <c r="BK799" s="71">
        <f>IFERROR(__xludf.DUMMYFUNCTION("""COMPUTED_VALUE"""),2506.5)</f>
        <v>2506.5</v>
      </c>
      <c r="BL799" s="71">
        <f>IFERROR(__xludf.DUMMYFUNCTION("""COMPUTED_VALUE"""),401.04)</f>
        <v>401.04</v>
      </c>
      <c r="BM799" s="71">
        <f>IFERROR(__xludf.DUMMYFUNCTION("""COMPUTED_VALUE"""),2907.54)</f>
        <v>2907.54</v>
      </c>
      <c r="BN799" s="71">
        <f>IFERROR(__xludf.DUMMYFUNCTION("""COMPUTED_VALUE"""),2367.25)</f>
        <v>2367.25</v>
      </c>
      <c r="BO799" s="71">
        <f>IFERROR(__xludf.DUMMYFUNCTION("""COMPUTED_VALUE"""),378.76)</f>
        <v>378.76</v>
      </c>
      <c r="BP799" s="71">
        <f>IFERROR(__xludf.DUMMYFUNCTION("""COMPUTED_VALUE"""),2746.01)</f>
        <v>2746.01</v>
      </c>
      <c r="BQ799" s="71">
        <f>IFERROR(__xludf.DUMMYFUNCTION("""COMPUTED_VALUE"""),2311.5499999999997)</f>
        <v>2311.55</v>
      </c>
      <c r="BR799" s="71">
        <f>IFERROR(__xludf.DUMMYFUNCTION("""COMPUTED_VALUE"""),369.84799999999996)</f>
        <v>369.848</v>
      </c>
      <c r="BS799" s="71">
        <f>IFERROR(__xludf.DUMMYFUNCTION("""COMPUTED_VALUE"""),2681.3979999999997)</f>
        <v>2681.398</v>
      </c>
      <c r="BT799" s="71">
        <f>IFERROR(__xludf.DUMMYFUNCTION("""COMPUTED_VALUE"""),2228.0)</f>
        <v>2228</v>
      </c>
      <c r="BU799" s="71">
        <f>IFERROR(__xludf.DUMMYFUNCTION("""COMPUTED_VALUE"""),356.48)</f>
        <v>356.48</v>
      </c>
      <c r="BV799" s="71">
        <f>IFERROR(__xludf.DUMMYFUNCTION("""COMPUTED_VALUE"""),2584.48)</f>
        <v>2584.48</v>
      </c>
    </row>
    <row r="800">
      <c r="A800" s="53">
        <v>1.0</v>
      </c>
      <c r="B800" s="72"/>
      <c r="C800" s="73" t="s">
        <v>53</v>
      </c>
      <c r="D800" s="74" t="s">
        <v>1932</v>
      </c>
      <c r="E800" s="54" t="s">
        <v>38</v>
      </c>
      <c r="F800" s="54" t="s">
        <v>42</v>
      </c>
      <c r="G800" s="88" t="s">
        <v>1933</v>
      </c>
      <c r="H800" s="54" t="s">
        <v>1934</v>
      </c>
      <c r="I800" s="54">
        <f t="shared" si="24"/>
        <v>36</v>
      </c>
      <c r="J800" s="56"/>
      <c r="K800" s="75"/>
      <c r="L800" s="76"/>
      <c r="M800" s="59"/>
      <c r="N800" s="60">
        <v>170.0</v>
      </c>
      <c r="O800" s="61">
        <v>183.0</v>
      </c>
      <c r="P800" s="62">
        <v>197.64000000000001</v>
      </c>
      <c r="Q800" s="63">
        <v>197.64000000000001</v>
      </c>
      <c r="R800" s="64">
        <v>221.0</v>
      </c>
      <c r="S800" s="111">
        <v>232.0</v>
      </c>
      <c r="T800" s="65">
        <f t="shared" si="2"/>
        <v>37.12</v>
      </c>
      <c r="U800" s="65">
        <f t="shared" si="3"/>
        <v>269.12</v>
      </c>
      <c r="V800" s="66">
        <f t="shared" si="4"/>
        <v>0.04977375566</v>
      </c>
      <c r="W800" s="67">
        <f t="shared" si="5"/>
        <v>220.4</v>
      </c>
      <c r="X800" s="67">
        <f t="shared" si="6"/>
        <v>35.264</v>
      </c>
      <c r="Y800" s="67">
        <f t="shared" si="7"/>
        <v>255.664</v>
      </c>
      <c r="Z800" s="67">
        <f t="shared" si="8"/>
        <v>208.8</v>
      </c>
      <c r="AA800" s="67">
        <f t="shared" si="9"/>
        <v>33.408</v>
      </c>
      <c r="AB800" s="67">
        <f t="shared" si="10"/>
        <v>242.208</v>
      </c>
      <c r="AC800" s="67">
        <f t="shared" si="11"/>
        <v>197.2</v>
      </c>
      <c r="AD800" s="67">
        <f t="shared" si="12"/>
        <v>31.552</v>
      </c>
      <c r="AE800" s="67">
        <f t="shared" si="13"/>
        <v>228.752</v>
      </c>
      <c r="AF800" s="67">
        <f t="shared" si="33"/>
        <v>192.56</v>
      </c>
      <c r="AG800" s="67">
        <f t="shared" si="15"/>
        <v>30.8096</v>
      </c>
      <c r="AH800" s="67">
        <f t="shared" si="16"/>
        <v>223.3696</v>
      </c>
      <c r="AI800" s="67">
        <f t="shared" si="17"/>
        <v>185.6</v>
      </c>
      <c r="AJ800" s="68">
        <f t="shared" si="31"/>
        <v>29.696</v>
      </c>
      <c r="AK800" s="68">
        <f t="shared" si="32"/>
        <v>215.296</v>
      </c>
      <c r="AL800" s="70">
        <f>IFERROR(__xludf.DUMMYFUNCTION("""COMPUTED_VALUE"""),1.0)</f>
        <v>1</v>
      </c>
      <c r="AM800" s="70"/>
      <c r="AN800" s="71" t="str">
        <f>IFERROR(__xludf.DUMMYFUNCTION("""COMPUTED_VALUE""")," C")</f>
        <v>C</v>
      </c>
      <c r="AO800" s="71" t="str">
        <f>IFERROR(__xludf.DUMMYFUNCTION("""COMPUTED_VALUE""")," MLEG18P")</f>
        <v>MLEG18P</v>
      </c>
      <c r="AP800" s="71" t="str">
        <f>IFERROR(__xludf.DUMMYFUNCTION("""COMPUTED_VALUE""")," MTR")</f>
        <v>MTR</v>
      </c>
      <c r="AQ800" s="71" t="str">
        <f>IFERROR(__xludf.DUMMYFUNCTION("""COMPUTED_VALUE""")," REF")</f>
        <v>REF</v>
      </c>
      <c r="AR800" s="71" t="str">
        <f>IFERROR(__xludf.DUMMYFUNCTION("""COMPUTED_VALUE""")," MALLA ENFRIADOR GALVANIZADA 18 PULGADAS X METRO")</f>
        <v>MALLA ENFRIADOR GALVANIZADA 18 PULGADAS X METRO</v>
      </c>
      <c r="AS800" s="71" t="str">
        <f>IFERROR(__xludf.DUMMYFUNCTION("""COMPUTED_VALUE""")," MALLA ENFR GALV 18 PULGADAS X METRO")</f>
        <v>MALLA ENFR GALV 18 PULGADAS X METRO</v>
      </c>
      <c r="AT800" s="71">
        <f>IFERROR(__xludf.DUMMYFUNCTION("""COMPUTED_VALUE"""),35.0)</f>
        <v>35</v>
      </c>
      <c r="AU800" s="71"/>
      <c r="AV800" s="71"/>
      <c r="AW800" s="71"/>
      <c r="AX800" s="71"/>
      <c r="AY800" s="71"/>
      <c r="AZ800" s="71"/>
      <c r="BA800" s="71"/>
      <c r="BB800" s="71"/>
      <c r="BC800" s="71">
        <f>IFERROR(__xludf.DUMMYFUNCTION("""COMPUTED_VALUE"""),152.0)</f>
        <v>152</v>
      </c>
      <c r="BD800" s="71">
        <f>IFERROR(__xludf.DUMMYFUNCTION("""COMPUTED_VALUE"""),160.0)</f>
        <v>160</v>
      </c>
      <c r="BE800" s="71">
        <f>IFERROR(__xludf.DUMMYFUNCTION("""COMPUTED_VALUE"""),25.6)</f>
        <v>25.6</v>
      </c>
      <c r="BF800" s="71">
        <f>IFERROR(__xludf.DUMMYFUNCTION("""COMPUTED_VALUE"""),185.6)</f>
        <v>185.6</v>
      </c>
      <c r="BG800" s="71">
        <f>IFERROR(__xludf.DUMMYFUNCTION("""COMPUTED_VALUE"""),0.05263157894736842)</f>
        <v>0.05263157895</v>
      </c>
      <c r="BH800" s="71">
        <f>IFERROR(__xludf.DUMMYFUNCTION("""COMPUTED_VALUE"""),152.0)</f>
        <v>152</v>
      </c>
      <c r="BI800" s="71">
        <f>IFERROR(__xludf.DUMMYFUNCTION("""COMPUTED_VALUE"""),24.32)</f>
        <v>24.32</v>
      </c>
      <c r="BJ800" s="71">
        <f>IFERROR(__xludf.DUMMYFUNCTION("""COMPUTED_VALUE"""),176.32)</f>
        <v>176.32</v>
      </c>
      <c r="BK800" s="71">
        <f>IFERROR(__xludf.DUMMYFUNCTION("""COMPUTED_VALUE"""),144.0)</f>
        <v>144</v>
      </c>
      <c r="BL800" s="71">
        <f>IFERROR(__xludf.DUMMYFUNCTION("""COMPUTED_VALUE"""),23.04)</f>
        <v>23.04</v>
      </c>
      <c r="BM800" s="71">
        <f>IFERROR(__xludf.DUMMYFUNCTION("""COMPUTED_VALUE"""),167.04)</f>
        <v>167.04</v>
      </c>
      <c r="BN800" s="71">
        <f>IFERROR(__xludf.DUMMYFUNCTION("""COMPUTED_VALUE"""),136.0)</f>
        <v>136</v>
      </c>
      <c r="BO800" s="71">
        <f>IFERROR(__xludf.DUMMYFUNCTION("""COMPUTED_VALUE"""),21.76)</f>
        <v>21.76</v>
      </c>
      <c r="BP800" s="71">
        <f>IFERROR(__xludf.DUMMYFUNCTION("""COMPUTED_VALUE"""),157.76)</f>
        <v>157.76</v>
      </c>
      <c r="BQ800" s="71">
        <f>IFERROR(__xludf.DUMMYFUNCTION("""COMPUTED_VALUE"""),132.79999999999998)</f>
        <v>132.8</v>
      </c>
      <c r="BR800" s="71">
        <f>IFERROR(__xludf.DUMMYFUNCTION("""COMPUTED_VALUE"""),21.247999999999998)</f>
        <v>21.248</v>
      </c>
      <c r="BS800" s="71">
        <f>IFERROR(__xludf.DUMMYFUNCTION("""COMPUTED_VALUE"""),154.04799999999997)</f>
        <v>154.048</v>
      </c>
      <c r="BT800" s="71">
        <f>IFERROR(__xludf.DUMMYFUNCTION("""COMPUTED_VALUE"""),128.0)</f>
        <v>128</v>
      </c>
      <c r="BU800" s="71"/>
      <c r="BV800" s="71"/>
    </row>
    <row r="801">
      <c r="A801" s="53">
        <v>1.0</v>
      </c>
      <c r="B801" s="72"/>
      <c r="C801" s="73" t="s">
        <v>53</v>
      </c>
      <c r="D801" s="74" t="s">
        <v>1935</v>
      </c>
      <c r="E801" s="54" t="s">
        <v>38</v>
      </c>
      <c r="F801" s="54" t="s">
        <v>42</v>
      </c>
      <c r="G801" s="88" t="s">
        <v>1936</v>
      </c>
      <c r="H801" s="54" t="s">
        <v>1937</v>
      </c>
      <c r="I801" s="54">
        <f t="shared" si="24"/>
        <v>40</v>
      </c>
      <c r="J801" s="56"/>
      <c r="K801" s="75"/>
      <c r="L801" s="76"/>
      <c r="M801" s="59"/>
      <c r="N801" s="60">
        <v>166.0</v>
      </c>
      <c r="O801" s="61">
        <v>179.0</v>
      </c>
      <c r="P801" s="62">
        <v>193.32000000000002</v>
      </c>
      <c r="Q801" s="63">
        <v>193.32000000000002</v>
      </c>
      <c r="R801" s="64">
        <v>216.0</v>
      </c>
      <c r="S801" s="111">
        <v>227.0</v>
      </c>
      <c r="T801" s="65">
        <f t="shared" si="2"/>
        <v>36.32</v>
      </c>
      <c r="U801" s="65">
        <f t="shared" si="3"/>
        <v>263.32</v>
      </c>
      <c r="V801" s="66">
        <f t="shared" si="4"/>
        <v>0.05092592593</v>
      </c>
      <c r="W801" s="67">
        <f t="shared" si="5"/>
        <v>215.65</v>
      </c>
      <c r="X801" s="67">
        <f t="shared" si="6"/>
        <v>34.504</v>
      </c>
      <c r="Y801" s="67">
        <f t="shared" si="7"/>
        <v>250.154</v>
      </c>
      <c r="Z801" s="67">
        <f t="shared" si="8"/>
        <v>204.3</v>
      </c>
      <c r="AA801" s="67">
        <f t="shared" si="9"/>
        <v>32.688</v>
      </c>
      <c r="AB801" s="67">
        <f t="shared" si="10"/>
        <v>236.988</v>
      </c>
      <c r="AC801" s="67">
        <f t="shared" si="11"/>
        <v>192.95</v>
      </c>
      <c r="AD801" s="67">
        <f t="shared" si="12"/>
        <v>30.872</v>
      </c>
      <c r="AE801" s="67">
        <f t="shared" si="13"/>
        <v>223.822</v>
      </c>
      <c r="AF801" s="67">
        <f t="shared" si="33"/>
        <v>188.41</v>
      </c>
      <c r="AG801" s="67">
        <f t="shared" si="15"/>
        <v>30.1456</v>
      </c>
      <c r="AH801" s="67">
        <f t="shared" si="16"/>
        <v>218.5556</v>
      </c>
      <c r="AI801" s="67">
        <f t="shared" si="17"/>
        <v>181.6</v>
      </c>
      <c r="AJ801" s="68">
        <f t="shared" si="31"/>
        <v>29.056</v>
      </c>
      <c r="AK801" s="68">
        <f t="shared" si="32"/>
        <v>210.656</v>
      </c>
      <c r="AL801" s="70">
        <f>IFERROR(__xludf.DUMMYFUNCTION("""COMPUTED_VALUE"""),1.0)</f>
        <v>1</v>
      </c>
      <c r="AM801" s="70"/>
      <c r="AN801" s="71" t="str">
        <f>IFERROR(__xludf.DUMMYFUNCTION("""COMPUTED_VALUE""")," C")</f>
        <v>C</v>
      </c>
      <c r="AO801" s="71" t="str">
        <f>IFERROR(__xludf.DUMMYFUNCTION("""COMPUTED_VALUE""")," MLFG22P")</f>
        <v>MLFG22P</v>
      </c>
      <c r="AP801" s="71" t="str">
        <f>IFERROR(__xludf.DUMMYFUNCTION("""COMPUTED_VALUE""")," MTR")</f>
        <v>MTR</v>
      </c>
      <c r="AQ801" s="71" t="str">
        <f>IFERROR(__xludf.DUMMYFUNCTION("""COMPUTED_VALUE""")," REF")</f>
        <v>REF</v>
      </c>
      <c r="AR801" s="71" t="str">
        <f>IFERROR(__xludf.DUMMYFUNCTION("""COMPUTED_VALUE""")," MALLA FINA GALVANIZADA 22 PULGADAS X METRO")</f>
        <v>MALLA FINA GALVANIZADA 22 PULGADAS X METRO</v>
      </c>
      <c r="AS801" s="71" t="str">
        <f>IFERROR(__xludf.DUMMYFUNCTION("""COMPUTED_VALUE""")," MALLA FINA GALV 22 PULGADAS X METRO")</f>
        <v>MALLA FINA GALV 22 PULGADAS X METRO</v>
      </c>
      <c r="AT801" s="71">
        <f>IFERROR(__xludf.DUMMYFUNCTION("""COMPUTED_VALUE"""),35.0)</f>
        <v>35</v>
      </c>
      <c r="AU801" s="71"/>
      <c r="AV801" s="71"/>
      <c r="AW801" s="71"/>
      <c r="AX801" s="71"/>
      <c r="AY801" s="71"/>
      <c r="AZ801" s="71"/>
      <c r="BA801" s="71"/>
      <c r="BB801" s="71"/>
      <c r="BC801" s="71">
        <f>IFERROR(__xludf.DUMMYFUNCTION("""COMPUTED_VALUE"""),551.0)</f>
        <v>551</v>
      </c>
      <c r="BD801" s="71">
        <f>IFERROR(__xludf.DUMMYFUNCTION("""COMPUTED_VALUE"""),579.0)</f>
        <v>579</v>
      </c>
      <c r="BE801" s="71">
        <f>IFERROR(__xludf.DUMMYFUNCTION("""COMPUTED_VALUE"""),92.64)</f>
        <v>92.64</v>
      </c>
      <c r="BF801" s="71">
        <f>IFERROR(__xludf.DUMMYFUNCTION("""COMPUTED_VALUE"""),671.64)</f>
        <v>671.64</v>
      </c>
      <c r="BG801" s="71">
        <f>IFERROR(__xludf.DUMMYFUNCTION("""COMPUTED_VALUE"""),0.050816696914700546)</f>
        <v>0.05081669691</v>
      </c>
      <c r="BH801" s="71">
        <f>IFERROR(__xludf.DUMMYFUNCTION("""COMPUTED_VALUE"""),550.05)</f>
        <v>550.05</v>
      </c>
      <c r="BI801" s="71">
        <f>IFERROR(__xludf.DUMMYFUNCTION("""COMPUTED_VALUE"""),88.008)</f>
        <v>88.008</v>
      </c>
      <c r="BJ801" s="71">
        <f>IFERROR(__xludf.DUMMYFUNCTION("""COMPUTED_VALUE"""),638.058)</f>
        <v>638.058</v>
      </c>
      <c r="BK801" s="71">
        <f>IFERROR(__xludf.DUMMYFUNCTION("""COMPUTED_VALUE"""),521.1)</f>
        <v>521.1</v>
      </c>
      <c r="BL801" s="71">
        <f>IFERROR(__xludf.DUMMYFUNCTION("""COMPUTED_VALUE"""),83.376)</f>
        <v>83.376</v>
      </c>
      <c r="BM801" s="71">
        <f>IFERROR(__xludf.DUMMYFUNCTION("""COMPUTED_VALUE"""),604.476)</f>
        <v>604.476</v>
      </c>
      <c r="BN801" s="71">
        <f>IFERROR(__xludf.DUMMYFUNCTION("""COMPUTED_VALUE"""),492.15)</f>
        <v>492.15</v>
      </c>
      <c r="BO801" s="71">
        <f>IFERROR(__xludf.DUMMYFUNCTION("""COMPUTED_VALUE"""),78.744)</f>
        <v>78.744</v>
      </c>
      <c r="BP801" s="71">
        <f>IFERROR(__xludf.DUMMYFUNCTION("""COMPUTED_VALUE"""),570.894)</f>
        <v>570.894</v>
      </c>
      <c r="BQ801" s="71">
        <f>IFERROR(__xludf.DUMMYFUNCTION("""COMPUTED_VALUE"""),480.57)</f>
        <v>480.57</v>
      </c>
      <c r="BR801" s="71">
        <f>IFERROR(__xludf.DUMMYFUNCTION("""COMPUTED_VALUE"""),76.8912)</f>
        <v>76.8912</v>
      </c>
      <c r="BS801" s="71">
        <f>IFERROR(__xludf.DUMMYFUNCTION("""COMPUTED_VALUE"""),557.4612)</f>
        <v>557.4612</v>
      </c>
      <c r="BT801" s="71">
        <f>IFERROR(__xludf.DUMMYFUNCTION("""COMPUTED_VALUE"""),463.20000000000005)</f>
        <v>463.2</v>
      </c>
      <c r="BU801" s="71"/>
      <c r="BV801" s="71"/>
    </row>
    <row r="802">
      <c r="A802" s="53"/>
      <c r="B802" s="53"/>
      <c r="C802" s="73" t="s">
        <v>53</v>
      </c>
      <c r="D802" s="53" t="s">
        <v>1938</v>
      </c>
      <c r="E802" s="54" t="s">
        <v>38</v>
      </c>
      <c r="F802" s="54" t="s">
        <v>42</v>
      </c>
      <c r="G802" s="55" t="s">
        <v>1939</v>
      </c>
      <c r="H802" s="54" t="s">
        <v>1940</v>
      </c>
      <c r="I802" s="54">
        <f t="shared" si="24"/>
        <v>40</v>
      </c>
      <c r="J802" s="56"/>
      <c r="K802" s="57"/>
      <c r="L802" s="76"/>
      <c r="M802" s="59"/>
      <c r="N802" s="60">
        <v>102.9</v>
      </c>
      <c r="O802" s="61">
        <v>111.0</v>
      </c>
      <c r="P802" s="62">
        <v>119.88000000000001</v>
      </c>
      <c r="Q802" s="63">
        <v>119.88000000000001</v>
      </c>
      <c r="R802" s="64">
        <v>126.0</v>
      </c>
      <c r="S802" s="111">
        <v>132.0</v>
      </c>
      <c r="T802" s="65">
        <f t="shared" si="2"/>
        <v>21.12</v>
      </c>
      <c r="U802" s="65">
        <f t="shared" si="3"/>
        <v>153.12</v>
      </c>
      <c r="V802" s="66">
        <f t="shared" si="4"/>
        <v>0.04761904762</v>
      </c>
      <c r="W802" s="67">
        <f t="shared" si="5"/>
        <v>125.4</v>
      </c>
      <c r="X802" s="67">
        <f t="shared" si="6"/>
        <v>20.064</v>
      </c>
      <c r="Y802" s="67">
        <f t="shared" si="7"/>
        <v>145.464</v>
      </c>
      <c r="Z802" s="67">
        <f t="shared" si="8"/>
        <v>118.8</v>
      </c>
      <c r="AA802" s="67">
        <f t="shared" si="9"/>
        <v>19.008</v>
      </c>
      <c r="AB802" s="67">
        <f t="shared" si="10"/>
        <v>137.808</v>
      </c>
      <c r="AC802" s="67">
        <f t="shared" si="11"/>
        <v>112.2</v>
      </c>
      <c r="AD802" s="67">
        <f t="shared" si="12"/>
        <v>17.952</v>
      </c>
      <c r="AE802" s="67">
        <f t="shared" si="13"/>
        <v>130.152</v>
      </c>
      <c r="AF802" s="67">
        <f t="shared" si="33"/>
        <v>109.56</v>
      </c>
      <c r="AG802" s="67">
        <f t="shared" si="15"/>
        <v>17.5296</v>
      </c>
      <c r="AH802" s="67">
        <f t="shared" si="16"/>
        <v>127.0896</v>
      </c>
      <c r="AI802" s="67">
        <f t="shared" si="17"/>
        <v>105.6</v>
      </c>
      <c r="AJ802" s="68">
        <f t="shared" si="31"/>
        <v>16.896</v>
      </c>
      <c r="AK802" s="68">
        <f t="shared" si="32"/>
        <v>122.496</v>
      </c>
      <c r="AL802" s="70">
        <f>IFERROR(__xludf.DUMMYFUNCTION("""COMPUTED_VALUE"""),1.0)</f>
        <v>1</v>
      </c>
      <c r="AM802" s="70"/>
      <c r="AN802" s="71" t="str">
        <f>IFERROR(__xludf.DUMMYFUNCTION("""COMPUTED_VALUE""")," C")</f>
        <v>C</v>
      </c>
      <c r="AO802" s="71" t="str">
        <f>IFERROR(__xludf.DUMMYFUNCTION("""COMPUTED_VALUE""")," MLFG60C")</f>
        <v>MLFG60C</v>
      </c>
      <c r="AP802" s="71" t="str">
        <f>IFERROR(__xludf.DUMMYFUNCTION("""COMPUTED_VALUE""")," MTR")</f>
        <v>MTR</v>
      </c>
      <c r="AQ802" s="71" t="str">
        <f>IFERROR(__xludf.DUMMYFUNCTION("""COMPUTED_VALUE""")," REF")</f>
        <v>REF</v>
      </c>
      <c r="AR802" s="71" t="str">
        <f>IFERROR(__xludf.DUMMYFUNCTION("""COMPUTED_VALUE""")," MALLA FINA GALVANIZADA 60 CENTIMETROS X METRO")</f>
        <v>MALLA FINA GALVANIZADA 60 CENTIMETROS X METRO</v>
      </c>
      <c r="AS802" s="71" t="str">
        <f>IFERROR(__xludf.DUMMYFUNCTION("""COMPUTED_VALUE""")," MALLA FINA GALV 60 CENTIMETROS X METRO")</f>
        <v>MALLA FINA GALV 60 CENTIMETROS X METRO</v>
      </c>
      <c r="AT802" s="71">
        <f>IFERROR(__xludf.DUMMYFUNCTION("""COMPUTED_VALUE"""),38.0)</f>
        <v>38</v>
      </c>
      <c r="AU802" s="71"/>
      <c r="AV802" s="71"/>
      <c r="AW802" s="71"/>
      <c r="AX802" s="71"/>
      <c r="AY802" s="71"/>
      <c r="AZ802" s="71"/>
      <c r="BA802" s="71"/>
      <c r="BB802" s="71"/>
      <c r="BC802" s="71">
        <f>IFERROR(__xludf.DUMMYFUNCTION("""COMPUTED_VALUE"""),730.0)</f>
        <v>730</v>
      </c>
      <c r="BD802" s="71">
        <f>IFERROR(__xludf.DUMMYFUNCTION("""COMPUTED_VALUE"""),767.0)</f>
        <v>767</v>
      </c>
      <c r="BE802" s="71">
        <f>IFERROR(__xludf.DUMMYFUNCTION("""COMPUTED_VALUE"""),122.72)</f>
        <v>122.72</v>
      </c>
      <c r="BF802" s="71">
        <f>IFERROR(__xludf.DUMMYFUNCTION("""COMPUTED_VALUE"""),889.72)</f>
        <v>889.72</v>
      </c>
      <c r="BG802" s="71">
        <f>IFERROR(__xludf.DUMMYFUNCTION("""COMPUTED_VALUE"""),0.050684931506849315)</f>
        <v>0.05068493151</v>
      </c>
      <c r="BH802" s="71">
        <f>IFERROR(__xludf.DUMMYFUNCTION("""COMPUTED_VALUE"""),728.65)</f>
        <v>728.65</v>
      </c>
      <c r="BI802" s="71">
        <f>IFERROR(__xludf.DUMMYFUNCTION("""COMPUTED_VALUE"""),116.584)</f>
        <v>116.584</v>
      </c>
      <c r="BJ802" s="71">
        <f>IFERROR(__xludf.DUMMYFUNCTION("""COMPUTED_VALUE"""),845.2339999999999)</f>
        <v>845.234</v>
      </c>
      <c r="BK802" s="71">
        <f>IFERROR(__xludf.DUMMYFUNCTION("""COMPUTED_VALUE"""),690.3000000000001)</f>
        <v>690.3</v>
      </c>
      <c r="BL802" s="71">
        <f>IFERROR(__xludf.DUMMYFUNCTION("""COMPUTED_VALUE"""),110.44800000000001)</f>
        <v>110.448</v>
      </c>
      <c r="BM802" s="71">
        <f>IFERROR(__xludf.DUMMYFUNCTION("""COMPUTED_VALUE"""),800.748)</f>
        <v>800.748</v>
      </c>
      <c r="BN802" s="71">
        <f>IFERROR(__xludf.DUMMYFUNCTION("""COMPUTED_VALUE"""),651.9499999999999)</f>
        <v>651.95</v>
      </c>
      <c r="BO802" s="71">
        <f>IFERROR(__xludf.DUMMYFUNCTION("""COMPUTED_VALUE"""),104.312)</f>
        <v>104.312</v>
      </c>
      <c r="BP802" s="71">
        <f>IFERROR(__xludf.DUMMYFUNCTION("""COMPUTED_VALUE"""),756.262)</f>
        <v>756.262</v>
      </c>
      <c r="BQ802" s="71">
        <f>IFERROR(__xludf.DUMMYFUNCTION("""COMPUTED_VALUE"""),636.61)</f>
        <v>636.61</v>
      </c>
      <c r="BR802" s="71">
        <f>IFERROR(__xludf.DUMMYFUNCTION("""COMPUTED_VALUE"""),101.8576)</f>
        <v>101.8576</v>
      </c>
      <c r="BS802" s="71">
        <f>IFERROR(__xludf.DUMMYFUNCTION("""COMPUTED_VALUE"""),738.4676000000001)</f>
        <v>738.4676</v>
      </c>
      <c r="BT802" s="71">
        <f>IFERROR(__xludf.DUMMYFUNCTION("""COMPUTED_VALUE"""),613.6)</f>
        <v>613.6</v>
      </c>
      <c r="BU802" s="71"/>
      <c r="BV802" s="71"/>
    </row>
    <row r="803">
      <c r="A803" s="53"/>
      <c r="B803" s="53"/>
      <c r="C803" s="53" t="s">
        <v>36</v>
      </c>
      <c r="D803" s="85" t="s">
        <v>1941</v>
      </c>
      <c r="E803" s="54" t="s">
        <v>38</v>
      </c>
      <c r="F803" s="55" t="s">
        <v>39</v>
      </c>
      <c r="G803" s="86" t="s">
        <v>1942</v>
      </c>
      <c r="H803" s="55"/>
      <c r="I803" s="54">
        <f t="shared" si="24"/>
        <v>0</v>
      </c>
      <c r="J803" s="56"/>
      <c r="K803" s="57"/>
      <c r="L803" s="76"/>
      <c r="M803" s="59"/>
      <c r="N803" s="60"/>
      <c r="O803" s="61">
        <v>117.6</v>
      </c>
      <c r="P803" s="62">
        <v>127.008</v>
      </c>
      <c r="Q803" s="63">
        <v>127.008</v>
      </c>
      <c r="R803" s="64">
        <v>134.0</v>
      </c>
      <c r="S803" s="107">
        <v>141.0</v>
      </c>
      <c r="T803" s="65">
        <f t="shared" si="2"/>
        <v>22.56</v>
      </c>
      <c r="U803" s="65">
        <f t="shared" si="3"/>
        <v>163.56</v>
      </c>
      <c r="V803" s="66">
        <f t="shared" si="4"/>
        <v>0.05223880597</v>
      </c>
      <c r="W803" s="67">
        <f t="shared" si="5"/>
        <v>133.95</v>
      </c>
      <c r="X803" s="67">
        <f t="shared" si="6"/>
        <v>21.432</v>
      </c>
      <c r="Y803" s="67">
        <f t="shared" si="7"/>
        <v>155.382</v>
      </c>
      <c r="Z803" s="67">
        <f t="shared" si="8"/>
        <v>126.9</v>
      </c>
      <c r="AA803" s="67">
        <f t="shared" si="9"/>
        <v>20.304</v>
      </c>
      <c r="AB803" s="67">
        <f t="shared" si="10"/>
        <v>147.204</v>
      </c>
      <c r="AC803" s="67">
        <f t="shared" si="11"/>
        <v>119.85</v>
      </c>
      <c r="AD803" s="67">
        <f t="shared" si="12"/>
        <v>19.176</v>
      </c>
      <c r="AE803" s="67">
        <f t="shared" si="13"/>
        <v>139.026</v>
      </c>
      <c r="AF803" s="67">
        <f t="shared" si="33"/>
        <v>117.03</v>
      </c>
      <c r="AG803" s="67">
        <f t="shared" si="15"/>
        <v>18.7248</v>
      </c>
      <c r="AH803" s="67">
        <f t="shared" si="16"/>
        <v>135.7548</v>
      </c>
      <c r="AI803" s="67">
        <f t="shared" si="17"/>
        <v>112.8</v>
      </c>
      <c r="AJ803" s="68">
        <f t="shared" si="31"/>
        <v>18.048</v>
      </c>
      <c r="AK803" s="68">
        <f t="shared" si="32"/>
        <v>130.848</v>
      </c>
      <c r="AL803" s="70">
        <f>IFERROR(__xludf.DUMMYFUNCTION("""COMPUTED_VALUE"""),1.0)</f>
        <v>1</v>
      </c>
      <c r="AM803" s="70"/>
      <c r="AN803" s="71" t="str">
        <f>IFERROR(__xludf.DUMMYFUNCTION("""COMPUTED_VALUE""")," C")</f>
        <v>C</v>
      </c>
      <c r="AO803" s="71" t="str">
        <f>IFERROR(__xludf.DUMMYFUNCTION("""COMPUTED_VALUE""")," ML10")</f>
        <v>ML10</v>
      </c>
      <c r="AP803" s="71" t="str">
        <f>IFERROR(__xludf.DUMMYFUNCTION("""COMPUTED_VALUE""")," PZA")</f>
        <v>PZA</v>
      </c>
      <c r="AQ803" s="71" t="str">
        <f>IFERROR(__xludf.DUMMYFUNCTION("""COMPUTED_VALUE""")," REF")</f>
        <v>REF</v>
      </c>
      <c r="AR803" s="71" t="str">
        <f>IFERROR(__xludf.DUMMYFUNCTION("""COMPUTED_VALUE""")," MALLA PARA COLUMPIO DÚPLEX DE FIERRO DE 35 CM. (1.40MT.)")</f>
        <v>MALLA PARA COLUMPIO DÚPLEX DE FIERRO DE 35 CM. (1.40MT.)</v>
      </c>
      <c r="AS803" s="71" t="str">
        <f>IFERROR(__xludf.DUMMYFUNCTION("""COMPUTED_VALUE""")," MALLA P/COLUMPIO DPLX FIERRO 35CM 1.40MT")</f>
        <v>MALLA P/COLUMPIO DPLX FIERRO 35CM 1.40MT</v>
      </c>
      <c r="AT803" s="71">
        <f>IFERROR(__xludf.DUMMYFUNCTION("""COMPUTED_VALUE"""),40.0)</f>
        <v>40</v>
      </c>
      <c r="AU803" s="71"/>
      <c r="AV803" s="71"/>
      <c r="AW803" s="71"/>
      <c r="AX803" s="71"/>
      <c r="AY803" s="71">
        <f>IFERROR(__xludf.DUMMYFUNCTION("""COMPUTED_VALUE"""),454.0)</f>
        <v>454</v>
      </c>
      <c r="AZ803" s="71">
        <f>IFERROR(__xludf.DUMMYFUNCTION("""COMPUTED_VALUE"""),490.0)</f>
        <v>490</v>
      </c>
      <c r="BA803" s="71">
        <f>IFERROR(__xludf.DUMMYFUNCTION("""COMPUTED_VALUE"""),529.2)</f>
        <v>529.2</v>
      </c>
      <c r="BB803" s="71">
        <f>IFERROR(__xludf.DUMMYFUNCTION("""COMPUTED_VALUE"""),529.2)</f>
        <v>529.2</v>
      </c>
      <c r="BC803" s="71">
        <f>IFERROR(__xludf.DUMMYFUNCTION("""COMPUTED_VALUE"""),590.0)</f>
        <v>590</v>
      </c>
      <c r="BD803" s="71">
        <f>IFERROR(__xludf.DUMMYFUNCTION("""COMPUTED_VALUE"""),620.0)</f>
        <v>620</v>
      </c>
      <c r="BE803" s="71">
        <f>IFERROR(__xludf.DUMMYFUNCTION("""COMPUTED_VALUE"""),99.2)</f>
        <v>99.2</v>
      </c>
      <c r="BF803" s="71">
        <f>IFERROR(__xludf.DUMMYFUNCTION("""COMPUTED_VALUE"""),719.2)</f>
        <v>719.2</v>
      </c>
      <c r="BG803" s="71">
        <f>IFERROR(__xludf.DUMMYFUNCTION("""COMPUTED_VALUE"""),0.05084745762711865)</f>
        <v>0.05084745763</v>
      </c>
      <c r="BH803" s="71">
        <f>IFERROR(__xludf.DUMMYFUNCTION("""COMPUTED_VALUE"""),589.0)</f>
        <v>589</v>
      </c>
      <c r="BI803" s="71">
        <f>IFERROR(__xludf.DUMMYFUNCTION("""COMPUTED_VALUE"""),94.24)</f>
        <v>94.24</v>
      </c>
      <c r="BJ803" s="71">
        <f>IFERROR(__xludf.DUMMYFUNCTION("""COMPUTED_VALUE"""),683.24)</f>
        <v>683.24</v>
      </c>
      <c r="BK803" s="71">
        <f>IFERROR(__xludf.DUMMYFUNCTION("""COMPUTED_VALUE"""),558.0)</f>
        <v>558</v>
      </c>
      <c r="BL803" s="71">
        <f>IFERROR(__xludf.DUMMYFUNCTION("""COMPUTED_VALUE"""),89.28)</f>
        <v>89.28</v>
      </c>
      <c r="BM803" s="71">
        <f>IFERROR(__xludf.DUMMYFUNCTION("""COMPUTED_VALUE"""),647.28)</f>
        <v>647.28</v>
      </c>
      <c r="BN803" s="71">
        <f>IFERROR(__xludf.DUMMYFUNCTION("""COMPUTED_VALUE"""),527.0)</f>
        <v>527</v>
      </c>
      <c r="BO803" s="71">
        <f>IFERROR(__xludf.DUMMYFUNCTION("""COMPUTED_VALUE"""),84.32000000000001)</f>
        <v>84.32</v>
      </c>
      <c r="BP803" s="71">
        <f>IFERROR(__xludf.DUMMYFUNCTION("""COMPUTED_VALUE"""),611.32)</f>
        <v>611.32</v>
      </c>
      <c r="BQ803" s="71">
        <f>IFERROR(__xludf.DUMMYFUNCTION("""COMPUTED_VALUE"""),514.6)</f>
        <v>514.6</v>
      </c>
      <c r="BR803" s="71">
        <f>IFERROR(__xludf.DUMMYFUNCTION("""COMPUTED_VALUE"""),82.336)</f>
        <v>82.336</v>
      </c>
      <c r="BS803" s="71">
        <f>IFERROR(__xludf.DUMMYFUNCTION("""COMPUTED_VALUE"""),596.936)</f>
        <v>596.936</v>
      </c>
      <c r="BT803" s="71">
        <f>IFERROR(__xludf.DUMMYFUNCTION("""COMPUTED_VALUE"""),496.0)</f>
        <v>496</v>
      </c>
      <c r="BU803" s="71">
        <f>IFERROR(__xludf.DUMMYFUNCTION("""COMPUTED_VALUE"""),79.36)</f>
        <v>79.36</v>
      </c>
      <c r="BV803" s="71">
        <f>IFERROR(__xludf.DUMMYFUNCTION("""COMPUTED_VALUE"""),575.36)</f>
        <v>575.36</v>
      </c>
    </row>
    <row r="804">
      <c r="A804" s="53">
        <v>1.0</v>
      </c>
      <c r="B804" s="72"/>
      <c r="C804" s="73" t="s">
        <v>53</v>
      </c>
      <c r="D804" s="74" t="s">
        <v>1943</v>
      </c>
      <c r="E804" s="54" t="s">
        <v>38</v>
      </c>
      <c r="F804" s="54" t="s">
        <v>42</v>
      </c>
      <c r="G804" s="88" t="s">
        <v>1944</v>
      </c>
      <c r="H804" s="54" t="s">
        <v>1945</v>
      </c>
      <c r="I804" s="54">
        <f t="shared" si="24"/>
        <v>40</v>
      </c>
      <c r="J804" s="56"/>
      <c r="K804" s="75"/>
      <c r="L804" s="76"/>
      <c r="M804" s="59"/>
      <c r="N804" s="60">
        <v>23.0</v>
      </c>
      <c r="O804" s="61">
        <v>24.0</v>
      </c>
      <c r="P804" s="62">
        <v>25.92</v>
      </c>
      <c r="Q804" s="63">
        <v>25.92</v>
      </c>
      <c r="R804" s="64">
        <v>30.0</v>
      </c>
      <c r="S804" s="111">
        <v>32.0</v>
      </c>
      <c r="T804" s="65">
        <f t="shared" si="2"/>
        <v>5.12</v>
      </c>
      <c r="U804" s="65">
        <f t="shared" si="3"/>
        <v>37.12</v>
      </c>
      <c r="V804" s="66">
        <f t="shared" si="4"/>
        <v>0.06666666667</v>
      </c>
      <c r="W804" s="67">
        <f t="shared" si="5"/>
        <v>30.4</v>
      </c>
      <c r="X804" s="67">
        <f t="shared" si="6"/>
        <v>4.864</v>
      </c>
      <c r="Y804" s="67">
        <f t="shared" si="7"/>
        <v>35.264</v>
      </c>
      <c r="Z804" s="67">
        <f t="shared" si="8"/>
        <v>28.8</v>
      </c>
      <c r="AA804" s="67">
        <f t="shared" si="9"/>
        <v>4.608</v>
      </c>
      <c r="AB804" s="67">
        <f t="shared" si="10"/>
        <v>33.408</v>
      </c>
      <c r="AC804" s="67">
        <f t="shared" si="11"/>
        <v>27.2</v>
      </c>
      <c r="AD804" s="67">
        <f t="shared" si="12"/>
        <v>4.352</v>
      </c>
      <c r="AE804" s="67">
        <f t="shared" si="13"/>
        <v>31.552</v>
      </c>
      <c r="AF804" s="67">
        <f t="shared" si="33"/>
        <v>26.56</v>
      </c>
      <c r="AG804" s="67">
        <f t="shared" si="15"/>
        <v>4.2496</v>
      </c>
      <c r="AH804" s="67">
        <f t="shared" si="16"/>
        <v>30.8096</v>
      </c>
      <c r="AI804" s="67">
        <f t="shared" si="17"/>
        <v>25.6</v>
      </c>
      <c r="AJ804" s="68">
        <f t="shared" si="31"/>
        <v>4.096</v>
      </c>
      <c r="AK804" s="68">
        <f t="shared" si="32"/>
        <v>29.696</v>
      </c>
      <c r="AL804" s="70">
        <f>IFERROR(__xludf.DUMMYFUNCTION("""COMPUTED_VALUE"""),1.0)</f>
        <v>1</v>
      </c>
      <c r="AM804" s="70"/>
      <c r="AN804" s="71" t="str">
        <f>IFERROR(__xludf.DUMMYFUNCTION("""COMPUTED_VALUE""")," C")</f>
        <v>C</v>
      </c>
      <c r="AO804" s="71" t="str">
        <f>IFERROR(__xludf.DUMMYFUNCTION("""COMPUTED_VALUE""")," ML11")</f>
        <v>ML11</v>
      </c>
      <c r="AP804" s="71" t="str">
        <f>IFERROR(__xludf.DUMMYFUNCTION("""COMPUTED_VALUE""")," PZA")</f>
        <v>PZA</v>
      </c>
      <c r="AQ804" s="71" t="str">
        <f>IFERROR(__xludf.DUMMYFUNCTION("""COMPUTED_VALUE""")," REF")</f>
        <v>REF</v>
      </c>
      <c r="AR804" s="71" t="str">
        <f>IFERROR(__xludf.DUMMYFUNCTION("""COMPUTED_VALUE""")," MALLA PARA COLUMPIO DÚPLEX GALVANIZADA DE 35 CM. (1.40 MT.)")</f>
        <v>MALLA PARA COLUMPIO DÚPLEX GALVANIZADA DE 35 CM. (1.40 MT.)</v>
      </c>
      <c r="AS804" s="71" t="str">
        <f>IFERROR(__xludf.DUMMYFUNCTION("""COMPUTED_VALUE""")," MALLA COLUMPIO DPLX GALV 35CM X 1.40MT")</f>
        <v>MALLA COLUMPIO DPLX GALV 35CM X 1.40MT</v>
      </c>
      <c r="AT804" s="71">
        <f>IFERROR(__xludf.DUMMYFUNCTION("""COMPUTED_VALUE"""),38.0)</f>
        <v>38</v>
      </c>
      <c r="AU804" s="71"/>
      <c r="AV804" s="71"/>
      <c r="AW804" s="71"/>
      <c r="AX804" s="71"/>
      <c r="AY804" s="71">
        <f>IFERROR(__xludf.DUMMYFUNCTION("""COMPUTED_VALUE"""),504.0)</f>
        <v>504</v>
      </c>
      <c r="AZ804" s="71">
        <f>IFERROR(__xludf.DUMMYFUNCTION("""COMPUTED_VALUE"""),544.0)</f>
        <v>544</v>
      </c>
      <c r="BA804" s="71">
        <f>IFERROR(__xludf.DUMMYFUNCTION("""COMPUTED_VALUE"""),587.52)</f>
        <v>587.52</v>
      </c>
      <c r="BB804" s="71">
        <f>IFERROR(__xludf.DUMMYFUNCTION("""COMPUTED_VALUE"""),587.52)</f>
        <v>587.52</v>
      </c>
      <c r="BC804" s="71">
        <f>IFERROR(__xludf.DUMMYFUNCTION("""COMPUTED_VALUE"""),655.0)</f>
        <v>655</v>
      </c>
      <c r="BD804" s="71">
        <f>IFERROR(__xludf.DUMMYFUNCTION("""COMPUTED_VALUE"""),688.0)</f>
        <v>688</v>
      </c>
      <c r="BE804" s="71">
        <f>IFERROR(__xludf.DUMMYFUNCTION("""COMPUTED_VALUE"""),110.08)</f>
        <v>110.08</v>
      </c>
      <c r="BF804" s="71">
        <f>IFERROR(__xludf.DUMMYFUNCTION("""COMPUTED_VALUE"""),798.08)</f>
        <v>798.08</v>
      </c>
      <c r="BG804" s="71">
        <f>IFERROR(__xludf.DUMMYFUNCTION("""COMPUTED_VALUE"""),0.050381679389312976)</f>
        <v>0.05038167939</v>
      </c>
      <c r="BH804" s="71">
        <f>IFERROR(__xludf.DUMMYFUNCTION("""COMPUTED_VALUE"""),653.6)</f>
        <v>653.6</v>
      </c>
      <c r="BI804" s="71">
        <f>IFERROR(__xludf.DUMMYFUNCTION("""COMPUTED_VALUE"""),104.57600000000001)</f>
        <v>104.576</v>
      </c>
      <c r="BJ804" s="71">
        <f>IFERROR(__xludf.DUMMYFUNCTION("""COMPUTED_VALUE"""),758.176)</f>
        <v>758.176</v>
      </c>
      <c r="BK804" s="71">
        <f>IFERROR(__xludf.DUMMYFUNCTION("""COMPUTED_VALUE"""),619.2)</f>
        <v>619.2</v>
      </c>
      <c r="BL804" s="71">
        <f>IFERROR(__xludf.DUMMYFUNCTION("""COMPUTED_VALUE"""),99.072)</f>
        <v>99.072</v>
      </c>
      <c r="BM804" s="71">
        <f>IFERROR(__xludf.DUMMYFUNCTION("""COMPUTED_VALUE"""),718.272)</f>
        <v>718.272</v>
      </c>
      <c r="BN804" s="71">
        <f>IFERROR(__xludf.DUMMYFUNCTION("""COMPUTED_VALUE"""),584.8)</f>
        <v>584.8</v>
      </c>
      <c r="BO804" s="71">
        <f>IFERROR(__xludf.DUMMYFUNCTION("""COMPUTED_VALUE"""),93.568)</f>
        <v>93.568</v>
      </c>
      <c r="BP804" s="71">
        <f>IFERROR(__xludf.DUMMYFUNCTION("""COMPUTED_VALUE"""),678.3679999999999)</f>
        <v>678.368</v>
      </c>
      <c r="BQ804" s="71">
        <f>IFERROR(__xludf.DUMMYFUNCTION("""COMPUTED_VALUE"""),571.04)</f>
        <v>571.04</v>
      </c>
      <c r="BR804" s="71">
        <f>IFERROR(__xludf.DUMMYFUNCTION("""COMPUTED_VALUE"""),91.3664)</f>
        <v>91.3664</v>
      </c>
      <c r="BS804" s="71">
        <f>IFERROR(__xludf.DUMMYFUNCTION("""COMPUTED_VALUE"""),662.4064)</f>
        <v>662.4064</v>
      </c>
      <c r="BT804" s="71">
        <f>IFERROR(__xludf.DUMMYFUNCTION("""COMPUTED_VALUE"""),550.4)</f>
        <v>550.4</v>
      </c>
      <c r="BU804" s="71">
        <f>IFERROR(__xludf.DUMMYFUNCTION("""COMPUTED_VALUE"""),88.064)</f>
        <v>88.064</v>
      </c>
      <c r="BV804" s="71">
        <f>IFERROR(__xludf.DUMMYFUNCTION("""COMPUTED_VALUE"""),638.4639999999999)</f>
        <v>638.464</v>
      </c>
    </row>
    <row r="805">
      <c r="A805" s="53"/>
      <c r="B805" s="53"/>
      <c r="C805" s="53" t="s">
        <v>53</v>
      </c>
      <c r="D805" s="53" t="s">
        <v>1946</v>
      </c>
      <c r="E805" s="86" t="s">
        <v>38</v>
      </c>
      <c r="F805" s="91" t="s">
        <v>42</v>
      </c>
      <c r="G805" s="84" t="s">
        <v>1947</v>
      </c>
      <c r="H805" s="54" t="s">
        <v>1947</v>
      </c>
      <c r="I805" s="54">
        <f t="shared" si="24"/>
        <v>31</v>
      </c>
      <c r="J805" s="56"/>
      <c r="K805" s="57"/>
      <c r="L805" s="87"/>
      <c r="M805" s="59"/>
      <c r="N805" s="79"/>
      <c r="O805" s="90"/>
      <c r="P805" s="90"/>
      <c r="Q805" s="94"/>
      <c r="R805" s="64">
        <v>26.0</v>
      </c>
      <c r="S805" s="111">
        <v>27.0</v>
      </c>
      <c r="T805" s="65">
        <f t="shared" si="2"/>
        <v>4.32</v>
      </c>
      <c r="U805" s="65">
        <f t="shared" si="3"/>
        <v>31.32</v>
      </c>
      <c r="V805" s="66">
        <f t="shared" si="4"/>
        <v>0.03846153846</v>
      </c>
      <c r="W805" s="67">
        <f t="shared" si="5"/>
        <v>25.65</v>
      </c>
      <c r="X805" s="67">
        <f t="shared" si="6"/>
        <v>4.104</v>
      </c>
      <c r="Y805" s="67">
        <f t="shared" si="7"/>
        <v>29.754</v>
      </c>
      <c r="Z805" s="67">
        <f t="shared" si="8"/>
        <v>24.3</v>
      </c>
      <c r="AA805" s="67">
        <f t="shared" si="9"/>
        <v>3.888</v>
      </c>
      <c r="AB805" s="67">
        <f t="shared" si="10"/>
        <v>28.188</v>
      </c>
      <c r="AC805" s="67">
        <f t="shared" si="11"/>
        <v>22.95</v>
      </c>
      <c r="AD805" s="67">
        <f t="shared" si="12"/>
        <v>3.672</v>
      </c>
      <c r="AE805" s="67">
        <f t="shared" si="13"/>
        <v>26.622</v>
      </c>
      <c r="AF805" s="67">
        <f t="shared" si="33"/>
        <v>22.41</v>
      </c>
      <c r="AG805" s="67">
        <f t="shared" si="15"/>
        <v>3.5856</v>
      </c>
      <c r="AH805" s="67">
        <f t="shared" si="16"/>
        <v>25.9956</v>
      </c>
      <c r="AI805" s="67">
        <f t="shared" si="17"/>
        <v>21.6</v>
      </c>
      <c r="AJ805" s="68">
        <f t="shared" si="31"/>
        <v>3.456</v>
      </c>
      <c r="AK805" s="68">
        <f t="shared" si="32"/>
        <v>25.056</v>
      </c>
      <c r="AL805" s="70">
        <f>IFERROR(__xludf.DUMMYFUNCTION("""COMPUTED_VALUE"""),1.0)</f>
        <v>1</v>
      </c>
      <c r="AM805" s="70"/>
      <c r="AN805" s="71" t="str">
        <f>IFERROR(__xludf.DUMMYFUNCTION("""COMPUTED_VALUE""")," C")</f>
        <v>C</v>
      </c>
      <c r="AO805" s="71" t="str">
        <f>IFERROR(__xludf.DUMMYFUNCTION("""COMPUTED_VALUE""")," ML99")</f>
        <v>ML99</v>
      </c>
      <c r="AP805" s="71" t="str">
        <f>IFERROR(__xludf.DUMMYFUNCTION("""COMPUTED_VALUE""")," PZA")</f>
        <v>PZA</v>
      </c>
      <c r="AQ805" s="71" t="str">
        <f>IFERROR(__xludf.DUMMYFUNCTION("""COMPUTED_VALUE""")," REF")</f>
        <v>REF</v>
      </c>
      <c r="AR805" s="71" t="str">
        <f>IFERROR(__xludf.DUMMYFUNCTION("""COMPUTED_VALUE""")," MALLA PARA COLUMPIO SENCILLO DE ACERO INOX. DE 23 CM. (1.40 MT.) EN ACERO INOX. T-304 GRADO ALIMENTICIO")</f>
        <v>MALLA PARA COLUMPIO SENCILLO DE ACERO INOX. DE 23 CM. (1.40 MT.) EN ACERO INOX. T-304 GRADO ALIMENTICIO</v>
      </c>
      <c r="AS805" s="71" t="str">
        <f>IFERROR(__xludf.DUMMYFUNCTION("""COMPUTED_VALUE""")," MALLA COLUMPIO SENC INOX 23CM X 1.40MT")</f>
        <v>MALLA COLUMPIO SENC INOX 23CM X 1.40MT</v>
      </c>
      <c r="AT805" s="71">
        <f>IFERROR(__xludf.DUMMYFUNCTION("""COMPUTED_VALUE"""),38.0)</f>
        <v>38</v>
      </c>
      <c r="AU805" s="71"/>
      <c r="AV805" s="71"/>
      <c r="AW805" s="71"/>
      <c r="AX805" s="71"/>
      <c r="AY805" s="71">
        <f>IFERROR(__xludf.DUMMYFUNCTION("""COMPUTED_VALUE"""),1242.0)</f>
        <v>1242</v>
      </c>
      <c r="AZ805" s="71">
        <f>IFERROR(__xludf.DUMMYFUNCTION("""COMPUTED_VALUE"""),1341.0)</f>
        <v>1341</v>
      </c>
      <c r="BA805" s="71">
        <f>IFERROR(__xludf.DUMMYFUNCTION("""COMPUTED_VALUE"""),1448.2800000000002)</f>
        <v>1448.28</v>
      </c>
      <c r="BB805" s="71">
        <f>IFERROR(__xludf.DUMMYFUNCTION("""COMPUTED_VALUE"""),1448.2800000000002)</f>
        <v>1448.28</v>
      </c>
      <c r="BC805" s="71">
        <f>IFERROR(__xludf.DUMMYFUNCTION("""COMPUTED_VALUE"""),1613.0)</f>
        <v>1613</v>
      </c>
      <c r="BD805" s="71">
        <f>IFERROR(__xludf.DUMMYFUNCTION("""COMPUTED_VALUE"""),1694.0)</f>
        <v>1694</v>
      </c>
      <c r="BE805" s="71">
        <f>IFERROR(__xludf.DUMMYFUNCTION("""COMPUTED_VALUE"""),271.04)</f>
        <v>271.04</v>
      </c>
      <c r="BF805" s="71">
        <f>IFERROR(__xludf.DUMMYFUNCTION("""COMPUTED_VALUE"""),1965.04)</f>
        <v>1965.04</v>
      </c>
      <c r="BG805" s="71">
        <f>IFERROR(__xludf.DUMMYFUNCTION("""COMPUTED_VALUE"""),0.050216986980781156)</f>
        <v>0.05021698698</v>
      </c>
      <c r="BH805" s="71">
        <f>IFERROR(__xludf.DUMMYFUNCTION("""COMPUTED_VALUE"""),1609.3)</f>
        <v>1609.3</v>
      </c>
      <c r="BI805" s="71">
        <f>IFERROR(__xludf.DUMMYFUNCTION("""COMPUTED_VALUE"""),257.488)</f>
        <v>257.488</v>
      </c>
      <c r="BJ805" s="71">
        <f>IFERROR(__xludf.DUMMYFUNCTION("""COMPUTED_VALUE"""),1866.788)</f>
        <v>1866.788</v>
      </c>
      <c r="BK805" s="71">
        <f>IFERROR(__xludf.DUMMYFUNCTION("""COMPUTED_VALUE"""),1524.6000000000001)</f>
        <v>1524.6</v>
      </c>
      <c r="BL805" s="71">
        <f>IFERROR(__xludf.DUMMYFUNCTION("""COMPUTED_VALUE"""),243.93600000000004)</f>
        <v>243.936</v>
      </c>
      <c r="BM805" s="71">
        <f>IFERROR(__xludf.DUMMYFUNCTION("""COMPUTED_VALUE"""),1768.536)</f>
        <v>1768.536</v>
      </c>
      <c r="BN805" s="71">
        <f>IFERROR(__xludf.DUMMYFUNCTION("""COMPUTED_VALUE"""),1439.8999999999999)</f>
        <v>1439.9</v>
      </c>
      <c r="BO805" s="71">
        <f>IFERROR(__xludf.DUMMYFUNCTION("""COMPUTED_VALUE"""),230.384)</f>
        <v>230.384</v>
      </c>
      <c r="BP805" s="71">
        <f>IFERROR(__xludf.DUMMYFUNCTION("""COMPUTED_VALUE"""),1670.2839999999999)</f>
        <v>1670.284</v>
      </c>
      <c r="BQ805" s="71">
        <f>IFERROR(__xludf.DUMMYFUNCTION("""COMPUTED_VALUE"""),1406.02)</f>
        <v>1406.02</v>
      </c>
      <c r="BR805" s="71">
        <f>IFERROR(__xludf.DUMMYFUNCTION("""COMPUTED_VALUE"""),224.9632)</f>
        <v>224.9632</v>
      </c>
      <c r="BS805" s="71">
        <f>IFERROR(__xludf.DUMMYFUNCTION("""COMPUTED_VALUE"""),1630.9832)</f>
        <v>1630.9832</v>
      </c>
      <c r="BT805" s="71">
        <f>IFERROR(__xludf.DUMMYFUNCTION("""COMPUTED_VALUE"""),1355.2)</f>
        <v>1355.2</v>
      </c>
      <c r="BU805" s="71">
        <f>IFERROR(__xludf.DUMMYFUNCTION("""COMPUTED_VALUE"""),216.83200000000002)</f>
        <v>216.832</v>
      </c>
      <c r="BV805" s="71">
        <f>IFERROR(__xludf.DUMMYFUNCTION("""COMPUTED_VALUE"""),1572.0320000000002)</f>
        <v>1572.032</v>
      </c>
    </row>
    <row r="806">
      <c r="A806" s="53">
        <v>1.0</v>
      </c>
      <c r="B806" s="72"/>
      <c r="C806" s="73" t="s">
        <v>53</v>
      </c>
      <c r="D806" s="74" t="s">
        <v>1948</v>
      </c>
      <c r="E806" s="54" t="s">
        <v>38</v>
      </c>
      <c r="F806" s="54" t="s">
        <v>42</v>
      </c>
      <c r="G806" s="54" t="s">
        <v>1949</v>
      </c>
      <c r="H806" s="54" t="s">
        <v>1950</v>
      </c>
      <c r="I806" s="54">
        <f t="shared" si="24"/>
        <v>30</v>
      </c>
      <c r="J806" s="56"/>
      <c r="K806" s="75"/>
      <c r="L806" s="76"/>
      <c r="M806" s="59"/>
      <c r="N806" s="60">
        <v>20.0</v>
      </c>
      <c r="O806" s="61">
        <v>21.0</v>
      </c>
      <c r="P806" s="62">
        <v>22.68</v>
      </c>
      <c r="Q806" s="63">
        <v>22.68</v>
      </c>
      <c r="R806" s="64">
        <v>26.0</v>
      </c>
      <c r="S806" s="111">
        <v>27.0</v>
      </c>
      <c r="T806" s="65">
        <f t="shared" si="2"/>
        <v>4.32</v>
      </c>
      <c r="U806" s="65">
        <f t="shared" si="3"/>
        <v>31.32</v>
      </c>
      <c r="V806" s="66">
        <f t="shared" si="4"/>
        <v>0.03846153846</v>
      </c>
      <c r="W806" s="67">
        <f t="shared" si="5"/>
        <v>25.65</v>
      </c>
      <c r="X806" s="67">
        <f t="shared" si="6"/>
        <v>4.104</v>
      </c>
      <c r="Y806" s="67">
        <f t="shared" si="7"/>
        <v>29.754</v>
      </c>
      <c r="Z806" s="67">
        <f t="shared" si="8"/>
        <v>24.3</v>
      </c>
      <c r="AA806" s="67">
        <f t="shared" si="9"/>
        <v>3.888</v>
      </c>
      <c r="AB806" s="67">
        <f t="shared" si="10"/>
        <v>28.188</v>
      </c>
      <c r="AC806" s="67">
        <f t="shared" si="11"/>
        <v>22.95</v>
      </c>
      <c r="AD806" s="67">
        <f t="shared" si="12"/>
        <v>3.672</v>
      </c>
      <c r="AE806" s="67">
        <f t="shared" si="13"/>
        <v>26.622</v>
      </c>
      <c r="AF806" s="67">
        <f t="shared" si="33"/>
        <v>22.41</v>
      </c>
      <c r="AG806" s="67">
        <f t="shared" si="15"/>
        <v>3.5856</v>
      </c>
      <c r="AH806" s="67">
        <f t="shared" si="16"/>
        <v>25.9956</v>
      </c>
      <c r="AI806" s="67">
        <f t="shared" si="17"/>
        <v>21.6</v>
      </c>
      <c r="AJ806" s="68">
        <f t="shared" si="31"/>
        <v>3.456</v>
      </c>
      <c r="AK806" s="68">
        <f t="shared" si="32"/>
        <v>25.056</v>
      </c>
      <c r="AL806" s="70">
        <f>IFERROR(__xludf.DUMMYFUNCTION("""COMPUTED_VALUE"""),1.0)</f>
        <v>1</v>
      </c>
      <c r="AM806" s="70"/>
      <c r="AN806" s="71" t="str">
        <f>IFERROR(__xludf.DUMMYFUNCTION("""COMPUTED_VALUE""")," C")</f>
        <v>C</v>
      </c>
      <c r="AO806" s="71" t="str">
        <f>IFERROR(__xludf.DUMMYFUNCTION("""COMPUTED_VALUE""")," ML07")</f>
        <v>ML07</v>
      </c>
      <c r="AP806" s="71" t="str">
        <f>IFERROR(__xludf.DUMMYFUNCTION("""COMPUTED_VALUE""")," PZA")</f>
        <v>PZA</v>
      </c>
      <c r="AQ806" s="71" t="str">
        <f>IFERROR(__xludf.DUMMYFUNCTION("""COMPUTED_VALUE""")," REF")</f>
        <v>REF</v>
      </c>
      <c r="AR806" s="71" t="str">
        <f>IFERROR(__xludf.DUMMYFUNCTION("""COMPUTED_VALUE""")," MALLA PARA COLUMPIO SENCILLO DE FIERRO DE 23 CM. (1.40 MT.)")</f>
        <v>MALLA PARA COLUMPIO SENCILLO DE FIERRO DE 23 CM. (1.40 MT.)</v>
      </c>
      <c r="AS806" s="71" t="str">
        <f>IFERROR(__xludf.DUMMYFUNCTION("""COMPUTED_VALUE""")," MALLA COLUMPIO SENC FIERRO 23CM X 1.40MT")</f>
        <v>MALLA COLUMPIO SENC FIERRO 23CM X 1.40MT</v>
      </c>
      <c r="AT806" s="71">
        <f>IFERROR(__xludf.DUMMYFUNCTION("""COMPUTED_VALUE"""),40.0)</f>
        <v>40</v>
      </c>
      <c r="AU806" s="71"/>
      <c r="AV806" s="71"/>
      <c r="AW806" s="71"/>
      <c r="AX806" s="71"/>
      <c r="AY806" s="71">
        <f>IFERROR(__xludf.DUMMYFUNCTION("""COMPUTED_VALUE"""),297.0)</f>
        <v>297</v>
      </c>
      <c r="AZ806" s="71">
        <f>IFERROR(__xludf.DUMMYFUNCTION("""COMPUTED_VALUE"""),320.0)</f>
        <v>320</v>
      </c>
      <c r="BA806" s="71">
        <f>IFERROR(__xludf.DUMMYFUNCTION("""COMPUTED_VALUE"""),345.6)</f>
        <v>345.6</v>
      </c>
      <c r="BB806" s="71">
        <f>IFERROR(__xludf.DUMMYFUNCTION("""COMPUTED_VALUE"""),345.6)</f>
        <v>345.6</v>
      </c>
      <c r="BC806" s="71">
        <f>IFERROR(__xludf.DUMMYFUNCTION("""COMPUTED_VALUE"""),386.0)</f>
        <v>386</v>
      </c>
      <c r="BD806" s="71">
        <f>IFERROR(__xludf.DUMMYFUNCTION("""COMPUTED_VALUE"""),405.0)</f>
        <v>405</v>
      </c>
      <c r="BE806" s="71">
        <f>IFERROR(__xludf.DUMMYFUNCTION("""COMPUTED_VALUE"""),64.8)</f>
        <v>64.8</v>
      </c>
      <c r="BF806" s="71">
        <f>IFERROR(__xludf.DUMMYFUNCTION("""COMPUTED_VALUE"""),469.8)</f>
        <v>469.8</v>
      </c>
      <c r="BG806" s="71">
        <f>IFERROR(__xludf.DUMMYFUNCTION("""COMPUTED_VALUE"""),0.04922279792746114)</f>
        <v>0.04922279793</v>
      </c>
      <c r="BH806" s="71">
        <f>IFERROR(__xludf.DUMMYFUNCTION("""COMPUTED_VALUE"""),384.75)</f>
        <v>384.75</v>
      </c>
      <c r="BI806" s="71">
        <f>IFERROR(__xludf.DUMMYFUNCTION("""COMPUTED_VALUE"""),61.56)</f>
        <v>61.56</v>
      </c>
      <c r="BJ806" s="71">
        <f>IFERROR(__xludf.DUMMYFUNCTION("""COMPUTED_VALUE"""),446.31)</f>
        <v>446.31</v>
      </c>
      <c r="BK806" s="71">
        <f>IFERROR(__xludf.DUMMYFUNCTION("""COMPUTED_VALUE"""),364.5)</f>
        <v>364.5</v>
      </c>
      <c r="BL806" s="71">
        <f>IFERROR(__xludf.DUMMYFUNCTION("""COMPUTED_VALUE"""),58.32)</f>
        <v>58.32</v>
      </c>
      <c r="BM806" s="71">
        <f>IFERROR(__xludf.DUMMYFUNCTION("""COMPUTED_VALUE"""),422.82)</f>
        <v>422.82</v>
      </c>
      <c r="BN806" s="71">
        <f>IFERROR(__xludf.DUMMYFUNCTION("""COMPUTED_VALUE"""),344.25)</f>
        <v>344.25</v>
      </c>
      <c r="BO806" s="71">
        <f>IFERROR(__xludf.DUMMYFUNCTION("""COMPUTED_VALUE"""),55.08)</f>
        <v>55.08</v>
      </c>
      <c r="BP806" s="71">
        <f>IFERROR(__xludf.DUMMYFUNCTION("""COMPUTED_VALUE"""),399.33)</f>
        <v>399.33</v>
      </c>
      <c r="BQ806" s="71">
        <f>IFERROR(__xludf.DUMMYFUNCTION("""COMPUTED_VALUE"""),336.15)</f>
        <v>336.15</v>
      </c>
      <c r="BR806" s="71">
        <f>IFERROR(__xludf.DUMMYFUNCTION("""COMPUTED_VALUE"""),53.784)</f>
        <v>53.784</v>
      </c>
      <c r="BS806" s="71">
        <f>IFERROR(__xludf.DUMMYFUNCTION("""COMPUTED_VALUE"""),389.93399999999997)</f>
        <v>389.934</v>
      </c>
      <c r="BT806" s="71">
        <f>IFERROR(__xludf.DUMMYFUNCTION("""COMPUTED_VALUE"""),324.0)</f>
        <v>324</v>
      </c>
      <c r="BU806" s="71">
        <f>IFERROR(__xludf.DUMMYFUNCTION("""COMPUTED_VALUE"""),51.84)</f>
        <v>51.84</v>
      </c>
      <c r="BV806" s="71">
        <f>IFERROR(__xludf.DUMMYFUNCTION("""COMPUTED_VALUE"""),375.84000000000003)</f>
        <v>375.84</v>
      </c>
    </row>
    <row r="807">
      <c r="A807" s="53"/>
      <c r="B807" s="53"/>
      <c r="C807" s="73" t="s">
        <v>53</v>
      </c>
      <c r="D807" s="53" t="s">
        <v>1951</v>
      </c>
      <c r="E807" s="54" t="s">
        <v>38</v>
      </c>
      <c r="F807" s="55" t="s">
        <v>309</v>
      </c>
      <c r="G807" s="54" t="s">
        <v>1952</v>
      </c>
      <c r="H807" s="54" t="s">
        <v>1950</v>
      </c>
      <c r="I807" s="54">
        <f t="shared" si="24"/>
        <v>30</v>
      </c>
      <c r="J807" s="56"/>
      <c r="K807" s="57"/>
      <c r="L807" s="76"/>
      <c r="M807" s="59"/>
      <c r="N807" s="60"/>
      <c r="O807" s="90">
        <v>21.0</v>
      </c>
      <c r="P807" s="62">
        <v>22.68</v>
      </c>
      <c r="Q807" s="63">
        <v>22.68</v>
      </c>
      <c r="R807" s="64">
        <v>26.0</v>
      </c>
      <c r="S807" s="111">
        <v>27.0</v>
      </c>
      <c r="T807" s="65">
        <f t="shared" si="2"/>
        <v>4.32</v>
      </c>
      <c r="U807" s="65">
        <f t="shared" si="3"/>
        <v>31.32</v>
      </c>
      <c r="V807" s="66">
        <f t="shared" si="4"/>
        <v>0.03846153846</v>
      </c>
      <c r="W807" s="67">
        <f t="shared" si="5"/>
        <v>25.65</v>
      </c>
      <c r="X807" s="67">
        <f t="shared" si="6"/>
        <v>4.104</v>
      </c>
      <c r="Y807" s="67">
        <f t="shared" si="7"/>
        <v>29.754</v>
      </c>
      <c r="Z807" s="67">
        <f t="shared" si="8"/>
        <v>24.3</v>
      </c>
      <c r="AA807" s="67">
        <f t="shared" si="9"/>
        <v>3.888</v>
      </c>
      <c r="AB807" s="67">
        <f t="shared" si="10"/>
        <v>28.188</v>
      </c>
      <c r="AC807" s="67">
        <f t="shared" si="11"/>
        <v>22.95</v>
      </c>
      <c r="AD807" s="67">
        <f t="shared" si="12"/>
        <v>3.672</v>
      </c>
      <c r="AE807" s="67">
        <f t="shared" si="13"/>
        <v>26.622</v>
      </c>
      <c r="AF807" s="67">
        <f t="shared" si="33"/>
        <v>22.41</v>
      </c>
      <c r="AG807" s="67">
        <f t="shared" si="15"/>
        <v>3.5856</v>
      </c>
      <c r="AH807" s="67">
        <f t="shared" si="16"/>
        <v>25.9956</v>
      </c>
      <c r="AI807" s="67">
        <f t="shared" si="17"/>
        <v>21.6</v>
      </c>
      <c r="AJ807" s="68">
        <f t="shared" si="31"/>
        <v>3.456</v>
      </c>
      <c r="AK807" s="68">
        <f t="shared" si="32"/>
        <v>25.056</v>
      </c>
      <c r="AL807" s="70">
        <f>IFERROR(__xludf.DUMMYFUNCTION("""COMPUTED_VALUE"""),1.0)</f>
        <v>1</v>
      </c>
      <c r="AM807" s="70"/>
      <c r="AN807" s="71" t="str">
        <f>IFERROR(__xludf.DUMMYFUNCTION("""COMPUTED_VALUE""")," C")</f>
        <v>C</v>
      </c>
      <c r="AO807" s="71" t="str">
        <f>IFERROR(__xludf.DUMMYFUNCTION("""COMPUTED_VALUE""")," ML08")</f>
        <v>ML08</v>
      </c>
      <c r="AP807" s="71" t="str">
        <f>IFERROR(__xludf.DUMMYFUNCTION("""COMPUTED_VALUE""")," PZA")</f>
        <v>PZA</v>
      </c>
      <c r="AQ807" s="71" t="str">
        <f>IFERROR(__xludf.DUMMYFUNCTION("""COMPUTED_VALUE""")," REF")</f>
        <v>REF</v>
      </c>
      <c r="AR807" s="71" t="str">
        <f>IFERROR(__xludf.DUMMYFUNCTION("""COMPUTED_VALUE""")," MALLA PARA COLUMPIO SENCILLO GALVANIZADA DE 23 CM. (1.40 MT.)")</f>
        <v>MALLA PARA COLUMPIO SENCILLO GALVANIZADA DE 23 CM. (1.40 MT.)</v>
      </c>
      <c r="AS807" s="71" t="str">
        <f>IFERROR(__xludf.DUMMYFUNCTION("""COMPUTED_VALUE""")," MALLA COLUMPIO SENC GALV 23CM X 1.40MT")</f>
        <v>MALLA COLUMPIO SENC GALV 23CM X 1.40MT</v>
      </c>
      <c r="AT807" s="71">
        <f>IFERROR(__xludf.DUMMYFUNCTION("""COMPUTED_VALUE"""),38.0)</f>
        <v>38</v>
      </c>
      <c r="AU807" s="71"/>
      <c r="AV807" s="71"/>
      <c r="AW807" s="71"/>
      <c r="AX807" s="71"/>
      <c r="AY807" s="71">
        <f>IFERROR(__xludf.DUMMYFUNCTION("""COMPUTED_VALUE"""),329.0)</f>
        <v>329</v>
      </c>
      <c r="AZ807" s="71">
        <f>IFERROR(__xludf.DUMMYFUNCTION("""COMPUTED_VALUE"""),355.0)</f>
        <v>355</v>
      </c>
      <c r="BA807" s="71">
        <f>IFERROR(__xludf.DUMMYFUNCTION("""COMPUTED_VALUE"""),383.40000000000003)</f>
        <v>383.4</v>
      </c>
      <c r="BB807" s="71">
        <f>IFERROR(__xludf.DUMMYFUNCTION("""COMPUTED_VALUE"""),383.40000000000003)</f>
        <v>383.4</v>
      </c>
      <c r="BC807" s="71">
        <f>IFERROR(__xludf.DUMMYFUNCTION("""COMPUTED_VALUE"""),428.0)</f>
        <v>428</v>
      </c>
      <c r="BD807" s="71">
        <f>IFERROR(__xludf.DUMMYFUNCTION("""COMPUTED_VALUE"""),449.0)</f>
        <v>449</v>
      </c>
      <c r="BE807" s="71">
        <f>IFERROR(__xludf.DUMMYFUNCTION("""COMPUTED_VALUE"""),71.84)</f>
        <v>71.84</v>
      </c>
      <c r="BF807" s="71">
        <f>IFERROR(__xludf.DUMMYFUNCTION("""COMPUTED_VALUE"""),520.84)</f>
        <v>520.84</v>
      </c>
      <c r="BG807" s="71">
        <f>IFERROR(__xludf.DUMMYFUNCTION("""COMPUTED_VALUE"""),0.04906542056074766)</f>
        <v>0.04906542056</v>
      </c>
      <c r="BH807" s="71">
        <f>IFERROR(__xludf.DUMMYFUNCTION("""COMPUTED_VALUE"""),426.54999999999995)</f>
        <v>426.55</v>
      </c>
      <c r="BI807" s="71">
        <f>IFERROR(__xludf.DUMMYFUNCTION("""COMPUTED_VALUE"""),68.24799999999999)</f>
        <v>68.248</v>
      </c>
      <c r="BJ807" s="71">
        <f>IFERROR(__xludf.DUMMYFUNCTION("""COMPUTED_VALUE"""),494.79799999999994)</f>
        <v>494.798</v>
      </c>
      <c r="BK807" s="71">
        <f>IFERROR(__xludf.DUMMYFUNCTION("""COMPUTED_VALUE"""),404.1)</f>
        <v>404.1</v>
      </c>
      <c r="BL807" s="71">
        <f>IFERROR(__xludf.DUMMYFUNCTION("""COMPUTED_VALUE"""),64.656)</f>
        <v>64.656</v>
      </c>
      <c r="BM807" s="71">
        <f>IFERROR(__xludf.DUMMYFUNCTION("""COMPUTED_VALUE"""),468.75600000000003)</f>
        <v>468.756</v>
      </c>
      <c r="BN807" s="71">
        <f>IFERROR(__xludf.DUMMYFUNCTION("""COMPUTED_VALUE"""),381.65)</f>
        <v>381.65</v>
      </c>
      <c r="BO807" s="71">
        <f>IFERROR(__xludf.DUMMYFUNCTION("""COMPUTED_VALUE"""),61.064)</f>
        <v>61.064</v>
      </c>
      <c r="BP807" s="71">
        <f>IFERROR(__xludf.DUMMYFUNCTION("""COMPUTED_VALUE"""),442.714)</f>
        <v>442.714</v>
      </c>
      <c r="BQ807" s="71">
        <f>IFERROR(__xludf.DUMMYFUNCTION("""COMPUTED_VALUE"""),372.66999999999996)</f>
        <v>372.67</v>
      </c>
      <c r="BR807" s="71">
        <f>IFERROR(__xludf.DUMMYFUNCTION("""COMPUTED_VALUE"""),59.627199999999995)</f>
        <v>59.6272</v>
      </c>
      <c r="BS807" s="71">
        <f>IFERROR(__xludf.DUMMYFUNCTION("""COMPUTED_VALUE"""),432.2972)</f>
        <v>432.2972</v>
      </c>
      <c r="BT807" s="71">
        <f>IFERROR(__xludf.DUMMYFUNCTION("""COMPUTED_VALUE"""),359.20000000000005)</f>
        <v>359.2</v>
      </c>
      <c r="BU807" s="71">
        <f>IFERROR(__xludf.DUMMYFUNCTION("""COMPUTED_VALUE"""),57.47200000000001)</f>
        <v>57.472</v>
      </c>
      <c r="BV807" s="71">
        <f>IFERROR(__xludf.DUMMYFUNCTION("""COMPUTED_VALUE"""),416.672)</f>
        <v>416.672</v>
      </c>
    </row>
    <row r="808">
      <c r="A808" s="53"/>
      <c r="B808" s="53"/>
      <c r="C808" s="53" t="s">
        <v>36</v>
      </c>
      <c r="D808" s="85" t="s">
        <v>1953</v>
      </c>
      <c r="E808" s="54" t="s">
        <v>38</v>
      </c>
      <c r="F808" s="55" t="s">
        <v>39</v>
      </c>
      <c r="G808" s="86" t="s">
        <v>1954</v>
      </c>
      <c r="H808" s="55"/>
      <c r="I808" s="54">
        <f t="shared" si="24"/>
        <v>0</v>
      </c>
      <c r="J808" s="56"/>
      <c r="K808" s="57"/>
      <c r="L808" s="76"/>
      <c r="M808" s="59"/>
      <c r="N808" s="60"/>
      <c r="O808" s="61">
        <v>1962.0</v>
      </c>
      <c r="P808" s="62">
        <v>2118.96</v>
      </c>
      <c r="Q808" s="63">
        <v>2118.96</v>
      </c>
      <c r="R808" s="64">
        <v>2225.0</v>
      </c>
      <c r="S808" s="107">
        <v>2336.0</v>
      </c>
      <c r="T808" s="65">
        <f t="shared" si="2"/>
        <v>373.76</v>
      </c>
      <c r="U808" s="65">
        <f t="shared" si="3"/>
        <v>2709.76</v>
      </c>
      <c r="V808" s="66">
        <f t="shared" si="4"/>
        <v>0.04988764045</v>
      </c>
      <c r="W808" s="67">
        <f t="shared" si="5"/>
        <v>2219.2</v>
      </c>
      <c r="X808" s="67">
        <f t="shared" si="6"/>
        <v>355.072</v>
      </c>
      <c r="Y808" s="67">
        <f t="shared" si="7"/>
        <v>2574.272</v>
      </c>
      <c r="Z808" s="67">
        <f t="shared" si="8"/>
        <v>2102.4</v>
      </c>
      <c r="AA808" s="67">
        <f t="shared" si="9"/>
        <v>336.384</v>
      </c>
      <c r="AB808" s="67">
        <f t="shared" si="10"/>
        <v>2438.784</v>
      </c>
      <c r="AC808" s="67">
        <f t="shared" si="11"/>
        <v>1985.6</v>
      </c>
      <c r="AD808" s="67">
        <f t="shared" si="12"/>
        <v>317.696</v>
      </c>
      <c r="AE808" s="67">
        <f t="shared" si="13"/>
        <v>2303.296</v>
      </c>
      <c r="AF808" s="67">
        <f t="shared" si="33"/>
        <v>1938.88</v>
      </c>
      <c r="AG808" s="67">
        <f t="shared" si="15"/>
        <v>310.2208</v>
      </c>
      <c r="AH808" s="67">
        <f t="shared" si="16"/>
        <v>2249.1008</v>
      </c>
      <c r="AI808" s="67">
        <f t="shared" si="17"/>
        <v>1868.8</v>
      </c>
      <c r="AJ808" s="68">
        <f t="shared" si="31"/>
        <v>299.008</v>
      </c>
      <c r="AK808" s="68">
        <f t="shared" si="32"/>
        <v>2167.808</v>
      </c>
      <c r="AL808" s="70">
        <f>IFERROR(__xludf.DUMMYFUNCTION("""COMPUTED_VALUE"""),1.0)</f>
        <v>1</v>
      </c>
      <c r="AM808" s="70"/>
      <c r="AN808" s="71" t="str">
        <f>IFERROR(__xludf.DUMMYFUNCTION("""COMPUTED_VALUE""")," C")</f>
        <v>C</v>
      </c>
      <c r="AO808" s="71" t="str">
        <f>IFERROR(__xludf.DUMMYFUNCTION("""COMPUTED_VALUE""")," ML34")</f>
        <v>ML34</v>
      </c>
      <c r="AP808" s="71" t="str">
        <f>IFERROR(__xludf.DUMMYFUNCTION("""COMPUTED_VALUE""")," PZA")</f>
        <v>PZA</v>
      </c>
      <c r="AQ808" s="71" t="str">
        <f>IFERROR(__xludf.DUMMYFUNCTION("""COMPUTED_VALUE""")," REF")</f>
        <v>REF</v>
      </c>
      <c r="AR808" s="71" t="str">
        <f>IFERROR(__xludf.DUMMYFUNCTION("""COMPUTED_VALUE""")," MALLA PARA COLUMPIO SENCILLO GALVANIZADA DE 32 CM. (1.40 MT.)")</f>
        <v>MALLA PARA COLUMPIO SENCILLO GALVANIZADA DE 32 CM. (1.40 MT.)</v>
      </c>
      <c r="AS808" s="71" t="str">
        <f>IFERROR(__xludf.DUMMYFUNCTION("""COMPUTED_VALUE""")," MALLA COLUMPIO SENC GALV 32CM X 1.40MT")</f>
        <v>MALLA COLUMPIO SENC GALV 32CM X 1.40MT</v>
      </c>
      <c r="AT808" s="71">
        <f>IFERROR(__xludf.DUMMYFUNCTION("""COMPUTED_VALUE"""),38.0)</f>
        <v>38</v>
      </c>
      <c r="AU808" s="71"/>
      <c r="AV808" s="71"/>
      <c r="AW808" s="71"/>
      <c r="AX808" s="71"/>
      <c r="AY808" s="71">
        <f>IFERROR(__xludf.DUMMYFUNCTION("""COMPUTED_VALUE"""),458.0)</f>
        <v>458</v>
      </c>
      <c r="AZ808" s="71">
        <f>IFERROR(__xludf.DUMMYFUNCTION("""COMPUTED_VALUE"""),494.0)</f>
        <v>494</v>
      </c>
      <c r="BA808" s="71">
        <f>IFERROR(__xludf.DUMMYFUNCTION("""COMPUTED_VALUE"""),533.52)</f>
        <v>533.52</v>
      </c>
      <c r="BB808" s="71">
        <f>IFERROR(__xludf.DUMMYFUNCTION("""COMPUTED_VALUE"""),533.52)</f>
        <v>533.52</v>
      </c>
      <c r="BC808" s="71">
        <f>IFERROR(__xludf.DUMMYFUNCTION("""COMPUTED_VALUE"""),595.0)</f>
        <v>595</v>
      </c>
      <c r="BD808" s="71">
        <f>IFERROR(__xludf.DUMMYFUNCTION("""COMPUTED_VALUE"""),625.0)</f>
        <v>625</v>
      </c>
      <c r="BE808" s="71">
        <f>IFERROR(__xludf.DUMMYFUNCTION("""COMPUTED_VALUE"""),100.0)</f>
        <v>100</v>
      </c>
      <c r="BF808" s="71">
        <f>IFERROR(__xludf.DUMMYFUNCTION("""COMPUTED_VALUE"""),725.0)</f>
        <v>725</v>
      </c>
      <c r="BG808" s="71">
        <f>IFERROR(__xludf.DUMMYFUNCTION("""COMPUTED_VALUE"""),0.05042016806722689)</f>
        <v>0.05042016807</v>
      </c>
      <c r="BH808" s="71">
        <f>IFERROR(__xludf.DUMMYFUNCTION("""COMPUTED_VALUE"""),593.75)</f>
        <v>593.75</v>
      </c>
      <c r="BI808" s="71">
        <f>IFERROR(__xludf.DUMMYFUNCTION("""COMPUTED_VALUE"""),95.0)</f>
        <v>95</v>
      </c>
      <c r="BJ808" s="71">
        <f>IFERROR(__xludf.DUMMYFUNCTION("""COMPUTED_VALUE"""),688.75)</f>
        <v>688.75</v>
      </c>
      <c r="BK808" s="71">
        <f>IFERROR(__xludf.DUMMYFUNCTION("""COMPUTED_VALUE"""),562.5)</f>
        <v>562.5</v>
      </c>
      <c r="BL808" s="71">
        <f>IFERROR(__xludf.DUMMYFUNCTION("""COMPUTED_VALUE"""),90.0)</f>
        <v>90</v>
      </c>
      <c r="BM808" s="71">
        <f>IFERROR(__xludf.DUMMYFUNCTION("""COMPUTED_VALUE"""),652.5)</f>
        <v>652.5</v>
      </c>
      <c r="BN808" s="71">
        <f>IFERROR(__xludf.DUMMYFUNCTION("""COMPUTED_VALUE"""),531.25)</f>
        <v>531.25</v>
      </c>
      <c r="BO808" s="71">
        <f>IFERROR(__xludf.DUMMYFUNCTION("""COMPUTED_VALUE"""),85.0)</f>
        <v>85</v>
      </c>
      <c r="BP808" s="71">
        <f>IFERROR(__xludf.DUMMYFUNCTION("""COMPUTED_VALUE"""),616.25)</f>
        <v>616.25</v>
      </c>
      <c r="BQ808" s="71">
        <f>IFERROR(__xludf.DUMMYFUNCTION("""COMPUTED_VALUE"""),518.75)</f>
        <v>518.75</v>
      </c>
      <c r="BR808" s="71">
        <f>IFERROR(__xludf.DUMMYFUNCTION("""COMPUTED_VALUE"""),83.0)</f>
        <v>83</v>
      </c>
      <c r="BS808" s="71">
        <f>IFERROR(__xludf.DUMMYFUNCTION("""COMPUTED_VALUE"""),601.75)</f>
        <v>601.75</v>
      </c>
      <c r="BT808" s="71">
        <f>IFERROR(__xludf.DUMMYFUNCTION("""COMPUTED_VALUE"""),500.0)</f>
        <v>500</v>
      </c>
      <c r="BU808" s="71">
        <f>IFERROR(__xludf.DUMMYFUNCTION("""COMPUTED_VALUE"""),80.0)</f>
        <v>80</v>
      </c>
      <c r="BV808" s="71">
        <f>IFERROR(__xludf.DUMMYFUNCTION("""COMPUTED_VALUE"""),580.0)</f>
        <v>580</v>
      </c>
    </row>
    <row r="809">
      <c r="A809" s="53">
        <v>1.0</v>
      </c>
      <c r="B809" s="72"/>
      <c r="C809" s="73" t="s">
        <v>53</v>
      </c>
      <c r="D809" s="74" t="s">
        <v>1955</v>
      </c>
      <c r="E809" s="54" t="s">
        <v>38</v>
      </c>
      <c r="F809" s="54" t="s">
        <v>42</v>
      </c>
      <c r="G809" s="55" t="s">
        <v>1956</v>
      </c>
      <c r="H809" s="54" t="s">
        <v>1957</v>
      </c>
      <c r="I809" s="54">
        <f t="shared" si="24"/>
        <v>13</v>
      </c>
      <c r="J809" s="56"/>
      <c r="K809" s="75"/>
      <c r="L809" s="87"/>
      <c r="M809" s="59"/>
      <c r="N809" s="60">
        <v>1074.0</v>
      </c>
      <c r="O809" s="61">
        <v>1159.0</v>
      </c>
      <c r="P809" s="62">
        <v>1251.72</v>
      </c>
      <c r="Q809" s="63">
        <v>1251.72</v>
      </c>
      <c r="R809" s="64">
        <v>1394.0</v>
      </c>
      <c r="S809" s="111">
        <v>1464.0</v>
      </c>
      <c r="T809" s="65">
        <f t="shared" si="2"/>
        <v>234.24</v>
      </c>
      <c r="U809" s="65">
        <f t="shared" si="3"/>
        <v>1698.24</v>
      </c>
      <c r="V809" s="66">
        <f t="shared" si="4"/>
        <v>0.05021520803</v>
      </c>
      <c r="W809" s="67">
        <f t="shared" si="5"/>
        <v>1390.8</v>
      </c>
      <c r="X809" s="67">
        <f t="shared" si="6"/>
        <v>222.528</v>
      </c>
      <c r="Y809" s="67">
        <f t="shared" si="7"/>
        <v>1613.328</v>
      </c>
      <c r="Z809" s="67">
        <f t="shared" si="8"/>
        <v>1317.6</v>
      </c>
      <c r="AA809" s="67">
        <f t="shared" si="9"/>
        <v>210.816</v>
      </c>
      <c r="AB809" s="67">
        <f t="shared" si="10"/>
        <v>1528.416</v>
      </c>
      <c r="AC809" s="67">
        <f t="shared" si="11"/>
        <v>1244.4</v>
      </c>
      <c r="AD809" s="67">
        <f t="shared" si="12"/>
        <v>199.104</v>
      </c>
      <c r="AE809" s="67">
        <f t="shared" si="13"/>
        <v>1443.504</v>
      </c>
      <c r="AF809" s="67">
        <f t="shared" si="33"/>
        <v>1215.12</v>
      </c>
      <c r="AG809" s="67">
        <f t="shared" si="15"/>
        <v>194.4192</v>
      </c>
      <c r="AH809" s="67">
        <f t="shared" si="16"/>
        <v>1409.5392</v>
      </c>
      <c r="AI809" s="67">
        <f t="shared" si="17"/>
        <v>1171.2</v>
      </c>
      <c r="AJ809" s="68">
        <f t="shared" si="31"/>
        <v>187.392</v>
      </c>
      <c r="AK809" s="68">
        <f t="shared" si="32"/>
        <v>1358.592</v>
      </c>
      <c r="AL809" s="70">
        <f>IFERROR(__xludf.DUMMYFUNCTION("""COMPUTED_VALUE"""),1.0)</f>
        <v>1</v>
      </c>
      <c r="AM809" s="70"/>
      <c r="AN809" s="71" t="str">
        <f>IFERROR(__xludf.DUMMYFUNCTION("""COMPUTED_VALUE""")," C")</f>
        <v>C</v>
      </c>
      <c r="AO809" s="71" t="str">
        <f>IFERROR(__xludf.DUMMYFUNCTION("""COMPUTED_VALUE""")," ML12")</f>
        <v>ML12</v>
      </c>
      <c r="AP809" s="71" t="str">
        <f>IFERROR(__xludf.DUMMYFUNCTION("""COMPUTED_VALUE""")," PZA")</f>
        <v>PZA</v>
      </c>
      <c r="AQ809" s="71" t="str">
        <f>IFERROR(__xludf.DUMMYFUNCTION("""COMPUTED_VALUE""")," REF")</f>
        <v>REF</v>
      </c>
      <c r="AR809" s="71" t="str">
        <f>IFERROR(__xludf.DUMMYFUNCTION("""COMPUTED_VALUE""")," MALLA PARA DESLIZADOR MECÁNICO DUPLEX FIERRO 40X40 CM")</f>
        <v>MALLA PARA DESLIZADOR MECÁNICO DUPLEX FIERRO 40X40 CM</v>
      </c>
      <c r="AS809" s="71" t="str">
        <f>IFERROR(__xludf.DUMMYFUNCTION("""COMPUTED_VALUE""")," MALLA P/DESLIZADOR MEC DPLX FERR 40X40CM")</f>
        <v>MALLA P/DESLIZADOR MEC DPLX FERR 40X40CM</v>
      </c>
      <c r="AT809" s="71">
        <f>IFERROR(__xludf.DUMMYFUNCTION("""COMPUTED_VALUE"""),40.0)</f>
        <v>40</v>
      </c>
      <c r="AU809" s="71"/>
      <c r="AV809" s="71"/>
      <c r="AW809" s="71"/>
      <c r="AX809" s="71"/>
      <c r="AY809" s="71">
        <f>IFERROR(__xludf.DUMMYFUNCTION("""COMPUTED_VALUE"""),178.0)</f>
        <v>178</v>
      </c>
      <c r="AZ809" s="71">
        <f>IFERROR(__xludf.DUMMYFUNCTION("""COMPUTED_VALUE"""),192.0)</f>
        <v>192</v>
      </c>
      <c r="BA809" s="71">
        <f>IFERROR(__xludf.DUMMYFUNCTION("""COMPUTED_VALUE"""),207.36)</f>
        <v>207.36</v>
      </c>
      <c r="BB809" s="71">
        <f>IFERROR(__xludf.DUMMYFUNCTION("""COMPUTED_VALUE"""),207.36)</f>
        <v>207.36</v>
      </c>
      <c r="BC809" s="71">
        <f>IFERROR(__xludf.DUMMYFUNCTION("""COMPUTED_VALUE"""),231.0)</f>
        <v>231</v>
      </c>
      <c r="BD809" s="71">
        <f>IFERROR(__xludf.DUMMYFUNCTION("""COMPUTED_VALUE"""),243.0)</f>
        <v>243</v>
      </c>
      <c r="BE809" s="71">
        <f>IFERROR(__xludf.DUMMYFUNCTION("""COMPUTED_VALUE"""),38.88)</f>
        <v>38.88</v>
      </c>
      <c r="BF809" s="71">
        <f>IFERROR(__xludf.DUMMYFUNCTION("""COMPUTED_VALUE"""),281.88)</f>
        <v>281.88</v>
      </c>
      <c r="BG809" s="71">
        <f>IFERROR(__xludf.DUMMYFUNCTION("""COMPUTED_VALUE"""),0.05194805194805195)</f>
        <v>0.05194805195</v>
      </c>
      <c r="BH809" s="71">
        <f>IFERROR(__xludf.DUMMYFUNCTION("""COMPUTED_VALUE"""),230.85)</f>
        <v>230.85</v>
      </c>
      <c r="BI809" s="71">
        <f>IFERROR(__xludf.DUMMYFUNCTION("""COMPUTED_VALUE"""),36.936)</f>
        <v>36.936</v>
      </c>
      <c r="BJ809" s="71">
        <f>IFERROR(__xludf.DUMMYFUNCTION("""COMPUTED_VALUE"""),267.786)</f>
        <v>267.786</v>
      </c>
      <c r="BK809" s="71">
        <f>IFERROR(__xludf.DUMMYFUNCTION("""COMPUTED_VALUE"""),218.70000000000002)</f>
        <v>218.7</v>
      </c>
      <c r="BL809" s="71">
        <f>IFERROR(__xludf.DUMMYFUNCTION("""COMPUTED_VALUE"""),34.992000000000004)</f>
        <v>34.992</v>
      </c>
      <c r="BM809" s="71">
        <f>IFERROR(__xludf.DUMMYFUNCTION("""COMPUTED_VALUE"""),253.692)</f>
        <v>253.692</v>
      </c>
      <c r="BN809" s="71">
        <f>IFERROR(__xludf.DUMMYFUNCTION("""COMPUTED_VALUE"""),206.54999999999998)</f>
        <v>206.55</v>
      </c>
      <c r="BO809" s="71">
        <f>IFERROR(__xludf.DUMMYFUNCTION("""COMPUTED_VALUE"""),33.047999999999995)</f>
        <v>33.048</v>
      </c>
      <c r="BP809" s="71">
        <f>IFERROR(__xludf.DUMMYFUNCTION("""COMPUTED_VALUE"""),239.59799999999998)</f>
        <v>239.598</v>
      </c>
      <c r="BQ809" s="71">
        <f>IFERROR(__xludf.DUMMYFUNCTION("""COMPUTED_VALUE"""),201.69)</f>
        <v>201.69</v>
      </c>
      <c r="BR809" s="71">
        <f>IFERROR(__xludf.DUMMYFUNCTION("""COMPUTED_VALUE"""),32.2704)</f>
        <v>32.2704</v>
      </c>
      <c r="BS809" s="71">
        <f>IFERROR(__xludf.DUMMYFUNCTION("""COMPUTED_VALUE"""),233.9604)</f>
        <v>233.9604</v>
      </c>
      <c r="BT809" s="71">
        <f>IFERROR(__xludf.DUMMYFUNCTION("""COMPUTED_VALUE"""),194.4)</f>
        <v>194.4</v>
      </c>
      <c r="BU809" s="71">
        <f>IFERROR(__xludf.DUMMYFUNCTION("""COMPUTED_VALUE"""),31.104000000000003)</f>
        <v>31.104</v>
      </c>
      <c r="BV809" s="71">
        <f>IFERROR(__xludf.DUMMYFUNCTION("""COMPUTED_VALUE"""),225.50400000000002)</f>
        <v>225.504</v>
      </c>
    </row>
    <row r="810">
      <c r="A810" s="53"/>
      <c r="B810" s="53"/>
      <c r="C810" s="73" t="s">
        <v>12</v>
      </c>
      <c r="D810" s="53" t="s">
        <v>1958</v>
      </c>
      <c r="E810" s="54" t="s">
        <v>38</v>
      </c>
      <c r="F810" s="54" t="s">
        <v>42</v>
      </c>
      <c r="G810" s="55" t="s">
        <v>1959</v>
      </c>
      <c r="H810" s="55" t="s">
        <v>1960</v>
      </c>
      <c r="I810" s="54">
        <f t="shared" si="24"/>
        <v>34</v>
      </c>
      <c r="J810" s="56"/>
      <c r="K810" s="75"/>
      <c r="L810" s="87"/>
      <c r="M810" s="59"/>
      <c r="N810" s="60"/>
      <c r="O810" s="90"/>
      <c r="P810" s="62">
        <v>480.0</v>
      </c>
      <c r="Q810" s="63">
        <v>480.0</v>
      </c>
      <c r="R810" s="64">
        <v>504.0</v>
      </c>
      <c r="S810" s="111">
        <v>529.0</v>
      </c>
      <c r="T810" s="65">
        <f t="shared" si="2"/>
        <v>84.64</v>
      </c>
      <c r="U810" s="65">
        <f t="shared" si="3"/>
        <v>613.64</v>
      </c>
      <c r="V810" s="66">
        <f t="shared" si="4"/>
        <v>0.0496031746</v>
      </c>
      <c r="W810" s="67">
        <f t="shared" si="5"/>
        <v>502.55</v>
      </c>
      <c r="X810" s="67">
        <f t="shared" si="6"/>
        <v>80.408</v>
      </c>
      <c r="Y810" s="67">
        <f t="shared" si="7"/>
        <v>582.958</v>
      </c>
      <c r="Z810" s="67">
        <f t="shared" si="8"/>
        <v>476.1</v>
      </c>
      <c r="AA810" s="67">
        <f t="shared" si="9"/>
        <v>76.176</v>
      </c>
      <c r="AB810" s="67">
        <f t="shared" si="10"/>
        <v>552.276</v>
      </c>
      <c r="AC810" s="67">
        <f t="shared" si="11"/>
        <v>449.65</v>
      </c>
      <c r="AD810" s="67">
        <f t="shared" si="12"/>
        <v>71.944</v>
      </c>
      <c r="AE810" s="67">
        <f t="shared" si="13"/>
        <v>521.594</v>
      </c>
      <c r="AF810" s="67">
        <f t="shared" si="33"/>
        <v>439.07</v>
      </c>
      <c r="AG810" s="67">
        <f t="shared" si="15"/>
        <v>70.2512</v>
      </c>
      <c r="AH810" s="67">
        <f t="shared" si="16"/>
        <v>509.3212</v>
      </c>
      <c r="AI810" s="67">
        <f t="shared" si="17"/>
        <v>423.2</v>
      </c>
      <c r="AJ810" s="68">
        <f t="shared" si="31"/>
        <v>67.712</v>
      </c>
      <c r="AK810" s="68">
        <f t="shared" si="32"/>
        <v>490.912</v>
      </c>
      <c r="AL810" s="70">
        <f>IFERROR(__xludf.DUMMYFUNCTION("""COMPUTED_VALUE"""),1.0)</f>
        <v>1</v>
      </c>
      <c r="AM810" s="70"/>
      <c r="AN810" s="71" t="str">
        <f>IFERROR(__xludf.DUMMYFUNCTION("""COMPUTED_VALUE""")," C")</f>
        <v>C</v>
      </c>
      <c r="AO810" s="71" t="str">
        <f>IFERROR(__xludf.DUMMYFUNCTION("""COMPUTED_VALUE""")," ML13")</f>
        <v>ML13</v>
      </c>
      <c r="AP810" s="71" t="str">
        <f>IFERROR(__xludf.DUMMYFUNCTION("""COMPUTED_VALUE""")," PZA")</f>
        <v>PZA</v>
      </c>
      <c r="AQ810" s="71" t="str">
        <f>IFERROR(__xludf.DUMMYFUNCTION("""COMPUTED_VALUE""")," REF")</f>
        <v>REF</v>
      </c>
      <c r="AR810" s="71" t="str">
        <f>IFERROR(__xludf.DUMMYFUNCTION("""COMPUTED_VALUE""")," MALLA PARA DESLIZADOR MECANICO SENCILLO FIERRO 28.5X40 CM")</f>
        <v>MALLA PARA DESLIZADOR MECANICO SENCILLO FIERRO 28.5X40 CM</v>
      </c>
      <c r="AS810" s="71" t="str">
        <f>IFERROR(__xludf.DUMMYFUNCTION("""COMPUTED_VALUE""")," MALLA P/DESLIZDR MEC SENC FERR 28.5X40CM")</f>
        <v>MALLA P/DESLIZDR MEC SENC FERR 28.5X40CM</v>
      </c>
      <c r="AT810" s="71">
        <f>IFERROR(__xludf.DUMMYFUNCTION("""COMPUTED_VALUE"""),40.0)</f>
        <v>40</v>
      </c>
      <c r="AU810" s="71"/>
      <c r="AV810" s="71"/>
      <c r="AW810" s="71"/>
      <c r="AX810" s="71"/>
      <c r="AY810" s="71">
        <f>IFERROR(__xludf.DUMMYFUNCTION("""COMPUTED_VALUE"""),139.0)</f>
        <v>139</v>
      </c>
      <c r="AZ810" s="71">
        <f>IFERROR(__xludf.DUMMYFUNCTION("""COMPUTED_VALUE"""),168.0)</f>
        <v>168</v>
      </c>
      <c r="BA810" s="71">
        <f>IFERROR(__xludf.DUMMYFUNCTION("""COMPUTED_VALUE"""),181.44)</f>
        <v>181.44</v>
      </c>
      <c r="BB810" s="71">
        <f>IFERROR(__xludf.DUMMYFUNCTION("""COMPUTED_VALUE"""),181.44)</f>
        <v>181.44</v>
      </c>
      <c r="BC810" s="71">
        <f>IFERROR(__xludf.DUMMYFUNCTION("""COMPUTED_VALUE"""),203.0)</f>
        <v>203</v>
      </c>
      <c r="BD810" s="71">
        <f>IFERROR(__xludf.DUMMYFUNCTION("""COMPUTED_VALUE"""),213.0)</f>
        <v>213</v>
      </c>
      <c r="BE810" s="71">
        <f>IFERROR(__xludf.DUMMYFUNCTION("""COMPUTED_VALUE"""),34.08)</f>
        <v>34.08</v>
      </c>
      <c r="BF810" s="71">
        <f>IFERROR(__xludf.DUMMYFUNCTION("""COMPUTED_VALUE"""),247.07999999999998)</f>
        <v>247.08</v>
      </c>
      <c r="BG810" s="71">
        <f>IFERROR(__xludf.DUMMYFUNCTION("""COMPUTED_VALUE"""),0.04926108374384237)</f>
        <v>0.04926108374</v>
      </c>
      <c r="BH810" s="71">
        <f>IFERROR(__xludf.DUMMYFUNCTION("""COMPUTED_VALUE"""),202.35)</f>
        <v>202.35</v>
      </c>
      <c r="BI810" s="71">
        <f>IFERROR(__xludf.DUMMYFUNCTION("""COMPUTED_VALUE"""),32.376)</f>
        <v>32.376</v>
      </c>
      <c r="BJ810" s="71">
        <f>IFERROR(__xludf.DUMMYFUNCTION("""COMPUTED_VALUE"""),234.726)</f>
        <v>234.726</v>
      </c>
      <c r="BK810" s="71">
        <f>IFERROR(__xludf.DUMMYFUNCTION("""COMPUTED_VALUE"""),191.70000000000002)</f>
        <v>191.7</v>
      </c>
      <c r="BL810" s="71">
        <f>IFERROR(__xludf.DUMMYFUNCTION("""COMPUTED_VALUE"""),30.672000000000004)</f>
        <v>30.672</v>
      </c>
      <c r="BM810" s="71">
        <f>IFERROR(__xludf.DUMMYFUNCTION("""COMPUTED_VALUE"""),222.372)</f>
        <v>222.372</v>
      </c>
      <c r="BN810" s="71">
        <f>IFERROR(__xludf.DUMMYFUNCTION("""COMPUTED_VALUE"""),181.04999999999998)</f>
        <v>181.05</v>
      </c>
      <c r="BO810" s="71">
        <f>IFERROR(__xludf.DUMMYFUNCTION("""COMPUTED_VALUE"""),28.967999999999996)</f>
        <v>28.968</v>
      </c>
      <c r="BP810" s="71">
        <f>IFERROR(__xludf.DUMMYFUNCTION("""COMPUTED_VALUE"""),210.01799999999997)</f>
        <v>210.018</v>
      </c>
      <c r="BQ810" s="71">
        <f>IFERROR(__xludf.DUMMYFUNCTION("""COMPUTED_VALUE"""),176.79)</f>
        <v>176.79</v>
      </c>
      <c r="BR810" s="71">
        <f>IFERROR(__xludf.DUMMYFUNCTION("""COMPUTED_VALUE"""),28.2864)</f>
        <v>28.2864</v>
      </c>
      <c r="BS810" s="71">
        <f>IFERROR(__xludf.DUMMYFUNCTION("""COMPUTED_VALUE"""),205.07639999999998)</f>
        <v>205.0764</v>
      </c>
      <c r="BT810" s="71">
        <f>IFERROR(__xludf.DUMMYFUNCTION("""COMPUTED_VALUE"""),170.4)</f>
        <v>170.4</v>
      </c>
      <c r="BU810" s="71">
        <f>IFERROR(__xludf.DUMMYFUNCTION("""COMPUTED_VALUE"""),27.264000000000003)</f>
        <v>27.264</v>
      </c>
      <c r="BV810" s="71">
        <f>IFERROR(__xludf.DUMMYFUNCTION("""COMPUTED_VALUE"""),197.66400000000002)</f>
        <v>197.664</v>
      </c>
    </row>
    <row r="811">
      <c r="A811" s="53">
        <v>1.0</v>
      </c>
      <c r="B811" s="72"/>
      <c r="C811" s="73" t="s">
        <v>53</v>
      </c>
      <c r="D811" s="53" t="s">
        <v>1961</v>
      </c>
      <c r="E811" s="54" t="s">
        <v>38</v>
      </c>
      <c r="F811" s="54" t="s">
        <v>42</v>
      </c>
      <c r="G811" s="54" t="s">
        <v>1962</v>
      </c>
      <c r="H811" s="54" t="s">
        <v>1962</v>
      </c>
      <c r="I811" s="54">
        <f t="shared" si="24"/>
        <v>15</v>
      </c>
      <c r="J811" s="56"/>
      <c r="K811" s="75"/>
      <c r="L811" s="87"/>
      <c r="M811" s="59"/>
      <c r="N811" s="60">
        <v>987.0</v>
      </c>
      <c r="O811" s="61">
        <v>1065.0</v>
      </c>
      <c r="P811" s="62">
        <v>1150.2</v>
      </c>
      <c r="Q811" s="63">
        <v>1150.2</v>
      </c>
      <c r="R811" s="64">
        <v>1281.0</v>
      </c>
      <c r="S811" s="111">
        <v>1345.0</v>
      </c>
      <c r="T811" s="65">
        <f t="shared" si="2"/>
        <v>215.2</v>
      </c>
      <c r="U811" s="65">
        <f t="shared" si="3"/>
        <v>1560.2</v>
      </c>
      <c r="V811" s="66">
        <f t="shared" si="4"/>
        <v>0.04996096799</v>
      </c>
      <c r="W811" s="67">
        <f t="shared" si="5"/>
        <v>1277.75</v>
      </c>
      <c r="X811" s="67">
        <f t="shared" si="6"/>
        <v>204.44</v>
      </c>
      <c r="Y811" s="67">
        <f t="shared" si="7"/>
        <v>1482.19</v>
      </c>
      <c r="Z811" s="67">
        <f t="shared" si="8"/>
        <v>1210.5</v>
      </c>
      <c r="AA811" s="67">
        <f t="shared" si="9"/>
        <v>193.68</v>
      </c>
      <c r="AB811" s="67">
        <f t="shared" si="10"/>
        <v>1404.18</v>
      </c>
      <c r="AC811" s="67">
        <f t="shared" si="11"/>
        <v>1143.25</v>
      </c>
      <c r="AD811" s="67">
        <f t="shared" si="12"/>
        <v>182.92</v>
      </c>
      <c r="AE811" s="67">
        <f t="shared" si="13"/>
        <v>1326.17</v>
      </c>
      <c r="AF811" s="67">
        <f t="shared" si="33"/>
        <v>1116.35</v>
      </c>
      <c r="AG811" s="67">
        <f t="shared" si="15"/>
        <v>178.616</v>
      </c>
      <c r="AH811" s="67">
        <f t="shared" si="16"/>
        <v>1294.966</v>
      </c>
      <c r="AI811" s="67">
        <f t="shared" si="17"/>
        <v>1076</v>
      </c>
      <c r="AJ811" s="68">
        <f t="shared" si="31"/>
        <v>172.16</v>
      </c>
      <c r="AK811" s="68">
        <f t="shared" si="32"/>
        <v>1248.16</v>
      </c>
      <c r="AL811" s="70">
        <f>IFERROR(__xludf.DUMMYFUNCTION("""COMPUTED_VALUE"""),1.0)</f>
        <v>1</v>
      </c>
      <c r="AM811" s="70"/>
      <c r="AN811" s="71" t="str">
        <f>IFERROR(__xludf.DUMMYFUNCTION("""COMPUTED_VALUE""")," C")</f>
        <v>C</v>
      </c>
      <c r="AO811" s="71" t="str">
        <f>IFERROR(__xludf.DUMMYFUNCTION("""COMPUTED_VALUE""")," ML09")</f>
        <v>ML09</v>
      </c>
      <c r="AP811" s="71" t="str">
        <f>IFERROR(__xludf.DUMMYFUNCTION("""COMPUTED_VALUE""")," PZA")</f>
        <v>PZA</v>
      </c>
      <c r="AQ811" s="71" t="str">
        <f>IFERROR(__xludf.DUMMYFUNCTION("""COMPUTED_VALUE""")," REF")</f>
        <v>REF</v>
      </c>
      <c r="AR811" s="71" t="str">
        <f>IFERROR(__xludf.DUMMYFUNCTION("""COMPUTED_VALUE""")," MALLA PARA ENFRIADOR DÚPLEX CON PASADOR DE 23"" (8 MT.)")</f>
        <v>MALLA PARA ENFRIADOR DÚPLEX CON PASADOR DE 23" (8 MT.)</v>
      </c>
      <c r="AS811" s="71" t="str">
        <f>IFERROR(__xludf.DUMMYFUNCTION("""COMPUTED_VALUE""")," MALLA ENFRIADR DPLX C/PASADR 23PLG X 8MT")</f>
        <v>MALLA ENFRIADR DPLX C/PASADR 23PLG X 8MT</v>
      </c>
      <c r="AT811" s="71">
        <f>IFERROR(__xludf.DUMMYFUNCTION("""COMPUTED_VALUE"""),40.0)</f>
        <v>40</v>
      </c>
      <c r="AU811" s="71"/>
      <c r="AV811" s="71"/>
      <c r="AW811" s="71"/>
      <c r="AX811" s="71"/>
      <c r="AY811" s="71">
        <f>IFERROR(__xludf.DUMMYFUNCTION("""COMPUTED_VALUE"""),1520.0)</f>
        <v>1520</v>
      </c>
      <c r="AZ811" s="71">
        <f>IFERROR(__xludf.DUMMYFUNCTION("""COMPUTED_VALUE"""),1641.0)</f>
        <v>1641</v>
      </c>
      <c r="BA811" s="71">
        <f>IFERROR(__xludf.DUMMYFUNCTION("""COMPUTED_VALUE"""),1772.2800000000002)</f>
        <v>1772.28</v>
      </c>
      <c r="BB811" s="71">
        <f>IFERROR(__xludf.DUMMYFUNCTION("""COMPUTED_VALUE"""),1772.2800000000002)</f>
        <v>1772.28</v>
      </c>
      <c r="BC811" s="71">
        <f>IFERROR(__xludf.DUMMYFUNCTION("""COMPUTED_VALUE"""),1973.0)</f>
        <v>1973</v>
      </c>
      <c r="BD811" s="71">
        <f>IFERROR(__xludf.DUMMYFUNCTION("""COMPUTED_VALUE"""),2072.0)</f>
        <v>2072</v>
      </c>
      <c r="BE811" s="71">
        <f>IFERROR(__xludf.DUMMYFUNCTION("""COMPUTED_VALUE"""),331.52)</f>
        <v>331.52</v>
      </c>
      <c r="BF811" s="71">
        <f>IFERROR(__xludf.DUMMYFUNCTION("""COMPUTED_VALUE"""),2403.52)</f>
        <v>2403.52</v>
      </c>
      <c r="BG811" s="71">
        <f>IFERROR(__xludf.DUMMYFUNCTION("""COMPUTED_VALUE"""),0.050177394830207805)</f>
        <v>0.05017739483</v>
      </c>
      <c r="BH811" s="71">
        <f>IFERROR(__xludf.DUMMYFUNCTION("""COMPUTED_VALUE"""),1968.3999999999999)</f>
        <v>1968.4</v>
      </c>
      <c r="BI811" s="71">
        <f>IFERROR(__xludf.DUMMYFUNCTION("""COMPUTED_VALUE"""),314.94399999999996)</f>
        <v>314.944</v>
      </c>
      <c r="BJ811" s="71">
        <f>IFERROR(__xludf.DUMMYFUNCTION("""COMPUTED_VALUE"""),2283.344)</f>
        <v>2283.344</v>
      </c>
      <c r="BK811" s="71">
        <f>IFERROR(__xludf.DUMMYFUNCTION("""COMPUTED_VALUE"""),1864.8)</f>
        <v>1864.8</v>
      </c>
      <c r="BL811" s="71">
        <f>IFERROR(__xludf.DUMMYFUNCTION("""COMPUTED_VALUE"""),298.368)</f>
        <v>298.368</v>
      </c>
      <c r="BM811" s="71">
        <f>IFERROR(__xludf.DUMMYFUNCTION("""COMPUTED_VALUE"""),2163.168)</f>
        <v>2163.168</v>
      </c>
      <c r="BN811" s="71">
        <f>IFERROR(__xludf.DUMMYFUNCTION("""COMPUTED_VALUE"""),1761.2)</f>
        <v>1761.2</v>
      </c>
      <c r="BO811" s="71">
        <f>IFERROR(__xludf.DUMMYFUNCTION("""COMPUTED_VALUE"""),281.79200000000003)</f>
        <v>281.792</v>
      </c>
      <c r="BP811" s="71">
        <f>IFERROR(__xludf.DUMMYFUNCTION("""COMPUTED_VALUE"""),2042.9920000000002)</f>
        <v>2042.992</v>
      </c>
      <c r="BQ811" s="71">
        <f>IFERROR(__xludf.DUMMYFUNCTION("""COMPUTED_VALUE"""),1719.76)</f>
        <v>1719.76</v>
      </c>
      <c r="BR811" s="71">
        <f>IFERROR(__xludf.DUMMYFUNCTION("""COMPUTED_VALUE"""),275.1616)</f>
        <v>275.1616</v>
      </c>
      <c r="BS811" s="71">
        <f>IFERROR(__xludf.DUMMYFUNCTION("""COMPUTED_VALUE"""),1994.9216000000001)</f>
        <v>1994.9216</v>
      </c>
      <c r="BT811" s="71">
        <f>IFERROR(__xludf.DUMMYFUNCTION("""COMPUTED_VALUE"""),1657.6000000000001)</f>
        <v>1657.6</v>
      </c>
      <c r="BU811" s="71">
        <f>IFERROR(__xludf.DUMMYFUNCTION("""COMPUTED_VALUE"""),265.216)</f>
        <v>265.216</v>
      </c>
      <c r="BV811" s="71">
        <f>IFERROR(__xludf.DUMMYFUNCTION("""COMPUTED_VALUE"""),1922.8160000000003)</f>
        <v>1922.816</v>
      </c>
    </row>
    <row r="812">
      <c r="A812" s="53"/>
      <c r="B812" s="53"/>
      <c r="C812" s="73" t="s">
        <v>12</v>
      </c>
      <c r="D812" s="53" t="s">
        <v>1963</v>
      </c>
      <c r="E812" s="54" t="s">
        <v>38</v>
      </c>
      <c r="F812" s="54" t="s">
        <v>42</v>
      </c>
      <c r="G812" s="55" t="s">
        <v>1964</v>
      </c>
      <c r="H812" s="54" t="s">
        <v>1965</v>
      </c>
      <c r="I812" s="54">
        <f t="shared" si="24"/>
        <v>30</v>
      </c>
      <c r="J812" s="56"/>
      <c r="K812" s="75"/>
      <c r="L812" s="76"/>
      <c r="M812" s="59"/>
      <c r="N812" s="79">
        <v>585.0</v>
      </c>
      <c r="O812" s="61">
        <v>631.0</v>
      </c>
      <c r="P812" s="63">
        <v>681.48</v>
      </c>
      <c r="Q812" s="63">
        <v>681.48</v>
      </c>
      <c r="R812" s="64">
        <v>716.0</v>
      </c>
      <c r="S812" s="111">
        <v>752.0</v>
      </c>
      <c r="T812" s="65">
        <f t="shared" si="2"/>
        <v>120.32</v>
      </c>
      <c r="U812" s="65">
        <f t="shared" si="3"/>
        <v>872.32</v>
      </c>
      <c r="V812" s="66">
        <f t="shared" si="4"/>
        <v>0.05027932961</v>
      </c>
      <c r="W812" s="67">
        <f t="shared" si="5"/>
        <v>714.4</v>
      </c>
      <c r="X812" s="67">
        <f t="shared" si="6"/>
        <v>114.304</v>
      </c>
      <c r="Y812" s="67">
        <f t="shared" si="7"/>
        <v>828.704</v>
      </c>
      <c r="Z812" s="67">
        <f t="shared" si="8"/>
        <v>676.8</v>
      </c>
      <c r="AA812" s="67">
        <f t="shared" si="9"/>
        <v>108.288</v>
      </c>
      <c r="AB812" s="67">
        <f t="shared" si="10"/>
        <v>785.088</v>
      </c>
      <c r="AC812" s="67">
        <f t="shared" si="11"/>
        <v>639.2</v>
      </c>
      <c r="AD812" s="67">
        <f t="shared" si="12"/>
        <v>102.272</v>
      </c>
      <c r="AE812" s="67">
        <f t="shared" si="13"/>
        <v>741.472</v>
      </c>
      <c r="AF812" s="67">
        <f t="shared" si="33"/>
        <v>624.16</v>
      </c>
      <c r="AG812" s="67">
        <f t="shared" si="15"/>
        <v>99.8656</v>
      </c>
      <c r="AH812" s="67">
        <f t="shared" si="16"/>
        <v>724.0256</v>
      </c>
      <c r="AI812" s="67">
        <f t="shared" si="17"/>
        <v>601.6</v>
      </c>
      <c r="AJ812" s="68">
        <f t="shared" si="31"/>
        <v>96.256</v>
      </c>
      <c r="AK812" s="68">
        <f t="shared" si="32"/>
        <v>697.856</v>
      </c>
      <c r="AL812" s="70">
        <f>IFERROR(__xludf.DUMMYFUNCTION("""COMPUTED_VALUE"""),1.0)</f>
        <v>1</v>
      </c>
      <c r="AM812" s="70"/>
      <c r="AN812" s="71" t="str">
        <f>IFERROR(__xludf.DUMMYFUNCTION("""COMPUTED_VALUE""")," C")</f>
        <v>C</v>
      </c>
      <c r="AO812" s="71" t="str">
        <f>IFERROR(__xludf.DUMMYFUNCTION("""COMPUTED_VALUE""")," ML01")</f>
        <v>ML01</v>
      </c>
      <c r="AP812" s="71" t="str">
        <f>IFERROR(__xludf.DUMMYFUNCTION("""COMPUTED_VALUE""")," PZA")</f>
        <v>PZA</v>
      </c>
      <c r="AQ812" s="71" t="str">
        <f>IFERROR(__xludf.DUMMYFUNCTION("""COMPUTED_VALUE""")," REF")</f>
        <v>REF</v>
      </c>
      <c r="AR812" s="71" t="str">
        <f>IFERROR(__xludf.DUMMYFUNCTION("""COMPUTED_VALUE""")," MALLA PARA ENFRIADOR SENCILLO CON PASADOR DE 10"" (9 MT.)")</f>
        <v>MALLA PARA ENFRIADOR SENCILLO CON PASADOR DE 10" (9 MT.)</v>
      </c>
      <c r="AS812" s="71" t="str">
        <f>IFERROR(__xludf.DUMMYFUNCTION("""COMPUTED_VALUE""")," MALLA ENFRIADR SENC C/PASADR 10PLG X 9MT")</f>
        <v>MALLA ENFRIADR SENC C/PASADR 10PLG X 9MT</v>
      </c>
      <c r="AT812" s="71">
        <f>IFERROR(__xludf.DUMMYFUNCTION("""COMPUTED_VALUE"""),40.0)</f>
        <v>40</v>
      </c>
      <c r="AU812" s="71"/>
      <c r="AV812" s="71"/>
      <c r="AW812" s="71"/>
      <c r="AX812" s="71"/>
      <c r="AY812" s="71">
        <f>IFERROR(__xludf.DUMMYFUNCTION("""COMPUTED_VALUE"""),1028.0)</f>
        <v>1028</v>
      </c>
      <c r="AZ812" s="71">
        <f>IFERROR(__xludf.DUMMYFUNCTION("""COMPUTED_VALUE"""),1110.0)</f>
        <v>1110</v>
      </c>
      <c r="BA812" s="71">
        <f>IFERROR(__xludf.DUMMYFUNCTION("""COMPUTED_VALUE"""),1198.8000000000002)</f>
        <v>1198.8</v>
      </c>
      <c r="BB812" s="71">
        <f>IFERROR(__xludf.DUMMYFUNCTION("""COMPUTED_VALUE"""),1198.8000000000002)</f>
        <v>1198.8</v>
      </c>
      <c r="BC812" s="71">
        <f>IFERROR(__xludf.DUMMYFUNCTION("""COMPUTED_VALUE"""),1322.0)</f>
        <v>1322</v>
      </c>
      <c r="BD812" s="71">
        <f>IFERROR(__xludf.DUMMYFUNCTION("""COMPUTED_VALUE"""),1388.0)</f>
        <v>1388</v>
      </c>
      <c r="BE812" s="71">
        <f>IFERROR(__xludf.DUMMYFUNCTION("""COMPUTED_VALUE"""),222.08)</f>
        <v>222.08</v>
      </c>
      <c r="BF812" s="71">
        <f>IFERROR(__xludf.DUMMYFUNCTION("""COMPUTED_VALUE"""),1610.08)</f>
        <v>1610.08</v>
      </c>
      <c r="BG812" s="71">
        <f>IFERROR(__xludf.DUMMYFUNCTION("""COMPUTED_VALUE"""),0.049924357034795766)</f>
        <v>0.04992435703</v>
      </c>
      <c r="BH812" s="71">
        <f>IFERROR(__xludf.DUMMYFUNCTION("""COMPUTED_VALUE"""),1318.6)</f>
        <v>1318.6</v>
      </c>
      <c r="BI812" s="71">
        <f>IFERROR(__xludf.DUMMYFUNCTION("""COMPUTED_VALUE"""),210.976)</f>
        <v>210.976</v>
      </c>
      <c r="BJ812" s="71">
        <f>IFERROR(__xludf.DUMMYFUNCTION("""COMPUTED_VALUE"""),1529.576)</f>
        <v>1529.576</v>
      </c>
      <c r="BK812" s="71">
        <f>IFERROR(__xludf.DUMMYFUNCTION("""COMPUTED_VALUE"""),1249.2)</f>
        <v>1249.2</v>
      </c>
      <c r="BL812" s="71">
        <f>IFERROR(__xludf.DUMMYFUNCTION("""COMPUTED_VALUE"""),199.872)</f>
        <v>199.872</v>
      </c>
      <c r="BM812" s="71">
        <f>IFERROR(__xludf.DUMMYFUNCTION("""COMPUTED_VALUE"""),1449.0720000000001)</f>
        <v>1449.072</v>
      </c>
      <c r="BN812" s="71">
        <f>IFERROR(__xludf.DUMMYFUNCTION("""COMPUTED_VALUE"""),1179.8)</f>
        <v>1179.8</v>
      </c>
      <c r="BO812" s="71">
        <f>IFERROR(__xludf.DUMMYFUNCTION("""COMPUTED_VALUE"""),188.768)</f>
        <v>188.768</v>
      </c>
      <c r="BP812" s="71">
        <f>IFERROR(__xludf.DUMMYFUNCTION("""COMPUTED_VALUE"""),1368.568)</f>
        <v>1368.568</v>
      </c>
      <c r="BQ812" s="71">
        <f>IFERROR(__xludf.DUMMYFUNCTION("""COMPUTED_VALUE"""),1152.04)</f>
        <v>1152.04</v>
      </c>
      <c r="BR812" s="71">
        <f>IFERROR(__xludf.DUMMYFUNCTION("""COMPUTED_VALUE"""),184.3264)</f>
        <v>184.3264</v>
      </c>
      <c r="BS812" s="71">
        <f>IFERROR(__xludf.DUMMYFUNCTION("""COMPUTED_VALUE"""),1336.3663999999999)</f>
        <v>1336.3664</v>
      </c>
      <c r="BT812" s="71">
        <f>IFERROR(__xludf.DUMMYFUNCTION("""COMPUTED_VALUE"""),1110.4)</f>
        <v>1110.4</v>
      </c>
      <c r="BU812" s="71">
        <f>IFERROR(__xludf.DUMMYFUNCTION("""COMPUTED_VALUE"""),177.66400000000002)</f>
        <v>177.664</v>
      </c>
      <c r="BV812" s="71">
        <f>IFERROR(__xludf.DUMMYFUNCTION("""COMPUTED_VALUE"""),1288.064)</f>
        <v>1288.064</v>
      </c>
    </row>
    <row r="813">
      <c r="A813" s="53">
        <v>1.0</v>
      </c>
      <c r="B813" s="72"/>
      <c r="C813" s="73" t="s">
        <v>53</v>
      </c>
      <c r="D813" s="74" t="s">
        <v>1966</v>
      </c>
      <c r="E813" s="54" t="s">
        <v>38</v>
      </c>
      <c r="F813" s="54" t="s">
        <v>42</v>
      </c>
      <c r="G813" s="55" t="s">
        <v>1967</v>
      </c>
      <c r="H813" s="54" t="s">
        <v>1967</v>
      </c>
      <c r="I813" s="54">
        <f t="shared" si="24"/>
        <v>17</v>
      </c>
      <c r="J813" s="56"/>
      <c r="K813" s="75"/>
      <c r="L813" s="76"/>
      <c r="M813" s="59"/>
      <c r="N813" s="60">
        <v>806.0</v>
      </c>
      <c r="O813" s="61">
        <v>870.0</v>
      </c>
      <c r="P813" s="62">
        <v>939.6</v>
      </c>
      <c r="Q813" s="63">
        <v>939.6</v>
      </c>
      <c r="R813" s="64">
        <v>1046.0</v>
      </c>
      <c r="S813" s="111">
        <v>1098.0</v>
      </c>
      <c r="T813" s="65">
        <f t="shared" si="2"/>
        <v>175.68</v>
      </c>
      <c r="U813" s="65">
        <f t="shared" si="3"/>
        <v>1273.68</v>
      </c>
      <c r="V813" s="66">
        <f t="shared" si="4"/>
        <v>0.04971319312</v>
      </c>
      <c r="W813" s="67">
        <f t="shared" si="5"/>
        <v>1043.1</v>
      </c>
      <c r="X813" s="67">
        <f t="shared" si="6"/>
        <v>166.896</v>
      </c>
      <c r="Y813" s="67">
        <f t="shared" si="7"/>
        <v>1209.996</v>
      </c>
      <c r="Z813" s="67">
        <f t="shared" si="8"/>
        <v>988.2</v>
      </c>
      <c r="AA813" s="67">
        <f t="shared" si="9"/>
        <v>158.112</v>
      </c>
      <c r="AB813" s="67">
        <f t="shared" si="10"/>
        <v>1146.312</v>
      </c>
      <c r="AC813" s="67">
        <f t="shared" si="11"/>
        <v>933.3</v>
      </c>
      <c r="AD813" s="67">
        <f t="shared" si="12"/>
        <v>149.328</v>
      </c>
      <c r="AE813" s="67">
        <f t="shared" si="13"/>
        <v>1082.628</v>
      </c>
      <c r="AF813" s="67">
        <f t="shared" si="33"/>
        <v>911.34</v>
      </c>
      <c r="AG813" s="67">
        <f t="shared" si="15"/>
        <v>145.8144</v>
      </c>
      <c r="AH813" s="67">
        <f t="shared" si="16"/>
        <v>1057.1544</v>
      </c>
      <c r="AI813" s="67">
        <f t="shared" si="17"/>
        <v>878.4</v>
      </c>
      <c r="AJ813" s="68">
        <f t="shared" si="31"/>
        <v>140.544</v>
      </c>
      <c r="AK813" s="68">
        <f t="shared" si="32"/>
        <v>1018.944</v>
      </c>
      <c r="AL813" s="70">
        <f>IFERROR(__xludf.DUMMYFUNCTION("""COMPUTED_VALUE"""),1.0)</f>
        <v>1</v>
      </c>
      <c r="AM813" s="70"/>
      <c r="AN813" s="71" t="str">
        <f>IFERROR(__xludf.DUMMYFUNCTION("""COMPUTED_VALUE""")," C")</f>
        <v>C</v>
      </c>
      <c r="AO813" s="71" t="str">
        <f>IFERROR(__xludf.DUMMYFUNCTION("""COMPUTED_VALUE""")," ML98")</f>
        <v>ML98</v>
      </c>
      <c r="AP813" s="71" t="str">
        <f>IFERROR(__xludf.DUMMYFUNCTION("""COMPUTED_VALUE""")," PZA")</f>
        <v>PZA</v>
      </c>
      <c r="AQ813" s="71" t="str">
        <f>IFERROR(__xludf.DUMMYFUNCTION("""COMPUTED_VALUE""")," REF")</f>
        <v>REF</v>
      </c>
      <c r="AR813" s="71" t="str">
        <f>IFERROR(__xludf.DUMMYFUNCTION("""COMPUTED_VALUE""")," MALLA PARA ENFRIADOR SENCILLO CON PASADOR DE 10"" (9 MT.) EN ACERO INOX. T-304 GRADO ALIMENTICIO")</f>
        <v>MALLA PARA ENFRIADOR SENCILLO CON PASADOR DE 10" (9 MT.) EN ACERO INOX. T-304 GRADO ALIMENTICIO</v>
      </c>
      <c r="AS813" s="71" t="str">
        <f>IFERROR(__xludf.DUMMYFUNCTION("""COMPUTED_VALUE""")," MALLA ENFRIDOR SENC C/PAS 10PLGX9MT INOX")</f>
        <v>MALLA ENFRIDOR SENC C/PAS 10PLGX9MT INOX</v>
      </c>
      <c r="AT813" s="71">
        <f>IFERROR(__xludf.DUMMYFUNCTION("""COMPUTED_VALUE"""),40.0)</f>
        <v>40</v>
      </c>
      <c r="AU813" s="71"/>
      <c r="AV813" s="71"/>
      <c r="AW813" s="71"/>
      <c r="AX813" s="71"/>
      <c r="AY813" s="71">
        <f>IFERROR(__xludf.DUMMYFUNCTION("""COMPUTED_VALUE"""),4820.0)</f>
        <v>4820</v>
      </c>
      <c r="AZ813" s="71">
        <f>IFERROR(__xludf.DUMMYFUNCTION("""COMPUTED_VALUE"""),5205.0)</f>
        <v>5205</v>
      </c>
      <c r="BA813" s="71">
        <f>IFERROR(__xludf.DUMMYFUNCTION("""COMPUTED_VALUE"""),5621.400000000001)</f>
        <v>5621.4</v>
      </c>
      <c r="BB813" s="71">
        <f>IFERROR(__xludf.DUMMYFUNCTION("""COMPUTED_VALUE"""),5621.400000000001)</f>
        <v>5621.4</v>
      </c>
      <c r="BC813" s="71">
        <f>IFERROR(__xludf.DUMMYFUNCTION("""COMPUTED_VALUE"""),6257.0)</f>
        <v>6257</v>
      </c>
      <c r="BD813" s="71">
        <f>IFERROR(__xludf.DUMMYFUNCTION("""COMPUTED_VALUE"""),6570.0)</f>
        <v>6570</v>
      </c>
      <c r="BE813" s="71">
        <f>IFERROR(__xludf.DUMMYFUNCTION("""COMPUTED_VALUE"""),1051.2)</f>
        <v>1051.2</v>
      </c>
      <c r="BF813" s="71">
        <f>IFERROR(__xludf.DUMMYFUNCTION("""COMPUTED_VALUE"""),7621.2)</f>
        <v>7621.2</v>
      </c>
      <c r="BG813" s="71">
        <f>IFERROR(__xludf.DUMMYFUNCTION("""COMPUTED_VALUE"""),0.05002397315007192)</f>
        <v>0.05002397315</v>
      </c>
      <c r="BH813" s="71">
        <f>IFERROR(__xludf.DUMMYFUNCTION("""COMPUTED_VALUE"""),6241.5)</f>
        <v>6241.5</v>
      </c>
      <c r="BI813" s="71">
        <f>IFERROR(__xludf.DUMMYFUNCTION("""COMPUTED_VALUE"""),998.64)</f>
        <v>998.64</v>
      </c>
      <c r="BJ813" s="71">
        <f>IFERROR(__xludf.DUMMYFUNCTION("""COMPUTED_VALUE"""),7240.14)</f>
        <v>7240.14</v>
      </c>
      <c r="BK813" s="71">
        <f>IFERROR(__xludf.DUMMYFUNCTION("""COMPUTED_VALUE"""),5913.0)</f>
        <v>5913</v>
      </c>
      <c r="BL813" s="71">
        <f>IFERROR(__xludf.DUMMYFUNCTION("""COMPUTED_VALUE"""),946.08)</f>
        <v>946.08</v>
      </c>
      <c r="BM813" s="71">
        <f>IFERROR(__xludf.DUMMYFUNCTION("""COMPUTED_VALUE"""),6859.08)</f>
        <v>6859.08</v>
      </c>
      <c r="BN813" s="71">
        <f>IFERROR(__xludf.DUMMYFUNCTION("""COMPUTED_VALUE"""),5584.5)</f>
        <v>5584.5</v>
      </c>
      <c r="BO813" s="71">
        <f>IFERROR(__xludf.DUMMYFUNCTION("""COMPUTED_VALUE"""),893.52)</f>
        <v>893.52</v>
      </c>
      <c r="BP813" s="71">
        <f>IFERROR(__xludf.DUMMYFUNCTION("""COMPUTED_VALUE"""),6478.02)</f>
        <v>6478.02</v>
      </c>
      <c r="BQ813" s="71">
        <f>IFERROR(__xludf.DUMMYFUNCTION("""COMPUTED_VALUE"""),5453.099999999999)</f>
        <v>5453.1</v>
      </c>
      <c r="BR813" s="71">
        <f>IFERROR(__xludf.DUMMYFUNCTION("""COMPUTED_VALUE"""),872.496)</f>
        <v>872.496</v>
      </c>
      <c r="BS813" s="71">
        <f>IFERROR(__xludf.DUMMYFUNCTION("""COMPUTED_VALUE"""),6325.596)</f>
        <v>6325.596</v>
      </c>
      <c r="BT813" s="71">
        <f>IFERROR(__xludf.DUMMYFUNCTION("""COMPUTED_VALUE"""),5256.0)</f>
        <v>5256</v>
      </c>
      <c r="BU813" s="71">
        <f>IFERROR(__xludf.DUMMYFUNCTION("""COMPUTED_VALUE"""),840.96)</f>
        <v>840.96</v>
      </c>
      <c r="BV813" s="71">
        <f>IFERROR(__xludf.DUMMYFUNCTION("""COMPUTED_VALUE"""),6096.96)</f>
        <v>6096.96</v>
      </c>
    </row>
    <row r="814">
      <c r="A814" s="53"/>
      <c r="B814" s="53"/>
      <c r="C814" s="73" t="s">
        <v>12</v>
      </c>
      <c r="D814" s="53" t="s">
        <v>1968</v>
      </c>
      <c r="E814" s="54" t="s">
        <v>38</v>
      </c>
      <c r="F814" s="54" t="s">
        <v>42</v>
      </c>
      <c r="G814" s="55" t="s">
        <v>1969</v>
      </c>
      <c r="H814" s="54" t="s">
        <v>1969</v>
      </c>
      <c r="I814" s="54">
        <f t="shared" si="24"/>
        <v>14</v>
      </c>
      <c r="J814" s="56"/>
      <c r="K814" s="75"/>
      <c r="L814" s="76"/>
      <c r="M814" s="59"/>
      <c r="N814" s="79">
        <v>927.0</v>
      </c>
      <c r="O814" s="61">
        <v>1001.0</v>
      </c>
      <c r="P814" s="63">
        <v>1081.0800000000002</v>
      </c>
      <c r="Q814" s="63">
        <v>1081.0800000000002</v>
      </c>
      <c r="R814" s="64">
        <v>1136.0</v>
      </c>
      <c r="S814" s="111">
        <v>1193.0</v>
      </c>
      <c r="T814" s="65">
        <f t="shared" si="2"/>
        <v>190.88</v>
      </c>
      <c r="U814" s="65">
        <f t="shared" si="3"/>
        <v>1383.88</v>
      </c>
      <c r="V814" s="66">
        <f t="shared" si="4"/>
        <v>0.05017605634</v>
      </c>
      <c r="W814" s="67">
        <f t="shared" si="5"/>
        <v>1133.35</v>
      </c>
      <c r="X814" s="67">
        <f t="shared" si="6"/>
        <v>181.336</v>
      </c>
      <c r="Y814" s="67">
        <f t="shared" si="7"/>
        <v>1314.686</v>
      </c>
      <c r="Z814" s="67">
        <f t="shared" si="8"/>
        <v>1073.7</v>
      </c>
      <c r="AA814" s="67">
        <f t="shared" si="9"/>
        <v>171.792</v>
      </c>
      <c r="AB814" s="67">
        <f t="shared" si="10"/>
        <v>1245.492</v>
      </c>
      <c r="AC814" s="67">
        <f t="shared" si="11"/>
        <v>1014.05</v>
      </c>
      <c r="AD814" s="67">
        <f t="shared" si="12"/>
        <v>162.248</v>
      </c>
      <c r="AE814" s="67">
        <f t="shared" si="13"/>
        <v>1176.298</v>
      </c>
      <c r="AF814" s="67">
        <f t="shared" si="33"/>
        <v>990.19</v>
      </c>
      <c r="AG814" s="67">
        <f t="shared" si="15"/>
        <v>158.4304</v>
      </c>
      <c r="AH814" s="67">
        <f t="shared" si="16"/>
        <v>1148.6204</v>
      </c>
      <c r="AI814" s="67">
        <f t="shared" si="17"/>
        <v>954.4</v>
      </c>
      <c r="AJ814" s="68">
        <f t="shared" si="31"/>
        <v>152.704</v>
      </c>
      <c r="AK814" s="68">
        <f t="shared" si="32"/>
        <v>1107.104</v>
      </c>
      <c r="AL814" s="70">
        <f>IFERROR(__xludf.DUMMYFUNCTION("""COMPUTED_VALUE"""),1.0)</f>
        <v>1</v>
      </c>
      <c r="AM814" s="70"/>
      <c r="AN814" s="71" t="str">
        <f>IFERROR(__xludf.DUMMYFUNCTION("""COMPUTED_VALUE""")," C")</f>
        <v>C</v>
      </c>
      <c r="AO814" s="71" t="str">
        <f>IFERROR(__xludf.DUMMYFUNCTION("""COMPUTED_VALUE""")," ML03")</f>
        <v>ML03</v>
      </c>
      <c r="AP814" s="71" t="str">
        <f>IFERROR(__xludf.DUMMYFUNCTION("""COMPUTED_VALUE""")," PZA")</f>
        <v>PZA</v>
      </c>
      <c r="AQ814" s="71" t="str">
        <f>IFERROR(__xludf.DUMMYFUNCTION("""COMPUTED_VALUE""")," REF")</f>
        <v>REF</v>
      </c>
      <c r="AR814" s="71" t="str">
        <f>IFERROR(__xludf.DUMMYFUNCTION("""COMPUTED_VALUE""")," MALLA PARA PARTE SUPERIOR DE ENFRIADOR DE 10"" (2 MT.)")</f>
        <v>MALLA PARA PARTE SUPERIOR DE ENFRIADOR DE 10" (2 MT.)</v>
      </c>
      <c r="AS814" s="71" t="str">
        <f>IFERROR(__xludf.DUMMYFUNCTION("""COMPUTED_VALUE""")," MALLA PARTE SUP ENFRIADOR DE 10PLG X 2MT")</f>
        <v>MALLA PARTE SUP ENFRIADOR DE 10PLG X 2MT</v>
      </c>
      <c r="AT814" s="71">
        <f>IFERROR(__xludf.DUMMYFUNCTION("""COMPUTED_VALUE"""),40.0)</f>
        <v>40</v>
      </c>
      <c r="AU814" s="71"/>
      <c r="AV814" s="71"/>
      <c r="AW814" s="71"/>
      <c r="AX814" s="71"/>
      <c r="AY814" s="71">
        <f>IFERROR(__xludf.DUMMYFUNCTION("""COMPUTED_VALUE"""),217.0)</f>
        <v>217</v>
      </c>
      <c r="AZ814" s="71">
        <f>IFERROR(__xludf.DUMMYFUNCTION("""COMPUTED_VALUE"""),234.0)</f>
        <v>234</v>
      </c>
      <c r="BA814" s="71">
        <f>IFERROR(__xludf.DUMMYFUNCTION("""COMPUTED_VALUE"""),252.72000000000003)</f>
        <v>252.72</v>
      </c>
      <c r="BB814" s="71">
        <f>IFERROR(__xludf.DUMMYFUNCTION("""COMPUTED_VALUE"""),252.72000000000003)</f>
        <v>252.72</v>
      </c>
      <c r="BC814" s="71">
        <f>IFERROR(__xludf.DUMMYFUNCTION("""COMPUTED_VALUE"""),282.0)</f>
        <v>282</v>
      </c>
      <c r="BD814" s="71">
        <f>IFERROR(__xludf.DUMMYFUNCTION("""COMPUTED_VALUE"""),296.0)</f>
        <v>296</v>
      </c>
      <c r="BE814" s="71">
        <f>IFERROR(__xludf.DUMMYFUNCTION("""COMPUTED_VALUE"""),47.36)</f>
        <v>47.36</v>
      </c>
      <c r="BF814" s="71">
        <f>IFERROR(__xludf.DUMMYFUNCTION("""COMPUTED_VALUE"""),343.36)</f>
        <v>343.36</v>
      </c>
      <c r="BG814" s="71">
        <f>IFERROR(__xludf.DUMMYFUNCTION("""COMPUTED_VALUE"""),0.04964539007092199)</f>
        <v>0.04964539007</v>
      </c>
      <c r="BH814" s="71">
        <f>IFERROR(__xludf.DUMMYFUNCTION("""COMPUTED_VALUE"""),281.2)</f>
        <v>281.2</v>
      </c>
      <c r="BI814" s="71">
        <f>IFERROR(__xludf.DUMMYFUNCTION("""COMPUTED_VALUE"""),44.992)</f>
        <v>44.992</v>
      </c>
      <c r="BJ814" s="71">
        <f>IFERROR(__xludf.DUMMYFUNCTION("""COMPUTED_VALUE"""),326.192)</f>
        <v>326.192</v>
      </c>
      <c r="BK814" s="71">
        <f>IFERROR(__xludf.DUMMYFUNCTION("""COMPUTED_VALUE"""),266.40000000000003)</f>
        <v>266.4</v>
      </c>
      <c r="BL814" s="71">
        <f>IFERROR(__xludf.DUMMYFUNCTION("""COMPUTED_VALUE"""),42.62400000000001)</f>
        <v>42.624</v>
      </c>
      <c r="BM814" s="71">
        <f>IFERROR(__xludf.DUMMYFUNCTION("""COMPUTED_VALUE"""),309.02400000000006)</f>
        <v>309.024</v>
      </c>
      <c r="BN814" s="71">
        <f>IFERROR(__xludf.DUMMYFUNCTION("""COMPUTED_VALUE"""),251.6)</f>
        <v>251.6</v>
      </c>
      <c r="BO814" s="71">
        <f>IFERROR(__xludf.DUMMYFUNCTION("""COMPUTED_VALUE"""),40.256)</f>
        <v>40.256</v>
      </c>
      <c r="BP814" s="71">
        <f>IFERROR(__xludf.DUMMYFUNCTION("""COMPUTED_VALUE"""),291.856)</f>
        <v>291.856</v>
      </c>
      <c r="BQ814" s="71">
        <f>IFERROR(__xludf.DUMMYFUNCTION("""COMPUTED_VALUE"""),245.67999999999998)</f>
        <v>245.68</v>
      </c>
      <c r="BR814" s="71">
        <f>IFERROR(__xludf.DUMMYFUNCTION("""COMPUTED_VALUE"""),39.3088)</f>
        <v>39.3088</v>
      </c>
      <c r="BS814" s="71">
        <f>IFERROR(__xludf.DUMMYFUNCTION("""COMPUTED_VALUE"""),284.98879999999997)</f>
        <v>284.9888</v>
      </c>
      <c r="BT814" s="71">
        <f>IFERROR(__xludf.DUMMYFUNCTION("""COMPUTED_VALUE"""),236.8)</f>
        <v>236.8</v>
      </c>
      <c r="BU814" s="71">
        <f>IFERROR(__xludf.DUMMYFUNCTION("""COMPUTED_VALUE"""),37.888000000000005)</f>
        <v>37.888</v>
      </c>
      <c r="BV814" s="71">
        <f>IFERROR(__xludf.DUMMYFUNCTION("""COMPUTED_VALUE"""),274.688)</f>
        <v>274.688</v>
      </c>
    </row>
    <row r="815">
      <c r="A815" s="53"/>
      <c r="B815" s="53"/>
      <c r="C815" s="53" t="s">
        <v>36</v>
      </c>
      <c r="D815" s="85" t="s">
        <v>1970</v>
      </c>
      <c r="E815" s="54" t="s">
        <v>38</v>
      </c>
      <c r="F815" s="55" t="s">
        <v>39</v>
      </c>
      <c r="G815" s="86" t="s">
        <v>1971</v>
      </c>
      <c r="H815" s="55"/>
      <c r="I815" s="54">
        <f t="shared" si="24"/>
        <v>0</v>
      </c>
      <c r="J815" s="56"/>
      <c r="K815" s="57"/>
      <c r="L815" s="76"/>
      <c r="M815" s="59"/>
      <c r="N815" s="60"/>
      <c r="O815" s="61">
        <v>17145.6</v>
      </c>
      <c r="P815" s="62">
        <v>18517.248</v>
      </c>
      <c r="Q815" s="63">
        <v>18517.248</v>
      </c>
      <c r="R815" s="64">
        <v>19443.0</v>
      </c>
      <c r="S815" s="107">
        <v>20415.0</v>
      </c>
      <c r="T815" s="65">
        <f t="shared" si="2"/>
        <v>3266.4</v>
      </c>
      <c r="U815" s="65">
        <f t="shared" si="3"/>
        <v>23681.4</v>
      </c>
      <c r="V815" s="66">
        <f t="shared" si="4"/>
        <v>0.04999228514</v>
      </c>
      <c r="W815" s="67">
        <f t="shared" si="5"/>
        <v>19394.25</v>
      </c>
      <c r="X815" s="67">
        <f t="shared" si="6"/>
        <v>3103.08</v>
      </c>
      <c r="Y815" s="67">
        <f t="shared" si="7"/>
        <v>22497.33</v>
      </c>
      <c r="Z815" s="67">
        <f t="shared" si="8"/>
        <v>18373.5</v>
      </c>
      <c r="AA815" s="67">
        <f t="shared" si="9"/>
        <v>2939.76</v>
      </c>
      <c r="AB815" s="67">
        <f t="shared" si="10"/>
        <v>21313.26</v>
      </c>
      <c r="AC815" s="67">
        <f t="shared" si="11"/>
        <v>17352.75</v>
      </c>
      <c r="AD815" s="67">
        <f t="shared" si="12"/>
        <v>2776.44</v>
      </c>
      <c r="AE815" s="67">
        <f t="shared" si="13"/>
        <v>20129.19</v>
      </c>
      <c r="AF815" s="67">
        <f t="shared" si="33"/>
        <v>16944.45</v>
      </c>
      <c r="AG815" s="67">
        <f t="shared" si="15"/>
        <v>2711.112</v>
      </c>
      <c r="AH815" s="67">
        <f t="shared" si="16"/>
        <v>19655.562</v>
      </c>
      <c r="AI815" s="67">
        <f t="shared" si="17"/>
        <v>16332</v>
      </c>
      <c r="AJ815" s="68">
        <f t="shared" si="31"/>
        <v>2613.12</v>
      </c>
      <c r="AK815" s="68">
        <f t="shared" si="32"/>
        <v>18945.12</v>
      </c>
      <c r="AL815" s="70">
        <f>IFERROR(__xludf.DUMMYFUNCTION("""COMPUTED_VALUE"""),1.0)</f>
        <v>1</v>
      </c>
      <c r="AM815" s="70"/>
      <c r="AN815" s="71" t="str">
        <f>IFERROR(__xludf.DUMMYFUNCTION("""COMPUTED_VALUE""")," C")</f>
        <v>C</v>
      </c>
      <c r="AO815" s="71" t="str">
        <f>IFERROR(__xludf.DUMMYFUNCTION("""COMPUTED_VALUE""")," ML02")</f>
        <v>ML02</v>
      </c>
      <c r="AP815" s="71" t="str">
        <f>IFERROR(__xludf.DUMMYFUNCTION("""COMPUTED_VALUE""")," PZA")</f>
        <v>PZA</v>
      </c>
      <c r="AQ815" s="71" t="str">
        <f>IFERROR(__xludf.DUMMYFUNCTION("""COMPUTED_VALUE""")," REF")</f>
        <v>REF</v>
      </c>
      <c r="AR815" s="71" t="str">
        <f>IFERROR(__xludf.DUMMYFUNCTION("""COMPUTED_VALUE""")," MALLA PARA TRANSPORTADOR SENCILLO DE 10"" (1.15 MT.)")</f>
        <v>MALLA PARA TRANSPORTADOR SENCILLO DE 10" (1.15 MT.)</v>
      </c>
      <c r="AS815" s="71" t="str">
        <f>IFERROR(__xludf.DUMMYFUNCTION("""COMPUTED_VALUE""")," MALLA TRANSPORTADOR SENC 10PLG X 1.15MT")</f>
        <v>MALLA TRANSPORTADOR SENC 10PLG X 1.15MT</v>
      </c>
      <c r="AT815" s="71">
        <f>IFERROR(__xludf.DUMMYFUNCTION("""COMPUTED_VALUE"""),39.0)</f>
        <v>39</v>
      </c>
      <c r="AU815" s="71"/>
      <c r="AV815" s="71"/>
      <c r="AW815" s="71"/>
      <c r="AX815" s="71"/>
      <c r="AY815" s="71">
        <f>IFERROR(__xludf.DUMMYFUNCTION("""COMPUTED_VALUE"""),119.0)</f>
        <v>119</v>
      </c>
      <c r="AZ815" s="71">
        <f>IFERROR(__xludf.DUMMYFUNCTION("""COMPUTED_VALUE"""),128.0)</f>
        <v>128</v>
      </c>
      <c r="BA815" s="71">
        <f>IFERROR(__xludf.DUMMYFUNCTION("""COMPUTED_VALUE"""),138.24)</f>
        <v>138.24</v>
      </c>
      <c r="BB815" s="71">
        <f>IFERROR(__xludf.DUMMYFUNCTION("""COMPUTED_VALUE"""),138.24)</f>
        <v>138.24</v>
      </c>
      <c r="BC815" s="71">
        <f>IFERROR(__xludf.DUMMYFUNCTION("""COMPUTED_VALUE"""),155.0)</f>
        <v>155</v>
      </c>
      <c r="BD815" s="71">
        <f>IFERROR(__xludf.DUMMYFUNCTION("""COMPUTED_VALUE"""),163.0)</f>
        <v>163</v>
      </c>
      <c r="BE815" s="71">
        <f>IFERROR(__xludf.DUMMYFUNCTION("""COMPUTED_VALUE"""),26.080000000000002)</f>
        <v>26.08</v>
      </c>
      <c r="BF815" s="71">
        <f>IFERROR(__xludf.DUMMYFUNCTION("""COMPUTED_VALUE"""),189.08)</f>
        <v>189.08</v>
      </c>
      <c r="BG815" s="71">
        <f>IFERROR(__xludf.DUMMYFUNCTION("""COMPUTED_VALUE"""),0.05161290322580645)</f>
        <v>0.05161290323</v>
      </c>
      <c r="BH815" s="71">
        <f>IFERROR(__xludf.DUMMYFUNCTION("""COMPUTED_VALUE"""),154.85)</f>
        <v>154.85</v>
      </c>
      <c r="BI815" s="71">
        <f>IFERROR(__xludf.DUMMYFUNCTION("""COMPUTED_VALUE"""),24.776)</f>
        <v>24.776</v>
      </c>
      <c r="BJ815" s="71">
        <f>IFERROR(__xludf.DUMMYFUNCTION("""COMPUTED_VALUE"""),179.626)</f>
        <v>179.626</v>
      </c>
      <c r="BK815" s="71">
        <f>IFERROR(__xludf.DUMMYFUNCTION("""COMPUTED_VALUE"""),146.70000000000002)</f>
        <v>146.7</v>
      </c>
      <c r="BL815" s="71">
        <f>IFERROR(__xludf.DUMMYFUNCTION("""COMPUTED_VALUE"""),23.472000000000005)</f>
        <v>23.472</v>
      </c>
      <c r="BM815" s="71">
        <f>IFERROR(__xludf.DUMMYFUNCTION("""COMPUTED_VALUE"""),170.17200000000003)</f>
        <v>170.172</v>
      </c>
      <c r="BN815" s="71">
        <f>IFERROR(__xludf.DUMMYFUNCTION("""COMPUTED_VALUE"""),138.54999999999998)</f>
        <v>138.55</v>
      </c>
      <c r="BO815" s="71">
        <f>IFERROR(__xludf.DUMMYFUNCTION("""COMPUTED_VALUE"""),22.168)</f>
        <v>22.168</v>
      </c>
      <c r="BP815" s="71">
        <f>IFERROR(__xludf.DUMMYFUNCTION("""COMPUTED_VALUE"""),160.718)</f>
        <v>160.718</v>
      </c>
      <c r="BQ815" s="71">
        <f>IFERROR(__xludf.DUMMYFUNCTION("""COMPUTED_VALUE"""),135.29)</f>
        <v>135.29</v>
      </c>
      <c r="BR815" s="71">
        <f>IFERROR(__xludf.DUMMYFUNCTION("""COMPUTED_VALUE"""),21.6464)</f>
        <v>21.6464</v>
      </c>
      <c r="BS815" s="71">
        <f>IFERROR(__xludf.DUMMYFUNCTION("""COMPUTED_VALUE"""),156.9364)</f>
        <v>156.9364</v>
      </c>
      <c r="BT815" s="71">
        <f>IFERROR(__xludf.DUMMYFUNCTION("""COMPUTED_VALUE"""),130.4)</f>
        <v>130.4</v>
      </c>
      <c r="BU815" s="71">
        <f>IFERROR(__xludf.DUMMYFUNCTION("""COMPUTED_VALUE"""),20.864)</f>
        <v>20.864</v>
      </c>
      <c r="BV815" s="71">
        <f>IFERROR(__xludf.DUMMYFUNCTION("""COMPUTED_VALUE"""),151.264)</f>
        <v>151.264</v>
      </c>
    </row>
    <row r="816">
      <c r="A816" s="53"/>
      <c r="B816" s="53"/>
      <c r="C816" s="53" t="s">
        <v>36</v>
      </c>
      <c r="D816" s="85" t="s">
        <v>1972</v>
      </c>
      <c r="E816" s="54" t="s">
        <v>38</v>
      </c>
      <c r="F816" s="55" t="s">
        <v>39</v>
      </c>
      <c r="G816" s="86" t="s">
        <v>1973</v>
      </c>
      <c r="H816" s="55"/>
      <c r="I816" s="54">
        <f t="shared" si="24"/>
        <v>0</v>
      </c>
      <c r="J816" s="56"/>
      <c r="K816" s="57"/>
      <c r="L816" s="76"/>
      <c r="M816" s="59"/>
      <c r="N816" s="60"/>
      <c r="O816" s="61">
        <v>17510.4</v>
      </c>
      <c r="P816" s="62">
        <v>18911.232000000004</v>
      </c>
      <c r="Q816" s="63">
        <v>18911.232000000004</v>
      </c>
      <c r="R816" s="64">
        <v>19857.0</v>
      </c>
      <c r="S816" s="107">
        <v>20850.0</v>
      </c>
      <c r="T816" s="65">
        <f t="shared" si="2"/>
        <v>3336</v>
      </c>
      <c r="U816" s="65">
        <f t="shared" si="3"/>
        <v>24186</v>
      </c>
      <c r="V816" s="66">
        <f t="shared" si="4"/>
        <v>0.05000755401</v>
      </c>
      <c r="W816" s="67">
        <f t="shared" si="5"/>
        <v>19807.5</v>
      </c>
      <c r="X816" s="67">
        <f t="shared" si="6"/>
        <v>3169.2</v>
      </c>
      <c r="Y816" s="67">
        <f t="shared" si="7"/>
        <v>22976.7</v>
      </c>
      <c r="Z816" s="67">
        <f t="shared" si="8"/>
        <v>18765</v>
      </c>
      <c r="AA816" s="67">
        <f t="shared" si="9"/>
        <v>3002.4</v>
      </c>
      <c r="AB816" s="67">
        <f t="shared" si="10"/>
        <v>21767.4</v>
      </c>
      <c r="AC816" s="67">
        <f t="shared" si="11"/>
        <v>17722.5</v>
      </c>
      <c r="AD816" s="67">
        <f t="shared" si="12"/>
        <v>2835.6</v>
      </c>
      <c r="AE816" s="67">
        <f t="shared" si="13"/>
        <v>20558.1</v>
      </c>
      <c r="AF816" s="67">
        <f t="shared" si="33"/>
        <v>17305.5</v>
      </c>
      <c r="AG816" s="67">
        <f t="shared" si="15"/>
        <v>2768.88</v>
      </c>
      <c r="AH816" s="67">
        <f t="shared" si="16"/>
        <v>20074.38</v>
      </c>
      <c r="AI816" s="67">
        <f t="shared" si="17"/>
        <v>16680</v>
      </c>
      <c r="AJ816" s="68">
        <f t="shared" si="31"/>
        <v>2668.8</v>
      </c>
      <c r="AK816" s="68">
        <f t="shared" si="32"/>
        <v>19348.8</v>
      </c>
      <c r="AL816" s="70">
        <f>IFERROR(__xludf.DUMMYFUNCTION("""COMPUTED_VALUE"""),1.0)</f>
        <v>1</v>
      </c>
      <c r="AM816" s="70"/>
      <c r="AN816" s="71" t="str">
        <f>IFERROR(__xludf.DUMMYFUNCTION("""COMPUTED_VALUE""")," P")</f>
        <v>P</v>
      </c>
      <c r="AO816" s="71" t="str">
        <f>IFERROR(__xludf.DUMMYFUNCTION("""COMPUTED_VALUE""")," MN01")</f>
        <v>MN01</v>
      </c>
      <c r="AP816" s="71" t="str">
        <f>IFERROR(__xludf.DUMMYFUNCTION("""COMPUTED_VALUE""")," PZA")</f>
        <v>PZA</v>
      </c>
      <c r="AQ816" s="71" t="str">
        <f>IFERROR(__xludf.DUMMYFUNCTION("""COMPUTED_VALUE""")," REF")</f>
        <v>REF</v>
      </c>
      <c r="AR816" s="71" t="str">
        <f>IFERROR(__xludf.DUMMYFUNCTION("""COMPUTED_VALUE""")," MANGO PARA PALANCA DE CLUTCH")</f>
        <v>MANGO PARA PALANCA DE CLUTCH</v>
      </c>
      <c r="AS816" s="71" t="str">
        <f>IFERROR(__xludf.DUMMYFUNCTION("""COMPUTED_VALUE""")," MANGO PARA PALANCA DE CLUTCH")</f>
        <v>MANGO PARA PALANCA DE CLUTCH</v>
      </c>
      <c r="AT816" s="71">
        <f>IFERROR(__xludf.DUMMYFUNCTION("""COMPUTED_VALUE"""),28.0)</f>
        <v>28</v>
      </c>
      <c r="AU816" s="71"/>
      <c r="AV816" s="71"/>
      <c r="AW816" s="71"/>
      <c r="AX816" s="71"/>
      <c r="AY816" s="71">
        <f>IFERROR(__xludf.DUMMYFUNCTION("""COMPUTED_VALUE"""),42.0)</f>
        <v>42</v>
      </c>
      <c r="AZ816" s="71">
        <f>IFERROR(__xludf.DUMMYFUNCTION("""COMPUTED_VALUE"""),45.0)</f>
        <v>45</v>
      </c>
      <c r="BA816" s="71">
        <f>IFERROR(__xludf.DUMMYFUNCTION("""COMPUTED_VALUE"""),48.6)</f>
        <v>48.6</v>
      </c>
      <c r="BB816" s="71">
        <f>IFERROR(__xludf.DUMMYFUNCTION("""COMPUTED_VALUE"""),48.6)</f>
        <v>48.6</v>
      </c>
      <c r="BC816" s="71">
        <f>IFERROR(__xludf.DUMMYFUNCTION("""COMPUTED_VALUE"""),55.0)</f>
        <v>55</v>
      </c>
      <c r="BD816" s="71">
        <f>IFERROR(__xludf.DUMMYFUNCTION("""COMPUTED_VALUE"""),58.0)</f>
        <v>58</v>
      </c>
      <c r="BE816" s="71">
        <f>IFERROR(__xludf.DUMMYFUNCTION("""COMPUTED_VALUE"""),9.28)</f>
        <v>9.28</v>
      </c>
      <c r="BF816" s="71">
        <f>IFERROR(__xludf.DUMMYFUNCTION("""COMPUTED_VALUE"""),67.28)</f>
        <v>67.28</v>
      </c>
      <c r="BG816" s="71">
        <f>IFERROR(__xludf.DUMMYFUNCTION("""COMPUTED_VALUE"""),0.05454545454545454)</f>
        <v>0.05454545455</v>
      </c>
      <c r="BH816" s="71">
        <f>IFERROR(__xludf.DUMMYFUNCTION("""COMPUTED_VALUE"""),55.099999999999994)</f>
        <v>55.1</v>
      </c>
      <c r="BI816" s="71">
        <f>IFERROR(__xludf.DUMMYFUNCTION("""COMPUTED_VALUE"""),8.815999999999999)</f>
        <v>8.816</v>
      </c>
      <c r="BJ816" s="71">
        <f>IFERROR(__xludf.DUMMYFUNCTION("""COMPUTED_VALUE"""),63.916)</f>
        <v>63.916</v>
      </c>
      <c r="BK816" s="71">
        <f>IFERROR(__xludf.DUMMYFUNCTION("""COMPUTED_VALUE"""),52.2)</f>
        <v>52.2</v>
      </c>
      <c r="BL816" s="71">
        <f>IFERROR(__xludf.DUMMYFUNCTION("""COMPUTED_VALUE"""),8.352)</f>
        <v>8.352</v>
      </c>
      <c r="BM816" s="71">
        <f>IFERROR(__xludf.DUMMYFUNCTION("""COMPUTED_VALUE"""),60.55200000000001)</f>
        <v>60.552</v>
      </c>
      <c r="BN816" s="71">
        <f>IFERROR(__xludf.DUMMYFUNCTION("""COMPUTED_VALUE"""),49.3)</f>
        <v>49.3</v>
      </c>
      <c r="BO816" s="71">
        <f>IFERROR(__xludf.DUMMYFUNCTION("""COMPUTED_VALUE"""),7.888)</f>
        <v>7.888</v>
      </c>
      <c r="BP816" s="71">
        <f>IFERROR(__xludf.DUMMYFUNCTION("""COMPUTED_VALUE"""),57.187999999999995)</f>
        <v>57.188</v>
      </c>
      <c r="BQ816" s="71">
        <f>IFERROR(__xludf.DUMMYFUNCTION("""COMPUTED_VALUE"""),48.14)</f>
        <v>48.14</v>
      </c>
      <c r="BR816" s="71">
        <f>IFERROR(__xludf.DUMMYFUNCTION("""COMPUTED_VALUE"""),7.7024)</f>
        <v>7.7024</v>
      </c>
      <c r="BS816" s="71">
        <f>IFERROR(__xludf.DUMMYFUNCTION("""COMPUTED_VALUE"""),55.8424)</f>
        <v>55.8424</v>
      </c>
      <c r="BT816" s="71">
        <f>IFERROR(__xludf.DUMMYFUNCTION("""COMPUTED_VALUE"""),46.400000000000006)</f>
        <v>46.4</v>
      </c>
      <c r="BU816" s="71">
        <f>IFERROR(__xludf.DUMMYFUNCTION("""COMPUTED_VALUE"""),7.424000000000001)</f>
        <v>7.424</v>
      </c>
      <c r="BV816" s="71">
        <f>IFERROR(__xludf.DUMMYFUNCTION("""COMPUTED_VALUE"""),53.824000000000005)</f>
        <v>53.824</v>
      </c>
    </row>
    <row r="817">
      <c r="A817" s="53"/>
      <c r="B817" s="53"/>
      <c r="C817" s="53" t="s">
        <v>36</v>
      </c>
      <c r="D817" s="53" t="s">
        <v>1974</v>
      </c>
      <c r="E817" s="86" t="s">
        <v>38</v>
      </c>
      <c r="F817" s="91" t="s">
        <v>96</v>
      </c>
      <c r="G817" s="84" t="s">
        <v>1975</v>
      </c>
      <c r="H817" s="86" t="s">
        <v>1975</v>
      </c>
      <c r="I817" s="54">
        <f t="shared" si="24"/>
        <v>32</v>
      </c>
      <c r="J817" s="56"/>
      <c r="K817" s="57"/>
      <c r="L817" s="119"/>
      <c r="M817" s="59"/>
      <c r="N817" s="93"/>
      <c r="O817" s="61"/>
      <c r="P817" s="90"/>
      <c r="Q817" s="94"/>
      <c r="R817" s="95"/>
      <c r="S817" s="65">
        <v>63162.0</v>
      </c>
      <c r="T817" s="65">
        <f t="shared" si="2"/>
        <v>10105.92</v>
      </c>
      <c r="U817" s="65">
        <f t="shared" si="3"/>
        <v>73267.92</v>
      </c>
      <c r="V817" s="66" t="str">
        <f t="shared" si="4"/>
        <v>#DIV/0!</v>
      </c>
      <c r="W817" s="67">
        <f t="shared" si="5"/>
        <v>60003.9</v>
      </c>
      <c r="X817" s="67">
        <f t="shared" si="6"/>
        <v>9600.624</v>
      </c>
      <c r="Y817" s="67">
        <f t="shared" si="7"/>
        <v>69604.524</v>
      </c>
      <c r="Z817" s="67">
        <f t="shared" si="8"/>
        <v>56845.8</v>
      </c>
      <c r="AA817" s="67">
        <f t="shared" si="9"/>
        <v>9095.328</v>
      </c>
      <c r="AB817" s="67">
        <f t="shared" si="10"/>
        <v>65941.128</v>
      </c>
      <c r="AC817" s="67">
        <f t="shared" si="11"/>
        <v>53687.7</v>
      </c>
      <c r="AD817" s="67">
        <f t="shared" si="12"/>
        <v>8590.032</v>
      </c>
      <c r="AE817" s="67">
        <f t="shared" si="13"/>
        <v>62277.732</v>
      </c>
      <c r="AF817" s="67">
        <f t="shared" si="33"/>
        <v>52424.46</v>
      </c>
      <c r="AG817" s="67">
        <f t="shared" si="15"/>
        <v>8387.9136</v>
      </c>
      <c r="AH817" s="67">
        <f t="shared" si="16"/>
        <v>60812.3736</v>
      </c>
      <c r="AI817" s="67">
        <f t="shared" si="17"/>
        <v>50529.6</v>
      </c>
      <c r="AJ817" s="68">
        <f t="shared" si="31"/>
        <v>8084.736</v>
      </c>
      <c r="AK817" s="68">
        <f t="shared" si="32"/>
        <v>58614.336</v>
      </c>
      <c r="AL817" s="70">
        <f>IFERROR(__xludf.DUMMYFUNCTION("""COMPUTED_VALUE"""),1.0)</f>
        <v>1</v>
      </c>
      <c r="AM817" s="70"/>
      <c r="AN817" s="71" t="str">
        <f>IFERROR(__xludf.DUMMYFUNCTION("""COMPUTED_VALUE""")," C")</f>
        <v>C</v>
      </c>
      <c r="AO817" s="71" t="str">
        <f>IFERROR(__xludf.DUMMYFUNCTION("""COMPUTED_VALUE""")," MD01")</f>
        <v>MD01</v>
      </c>
      <c r="AP817" s="71" t="str">
        <f>IFERROR(__xludf.DUMMYFUNCTION("""COMPUTED_VALUE""")," PZA")</f>
        <v>PZA</v>
      </c>
      <c r="AQ817" s="71" t="str">
        <f>IFERROR(__xludf.DUMMYFUNCTION("""COMPUTED_VALUE""")," REF")</f>
        <v>REF</v>
      </c>
      <c r="AR817" s="71" t="str">
        <f>IFERROR(__xludf.DUMMYFUNCTION("""COMPUTED_VALUE""")," MEDIO CANDADO P40")</f>
        <v>MEDIO CANDADO P40</v>
      </c>
      <c r="AS817" s="71" t="str">
        <f>IFERROR(__xludf.DUMMYFUNCTION("""COMPUTED_VALUE""")," MEDIO CANDADO P40")</f>
        <v>MEDIO CANDADO P40</v>
      </c>
      <c r="AT817" s="71">
        <f>IFERROR(__xludf.DUMMYFUNCTION("""COMPUTED_VALUE"""),17.0)</f>
        <v>17</v>
      </c>
      <c r="AU817" s="71"/>
      <c r="AV817" s="71"/>
      <c r="AW817" s="71"/>
      <c r="AX817" s="71"/>
      <c r="AY817" s="71">
        <f>IFERROR(__xludf.DUMMYFUNCTION("""COMPUTED_VALUE"""),18.0)</f>
        <v>18</v>
      </c>
      <c r="AZ817" s="71">
        <f>IFERROR(__xludf.DUMMYFUNCTION("""COMPUTED_VALUE"""),19.0)</f>
        <v>19</v>
      </c>
      <c r="BA817" s="71">
        <f>IFERROR(__xludf.DUMMYFUNCTION("""COMPUTED_VALUE"""),10.0)</f>
        <v>10</v>
      </c>
      <c r="BB817" s="71">
        <f>IFERROR(__xludf.DUMMYFUNCTION("""COMPUTED_VALUE"""),10.0)</f>
        <v>10</v>
      </c>
      <c r="BC817" s="71">
        <f>IFERROR(__xludf.DUMMYFUNCTION("""COMPUTED_VALUE"""),24.0)</f>
        <v>24</v>
      </c>
      <c r="BD817" s="71">
        <f>IFERROR(__xludf.DUMMYFUNCTION("""COMPUTED_VALUE"""),25.0)</f>
        <v>25</v>
      </c>
      <c r="BE817" s="71">
        <f>IFERROR(__xludf.DUMMYFUNCTION("""COMPUTED_VALUE"""),4.0)</f>
        <v>4</v>
      </c>
      <c r="BF817" s="71">
        <f>IFERROR(__xludf.DUMMYFUNCTION("""COMPUTED_VALUE"""),29.0)</f>
        <v>29</v>
      </c>
      <c r="BG817" s="71">
        <f>IFERROR(__xludf.DUMMYFUNCTION("""COMPUTED_VALUE"""),0.041666666666666664)</f>
        <v>0.04166666667</v>
      </c>
      <c r="BH817" s="71">
        <f>IFERROR(__xludf.DUMMYFUNCTION("""COMPUTED_VALUE"""),23.75)</f>
        <v>23.75</v>
      </c>
      <c r="BI817" s="71">
        <f>IFERROR(__xludf.DUMMYFUNCTION("""COMPUTED_VALUE"""),3.8000000000000003)</f>
        <v>3.8</v>
      </c>
      <c r="BJ817" s="71">
        <f>IFERROR(__xludf.DUMMYFUNCTION("""COMPUTED_VALUE"""),27.55)</f>
        <v>27.55</v>
      </c>
      <c r="BK817" s="71">
        <f>IFERROR(__xludf.DUMMYFUNCTION("""COMPUTED_VALUE"""),22.5)</f>
        <v>22.5</v>
      </c>
      <c r="BL817" s="71">
        <f>IFERROR(__xludf.DUMMYFUNCTION("""COMPUTED_VALUE"""),3.6)</f>
        <v>3.6</v>
      </c>
      <c r="BM817" s="71">
        <f>IFERROR(__xludf.DUMMYFUNCTION("""COMPUTED_VALUE"""),26.1)</f>
        <v>26.1</v>
      </c>
      <c r="BN817" s="71">
        <f>IFERROR(__xludf.DUMMYFUNCTION("""COMPUTED_VALUE"""),21.25)</f>
        <v>21.25</v>
      </c>
      <c r="BO817" s="71">
        <f>IFERROR(__xludf.DUMMYFUNCTION("""COMPUTED_VALUE"""),3.4)</f>
        <v>3.4</v>
      </c>
      <c r="BP817" s="71">
        <f>IFERROR(__xludf.DUMMYFUNCTION("""COMPUTED_VALUE"""),24.65)</f>
        <v>24.65</v>
      </c>
      <c r="BQ817" s="71">
        <f>IFERROR(__xludf.DUMMYFUNCTION("""COMPUTED_VALUE"""),20.75)</f>
        <v>20.75</v>
      </c>
      <c r="BR817" s="71">
        <f>IFERROR(__xludf.DUMMYFUNCTION("""COMPUTED_VALUE"""),3.3200000000000003)</f>
        <v>3.32</v>
      </c>
      <c r="BS817" s="71">
        <f>IFERROR(__xludf.DUMMYFUNCTION("""COMPUTED_VALUE"""),24.07)</f>
        <v>24.07</v>
      </c>
      <c r="BT817" s="71">
        <f>IFERROR(__xludf.DUMMYFUNCTION("""COMPUTED_VALUE"""),20.0)</f>
        <v>20</v>
      </c>
      <c r="BU817" s="71">
        <f>IFERROR(__xludf.DUMMYFUNCTION("""COMPUTED_VALUE"""),3.2)</f>
        <v>3.2</v>
      </c>
      <c r="BV817" s="71">
        <f>IFERROR(__xludf.DUMMYFUNCTION("""COMPUTED_VALUE"""),23.2)</f>
        <v>23.2</v>
      </c>
    </row>
    <row r="818">
      <c r="A818" s="53"/>
      <c r="B818" s="53">
        <v>3.0</v>
      </c>
      <c r="C818" s="53" t="s">
        <v>36</v>
      </c>
      <c r="D818" s="85" t="s">
        <v>1976</v>
      </c>
      <c r="E818" s="54" t="s">
        <v>38</v>
      </c>
      <c r="F818" s="55" t="s">
        <v>187</v>
      </c>
      <c r="G818" s="147" t="s">
        <v>1977</v>
      </c>
      <c r="H818" s="55"/>
      <c r="I818" s="54">
        <f t="shared" si="24"/>
        <v>0</v>
      </c>
      <c r="J818" s="56"/>
      <c r="K818" s="57"/>
      <c r="L818" s="76"/>
      <c r="M818" s="59"/>
      <c r="N818" s="60"/>
      <c r="O818" s="61">
        <v>12453.0</v>
      </c>
      <c r="P818" s="62">
        <v>13449.240000000002</v>
      </c>
      <c r="Q818" s="63">
        <v>13449.240000000002</v>
      </c>
      <c r="R818" s="64">
        <v>14828.0</v>
      </c>
      <c r="S818" s="107">
        <v>15569.0</v>
      </c>
      <c r="T818" s="65">
        <f t="shared" si="2"/>
        <v>2491.04</v>
      </c>
      <c r="U818" s="65">
        <f t="shared" si="3"/>
        <v>18060.04</v>
      </c>
      <c r="V818" s="66">
        <f t="shared" si="4"/>
        <v>0.04997302401</v>
      </c>
      <c r="W818" s="67">
        <f t="shared" si="5"/>
        <v>14790.55</v>
      </c>
      <c r="X818" s="67">
        <f t="shared" si="6"/>
        <v>2366.488</v>
      </c>
      <c r="Y818" s="67">
        <f t="shared" si="7"/>
        <v>17157.038</v>
      </c>
      <c r="Z818" s="67">
        <f t="shared" si="8"/>
        <v>14012.1</v>
      </c>
      <c r="AA818" s="67">
        <f t="shared" si="9"/>
        <v>2241.936</v>
      </c>
      <c r="AB818" s="67">
        <f t="shared" si="10"/>
        <v>16254.036</v>
      </c>
      <c r="AC818" s="67">
        <f t="shared" si="11"/>
        <v>14012.1</v>
      </c>
      <c r="AD818" s="67">
        <f t="shared" si="12"/>
        <v>2241.936</v>
      </c>
      <c r="AE818" s="67">
        <f t="shared" si="13"/>
        <v>16254.036</v>
      </c>
      <c r="AF818" s="67">
        <f t="shared" si="33"/>
        <v>14012.1</v>
      </c>
      <c r="AG818" s="67">
        <f t="shared" si="15"/>
        <v>2241.936</v>
      </c>
      <c r="AH818" s="67">
        <f t="shared" si="16"/>
        <v>16254.036</v>
      </c>
      <c r="AI818" s="67">
        <f t="shared" si="17"/>
        <v>14012.1</v>
      </c>
      <c r="AJ818" s="68">
        <f t="shared" si="31"/>
        <v>2241.936</v>
      </c>
      <c r="AK818" s="68">
        <f t="shared" si="32"/>
        <v>16254.036</v>
      </c>
      <c r="AL818" s="70">
        <f>IFERROR(__xludf.DUMMYFUNCTION("""COMPUTED_VALUE"""),1.0)</f>
        <v>1</v>
      </c>
      <c r="AM818" s="70"/>
      <c r="AN818" s="71" t="str">
        <f>IFERROR(__xludf.DUMMYFUNCTION("""COMPUTED_VALUE""")," C")</f>
        <v>C</v>
      </c>
      <c r="AO818" s="71" t="str">
        <f>IFERROR(__xludf.DUMMYFUNCTION("""COMPUTED_VALUE""")," MD02")</f>
        <v>MD02</v>
      </c>
      <c r="AP818" s="71" t="str">
        <f>IFERROR(__xludf.DUMMYFUNCTION("""COMPUTED_VALUE""")," PZA")</f>
        <v>PZA</v>
      </c>
      <c r="AQ818" s="71" t="str">
        <f>IFERROR(__xludf.DUMMYFUNCTION("""COMPUTED_VALUE""")," REF")</f>
        <v>REF</v>
      </c>
      <c r="AR818" s="71" t="str">
        <f>IFERROR(__xludf.DUMMYFUNCTION("""COMPUTED_VALUE""")," MEDIO CANDADO P50")</f>
        <v>MEDIO CANDADO P50</v>
      </c>
      <c r="AS818" s="71" t="str">
        <f>IFERROR(__xludf.DUMMYFUNCTION("""COMPUTED_VALUE""")," MEDIO CANDADO P50")</f>
        <v>MEDIO CANDADO P50</v>
      </c>
      <c r="AT818" s="71">
        <f>IFERROR(__xludf.DUMMYFUNCTION("""COMPUTED_VALUE"""),17.0)</f>
        <v>17</v>
      </c>
      <c r="AU818" s="71"/>
      <c r="AV818" s="71"/>
      <c r="AW818" s="71"/>
      <c r="AX818" s="71"/>
      <c r="AY818" s="71">
        <f>IFERROR(__xludf.DUMMYFUNCTION("""COMPUTED_VALUE"""),20.0)</f>
        <v>20</v>
      </c>
      <c r="AZ818" s="71">
        <f>IFERROR(__xludf.DUMMYFUNCTION("""COMPUTED_VALUE"""),21.0)</f>
        <v>21</v>
      </c>
      <c r="BA818" s="71">
        <f>IFERROR(__xludf.DUMMYFUNCTION("""COMPUTED_VALUE"""),10.0)</f>
        <v>10</v>
      </c>
      <c r="BB818" s="71">
        <f>IFERROR(__xludf.DUMMYFUNCTION("""COMPUTED_VALUE"""),10.0)</f>
        <v>10</v>
      </c>
      <c r="BC818" s="71">
        <f>IFERROR(__xludf.DUMMYFUNCTION("""COMPUTED_VALUE"""),27.0)</f>
        <v>27</v>
      </c>
      <c r="BD818" s="71">
        <f>IFERROR(__xludf.DUMMYFUNCTION("""COMPUTED_VALUE"""),28.0)</f>
        <v>28</v>
      </c>
      <c r="BE818" s="71">
        <f>IFERROR(__xludf.DUMMYFUNCTION("""COMPUTED_VALUE"""),4.48)</f>
        <v>4.48</v>
      </c>
      <c r="BF818" s="71">
        <f>IFERROR(__xludf.DUMMYFUNCTION("""COMPUTED_VALUE"""),32.480000000000004)</f>
        <v>32.48</v>
      </c>
      <c r="BG818" s="71">
        <f>IFERROR(__xludf.DUMMYFUNCTION("""COMPUTED_VALUE"""),0.037037037037037035)</f>
        <v>0.03703703704</v>
      </c>
      <c r="BH818" s="71">
        <f>IFERROR(__xludf.DUMMYFUNCTION("""COMPUTED_VALUE"""),26.599999999999998)</f>
        <v>26.6</v>
      </c>
      <c r="BI818" s="71">
        <f>IFERROR(__xludf.DUMMYFUNCTION("""COMPUTED_VALUE"""),4.255999999999999)</f>
        <v>4.256</v>
      </c>
      <c r="BJ818" s="71">
        <f>IFERROR(__xludf.DUMMYFUNCTION("""COMPUTED_VALUE"""),30.855999999999998)</f>
        <v>30.856</v>
      </c>
      <c r="BK818" s="71">
        <f>IFERROR(__xludf.DUMMYFUNCTION("""COMPUTED_VALUE"""),25.2)</f>
        <v>25.2</v>
      </c>
      <c r="BL818" s="71">
        <f>IFERROR(__xludf.DUMMYFUNCTION("""COMPUTED_VALUE"""),4.032)</f>
        <v>4.032</v>
      </c>
      <c r="BM818" s="71">
        <f>IFERROR(__xludf.DUMMYFUNCTION("""COMPUTED_VALUE"""),29.232)</f>
        <v>29.232</v>
      </c>
      <c r="BN818" s="71">
        <f>IFERROR(__xludf.DUMMYFUNCTION("""COMPUTED_VALUE"""),23.8)</f>
        <v>23.8</v>
      </c>
      <c r="BO818" s="71">
        <f>IFERROR(__xludf.DUMMYFUNCTION("""COMPUTED_VALUE"""),3.8080000000000003)</f>
        <v>3.808</v>
      </c>
      <c r="BP818" s="71">
        <f>IFERROR(__xludf.DUMMYFUNCTION("""COMPUTED_VALUE"""),27.608)</f>
        <v>27.608</v>
      </c>
      <c r="BQ818" s="71">
        <f>IFERROR(__xludf.DUMMYFUNCTION("""COMPUTED_VALUE"""),23.24)</f>
        <v>23.24</v>
      </c>
      <c r="BR818" s="71">
        <f>IFERROR(__xludf.DUMMYFUNCTION("""COMPUTED_VALUE"""),3.7184)</f>
        <v>3.7184</v>
      </c>
      <c r="BS818" s="71">
        <f>IFERROR(__xludf.DUMMYFUNCTION("""COMPUTED_VALUE"""),26.958399999999997)</f>
        <v>26.9584</v>
      </c>
      <c r="BT818" s="71">
        <f>IFERROR(__xludf.DUMMYFUNCTION("""COMPUTED_VALUE"""),22.400000000000002)</f>
        <v>22.4</v>
      </c>
      <c r="BU818" s="71">
        <f>IFERROR(__xludf.DUMMYFUNCTION("""COMPUTED_VALUE"""),3.5840000000000005)</f>
        <v>3.584</v>
      </c>
      <c r="BV818" s="71">
        <f>IFERROR(__xludf.DUMMYFUNCTION("""COMPUTED_VALUE"""),25.984)</f>
        <v>25.984</v>
      </c>
    </row>
    <row r="819">
      <c r="A819" s="53"/>
      <c r="B819" s="53">
        <v>3.0</v>
      </c>
      <c r="C819" s="53" t="s">
        <v>36</v>
      </c>
      <c r="D819" s="98" t="s">
        <v>1978</v>
      </c>
      <c r="E819" s="54" t="s">
        <v>38</v>
      </c>
      <c r="F819" s="55" t="s">
        <v>187</v>
      </c>
      <c r="G819" s="117" t="s">
        <v>1979</v>
      </c>
      <c r="H819" s="55"/>
      <c r="I819" s="54">
        <f t="shared" si="24"/>
        <v>0</v>
      </c>
      <c r="J819" s="56"/>
      <c r="K819" s="57"/>
      <c r="L819" s="76"/>
      <c r="M819" s="59"/>
      <c r="N819" s="60"/>
      <c r="O819" s="61">
        <v>8089.0</v>
      </c>
      <c r="P819" s="62">
        <v>8736.12</v>
      </c>
      <c r="Q819" s="63">
        <v>8736.12</v>
      </c>
      <c r="R819" s="64">
        <v>9632.0</v>
      </c>
      <c r="S819" s="107">
        <v>10114.0</v>
      </c>
      <c r="T819" s="65">
        <f t="shared" si="2"/>
        <v>1618.24</v>
      </c>
      <c r="U819" s="65">
        <f t="shared" si="3"/>
        <v>11732.24</v>
      </c>
      <c r="V819" s="66">
        <f t="shared" si="4"/>
        <v>0.05004152824</v>
      </c>
      <c r="W819" s="67">
        <f t="shared" si="5"/>
        <v>9608.3</v>
      </c>
      <c r="X819" s="67">
        <f t="shared" si="6"/>
        <v>1537.328</v>
      </c>
      <c r="Y819" s="67">
        <f t="shared" si="7"/>
        <v>11145.628</v>
      </c>
      <c r="Z819" s="67">
        <f t="shared" si="8"/>
        <v>9102.6</v>
      </c>
      <c r="AA819" s="67">
        <f t="shared" si="9"/>
        <v>1456.416</v>
      </c>
      <c r="AB819" s="67">
        <f t="shared" si="10"/>
        <v>10559.016</v>
      </c>
      <c r="AC819" s="67">
        <f t="shared" si="11"/>
        <v>9102.6</v>
      </c>
      <c r="AD819" s="67">
        <f t="shared" si="12"/>
        <v>1456.416</v>
      </c>
      <c r="AE819" s="67">
        <f t="shared" si="13"/>
        <v>10559.016</v>
      </c>
      <c r="AF819" s="67">
        <f t="shared" si="33"/>
        <v>9102.6</v>
      </c>
      <c r="AG819" s="67">
        <f t="shared" si="15"/>
        <v>1456.416</v>
      </c>
      <c r="AH819" s="67">
        <f t="shared" si="16"/>
        <v>10559.016</v>
      </c>
      <c r="AI819" s="67">
        <f t="shared" si="17"/>
        <v>9102.6</v>
      </c>
      <c r="AJ819" s="68">
        <f t="shared" si="31"/>
        <v>1456.416</v>
      </c>
      <c r="AK819" s="68">
        <f t="shared" si="32"/>
        <v>10559.016</v>
      </c>
      <c r="AL819" s="70">
        <f>IFERROR(__xludf.DUMMYFUNCTION("""COMPUTED_VALUE"""),1.0)</f>
        <v>1</v>
      </c>
      <c r="AM819" s="70"/>
      <c r="AN819" s="71" t="str">
        <f>IFERROR(__xludf.DUMMYFUNCTION("""COMPUTED_VALUE""")," P")</f>
        <v>P</v>
      </c>
      <c r="AO819" s="71" t="str">
        <f>IFERROR(__xludf.DUMMYFUNCTION("""COMPUTED_VALUE""")," MD03")</f>
        <v>MD03</v>
      </c>
      <c r="AP819" s="71" t="str">
        <f>IFERROR(__xludf.DUMMYFUNCTION("""COMPUTED_VALUE""")," PZA")</f>
        <v>PZA</v>
      </c>
      <c r="AQ819" s="71" t="str">
        <f>IFERROR(__xludf.DUMMYFUNCTION("""COMPUTED_VALUE""")," REF")</f>
        <v>REF</v>
      </c>
      <c r="AR819" s="71" t="str">
        <f>IFERROR(__xludf.DUMMYFUNCTION("""COMPUTED_VALUE""")," MEDIO TUBO DE RECIRCULACIÓN CHICO ESPECIAL")</f>
        <v>MEDIO TUBO DE RECIRCULACIÓN CHICO ESPECIAL</v>
      </c>
      <c r="AS819" s="71" t="str">
        <f>IFERROR(__xludf.DUMMYFUNCTION("""COMPUTED_VALUE""")," MEDIO TUBO DE RECIRCULACION CHICO ESP")</f>
        <v>MEDIO TUBO DE RECIRCULACION CHICO ESP</v>
      </c>
      <c r="AT819" s="71">
        <f>IFERROR(__xludf.DUMMYFUNCTION("""COMPUTED_VALUE"""),37.0)</f>
        <v>37</v>
      </c>
      <c r="AU819" s="71"/>
      <c r="AV819" s="71"/>
      <c r="AW819" s="71"/>
      <c r="AX819" s="71"/>
      <c r="AY819" s="71">
        <f>IFERROR(__xludf.DUMMYFUNCTION("""COMPUTED_VALUE"""),231.0)</f>
        <v>231</v>
      </c>
      <c r="AZ819" s="71">
        <f>IFERROR(__xludf.DUMMYFUNCTION("""COMPUTED_VALUE"""),249.0)</f>
        <v>249</v>
      </c>
      <c r="BA819" s="71">
        <f>IFERROR(__xludf.DUMMYFUNCTION("""COMPUTED_VALUE"""),268.92)</f>
        <v>268.92</v>
      </c>
      <c r="BB819" s="71">
        <f>IFERROR(__xludf.DUMMYFUNCTION("""COMPUTED_VALUE"""),268.92)</f>
        <v>268.92</v>
      </c>
      <c r="BC819" s="71">
        <f>IFERROR(__xludf.DUMMYFUNCTION("""COMPUTED_VALUE"""),301.0)</f>
        <v>301</v>
      </c>
      <c r="BD819" s="71">
        <f>IFERROR(__xludf.DUMMYFUNCTION("""COMPUTED_VALUE"""),316.0)</f>
        <v>316</v>
      </c>
      <c r="BE819" s="71">
        <f>IFERROR(__xludf.DUMMYFUNCTION("""COMPUTED_VALUE"""),50.56)</f>
        <v>50.56</v>
      </c>
      <c r="BF819" s="71">
        <f>IFERROR(__xludf.DUMMYFUNCTION("""COMPUTED_VALUE"""),366.56)</f>
        <v>366.56</v>
      </c>
      <c r="BG819" s="71">
        <f>IFERROR(__xludf.DUMMYFUNCTION("""COMPUTED_VALUE"""),0.04983388704318937)</f>
        <v>0.04983388704</v>
      </c>
      <c r="BH819" s="71">
        <f>IFERROR(__xludf.DUMMYFUNCTION("""COMPUTED_VALUE"""),300.2)</f>
        <v>300.2</v>
      </c>
      <c r="BI819" s="71">
        <f>IFERROR(__xludf.DUMMYFUNCTION("""COMPUTED_VALUE"""),48.032)</f>
        <v>48.032</v>
      </c>
      <c r="BJ819" s="71">
        <f>IFERROR(__xludf.DUMMYFUNCTION("""COMPUTED_VALUE"""),348.23199999999997)</f>
        <v>348.232</v>
      </c>
      <c r="BK819" s="71">
        <f>IFERROR(__xludf.DUMMYFUNCTION("""COMPUTED_VALUE"""),284.40000000000003)</f>
        <v>284.4</v>
      </c>
      <c r="BL819" s="71">
        <f>IFERROR(__xludf.DUMMYFUNCTION("""COMPUTED_VALUE"""),45.504000000000005)</f>
        <v>45.504</v>
      </c>
      <c r="BM819" s="71">
        <f>IFERROR(__xludf.DUMMYFUNCTION("""COMPUTED_VALUE"""),329.90400000000005)</f>
        <v>329.904</v>
      </c>
      <c r="BN819" s="71">
        <f>IFERROR(__xludf.DUMMYFUNCTION("""COMPUTED_VALUE"""),268.59999999999997)</f>
        <v>268.6</v>
      </c>
      <c r="BO819" s="71">
        <f>IFERROR(__xludf.DUMMYFUNCTION("""COMPUTED_VALUE"""),42.97599999999999)</f>
        <v>42.976</v>
      </c>
      <c r="BP819" s="71">
        <f>IFERROR(__xludf.DUMMYFUNCTION("""COMPUTED_VALUE"""),311.57599999999996)</f>
        <v>311.576</v>
      </c>
      <c r="BQ819" s="71">
        <f>IFERROR(__xludf.DUMMYFUNCTION("""COMPUTED_VALUE"""),262.28)</f>
        <v>262.28</v>
      </c>
      <c r="BR819" s="71">
        <f>IFERROR(__xludf.DUMMYFUNCTION("""COMPUTED_VALUE"""),41.9648)</f>
        <v>41.9648</v>
      </c>
      <c r="BS819" s="71">
        <f>IFERROR(__xludf.DUMMYFUNCTION("""COMPUTED_VALUE"""),304.24479999999994)</f>
        <v>304.2448</v>
      </c>
      <c r="BT819" s="71">
        <f>IFERROR(__xludf.DUMMYFUNCTION("""COMPUTED_VALUE"""),252.8)</f>
        <v>252.8</v>
      </c>
      <c r="BU819" s="71">
        <f>IFERROR(__xludf.DUMMYFUNCTION("""COMPUTED_VALUE"""),40.448)</f>
        <v>40.448</v>
      </c>
      <c r="BV819" s="71">
        <f>IFERROR(__xludf.DUMMYFUNCTION("""COMPUTED_VALUE"""),293.248)</f>
        <v>293.248</v>
      </c>
    </row>
    <row r="820">
      <c r="A820" s="53"/>
      <c r="B820" s="53">
        <v>3.0</v>
      </c>
      <c r="C820" s="53" t="s">
        <v>36</v>
      </c>
      <c r="D820" s="98" t="s">
        <v>1980</v>
      </c>
      <c r="E820" s="54" t="s">
        <v>38</v>
      </c>
      <c r="F820" s="55" t="s">
        <v>187</v>
      </c>
      <c r="G820" s="117" t="s">
        <v>1981</v>
      </c>
      <c r="H820" s="55"/>
      <c r="I820" s="54">
        <f t="shared" si="24"/>
        <v>0</v>
      </c>
      <c r="J820" s="56"/>
      <c r="K820" s="57"/>
      <c r="L820" s="76"/>
      <c r="M820" s="59"/>
      <c r="N820" s="60"/>
      <c r="O820" s="61">
        <v>8845.0</v>
      </c>
      <c r="P820" s="62">
        <v>9552.6</v>
      </c>
      <c r="Q820" s="63">
        <v>9552.6</v>
      </c>
      <c r="R820" s="64">
        <v>10533.0</v>
      </c>
      <c r="S820" s="107">
        <v>11060.0</v>
      </c>
      <c r="T820" s="65">
        <f t="shared" si="2"/>
        <v>1769.6</v>
      </c>
      <c r="U820" s="65">
        <f t="shared" si="3"/>
        <v>12829.6</v>
      </c>
      <c r="V820" s="66">
        <f t="shared" si="4"/>
        <v>0.0500332289</v>
      </c>
      <c r="W820" s="67">
        <f t="shared" si="5"/>
        <v>10507</v>
      </c>
      <c r="X820" s="67">
        <f t="shared" si="6"/>
        <v>1681.12</v>
      </c>
      <c r="Y820" s="67">
        <f t="shared" si="7"/>
        <v>12188.12</v>
      </c>
      <c r="Z820" s="67">
        <f t="shared" si="8"/>
        <v>9954</v>
      </c>
      <c r="AA820" s="67">
        <f t="shared" si="9"/>
        <v>1592.64</v>
      </c>
      <c r="AB820" s="67">
        <f t="shared" si="10"/>
        <v>11546.64</v>
      </c>
      <c r="AC820" s="67">
        <f t="shared" si="11"/>
        <v>9954</v>
      </c>
      <c r="AD820" s="67">
        <f t="shared" si="12"/>
        <v>1592.64</v>
      </c>
      <c r="AE820" s="67">
        <f t="shared" si="13"/>
        <v>11546.64</v>
      </c>
      <c r="AF820" s="67">
        <f t="shared" si="33"/>
        <v>9954</v>
      </c>
      <c r="AG820" s="67">
        <f t="shared" si="15"/>
        <v>1592.64</v>
      </c>
      <c r="AH820" s="67">
        <f t="shared" si="16"/>
        <v>11546.64</v>
      </c>
      <c r="AI820" s="67">
        <f t="shared" si="17"/>
        <v>9954</v>
      </c>
      <c r="AJ820" s="68">
        <f t="shared" si="31"/>
        <v>1592.64</v>
      </c>
      <c r="AK820" s="68">
        <f t="shared" si="32"/>
        <v>11546.64</v>
      </c>
      <c r="AL820" s="70">
        <f>IFERROR(__xludf.DUMMYFUNCTION("""COMPUTED_VALUE"""),1.0)</f>
        <v>1</v>
      </c>
      <c r="AM820" s="70"/>
      <c r="AN820" s="71" t="str">
        <f>IFERROR(__xludf.DUMMYFUNCTION("""COMPUTED_VALUE""")," P")</f>
        <v>P</v>
      </c>
      <c r="AO820" s="71" t="str">
        <f>IFERROR(__xludf.DUMMYFUNCTION("""COMPUTED_VALUE""")," MD04")</f>
        <v>MD04</v>
      </c>
      <c r="AP820" s="71" t="str">
        <f>IFERROR(__xludf.DUMMYFUNCTION("""COMPUTED_VALUE""")," PZA")</f>
        <v>PZA</v>
      </c>
      <c r="AQ820" s="71" t="str">
        <f>IFERROR(__xludf.DUMMYFUNCTION("""COMPUTED_VALUE""")," REF")</f>
        <v>REF</v>
      </c>
      <c r="AR820" s="71" t="str">
        <f>IFERROR(__xludf.DUMMYFUNCTION("""COMPUTED_VALUE""")," MEDIO TUBO DE RECIRCULACIÓN DÚPLEX")</f>
        <v>MEDIO TUBO DE RECIRCULACIÓN DÚPLEX</v>
      </c>
      <c r="AS820" s="71" t="str">
        <f>IFERROR(__xludf.DUMMYFUNCTION("""COMPUTED_VALUE""")," MEDIO TUBO DE RECIRCULACION DPLX")</f>
        <v>MEDIO TUBO DE RECIRCULACION DPLX</v>
      </c>
      <c r="AT820" s="71">
        <f>IFERROR(__xludf.DUMMYFUNCTION("""COMPUTED_VALUE"""),32.0)</f>
        <v>32</v>
      </c>
      <c r="AU820" s="71"/>
      <c r="AV820" s="71"/>
      <c r="AW820" s="71"/>
      <c r="AX820" s="71"/>
      <c r="AY820" s="71">
        <f>IFERROR(__xludf.DUMMYFUNCTION("""COMPUTED_VALUE"""),263.0)</f>
        <v>263</v>
      </c>
      <c r="AZ820" s="71">
        <f>IFERROR(__xludf.DUMMYFUNCTION("""COMPUTED_VALUE"""),284.0)</f>
        <v>284</v>
      </c>
      <c r="BA820" s="71">
        <f>IFERROR(__xludf.DUMMYFUNCTION("""COMPUTED_VALUE"""),899.0)</f>
        <v>899</v>
      </c>
      <c r="BB820" s="71">
        <f>IFERROR(__xludf.DUMMYFUNCTION("""COMPUTED_VALUE"""),899.0)</f>
        <v>899</v>
      </c>
      <c r="BC820" s="71">
        <f>IFERROR(__xludf.DUMMYFUNCTION("""COMPUTED_VALUE"""),944.0)</f>
        <v>944</v>
      </c>
      <c r="BD820" s="71">
        <f>IFERROR(__xludf.DUMMYFUNCTION("""COMPUTED_VALUE"""),991.0)</f>
        <v>991</v>
      </c>
      <c r="BE820" s="71">
        <f>IFERROR(__xludf.DUMMYFUNCTION("""COMPUTED_VALUE"""),158.56)</f>
        <v>158.56</v>
      </c>
      <c r="BF820" s="71">
        <f>IFERROR(__xludf.DUMMYFUNCTION("""COMPUTED_VALUE"""),1149.56)</f>
        <v>1149.56</v>
      </c>
      <c r="BG820" s="71">
        <f>IFERROR(__xludf.DUMMYFUNCTION("""COMPUTED_VALUE"""),0.04978813559322034)</f>
        <v>0.04978813559</v>
      </c>
      <c r="BH820" s="71">
        <f>IFERROR(__xludf.DUMMYFUNCTION("""COMPUTED_VALUE"""),941.4499999999999)</f>
        <v>941.45</v>
      </c>
      <c r="BI820" s="71">
        <f>IFERROR(__xludf.DUMMYFUNCTION("""COMPUTED_VALUE"""),150.632)</f>
        <v>150.632</v>
      </c>
      <c r="BJ820" s="71">
        <f>IFERROR(__xludf.DUMMYFUNCTION("""COMPUTED_VALUE"""),1092.0819999999999)</f>
        <v>1092.082</v>
      </c>
      <c r="BK820" s="71">
        <f>IFERROR(__xludf.DUMMYFUNCTION("""COMPUTED_VALUE"""),891.9)</f>
        <v>891.9</v>
      </c>
      <c r="BL820" s="71">
        <f>IFERROR(__xludf.DUMMYFUNCTION("""COMPUTED_VALUE"""),142.704)</f>
        <v>142.704</v>
      </c>
      <c r="BM820" s="71">
        <f>IFERROR(__xludf.DUMMYFUNCTION("""COMPUTED_VALUE"""),1034.604)</f>
        <v>1034.604</v>
      </c>
      <c r="BN820" s="71">
        <f>IFERROR(__xludf.DUMMYFUNCTION("""COMPUTED_VALUE"""),842.35)</f>
        <v>842.35</v>
      </c>
      <c r="BO820" s="71">
        <f>IFERROR(__xludf.DUMMYFUNCTION("""COMPUTED_VALUE"""),134.776)</f>
        <v>134.776</v>
      </c>
      <c r="BP820" s="71">
        <f>IFERROR(__xludf.DUMMYFUNCTION("""COMPUTED_VALUE"""),977.126)</f>
        <v>977.126</v>
      </c>
      <c r="BQ820" s="71">
        <f>IFERROR(__xludf.DUMMYFUNCTION("""COMPUTED_VALUE"""),822.53)</f>
        <v>822.53</v>
      </c>
      <c r="BR820" s="71">
        <f>IFERROR(__xludf.DUMMYFUNCTION("""COMPUTED_VALUE"""),131.6048)</f>
        <v>131.6048</v>
      </c>
      <c r="BS820" s="71">
        <f>IFERROR(__xludf.DUMMYFUNCTION("""COMPUTED_VALUE"""),954.1348)</f>
        <v>954.1348</v>
      </c>
      <c r="BT820" s="71">
        <f>IFERROR(__xludf.DUMMYFUNCTION("""COMPUTED_VALUE"""),792.8000000000001)</f>
        <v>792.8</v>
      </c>
      <c r="BU820" s="71">
        <f>IFERROR(__xludf.DUMMYFUNCTION("""COMPUTED_VALUE"""),126.84800000000001)</f>
        <v>126.848</v>
      </c>
      <c r="BV820" s="71">
        <f>IFERROR(__xludf.DUMMYFUNCTION("""COMPUTED_VALUE"""),919.6480000000001)</f>
        <v>919.648</v>
      </c>
    </row>
    <row r="821">
      <c r="A821" s="53"/>
      <c r="B821" s="53"/>
      <c r="C821" s="53" t="s">
        <v>36</v>
      </c>
      <c r="D821" s="85" t="s">
        <v>1982</v>
      </c>
      <c r="E821" s="54" t="s">
        <v>38</v>
      </c>
      <c r="F821" s="55" t="s">
        <v>39</v>
      </c>
      <c r="G821" s="86" t="s">
        <v>1983</v>
      </c>
      <c r="H821" s="55"/>
      <c r="I821" s="54">
        <f t="shared" si="24"/>
        <v>0</v>
      </c>
      <c r="J821" s="56"/>
      <c r="K821" s="57"/>
      <c r="L821" s="76"/>
      <c r="M821" s="59"/>
      <c r="N821" s="60"/>
      <c r="O821" s="61">
        <v>12272.64</v>
      </c>
      <c r="P821" s="62">
        <v>13254.4512</v>
      </c>
      <c r="Q821" s="63">
        <v>13254.4512</v>
      </c>
      <c r="R821" s="64">
        <v>13917.0</v>
      </c>
      <c r="S821" s="107">
        <v>14613.0</v>
      </c>
      <c r="T821" s="65">
        <f t="shared" si="2"/>
        <v>2338.08</v>
      </c>
      <c r="U821" s="65">
        <f t="shared" si="3"/>
        <v>16951.08</v>
      </c>
      <c r="V821" s="66">
        <f t="shared" si="4"/>
        <v>0.05001077818</v>
      </c>
      <c r="W821" s="67">
        <f t="shared" si="5"/>
        <v>13882.35</v>
      </c>
      <c r="X821" s="67">
        <f t="shared" si="6"/>
        <v>2221.176</v>
      </c>
      <c r="Y821" s="67">
        <f t="shared" si="7"/>
        <v>16103.526</v>
      </c>
      <c r="Z821" s="67">
        <f t="shared" si="8"/>
        <v>13151.7</v>
      </c>
      <c r="AA821" s="67">
        <f t="shared" si="9"/>
        <v>2104.272</v>
      </c>
      <c r="AB821" s="67">
        <f t="shared" si="10"/>
        <v>15255.972</v>
      </c>
      <c r="AC821" s="67">
        <f t="shared" si="11"/>
        <v>12421.05</v>
      </c>
      <c r="AD821" s="67">
        <f t="shared" si="12"/>
        <v>1987.368</v>
      </c>
      <c r="AE821" s="67">
        <f t="shared" si="13"/>
        <v>14408.418</v>
      </c>
      <c r="AF821" s="67">
        <f t="shared" si="33"/>
        <v>12128.79</v>
      </c>
      <c r="AG821" s="67">
        <f t="shared" si="15"/>
        <v>1940.6064</v>
      </c>
      <c r="AH821" s="67">
        <f t="shared" si="16"/>
        <v>14069.3964</v>
      </c>
      <c r="AI821" s="67">
        <f t="shared" si="17"/>
        <v>11690.4</v>
      </c>
      <c r="AJ821" s="68">
        <f t="shared" si="31"/>
        <v>1870.464</v>
      </c>
      <c r="AK821" s="68">
        <f t="shared" si="32"/>
        <v>13560.864</v>
      </c>
      <c r="AL821" s="70">
        <f>IFERROR(__xludf.DUMMYFUNCTION("""COMPUTED_VALUE"""),1.0)</f>
        <v>1</v>
      </c>
      <c r="AM821" s="70"/>
      <c r="AN821" s="71" t="str">
        <f>IFERROR(__xludf.DUMMYFUNCTION("""COMPUTED_VALUE""")," P")</f>
        <v>P</v>
      </c>
      <c r="AO821" s="71" t="str">
        <f>IFERROR(__xludf.DUMMYFUNCTION("""COMPUTED_VALUE""")," MD05")</f>
        <v>MD05</v>
      </c>
      <c r="AP821" s="71" t="str">
        <f>IFERROR(__xludf.DUMMYFUNCTION("""COMPUTED_VALUE""")," PZA")</f>
        <v>PZA</v>
      </c>
      <c r="AQ821" s="71" t="str">
        <f>IFERROR(__xludf.DUMMYFUNCTION("""COMPUTED_VALUE""")," REF")</f>
        <v>REF</v>
      </c>
      <c r="AR821" s="71" t="str">
        <f>IFERROR(__xludf.DUMMYFUNCTION("""COMPUTED_VALUE""")," MEDIO TUBO DE RECIRCULACIÓN SENCILLO")</f>
        <v>MEDIO TUBO DE RECIRCULACIÓN SENCILLO</v>
      </c>
      <c r="AS821" s="71" t="str">
        <f>IFERROR(__xludf.DUMMYFUNCTION("""COMPUTED_VALUE""")," MEDIO TUBO DE RECIRCULACION SENCILLO")</f>
        <v>MEDIO TUBO DE RECIRCULACION SENCILLO</v>
      </c>
      <c r="AT821" s="71">
        <f>IFERROR(__xludf.DUMMYFUNCTION("""COMPUTED_VALUE"""),36.0)</f>
        <v>36</v>
      </c>
      <c r="AU821" s="71"/>
      <c r="AV821" s="71"/>
      <c r="AW821" s="71"/>
      <c r="AX821" s="71"/>
      <c r="AY821" s="71">
        <f>IFERROR(__xludf.DUMMYFUNCTION("""COMPUTED_VALUE"""),231.0)</f>
        <v>231</v>
      </c>
      <c r="AZ821" s="71">
        <f>IFERROR(__xludf.DUMMYFUNCTION("""COMPUTED_VALUE"""),249.0)</f>
        <v>249</v>
      </c>
      <c r="BA821" s="71">
        <f>IFERROR(__xludf.DUMMYFUNCTION("""COMPUTED_VALUE"""),268.92)</f>
        <v>268.92</v>
      </c>
      <c r="BB821" s="71">
        <f>IFERROR(__xludf.DUMMYFUNCTION("""COMPUTED_VALUE"""),268.92)</f>
        <v>268.92</v>
      </c>
      <c r="BC821" s="71">
        <f>IFERROR(__xludf.DUMMYFUNCTION("""COMPUTED_VALUE"""),301.0)</f>
        <v>301</v>
      </c>
      <c r="BD821" s="71">
        <f>IFERROR(__xludf.DUMMYFUNCTION("""COMPUTED_VALUE"""),316.0)</f>
        <v>316</v>
      </c>
      <c r="BE821" s="71">
        <f>IFERROR(__xludf.DUMMYFUNCTION("""COMPUTED_VALUE"""),50.56)</f>
        <v>50.56</v>
      </c>
      <c r="BF821" s="71">
        <f>IFERROR(__xludf.DUMMYFUNCTION("""COMPUTED_VALUE"""),366.56)</f>
        <v>366.56</v>
      </c>
      <c r="BG821" s="71">
        <f>IFERROR(__xludf.DUMMYFUNCTION("""COMPUTED_VALUE"""),0.04983388704318937)</f>
        <v>0.04983388704</v>
      </c>
      <c r="BH821" s="71">
        <f>IFERROR(__xludf.DUMMYFUNCTION("""COMPUTED_VALUE"""),300.2)</f>
        <v>300.2</v>
      </c>
      <c r="BI821" s="71">
        <f>IFERROR(__xludf.DUMMYFUNCTION("""COMPUTED_VALUE"""),48.032)</f>
        <v>48.032</v>
      </c>
      <c r="BJ821" s="71">
        <f>IFERROR(__xludf.DUMMYFUNCTION("""COMPUTED_VALUE"""),348.23199999999997)</f>
        <v>348.232</v>
      </c>
      <c r="BK821" s="71">
        <f>IFERROR(__xludf.DUMMYFUNCTION("""COMPUTED_VALUE"""),284.40000000000003)</f>
        <v>284.4</v>
      </c>
      <c r="BL821" s="71">
        <f>IFERROR(__xludf.DUMMYFUNCTION("""COMPUTED_VALUE"""),45.504000000000005)</f>
        <v>45.504</v>
      </c>
      <c r="BM821" s="71">
        <f>IFERROR(__xludf.DUMMYFUNCTION("""COMPUTED_VALUE"""),329.90400000000005)</f>
        <v>329.904</v>
      </c>
      <c r="BN821" s="71">
        <f>IFERROR(__xludf.DUMMYFUNCTION("""COMPUTED_VALUE"""),268.59999999999997)</f>
        <v>268.6</v>
      </c>
      <c r="BO821" s="71">
        <f>IFERROR(__xludf.DUMMYFUNCTION("""COMPUTED_VALUE"""),42.97599999999999)</f>
        <v>42.976</v>
      </c>
      <c r="BP821" s="71">
        <f>IFERROR(__xludf.DUMMYFUNCTION("""COMPUTED_VALUE"""),311.57599999999996)</f>
        <v>311.576</v>
      </c>
      <c r="BQ821" s="71">
        <f>IFERROR(__xludf.DUMMYFUNCTION("""COMPUTED_VALUE"""),262.28)</f>
        <v>262.28</v>
      </c>
      <c r="BR821" s="71">
        <f>IFERROR(__xludf.DUMMYFUNCTION("""COMPUTED_VALUE"""),41.9648)</f>
        <v>41.9648</v>
      </c>
      <c r="BS821" s="71">
        <f>IFERROR(__xludf.DUMMYFUNCTION("""COMPUTED_VALUE"""),304.24479999999994)</f>
        <v>304.2448</v>
      </c>
      <c r="BT821" s="71">
        <f>IFERROR(__xludf.DUMMYFUNCTION("""COMPUTED_VALUE"""),252.8)</f>
        <v>252.8</v>
      </c>
      <c r="BU821" s="71">
        <f>IFERROR(__xludf.DUMMYFUNCTION("""COMPUTED_VALUE"""),40.448)</f>
        <v>40.448</v>
      </c>
      <c r="BV821" s="71">
        <f>IFERROR(__xludf.DUMMYFUNCTION("""COMPUTED_VALUE"""),293.248)</f>
        <v>293.248</v>
      </c>
    </row>
    <row r="822">
      <c r="A822" s="53"/>
      <c r="B822" s="53"/>
      <c r="C822" s="53" t="s">
        <v>36</v>
      </c>
      <c r="D822" s="85" t="s">
        <v>1984</v>
      </c>
      <c r="E822" s="54" t="s">
        <v>38</v>
      </c>
      <c r="F822" s="55" t="s">
        <v>39</v>
      </c>
      <c r="G822" s="86" t="s">
        <v>1985</v>
      </c>
      <c r="H822" s="55"/>
      <c r="I822" s="54">
        <f t="shared" si="24"/>
        <v>0</v>
      </c>
      <c r="J822" s="56"/>
      <c r="K822" s="57"/>
      <c r="L822" s="76"/>
      <c r="M822" s="59"/>
      <c r="N822" s="60"/>
      <c r="O822" s="61">
        <v>12633.6</v>
      </c>
      <c r="P822" s="62">
        <v>13644.288</v>
      </c>
      <c r="Q822" s="63">
        <v>13644.288</v>
      </c>
      <c r="R822" s="64">
        <v>14327.0</v>
      </c>
      <c r="S822" s="107">
        <v>15043.0</v>
      </c>
      <c r="T822" s="65">
        <f t="shared" si="2"/>
        <v>2406.88</v>
      </c>
      <c r="U822" s="65">
        <f t="shared" si="3"/>
        <v>17449.88</v>
      </c>
      <c r="V822" s="66">
        <f t="shared" si="4"/>
        <v>0.0499755706</v>
      </c>
      <c r="W822" s="67">
        <f t="shared" si="5"/>
        <v>14290.85</v>
      </c>
      <c r="X822" s="67">
        <f t="shared" si="6"/>
        <v>2286.536</v>
      </c>
      <c r="Y822" s="67">
        <f t="shared" si="7"/>
        <v>16577.386</v>
      </c>
      <c r="Z822" s="67">
        <f t="shared" si="8"/>
        <v>13538.7</v>
      </c>
      <c r="AA822" s="67">
        <f t="shared" si="9"/>
        <v>2166.192</v>
      </c>
      <c r="AB822" s="67">
        <f t="shared" si="10"/>
        <v>15704.892</v>
      </c>
      <c r="AC822" s="67">
        <f t="shared" si="11"/>
        <v>12786.55</v>
      </c>
      <c r="AD822" s="67">
        <f t="shared" si="12"/>
        <v>2045.848</v>
      </c>
      <c r="AE822" s="67">
        <f t="shared" si="13"/>
        <v>14832.398</v>
      </c>
      <c r="AF822" s="67">
        <f t="shared" si="33"/>
        <v>12485.69</v>
      </c>
      <c r="AG822" s="67">
        <f t="shared" si="15"/>
        <v>1997.7104</v>
      </c>
      <c r="AH822" s="67">
        <f t="shared" si="16"/>
        <v>14483.4004</v>
      </c>
      <c r="AI822" s="67">
        <f t="shared" si="17"/>
        <v>12034.4</v>
      </c>
      <c r="AJ822" s="68">
        <f t="shared" si="31"/>
        <v>1925.504</v>
      </c>
      <c r="AK822" s="68">
        <f t="shared" si="32"/>
        <v>13959.904</v>
      </c>
      <c r="AL822" s="70">
        <f>IFERROR(__xludf.DUMMYFUNCTION("""COMPUTED_VALUE"""),1.0)</f>
        <v>1</v>
      </c>
      <c r="AM822" s="70"/>
      <c r="AN822" s="71" t="str">
        <f>IFERROR(__xludf.DUMMYFUNCTION("""COMPUTED_VALUE""")," C")</f>
        <v>C</v>
      </c>
      <c r="AO822" s="71" t="str">
        <f>IFERROR(__xludf.DUMMYFUNCTION("""COMPUTED_VALUE""")," MJ01")</f>
        <v>MJ01</v>
      </c>
      <c r="AP822" s="71" t="str">
        <f>IFERROR(__xludf.DUMMYFUNCTION("""COMPUTED_VALUE""")," PZA")</f>
        <v>PZA</v>
      </c>
      <c r="AQ822" s="71" t="str">
        <f>IFERROR(__xludf.DUMMYFUNCTION("""COMPUTED_VALUE""")," REF")</f>
        <v>REF</v>
      </c>
      <c r="AR822" s="71" t="str">
        <f>IFERROR(__xludf.DUMMYFUNCTION("""COMPUTED_VALUE""")," MEJORADOR PARA MASA 1 KG.")</f>
        <v>MEJORADOR PARA MASA 1 KG.</v>
      </c>
      <c r="AS822" s="71" t="str">
        <f>IFERROR(__xludf.DUMMYFUNCTION("""COMPUTED_VALUE""")," MEJORADOR PARA MASA 1 KG.")</f>
        <v>MEJORADOR PARA MASA 1 KG.</v>
      </c>
      <c r="AT822" s="71">
        <f>IFERROR(__xludf.DUMMYFUNCTION("""COMPUTED_VALUE"""),25.0)</f>
        <v>25</v>
      </c>
      <c r="AU822" s="71"/>
      <c r="AV822" s="71"/>
      <c r="AW822" s="71"/>
      <c r="AX822" s="71"/>
      <c r="AY822" s="71">
        <f>IFERROR(__xludf.DUMMYFUNCTION("""COMPUTED_VALUE"""),90.0)</f>
        <v>90</v>
      </c>
      <c r="AZ822" s="71">
        <f>IFERROR(__xludf.DUMMYFUNCTION("""COMPUTED_VALUE"""),97.0)</f>
        <v>97</v>
      </c>
      <c r="BA822" s="71">
        <f>IFERROR(__xludf.DUMMYFUNCTION("""COMPUTED_VALUE"""),104.76)</f>
        <v>104.76</v>
      </c>
      <c r="BB822" s="71">
        <f>IFERROR(__xludf.DUMMYFUNCTION("""COMPUTED_VALUE"""),104.76)</f>
        <v>104.76</v>
      </c>
      <c r="BC822" s="71">
        <f>IFERROR(__xludf.DUMMYFUNCTION("""COMPUTED_VALUE"""),118.0)</f>
        <v>118</v>
      </c>
      <c r="BD822" s="71">
        <f>IFERROR(__xludf.DUMMYFUNCTION("""COMPUTED_VALUE"""),124.0)</f>
        <v>124</v>
      </c>
      <c r="BE822" s="71">
        <f>IFERROR(__xludf.DUMMYFUNCTION("""COMPUTED_VALUE"""),19.84)</f>
        <v>19.84</v>
      </c>
      <c r="BF822" s="71">
        <f>IFERROR(__xludf.DUMMYFUNCTION("""COMPUTED_VALUE"""),143.84)</f>
        <v>143.84</v>
      </c>
      <c r="BG822" s="71">
        <f>IFERROR(__xludf.DUMMYFUNCTION("""COMPUTED_VALUE"""),0.05084745762711865)</f>
        <v>0.05084745763</v>
      </c>
      <c r="BH822" s="71">
        <f>IFERROR(__xludf.DUMMYFUNCTION("""COMPUTED_VALUE"""),117.8)</f>
        <v>117.8</v>
      </c>
      <c r="BI822" s="71">
        <f>IFERROR(__xludf.DUMMYFUNCTION("""COMPUTED_VALUE"""),18.848)</f>
        <v>18.848</v>
      </c>
      <c r="BJ822" s="71">
        <f>IFERROR(__xludf.DUMMYFUNCTION("""COMPUTED_VALUE"""),136.648)</f>
        <v>136.648</v>
      </c>
      <c r="BK822" s="71">
        <f>IFERROR(__xludf.DUMMYFUNCTION("""COMPUTED_VALUE"""),111.60000000000001)</f>
        <v>111.6</v>
      </c>
      <c r="BL822" s="71">
        <f>IFERROR(__xludf.DUMMYFUNCTION("""COMPUTED_VALUE"""),17.856)</f>
        <v>17.856</v>
      </c>
      <c r="BM822" s="71">
        <f>IFERROR(__xludf.DUMMYFUNCTION("""COMPUTED_VALUE"""),129.45600000000002)</f>
        <v>129.456</v>
      </c>
      <c r="BN822" s="71">
        <f>IFERROR(__xludf.DUMMYFUNCTION("""COMPUTED_VALUE"""),105.39999999999999)</f>
        <v>105.4</v>
      </c>
      <c r="BO822" s="71">
        <f>IFERROR(__xludf.DUMMYFUNCTION("""COMPUTED_VALUE"""),16.863999999999997)</f>
        <v>16.864</v>
      </c>
      <c r="BP822" s="71">
        <f>IFERROR(__xludf.DUMMYFUNCTION("""COMPUTED_VALUE"""),122.26399999999998)</f>
        <v>122.264</v>
      </c>
      <c r="BQ822" s="71">
        <f>IFERROR(__xludf.DUMMYFUNCTION("""COMPUTED_VALUE"""),102.92)</f>
        <v>102.92</v>
      </c>
      <c r="BR822" s="71">
        <f>IFERROR(__xludf.DUMMYFUNCTION("""COMPUTED_VALUE"""),16.467200000000002)</f>
        <v>16.4672</v>
      </c>
      <c r="BS822" s="71">
        <f>IFERROR(__xludf.DUMMYFUNCTION("""COMPUTED_VALUE"""),119.3872)</f>
        <v>119.3872</v>
      </c>
      <c r="BT822" s="71">
        <f>IFERROR(__xludf.DUMMYFUNCTION("""COMPUTED_VALUE"""),99.2)</f>
        <v>99.2</v>
      </c>
      <c r="BU822" s="71">
        <f>IFERROR(__xludf.DUMMYFUNCTION("""COMPUTED_VALUE"""),15.872000000000002)</f>
        <v>15.872</v>
      </c>
      <c r="BV822" s="71">
        <f>IFERROR(__xludf.DUMMYFUNCTION("""COMPUTED_VALUE"""),115.072)</f>
        <v>115.072</v>
      </c>
    </row>
    <row r="823">
      <c r="A823" s="53"/>
      <c r="B823" s="53">
        <v>3.0</v>
      </c>
      <c r="C823" s="53" t="s">
        <v>36</v>
      </c>
      <c r="D823" s="85" t="s">
        <v>1986</v>
      </c>
      <c r="E823" s="54" t="s">
        <v>38</v>
      </c>
      <c r="F823" s="55" t="s">
        <v>866</v>
      </c>
      <c r="G823" s="138" t="s">
        <v>1987</v>
      </c>
      <c r="H823" s="55"/>
      <c r="I823" s="54">
        <f t="shared" si="24"/>
        <v>0</v>
      </c>
      <c r="J823" s="56"/>
      <c r="K823" s="57"/>
      <c r="L823" s="76"/>
      <c r="M823" s="59"/>
      <c r="N823" s="60"/>
      <c r="O823" s="61">
        <v>11094.0</v>
      </c>
      <c r="P823" s="62">
        <v>11981.52</v>
      </c>
      <c r="Q823" s="63">
        <v>11981.52</v>
      </c>
      <c r="R823" s="64">
        <v>12582.0</v>
      </c>
      <c r="S823" s="107">
        <v>13211.0</v>
      </c>
      <c r="T823" s="65">
        <f t="shared" si="2"/>
        <v>2113.76</v>
      </c>
      <c r="U823" s="65">
        <f t="shared" si="3"/>
        <v>15324.76</v>
      </c>
      <c r="V823" s="66">
        <f t="shared" si="4"/>
        <v>0.04999205214</v>
      </c>
      <c r="W823" s="67">
        <f t="shared" si="5"/>
        <v>12550.45</v>
      </c>
      <c r="X823" s="67">
        <f t="shared" si="6"/>
        <v>2008.072</v>
      </c>
      <c r="Y823" s="67">
        <f t="shared" si="7"/>
        <v>14558.522</v>
      </c>
      <c r="Z823" s="67">
        <f t="shared" si="8"/>
        <v>11889.9</v>
      </c>
      <c r="AA823" s="67">
        <f t="shared" si="9"/>
        <v>1902.384</v>
      </c>
      <c r="AB823" s="67">
        <f t="shared" si="10"/>
        <v>13792.284</v>
      </c>
      <c r="AC823" s="67">
        <f t="shared" si="11"/>
        <v>11889.9</v>
      </c>
      <c r="AD823" s="67">
        <f t="shared" si="12"/>
        <v>1902.384</v>
      </c>
      <c r="AE823" s="67">
        <f t="shared" si="13"/>
        <v>13792.284</v>
      </c>
      <c r="AF823" s="67">
        <f t="shared" si="33"/>
        <v>11889.9</v>
      </c>
      <c r="AG823" s="67">
        <f t="shared" si="15"/>
        <v>1902.384</v>
      </c>
      <c r="AH823" s="67">
        <f t="shared" si="16"/>
        <v>13792.284</v>
      </c>
      <c r="AI823" s="67">
        <f t="shared" si="17"/>
        <v>11889.9</v>
      </c>
      <c r="AJ823" s="68">
        <f t="shared" si="31"/>
        <v>1902.384</v>
      </c>
      <c r="AK823" s="68">
        <f t="shared" si="32"/>
        <v>13792.284</v>
      </c>
      <c r="AL823" s="70">
        <f>IFERROR(__xludf.DUMMYFUNCTION("""COMPUTED_VALUE"""),1.0)</f>
        <v>1</v>
      </c>
      <c r="AM823" s="70"/>
      <c r="AN823" s="71" t="str">
        <f>IFERROR(__xludf.DUMMYFUNCTION("""COMPUTED_VALUE""")," C")</f>
        <v>C</v>
      </c>
      <c r="AO823" s="71" t="str">
        <f>IFERROR(__xludf.DUMMYFUNCTION("""COMPUTED_VALUE""")," MJ03")</f>
        <v>MJ03</v>
      </c>
      <c r="AP823" s="71" t="str">
        <f>IFERROR(__xludf.DUMMYFUNCTION("""COMPUTED_VALUE""")," PZA")</f>
        <v>PZA</v>
      </c>
      <c r="AQ823" s="71" t="str">
        <f>IFERROR(__xludf.DUMMYFUNCTION("""COMPUTED_VALUE""")," REF")</f>
        <v>REF</v>
      </c>
      <c r="AR823" s="71" t="str">
        <f>IFERROR(__xludf.DUMMYFUNCTION("""COMPUTED_VALUE""")," MEJORADOR PARA MASA 25 KG. (BULTO)")</f>
        <v>MEJORADOR PARA MASA 25 KG. (BULTO)</v>
      </c>
      <c r="AS823" s="71" t="str">
        <f>IFERROR(__xludf.DUMMYFUNCTION("""COMPUTED_VALUE""")," MEJORADOR PARA MASA 25 KG. (BULTO)")</f>
        <v>MEJORADOR PARA MASA 25 KG. (BULTO)</v>
      </c>
      <c r="AT823" s="71">
        <f>IFERROR(__xludf.DUMMYFUNCTION("""COMPUTED_VALUE"""),34.0)</f>
        <v>34</v>
      </c>
      <c r="AU823" s="71"/>
      <c r="AV823" s="71"/>
      <c r="AW823" s="71"/>
      <c r="AX823" s="71"/>
      <c r="AY823" s="71">
        <f>IFERROR(__xludf.DUMMYFUNCTION("""COMPUTED_VALUE"""),2174.0)</f>
        <v>2174</v>
      </c>
      <c r="AZ823" s="71">
        <f>IFERROR(__xludf.DUMMYFUNCTION("""COMPUTED_VALUE"""),2347.0)</f>
        <v>2347</v>
      </c>
      <c r="BA823" s="71">
        <f>IFERROR(__xludf.DUMMYFUNCTION("""COMPUTED_VALUE"""),2534.76)</f>
        <v>2534.76</v>
      </c>
      <c r="BB823" s="71">
        <f>IFERROR(__xludf.DUMMYFUNCTION("""COMPUTED_VALUE"""),2534.76)</f>
        <v>2534.76</v>
      </c>
      <c r="BC823" s="71">
        <f>IFERROR(__xludf.DUMMYFUNCTION("""COMPUTED_VALUE"""),2822.0)</f>
        <v>2822</v>
      </c>
      <c r="BD823" s="71">
        <f>IFERROR(__xludf.DUMMYFUNCTION("""COMPUTED_VALUE"""),2963.0)</f>
        <v>2963</v>
      </c>
      <c r="BE823" s="71">
        <f>IFERROR(__xludf.DUMMYFUNCTION("""COMPUTED_VALUE"""),474.08)</f>
        <v>474.08</v>
      </c>
      <c r="BF823" s="71">
        <f>IFERROR(__xludf.DUMMYFUNCTION("""COMPUTED_VALUE"""),3437.08)</f>
        <v>3437.08</v>
      </c>
      <c r="BG823" s="71">
        <f>IFERROR(__xludf.DUMMYFUNCTION("""COMPUTED_VALUE"""),0.049964564138908575)</f>
        <v>0.04996456414</v>
      </c>
      <c r="BH823" s="71">
        <f>IFERROR(__xludf.DUMMYFUNCTION("""COMPUTED_VALUE"""),2814.85)</f>
        <v>2814.85</v>
      </c>
      <c r="BI823" s="71">
        <f>IFERROR(__xludf.DUMMYFUNCTION("""COMPUTED_VALUE"""),450.376)</f>
        <v>450.376</v>
      </c>
      <c r="BJ823" s="71">
        <f>IFERROR(__xludf.DUMMYFUNCTION("""COMPUTED_VALUE"""),3265.2259999999997)</f>
        <v>3265.226</v>
      </c>
      <c r="BK823" s="71">
        <f>IFERROR(__xludf.DUMMYFUNCTION("""COMPUTED_VALUE"""),2666.7000000000003)</f>
        <v>2666.7</v>
      </c>
      <c r="BL823" s="71">
        <f>IFERROR(__xludf.DUMMYFUNCTION("""COMPUTED_VALUE"""),426.672)</f>
        <v>426.672</v>
      </c>
      <c r="BM823" s="71">
        <f>IFERROR(__xludf.DUMMYFUNCTION("""COMPUTED_VALUE"""),3093.3720000000003)</f>
        <v>3093.372</v>
      </c>
      <c r="BN823" s="71">
        <f>IFERROR(__xludf.DUMMYFUNCTION("""COMPUTED_VALUE"""),2518.5499999999997)</f>
        <v>2518.55</v>
      </c>
      <c r="BO823" s="71">
        <f>IFERROR(__xludf.DUMMYFUNCTION("""COMPUTED_VALUE"""),402.96799999999996)</f>
        <v>402.968</v>
      </c>
      <c r="BP823" s="71">
        <f>IFERROR(__xludf.DUMMYFUNCTION("""COMPUTED_VALUE"""),2921.5179999999996)</f>
        <v>2921.518</v>
      </c>
      <c r="BQ823" s="71">
        <f>IFERROR(__xludf.DUMMYFUNCTION("""COMPUTED_VALUE"""),2459.29)</f>
        <v>2459.29</v>
      </c>
      <c r="BR823" s="71">
        <f>IFERROR(__xludf.DUMMYFUNCTION("""COMPUTED_VALUE"""),393.4864)</f>
        <v>393.4864</v>
      </c>
      <c r="BS823" s="71">
        <f>IFERROR(__xludf.DUMMYFUNCTION("""COMPUTED_VALUE"""),2852.7763999999997)</f>
        <v>2852.7764</v>
      </c>
      <c r="BT823" s="71">
        <f>IFERROR(__xludf.DUMMYFUNCTION("""COMPUTED_VALUE"""),2370.4)</f>
        <v>2370.4</v>
      </c>
      <c r="BU823" s="71">
        <f>IFERROR(__xludf.DUMMYFUNCTION("""COMPUTED_VALUE"""),379.264)</f>
        <v>379.264</v>
      </c>
      <c r="BV823" s="71">
        <f>IFERROR(__xludf.DUMMYFUNCTION("""COMPUTED_VALUE"""),2749.664)</f>
        <v>2749.664</v>
      </c>
    </row>
    <row r="824">
      <c r="A824" s="53"/>
      <c r="B824" s="53">
        <v>3.0</v>
      </c>
      <c r="C824" s="53" t="s">
        <v>36</v>
      </c>
      <c r="D824" s="85" t="s">
        <v>1988</v>
      </c>
      <c r="E824" s="54" t="s">
        <v>38</v>
      </c>
      <c r="F824" s="55" t="s">
        <v>866</v>
      </c>
      <c r="G824" s="106" t="s">
        <v>1989</v>
      </c>
      <c r="H824" s="55"/>
      <c r="I824" s="54">
        <f t="shared" si="24"/>
        <v>0</v>
      </c>
      <c r="J824" s="56"/>
      <c r="K824" s="57"/>
      <c r="L824" s="76"/>
      <c r="M824" s="59"/>
      <c r="N824" s="60"/>
      <c r="O824" s="61">
        <v>19126.0</v>
      </c>
      <c r="P824" s="62">
        <v>20656.08</v>
      </c>
      <c r="Q824" s="63">
        <v>20656.08</v>
      </c>
      <c r="R824" s="64">
        <v>21689.0</v>
      </c>
      <c r="S824" s="107">
        <v>22773.0</v>
      </c>
      <c r="T824" s="65">
        <f t="shared" si="2"/>
        <v>3643.68</v>
      </c>
      <c r="U824" s="65">
        <f t="shared" si="3"/>
        <v>26416.68</v>
      </c>
      <c r="V824" s="66">
        <f t="shared" si="4"/>
        <v>0.04997925216</v>
      </c>
      <c r="W824" s="67">
        <f t="shared" si="5"/>
        <v>21634.35</v>
      </c>
      <c r="X824" s="67">
        <f t="shared" si="6"/>
        <v>3461.496</v>
      </c>
      <c r="Y824" s="67">
        <f t="shared" si="7"/>
        <v>25095.846</v>
      </c>
      <c r="Z824" s="67">
        <f t="shared" si="8"/>
        <v>20495.7</v>
      </c>
      <c r="AA824" s="67">
        <f t="shared" si="9"/>
        <v>3279.312</v>
      </c>
      <c r="AB824" s="67">
        <f t="shared" si="10"/>
        <v>23775.012</v>
      </c>
      <c r="AC824" s="67">
        <f t="shared" si="11"/>
        <v>20495.7</v>
      </c>
      <c r="AD824" s="67">
        <f t="shared" si="12"/>
        <v>3279.312</v>
      </c>
      <c r="AE824" s="67">
        <f t="shared" si="13"/>
        <v>23775.012</v>
      </c>
      <c r="AF824" s="67">
        <f t="shared" si="33"/>
        <v>20495.7</v>
      </c>
      <c r="AG824" s="67">
        <f t="shared" si="15"/>
        <v>3279.312</v>
      </c>
      <c r="AH824" s="67">
        <f t="shared" si="16"/>
        <v>23775.012</v>
      </c>
      <c r="AI824" s="67">
        <f t="shared" si="17"/>
        <v>20495.7</v>
      </c>
      <c r="AJ824" s="68">
        <f t="shared" si="31"/>
        <v>3279.312</v>
      </c>
      <c r="AK824" s="68">
        <f t="shared" si="32"/>
        <v>23775.012</v>
      </c>
      <c r="AL824" s="70">
        <f>IFERROR(__xludf.DUMMYFUNCTION("""COMPUTED_VALUE"""),1.0)</f>
        <v>1</v>
      </c>
      <c r="AM824" s="70"/>
      <c r="AN824" s="71" t="str">
        <f>IFERROR(__xludf.DUMMYFUNCTION("""COMPUTED_VALUE""")," C")</f>
        <v>C</v>
      </c>
      <c r="AO824" s="71" t="str">
        <f>IFERROR(__xludf.DUMMYFUNCTION("""COMPUTED_VALUE""")," MJ02")</f>
        <v>MJ02</v>
      </c>
      <c r="AP824" s="71" t="str">
        <f>IFERROR(__xludf.DUMMYFUNCTION("""COMPUTED_VALUE""")," PZA")</f>
        <v>PZA</v>
      </c>
      <c r="AQ824" s="71" t="str">
        <f>IFERROR(__xludf.DUMMYFUNCTION("""COMPUTED_VALUE""")," REF")</f>
        <v>REF</v>
      </c>
      <c r="AR824" s="71" t="str">
        <f>IFERROR(__xludf.DUMMYFUNCTION("""COMPUTED_VALUE""")," MEJORADOR PARA MASA 5 KG.")</f>
        <v>MEJORADOR PARA MASA 5 KG.</v>
      </c>
      <c r="AS824" s="71" t="str">
        <f>IFERROR(__xludf.DUMMYFUNCTION("""COMPUTED_VALUE""")," MEJORADOR PARA MASA 5 KG.")</f>
        <v>MEJORADOR PARA MASA 5 KG.</v>
      </c>
      <c r="AT824" s="71">
        <f>IFERROR(__xludf.DUMMYFUNCTION("""COMPUTED_VALUE"""),25.0)</f>
        <v>25</v>
      </c>
      <c r="AU824" s="71"/>
      <c r="AV824" s="71"/>
      <c r="AW824" s="71"/>
      <c r="AX824" s="71"/>
      <c r="AY824" s="71">
        <f>IFERROR(__xludf.DUMMYFUNCTION("""COMPUTED_VALUE"""),439.0)</f>
        <v>439</v>
      </c>
      <c r="AZ824" s="71">
        <f>IFERROR(__xludf.DUMMYFUNCTION("""COMPUTED_VALUE"""),474.0)</f>
        <v>474</v>
      </c>
      <c r="BA824" s="71">
        <f>IFERROR(__xludf.DUMMYFUNCTION("""COMPUTED_VALUE"""),511.92)</f>
        <v>511.92</v>
      </c>
      <c r="BB824" s="71">
        <f>IFERROR(__xludf.DUMMYFUNCTION("""COMPUTED_VALUE"""),511.92)</f>
        <v>511.92</v>
      </c>
      <c r="BC824" s="71">
        <f>IFERROR(__xludf.DUMMYFUNCTION("""COMPUTED_VALUE"""),571.0)</f>
        <v>571</v>
      </c>
      <c r="BD824" s="71">
        <f>IFERROR(__xludf.DUMMYFUNCTION("""COMPUTED_VALUE"""),600.0)</f>
        <v>600</v>
      </c>
      <c r="BE824" s="71">
        <f>IFERROR(__xludf.DUMMYFUNCTION("""COMPUTED_VALUE"""),96.0)</f>
        <v>96</v>
      </c>
      <c r="BF824" s="71">
        <f>IFERROR(__xludf.DUMMYFUNCTION("""COMPUTED_VALUE"""),696.0)</f>
        <v>696</v>
      </c>
      <c r="BG824" s="71">
        <f>IFERROR(__xludf.DUMMYFUNCTION("""COMPUTED_VALUE"""),0.050788091068301226)</f>
        <v>0.05078809107</v>
      </c>
      <c r="BH824" s="71">
        <f>IFERROR(__xludf.DUMMYFUNCTION("""COMPUTED_VALUE"""),570.0)</f>
        <v>570</v>
      </c>
      <c r="BI824" s="71">
        <f>IFERROR(__xludf.DUMMYFUNCTION("""COMPUTED_VALUE"""),91.2)</f>
        <v>91.2</v>
      </c>
      <c r="BJ824" s="71">
        <f>IFERROR(__xludf.DUMMYFUNCTION("""COMPUTED_VALUE"""),661.2)</f>
        <v>661.2</v>
      </c>
      <c r="BK824" s="71">
        <f>IFERROR(__xludf.DUMMYFUNCTION("""COMPUTED_VALUE"""),540.0)</f>
        <v>540</v>
      </c>
      <c r="BL824" s="71">
        <f>IFERROR(__xludf.DUMMYFUNCTION("""COMPUTED_VALUE"""),86.4)</f>
        <v>86.4</v>
      </c>
      <c r="BM824" s="71">
        <f>IFERROR(__xludf.DUMMYFUNCTION("""COMPUTED_VALUE"""),626.4)</f>
        <v>626.4</v>
      </c>
      <c r="BN824" s="71">
        <f>IFERROR(__xludf.DUMMYFUNCTION("""COMPUTED_VALUE"""),510.0)</f>
        <v>510</v>
      </c>
      <c r="BO824" s="71">
        <f>IFERROR(__xludf.DUMMYFUNCTION("""COMPUTED_VALUE"""),81.60000000000001)</f>
        <v>81.6</v>
      </c>
      <c r="BP824" s="71">
        <f>IFERROR(__xludf.DUMMYFUNCTION("""COMPUTED_VALUE"""),591.6)</f>
        <v>591.6</v>
      </c>
      <c r="BQ824" s="71">
        <f>IFERROR(__xludf.DUMMYFUNCTION("""COMPUTED_VALUE"""),498.0)</f>
        <v>498</v>
      </c>
      <c r="BR824" s="71">
        <f>IFERROR(__xludf.DUMMYFUNCTION("""COMPUTED_VALUE"""),79.68)</f>
        <v>79.68</v>
      </c>
      <c r="BS824" s="71">
        <f>IFERROR(__xludf.DUMMYFUNCTION("""COMPUTED_VALUE"""),577.6800000000001)</f>
        <v>577.68</v>
      </c>
      <c r="BT824" s="71">
        <f>IFERROR(__xludf.DUMMYFUNCTION("""COMPUTED_VALUE"""),480.0)</f>
        <v>480</v>
      </c>
      <c r="BU824" s="71">
        <f>IFERROR(__xludf.DUMMYFUNCTION("""COMPUTED_VALUE"""),76.8)</f>
        <v>76.8</v>
      </c>
      <c r="BV824" s="71">
        <f>IFERROR(__xludf.DUMMYFUNCTION("""COMPUTED_VALUE"""),556.8)</f>
        <v>556.8</v>
      </c>
    </row>
    <row r="825">
      <c r="A825" s="53"/>
      <c r="B825" s="53">
        <v>3.0</v>
      </c>
      <c r="C825" s="53" t="s">
        <v>36</v>
      </c>
      <c r="D825" s="85" t="s">
        <v>1990</v>
      </c>
      <c r="E825" s="54" t="s">
        <v>38</v>
      </c>
      <c r="F825" s="55" t="s">
        <v>866</v>
      </c>
      <c r="G825" s="138" t="s">
        <v>1991</v>
      </c>
      <c r="H825" s="55"/>
      <c r="I825" s="54">
        <f t="shared" si="24"/>
        <v>0</v>
      </c>
      <c r="J825" s="56"/>
      <c r="K825" s="57"/>
      <c r="L825" s="76"/>
      <c r="M825" s="59"/>
      <c r="N825" s="60"/>
      <c r="O825" s="61">
        <v>22567.0</v>
      </c>
      <c r="P825" s="62">
        <v>24372.36</v>
      </c>
      <c r="Q825" s="63">
        <v>24372.36</v>
      </c>
      <c r="R825" s="64">
        <v>25591.0</v>
      </c>
      <c r="S825" s="107">
        <v>26871.0</v>
      </c>
      <c r="T825" s="65">
        <f t="shared" si="2"/>
        <v>4299.36</v>
      </c>
      <c r="U825" s="65">
        <f t="shared" si="3"/>
        <v>31170.36</v>
      </c>
      <c r="V825" s="66">
        <f t="shared" si="4"/>
        <v>0.05001758431</v>
      </c>
      <c r="W825" s="67">
        <f t="shared" si="5"/>
        <v>25527.45</v>
      </c>
      <c r="X825" s="67">
        <f t="shared" si="6"/>
        <v>4084.392</v>
      </c>
      <c r="Y825" s="67">
        <f t="shared" si="7"/>
        <v>29611.842</v>
      </c>
      <c r="Z825" s="67">
        <f t="shared" si="8"/>
        <v>24183.9</v>
      </c>
      <c r="AA825" s="67">
        <f t="shared" si="9"/>
        <v>3869.424</v>
      </c>
      <c r="AB825" s="67">
        <f t="shared" si="10"/>
        <v>28053.324</v>
      </c>
      <c r="AC825" s="67">
        <f t="shared" si="11"/>
        <v>24183.9</v>
      </c>
      <c r="AD825" s="67">
        <f t="shared" si="12"/>
        <v>3869.424</v>
      </c>
      <c r="AE825" s="67">
        <f t="shared" si="13"/>
        <v>28053.324</v>
      </c>
      <c r="AF825" s="67">
        <f t="shared" si="33"/>
        <v>24183.9</v>
      </c>
      <c r="AG825" s="67">
        <f t="shared" si="15"/>
        <v>3869.424</v>
      </c>
      <c r="AH825" s="67">
        <f t="shared" si="16"/>
        <v>28053.324</v>
      </c>
      <c r="AI825" s="67">
        <f t="shared" si="17"/>
        <v>24183.9</v>
      </c>
      <c r="AJ825" s="68">
        <f t="shared" si="31"/>
        <v>3869.424</v>
      </c>
      <c r="AK825" s="68">
        <f t="shared" si="32"/>
        <v>28053.324</v>
      </c>
      <c r="AL825" s="70">
        <f>IFERROR(__xludf.DUMMYFUNCTION("""COMPUTED_VALUE"""),1.0)</f>
        <v>1</v>
      </c>
      <c r="AM825" s="70"/>
      <c r="AN825" s="71" t="str">
        <f>IFERROR(__xludf.DUMMYFUNCTION("""COMPUTED_VALUE""")," C")</f>
        <v>C</v>
      </c>
      <c r="AO825" s="71" t="str">
        <f>IFERROR(__xludf.DUMMYFUNCTION("""COMPUTED_VALUE""")," MO01")</f>
        <v>MO01</v>
      </c>
      <c r="AP825" s="71" t="str">
        <f>IFERROR(__xludf.DUMMYFUNCTION("""COMPUTED_VALUE""")," PZA")</f>
        <v>PZA</v>
      </c>
      <c r="AQ825" s="71" t="str">
        <f>IFERROR(__xludf.DUMMYFUNCTION("""COMPUTED_VALUE""")," REF")</f>
        <v>REF</v>
      </c>
      <c r="AR825" s="71" t="str">
        <f>IFERROR(__xludf.DUMMYFUNCTION("""COMPUTED_VALUE""")," MOTOR - CORREDERA")</f>
        <v>MOTOR - CORREDERA</v>
      </c>
      <c r="AS825" s="71" t="str">
        <f>IFERROR(__xludf.DUMMYFUNCTION("""COMPUTED_VALUE""")," MOTOR - CORREDERA")</f>
        <v>MOTOR - CORREDERA</v>
      </c>
      <c r="AT825" s="71">
        <f>IFERROR(__xludf.DUMMYFUNCTION("""COMPUTED_VALUE"""),17.0)</f>
        <v>17</v>
      </c>
      <c r="AU825" s="71"/>
      <c r="AV825" s="71"/>
      <c r="AW825" s="71"/>
      <c r="AX825" s="71"/>
      <c r="AY825" s="71">
        <f>IFERROR(__xludf.DUMMYFUNCTION("""COMPUTED_VALUE"""),71.0)</f>
        <v>71</v>
      </c>
      <c r="AZ825" s="71">
        <f>IFERROR(__xludf.DUMMYFUNCTION("""COMPUTED_VALUE"""),76.0)</f>
        <v>76</v>
      </c>
      <c r="BA825" s="71">
        <f>IFERROR(__xludf.DUMMYFUNCTION("""COMPUTED_VALUE"""),82.08000000000001)</f>
        <v>82.08</v>
      </c>
      <c r="BB825" s="71">
        <f>IFERROR(__xludf.DUMMYFUNCTION("""COMPUTED_VALUE"""),82.08000000000001)</f>
        <v>82.08</v>
      </c>
      <c r="BC825" s="71">
        <f>IFERROR(__xludf.DUMMYFUNCTION("""COMPUTED_VALUE"""),92.0)</f>
        <v>92</v>
      </c>
      <c r="BD825" s="71">
        <f>IFERROR(__xludf.DUMMYFUNCTION("""COMPUTED_VALUE"""),97.0)</f>
        <v>97</v>
      </c>
      <c r="BE825" s="71">
        <f>IFERROR(__xludf.DUMMYFUNCTION("""COMPUTED_VALUE"""),15.52)</f>
        <v>15.52</v>
      </c>
      <c r="BF825" s="71">
        <f>IFERROR(__xludf.DUMMYFUNCTION("""COMPUTED_VALUE"""),112.52)</f>
        <v>112.52</v>
      </c>
      <c r="BG825" s="71">
        <f>IFERROR(__xludf.DUMMYFUNCTION("""COMPUTED_VALUE"""),0.05434782608695652)</f>
        <v>0.05434782609</v>
      </c>
      <c r="BH825" s="71">
        <f>IFERROR(__xludf.DUMMYFUNCTION("""COMPUTED_VALUE"""),92.14999999999999)</f>
        <v>92.15</v>
      </c>
      <c r="BI825" s="71">
        <f>IFERROR(__xludf.DUMMYFUNCTION("""COMPUTED_VALUE"""),14.744)</f>
        <v>14.744</v>
      </c>
      <c r="BJ825" s="71">
        <f>IFERROR(__xludf.DUMMYFUNCTION("""COMPUTED_VALUE"""),106.89399999999999)</f>
        <v>106.894</v>
      </c>
      <c r="BK825" s="71">
        <f>IFERROR(__xludf.DUMMYFUNCTION("""COMPUTED_VALUE"""),87.3)</f>
        <v>87.3</v>
      </c>
      <c r="BL825" s="71">
        <f>IFERROR(__xludf.DUMMYFUNCTION("""COMPUTED_VALUE"""),13.968)</f>
        <v>13.968</v>
      </c>
      <c r="BM825" s="71">
        <f>IFERROR(__xludf.DUMMYFUNCTION("""COMPUTED_VALUE"""),101.268)</f>
        <v>101.268</v>
      </c>
      <c r="BN825" s="71">
        <f>IFERROR(__xludf.DUMMYFUNCTION("""COMPUTED_VALUE"""),82.45)</f>
        <v>82.45</v>
      </c>
      <c r="BO825" s="71">
        <f>IFERROR(__xludf.DUMMYFUNCTION("""COMPUTED_VALUE"""),13.192)</f>
        <v>13.192</v>
      </c>
      <c r="BP825" s="71">
        <f>IFERROR(__xludf.DUMMYFUNCTION("""COMPUTED_VALUE"""),95.642)</f>
        <v>95.642</v>
      </c>
      <c r="BQ825" s="71">
        <f>IFERROR(__xludf.DUMMYFUNCTION("""COMPUTED_VALUE"""),80.50999999999999)</f>
        <v>80.51</v>
      </c>
      <c r="BR825" s="71">
        <f>IFERROR(__xludf.DUMMYFUNCTION("""COMPUTED_VALUE"""),12.881599999999999)</f>
        <v>12.8816</v>
      </c>
      <c r="BS825" s="71">
        <f>IFERROR(__xludf.DUMMYFUNCTION("""COMPUTED_VALUE"""),93.39159999999998)</f>
        <v>93.3916</v>
      </c>
      <c r="BT825" s="71">
        <f>IFERROR(__xludf.DUMMYFUNCTION("""COMPUTED_VALUE"""),77.60000000000001)</f>
        <v>77.6</v>
      </c>
      <c r="BU825" s="71">
        <f>IFERROR(__xludf.DUMMYFUNCTION("""COMPUTED_VALUE"""),12.416000000000002)</f>
        <v>12.416</v>
      </c>
      <c r="BV825" s="71">
        <f>IFERROR(__xludf.DUMMYFUNCTION("""COMPUTED_VALUE"""),90.016)</f>
        <v>90.016</v>
      </c>
    </row>
    <row r="826">
      <c r="A826" s="53"/>
      <c r="B826" s="72"/>
      <c r="C826" s="73" t="s">
        <v>12</v>
      </c>
      <c r="D826" s="53" t="s">
        <v>1992</v>
      </c>
      <c r="E826" s="54" t="s">
        <v>38</v>
      </c>
      <c r="F826" s="54" t="s">
        <v>42</v>
      </c>
      <c r="G826" s="54" t="s">
        <v>1993</v>
      </c>
      <c r="H826" s="54" t="s">
        <v>1994</v>
      </c>
      <c r="I826" s="54">
        <f t="shared" si="24"/>
        <v>25</v>
      </c>
      <c r="J826" s="56"/>
      <c r="K826" s="57"/>
      <c r="L826" s="76"/>
      <c r="M826" s="59"/>
      <c r="N826" s="60"/>
      <c r="O826" s="61">
        <v>9034.0</v>
      </c>
      <c r="P826" s="62">
        <v>9756.720000000001</v>
      </c>
      <c r="Q826" s="63">
        <v>9756.720000000001</v>
      </c>
      <c r="R826" s="64">
        <v>10245.0</v>
      </c>
      <c r="S826" s="111">
        <v>10757.0</v>
      </c>
      <c r="T826" s="65">
        <f t="shared" si="2"/>
        <v>1721.12</v>
      </c>
      <c r="U826" s="65">
        <f t="shared" si="3"/>
        <v>12478.12</v>
      </c>
      <c r="V826" s="66">
        <f t="shared" si="4"/>
        <v>0.04997559785</v>
      </c>
      <c r="W826" s="67">
        <f t="shared" si="5"/>
        <v>10219.15</v>
      </c>
      <c r="X826" s="67">
        <f t="shared" si="6"/>
        <v>1635.064</v>
      </c>
      <c r="Y826" s="67">
        <f t="shared" si="7"/>
        <v>11854.214</v>
      </c>
      <c r="Z826" s="67">
        <f t="shared" si="8"/>
        <v>9681.3</v>
      </c>
      <c r="AA826" s="67">
        <f t="shared" si="9"/>
        <v>1549.008</v>
      </c>
      <c r="AB826" s="67">
        <f t="shared" si="10"/>
        <v>11230.308</v>
      </c>
      <c r="AC826" s="67">
        <f t="shared" si="11"/>
        <v>9143.45</v>
      </c>
      <c r="AD826" s="67">
        <f t="shared" si="12"/>
        <v>1462.952</v>
      </c>
      <c r="AE826" s="67">
        <f t="shared" si="13"/>
        <v>10606.402</v>
      </c>
      <c r="AF826" s="67">
        <f t="shared" si="33"/>
        <v>8928.31</v>
      </c>
      <c r="AG826" s="67">
        <f t="shared" si="15"/>
        <v>1428.5296</v>
      </c>
      <c r="AH826" s="67">
        <f t="shared" si="16"/>
        <v>10356.8396</v>
      </c>
      <c r="AI826" s="67">
        <f t="shared" si="17"/>
        <v>8605.6</v>
      </c>
      <c r="AJ826" s="68">
        <f t="shared" si="31"/>
        <v>1376.896</v>
      </c>
      <c r="AK826" s="68">
        <f t="shared" si="32"/>
        <v>9982.496</v>
      </c>
      <c r="AL826" s="70">
        <f>IFERROR(__xludf.DUMMYFUNCTION("""COMPUTED_VALUE"""),1.0)</f>
        <v>1</v>
      </c>
      <c r="AM826" s="70">
        <f>IFERROR(__xludf.DUMMYFUNCTION("""COMPUTED_VALUE"""),3.0)</f>
        <v>3</v>
      </c>
      <c r="AN826" s="71" t="str">
        <f>IFERROR(__xludf.DUMMYFUNCTION("""COMPUTED_VALUE""")," C")</f>
        <v>C</v>
      </c>
      <c r="AO826" s="71" t="str">
        <f>IFERROR(__xludf.DUMMYFUNCTION("""COMPUTED_VALUE""")," MO03")</f>
        <v>MO03</v>
      </c>
      <c r="AP826" s="71" t="str">
        <f>IFERROR(__xludf.DUMMYFUNCTION("""COMPUTED_VALUE""")," PZA")</f>
        <v>PZA</v>
      </c>
      <c r="AQ826" s="71" t="str">
        <f>IFERROR(__xludf.DUMMYFUNCTION("""COMPUTED_VALUE""")," REF")</f>
        <v>REF</v>
      </c>
      <c r="AR826" s="71" t="str">
        <f>IFERROR(__xludf.DUMMYFUNCTION("""COMPUTED_VALUE""")," MOTOR MONOFÁSICO 1 HP ")</f>
        <v>MOTOR MONOFÁSICO 1 HP </v>
      </c>
      <c r="AS826" s="71" t="str">
        <f>IFERROR(__xludf.DUMMYFUNCTION("""COMPUTED_VALUE""")," MOTOR MONOFASICO 1 HP ")</f>
        <v>MOTOR MONOFASICO 1 HP </v>
      </c>
      <c r="AT826" s="71">
        <f>IFERROR(__xludf.DUMMYFUNCTION("""COMPUTED_VALUE"""),22.0)</f>
        <v>22</v>
      </c>
      <c r="AU826" s="71"/>
      <c r="AV826" s="71"/>
      <c r="AW826" s="71" t="str">
        <f>IFERROR(__xludf.DUMMYFUNCTION("""COMPUTED_VALUE""")," cambiar precio")</f>
        <v>cambiar precio</v>
      </c>
      <c r="AX826" s="71"/>
      <c r="AY826" s="71">
        <f>IFERROR(__xludf.DUMMYFUNCTION("""COMPUTED_VALUE"""),2083.0)</f>
        <v>2083</v>
      </c>
      <c r="AZ826" s="71">
        <f>IFERROR(__xludf.DUMMYFUNCTION("""COMPUTED_VALUE"""),2920.0)</f>
        <v>2920</v>
      </c>
      <c r="BA826" s="71">
        <f>IFERROR(__xludf.DUMMYFUNCTION("""COMPUTED_VALUE"""),3153.6000000000004)</f>
        <v>3153.6</v>
      </c>
      <c r="BB826" s="71">
        <f>IFERROR(__xludf.DUMMYFUNCTION("""COMPUTED_VALUE"""),3153.6000000000004)</f>
        <v>3153.6</v>
      </c>
      <c r="BC826" s="71">
        <f>IFERROR(__xludf.DUMMYFUNCTION("""COMPUTED_VALUE"""),3312.0)</f>
        <v>3312</v>
      </c>
      <c r="BD826" s="71">
        <f>IFERROR(__xludf.DUMMYFUNCTION("""COMPUTED_VALUE"""),3900.0)</f>
        <v>3900</v>
      </c>
      <c r="BE826" s="71">
        <f>IFERROR(__xludf.DUMMYFUNCTION("""COMPUTED_VALUE"""),624.0)</f>
        <v>624</v>
      </c>
      <c r="BF826" s="71">
        <f>IFERROR(__xludf.DUMMYFUNCTION("""COMPUTED_VALUE"""),4524.0)</f>
        <v>4524</v>
      </c>
      <c r="BG826" s="71">
        <f>IFERROR(__xludf.DUMMYFUNCTION("""COMPUTED_VALUE"""),0.17753623188405798)</f>
        <v>0.1775362319</v>
      </c>
      <c r="BH826" s="71">
        <f>IFERROR(__xludf.DUMMYFUNCTION("""COMPUTED_VALUE"""),3705.0)</f>
        <v>3705</v>
      </c>
      <c r="BI826" s="71">
        <f>IFERROR(__xludf.DUMMYFUNCTION("""COMPUTED_VALUE"""),592.8000000000001)</f>
        <v>592.8</v>
      </c>
      <c r="BJ826" s="71">
        <f>IFERROR(__xludf.DUMMYFUNCTION("""COMPUTED_VALUE"""),4297.8)</f>
        <v>4297.8</v>
      </c>
      <c r="BK826" s="71">
        <f>IFERROR(__xludf.DUMMYFUNCTION("""COMPUTED_VALUE"""),3510.0)</f>
        <v>3510</v>
      </c>
      <c r="BL826" s="71">
        <f>IFERROR(__xludf.DUMMYFUNCTION("""COMPUTED_VALUE"""),561.6)</f>
        <v>561.6</v>
      </c>
      <c r="BM826" s="71">
        <f>IFERROR(__xludf.DUMMYFUNCTION("""COMPUTED_VALUE"""),4071.6)</f>
        <v>4071.6</v>
      </c>
      <c r="BN826" s="71">
        <f>IFERROR(__xludf.DUMMYFUNCTION("""COMPUTED_VALUE"""),3510.0)</f>
        <v>3510</v>
      </c>
      <c r="BO826" s="71">
        <f>IFERROR(__xludf.DUMMYFUNCTION("""COMPUTED_VALUE"""),561.6)</f>
        <v>561.6</v>
      </c>
      <c r="BP826" s="71">
        <f>IFERROR(__xludf.DUMMYFUNCTION("""COMPUTED_VALUE"""),4071.6)</f>
        <v>4071.6</v>
      </c>
      <c r="BQ826" s="71">
        <f>IFERROR(__xludf.DUMMYFUNCTION("""COMPUTED_VALUE"""),3510.0)</f>
        <v>3510</v>
      </c>
      <c r="BR826" s="71">
        <f>IFERROR(__xludf.DUMMYFUNCTION("""COMPUTED_VALUE"""),561.6)</f>
        <v>561.6</v>
      </c>
      <c r="BS826" s="71">
        <f>IFERROR(__xludf.DUMMYFUNCTION("""COMPUTED_VALUE"""),4071.6)</f>
        <v>4071.6</v>
      </c>
      <c r="BT826" s="71">
        <f>IFERROR(__xludf.DUMMYFUNCTION("""COMPUTED_VALUE"""),3510.0)</f>
        <v>3510</v>
      </c>
      <c r="BU826" s="71">
        <f>IFERROR(__xludf.DUMMYFUNCTION("""COMPUTED_VALUE"""),561.6)</f>
        <v>561.6</v>
      </c>
      <c r="BV826" s="71">
        <f>IFERROR(__xludf.DUMMYFUNCTION("""COMPUTED_VALUE"""),4071.6)</f>
        <v>4071.6</v>
      </c>
    </row>
    <row r="827">
      <c r="A827" s="53">
        <v>1.0</v>
      </c>
      <c r="B827" s="72"/>
      <c r="C827" s="73" t="s">
        <v>53</v>
      </c>
      <c r="D827" s="74" t="s">
        <v>1995</v>
      </c>
      <c r="E827" s="54" t="s">
        <v>38</v>
      </c>
      <c r="F827" s="54" t="s">
        <v>42</v>
      </c>
      <c r="G827" s="88" t="s">
        <v>1996</v>
      </c>
      <c r="H827" s="54" t="s">
        <v>1997</v>
      </c>
      <c r="I827" s="54">
        <f t="shared" si="24"/>
        <v>22</v>
      </c>
      <c r="J827" s="56"/>
      <c r="K827" s="57"/>
      <c r="L827" s="87"/>
      <c r="M827" s="59"/>
      <c r="N827" s="60">
        <v>20.0</v>
      </c>
      <c r="O827" s="61">
        <v>21.0</v>
      </c>
      <c r="P827" s="62">
        <v>22.68</v>
      </c>
      <c r="Q827" s="63">
        <v>22.68</v>
      </c>
      <c r="R827" s="64">
        <v>26.0</v>
      </c>
      <c r="S827" s="111">
        <v>27.0</v>
      </c>
      <c r="T827" s="65">
        <f t="shared" si="2"/>
        <v>4.32</v>
      </c>
      <c r="U827" s="65">
        <f t="shared" si="3"/>
        <v>31.32</v>
      </c>
      <c r="V827" s="66">
        <f t="shared" si="4"/>
        <v>0.03846153846</v>
      </c>
      <c r="W827" s="67">
        <f t="shared" si="5"/>
        <v>25.65</v>
      </c>
      <c r="X827" s="67">
        <f t="shared" si="6"/>
        <v>4.104</v>
      </c>
      <c r="Y827" s="67">
        <f t="shared" si="7"/>
        <v>29.754</v>
      </c>
      <c r="Z827" s="67">
        <f t="shared" si="8"/>
        <v>24.3</v>
      </c>
      <c r="AA827" s="67">
        <f t="shared" si="9"/>
        <v>3.888</v>
      </c>
      <c r="AB827" s="67">
        <f t="shared" si="10"/>
        <v>28.188</v>
      </c>
      <c r="AC827" s="67">
        <f t="shared" si="11"/>
        <v>22.95</v>
      </c>
      <c r="AD827" s="67">
        <f t="shared" si="12"/>
        <v>3.672</v>
      </c>
      <c r="AE827" s="67">
        <f t="shared" si="13"/>
        <v>26.622</v>
      </c>
      <c r="AF827" s="67">
        <f t="shared" si="33"/>
        <v>22.41</v>
      </c>
      <c r="AG827" s="67">
        <f t="shared" si="15"/>
        <v>3.5856</v>
      </c>
      <c r="AH827" s="67">
        <f t="shared" si="16"/>
        <v>25.9956</v>
      </c>
      <c r="AI827" s="67">
        <f t="shared" si="17"/>
        <v>21.6</v>
      </c>
      <c r="AJ827" s="68">
        <f t="shared" si="31"/>
        <v>3.456</v>
      </c>
      <c r="AK827" s="68">
        <f t="shared" si="32"/>
        <v>25.056</v>
      </c>
      <c r="AL827" s="70">
        <f>IFERROR(__xludf.DUMMYFUNCTION("""COMPUTED_VALUE"""),1.0)</f>
        <v>1</v>
      </c>
      <c r="AM827" s="70">
        <f>IFERROR(__xludf.DUMMYFUNCTION("""COMPUTED_VALUE"""),3.0)</f>
        <v>3</v>
      </c>
      <c r="AN827" s="71" t="str">
        <f>IFERROR(__xludf.DUMMYFUNCTION("""COMPUTED_VALUE""")," C")</f>
        <v>C</v>
      </c>
      <c r="AO827" s="71" t="str">
        <f>IFERROR(__xludf.DUMMYFUNCTION("""COMPUTED_VALUE""")," MO02")</f>
        <v>MO02</v>
      </c>
      <c r="AP827" s="71" t="str">
        <f>IFERROR(__xludf.DUMMYFUNCTION("""COMPUTED_VALUE""")," PZA")</f>
        <v>PZA</v>
      </c>
      <c r="AQ827" s="71" t="str">
        <f>IFERROR(__xludf.DUMMYFUNCTION("""COMPUTED_VALUE""")," REF")</f>
        <v>REF</v>
      </c>
      <c r="AR827" s="71" t="str">
        <f>IFERROR(__xludf.DUMMYFUNCTION("""COMPUTED_VALUE""")," MOTOR MONOFÁSICO 1/2 HP ")</f>
        <v>MOTOR MONOFÁSICO 1/2 HP </v>
      </c>
      <c r="AS827" s="71" t="str">
        <f>IFERROR(__xludf.DUMMYFUNCTION("""COMPUTED_VALUE""")," MOTOR MONOFASICO 1/2 HP ")</f>
        <v>MOTOR MONOFASICO 1/2 HP </v>
      </c>
      <c r="AT827" s="71">
        <f>IFERROR(__xludf.DUMMYFUNCTION("""COMPUTED_VALUE"""),24.0)</f>
        <v>24</v>
      </c>
      <c r="AU827" s="71"/>
      <c r="AV827" s="71"/>
      <c r="AW827" s="71" t="str">
        <f>IFERROR(__xludf.DUMMYFUNCTION("""COMPUTED_VALUE""")," cambiar precio")</f>
        <v>cambiar precio</v>
      </c>
      <c r="AX827" s="71"/>
      <c r="AY827" s="71">
        <f>IFERROR(__xludf.DUMMYFUNCTION("""COMPUTED_VALUE"""),1712.0)</f>
        <v>1712</v>
      </c>
      <c r="AZ827" s="71">
        <f>IFERROR(__xludf.DUMMYFUNCTION("""COMPUTED_VALUE"""),2399.0)</f>
        <v>2399</v>
      </c>
      <c r="BA827" s="71">
        <f>IFERROR(__xludf.DUMMYFUNCTION("""COMPUTED_VALUE"""),2590.92)</f>
        <v>2590.92</v>
      </c>
      <c r="BB827" s="71">
        <f>IFERROR(__xludf.DUMMYFUNCTION("""COMPUTED_VALUE"""),2590.92)</f>
        <v>2590.92</v>
      </c>
      <c r="BC827" s="71">
        <f>IFERROR(__xludf.DUMMYFUNCTION("""COMPUTED_VALUE"""),2721.0)</f>
        <v>2721</v>
      </c>
      <c r="BD827" s="71">
        <f>IFERROR(__xludf.DUMMYFUNCTION("""COMPUTED_VALUE"""),3200.0)</f>
        <v>3200</v>
      </c>
      <c r="BE827" s="71">
        <f>IFERROR(__xludf.DUMMYFUNCTION("""COMPUTED_VALUE"""),512.0)</f>
        <v>512</v>
      </c>
      <c r="BF827" s="71">
        <f>IFERROR(__xludf.DUMMYFUNCTION("""COMPUTED_VALUE"""),3712.0)</f>
        <v>3712</v>
      </c>
      <c r="BG827" s="71">
        <f>IFERROR(__xludf.DUMMYFUNCTION("""COMPUTED_VALUE"""),0.17603822124219037)</f>
        <v>0.1760382212</v>
      </c>
      <c r="BH827" s="71">
        <f>IFERROR(__xludf.DUMMYFUNCTION("""COMPUTED_VALUE"""),3040.0)</f>
        <v>3040</v>
      </c>
      <c r="BI827" s="71">
        <f>IFERROR(__xludf.DUMMYFUNCTION("""COMPUTED_VALUE"""),486.40000000000003)</f>
        <v>486.4</v>
      </c>
      <c r="BJ827" s="71">
        <f>IFERROR(__xludf.DUMMYFUNCTION("""COMPUTED_VALUE"""),3526.4)</f>
        <v>3526.4</v>
      </c>
      <c r="BK827" s="71">
        <f>IFERROR(__xludf.DUMMYFUNCTION("""COMPUTED_VALUE"""),2880.0)</f>
        <v>2880</v>
      </c>
      <c r="BL827" s="71">
        <f>IFERROR(__xludf.DUMMYFUNCTION("""COMPUTED_VALUE"""),460.8)</f>
        <v>460.8</v>
      </c>
      <c r="BM827" s="71">
        <f>IFERROR(__xludf.DUMMYFUNCTION("""COMPUTED_VALUE"""),3340.8)</f>
        <v>3340.8</v>
      </c>
      <c r="BN827" s="71">
        <f>IFERROR(__xludf.DUMMYFUNCTION("""COMPUTED_VALUE"""),2880.0)</f>
        <v>2880</v>
      </c>
      <c r="BO827" s="71">
        <f>IFERROR(__xludf.DUMMYFUNCTION("""COMPUTED_VALUE"""),460.8)</f>
        <v>460.8</v>
      </c>
      <c r="BP827" s="71">
        <f>IFERROR(__xludf.DUMMYFUNCTION("""COMPUTED_VALUE"""),3340.8)</f>
        <v>3340.8</v>
      </c>
      <c r="BQ827" s="71">
        <f>IFERROR(__xludf.DUMMYFUNCTION("""COMPUTED_VALUE"""),2880.0)</f>
        <v>2880</v>
      </c>
      <c r="BR827" s="71">
        <f>IFERROR(__xludf.DUMMYFUNCTION("""COMPUTED_VALUE"""),460.8)</f>
        <v>460.8</v>
      </c>
      <c r="BS827" s="71">
        <f>IFERROR(__xludf.DUMMYFUNCTION("""COMPUTED_VALUE"""),3340.8)</f>
        <v>3340.8</v>
      </c>
      <c r="BT827" s="71">
        <f>IFERROR(__xludf.DUMMYFUNCTION("""COMPUTED_VALUE"""),2880.0)</f>
        <v>2880</v>
      </c>
      <c r="BU827" s="71">
        <f>IFERROR(__xludf.DUMMYFUNCTION("""COMPUTED_VALUE"""),460.8)</f>
        <v>460.8</v>
      </c>
      <c r="BV827" s="71">
        <f>IFERROR(__xludf.DUMMYFUNCTION("""COMPUTED_VALUE"""),3340.8)</f>
        <v>3340.8</v>
      </c>
    </row>
    <row r="828">
      <c r="A828" s="53">
        <v>1.0</v>
      </c>
      <c r="B828" s="72"/>
      <c r="C828" s="73" t="s">
        <v>53</v>
      </c>
      <c r="D828" s="74" t="s">
        <v>1998</v>
      </c>
      <c r="E828" s="54" t="s">
        <v>38</v>
      </c>
      <c r="F828" s="54" t="s">
        <v>42</v>
      </c>
      <c r="G828" s="88" t="s">
        <v>1999</v>
      </c>
      <c r="H828" s="54" t="s">
        <v>1999</v>
      </c>
      <c r="I828" s="54">
        <f t="shared" si="24"/>
        <v>31</v>
      </c>
      <c r="J828" s="56"/>
      <c r="K828" s="75"/>
      <c r="L828" s="76"/>
      <c r="M828" s="59"/>
      <c r="N828" s="60">
        <v>328.0</v>
      </c>
      <c r="O828" s="61">
        <v>354.0</v>
      </c>
      <c r="P828" s="62">
        <v>382.32000000000005</v>
      </c>
      <c r="Q828" s="63">
        <v>382.32000000000005</v>
      </c>
      <c r="R828" s="64">
        <v>427.0</v>
      </c>
      <c r="S828" s="111">
        <v>448.0</v>
      </c>
      <c r="T828" s="65">
        <f t="shared" si="2"/>
        <v>71.68</v>
      </c>
      <c r="U828" s="65">
        <f t="shared" si="3"/>
        <v>519.68</v>
      </c>
      <c r="V828" s="66">
        <f t="shared" si="4"/>
        <v>0.04918032787</v>
      </c>
      <c r="W828" s="67">
        <f t="shared" si="5"/>
        <v>425.6</v>
      </c>
      <c r="X828" s="67">
        <f t="shared" si="6"/>
        <v>68.096</v>
      </c>
      <c r="Y828" s="67">
        <f t="shared" si="7"/>
        <v>493.696</v>
      </c>
      <c r="Z828" s="67">
        <f t="shared" si="8"/>
        <v>403.2</v>
      </c>
      <c r="AA828" s="67">
        <f t="shared" si="9"/>
        <v>64.512</v>
      </c>
      <c r="AB828" s="67">
        <f t="shared" si="10"/>
        <v>467.712</v>
      </c>
      <c r="AC828" s="67">
        <f t="shared" si="11"/>
        <v>380.8</v>
      </c>
      <c r="AD828" s="67">
        <f t="shared" si="12"/>
        <v>60.928</v>
      </c>
      <c r="AE828" s="67">
        <f t="shared" si="13"/>
        <v>441.728</v>
      </c>
      <c r="AF828" s="67">
        <f t="shared" si="33"/>
        <v>371.84</v>
      </c>
      <c r="AG828" s="67">
        <f t="shared" si="15"/>
        <v>59.4944</v>
      </c>
      <c r="AH828" s="67">
        <f t="shared" si="16"/>
        <v>431.3344</v>
      </c>
      <c r="AI828" s="67">
        <f t="shared" si="17"/>
        <v>358.4</v>
      </c>
      <c r="AJ828" s="68">
        <f t="shared" si="31"/>
        <v>57.344</v>
      </c>
      <c r="AK828" s="68">
        <f t="shared" si="32"/>
        <v>415.744</v>
      </c>
      <c r="AL828" s="70">
        <f>IFERROR(__xludf.DUMMYFUNCTION("""COMPUTED_VALUE"""),1.0)</f>
        <v>1</v>
      </c>
      <c r="AM828" s="70">
        <f>IFERROR(__xludf.DUMMYFUNCTION("""COMPUTED_VALUE"""),3.0)</f>
        <v>3</v>
      </c>
      <c r="AN828" s="71" t="str">
        <f>IFERROR(__xludf.DUMMYFUNCTION("""COMPUTED_VALUE""")," C")</f>
        <v>C</v>
      </c>
      <c r="AO828" s="71" t="str">
        <f>IFERROR(__xludf.DUMMYFUNCTION("""COMPUTED_VALUE""")," MO20")</f>
        <v>MO20</v>
      </c>
      <c r="AP828" s="71" t="str">
        <f>IFERROR(__xludf.DUMMYFUNCTION("""COMPUTED_VALUE""")," PZA")</f>
        <v>PZA</v>
      </c>
      <c r="AQ828" s="71" t="str">
        <f>IFERROR(__xludf.DUMMYFUNCTION("""COMPUTED_VALUE""")," REF")</f>
        <v>REF</v>
      </c>
      <c r="AR828" s="71" t="str">
        <f>IFERROR(__xludf.DUMMYFUNCTION("""COMPUTED_VALUE""")," MOTOR MONOFÁSICO 1/4 HP ")</f>
        <v>MOTOR MONOFÁSICO 1/4 HP </v>
      </c>
      <c r="AS828" s="71" t="str">
        <f>IFERROR(__xludf.DUMMYFUNCTION("""COMPUTED_VALUE""")," MOTOR MONOFASICO 1/4 HP ")</f>
        <v>MOTOR MONOFASICO 1/4 HP </v>
      </c>
      <c r="AT828" s="71">
        <f>IFERROR(__xludf.DUMMYFUNCTION("""COMPUTED_VALUE"""),24.0)</f>
        <v>24</v>
      </c>
      <c r="AU828" s="71"/>
      <c r="AV828" s="71"/>
      <c r="AW828" s="71" t="str">
        <f>IFERROR(__xludf.DUMMYFUNCTION("""COMPUTED_VALUE""")," cambiar precio")</f>
        <v>cambiar precio</v>
      </c>
      <c r="AX828" s="71"/>
      <c r="AY828" s="71">
        <f>IFERROR(__xludf.DUMMYFUNCTION("""COMPUTED_VALUE"""),1543.0)</f>
        <v>1543</v>
      </c>
      <c r="AZ828" s="71">
        <f>IFERROR(__xludf.DUMMYFUNCTION("""COMPUTED_VALUE"""),2162.0)</f>
        <v>2162</v>
      </c>
      <c r="BA828" s="71">
        <f>IFERROR(__xludf.DUMMYFUNCTION("""COMPUTED_VALUE"""),2334.96)</f>
        <v>2334.96</v>
      </c>
      <c r="BB828" s="71">
        <f>IFERROR(__xludf.DUMMYFUNCTION("""COMPUTED_VALUE"""),2334.96)</f>
        <v>2334.96</v>
      </c>
      <c r="BC828" s="71">
        <f>IFERROR(__xludf.DUMMYFUNCTION("""COMPUTED_VALUE"""),2452.0)</f>
        <v>2452</v>
      </c>
      <c r="BD828" s="71">
        <f>IFERROR(__xludf.DUMMYFUNCTION("""COMPUTED_VALUE"""),2900.0)</f>
        <v>2900</v>
      </c>
      <c r="BE828" s="71">
        <f>IFERROR(__xludf.DUMMYFUNCTION("""COMPUTED_VALUE"""),464.0)</f>
        <v>464</v>
      </c>
      <c r="BF828" s="71">
        <f>IFERROR(__xludf.DUMMYFUNCTION("""COMPUTED_VALUE"""),3364.0)</f>
        <v>3364</v>
      </c>
      <c r="BG828" s="71">
        <f>IFERROR(__xludf.DUMMYFUNCTION("""COMPUTED_VALUE"""),0.18270799347471453)</f>
        <v>0.1827079935</v>
      </c>
      <c r="BH828" s="71">
        <f>IFERROR(__xludf.DUMMYFUNCTION("""COMPUTED_VALUE"""),2755.0)</f>
        <v>2755</v>
      </c>
      <c r="BI828" s="71">
        <f>IFERROR(__xludf.DUMMYFUNCTION("""COMPUTED_VALUE"""),440.8)</f>
        <v>440.8</v>
      </c>
      <c r="BJ828" s="71">
        <f>IFERROR(__xludf.DUMMYFUNCTION("""COMPUTED_VALUE"""),3195.8)</f>
        <v>3195.8</v>
      </c>
      <c r="BK828" s="71">
        <f>IFERROR(__xludf.DUMMYFUNCTION("""COMPUTED_VALUE"""),2610.0)</f>
        <v>2610</v>
      </c>
      <c r="BL828" s="71">
        <f>IFERROR(__xludf.DUMMYFUNCTION("""COMPUTED_VALUE"""),417.6)</f>
        <v>417.6</v>
      </c>
      <c r="BM828" s="71">
        <f>IFERROR(__xludf.DUMMYFUNCTION("""COMPUTED_VALUE"""),3027.6)</f>
        <v>3027.6</v>
      </c>
      <c r="BN828" s="71">
        <f>IFERROR(__xludf.DUMMYFUNCTION("""COMPUTED_VALUE"""),2610.0)</f>
        <v>2610</v>
      </c>
      <c r="BO828" s="71">
        <f>IFERROR(__xludf.DUMMYFUNCTION("""COMPUTED_VALUE"""),417.6)</f>
        <v>417.6</v>
      </c>
      <c r="BP828" s="71">
        <f>IFERROR(__xludf.DUMMYFUNCTION("""COMPUTED_VALUE"""),3027.6)</f>
        <v>3027.6</v>
      </c>
      <c r="BQ828" s="71">
        <f>IFERROR(__xludf.DUMMYFUNCTION("""COMPUTED_VALUE"""),2610.0)</f>
        <v>2610</v>
      </c>
      <c r="BR828" s="71">
        <f>IFERROR(__xludf.DUMMYFUNCTION("""COMPUTED_VALUE"""),417.6)</f>
        <v>417.6</v>
      </c>
      <c r="BS828" s="71">
        <f>IFERROR(__xludf.DUMMYFUNCTION("""COMPUTED_VALUE"""),3027.6)</f>
        <v>3027.6</v>
      </c>
      <c r="BT828" s="71">
        <f>IFERROR(__xludf.DUMMYFUNCTION("""COMPUTED_VALUE"""),2610.0)</f>
        <v>2610</v>
      </c>
      <c r="BU828" s="71">
        <f>IFERROR(__xludf.DUMMYFUNCTION("""COMPUTED_VALUE"""),417.6)</f>
        <v>417.6</v>
      </c>
      <c r="BV828" s="71">
        <f>IFERROR(__xludf.DUMMYFUNCTION("""COMPUTED_VALUE"""),3027.6)</f>
        <v>3027.6</v>
      </c>
    </row>
    <row r="829">
      <c r="A829" s="53">
        <v>1.0</v>
      </c>
      <c r="B829" s="72"/>
      <c r="C829" s="73" t="s">
        <v>53</v>
      </c>
      <c r="D829" s="74" t="s">
        <v>2000</v>
      </c>
      <c r="E829" s="54" t="s">
        <v>38</v>
      </c>
      <c r="F829" s="54" t="s">
        <v>42</v>
      </c>
      <c r="G829" s="88" t="s">
        <v>2001</v>
      </c>
      <c r="H829" s="54" t="s">
        <v>2002</v>
      </c>
      <c r="I829" s="54">
        <f t="shared" si="24"/>
        <v>36</v>
      </c>
      <c r="J829" s="56"/>
      <c r="K829" s="75"/>
      <c r="L829" s="76"/>
      <c r="M829" s="59"/>
      <c r="N829" s="60">
        <v>412.0</v>
      </c>
      <c r="O829" s="61">
        <v>444.0</v>
      </c>
      <c r="P829" s="62">
        <v>479.52000000000004</v>
      </c>
      <c r="Q829" s="63">
        <v>479.52000000000004</v>
      </c>
      <c r="R829" s="64">
        <v>535.0</v>
      </c>
      <c r="S829" s="111">
        <v>562.0</v>
      </c>
      <c r="T829" s="65">
        <f t="shared" si="2"/>
        <v>89.92</v>
      </c>
      <c r="U829" s="65">
        <f t="shared" si="3"/>
        <v>651.92</v>
      </c>
      <c r="V829" s="66">
        <f t="shared" si="4"/>
        <v>0.05046728972</v>
      </c>
      <c r="W829" s="67">
        <f t="shared" si="5"/>
        <v>533.9</v>
      </c>
      <c r="X829" s="67">
        <f t="shared" si="6"/>
        <v>85.424</v>
      </c>
      <c r="Y829" s="67">
        <f t="shared" si="7"/>
        <v>619.324</v>
      </c>
      <c r="Z829" s="67">
        <f t="shared" si="8"/>
        <v>505.8</v>
      </c>
      <c r="AA829" s="67">
        <f t="shared" si="9"/>
        <v>80.928</v>
      </c>
      <c r="AB829" s="67">
        <f t="shared" si="10"/>
        <v>586.728</v>
      </c>
      <c r="AC829" s="67">
        <f t="shared" si="11"/>
        <v>477.7</v>
      </c>
      <c r="AD829" s="67">
        <f t="shared" si="12"/>
        <v>76.432</v>
      </c>
      <c r="AE829" s="67">
        <f t="shared" si="13"/>
        <v>554.132</v>
      </c>
      <c r="AF829" s="67">
        <f t="shared" si="33"/>
        <v>466.46</v>
      </c>
      <c r="AG829" s="67">
        <f t="shared" si="15"/>
        <v>74.6336</v>
      </c>
      <c r="AH829" s="67">
        <f t="shared" si="16"/>
        <v>541.0936</v>
      </c>
      <c r="AI829" s="67">
        <f t="shared" si="17"/>
        <v>449.6</v>
      </c>
      <c r="AJ829" s="68">
        <f t="shared" si="31"/>
        <v>71.936</v>
      </c>
      <c r="AK829" s="68">
        <f t="shared" si="32"/>
        <v>521.536</v>
      </c>
      <c r="AL829" s="70">
        <f>IFERROR(__xludf.DUMMYFUNCTION("""COMPUTED_VALUE"""),1.0)</f>
        <v>1</v>
      </c>
      <c r="AM829" s="70">
        <f>IFERROR(__xludf.DUMMYFUNCTION("""COMPUTED_VALUE"""),3.0)</f>
        <v>3</v>
      </c>
      <c r="AN829" s="71" t="str">
        <f>IFERROR(__xludf.DUMMYFUNCTION("""COMPUTED_VALUE""")," C")</f>
        <v>C</v>
      </c>
      <c r="AO829" s="71" t="str">
        <f>IFERROR(__xludf.DUMMYFUNCTION("""COMPUTED_VALUE""")," MO08")</f>
        <v>MO08</v>
      </c>
      <c r="AP829" s="71" t="str">
        <f>IFERROR(__xludf.DUMMYFUNCTION("""COMPUTED_VALUE""")," PZA")</f>
        <v>PZA</v>
      </c>
      <c r="AQ829" s="71" t="str">
        <f>IFERROR(__xludf.DUMMYFUNCTION("""COMPUTED_VALUE""")," REF")</f>
        <v>REF</v>
      </c>
      <c r="AR829" s="71" t="str">
        <f>IFERROR(__xludf.DUMMYFUNCTION("""COMPUTED_VALUE""")," MOTOR MONOFÁSICO 10 HP ")</f>
        <v>MOTOR MONOFÁSICO 10 HP </v>
      </c>
      <c r="AS829" s="71" t="str">
        <f>IFERROR(__xludf.DUMMYFUNCTION("""COMPUTED_VALUE""")," MOTOR MONOFASICO 10 HP ")</f>
        <v>MOTOR MONOFASICO 10 HP </v>
      </c>
      <c r="AT829" s="71">
        <f>IFERROR(__xludf.DUMMYFUNCTION("""COMPUTED_VALUE"""),23.0)</f>
        <v>23</v>
      </c>
      <c r="AU829" s="71"/>
      <c r="AV829" s="71"/>
      <c r="AW829" s="71" t="str">
        <f>IFERROR(__xludf.DUMMYFUNCTION("""COMPUTED_VALUE""")," cambiar precio")</f>
        <v>cambiar precio</v>
      </c>
      <c r="AX829" s="71"/>
      <c r="AY829" s="71">
        <f>IFERROR(__xludf.DUMMYFUNCTION("""COMPUTED_VALUE"""),17483.0)</f>
        <v>17483</v>
      </c>
      <c r="AZ829" s="71">
        <f>IFERROR(__xludf.DUMMYFUNCTION("""COMPUTED_VALUE"""),23549.0)</f>
        <v>23549</v>
      </c>
      <c r="BA829" s="71">
        <f>IFERROR(__xludf.DUMMYFUNCTION("""COMPUTED_VALUE"""),25432.920000000002)</f>
        <v>25432.92</v>
      </c>
      <c r="BB829" s="71">
        <f>IFERROR(__xludf.DUMMYFUNCTION("""COMPUTED_VALUE"""),25432.920000000002)</f>
        <v>25432.92</v>
      </c>
      <c r="BC829" s="71">
        <f>IFERROR(__xludf.DUMMYFUNCTION("""COMPUTED_VALUE"""),26705.0)</f>
        <v>26705</v>
      </c>
      <c r="BD829" s="71">
        <f>IFERROR(__xludf.DUMMYFUNCTION("""COMPUTED_VALUE"""),32700.0)</f>
        <v>32700</v>
      </c>
      <c r="BE829" s="71">
        <f>IFERROR(__xludf.DUMMYFUNCTION("""COMPUTED_VALUE"""),5232.0)</f>
        <v>5232</v>
      </c>
      <c r="BF829" s="71">
        <f>IFERROR(__xludf.DUMMYFUNCTION("""COMPUTED_VALUE"""),37932.0)</f>
        <v>37932</v>
      </c>
      <c r="BG829" s="71">
        <f>IFERROR(__xludf.DUMMYFUNCTION("""COMPUTED_VALUE"""),0.22448979591836735)</f>
        <v>0.2244897959</v>
      </c>
      <c r="BH829" s="71">
        <f>IFERROR(__xludf.DUMMYFUNCTION("""COMPUTED_VALUE"""),31065.0)</f>
        <v>31065</v>
      </c>
      <c r="BI829" s="71">
        <f>IFERROR(__xludf.DUMMYFUNCTION("""COMPUTED_VALUE"""),4970.400000000001)</f>
        <v>4970.4</v>
      </c>
      <c r="BJ829" s="71">
        <f>IFERROR(__xludf.DUMMYFUNCTION("""COMPUTED_VALUE"""),36035.4)</f>
        <v>36035.4</v>
      </c>
      <c r="BK829" s="71">
        <f>IFERROR(__xludf.DUMMYFUNCTION("""COMPUTED_VALUE"""),29430.0)</f>
        <v>29430</v>
      </c>
      <c r="BL829" s="71">
        <f>IFERROR(__xludf.DUMMYFUNCTION("""COMPUTED_VALUE"""),4708.8)</f>
        <v>4708.8</v>
      </c>
      <c r="BM829" s="71">
        <f>IFERROR(__xludf.DUMMYFUNCTION("""COMPUTED_VALUE"""),34138.8)</f>
        <v>34138.8</v>
      </c>
      <c r="BN829" s="71">
        <f>IFERROR(__xludf.DUMMYFUNCTION("""COMPUTED_VALUE"""),29430.0)</f>
        <v>29430</v>
      </c>
      <c r="BO829" s="71">
        <f>IFERROR(__xludf.DUMMYFUNCTION("""COMPUTED_VALUE"""),4708.8)</f>
        <v>4708.8</v>
      </c>
      <c r="BP829" s="71">
        <f>IFERROR(__xludf.DUMMYFUNCTION("""COMPUTED_VALUE"""),34138.8)</f>
        <v>34138.8</v>
      </c>
      <c r="BQ829" s="71">
        <f>IFERROR(__xludf.DUMMYFUNCTION("""COMPUTED_VALUE"""),29430.0)</f>
        <v>29430</v>
      </c>
      <c r="BR829" s="71">
        <f>IFERROR(__xludf.DUMMYFUNCTION("""COMPUTED_VALUE"""),4708.8)</f>
        <v>4708.8</v>
      </c>
      <c r="BS829" s="71">
        <f>IFERROR(__xludf.DUMMYFUNCTION("""COMPUTED_VALUE"""),34138.8)</f>
        <v>34138.8</v>
      </c>
      <c r="BT829" s="71">
        <f>IFERROR(__xludf.DUMMYFUNCTION("""COMPUTED_VALUE"""),29430.0)</f>
        <v>29430</v>
      </c>
      <c r="BU829" s="71">
        <f>IFERROR(__xludf.DUMMYFUNCTION("""COMPUTED_VALUE"""),4708.8)</f>
        <v>4708.8</v>
      </c>
      <c r="BV829" s="71">
        <f>IFERROR(__xludf.DUMMYFUNCTION("""COMPUTED_VALUE"""),34138.8)</f>
        <v>34138.8</v>
      </c>
    </row>
    <row r="830">
      <c r="A830" s="53">
        <v>1.0</v>
      </c>
      <c r="B830" s="72"/>
      <c r="C830" s="73" t="s">
        <v>53</v>
      </c>
      <c r="D830" s="74" t="s">
        <v>2003</v>
      </c>
      <c r="E830" s="54" t="s">
        <v>38</v>
      </c>
      <c r="F830" s="54" t="s">
        <v>42</v>
      </c>
      <c r="G830" s="88" t="s">
        <v>2004</v>
      </c>
      <c r="H830" s="54" t="s">
        <v>2004</v>
      </c>
      <c r="I830" s="54">
        <f t="shared" si="24"/>
        <v>29</v>
      </c>
      <c r="J830" s="56"/>
      <c r="K830" s="75"/>
      <c r="L830" s="76"/>
      <c r="M830" s="59"/>
      <c r="N830" s="60">
        <v>279.0</v>
      </c>
      <c r="O830" s="61">
        <v>301.0</v>
      </c>
      <c r="P830" s="62">
        <v>325.08000000000004</v>
      </c>
      <c r="Q830" s="63">
        <v>325.08000000000004</v>
      </c>
      <c r="R830" s="64">
        <v>363.0</v>
      </c>
      <c r="S830" s="111">
        <v>381.0</v>
      </c>
      <c r="T830" s="65">
        <f t="shared" si="2"/>
        <v>60.96</v>
      </c>
      <c r="U830" s="65">
        <f t="shared" si="3"/>
        <v>441.96</v>
      </c>
      <c r="V830" s="66">
        <f t="shared" si="4"/>
        <v>0.04958677686</v>
      </c>
      <c r="W830" s="67">
        <f t="shared" si="5"/>
        <v>361.95</v>
      </c>
      <c r="X830" s="67">
        <f t="shared" si="6"/>
        <v>57.912</v>
      </c>
      <c r="Y830" s="67">
        <f t="shared" si="7"/>
        <v>419.862</v>
      </c>
      <c r="Z830" s="67">
        <f t="shared" si="8"/>
        <v>342.9</v>
      </c>
      <c r="AA830" s="67">
        <f t="shared" si="9"/>
        <v>54.864</v>
      </c>
      <c r="AB830" s="67">
        <f t="shared" si="10"/>
        <v>397.764</v>
      </c>
      <c r="AC830" s="67">
        <f t="shared" si="11"/>
        <v>323.85</v>
      </c>
      <c r="AD830" s="67">
        <f t="shared" si="12"/>
        <v>51.816</v>
      </c>
      <c r="AE830" s="67">
        <f t="shared" si="13"/>
        <v>375.666</v>
      </c>
      <c r="AF830" s="67">
        <f t="shared" si="33"/>
        <v>316.23</v>
      </c>
      <c r="AG830" s="67">
        <f t="shared" si="15"/>
        <v>50.5968</v>
      </c>
      <c r="AH830" s="67">
        <f t="shared" si="16"/>
        <v>366.8268</v>
      </c>
      <c r="AI830" s="67">
        <f t="shared" si="17"/>
        <v>304.8</v>
      </c>
      <c r="AJ830" s="68">
        <f t="shared" si="31"/>
        <v>48.768</v>
      </c>
      <c r="AK830" s="68">
        <f t="shared" si="32"/>
        <v>353.568</v>
      </c>
      <c r="AL830" s="70">
        <f>IFERROR(__xludf.DUMMYFUNCTION("""COMPUTED_VALUE"""),1.0)</f>
        <v>1</v>
      </c>
      <c r="AM830" s="70">
        <f>IFERROR(__xludf.DUMMYFUNCTION("""COMPUTED_VALUE"""),3.0)</f>
        <v>3</v>
      </c>
      <c r="AN830" s="71" t="str">
        <f>IFERROR(__xludf.DUMMYFUNCTION("""COMPUTED_VALUE""")," C")</f>
        <v>C</v>
      </c>
      <c r="AO830" s="71" t="str">
        <f>IFERROR(__xludf.DUMMYFUNCTION("""COMPUTED_VALUE""")," MO04")</f>
        <v>MO04</v>
      </c>
      <c r="AP830" s="71" t="str">
        <f>IFERROR(__xludf.DUMMYFUNCTION("""COMPUTED_VALUE""")," PZA")</f>
        <v>PZA</v>
      </c>
      <c r="AQ830" s="71" t="str">
        <f>IFERROR(__xludf.DUMMYFUNCTION("""COMPUTED_VALUE""")," REF")</f>
        <v>REF</v>
      </c>
      <c r="AR830" s="71" t="str">
        <f>IFERROR(__xludf.DUMMYFUNCTION("""COMPUTED_VALUE""")," MOTOR MONOFÁSICO 2 HP ")</f>
        <v>MOTOR MONOFÁSICO 2 HP </v>
      </c>
      <c r="AS830" s="71" t="str">
        <f>IFERROR(__xludf.DUMMYFUNCTION("""COMPUTED_VALUE""")," MOTOR MONOFASICO 2 HP ")</f>
        <v>MOTOR MONOFASICO 2 HP </v>
      </c>
      <c r="AT830" s="71">
        <f>IFERROR(__xludf.DUMMYFUNCTION("""COMPUTED_VALUE"""),22.0)</f>
        <v>22</v>
      </c>
      <c r="AU830" s="71"/>
      <c r="AV830" s="71"/>
      <c r="AW830" s="71" t="str">
        <f>IFERROR(__xludf.DUMMYFUNCTION("""COMPUTED_VALUE""")," cambiar precio")</f>
        <v>cambiar precio</v>
      </c>
      <c r="AX830" s="71"/>
      <c r="AY830" s="71">
        <f>IFERROR(__xludf.DUMMYFUNCTION("""COMPUTED_VALUE"""),5328.0)</f>
        <v>5328</v>
      </c>
      <c r="AZ830" s="71">
        <f>IFERROR(__xludf.DUMMYFUNCTION("""COMPUTED_VALUE"""),7468.0)</f>
        <v>7468</v>
      </c>
      <c r="BA830" s="71">
        <f>IFERROR(__xludf.DUMMYFUNCTION("""COMPUTED_VALUE"""),8065.4400000000005)</f>
        <v>8065.44</v>
      </c>
      <c r="BB830" s="71">
        <f>IFERROR(__xludf.DUMMYFUNCTION("""COMPUTED_VALUE"""),8065.4400000000005)</f>
        <v>8065.44</v>
      </c>
      <c r="BC830" s="71">
        <f>IFERROR(__xludf.DUMMYFUNCTION("""COMPUTED_VALUE"""),8469.0)</f>
        <v>8469</v>
      </c>
      <c r="BD830" s="71">
        <f>IFERROR(__xludf.DUMMYFUNCTION("""COMPUTED_VALUE"""),4300.0)</f>
        <v>4300</v>
      </c>
      <c r="BE830" s="71">
        <f>IFERROR(__xludf.DUMMYFUNCTION("""COMPUTED_VALUE"""),688.0)</f>
        <v>688</v>
      </c>
      <c r="BF830" s="71">
        <f>IFERROR(__xludf.DUMMYFUNCTION("""COMPUTED_VALUE"""),4988.0)</f>
        <v>4988</v>
      </c>
      <c r="BG830" s="71">
        <f>IFERROR(__xludf.DUMMYFUNCTION("""COMPUTED_VALUE"""),-0.49226591096941785)</f>
        <v>-0.492265911</v>
      </c>
      <c r="BH830" s="71">
        <f>IFERROR(__xludf.DUMMYFUNCTION("""COMPUTED_VALUE"""),4085.0)</f>
        <v>4085</v>
      </c>
      <c r="BI830" s="71">
        <f>IFERROR(__xludf.DUMMYFUNCTION("""COMPUTED_VALUE"""),653.6)</f>
        <v>653.6</v>
      </c>
      <c r="BJ830" s="71">
        <f>IFERROR(__xludf.DUMMYFUNCTION("""COMPUTED_VALUE"""),4738.6)</f>
        <v>4738.6</v>
      </c>
      <c r="BK830" s="71">
        <f>IFERROR(__xludf.DUMMYFUNCTION("""COMPUTED_VALUE"""),3870.0)</f>
        <v>3870</v>
      </c>
      <c r="BL830" s="71">
        <f>IFERROR(__xludf.DUMMYFUNCTION("""COMPUTED_VALUE"""),619.2)</f>
        <v>619.2</v>
      </c>
      <c r="BM830" s="71">
        <f>IFERROR(__xludf.DUMMYFUNCTION("""COMPUTED_VALUE"""),4489.2)</f>
        <v>4489.2</v>
      </c>
      <c r="BN830" s="71">
        <f>IFERROR(__xludf.DUMMYFUNCTION("""COMPUTED_VALUE"""),3870.0)</f>
        <v>3870</v>
      </c>
      <c r="BO830" s="71">
        <f>IFERROR(__xludf.DUMMYFUNCTION("""COMPUTED_VALUE"""),619.2)</f>
        <v>619.2</v>
      </c>
      <c r="BP830" s="71">
        <f>IFERROR(__xludf.DUMMYFUNCTION("""COMPUTED_VALUE"""),4489.2)</f>
        <v>4489.2</v>
      </c>
      <c r="BQ830" s="71">
        <f>IFERROR(__xludf.DUMMYFUNCTION("""COMPUTED_VALUE"""),3870.0)</f>
        <v>3870</v>
      </c>
      <c r="BR830" s="71">
        <f>IFERROR(__xludf.DUMMYFUNCTION("""COMPUTED_VALUE"""),619.2)</f>
        <v>619.2</v>
      </c>
      <c r="BS830" s="71">
        <f>IFERROR(__xludf.DUMMYFUNCTION("""COMPUTED_VALUE"""),4489.2)</f>
        <v>4489.2</v>
      </c>
      <c r="BT830" s="71">
        <f>IFERROR(__xludf.DUMMYFUNCTION("""COMPUTED_VALUE"""),3870.0)</f>
        <v>3870</v>
      </c>
      <c r="BU830" s="71">
        <f>IFERROR(__xludf.DUMMYFUNCTION("""COMPUTED_VALUE"""),619.2)</f>
        <v>619.2</v>
      </c>
      <c r="BV830" s="71">
        <f>IFERROR(__xludf.DUMMYFUNCTION("""COMPUTED_VALUE"""),4489.2)</f>
        <v>4489.2</v>
      </c>
    </row>
    <row r="831">
      <c r="A831" s="53">
        <v>1.0</v>
      </c>
      <c r="B831" s="72"/>
      <c r="C831" s="73" t="s">
        <v>53</v>
      </c>
      <c r="D831" s="74" t="s">
        <v>2005</v>
      </c>
      <c r="E831" s="54" t="s">
        <v>38</v>
      </c>
      <c r="F831" s="54" t="s">
        <v>42</v>
      </c>
      <c r="G831" s="88" t="s">
        <v>2006</v>
      </c>
      <c r="H831" s="54" t="s">
        <v>2007</v>
      </c>
      <c r="I831" s="54">
        <f t="shared" si="24"/>
        <v>27</v>
      </c>
      <c r="J831" s="56"/>
      <c r="K831" s="75"/>
      <c r="L831" s="76"/>
      <c r="M831" s="59"/>
      <c r="N831" s="60">
        <v>291.0</v>
      </c>
      <c r="O831" s="61">
        <v>314.0</v>
      </c>
      <c r="P831" s="62">
        <v>339.12</v>
      </c>
      <c r="Q831" s="63">
        <v>339.12</v>
      </c>
      <c r="R831" s="64">
        <v>378.0</v>
      </c>
      <c r="S831" s="111">
        <v>397.0</v>
      </c>
      <c r="T831" s="65">
        <f t="shared" si="2"/>
        <v>63.52</v>
      </c>
      <c r="U831" s="65">
        <f t="shared" si="3"/>
        <v>460.52</v>
      </c>
      <c r="V831" s="66">
        <f t="shared" si="4"/>
        <v>0.05026455026</v>
      </c>
      <c r="W831" s="67">
        <f t="shared" si="5"/>
        <v>377.15</v>
      </c>
      <c r="X831" s="67">
        <f t="shared" si="6"/>
        <v>60.344</v>
      </c>
      <c r="Y831" s="67">
        <f t="shared" si="7"/>
        <v>437.494</v>
      </c>
      <c r="Z831" s="67">
        <f t="shared" si="8"/>
        <v>357.3</v>
      </c>
      <c r="AA831" s="67">
        <f t="shared" si="9"/>
        <v>57.168</v>
      </c>
      <c r="AB831" s="67">
        <f t="shared" si="10"/>
        <v>414.468</v>
      </c>
      <c r="AC831" s="67">
        <f t="shared" si="11"/>
        <v>337.45</v>
      </c>
      <c r="AD831" s="67">
        <f t="shared" si="12"/>
        <v>53.992</v>
      </c>
      <c r="AE831" s="67">
        <f t="shared" si="13"/>
        <v>391.442</v>
      </c>
      <c r="AF831" s="67">
        <f t="shared" si="33"/>
        <v>329.51</v>
      </c>
      <c r="AG831" s="67">
        <f t="shared" si="15"/>
        <v>52.7216</v>
      </c>
      <c r="AH831" s="67">
        <f t="shared" si="16"/>
        <v>382.2316</v>
      </c>
      <c r="AI831" s="67">
        <f t="shared" si="17"/>
        <v>317.6</v>
      </c>
      <c r="AJ831" s="68">
        <f t="shared" si="31"/>
        <v>50.816</v>
      </c>
      <c r="AK831" s="68">
        <f t="shared" si="32"/>
        <v>368.416</v>
      </c>
      <c r="AL831" s="70">
        <f>IFERROR(__xludf.DUMMYFUNCTION("""COMPUTED_VALUE"""),1.0)</f>
        <v>1</v>
      </c>
      <c r="AM831" s="70">
        <f>IFERROR(__xludf.DUMMYFUNCTION("""COMPUTED_VALUE"""),3.0)</f>
        <v>3</v>
      </c>
      <c r="AN831" s="71" t="str">
        <f>IFERROR(__xludf.DUMMYFUNCTION("""COMPUTED_VALUE""")," C")</f>
        <v>C</v>
      </c>
      <c r="AO831" s="71" t="str">
        <f>IFERROR(__xludf.DUMMYFUNCTION("""COMPUTED_VALUE""")," MO05")</f>
        <v>MO05</v>
      </c>
      <c r="AP831" s="71" t="str">
        <f>IFERROR(__xludf.DUMMYFUNCTION("""COMPUTED_VALUE""")," PZA")</f>
        <v>PZA</v>
      </c>
      <c r="AQ831" s="71" t="str">
        <f>IFERROR(__xludf.DUMMYFUNCTION("""COMPUTED_VALUE""")," REF")</f>
        <v>REF</v>
      </c>
      <c r="AR831" s="71" t="str">
        <f>IFERROR(__xludf.DUMMYFUNCTION("""COMPUTED_VALUE""")," MOTOR MONOFÁSICO 3 HP ")</f>
        <v>MOTOR MONOFÁSICO 3 HP </v>
      </c>
      <c r="AS831" s="71" t="str">
        <f>IFERROR(__xludf.DUMMYFUNCTION("""COMPUTED_VALUE""")," MOTOR MONOFASICO 3 HP ")</f>
        <v>MOTOR MONOFASICO 3 HP </v>
      </c>
      <c r="AT831" s="71">
        <f>IFERROR(__xludf.DUMMYFUNCTION("""COMPUTED_VALUE"""),22.0)</f>
        <v>22</v>
      </c>
      <c r="AU831" s="71"/>
      <c r="AV831" s="71"/>
      <c r="AW831" s="71" t="str">
        <f>IFERROR(__xludf.DUMMYFUNCTION("""COMPUTED_VALUE""")," cambiar precio")</f>
        <v>cambiar precio</v>
      </c>
      <c r="AX831" s="71"/>
      <c r="AY831" s="71">
        <f>IFERROR(__xludf.DUMMYFUNCTION("""COMPUTED_VALUE"""),8371.0)</f>
        <v>8371</v>
      </c>
      <c r="AZ831" s="71">
        <f>IFERROR(__xludf.DUMMYFUNCTION("""COMPUTED_VALUE"""),10933.0)</f>
        <v>10933</v>
      </c>
      <c r="BA831" s="71">
        <f>IFERROR(__xludf.DUMMYFUNCTION("""COMPUTED_VALUE"""),11807.640000000001)</f>
        <v>11807.64</v>
      </c>
      <c r="BB831" s="71">
        <f>IFERROR(__xludf.DUMMYFUNCTION("""COMPUTED_VALUE"""),11807.640000000001)</f>
        <v>11807.64</v>
      </c>
      <c r="BC831" s="71">
        <f>IFERROR(__xludf.DUMMYFUNCTION("""COMPUTED_VALUE"""),12399.0)</f>
        <v>12399</v>
      </c>
      <c r="BD831" s="71">
        <f>IFERROR(__xludf.DUMMYFUNCTION("""COMPUTED_VALUE"""),15650.0)</f>
        <v>15650</v>
      </c>
      <c r="BE831" s="71">
        <f>IFERROR(__xludf.DUMMYFUNCTION("""COMPUTED_VALUE"""),2504.0)</f>
        <v>2504</v>
      </c>
      <c r="BF831" s="71">
        <f>IFERROR(__xludf.DUMMYFUNCTION("""COMPUTED_VALUE"""),18154.0)</f>
        <v>18154</v>
      </c>
      <c r="BG831" s="71">
        <f>IFERROR(__xludf.DUMMYFUNCTION("""COMPUTED_VALUE"""),0.2621985644003549)</f>
        <v>0.2621985644</v>
      </c>
      <c r="BH831" s="71">
        <f>IFERROR(__xludf.DUMMYFUNCTION("""COMPUTED_VALUE"""),14867.5)</f>
        <v>14867.5</v>
      </c>
      <c r="BI831" s="71">
        <f>IFERROR(__xludf.DUMMYFUNCTION("""COMPUTED_VALUE"""),2378.8)</f>
        <v>2378.8</v>
      </c>
      <c r="BJ831" s="71">
        <f>IFERROR(__xludf.DUMMYFUNCTION("""COMPUTED_VALUE"""),17246.3)</f>
        <v>17246.3</v>
      </c>
      <c r="BK831" s="71">
        <f>IFERROR(__xludf.DUMMYFUNCTION("""COMPUTED_VALUE"""),14085.0)</f>
        <v>14085</v>
      </c>
      <c r="BL831" s="71">
        <f>IFERROR(__xludf.DUMMYFUNCTION("""COMPUTED_VALUE"""),2253.6)</f>
        <v>2253.6</v>
      </c>
      <c r="BM831" s="71">
        <f>IFERROR(__xludf.DUMMYFUNCTION("""COMPUTED_VALUE"""),16338.6)</f>
        <v>16338.6</v>
      </c>
      <c r="BN831" s="71">
        <f>IFERROR(__xludf.DUMMYFUNCTION("""COMPUTED_VALUE"""),14085.0)</f>
        <v>14085</v>
      </c>
      <c r="BO831" s="71">
        <f>IFERROR(__xludf.DUMMYFUNCTION("""COMPUTED_VALUE"""),2253.6)</f>
        <v>2253.6</v>
      </c>
      <c r="BP831" s="71">
        <f>IFERROR(__xludf.DUMMYFUNCTION("""COMPUTED_VALUE"""),16338.6)</f>
        <v>16338.6</v>
      </c>
      <c r="BQ831" s="71">
        <f>IFERROR(__xludf.DUMMYFUNCTION("""COMPUTED_VALUE"""),14085.0)</f>
        <v>14085</v>
      </c>
      <c r="BR831" s="71">
        <f>IFERROR(__xludf.DUMMYFUNCTION("""COMPUTED_VALUE"""),2253.6)</f>
        <v>2253.6</v>
      </c>
      <c r="BS831" s="71">
        <f>IFERROR(__xludf.DUMMYFUNCTION("""COMPUTED_VALUE"""),16338.6)</f>
        <v>16338.6</v>
      </c>
      <c r="BT831" s="71">
        <f>IFERROR(__xludf.DUMMYFUNCTION("""COMPUTED_VALUE"""),14085.0)</f>
        <v>14085</v>
      </c>
      <c r="BU831" s="71">
        <f>IFERROR(__xludf.DUMMYFUNCTION("""COMPUTED_VALUE"""),2253.6)</f>
        <v>2253.6</v>
      </c>
      <c r="BV831" s="71">
        <f>IFERROR(__xludf.DUMMYFUNCTION("""COMPUTED_VALUE"""),16338.6)</f>
        <v>16338.6</v>
      </c>
    </row>
    <row r="832">
      <c r="A832" s="53"/>
      <c r="B832" s="53"/>
      <c r="C832" s="53" t="s">
        <v>36</v>
      </c>
      <c r="D832" s="85" t="s">
        <v>2008</v>
      </c>
      <c r="E832" s="54" t="s">
        <v>38</v>
      </c>
      <c r="F832" s="55" t="s">
        <v>39</v>
      </c>
      <c r="G832" s="86" t="s">
        <v>2009</v>
      </c>
      <c r="H832" s="55"/>
      <c r="I832" s="54">
        <f t="shared" si="24"/>
        <v>0</v>
      </c>
      <c r="J832" s="56"/>
      <c r="K832" s="57"/>
      <c r="L832" s="76"/>
      <c r="M832" s="59"/>
      <c r="N832" s="60"/>
      <c r="O832" s="61">
        <v>69.12</v>
      </c>
      <c r="P832" s="62">
        <v>74.6496</v>
      </c>
      <c r="Q832" s="63">
        <v>74.6496</v>
      </c>
      <c r="R832" s="64">
        <v>79.0</v>
      </c>
      <c r="S832" s="107">
        <v>83.0</v>
      </c>
      <c r="T832" s="65">
        <f t="shared" si="2"/>
        <v>13.28</v>
      </c>
      <c r="U832" s="65">
        <f t="shared" si="3"/>
        <v>96.28</v>
      </c>
      <c r="V832" s="66">
        <f t="shared" si="4"/>
        <v>0.05063291139</v>
      </c>
      <c r="W832" s="67">
        <f t="shared" si="5"/>
        <v>78.85</v>
      </c>
      <c r="X832" s="67">
        <f t="shared" si="6"/>
        <v>12.616</v>
      </c>
      <c r="Y832" s="67">
        <f t="shared" si="7"/>
        <v>91.466</v>
      </c>
      <c r="Z832" s="67">
        <f t="shared" si="8"/>
        <v>74.7</v>
      </c>
      <c r="AA832" s="67">
        <f t="shared" si="9"/>
        <v>11.952</v>
      </c>
      <c r="AB832" s="67">
        <f t="shared" si="10"/>
        <v>86.652</v>
      </c>
      <c r="AC832" s="67">
        <f t="shared" si="11"/>
        <v>70.55</v>
      </c>
      <c r="AD832" s="67">
        <f t="shared" si="12"/>
        <v>11.288</v>
      </c>
      <c r="AE832" s="67">
        <f t="shared" si="13"/>
        <v>81.838</v>
      </c>
      <c r="AF832" s="67">
        <f t="shared" si="33"/>
        <v>68.89</v>
      </c>
      <c r="AG832" s="67">
        <f t="shared" si="15"/>
        <v>11.0224</v>
      </c>
      <c r="AH832" s="67">
        <f t="shared" si="16"/>
        <v>79.9124</v>
      </c>
      <c r="AI832" s="67">
        <f t="shared" si="17"/>
        <v>66.4</v>
      </c>
      <c r="AJ832" s="68">
        <f t="shared" si="31"/>
        <v>10.624</v>
      </c>
      <c r="AK832" s="68">
        <f t="shared" si="32"/>
        <v>77.024</v>
      </c>
      <c r="AL832" s="70">
        <f>IFERROR(__xludf.DUMMYFUNCTION("""COMPUTED_VALUE"""),1.0)</f>
        <v>1</v>
      </c>
      <c r="AM832" s="70">
        <f>IFERROR(__xludf.DUMMYFUNCTION("""COMPUTED_VALUE"""),3.0)</f>
        <v>3</v>
      </c>
      <c r="AN832" s="71" t="str">
        <f>IFERROR(__xludf.DUMMYFUNCTION("""COMPUTED_VALUE""")," C")</f>
        <v>C</v>
      </c>
      <c r="AO832" s="71" t="str">
        <f>IFERROR(__xludf.DUMMYFUNCTION("""COMPUTED_VALUE""")," MO06")</f>
        <v>MO06</v>
      </c>
      <c r="AP832" s="71" t="str">
        <f>IFERROR(__xludf.DUMMYFUNCTION("""COMPUTED_VALUE""")," PZA")</f>
        <v>PZA</v>
      </c>
      <c r="AQ832" s="71" t="str">
        <f>IFERROR(__xludf.DUMMYFUNCTION("""COMPUTED_VALUE""")," REF")</f>
        <v>REF</v>
      </c>
      <c r="AR832" s="71" t="str">
        <f>IFERROR(__xludf.DUMMYFUNCTION("""COMPUTED_VALUE""")," MOTOR MONOFÁSICO 5 HP ")</f>
        <v>MOTOR MONOFÁSICO 5 HP </v>
      </c>
      <c r="AS832" s="71" t="str">
        <f>IFERROR(__xludf.DUMMYFUNCTION("""COMPUTED_VALUE""")," MOTOR MONOFASICO 5 HP ")</f>
        <v>MOTOR MONOFASICO 5 HP </v>
      </c>
      <c r="AT832" s="71">
        <f>IFERROR(__xludf.DUMMYFUNCTION("""COMPUTED_VALUE"""),22.0)</f>
        <v>22</v>
      </c>
      <c r="AU832" s="71"/>
      <c r="AV832" s="71"/>
      <c r="AW832" s="71" t="str">
        <f>IFERROR(__xludf.DUMMYFUNCTION("""COMPUTED_VALUE""")," cambiar precio")</f>
        <v>cambiar precio</v>
      </c>
      <c r="AX832" s="71"/>
      <c r="AY832" s="71">
        <f>IFERROR(__xludf.DUMMYFUNCTION("""COMPUTED_VALUE"""),8873.0)</f>
        <v>8873</v>
      </c>
      <c r="AZ832" s="71">
        <f>IFERROR(__xludf.DUMMYFUNCTION("""COMPUTED_VALUE"""),12436.0)</f>
        <v>12436</v>
      </c>
      <c r="BA832" s="71">
        <f>IFERROR(__xludf.DUMMYFUNCTION("""COMPUTED_VALUE"""),13430.880000000001)</f>
        <v>13430.88</v>
      </c>
      <c r="BB832" s="71">
        <f>IFERROR(__xludf.DUMMYFUNCTION("""COMPUTED_VALUE"""),13430.880000000001)</f>
        <v>13430.88</v>
      </c>
      <c r="BC832" s="71">
        <f>IFERROR(__xludf.DUMMYFUNCTION("""COMPUTED_VALUE"""),14103.0)</f>
        <v>14103</v>
      </c>
      <c r="BD832" s="71">
        <f>IFERROR(__xludf.DUMMYFUNCTION("""COMPUTED_VALUE"""),16600.0)</f>
        <v>16600</v>
      </c>
      <c r="BE832" s="71">
        <f>IFERROR(__xludf.DUMMYFUNCTION("""COMPUTED_VALUE"""),2656.0)</f>
        <v>2656</v>
      </c>
      <c r="BF832" s="71">
        <f>IFERROR(__xludf.DUMMYFUNCTION("""COMPUTED_VALUE"""),19256.0)</f>
        <v>19256</v>
      </c>
      <c r="BG832" s="71">
        <f>IFERROR(__xludf.DUMMYFUNCTION("""COMPUTED_VALUE"""),0.17705452740551655)</f>
        <v>0.1770545274</v>
      </c>
      <c r="BH832" s="71">
        <f>IFERROR(__xludf.DUMMYFUNCTION("""COMPUTED_VALUE"""),15770.0)</f>
        <v>15770</v>
      </c>
      <c r="BI832" s="71">
        <f>IFERROR(__xludf.DUMMYFUNCTION("""COMPUTED_VALUE"""),2523.2000000000003)</f>
        <v>2523.2</v>
      </c>
      <c r="BJ832" s="71">
        <f>IFERROR(__xludf.DUMMYFUNCTION("""COMPUTED_VALUE"""),18293.2)</f>
        <v>18293.2</v>
      </c>
      <c r="BK832" s="71">
        <f>IFERROR(__xludf.DUMMYFUNCTION("""COMPUTED_VALUE"""),14940.0)</f>
        <v>14940</v>
      </c>
      <c r="BL832" s="71">
        <f>IFERROR(__xludf.DUMMYFUNCTION("""COMPUTED_VALUE"""),2390.4)</f>
        <v>2390.4</v>
      </c>
      <c r="BM832" s="71">
        <f>IFERROR(__xludf.DUMMYFUNCTION("""COMPUTED_VALUE"""),17330.4)</f>
        <v>17330.4</v>
      </c>
      <c r="BN832" s="71">
        <f>IFERROR(__xludf.DUMMYFUNCTION("""COMPUTED_VALUE"""),14940.0)</f>
        <v>14940</v>
      </c>
      <c r="BO832" s="71">
        <f>IFERROR(__xludf.DUMMYFUNCTION("""COMPUTED_VALUE"""),2390.4)</f>
        <v>2390.4</v>
      </c>
      <c r="BP832" s="71">
        <f>IFERROR(__xludf.DUMMYFUNCTION("""COMPUTED_VALUE"""),17330.4)</f>
        <v>17330.4</v>
      </c>
      <c r="BQ832" s="71">
        <f>IFERROR(__xludf.DUMMYFUNCTION("""COMPUTED_VALUE"""),14940.0)</f>
        <v>14940</v>
      </c>
      <c r="BR832" s="71">
        <f>IFERROR(__xludf.DUMMYFUNCTION("""COMPUTED_VALUE"""),2390.4)</f>
        <v>2390.4</v>
      </c>
      <c r="BS832" s="71">
        <f>IFERROR(__xludf.DUMMYFUNCTION("""COMPUTED_VALUE"""),17330.4)</f>
        <v>17330.4</v>
      </c>
      <c r="BT832" s="71">
        <f>IFERROR(__xludf.DUMMYFUNCTION("""COMPUTED_VALUE"""),14940.0)</f>
        <v>14940</v>
      </c>
      <c r="BU832" s="71">
        <f>IFERROR(__xludf.DUMMYFUNCTION("""COMPUTED_VALUE"""),2390.4)</f>
        <v>2390.4</v>
      </c>
      <c r="BV832" s="71">
        <f>IFERROR(__xludf.DUMMYFUNCTION("""COMPUTED_VALUE"""),17330.4)</f>
        <v>17330.4</v>
      </c>
    </row>
    <row r="833">
      <c r="A833" s="53"/>
      <c r="B833" s="53"/>
      <c r="C833" s="53" t="s">
        <v>36</v>
      </c>
      <c r="D833" s="85" t="s">
        <v>2010</v>
      </c>
      <c r="E833" s="54" t="s">
        <v>38</v>
      </c>
      <c r="F833" s="55" t="s">
        <v>39</v>
      </c>
      <c r="G833" s="86" t="s">
        <v>2011</v>
      </c>
      <c r="H833" s="55"/>
      <c r="I833" s="54">
        <f t="shared" si="24"/>
        <v>0</v>
      </c>
      <c r="J833" s="56"/>
      <c r="K833" s="57"/>
      <c r="L833" s="76"/>
      <c r="M833" s="59"/>
      <c r="N833" s="60"/>
      <c r="O833" s="61">
        <v>99.6</v>
      </c>
      <c r="P833" s="62">
        <v>107.568</v>
      </c>
      <c r="Q833" s="63">
        <v>107.568</v>
      </c>
      <c r="R833" s="64">
        <v>114.0</v>
      </c>
      <c r="S833" s="107">
        <v>120.0</v>
      </c>
      <c r="T833" s="65">
        <f t="shared" si="2"/>
        <v>19.2</v>
      </c>
      <c r="U833" s="65">
        <f t="shared" si="3"/>
        <v>139.2</v>
      </c>
      <c r="V833" s="66">
        <f t="shared" si="4"/>
        <v>0.05263157895</v>
      </c>
      <c r="W833" s="67">
        <f t="shared" si="5"/>
        <v>114</v>
      </c>
      <c r="X833" s="67">
        <f t="shared" si="6"/>
        <v>18.24</v>
      </c>
      <c r="Y833" s="67">
        <f t="shared" si="7"/>
        <v>132.24</v>
      </c>
      <c r="Z833" s="67">
        <f t="shared" si="8"/>
        <v>108</v>
      </c>
      <c r="AA833" s="67">
        <f t="shared" si="9"/>
        <v>17.28</v>
      </c>
      <c r="AB833" s="67">
        <f t="shared" si="10"/>
        <v>125.28</v>
      </c>
      <c r="AC833" s="67">
        <f t="shared" si="11"/>
        <v>102</v>
      </c>
      <c r="AD833" s="67">
        <f t="shared" si="12"/>
        <v>16.32</v>
      </c>
      <c r="AE833" s="67">
        <f t="shared" si="13"/>
        <v>118.32</v>
      </c>
      <c r="AF833" s="67">
        <f t="shared" si="33"/>
        <v>99.6</v>
      </c>
      <c r="AG833" s="67">
        <f t="shared" si="15"/>
        <v>15.936</v>
      </c>
      <c r="AH833" s="67">
        <f t="shared" si="16"/>
        <v>115.536</v>
      </c>
      <c r="AI833" s="67">
        <f t="shared" si="17"/>
        <v>96</v>
      </c>
      <c r="AJ833" s="68">
        <f t="shared" si="31"/>
        <v>15.36</v>
      </c>
      <c r="AK833" s="68">
        <f t="shared" si="32"/>
        <v>111.36</v>
      </c>
      <c r="AL833" s="70">
        <f>IFERROR(__xludf.DUMMYFUNCTION("""COMPUTED_VALUE"""),1.0)</f>
        <v>1</v>
      </c>
      <c r="AM833" s="70">
        <f>IFERROR(__xludf.DUMMYFUNCTION("""COMPUTED_VALUE"""),3.0)</f>
        <v>3</v>
      </c>
      <c r="AN833" s="71" t="str">
        <f>IFERROR(__xludf.DUMMYFUNCTION("""COMPUTED_VALUE""")," C")</f>
        <v>C</v>
      </c>
      <c r="AO833" s="71" t="str">
        <f>IFERROR(__xludf.DUMMYFUNCTION("""COMPUTED_VALUE""")," MO07")</f>
        <v>MO07</v>
      </c>
      <c r="AP833" s="71" t="str">
        <f>IFERROR(__xludf.DUMMYFUNCTION("""COMPUTED_VALUE""")," PZA")</f>
        <v>PZA</v>
      </c>
      <c r="AQ833" s="71" t="str">
        <f>IFERROR(__xludf.DUMMYFUNCTION("""COMPUTED_VALUE""")," REF")</f>
        <v>REF</v>
      </c>
      <c r="AR833" s="71" t="str">
        <f>IFERROR(__xludf.DUMMYFUNCTION("""COMPUTED_VALUE""")," MOTOR MONOFÁSICO 7.5 HP ")</f>
        <v>MOTOR MONOFÁSICO 7.5 HP </v>
      </c>
      <c r="AS833" s="71" t="str">
        <f>IFERROR(__xludf.DUMMYFUNCTION("""COMPUTED_VALUE""")," MOTOR MONOFASICO 7.5 HP ")</f>
        <v>MOTOR MONOFASICO 7.5 HP </v>
      </c>
      <c r="AT833" s="71">
        <f>IFERROR(__xludf.DUMMYFUNCTION("""COMPUTED_VALUE"""),24.0)</f>
        <v>24</v>
      </c>
      <c r="AU833" s="71"/>
      <c r="AV833" s="71"/>
      <c r="AW833" s="71" t="str">
        <f>IFERROR(__xludf.DUMMYFUNCTION("""COMPUTED_VALUE""")," cambiar precio")</f>
        <v>cambiar precio</v>
      </c>
      <c r="AX833" s="71"/>
      <c r="AY833" s="71">
        <f>IFERROR(__xludf.DUMMYFUNCTION("""COMPUTED_VALUE"""),16464.0)</f>
        <v>16464</v>
      </c>
      <c r="AZ833" s="71">
        <f>IFERROR(__xludf.DUMMYFUNCTION("""COMPUTED_VALUE"""),22178.0)</f>
        <v>22178</v>
      </c>
      <c r="BA833" s="71">
        <f>IFERROR(__xludf.DUMMYFUNCTION("""COMPUTED_VALUE"""),23952.24)</f>
        <v>23952.24</v>
      </c>
      <c r="BB833" s="71">
        <f>IFERROR(__xludf.DUMMYFUNCTION("""COMPUTED_VALUE"""),23952.24)</f>
        <v>23952.24</v>
      </c>
      <c r="BC833" s="71">
        <f>IFERROR(__xludf.DUMMYFUNCTION("""COMPUTED_VALUE"""),25150.0)</f>
        <v>25150</v>
      </c>
      <c r="BD833" s="71">
        <f>IFERROR(__xludf.DUMMYFUNCTION("""COMPUTED_VALUE"""),30800.0)</f>
        <v>30800</v>
      </c>
      <c r="BE833" s="71">
        <f>IFERROR(__xludf.DUMMYFUNCTION("""COMPUTED_VALUE"""),4928.0)</f>
        <v>4928</v>
      </c>
      <c r="BF833" s="71">
        <f>IFERROR(__xludf.DUMMYFUNCTION("""COMPUTED_VALUE"""),35728.0)</f>
        <v>35728</v>
      </c>
      <c r="BG833" s="71">
        <f>IFERROR(__xludf.DUMMYFUNCTION("""COMPUTED_VALUE"""),0.22465208747514911)</f>
        <v>0.2246520875</v>
      </c>
      <c r="BH833" s="71">
        <f>IFERROR(__xludf.DUMMYFUNCTION("""COMPUTED_VALUE"""),29260.0)</f>
        <v>29260</v>
      </c>
      <c r="BI833" s="71">
        <f>IFERROR(__xludf.DUMMYFUNCTION("""COMPUTED_VALUE"""),4681.6)</f>
        <v>4681.6</v>
      </c>
      <c r="BJ833" s="71">
        <f>IFERROR(__xludf.DUMMYFUNCTION("""COMPUTED_VALUE"""),33941.6)</f>
        <v>33941.6</v>
      </c>
      <c r="BK833" s="71">
        <f>IFERROR(__xludf.DUMMYFUNCTION("""COMPUTED_VALUE"""),27720.0)</f>
        <v>27720</v>
      </c>
      <c r="BL833" s="71">
        <f>IFERROR(__xludf.DUMMYFUNCTION("""COMPUTED_VALUE"""),4435.2)</f>
        <v>4435.2</v>
      </c>
      <c r="BM833" s="71">
        <f>IFERROR(__xludf.DUMMYFUNCTION("""COMPUTED_VALUE"""),32155.2)</f>
        <v>32155.2</v>
      </c>
      <c r="BN833" s="71">
        <f>IFERROR(__xludf.DUMMYFUNCTION("""COMPUTED_VALUE"""),27720.0)</f>
        <v>27720</v>
      </c>
      <c r="BO833" s="71">
        <f>IFERROR(__xludf.DUMMYFUNCTION("""COMPUTED_VALUE"""),4435.2)</f>
        <v>4435.2</v>
      </c>
      <c r="BP833" s="71">
        <f>IFERROR(__xludf.DUMMYFUNCTION("""COMPUTED_VALUE"""),32155.2)</f>
        <v>32155.2</v>
      </c>
      <c r="BQ833" s="71">
        <f>IFERROR(__xludf.DUMMYFUNCTION("""COMPUTED_VALUE"""),27720.0)</f>
        <v>27720</v>
      </c>
      <c r="BR833" s="71">
        <f>IFERROR(__xludf.DUMMYFUNCTION("""COMPUTED_VALUE"""),4435.2)</f>
        <v>4435.2</v>
      </c>
      <c r="BS833" s="71">
        <f>IFERROR(__xludf.DUMMYFUNCTION("""COMPUTED_VALUE"""),32155.2)</f>
        <v>32155.2</v>
      </c>
      <c r="BT833" s="71">
        <f>IFERROR(__xludf.DUMMYFUNCTION("""COMPUTED_VALUE"""),27720.0)</f>
        <v>27720</v>
      </c>
      <c r="BU833" s="71">
        <f>IFERROR(__xludf.DUMMYFUNCTION("""COMPUTED_VALUE"""),4435.2)</f>
        <v>4435.2</v>
      </c>
      <c r="BV833" s="71">
        <f>IFERROR(__xludf.DUMMYFUNCTION("""COMPUTED_VALUE"""),32155.2)</f>
        <v>32155.2</v>
      </c>
    </row>
    <row r="834">
      <c r="A834" s="53"/>
      <c r="B834" s="53"/>
      <c r="C834" s="53" t="s">
        <v>53</v>
      </c>
      <c r="D834" s="53" t="s">
        <v>2012</v>
      </c>
      <c r="E834" s="54" t="s">
        <v>38</v>
      </c>
      <c r="F834" s="54" t="s">
        <v>42</v>
      </c>
      <c r="G834" s="55" t="s">
        <v>2013</v>
      </c>
      <c r="H834" s="55" t="s">
        <v>2014</v>
      </c>
      <c r="I834" s="54">
        <f t="shared" si="24"/>
        <v>38</v>
      </c>
      <c r="J834" s="56"/>
      <c r="K834" s="57"/>
      <c r="L834" s="76"/>
      <c r="M834" s="59"/>
      <c r="N834" s="60"/>
      <c r="O834" s="61">
        <v>2404.0</v>
      </c>
      <c r="P834" s="62">
        <v>2596.32</v>
      </c>
      <c r="Q834" s="63">
        <v>2596.32</v>
      </c>
      <c r="R834" s="64">
        <v>2726.0</v>
      </c>
      <c r="S834" s="111">
        <v>2862.0</v>
      </c>
      <c r="T834" s="65">
        <f t="shared" si="2"/>
        <v>457.92</v>
      </c>
      <c r="U834" s="65">
        <f t="shared" si="3"/>
        <v>3319.92</v>
      </c>
      <c r="V834" s="66">
        <f t="shared" si="4"/>
        <v>0.04988994864</v>
      </c>
      <c r="W834" s="67">
        <f t="shared" si="5"/>
        <v>2718.9</v>
      </c>
      <c r="X834" s="67">
        <f t="shared" si="6"/>
        <v>435.024</v>
      </c>
      <c r="Y834" s="67">
        <f t="shared" si="7"/>
        <v>3153.924</v>
      </c>
      <c r="Z834" s="67">
        <f t="shared" si="8"/>
        <v>2575.8</v>
      </c>
      <c r="AA834" s="67">
        <f t="shared" si="9"/>
        <v>412.128</v>
      </c>
      <c r="AB834" s="67">
        <f t="shared" si="10"/>
        <v>2987.928</v>
      </c>
      <c r="AC834" s="67">
        <f t="shared" si="11"/>
        <v>2432.7</v>
      </c>
      <c r="AD834" s="67">
        <f t="shared" si="12"/>
        <v>389.232</v>
      </c>
      <c r="AE834" s="67">
        <f t="shared" si="13"/>
        <v>2821.932</v>
      </c>
      <c r="AF834" s="67">
        <f t="shared" si="33"/>
        <v>2375.46</v>
      </c>
      <c r="AG834" s="67">
        <f t="shared" si="15"/>
        <v>380.0736</v>
      </c>
      <c r="AH834" s="67">
        <f t="shared" si="16"/>
        <v>2755.5336</v>
      </c>
      <c r="AI834" s="67">
        <f t="shared" si="17"/>
        <v>2289.6</v>
      </c>
      <c r="AJ834" s="68">
        <f t="shared" si="31"/>
        <v>366.336</v>
      </c>
      <c r="AK834" s="68">
        <f t="shared" si="32"/>
        <v>2655.936</v>
      </c>
      <c r="AL834" s="70">
        <f>IFERROR(__xludf.DUMMYFUNCTION("""COMPUTED_VALUE"""),1.0)</f>
        <v>1</v>
      </c>
      <c r="AM834" s="70">
        <f>IFERROR(__xludf.DUMMYFUNCTION("""COMPUTED_VALUE"""),3.0)</f>
        <v>3</v>
      </c>
      <c r="AN834" s="71" t="str">
        <f>IFERROR(__xludf.DUMMYFUNCTION("""COMPUTED_VALUE""")," C")</f>
        <v>C</v>
      </c>
      <c r="AO834" s="71" t="str">
        <f>IFERROR(__xludf.DUMMYFUNCTION("""COMPUTED_VALUE""")," MO22")</f>
        <v>MO22</v>
      </c>
      <c r="AP834" s="71" t="str">
        <f>IFERROR(__xludf.DUMMYFUNCTION("""COMPUTED_VALUE""")," PZA")</f>
        <v>PZA</v>
      </c>
      <c r="AQ834" s="71" t="str">
        <f>IFERROR(__xludf.DUMMYFUNCTION("""COMPUTED_VALUE""")," REF")</f>
        <v>REF</v>
      </c>
      <c r="AR834" s="71" t="str">
        <f>IFERROR(__xludf.DUMMYFUNCTION("""COMPUTED_VALUE""")," MOTOR TRIFÁSICO 1 HP ")</f>
        <v>MOTOR TRIFÁSICO 1 HP </v>
      </c>
      <c r="AS834" s="71" t="str">
        <f>IFERROR(__xludf.DUMMYFUNCTION("""COMPUTED_VALUE""")," MOTOR TRIFASICO 1 HP ")</f>
        <v>MOTOR TRIFASICO 1 HP </v>
      </c>
      <c r="AT834" s="71">
        <f>IFERROR(__xludf.DUMMYFUNCTION("""COMPUTED_VALUE"""),21.0)</f>
        <v>21</v>
      </c>
      <c r="AU834" s="71"/>
      <c r="AV834" s="71"/>
      <c r="AW834" s="71" t="str">
        <f>IFERROR(__xludf.DUMMYFUNCTION("""COMPUTED_VALUE""")," cambiar precio")</f>
        <v>cambiar precio</v>
      </c>
      <c r="AX834" s="71"/>
      <c r="AY834" s="71">
        <f>IFERROR(__xludf.DUMMYFUNCTION("""COMPUTED_VALUE"""),4270.0)</f>
        <v>4270</v>
      </c>
      <c r="AZ834" s="71">
        <f>IFERROR(__xludf.DUMMYFUNCTION("""COMPUTED_VALUE"""),5985.0)</f>
        <v>5985</v>
      </c>
      <c r="BA834" s="71">
        <f>IFERROR(__xludf.DUMMYFUNCTION("""COMPUTED_VALUE"""),6463.8)</f>
        <v>6463.8</v>
      </c>
      <c r="BB834" s="71">
        <f>IFERROR(__xludf.DUMMYFUNCTION("""COMPUTED_VALUE"""),6463.8)</f>
        <v>6463.8</v>
      </c>
      <c r="BC834" s="71">
        <f>IFERROR(__xludf.DUMMYFUNCTION("""COMPUTED_VALUE"""),6788.0)</f>
        <v>6788</v>
      </c>
      <c r="BD834" s="71">
        <f>IFERROR(__xludf.DUMMYFUNCTION("""COMPUTED_VALUE"""),8050.0)</f>
        <v>8050</v>
      </c>
      <c r="BE834" s="71">
        <f>IFERROR(__xludf.DUMMYFUNCTION("""COMPUTED_VALUE"""),1288.0)</f>
        <v>1288</v>
      </c>
      <c r="BF834" s="71">
        <f>IFERROR(__xludf.DUMMYFUNCTION("""COMPUTED_VALUE"""),9338.0)</f>
        <v>9338</v>
      </c>
      <c r="BG834" s="71">
        <f>IFERROR(__xludf.DUMMYFUNCTION("""COMPUTED_VALUE"""),0.18591632292280494)</f>
        <v>0.1859163229</v>
      </c>
      <c r="BH834" s="71">
        <f>IFERROR(__xludf.DUMMYFUNCTION("""COMPUTED_VALUE"""),7647.5)</f>
        <v>7647.5</v>
      </c>
      <c r="BI834" s="71">
        <f>IFERROR(__xludf.DUMMYFUNCTION("""COMPUTED_VALUE"""),1223.6000000000001)</f>
        <v>1223.6</v>
      </c>
      <c r="BJ834" s="71">
        <f>IFERROR(__xludf.DUMMYFUNCTION("""COMPUTED_VALUE"""),8871.1)</f>
        <v>8871.1</v>
      </c>
      <c r="BK834" s="71">
        <f>IFERROR(__xludf.DUMMYFUNCTION("""COMPUTED_VALUE"""),7245.0)</f>
        <v>7245</v>
      </c>
      <c r="BL834" s="71">
        <f>IFERROR(__xludf.DUMMYFUNCTION("""COMPUTED_VALUE"""),1159.2)</f>
        <v>1159.2</v>
      </c>
      <c r="BM834" s="71">
        <f>IFERROR(__xludf.DUMMYFUNCTION("""COMPUTED_VALUE"""),8404.2)</f>
        <v>8404.2</v>
      </c>
      <c r="BN834" s="71">
        <f>IFERROR(__xludf.DUMMYFUNCTION("""COMPUTED_VALUE"""),7245.0)</f>
        <v>7245</v>
      </c>
      <c r="BO834" s="71">
        <f>IFERROR(__xludf.DUMMYFUNCTION("""COMPUTED_VALUE"""),1159.2)</f>
        <v>1159.2</v>
      </c>
      <c r="BP834" s="71">
        <f>IFERROR(__xludf.DUMMYFUNCTION("""COMPUTED_VALUE"""),8404.2)</f>
        <v>8404.2</v>
      </c>
      <c r="BQ834" s="71">
        <f>IFERROR(__xludf.DUMMYFUNCTION("""COMPUTED_VALUE"""),7245.0)</f>
        <v>7245</v>
      </c>
      <c r="BR834" s="71">
        <f>IFERROR(__xludf.DUMMYFUNCTION("""COMPUTED_VALUE"""),1159.2)</f>
        <v>1159.2</v>
      </c>
      <c r="BS834" s="71">
        <f>IFERROR(__xludf.DUMMYFUNCTION("""COMPUTED_VALUE"""),8404.2)</f>
        <v>8404.2</v>
      </c>
      <c r="BT834" s="71">
        <f>IFERROR(__xludf.DUMMYFUNCTION("""COMPUTED_VALUE"""),7245.0)</f>
        <v>7245</v>
      </c>
      <c r="BU834" s="71">
        <f>IFERROR(__xludf.DUMMYFUNCTION("""COMPUTED_VALUE"""),1159.2)</f>
        <v>1159.2</v>
      </c>
      <c r="BV834" s="71">
        <f>IFERROR(__xludf.DUMMYFUNCTION("""COMPUTED_VALUE"""),8404.2)</f>
        <v>8404.2</v>
      </c>
    </row>
    <row r="835">
      <c r="A835" s="53"/>
      <c r="B835" s="53">
        <v>3.0</v>
      </c>
      <c r="C835" s="53" t="s">
        <v>36</v>
      </c>
      <c r="D835" s="120" t="s">
        <v>2015</v>
      </c>
      <c r="E835" s="54" t="s">
        <v>38</v>
      </c>
      <c r="F835" s="55" t="s">
        <v>187</v>
      </c>
      <c r="G835" s="139" t="s">
        <v>2016</v>
      </c>
      <c r="H835" s="55"/>
      <c r="I835" s="54">
        <f t="shared" si="24"/>
        <v>0</v>
      </c>
      <c r="J835" s="56"/>
      <c r="K835" s="57"/>
      <c r="L835" s="76"/>
      <c r="M835" s="59"/>
      <c r="N835" s="60"/>
      <c r="O835" s="61">
        <v>3611.0</v>
      </c>
      <c r="P835" s="62">
        <v>3899.88</v>
      </c>
      <c r="Q835" s="63">
        <v>3899.88</v>
      </c>
      <c r="R835" s="64">
        <v>4300.0</v>
      </c>
      <c r="S835" s="107">
        <v>4515.0</v>
      </c>
      <c r="T835" s="65">
        <f t="shared" si="2"/>
        <v>722.4</v>
      </c>
      <c r="U835" s="65">
        <f t="shared" si="3"/>
        <v>5237.4</v>
      </c>
      <c r="V835" s="66">
        <f t="shared" si="4"/>
        <v>0.05</v>
      </c>
      <c r="W835" s="67">
        <f t="shared" si="5"/>
        <v>4289.25</v>
      </c>
      <c r="X835" s="67">
        <f t="shared" si="6"/>
        <v>686.28</v>
      </c>
      <c r="Y835" s="67">
        <f t="shared" si="7"/>
        <v>4975.53</v>
      </c>
      <c r="Z835" s="67">
        <f t="shared" si="8"/>
        <v>4063.5</v>
      </c>
      <c r="AA835" s="67">
        <f t="shared" si="9"/>
        <v>650.16</v>
      </c>
      <c r="AB835" s="67">
        <f t="shared" si="10"/>
        <v>4713.66</v>
      </c>
      <c r="AC835" s="67">
        <f t="shared" si="11"/>
        <v>4063.5</v>
      </c>
      <c r="AD835" s="67">
        <f t="shared" si="12"/>
        <v>650.16</v>
      </c>
      <c r="AE835" s="67">
        <f t="shared" si="13"/>
        <v>4713.66</v>
      </c>
      <c r="AF835" s="67">
        <f t="shared" si="33"/>
        <v>4063.5</v>
      </c>
      <c r="AG835" s="67">
        <f t="shared" si="15"/>
        <v>650.16</v>
      </c>
      <c r="AH835" s="67">
        <f t="shared" si="16"/>
        <v>4713.66</v>
      </c>
      <c r="AI835" s="67">
        <f t="shared" si="17"/>
        <v>4063.5</v>
      </c>
      <c r="AJ835" s="68">
        <f t="shared" si="31"/>
        <v>650.16</v>
      </c>
      <c r="AK835" s="68">
        <f t="shared" si="32"/>
        <v>4713.66</v>
      </c>
      <c r="AL835" s="70">
        <f>IFERROR(__xludf.DUMMYFUNCTION("""COMPUTED_VALUE"""),1.0)</f>
        <v>1</v>
      </c>
      <c r="AM835" s="70">
        <f>IFERROR(__xludf.DUMMYFUNCTION("""COMPUTED_VALUE"""),3.0)</f>
        <v>3</v>
      </c>
      <c r="AN835" s="71" t="str">
        <f>IFERROR(__xludf.DUMMYFUNCTION("""COMPUTED_VALUE""")," C")</f>
        <v>C</v>
      </c>
      <c r="AO835" s="71" t="str">
        <f>IFERROR(__xludf.DUMMYFUNCTION("""COMPUTED_VALUE""")," MO14")</f>
        <v>MO14</v>
      </c>
      <c r="AP835" s="71" t="str">
        <f>IFERROR(__xludf.DUMMYFUNCTION("""COMPUTED_VALUE""")," PZA")</f>
        <v>PZA</v>
      </c>
      <c r="AQ835" s="71" t="str">
        <f>IFERROR(__xludf.DUMMYFUNCTION("""COMPUTED_VALUE""")," REF")</f>
        <v>REF</v>
      </c>
      <c r="AR835" s="71" t="str">
        <f>IFERROR(__xludf.DUMMYFUNCTION("""COMPUTED_VALUE""")," MOTOR TRIFÁSICO 10 HP ")</f>
        <v>MOTOR TRIFÁSICO 10 HP </v>
      </c>
      <c r="AS835" s="71" t="str">
        <f>IFERROR(__xludf.DUMMYFUNCTION("""COMPUTED_VALUE""")," MOTOR TRIFASICO 10 HP ")</f>
        <v>MOTOR TRIFASICO 10 HP </v>
      </c>
      <c r="AT835" s="71">
        <f>IFERROR(__xludf.DUMMYFUNCTION("""COMPUTED_VALUE"""),22.0)</f>
        <v>22</v>
      </c>
      <c r="AU835" s="71"/>
      <c r="AV835" s="71"/>
      <c r="AW835" s="71" t="str">
        <f>IFERROR(__xludf.DUMMYFUNCTION("""COMPUTED_VALUE""")," cambiar precio")</f>
        <v>cambiar precio</v>
      </c>
      <c r="AX835" s="71"/>
      <c r="AY835" s="71">
        <f>IFERROR(__xludf.DUMMYFUNCTION("""COMPUTED_VALUE"""),10968.0)</f>
        <v>10968</v>
      </c>
      <c r="AZ835" s="71">
        <f>IFERROR(__xludf.DUMMYFUNCTION("""COMPUTED_VALUE"""),15370.0)</f>
        <v>15370</v>
      </c>
      <c r="BA835" s="71">
        <f>IFERROR(__xludf.DUMMYFUNCTION("""COMPUTED_VALUE"""),16599.600000000002)</f>
        <v>16599.6</v>
      </c>
      <c r="BB835" s="71">
        <f>IFERROR(__xludf.DUMMYFUNCTION("""COMPUTED_VALUE"""),16599.600000000002)</f>
        <v>16599.6</v>
      </c>
      <c r="BC835" s="71">
        <f>IFERROR(__xludf.DUMMYFUNCTION("""COMPUTED_VALUE"""),17430.0)</f>
        <v>17430</v>
      </c>
      <c r="BD835" s="71">
        <f>IFERROR(__xludf.DUMMYFUNCTION("""COMPUTED_VALUE"""),20700.0)</f>
        <v>20700</v>
      </c>
      <c r="BE835" s="71">
        <f>IFERROR(__xludf.DUMMYFUNCTION("""COMPUTED_VALUE"""),3312.0)</f>
        <v>3312</v>
      </c>
      <c r="BF835" s="71">
        <f>IFERROR(__xludf.DUMMYFUNCTION("""COMPUTED_VALUE"""),24012.0)</f>
        <v>24012</v>
      </c>
      <c r="BG835" s="71">
        <f>IFERROR(__xludf.DUMMYFUNCTION("""COMPUTED_VALUE"""),0.18760757314974183)</f>
        <v>0.1876075731</v>
      </c>
      <c r="BH835" s="71">
        <f>IFERROR(__xludf.DUMMYFUNCTION("""COMPUTED_VALUE"""),19665.0)</f>
        <v>19665</v>
      </c>
      <c r="BI835" s="71">
        <f>IFERROR(__xludf.DUMMYFUNCTION("""COMPUTED_VALUE"""),3146.4)</f>
        <v>3146.4</v>
      </c>
      <c r="BJ835" s="71">
        <f>IFERROR(__xludf.DUMMYFUNCTION("""COMPUTED_VALUE"""),22811.4)</f>
        <v>22811.4</v>
      </c>
      <c r="BK835" s="71">
        <f>IFERROR(__xludf.DUMMYFUNCTION("""COMPUTED_VALUE"""),18630.0)</f>
        <v>18630</v>
      </c>
      <c r="BL835" s="71">
        <f>IFERROR(__xludf.DUMMYFUNCTION("""COMPUTED_VALUE"""),2980.8)</f>
        <v>2980.8</v>
      </c>
      <c r="BM835" s="71">
        <f>IFERROR(__xludf.DUMMYFUNCTION("""COMPUTED_VALUE"""),21610.8)</f>
        <v>21610.8</v>
      </c>
      <c r="BN835" s="71">
        <f>IFERROR(__xludf.DUMMYFUNCTION("""COMPUTED_VALUE"""),18630.0)</f>
        <v>18630</v>
      </c>
      <c r="BO835" s="71">
        <f>IFERROR(__xludf.DUMMYFUNCTION("""COMPUTED_VALUE"""),2980.8)</f>
        <v>2980.8</v>
      </c>
      <c r="BP835" s="71">
        <f>IFERROR(__xludf.DUMMYFUNCTION("""COMPUTED_VALUE"""),21610.8)</f>
        <v>21610.8</v>
      </c>
      <c r="BQ835" s="71">
        <f>IFERROR(__xludf.DUMMYFUNCTION("""COMPUTED_VALUE"""),18630.0)</f>
        <v>18630</v>
      </c>
      <c r="BR835" s="71">
        <f>IFERROR(__xludf.DUMMYFUNCTION("""COMPUTED_VALUE"""),2980.8)</f>
        <v>2980.8</v>
      </c>
      <c r="BS835" s="71">
        <f>IFERROR(__xludf.DUMMYFUNCTION("""COMPUTED_VALUE"""),21610.8)</f>
        <v>21610.8</v>
      </c>
      <c r="BT835" s="71">
        <f>IFERROR(__xludf.DUMMYFUNCTION("""COMPUTED_VALUE"""),18630.0)</f>
        <v>18630</v>
      </c>
      <c r="BU835" s="71">
        <f>IFERROR(__xludf.DUMMYFUNCTION("""COMPUTED_VALUE"""),2980.8)</f>
        <v>2980.8</v>
      </c>
      <c r="BV835" s="71">
        <f>IFERROR(__xludf.DUMMYFUNCTION("""COMPUTED_VALUE"""),21610.8)</f>
        <v>21610.8</v>
      </c>
    </row>
    <row r="836">
      <c r="A836" s="53">
        <v>1.0</v>
      </c>
      <c r="B836" s="72"/>
      <c r="C836" s="73" t="s">
        <v>12</v>
      </c>
      <c r="D836" s="74" t="s">
        <v>2017</v>
      </c>
      <c r="E836" s="55" t="s">
        <v>38</v>
      </c>
      <c r="F836" s="54" t="s">
        <v>42</v>
      </c>
      <c r="G836" s="55" t="s">
        <v>2018</v>
      </c>
      <c r="H836" s="54" t="s">
        <v>2019</v>
      </c>
      <c r="I836" s="54">
        <f t="shared" si="24"/>
        <v>24</v>
      </c>
      <c r="J836" s="56"/>
      <c r="K836" s="75"/>
      <c r="L836" s="87"/>
      <c r="M836" s="59"/>
      <c r="N836" s="60">
        <v>160.0</v>
      </c>
      <c r="O836" s="61">
        <v>213.0</v>
      </c>
      <c r="P836" s="62">
        <v>230.04000000000002</v>
      </c>
      <c r="Q836" s="63">
        <v>230.04000000000002</v>
      </c>
      <c r="R836" s="64">
        <v>257.0</v>
      </c>
      <c r="S836" s="111">
        <v>270.0</v>
      </c>
      <c r="T836" s="65">
        <f t="shared" si="2"/>
        <v>43.2</v>
      </c>
      <c r="U836" s="65">
        <f t="shared" si="3"/>
        <v>313.2</v>
      </c>
      <c r="V836" s="66">
        <f t="shared" si="4"/>
        <v>0.05058365759</v>
      </c>
      <c r="W836" s="67">
        <f t="shared" si="5"/>
        <v>256.5</v>
      </c>
      <c r="X836" s="67">
        <f t="shared" si="6"/>
        <v>41.04</v>
      </c>
      <c r="Y836" s="67">
        <f t="shared" si="7"/>
        <v>297.54</v>
      </c>
      <c r="Z836" s="67">
        <f t="shared" si="8"/>
        <v>243</v>
      </c>
      <c r="AA836" s="67">
        <f t="shared" si="9"/>
        <v>38.88</v>
      </c>
      <c r="AB836" s="67">
        <f t="shared" si="10"/>
        <v>281.88</v>
      </c>
      <c r="AC836" s="67">
        <f t="shared" si="11"/>
        <v>229.5</v>
      </c>
      <c r="AD836" s="67">
        <f t="shared" si="12"/>
        <v>36.72</v>
      </c>
      <c r="AE836" s="67">
        <f t="shared" si="13"/>
        <v>266.22</v>
      </c>
      <c r="AF836" s="67">
        <f t="shared" si="33"/>
        <v>224.1</v>
      </c>
      <c r="AG836" s="67">
        <f t="shared" si="15"/>
        <v>35.856</v>
      </c>
      <c r="AH836" s="67">
        <f t="shared" si="16"/>
        <v>259.956</v>
      </c>
      <c r="AI836" s="67">
        <f t="shared" si="17"/>
        <v>216</v>
      </c>
      <c r="AJ836" s="68">
        <f t="shared" si="31"/>
        <v>34.56</v>
      </c>
      <c r="AK836" s="68">
        <f t="shared" si="32"/>
        <v>250.56</v>
      </c>
      <c r="AL836" s="70">
        <f>IFERROR(__xludf.DUMMYFUNCTION("""COMPUTED_VALUE"""),1.0)</f>
        <v>1</v>
      </c>
      <c r="AM836" s="70">
        <f>IFERROR(__xludf.DUMMYFUNCTION("""COMPUTED_VALUE"""),3.0)</f>
        <v>3</v>
      </c>
      <c r="AN836" s="71" t="str">
        <f>IFERROR(__xludf.DUMMYFUNCTION("""COMPUTED_VALUE""")," C")</f>
        <v>C</v>
      </c>
      <c r="AO836" s="71" t="str">
        <f>IFERROR(__xludf.DUMMYFUNCTION("""COMPUTED_VALUE""")," MO10")</f>
        <v>MO10</v>
      </c>
      <c r="AP836" s="71" t="str">
        <f>IFERROR(__xludf.DUMMYFUNCTION("""COMPUTED_VALUE""")," PZA")</f>
        <v>PZA</v>
      </c>
      <c r="AQ836" s="71" t="str">
        <f>IFERROR(__xludf.DUMMYFUNCTION("""COMPUTED_VALUE""")," REF")</f>
        <v>REF</v>
      </c>
      <c r="AR836" s="71" t="str">
        <f>IFERROR(__xludf.DUMMYFUNCTION("""COMPUTED_VALUE""")," MOTOR TRIFÁSICO 2 HP ")</f>
        <v>MOTOR TRIFÁSICO 2 HP </v>
      </c>
      <c r="AS836" s="71" t="str">
        <f>IFERROR(__xludf.DUMMYFUNCTION("""COMPUTED_VALUE""")," MOTOR TRIFASICO 2 HP ")</f>
        <v>MOTOR TRIFASICO 2 HP </v>
      </c>
      <c r="AT836" s="71">
        <f>IFERROR(__xludf.DUMMYFUNCTION("""COMPUTED_VALUE"""),21.0)</f>
        <v>21</v>
      </c>
      <c r="AU836" s="71"/>
      <c r="AV836" s="71"/>
      <c r="AW836" s="71" t="str">
        <f>IFERROR(__xludf.DUMMYFUNCTION("""COMPUTED_VALUE""")," cambiar precio")</f>
        <v>cambiar precio</v>
      </c>
      <c r="AX836" s="71"/>
      <c r="AY836" s="71">
        <f>IFERROR(__xludf.DUMMYFUNCTION("""COMPUTED_VALUE"""),4599.0)</f>
        <v>4599</v>
      </c>
      <c r="AZ836" s="71">
        <f>IFERROR(__xludf.DUMMYFUNCTION("""COMPUTED_VALUE"""),6446.0)</f>
        <v>6446</v>
      </c>
      <c r="BA836" s="71">
        <f>IFERROR(__xludf.DUMMYFUNCTION("""COMPUTED_VALUE"""),6961.68)</f>
        <v>6961.68</v>
      </c>
      <c r="BB836" s="71">
        <f>IFERROR(__xludf.DUMMYFUNCTION("""COMPUTED_VALUE"""),6961.68)</f>
        <v>6961.68</v>
      </c>
      <c r="BC836" s="71">
        <f>IFERROR(__xludf.DUMMYFUNCTION("""COMPUTED_VALUE"""),7311.0)</f>
        <v>7311</v>
      </c>
      <c r="BD836" s="71">
        <f>IFERROR(__xludf.DUMMYFUNCTION("""COMPUTED_VALUE"""),8700.0)</f>
        <v>8700</v>
      </c>
      <c r="BE836" s="71">
        <f>IFERROR(__xludf.DUMMYFUNCTION("""COMPUTED_VALUE"""),1392.0)</f>
        <v>1392</v>
      </c>
      <c r="BF836" s="71">
        <f>IFERROR(__xludf.DUMMYFUNCTION("""COMPUTED_VALUE"""),10092.0)</f>
        <v>10092</v>
      </c>
      <c r="BG836" s="71">
        <f>IFERROR(__xludf.DUMMYFUNCTION("""COMPUTED_VALUE"""),0.18998768978251948)</f>
        <v>0.1899876898</v>
      </c>
      <c r="BH836" s="71">
        <f>IFERROR(__xludf.DUMMYFUNCTION("""COMPUTED_VALUE"""),8265.0)</f>
        <v>8265</v>
      </c>
      <c r="BI836" s="71">
        <f>IFERROR(__xludf.DUMMYFUNCTION("""COMPUTED_VALUE"""),1322.4)</f>
        <v>1322.4</v>
      </c>
      <c r="BJ836" s="71">
        <f>IFERROR(__xludf.DUMMYFUNCTION("""COMPUTED_VALUE"""),9587.4)</f>
        <v>9587.4</v>
      </c>
      <c r="BK836" s="71">
        <f>IFERROR(__xludf.DUMMYFUNCTION("""COMPUTED_VALUE"""),7830.0)</f>
        <v>7830</v>
      </c>
      <c r="BL836" s="71">
        <f>IFERROR(__xludf.DUMMYFUNCTION("""COMPUTED_VALUE"""),1252.8)</f>
        <v>1252.8</v>
      </c>
      <c r="BM836" s="71">
        <f>IFERROR(__xludf.DUMMYFUNCTION("""COMPUTED_VALUE"""),9082.8)</f>
        <v>9082.8</v>
      </c>
      <c r="BN836" s="71">
        <f>IFERROR(__xludf.DUMMYFUNCTION("""COMPUTED_VALUE"""),7830.0)</f>
        <v>7830</v>
      </c>
      <c r="BO836" s="71">
        <f>IFERROR(__xludf.DUMMYFUNCTION("""COMPUTED_VALUE"""),1252.8)</f>
        <v>1252.8</v>
      </c>
      <c r="BP836" s="71">
        <f>IFERROR(__xludf.DUMMYFUNCTION("""COMPUTED_VALUE"""),9082.8)</f>
        <v>9082.8</v>
      </c>
      <c r="BQ836" s="71">
        <f>IFERROR(__xludf.DUMMYFUNCTION("""COMPUTED_VALUE"""),7830.0)</f>
        <v>7830</v>
      </c>
      <c r="BR836" s="71">
        <f>IFERROR(__xludf.DUMMYFUNCTION("""COMPUTED_VALUE"""),1252.8)</f>
        <v>1252.8</v>
      </c>
      <c r="BS836" s="71">
        <f>IFERROR(__xludf.DUMMYFUNCTION("""COMPUTED_VALUE"""),9082.8)</f>
        <v>9082.8</v>
      </c>
      <c r="BT836" s="71">
        <f>IFERROR(__xludf.DUMMYFUNCTION("""COMPUTED_VALUE"""),7830.0)</f>
        <v>7830</v>
      </c>
      <c r="BU836" s="71">
        <f>IFERROR(__xludf.DUMMYFUNCTION("""COMPUTED_VALUE"""),1252.8)</f>
        <v>1252.8</v>
      </c>
      <c r="BV836" s="71">
        <f>IFERROR(__xludf.DUMMYFUNCTION("""COMPUTED_VALUE"""),9082.8)</f>
        <v>9082.8</v>
      </c>
    </row>
    <row r="837">
      <c r="A837" s="53">
        <v>1.0</v>
      </c>
      <c r="B837" s="72"/>
      <c r="C837" s="73" t="s">
        <v>12</v>
      </c>
      <c r="D837" s="74" t="s">
        <v>2020</v>
      </c>
      <c r="E837" s="54" t="s">
        <v>38</v>
      </c>
      <c r="F837" s="54" t="s">
        <v>42</v>
      </c>
      <c r="G837" s="88" t="s">
        <v>2021</v>
      </c>
      <c r="H837" s="54" t="s">
        <v>2022</v>
      </c>
      <c r="I837" s="54">
        <f t="shared" si="24"/>
        <v>31</v>
      </c>
      <c r="J837" s="56"/>
      <c r="K837" s="57"/>
      <c r="L837" s="87"/>
      <c r="M837" s="59"/>
      <c r="N837" s="60">
        <v>3767.0</v>
      </c>
      <c r="O837" s="61">
        <v>5325.0</v>
      </c>
      <c r="P837" s="62">
        <v>5751.0</v>
      </c>
      <c r="Q837" s="63">
        <v>5751.0</v>
      </c>
      <c r="R837" s="64">
        <v>6402.0</v>
      </c>
      <c r="S837" s="111">
        <v>6722.0</v>
      </c>
      <c r="T837" s="65">
        <f t="shared" si="2"/>
        <v>1075.52</v>
      </c>
      <c r="U837" s="65">
        <f t="shared" si="3"/>
        <v>7797.52</v>
      </c>
      <c r="V837" s="66">
        <f t="shared" si="4"/>
        <v>0.04998437988</v>
      </c>
      <c r="W837" s="67">
        <f t="shared" si="5"/>
        <v>6385.9</v>
      </c>
      <c r="X837" s="67">
        <f t="shared" si="6"/>
        <v>1021.744</v>
      </c>
      <c r="Y837" s="67">
        <f t="shared" si="7"/>
        <v>7407.644</v>
      </c>
      <c r="Z837" s="67">
        <f t="shared" si="8"/>
        <v>6049.8</v>
      </c>
      <c r="AA837" s="67">
        <f t="shared" si="9"/>
        <v>967.968</v>
      </c>
      <c r="AB837" s="67">
        <f t="shared" si="10"/>
        <v>7017.768</v>
      </c>
      <c r="AC837" s="67">
        <f t="shared" si="11"/>
        <v>5713.7</v>
      </c>
      <c r="AD837" s="67">
        <f t="shared" si="12"/>
        <v>914.192</v>
      </c>
      <c r="AE837" s="67">
        <f t="shared" si="13"/>
        <v>6627.892</v>
      </c>
      <c r="AF837" s="67">
        <f t="shared" si="33"/>
        <v>5579.26</v>
      </c>
      <c r="AG837" s="67">
        <f t="shared" si="15"/>
        <v>892.6816</v>
      </c>
      <c r="AH837" s="67">
        <f t="shared" si="16"/>
        <v>6471.9416</v>
      </c>
      <c r="AI837" s="67">
        <f t="shared" si="17"/>
        <v>5377.6</v>
      </c>
      <c r="AJ837" s="68">
        <f t="shared" si="31"/>
        <v>860.416</v>
      </c>
      <c r="AK837" s="68">
        <f t="shared" si="32"/>
        <v>6238.016</v>
      </c>
      <c r="AL837" s="70">
        <f>IFERROR(__xludf.DUMMYFUNCTION("""COMPUTED_VALUE"""),1.0)</f>
        <v>1</v>
      </c>
      <c r="AM837" s="70">
        <f>IFERROR(__xludf.DUMMYFUNCTION("""COMPUTED_VALUE"""),3.0)</f>
        <v>3</v>
      </c>
      <c r="AN837" s="71" t="str">
        <f>IFERROR(__xludf.DUMMYFUNCTION("""COMPUTED_VALUE""")," C")</f>
        <v>C</v>
      </c>
      <c r="AO837" s="71" t="str">
        <f>IFERROR(__xludf.DUMMYFUNCTION("""COMPUTED_VALUE""")," MO11")</f>
        <v>MO11</v>
      </c>
      <c r="AP837" s="71" t="str">
        <f>IFERROR(__xludf.DUMMYFUNCTION("""COMPUTED_VALUE""")," PZA")</f>
        <v>PZA</v>
      </c>
      <c r="AQ837" s="71" t="str">
        <f>IFERROR(__xludf.DUMMYFUNCTION("""COMPUTED_VALUE""")," REF")</f>
        <v>REF</v>
      </c>
      <c r="AR837" s="71" t="str">
        <f>IFERROR(__xludf.DUMMYFUNCTION("""COMPUTED_VALUE""")," MOTOR TRIFÁSICO 3 HP ")</f>
        <v>MOTOR TRIFÁSICO 3 HP </v>
      </c>
      <c r="AS837" s="71" t="str">
        <f>IFERROR(__xludf.DUMMYFUNCTION("""COMPUTED_VALUE""")," MOTOR TRIFASICO 3 HP ")</f>
        <v>MOTOR TRIFASICO 3 HP </v>
      </c>
      <c r="AT837" s="71">
        <f>IFERROR(__xludf.DUMMYFUNCTION("""COMPUTED_VALUE"""),21.0)</f>
        <v>21</v>
      </c>
      <c r="AU837" s="71"/>
      <c r="AV837" s="71"/>
      <c r="AW837" s="71" t="str">
        <f>IFERROR(__xludf.DUMMYFUNCTION("""COMPUTED_VALUE""")," cambiar precio")</f>
        <v>cambiar precio</v>
      </c>
      <c r="AX837" s="71"/>
      <c r="AY837" s="71">
        <f>IFERROR(__xludf.DUMMYFUNCTION("""COMPUTED_VALUE"""),5937.0)</f>
        <v>5937</v>
      </c>
      <c r="AZ837" s="71">
        <f>IFERROR(__xludf.DUMMYFUNCTION("""COMPUTED_VALUE"""),8321.0)</f>
        <v>8321</v>
      </c>
      <c r="BA837" s="71">
        <f>IFERROR(__xludf.DUMMYFUNCTION("""COMPUTED_VALUE"""),8986.68)</f>
        <v>8986.68</v>
      </c>
      <c r="BB837" s="71">
        <f>IFERROR(__xludf.DUMMYFUNCTION("""COMPUTED_VALUE"""),8986.68)</f>
        <v>8986.68</v>
      </c>
      <c r="BC837" s="71">
        <f>IFERROR(__xludf.DUMMYFUNCTION("""COMPUTED_VALUE"""),9437.0)</f>
        <v>9437</v>
      </c>
      <c r="BD837" s="71">
        <f>IFERROR(__xludf.DUMMYFUNCTION("""COMPUTED_VALUE"""),15650.0)</f>
        <v>15650</v>
      </c>
      <c r="BE837" s="71">
        <f>IFERROR(__xludf.DUMMYFUNCTION("""COMPUTED_VALUE"""),2504.0)</f>
        <v>2504</v>
      </c>
      <c r="BF837" s="71">
        <f>IFERROR(__xludf.DUMMYFUNCTION("""COMPUTED_VALUE"""),18154.0)</f>
        <v>18154</v>
      </c>
      <c r="BG837" s="71">
        <f>IFERROR(__xludf.DUMMYFUNCTION("""COMPUTED_VALUE"""),0.658366006146021)</f>
        <v>0.6583660061</v>
      </c>
      <c r="BH837" s="71">
        <f>IFERROR(__xludf.DUMMYFUNCTION("""COMPUTED_VALUE"""),14867.5)</f>
        <v>14867.5</v>
      </c>
      <c r="BI837" s="71">
        <f>IFERROR(__xludf.DUMMYFUNCTION("""COMPUTED_VALUE"""),2378.8)</f>
        <v>2378.8</v>
      </c>
      <c r="BJ837" s="71">
        <f>IFERROR(__xludf.DUMMYFUNCTION("""COMPUTED_VALUE"""),17246.3)</f>
        <v>17246.3</v>
      </c>
      <c r="BK837" s="71">
        <f>IFERROR(__xludf.DUMMYFUNCTION("""COMPUTED_VALUE"""),14085.0)</f>
        <v>14085</v>
      </c>
      <c r="BL837" s="71">
        <f>IFERROR(__xludf.DUMMYFUNCTION("""COMPUTED_VALUE"""),2253.6)</f>
        <v>2253.6</v>
      </c>
      <c r="BM837" s="71">
        <f>IFERROR(__xludf.DUMMYFUNCTION("""COMPUTED_VALUE"""),16338.6)</f>
        <v>16338.6</v>
      </c>
      <c r="BN837" s="71">
        <f>IFERROR(__xludf.DUMMYFUNCTION("""COMPUTED_VALUE"""),14085.0)</f>
        <v>14085</v>
      </c>
      <c r="BO837" s="71">
        <f>IFERROR(__xludf.DUMMYFUNCTION("""COMPUTED_VALUE"""),2253.6)</f>
        <v>2253.6</v>
      </c>
      <c r="BP837" s="71">
        <f>IFERROR(__xludf.DUMMYFUNCTION("""COMPUTED_VALUE"""),16338.6)</f>
        <v>16338.6</v>
      </c>
      <c r="BQ837" s="71">
        <f>IFERROR(__xludf.DUMMYFUNCTION("""COMPUTED_VALUE"""),14085.0)</f>
        <v>14085</v>
      </c>
      <c r="BR837" s="71">
        <f>IFERROR(__xludf.DUMMYFUNCTION("""COMPUTED_VALUE"""),2253.6)</f>
        <v>2253.6</v>
      </c>
      <c r="BS837" s="71">
        <f>IFERROR(__xludf.DUMMYFUNCTION("""COMPUTED_VALUE"""),16338.6)</f>
        <v>16338.6</v>
      </c>
      <c r="BT837" s="71">
        <f>IFERROR(__xludf.DUMMYFUNCTION("""COMPUTED_VALUE"""),14085.0)</f>
        <v>14085</v>
      </c>
      <c r="BU837" s="71">
        <f>IFERROR(__xludf.DUMMYFUNCTION("""COMPUTED_VALUE"""),2253.6)</f>
        <v>2253.6</v>
      </c>
      <c r="BV837" s="71">
        <f>IFERROR(__xludf.DUMMYFUNCTION("""COMPUTED_VALUE"""),16338.6)</f>
        <v>16338.6</v>
      </c>
    </row>
    <row r="838">
      <c r="A838" s="53">
        <v>1.0</v>
      </c>
      <c r="B838" s="72"/>
      <c r="C838" s="73" t="s">
        <v>12</v>
      </c>
      <c r="D838" s="74" t="s">
        <v>2023</v>
      </c>
      <c r="E838" s="55" t="s">
        <v>38</v>
      </c>
      <c r="F838" s="54" t="s">
        <v>42</v>
      </c>
      <c r="G838" s="55" t="s">
        <v>2024</v>
      </c>
      <c r="H838" s="54" t="s">
        <v>2025</v>
      </c>
      <c r="I838" s="54">
        <f t="shared" si="24"/>
        <v>24</v>
      </c>
      <c r="J838" s="56"/>
      <c r="K838" s="75"/>
      <c r="L838" s="87"/>
      <c r="M838" s="59"/>
      <c r="N838" s="60">
        <v>776.0</v>
      </c>
      <c r="O838" s="61">
        <v>838.0</v>
      </c>
      <c r="P838" s="62">
        <v>905.0400000000001</v>
      </c>
      <c r="Q838" s="63">
        <v>905.0400000000001</v>
      </c>
      <c r="R838" s="64">
        <v>1008.0</v>
      </c>
      <c r="S838" s="111">
        <v>1058.0</v>
      </c>
      <c r="T838" s="65">
        <f t="shared" si="2"/>
        <v>169.28</v>
      </c>
      <c r="U838" s="65">
        <f t="shared" si="3"/>
        <v>1227.28</v>
      </c>
      <c r="V838" s="66">
        <f t="shared" si="4"/>
        <v>0.0496031746</v>
      </c>
      <c r="W838" s="67">
        <f t="shared" si="5"/>
        <v>1005.1</v>
      </c>
      <c r="X838" s="67">
        <f t="shared" si="6"/>
        <v>160.816</v>
      </c>
      <c r="Y838" s="67">
        <f t="shared" si="7"/>
        <v>1165.916</v>
      </c>
      <c r="Z838" s="67">
        <f t="shared" si="8"/>
        <v>952.2</v>
      </c>
      <c r="AA838" s="67">
        <f t="shared" si="9"/>
        <v>152.352</v>
      </c>
      <c r="AB838" s="67">
        <f t="shared" si="10"/>
        <v>1104.552</v>
      </c>
      <c r="AC838" s="67">
        <f t="shared" si="11"/>
        <v>899.3</v>
      </c>
      <c r="AD838" s="67">
        <f t="shared" si="12"/>
        <v>143.888</v>
      </c>
      <c r="AE838" s="67">
        <f t="shared" si="13"/>
        <v>1043.188</v>
      </c>
      <c r="AF838" s="67">
        <f t="shared" si="33"/>
        <v>878.14</v>
      </c>
      <c r="AG838" s="67">
        <f t="shared" si="15"/>
        <v>140.5024</v>
      </c>
      <c r="AH838" s="67">
        <f t="shared" si="16"/>
        <v>1018.6424</v>
      </c>
      <c r="AI838" s="67">
        <f t="shared" si="17"/>
        <v>846.4</v>
      </c>
      <c r="AJ838" s="68">
        <f t="shared" si="31"/>
        <v>135.424</v>
      </c>
      <c r="AK838" s="68">
        <f t="shared" si="32"/>
        <v>981.824</v>
      </c>
      <c r="AL838" s="70">
        <f>IFERROR(__xludf.DUMMYFUNCTION("""COMPUTED_VALUE"""),1.0)</f>
        <v>1</v>
      </c>
      <c r="AM838" s="70">
        <f>IFERROR(__xludf.DUMMYFUNCTION("""COMPUTED_VALUE"""),3.0)</f>
        <v>3</v>
      </c>
      <c r="AN838" s="71" t="str">
        <f>IFERROR(__xludf.DUMMYFUNCTION("""COMPUTED_VALUE""")," C")</f>
        <v>C</v>
      </c>
      <c r="AO838" s="71" t="str">
        <f>IFERROR(__xludf.DUMMYFUNCTION("""COMPUTED_VALUE""")," MO12")</f>
        <v>MO12</v>
      </c>
      <c r="AP838" s="71" t="str">
        <f>IFERROR(__xludf.DUMMYFUNCTION("""COMPUTED_VALUE""")," PZA")</f>
        <v>PZA</v>
      </c>
      <c r="AQ838" s="71" t="str">
        <f>IFERROR(__xludf.DUMMYFUNCTION("""COMPUTED_VALUE""")," REF")</f>
        <v>REF</v>
      </c>
      <c r="AR838" s="71" t="str">
        <f>IFERROR(__xludf.DUMMYFUNCTION("""COMPUTED_VALUE""")," MOTOR TRIFÁSICO 5 HP ")</f>
        <v>MOTOR TRIFÁSICO 5 HP </v>
      </c>
      <c r="AS838" s="71" t="str">
        <f>IFERROR(__xludf.DUMMYFUNCTION("""COMPUTED_VALUE""")," MOTOR TRIFASICO 5 HP ")</f>
        <v>MOTOR TRIFASICO 5 HP </v>
      </c>
      <c r="AT838" s="71">
        <f>IFERROR(__xludf.DUMMYFUNCTION("""COMPUTED_VALUE"""),21.0)</f>
        <v>21</v>
      </c>
      <c r="AU838" s="71"/>
      <c r="AV838" s="71"/>
      <c r="AW838" s="71" t="str">
        <f>IFERROR(__xludf.DUMMYFUNCTION("""COMPUTED_VALUE""")," cambiar precio")</f>
        <v>cambiar precio</v>
      </c>
      <c r="AX838" s="71"/>
      <c r="AY838" s="71">
        <f>IFERROR(__xludf.DUMMYFUNCTION("""COMPUTED_VALUE"""),6342.0)</f>
        <v>6342</v>
      </c>
      <c r="AZ838" s="71">
        <f>IFERROR(__xludf.DUMMYFUNCTION("""COMPUTED_VALUE"""),8888.0)</f>
        <v>8888</v>
      </c>
      <c r="BA838" s="71">
        <f>IFERROR(__xludf.DUMMYFUNCTION("""COMPUTED_VALUE"""),9599.04)</f>
        <v>9599.04</v>
      </c>
      <c r="BB838" s="71">
        <f>IFERROR(__xludf.DUMMYFUNCTION("""COMPUTED_VALUE"""),9599.04)</f>
        <v>9599.04</v>
      </c>
      <c r="BC838" s="71">
        <f>IFERROR(__xludf.DUMMYFUNCTION("""COMPUTED_VALUE"""),10079.0)</f>
        <v>10079</v>
      </c>
      <c r="BD838" s="71">
        <f>IFERROR(__xludf.DUMMYFUNCTION("""COMPUTED_VALUE"""),12000.0)</f>
        <v>12000</v>
      </c>
      <c r="BE838" s="71">
        <f>IFERROR(__xludf.DUMMYFUNCTION("""COMPUTED_VALUE"""),1920.0)</f>
        <v>1920</v>
      </c>
      <c r="BF838" s="71">
        <f>IFERROR(__xludf.DUMMYFUNCTION("""COMPUTED_VALUE"""),13920.0)</f>
        <v>13920</v>
      </c>
      <c r="BG838" s="71">
        <f>IFERROR(__xludf.DUMMYFUNCTION("""COMPUTED_VALUE"""),0.19059430499057445)</f>
        <v>0.190594305</v>
      </c>
      <c r="BH838" s="71">
        <f>IFERROR(__xludf.DUMMYFUNCTION("""COMPUTED_VALUE"""),11400.0)</f>
        <v>11400</v>
      </c>
      <c r="BI838" s="71">
        <f>IFERROR(__xludf.DUMMYFUNCTION("""COMPUTED_VALUE"""),1824.0)</f>
        <v>1824</v>
      </c>
      <c r="BJ838" s="71">
        <f>IFERROR(__xludf.DUMMYFUNCTION("""COMPUTED_VALUE"""),13224.0)</f>
        <v>13224</v>
      </c>
      <c r="BK838" s="71">
        <f>IFERROR(__xludf.DUMMYFUNCTION("""COMPUTED_VALUE"""),10800.0)</f>
        <v>10800</v>
      </c>
      <c r="BL838" s="71">
        <f>IFERROR(__xludf.DUMMYFUNCTION("""COMPUTED_VALUE"""),1728.0)</f>
        <v>1728</v>
      </c>
      <c r="BM838" s="71">
        <f>IFERROR(__xludf.DUMMYFUNCTION("""COMPUTED_VALUE"""),12528.0)</f>
        <v>12528</v>
      </c>
      <c r="BN838" s="71">
        <f>IFERROR(__xludf.DUMMYFUNCTION("""COMPUTED_VALUE"""),10800.0)</f>
        <v>10800</v>
      </c>
      <c r="BO838" s="71">
        <f>IFERROR(__xludf.DUMMYFUNCTION("""COMPUTED_VALUE"""),1728.0)</f>
        <v>1728</v>
      </c>
      <c r="BP838" s="71">
        <f>IFERROR(__xludf.DUMMYFUNCTION("""COMPUTED_VALUE"""),12528.0)</f>
        <v>12528</v>
      </c>
      <c r="BQ838" s="71">
        <f>IFERROR(__xludf.DUMMYFUNCTION("""COMPUTED_VALUE"""),10800.0)</f>
        <v>10800</v>
      </c>
      <c r="BR838" s="71">
        <f>IFERROR(__xludf.DUMMYFUNCTION("""COMPUTED_VALUE"""),1728.0)</f>
        <v>1728</v>
      </c>
      <c r="BS838" s="71">
        <f>IFERROR(__xludf.DUMMYFUNCTION("""COMPUTED_VALUE"""),12528.0)</f>
        <v>12528</v>
      </c>
      <c r="BT838" s="71">
        <f>IFERROR(__xludf.DUMMYFUNCTION("""COMPUTED_VALUE"""),10800.0)</f>
        <v>10800</v>
      </c>
      <c r="BU838" s="71">
        <f>IFERROR(__xludf.DUMMYFUNCTION("""COMPUTED_VALUE"""),1728.0)</f>
        <v>1728</v>
      </c>
      <c r="BV838" s="71">
        <f>IFERROR(__xludf.DUMMYFUNCTION("""COMPUTED_VALUE"""),12528.0)</f>
        <v>12528</v>
      </c>
    </row>
    <row r="839">
      <c r="A839" s="53">
        <v>1.0</v>
      </c>
      <c r="B839" s="72"/>
      <c r="C839" s="73" t="s">
        <v>12</v>
      </c>
      <c r="D839" s="74" t="s">
        <v>2026</v>
      </c>
      <c r="E839" s="54" t="s">
        <v>38</v>
      </c>
      <c r="F839" s="54" t="s">
        <v>42</v>
      </c>
      <c r="G839" s="55" t="s">
        <v>2027</v>
      </c>
      <c r="H839" s="54" t="s">
        <v>2028</v>
      </c>
      <c r="I839" s="54">
        <f t="shared" si="24"/>
        <v>25</v>
      </c>
      <c r="J839" s="56"/>
      <c r="K839" s="75"/>
      <c r="L839" s="87"/>
      <c r="M839" s="59"/>
      <c r="N839" s="60">
        <v>73.0</v>
      </c>
      <c r="O839" s="61">
        <v>82.0</v>
      </c>
      <c r="P839" s="62">
        <v>88.56</v>
      </c>
      <c r="Q839" s="63">
        <v>88.56</v>
      </c>
      <c r="R839" s="64">
        <v>99.0</v>
      </c>
      <c r="S839" s="111">
        <v>104.0</v>
      </c>
      <c r="T839" s="65">
        <f t="shared" si="2"/>
        <v>16.64</v>
      </c>
      <c r="U839" s="65">
        <f t="shared" si="3"/>
        <v>120.64</v>
      </c>
      <c r="V839" s="66">
        <f t="shared" si="4"/>
        <v>0.05050505051</v>
      </c>
      <c r="W839" s="67">
        <f t="shared" si="5"/>
        <v>98.8</v>
      </c>
      <c r="X839" s="67">
        <f t="shared" si="6"/>
        <v>15.808</v>
      </c>
      <c r="Y839" s="67">
        <f t="shared" si="7"/>
        <v>114.608</v>
      </c>
      <c r="Z839" s="67">
        <f t="shared" si="8"/>
        <v>93.6</v>
      </c>
      <c r="AA839" s="67">
        <f t="shared" si="9"/>
        <v>14.976</v>
      </c>
      <c r="AB839" s="67">
        <f t="shared" si="10"/>
        <v>108.576</v>
      </c>
      <c r="AC839" s="67">
        <f t="shared" si="11"/>
        <v>88.4</v>
      </c>
      <c r="AD839" s="67">
        <f t="shared" si="12"/>
        <v>14.144</v>
      </c>
      <c r="AE839" s="67">
        <f t="shared" si="13"/>
        <v>102.544</v>
      </c>
      <c r="AF839" s="67">
        <f t="shared" si="33"/>
        <v>86.32</v>
      </c>
      <c r="AG839" s="67">
        <f t="shared" si="15"/>
        <v>13.8112</v>
      </c>
      <c r="AH839" s="67">
        <f t="shared" si="16"/>
        <v>100.1312</v>
      </c>
      <c r="AI839" s="67">
        <f t="shared" si="17"/>
        <v>83.2</v>
      </c>
      <c r="AJ839" s="68">
        <f t="shared" si="31"/>
        <v>13.312</v>
      </c>
      <c r="AK839" s="68">
        <f t="shared" si="32"/>
        <v>96.512</v>
      </c>
      <c r="AL839" s="70">
        <f>IFERROR(__xludf.DUMMYFUNCTION("""COMPUTED_VALUE"""),1.0)</f>
        <v>1</v>
      </c>
      <c r="AM839" s="70">
        <f>IFERROR(__xludf.DUMMYFUNCTION("""COMPUTED_VALUE"""),3.0)</f>
        <v>3</v>
      </c>
      <c r="AN839" s="71" t="str">
        <f>IFERROR(__xludf.DUMMYFUNCTION("""COMPUTED_VALUE""")," C")</f>
        <v>C</v>
      </c>
      <c r="AO839" s="71" t="str">
        <f>IFERROR(__xludf.DUMMYFUNCTION("""COMPUTED_VALUE""")," MO13")</f>
        <v>MO13</v>
      </c>
      <c r="AP839" s="71" t="str">
        <f>IFERROR(__xludf.DUMMYFUNCTION("""COMPUTED_VALUE""")," PZA")</f>
        <v>PZA</v>
      </c>
      <c r="AQ839" s="71" t="str">
        <f>IFERROR(__xludf.DUMMYFUNCTION("""COMPUTED_VALUE""")," REF")</f>
        <v>REF</v>
      </c>
      <c r="AR839" s="71" t="str">
        <f>IFERROR(__xludf.DUMMYFUNCTION("""COMPUTED_VALUE""")," MOTOR TRIFÁSICO 7.5 HP ")</f>
        <v>MOTOR TRIFÁSICO 7.5 HP </v>
      </c>
      <c r="AS839" s="71" t="str">
        <f>IFERROR(__xludf.DUMMYFUNCTION("""COMPUTED_VALUE""")," MOTOR TRIFASICO 7.5 HP ")</f>
        <v>MOTOR TRIFASICO 7.5 HP </v>
      </c>
      <c r="AT839" s="71">
        <f>IFERROR(__xludf.DUMMYFUNCTION("""COMPUTED_VALUE"""),23.0)</f>
        <v>23</v>
      </c>
      <c r="AU839" s="71"/>
      <c r="AV839" s="71"/>
      <c r="AW839" s="71" t="str">
        <f>IFERROR(__xludf.DUMMYFUNCTION("""COMPUTED_VALUE""")," cambiar precio")</f>
        <v>cambiar precio</v>
      </c>
      <c r="AX839" s="71"/>
      <c r="AY839" s="71">
        <f>IFERROR(__xludf.DUMMYFUNCTION("""COMPUTED_VALUE"""),9625.0)</f>
        <v>9625</v>
      </c>
      <c r="AZ839" s="71">
        <f>IFERROR(__xludf.DUMMYFUNCTION("""COMPUTED_VALUE"""),13489.0)</f>
        <v>13489</v>
      </c>
      <c r="BA839" s="71">
        <f>IFERROR(__xludf.DUMMYFUNCTION("""COMPUTED_VALUE"""),14568.12)</f>
        <v>14568.12</v>
      </c>
      <c r="BB839" s="71">
        <f>IFERROR(__xludf.DUMMYFUNCTION("""COMPUTED_VALUE"""),14568.12)</f>
        <v>14568.12</v>
      </c>
      <c r="BC839" s="71">
        <f>IFERROR(__xludf.DUMMYFUNCTION("""COMPUTED_VALUE"""),15297.0)</f>
        <v>15297</v>
      </c>
      <c r="BD839" s="71">
        <f>IFERROR(__xludf.DUMMYFUNCTION("""COMPUTED_VALUE"""),15700.0)</f>
        <v>15700</v>
      </c>
      <c r="BE839" s="71">
        <f>IFERROR(__xludf.DUMMYFUNCTION("""COMPUTED_VALUE"""),2512.0)</f>
        <v>2512</v>
      </c>
      <c r="BF839" s="71">
        <f>IFERROR(__xludf.DUMMYFUNCTION("""COMPUTED_VALUE"""),18212.0)</f>
        <v>18212</v>
      </c>
      <c r="BG839" s="71">
        <f>IFERROR(__xludf.DUMMYFUNCTION("""COMPUTED_VALUE"""),0.026345034974177943)</f>
        <v>0.02634503497</v>
      </c>
      <c r="BH839" s="71">
        <f>IFERROR(__xludf.DUMMYFUNCTION("""COMPUTED_VALUE"""),14915.0)</f>
        <v>14915</v>
      </c>
      <c r="BI839" s="71">
        <f>IFERROR(__xludf.DUMMYFUNCTION("""COMPUTED_VALUE"""),2386.4)</f>
        <v>2386.4</v>
      </c>
      <c r="BJ839" s="71">
        <f>IFERROR(__xludf.DUMMYFUNCTION("""COMPUTED_VALUE"""),17301.4)</f>
        <v>17301.4</v>
      </c>
      <c r="BK839" s="71">
        <f>IFERROR(__xludf.DUMMYFUNCTION("""COMPUTED_VALUE"""),14130.0)</f>
        <v>14130</v>
      </c>
      <c r="BL839" s="71">
        <f>IFERROR(__xludf.DUMMYFUNCTION("""COMPUTED_VALUE"""),2260.8)</f>
        <v>2260.8</v>
      </c>
      <c r="BM839" s="71">
        <f>IFERROR(__xludf.DUMMYFUNCTION("""COMPUTED_VALUE"""),16390.8)</f>
        <v>16390.8</v>
      </c>
      <c r="BN839" s="71">
        <f>IFERROR(__xludf.DUMMYFUNCTION("""COMPUTED_VALUE"""),14130.0)</f>
        <v>14130</v>
      </c>
      <c r="BO839" s="71">
        <f>IFERROR(__xludf.DUMMYFUNCTION("""COMPUTED_VALUE"""),2260.8)</f>
        <v>2260.8</v>
      </c>
      <c r="BP839" s="71">
        <f>IFERROR(__xludf.DUMMYFUNCTION("""COMPUTED_VALUE"""),16390.8)</f>
        <v>16390.8</v>
      </c>
      <c r="BQ839" s="71">
        <f>IFERROR(__xludf.DUMMYFUNCTION("""COMPUTED_VALUE"""),14130.0)</f>
        <v>14130</v>
      </c>
      <c r="BR839" s="71">
        <f>IFERROR(__xludf.DUMMYFUNCTION("""COMPUTED_VALUE"""),2260.8)</f>
        <v>2260.8</v>
      </c>
      <c r="BS839" s="71">
        <f>IFERROR(__xludf.DUMMYFUNCTION("""COMPUTED_VALUE"""),16390.8)</f>
        <v>16390.8</v>
      </c>
      <c r="BT839" s="71">
        <f>IFERROR(__xludf.DUMMYFUNCTION("""COMPUTED_VALUE"""),14130.0)</f>
        <v>14130</v>
      </c>
      <c r="BU839" s="71">
        <f>IFERROR(__xludf.DUMMYFUNCTION("""COMPUTED_VALUE"""),2260.8)</f>
        <v>2260.8</v>
      </c>
      <c r="BV839" s="71">
        <f>IFERROR(__xludf.DUMMYFUNCTION("""COMPUTED_VALUE"""),16390.8)</f>
        <v>16390.8</v>
      </c>
    </row>
    <row r="840">
      <c r="A840" s="53">
        <v>1.0</v>
      </c>
      <c r="B840" s="72"/>
      <c r="C840" s="73" t="s">
        <v>12</v>
      </c>
      <c r="D840" s="74" t="s">
        <v>2029</v>
      </c>
      <c r="E840" s="54" t="s">
        <v>38</v>
      </c>
      <c r="F840" s="54" t="s">
        <v>42</v>
      </c>
      <c r="G840" s="55" t="s">
        <v>2030</v>
      </c>
      <c r="H840" s="54" t="s">
        <v>2031</v>
      </c>
      <c r="I840" s="54">
        <f t="shared" si="24"/>
        <v>32</v>
      </c>
      <c r="J840" s="56"/>
      <c r="K840" s="57"/>
      <c r="L840" s="87"/>
      <c r="M840" s="59"/>
      <c r="N840" s="60">
        <v>1705.0</v>
      </c>
      <c r="O840" s="61">
        <v>1841.0</v>
      </c>
      <c r="P840" s="62">
        <v>1988.2800000000002</v>
      </c>
      <c r="Q840" s="63">
        <v>1988.2800000000002</v>
      </c>
      <c r="R840" s="64">
        <v>2214.0</v>
      </c>
      <c r="S840" s="111">
        <v>2325.0</v>
      </c>
      <c r="T840" s="65">
        <f t="shared" si="2"/>
        <v>372</v>
      </c>
      <c r="U840" s="65">
        <f t="shared" si="3"/>
        <v>2697</v>
      </c>
      <c r="V840" s="66">
        <f t="shared" si="4"/>
        <v>0.05013550136</v>
      </c>
      <c r="W840" s="67">
        <f t="shared" si="5"/>
        <v>2208.75</v>
      </c>
      <c r="X840" s="67">
        <f t="shared" si="6"/>
        <v>353.4</v>
      </c>
      <c r="Y840" s="67">
        <f t="shared" si="7"/>
        <v>2562.15</v>
      </c>
      <c r="Z840" s="67">
        <f t="shared" si="8"/>
        <v>2092.5</v>
      </c>
      <c r="AA840" s="67">
        <f t="shared" si="9"/>
        <v>334.8</v>
      </c>
      <c r="AB840" s="67">
        <f t="shared" si="10"/>
        <v>2427.3</v>
      </c>
      <c r="AC840" s="67">
        <f t="shared" si="11"/>
        <v>1976.25</v>
      </c>
      <c r="AD840" s="67">
        <f t="shared" si="12"/>
        <v>316.2</v>
      </c>
      <c r="AE840" s="67">
        <f t="shared" si="13"/>
        <v>2292.45</v>
      </c>
      <c r="AF840" s="67">
        <f t="shared" si="33"/>
        <v>1929.75</v>
      </c>
      <c r="AG840" s="67">
        <f t="shared" si="15"/>
        <v>308.76</v>
      </c>
      <c r="AH840" s="67">
        <f t="shared" si="16"/>
        <v>2238.51</v>
      </c>
      <c r="AI840" s="67">
        <f t="shared" si="17"/>
        <v>1860</v>
      </c>
      <c r="AJ840" s="68">
        <f t="shared" si="31"/>
        <v>297.6</v>
      </c>
      <c r="AK840" s="68">
        <f t="shared" si="32"/>
        <v>2157.6</v>
      </c>
      <c r="AL840" s="70">
        <f>IFERROR(__xludf.DUMMYFUNCTION("""COMPUTED_VALUE"""),1.0)</f>
        <v>1</v>
      </c>
      <c r="AM840" s="70"/>
      <c r="AN840" s="71" t="str">
        <f>IFERROR(__xludf.DUMMYFUNCTION("""COMPUTED_VALUE""")," C")</f>
        <v>C</v>
      </c>
      <c r="AO840" s="71" t="str">
        <f>IFERROR(__xludf.DUMMYFUNCTION("""COMPUTED_VALUE""")," MO32")</f>
        <v>MO32</v>
      </c>
      <c r="AP840" s="71" t="str">
        <f>IFERROR(__xludf.DUMMYFUNCTION("""COMPUTED_VALUE""")," PZA")</f>
        <v>PZA</v>
      </c>
      <c r="AQ840" s="71" t="str">
        <f>IFERROR(__xludf.DUMMYFUNCTION("""COMPUTED_VALUE""")," REF")</f>
        <v>REF</v>
      </c>
      <c r="AR840" s="71" t="str">
        <f>IFERROR(__xludf.DUMMYFUNCTION("""COMPUTED_VALUE""")," MOTORREDUCTOR /VARIADOR 200W,110V FLEC 19MM")</f>
        <v>MOTORREDUCTOR /VARIADOR 200W,110V FLEC 19MM</v>
      </c>
      <c r="AS840" s="71" t="str">
        <f>IFERROR(__xludf.DUMMYFUNCTION("""COMPUTED_VALUE""")," MOTORREDUCTOR /VAR 200W,110V FLEC 19MM")</f>
        <v>MOTORREDUCTOR /VAR 200W,110V FLEC 19MM</v>
      </c>
      <c r="AT840" s="71">
        <f>IFERROR(__xludf.DUMMYFUNCTION("""COMPUTED_VALUE"""),38.0)</f>
        <v>38</v>
      </c>
      <c r="AU840" s="71"/>
      <c r="AV840" s="71"/>
      <c r="AW840" s="71"/>
      <c r="AX840" s="71"/>
      <c r="AY840" s="71"/>
      <c r="AZ840" s="71"/>
      <c r="BA840" s="71"/>
      <c r="BB840" s="71"/>
      <c r="BC840" s="71"/>
      <c r="BD840" s="71">
        <f>IFERROR(__xludf.DUMMYFUNCTION("""COMPUTED_VALUE"""),4500.0)</f>
        <v>4500</v>
      </c>
      <c r="BE840" s="71">
        <f>IFERROR(__xludf.DUMMYFUNCTION("""COMPUTED_VALUE"""),720.0)</f>
        <v>720</v>
      </c>
      <c r="BF840" s="71">
        <f>IFERROR(__xludf.DUMMYFUNCTION("""COMPUTED_VALUE"""),5220.0)</f>
        <v>5220</v>
      </c>
      <c r="BG840" s="71" t="str">
        <f>IFERROR(__xludf.DUMMYFUNCTION("""COMPUTED_VALUE"""),"#DIV/0!")</f>
        <v>#DIV/0!</v>
      </c>
      <c r="BH840" s="71">
        <f>IFERROR(__xludf.DUMMYFUNCTION("""COMPUTED_VALUE"""),4275.0)</f>
        <v>4275</v>
      </c>
      <c r="BI840" s="71">
        <f>IFERROR(__xludf.DUMMYFUNCTION("""COMPUTED_VALUE"""),684.0)</f>
        <v>684</v>
      </c>
      <c r="BJ840" s="71">
        <f>IFERROR(__xludf.DUMMYFUNCTION("""COMPUTED_VALUE"""),4959.0)</f>
        <v>4959</v>
      </c>
      <c r="BK840" s="71">
        <f>IFERROR(__xludf.DUMMYFUNCTION("""COMPUTED_VALUE"""),4050.0)</f>
        <v>4050</v>
      </c>
      <c r="BL840" s="71">
        <f>IFERROR(__xludf.DUMMYFUNCTION("""COMPUTED_VALUE"""),648.0)</f>
        <v>648</v>
      </c>
      <c r="BM840" s="71">
        <f>IFERROR(__xludf.DUMMYFUNCTION("""COMPUTED_VALUE"""),4698.0)</f>
        <v>4698</v>
      </c>
      <c r="BN840" s="71">
        <f>IFERROR(__xludf.DUMMYFUNCTION("""COMPUTED_VALUE"""),3825.0)</f>
        <v>3825</v>
      </c>
      <c r="BO840" s="71">
        <f>IFERROR(__xludf.DUMMYFUNCTION("""COMPUTED_VALUE"""),612.0)</f>
        <v>612</v>
      </c>
      <c r="BP840" s="71">
        <f>IFERROR(__xludf.DUMMYFUNCTION("""COMPUTED_VALUE"""),4437.0)</f>
        <v>4437</v>
      </c>
      <c r="BQ840" s="71">
        <f>IFERROR(__xludf.DUMMYFUNCTION("""COMPUTED_VALUE"""),3735.0)</f>
        <v>3735</v>
      </c>
      <c r="BR840" s="71">
        <f>IFERROR(__xludf.DUMMYFUNCTION("""COMPUTED_VALUE"""),597.6)</f>
        <v>597.6</v>
      </c>
      <c r="BS840" s="71">
        <f>IFERROR(__xludf.DUMMYFUNCTION("""COMPUTED_VALUE"""),4332.6)</f>
        <v>4332.6</v>
      </c>
      <c r="BT840" s="71">
        <f>IFERROR(__xludf.DUMMYFUNCTION("""COMPUTED_VALUE"""),3600.0)</f>
        <v>3600</v>
      </c>
      <c r="BU840" s="71">
        <f>IFERROR(__xludf.DUMMYFUNCTION("""COMPUTED_VALUE"""),576.0)</f>
        <v>576</v>
      </c>
      <c r="BV840" s="71">
        <f>IFERROR(__xludf.DUMMYFUNCTION("""COMPUTED_VALUE"""),4176.0)</f>
        <v>4176</v>
      </c>
    </row>
    <row r="841">
      <c r="A841" s="53">
        <v>1.0</v>
      </c>
      <c r="B841" s="72"/>
      <c r="C841" s="73" t="s">
        <v>12</v>
      </c>
      <c r="D841" s="74" t="s">
        <v>2032</v>
      </c>
      <c r="E841" s="54" t="s">
        <v>38</v>
      </c>
      <c r="F841" s="54" t="s">
        <v>42</v>
      </c>
      <c r="G841" s="55" t="s">
        <v>2033</v>
      </c>
      <c r="H841" s="54" t="s">
        <v>2034</v>
      </c>
      <c r="I841" s="54">
        <f t="shared" si="24"/>
        <v>25</v>
      </c>
      <c r="J841" s="56"/>
      <c r="K841" s="75"/>
      <c r="L841" s="87"/>
      <c r="M841" s="59"/>
      <c r="N841" s="60">
        <v>352.0</v>
      </c>
      <c r="O841" s="61">
        <v>380.0</v>
      </c>
      <c r="P841" s="62">
        <v>410.40000000000003</v>
      </c>
      <c r="Q841" s="63">
        <v>410.40000000000003</v>
      </c>
      <c r="R841" s="64">
        <v>458.0</v>
      </c>
      <c r="S841" s="111">
        <v>481.0</v>
      </c>
      <c r="T841" s="65">
        <f t="shared" si="2"/>
        <v>76.96</v>
      </c>
      <c r="U841" s="65">
        <f t="shared" si="3"/>
        <v>557.96</v>
      </c>
      <c r="V841" s="66">
        <f t="shared" si="4"/>
        <v>0.05021834061</v>
      </c>
      <c r="W841" s="67">
        <f t="shared" si="5"/>
        <v>456.95</v>
      </c>
      <c r="X841" s="67">
        <f t="shared" si="6"/>
        <v>73.112</v>
      </c>
      <c r="Y841" s="67">
        <f t="shared" si="7"/>
        <v>530.062</v>
      </c>
      <c r="Z841" s="67">
        <f t="shared" si="8"/>
        <v>432.9</v>
      </c>
      <c r="AA841" s="67">
        <f t="shared" si="9"/>
        <v>69.264</v>
      </c>
      <c r="AB841" s="67">
        <f t="shared" si="10"/>
        <v>502.164</v>
      </c>
      <c r="AC841" s="67">
        <f t="shared" si="11"/>
        <v>408.85</v>
      </c>
      <c r="AD841" s="67">
        <f t="shared" si="12"/>
        <v>65.416</v>
      </c>
      <c r="AE841" s="67">
        <f t="shared" si="13"/>
        <v>474.266</v>
      </c>
      <c r="AF841" s="67">
        <f t="shared" si="33"/>
        <v>399.23</v>
      </c>
      <c r="AG841" s="67">
        <f t="shared" si="15"/>
        <v>63.8768</v>
      </c>
      <c r="AH841" s="67">
        <f t="shared" si="16"/>
        <v>463.1068</v>
      </c>
      <c r="AI841" s="67">
        <f t="shared" si="17"/>
        <v>384.8</v>
      </c>
      <c r="AJ841" s="68">
        <f t="shared" si="31"/>
        <v>61.568</v>
      </c>
      <c r="AK841" s="68">
        <f t="shared" si="32"/>
        <v>446.368</v>
      </c>
      <c r="AL841" s="70">
        <f>IFERROR(__xludf.DUMMYFUNCTION("""COMPUTED_VALUE"""),1.0)</f>
        <v>1</v>
      </c>
      <c r="AM841" s="70"/>
      <c r="AN841" s="71" t="str">
        <f>IFERROR(__xludf.DUMMYFUNCTION("""COMPUTED_VALUE""")," C")</f>
        <v>C</v>
      </c>
      <c r="AO841" s="71" t="str">
        <f>IFERROR(__xludf.DUMMYFUNCTION("""COMPUTED_VALUE""")," MU01")</f>
        <v>MU01</v>
      </c>
      <c r="AP841" s="71" t="str">
        <f>IFERROR(__xludf.DUMMYFUNCTION("""COMPUTED_VALUE""")," PZA")</f>
        <v>PZA</v>
      </c>
      <c r="AQ841" s="71" t="str">
        <f>IFERROR(__xludf.DUMMYFUNCTION("""COMPUTED_VALUE""")," REF")</f>
        <v>REF</v>
      </c>
      <c r="AR841" s="71" t="str">
        <f>IFERROR(__xludf.DUMMYFUNCTION("""COMPUTED_VALUE""")," MUELLE PARA CARRO")</f>
        <v>MUELLE PARA CARRO</v>
      </c>
      <c r="AS841" s="71" t="str">
        <f>IFERROR(__xludf.DUMMYFUNCTION("""COMPUTED_VALUE""")," MUELLE PARA CARRO")</f>
        <v>MUELLE PARA CARRO</v>
      </c>
      <c r="AT841" s="71">
        <f>IFERROR(__xludf.DUMMYFUNCTION("""COMPUTED_VALUE"""),17.0)</f>
        <v>17</v>
      </c>
      <c r="AU841" s="71"/>
      <c r="AV841" s="71"/>
      <c r="AW841" s="71"/>
      <c r="AX841" s="71"/>
      <c r="AY841" s="71">
        <f>IFERROR(__xludf.DUMMYFUNCTION("""COMPUTED_VALUE"""),12.0)</f>
        <v>12</v>
      </c>
      <c r="AZ841" s="71">
        <f>IFERROR(__xludf.DUMMYFUNCTION("""COMPUTED_VALUE"""),12.0)</f>
        <v>12</v>
      </c>
      <c r="BA841" s="71">
        <f>IFERROR(__xludf.DUMMYFUNCTION("""COMPUTED_VALUE"""),12.96)</f>
        <v>12.96</v>
      </c>
      <c r="BB841" s="71">
        <f>IFERROR(__xludf.DUMMYFUNCTION("""COMPUTED_VALUE"""),12.96)</f>
        <v>12.96</v>
      </c>
      <c r="BC841" s="71">
        <f>IFERROR(__xludf.DUMMYFUNCTION("""COMPUTED_VALUE"""),15.0)</f>
        <v>15</v>
      </c>
      <c r="BD841" s="71">
        <f>IFERROR(__xludf.DUMMYFUNCTION("""COMPUTED_VALUE"""),15.75)</f>
        <v>15.75</v>
      </c>
      <c r="BE841" s="71">
        <f>IFERROR(__xludf.DUMMYFUNCTION("""COMPUTED_VALUE"""),2.52)</f>
        <v>2.52</v>
      </c>
      <c r="BF841" s="71">
        <f>IFERROR(__xludf.DUMMYFUNCTION("""COMPUTED_VALUE"""),18.27)</f>
        <v>18.27</v>
      </c>
      <c r="BG841" s="71">
        <f>IFERROR(__xludf.DUMMYFUNCTION("""COMPUTED_VALUE"""),0.05)</f>
        <v>0.05</v>
      </c>
      <c r="BH841" s="71">
        <f>IFERROR(__xludf.DUMMYFUNCTION("""COMPUTED_VALUE"""),14.962499999999999)</f>
        <v>14.9625</v>
      </c>
      <c r="BI841" s="71">
        <f>IFERROR(__xludf.DUMMYFUNCTION("""COMPUTED_VALUE"""),2.3939999999999997)</f>
        <v>2.394</v>
      </c>
      <c r="BJ841" s="71">
        <f>IFERROR(__xludf.DUMMYFUNCTION("""COMPUTED_VALUE"""),17.356499999999997)</f>
        <v>17.3565</v>
      </c>
      <c r="BK841" s="71">
        <f>IFERROR(__xludf.DUMMYFUNCTION("""COMPUTED_VALUE"""),14.175)</f>
        <v>14.175</v>
      </c>
      <c r="BL841" s="71">
        <f>IFERROR(__xludf.DUMMYFUNCTION("""COMPUTED_VALUE"""),2.2680000000000002)</f>
        <v>2.268</v>
      </c>
      <c r="BM841" s="71">
        <f>IFERROR(__xludf.DUMMYFUNCTION("""COMPUTED_VALUE"""),16.443)</f>
        <v>16.443</v>
      </c>
      <c r="BN841" s="71">
        <f>IFERROR(__xludf.DUMMYFUNCTION("""COMPUTED_VALUE"""),13.3875)</f>
        <v>13.3875</v>
      </c>
      <c r="BO841" s="71">
        <f>IFERROR(__xludf.DUMMYFUNCTION("""COMPUTED_VALUE"""),2.142)</f>
        <v>2.142</v>
      </c>
      <c r="BP841" s="71">
        <f>IFERROR(__xludf.DUMMYFUNCTION("""COMPUTED_VALUE"""),15.529499999999999)</f>
        <v>15.5295</v>
      </c>
      <c r="BQ841" s="71">
        <f>IFERROR(__xludf.DUMMYFUNCTION("""COMPUTED_VALUE"""),13.0725)</f>
        <v>13.0725</v>
      </c>
      <c r="BR841" s="71">
        <f>IFERROR(__xludf.DUMMYFUNCTION("""COMPUTED_VALUE"""),2.0916)</f>
        <v>2.0916</v>
      </c>
      <c r="BS841" s="71">
        <f>IFERROR(__xludf.DUMMYFUNCTION("""COMPUTED_VALUE"""),15.1641)</f>
        <v>15.1641</v>
      </c>
      <c r="BT841" s="71">
        <f>IFERROR(__xludf.DUMMYFUNCTION("""COMPUTED_VALUE"""),12.600000000000001)</f>
        <v>12.6</v>
      </c>
      <c r="BU841" s="71">
        <f>IFERROR(__xludf.DUMMYFUNCTION("""COMPUTED_VALUE"""),2.0160000000000005)</f>
        <v>2.016</v>
      </c>
      <c r="BV841" s="71">
        <f>IFERROR(__xludf.DUMMYFUNCTION("""COMPUTED_VALUE"""),14.616000000000001)</f>
        <v>14.616</v>
      </c>
    </row>
    <row r="842">
      <c r="A842" s="53"/>
      <c r="B842" s="53"/>
      <c r="C842" s="53" t="s">
        <v>12</v>
      </c>
      <c r="D842" s="53" t="s">
        <v>2035</v>
      </c>
      <c r="E842" s="54" t="s">
        <v>38</v>
      </c>
      <c r="F842" s="55" t="s">
        <v>39</v>
      </c>
      <c r="G842" s="55" t="s">
        <v>2036</v>
      </c>
      <c r="H842" s="55" t="s">
        <v>2037</v>
      </c>
      <c r="I842" s="54">
        <f t="shared" si="24"/>
        <v>29</v>
      </c>
      <c r="J842" s="56"/>
      <c r="K842" s="57"/>
      <c r="L842" s="76"/>
      <c r="M842" s="59"/>
      <c r="N842" s="60"/>
      <c r="O842" s="61">
        <v>952.0</v>
      </c>
      <c r="P842" s="62">
        <v>1028.16</v>
      </c>
      <c r="Q842" s="63">
        <v>1028.16</v>
      </c>
      <c r="R842" s="64">
        <v>1080.0</v>
      </c>
      <c r="S842" s="111">
        <v>1134.0</v>
      </c>
      <c r="T842" s="65">
        <f t="shared" si="2"/>
        <v>181.44</v>
      </c>
      <c r="U842" s="65">
        <f t="shared" si="3"/>
        <v>1315.44</v>
      </c>
      <c r="V842" s="66">
        <f t="shared" si="4"/>
        <v>0.05</v>
      </c>
      <c r="W842" s="67">
        <f t="shared" si="5"/>
        <v>1077.3</v>
      </c>
      <c r="X842" s="67">
        <f t="shared" si="6"/>
        <v>172.368</v>
      </c>
      <c r="Y842" s="67">
        <f t="shared" si="7"/>
        <v>1249.668</v>
      </c>
      <c r="Z842" s="67">
        <f t="shared" si="8"/>
        <v>1020.6</v>
      </c>
      <c r="AA842" s="67">
        <f t="shared" si="9"/>
        <v>163.296</v>
      </c>
      <c r="AB842" s="67">
        <f t="shared" si="10"/>
        <v>1183.896</v>
      </c>
      <c r="AC842" s="67">
        <f t="shared" si="11"/>
        <v>963.9</v>
      </c>
      <c r="AD842" s="67">
        <f t="shared" si="12"/>
        <v>154.224</v>
      </c>
      <c r="AE842" s="67">
        <f t="shared" si="13"/>
        <v>1118.124</v>
      </c>
      <c r="AF842" s="67">
        <f t="shared" si="33"/>
        <v>941.22</v>
      </c>
      <c r="AG842" s="67">
        <f t="shared" si="15"/>
        <v>150.5952</v>
      </c>
      <c r="AH842" s="67">
        <f t="shared" si="16"/>
        <v>1091.8152</v>
      </c>
      <c r="AI842" s="67">
        <f t="shared" si="17"/>
        <v>907.2</v>
      </c>
      <c r="AJ842" s="68">
        <f t="shared" si="31"/>
        <v>145.152</v>
      </c>
      <c r="AK842" s="68">
        <f t="shared" si="32"/>
        <v>1052.352</v>
      </c>
      <c r="AL842" s="70">
        <f>IFERROR(__xludf.DUMMYFUNCTION("""COMPUTED_VALUE"""),1.0)</f>
        <v>1</v>
      </c>
      <c r="AM842" s="70"/>
      <c r="AN842" s="71" t="str">
        <f>IFERROR(__xludf.DUMMYFUNCTION("""COMPUTED_VALUE""")," C")</f>
        <v>C</v>
      </c>
      <c r="AO842" s="71" t="str">
        <f>IFERROR(__xludf.DUMMYFUNCTION("""COMPUTED_VALUE""")," OP01")</f>
        <v>OP01</v>
      </c>
      <c r="AP842" s="71" t="str">
        <f>IFERROR(__xludf.DUMMYFUNCTION("""COMPUTED_VALUE""")," PZA")</f>
        <v>PZA</v>
      </c>
      <c r="AQ842" s="71" t="str">
        <f>IFERROR(__xludf.DUMMYFUNCTION("""COMPUTED_VALUE""")," REF")</f>
        <v>REF</v>
      </c>
      <c r="AR842" s="71" t="str">
        <f>IFERROR(__xludf.DUMMYFUNCTION("""COMPUTED_VALUE""")," OPRESOR ALLEN 1/4X5/16")</f>
        <v>OPRESOR ALLEN 1/4X5/16</v>
      </c>
      <c r="AS842" s="71" t="str">
        <f>IFERROR(__xludf.DUMMYFUNCTION("""COMPUTED_VALUE""")," OPRESOR ALLEN 1/4X5/16")</f>
        <v>OPRESOR ALLEN 1/4X5/16</v>
      </c>
      <c r="AT842" s="71">
        <f>IFERROR(__xludf.DUMMYFUNCTION("""COMPUTED_VALUE"""),22.0)</f>
        <v>22</v>
      </c>
      <c r="AU842" s="71"/>
      <c r="AV842" s="71"/>
      <c r="AW842" s="71"/>
      <c r="AX842" s="71"/>
      <c r="AY842" s="71">
        <f>IFERROR(__xludf.DUMMYFUNCTION("""COMPUTED_VALUE"""),5.0)</f>
        <v>5</v>
      </c>
      <c r="AZ842" s="71">
        <f>IFERROR(__xludf.DUMMYFUNCTION("""COMPUTED_VALUE"""),5.0)</f>
        <v>5</v>
      </c>
      <c r="BA842" s="71">
        <f>IFERROR(__xludf.DUMMYFUNCTION("""COMPUTED_VALUE"""),5.4)</f>
        <v>5.4</v>
      </c>
      <c r="BB842" s="71">
        <f>IFERROR(__xludf.DUMMYFUNCTION("""COMPUTED_VALUE"""),5.4)</f>
        <v>5.4</v>
      </c>
      <c r="BC842" s="71">
        <f>IFERROR(__xludf.DUMMYFUNCTION("""COMPUTED_VALUE"""),6.0)</f>
        <v>6</v>
      </c>
      <c r="BD842" s="71">
        <f>IFERROR(__xludf.DUMMYFUNCTION("""COMPUTED_VALUE"""),6.300000000000001)</f>
        <v>6.3</v>
      </c>
      <c r="BE842" s="71">
        <f>IFERROR(__xludf.DUMMYFUNCTION("""COMPUTED_VALUE"""),1.0080000000000002)</f>
        <v>1.008</v>
      </c>
      <c r="BF842" s="71">
        <f>IFERROR(__xludf.DUMMYFUNCTION("""COMPUTED_VALUE"""),7.308000000000001)</f>
        <v>7.308</v>
      </c>
      <c r="BG842" s="71">
        <f>IFERROR(__xludf.DUMMYFUNCTION("""COMPUTED_VALUE"""),0.05000000000000012)</f>
        <v>0.05</v>
      </c>
      <c r="BH842" s="71">
        <f>IFERROR(__xludf.DUMMYFUNCTION("""COMPUTED_VALUE"""),5.985)</f>
        <v>5.985</v>
      </c>
      <c r="BI842" s="71">
        <f>IFERROR(__xludf.DUMMYFUNCTION("""COMPUTED_VALUE"""),0.9576000000000001)</f>
        <v>0.9576</v>
      </c>
      <c r="BJ842" s="71">
        <f>IFERROR(__xludf.DUMMYFUNCTION("""COMPUTED_VALUE"""),6.9426000000000005)</f>
        <v>6.9426</v>
      </c>
      <c r="BK842" s="71">
        <f>IFERROR(__xludf.DUMMYFUNCTION("""COMPUTED_VALUE"""),5.670000000000001)</f>
        <v>5.67</v>
      </c>
      <c r="BL842" s="71">
        <f>IFERROR(__xludf.DUMMYFUNCTION("""COMPUTED_VALUE"""),0.9072000000000001)</f>
        <v>0.9072</v>
      </c>
      <c r="BM842" s="71">
        <f>IFERROR(__xludf.DUMMYFUNCTION("""COMPUTED_VALUE"""),6.577200000000001)</f>
        <v>6.5772</v>
      </c>
      <c r="BN842" s="71">
        <f>IFERROR(__xludf.DUMMYFUNCTION("""COMPUTED_VALUE"""),5.355)</f>
        <v>5.355</v>
      </c>
      <c r="BO842" s="71">
        <f>IFERROR(__xludf.DUMMYFUNCTION("""COMPUTED_VALUE"""),0.8568000000000001)</f>
        <v>0.8568</v>
      </c>
      <c r="BP842" s="71">
        <f>IFERROR(__xludf.DUMMYFUNCTION("""COMPUTED_VALUE"""),6.2118)</f>
        <v>6.2118</v>
      </c>
      <c r="BQ842" s="71">
        <f>IFERROR(__xludf.DUMMYFUNCTION("""COMPUTED_VALUE"""),5.229)</f>
        <v>5.229</v>
      </c>
      <c r="BR842" s="71">
        <f>IFERROR(__xludf.DUMMYFUNCTION("""COMPUTED_VALUE"""),0.83664)</f>
        <v>0.83664</v>
      </c>
      <c r="BS842" s="71">
        <f>IFERROR(__xludf.DUMMYFUNCTION("""COMPUTED_VALUE"""),6.06564)</f>
        <v>6.06564</v>
      </c>
      <c r="BT842" s="71">
        <f>IFERROR(__xludf.DUMMYFUNCTION("""COMPUTED_VALUE"""),5.040000000000001)</f>
        <v>5.04</v>
      </c>
      <c r="BU842" s="71">
        <f>IFERROR(__xludf.DUMMYFUNCTION("""COMPUTED_VALUE"""),0.8064000000000001)</f>
        <v>0.8064</v>
      </c>
      <c r="BV842" s="71">
        <f>IFERROR(__xludf.DUMMYFUNCTION("""COMPUTED_VALUE"""),5.846400000000001)</f>
        <v>5.8464</v>
      </c>
    </row>
    <row r="843">
      <c r="A843" s="53"/>
      <c r="B843" s="53"/>
      <c r="C843" s="73" t="s">
        <v>12</v>
      </c>
      <c r="D843" s="53" t="s">
        <v>2038</v>
      </c>
      <c r="E843" s="54" t="s">
        <v>38</v>
      </c>
      <c r="F843" s="54" t="s">
        <v>42</v>
      </c>
      <c r="G843" s="55" t="s">
        <v>2039</v>
      </c>
      <c r="H843" s="54" t="s">
        <v>2040</v>
      </c>
      <c r="I843" s="54">
        <f t="shared" si="24"/>
        <v>30</v>
      </c>
      <c r="J843" s="56"/>
      <c r="K843" s="57"/>
      <c r="L843" s="77"/>
      <c r="M843" s="59"/>
      <c r="N843" s="79">
        <v>448.0</v>
      </c>
      <c r="O843" s="61">
        <v>483.0</v>
      </c>
      <c r="P843" s="63">
        <v>521.64</v>
      </c>
      <c r="Q843" s="63">
        <v>521.64</v>
      </c>
      <c r="R843" s="64">
        <v>549.0</v>
      </c>
      <c r="S843" s="111">
        <v>576.0</v>
      </c>
      <c r="T843" s="65">
        <f t="shared" si="2"/>
        <v>92.16</v>
      </c>
      <c r="U843" s="65">
        <f t="shared" si="3"/>
        <v>668.16</v>
      </c>
      <c r="V843" s="66">
        <f t="shared" si="4"/>
        <v>0.04918032787</v>
      </c>
      <c r="W843" s="67">
        <f t="shared" si="5"/>
        <v>547.2</v>
      </c>
      <c r="X843" s="67">
        <f t="shared" si="6"/>
        <v>87.552</v>
      </c>
      <c r="Y843" s="67">
        <f t="shared" si="7"/>
        <v>634.752</v>
      </c>
      <c r="Z843" s="67">
        <f t="shared" si="8"/>
        <v>518.4</v>
      </c>
      <c r="AA843" s="67">
        <f t="shared" si="9"/>
        <v>82.944</v>
      </c>
      <c r="AB843" s="67">
        <f t="shared" si="10"/>
        <v>601.344</v>
      </c>
      <c r="AC843" s="67">
        <f t="shared" si="11"/>
        <v>489.6</v>
      </c>
      <c r="AD843" s="67">
        <f t="shared" si="12"/>
        <v>78.336</v>
      </c>
      <c r="AE843" s="67">
        <f t="shared" si="13"/>
        <v>567.936</v>
      </c>
      <c r="AF843" s="67">
        <f t="shared" si="33"/>
        <v>478.08</v>
      </c>
      <c r="AG843" s="67">
        <f t="shared" si="15"/>
        <v>76.4928</v>
      </c>
      <c r="AH843" s="67">
        <f t="shared" si="16"/>
        <v>554.5728</v>
      </c>
      <c r="AI843" s="67">
        <f t="shared" si="17"/>
        <v>460.8</v>
      </c>
      <c r="AJ843" s="68">
        <f t="shared" si="31"/>
        <v>73.728</v>
      </c>
      <c r="AK843" s="68">
        <f t="shared" si="32"/>
        <v>534.528</v>
      </c>
      <c r="AL843" s="70">
        <f>IFERROR(__xludf.DUMMYFUNCTION("""COMPUTED_VALUE"""),1.0)</f>
        <v>1</v>
      </c>
      <c r="AM843" s="70"/>
      <c r="AN843" s="71" t="str">
        <f>IFERROR(__xludf.DUMMYFUNCTION("""COMPUTED_VALUE""")," C")</f>
        <v>C</v>
      </c>
      <c r="AO843" s="71" t="str">
        <f>IFERROR(__xludf.DUMMYFUNCTION("""COMPUTED_VALUE""")," OP94")</f>
        <v>OP94</v>
      </c>
      <c r="AP843" s="71" t="str">
        <f>IFERROR(__xludf.DUMMYFUNCTION("""COMPUTED_VALUE""")," PZA")</f>
        <v>PZA</v>
      </c>
      <c r="AQ843" s="71" t="str">
        <f>IFERROR(__xludf.DUMMYFUNCTION("""COMPUTED_VALUE""")," REF")</f>
        <v>REF</v>
      </c>
      <c r="AR843" s="71" t="str">
        <f>IFERROR(__xludf.DUMMYFUNCTION("""COMPUTED_VALUE""")," OPRESOR ALLEN 1/4X5/16 EN ACERO INOX. T-304 GRADO ALIMENTICIO")</f>
        <v>OPRESOR ALLEN 1/4X5/16 EN ACERO INOX. T-304 GRADO ALIMENTICIO</v>
      </c>
      <c r="AS843" s="71" t="str">
        <f>IFERROR(__xludf.DUMMYFUNCTION("""COMPUTED_VALUE""")," OPRESOR ALLEN 1/4X5/16 INOX GA")</f>
        <v>OPRESOR ALLEN 1/4X5/16 INOX GA</v>
      </c>
      <c r="AT843" s="71">
        <f>IFERROR(__xludf.DUMMYFUNCTION("""COMPUTED_VALUE"""),30.0)</f>
        <v>30</v>
      </c>
      <c r="AU843" s="71"/>
      <c r="AV843" s="71"/>
      <c r="AW843" s="71"/>
      <c r="AX843" s="71"/>
      <c r="AY843" s="71">
        <f>IFERROR(__xludf.DUMMYFUNCTION("""COMPUTED_VALUE"""),9.0)</f>
        <v>9</v>
      </c>
      <c r="AZ843" s="71">
        <f>IFERROR(__xludf.DUMMYFUNCTION("""COMPUTED_VALUE"""),9.0)</f>
        <v>9</v>
      </c>
      <c r="BA843" s="71">
        <f>IFERROR(__xludf.DUMMYFUNCTION("""COMPUTED_VALUE"""),9.72)</f>
        <v>9.72</v>
      </c>
      <c r="BB843" s="71">
        <f>IFERROR(__xludf.DUMMYFUNCTION("""COMPUTED_VALUE"""),9.72)</f>
        <v>9.72</v>
      </c>
      <c r="BC843" s="71">
        <f>IFERROR(__xludf.DUMMYFUNCTION("""COMPUTED_VALUE"""),12.0)</f>
        <v>12</v>
      </c>
      <c r="BD843" s="71">
        <f>IFERROR(__xludf.DUMMYFUNCTION("""COMPUTED_VALUE"""),12.600000000000001)</f>
        <v>12.6</v>
      </c>
      <c r="BE843" s="71">
        <f>IFERROR(__xludf.DUMMYFUNCTION("""COMPUTED_VALUE"""),2.0160000000000005)</f>
        <v>2.016</v>
      </c>
      <c r="BF843" s="71">
        <f>IFERROR(__xludf.DUMMYFUNCTION("""COMPUTED_VALUE"""),14.616000000000001)</f>
        <v>14.616</v>
      </c>
      <c r="BG843" s="71">
        <f>IFERROR(__xludf.DUMMYFUNCTION("""COMPUTED_VALUE"""),0.05000000000000012)</f>
        <v>0.05</v>
      </c>
      <c r="BH843" s="71">
        <f>IFERROR(__xludf.DUMMYFUNCTION("""COMPUTED_VALUE"""),11.97)</f>
        <v>11.97</v>
      </c>
      <c r="BI843" s="71">
        <f>IFERROR(__xludf.DUMMYFUNCTION("""COMPUTED_VALUE"""),1.9152000000000002)</f>
        <v>1.9152</v>
      </c>
      <c r="BJ843" s="71">
        <f>IFERROR(__xludf.DUMMYFUNCTION("""COMPUTED_VALUE"""),13.885200000000001)</f>
        <v>13.8852</v>
      </c>
      <c r="BK843" s="71">
        <f>IFERROR(__xludf.DUMMYFUNCTION("""COMPUTED_VALUE"""),11.340000000000002)</f>
        <v>11.34</v>
      </c>
      <c r="BL843" s="71">
        <f>IFERROR(__xludf.DUMMYFUNCTION("""COMPUTED_VALUE"""),1.8144000000000002)</f>
        <v>1.8144</v>
      </c>
      <c r="BM843" s="71">
        <f>IFERROR(__xludf.DUMMYFUNCTION("""COMPUTED_VALUE"""),13.154400000000003)</f>
        <v>13.1544</v>
      </c>
      <c r="BN843" s="71">
        <f>IFERROR(__xludf.DUMMYFUNCTION("""COMPUTED_VALUE"""),10.71)</f>
        <v>10.71</v>
      </c>
      <c r="BO843" s="71">
        <f>IFERROR(__xludf.DUMMYFUNCTION("""COMPUTED_VALUE"""),1.7136000000000002)</f>
        <v>1.7136</v>
      </c>
      <c r="BP843" s="71">
        <f>IFERROR(__xludf.DUMMYFUNCTION("""COMPUTED_VALUE"""),12.4236)</f>
        <v>12.4236</v>
      </c>
      <c r="BQ843" s="71">
        <f>IFERROR(__xludf.DUMMYFUNCTION("""COMPUTED_VALUE"""),10.458)</f>
        <v>10.458</v>
      </c>
      <c r="BR843" s="71">
        <f>IFERROR(__xludf.DUMMYFUNCTION("""COMPUTED_VALUE"""),1.67328)</f>
        <v>1.67328</v>
      </c>
      <c r="BS843" s="71">
        <f>IFERROR(__xludf.DUMMYFUNCTION("""COMPUTED_VALUE"""),12.13128)</f>
        <v>12.13128</v>
      </c>
      <c r="BT843" s="71">
        <f>IFERROR(__xludf.DUMMYFUNCTION("""COMPUTED_VALUE"""),10.080000000000002)</f>
        <v>10.08</v>
      </c>
      <c r="BU843" s="71">
        <f>IFERROR(__xludf.DUMMYFUNCTION("""COMPUTED_VALUE"""),1.6128000000000002)</f>
        <v>1.6128</v>
      </c>
      <c r="BV843" s="71">
        <f>IFERROR(__xludf.DUMMYFUNCTION("""COMPUTED_VALUE"""),11.692800000000002)</f>
        <v>11.6928</v>
      </c>
    </row>
    <row r="844">
      <c r="A844" s="53"/>
      <c r="B844" s="53"/>
      <c r="C844" s="53" t="s">
        <v>36</v>
      </c>
      <c r="D844" s="85" t="s">
        <v>2041</v>
      </c>
      <c r="E844" s="54" t="s">
        <v>38</v>
      </c>
      <c r="F844" s="55" t="s">
        <v>39</v>
      </c>
      <c r="G844" s="86" t="s">
        <v>2042</v>
      </c>
      <c r="H844" s="86" t="s">
        <v>2042</v>
      </c>
      <c r="I844" s="54">
        <f t="shared" si="24"/>
        <v>30</v>
      </c>
      <c r="J844" s="56"/>
      <c r="K844" s="57"/>
      <c r="L844" s="76"/>
      <c r="M844" s="59"/>
      <c r="N844" s="60"/>
      <c r="O844" s="61">
        <v>1142.4</v>
      </c>
      <c r="P844" s="62">
        <v>1300.0</v>
      </c>
      <c r="Q844" s="63">
        <v>1300.0</v>
      </c>
      <c r="R844" s="64">
        <v>1365.0</v>
      </c>
      <c r="S844" s="107">
        <v>1433.0</v>
      </c>
      <c r="T844" s="65">
        <f t="shared" si="2"/>
        <v>229.28</v>
      </c>
      <c r="U844" s="65">
        <f t="shared" si="3"/>
        <v>1662.28</v>
      </c>
      <c r="V844" s="66">
        <f t="shared" si="4"/>
        <v>0.04981684982</v>
      </c>
      <c r="W844" s="67">
        <f t="shared" si="5"/>
        <v>1361.35</v>
      </c>
      <c r="X844" s="67">
        <f t="shared" si="6"/>
        <v>217.816</v>
      </c>
      <c r="Y844" s="67">
        <f t="shared" si="7"/>
        <v>1579.166</v>
      </c>
      <c r="Z844" s="67">
        <f t="shared" si="8"/>
        <v>1289.7</v>
      </c>
      <c r="AA844" s="67">
        <f t="shared" si="9"/>
        <v>206.352</v>
      </c>
      <c r="AB844" s="67">
        <f t="shared" si="10"/>
        <v>1496.052</v>
      </c>
      <c r="AC844" s="67">
        <f t="shared" si="11"/>
        <v>1218.05</v>
      </c>
      <c r="AD844" s="67">
        <f t="shared" si="12"/>
        <v>194.888</v>
      </c>
      <c r="AE844" s="67">
        <f t="shared" si="13"/>
        <v>1412.938</v>
      </c>
      <c r="AF844" s="67">
        <f t="shared" si="33"/>
        <v>1189.39</v>
      </c>
      <c r="AG844" s="67">
        <f t="shared" si="15"/>
        <v>190.3024</v>
      </c>
      <c r="AH844" s="67">
        <f t="shared" si="16"/>
        <v>1379.6924</v>
      </c>
      <c r="AI844" s="67">
        <f t="shared" si="17"/>
        <v>1146.4</v>
      </c>
      <c r="AJ844" s="68">
        <f t="shared" si="31"/>
        <v>183.424</v>
      </c>
      <c r="AK844" s="68">
        <f t="shared" si="32"/>
        <v>1329.824</v>
      </c>
      <c r="AL844" s="70">
        <f>IFERROR(__xludf.DUMMYFUNCTION("""COMPUTED_VALUE"""),1.0)</f>
        <v>1</v>
      </c>
      <c r="AM844" s="70"/>
      <c r="AN844" s="71" t="str">
        <f>IFERROR(__xludf.DUMMYFUNCTION("""COMPUTED_VALUE""")," C")</f>
        <v>C</v>
      </c>
      <c r="AO844" s="71" t="str">
        <f>IFERROR(__xludf.DUMMYFUNCTION("""COMPUTED_VALUE""")," OP02")</f>
        <v>OP02</v>
      </c>
      <c r="AP844" s="71" t="str">
        <f>IFERROR(__xludf.DUMMYFUNCTION("""COMPUTED_VALUE""")," PZA")</f>
        <v>PZA</v>
      </c>
      <c r="AQ844" s="71" t="str">
        <f>IFERROR(__xludf.DUMMYFUNCTION("""COMPUTED_VALUE""")," REF")</f>
        <v>REF</v>
      </c>
      <c r="AR844" s="71" t="str">
        <f>IFERROR(__xludf.DUMMYFUNCTION("""COMPUTED_VALUE""")," OPRESOR ALLEN 3/8X1/2")</f>
        <v>OPRESOR ALLEN 3/8X1/2</v>
      </c>
      <c r="AS844" s="71" t="str">
        <f>IFERROR(__xludf.DUMMYFUNCTION("""COMPUTED_VALUE""")," OPRESOR ALLEN 3/8 X 1/2")</f>
        <v>OPRESOR ALLEN 3/8 X 1/2</v>
      </c>
      <c r="AT844" s="71">
        <f>IFERROR(__xludf.DUMMYFUNCTION("""COMPUTED_VALUE"""),23.0)</f>
        <v>23</v>
      </c>
      <c r="AU844" s="71"/>
      <c r="AV844" s="71"/>
      <c r="AW844" s="71"/>
      <c r="AX844" s="71"/>
      <c r="AY844" s="71">
        <f>IFERROR(__xludf.DUMMYFUNCTION("""COMPUTED_VALUE"""),5.0)</f>
        <v>5</v>
      </c>
      <c r="AZ844" s="71">
        <f>IFERROR(__xludf.DUMMYFUNCTION("""COMPUTED_VALUE"""),5.0)</f>
        <v>5</v>
      </c>
      <c r="BA844" s="71">
        <f>IFERROR(__xludf.DUMMYFUNCTION("""COMPUTED_VALUE"""),5.4)</f>
        <v>5.4</v>
      </c>
      <c r="BB844" s="71">
        <f>IFERROR(__xludf.DUMMYFUNCTION("""COMPUTED_VALUE"""),5.4)</f>
        <v>5.4</v>
      </c>
      <c r="BC844" s="71">
        <f>IFERROR(__xludf.DUMMYFUNCTION("""COMPUTED_VALUE"""),6.0)</f>
        <v>6</v>
      </c>
      <c r="BD844" s="71">
        <f>IFERROR(__xludf.DUMMYFUNCTION("""COMPUTED_VALUE"""),6.300000000000001)</f>
        <v>6.3</v>
      </c>
      <c r="BE844" s="71">
        <f>IFERROR(__xludf.DUMMYFUNCTION("""COMPUTED_VALUE"""),1.0080000000000002)</f>
        <v>1.008</v>
      </c>
      <c r="BF844" s="71">
        <f>IFERROR(__xludf.DUMMYFUNCTION("""COMPUTED_VALUE"""),7.308000000000001)</f>
        <v>7.308</v>
      </c>
      <c r="BG844" s="71">
        <f>IFERROR(__xludf.DUMMYFUNCTION("""COMPUTED_VALUE"""),0.05000000000000012)</f>
        <v>0.05</v>
      </c>
      <c r="BH844" s="71">
        <f>IFERROR(__xludf.DUMMYFUNCTION("""COMPUTED_VALUE"""),5.985)</f>
        <v>5.985</v>
      </c>
      <c r="BI844" s="71">
        <f>IFERROR(__xludf.DUMMYFUNCTION("""COMPUTED_VALUE"""),0.9576000000000001)</f>
        <v>0.9576</v>
      </c>
      <c r="BJ844" s="71">
        <f>IFERROR(__xludf.DUMMYFUNCTION("""COMPUTED_VALUE"""),6.9426000000000005)</f>
        <v>6.9426</v>
      </c>
      <c r="BK844" s="71">
        <f>IFERROR(__xludf.DUMMYFUNCTION("""COMPUTED_VALUE"""),5.670000000000001)</f>
        <v>5.67</v>
      </c>
      <c r="BL844" s="71">
        <f>IFERROR(__xludf.DUMMYFUNCTION("""COMPUTED_VALUE"""),0.9072000000000001)</f>
        <v>0.9072</v>
      </c>
      <c r="BM844" s="71">
        <f>IFERROR(__xludf.DUMMYFUNCTION("""COMPUTED_VALUE"""),6.577200000000001)</f>
        <v>6.5772</v>
      </c>
      <c r="BN844" s="71">
        <f>IFERROR(__xludf.DUMMYFUNCTION("""COMPUTED_VALUE"""),5.355)</f>
        <v>5.355</v>
      </c>
      <c r="BO844" s="71">
        <f>IFERROR(__xludf.DUMMYFUNCTION("""COMPUTED_VALUE"""),0.8568000000000001)</f>
        <v>0.8568</v>
      </c>
      <c r="BP844" s="71">
        <f>IFERROR(__xludf.DUMMYFUNCTION("""COMPUTED_VALUE"""),6.2118)</f>
        <v>6.2118</v>
      </c>
      <c r="BQ844" s="71">
        <f>IFERROR(__xludf.DUMMYFUNCTION("""COMPUTED_VALUE"""),5.229)</f>
        <v>5.229</v>
      </c>
      <c r="BR844" s="71">
        <f>IFERROR(__xludf.DUMMYFUNCTION("""COMPUTED_VALUE"""),0.83664)</f>
        <v>0.83664</v>
      </c>
      <c r="BS844" s="71">
        <f>IFERROR(__xludf.DUMMYFUNCTION("""COMPUTED_VALUE"""),6.06564)</f>
        <v>6.06564</v>
      </c>
      <c r="BT844" s="71">
        <f>IFERROR(__xludf.DUMMYFUNCTION("""COMPUTED_VALUE"""),5.040000000000001)</f>
        <v>5.04</v>
      </c>
      <c r="BU844" s="71">
        <f>IFERROR(__xludf.DUMMYFUNCTION("""COMPUTED_VALUE"""),0.8064000000000001)</f>
        <v>0.8064</v>
      </c>
      <c r="BV844" s="71">
        <f>IFERROR(__xludf.DUMMYFUNCTION("""COMPUTED_VALUE"""),5.846400000000001)</f>
        <v>5.8464</v>
      </c>
    </row>
    <row r="845">
      <c r="A845" s="53"/>
      <c r="B845" s="53"/>
      <c r="C845" s="73" t="s">
        <v>53</v>
      </c>
      <c r="D845" s="53" t="s">
        <v>2043</v>
      </c>
      <c r="E845" s="54" t="s">
        <v>38</v>
      </c>
      <c r="F845" s="54" t="s">
        <v>42</v>
      </c>
      <c r="G845" s="55" t="s">
        <v>2044</v>
      </c>
      <c r="H845" s="54" t="s">
        <v>2044</v>
      </c>
      <c r="I845" s="54">
        <f t="shared" si="24"/>
        <v>30</v>
      </c>
      <c r="J845" s="56"/>
      <c r="K845" s="57"/>
      <c r="L845" s="76"/>
      <c r="M845" s="59"/>
      <c r="N845" s="79">
        <v>1002.0</v>
      </c>
      <c r="O845" s="61">
        <v>1082.0</v>
      </c>
      <c r="P845" s="63">
        <v>1168.5600000000002</v>
      </c>
      <c r="Q845" s="63">
        <v>1168.5600000000002</v>
      </c>
      <c r="R845" s="64">
        <v>1228.0</v>
      </c>
      <c r="S845" s="111">
        <v>1289.0</v>
      </c>
      <c r="T845" s="65">
        <f t="shared" si="2"/>
        <v>206.24</v>
      </c>
      <c r="U845" s="65">
        <f t="shared" si="3"/>
        <v>1495.24</v>
      </c>
      <c r="V845" s="66">
        <f t="shared" si="4"/>
        <v>0.0496742671</v>
      </c>
      <c r="W845" s="67">
        <f t="shared" si="5"/>
        <v>1224.55</v>
      </c>
      <c r="X845" s="67">
        <f t="shared" si="6"/>
        <v>195.928</v>
      </c>
      <c r="Y845" s="67">
        <f t="shared" si="7"/>
        <v>1420.478</v>
      </c>
      <c r="Z845" s="67">
        <f t="shared" si="8"/>
        <v>1160.1</v>
      </c>
      <c r="AA845" s="67">
        <f t="shared" si="9"/>
        <v>185.616</v>
      </c>
      <c r="AB845" s="67">
        <f t="shared" si="10"/>
        <v>1345.716</v>
      </c>
      <c r="AC845" s="67">
        <f t="shared" si="11"/>
        <v>1095.65</v>
      </c>
      <c r="AD845" s="67">
        <f t="shared" si="12"/>
        <v>175.304</v>
      </c>
      <c r="AE845" s="67">
        <f t="shared" si="13"/>
        <v>1270.954</v>
      </c>
      <c r="AF845" s="67">
        <f t="shared" si="33"/>
        <v>1069.87</v>
      </c>
      <c r="AG845" s="67">
        <f t="shared" si="15"/>
        <v>171.1792</v>
      </c>
      <c r="AH845" s="67">
        <f t="shared" si="16"/>
        <v>1241.0492</v>
      </c>
      <c r="AI845" s="67">
        <f t="shared" si="17"/>
        <v>1031.2</v>
      </c>
      <c r="AJ845" s="68">
        <f t="shared" si="31"/>
        <v>164.992</v>
      </c>
      <c r="AK845" s="68">
        <f t="shared" si="32"/>
        <v>1196.192</v>
      </c>
      <c r="AL845" s="70">
        <f>IFERROR(__xludf.DUMMYFUNCTION("""COMPUTED_VALUE"""),1.0)</f>
        <v>1</v>
      </c>
      <c r="AM845" s="70"/>
      <c r="AN845" s="71" t="str">
        <f>IFERROR(__xludf.DUMMYFUNCTION("""COMPUTED_VALUE""")," C")</f>
        <v>C</v>
      </c>
      <c r="AO845" s="71" t="str">
        <f>IFERROR(__xludf.DUMMYFUNCTION("""COMPUTED_VALUE""")," OP95")</f>
        <v>OP95</v>
      </c>
      <c r="AP845" s="71" t="str">
        <f>IFERROR(__xludf.DUMMYFUNCTION("""COMPUTED_VALUE""")," PZA")</f>
        <v>PZA</v>
      </c>
      <c r="AQ845" s="71" t="str">
        <f>IFERROR(__xludf.DUMMYFUNCTION("""COMPUTED_VALUE""")," REF")</f>
        <v>REF</v>
      </c>
      <c r="AR845" s="71" t="str">
        <f>IFERROR(__xludf.DUMMYFUNCTION("""COMPUTED_VALUE""")," OPRESOR ALLEN 3/8X1/2 EN ACERO INOX. T-304 GRADO ALIMENTICIO")</f>
        <v>OPRESOR ALLEN 3/8X1/2 EN ACERO INOX. T-304 GRADO ALIMENTICIO</v>
      </c>
      <c r="AS845" s="71" t="str">
        <f>IFERROR(__xludf.DUMMYFUNCTION("""COMPUTED_VALUE""")," OPRESOR ALLEN 3/8 X 1/2 INOX")</f>
        <v>OPRESOR ALLEN 3/8 X 1/2 INOX</v>
      </c>
      <c r="AT845" s="71">
        <f>IFERROR(__xludf.DUMMYFUNCTION("""COMPUTED_VALUE"""),28.0)</f>
        <v>28</v>
      </c>
      <c r="AU845" s="71"/>
      <c r="AV845" s="71"/>
      <c r="AW845" s="71"/>
      <c r="AX845" s="71"/>
      <c r="AY845" s="71">
        <f>IFERROR(__xludf.DUMMYFUNCTION("""COMPUTED_VALUE"""),20.0)</f>
        <v>20</v>
      </c>
      <c r="AZ845" s="71">
        <f>IFERROR(__xludf.DUMMYFUNCTION("""COMPUTED_VALUE"""),21.0)</f>
        <v>21</v>
      </c>
      <c r="BA845" s="71">
        <f>IFERROR(__xludf.DUMMYFUNCTION("""COMPUTED_VALUE"""),22.68)</f>
        <v>22.68</v>
      </c>
      <c r="BB845" s="71">
        <f>IFERROR(__xludf.DUMMYFUNCTION("""COMPUTED_VALUE"""),22.68)</f>
        <v>22.68</v>
      </c>
      <c r="BC845" s="71">
        <f>IFERROR(__xludf.DUMMYFUNCTION("""COMPUTED_VALUE"""),27.0)</f>
        <v>27</v>
      </c>
      <c r="BD845" s="71">
        <f>IFERROR(__xludf.DUMMYFUNCTION("""COMPUTED_VALUE"""),28.0)</f>
        <v>28</v>
      </c>
      <c r="BE845" s="71">
        <f>IFERROR(__xludf.DUMMYFUNCTION("""COMPUTED_VALUE"""),4.48)</f>
        <v>4.48</v>
      </c>
      <c r="BF845" s="71">
        <f>IFERROR(__xludf.DUMMYFUNCTION("""COMPUTED_VALUE"""),32.480000000000004)</f>
        <v>32.48</v>
      </c>
      <c r="BG845" s="71">
        <f>IFERROR(__xludf.DUMMYFUNCTION("""COMPUTED_VALUE"""),0.037037037037037035)</f>
        <v>0.03703703704</v>
      </c>
      <c r="BH845" s="71">
        <f>IFERROR(__xludf.DUMMYFUNCTION("""COMPUTED_VALUE"""),26.599999999999998)</f>
        <v>26.6</v>
      </c>
      <c r="BI845" s="71">
        <f>IFERROR(__xludf.DUMMYFUNCTION("""COMPUTED_VALUE"""),4.255999999999999)</f>
        <v>4.256</v>
      </c>
      <c r="BJ845" s="71">
        <f>IFERROR(__xludf.DUMMYFUNCTION("""COMPUTED_VALUE"""),30.855999999999998)</f>
        <v>30.856</v>
      </c>
      <c r="BK845" s="71">
        <f>IFERROR(__xludf.DUMMYFUNCTION("""COMPUTED_VALUE"""),25.2)</f>
        <v>25.2</v>
      </c>
      <c r="BL845" s="71">
        <f>IFERROR(__xludf.DUMMYFUNCTION("""COMPUTED_VALUE"""),4.032)</f>
        <v>4.032</v>
      </c>
      <c r="BM845" s="71">
        <f>IFERROR(__xludf.DUMMYFUNCTION("""COMPUTED_VALUE"""),29.232)</f>
        <v>29.232</v>
      </c>
      <c r="BN845" s="71">
        <f>IFERROR(__xludf.DUMMYFUNCTION("""COMPUTED_VALUE"""),23.8)</f>
        <v>23.8</v>
      </c>
      <c r="BO845" s="71">
        <f>IFERROR(__xludf.DUMMYFUNCTION("""COMPUTED_VALUE"""),3.8080000000000003)</f>
        <v>3.808</v>
      </c>
      <c r="BP845" s="71">
        <f>IFERROR(__xludf.DUMMYFUNCTION("""COMPUTED_VALUE"""),27.608)</f>
        <v>27.608</v>
      </c>
      <c r="BQ845" s="71">
        <f>IFERROR(__xludf.DUMMYFUNCTION("""COMPUTED_VALUE"""),23.24)</f>
        <v>23.24</v>
      </c>
      <c r="BR845" s="71">
        <f>IFERROR(__xludf.DUMMYFUNCTION("""COMPUTED_VALUE"""),3.7184)</f>
        <v>3.7184</v>
      </c>
      <c r="BS845" s="71">
        <f>IFERROR(__xludf.DUMMYFUNCTION("""COMPUTED_VALUE"""),26.958399999999997)</f>
        <v>26.9584</v>
      </c>
      <c r="BT845" s="71">
        <f>IFERROR(__xludf.DUMMYFUNCTION("""COMPUTED_VALUE"""),22.400000000000002)</f>
        <v>22.4</v>
      </c>
      <c r="BU845" s="71">
        <f>IFERROR(__xludf.DUMMYFUNCTION("""COMPUTED_VALUE"""),3.5840000000000005)</f>
        <v>3.584</v>
      </c>
      <c r="BV845" s="71">
        <f>IFERROR(__xludf.DUMMYFUNCTION("""COMPUTED_VALUE"""),25.984)</f>
        <v>25.984</v>
      </c>
    </row>
    <row r="846">
      <c r="A846" s="53">
        <v>1.0</v>
      </c>
      <c r="B846" s="53"/>
      <c r="C846" s="73" t="s">
        <v>53</v>
      </c>
      <c r="D846" s="74" t="s">
        <v>2045</v>
      </c>
      <c r="E846" s="54" t="s">
        <v>38</v>
      </c>
      <c r="F846" s="54" t="s">
        <v>42</v>
      </c>
      <c r="G846" s="55" t="s">
        <v>2046</v>
      </c>
      <c r="H846" s="54" t="s">
        <v>2047</v>
      </c>
      <c r="I846" s="54">
        <f t="shared" si="24"/>
        <v>40</v>
      </c>
      <c r="J846" s="56"/>
      <c r="K846" s="75"/>
      <c r="L846" s="87"/>
      <c r="M846" s="59"/>
      <c r="N846" s="60">
        <v>81.0</v>
      </c>
      <c r="O846" s="61">
        <v>87.0</v>
      </c>
      <c r="P846" s="62">
        <v>93.96000000000001</v>
      </c>
      <c r="Q846" s="63">
        <v>93.96000000000001</v>
      </c>
      <c r="R846" s="64">
        <v>105.0</v>
      </c>
      <c r="S846" s="111">
        <v>110.0</v>
      </c>
      <c r="T846" s="65">
        <f t="shared" si="2"/>
        <v>17.6</v>
      </c>
      <c r="U846" s="65">
        <f t="shared" si="3"/>
        <v>127.6</v>
      </c>
      <c r="V846" s="66">
        <f t="shared" si="4"/>
        <v>0.04761904762</v>
      </c>
      <c r="W846" s="67">
        <f t="shared" si="5"/>
        <v>104.5</v>
      </c>
      <c r="X846" s="67">
        <f t="shared" si="6"/>
        <v>16.72</v>
      </c>
      <c r="Y846" s="67">
        <f t="shared" si="7"/>
        <v>121.22</v>
      </c>
      <c r="Z846" s="67">
        <f t="shared" si="8"/>
        <v>99</v>
      </c>
      <c r="AA846" s="67">
        <f t="shared" si="9"/>
        <v>15.84</v>
      </c>
      <c r="AB846" s="67">
        <f t="shared" si="10"/>
        <v>114.84</v>
      </c>
      <c r="AC846" s="67">
        <f t="shared" si="11"/>
        <v>93.5</v>
      </c>
      <c r="AD846" s="67">
        <f t="shared" si="12"/>
        <v>14.96</v>
      </c>
      <c r="AE846" s="67">
        <f t="shared" si="13"/>
        <v>108.46</v>
      </c>
      <c r="AF846" s="67">
        <f t="shared" si="33"/>
        <v>91.3</v>
      </c>
      <c r="AG846" s="67">
        <f t="shared" si="15"/>
        <v>14.608</v>
      </c>
      <c r="AH846" s="67">
        <f t="shared" si="16"/>
        <v>105.908</v>
      </c>
      <c r="AI846" s="67">
        <f t="shared" si="17"/>
        <v>88</v>
      </c>
      <c r="AJ846" s="68">
        <f t="shared" si="31"/>
        <v>14.08</v>
      </c>
      <c r="AK846" s="68">
        <f t="shared" si="32"/>
        <v>102.08</v>
      </c>
      <c r="AL846" s="70">
        <f>IFERROR(__xludf.DUMMYFUNCTION("""COMPUTED_VALUE"""),1.0)</f>
        <v>1</v>
      </c>
      <c r="AM846" s="70"/>
      <c r="AN846" s="71" t="str">
        <f>IFERROR(__xludf.DUMMYFUNCTION("""COMPUTED_VALUE""")," C")</f>
        <v>C</v>
      </c>
      <c r="AO846" s="71" t="str">
        <f>IFERROR(__xludf.DUMMYFUNCTION("""COMPUTED_VALUE""")," OP03")</f>
        <v>OP03</v>
      </c>
      <c r="AP846" s="71" t="str">
        <f>IFERROR(__xludf.DUMMYFUNCTION("""COMPUTED_VALUE""")," PZA")</f>
        <v>PZA</v>
      </c>
      <c r="AQ846" s="71" t="str">
        <f>IFERROR(__xludf.DUMMYFUNCTION("""COMPUTED_VALUE""")," REF")</f>
        <v>REF</v>
      </c>
      <c r="AR846" s="71" t="str">
        <f>IFERROR(__xludf.DUMMYFUNCTION("""COMPUTED_VALUE""")," OPRESOR ALLEN 3/8X3/8")</f>
        <v>OPRESOR ALLEN 3/8X3/8</v>
      </c>
      <c r="AS846" s="71" t="str">
        <f>IFERROR(__xludf.DUMMYFUNCTION("""COMPUTED_VALUE""")," OPRESOR ALLEN 3/8X3/8")</f>
        <v>OPRESOR ALLEN 3/8X3/8</v>
      </c>
      <c r="AT846" s="71">
        <f>IFERROR(__xludf.DUMMYFUNCTION("""COMPUTED_VALUE"""),21.0)</f>
        <v>21</v>
      </c>
      <c r="AU846" s="71"/>
      <c r="AV846" s="71"/>
      <c r="AW846" s="71"/>
      <c r="AX846" s="71"/>
      <c r="AY846" s="71">
        <f>IFERROR(__xludf.DUMMYFUNCTION("""COMPUTED_VALUE"""),5.0)</f>
        <v>5</v>
      </c>
      <c r="AZ846" s="71">
        <f>IFERROR(__xludf.DUMMYFUNCTION("""COMPUTED_VALUE"""),5.0)</f>
        <v>5</v>
      </c>
      <c r="BA846" s="71">
        <f>IFERROR(__xludf.DUMMYFUNCTION("""COMPUTED_VALUE"""),5.4)</f>
        <v>5.4</v>
      </c>
      <c r="BB846" s="71">
        <f>IFERROR(__xludf.DUMMYFUNCTION("""COMPUTED_VALUE"""),5.4)</f>
        <v>5.4</v>
      </c>
      <c r="BC846" s="71">
        <f>IFERROR(__xludf.DUMMYFUNCTION("""COMPUTED_VALUE"""),6.0)</f>
        <v>6</v>
      </c>
      <c r="BD846" s="71">
        <f>IFERROR(__xludf.DUMMYFUNCTION("""COMPUTED_VALUE"""),6.300000000000001)</f>
        <v>6.3</v>
      </c>
      <c r="BE846" s="71">
        <f>IFERROR(__xludf.DUMMYFUNCTION("""COMPUTED_VALUE"""),1.0080000000000002)</f>
        <v>1.008</v>
      </c>
      <c r="BF846" s="71">
        <f>IFERROR(__xludf.DUMMYFUNCTION("""COMPUTED_VALUE"""),7.308000000000001)</f>
        <v>7.308</v>
      </c>
      <c r="BG846" s="71">
        <f>IFERROR(__xludf.DUMMYFUNCTION("""COMPUTED_VALUE"""),0.05000000000000012)</f>
        <v>0.05</v>
      </c>
      <c r="BH846" s="71">
        <f>IFERROR(__xludf.DUMMYFUNCTION("""COMPUTED_VALUE"""),5.985)</f>
        <v>5.985</v>
      </c>
      <c r="BI846" s="71">
        <f>IFERROR(__xludf.DUMMYFUNCTION("""COMPUTED_VALUE"""),0.9576000000000001)</f>
        <v>0.9576</v>
      </c>
      <c r="BJ846" s="71">
        <f>IFERROR(__xludf.DUMMYFUNCTION("""COMPUTED_VALUE"""),6.9426000000000005)</f>
        <v>6.9426</v>
      </c>
      <c r="BK846" s="71">
        <f>IFERROR(__xludf.DUMMYFUNCTION("""COMPUTED_VALUE"""),5.670000000000001)</f>
        <v>5.67</v>
      </c>
      <c r="BL846" s="71">
        <f>IFERROR(__xludf.DUMMYFUNCTION("""COMPUTED_VALUE"""),0.9072000000000001)</f>
        <v>0.9072</v>
      </c>
      <c r="BM846" s="71">
        <f>IFERROR(__xludf.DUMMYFUNCTION("""COMPUTED_VALUE"""),6.577200000000001)</f>
        <v>6.5772</v>
      </c>
      <c r="BN846" s="71">
        <f>IFERROR(__xludf.DUMMYFUNCTION("""COMPUTED_VALUE"""),5.355)</f>
        <v>5.355</v>
      </c>
      <c r="BO846" s="71">
        <f>IFERROR(__xludf.DUMMYFUNCTION("""COMPUTED_VALUE"""),0.8568000000000001)</f>
        <v>0.8568</v>
      </c>
      <c r="BP846" s="71">
        <f>IFERROR(__xludf.DUMMYFUNCTION("""COMPUTED_VALUE"""),6.2118)</f>
        <v>6.2118</v>
      </c>
      <c r="BQ846" s="71">
        <f>IFERROR(__xludf.DUMMYFUNCTION("""COMPUTED_VALUE"""),5.229)</f>
        <v>5.229</v>
      </c>
      <c r="BR846" s="71">
        <f>IFERROR(__xludf.DUMMYFUNCTION("""COMPUTED_VALUE"""),0.83664)</f>
        <v>0.83664</v>
      </c>
      <c r="BS846" s="71">
        <f>IFERROR(__xludf.DUMMYFUNCTION("""COMPUTED_VALUE"""),6.06564)</f>
        <v>6.06564</v>
      </c>
      <c r="BT846" s="71">
        <f>IFERROR(__xludf.DUMMYFUNCTION("""COMPUTED_VALUE"""),5.040000000000001)</f>
        <v>5.04</v>
      </c>
      <c r="BU846" s="71">
        <f>IFERROR(__xludf.DUMMYFUNCTION("""COMPUTED_VALUE"""),0.8064000000000001)</f>
        <v>0.8064</v>
      </c>
      <c r="BV846" s="71">
        <f>IFERROR(__xludf.DUMMYFUNCTION("""COMPUTED_VALUE"""),5.846400000000001)</f>
        <v>5.8464</v>
      </c>
    </row>
    <row r="847">
      <c r="A847" s="53"/>
      <c r="B847" s="53"/>
      <c r="C847" s="53" t="s">
        <v>36</v>
      </c>
      <c r="D847" s="85" t="s">
        <v>2048</v>
      </c>
      <c r="E847" s="54" t="s">
        <v>38</v>
      </c>
      <c r="F847" s="55" t="s">
        <v>39</v>
      </c>
      <c r="G847" s="86" t="s">
        <v>2049</v>
      </c>
      <c r="H847" s="55"/>
      <c r="I847" s="54">
        <f t="shared" si="24"/>
        <v>0</v>
      </c>
      <c r="J847" s="56"/>
      <c r="K847" s="57"/>
      <c r="L847" s="76"/>
      <c r="M847" s="59"/>
      <c r="N847" s="60"/>
      <c r="O847" s="61">
        <v>24.0</v>
      </c>
      <c r="P847" s="62">
        <v>25.92</v>
      </c>
      <c r="Q847" s="63">
        <v>25.92</v>
      </c>
      <c r="R847" s="64">
        <v>28.0</v>
      </c>
      <c r="S847" s="107">
        <v>29.0</v>
      </c>
      <c r="T847" s="65">
        <f t="shared" si="2"/>
        <v>4.64</v>
      </c>
      <c r="U847" s="65">
        <f t="shared" si="3"/>
        <v>33.64</v>
      </c>
      <c r="V847" s="66">
        <f t="shared" si="4"/>
        <v>0.03571428571</v>
      </c>
      <c r="W847" s="67">
        <f t="shared" si="5"/>
        <v>27.55</v>
      </c>
      <c r="X847" s="67">
        <f t="shared" si="6"/>
        <v>4.408</v>
      </c>
      <c r="Y847" s="67">
        <f t="shared" si="7"/>
        <v>31.958</v>
      </c>
      <c r="Z847" s="67">
        <f t="shared" si="8"/>
        <v>26.1</v>
      </c>
      <c r="AA847" s="67">
        <f t="shared" si="9"/>
        <v>4.176</v>
      </c>
      <c r="AB847" s="67">
        <f t="shared" si="10"/>
        <v>30.276</v>
      </c>
      <c r="AC847" s="67">
        <f t="shared" si="11"/>
        <v>24.65</v>
      </c>
      <c r="AD847" s="67">
        <f t="shared" si="12"/>
        <v>3.944</v>
      </c>
      <c r="AE847" s="67">
        <f t="shared" si="13"/>
        <v>28.594</v>
      </c>
      <c r="AF847" s="67">
        <f t="shared" si="33"/>
        <v>24.07</v>
      </c>
      <c r="AG847" s="67">
        <f t="shared" si="15"/>
        <v>3.8512</v>
      </c>
      <c r="AH847" s="67">
        <f t="shared" si="16"/>
        <v>27.9212</v>
      </c>
      <c r="AI847" s="67">
        <f t="shared" si="17"/>
        <v>23.2</v>
      </c>
      <c r="AJ847" s="68">
        <f t="shared" si="31"/>
        <v>3.712</v>
      </c>
      <c r="AK847" s="68">
        <f t="shared" si="32"/>
        <v>26.912</v>
      </c>
      <c r="AL847" s="70">
        <f>IFERROR(__xludf.DUMMYFUNCTION("""COMPUTED_VALUE"""),1.0)</f>
        <v>1</v>
      </c>
      <c r="AM847" s="70"/>
      <c r="AN847" s="71" t="str">
        <f>IFERROR(__xludf.DUMMYFUNCTION("""COMPUTED_VALUE""")," C")</f>
        <v>C</v>
      </c>
      <c r="AO847" s="71" t="str">
        <f>IFERROR(__xludf.DUMMYFUNCTION("""COMPUTED_VALUE""")," OP04")</f>
        <v>OP04</v>
      </c>
      <c r="AP847" s="71" t="str">
        <f>IFERROR(__xludf.DUMMYFUNCTION("""COMPUTED_VALUE""")," PZA")</f>
        <v>PZA</v>
      </c>
      <c r="AQ847" s="71" t="str">
        <f>IFERROR(__xludf.DUMMYFUNCTION("""COMPUTED_VALUE""")," REF")</f>
        <v>REF</v>
      </c>
      <c r="AR847" s="71" t="str">
        <f>IFERROR(__xludf.DUMMYFUNCTION("""COMPUTED_VALUE""")," OPRESOR ALLEN 5/16 X 1/2")</f>
        <v>OPRESOR ALLEN 5/16 X 1/2</v>
      </c>
      <c r="AS847" s="71" t="str">
        <f>IFERROR(__xludf.DUMMYFUNCTION("""COMPUTED_VALUE""")," OPRESOR ALLEN 5/16 X 1/2")</f>
        <v>OPRESOR ALLEN 5/16 X 1/2</v>
      </c>
      <c r="AT847" s="71">
        <f>IFERROR(__xludf.DUMMYFUNCTION("""COMPUTED_VALUE"""),24.0)</f>
        <v>24</v>
      </c>
      <c r="AU847" s="71"/>
      <c r="AV847" s="71"/>
      <c r="AW847" s="71"/>
      <c r="AX847" s="71"/>
      <c r="AY847" s="71">
        <f>IFERROR(__xludf.DUMMYFUNCTION("""COMPUTED_VALUE"""),5.0)</f>
        <v>5</v>
      </c>
      <c r="AZ847" s="71">
        <f>IFERROR(__xludf.DUMMYFUNCTION("""COMPUTED_VALUE"""),5.0)</f>
        <v>5</v>
      </c>
      <c r="BA847" s="71">
        <f>IFERROR(__xludf.DUMMYFUNCTION("""COMPUTED_VALUE"""),5.4)</f>
        <v>5.4</v>
      </c>
      <c r="BB847" s="71">
        <f>IFERROR(__xludf.DUMMYFUNCTION("""COMPUTED_VALUE"""),5.4)</f>
        <v>5.4</v>
      </c>
      <c r="BC847" s="71">
        <f>IFERROR(__xludf.DUMMYFUNCTION("""COMPUTED_VALUE"""),6.0)</f>
        <v>6</v>
      </c>
      <c r="BD847" s="71">
        <f>IFERROR(__xludf.DUMMYFUNCTION("""COMPUTED_VALUE"""),6.300000000000001)</f>
        <v>6.3</v>
      </c>
      <c r="BE847" s="71">
        <f>IFERROR(__xludf.DUMMYFUNCTION("""COMPUTED_VALUE"""),1.0080000000000002)</f>
        <v>1.008</v>
      </c>
      <c r="BF847" s="71">
        <f>IFERROR(__xludf.DUMMYFUNCTION("""COMPUTED_VALUE"""),7.308000000000001)</f>
        <v>7.308</v>
      </c>
      <c r="BG847" s="71">
        <f>IFERROR(__xludf.DUMMYFUNCTION("""COMPUTED_VALUE"""),0.05000000000000012)</f>
        <v>0.05</v>
      </c>
      <c r="BH847" s="71">
        <f>IFERROR(__xludf.DUMMYFUNCTION("""COMPUTED_VALUE"""),5.985)</f>
        <v>5.985</v>
      </c>
      <c r="BI847" s="71">
        <f>IFERROR(__xludf.DUMMYFUNCTION("""COMPUTED_VALUE"""),0.9576000000000001)</f>
        <v>0.9576</v>
      </c>
      <c r="BJ847" s="71">
        <f>IFERROR(__xludf.DUMMYFUNCTION("""COMPUTED_VALUE"""),6.9426000000000005)</f>
        <v>6.9426</v>
      </c>
      <c r="BK847" s="71">
        <f>IFERROR(__xludf.DUMMYFUNCTION("""COMPUTED_VALUE"""),5.670000000000001)</f>
        <v>5.67</v>
      </c>
      <c r="BL847" s="71">
        <f>IFERROR(__xludf.DUMMYFUNCTION("""COMPUTED_VALUE"""),0.9072000000000001)</f>
        <v>0.9072</v>
      </c>
      <c r="BM847" s="71">
        <f>IFERROR(__xludf.DUMMYFUNCTION("""COMPUTED_VALUE"""),6.577200000000001)</f>
        <v>6.5772</v>
      </c>
      <c r="BN847" s="71">
        <f>IFERROR(__xludf.DUMMYFUNCTION("""COMPUTED_VALUE"""),5.355)</f>
        <v>5.355</v>
      </c>
      <c r="BO847" s="71">
        <f>IFERROR(__xludf.DUMMYFUNCTION("""COMPUTED_VALUE"""),0.8568000000000001)</f>
        <v>0.8568</v>
      </c>
      <c r="BP847" s="71">
        <f>IFERROR(__xludf.DUMMYFUNCTION("""COMPUTED_VALUE"""),6.2118)</f>
        <v>6.2118</v>
      </c>
      <c r="BQ847" s="71">
        <f>IFERROR(__xludf.DUMMYFUNCTION("""COMPUTED_VALUE"""),5.229)</f>
        <v>5.229</v>
      </c>
      <c r="BR847" s="71">
        <f>IFERROR(__xludf.DUMMYFUNCTION("""COMPUTED_VALUE"""),0.83664)</f>
        <v>0.83664</v>
      </c>
      <c r="BS847" s="71">
        <f>IFERROR(__xludf.DUMMYFUNCTION("""COMPUTED_VALUE"""),6.06564)</f>
        <v>6.06564</v>
      </c>
      <c r="BT847" s="71">
        <f>IFERROR(__xludf.DUMMYFUNCTION("""COMPUTED_VALUE"""),5.040000000000001)</f>
        <v>5.04</v>
      </c>
      <c r="BU847" s="71">
        <f>IFERROR(__xludf.DUMMYFUNCTION("""COMPUTED_VALUE"""),0.8064000000000001)</f>
        <v>0.8064</v>
      </c>
      <c r="BV847" s="71">
        <f>IFERROR(__xludf.DUMMYFUNCTION("""COMPUTED_VALUE"""),5.846400000000001)</f>
        <v>5.8464</v>
      </c>
    </row>
    <row r="848">
      <c r="A848" s="53">
        <v>1.0</v>
      </c>
      <c r="B848" s="72"/>
      <c r="C848" s="73" t="s">
        <v>53</v>
      </c>
      <c r="D848" s="74" t="s">
        <v>2050</v>
      </c>
      <c r="E848" s="54" t="s">
        <v>38</v>
      </c>
      <c r="F848" s="54" t="s">
        <v>42</v>
      </c>
      <c r="G848" s="88" t="s">
        <v>2051</v>
      </c>
      <c r="H848" s="54" t="s">
        <v>2052</v>
      </c>
      <c r="I848" s="54">
        <f t="shared" si="24"/>
        <v>37</v>
      </c>
      <c r="J848" s="56"/>
      <c r="K848" s="75"/>
      <c r="L848" s="76"/>
      <c r="M848" s="59"/>
      <c r="N848" s="60">
        <v>202.0</v>
      </c>
      <c r="O848" s="61">
        <v>218.0</v>
      </c>
      <c r="P848" s="62">
        <v>235.44000000000003</v>
      </c>
      <c r="Q848" s="63">
        <v>235.44000000000003</v>
      </c>
      <c r="R848" s="64">
        <v>263.0</v>
      </c>
      <c r="S848" s="111">
        <v>276.0</v>
      </c>
      <c r="T848" s="65">
        <f t="shared" si="2"/>
        <v>44.16</v>
      </c>
      <c r="U848" s="65">
        <f t="shared" si="3"/>
        <v>320.16</v>
      </c>
      <c r="V848" s="66">
        <f t="shared" si="4"/>
        <v>0.04942965779</v>
      </c>
      <c r="W848" s="67">
        <f t="shared" si="5"/>
        <v>262.2</v>
      </c>
      <c r="X848" s="67">
        <f t="shared" si="6"/>
        <v>41.952</v>
      </c>
      <c r="Y848" s="67">
        <f t="shared" si="7"/>
        <v>304.152</v>
      </c>
      <c r="Z848" s="67">
        <f t="shared" si="8"/>
        <v>248.4</v>
      </c>
      <c r="AA848" s="67">
        <f t="shared" si="9"/>
        <v>39.744</v>
      </c>
      <c r="AB848" s="67">
        <f t="shared" si="10"/>
        <v>288.144</v>
      </c>
      <c r="AC848" s="67">
        <f t="shared" si="11"/>
        <v>234.6</v>
      </c>
      <c r="AD848" s="67">
        <f t="shared" si="12"/>
        <v>37.536</v>
      </c>
      <c r="AE848" s="67">
        <f t="shared" si="13"/>
        <v>272.136</v>
      </c>
      <c r="AF848" s="67">
        <f t="shared" si="33"/>
        <v>229.08</v>
      </c>
      <c r="AG848" s="67">
        <f t="shared" si="15"/>
        <v>36.6528</v>
      </c>
      <c r="AH848" s="67">
        <f t="shared" si="16"/>
        <v>265.7328</v>
      </c>
      <c r="AI848" s="67">
        <f t="shared" si="17"/>
        <v>220.8</v>
      </c>
      <c r="AJ848" s="68">
        <f t="shared" si="31"/>
        <v>35.328</v>
      </c>
      <c r="AK848" s="68">
        <f t="shared" si="32"/>
        <v>256.128</v>
      </c>
      <c r="AL848" s="70">
        <f>IFERROR(__xludf.DUMMYFUNCTION("""COMPUTED_VALUE"""),1.0)</f>
        <v>1</v>
      </c>
      <c r="AM848" s="70"/>
      <c r="AN848" s="71" t="str">
        <f>IFERROR(__xludf.DUMMYFUNCTION("""COMPUTED_VALUE""")," C")</f>
        <v>C</v>
      </c>
      <c r="AO848" s="71" t="str">
        <f>IFERROR(__xludf.DUMMYFUNCTION("""COMPUTED_VALUE""")," OP96")</f>
        <v>OP96</v>
      </c>
      <c r="AP848" s="71" t="str">
        <f>IFERROR(__xludf.DUMMYFUNCTION("""COMPUTED_VALUE""")," PZA")</f>
        <v>PZA</v>
      </c>
      <c r="AQ848" s="71" t="str">
        <f>IFERROR(__xludf.DUMMYFUNCTION("""COMPUTED_VALUE""")," REF")</f>
        <v>REF</v>
      </c>
      <c r="AR848" s="71" t="str">
        <f>IFERROR(__xludf.DUMMYFUNCTION("""COMPUTED_VALUE""")," OPRESOR ALLEN 5/16X1/2 EN ACERO INOX. T-304 GRADO ALIMENTICIO")</f>
        <v>OPRESOR ALLEN 5/16X1/2 EN ACERO INOX. T-304 GRADO ALIMENTICIO</v>
      </c>
      <c r="AS848" s="71" t="str">
        <f>IFERROR(__xludf.DUMMYFUNCTION("""COMPUTED_VALUE""")," OPRESOR ALLEN 5/16 X 1/2 INOX")</f>
        <v>OPRESOR ALLEN 5/16 X 1/2 INOX</v>
      </c>
      <c r="AT848" s="71">
        <f>IFERROR(__xludf.DUMMYFUNCTION("""COMPUTED_VALUE"""),29.0)</f>
        <v>29</v>
      </c>
      <c r="AU848" s="71"/>
      <c r="AV848" s="71"/>
      <c r="AW848" s="71"/>
      <c r="AX848" s="71"/>
      <c r="AY848" s="71">
        <f>IFERROR(__xludf.DUMMYFUNCTION("""COMPUTED_VALUE"""),20.0)</f>
        <v>20</v>
      </c>
      <c r="AZ848" s="71">
        <f>IFERROR(__xludf.DUMMYFUNCTION("""COMPUTED_VALUE"""),21.0)</f>
        <v>21</v>
      </c>
      <c r="BA848" s="71">
        <f>IFERROR(__xludf.DUMMYFUNCTION("""COMPUTED_VALUE"""),22.68)</f>
        <v>22.68</v>
      </c>
      <c r="BB848" s="71">
        <f>IFERROR(__xludf.DUMMYFUNCTION("""COMPUTED_VALUE"""),22.68)</f>
        <v>22.68</v>
      </c>
      <c r="BC848" s="71">
        <f>IFERROR(__xludf.DUMMYFUNCTION("""COMPUTED_VALUE"""),27.0)</f>
        <v>27</v>
      </c>
      <c r="BD848" s="71">
        <f>IFERROR(__xludf.DUMMYFUNCTION("""COMPUTED_VALUE"""),28.0)</f>
        <v>28</v>
      </c>
      <c r="BE848" s="71">
        <f>IFERROR(__xludf.DUMMYFUNCTION("""COMPUTED_VALUE"""),4.48)</f>
        <v>4.48</v>
      </c>
      <c r="BF848" s="71">
        <f>IFERROR(__xludf.DUMMYFUNCTION("""COMPUTED_VALUE"""),32.480000000000004)</f>
        <v>32.48</v>
      </c>
      <c r="BG848" s="71">
        <f>IFERROR(__xludf.DUMMYFUNCTION("""COMPUTED_VALUE"""),0.037037037037037035)</f>
        <v>0.03703703704</v>
      </c>
      <c r="BH848" s="71">
        <f>IFERROR(__xludf.DUMMYFUNCTION("""COMPUTED_VALUE"""),26.599999999999998)</f>
        <v>26.6</v>
      </c>
      <c r="BI848" s="71">
        <f>IFERROR(__xludf.DUMMYFUNCTION("""COMPUTED_VALUE"""),4.255999999999999)</f>
        <v>4.256</v>
      </c>
      <c r="BJ848" s="71">
        <f>IFERROR(__xludf.DUMMYFUNCTION("""COMPUTED_VALUE"""),30.855999999999998)</f>
        <v>30.856</v>
      </c>
      <c r="BK848" s="71">
        <f>IFERROR(__xludf.DUMMYFUNCTION("""COMPUTED_VALUE"""),25.2)</f>
        <v>25.2</v>
      </c>
      <c r="BL848" s="71">
        <f>IFERROR(__xludf.DUMMYFUNCTION("""COMPUTED_VALUE"""),4.032)</f>
        <v>4.032</v>
      </c>
      <c r="BM848" s="71">
        <f>IFERROR(__xludf.DUMMYFUNCTION("""COMPUTED_VALUE"""),29.232)</f>
        <v>29.232</v>
      </c>
      <c r="BN848" s="71">
        <f>IFERROR(__xludf.DUMMYFUNCTION("""COMPUTED_VALUE"""),23.8)</f>
        <v>23.8</v>
      </c>
      <c r="BO848" s="71">
        <f>IFERROR(__xludf.DUMMYFUNCTION("""COMPUTED_VALUE"""),3.8080000000000003)</f>
        <v>3.808</v>
      </c>
      <c r="BP848" s="71">
        <f>IFERROR(__xludf.DUMMYFUNCTION("""COMPUTED_VALUE"""),27.608)</f>
        <v>27.608</v>
      </c>
      <c r="BQ848" s="71">
        <f>IFERROR(__xludf.DUMMYFUNCTION("""COMPUTED_VALUE"""),23.24)</f>
        <v>23.24</v>
      </c>
      <c r="BR848" s="71">
        <f>IFERROR(__xludf.DUMMYFUNCTION("""COMPUTED_VALUE"""),3.7184)</f>
        <v>3.7184</v>
      </c>
      <c r="BS848" s="71">
        <f>IFERROR(__xludf.DUMMYFUNCTION("""COMPUTED_VALUE"""),26.958399999999997)</f>
        <v>26.9584</v>
      </c>
      <c r="BT848" s="71">
        <f>IFERROR(__xludf.DUMMYFUNCTION("""COMPUTED_VALUE"""),22.400000000000002)</f>
        <v>22.4</v>
      </c>
      <c r="BU848" s="71">
        <f>IFERROR(__xludf.DUMMYFUNCTION("""COMPUTED_VALUE"""),3.5840000000000005)</f>
        <v>3.584</v>
      </c>
      <c r="BV848" s="71">
        <f>IFERROR(__xludf.DUMMYFUNCTION("""COMPUTED_VALUE"""),25.984)</f>
        <v>25.984</v>
      </c>
    </row>
    <row r="849">
      <c r="A849" s="53">
        <v>1.0</v>
      </c>
      <c r="B849" s="53"/>
      <c r="C849" s="73" t="s">
        <v>53</v>
      </c>
      <c r="D849" s="74" t="s">
        <v>2053</v>
      </c>
      <c r="E849" s="54" t="s">
        <v>38</v>
      </c>
      <c r="F849" s="54" t="s">
        <v>42</v>
      </c>
      <c r="G849" s="54" t="s">
        <v>2054</v>
      </c>
      <c r="H849" s="54" t="s">
        <v>2055</v>
      </c>
      <c r="I849" s="54">
        <f t="shared" si="24"/>
        <v>40</v>
      </c>
      <c r="J849" s="56"/>
      <c r="K849" s="57"/>
      <c r="L849" s="87"/>
      <c r="M849" s="59"/>
      <c r="N849" s="60">
        <v>605.0</v>
      </c>
      <c r="O849" s="61">
        <v>653.0</v>
      </c>
      <c r="P849" s="62">
        <v>705.24</v>
      </c>
      <c r="Q849" s="63">
        <v>705.24</v>
      </c>
      <c r="R849" s="64">
        <v>786.0</v>
      </c>
      <c r="S849" s="111">
        <v>825.0</v>
      </c>
      <c r="T849" s="65">
        <f t="shared" si="2"/>
        <v>132</v>
      </c>
      <c r="U849" s="65">
        <f t="shared" si="3"/>
        <v>957</v>
      </c>
      <c r="V849" s="66">
        <f t="shared" si="4"/>
        <v>0.04961832061</v>
      </c>
      <c r="W849" s="67">
        <f t="shared" si="5"/>
        <v>783.75</v>
      </c>
      <c r="X849" s="67">
        <f t="shared" si="6"/>
        <v>125.4</v>
      </c>
      <c r="Y849" s="67">
        <f t="shared" si="7"/>
        <v>909.15</v>
      </c>
      <c r="Z849" s="67">
        <f t="shared" si="8"/>
        <v>742.5</v>
      </c>
      <c r="AA849" s="67">
        <f t="shared" si="9"/>
        <v>118.8</v>
      </c>
      <c r="AB849" s="67">
        <f t="shared" si="10"/>
        <v>861.3</v>
      </c>
      <c r="AC849" s="67">
        <f t="shared" si="11"/>
        <v>701.25</v>
      </c>
      <c r="AD849" s="67">
        <f t="shared" si="12"/>
        <v>112.2</v>
      </c>
      <c r="AE849" s="67">
        <f t="shared" si="13"/>
        <v>813.45</v>
      </c>
      <c r="AF849" s="67">
        <f t="shared" si="33"/>
        <v>684.75</v>
      </c>
      <c r="AG849" s="67">
        <f t="shared" si="15"/>
        <v>109.56</v>
      </c>
      <c r="AH849" s="67">
        <f t="shared" si="16"/>
        <v>794.31</v>
      </c>
      <c r="AI849" s="67">
        <f t="shared" si="17"/>
        <v>660</v>
      </c>
      <c r="AJ849" s="68">
        <f t="shared" si="31"/>
        <v>105.6</v>
      </c>
      <c r="AK849" s="68">
        <f t="shared" si="32"/>
        <v>765.6</v>
      </c>
      <c r="AL849" s="70">
        <f>IFERROR(__xludf.DUMMYFUNCTION("""COMPUTED_VALUE"""),1.0)</f>
        <v>1</v>
      </c>
      <c r="AM849" s="70"/>
      <c r="AN849" s="71" t="str">
        <f>IFERROR(__xludf.DUMMYFUNCTION("""COMPUTED_VALUE""")," C")</f>
        <v>C</v>
      </c>
      <c r="AO849" s="71" t="str">
        <f>IFERROR(__xludf.DUMMYFUNCTION("""COMPUTED_VALUE""")," OP05")</f>
        <v>OP05</v>
      </c>
      <c r="AP849" s="71" t="str">
        <f>IFERROR(__xludf.DUMMYFUNCTION("""COMPUTED_VALUE""")," PZA")</f>
        <v>PZA</v>
      </c>
      <c r="AQ849" s="71" t="str">
        <f>IFERROR(__xludf.DUMMYFUNCTION("""COMPUTED_VALUE""")," REF")</f>
        <v>REF</v>
      </c>
      <c r="AR849" s="71" t="str">
        <f>IFERROR(__xludf.DUMMYFUNCTION("""COMPUTED_VALUE""")," OPRESOR ALLEN 5/8 X 1/2")</f>
        <v>OPRESOR ALLEN 5/8 X 1/2</v>
      </c>
      <c r="AS849" s="71" t="str">
        <f>IFERROR(__xludf.DUMMYFUNCTION("""COMPUTED_VALUE""")," OPRESOR ALLEN 5/8 X 1/2")</f>
        <v>OPRESOR ALLEN 5/8 X 1/2</v>
      </c>
      <c r="AT849" s="71">
        <f>IFERROR(__xludf.DUMMYFUNCTION("""COMPUTED_VALUE"""),23.0)</f>
        <v>23</v>
      </c>
      <c r="AU849" s="71"/>
      <c r="AV849" s="71"/>
      <c r="AW849" s="71"/>
      <c r="AX849" s="71"/>
      <c r="AY849" s="71">
        <f>IFERROR(__xludf.DUMMYFUNCTION("""COMPUTED_VALUE"""),13.0)</f>
        <v>13</v>
      </c>
      <c r="AZ849" s="71">
        <f>IFERROR(__xludf.DUMMYFUNCTION("""COMPUTED_VALUE"""),14.0)</f>
        <v>14</v>
      </c>
      <c r="BA849" s="71">
        <f>IFERROR(__xludf.DUMMYFUNCTION("""COMPUTED_VALUE"""),15.120000000000001)</f>
        <v>15.12</v>
      </c>
      <c r="BB849" s="71">
        <f>IFERROR(__xludf.DUMMYFUNCTION("""COMPUTED_VALUE"""),15.120000000000001)</f>
        <v>15.12</v>
      </c>
      <c r="BC849" s="71">
        <f>IFERROR(__xludf.DUMMYFUNCTION("""COMPUTED_VALUE"""),18.0)</f>
        <v>18</v>
      </c>
      <c r="BD849" s="71">
        <f>IFERROR(__xludf.DUMMYFUNCTION("""COMPUTED_VALUE"""),18.900000000000002)</f>
        <v>18.9</v>
      </c>
      <c r="BE849" s="71">
        <f>IFERROR(__xludf.DUMMYFUNCTION("""COMPUTED_VALUE"""),3.0240000000000005)</f>
        <v>3.024</v>
      </c>
      <c r="BF849" s="71">
        <f>IFERROR(__xludf.DUMMYFUNCTION("""COMPUTED_VALUE"""),21.924000000000003)</f>
        <v>21.924</v>
      </c>
      <c r="BG849" s="71">
        <f>IFERROR(__xludf.DUMMYFUNCTION("""COMPUTED_VALUE"""),0.05000000000000012)</f>
        <v>0.05</v>
      </c>
      <c r="BH849" s="71">
        <f>IFERROR(__xludf.DUMMYFUNCTION("""COMPUTED_VALUE"""),17.955000000000002)</f>
        <v>17.955</v>
      </c>
      <c r="BI849" s="71">
        <f>IFERROR(__xludf.DUMMYFUNCTION("""COMPUTED_VALUE"""),2.8728000000000002)</f>
        <v>2.8728</v>
      </c>
      <c r="BJ849" s="71">
        <f>IFERROR(__xludf.DUMMYFUNCTION("""COMPUTED_VALUE"""),20.827800000000003)</f>
        <v>20.8278</v>
      </c>
      <c r="BK849" s="71">
        <f>IFERROR(__xludf.DUMMYFUNCTION("""COMPUTED_VALUE"""),17.01)</f>
        <v>17.01</v>
      </c>
      <c r="BL849" s="71">
        <f>IFERROR(__xludf.DUMMYFUNCTION("""COMPUTED_VALUE"""),2.7216000000000005)</f>
        <v>2.7216</v>
      </c>
      <c r="BM849" s="71">
        <f>IFERROR(__xludf.DUMMYFUNCTION("""COMPUTED_VALUE"""),19.7316)</f>
        <v>19.7316</v>
      </c>
      <c r="BN849" s="71">
        <f>IFERROR(__xludf.DUMMYFUNCTION("""COMPUTED_VALUE"""),16.065)</f>
        <v>16.065</v>
      </c>
      <c r="BO849" s="71">
        <f>IFERROR(__xludf.DUMMYFUNCTION("""COMPUTED_VALUE"""),2.5704000000000002)</f>
        <v>2.5704</v>
      </c>
      <c r="BP849" s="71">
        <f>IFERROR(__xludf.DUMMYFUNCTION("""COMPUTED_VALUE"""),18.6354)</f>
        <v>18.6354</v>
      </c>
      <c r="BQ849" s="71">
        <f>IFERROR(__xludf.DUMMYFUNCTION("""COMPUTED_VALUE"""),15.687000000000001)</f>
        <v>15.687</v>
      </c>
      <c r="BR849" s="71">
        <f>IFERROR(__xludf.DUMMYFUNCTION("""COMPUTED_VALUE"""),2.50992)</f>
        <v>2.50992</v>
      </c>
      <c r="BS849" s="71">
        <f>IFERROR(__xludf.DUMMYFUNCTION("""COMPUTED_VALUE"""),18.196920000000002)</f>
        <v>18.19692</v>
      </c>
      <c r="BT849" s="71">
        <f>IFERROR(__xludf.DUMMYFUNCTION("""COMPUTED_VALUE"""),15.120000000000003)</f>
        <v>15.12</v>
      </c>
      <c r="BU849" s="71">
        <f>IFERROR(__xludf.DUMMYFUNCTION("""COMPUTED_VALUE"""),2.4192000000000005)</f>
        <v>2.4192</v>
      </c>
      <c r="BV849" s="71">
        <f>IFERROR(__xludf.DUMMYFUNCTION("""COMPUTED_VALUE"""),17.539200000000005)</f>
        <v>17.5392</v>
      </c>
    </row>
    <row r="850">
      <c r="A850" s="53"/>
      <c r="B850" s="53"/>
      <c r="C850" s="73" t="s">
        <v>53</v>
      </c>
      <c r="D850" s="53" t="s">
        <v>2056</v>
      </c>
      <c r="E850" s="54" t="s">
        <v>38</v>
      </c>
      <c r="F850" s="55" t="s">
        <v>309</v>
      </c>
      <c r="G850" s="54" t="s">
        <v>2057</v>
      </c>
      <c r="H850" s="55"/>
      <c r="I850" s="54">
        <f t="shared" si="24"/>
        <v>0</v>
      </c>
      <c r="J850" s="56"/>
      <c r="K850" s="57"/>
      <c r="L850" s="76"/>
      <c r="M850" s="59"/>
      <c r="N850" s="60"/>
      <c r="O850" s="90">
        <v>218.0</v>
      </c>
      <c r="P850" s="62">
        <v>235.44000000000003</v>
      </c>
      <c r="Q850" s="63">
        <v>235.44000000000003</v>
      </c>
      <c r="R850" s="64">
        <v>263.0</v>
      </c>
      <c r="S850" s="111">
        <v>276.0</v>
      </c>
      <c r="T850" s="65">
        <f t="shared" si="2"/>
        <v>44.16</v>
      </c>
      <c r="U850" s="65">
        <f t="shared" si="3"/>
        <v>320.16</v>
      </c>
      <c r="V850" s="66">
        <f t="shared" si="4"/>
        <v>0.04942965779</v>
      </c>
      <c r="W850" s="67">
        <f t="shared" si="5"/>
        <v>262.2</v>
      </c>
      <c r="X850" s="67">
        <f t="shared" si="6"/>
        <v>41.952</v>
      </c>
      <c r="Y850" s="67">
        <f t="shared" si="7"/>
        <v>304.152</v>
      </c>
      <c r="Z850" s="67">
        <f t="shared" si="8"/>
        <v>248.4</v>
      </c>
      <c r="AA850" s="67">
        <f t="shared" si="9"/>
        <v>39.744</v>
      </c>
      <c r="AB850" s="67">
        <f t="shared" si="10"/>
        <v>288.144</v>
      </c>
      <c r="AC850" s="67">
        <f t="shared" si="11"/>
        <v>234.6</v>
      </c>
      <c r="AD850" s="67">
        <f t="shared" si="12"/>
        <v>37.536</v>
      </c>
      <c r="AE850" s="67">
        <f t="shared" si="13"/>
        <v>272.136</v>
      </c>
      <c r="AF850" s="67">
        <f t="shared" si="33"/>
        <v>229.08</v>
      </c>
      <c r="AG850" s="67">
        <f t="shared" si="15"/>
        <v>36.6528</v>
      </c>
      <c r="AH850" s="67">
        <f t="shared" si="16"/>
        <v>265.7328</v>
      </c>
      <c r="AI850" s="67">
        <f t="shared" si="17"/>
        <v>220.8</v>
      </c>
      <c r="AJ850" s="68">
        <f t="shared" si="31"/>
        <v>35.328</v>
      </c>
      <c r="AK850" s="68">
        <f t="shared" si="32"/>
        <v>256.128</v>
      </c>
      <c r="AL850" s="70">
        <f>IFERROR(__xludf.DUMMYFUNCTION("""COMPUTED_VALUE"""),1.0)</f>
        <v>1</v>
      </c>
      <c r="AM850" s="70"/>
      <c r="AN850" s="71" t="str">
        <f>IFERROR(__xludf.DUMMYFUNCTION("""COMPUTED_VALUE""")," C")</f>
        <v>C</v>
      </c>
      <c r="AO850" s="71" t="str">
        <f>IFERROR(__xludf.DUMMYFUNCTION("""COMPUTED_VALUE""")," OP93")</f>
        <v>OP93</v>
      </c>
      <c r="AP850" s="71" t="str">
        <f>IFERROR(__xludf.DUMMYFUNCTION("""COMPUTED_VALUE""")," PZA")</f>
        <v>PZA</v>
      </c>
      <c r="AQ850" s="71" t="str">
        <f>IFERROR(__xludf.DUMMYFUNCTION("""COMPUTED_VALUE""")," REF")</f>
        <v>REF</v>
      </c>
      <c r="AR850" s="71" t="str">
        <f>IFERROR(__xludf.DUMMYFUNCTION("""COMPUTED_VALUE""")," OPRESOR SET 3/8X1"" (CABEZA CUADRADA) EN ACERO INOX. T-304 GRADO ALIMENTICIO")</f>
        <v>OPRESOR SET 3/8X1" (CABEZA CUADRADA) EN ACERO INOX. T-304 GRADO ALIMENTICIO</v>
      </c>
      <c r="AS850" s="71" t="str">
        <f>IFERROR(__xludf.DUMMYFUNCTION("""COMPUTED_VALUE""")," OPRESOR ALLEN 3/8 X 1 CBEZA CUADRAD INOX")</f>
        <v>OPRESOR ALLEN 3/8 X 1 CBEZA CUADRAD INOX</v>
      </c>
      <c r="AT850" s="71">
        <f>IFERROR(__xludf.DUMMYFUNCTION("""COMPUTED_VALUE"""),40.0)</f>
        <v>40</v>
      </c>
      <c r="AU850" s="71"/>
      <c r="AV850" s="71"/>
      <c r="AW850" s="71"/>
      <c r="AX850" s="71"/>
      <c r="AY850" s="71">
        <f>IFERROR(__xludf.DUMMYFUNCTION("""COMPUTED_VALUE"""),26.0)</f>
        <v>26</v>
      </c>
      <c r="AZ850" s="71">
        <f>IFERROR(__xludf.DUMMYFUNCTION("""COMPUTED_VALUE"""),64.0)</f>
        <v>64</v>
      </c>
      <c r="BA850" s="71">
        <f>IFERROR(__xludf.DUMMYFUNCTION("""COMPUTED_VALUE"""),69.12)</f>
        <v>69.12</v>
      </c>
      <c r="BB850" s="71">
        <f>IFERROR(__xludf.DUMMYFUNCTION("""COMPUTED_VALUE"""),69.12)</f>
        <v>69.12</v>
      </c>
      <c r="BC850" s="71">
        <f>IFERROR(__xludf.DUMMYFUNCTION("""COMPUTED_VALUE"""),78.0)</f>
        <v>78</v>
      </c>
      <c r="BD850" s="71">
        <f>IFERROR(__xludf.DUMMYFUNCTION("""COMPUTED_VALUE"""),82.0)</f>
        <v>82</v>
      </c>
      <c r="BE850" s="71">
        <f>IFERROR(__xludf.DUMMYFUNCTION("""COMPUTED_VALUE"""),13.120000000000001)</f>
        <v>13.12</v>
      </c>
      <c r="BF850" s="71">
        <f>IFERROR(__xludf.DUMMYFUNCTION("""COMPUTED_VALUE"""),95.12)</f>
        <v>95.12</v>
      </c>
      <c r="BG850" s="71">
        <f>IFERROR(__xludf.DUMMYFUNCTION("""COMPUTED_VALUE"""),0.05128205128205128)</f>
        <v>0.05128205128</v>
      </c>
      <c r="BH850" s="71">
        <f>IFERROR(__xludf.DUMMYFUNCTION("""COMPUTED_VALUE"""),77.89999999999999)</f>
        <v>77.9</v>
      </c>
      <c r="BI850" s="71">
        <f>IFERROR(__xludf.DUMMYFUNCTION("""COMPUTED_VALUE"""),12.463999999999999)</f>
        <v>12.464</v>
      </c>
      <c r="BJ850" s="71">
        <f>IFERROR(__xludf.DUMMYFUNCTION("""COMPUTED_VALUE"""),90.36399999999999)</f>
        <v>90.364</v>
      </c>
      <c r="BK850" s="71">
        <f>IFERROR(__xludf.DUMMYFUNCTION("""COMPUTED_VALUE"""),73.8)</f>
        <v>73.8</v>
      </c>
      <c r="BL850" s="71">
        <f>IFERROR(__xludf.DUMMYFUNCTION("""COMPUTED_VALUE"""),11.808)</f>
        <v>11.808</v>
      </c>
      <c r="BM850" s="71">
        <f>IFERROR(__xludf.DUMMYFUNCTION("""COMPUTED_VALUE"""),85.608)</f>
        <v>85.608</v>
      </c>
      <c r="BN850" s="71">
        <f>IFERROR(__xludf.DUMMYFUNCTION("""COMPUTED_VALUE"""),69.7)</f>
        <v>69.7</v>
      </c>
      <c r="BO850" s="71">
        <f>IFERROR(__xludf.DUMMYFUNCTION("""COMPUTED_VALUE"""),11.152000000000001)</f>
        <v>11.152</v>
      </c>
      <c r="BP850" s="71">
        <f>IFERROR(__xludf.DUMMYFUNCTION("""COMPUTED_VALUE"""),80.852)</f>
        <v>80.852</v>
      </c>
      <c r="BQ850" s="71">
        <f>IFERROR(__xludf.DUMMYFUNCTION("""COMPUTED_VALUE"""),68.06)</f>
        <v>68.06</v>
      </c>
      <c r="BR850" s="71">
        <f>IFERROR(__xludf.DUMMYFUNCTION("""COMPUTED_VALUE"""),10.8896)</f>
        <v>10.8896</v>
      </c>
      <c r="BS850" s="71">
        <f>IFERROR(__xludf.DUMMYFUNCTION("""COMPUTED_VALUE"""),78.9496)</f>
        <v>78.9496</v>
      </c>
      <c r="BT850" s="71">
        <f>IFERROR(__xludf.DUMMYFUNCTION("""COMPUTED_VALUE"""),65.60000000000001)</f>
        <v>65.6</v>
      </c>
      <c r="BU850" s="71">
        <f>IFERROR(__xludf.DUMMYFUNCTION("""COMPUTED_VALUE"""),10.496000000000002)</f>
        <v>10.496</v>
      </c>
      <c r="BV850" s="71">
        <f>IFERROR(__xludf.DUMMYFUNCTION("""COMPUTED_VALUE"""),76.096)</f>
        <v>76.096</v>
      </c>
    </row>
    <row r="851">
      <c r="A851" s="53">
        <v>1.0</v>
      </c>
      <c r="B851" s="72"/>
      <c r="C851" s="73" t="s">
        <v>53</v>
      </c>
      <c r="D851" s="74" t="s">
        <v>2058</v>
      </c>
      <c r="E851" s="54" t="s">
        <v>38</v>
      </c>
      <c r="F851" s="54" t="s">
        <v>42</v>
      </c>
      <c r="G851" s="88" t="s">
        <v>2059</v>
      </c>
      <c r="H851" s="54" t="s">
        <v>2060</v>
      </c>
      <c r="I851" s="54">
        <f t="shared" si="24"/>
        <v>38</v>
      </c>
      <c r="J851" s="56"/>
      <c r="K851" s="75"/>
      <c r="L851" s="76"/>
      <c r="M851" s="59"/>
      <c r="N851" s="60">
        <v>202.0</v>
      </c>
      <c r="O851" s="61">
        <v>218.0</v>
      </c>
      <c r="P851" s="62">
        <v>235.44000000000003</v>
      </c>
      <c r="Q851" s="63">
        <v>235.44000000000003</v>
      </c>
      <c r="R851" s="64">
        <v>263.0</v>
      </c>
      <c r="S851" s="111">
        <v>276.0</v>
      </c>
      <c r="T851" s="65">
        <f t="shared" si="2"/>
        <v>44.16</v>
      </c>
      <c r="U851" s="65">
        <f t="shared" si="3"/>
        <v>320.16</v>
      </c>
      <c r="V851" s="66">
        <f t="shared" si="4"/>
        <v>0.04942965779</v>
      </c>
      <c r="W851" s="67">
        <f t="shared" si="5"/>
        <v>262.2</v>
      </c>
      <c r="X851" s="67">
        <f t="shared" si="6"/>
        <v>41.952</v>
      </c>
      <c r="Y851" s="67">
        <f t="shared" si="7"/>
        <v>304.152</v>
      </c>
      <c r="Z851" s="67">
        <f t="shared" si="8"/>
        <v>248.4</v>
      </c>
      <c r="AA851" s="67">
        <f t="shared" si="9"/>
        <v>39.744</v>
      </c>
      <c r="AB851" s="67">
        <f t="shared" si="10"/>
        <v>288.144</v>
      </c>
      <c r="AC851" s="67">
        <f t="shared" si="11"/>
        <v>234.6</v>
      </c>
      <c r="AD851" s="67">
        <f t="shared" si="12"/>
        <v>37.536</v>
      </c>
      <c r="AE851" s="67">
        <f t="shared" si="13"/>
        <v>272.136</v>
      </c>
      <c r="AF851" s="67">
        <f t="shared" si="33"/>
        <v>229.08</v>
      </c>
      <c r="AG851" s="67">
        <f t="shared" si="15"/>
        <v>36.6528</v>
      </c>
      <c r="AH851" s="67">
        <f t="shared" si="16"/>
        <v>265.7328</v>
      </c>
      <c r="AI851" s="67">
        <f t="shared" si="17"/>
        <v>220.8</v>
      </c>
      <c r="AJ851" s="68">
        <f t="shared" si="31"/>
        <v>35.328</v>
      </c>
      <c r="AK851" s="68">
        <f t="shared" si="32"/>
        <v>256.128</v>
      </c>
      <c r="AL851" s="70">
        <f>IFERROR(__xludf.DUMMYFUNCTION("""COMPUTED_VALUE"""),1.0)</f>
        <v>1</v>
      </c>
      <c r="AM851" s="70"/>
      <c r="AN851" s="71" t="str">
        <f>IFERROR(__xludf.DUMMYFUNCTION("""COMPUTED_VALUE""")," C")</f>
        <v>C</v>
      </c>
      <c r="AO851" s="71" t="str">
        <f>IFERROR(__xludf.DUMMYFUNCTION("""COMPUTED_VALUE""")," OP97")</f>
        <v>OP97</v>
      </c>
      <c r="AP851" s="71" t="str">
        <f>IFERROR(__xludf.DUMMYFUNCTION("""COMPUTED_VALUE""")," PZA")</f>
        <v>PZA</v>
      </c>
      <c r="AQ851" s="71" t="str">
        <f>IFERROR(__xludf.DUMMYFUNCTION("""COMPUTED_VALUE""")," REF")</f>
        <v>REF</v>
      </c>
      <c r="AR851" s="71" t="str">
        <f>IFERROR(__xludf.DUMMYFUNCTION("""COMPUTED_VALUE""")," OPRESOR SET 3/8X11/2 (CABEZA CUADRADA) EN ACERO INOX. T-304 GRADO ALIMENTICIO")</f>
        <v>OPRESOR SET 3/8X11/2 (CABEZA CUADRADA) EN ACERO INOX. T-304 GRADO ALIMENTICIO</v>
      </c>
      <c r="AS851" s="71" t="str">
        <f>IFERROR(__xludf.DUMMYFUNCTION("""COMPUTED_VALUE""")," OPRESOR SET 3/8 X 1 1/2 CABEZA CUAD INOX")</f>
        <v>OPRESOR SET 3/8 X 1 1/2 CABEZA CUAD INOX</v>
      </c>
      <c r="AT851" s="71">
        <f>IFERROR(__xludf.DUMMYFUNCTION("""COMPUTED_VALUE"""),40.0)</f>
        <v>40</v>
      </c>
      <c r="AU851" s="71"/>
      <c r="AV851" s="71"/>
      <c r="AW851" s="71"/>
      <c r="AX851" s="71"/>
      <c r="AY851" s="71">
        <f>IFERROR(__xludf.DUMMYFUNCTION("""COMPUTED_VALUE"""),54.0)</f>
        <v>54</v>
      </c>
      <c r="AZ851" s="71">
        <f>IFERROR(__xludf.DUMMYFUNCTION("""COMPUTED_VALUE"""),102.0)</f>
        <v>102</v>
      </c>
      <c r="BA851" s="71">
        <f>IFERROR(__xludf.DUMMYFUNCTION("""COMPUTED_VALUE"""),110.16000000000001)</f>
        <v>110.16</v>
      </c>
      <c r="BB851" s="71">
        <f>IFERROR(__xludf.DUMMYFUNCTION("""COMPUTED_VALUE"""),110.16000000000001)</f>
        <v>110.16</v>
      </c>
      <c r="BC851" s="71">
        <f>IFERROR(__xludf.DUMMYFUNCTION("""COMPUTED_VALUE"""),123.0)</f>
        <v>123</v>
      </c>
      <c r="BD851" s="71">
        <f>IFERROR(__xludf.DUMMYFUNCTION("""COMPUTED_VALUE"""),129.0)</f>
        <v>129</v>
      </c>
      <c r="BE851" s="71">
        <f>IFERROR(__xludf.DUMMYFUNCTION("""COMPUTED_VALUE"""),20.64)</f>
        <v>20.64</v>
      </c>
      <c r="BF851" s="71">
        <f>IFERROR(__xludf.DUMMYFUNCTION("""COMPUTED_VALUE"""),149.64)</f>
        <v>149.64</v>
      </c>
      <c r="BG851" s="71">
        <f>IFERROR(__xludf.DUMMYFUNCTION("""COMPUTED_VALUE"""),0.04878048780487805)</f>
        <v>0.0487804878</v>
      </c>
      <c r="BH851" s="71">
        <f>IFERROR(__xludf.DUMMYFUNCTION("""COMPUTED_VALUE"""),122.55)</f>
        <v>122.55</v>
      </c>
      <c r="BI851" s="71">
        <f>IFERROR(__xludf.DUMMYFUNCTION("""COMPUTED_VALUE"""),19.608)</f>
        <v>19.608</v>
      </c>
      <c r="BJ851" s="71">
        <f>IFERROR(__xludf.DUMMYFUNCTION("""COMPUTED_VALUE"""),142.158)</f>
        <v>142.158</v>
      </c>
      <c r="BK851" s="71">
        <f>IFERROR(__xludf.DUMMYFUNCTION("""COMPUTED_VALUE"""),116.10000000000001)</f>
        <v>116.1</v>
      </c>
      <c r="BL851" s="71">
        <f>IFERROR(__xludf.DUMMYFUNCTION("""COMPUTED_VALUE"""),18.576)</f>
        <v>18.576</v>
      </c>
      <c r="BM851" s="71">
        <f>IFERROR(__xludf.DUMMYFUNCTION("""COMPUTED_VALUE"""),134.67600000000002)</f>
        <v>134.676</v>
      </c>
      <c r="BN851" s="71">
        <f>IFERROR(__xludf.DUMMYFUNCTION("""COMPUTED_VALUE"""),109.64999999999999)</f>
        <v>109.65</v>
      </c>
      <c r="BO851" s="71">
        <f>IFERROR(__xludf.DUMMYFUNCTION("""COMPUTED_VALUE"""),17.544)</f>
        <v>17.544</v>
      </c>
      <c r="BP851" s="71">
        <f>IFERROR(__xludf.DUMMYFUNCTION("""COMPUTED_VALUE"""),127.19399999999999)</f>
        <v>127.194</v>
      </c>
      <c r="BQ851" s="71">
        <f>IFERROR(__xludf.DUMMYFUNCTION("""COMPUTED_VALUE"""),107.07)</f>
        <v>107.07</v>
      </c>
      <c r="BR851" s="71">
        <f>IFERROR(__xludf.DUMMYFUNCTION("""COMPUTED_VALUE"""),17.1312)</f>
        <v>17.1312</v>
      </c>
      <c r="BS851" s="71">
        <f>IFERROR(__xludf.DUMMYFUNCTION("""COMPUTED_VALUE"""),124.2012)</f>
        <v>124.2012</v>
      </c>
      <c r="BT851" s="71">
        <f>IFERROR(__xludf.DUMMYFUNCTION("""COMPUTED_VALUE"""),103.2)</f>
        <v>103.2</v>
      </c>
      <c r="BU851" s="71">
        <f>IFERROR(__xludf.DUMMYFUNCTION("""COMPUTED_VALUE"""),16.512)</f>
        <v>16.512</v>
      </c>
      <c r="BV851" s="71">
        <f>IFERROR(__xludf.DUMMYFUNCTION("""COMPUTED_VALUE"""),119.712)</f>
        <v>119.712</v>
      </c>
    </row>
    <row r="852">
      <c r="A852" s="53"/>
      <c r="B852" s="53"/>
      <c r="C852" s="73" t="s">
        <v>53</v>
      </c>
      <c r="D852" s="53" t="s">
        <v>2061</v>
      </c>
      <c r="E852" s="54" t="s">
        <v>38</v>
      </c>
      <c r="F852" s="54" t="s">
        <v>42</v>
      </c>
      <c r="G852" s="55" t="s">
        <v>2062</v>
      </c>
      <c r="H852" s="54" t="s">
        <v>2062</v>
      </c>
      <c r="I852" s="54">
        <f t="shared" si="24"/>
        <v>29</v>
      </c>
      <c r="J852" s="56"/>
      <c r="K852" s="75"/>
      <c r="L852" s="76"/>
      <c r="M852" s="59"/>
      <c r="N852" s="79">
        <v>850.0</v>
      </c>
      <c r="O852" s="61">
        <v>918.0</v>
      </c>
      <c r="P852" s="63">
        <v>991.44</v>
      </c>
      <c r="Q852" s="63">
        <v>991.44</v>
      </c>
      <c r="R852" s="64">
        <v>1041.0</v>
      </c>
      <c r="S852" s="111">
        <v>1093.0</v>
      </c>
      <c r="T852" s="65">
        <f t="shared" si="2"/>
        <v>174.88</v>
      </c>
      <c r="U852" s="65">
        <f t="shared" si="3"/>
        <v>1267.88</v>
      </c>
      <c r="V852" s="66">
        <f t="shared" si="4"/>
        <v>0.04995196926</v>
      </c>
      <c r="W852" s="67">
        <f t="shared" si="5"/>
        <v>1038.35</v>
      </c>
      <c r="X852" s="67">
        <f t="shared" si="6"/>
        <v>166.136</v>
      </c>
      <c r="Y852" s="67">
        <f t="shared" si="7"/>
        <v>1204.486</v>
      </c>
      <c r="Z852" s="67">
        <f t="shared" si="8"/>
        <v>983.7</v>
      </c>
      <c r="AA852" s="67">
        <f t="shared" si="9"/>
        <v>157.392</v>
      </c>
      <c r="AB852" s="67">
        <f t="shared" si="10"/>
        <v>1141.092</v>
      </c>
      <c r="AC852" s="67">
        <f t="shared" si="11"/>
        <v>929.05</v>
      </c>
      <c r="AD852" s="67">
        <f t="shared" si="12"/>
        <v>148.648</v>
      </c>
      <c r="AE852" s="67">
        <f t="shared" si="13"/>
        <v>1077.698</v>
      </c>
      <c r="AF852" s="67">
        <f t="shared" si="33"/>
        <v>907.19</v>
      </c>
      <c r="AG852" s="67">
        <f t="shared" si="15"/>
        <v>145.1504</v>
      </c>
      <c r="AH852" s="67">
        <f t="shared" si="16"/>
        <v>1052.3404</v>
      </c>
      <c r="AI852" s="67">
        <f t="shared" si="17"/>
        <v>874.4</v>
      </c>
      <c r="AJ852" s="68">
        <f t="shared" si="31"/>
        <v>139.904</v>
      </c>
      <c r="AK852" s="68">
        <f t="shared" si="32"/>
        <v>1014.304</v>
      </c>
      <c r="AL852" s="70">
        <f>IFERROR(__xludf.DUMMYFUNCTION("""COMPUTED_VALUE"""),1.0)</f>
        <v>1</v>
      </c>
      <c r="AM852" s="70"/>
      <c r="AN852" s="71" t="str">
        <f>IFERROR(__xludf.DUMMYFUNCTION("""COMPUTED_VALUE""")," C")</f>
        <v>C</v>
      </c>
      <c r="AO852" s="71" t="str">
        <f>IFERROR(__xludf.DUMMYFUNCTION("""COMPUTED_VALUE""")," OP98")</f>
        <v>OP98</v>
      </c>
      <c r="AP852" s="71" t="str">
        <f>IFERROR(__xludf.DUMMYFUNCTION("""COMPUTED_VALUE""")," PZA")</f>
        <v>PZA</v>
      </c>
      <c r="AQ852" s="71" t="str">
        <f>IFERROR(__xludf.DUMMYFUNCTION("""COMPUTED_VALUE""")," REF")</f>
        <v>REF</v>
      </c>
      <c r="AR852" s="71" t="str">
        <f>IFERROR(__xludf.DUMMYFUNCTION("""COMPUTED_VALUE""")," OPRESOR SET 3/8X11/4 (CABEZA CUADRADA) EN ACERO INOX. T-304 GRADO ALIMENTICIO")</f>
        <v>OPRESOR SET 3/8X11/4 (CABEZA CUADRADA) EN ACERO INOX. T-304 GRADO ALIMENTICIO</v>
      </c>
      <c r="AS852" s="71" t="str">
        <f>IFERROR(__xludf.DUMMYFUNCTION("""COMPUTED_VALUE""")," OPRESOR SET 3/8 X 1 1/4 CABEZA CUAD INOX")</f>
        <v>OPRESOR SET 3/8 X 1 1/4 CABEZA CUAD INOX</v>
      </c>
      <c r="AT852" s="71">
        <f>IFERROR(__xludf.DUMMYFUNCTION("""COMPUTED_VALUE"""),40.0)</f>
        <v>40</v>
      </c>
      <c r="AU852" s="71"/>
      <c r="AV852" s="71"/>
      <c r="AW852" s="71"/>
      <c r="AX852" s="71"/>
      <c r="AY852" s="71">
        <f>IFERROR(__xludf.DUMMYFUNCTION("""COMPUTED_VALUE"""),46.0)</f>
        <v>46</v>
      </c>
      <c r="AZ852" s="71">
        <f>IFERROR(__xludf.DUMMYFUNCTION("""COMPUTED_VALUE"""),49.0)</f>
        <v>49</v>
      </c>
      <c r="BA852" s="71">
        <f>IFERROR(__xludf.DUMMYFUNCTION("""COMPUTED_VALUE"""),52.92)</f>
        <v>52.92</v>
      </c>
      <c r="BB852" s="71">
        <f>IFERROR(__xludf.DUMMYFUNCTION("""COMPUTED_VALUE"""),52.92)</f>
        <v>52.92</v>
      </c>
      <c r="BC852" s="71">
        <f>IFERROR(__xludf.DUMMYFUNCTION("""COMPUTED_VALUE"""),56.0)</f>
        <v>56</v>
      </c>
      <c r="BD852" s="71">
        <f>IFERROR(__xludf.DUMMYFUNCTION("""COMPUTED_VALUE"""),59.0)</f>
        <v>59</v>
      </c>
      <c r="BE852" s="71">
        <f>IFERROR(__xludf.DUMMYFUNCTION("""COMPUTED_VALUE"""),9.44)</f>
        <v>9.44</v>
      </c>
      <c r="BF852" s="71">
        <f>IFERROR(__xludf.DUMMYFUNCTION("""COMPUTED_VALUE"""),68.44)</f>
        <v>68.44</v>
      </c>
      <c r="BG852" s="71">
        <f>IFERROR(__xludf.DUMMYFUNCTION("""COMPUTED_VALUE"""),0.05357142857142857)</f>
        <v>0.05357142857</v>
      </c>
      <c r="BH852" s="71">
        <f>IFERROR(__xludf.DUMMYFUNCTION("""COMPUTED_VALUE"""),56.05)</f>
        <v>56.05</v>
      </c>
      <c r="BI852" s="71">
        <f>IFERROR(__xludf.DUMMYFUNCTION("""COMPUTED_VALUE"""),8.968)</f>
        <v>8.968</v>
      </c>
      <c r="BJ852" s="71">
        <f>IFERROR(__xludf.DUMMYFUNCTION("""COMPUTED_VALUE"""),65.018)</f>
        <v>65.018</v>
      </c>
      <c r="BK852" s="71">
        <f>IFERROR(__xludf.DUMMYFUNCTION("""COMPUTED_VALUE"""),53.1)</f>
        <v>53.1</v>
      </c>
      <c r="BL852" s="71">
        <f>IFERROR(__xludf.DUMMYFUNCTION("""COMPUTED_VALUE"""),8.496)</f>
        <v>8.496</v>
      </c>
      <c r="BM852" s="71">
        <f>IFERROR(__xludf.DUMMYFUNCTION("""COMPUTED_VALUE"""),61.596000000000004)</f>
        <v>61.596</v>
      </c>
      <c r="BN852" s="71">
        <f>IFERROR(__xludf.DUMMYFUNCTION("""COMPUTED_VALUE"""),50.15)</f>
        <v>50.15</v>
      </c>
      <c r="BO852" s="71">
        <f>IFERROR(__xludf.DUMMYFUNCTION("""COMPUTED_VALUE"""),8.024)</f>
        <v>8.024</v>
      </c>
      <c r="BP852" s="71">
        <f>IFERROR(__xludf.DUMMYFUNCTION("""COMPUTED_VALUE"""),58.174)</f>
        <v>58.174</v>
      </c>
      <c r="BQ852" s="71">
        <f>IFERROR(__xludf.DUMMYFUNCTION("""COMPUTED_VALUE"""),48.97)</f>
        <v>48.97</v>
      </c>
      <c r="BR852" s="71">
        <f>IFERROR(__xludf.DUMMYFUNCTION("""COMPUTED_VALUE"""),7.8352)</f>
        <v>7.8352</v>
      </c>
      <c r="BS852" s="71">
        <f>IFERROR(__xludf.DUMMYFUNCTION("""COMPUTED_VALUE"""),56.8052)</f>
        <v>56.8052</v>
      </c>
      <c r="BT852" s="71">
        <f>IFERROR(__xludf.DUMMYFUNCTION("""COMPUTED_VALUE"""),47.2)</f>
        <v>47.2</v>
      </c>
      <c r="BU852" s="71">
        <f>IFERROR(__xludf.DUMMYFUNCTION("""COMPUTED_VALUE"""),7.5520000000000005)</f>
        <v>7.552</v>
      </c>
      <c r="BV852" s="71">
        <f>IFERROR(__xludf.DUMMYFUNCTION("""COMPUTED_VALUE"""),54.752)</f>
        <v>54.752</v>
      </c>
    </row>
    <row r="853">
      <c r="A853" s="53">
        <v>1.0</v>
      </c>
      <c r="B853" s="148"/>
      <c r="C853" s="73" t="s">
        <v>53</v>
      </c>
      <c r="D853" s="73" t="s">
        <v>2063</v>
      </c>
      <c r="E853" s="54" t="s">
        <v>38</v>
      </c>
      <c r="F853" s="54" t="s">
        <v>42</v>
      </c>
      <c r="G853" s="55" t="s">
        <v>2064</v>
      </c>
      <c r="H853" s="54" t="s">
        <v>2064</v>
      </c>
      <c r="I853" s="54">
        <f t="shared" si="24"/>
        <v>35</v>
      </c>
      <c r="J853" s="56"/>
      <c r="K853" s="57"/>
      <c r="L853" s="87"/>
      <c r="M853" s="59"/>
      <c r="N853" s="60">
        <v>412.0</v>
      </c>
      <c r="O853" s="61">
        <v>444.0</v>
      </c>
      <c r="P853" s="62">
        <v>479.52000000000004</v>
      </c>
      <c r="Q853" s="63">
        <v>479.52000000000004</v>
      </c>
      <c r="R853" s="64">
        <v>530.0</v>
      </c>
      <c r="S853" s="111">
        <v>557.0</v>
      </c>
      <c r="T853" s="65">
        <f t="shared" si="2"/>
        <v>89.12</v>
      </c>
      <c r="U853" s="65">
        <f t="shared" si="3"/>
        <v>646.12</v>
      </c>
      <c r="V853" s="66">
        <f t="shared" si="4"/>
        <v>0.05094339623</v>
      </c>
      <c r="W853" s="67">
        <f t="shared" si="5"/>
        <v>529.15</v>
      </c>
      <c r="X853" s="67">
        <f t="shared" si="6"/>
        <v>84.664</v>
      </c>
      <c r="Y853" s="67">
        <f t="shared" si="7"/>
        <v>613.814</v>
      </c>
      <c r="Z853" s="67">
        <f t="shared" si="8"/>
        <v>501.3</v>
      </c>
      <c r="AA853" s="67">
        <f t="shared" si="9"/>
        <v>80.208</v>
      </c>
      <c r="AB853" s="67">
        <f t="shared" si="10"/>
        <v>581.508</v>
      </c>
      <c r="AC853" s="67">
        <f t="shared" si="11"/>
        <v>473.45</v>
      </c>
      <c r="AD853" s="67">
        <f t="shared" si="12"/>
        <v>75.752</v>
      </c>
      <c r="AE853" s="67">
        <f t="shared" si="13"/>
        <v>549.202</v>
      </c>
      <c r="AF853" s="67">
        <f t="shared" si="33"/>
        <v>462.31</v>
      </c>
      <c r="AG853" s="67">
        <f t="shared" si="15"/>
        <v>73.9696</v>
      </c>
      <c r="AH853" s="67">
        <f t="shared" si="16"/>
        <v>536.2796</v>
      </c>
      <c r="AI853" s="67">
        <f t="shared" si="17"/>
        <v>445.6</v>
      </c>
      <c r="AJ853" s="68">
        <f t="shared" si="31"/>
        <v>71.296</v>
      </c>
      <c r="AK853" s="68">
        <f t="shared" si="32"/>
        <v>516.896</v>
      </c>
      <c r="AL853" s="70">
        <f>IFERROR(__xludf.DUMMYFUNCTION("""COMPUTED_VALUE"""),1.0)</f>
        <v>1</v>
      </c>
      <c r="AM853" s="70"/>
      <c r="AN853" s="71" t="str">
        <f>IFERROR(__xludf.DUMMYFUNCTION("""COMPUTED_VALUE""")," C")</f>
        <v>C</v>
      </c>
      <c r="AO853" s="71" t="str">
        <f>IFERROR(__xludf.DUMMYFUNCTION("""COMPUTED_VALUE""")," OP99")</f>
        <v>OP99</v>
      </c>
      <c r="AP853" s="71" t="str">
        <f>IFERROR(__xludf.DUMMYFUNCTION("""COMPUTED_VALUE""")," PZA")</f>
        <v>PZA</v>
      </c>
      <c r="AQ853" s="71" t="str">
        <f>IFERROR(__xludf.DUMMYFUNCTION("""COMPUTED_VALUE""")," REF")</f>
        <v>REF</v>
      </c>
      <c r="AR853" s="71" t="str">
        <f>IFERROR(__xludf.DUMMYFUNCTION("""COMPUTED_VALUE""")," OPRESOR SET 3/8X3/4 (CABEZA CUADRADA) EN ACERO INOX. T-304 GRADO ALIMENTICIO")</f>
        <v>OPRESOR SET 3/8X3/4 (CABEZA CUADRADA) EN ACERO INOX. T-304 GRADO ALIMENTICIO</v>
      </c>
      <c r="AS853" s="71" t="str">
        <f>IFERROR(__xludf.DUMMYFUNCTION("""COMPUTED_VALUE""")," OPRESOR SET 3/8 X 3/4 CABEZA CUAD INOX")</f>
        <v>OPRESOR SET 3/8 X 3/4 CABEZA CUAD INOX</v>
      </c>
      <c r="AT853" s="71">
        <f>IFERROR(__xludf.DUMMYFUNCTION("""COMPUTED_VALUE"""),38.0)</f>
        <v>38</v>
      </c>
      <c r="AU853" s="71"/>
      <c r="AV853" s="71"/>
      <c r="AW853" s="71"/>
      <c r="AX853" s="71"/>
      <c r="AY853" s="71">
        <f>IFERROR(__xludf.DUMMYFUNCTION("""COMPUTED_VALUE"""),34.0)</f>
        <v>34</v>
      </c>
      <c r="AZ853" s="71">
        <f>IFERROR(__xludf.DUMMYFUNCTION("""COMPUTED_VALUE"""),70.0)</f>
        <v>70</v>
      </c>
      <c r="BA853" s="71">
        <f>IFERROR(__xludf.DUMMYFUNCTION("""COMPUTED_VALUE"""),75.60000000000001)</f>
        <v>75.6</v>
      </c>
      <c r="BB853" s="71">
        <f>IFERROR(__xludf.DUMMYFUNCTION("""COMPUTED_VALUE"""),75.60000000000001)</f>
        <v>75.6</v>
      </c>
      <c r="BC853" s="71">
        <f>IFERROR(__xludf.DUMMYFUNCTION("""COMPUTED_VALUE"""),80.0)</f>
        <v>80</v>
      </c>
      <c r="BD853" s="71">
        <f>IFERROR(__xludf.DUMMYFUNCTION("""COMPUTED_VALUE"""),84.0)</f>
        <v>84</v>
      </c>
      <c r="BE853" s="71">
        <f>IFERROR(__xludf.DUMMYFUNCTION("""COMPUTED_VALUE"""),13.44)</f>
        <v>13.44</v>
      </c>
      <c r="BF853" s="71">
        <f>IFERROR(__xludf.DUMMYFUNCTION("""COMPUTED_VALUE"""),97.44)</f>
        <v>97.44</v>
      </c>
      <c r="BG853" s="71">
        <f>IFERROR(__xludf.DUMMYFUNCTION("""COMPUTED_VALUE"""),0.05)</f>
        <v>0.05</v>
      </c>
      <c r="BH853" s="71">
        <f>IFERROR(__xludf.DUMMYFUNCTION("""COMPUTED_VALUE"""),79.8)</f>
        <v>79.8</v>
      </c>
      <c r="BI853" s="71">
        <f>IFERROR(__xludf.DUMMYFUNCTION("""COMPUTED_VALUE"""),12.768)</f>
        <v>12.768</v>
      </c>
      <c r="BJ853" s="71">
        <f>IFERROR(__xludf.DUMMYFUNCTION("""COMPUTED_VALUE"""),92.568)</f>
        <v>92.568</v>
      </c>
      <c r="BK853" s="71">
        <f>IFERROR(__xludf.DUMMYFUNCTION("""COMPUTED_VALUE"""),75.60000000000001)</f>
        <v>75.6</v>
      </c>
      <c r="BL853" s="71">
        <f>IFERROR(__xludf.DUMMYFUNCTION("""COMPUTED_VALUE"""),12.096000000000002)</f>
        <v>12.096</v>
      </c>
      <c r="BM853" s="71">
        <f>IFERROR(__xludf.DUMMYFUNCTION("""COMPUTED_VALUE"""),87.69600000000001)</f>
        <v>87.696</v>
      </c>
      <c r="BN853" s="71">
        <f>IFERROR(__xludf.DUMMYFUNCTION("""COMPUTED_VALUE"""),71.39999999999999)</f>
        <v>71.4</v>
      </c>
      <c r="BO853" s="71">
        <f>IFERROR(__xludf.DUMMYFUNCTION("""COMPUTED_VALUE"""),11.424)</f>
        <v>11.424</v>
      </c>
      <c r="BP853" s="71">
        <f>IFERROR(__xludf.DUMMYFUNCTION("""COMPUTED_VALUE"""),82.82399999999998)</f>
        <v>82.824</v>
      </c>
      <c r="BQ853" s="71">
        <f>IFERROR(__xludf.DUMMYFUNCTION("""COMPUTED_VALUE"""),69.72)</f>
        <v>69.72</v>
      </c>
      <c r="BR853" s="71">
        <f>IFERROR(__xludf.DUMMYFUNCTION("""COMPUTED_VALUE"""),11.1552)</f>
        <v>11.1552</v>
      </c>
      <c r="BS853" s="71">
        <f>IFERROR(__xludf.DUMMYFUNCTION("""COMPUTED_VALUE"""),80.8752)</f>
        <v>80.8752</v>
      </c>
      <c r="BT853" s="71">
        <f>IFERROR(__xludf.DUMMYFUNCTION("""COMPUTED_VALUE"""),67.2)</f>
        <v>67.2</v>
      </c>
      <c r="BU853" s="71">
        <f>IFERROR(__xludf.DUMMYFUNCTION("""COMPUTED_VALUE"""),10.752)</f>
        <v>10.752</v>
      </c>
      <c r="BV853" s="71">
        <f>IFERROR(__xludf.DUMMYFUNCTION("""COMPUTED_VALUE"""),77.952)</f>
        <v>77.952</v>
      </c>
    </row>
    <row r="854">
      <c r="A854" s="53">
        <v>1.0</v>
      </c>
      <c r="B854" s="72"/>
      <c r="C854" s="73" t="s">
        <v>53</v>
      </c>
      <c r="D854" s="74" t="s">
        <v>2065</v>
      </c>
      <c r="E854" s="54" t="s">
        <v>38</v>
      </c>
      <c r="F854" s="54" t="s">
        <v>42</v>
      </c>
      <c r="G854" s="55" t="s">
        <v>2066</v>
      </c>
      <c r="H854" s="54" t="s">
        <v>2066</v>
      </c>
      <c r="I854" s="54">
        <f t="shared" si="24"/>
        <v>37</v>
      </c>
      <c r="J854" s="56"/>
      <c r="K854" s="57"/>
      <c r="L854" s="87"/>
      <c r="M854" s="59"/>
      <c r="N854" s="60">
        <v>412.0</v>
      </c>
      <c r="O854" s="61">
        <v>444.0</v>
      </c>
      <c r="P854" s="62">
        <v>479.52000000000004</v>
      </c>
      <c r="Q854" s="63">
        <v>479.52000000000004</v>
      </c>
      <c r="R854" s="64">
        <v>530.0</v>
      </c>
      <c r="S854" s="111">
        <v>557.0</v>
      </c>
      <c r="T854" s="65">
        <f t="shared" si="2"/>
        <v>89.12</v>
      </c>
      <c r="U854" s="65">
        <f t="shared" si="3"/>
        <v>646.12</v>
      </c>
      <c r="V854" s="66">
        <f t="shared" si="4"/>
        <v>0.05094339623</v>
      </c>
      <c r="W854" s="67">
        <f t="shared" si="5"/>
        <v>529.15</v>
      </c>
      <c r="X854" s="67">
        <f t="shared" si="6"/>
        <v>84.664</v>
      </c>
      <c r="Y854" s="67">
        <f t="shared" si="7"/>
        <v>613.814</v>
      </c>
      <c r="Z854" s="67">
        <f t="shared" si="8"/>
        <v>501.3</v>
      </c>
      <c r="AA854" s="67">
        <f t="shared" si="9"/>
        <v>80.208</v>
      </c>
      <c r="AB854" s="67">
        <f t="shared" si="10"/>
        <v>581.508</v>
      </c>
      <c r="AC854" s="67">
        <f t="shared" si="11"/>
        <v>473.45</v>
      </c>
      <c r="AD854" s="67">
        <f t="shared" si="12"/>
        <v>75.752</v>
      </c>
      <c r="AE854" s="67">
        <f t="shared" si="13"/>
        <v>549.202</v>
      </c>
      <c r="AF854" s="67">
        <f t="shared" si="33"/>
        <v>462.31</v>
      </c>
      <c r="AG854" s="67">
        <f t="shared" si="15"/>
        <v>73.9696</v>
      </c>
      <c r="AH854" s="67">
        <f t="shared" si="16"/>
        <v>536.2796</v>
      </c>
      <c r="AI854" s="67">
        <f t="shared" si="17"/>
        <v>445.6</v>
      </c>
      <c r="AJ854" s="68">
        <f t="shared" si="31"/>
        <v>71.296</v>
      </c>
      <c r="AK854" s="68">
        <f t="shared" si="32"/>
        <v>516.896</v>
      </c>
      <c r="AL854" s="70">
        <f>IFERROR(__xludf.DUMMYFUNCTION("""COMPUTED_VALUE"""),1.0)</f>
        <v>1</v>
      </c>
      <c r="AM854" s="70"/>
      <c r="AN854" s="71" t="str">
        <f>IFERROR(__xludf.DUMMYFUNCTION("""COMPUTED_VALUE""")," P")</f>
        <v>P</v>
      </c>
      <c r="AO854" s="71" t="str">
        <f>IFERROR(__xludf.DUMMYFUNCTION("""COMPUTED_VALUE""")," OR01")</f>
        <v>OR01</v>
      </c>
      <c r="AP854" s="71" t="str">
        <f>IFERROR(__xludf.DUMMYFUNCTION("""COMPUTED_VALUE""")," PZA")</f>
        <v>PZA</v>
      </c>
      <c r="AQ854" s="71" t="str">
        <f>IFERROR(__xludf.DUMMYFUNCTION("""COMPUTED_VALUE""")," REF")</f>
        <v>REF</v>
      </c>
      <c r="AR854" s="71" t="str">
        <f>IFERROR(__xludf.DUMMYFUNCTION("""COMPUTED_VALUE""")," OREJA DE ALUMINIO PARA BASE DE ALUMINIO Y PARA TOLVA DE ALUMINIO")</f>
        <v>OREJA DE ALUMINIO PARA BASE DE ALUMINIO Y PARA TOLVA DE ALUMINIO</v>
      </c>
      <c r="AS854" s="71" t="str">
        <f>IFERROR(__xludf.DUMMYFUNCTION("""COMPUTED_VALUE""")," OREJA DE ALUMINIO P/BASE ALU Y TOLVA ALU")</f>
        <v>OREJA DE ALUMINIO P/BASE ALU Y TOLVA ALU</v>
      </c>
      <c r="AT854" s="71">
        <f>IFERROR(__xludf.DUMMYFUNCTION("""COMPUTED_VALUE"""),40.0)</f>
        <v>40</v>
      </c>
      <c r="AU854" s="71"/>
      <c r="AV854" s="71"/>
      <c r="AW854" s="71"/>
      <c r="AX854" s="71"/>
      <c r="AY854" s="71">
        <f>IFERROR(__xludf.DUMMYFUNCTION("""COMPUTED_VALUE"""),37.0)</f>
        <v>37</v>
      </c>
      <c r="AZ854" s="71">
        <f>IFERROR(__xludf.DUMMYFUNCTION("""COMPUTED_VALUE"""),39.0)</f>
        <v>39</v>
      </c>
      <c r="BA854" s="71">
        <f>IFERROR(__xludf.DUMMYFUNCTION("""COMPUTED_VALUE"""),42.120000000000005)</f>
        <v>42.12</v>
      </c>
      <c r="BB854" s="71">
        <f>IFERROR(__xludf.DUMMYFUNCTION("""COMPUTED_VALUE"""),42.120000000000005)</f>
        <v>42.12</v>
      </c>
      <c r="BC854" s="71">
        <f>IFERROR(__xludf.DUMMYFUNCTION("""COMPUTED_VALUE"""),48.0)</f>
        <v>48</v>
      </c>
      <c r="BD854" s="71">
        <f>IFERROR(__xludf.DUMMYFUNCTION("""COMPUTED_VALUE"""),50.0)</f>
        <v>50</v>
      </c>
      <c r="BE854" s="71">
        <f>IFERROR(__xludf.DUMMYFUNCTION("""COMPUTED_VALUE"""),8.0)</f>
        <v>8</v>
      </c>
      <c r="BF854" s="71">
        <f>IFERROR(__xludf.DUMMYFUNCTION("""COMPUTED_VALUE"""),58.0)</f>
        <v>58</v>
      </c>
      <c r="BG854" s="71">
        <f>IFERROR(__xludf.DUMMYFUNCTION("""COMPUTED_VALUE"""),0.041666666666666664)</f>
        <v>0.04166666667</v>
      </c>
      <c r="BH854" s="71">
        <f>IFERROR(__xludf.DUMMYFUNCTION("""COMPUTED_VALUE"""),47.5)</f>
        <v>47.5</v>
      </c>
      <c r="BI854" s="71">
        <f>IFERROR(__xludf.DUMMYFUNCTION("""COMPUTED_VALUE"""),7.6000000000000005)</f>
        <v>7.6</v>
      </c>
      <c r="BJ854" s="71">
        <f>IFERROR(__xludf.DUMMYFUNCTION("""COMPUTED_VALUE"""),55.1)</f>
        <v>55.1</v>
      </c>
      <c r="BK854" s="71">
        <f>IFERROR(__xludf.DUMMYFUNCTION("""COMPUTED_VALUE"""),45.0)</f>
        <v>45</v>
      </c>
      <c r="BL854" s="71">
        <f>IFERROR(__xludf.DUMMYFUNCTION("""COMPUTED_VALUE"""),7.2)</f>
        <v>7.2</v>
      </c>
      <c r="BM854" s="71">
        <f>IFERROR(__xludf.DUMMYFUNCTION("""COMPUTED_VALUE"""),52.2)</f>
        <v>52.2</v>
      </c>
      <c r="BN854" s="71">
        <f>IFERROR(__xludf.DUMMYFUNCTION("""COMPUTED_VALUE"""),42.5)</f>
        <v>42.5</v>
      </c>
      <c r="BO854" s="71">
        <f>IFERROR(__xludf.DUMMYFUNCTION("""COMPUTED_VALUE"""),6.8)</f>
        <v>6.8</v>
      </c>
      <c r="BP854" s="71">
        <f>IFERROR(__xludf.DUMMYFUNCTION("""COMPUTED_VALUE"""),49.3)</f>
        <v>49.3</v>
      </c>
      <c r="BQ854" s="71">
        <f>IFERROR(__xludf.DUMMYFUNCTION("""COMPUTED_VALUE"""),41.5)</f>
        <v>41.5</v>
      </c>
      <c r="BR854" s="71">
        <f>IFERROR(__xludf.DUMMYFUNCTION("""COMPUTED_VALUE"""),6.640000000000001)</f>
        <v>6.64</v>
      </c>
      <c r="BS854" s="71">
        <f>IFERROR(__xludf.DUMMYFUNCTION("""COMPUTED_VALUE"""),48.14)</f>
        <v>48.14</v>
      </c>
      <c r="BT854" s="71">
        <f>IFERROR(__xludf.DUMMYFUNCTION("""COMPUTED_VALUE"""),40.0)</f>
        <v>40</v>
      </c>
      <c r="BU854" s="71">
        <f>IFERROR(__xludf.DUMMYFUNCTION("""COMPUTED_VALUE"""),6.4)</f>
        <v>6.4</v>
      </c>
      <c r="BV854" s="71">
        <f>IFERROR(__xludf.DUMMYFUNCTION("""COMPUTED_VALUE"""),46.4)</f>
        <v>46.4</v>
      </c>
    </row>
    <row r="855">
      <c r="A855" s="53"/>
      <c r="B855" s="53">
        <v>4.0</v>
      </c>
      <c r="C855" s="73" t="s">
        <v>53</v>
      </c>
      <c r="D855" s="53" t="s">
        <v>2067</v>
      </c>
      <c r="E855" s="54" t="s">
        <v>38</v>
      </c>
      <c r="F855" s="54" t="s">
        <v>42</v>
      </c>
      <c r="G855" s="55" t="s">
        <v>2068</v>
      </c>
      <c r="H855" s="54" t="s">
        <v>2068</v>
      </c>
      <c r="I855" s="54">
        <f t="shared" si="24"/>
        <v>32</v>
      </c>
      <c r="J855" s="56"/>
      <c r="K855" s="57"/>
      <c r="L855" s="76"/>
      <c r="M855" s="59"/>
      <c r="N855" s="60">
        <v>185.85</v>
      </c>
      <c r="O855" s="61">
        <v>252.0</v>
      </c>
      <c r="P855" s="62">
        <v>272.16</v>
      </c>
      <c r="Q855" s="63">
        <v>272.16</v>
      </c>
      <c r="R855" s="64">
        <v>303.0</v>
      </c>
      <c r="S855" s="111">
        <v>318.0</v>
      </c>
      <c r="T855" s="65">
        <f t="shared" si="2"/>
        <v>50.88</v>
      </c>
      <c r="U855" s="65">
        <f t="shared" si="3"/>
        <v>368.88</v>
      </c>
      <c r="V855" s="66">
        <f t="shared" si="4"/>
        <v>0.0495049505</v>
      </c>
      <c r="W855" s="67">
        <f t="shared" si="5"/>
        <v>318</v>
      </c>
      <c r="X855" s="67">
        <f t="shared" si="6"/>
        <v>50.88</v>
      </c>
      <c r="Y855" s="67">
        <f t="shared" si="7"/>
        <v>368.88</v>
      </c>
      <c r="Z855" s="67">
        <f t="shared" si="8"/>
        <v>318</v>
      </c>
      <c r="AA855" s="67">
        <f t="shared" si="9"/>
        <v>50.88</v>
      </c>
      <c r="AB855" s="67">
        <f t="shared" si="10"/>
        <v>368.88</v>
      </c>
      <c r="AC855" s="67">
        <f t="shared" si="11"/>
        <v>318</v>
      </c>
      <c r="AD855" s="67">
        <f t="shared" si="12"/>
        <v>50.88</v>
      </c>
      <c r="AE855" s="67">
        <f t="shared" si="13"/>
        <v>368.88</v>
      </c>
      <c r="AF855" s="67">
        <f t="shared" si="33"/>
        <v>318</v>
      </c>
      <c r="AG855" s="67">
        <f t="shared" si="15"/>
        <v>50.88</v>
      </c>
      <c r="AH855" s="67">
        <f t="shared" si="16"/>
        <v>368.88</v>
      </c>
      <c r="AI855" s="67">
        <f t="shared" si="17"/>
        <v>318</v>
      </c>
      <c r="AJ855" s="68">
        <f t="shared" si="31"/>
        <v>50.88</v>
      </c>
      <c r="AK855" s="68">
        <f t="shared" si="32"/>
        <v>368.88</v>
      </c>
      <c r="AL855" s="70">
        <f>IFERROR(__xludf.DUMMYFUNCTION("""COMPUTED_VALUE"""),1.0)</f>
        <v>1</v>
      </c>
      <c r="AM855" s="70"/>
      <c r="AN855" s="71" t="str">
        <f>IFERROR(__xludf.DUMMYFUNCTION("""COMPUTED_VALUE""")," P")</f>
        <v>P</v>
      </c>
      <c r="AO855" s="71" t="str">
        <f>IFERROR(__xludf.DUMMYFUNCTION("""COMPUTED_VALUE""")," PL03")</f>
        <v>PL03</v>
      </c>
      <c r="AP855" s="71" t="str">
        <f>IFERROR(__xludf.DUMMYFUNCTION("""COMPUTED_VALUE""")," PZA")</f>
        <v>PZA</v>
      </c>
      <c r="AQ855" s="71" t="str">
        <f>IFERROR(__xludf.DUMMYFUNCTION("""COMPUTED_VALUE""")," REF")</f>
        <v>REF</v>
      </c>
      <c r="AR855" s="71" t="str">
        <f>IFERROR(__xludf.DUMMYFUNCTION("""COMPUTED_VALUE""")," PALANCA PARA AMASADORA DE 100 KG.")</f>
        <v>PALANCA PARA AMASADORA DE 100 KG.</v>
      </c>
      <c r="AS855" s="71" t="str">
        <f>IFERROR(__xludf.DUMMYFUNCTION("""COMPUTED_VALUE""")," PALANCA PARA AMASADORA DE 100 KG")</f>
        <v>PALANCA PARA AMASADORA DE 100 KG</v>
      </c>
      <c r="AT855" s="71">
        <f>IFERROR(__xludf.DUMMYFUNCTION("""COMPUTED_VALUE"""),32.0)</f>
        <v>32</v>
      </c>
      <c r="AU855" s="71"/>
      <c r="AV855" s="71"/>
      <c r="AW855" s="71"/>
      <c r="AX855" s="71"/>
      <c r="AY855" s="71">
        <f>IFERROR(__xludf.DUMMYFUNCTION("""COMPUTED_VALUE"""),182.0)</f>
        <v>182</v>
      </c>
      <c r="AZ855" s="71">
        <f>IFERROR(__xludf.DUMMYFUNCTION("""COMPUTED_VALUE"""),196.0)</f>
        <v>196</v>
      </c>
      <c r="BA855" s="71">
        <f>IFERROR(__xludf.DUMMYFUNCTION("""COMPUTED_VALUE"""),211.68)</f>
        <v>211.68</v>
      </c>
      <c r="BB855" s="71">
        <f>IFERROR(__xludf.DUMMYFUNCTION("""COMPUTED_VALUE"""),211.68)</f>
        <v>211.68</v>
      </c>
      <c r="BC855" s="71">
        <f>IFERROR(__xludf.DUMMYFUNCTION("""COMPUTED_VALUE"""),237.0)</f>
        <v>237</v>
      </c>
      <c r="BD855" s="71">
        <f>IFERROR(__xludf.DUMMYFUNCTION("""COMPUTED_VALUE"""),249.0)</f>
        <v>249</v>
      </c>
      <c r="BE855" s="71">
        <f>IFERROR(__xludf.DUMMYFUNCTION("""COMPUTED_VALUE"""),39.84)</f>
        <v>39.84</v>
      </c>
      <c r="BF855" s="71">
        <f>IFERROR(__xludf.DUMMYFUNCTION("""COMPUTED_VALUE"""),288.84000000000003)</f>
        <v>288.84</v>
      </c>
      <c r="BG855" s="71">
        <f>IFERROR(__xludf.DUMMYFUNCTION("""COMPUTED_VALUE"""),0.05063291139240506)</f>
        <v>0.05063291139</v>
      </c>
      <c r="BH855" s="71">
        <f>IFERROR(__xludf.DUMMYFUNCTION("""COMPUTED_VALUE"""),236.54999999999998)</f>
        <v>236.55</v>
      </c>
      <c r="BI855" s="71">
        <f>IFERROR(__xludf.DUMMYFUNCTION("""COMPUTED_VALUE"""),37.848)</f>
        <v>37.848</v>
      </c>
      <c r="BJ855" s="71">
        <f>IFERROR(__xludf.DUMMYFUNCTION("""COMPUTED_VALUE"""),274.39799999999997)</f>
        <v>274.398</v>
      </c>
      <c r="BK855" s="71">
        <f>IFERROR(__xludf.DUMMYFUNCTION("""COMPUTED_VALUE"""),224.1)</f>
        <v>224.1</v>
      </c>
      <c r="BL855" s="71">
        <f>IFERROR(__xludf.DUMMYFUNCTION("""COMPUTED_VALUE"""),35.856)</f>
        <v>35.856</v>
      </c>
      <c r="BM855" s="71">
        <f>IFERROR(__xludf.DUMMYFUNCTION("""COMPUTED_VALUE"""),259.956)</f>
        <v>259.956</v>
      </c>
      <c r="BN855" s="71">
        <f>IFERROR(__xludf.DUMMYFUNCTION("""COMPUTED_VALUE"""),211.65)</f>
        <v>211.65</v>
      </c>
      <c r="BO855" s="71">
        <f>IFERROR(__xludf.DUMMYFUNCTION("""COMPUTED_VALUE"""),33.864000000000004)</f>
        <v>33.864</v>
      </c>
      <c r="BP855" s="71">
        <f>IFERROR(__xludf.DUMMYFUNCTION("""COMPUTED_VALUE"""),245.514)</f>
        <v>245.514</v>
      </c>
      <c r="BQ855" s="71">
        <f>IFERROR(__xludf.DUMMYFUNCTION("""COMPUTED_VALUE"""),206.67)</f>
        <v>206.67</v>
      </c>
      <c r="BR855" s="71">
        <f>IFERROR(__xludf.DUMMYFUNCTION("""COMPUTED_VALUE"""),33.0672)</f>
        <v>33.0672</v>
      </c>
      <c r="BS855" s="71">
        <f>IFERROR(__xludf.DUMMYFUNCTION("""COMPUTED_VALUE"""),239.73719999999997)</f>
        <v>239.7372</v>
      </c>
      <c r="BT855" s="71">
        <f>IFERROR(__xludf.DUMMYFUNCTION("""COMPUTED_VALUE"""),199.20000000000002)</f>
        <v>199.2</v>
      </c>
      <c r="BU855" s="71">
        <f>IFERROR(__xludf.DUMMYFUNCTION("""COMPUTED_VALUE"""),31.872000000000003)</f>
        <v>31.872</v>
      </c>
      <c r="BV855" s="71">
        <f>IFERROR(__xludf.DUMMYFUNCTION("""COMPUTED_VALUE"""),231.07200000000003)</f>
        <v>231.072</v>
      </c>
    </row>
    <row r="856">
      <c r="A856" s="53"/>
      <c r="B856" s="53">
        <v>4.0</v>
      </c>
      <c r="C856" s="73" t="s">
        <v>53</v>
      </c>
      <c r="D856" s="53" t="s">
        <v>2069</v>
      </c>
      <c r="E856" s="54" t="s">
        <v>38</v>
      </c>
      <c r="F856" s="54" t="s">
        <v>42</v>
      </c>
      <c r="G856" s="55" t="s">
        <v>2070</v>
      </c>
      <c r="H856" s="54" t="s">
        <v>2070</v>
      </c>
      <c r="I856" s="54">
        <f t="shared" si="24"/>
        <v>33</v>
      </c>
      <c r="J856" s="56"/>
      <c r="K856" s="57"/>
      <c r="L856" s="76"/>
      <c r="M856" s="59"/>
      <c r="N856" s="60">
        <v>185.85</v>
      </c>
      <c r="O856" s="61">
        <v>252.0</v>
      </c>
      <c r="P856" s="62">
        <v>272.16</v>
      </c>
      <c r="Q856" s="63">
        <v>272.16</v>
      </c>
      <c r="R856" s="64">
        <v>303.0</v>
      </c>
      <c r="S856" s="111">
        <v>318.0</v>
      </c>
      <c r="T856" s="65">
        <f t="shared" si="2"/>
        <v>50.88</v>
      </c>
      <c r="U856" s="65">
        <f t="shared" si="3"/>
        <v>368.88</v>
      </c>
      <c r="V856" s="66">
        <f t="shared" si="4"/>
        <v>0.0495049505</v>
      </c>
      <c r="W856" s="67">
        <f t="shared" si="5"/>
        <v>318</v>
      </c>
      <c r="X856" s="67">
        <f t="shared" si="6"/>
        <v>50.88</v>
      </c>
      <c r="Y856" s="67">
        <f t="shared" si="7"/>
        <v>368.88</v>
      </c>
      <c r="Z856" s="67">
        <f t="shared" si="8"/>
        <v>318</v>
      </c>
      <c r="AA856" s="67">
        <f t="shared" si="9"/>
        <v>50.88</v>
      </c>
      <c r="AB856" s="67">
        <f t="shared" si="10"/>
        <v>368.88</v>
      </c>
      <c r="AC856" s="67">
        <f t="shared" si="11"/>
        <v>318</v>
      </c>
      <c r="AD856" s="67">
        <f t="shared" si="12"/>
        <v>50.88</v>
      </c>
      <c r="AE856" s="67">
        <f t="shared" si="13"/>
        <v>368.88</v>
      </c>
      <c r="AF856" s="67">
        <f t="shared" si="33"/>
        <v>318</v>
      </c>
      <c r="AG856" s="67">
        <f t="shared" si="15"/>
        <v>50.88</v>
      </c>
      <c r="AH856" s="67">
        <f t="shared" si="16"/>
        <v>368.88</v>
      </c>
      <c r="AI856" s="67">
        <f t="shared" si="17"/>
        <v>318</v>
      </c>
      <c r="AJ856" s="68">
        <f t="shared" si="31"/>
        <v>50.88</v>
      </c>
      <c r="AK856" s="68">
        <f t="shared" si="32"/>
        <v>368.88</v>
      </c>
      <c r="AL856" s="70">
        <f>IFERROR(__xludf.DUMMYFUNCTION("""COMPUTED_VALUE"""),1.0)</f>
        <v>1</v>
      </c>
      <c r="AM856" s="70"/>
      <c r="AN856" s="71" t="str">
        <f>IFERROR(__xludf.DUMMYFUNCTION("""COMPUTED_VALUE""")," P")</f>
        <v>P</v>
      </c>
      <c r="AO856" s="71" t="str">
        <f>IFERROR(__xludf.DUMMYFUNCTION("""COMPUTED_VALUE""")," PL02")</f>
        <v>PL02</v>
      </c>
      <c r="AP856" s="71" t="str">
        <f>IFERROR(__xludf.DUMMYFUNCTION("""COMPUTED_VALUE""")," PZA")</f>
        <v>PZA</v>
      </c>
      <c r="AQ856" s="71" t="str">
        <f>IFERROR(__xludf.DUMMYFUNCTION("""COMPUTED_VALUE""")," REF")</f>
        <v>REF</v>
      </c>
      <c r="AR856" s="71" t="str">
        <f>IFERROR(__xludf.DUMMYFUNCTION("""COMPUTED_VALUE""")," PALANCA PARA AMASADORA DE 50 Y 25 KG.")</f>
        <v>PALANCA PARA AMASADORA DE 50 Y 25 KG.</v>
      </c>
      <c r="AS856" s="71" t="str">
        <f>IFERROR(__xludf.DUMMYFUNCTION("""COMPUTED_VALUE""")," PALANCA PARA AMASADORA DE 50 Y 25 KG")</f>
        <v>PALANCA PARA AMASADORA DE 50 Y 25 KG</v>
      </c>
      <c r="AT856" s="71">
        <f>IFERROR(__xludf.DUMMYFUNCTION("""COMPUTED_VALUE"""),36.0)</f>
        <v>36</v>
      </c>
      <c r="AU856" s="71"/>
      <c r="AV856" s="71"/>
      <c r="AW856" s="71"/>
      <c r="AX856" s="71"/>
      <c r="AY856" s="71">
        <f>IFERROR(__xludf.DUMMYFUNCTION("""COMPUTED_VALUE"""),182.0)</f>
        <v>182</v>
      </c>
      <c r="AZ856" s="71">
        <f>IFERROR(__xludf.DUMMYFUNCTION("""COMPUTED_VALUE"""),196.0)</f>
        <v>196</v>
      </c>
      <c r="BA856" s="71">
        <f>IFERROR(__xludf.DUMMYFUNCTION("""COMPUTED_VALUE"""),211.68)</f>
        <v>211.68</v>
      </c>
      <c r="BB856" s="71">
        <f>IFERROR(__xludf.DUMMYFUNCTION("""COMPUTED_VALUE"""),211.68)</f>
        <v>211.68</v>
      </c>
      <c r="BC856" s="71">
        <f>IFERROR(__xludf.DUMMYFUNCTION("""COMPUTED_VALUE"""),237.0)</f>
        <v>237</v>
      </c>
      <c r="BD856" s="71">
        <f>IFERROR(__xludf.DUMMYFUNCTION("""COMPUTED_VALUE"""),249.0)</f>
        <v>249</v>
      </c>
      <c r="BE856" s="71">
        <f>IFERROR(__xludf.DUMMYFUNCTION("""COMPUTED_VALUE"""),39.84)</f>
        <v>39.84</v>
      </c>
      <c r="BF856" s="71">
        <f>IFERROR(__xludf.DUMMYFUNCTION("""COMPUTED_VALUE"""),288.84000000000003)</f>
        <v>288.84</v>
      </c>
      <c r="BG856" s="71">
        <f>IFERROR(__xludf.DUMMYFUNCTION("""COMPUTED_VALUE"""),0.05063291139240506)</f>
        <v>0.05063291139</v>
      </c>
      <c r="BH856" s="71">
        <f>IFERROR(__xludf.DUMMYFUNCTION("""COMPUTED_VALUE"""),236.54999999999998)</f>
        <v>236.55</v>
      </c>
      <c r="BI856" s="71">
        <f>IFERROR(__xludf.DUMMYFUNCTION("""COMPUTED_VALUE"""),37.848)</f>
        <v>37.848</v>
      </c>
      <c r="BJ856" s="71">
        <f>IFERROR(__xludf.DUMMYFUNCTION("""COMPUTED_VALUE"""),274.39799999999997)</f>
        <v>274.398</v>
      </c>
      <c r="BK856" s="71">
        <f>IFERROR(__xludf.DUMMYFUNCTION("""COMPUTED_VALUE"""),224.1)</f>
        <v>224.1</v>
      </c>
      <c r="BL856" s="71">
        <f>IFERROR(__xludf.DUMMYFUNCTION("""COMPUTED_VALUE"""),35.856)</f>
        <v>35.856</v>
      </c>
      <c r="BM856" s="71">
        <f>IFERROR(__xludf.DUMMYFUNCTION("""COMPUTED_VALUE"""),259.956)</f>
        <v>259.956</v>
      </c>
      <c r="BN856" s="71">
        <f>IFERROR(__xludf.DUMMYFUNCTION("""COMPUTED_VALUE"""),211.65)</f>
        <v>211.65</v>
      </c>
      <c r="BO856" s="71">
        <f>IFERROR(__xludf.DUMMYFUNCTION("""COMPUTED_VALUE"""),33.864000000000004)</f>
        <v>33.864</v>
      </c>
      <c r="BP856" s="71">
        <f>IFERROR(__xludf.DUMMYFUNCTION("""COMPUTED_VALUE"""),245.514)</f>
        <v>245.514</v>
      </c>
      <c r="BQ856" s="71">
        <f>IFERROR(__xludf.DUMMYFUNCTION("""COMPUTED_VALUE"""),206.67)</f>
        <v>206.67</v>
      </c>
      <c r="BR856" s="71">
        <f>IFERROR(__xludf.DUMMYFUNCTION("""COMPUTED_VALUE"""),33.0672)</f>
        <v>33.0672</v>
      </c>
      <c r="BS856" s="71">
        <f>IFERROR(__xludf.DUMMYFUNCTION("""COMPUTED_VALUE"""),239.73719999999997)</f>
        <v>239.7372</v>
      </c>
      <c r="BT856" s="71">
        <f>IFERROR(__xludf.DUMMYFUNCTION("""COMPUTED_VALUE"""),199.20000000000002)</f>
        <v>199.2</v>
      </c>
      <c r="BU856" s="71">
        <f>IFERROR(__xludf.DUMMYFUNCTION("""COMPUTED_VALUE"""),31.872000000000003)</f>
        <v>31.872</v>
      </c>
      <c r="BV856" s="71">
        <f>IFERROR(__xludf.DUMMYFUNCTION("""COMPUTED_VALUE"""),231.07200000000003)</f>
        <v>231.072</v>
      </c>
    </row>
    <row r="857">
      <c r="A857" s="53"/>
      <c r="B857" s="53"/>
      <c r="C857" s="73" t="s">
        <v>53</v>
      </c>
      <c r="D857" s="53" t="s">
        <v>2071</v>
      </c>
      <c r="E857" s="54" t="s">
        <v>38</v>
      </c>
      <c r="F857" s="54" t="s">
        <v>42</v>
      </c>
      <c r="G857" s="55" t="s">
        <v>2072</v>
      </c>
      <c r="H857" s="55" t="s">
        <v>2072</v>
      </c>
      <c r="I857" s="54">
        <f t="shared" si="24"/>
        <v>36</v>
      </c>
      <c r="J857" s="56"/>
      <c r="K857" s="57"/>
      <c r="L857" s="76"/>
      <c r="M857" s="59"/>
      <c r="N857" s="79">
        <v>40.0</v>
      </c>
      <c r="O857" s="61">
        <v>43.0</v>
      </c>
      <c r="P857" s="63">
        <v>46.440000000000005</v>
      </c>
      <c r="Q857" s="63">
        <v>46.440000000000005</v>
      </c>
      <c r="R857" s="64">
        <v>49.0</v>
      </c>
      <c r="S857" s="111">
        <v>51.0</v>
      </c>
      <c r="T857" s="65">
        <f t="shared" si="2"/>
        <v>8.16</v>
      </c>
      <c r="U857" s="65">
        <f t="shared" si="3"/>
        <v>59.16</v>
      </c>
      <c r="V857" s="66">
        <f t="shared" si="4"/>
        <v>0.04081632653</v>
      </c>
      <c r="W857" s="67">
        <f t="shared" si="5"/>
        <v>48.45</v>
      </c>
      <c r="X857" s="67">
        <f t="shared" si="6"/>
        <v>7.752</v>
      </c>
      <c r="Y857" s="67">
        <f t="shared" si="7"/>
        <v>56.202</v>
      </c>
      <c r="Z857" s="67">
        <f t="shared" si="8"/>
        <v>45.9</v>
      </c>
      <c r="AA857" s="67">
        <f t="shared" si="9"/>
        <v>7.344</v>
      </c>
      <c r="AB857" s="67">
        <f t="shared" si="10"/>
        <v>53.244</v>
      </c>
      <c r="AC857" s="67">
        <f t="shared" si="11"/>
        <v>43.35</v>
      </c>
      <c r="AD857" s="67">
        <f t="shared" si="12"/>
        <v>6.936</v>
      </c>
      <c r="AE857" s="67">
        <f t="shared" si="13"/>
        <v>50.286</v>
      </c>
      <c r="AF857" s="67">
        <f t="shared" si="33"/>
        <v>42.33</v>
      </c>
      <c r="AG857" s="67">
        <f t="shared" si="15"/>
        <v>6.7728</v>
      </c>
      <c r="AH857" s="67">
        <f t="shared" si="16"/>
        <v>49.1028</v>
      </c>
      <c r="AI857" s="67">
        <f t="shared" si="17"/>
        <v>40.8</v>
      </c>
      <c r="AJ857" s="68">
        <f t="shared" si="31"/>
        <v>6.528</v>
      </c>
      <c r="AK857" s="68">
        <f t="shared" si="32"/>
        <v>47.328</v>
      </c>
      <c r="AL857" s="70">
        <f>IFERROR(__xludf.DUMMYFUNCTION("""COMPUTED_VALUE"""),1.0)</f>
        <v>1</v>
      </c>
      <c r="AM857" s="70"/>
      <c r="AN857" s="71" t="str">
        <f>IFERROR(__xludf.DUMMYFUNCTION("""COMPUTED_VALUE""")," P")</f>
        <v>P</v>
      </c>
      <c r="AO857" s="71" t="str">
        <f>IFERROR(__xludf.DUMMYFUNCTION("""COMPUTED_VALUE""")," PL04")</f>
        <v>PL04</v>
      </c>
      <c r="AP857" s="71" t="str">
        <f>IFERROR(__xludf.DUMMYFUNCTION("""COMPUTED_VALUE""")," PZA")</f>
        <v>PZA</v>
      </c>
      <c r="AQ857" s="71" t="str">
        <f>IFERROR(__xludf.DUMMYFUNCTION("""COMPUTED_VALUE""")," REF")</f>
        <v>REF</v>
      </c>
      <c r="AR857" s="71" t="str">
        <f>IFERROR(__xludf.DUMMYFUNCTION("""COMPUTED_VALUE""")," PALANCA PARA CLUTCH")</f>
        <v>PALANCA PARA CLUTCH</v>
      </c>
      <c r="AS857" s="71" t="str">
        <f>IFERROR(__xludf.DUMMYFUNCTION("""COMPUTED_VALUE""")," PALANCA PARA CLUTCH")</f>
        <v>PALANCA PARA CLUTCH</v>
      </c>
      <c r="AT857" s="71">
        <f>IFERROR(__xludf.DUMMYFUNCTION("""COMPUTED_VALUE"""),19.0)</f>
        <v>19</v>
      </c>
      <c r="AU857" s="71"/>
      <c r="AV857" s="71"/>
      <c r="AW857" s="71"/>
      <c r="AX857" s="71"/>
      <c r="AY857" s="71">
        <f>IFERROR(__xludf.DUMMYFUNCTION("""COMPUTED_VALUE"""),34.0)</f>
        <v>34</v>
      </c>
      <c r="AZ857" s="71">
        <f>IFERROR(__xludf.DUMMYFUNCTION("""COMPUTED_VALUE"""),36.0)</f>
        <v>36</v>
      </c>
      <c r="BA857" s="71">
        <f>IFERROR(__xludf.DUMMYFUNCTION("""COMPUTED_VALUE"""),38.88)</f>
        <v>38.88</v>
      </c>
      <c r="BB857" s="71">
        <f>IFERROR(__xludf.DUMMYFUNCTION("""COMPUTED_VALUE"""),38.88)</f>
        <v>38.88</v>
      </c>
      <c r="BC857" s="71">
        <f>IFERROR(__xludf.DUMMYFUNCTION("""COMPUTED_VALUE"""),45.0)</f>
        <v>45</v>
      </c>
      <c r="BD857" s="71">
        <f>IFERROR(__xludf.DUMMYFUNCTION("""COMPUTED_VALUE"""),47.0)</f>
        <v>47</v>
      </c>
      <c r="BE857" s="71">
        <f>IFERROR(__xludf.DUMMYFUNCTION("""COMPUTED_VALUE"""),7.5200000000000005)</f>
        <v>7.52</v>
      </c>
      <c r="BF857" s="71">
        <f>IFERROR(__xludf.DUMMYFUNCTION("""COMPUTED_VALUE"""),54.52)</f>
        <v>54.52</v>
      </c>
      <c r="BG857" s="71">
        <f>IFERROR(__xludf.DUMMYFUNCTION("""COMPUTED_VALUE"""),0.044444444444444446)</f>
        <v>0.04444444444</v>
      </c>
      <c r="BH857" s="71">
        <f>IFERROR(__xludf.DUMMYFUNCTION("""COMPUTED_VALUE"""),44.65)</f>
        <v>44.65</v>
      </c>
      <c r="BI857" s="71">
        <f>IFERROR(__xludf.DUMMYFUNCTION("""COMPUTED_VALUE"""),7.144)</f>
        <v>7.144</v>
      </c>
      <c r="BJ857" s="71">
        <f>IFERROR(__xludf.DUMMYFUNCTION("""COMPUTED_VALUE"""),51.794)</f>
        <v>51.794</v>
      </c>
      <c r="BK857" s="71">
        <f>IFERROR(__xludf.DUMMYFUNCTION("""COMPUTED_VALUE"""),42.300000000000004)</f>
        <v>42.3</v>
      </c>
      <c r="BL857" s="71">
        <f>IFERROR(__xludf.DUMMYFUNCTION("""COMPUTED_VALUE"""),6.768000000000001)</f>
        <v>6.768</v>
      </c>
      <c r="BM857" s="71">
        <f>IFERROR(__xludf.DUMMYFUNCTION("""COMPUTED_VALUE"""),49.068000000000005)</f>
        <v>49.068</v>
      </c>
      <c r="BN857" s="71">
        <f>IFERROR(__xludf.DUMMYFUNCTION("""COMPUTED_VALUE"""),39.949999999999996)</f>
        <v>39.95</v>
      </c>
      <c r="BO857" s="71">
        <f>IFERROR(__xludf.DUMMYFUNCTION("""COMPUTED_VALUE"""),6.3919999999999995)</f>
        <v>6.392</v>
      </c>
      <c r="BP857" s="71">
        <f>IFERROR(__xludf.DUMMYFUNCTION("""COMPUTED_VALUE"""),46.342)</f>
        <v>46.342</v>
      </c>
      <c r="BQ857" s="71">
        <f>IFERROR(__xludf.DUMMYFUNCTION("""COMPUTED_VALUE"""),39.01)</f>
        <v>39.01</v>
      </c>
      <c r="BR857" s="71">
        <f>IFERROR(__xludf.DUMMYFUNCTION("""COMPUTED_VALUE"""),6.2416)</f>
        <v>6.2416</v>
      </c>
      <c r="BS857" s="71">
        <f>IFERROR(__xludf.DUMMYFUNCTION("""COMPUTED_VALUE"""),45.251599999999996)</f>
        <v>45.2516</v>
      </c>
      <c r="BT857" s="71">
        <f>IFERROR(__xludf.DUMMYFUNCTION("""COMPUTED_VALUE"""),37.6)</f>
        <v>37.6</v>
      </c>
      <c r="BU857" s="71">
        <f>IFERROR(__xludf.DUMMYFUNCTION("""COMPUTED_VALUE"""),6.016)</f>
        <v>6.016</v>
      </c>
      <c r="BV857" s="71">
        <f>IFERROR(__xludf.DUMMYFUNCTION("""COMPUTED_VALUE"""),43.616)</f>
        <v>43.616</v>
      </c>
    </row>
    <row r="858">
      <c r="A858" s="53"/>
      <c r="B858" s="53"/>
      <c r="C858" s="73" t="s">
        <v>53</v>
      </c>
      <c r="D858" s="53" t="s">
        <v>2073</v>
      </c>
      <c r="E858" s="54" t="s">
        <v>38</v>
      </c>
      <c r="F858" s="55" t="s">
        <v>309</v>
      </c>
      <c r="G858" s="54" t="s">
        <v>2074</v>
      </c>
      <c r="H858" s="55"/>
      <c r="I858" s="54">
        <f t="shared" si="24"/>
        <v>0</v>
      </c>
      <c r="J858" s="56"/>
      <c r="K858" s="57"/>
      <c r="L858" s="76"/>
      <c r="M858" s="59"/>
      <c r="N858" s="60"/>
      <c r="O858" s="90">
        <v>622.0</v>
      </c>
      <c r="P858" s="62">
        <v>671.76</v>
      </c>
      <c r="Q858" s="63">
        <v>671.76</v>
      </c>
      <c r="R858" s="64">
        <v>693.0</v>
      </c>
      <c r="S858" s="111">
        <v>728.0</v>
      </c>
      <c r="T858" s="65">
        <f t="shared" si="2"/>
        <v>116.48</v>
      </c>
      <c r="U858" s="65">
        <f t="shared" si="3"/>
        <v>844.48</v>
      </c>
      <c r="V858" s="66">
        <f t="shared" si="4"/>
        <v>0.05050505051</v>
      </c>
      <c r="W858" s="67">
        <f t="shared" si="5"/>
        <v>691.6</v>
      </c>
      <c r="X858" s="67">
        <f t="shared" si="6"/>
        <v>110.656</v>
      </c>
      <c r="Y858" s="67">
        <f t="shared" si="7"/>
        <v>802.256</v>
      </c>
      <c r="Z858" s="67">
        <f t="shared" si="8"/>
        <v>655.2</v>
      </c>
      <c r="AA858" s="67">
        <f t="shared" si="9"/>
        <v>104.832</v>
      </c>
      <c r="AB858" s="67">
        <f t="shared" si="10"/>
        <v>760.032</v>
      </c>
      <c r="AC858" s="67">
        <f t="shared" si="11"/>
        <v>618.8</v>
      </c>
      <c r="AD858" s="67">
        <f t="shared" si="12"/>
        <v>99.008</v>
      </c>
      <c r="AE858" s="67">
        <f t="shared" si="13"/>
        <v>717.808</v>
      </c>
      <c r="AF858" s="67">
        <f t="shared" si="33"/>
        <v>604.24</v>
      </c>
      <c r="AG858" s="67">
        <f t="shared" si="15"/>
        <v>96.6784</v>
      </c>
      <c r="AH858" s="67">
        <f t="shared" si="16"/>
        <v>700.9184</v>
      </c>
      <c r="AI858" s="67">
        <f t="shared" si="17"/>
        <v>582.4</v>
      </c>
      <c r="AJ858" s="68">
        <f t="shared" si="31"/>
        <v>93.184</v>
      </c>
      <c r="AK858" s="68">
        <f t="shared" si="32"/>
        <v>675.584</v>
      </c>
      <c r="AL858" s="70">
        <f>IFERROR(__xludf.DUMMYFUNCTION("""COMPUTED_VALUE"""),1.0)</f>
        <v>1</v>
      </c>
      <c r="AM858" s="70"/>
      <c r="AN858" s="71" t="str">
        <f>IFERROR(__xludf.DUMMYFUNCTION("""COMPUTED_VALUE""")," P")</f>
        <v>P</v>
      </c>
      <c r="AO858" s="71" t="str">
        <f>IFERROR(__xludf.DUMMYFUNCTION("""COMPUTED_VALUE""")," PT88")</f>
        <v>PT88</v>
      </c>
      <c r="AP858" s="71" t="str">
        <f>IFERROR(__xludf.DUMMYFUNCTION("""COMPUTED_VALUE""")," PZA")</f>
        <v>PZA</v>
      </c>
      <c r="AQ858" s="71" t="str">
        <f>IFERROR(__xludf.DUMMYFUNCTION("""COMPUTED_VALUE""")," REF")</f>
        <v>REF</v>
      </c>
      <c r="AR858" s="71" t="str">
        <f>IFERROR(__xludf.DUMMYFUNCTION("""COMPUTED_VALUE""")," PALETA P ALIMENTADOR CENTRAL INOX")</f>
        <v>PALETA P ALIMENTADOR CENTRAL INOX</v>
      </c>
      <c r="AS858" s="71" t="str">
        <f>IFERROR(__xludf.DUMMYFUNCTION("""COMPUTED_VALUE""")," PALETA P ALIMENTADOR CENTRAL INOX")</f>
        <v>PALETA P ALIMENTADOR CENTRAL INOX</v>
      </c>
      <c r="AT858" s="71">
        <f>IFERROR(__xludf.DUMMYFUNCTION("""COMPUTED_VALUE"""),33.0)</f>
        <v>33</v>
      </c>
      <c r="AU858" s="71"/>
      <c r="AV858" s="71"/>
      <c r="AW858" s="71"/>
      <c r="AX858" s="71"/>
      <c r="AY858" s="71"/>
      <c r="AZ858" s="71"/>
      <c r="BA858" s="71">
        <f>IFERROR(__xludf.DUMMYFUNCTION("""COMPUTED_VALUE"""),1400.0)</f>
        <v>1400</v>
      </c>
      <c r="BB858" s="71">
        <f>IFERROR(__xludf.DUMMYFUNCTION("""COMPUTED_VALUE"""),1400.0)</f>
        <v>1400</v>
      </c>
      <c r="BC858" s="71">
        <f>IFERROR(__xludf.DUMMYFUNCTION("""COMPUTED_VALUE"""),1470.0)</f>
        <v>1470</v>
      </c>
      <c r="BD858" s="71">
        <f>IFERROR(__xludf.DUMMYFUNCTION("""COMPUTED_VALUE"""),1544.0)</f>
        <v>1544</v>
      </c>
      <c r="BE858" s="71"/>
      <c r="BF858" s="71"/>
      <c r="BG858" s="71"/>
      <c r="BH858" s="71">
        <f>IFERROR(__xludf.DUMMYFUNCTION("""COMPUTED_VALUE"""),1466.8)</f>
        <v>1466.8</v>
      </c>
      <c r="BI858" s="71">
        <f>IFERROR(__xludf.DUMMYFUNCTION("""COMPUTED_VALUE"""),234.688)</f>
        <v>234.688</v>
      </c>
      <c r="BJ858" s="71">
        <f>IFERROR(__xludf.DUMMYFUNCTION("""COMPUTED_VALUE"""),1701.4879999999998)</f>
        <v>1701.488</v>
      </c>
      <c r="BK858" s="71">
        <f>IFERROR(__xludf.DUMMYFUNCTION("""COMPUTED_VALUE"""),1389.6000000000001)</f>
        <v>1389.6</v>
      </c>
      <c r="BL858" s="71">
        <f>IFERROR(__xludf.DUMMYFUNCTION("""COMPUTED_VALUE"""),222.336)</f>
        <v>222.336</v>
      </c>
      <c r="BM858" s="71">
        <f>IFERROR(__xludf.DUMMYFUNCTION("""COMPUTED_VALUE"""),1611.9360000000001)</f>
        <v>1611.936</v>
      </c>
      <c r="BN858" s="71">
        <f>IFERROR(__xludf.DUMMYFUNCTION("""COMPUTED_VALUE"""),1312.3999999999999)</f>
        <v>1312.4</v>
      </c>
      <c r="BO858" s="71">
        <f>IFERROR(__xludf.DUMMYFUNCTION("""COMPUTED_VALUE"""),209.98399999999998)</f>
        <v>209.984</v>
      </c>
      <c r="BP858" s="71">
        <f>IFERROR(__xludf.DUMMYFUNCTION("""COMPUTED_VALUE"""),1522.3839999999998)</f>
        <v>1522.384</v>
      </c>
      <c r="BQ858" s="71">
        <f>IFERROR(__xludf.DUMMYFUNCTION("""COMPUTED_VALUE"""),1281.52)</f>
        <v>1281.52</v>
      </c>
      <c r="BR858" s="71">
        <f>IFERROR(__xludf.DUMMYFUNCTION("""COMPUTED_VALUE"""),205.0432)</f>
        <v>205.0432</v>
      </c>
      <c r="BS858" s="71">
        <f>IFERROR(__xludf.DUMMYFUNCTION("""COMPUTED_VALUE"""),1486.5632)</f>
        <v>1486.5632</v>
      </c>
      <c r="BT858" s="71">
        <f>IFERROR(__xludf.DUMMYFUNCTION("""COMPUTED_VALUE"""),1235.2)</f>
        <v>1235.2</v>
      </c>
      <c r="BU858" s="71">
        <f>IFERROR(__xludf.DUMMYFUNCTION("""COMPUTED_VALUE"""),197.632)</f>
        <v>197.632</v>
      </c>
      <c r="BV858" s="71">
        <f>IFERROR(__xludf.DUMMYFUNCTION("""COMPUTED_VALUE"""),1432.832)</f>
        <v>1432.832</v>
      </c>
    </row>
    <row r="859">
      <c r="A859" s="53">
        <v>1.0</v>
      </c>
      <c r="B859" s="72"/>
      <c r="C859" s="73" t="s">
        <v>53</v>
      </c>
      <c r="D859" s="74" t="s">
        <v>2075</v>
      </c>
      <c r="E859" s="54" t="s">
        <v>38</v>
      </c>
      <c r="F859" s="54" t="s">
        <v>42</v>
      </c>
      <c r="G859" s="88" t="s">
        <v>2076</v>
      </c>
      <c r="H859" s="54" t="s">
        <v>2077</v>
      </c>
      <c r="I859" s="54">
        <f t="shared" si="24"/>
        <v>32</v>
      </c>
      <c r="J859" s="56"/>
      <c r="K859" s="75"/>
      <c r="L859" s="76"/>
      <c r="M859" s="59"/>
      <c r="N859" s="60">
        <v>576.0</v>
      </c>
      <c r="O859" s="61">
        <v>576.0</v>
      </c>
      <c r="P859" s="62">
        <v>622.08</v>
      </c>
      <c r="Q859" s="63">
        <v>622.08</v>
      </c>
      <c r="R859" s="64">
        <v>693.0</v>
      </c>
      <c r="S859" s="111">
        <v>728.0</v>
      </c>
      <c r="T859" s="65">
        <f t="shared" si="2"/>
        <v>116.48</v>
      </c>
      <c r="U859" s="65">
        <f t="shared" si="3"/>
        <v>844.48</v>
      </c>
      <c r="V859" s="66">
        <f t="shared" si="4"/>
        <v>0.05050505051</v>
      </c>
      <c r="W859" s="67">
        <f t="shared" si="5"/>
        <v>691.6</v>
      </c>
      <c r="X859" s="67">
        <f t="shared" si="6"/>
        <v>110.656</v>
      </c>
      <c r="Y859" s="67">
        <f t="shared" si="7"/>
        <v>802.256</v>
      </c>
      <c r="Z859" s="67">
        <f t="shared" si="8"/>
        <v>655.2</v>
      </c>
      <c r="AA859" s="67">
        <f t="shared" si="9"/>
        <v>104.832</v>
      </c>
      <c r="AB859" s="67">
        <f t="shared" si="10"/>
        <v>760.032</v>
      </c>
      <c r="AC859" s="67">
        <f t="shared" si="11"/>
        <v>618.8</v>
      </c>
      <c r="AD859" s="67">
        <f t="shared" si="12"/>
        <v>99.008</v>
      </c>
      <c r="AE859" s="67">
        <f t="shared" si="13"/>
        <v>717.808</v>
      </c>
      <c r="AF859" s="67">
        <f t="shared" si="33"/>
        <v>604.24</v>
      </c>
      <c r="AG859" s="67">
        <f t="shared" si="15"/>
        <v>96.6784</v>
      </c>
      <c r="AH859" s="67">
        <f t="shared" si="16"/>
        <v>700.9184</v>
      </c>
      <c r="AI859" s="67">
        <f t="shared" si="17"/>
        <v>582.4</v>
      </c>
      <c r="AJ859" s="68">
        <f t="shared" si="31"/>
        <v>93.184</v>
      </c>
      <c r="AK859" s="68">
        <f t="shared" si="32"/>
        <v>675.584</v>
      </c>
      <c r="AL859" s="70">
        <f>IFERROR(__xludf.DUMMYFUNCTION("""COMPUTED_VALUE"""),1.0)</f>
        <v>1</v>
      </c>
      <c r="AM859" s="70"/>
      <c r="AN859" s="71" t="str">
        <f>IFERROR(__xludf.DUMMYFUNCTION("""COMPUTED_VALUE""")," P")</f>
        <v>P</v>
      </c>
      <c r="AO859" s="71" t="str">
        <f>IFERROR(__xludf.DUMMYFUNCTION("""COMPUTED_VALUE""")," PT89")</f>
        <v>PT89</v>
      </c>
      <c r="AP859" s="71" t="str">
        <f>IFERROR(__xludf.DUMMYFUNCTION("""COMPUTED_VALUE""")," PZA")</f>
        <v>PZA</v>
      </c>
      <c r="AQ859" s="71" t="str">
        <f>IFERROR(__xludf.DUMMYFUNCTION("""COMPUTED_VALUE""")," REF")</f>
        <v>REF</v>
      </c>
      <c r="AR859" s="71" t="str">
        <f>IFERROR(__xludf.DUMMYFUNCTION("""COMPUTED_VALUE""")," PALETA P ALIMENTADOR FRONTAL INOX")</f>
        <v>PALETA P ALIMENTADOR FRONTAL INOX</v>
      </c>
      <c r="AS859" s="71" t="str">
        <f>IFERROR(__xludf.DUMMYFUNCTION("""COMPUTED_VALUE""")," PALETA P ALIMENTADOR FRONTAL INOX")</f>
        <v>PALETA P ALIMENTADOR FRONTAL INOX</v>
      </c>
      <c r="AT859" s="71">
        <f>IFERROR(__xludf.DUMMYFUNCTION("""COMPUTED_VALUE"""),33.0)</f>
        <v>33</v>
      </c>
      <c r="AU859" s="71"/>
      <c r="AV859" s="71"/>
      <c r="AW859" s="71"/>
      <c r="AX859" s="71"/>
      <c r="AY859" s="71"/>
      <c r="AZ859" s="71"/>
      <c r="BA859" s="71">
        <f>IFERROR(__xludf.DUMMYFUNCTION("""COMPUTED_VALUE"""),1400.0)</f>
        <v>1400</v>
      </c>
      <c r="BB859" s="71">
        <f>IFERROR(__xludf.DUMMYFUNCTION("""COMPUTED_VALUE"""),1400.0)</f>
        <v>1400</v>
      </c>
      <c r="BC859" s="71">
        <f>IFERROR(__xludf.DUMMYFUNCTION("""COMPUTED_VALUE"""),1470.0)</f>
        <v>1470</v>
      </c>
      <c r="BD859" s="71">
        <f>IFERROR(__xludf.DUMMYFUNCTION("""COMPUTED_VALUE"""),1544.0)</f>
        <v>1544</v>
      </c>
      <c r="BE859" s="71"/>
      <c r="BF859" s="71"/>
      <c r="BG859" s="71"/>
      <c r="BH859" s="71">
        <f>IFERROR(__xludf.DUMMYFUNCTION("""COMPUTED_VALUE"""),1466.8)</f>
        <v>1466.8</v>
      </c>
      <c r="BI859" s="71">
        <f>IFERROR(__xludf.DUMMYFUNCTION("""COMPUTED_VALUE"""),234.688)</f>
        <v>234.688</v>
      </c>
      <c r="BJ859" s="71">
        <f>IFERROR(__xludf.DUMMYFUNCTION("""COMPUTED_VALUE"""),1701.4879999999998)</f>
        <v>1701.488</v>
      </c>
      <c r="BK859" s="71">
        <f>IFERROR(__xludf.DUMMYFUNCTION("""COMPUTED_VALUE"""),1389.6000000000001)</f>
        <v>1389.6</v>
      </c>
      <c r="BL859" s="71">
        <f>IFERROR(__xludf.DUMMYFUNCTION("""COMPUTED_VALUE"""),222.336)</f>
        <v>222.336</v>
      </c>
      <c r="BM859" s="71">
        <f>IFERROR(__xludf.DUMMYFUNCTION("""COMPUTED_VALUE"""),1611.9360000000001)</f>
        <v>1611.936</v>
      </c>
      <c r="BN859" s="71">
        <f>IFERROR(__xludf.DUMMYFUNCTION("""COMPUTED_VALUE"""),1312.3999999999999)</f>
        <v>1312.4</v>
      </c>
      <c r="BO859" s="71">
        <f>IFERROR(__xludf.DUMMYFUNCTION("""COMPUTED_VALUE"""),209.98399999999998)</f>
        <v>209.984</v>
      </c>
      <c r="BP859" s="71">
        <f>IFERROR(__xludf.DUMMYFUNCTION("""COMPUTED_VALUE"""),1522.3839999999998)</f>
        <v>1522.384</v>
      </c>
      <c r="BQ859" s="71">
        <f>IFERROR(__xludf.DUMMYFUNCTION("""COMPUTED_VALUE"""),1281.52)</f>
        <v>1281.52</v>
      </c>
      <c r="BR859" s="71">
        <f>IFERROR(__xludf.DUMMYFUNCTION("""COMPUTED_VALUE"""),205.0432)</f>
        <v>205.0432</v>
      </c>
      <c r="BS859" s="71">
        <f>IFERROR(__xludf.DUMMYFUNCTION("""COMPUTED_VALUE"""),1486.5632)</f>
        <v>1486.5632</v>
      </c>
      <c r="BT859" s="71">
        <f>IFERROR(__xludf.DUMMYFUNCTION("""COMPUTED_VALUE"""),1235.2)</f>
        <v>1235.2</v>
      </c>
      <c r="BU859" s="71">
        <f>IFERROR(__xludf.DUMMYFUNCTION("""COMPUTED_VALUE"""),197.632)</f>
        <v>197.632</v>
      </c>
      <c r="BV859" s="71">
        <f>IFERROR(__xludf.DUMMYFUNCTION("""COMPUTED_VALUE"""),1432.832)</f>
        <v>1432.832</v>
      </c>
    </row>
    <row r="860">
      <c r="A860" s="53"/>
      <c r="B860" s="53"/>
      <c r="C860" s="73" t="s">
        <v>53</v>
      </c>
      <c r="D860" s="53" t="s">
        <v>2078</v>
      </c>
      <c r="E860" s="54" t="s">
        <v>38</v>
      </c>
      <c r="F860" s="55" t="s">
        <v>309</v>
      </c>
      <c r="G860" s="54" t="s">
        <v>2079</v>
      </c>
      <c r="H860" s="55"/>
      <c r="I860" s="54">
        <f t="shared" si="24"/>
        <v>0</v>
      </c>
      <c r="J860" s="56"/>
      <c r="K860" s="57"/>
      <c r="L860" s="76"/>
      <c r="M860" s="59"/>
      <c r="N860" s="60"/>
      <c r="O860" s="90">
        <v>740.0</v>
      </c>
      <c r="P860" s="62">
        <v>799.2</v>
      </c>
      <c r="Q860" s="63">
        <v>799.2</v>
      </c>
      <c r="R860" s="64">
        <v>839.0</v>
      </c>
      <c r="S860" s="111">
        <v>881.0</v>
      </c>
      <c r="T860" s="65">
        <f t="shared" si="2"/>
        <v>140.96</v>
      </c>
      <c r="U860" s="65">
        <f t="shared" si="3"/>
        <v>1021.96</v>
      </c>
      <c r="V860" s="66">
        <f t="shared" si="4"/>
        <v>0.05005959476</v>
      </c>
      <c r="W860" s="67">
        <f t="shared" si="5"/>
        <v>836.95</v>
      </c>
      <c r="X860" s="67">
        <f t="shared" si="6"/>
        <v>133.912</v>
      </c>
      <c r="Y860" s="67">
        <f t="shared" si="7"/>
        <v>970.862</v>
      </c>
      <c r="Z860" s="67">
        <f t="shared" si="8"/>
        <v>792.9</v>
      </c>
      <c r="AA860" s="67">
        <f t="shared" si="9"/>
        <v>126.864</v>
      </c>
      <c r="AB860" s="67">
        <f t="shared" si="10"/>
        <v>919.764</v>
      </c>
      <c r="AC860" s="67">
        <f t="shared" si="11"/>
        <v>748.85</v>
      </c>
      <c r="AD860" s="67">
        <f t="shared" si="12"/>
        <v>119.816</v>
      </c>
      <c r="AE860" s="67">
        <f t="shared" si="13"/>
        <v>868.666</v>
      </c>
      <c r="AF860" s="67">
        <f t="shared" si="33"/>
        <v>731.23</v>
      </c>
      <c r="AG860" s="67">
        <f t="shared" si="15"/>
        <v>116.9968</v>
      </c>
      <c r="AH860" s="67">
        <f t="shared" si="16"/>
        <v>848.2268</v>
      </c>
      <c r="AI860" s="67">
        <f t="shared" si="17"/>
        <v>704.8</v>
      </c>
      <c r="AJ860" s="68">
        <f t="shared" si="31"/>
        <v>112.768</v>
      </c>
      <c r="AK860" s="68">
        <f t="shared" si="32"/>
        <v>817.568</v>
      </c>
      <c r="AL860" s="70">
        <f>IFERROR(__xludf.DUMMYFUNCTION("""COMPUTED_VALUE"""),1.0)</f>
        <v>1</v>
      </c>
      <c r="AM860" s="70"/>
      <c r="AN860" s="71" t="str">
        <f>IFERROR(__xludf.DUMMYFUNCTION("""COMPUTED_VALUE""")," P")</f>
        <v>P</v>
      </c>
      <c r="AO860" s="71" t="str">
        <f>IFERROR(__xludf.DUMMYFUNCTION("""COMPUTED_VALUE""")," PT90")</f>
        <v>PT90</v>
      </c>
      <c r="AP860" s="71" t="str">
        <f>IFERROR(__xludf.DUMMYFUNCTION("""COMPUTED_VALUE""")," PZA")</f>
        <v>PZA</v>
      </c>
      <c r="AQ860" s="71" t="str">
        <f>IFERROR(__xludf.DUMMYFUNCTION("""COMPUTED_VALUE""")," REF")</f>
        <v>REF</v>
      </c>
      <c r="AR860" s="71" t="str">
        <f>IFERROR(__xludf.DUMMYFUNCTION("""COMPUTED_VALUE""")," PALETA P ALIMENTADOR TRASERA INOX")</f>
        <v>PALETA P ALIMENTADOR TRASERA INOX</v>
      </c>
      <c r="AS860" s="71" t="str">
        <f>IFERROR(__xludf.DUMMYFUNCTION("""COMPUTED_VALUE""")," PALETA P ALIMENTADOR TRASERA INOX")</f>
        <v>PALETA P ALIMENTADOR TRASERA INOX</v>
      </c>
      <c r="AT860" s="71">
        <f>IFERROR(__xludf.DUMMYFUNCTION("""COMPUTED_VALUE"""),33.0)</f>
        <v>33</v>
      </c>
      <c r="AU860" s="71"/>
      <c r="AV860" s="71"/>
      <c r="AW860" s="71"/>
      <c r="AX860" s="71"/>
      <c r="AY860" s="71"/>
      <c r="AZ860" s="71"/>
      <c r="BA860" s="71">
        <f>IFERROR(__xludf.DUMMYFUNCTION("""COMPUTED_VALUE"""),1400.0)</f>
        <v>1400</v>
      </c>
      <c r="BB860" s="71">
        <f>IFERROR(__xludf.DUMMYFUNCTION("""COMPUTED_VALUE"""),1400.0)</f>
        <v>1400</v>
      </c>
      <c r="BC860" s="71">
        <f>IFERROR(__xludf.DUMMYFUNCTION("""COMPUTED_VALUE"""),1470.0)</f>
        <v>1470</v>
      </c>
      <c r="BD860" s="71">
        <f>IFERROR(__xludf.DUMMYFUNCTION("""COMPUTED_VALUE"""),1544.0)</f>
        <v>1544</v>
      </c>
      <c r="BE860" s="71"/>
      <c r="BF860" s="71"/>
      <c r="BG860" s="71"/>
      <c r="BH860" s="71">
        <f>IFERROR(__xludf.DUMMYFUNCTION("""COMPUTED_VALUE"""),1466.8)</f>
        <v>1466.8</v>
      </c>
      <c r="BI860" s="71">
        <f>IFERROR(__xludf.DUMMYFUNCTION("""COMPUTED_VALUE"""),234.688)</f>
        <v>234.688</v>
      </c>
      <c r="BJ860" s="71">
        <f>IFERROR(__xludf.DUMMYFUNCTION("""COMPUTED_VALUE"""),1701.4879999999998)</f>
        <v>1701.488</v>
      </c>
      <c r="BK860" s="71">
        <f>IFERROR(__xludf.DUMMYFUNCTION("""COMPUTED_VALUE"""),1389.6000000000001)</f>
        <v>1389.6</v>
      </c>
      <c r="BL860" s="71">
        <f>IFERROR(__xludf.DUMMYFUNCTION("""COMPUTED_VALUE"""),222.336)</f>
        <v>222.336</v>
      </c>
      <c r="BM860" s="71">
        <f>IFERROR(__xludf.DUMMYFUNCTION("""COMPUTED_VALUE"""),1611.9360000000001)</f>
        <v>1611.936</v>
      </c>
      <c r="BN860" s="71">
        <f>IFERROR(__xludf.DUMMYFUNCTION("""COMPUTED_VALUE"""),1312.3999999999999)</f>
        <v>1312.4</v>
      </c>
      <c r="BO860" s="71">
        <f>IFERROR(__xludf.DUMMYFUNCTION("""COMPUTED_VALUE"""),209.98399999999998)</f>
        <v>209.984</v>
      </c>
      <c r="BP860" s="71">
        <f>IFERROR(__xludf.DUMMYFUNCTION("""COMPUTED_VALUE"""),1522.3839999999998)</f>
        <v>1522.384</v>
      </c>
      <c r="BQ860" s="71">
        <f>IFERROR(__xludf.DUMMYFUNCTION("""COMPUTED_VALUE"""),1281.52)</f>
        <v>1281.52</v>
      </c>
      <c r="BR860" s="71">
        <f>IFERROR(__xludf.DUMMYFUNCTION("""COMPUTED_VALUE"""),205.0432)</f>
        <v>205.0432</v>
      </c>
      <c r="BS860" s="71">
        <f>IFERROR(__xludf.DUMMYFUNCTION("""COMPUTED_VALUE"""),1486.5632)</f>
        <v>1486.5632</v>
      </c>
      <c r="BT860" s="71">
        <f>IFERROR(__xludf.DUMMYFUNCTION("""COMPUTED_VALUE"""),1235.2)</f>
        <v>1235.2</v>
      </c>
      <c r="BU860" s="71">
        <f>IFERROR(__xludf.DUMMYFUNCTION("""COMPUTED_VALUE"""),197.632)</f>
        <v>197.632</v>
      </c>
      <c r="BV860" s="71">
        <f>IFERROR(__xludf.DUMMYFUNCTION("""COMPUTED_VALUE"""),1432.832)</f>
        <v>1432.832</v>
      </c>
    </row>
    <row r="861">
      <c r="A861" s="53">
        <v>1.0</v>
      </c>
      <c r="B861" s="72"/>
      <c r="C861" s="73" t="s">
        <v>53</v>
      </c>
      <c r="D861" s="74" t="s">
        <v>2080</v>
      </c>
      <c r="E861" s="54" t="s">
        <v>38</v>
      </c>
      <c r="F861" s="54" t="s">
        <v>42</v>
      </c>
      <c r="G861" s="88" t="s">
        <v>2081</v>
      </c>
      <c r="H861" s="54" t="s">
        <v>2082</v>
      </c>
      <c r="I861" s="54">
        <f t="shared" si="24"/>
        <v>40</v>
      </c>
      <c r="J861" s="56"/>
      <c r="K861" s="75"/>
      <c r="L861" s="76"/>
      <c r="M861" s="59"/>
      <c r="N861" s="60">
        <v>686.0</v>
      </c>
      <c r="O861" s="61">
        <v>740.0</v>
      </c>
      <c r="P861" s="62">
        <v>799.2</v>
      </c>
      <c r="Q861" s="63">
        <v>799.2</v>
      </c>
      <c r="R861" s="64">
        <v>839.0</v>
      </c>
      <c r="S861" s="111">
        <v>881.0</v>
      </c>
      <c r="T861" s="65">
        <f t="shared" si="2"/>
        <v>140.96</v>
      </c>
      <c r="U861" s="65">
        <f t="shared" si="3"/>
        <v>1021.96</v>
      </c>
      <c r="V861" s="66">
        <f t="shared" si="4"/>
        <v>0.05005959476</v>
      </c>
      <c r="W861" s="67">
        <f t="shared" si="5"/>
        <v>836.95</v>
      </c>
      <c r="X861" s="67">
        <f t="shared" si="6"/>
        <v>133.912</v>
      </c>
      <c r="Y861" s="67">
        <f t="shared" si="7"/>
        <v>970.862</v>
      </c>
      <c r="Z861" s="67">
        <f t="shared" si="8"/>
        <v>792.9</v>
      </c>
      <c r="AA861" s="67">
        <f t="shared" si="9"/>
        <v>126.864</v>
      </c>
      <c r="AB861" s="67">
        <f t="shared" si="10"/>
        <v>919.764</v>
      </c>
      <c r="AC861" s="67">
        <f t="shared" si="11"/>
        <v>748.85</v>
      </c>
      <c r="AD861" s="67">
        <f t="shared" si="12"/>
        <v>119.816</v>
      </c>
      <c r="AE861" s="67">
        <f t="shared" si="13"/>
        <v>868.666</v>
      </c>
      <c r="AF861" s="67">
        <f t="shared" si="33"/>
        <v>731.23</v>
      </c>
      <c r="AG861" s="67">
        <f t="shared" si="15"/>
        <v>116.9968</v>
      </c>
      <c r="AH861" s="67">
        <f t="shared" si="16"/>
        <v>848.2268</v>
      </c>
      <c r="AI861" s="149">
        <f t="shared" si="17"/>
        <v>704.8</v>
      </c>
      <c r="AJ861" s="68">
        <f t="shared" si="31"/>
        <v>112.768</v>
      </c>
      <c r="AK861" s="68">
        <f t="shared" si="32"/>
        <v>817.568</v>
      </c>
      <c r="AL861" s="70">
        <f>IFERROR(__xludf.DUMMYFUNCTION("""COMPUTED_VALUE"""),1.0)</f>
        <v>1</v>
      </c>
      <c r="AM861" s="70"/>
      <c r="AN861" s="71" t="str">
        <f>IFERROR(__xludf.DUMMYFUNCTION("""COMPUTED_VALUE""")," P")</f>
        <v>P</v>
      </c>
      <c r="AO861" s="71" t="str">
        <f>IFERROR(__xludf.DUMMYFUNCTION("""COMPUTED_VALUE""")," PT07")</f>
        <v>PT07</v>
      </c>
      <c r="AP861" s="71" t="str">
        <f>IFERROR(__xludf.DUMMYFUNCTION("""COMPUTED_VALUE""")," PZA")</f>
        <v>PZA</v>
      </c>
      <c r="AQ861" s="71" t="str">
        <f>IFERROR(__xludf.DUMMYFUNCTION("""COMPUTED_VALUE""")," REF")</f>
        <v>REF</v>
      </c>
      <c r="AR861" s="71" t="str">
        <f>IFERROR(__xludf.DUMMYFUNCTION("""COMPUTED_VALUE""")," PALETA P AMASADORA 100 KG CEN ALUMINIO")</f>
        <v>PALETA P AMASADORA 100 KG CEN ALUMINIO</v>
      </c>
      <c r="AS861" s="71" t="str">
        <f>IFERROR(__xludf.DUMMYFUNCTION("""COMPUTED_VALUE""")," PALETA P AMASADORA 100 KG CEN ALUMINIO")</f>
        <v>PALETA P AMASADORA 100 KG CEN ALUMINIO</v>
      </c>
      <c r="AT861" s="71">
        <f>IFERROR(__xludf.DUMMYFUNCTION("""COMPUTED_VALUE"""),38.0)</f>
        <v>38</v>
      </c>
      <c r="AU861" s="71"/>
      <c r="AV861" s="71"/>
      <c r="AW861" s="71"/>
      <c r="AX861" s="71"/>
      <c r="AY861" s="71">
        <f>IFERROR(__xludf.DUMMYFUNCTION("""COMPUTED_VALUE"""),266.0)</f>
        <v>266</v>
      </c>
      <c r="AZ861" s="71">
        <f>IFERROR(__xludf.DUMMYFUNCTION("""COMPUTED_VALUE"""),287.0)</f>
        <v>287</v>
      </c>
      <c r="BA861" s="71">
        <f>IFERROR(__xludf.DUMMYFUNCTION("""COMPUTED_VALUE"""),309.96000000000004)</f>
        <v>309.96</v>
      </c>
      <c r="BB861" s="71">
        <f>IFERROR(__xludf.DUMMYFUNCTION("""COMPUTED_VALUE"""),309.96000000000004)</f>
        <v>309.96</v>
      </c>
      <c r="BC861" s="71">
        <f>IFERROR(__xludf.DUMMYFUNCTION("""COMPUTED_VALUE"""),346.0)</f>
        <v>346</v>
      </c>
      <c r="BD861" s="71">
        <f>IFERROR(__xludf.DUMMYFUNCTION("""COMPUTED_VALUE"""),363.0)</f>
        <v>363</v>
      </c>
      <c r="BE861" s="71">
        <f>IFERROR(__xludf.DUMMYFUNCTION("""COMPUTED_VALUE"""),58.08)</f>
        <v>58.08</v>
      </c>
      <c r="BF861" s="71">
        <f>IFERROR(__xludf.DUMMYFUNCTION("""COMPUTED_VALUE"""),421.08)</f>
        <v>421.08</v>
      </c>
      <c r="BG861" s="71">
        <f>IFERROR(__xludf.DUMMYFUNCTION("""COMPUTED_VALUE"""),0.049132947976878616)</f>
        <v>0.04913294798</v>
      </c>
      <c r="BH861" s="71">
        <f>IFERROR(__xludf.DUMMYFUNCTION("""COMPUTED_VALUE"""),344.84999999999997)</f>
        <v>344.85</v>
      </c>
      <c r="BI861" s="71">
        <f>IFERROR(__xludf.DUMMYFUNCTION("""COMPUTED_VALUE"""),55.175999999999995)</f>
        <v>55.176</v>
      </c>
      <c r="BJ861" s="71">
        <f>IFERROR(__xludf.DUMMYFUNCTION("""COMPUTED_VALUE"""),400.02599999999995)</f>
        <v>400.026</v>
      </c>
      <c r="BK861" s="71">
        <f>IFERROR(__xludf.DUMMYFUNCTION("""COMPUTED_VALUE"""),326.7)</f>
        <v>326.7</v>
      </c>
      <c r="BL861" s="71">
        <f>IFERROR(__xludf.DUMMYFUNCTION("""COMPUTED_VALUE"""),52.272)</f>
        <v>52.272</v>
      </c>
      <c r="BM861" s="71">
        <f>IFERROR(__xludf.DUMMYFUNCTION("""COMPUTED_VALUE"""),378.972)</f>
        <v>378.972</v>
      </c>
      <c r="BN861" s="71">
        <f>IFERROR(__xludf.DUMMYFUNCTION("""COMPUTED_VALUE"""),308.55)</f>
        <v>308.55</v>
      </c>
      <c r="BO861" s="71">
        <f>IFERROR(__xludf.DUMMYFUNCTION("""COMPUTED_VALUE"""),49.368)</f>
        <v>49.368</v>
      </c>
      <c r="BP861" s="71">
        <f>IFERROR(__xludf.DUMMYFUNCTION("""COMPUTED_VALUE"""),357.918)</f>
        <v>357.918</v>
      </c>
      <c r="BQ861" s="71">
        <f>IFERROR(__xludf.DUMMYFUNCTION("""COMPUTED_VALUE"""),301.28999999999996)</f>
        <v>301.29</v>
      </c>
      <c r="BR861" s="71">
        <f>IFERROR(__xludf.DUMMYFUNCTION("""COMPUTED_VALUE"""),48.206399999999995)</f>
        <v>48.2064</v>
      </c>
      <c r="BS861" s="71">
        <f>IFERROR(__xludf.DUMMYFUNCTION("""COMPUTED_VALUE"""),349.49639999999994)</f>
        <v>349.4964</v>
      </c>
      <c r="BT861" s="71">
        <f>IFERROR(__xludf.DUMMYFUNCTION("""COMPUTED_VALUE"""),290.40000000000003)</f>
        <v>290.4</v>
      </c>
      <c r="BU861" s="71">
        <f>IFERROR(__xludf.DUMMYFUNCTION("""COMPUTED_VALUE"""),46.464000000000006)</f>
        <v>46.464</v>
      </c>
      <c r="BV861" s="71">
        <f>IFERROR(__xludf.DUMMYFUNCTION("""COMPUTED_VALUE"""),336.86400000000003)</f>
        <v>336.864</v>
      </c>
    </row>
    <row r="862">
      <c r="A862" s="53">
        <v>1.0</v>
      </c>
      <c r="B862" s="72"/>
      <c r="C862" s="73" t="s">
        <v>53</v>
      </c>
      <c r="D862" s="74" t="s">
        <v>2083</v>
      </c>
      <c r="E862" s="54" t="s">
        <v>38</v>
      </c>
      <c r="F862" s="54" t="s">
        <v>42</v>
      </c>
      <c r="G862" s="88" t="s">
        <v>2084</v>
      </c>
      <c r="H862" s="54" t="s">
        <v>2085</v>
      </c>
      <c r="I862" s="54">
        <f t="shared" si="24"/>
        <v>34</v>
      </c>
      <c r="J862" s="56"/>
      <c r="K862" s="75"/>
      <c r="L862" s="76"/>
      <c r="M862" s="59"/>
      <c r="N862" s="60">
        <v>523.0</v>
      </c>
      <c r="O862" s="61">
        <v>523.0</v>
      </c>
      <c r="P862" s="62">
        <v>564.84</v>
      </c>
      <c r="Q862" s="63">
        <v>564.84</v>
      </c>
      <c r="R862" s="64">
        <v>629.0</v>
      </c>
      <c r="S862" s="65">
        <v>528.0</v>
      </c>
      <c r="T862" s="65">
        <f t="shared" si="2"/>
        <v>84.48</v>
      </c>
      <c r="U862" s="65">
        <f t="shared" si="3"/>
        <v>612.48</v>
      </c>
      <c r="V862" s="66">
        <f t="shared" si="4"/>
        <v>-0.160572337</v>
      </c>
      <c r="W862" s="67">
        <f t="shared" si="5"/>
        <v>501.6</v>
      </c>
      <c r="X862" s="67">
        <f t="shared" si="6"/>
        <v>80.256</v>
      </c>
      <c r="Y862" s="67">
        <f t="shared" si="7"/>
        <v>581.856</v>
      </c>
      <c r="Z862" s="67">
        <f t="shared" si="8"/>
        <v>475.2</v>
      </c>
      <c r="AA862" s="67">
        <f t="shared" si="9"/>
        <v>76.032</v>
      </c>
      <c r="AB862" s="67">
        <f t="shared" si="10"/>
        <v>551.232</v>
      </c>
      <c r="AC862" s="67">
        <f t="shared" si="11"/>
        <v>448.8</v>
      </c>
      <c r="AD862" s="67">
        <f t="shared" si="12"/>
        <v>71.808</v>
      </c>
      <c r="AE862" s="67">
        <f t="shared" si="13"/>
        <v>520.608</v>
      </c>
      <c r="AF862" s="67">
        <f t="shared" si="33"/>
        <v>438.24</v>
      </c>
      <c r="AG862" s="67">
        <f t="shared" si="15"/>
        <v>70.1184</v>
      </c>
      <c r="AH862" s="67">
        <f t="shared" si="16"/>
        <v>508.3584</v>
      </c>
      <c r="AI862" s="67">
        <f t="shared" si="17"/>
        <v>422.4</v>
      </c>
      <c r="AJ862" s="68">
        <f t="shared" si="31"/>
        <v>67.584</v>
      </c>
      <c r="AK862" s="68">
        <f t="shared" si="32"/>
        <v>489.984</v>
      </c>
      <c r="AL862" s="70">
        <f>IFERROR(__xludf.DUMMYFUNCTION("""COMPUTED_VALUE"""),1.0)</f>
        <v>1</v>
      </c>
      <c r="AM862" s="70"/>
      <c r="AN862" s="71" t="str">
        <f>IFERROR(__xludf.DUMMYFUNCTION("""COMPUTED_VALUE""")," P")</f>
        <v>P</v>
      </c>
      <c r="AO862" s="71" t="str">
        <f>IFERROR(__xludf.DUMMYFUNCTION("""COMPUTED_VALUE""")," PT97")</f>
        <v>PT97</v>
      </c>
      <c r="AP862" s="71" t="str">
        <f>IFERROR(__xludf.DUMMYFUNCTION("""COMPUTED_VALUE""")," PZA")</f>
        <v>PZA</v>
      </c>
      <c r="AQ862" s="71" t="str">
        <f>IFERROR(__xludf.DUMMYFUNCTION("""COMPUTED_VALUE""")," REF")</f>
        <v>REF</v>
      </c>
      <c r="AR862" s="71" t="str">
        <f>IFERROR(__xludf.DUMMYFUNCTION("""COMPUTED_VALUE""")," PALETA P AMASADORA 100 KG CEN INOX FUND")</f>
        <v>PALETA P AMASADORA 100 KG CEN INOX FUND</v>
      </c>
      <c r="AS862" s="71" t="str">
        <f>IFERROR(__xludf.DUMMYFUNCTION("""COMPUTED_VALUE""")," PALETA P AMASADORA 100 KG CEN INOX FUND")</f>
        <v>PALETA P AMASADORA 100 KG CEN INOX FUND</v>
      </c>
      <c r="AT862" s="71">
        <f>IFERROR(__xludf.DUMMYFUNCTION("""COMPUTED_VALUE"""),39.0)</f>
        <v>39</v>
      </c>
      <c r="AU862" s="71"/>
      <c r="AV862" s="71"/>
      <c r="AW862" s="71"/>
      <c r="AX862" s="71"/>
      <c r="AY862" s="71">
        <f>IFERROR(__xludf.DUMMYFUNCTION("""COMPUTED_VALUE"""),1121.0)</f>
        <v>1121</v>
      </c>
      <c r="AZ862" s="71">
        <f>IFERROR(__xludf.DUMMYFUNCTION("""COMPUTED_VALUE"""),1210.0)</f>
        <v>1210</v>
      </c>
      <c r="BA862" s="71">
        <f>IFERROR(__xludf.DUMMYFUNCTION("""COMPUTED_VALUE"""),1750.0)</f>
        <v>1750</v>
      </c>
      <c r="BB862" s="71">
        <f>IFERROR(__xludf.DUMMYFUNCTION("""COMPUTED_VALUE"""),1750.0)</f>
        <v>1750</v>
      </c>
      <c r="BC862" s="71">
        <f>IFERROR(__xludf.DUMMYFUNCTION("""COMPUTED_VALUE"""),1838.0)</f>
        <v>1838</v>
      </c>
      <c r="BD862" s="71">
        <f>IFERROR(__xludf.DUMMYFUNCTION("""COMPUTED_VALUE"""),1930.0)</f>
        <v>1930</v>
      </c>
      <c r="BE862" s="71">
        <f>IFERROR(__xludf.DUMMYFUNCTION("""COMPUTED_VALUE"""),308.8)</f>
        <v>308.8</v>
      </c>
      <c r="BF862" s="71">
        <f>IFERROR(__xludf.DUMMYFUNCTION("""COMPUTED_VALUE"""),2238.8)</f>
        <v>2238.8</v>
      </c>
      <c r="BG862" s="71">
        <f>IFERROR(__xludf.DUMMYFUNCTION("""COMPUTED_VALUE"""),0.05005440696409141)</f>
        <v>0.05005440696</v>
      </c>
      <c r="BH862" s="71">
        <f>IFERROR(__xludf.DUMMYFUNCTION("""COMPUTED_VALUE"""),1833.5)</f>
        <v>1833.5</v>
      </c>
      <c r="BI862" s="71">
        <f>IFERROR(__xludf.DUMMYFUNCTION("""COMPUTED_VALUE"""),293.36)</f>
        <v>293.36</v>
      </c>
      <c r="BJ862" s="71">
        <f>IFERROR(__xludf.DUMMYFUNCTION("""COMPUTED_VALUE"""),2126.86)</f>
        <v>2126.86</v>
      </c>
      <c r="BK862" s="71">
        <f>IFERROR(__xludf.DUMMYFUNCTION("""COMPUTED_VALUE"""),1737.0)</f>
        <v>1737</v>
      </c>
      <c r="BL862" s="71">
        <f>IFERROR(__xludf.DUMMYFUNCTION("""COMPUTED_VALUE"""),277.92)</f>
        <v>277.92</v>
      </c>
      <c r="BM862" s="71">
        <f>IFERROR(__xludf.DUMMYFUNCTION("""COMPUTED_VALUE"""),2014.92)</f>
        <v>2014.92</v>
      </c>
      <c r="BN862" s="71">
        <f>IFERROR(__xludf.DUMMYFUNCTION("""COMPUTED_VALUE"""),1640.5)</f>
        <v>1640.5</v>
      </c>
      <c r="BO862" s="71">
        <f>IFERROR(__xludf.DUMMYFUNCTION("""COMPUTED_VALUE"""),262.48)</f>
        <v>262.48</v>
      </c>
      <c r="BP862" s="71">
        <f>IFERROR(__xludf.DUMMYFUNCTION("""COMPUTED_VALUE"""),1902.98)</f>
        <v>1902.98</v>
      </c>
      <c r="BQ862" s="71">
        <f>IFERROR(__xludf.DUMMYFUNCTION("""COMPUTED_VALUE"""),1601.8999999999999)</f>
        <v>1601.9</v>
      </c>
      <c r="BR862" s="71">
        <f>IFERROR(__xludf.DUMMYFUNCTION("""COMPUTED_VALUE"""),256.304)</f>
        <v>256.304</v>
      </c>
      <c r="BS862" s="71">
        <f>IFERROR(__xludf.DUMMYFUNCTION("""COMPUTED_VALUE"""),1858.2039999999997)</f>
        <v>1858.204</v>
      </c>
      <c r="BT862" s="71">
        <f>IFERROR(__xludf.DUMMYFUNCTION("""COMPUTED_VALUE"""),1544.0)</f>
        <v>1544</v>
      </c>
      <c r="BU862" s="71">
        <f>IFERROR(__xludf.DUMMYFUNCTION("""COMPUTED_VALUE"""),247.04)</f>
        <v>247.04</v>
      </c>
      <c r="BV862" s="71">
        <f>IFERROR(__xludf.DUMMYFUNCTION("""COMPUTED_VALUE"""),1791.04)</f>
        <v>1791.04</v>
      </c>
    </row>
    <row r="863">
      <c r="A863" s="53"/>
      <c r="B863" s="53"/>
      <c r="C863" s="73" t="s">
        <v>12</v>
      </c>
      <c r="D863" s="53" t="s">
        <v>2086</v>
      </c>
      <c r="E863" s="54" t="s">
        <v>38</v>
      </c>
      <c r="F863" s="54" t="s">
        <v>42</v>
      </c>
      <c r="G863" s="55" t="s">
        <v>2087</v>
      </c>
      <c r="H863" s="55" t="s">
        <v>2088</v>
      </c>
      <c r="I863" s="54">
        <f t="shared" si="24"/>
        <v>38</v>
      </c>
      <c r="J863" s="56"/>
      <c r="K863" s="57"/>
      <c r="L863" s="76"/>
      <c r="M863" s="59"/>
      <c r="N863" s="60"/>
      <c r="O863" s="90"/>
      <c r="P863" s="62">
        <v>946.16</v>
      </c>
      <c r="Q863" s="63">
        <v>946.16</v>
      </c>
      <c r="R863" s="64">
        <v>994.0</v>
      </c>
      <c r="S863" s="111">
        <v>1044.0</v>
      </c>
      <c r="T863" s="65">
        <f t="shared" si="2"/>
        <v>167.04</v>
      </c>
      <c r="U863" s="65">
        <f t="shared" si="3"/>
        <v>1211.04</v>
      </c>
      <c r="V863" s="66">
        <f t="shared" si="4"/>
        <v>0.05030181087</v>
      </c>
      <c r="W863" s="67">
        <f t="shared" si="5"/>
        <v>991.8</v>
      </c>
      <c r="X863" s="67">
        <f t="shared" si="6"/>
        <v>158.688</v>
      </c>
      <c r="Y863" s="67">
        <f t="shared" si="7"/>
        <v>1150.488</v>
      </c>
      <c r="Z863" s="67">
        <f t="shared" si="8"/>
        <v>939.6</v>
      </c>
      <c r="AA863" s="67">
        <f t="shared" si="9"/>
        <v>150.336</v>
      </c>
      <c r="AB863" s="67">
        <f t="shared" si="10"/>
        <v>1089.936</v>
      </c>
      <c r="AC863" s="67">
        <f t="shared" si="11"/>
        <v>887.4</v>
      </c>
      <c r="AD863" s="67">
        <f t="shared" si="12"/>
        <v>141.984</v>
      </c>
      <c r="AE863" s="67">
        <f t="shared" si="13"/>
        <v>1029.384</v>
      </c>
      <c r="AF863" s="67">
        <f t="shared" si="33"/>
        <v>866.52</v>
      </c>
      <c r="AG863" s="67">
        <f t="shared" si="15"/>
        <v>138.6432</v>
      </c>
      <c r="AH863" s="67">
        <f t="shared" si="16"/>
        <v>1005.1632</v>
      </c>
      <c r="AI863" s="67">
        <f t="shared" si="17"/>
        <v>835.2</v>
      </c>
      <c r="AJ863" s="68">
        <f t="shared" si="31"/>
        <v>133.632</v>
      </c>
      <c r="AK863" s="68">
        <f t="shared" si="32"/>
        <v>968.832</v>
      </c>
      <c r="AL863" s="70">
        <f>IFERROR(__xludf.DUMMYFUNCTION("""COMPUTED_VALUE"""),1.0)</f>
        <v>1</v>
      </c>
      <c r="AM863" s="70"/>
      <c r="AN863" s="71" t="str">
        <f>IFERROR(__xludf.DUMMYFUNCTION("""COMPUTED_VALUE""")," P")</f>
        <v>P</v>
      </c>
      <c r="AO863" s="71" t="str">
        <f>IFERROR(__xludf.DUMMYFUNCTION("""COMPUTED_VALUE""")," PT08")</f>
        <v>PT08</v>
      </c>
      <c r="AP863" s="71" t="str">
        <f>IFERROR(__xludf.DUMMYFUNCTION("""COMPUTED_VALUE""")," PZA")</f>
        <v>PZA</v>
      </c>
      <c r="AQ863" s="71" t="str">
        <f>IFERROR(__xludf.DUMMYFUNCTION("""COMPUTED_VALUE""")," REF")</f>
        <v>REF</v>
      </c>
      <c r="AR863" s="71" t="str">
        <f>IFERROR(__xludf.DUMMYFUNCTION("""COMPUTED_VALUE""")," PALETA P AMASADORA 100 KG DER ALUMINIO")</f>
        <v>PALETA P AMASADORA 100 KG DER ALUMINIO</v>
      </c>
      <c r="AS863" s="71" t="str">
        <f>IFERROR(__xludf.DUMMYFUNCTION("""COMPUTED_VALUE""")," PALETA P AMASADORA 100 KG DER ALUMINIO")</f>
        <v>PALETA P AMASADORA 100 KG DER ALUMINIO</v>
      </c>
      <c r="AT863" s="71">
        <f>IFERROR(__xludf.DUMMYFUNCTION("""COMPUTED_VALUE"""),38.0)</f>
        <v>38</v>
      </c>
      <c r="AU863" s="71"/>
      <c r="AV863" s="71"/>
      <c r="AW863" s="71"/>
      <c r="AX863" s="71"/>
      <c r="AY863" s="71">
        <f>IFERROR(__xludf.DUMMYFUNCTION("""COMPUTED_VALUE"""),266.0)</f>
        <v>266</v>
      </c>
      <c r="AZ863" s="71">
        <f>IFERROR(__xludf.DUMMYFUNCTION("""COMPUTED_VALUE"""),287.0)</f>
        <v>287</v>
      </c>
      <c r="BA863" s="71">
        <f>IFERROR(__xludf.DUMMYFUNCTION("""COMPUTED_VALUE"""),309.96000000000004)</f>
        <v>309.96</v>
      </c>
      <c r="BB863" s="71">
        <f>IFERROR(__xludf.DUMMYFUNCTION("""COMPUTED_VALUE"""),309.96000000000004)</f>
        <v>309.96</v>
      </c>
      <c r="BC863" s="71">
        <f>IFERROR(__xludf.DUMMYFUNCTION("""COMPUTED_VALUE"""),346.0)</f>
        <v>346</v>
      </c>
      <c r="BD863" s="71">
        <f>IFERROR(__xludf.DUMMYFUNCTION("""COMPUTED_VALUE"""),363.0)</f>
        <v>363</v>
      </c>
      <c r="BE863" s="71">
        <f>IFERROR(__xludf.DUMMYFUNCTION("""COMPUTED_VALUE"""),58.08)</f>
        <v>58.08</v>
      </c>
      <c r="BF863" s="71">
        <f>IFERROR(__xludf.DUMMYFUNCTION("""COMPUTED_VALUE"""),421.08)</f>
        <v>421.08</v>
      </c>
      <c r="BG863" s="71">
        <f>IFERROR(__xludf.DUMMYFUNCTION("""COMPUTED_VALUE"""),0.049132947976878616)</f>
        <v>0.04913294798</v>
      </c>
      <c r="BH863" s="71">
        <f>IFERROR(__xludf.DUMMYFUNCTION("""COMPUTED_VALUE"""),344.84999999999997)</f>
        <v>344.85</v>
      </c>
      <c r="BI863" s="71">
        <f>IFERROR(__xludf.DUMMYFUNCTION("""COMPUTED_VALUE"""),55.175999999999995)</f>
        <v>55.176</v>
      </c>
      <c r="BJ863" s="71">
        <f>IFERROR(__xludf.DUMMYFUNCTION("""COMPUTED_VALUE"""),400.02599999999995)</f>
        <v>400.026</v>
      </c>
      <c r="BK863" s="71">
        <f>IFERROR(__xludf.DUMMYFUNCTION("""COMPUTED_VALUE"""),326.7)</f>
        <v>326.7</v>
      </c>
      <c r="BL863" s="71">
        <f>IFERROR(__xludf.DUMMYFUNCTION("""COMPUTED_VALUE"""),52.272)</f>
        <v>52.272</v>
      </c>
      <c r="BM863" s="71">
        <f>IFERROR(__xludf.DUMMYFUNCTION("""COMPUTED_VALUE"""),378.972)</f>
        <v>378.972</v>
      </c>
      <c r="BN863" s="71">
        <f>IFERROR(__xludf.DUMMYFUNCTION("""COMPUTED_VALUE"""),308.55)</f>
        <v>308.55</v>
      </c>
      <c r="BO863" s="71">
        <f>IFERROR(__xludf.DUMMYFUNCTION("""COMPUTED_VALUE"""),49.368)</f>
        <v>49.368</v>
      </c>
      <c r="BP863" s="71">
        <f>IFERROR(__xludf.DUMMYFUNCTION("""COMPUTED_VALUE"""),357.918)</f>
        <v>357.918</v>
      </c>
      <c r="BQ863" s="71">
        <f>IFERROR(__xludf.DUMMYFUNCTION("""COMPUTED_VALUE"""),301.28999999999996)</f>
        <v>301.29</v>
      </c>
      <c r="BR863" s="71">
        <f>IFERROR(__xludf.DUMMYFUNCTION("""COMPUTED_VALUE"""),48.206399999999995)</f>
        <v>48.2064</v>
      </c>
      <c r="BS863" s="71">
        <f>IFERROR(__xludf.DUMMYFUNCTION("""COMPUTED_VALUE"""),349.49639999999994)</f>
        <v>349.4964</v>
      </c>
      <c r="BT863" s="71">
        <f>IFERROR(__xludf.DUMMYFUNCTION("""COMPUTED_VALUE"""),290.40000000000003)</f>
        <v>290.4</v>
      </c>
      <c r="BU863" s="71">
        <f>IFERROR(__xludf.DUMMYFUNCTION("""COMPUTED_VALUE"""),46.464000000000006)</f>
        <v>46.464</v>
      </c>
      <c r="BV863" s="71">
        <f>IFERROR(__xludf.DUMMYFUNCTION("""COMPUTED_VALUE"""),336.86400000000003)</f>
        <v>336.864</v>
      </c>
    </row>
    <row r="864">
      <c r="A864" s="53"/>
      <c r="B864" s="53"/>
      <c r="C864" s="73" t="s">
        <v>53</v>
      </c>
      <c r="D864" s="53" t="s">
        <v>2089</v>
      </c>
      <c r="E864" s="54" t="s">
        <v>38</v>
      </c>
      <c r="F864" s="55" t="s">
        <v>309</v>
      </c>
      <c r="G864" s="55" t="s">
        <v>2090</v>
      </c>
      <c r="H864" s="55"/>
      <c r="I864" s="54">
        <f t="shared" si="24"/>
        <v>0</v>
      </c>
      <c r="J864" s="56"/>
      <c r="K864" s="57"/>
      <c r="L864" s="76"/>
      <c r="M864" s="59"/>
      <c r="N864" s="60"/>
      <c r="O864" s="90">
        <v>564.0</v>
      </c>
      <c r="P864" s="62">
        <v>609.12</v>
      </c>
      <c r="Q864" s="63">
        <v>609.12</v>
      </c>
      <c r="R864" s="64">
        <v>629.0</v>
      </c>
      <c r="S864" s="111">
        <v>660.0</v>
      </c>
      <c r="T864" s="65">
        <f t="shared" si="2"/>
        <v>105.6</v>
      </c>
      <c r="U864" s="65">
        <f t="shared" si="3"/>
        <v>765.6</v>
      </c>
      <c r="V864" s="66">
        <f t="shared" si="4"/>
        <v>0.0492845787</v>
      </c>
      <c r="W864" s="67">
        <f t="shared" si="5"/>
        <v>627</v>
      </c>
      <c r="X864" s="67">
        <f t="shared" si="6"/>
        <v>100.32</v>
      </c>
      <c r="Y864" s="67">
        <f t="shared" si="7"/>
        <v>727.32</v>
      </c>
      <c r="Z864" s="67">
        <f t="shared" si="8"/>
        <v>594</v>
      </c>
      <c r="AA864" s="67">
        <f t="shared" si="9"/>
        <v>95.04</v>
      </c>
      <c r="AB864" s="67">
        <f t="shared" si="10"/>
        <v>689.04</v>
      </c>
      <c r="AC864" s="67">
        <f t="shared" si="11"/>
        <v>561</v>
      </c>
      <c r="AD864" s="67">
        <f t="shared" si="12"/>
        <v>89.76</v>
      </c>
      <c r="AE864" s="67">
        <f t="shared" si="13"/>
        <v>650.76</v>
      </c>
      <c r="AF864" s="67">
        <f t="shared" si="33"/>
        <v>547.8</v>
      </c>
      <c r="AG864" s="67">
        <f t="shared" si="15"/>
        <v>87.648</v>
      </c>
      <c r="AH864" s="67">
        <f t="shared" si="16"/>
        <v>635.448</v>
      </c>
      <c r="AI864" s="67">
        <f t="shared" si="17"/>
        <v>528</v>
      </c>
      <c r="AJ864" s="68">
        <f t="shared" si="31"/>
        <v>84.48</v>
      </c>
      <c r="AK864" s="68">
        <f t="shared" si="32"/>
        <v>612.48</v>
      </c>
      <c r="AL864" s="70">
        <f>IFERROR(__xludf.DUMMYFUNCTION("""COMPUTED_VALUE"""),1.0)</f>
        <v>1</v>
      </c>
      <c r="AM864" s="70"/>
      <c r="AN864" s="71" t="str">
        <f>IFERROR(__xludf.DUMMYFUNCTION("""COMPUTED_VALUE""")," P")</f>
        <v>P</v>
      </c>
      <c r="AO864" s="71" t="str">
        <f>IFERROR(__xludf.DUMMYFUNCTION("""COMPUTED_VALUE""")," PT98")</f>
        <v>PT98</v>
      </c>
      <c r="AP864" s="71" t="str">
        <f>IFERROR(__xludf.DUMMYFUNCTION("""COMPUTED_VALUE""")," PZA")</f>
        <v>PZA</v>
      </c>
      <c r="AQ864" s="71" t="str">
        <f>IFERROR(__xludf.DUMMYFUNCTION("""COMPUTED_VALUE""")," REF")</f>
        <v>REF</v>
      </c>
      <c r="AR864" s="71" t="str">
        <f>IFERROR(__xludf.DUMMYFUNCTION("""COMPUTED_VALUE""")," PALETA P AMASADORA 100 KG DER INOX FUND")</f>
        <v>PALETA P AMASADORA 100 KG DER INOX FUND</v>
      </c>
      <c r="AS864" s="71" t="str">
        <f>IFERROR(__xludf.DUMMYFUNCTION("""COMPUTED_VALUE""")," PALETA P AMASADORA 100 KG DER INOX FUND")</f>
        <v>PALETA P AMASADORA 100 KG DER INOX FUND</v>
      </c>
      <c r="AT864" s="71">
        <f>IFERROR(__xludf.DUMMYFUNCTION("""COMPUTED_VALUE"""),39.0)</f>
        <v>39</v>
      </c>
      <c r="AU864" s="71"/>
      <c r="AV864" s="71"/>
      <c r="AW864" s="71"/>
      <c r="AX864" s="71"/>
      <c r="AY864" s="71">
        <f>IFERROR(__xludf.DUMMYFUNCTION("""COMPUTED_VALUE"""),1121.0)</f>
        <v>1121</v>
      </c>
      <c r="AZ864" s="71">
        <f>IFERROR(__xludf.DUMMYFUNCTION("""COMPUTED_VALUE"""),1210.0)</f>
        <v>1210</v>
      </c>
      <c r="BA864" s="71">
        <f>IFERROR(__xludf.DUMMYFUNCTION("""COMPUTED_VALUE"""),1750.0)</f>
        <v>1750</v>
      </c>
      <c r="BB864" s="71">
        <f>IFERROR(__xludf.DUMMYFUNCTION("""COMPUTED_VALUE"""),1750.0)</f>
        <v>1750</v>
      </c>
      <c r="BC864" s="71">
        <f>IFERROR(__xludf.DUMMYFUNCTION("""COMPUTED_VALUE"""),1838.0)</f>
        <v>1838</v>
      </c>
      <c r="BD864" s="71">
        <f>IFERROR(__xludf.DUMMYFUNCTION("""COMPUTED_VALUE"""),1930.0)</f>
        <v>1930</v>
      </c>
      <c r="BE864" s="71">
        <f>IFERROR(__xludf.DUMMYFUNCTION("""COMPUTED_VALUE"""),308.8)</f>
        <v>308.8</v>
      </c>
      <c r="BF864" s="71">
        <f>IFERROR(__xludf.DUMMYFUNCTION("""COMPUTED_VALUE"""),2238.8)</f>
        <v>2238.8</v>
      </c>
      <c r="BG864" s="71">
        <f>IFERROR(__xludf.DUMMYFUNCTION("""COMPUTED_VALUE"""),0.05005440696409141)</f>
        <v>0.05005440696</v>
      </c>
      <c r="BH864" s="71">
        <f>IFERROR(__xludf.DUMMYFUNCTION("""COMPUTED_VALUE"""),1833.5)</f>
        <v>1833.5</v>
      </c>
      <c r="BI864" s="71">
        <f>IFERROR(__xludf.DUMMYFUNCTION("""COMPUTED_VALUE"""),293.36)</f>
        <v>293.36</v>
      </c>
      <c r="BJ864" s="71">
        <f>IFERROR(__xludf.DUMMYFUNCTION("""COMPUTED_VALUE"""),2126.86)</f>
        <v>2126.86</v>
      </c>
      <c r="BK864" s="71">
        <f>IFERROR(__xludf.DUMMYFUNCTION("""COMPUTED_VALUE"""),1737.0)</f>
        <v>1737</v>
      </c>
      <c r="BL864" s="71">
        <f>IFERROR(__xludf.DUMMYFUNCTION("""COMPUTED_VALUE"""),277.92)</f>
        <v>277.92</v>
      </c>
      <c r="BM864" s="71">
        <f>IFERROR(__xludf.DUMMYFUNCTION("""COMPUTED_VALUE"""),2014.92)</f>
        <v>2014.92</v>
      </c>
      <c r="BN864" s="71">
        <f>IFERROR(__xludf.DUMMYFUNCTION("""COMPUTED_VALUE"""),1640.5)</f>
        <v>1640.5</v>
      </c>
      <c r="BO864" s="71">
        <f>IFERROR(__xludf.DUMMYFUNCTION("""COMPUTED_VALUE"""),262.48)</f>
        <v>262.48</v>
      </c>
      <c r="BP864" s="71">
        <f>IFERROR(__xludf.DUMMYFUNCTION("""COMPUTED_VALUE"""),1902.98)</f>
        <v>1902.98</v>
      </c>
      <c r="BQ864" s="71">
        <f>IFERROR(__xludf.DUMMYFUNCTION("""COMPUTED_VALUE"""),1601.8999999999999)</f>
        <v>1601.9</v>
      </c>
      <c r="BR864" s="71">
        <f>IFERROR(__xludf.DUMMYFUNCTION("""COMPUTED_VALUE"""),256.304)</f>
        <v>256.304</v>
      </c>
      <c r="BS864" s="71">
        <f>IFERROR(__xludf.DUMMYFUNCTION("""COMPUTED_VALUE"""),1858.2039999999997)</f>
        <v>1858.204</v>
      </c>
      <c r="BT864" s="71">
        <f>IFERROR(__xludf.DUMMYFUNCTION("""COMPUTED_VALUE"""),1544.0)</f>
        <v>1544</v>
      </c>
      <c r="BU864" s="71">
        <f>IFERROR(__xludf.DUMMYFUNCTION("""COMPUTED_VALUE"""),247.04)</f>
        <v>247.04</v>
      </c>
      <c r="BV864" s="71">
        <f>IFERROR(__xludf.DUMMYFUNCTION("""COMPUTED_VALUE"""),1791.04)</f>
        <v>1791.04</v>
      </c>
    </row>
    <row r="865">
      <c r="A865" s="53"/>
      <c r="B865" s="53"/>
      <c r="C865" s="73"/>
      <c r="D865" s="53" t="s">
        <v>2091</v>
      </c>
      <c r="E865" s="54" t="s">
        <v>38</v>
      </c>
      <c r="F865" s="55" t="s">
        <v>309</v>
      </c>
      <c r="G865" s="54" t="s">
        <v>2092</v>
      </c>
      <c r="H865" s="55"/>
      <c r="I865" s="54">
        <f t="shared" si="24"/>
        <v>0</v>
      </c>
      <c r="J865" s="56"/>
      <c r="K865" s="57"/>
      <c r="L865" s="76"/>
      <c r="M865" s="59"/>
      <c r="N865" s="60"/>
      <c r="O865" s="90">
        <v>740.0</v>
      </c>
      <c r="P865" s="62">
        <v>799.2</v>
      </c>
      <c r="Q865" s="63">
        <v>799.2</v>
      </c>
      <c r="R865" s="64">
        <v>839.0</v>
      </c>
      <c r="S865" s="111">
        <v>881.0</v>
      </c>
      <c r="T865" s="65">
        <f t="shared" si="2"/>
        <v>140.96</v>
      </c>
      <c r="U865" s="65">
        <f t="shared" si="3"/>
        <v>1021.96</v>
      </c>
      <c r="V865" s="66">
        <f t="shared" si="4"/>
        <v>0.05005959476</v>
      </c>
      <c r="W865" s="67">
        <f t="shared" si="5"/>
        <v>836.95</v>
      </c>
      <c r="X865" s="67">
        <f t="shared" si="6"/>
        <v>133.912</v>
      </c>
      <c r="Y865" s="67">
        <f t="shared" si="7"/>
        <v>970.862</v>
      </c>
      <c r="Z865" s="67">
        <f t="shared" si="8"/>
        <v>792.9</v>
      </c>
      <c r="AA865" s="67">
        <f t="shared" si="9"/>
        <v>126.864</v>
      </c>
      <c r="AB865" s="67">
        <f t="shared" si="10"/>
        <v>919.764</v>
      </c>
      <c r="AC865" s="67">
        <f t="shared" si="11"/>
        <v>748.85</v>
      </c>
      <c r="AD865" s="67">
        <f t="shared" si="12"/>
        <v>119.816</v>
      </c>
      <c r="AE865" s="67">
        <f t="shared" si="13"/>
        <v>868.666</v>
      </c>
      <c r="AF865" s="67">
        <f t="shared" si="33"/>
        <v>731.23</v>
      </c>
      <c r="AG865" s="67">
        <f t="shared" si="15"/>
        <v>116.9968</v>
      </c>
      <c r="AH865" s="67">
        <f t="shared" si="16"/>
        <v>848.2268</v>
      </c>
      <c r="AI865" s="67">
        <f t="shared" si="17"/>
        <v>704.8</v>
      </c>
      <c r="AJ865" s="68">
        <f t="shared" si="31"/>
        <v>112.768</v>
      </c>
      <c r="AK865" s="68">
        <f t="shared" si="32"/>
        <v>817.568</v>
      </c>
      <c r="AL865" s="70">
        <f>IFERROR(__xludf.DUMMYFUNCTION("""COMPUTED_VALUE"""),1.0)</f>
        <v>1</v>
      </c>
      <c r="AM865" s="70"/>
      <c r="AN865" s="71" t="str">
        <f>IFERROR(__xludf.DUMMYFUNCTION("""COMPUTED_VALUE""")," P")</f>
        <v>P</v>
      </c>
      <c r="AO865" s="71" t="str">
        <f>IFERROR(__xludf.DUMMYFUNCTION("""COMPUTED_VALUE""")," PT09")</f>
        <v>PT09</v>
      </c>
      <c r="AP865" s="71" t="str">
        <f>IFERROR(__xludf.DUMMYFUNCTION("""COMPUTED_VALUE""")," PZA")</f>
        <v>PZA</v>
      </c>
      <c r="AQ865" s="71" t="str">
        <f>IFERROR(__xludf.DUMMYFUNCTION("""COMPUTED_VALUE""")," REF")</f>
        <v>REF</v>
      </c>
      <c r="AR865" s="71" t="str">
        <f>IFERROR(__xludf.DUMMYFUNCTION("""COMPUTED_VALUE""")," PALETA P AMASADORA 100 KG IZQ ALUMINIO")</f>
        <v>PALETA P AMASADORA 100 KG IZQ ALUMINIO</v>
      </c>
      <c r="AS865" s="71" t="str">
        <f>IFERROR(__xludf.DUMMYFUNCTION("""COMPUTED_VALUE""")," PALETA P AMASADORA 100 KG IZQ ALUMINIO")</f>
        <v>PALETA P AMASADORA 100 KG IZQ ALUMINIO</v>
      </c>
      <c r="AT865" s="71">
        <f>IFERROR(__xludf.DUMMYFUNCTION("""COMPUTED_VALUE"""),38.0)</f>
        <v>38</v>
      </c>
      <c r="AU865" s="71"/>
      <c r="AV865" s="71"/>
      <c r="AW865" s="71"/>
      <c r="AX865" s="71"/>
      <c r="AY865" s="71">
        <f>IFERROR(__xludf.DUMMYFUNCTION("""COMPUTED_VALUE"""),266.0)</f>
        <v>266</v>
      </c>
      <c r="AZ865" s="71">
        <f>IFERROR(__xludf.DUMMYFUNCTION("""COMPUTED_VALUE"""),287.0)</f>
        <v>287</v>
      </c>
      <c r="BA865" s="71">
        <f>IFERROR(__xludf.DUMMYFUNCTION("""COMPUTED_VALUE"""),309.96000000000004)</f>
        <v>309.96</v>
      </c>
      <c r="BB865" s="71">
        <f>IFERROR(__xludf.DUMMYFUNCTION("""COMPUTED_VALUE"""),309.96000000000004)</f>
        <v>309.96</v>
      </c>
      <c r="BC865" s="71">
        <f>IFERROR(__xludf.DUMMYFUNCTION("""COMPUTED_VALUE"""),346.0)</f>
        <v>346</v>
      </c>
      <c r="BD865" s="71">
        <f>IFERROR(__xludf.DUMMYFUNCTION("""COMPUTED_VALUE"""),363.0)</f>
        <v>363</v>
      </c>
      <c r="BE865" s="71">
        <f>IFERROR(__xludf.DUMMYFUNCTION("""COMPUTED_VALUE"""),58.08)</f>
        <v>58.08</v>
      </c>
      <c r="BF865" s="71">
        <f>IFERROR(__xludf.DUMMYFUNCTION("""COMPUTED_VALUE"""),421.08)</f>
        <v>421.08</v>
      </c>
      <c r="BG865" s="71">
        <f>IFERROR(__xludf.DUMMYFUNCTION("""COMPUTED_VALUE"""),0.049132947976878616)</f>
        <v>0.04913294798</v>
      </c>
      <c r="BH865" s="71">
        <f>IFERROR(__xludf.DUMMYFUNCTION("""COMPUTED_VALUE"""),344.84999999999997)</f>
        <v>344.85</v>
      </c>
      <c r="BI865" s="71">
        <f>IFERROR(__xludf.DUMMYFUNCTION("""COMPUTED_VALUE"""),55.175999999999995)</f>
        <v>55.176</v>
      </c>
      <c r="BJ865" s="71">
        <f>IFERROR(__xludf.DUMMYFUNCTION("""COMPUTED_VALUE"""),400.02599999999995)</f>
        <v>400.026</v>
      </c>
      <c r="BK865" s="71">
        <f>IFERROR(__xludf.DUMMYFUNCTION("""COMPUTED_VALUE"""),326.7)</f>
        <v>326.7</v>
      </c>
      <c r="BL865" s="71">
        <f>IFERROR(__xludf.DUMMYFUNCTION("""COMPUTED_VALUE"""),52.272)</f>
        <v>52.272</v>
      </c>
      <c r="BM865" s="71">
        <f>IFERROR(__xludf.DUMMYFUNCTION("""COMPUTED_VALUE"""),378.972)</f>
        <v>378.972</v>
      </c>
      <c r="BN865" s="71">
        <f>IFERROR(__xludf.DUMMYFUNCTION("""COMPUTED_VALUE"""),308.55)</f>
        <v>308.55</v>
      </c>
      <c r="BO865" s="71">
        <f>IFERROR(__xludf.DUMMYFUNCTION("""COMPUTED_VALUE"""),49.368)</f>
        <v>49.368</v>
      </c>
      <c r="BP865" s="71">
        <f>IFERROR(__xludf.DUMMYFUNCTION("""COMPUTED_VALUE"""),357.918)</f>
        <v>357.918</v>
      </c>
      <c r="BQ865" s="71">
        <f>IFERROR(__xludf.DUMMYFUNCTION("""COMPUTED_VALUE"""),301.28999999999996)</f>
        <v>301.29</v>
      </c>
      <c r="BR865" s="71">
        <f>IFERROR(__xludf.DUMMYFUNCTION("""COMPUTED_VALUE"""),48.206399999999995)</f>
        <v>48.2064</v>
      </c>
      <c r="BS865" s="71">
        <f>IFERROR(__xludf.DUMMYFUNCTION("""COMPUTED_VALUE"""),349.49639999999994)</f>
        <v>349.4964</v>
      </c>
      <c r="BT865" s="71">
        <f>IFERROR(__xludf.DUMMYFUNCTION("""COMPUTED_VALUE"""),290.40000000000003)</f>
        <v>290.4</v>
      </c>
      <c r="BU865" s="71">
        <f>IFERROR(__xludf.DUMMYFUNCTION("""COMPUTED_VALUE"""),46.464000000000006)</f>
        <v>46.464</v>
      </c>
      <c r="BV865" s="71">
        <f>IFERROR(__xludf.DUMMYFUNCTION("""COMPUTED_VALUE"""),336.86400000000003)</f>
        <v>336.864</v>
      </c>
    </row>
    <row r="866">
      <c r="A866" s="53">
        <v>1.0</v>
      </c>
      <c r="B866" s="72"/>
      <c r="C866" s="73" t="s">
        <v>53</v>
      </c>
      <c r="D866" s="74" t="s">
        <v>2093</v>
      </c>
      <c r="E866" s="54" t="s">
        <v>38</v>
      </c>
      <c r="F866" s="54" t="s">
        <v>42</v>
      </c>
      <c r="G866" s="88" t="s">
        <v>2094</v>
      </c>
      <c r="H866" s="54" t="s">
        <v>2095</v>
      </c>
      <c r="I866" s="54">
        <f t="shared" si="24"/>
        <v>40</v>
      </c>
      <c r="J866" s="56"/>
      <c r="K866" s="75"/>
      <c r="L866" s="76"/>
      <c r="M866" s="59"/>
      <c r="N866" s="60">
        <v>686.0</v>
      </c>
      <c r="O866" s="61">
        <v>740.0</v>
      </c>
      <c r="P866" s="62">
        <v>799.2</v>
      </c>
      <c r="Q866" s="63">
        <v>799.2</v>
      </c>
      <c r="R866" s="64">
        <v>839.0</v>
      </c>
      <c r="S866" s="111">
        <v>881.0</v>
      </c>
      <c r="T866" s="65">
        <f t="shared" si="2"/>
        <v>140.96</v>
      </c>
      <c r="U866" s="65">
        <f t="shared" si="3"/>
        <v>1021.96</v>
      </c>
      <c r="V866" s="66">
        <f t="shared" si="4"/>
        <v>0.05005959476</v>
      </c>
      <c r="W866" s="67">
        <f t="shared" si="5"/>
        <v>836.95</v>
      </c>
      <c r="X866" s="67">
        <f t="shared" si="6"/>
        <v>133.912</v>
      </c>
      <c r="Y866" s="67">
        <f t="shared" si="7"/>
        <v>970.862</v>
      </c>
      <c r="Z866" s="67">
        <f t="shared" si="8"/>
        <v>792.9</v>
      </c>
      <c r="AA866" s="67">
        <f t="shared" si="9"/>
        <v>126.864</v>
      </c>
      <c r="AB866" s="67">
        <f t="shared" si="10"/>
        <v>919.764</v>
      </c>
      <c r="AC866" s="67">
        <f t="shared" si="11"/>
        <v>748.85</v>
      </c>
      <c r="AD866" s="67">
        <f t="shared" si="12"/>
        <v>119.816</v>
      </c>
      <c r="AE866" s="67">
        <f t="shared" si="13"/>
        <v>868.666</v>
      </c>
      <c r="AF866" s="67">
        <f t="shared" si="33"/>
        <v>731.23</v>
      </c>
      <c r="AG866" s="67">
        <f t="shared" si="15"/>
        <v>116.9968</v>
      </c>
      <c r="AH866" s="67">
        <f t="shared" si="16"/>
        <v>848.2268</v>
      </c>
      <c r="AI866" s="67">
        <f t="shared" si="17"/>
        <v>704.8</v>
      </c>
      <c r="AJ866" s="68">
        <f t="shared" si="31"/>
        <v>112.768</v>
      </c>
      <c r="AK866" s="68">
        <f t="shared" si="32"/>
        <v>817.568</v>
      </c>
      <c r="AL866" s="70">
        <f>IFERROR(__xludf.DUMMYFUNCTION("""COMPUTED_VALUE"""),1.0)</f>
        <v>1</v>
      </c>
      <c r="AM866" s="70"/>
      <c r="AN866" s="71" t="str">
        <f>IFERROR(__xludf.DUMMYFUNCTION("""COMPUTED_VALUE""")," P")</f>
        <v>P</v>
      </c>
      <c r="AO866" s="71" t="str">
        <f>IFERROR(__xludf.DUMMYFUNCTION("""COMPUTED_VALUE""")," PT99")</f>
        <v>PT99</v>
      </c>
      <c r="AP866" s="71" t="str">
        <f>IFERROR(__xludf.DUMMYFUNCTION("""COMPUTED_VALUE""")," PZA")</f>
        <v>PZA</v>
      </c>
      <c r="AQ866" s="71" t="str">
        <f>IFERROR(__xludf.DUMMYFUNCTION("""COMPUTED_VALUE""")," REF")</f>
        <v>REF</v>
      </c>
      <c r="AR866" s="71" t="str">
        <f>IFERROR(__xludf.DUMMYFUNCTION("""COMPUTED_VALUE""")," PALETA P AMASADORA 100 KG IZQ INOX FUND")</f>
        <v>PALETA P AMASADORA 100 KG IZQ INOX FUND</v>
      </c>
      <c r="AS866" s="71" t="str">
        <f>IFERROR(__xludf.DUMMYFUNCTION("""COMPUTED_VALUE""")," PALETA P AMASADORA 100 KG IZQ INOX FUND")</f>
        <v>PALETA P AMASADORA 100 KG IZQ INOX FUND</v>
      </c>
      <c r="AT866" s="71">
        <f>IFERROR(__xludf.DUMMYFUNCTION("""COMPUTED_VALUE"""),39.0)</f>
        <v>39</v>
      </c>
      <c r="AU866" s="71"/>
      <c r="AV866" s="71"/>
      <c r="AW866" s="71"/>
      <c r="AX866" s="71"/>
      <c r="AY866" s="71">
        <f>IFERROR(__xludf.DUMMYFUNCTION("""COMPUTED_VALUE"""),1121.0)</f>
        <v>1121</v>
      </c>
      <c r="AZ866" s="71">
        <f>IFERROR(__xludf.DUMMYFUNCTION("""COMPUTED_VALUE"""),1210.0)</f>
        <v>1210</v>
      </c>
      <c r="BA866" s="71">
        <f>IFERROR(__xludf.DUMMYFUNCTION("""COMPUTED_VALUE"""),1750.0)</f>
        <v>1750</v>
      </c>
      <c r="BB866" s="71">
        <f>IFERROR(__xludf.DUMMYFUNCTION("""COMPUTED_VALUE"""),1750.0)</f>
        <v>1750</v>
      </c>
      <c r="BC866" s="71">
        <f>IFERROR(__xludf.DUMMYFUNCTION("""COMPUTED_VALUE"""),1838.0)</f>
        <v>1838</v>
      </c>
      <c r="BD866" s="71">
        <f>IFERROR(__xludf.DUMMYFUNCTION("""COMPUTED_VALUE"""),1930.0)</f>
        <v>1930</v>
      </c>
      <c r="BE866" s="71">
        <f>IFERROR(__xludf.DUMMYFUNCTION("""COMPUTED_VALUE"""),308.8)</f>
        <v>308.8</v>
      </c>
      <c r="BF866" s="71">
        <f>IFERROR(__xludf.DUMMYFUNCTION("""COMPUTED_VALUE"""),2238.8)</f>
        <v>2238.8</v>
      </c>
      <c r="BG866" s="71">
        <f>IFERROR(__xludf.DUMMYFUNCTION("""COMPUTED_VALUE"""),0.05005440696409141)</f>
        <v>0.05005440696</v>
      </c>
      <c r="BH866" s="71">
        <f>IFERROR(__xludf.DUMMYFUNCTION("""COMPUTED_VALUE"""),1833.5)</f>
        <v>1833.5</v>
      </c>
      <c r="BI866" s="71">
        <f>IFERROR(__xludf.DUMMYFUNCTION("""COMPUTED_VALUE"""),293.36)</f>
        <v>293.36</v>
      </c>
      <c r="BJ866" s="71">
        <f>IFERROR(__xludf.DUMMYFUNCTION("""COMPUTED_VALUE"""),2126.86)</f>
        <v>2126.86</v>
      </c>
      <c r="BK866" s="71">
        <f>IFERROR(__xludf.DUMMYFUNCTION("""COMPUTED_VALUE"""),1737.0)</f>
        <v>1737</v>
      </c>
      <c r="BL866" s="71">
        <f>IFERROR(__xludf.DUMMYFUNCTION("""COMPUTED_VALUE"""),277.92)</f>
        <v>277.92</v>
      </c>
      <c r="BM866" s="71">
        <f>IFERROR(__xludf.DUMMYFUNCTION("""COMPUTED_VALUE"""),2014.92)</f>
        <v>2014.92</v>
      </c>
      <c r="BN866" s="71">
        <f>IFERROR(__xludf.DUMMYFUNCTION("""COMPUTED_VALUE"""),1640.5)</f>
        <v>1640.5</v>
      </c>
      <c r="BO866" s="71">
        <f>IFERROR(__xludf.DUMMYFUNCTION("""COMPUTED_VALUE"""),262.48)</f>
        <v>262.48</v>
      </c>
      <c r="BP866" s="71">
        <f>IFERROR(__xludf.DUMMYFUNCTION("""COMPUTED_VALUE"""),1902.98)</f>
        <v>1902.98</v>
      </c>
      <c r="BQ866" s="71">
        <f>IFERROR(__xludf.DUMMYFUNCTION("""COMPUTED_VALUE"""),1601.8999999999999)</f>
        <v>1601.9</v>
      </c>
      <c r="BR866" s="71">
        <f>IFERROR(__xludf.DUMMYFUNCTION("""COMPUTED_VALUE"""),256.304)</f>
        <v>256.304</v>
      </c>
      <c r="BS866" s="71">
        <f>IFERROR(__xludf.DUMMYFUNCTION("""COMPUTED_VALUE"""),1858.2039999999997)</f>
        <v>1858.204</v>
      </c>
      <c r="BT866" s="71">
        <f>IFERROR(__xludf.DUMMYFUNCTION("""COMPUTED_VALUE"""),1544.0)</f>
        <v>1544</v>
      </c>
      <c r="BU866" s="71">
        <f>IFERROR(__xludf.DUMMYFUNCTION("""COMPUTED_VALUE"""),247.04)</f>
        <v>247.04</v>
      </c>
      <c r="BV866" s="71">
        <f>IFERROR(__xludf.DUMMYFUNCTION("""COMPUTED_VALUE"""),1791.04)</f>
        <v>1791.04</v>
      </c>
    </row>
    <row r="867">
      <c r="A867" s="53"/>
      <c r="B867" s="53">
        <v>0.0</v>
      </c>
      <c r="C867" s="73" t="s">
        <v>53</v>
      </c>
      <c r="D867" s="53" t="s">
        <v>2096</v>
      </c>
      <c r="E867" s="54" t="s">
        <v>38</v>
      </c>
      <c r="F867" s="55" t="s">
        <v>309</v>
      </c>
      <c r="G867" s="54" t="s">
        <v>2097</v>
      </c>
      <c r="H867" s="55"/>
      <c r="I867" s="54">
        <f t="shared" si="24"/>
        <v>0</v>
      </c>
      <c r="J867" s="56"/>
      <c r="K867" s="57"/>
      <c r="L867" s="76"/>
      <c r="M867" s="59"/>
      <c r="N867" s="60"/>
      <c r="O867" s="90">
        <v>1785.0</v>
      </c>
      <c r="P867" s="62">
        <v>1927.8000000000002</v>
      </c>
      <c r="Q867" s="63">
        <v>1927.8000000000002</v>
      </c>
      <c r="R867" s="64">
        <v>2025.0</v>
      </c>
      <c r="S867" s="65">
        <v>1998.0</v>
      </c>
      <c r="T867" s="65">
        <f t="shared" si="2"/>
        <v>319.68</v>
      </c>
      <c r="U867" s="65">
        <f t="shared" si="3"/>
        <v>2317.68</v>
      </c>
      <c r="V867" s="66">
        <f t="shared" si="4"/>
        <v>-0.01333333333</v>
      </c>
      <c r="W867" s="67" t="b">
        <f t="shared" si="5"/>
        <v>0</v>
      </c>
      <c r="X867" s="67">
        <f t="shared" si="6"/>
        <v>0</v>
      </c>
      <c r="Y867" s="67">
        <f t="shared" si="7"/>
        <v>0</v>
      </c>
      <c r="Z867" s="67" t="b">
        <f t="shared" si="8"/>
        <v>0</v>
      </c>
      <c r="AA867" s="67">
        <f t="shared" si="9"/>
        <v>0</v>
      </c>
      <c r="AB867" s="67">
        <f t="shared" si="10"/>
        <v>0</v>
      </c>
      <c r="AC867" s="67" t="b">
        <f t="shared" si="11"/>
        <v>0</v>
      </c>
      <c r="AD867" s="67">
        <f t="shared" si="12"/>
        <v>0</v>
      </c>
      <c r="AE867" s="67">
        <f t="shared" si="13"/>
        <v>0</v>
      </c>
      <c r="AF867" s="67" t="b">
        <f t="shared" si="33"/>
        <v>0</v>
      </c>
      <c r="AG867" s="67">
        <f t="shared" si="15"/>
        <v>0</v>
      </c>
      <c r="AH867" s="67">
        <f t="shared" si="16"/>
        <v>0</v>
      </c>
      <c r="AI867" s="67" t="b">
        <f t="shared" si="17"/>
        <v>0</v>
      </c>
      <c r="AJ867" s="68">
        <f t="shared" si="31"/>
        <v>0</v>
      </c>
      <c r="AK867" s="68">
        <f t="shared" si="32"/>
        <v>0</v>
      </c>
      <c r="AL867" s="70">
        <f>IFERROR(__xludf.DUMMYFUNCTION("""COMPUTED_VALUE"""),1.0)</f>
        <v>1</v>
      </c>
      <c r="AM867" s="70"/>
      <c r="AN867" s="71" t="str">
        <f>IFERROR(__xludf.DUMMYFUNCTION("""COMPUTED_VALUE""")," P")</f>
        <v>P</v>
      </c>
      <c r="AO867" s="71" t="str">
        <f>IFERROR(__xludf.DUMMYFUNCTION("""COMPUTED_VALUE""")," PT01")</f>
        <v>PT01</v>
      </c>
      <c r="AP867" s="71" t="str">
        <f>IFERROR(__xludf.DUMMYFUNCTION("""COMPUTED_VALUE""")," PZA")</f>
        <v>PZA</v>
      </c>
      <c r="AQ867" s="71" t="str">
        <f>IFERROR(__xludf.DUMMYFUNCTION("""COMPUTED_VALUE""")," REF")</f>
        <v>REF</v>
      </c>
      <c r="AR867" s="71" t="str">
        <f>IFERROR(__xludf.DUMMYFUNCTION("""COMPUTED_VALUE""")," PALETA P AMASADORA 25 KG CEN ALUMINIO")</f>
        <v>PALETA P AMASADORA 25 KG CEN ALUMINIO</v>
      </c>
      <c r="AS867" s="71" t="str">
        <f>IFERROR(__xludf.DUMMYFUNCTION("""COMPUTED_VALUE""")," PALETA P AMASADORA 25 KG CEN ALUMINIO")</f>
        <v>PALETA P AMASADORA 25 KG CEN ALUMINIO</v>
      </c>
      <c r="AT867" s="71">
        <f>IFERROR(__xludf.DUMMYFUNCTION("""COMPUTED_VALUE"""),37.0)</f>
        <v>37</v>
      </c>
      <c r="AU867" s="71"/>
      <c r="AV867" s="71"/>
      <c r="AW867" s="71"/>
      <c r="AX867" s="71"/>
      <c r="AY867" s="71">
        <f>IFERROR(__xludf.DUMMYFUNCTION("""COMPUTED_VALUE"""),138.0)</f>
        <v>138</v>
      </c>
      <c r="AZ867" s="71">
        <f>IFERROR(__xludf.DUMMYFUNCTION("""COMPUTED_VALUE"""),149.0)</f>
        <v>149</v>
      </c>
      <c r="BA867" s="71">
        <f>IFERROR(__xludf.DUMMYFUNCTION("""COMPUTED_VALUE"""),160.92000000000002)</f>
        <v>160.92</v>
      </c>
      <c r="BB867" s="71">
        <f>IFERROR(__xludf.DUMMYFUNCTION("""COMPUTED_VALUE"""),160.92000000000002)</f>
        <v>160.92</v>
      </c>
      <c r="BC867" s="71">
        <f>IFERROR(__xludf.DUMMYFUNCTION("""COMPUTED_VALUE"""),180.0)</f>
        <v>180</v>
      </c>
      <c r="BD867" s="71">
        <f>IFERROR(__xludf.DUMMYFUNCTION("""COMPUTED_VALUE"""),189.0)</f>
        <v>189</v>
      </c>
      <c r="BE867" s="71">
        <f>IFERROR(__xludf.DUMMYFUNCTION("""COMPUTED_VALUE"""),30.240000000000002)</f>
        <v>30.24</v>
      </c>
      <c r="BF867" s="71">
        <f>IFERROR(__xludf.DUMMYFUNCTION("""COMPUTED_VALUE"""),219.24)</f>
        <v>219.24</v>
      </c>
      <c r="BG867" s="71">
        <f>IFERROR(__xludf.DUMMYFUNCTION("""COMPUTED_VALUE"""),0.05)</f>
        <v>0.05</v>
      </c>
      <c r="BH867" s="71">
        <f>IFERROR(__xludf.DUMMYFUNCTION("""COMPUTED_VALUE"""),179.54999999999998)</f>
        <v>179.55</v>
      </c>
      <c r="BI867" s="71">
        <f>IFERROR(__xludf.DUMMYFUNCTION("""COMPUTED_VALUE"""),28.727999999999998)</f>
        <v>28.728</v>
      </c>
      <c r="BJ867" s="71">
        <f>IFERROR(__xludf.DUMMYFUNCTION("""COMPUTED_VALUE"""),208.278)</f>
        <v>208.278</v>
      </c>
      <c r="BK867" s="71">
        <f>IFERROR(__xludf.DUMMYFUNCTION("""COMPUTED_VALUE"""),170.1)</f>
        <v>170.1</v>
      </c>
      <c r="BL867" s="71">
        <f>IFERROR(__xludf.DUMMYFUNCTION("""COMPUTED_VALUE"""),27.216)</f>
        <v>27.216</v>
      </c>
      <c r="BM867" s="71">
        <f>IFERROR(__xludf.DUMMYFUNCTION("""COMPUTED_VALUE"""),197.316)</f>
        <v>197.316</v>
      </c>
      <c r="BN867" s="71">
        <f>IFERROR(__xludf.DUMMYFUNCTION("""COMPUTED_VALUE"""),160.65)</f>
        <v>160.65</v>
      </c>
      <c r="BO867" s="71">
        <f>IFERROR(__xludf.DUMMYFUNCTION("""COMPUTED_VALUE"""),25.704)</f>
        <v>25.704</v>
      </c>
      <c r="BP867" s="71">
        <f>IFERROR(__xludf.DUMMYFUNCTION("""COMPUTED_VALUE"""),186.354)</f>
        <v>186.354</v>
      </c>
      <c r="BQ867" s="71">
        <f>IFERROR(__xludf.DUMMYFUNCTION("""COMPUTED_VALUE"""),156.87)</f>
        <v>156.87</v>
      </c>
      <c r="BR867" s="71">
        <f>IFERROR(__xludf.DUMMYFUNCTION("""COMPUTED_VALUE"""),25.0992)</f>
        <v>25.0992</v>
      </c>
      <c r="BS867" s="71">
        <f>IFERROR(__xludf.DUMMYFUNCTION("""COMPUTED_VALUE"""),181.9692)</f>
        <v>181.9692</v>
      </c>
      <c r="BT867" s="71">
        <f>IFERROR(__xludf.DUMMYFUNCTION("""COMPUTED_VALUE"""),151.20000000000002)</f>
        <v>151.2</v>
      </c>
      <c r="BU867" s="71">
        <f>IFERROR(__xludf.DUMMYFUNCTION("""COMPUTED_VALUE"""),24.192000000000004)</f>
        <v>24.192</v>
      </c>
      <c r="BV867" s="71">
        <f>IFERROR(__xludf.DUMMYFUNCTION("""COMPUTED_VALUE"""),175.39200000000002)</f>
        <v>175.392</v>
      </c>
    </row>
    <row r="868">
      <c r="A868" s="53">
        <v>1.0</v>
      </c>
      <c r="B868" s="53"/>
      <c r="C868" s="53" t="s">
        <v>12</v>
      </c>
      <c r="D868" s="53" t="s">
        <v>2098</v>
      </c>
      <c r="E868" s="86" t="s">
        <v>38</v>
      </c>
      <c r="F868" s="91" t="s">
        <v>42</v>
      </c>
      <c r="G868" s="84" t="s">
        <v>2099</v>
      </c>
      <c r="H868" s="84" t="s">
        <v>2099</v>
      </c>
      <c r="I868" s="54">
        <f t="shared" si="24"/>
        <v>31</v>
      </c>
      <c r="J868" s="56"/>
      <c r="K868" s="57"/>
      <c r="L868" s="76"/>
      <c r="M868" s="59"/>
      <c r="N868" s="60"/>
      <c r="O868" s="90"/>
      <c r="P868" s="62">
        <v>1030.0</v>
      </c>
      <c r="Q868" s="63">
        <v>1030.0</v>
      </c>
      <c r="R868" s="64">
        <v>2225.0</v>
      </c>
      <c r="S868" s="111">
        <v>2336.0</v>
      </c>
      <c r="T868" s="65">
        <f t="shared" si="2"/>
        <v>373.76</v>
      </c>
      <c r="U868" s="65">
        <f t="shared" si="3"/>
        <v>2709.76</v>
      </c>
      <c r="V868" s="66">
        <f t="shared" si="4"/>
        <v>0.04988764045</v>
      </c>
      <c r="W868" s="67">
        <f t="shared" si="5"/>
        <v>2219.2</v>
      </c>
      <c r="X868" s="67">
        <f t="shared" si="6"/>
        <v>355.072</v>
      </c>
      <c r="Y868" s="67">
        <f t="shared" si="7"/>
        <v>2574.272</v>
      </c>
      <c r="Z868" s="67">
        <f t="shared" si="8"/>
        <v>2102.4</v>
      </c>
      <c r="AA868" s="67">
        <f t="shared" si="9"/>
        <v>336.384</v>
      </c>
      <c r="AB868" s="67">
        <f t="shared" si="10"/>
        <v>2438.784</v>
      </c>
      <c r="AC868" s="67">
        <f t="shared" si="11"/>
        <v>1985.6</v>
      </c>
      <c r="AD868" s="67">
        <f t="shared" si="12"/>
        <v>317.696</v>
      </c>
      <c r="AE868" s="67">
        <f t="shared" si="13"/>
        <v>2303.296</v>
      </c>
      <c r="AF868" s="67">
        <f t="shared" si="33"/>
        <v>1938.88</v>
      </c>
      <c r="AG868" s="67">
        <f t="shared" si="15"/>
        <v>310.2208</v>
      </c>
      <c r="AH868" s="67">
        <f t="shared" si="16"/>
        <v>2249.1008</v>
      </c>
      <c r="AI868" s="67">
        <f t="shared" si="17"/>
        <v>1868.8</v>
      </c>
      <c r="AJ868" s="68">
        <f t="shared" si="31"/>
        <v>299.008</v>
      </c>
      <c r="AK868" s="68">
        <f t="shared" si="32"/>
        <v>2167.808</v>
      </c>
      <c r="AL868" s="70">
        <f>IFERROR(__xludf.DUMMYFUNCTION("""COMPUTED_VALUE"""),1.0)</f>
        <v>1</v>
      </c>
      <c r="AM868" s="70"/>
      <c r="AN868" s="71" t="str">
        <f>IFERROR(__xludf.DUMMYFUNCTION("""COMPUTED_VALUE""")," P")</f>
        <v>P</v>
      </c>
      <c r="AO868" s="71" t="str">
        <f>IFERROR(__xludf.DUMMYFUNCTION("""COMPUTED_VALUE""")," PT91")</f>
        <v>PT91</v>
      </c>
      <c r="AP868" s="71" t="str">
        <f>IFERROR(__xludf.DUMMYFUNCTION("""COMPUTED_VALUE""")," PZA")</f>
        <v>PZA</v>
      </c>
      <c r="AQ868" s="71" t="str">
        <f>IFERROR(__xludf.DUMMYFUNCTION("""COMPUTED_VALUE""")," REF")</f>
        <v>REF</v>
      </c>
      <c r="AR868" s="71" t="str">
        <f>IFERROR(__xludf.DUMMYFUNCTION("""COMPUTED_VALUE""")," PALETA P AMASADORA 25 KG CEN INOX FUND")</f>
        <v>PALETA P AMASADORA 25 KG CEN INOX FUND</v>
      </c>
      <c r="AS868" s="71" t="str">
        <f>IFERROR(__xludf.DUMMYFUNCTION("""COMPUTED_VALUE""")," PALETA P AMASADORA 25 KG CEN INOX FUND")</f>
        <v>PALETA P AMASADORA 25 KG CEN INOX FUND</v>
      </c>
      <c r="AT868" s="71">
        <f>IFERROR(__xludf.DUMMYFUNCTION("""COMPUTED_VALUE"""),38.0)</f>
        <v>38</v>
      </c>
      <c r="AU868" s="71"/>
      <c r="AV868" s="71"/>
      <c r="AW868" s="71"/>
      <c r="AX868" s="71"/>
      <c r="AY868" s="71">
        <f>IFERROR(__xludf.DUMMYFUNCTION("""COMPUTED_VALUE"""),890.0)</f>
        <v>890</v>
      </c>
      <c r="AZ868" s="71">
        <f>IFERROR(__xludf.DUMMYFUNCTION("""COMPUTED_VALUE"""),961.0)</f>
        <v>961</v>
      </c>
      <c r="BA868" s="71">
        <f>IFERROR(__xludf.DUMMYFUNCTION("""COMPUTED_VALUE"""),1300.0)</f>
        <v>1300</v>
      </c>
      <c r="BB868" s="71">
        <f>IFERROR(__xludf.DUMMYFUNCTION("""COMPUTED_VALUE"""),1300.0)</f>
        <v>1300</v>
      </c>
      <c r="BC868" s="71">
        <f>IFERROR(__xludf.DUMMYFUNCTION("""COMPUTED_VALUE"""),1365.0)</f>
        <v>1365</v>
      </c>
      <c r="BD868" s="71">
        <f>IFERROR(__xludf.DUMMYFUNCTION("""COMPUTED_VALUE"""),1433.0)</f>
        <v>1433</v>
      </c>
      <c r="BE868" s="71">
        <f>IFERROR(__xludf.DUMMYFUNCTION("""COMPUTED_VALUE"""),229.28)</f>
        <v>229.28</v>
      </c>
      <c r="BF868" s="71">
        <f>IFERROR(__xludf.DUMMYFUNCTION("""COMPUTED_VALUE"""),1662.28)</f>
        <v>1662.28</v>
      </c>
      <c r="BG868" s="71">
        <f>IFERROR(__xludf.DUMMYFUNCTION("""COMPUTED_VALUE"""),0.04981684981684982)</f>
        <v>0.04981684982</v>
      </c>
      <c r="BH868" s="71">
        <f>IFERROR(__xludf.DUMMYFUNCTION("""COMPUTED_VALUE"""),1361.35)</f>
        <v>1361.35</v>
      </c>
      <c r="BI868" s="71">
        <f>IFERROR(__xludf.DUMMYFUNCTION("""COMPUTED_VALUE"""),217.816)</f>
        <v>217.816</v>
      </c>
      <c r="BJ868" s="71">
        <f>IFERROR(__xludf.DUMMYFUNCTION("""COMPUTED_VALUE"""),1579.166)</f>
        <v>1579.166</v>
      </c>
      <c r="BK868" s="71">
        <f>IFERROR(__xludf.DUMMYFUNCTION("""COMPUTED_VALUE"""),1289.7)</f>
        <v>1289.7</v>
      </c>
      <c r="BL868" s="71">
        <f>IFERROR(__xludf.DUMMYFUNCTION("""COMPUTED_VALUE"""),206.352)</f>
        <v>206.352</v>
      </c>
      <c r="BM868" s="71">
        <f>IFERROR(__xludf.DUMMYFUNCTION("""COMPUTED_VALUE"""),1496.0520000000001)</f>
        <v>1496.052</v>
      </c>
      <c r="BN868" s="71">
        <f>IFERROR(__xludf.DUMMYFUNCTION("""COMPUTED_VALUE"""),1218.05)</f>
        <v>1218.05</v>
      </c>
      <c r="BO868" s="71">
        <f>IFERROR(__xludf.DUMMYFUNCTION("""COMPUTED_VALUE"""),194.888)</f>
        <v>194.888</v>
      </c>
      <c r="BP868" s="71">
        <f>IFERROR(__xludf.DUMMYFUNCTION("""COMPUTED_VALUE"""),1412.9379999999999)</f>
        <v>1412.938</v>
      </c>
      <c r="BQ868" s="71">
        <f>IFERROR(__xludf.DUMMYFUNCTION("""COMPUTED_VALUE"""),1189.3899999999999)</f>
        <v>1189.39</v>
      </c>
      <c r="BR868" s="71">
        <f>IFERROR(__xludf.DUMMYFUNCTION("""COMPUTED_VALUE"""),190.30239999999998)</f>
        <v>190.3024</v>
      </c>
      <c r="BS868" s="71">
        <f>IFERROR(__xludf.DUMMYFUNCTION("""COMPUTED_VALUE"""),1379.6924)</f>
        <v>1379.6924</v>
      </c>
      <c r="BT868" s="71">
        <f>IFERROR(__xludf.DUMMYFUNCTION("""COMPUTED_VALUE"""),1146.4)</f>
        <v>1146.4</v>
      </c>
      <c r="BU868" s="71">
        <f>IFERROR(__xludf.DUMMYFUNCTION("""COMPUTED_VALUE"""),183.424)</f>
        <v>183.424</v>
      </c>
      <c r="BV868" s="71">
        <f>IFERROR(__xludf.DUMMYFUNCTION("""COMPUTED_VALUE"""),1329.824)</f>
        <v>1329.824</v>
      </c>
    </row>
    <row r="869">
      <c r="A869" s="53"/>
      <c r="B869" s="53">
        <v>0.0</v>
      </c>
      <c r="C869" s="73" t="s">
        <v>53</v>
      </c>
      <c r="D869" s="53" t="s">
        <v>2100</v>
      </c>
      <c r="E869" s="54" t="s">
        <v>38</v>
      </c>
      <c r="F869" s="55" t="s">
        <v>309</v>
      </c>
      <c r="G869" s="54" t="s">
        <v>2101</v>
      </c>
      <c r="H869" s="55"/>
      <c r="I869" s="54">
        <f t="shared" si="24"/>
        <v>0</v>
      </c>
      <c r="J869" s="56"/>
      <c r="K869" s="57"/>
      <c r="L869" s="76" t="s">
        <v>661</v>
      </c>
      <c r="M869" s="59"/>
      <c r="N869" s="60"/>
      <c r="O869" s="90">
        <v>2178.0</v>
      </c>
      <c r="P869" s="62">
        <v>2352.2400000000002</v>
      </c>
      <c r="Q869" s="63">
        <v>2352.2400000000002</v>
      </c>
      <c r="R869" s="64">
        <v>2470.0</v>
      </c>
      <c r="S869" s="111">
        <v>2594.0</v>
      </c>
      <c r="T869" s="65">
        <f t="shared" si="2"/>
        <v>415.04</v>
      </c>
      <c r="U869" s="65">
        <f t="shared" si="3"/>
        <v>3009.04</v>
      </c>
      <c r="V869" s="66">
        <f t="shared" si="4"/>
        <v>0.05020242915</v>
      </c>
      <c r="W869" s="67" t="b">
        <f t="shared" si="5"/>
        <v>0</v>
      </c>
      <c r="X869" s="67">
        <f t="shared" si="6"/>
        <v>0</v>
      </c>
      <c r="Y869" s="67">
        <f t="shared" si="7"/>
        <v>0</v>
      </c>
      <c r="Z869" s="67" t="b">
        <f t="shared" si="8"/>
        <v>0</v>
      </c>
      <c r="AA869" s="67">
        <f t="shared" si="9"/>
        <v>0</v>
      </c>
      <c r="AB869" s="67">
        <f t="shared" si="10"/>
        <v>0</v>
      </c>
      <c r="AC869" s="67" t="b">
        <f t="shared" si="11"/>
        <v>0</v>
      </c>
      <c r="AD869" s="67">
        <f t="shared" si="12"/>
        <v>0</v>
      </c>
      <c r="AE869" s="67">
        <f t="shared" si="13"/>
        <v>0</v>
      </c>
      <c r="AF869" s="67" t="b">
        <f t="shared" si="33"/>
        <v>0</v>
      </c>
      <c r="AG869" s="67">
        <f t="shared" si="15"/>
        <v>0</v>
      </c>
      <c r="AH869" s="67">
        <f t="shared" si="16"/>
        <v>0</v>
      </c>
      <c r="AI869" s="67" t="b">
        <f t="shared" si="17"/>
        <v>0</v>
      </c>
      <c r="AJ869" s="68">
        <f t="shared" si="31"/>
        <v>0</v>
      </c>
      <c r="AK869" s="68">
        <f t="shared" si="32"/>
        <v>0</v>
      </c>
      <c r="AL869" s="70">
        <f>IFERROR(__xludf.DUMMYFUNCTION("""COMPUTED_VALUE"""),1.0)</f>
        <v>1</v>
      </c>
      <c r="AM869" s="70"/>
      <c r="AN869" s="71" t="str">
        <f>IFERROR(__xludf.DUMMYFUNCTION("""COMPUTED_VALUE""")," P")</f>
        <v>P</v>
      </c>
      <c r="AO869" s="71" t="str">
        <f>IFERROR(__xludf.DUMMYFUNCTION("""COMPUTED_VALUE""")," PT02")</f>
        <v>PT02</v>
      </c>
      <c r="AP869" s="71" t="str">
        <f>IFERROR(__xludf.DUMMYFUNCTION("""COMPUTED_VALUE""")," PZA")</f>
        <v>PZA</v>
      </c>
      <c r="AQ869" s="71" t="str">
        <f>IFERROR(__xludf.DUMMYFUNCTION("""COMPUTED_VALUE""")," REF")</f>
        <v>REF</v>
      </c>
      <c r="AR869" s="71" t="str">
        <f>IFERROR(__xludf.DUMMYFUNCTION("""COMPUTED_VALUE""")," PALETA P AMASADORA 25 KG DER ALUMINIO")</f>
        <v>PALETA P AMASADORA 25 KG DER ALUMINIO</v>
      </c>
      <c r="AS869" s="71" t="str">
        <f>IFERROR(__xludf.DUMMYFUNCTION("""COMPUTED_VALUE""")," PALETA P AMASADORA 25 KG DER ALUMINIO")</f>
        <v>PALETA P AMASADORA 25 KG DER ALUMINIO</v>
      </c>
      <c r="AT869" s="71">
        <f>IFERROR(__xludf.DUMMYFUNCTION("""COMPUTED_VALUE"""),37.0)</f>
        <v>37</v>
      </c>
      <c r="AU869" s="71"/>
      <c r="AV869" s="71"/>
      <c r="AW869" s="71"/>
      <c r="AX869" s="71"/>
      <c r="AY869" s="71">
        <f>IFERROR(__xludf.DUMMYFUNCTION("""COMPUTED_VALUE"""),138.0)</f>
        <v>138</v>
      </c>
      <c r="AZ869" s="71">
        <f>IFERROR(__xludf.DUMMYFUNCTION("""COMPUTED_VALUE"""),149.0)</f>
        <v>149</v>
      </c>
      <c r="BA869" s="71">
        <f>IFERROR(__xludf.DUMMYFUNCTION("""COMPUTED_VALUE"""),160.92000000000002)</f>
        <v>160.92</v>
      </c>
      <c r="BB869" s="71">
        <f>IFERROR(__xludf.DUMMYFUNCTION("""COMPUTED_VALUE"""),160.92000000000002)</f>
        <v>160.92</v>
      </c>
      <c r="BC869" s="71">
        <f>IFERROR(__xludf.DUMMYFUNCTION("""COMPUTED_VALUE"""),180.0)</f>
        <v>180</v>
      </c>
      <c r="BD869" s="71">
        <f>IFERROR(__xludf.DUMMYFUNCTION("""COMPUTED_VALUE"""),189.0)</f>
        <v>189</v>
      </c>
      <c r="BE869" s="71">
        <f>IFERROR(__xludf.DUMMYFUNCTION("""COMPUTED_VALUE"""),30.240000000000002)</f>
        <v>30.24</v>
      </c>
      <c r="BF869" s="71">
        <f>IFERROR(__xludf.DUMMYFUNCTION("""COMPUTED_VALUE"""),219.24)</f>
        <v>219.24</v>
      </c>
      <c r="BG869" s="71">
        <f>IFERROR(__xludf.DUMMYFUNCTION("""COMPUTED_VALUE"""),0.05)</f>
        <v>0.05</v>
      </c>
      <c r="BH869" s="71">
        <f>IFERROR(__xludf.DUMMYFUNCTION("""COMPUTED_VALUE"""),179.54999999999998)</f>
        <v>179.55</v>
      </c>
      <c r="BI869" s="71">
        <f>IFERROR(__xludf.DUMMYFUNCTION("""COMPUTED_VALUE"""),28.727999999999998)</f>
        <v>28.728</v>
      </c>
      <c r="BJ869" s="71">
        <f>IFERROR(__xludf.DUMMYFUNCTION("""COMPUTED_VALUE"""),208.278)</f>
        <v>208.278</v>
      </c>
      <c r="BK869" s="71">
        <f>IFERROR(__xludf.DUMMYFUNCTION("""COMPUTED_VALUE"""),170.1)</f>
        <v>170.1</v>
      </c>
      <c r="BL869" s="71">
        <f>IFERROR(__xludf.DUMMYFUNCTION("""COMPUTED_VALUE"""),27.216)</f>
        <v>27.216</v>
      </c>
      <c r="BM869" s="71">
        <f>IFERROR(__xludf.DUMMYFUNCTION("""COMPUTED_VALUE"""),197.316)</f>
        <v>197.316</v>
      </c>
      <c r="BN869" s="71">
        <f>IFERROR(__xludf.DUMMYFUNCTION("""COMPUTED_VALUE"""),160.65)</f>
        <v>160.65</v>
      </c>
      <c r="BO869" s="71">
        <f>IFERROR(__xludf.DUMMYFUNCTION("""COMPUTED_VALUE"""),25.704)</f>
        <v>25.704</v>
      </c>
      <c r="BP869" s="71">
        <f>IFERROR(__xludf.DUMMYFUNCTION("""COMPUTED_VALUE"""),186.354)</f>
        <v>186.354</v>
      </c>
      <c r="BQ869" s="71">
        <f>IFERROR(__xludf.DUMMYFUNCTION("""COMPUTED_VALUE"""),156.87)</f>
        <v>156.87</v>
      </c>
      <c r="BR869" s="71">
        <f>IFERROR(__xludf.DUMMYFUNCTION("""COMPUTED_VALUE"""),25.0992)</f>
        <v>25.0992</v>
      </c>
      <c r="BS869" s="71">
        <f>IFERROR(__xludf.DUMMYFUNCTION("""COMPUTED_VALUE"""),181.9692)</f>
        <v>181.9692</v>
      </c>
      <c r="BT869" s="71">
        <f>IFERROR(__xludf.DUMMYFUNCTION("""COMPUTED_VALUE"""),151.20000000000002)</f>
        <v>151.2</v>
      </c>
      <c r="BU869" s="71">
        <f>IFERROR(__xludf.DUMMYFUNCTION("""COMPUTED_VALUE"""),24.192000000000004)</f>
        <v>24.192</v>
      </c>
      <c r="BV869" s="71">
        <f>IFERROR(__xludf.DUMMYFUNCTION("""COMPUTED_VALUE"""),175.39200000000002)</f>
        <v>175.392</v>
      </c>
    </row>
    <row r="870">
      <c r="A870" s="53">
        <v>1.0</v>
      </c>
      <c r="B870" s="72"/>
      <c r="C870" s="73" t="s">
        <v>53</v>
      </c>
      <c r="D870" s="74" t="s">
        <v>2102</v>
      </c>
      <c r="E870" s="54" t="s">
        <v>38</v>
      </c>
      <c r="F870" s="54" t="s">
        <v>42</v>
      </c>
      <c r="G870" s="54" t="s">
        <v>2103</v>
      </c>
      <c r="H870" s="54" t="s">
        <v>2104</v>
      </c>
      <c r="I870" s="54">
        <f t="shared" si="24"/>
        <v>30</v>
      </c>
      <c r="J870" s="56"/>
      <c r="K870" s="75"/>
      <c r="L870" s="76"/>
      <c r="M870" s="59"/>
      <c r="N870" s="60">
        <v>2118.0</v>
      </c>
      <c r="O870" s="61">
        <v>2287.0</v>
      </c>
      <c r="P870" s="62">
        <v>2469.96</v>
      </c>
      <c r="Q870" s="63">
        <v>2469.96</v>
      </c>
      <c r="R870" s="64">
        <v>2750.0</v>
      </c>
      <c r="S870" s="65">
        <v>2310.0</v>
      </c>
      <c r="T870" s="65">
        <f t="shared" si="2"/>
        <v>369.6</v>
      </c>
      <c r="U870" s="65">
        <f t="shared" si="3"/>
        <v>2679.6</v>
      </c>
      <c r="V870" s="66">
        <f t="shared" si="4"/>
        <v>-0.16</v>
      </c>
      <c r="W870" s="67">
        <f t="shared" si="5"/>
        <v>2194.5</v>
      </c>
      <c r="X870" s="67">
        <f t="shared" si="6"/>
        <v>351.12</v>
      </c>
      <c r="Y870" s="67">
        <f t="shared" si="7"/>
        <v>2545.62</v>
      </c>
      <c r="Z870" s="67">
        <f t="shared" si="8"/>
        <v>2079</v>
      </c>
      <c r="AA870" s="67">
        <f t="shared" si="9"/>
        <v>332.64</v>
      </c>
      <c r="AB870" s="67">
        <f t="shared" si="10"/>
        <v>2411.64</v>
      </c>
      <c r="AC870" s="67">
        <f t="shared" si="11"/>
        <v>1963.5</v>
      </c>
      <c r="AD870" s="67">
        <f t="shared" si="12"/>
        <v>314.16</v>
      </c>
      <c r="AE870" s="67">
        <f t="shared" si="13"/>
        <v>2277.66</v>
      </c>
      <c r="AF870" s="67">
        <f t="shared" si="33"/>
        <v>1917.3</v>
      </c>
      <c r="AG870" s="67">
        <f t="shared" si="15"/>
        <v>306.768</v>
      </c>
      <c r="AH870" s="67">
        <f t="shared" si="16"/>
        <v>2224.068</v>
      </c>
      <c r="AI870" s="67">
        <f t="shared" si="17"/>
        <v>1848</v>
      </c>
      <c r="AJ870" s="68">
        <f t="shared" si="31"/>
        <v>295.68</v>
      </c>
      <c r="AK870" s="68">
        <f t="shared" si="32"/>
        <v>2143.68</v>
      </c>
      <c r="AL870" s="70">
        <f>IFERROR(__xludf.DUMMYFUNCTION("""COMPUTED_VALUE"""),1.0)</f>
        <v>1</v>
      </c>
      <c r="AM870" s="70"/>
      <c r="AN870" s="71" t="str">
        <f>IFERROR(__xludf.DUMMYFUNCTION("""COMPUTED_VALUE""")," P")</f>
        <v>P</v>
      </c>
      <c r="AO870" s="71" t="str">
        <f>IFERROR(__xludf.DUMMYFUNCTION("""COMPUTED_VALUE""")," PT92")</f>
        <v>PT92</v>
      </c>
      <c r="AP870" s="71" t="str">
        <f>IFERROR(__xludf.DUMMYFUNCTION("""COMPUTED_VALUE""")," PZA")</f>
        <v>PZA</v>
      </c>
      <c r="AQ870" s="71" t="str">
        <f>IFERROR(__xludf.DUMMYFUNCTION("""COMPUTED_VALUE""")," REF")</f>
        <v>REF</v>
      </c>
      <c r="AR870" s="71" t="str">
        <f>IFERROR(__xludf.DUMMYFUNCTION("""COMPUTED_VALUE""")," PALETA P AMASADORA 25 KG DER INOX FUND")</f>
        <v>PALETA P AMASADORA 25 KG DER INOX FUND</v>
      </c>
      <c r="AS870" s="71" t="str">
        <f>IFERROR(__xludf.DUMMYFUNCTION("""COMPUTED_VALUE""")," PALETA P AMASADORA 25 KG DER INOX FUND")</f>
        <v>PALETA P AMASADORA 25 KG DER INOX FUND</v>
      </c>
      <c r="AT870" s="71">
        <f>IFERROR(__xludf.DUMMYFUNCTION("""COMPUTED_VALUE"""),38.0)</f>
        <v>38</v>
      </c>
      <c r="AU870" s="71"/>
      <c r="AV870" s="71"/>
      <c r="AW870" s="71"/>
      <c r="AX870" s="71"/>
      <c r="AY870" s="71">
        <f>IFERROR(__xludf.DUMMYFUNCTION("""COMPUTED_VALUE"""),890.0)</f>
        <v>890</v>
      </c>
      <c r="AZ870" s="71">
        <f>IFERROR(__xludf.DUMMYFUNCTION("""COMPUTED_VALUE"""),961.0)</f>
        <v>961</v>
      </c>
      <c r="BA870" s="71">
        <f>IFERROR(__xludf.DUMMYFUNCTION("""COMPUTED_VALUE"""),1300.0)</f>
        <v>1300</v>
      </c>
      <c r="BB870" s="71">
        <f>IFERROR(__xludf.DUMMYFUNCTION("""COMPUTED_VALUE"""),1300.0)</f>
        <v>1300</v>
      </c>
      <c r="BC870" s="71">
        <f>IFERROR(__xludf.DUMMYFUNCTION("""COMPUTED_VALUE"""),1365.0)</f>
        <v>1365</v>
      </c>
      <c r="BD870" s="71">
        <f>IFERROR(__xludf.DUMMYFUNCTION("""COMPUTED_VALUE"""),1433.0)</f>
        <v>1433</v>
      </c>
      <c r="BE870" s="71">
        <f>IFERROR(__xludf.DUMMYFUNCTION("""COMPUTED_VALUE"""),229.28)</f>
        <v>229.28</v>
      </c>
      <c r="BF870" s="71">
        <f>IFERROR(__xludf.DUMMYFUNCTION("""COMPUTED_VALUE"""),1662.28)</f>
        <v>1662.28</v>
      </c>
      <c r="BG870" s="71">
        <f>IFERROR(__xludf.DUMMYFUNCTION("""COMPUTED_VALUE"""),0.04981684981684982)</f>
        <v>0.04981684982</v>
      </c>
      <c r="BH870" s="71">
        <f>IFERROR(__xludf.DUMMYFUNCTION("""COMPUTED_VALUE"""),1361.35)</f>
        <v>1361.35</v>
      </c>
      <c r="BI870" s="71">
        <f>IFERROR(__xludf.DUMMYFUNCTION("""COMPUTED_VALUE"""),217.816)</f>
        <v>217.816</v>
      </c>
      <c r="BJ870" s="71">
        <f>IFERROR(__xludf.DUMMYFUNCTION("""COMPUTED_VALUE"""),1579.166)</f>
        <v>1579.166</v>
      </c>
      <c r="BK870" s="71">
        <f>IFERROR(__xludf.DUMMYFUNCTION("""COMPUTED_VALUE"""),1289.7)</f>
        <v>1289.7</v>
      </c>
      <c r="BL870" s="71">
        <f>IFERROR(__xludf.DUMMYFUNCTION("""COMPUTED_VALUE"""),206.352)</f>
        <v>206.352</v>
      </c>
      <c r="BM870" s="71">
        <f>IFERROR(__xludf.DUMMYFUNCTION("""COMPUTED_VALUE"""),1496.0520000000001)</f>
        <v>1496.052</v>
      </c>
      <c r="BN870" s="71">
        <f>IFERROR(__xludf.DUMMYFUNCTION("""COMPUTED_VALUE"""),1218.05)</f>
        <v>1218.05</v>
      </c>
      <c r="BO870" s="71">
        <f>IFERROR(__xludf.DUMMYFUNCTION("""COMPUTED_VALUE"""),194.888)</f>
        <v>194.888</v>
      </c>
      <c r="BP870" s="71">
        <f>IFERROR(__xludf.DUMMYFUNCTION("""COMPUTED_VALUE"""),1412.9379999999999)</f>
        <v>1412.938</v>
      </c>
      <c r="BQ870" s="71">
        <f>IFERROR(__xludf.DUMMYFUNCTION("""COMPUTED_VALUE"""),1189.3899999999999)</f>
        <v>1189.39</v>
      </c>
      <c r="BR870" s="71">
        <f>IFERROR(__xludf.DUMMYFUNCTION("""COMPUTED_VALUE"""),190.30239999999998)</f>
        <v>190.3024</v>
      </c>
      <c r="BS870" s="71">
        <f>IFERROR(__xludf.DUMMYFUNCTION("""COMPUTED_VALUE"""),1379.6924)</f>
        <v>1379.6924</v>
      </c>
      <c r="BT870" s="71">
        <f>IFERROR(__xludf.DUMMYFUNCTION("""COMPUTED_VALUE"""),1146.4)</f>
        <v>1146.4</v>
      </c>
      <c r="BU870" s="71">
        <f>IFERROR(__xludf.DUMMYFUNCTION("""COMPUTED_VALUE"""),183.424)</f>
        <v>183.424</v>
      </c>
      <c r="BV870" s="71">
        <f>IFERROR(__xludf.DUMMYFUNCTION("""COMPUTED_VALUE"""),1329.824)</f>
        <v>1329.824</v>
      </c>
    </row>
    <row r="871">
      <c r="A871" s="53"/>
      <c r="B871" s="53"/>
      <c r="C871" s="73" t="s">
        <v>53</v>
      </c>
      <c r="D871" s="53" t="s">
        <v>2105</v>
      </c>
      <c r="E871" s="54" t="s">
        <v>38</v>
      </c>
      <c r="F871" s="54" t="s">
        <v>42</v>
      </c>
      <c r="G871" s="55" t="s">
        <v>2106</v>
      </c>
      <c r="H871" s="54" t="s">
        <v>2107</v>
      </c>
      <c r="I871" s="54">
        <f t="shared" si="24"/>
        <v>27</v>
      </c>
      <c r="J871" s="56"/>
      <c r="K871" s="57"/>
      <c r="L871" s="76"/>
      <c r="M871" s="59"/>
      <c r="N871" s="60">
        <v>2048.55</v>
      </c>
      <c r="O871" s="61">
        <v>2212.0</v>
      </c>
      <c r="P871" s="62">
        <v>2388.96</v>
      </c>
      <c r="Q871" s="63">
        <v>2388.96</v>
      </c>
      <c r="R871" s="64">
        <v>2509.0</v>
      </c>
      <c r="S871" s="111">
        <v>2634.0</v>
      </c>
      <c r="T871" s="65">
        <f t="shared" si="2"/>
        <v>421.44</v>
      </c>
      <c r="U871" s="65">
        <f t="shared" si="3"/>
        <v>3055.44</v>
      </c>
      <c r="V871" s="66">
        <f t="shared" si="4"/>
        <v>0.04982064568</v>
      </c>
      <c r="W871" s="67">
        <f t="shared" si="5"/>
        <v>2502.3</v>
      </c>
      <c r="X871" s="67">
        <f t="shared" si="6"/>
        <v>400.368</v>
      </c>
      <c r="Y871" s="67">
        <f t="shared" si="7"/>
        <v>2902.668</v>
      </c>
      <c r="Z871" s="67">
        <f t="shared" si="8"/>
        <v>2370.6</v>
      </c>
      <c r="AA871" s="67">
        <f t="shared" si="9"/>
        <v>379.296</v>
      </c>
      <c r="AB871" s="67">
        <f t="shared" si="10"/>
        <v>2749.896</v>
      </c>
      <c r="AC871" s="67">
        <f t="shared" si="11"/>
        <v>2238.9</v>
      </c>
      <c r="AD871" s="67">
        <f t="shared" si="12"/>
        <v>358.224</v>
      </c>
      <c r="AE871" s="67">
        <f t="shared" si="13"/>
        <v>2597.124</v>
      </c>
      <c r="AF871" s="67">
        <f t="shared" si="33"/>
        <v>2186.22</v>
      </c>
      <c r="AG871" s="67">
        <f t="shared" si="15"/>
        <v>349.7952</v>
      </c>
      <c r="AH871" s="67">
        <f t="shared" si="16"/>
        <v>2536.0152</v>
      </c>
      <c r="AI871" s="67">
        <f t="shared" si="17"/>
        <v>2107.2</v>
      </c>
      <c r="AJ871" s="68">
        <f t="shared" si="31"/>
        <v>337.152</v>
      </c>
      <c r="AK871" s="68">
        <f t="shared" si="32"/>
        <v>2444.352</v>
      </c>
      <c r="AL871" s="70">
        <f>IFERROR(__xludf.DUMMYFUNCTION("""COMPUTED_VALUE"""),1.0)</f>
        <v>1</v>
      </c>
      <c r="AM871" s="70"/>
      <c r="AN871" s="71" t="str">
        <f>IFERROR(__xludf.DUMMYFUNCTION("""COMPUTED_VALUE""")," P")</f>
        <v>P</v>
      </c>
      <c r="AO871" s="71" t="str">
        <f>IFERROR(__xludf.DUMMYFUNCTION("""COMPUTED_VALUE""")," PT03")</f>
        <v>PT03</v>
      </c>
      <c r="AP871" s="71" t="str">
        <f>IFERROR(__xludf.DUMMYFUNCTION("""COMPUTED_VALUE""")," PZA")</f>
        <v>PZA</v>
      </c>
      <c r="AQ871" s="71" t="str">
        <f>IFERROR(__xludf.DUMMYFUNCTION("""COMPUTED_VALUE""")," REF")</f>
        <v>REF</v>
      </c>
      <c r="AR871" s="71" t="str">
        <f>IFERROR(__xludf.DUMMYFUNCTION("""COMPUTED_VALUE""")," PALETA P AMASADORA 25 KG IZQ ALUMINIO")</f>
        <v>PALETA P AMASADORA 25 KG IZQ ALUMINIO</v>
      </c>
      <c r="AS871" s="71" t="str">
        <f>IFERROR(__xludf.DUMMYFUNCTION("""COMPUTED_VALUE""")," PALETA P AMASADORA 25 KG IZQ ALUMINIO")</f>
        <v>PALETA P AMASADORA 25 KG IZQ ALUMINIO</v>
      </c>
      <c r="AT871" s="71">
        <f>IFERROR(__xludf.DUMMYFUNCTION("""COMPUTED_VALUE"""),37.0)</f>
        <v>37</v>
      </c>
      <c r="AU871" s="71"/>
      <c r="AV871" s="71"/>
      <c r="AW871" s="71"/>
      <c r="AX871" s="71"/>
      <c r="AY871" s="71">
        <f>IFERROR(__xludf.DUMMYFUNCTION("""COMPUTED_VALUE"""),138.0)</f>
        <v>138</v>
      </c>
      <c r="AZ871" s="71">
        <f>IFERROR(__xludf.DUMMYFUNCTION("""COMPUTED_VALUE"""),149.0)</f>
        <v>149</v>
      </c>
      <c r="BA871" s="71">
        <f>IFERROR(__xludf.DUMMYFUNCTION("""COMPUTED_VALUE"""),160.92000000000002)</f>
        <v>160.92</v>
      </c>
      <c r="BB871" s="71">
        <f>IFERROR(__xludf.DUMMYFUNCTION("""COMPUTED_VALUE"""),160.92000000000002)</f>
        <v>160.92</v>
      </c>
      <c r="BC871" s="71">
        <f>IFERROR(__xludf.DUMMYFUNCTION("""COMPUTED_VALUE"""),180.0)</f>
        <v>180</v>
      </c>
      <c r="BD871" s="71">
        <f>IFERROR(__xludf.DUMMYFUNCTION("""COMPUTED_VALUE"""),189.0)</f>
        <v>189</v>
      </c>
      <c r="BE871" s="71">
        <f>IFERROR(__xludf.DUMMYFUNCTION("""COMPUTED_VALUE"""),30.240000000000002)</f>
        <v>30.24</v>
      </c>
      <c r="BF871" s="71">
        <f>IFERROR(__xludf.DUMMYFUNCTION("""COMPUTED_VALUE"""),219.24)</f>
        <v>219.24</v>
      </c>
      <c r="BG871" s="71">
        <f>IFERROR(__xludf.DUMMYFUNCTION("""COMPUTED_VALUE"""),0.05)</f>
        <v>0.05</v>
      </c>
      <c r="BH871" s="71">
        <f>IFERROR(__xludf.DUMMYFUNCTION("""COMPUTED_VALUE"""),179.54999999999998)</f>
        <v>179.55</v>
      </c>
      <c r="BI871" s="71">
        <f>IFERROR(__xludf.DUMMYFUNCTION("""COMPUTED_VALUE"""),28.727999999999998)</f>
        <v>28.728</v>
      </c>
      <c r="BJ871" s="71">
        <f>IFERROR(__xludf.DUMMYFUNCTION("""COMPUTED_VALUE"""),208.278)</f>
        <v>208.278</v>
      </c>
      <c r="BK871" s="71">
        <f>IFERROR(__xludf.DUMMYFUNCTION("""COMPUTED_VALUE"""),170.1)</f>
        <v>170.1</v>
      </c>
      <c r="BL871" s="71">
        <f>IFERROR(__xludf.DUMMYFUNCTION("""COMPUTED_VALUE"""),27.216)</f>
        <v>27.216</v>
      </c>
      <c r="BM871" s="71">
        <f>IFERROR(__xludf.DUMMYFUNCTION("""COMPUTED_VALUE"""),197.316)</f>
        <v>197.316</v>
      </c>
      <c r="BN871" s="71">
        <f>IFERROR(__xludf.DUMMYFUNCTION("""COMPUTED_VALUE"""),160.65)</f>
        <v>160.65</v>
      </c>
      <c r="BO871" s="71">
        <f>IFERROR(__xludf.DUMMYFUNCTION("""COMPUTED_VALUE"""),25.704)</f>
        <v>25.704</v>
      </c>
      <c r="BP871" s="71">
        <f>IFERROR(__xludf.DUMMYFUNCTION("""COMPUTED_VALUE"""),186.354)</f>
        <v>186.354</v>
      </c>
      <c r="BQ871" s="71">
        <f>IFERROR(__xludf.DUMMYFUNCTION("""COMPUTED_VALUE"""),156.87)</f>
        <v>156.87</v>
      </c>
      <c r="BR871" s="71">
        <f>IFERROR(__xludf.DUMMYFUNCTION("""COMPUTED_VALUE"""),25.0992)</f>
        <v>25.0992</v>
      </c>
      <c r="BS871" s="71">
        <f>IFERROR(__xludf.DUMMYFUNCTION("""COMPUTED_VALUE"""),181.9692)</f>
        <v>181.9692</v>
      </c>
      <c r="BT871" s="71">
        <f>IFERROR(__xludf.DUMMYFUNCTION("""COMPUTED_VALUE"""),151.20000000000002)</f>
        <v>151.2</v>
      </c>
      <c r="BU871" s="71">
        <f>IFERROR(__xludf.DUMMYFUNCTION("""COMPUTED_VALUE"""),24.192000000000004)</f>
        <v>24.192</v>
      </c>
      <c r="BV871" s="71">
        <f>IFERROR(__xludf.DUMMYFUNCTION("""COMPUTED_VALUE"""),175.39200000000002)</f>
        <v>175.392</v>
      </c>
    </row>
    <row r="872">
      <c r="A872" s="53"/>
      <c r="B872" s="53"/>
      <c r="C872" s="73" t="s">
        <v>53</v>
      </c>
      <c r="D872" s="53" t="s">
        <v>2108</v>
      </c>
      <c r="E872" s="54" t="s">
        <v>38</v>
      </c>
      <c r="F872" s="54" t="s">
        <v>42</v>
      </c>
      <c r="G872" s="55" t="s">
        <v>2109</v>
      </c>
      <c r="H872" s="54" t="s">
        <v>2110</v>
      </c>
      <c r="I872" s="54">
        <f t="shared" si="24"/>
        <v>28</v>
      </c>
      <c r="J872" s="56"/>
      <c r="K872" s="57"/>
      <c r="L872" s="76"/>
      <c r="M872" s="59"/>
      <c r="N872" s="60">
        <v>2499.0</v>
      </c>
      <c r="O872" s="61">
        <v>2698.0</v>
      </c>
      <c r="P872" s="62">
        <v>2913.84</v>
      </c>
      <c r="Q872" s="63">
        <v>2913.84</v>
      </c>
      <c r="R872" s="64">
        <v>3060.0</v>
      </c>
      <c r="S872" s="111">
        <v>3213.0</v>
      </c>
      <c r="T872" s="65">
        <f t="shared" si="2"/>
        <v>514.08</v>
      </c>
      <c r="U872" s="65">
        <f t="shared" si="3"/>
        <v>3727.08</v>
      </c>
      <c r="V872" s="66">
        <f t="shared" si="4"/>
        <v>0.05</v>
      </c>
      <c r="W872" s="67">
        <f t="shared" si="5"/>
        <v>3052.35</v>
      </c>
      <c r="X872" s="67">
        <f t="shared" si="6"/>
        <v>488.376</v>
      </c>
      <c r="Y872" s="67">
        <f t="shared" si="7"/>
        <v>3540.726</v>
      </c>
      <c r="Z872" s="67">
        <f t="shared" si="8"/>
        <v>2891.7</v>
      </c>
      <c r="AA872" s="67">
        <f t="shared" si="9"/>
        <v>462.672</v>
      </c>
      <c r="AB872" s="67">
        <f t="shared" si="10"/>
        <v>3354.372</v>
      </c>
      <c r="AC872" s="67">
        <f t="shared" si="11"/>
        <v>2731.05</v>
      </c>
      <c r="AD872" s="67">
        <f t="shared" si="12"/>
        <v>436.968</v>
      </c>
      <c r="AE872" s="67">
        <f t="shared" si="13"/>
        <v>3168.018</v>
      </c>
      <c r="AF872" s="67">
        <f t="shared" si="33"/>
        <v>2666.79</v>
      </c>
      <c r="AG872" s="67">
        <f t="shared" si="15"/>
        <v>426.6864</v>
      </c>
      <c r="AH872" s="67">
        <f t="shared" si="16"/>
        <v>3093.4764</v>
      </c>
      <c r="AI872" s="67">
        <f t="shared" si="17"/>
        <v>2570.4</v>
      </c>
      <c r="AJ872" s="68">
        <f t="shared" si="31"/>
        <v>411.264</v>
      </c>
      <c r="AK872" s="68">
        <f t="shared" si="32"/>
        <v>2981.664</v>
      </c>
      <c r="AL872" s="70">
        <f>IFERROR(__xludf.DUMMYFUNCTION("""COMPUTED_VALUE"""),1.0)</f>
        <v>1</v>
      </c>
      <c r="AM872" s="70"/>
      <c r="AN872" s="71" t="str">
        <f>IFERROR(__xludf.DUMMYFUNCTION("""COMPUTED_VALUE""")," P")</f>
        <v>P</v>
      </c>
      <c r="AO872" s="71" t="str">
        <f>IFERROR(__xludf.DUMMYFUNCTION("""COMPUTED_VALUE""")," PT93")</f>
        <v>PT93</v>
      </c>
      <c r="AP872" s="71" t="str">
        <f>IFERROR(__xludf.DUMMYFUNCTION("""COMPUTED_VALUE""")," PZA")</f>
        <v>PZA</v>
      </c>
      <c r="AQ872" s="71" t="str">
        <f>IFERROR(__xludf.DUMMYFUNCTION("""COMPUTED_VALUE""")," REF")</f>
        <v>REF</v>
      </c>
      <c r="AR872" s="71" t="str">
        <f>IFERROR(__xludf.DUMMYFUNCTION("""COMPUTED_VALUE""")," PALETA P AMASADORA 25 KG IZQ INOX FUND")</f>
        <v>PALETA P AMASADORA 25 KG IZQ INOX FUND</v>
      </c>
      <c r="AS872" s="71" t="str">
        <f>IFERROR(__xludf.DUMMYFUNCTION("""COMPUTED_VALUE""")," PALETA P AMASADORA 25 KG IZQ INOX FUND")</f>
        <v>PALETA P AMASADORA 25 KG IZQ INOX FUND</v>
      </c>
      <c r="AT872" s="71">
        <f>IFERROR(__xludf.DUMMYFUNCTION("""COMPUTED_VALUE"""),38.0)</f>
        <v>38</v>
      </c>
      <c r="AU872" s="71"/>
      <c r="AV872" s="71"/>
      <c r="AW872" s="71"/>
      <c r="AX872" s="71"/>
      <c r="AY872" s="71">
        <f>IFERROR(__xludf.DUMMYFUNCTION("""COMPUTED_VALUE"""),890.0)</f>
        <v>890</v>
      </c>
      <c r="AZ872" s="71">
        <f>IFERROR(__xludf.DUMMYFUNCTION("""COMPUTED_VALUE"""),961.0)</f>
        <v>961</v>
      </c>
      <c r="BA872" s="71">
        <f>IFERROR(__xludf.DUMMYFUNCTION("""COMPUTED_VALUE"""),1300.0)</f>
        <v>1300</v>
      </c>
      <c r="BB872" s="71">
        <f>IFERROR(__xludf.DUMMYFUNCTION("""COMPUTED_VALUE"""),1300.0)</f>
        <v>1300</v>
      </c>
      <c r="BC872" s="71">
        <f>IFERROR(__xludf.DUMMYFUNCTION("""COMPUTED_VALUE"""),1365.0)</f>
        <v>1365</v>
      </c>
      <c r="BD872" s="71">
        <f>IFERROR(__xludf.DUMMYFUNCTION("""COMPUTED_VALUE"""),1433.0)</f>
        <v>1433</v>
      </c>
      <c r="BE872" s="71">
        <f>IFERROR(__xludf.DUMMYFUNCTION("""COMPUTED_VALUE"""),229.28)</f>
        <v>229.28</v>
      </c>
      <c r="BF872" s="71">
        <f>IFERROR(__xludf.DUMMYFUNCTION("""COMPUTED_VALUE"""),1662.28)</f>
        <v>1662.28</v>
      </c>
      <c r="BG872" s="71">
        <f>IFERROR(__xludf.DUMMYFUNCTION("""COMPUTED_VALUE"""),0.04981684981684982)</f>
        <v>0.04981684982</v>
      </c>
      <c r="BH872" s="71">
        <f>IFERROR(__xludf.DUMMYFUNCTION("""COMPUTED_VALUE"""),1361.35)</f>
        <v>1361.35</v>
      </c>
      <c r="BI872" s="71">
        <f>IFERROR(__xludf.DUMMYFUNCTION("""COMPUTED_VALUE"""),217.816)</f>
        <v>217.816</v>
      </c>
      <c r="BJ872" s="71">
        <f>IFERROR(__xludf.DUMMYFUNCTION("""COMPUTED_VALUE"""),1579.166)</f>
        <v>1579.166</v>
      </c>
      <c r="BK872" s="71">
        <f>IFERROR(__xludf.DUMMYFUNCTION("""COMPUTED_VALUE"""),1289.7)</f>
        <v>1289.7</v>
      </c>
      <c r="BL872" s="71">
        <f>IFERROR(__xludf.DUMMYFUNCTION("""COMPUTED_VALUE"""),206.352)</f>
        <v>206.352</v>
      </c>
      <c r="BM872" s="71">
        <f>IFERROR(__xludf.DUMMYFUNCTION("""COMPUTED_VALUE"""),1496.0520000000001)</f>
        <v>1496.052</v>
      </c>
      <c r="BN872" s="71">
        <f>IFERROR(__xludf.DUMMYFUNCTION("""COMPUTED_VALUE"""),1218.05)</f>
        <v>1218.05</v>
      </c>
      <c r="BO872" s="71">
        <f>IFERROR(__xludf.DUMMYFUNCTION("""COMPUTED_VALUE"""),194.888)</f>
        <v>194.888</v>
      </c>
      <c r="BP872" s="71">
        <f>IFERROR(__xludf.DUMMYFUNCTION("""COMPUTED_VALUE"""),1412.9379999999999)</f>
        <v>1412.938</v>
      </c>
      <c r="BQ872" s="71">
        <f>IFERROR(__xludf.DUMMYFUNCTION("""COMPUTED_VALUE"""),1189.3899999999999)</f>
        <v>1189.39</v>
      </c>
      <c r="BR872" s="71">
        <f>IFERROR(__xludf.DUMMYFUNCTION("""COMPUTED_VALUE"""),190.30239999999998)</f>
        <v>190.3024</v>
      </c>
      <c r="BS872" s="71">
        <f>IFERROR(__xludf.DUMMYFUNCTION("""COMPUTED_VALUE"""),1379.6924)</f>
        <v>1379.6924</v>
      </c>
      <c r="BT872" s="71">
        <f>IFERROR(__xludf.DUMMYFUNCTION("""COMPUTED_VALUE"""),1146.4)</f>
        <v>1146.4</v>
      </c>
      <c r="BU872" s="71">
        <f>IFERROR(__xludf.DUMMYFUNCTION("""COMPUTED_VALUE"""),183.424)</f>
        <v>183.424</v>
      </c>
      <c r="BV872" s="71">
        <f>IFERROR(__xludf.DUMMYFUNCTION("""COMPUTED_VALUE"""),1329.824)</f>
        <v>1329.824</v>
      </c>
    </row>
    <row r="873">
      <c r="A873" s="53"/>
      <c r="B873" s="53"/>
      <c r="C873" s="73" t="s">
        <v>53</v>
      </c>
      <c r="D873" s="53" t="s">
        <v>2111</v>
      </c>
      <c r="E873" s="54" t="s">
        <v>38</v>
      </c>
      <c r="F873" s="54" t="s">
        <v>42</v>
      </c>
      <c r="G873" s="55" t="s">
        <v>2112</v>
      </c>
      <c r="H873" s="54" t="s">
        <v>2113</v>
      </c>
      <c r="I873" s="54">
        <f t="shared" si="24"/>
        <v>27</v>
      </c>
      <c r="J873" s="56"/>
      <c r="K873" s="57"/>
      <c r="L873" s="76"/>
      <c r="M873" s="59"/>
      <c r="N873" s="60">
        <v>1735.65</v>
      </c>
      <c r="O873" s="61">
        <v>1874.0</v>
      </c>
      <c r="P873" s="62">
        <v>2023.92</v>
      </c>
      <c r="Q873" s="63">
        <v>2023.92</v>
      </c>
      <c r="R873" s="64">
        <v>2126.0</v>
      </c>
      <c r="S873" s="111">
        <v>2232.0</v>
      </c>
      <c r="T873" s="65">
        <f t="shared" si="2"/>
        <v>357.12</v>
      </c>
      <c r="U873" s="65">
        <f t="shared" si="3"/>
        <v>2589.12</v>
      </c>
      <c r="V873" s="66">
        <f t="shared" si="4"/>
        <v>0.04985888993</v>
      </c>
      <c r="W873" s="67">
        <f t="shared" si="5"/>
        <v>2120.4</v>
      </c>
      <c r="X873" s="67">
        <f t="shared" si="6"/>
        <v>339.264</v>
      </c>
      <c r="Y873" s="67">
        <f t="shared" si="7"/>
        <v>2459.664</v>
      </c>
      <c r="Z873" s="67">
        <f t="shared" si="8"/>
        <v>2008.8</v>
      </c>
      <c r="AA873" s="67">
        <f t="shared" si="9"/>
        <v>321.408</v>
      </c>
      <c r="AB873" s="67">
        <f t="shared" si="10"/>
        <v>2330.208</v>
      </c>
      <c r="AC873" s="67">
        <f t="shared" si="11"/>
        <v>1897.2</v>
      </c>
      <c r="AD873" s="67">
        <f t="shared" si="12"/>
        <v>303.552</v>
      </c>
      <c r="AE873" s="67">
        <f t="shared" si="13"/>
        <v>2200.752</v>
      </c>
      <c r="AF873" s="67">
        <f t="shared" si="33"/>
        <v>1852.56</v>
      </c>
      <c r="AG873" s="67">
        <f t="shared" si="15"/>
        <v>296.4096</v>
      </c>
      <c r="AH873" s="67">
        <f t="shared" si="16"/>
        <v>2148.9696</v>
      </c>
      <c r="AI873" s="67">
        <f t="shared" si="17"/>
        <v>1785.6</v>
      </c>
      <c r="AJ873" s="68">
        <f t="shared" si="31"/>
        <v>285.696</v>
      </c>
      <c r="AK873" s="68">
        <f t="shared" si="32"/>
        <v>2071.296</v>
      </c>
      <c r="AL873" s="70">
        <f>IFERROR(__xludf.DUMMYFUNCTION("""COMPUTED_VALUE"""),1.0)</f>
        <v>1</v>
      </c>
      <c r="AM873" s="70"/>
      <c r="AN873" s="71" t="str">
        <f>IFERROR(__xludf.DUMMYFUNCTION("""COMPUTED_VALUE""")," P")</f>
        <v>P</v>
      </c>
      <c r="AO873" s="71" t="str">
        <f>IFERROR(__xludf.DUMMYFUNCTION("""COMPUTED_VALUE""")," PT04")</f>
        <v>PT04</v>
      </c>
      <c r="AP873" s="71" t="str">
        <f>IFERROR(__xludf.DUMMYFUNCTION("""COMPUTED_VALUE""")," PZA")</f>
        <v>PZA</v>
      </c>
      <c r="AQ873" s="71" t="str">
        <f>IFERROR(__xludf.DUMMYFUNCTION("""COMPUTED_VALUE""")," REF")</f>
        <v>REF</v>
      </c>
      <c r="AR873" s="71" t="str">
        <f>IFERROR(__xludf.DUMMYFUNCTION("""COMPUTED_VALUE""")," PALETA P AMASADORA 50 KG CEN ALUMINIO")</f>
        <v>PALETA P AMASADORA 50 KG CEN ALUMINIO</v>
      </c>
      <c r="AS873" s="71" t="str">
        <f>IFERROR(__xludf.DUMMYFUNCTION("""COMPUTED_VALUE""")," PALETA P AMASADORA 50 KG CEN ALUMINIO")</f>
        <v>PALETA P AMASADORA 50 KG CEN ALUMINIO</v>
      </c>
      <c r="AT873" s="71">
        <f>IFERROR(__xludf.DUMMYFUNCTION("""COMPUTED_VALUE"""),37.0)</f>
        <v>37</v>
      </c>
      <c r="AU873" s="71"/>
      <c r="AV873" s="71"/>
      <c r="AW873" s="71"/>
      <c r="AX873" s="71"/>
      <c r="AY873" s="71">
        <f>IFERROR(__xludf.DUMMYFUNCTION("""COMPUTED_VALUE"""),202.0)</f>
        <v>202</v>
      </c>
      <c r="AZ873" s="71">
        <f>IFERROR(__xludf.DUMMYFUNCTION("""COMPUTED_VALUE"""),218.0)</f>
        <v>218</v>
      </c>
      <c r="BA873" s="71">
        <f>IFERROR(__xludf.DUMMYFUNCTION("""COMPUTED_VALUE"""),235.44000000000003)</f>
        <v>235.44</v>
      </c>
      <c r="BB873" s="71">
        <f>IFERROR(__xludf.DUMMYFUNCTION("""COMPUTED_VALUE"""),235.44000000000003)</f>
        <v>235.44</v>
      </c>
      <c r="BC873" s="71">
        <f>IFERROR(__xludf.DUMMYFUNCTION("""COMPUTED_VALUE"""),263.0)</f>
        <v>263</v>
      </c>
      <c r="BD873" s="71">
        <f>IFERROR(__xludf.DUMMYFUNCTION("""COMPUTED_VALUE"""),276.0)</f>
        <v>276</v>
      </c>
      <c r="BE873" s="71">
        <f>IFERROR(__xludf.DUMMYFUNCTION("""COMPUTED_VALUE"""),44.160000000000004)</f>
        <v>44.16</v>
      </c>
      <c r="BF873" s="71">
        <f>IFERROR(__xludf.DUMMYFUNCTION("""COMPUTED_VALUE"""),320.16)</f>
        <v>320.16</v>
      </c>
      <c r="BG873" s="71">
        <f>IFERROR(__xludf.DUMMYFUNCTION("""COMPUTED_VALUE"""),0.049429657794676805)</f>
        <v>0.04942965779</v>
      </c>
      <c r="BH873" s="71">
        <f>IFERROR(__xludf.DUMMYFUNCTION("""COMPUTED_VALUE"""),262.2)</f>
        <v>262.2</v>
      </c>
      <c r="BI873" s="71">
        <f>IFERROR(__xludf.DUMMYFUNCTION("""COMPUTED_VALUE"""),41.952)</f>
        <v>41.952</v>
      </c>
      <c r="BJ873" s="71">
        <f>IFERROR(__xludf.DUMMYFUNCTION("""COMPUTED_VALUE"""),304.152)</f>
        <v>304.152</v>
      </c>
      <c r="BK873" s="71">
        <f>IFERROR(__xludf.DUMMYFUNCTION("""COMPUTED_VALUE"""),248.4)</f>
        <v>248.4</v>
      </c>
      <c r="BL873" s="71">
        <f>IFERROR(__xludf.DUMMYFUNCTION("""COMPUTED_VALUE"""),39.744)</f>
        <v>39.744</v>
      </c>
      <c r="BM873" s="71">
        <f>IFERROR(__xludf.DUMMYFUNCTION("""COMPUTED_VALUE"""),288.144)</f>
        <v>288.144</v>
      </c>
      <c r="BN873" s="71">
        <f>IFERROR(__xludf.DUMMYFUNCTION("""COMPUTED_VALUE"""),234.6)</f>
        <v>234.6</v>
      </c>
      <c r="BO873" s="71">
        <f>IFERROR(__xludf.DUMMYFUNCTION("""COMPUTED_VALUE"""),37.536)</f>
        <v>37.536</v>
      </c>
      <c r="BP873" s="71">
        <f>IFERROR(__xludf.DUMMYFUNCTION("""COMPUTED_VALUE"""),272.13599999999997)</f>
        <v>272.136</v>
      </c>
      <c r="BQ873" s="71">
        <f>IFERROR(__xludf.DUMMYFUNCTION("""COMPUTED_VALUE"""),229.07999999999998)</f>
        <v>229.08</v>
      </c>
      <c r="BR873" s="71">
        <f>IFERROR(__xludf.DUMMYFUNCTION("""COMPUTED_VALUE"""),36.6528)</f>
        <v>36.6528</v>
      </c>
      <c r="BS873" s="71">
        <f>IFERROR(__xludf.DUMMYFUNCTION("""COMPUTED_VALUE"""),265.7328)</f>
        <v>265.7328</v>
      </c>
      <c r="BT873" s="71">
        <f>IFERROR(__xludf.DUMMYFUNCTION("""COMPUTED_VALUE"""),220.8)</f>
        <v>220.8</v>
      </c>
      <c r="BU873" s="71">
        <f>IFERROR(__xludf.DUMMYFUNCTION("""COMPUTED_VALUE"""),35.328)</f>
        <v>35.328</v>
      </c>
      <c r="BV873" s="71">
        <f>IFERROR(__xludf.DUMMYFUNCTION("""COMPUTED_VALUE"""),256.12800000000004)</f>
        <v>256.128</v>
      </c>
    </row>
    <row r="874">
      <c r="A874" s="53">
        <v>1.0</v>
      </c>
      <c r="B874" s="72"/>
      <c r="C874" s="73" t="s">
        <v>53</v>
      </c>
      <c r="D874" s="74" t="s">
        <v>2114</v>
      </c>
      <c r="E874" s="54" t="s">
        <v>38</v>
      </c>
      <c r="F874" s="54" t="s">
        <v>42</v>
      </c>
      <c r="G874" s="54" t="s">
        <v>2115</v>
      </c>
      <c r="H874" s="54" t="s">
        <v>2116</v>
      </c>
      <c r="I874" s="54">
        <f t="shared" si="24"/>
        <v>20</v>
      </c>
      <c r="J874" s="56"/>
      <c r="K874" s="75"/>
      <c r="L874" s="76"/>
      <c r="M874" s="59"/>
      <c r="N874" s="60">
        <v>1736.0</v>
      </c>
      <c r="O874" s="61">
        <v>1874.0</v>
      </c>
      <c r="P874" s="62">
        <v>2023.92</v>
      </c>
      <c r="Q874" s="63">
        <v>2023.92</v>
      </c>
      <c r="R874" s="64">
        <v>2254.0</v>
      </c>
      <c r="S874" s="65">
        <v>1998.0</v>
      </c>
      <c r="T874" s="65">
        <f t="shared" si="2"/>
        <v>319.68</v>
      </c>
      <c r="U874" s="65">
        <f t="shared" si="3"/>
        <v>2317.68</v>
      </c>
      <c r="V874" s="66">
        <f t="shared" si="4"/>
        <v>-0.1135758651</v>
      </c>
      <c r="W874" s="67">
        <f t="shared" si="5"/>
        <v>1898.1</v>
      </c>
      <c r="X874" s="67">
        <f t="shared" si="6"/>
        <v>303.696</v>
      </c>
      <c r="Y874" s="67">
        <f t="shared" si="7"/>
        <v>2201.796</v>
      </c>
      <c r="Z874" s="67">
        <f t="shared" si="8"/>
        <v>1798.2</v>
      </c>
      <c r="AA874" s="67">
        <f t="shared" si="9"/>
        <v>287.712</v>
      </c>
      <c r="AB874" s="67">
        <f t="shared" si="10"/>
        <v>2085.912</v>
      </c>
      <c r="AC874" s="67">
        <f t="shared" si="11"/>
        <v>1698.3</v>
      </c>
      <c r="AD874" s="67">
        <f t="shared" si="12"/>
        <v>271.728</v>
      </c>
      <c r="AE874" s="67">
        <f t="shared" si="13"/>
        <v>1970.028</v>
      </c>
      <c r="AF874" s="67">
        <f t="shared" si="33"/>
        <v>1658.34</v>
      </c>
      <c r="AG874" s="67">
        <f t="shared" si="15"/>
        <v>265.3344</v>
      </c>
      <c r="AH874" s="67">
        <f t="shared" si="16"/>
        <v>1923.6744</v>
      </c>
      <c r="AI874" s="67">
        <f t="shared" si="17"/>
        <v>1598.4</v>
      </c>
      <c r="AJ874" s="68">
        <f t="shared" si="31"/>
        <v>255.744</v>
      </c>
      <c r="AK874" s="68">
        <f t="shared" si="32"/>
        <v>1854.144</v>
      </c>
      <c r="AL874" s="70">
        <f>IFERROR(__xludf.DUMMYFUNCTION("""COMPUTED_VALUE"""),1.0)</f>
        <v>1</v>
      </c>
      <c r="AM874" s="70"/>
      <c r="AN874" s="71" t="str">
        <f>IFERROR(__xludf.DUMMYFUNCTION("""COMPUTED_VALUE""")," P")</f>
        <v>P</v>
      </c>
      <c r="AO874" s="71" t="str">
        <f>IFERROR(__xludf.DUMMYFUNCTION("""COMPUTED_VALUE""")," PT94")</f>
        <v>PT94</v>
      </c>
      <c r="AP874" s="71" t="str">
        <f>IFERROR(__xludf.DUMMYFUNCTION("""COMPUTED_VALUE""")," PZA")</f>
        <v>PZA</v>
      </c>
      <c r="AQ874" s="71" t="str">
        <f>IFERROR(__xludf.DUMMYFUNCTION("""COMPUTED_VALUE""")," REF")</f>
        <v>REF</v>
      </c>
      <c r="AR874" s="71" t="str">
        <f>IFERROR(__xludf.DUMMYFUNCTION("""COMPUTED_VALUE""")," PALETA P AMASADORA 50 KG CEN INOX FUND")</f>
        <v>PALETA P AMASADORA 50 KG CEN INOX FUND</v>
      </c>
      <c r="AS874" s="71" t="str">
        <f>IFERROR(__xludf.DUMMYFUNCTION("""COMPUTED_VALUE""")," PALETA P AMASADORA 50 KG CEN INOX FUND")</f>
        <v>PALETA P AMASADORA 50 KG CEN INOX FUND</v>
      </c>
      <c r="AT874" s="71">
        <f>IFERROR(__xludf.DUMMYFUNCTION("""COMPUTED_VALUE"""),38.0)</f>
        <v>38</v>
      </c>
      <c r="AU874" s="71"/>
      <c r="AV874" s="71"/>
      <c r="AW874" s="71"/>
      <c r="AX874" s="71"/>
      <c r="AY874" s="71">
        <f>IFERROR(__xludf.DUMMYFUNCTION("""COMPUTED_VALUE"""),965.0)</f>
        <v>965</v>
      </c>
      <c r="AZ874" s="71">
        <f>IFERROR(__xludf.DUMMYFUNCTION("""COMPUTED_VALUE"""),1042.0)</f>
        <v>1042</v>
      </c>
      <c r="BA874" s="71">
        <f>IFERROR(__xludf.DUMMYFUNCTION("""COMPUTED_VALUE"""),1450.0)</f>
        <v>1450</v>
      </c>
      <c r="BB874" s="71">
        <f>IFERROR(__xludf.DUMMYFUNCTION("""COMPUTED_VALUE"""),1450.0)</f>
        <v>1450</v>
      </c>
      <c r="BC874" s="71">
        <f>IFERROR(__xludf.DUMMYFUNCTION("""COMPUTED_VALUE"""),1523.0)</f>
        <v>1523</v>
      </c>
      <c r="BD874" s="71">
        <f>IFERROR(__xludf.DUMMYFUNCTION("""COMPUTED_VALUE"""),1599.0)</f>
        <v>1599</v>
      </c>
      <c r="BE874" s="71">
        <f>IFERROR(__xludf.DUMMYFUNCTION("""COMPUTED_VALUE"""),255.84)</f>
        <v>255.84</v>
      </c>
      <c r="BF874" s="71">
        <f>IFERROR(__xludf.DUMMYFUNCTION("""COMPUTED_VALUE"""),1854.84)</f>
        <v>1854.84</v>
      </c>
      <c r="BG874" s="71">
        <f>IFERROR(__xludf.DUMMYFUNCTION("""COMPUTED_VALUE"""),0.04990151017728168)</f>
        <v>0.04990151018</v>
      </c>
      <c r="BH874" s="71">
        <f>IFERROR(__xludf.DUMMYFUNCTION("""COMPUTED_VALUE"""),1519.05)</f>
        <v>1519.05</v>
      </c>
      <c r="BI874" s="71">
        <f>IFERROR(__xludf.DUMMYFUNCTION("""COMPUTED_VALUE"""),243.048)</f>
        <v>243.048</v>
      </c>
      <c r="BJ874" s="71">
        <f>IFERROR(__xludf.DUMMYFUNCTION("""COMPUTED_VALUE"""),1762.098)</f>
        <v>1762.098</v>
      </c>
      <c r="BK874" s="71">
        <f>IFERROR(__xludf.DUMMYFUNCTION("""COMPUTED_VALUE"""),1439.1000000000001)</f>
        <v>1439.1</v>
      </c>
      <c r="BL874" s="71">
        <f>IFERROR(__xludf.DUMMYFUNCTION("""COMPUTED_VALUE"""),230.25600000000003)</f>
        <v>230.256</v>
      </c>
      <c r="BM874" s="71">
        <f>IFERROR(__xludf.DUMMYFUNCTION("""COMPUTED_VALUE"""),1669.3560000000002)</f>
        <v>1669.356</v>
      </c>
      <c r="BN874" s="71">
        <f>IFERROR(__xludf.DUMMYFUNCTION("""COMPUTED_VALUE"""),1359.1499999999999)</f>
        <v>1359.15</v>
      </c>
      <c r="BO874" s="71">
        <f>IFERROR(__xludf.DUMMYFUNCTION("""COMPUTED_VALUE"""),217.46399999999997)</f>
        <v>217.464</v>
      </c>
      <c r="BP874" s="71">
        <f>IFERROR(__xludf.DUMMYFUNCTION("""COMPUTED_VALUE"""),1576.6139999999998)</f>
        <v>1576.614</v>
      </c>
      <c r="BQ874" s="71">
        <f>IFERROR(__xludf.DUMMYFUNCTION("""COMPUTED_VALUE"""),1327.1699999999998)</f>
        <v>1327.17</v>
      </c>
      <c r="BR874" s="71">
        <f>IFERROR(__xludf.DUMMYFUNCTION("""COMPUTED_VALUE"""),212.3472)</f>
        <v>212.3472</v>
      </c>
      <c r="BS874" s="71">
        <f>IFERROR(__xludf.DUMMYFUNCTION("""COMPUTED_VALUE"""),1539.5171999999998)</f>
        <v>1539.5172</v>
      </c>
      <c r="BT874" s="71">
        <f>IFERROR(__xludf.DUMMYFUNCTION("""COMPUTED_VALUE"""),1279.2)</f>
        <v>1279.2</v>
      </c>
      <c r="BU874" s="71">
        <f>IFERROR(__xludf.DUMMYFUNCTION("""COMPUTED_VALUE"""),204.67200000000003)</f>
        <v>204.672</v>
      </c>
      <c r="BV874" s="71">
        <f>IFERROR(__xludf.DUMMYFUNCTION("""COMPUTED_VALUE"""),1483.872)</f>
        <v>1483.872</v>
      </c>
    </row>
    <row r="875">
      <c r="A875" s="53">
        <v>1.0</v>
      </c>
      <c r="B875" s="72"/>
      <c r="C875" s="73" t="s">
        <v>53</v>
      </c>
      <c r="D875" s="74" t="s">
        <v>2117</v>
      </c>
      <c r="E875" s="54" t="s">
        <v>38</v>
      </c>
      <c r="F875" s="54" t="s">
        <v>42</v>
      </c>
      <c r="G875" s="54" t="s">
        <v>2118</v>
      </c>
      <c r="H875" s="54" t="s">
        <v>2119</v>
      </c>
      <c r="I875" s="54">
        <f t="shared" si="24"/>
        <v>34</v>
      </c>
      <c r="J875" s="56"/>
      <c r="K875" s="75"/>
      <c r="L875" s="76"/>
      <c r="M875" s="59"/>
      <c r="N875" s="60">
        <v>117.0</v>
      </c>
      <c r="O875" s="61">
        <v>126.0</v>
      </c>
      <c r="P875" s="62">
        <v>136.08</v>
      </c>
      <c r="Q875" s="63">
        <v>136.08</v>
      </c>
      <c r="R875" s="64">
        <v>153.0</v>
      </c>
      <c r="S875" s="111">
        <v>161.0</v>
      </c>
      <c r="T875" s="65">
        <f t="shared" si="2"/>
        <v>25.76</v>
      </c>
      <c r="U875" s="65">
        <f t="shared" si="3"/>
        <v>186.76</v>
      </c>
      <c r="V875" s="66">
        <f t="shared" si="4"/>
        <v>0.0522875817</v>
      </c>
      <c r="W875" s="67">
        <f t="shared" si="5"/>
        <v>152.95</v>
      </c>
      <c r="X875" s="67">
        <f t="shared" si="6"/>
        <v>24.472</v>
      </c>
      <c r="Y875" s="67">
        <f t="shared" si="7"/>
        <v>177.422</v>
      </c>
      <c r="Z875" s="67">
        <f t="shared" si="8"/>
        <v>144.9</v>
      </c>
      <c r="AA875" s="67">
        <f t="shared" si="9"/>
        <v>23.184</v>
      </c>
      <c r="AB875" s="67">
        <f t="shared" si="10"/>
        <v>168.084</v>
      </c>
      <c r="AC875" s="67">
        <f t="shared" si="11"/>
        <v>136.85</v>
      </c>
      <c r="AD875" s="67">
        <f t="shared" si="12"/>
        <v>21.896</v>
      </c>
      <c r="AE875" s="67">
        <f t="shared" si="13"/>
        <v>158.746</v>
      </c>
      <c r="AF875" s="67">
        <f t="shared" si="33"/>
        <v>133.63</v>
      </c>
      <c r="AG875" s="67">
        <f t="shared" si="15"/>
        <v>21.3808</v>
      </c>
      <c r="AH875" s="67">
        <f t="shared" si="16"/>
        <v>155.0108</v>
      </c>
      <c r="AI875" s="67">
        <f t="shared" si="17"/>
        <v>128.8</v>
      </c>
      <c r="AJ875" s="68">
        <f t="shared" si="31"/>
        <v>20.608</v>
      </c>
      <c r="AK875" s="68">
        <f t="shared" si="32"/>
        <v>149.408</v>
      </c>
      <c r="AL875" s="70">
        <f>IFERROR(__xludf.DUMMYFUNCTION("""COMPUTED_VALUE"""),1.0)</f>
        <v>1</v>
      </c>
      <c r="AM875" s="70"/>
      <c r="AN875" s="71" t="str">
        <f>IFERROR(__xludf.DUMMYFUNCTION("""COMPUTED_VALUE""")," P")</f>
        <v>P</v>
      </c>
      <c r="AO875" s="71" t="str">
        <f>IFERROR(__xludf.DUMMYFUNCTION("""COMPUTED_VALUE""")," PT05")</f>
        <v>PT05</v>
      </c>
      <c r="AP875" s="71" t="str">
        <f>IFERROR(__xludf.DUMMYFUNCTION("""COMPUTED_VALUE""")," PZA")</f>
        <v>PZA</v>
      </c>
      <c r="AQ875" s="71" t="str">
        <f>IFERROR(__xludf.DUMMYFUNCTION("""COMPUTED_VALUE""")," REF")</f>
        <v>REF</v>
      </c>
      <c r="AR875" s="71" t="str">
        <f>IFERROR(__xludf.DUMMYFUNCTION("""COMPUTED_VALUE""")," PALETA P AMASADORA 50 KG DER ALUMINIO")</f>
        <v>PALETA P AMASADORA 50 KG DER ALUMINIO</v>
      </c>
      <c r="AS875" s="71" t="str">
        <f>IFERROR(__xludf.DUMMYFUNCTION("""COMPUTED_VALUE""")," PALETA P AMASADORA 50 KG DER ALUMINIO")</f>
        <v>PALETA P AMASADORA 50 KG DER ALUMINIO</v>
      </c>
      <c r="AT875" s="71">
        <f>IFERROR(__xludf.DUMMYFUNCTION("""COMPUTED_VALUE"""),37.0)</f>
        <v>37</v>
      </c>
      <c r="AU875" s="71"/>
      <c r="AV875" s="71"/>
      <c r="AW875" s="71"/>
      <c r="AX875" s="71"/>
      <c r="AY875" s="71">
        <f>IFERROR(__xludf.DUMMYFUNCTION("""COMPUTED_VALUE"""),202.0)</f>
        <v>202</v>
      </c>
      <c r="AZ875" s="71">
        <f>IFERROR(__xludf.DUMMYFUNCTION("""COMPUTED_VALUE"""),218.0)</f>
        <v>218</v>
      </c>
      <c r="BA875" s="71">
        <f>IFERROR(__xludf.DUMMYFUNCTION("""COMPUTED_VALUE"""),235.44000000000003)</f>
        <v>235.44</v>
      </c>
      <c r="BB875" s="71">
        <f>IFERROR(__xludf.DUMMYFUNCTION("""COMPUTED_VALUE"""),235.44000000000003)</f>
        <v>235.44</v>
      </c>
      <c r="BC875" s="71">
        <f>IFERROR(__xludf.DUMMYFUNCTION("""COMPUTED_VALUE"""),263.0)</f>
        <v>263</v>
      </c>
      <c r="BD875" s="71">
        <f>IFERROR(__xludf.DUMMYFUNCTION("""COMPUTED_VALUE"""),276.0)</f>
        <v>276</v>
      </c>
      <c r="BE875" s="71">
        <f>IFERROR(__xludf.DUMMYFUNCTION("""COMPUTED_VALUE"""),44.160000000000004)</f>
        <v>44.16</v>
      </c>
      <c r="BF875" s="71">
        <f>IFERROR(__xludf.DUMMYFUNCTION("""COMPUTED_VALUE"""),320.16)</f>
        <v>320.16</v>
      </c>
      <c r="BG875" s="71">
        <f>IFERROR(__xludf.DUMMYFUNCTION("""COMPUTED_VALUE"""),0.049429657794676805)</f>
        <v>0.04942965779</v>
      </c>
      <c r="BH875" s="71">
        <f>IFERROR(__xludf.DUMMYFUNCTION("""COMPUTED_VALUE"""),262.2)</f>
        <v>262.2</v>
      </c>
      <c r="BI875" s="71">
        <f>IFERROR(__xludf.DUMMYFUNCTION("""COMPUTED_VALUE"""),41.952)</f>
        <v>41.952</v>
      </c>
      <c r="BJ875" s="71">
        <f>IFERROR(__xludf.DUMMYFUNCTION("""COMPUTED_VALUE"""),304.152)</f>
        <v>304.152</v>
      </c>
      <c r="BK875" s="71">
        <f>IFERROR(__xludf.DUMMYFUNCTION("""COMPUTED_VALUE"""),248.4)</f>
        <v>248.4</v>
      </c>
      <c r="BL875" s="71">
        <f>IFERROR(__xludf.DUMMYFUNCTION("""COMPUTED_VALUE"""),39.744)</f>
        <v>39.744</v>
      </c>
      <c r="BM875" s="71">
        <f>IFERROR(__xludf.DUMMYFUNCTION("""COMPUTED_VALUE"""),288.144)</f>
        <v>288.144</v>
      </c>
      <c r="BN875" s="71">
        <f>IFERROR(__xludf.DUMMYFUNCTION("""COMPUTED_VALUE"""),234.6)</f>
        <v>234.6</v>
      </c>
      <c r="BO875" s="71">
        <f>IFERROR(__xludf.DUMMYFUNCTION("""COMPUTED_VALUE"""),37.536)</f>
        <v>37.536</v>
      </c>
      <c r="BP875" s="71">
        <f>IFERROR(__xludf.DUMMYFUNCTION("""COMPUTED_VALUE"""),272.13599999999997)</f>
        <v>272.136</v>
      </c>
      <c r="BQ875" s="71">
        <f>IFERROR(__xludf.DUMMYFUNCTION("""COMPUTED_VALUE"""),229.07999999999998)</f>
        <v>229.08</v>
      </c>
      <c r="BR875" s="71">
        <f>IFERROR(__xludf.DUMMYFUNCTION("""COMPUTED_VALUE"""),36.6528)</f>
        <v>36.6528</v>
      </c>
      <c r="BS875" s="71">
        <f>IFERROR(__xludf.DUMMYFUNCTION("""COMPUTED_VALUE"""),265.7328)</f>
        <v>265.7328</v>
      </c>
      <c r="BT875" s="71">
        <f>IFERROR(__xludf.DUMMYFUNCTION("""COMPUTED_VALUE"""),220.8)</f>
        <v>220.8</v>
      </c>
      <c r="BU875" s="71">
        <f>IFERROR(__xludf.DUMMYFUNCTION("""COMPUTED_VALUE"""),35.328)</f>
        <v>35.328</v>
      </c>
      <c r="BV875" s="71">
        <f>IFERROR(__xludf.DUMMYFUNCTION("""COMPUTED_VALUE"""),256.12800000000004)</f>
        <v>256.128</v>
      </c>
    </row>
    <row r="876">
      <c r="A876" s="53"/>
      <c r="B876" s="53"/>
      <c r="C876" s="73" t="s">
        <v>603</v>
      </c>
      <c r="D876" s="53" t="s">
        <v>2120</v>
      </c>
      <c r="E876" s="54" t="s">
        <v>38</v>
      </c>
      <c r="F876" s="54" t="s">
        <v>42</v>
      </c>
      <c r="G876" s="55" t="s">
        <v>2121</v>
      </c>
      <c r="H876" s="54" t="s">
        <v>2122</v>
      </c>
      <c r="I876" s="54">
        <f t="shared" si="24"/>
        <v>39</v>
      </c>
      <c r="J876" s="56"/>
      <c r="K876" s="57"/>
      <c r="L876" s="76"/>
      <c r="M876" s="59"/>
      <c r="N876" s="79">
        <v>1800.0</v>
      </c>
      <c r="O876" s="61">
        <v>1944.0</v>
      </c>
      <c r="P876" s="62">
        <v>2099.52</v>
      </c>
      <c r="Q876" s="63">
        <v>2099.52</v>
      </c>
      <c r="R876" s="64">
        <v>2205.0</v>
      </c>
      <c r="S876" s="111">
        <v>2315.0</v>
      </c>
      <c r="T876" s="65">
        <f t="shared" si="2"/>
        <v>370.4</v>
      </c>
      <c r="U876" s="65">
        <f t="shared" si="3"/>
        <v>2685.4</v>
      </c>
      <c r="V876" s="66">
        <f t="shared" si="4"/>
        <v>0.04988662132</v>
      </c>
      <c r="W876" s="67">
        <f t="shared" si="5"/>
        <v>2199.25</v>
      </c>
      <c r="X876" s="67">
        <f t="shared" si="6"/>
        <v>351.88</v>
      </c>
      <c r="Y876" s="67">
        <f t="shared" si="7"/>
        <v>2551.13</v>
      </c>
      <c r="Z876" s="67">
        <f t="shared" si="8"/>
        <v>2083.5</v>
      </c>
      <c r="AA876" s="67">
        <f t="shared" si="9"/>
        <v>333.36</v>
      </c>
      <c r="AB876" s="67">
        <f t="shared" si="10"/>
        <v>2416.86</v>
      </c>
      <c r="AC876" s="67">
        <f t="shared" si="11"/>
        <v>1967.75</v>
      </c>
      <c r="AD876" s="67">
        <f t="shared" si="12"/>
        <v>314.84</v>
      </c>
      <c r="AE876" s="67">
        <f t="shared" si="13"/>
        <v>2282.59</v>
      </c>
      <c r="AF876" s="67">
        <f t="shared" si="33"/>
        <v>1921.45</v>
      </c>
      <c r="AG876" s="67">
        <f t="shared" si="15"/>
        <v>307.432</v>
      </c>
      <c r="AH876" s="67">
        <f t="shared" si="16"/>
        <v>2228.882</v>
      </c>
      <c r="AI876" s="67">
        <f t="shared" si="17"/>
        <v>1852</v>
      </c>
      <c r="AJ876" s="68">
        <f t="shared" si="31"/>
        <v>296.32</v>
      </c>
      <c r="AK876" s="68">
        <f t="shared" si="32"/>
        <v>2148.32</v>
      </c>
      <c r="AL876" s="70">
        <f>IFERROR(__xludf.DUMMYFUNCTION("""COMPUTED_VALUE"""),1.0)</f>
        <v>1</v>
      </c>
      <c r="AM876" s="70"/>
      <c r="AN876" s="71" t="str">
        <f>IFERROR(__xludf.DUMMYFUNCTION("""COMPUTED_VALUE""")," P")</f>
        <v>P</v>
      </c>
      <c r="AO876" s="71" t="str">
        <f>IFERROR(__xludf.DUMMYFUNCTION("""COMPUTED_VALUE""")," PT95")</f>
        <v>PT95</v>
      </c>
      <c r="AP876" s="71" t="str">
        <f>IFERROR(__xludf.DUMMYFUNCTION("""COMPUTED_VALUE""")," PZA")</f>
        <v>PZA</v>
      </c>
      <c r="AQ876" s="71" t="str">
        <f>IFERROR(__xludf.DUMMYFUNCTION("""COMPUTED_VALUE""")," REF")</f>
        <v>REF</v>
      </c>
      <c r="AR876" s="71" t="str">
        <f>IFERROR(__xludf.DUMMYFUNCTION("""COMPUTED_VALUE""")," PALETA P AMASADORA 50 KG DER INOX FUND")</f>
        <v>PALETA P AMASADORA 50 KG DER INOX FUND</v>
      </c>
      <c r="AS876" s="71" t="str">
        <f>IFERROR(__xludf.DUMMYFUNCTION("""COMPUTED_VALUE""")," PALETA P AMASADORA 50 KG DER INOX FUND")</f>
        <v>PALETA P AMASADORA 50 KG DER INOX FUND</v>
      </c>
      <c r="AT876" s="71">
        <f>IFERROR(__xludf.DUMMYFUNCTION("""COMPUTED_VALUE"""),38.0)</f>
        <v>38</v>
      </c>
      <c r="AU876" s="71"/>
      <c r="AV876" s="71"/>
      <c r="AW876" s="71"/>
      <c r="AX876" s="71"/>
      <c r="AY876" s="71">
        <f>IFERROR(__xludf.DUMMYFUNCTION("""COMPUTED_VALUE"""),965.0)</f>
        <v>965</v>
      </c>
      <c r="AZ876" s="71">
        <f>IFERROR(__xludf.DUMMYFUNCTION("""COMPUTED_VALUE"""),1042.0)</f>
        <v>1042</v>
      </c>
      <c r="BA876" s="71">
        <f>IFERROR(__xludf.DUMMYFUNCTION("""COMPUTED_VALUE"""),1450.0)</f>
        <v>1450</v>
      </c>
      <c r="BB876" s="71">
        <f>IFERROR(__xludf.DUMMYFUNCTION("""COMPUTED_VALUE"""),1450.0)</f>
        <v>1450</v>
      </c>
      <c r="BC876" s="71">
        <f>IFERROR(__xludf.DUMMYFUNCTION("""COMPUTED_VALUE"""),1523.0)</f>
        <v>1523</v>
      </c>
      <c r="BD876" s="71">
        <f>IFERROR(__xludf.DUMMYFUNCTION("""COMPUTED_VALUE"""),1599.0)</f>
        <v>1599</v>
      </c>
      <c r="BE876" s="71">
        <f>IFERROR(__xludf.DUMMYFUNCTION("""COMPUTED_VALUE"""),255.84)</f>
        <v>255.84</v>
      </c>
      <c r="BF876" s="71">
        <f>IFERROR(__xludf.DUMMYFUNCTION("""COMPUTED_VALUE"""),1854.84)</f>
        <v>1854.84</v>
      </c>
      <c r="BG876" s="71">
        <f>IFERROR(__xludf.DUMMYFUNCTION("""COMPUTED_VALUE"""),0.04990151017728168)</f>
        <v>0.04990151018</v>
      </c>
      <c r="BH876" s="71">
        <f>IFERROR(__xludf.DUMMYFUNCTION("""COMPUTED_VALUE"""),1519.05)</f>
        <v>1519.05</v>
      </c>
      <c r="BI876" s="71">
        <f>IFERROR(__xludf.DUMMYFUNCTION("""COMPUTED_VALUE"""),243.048)</f>
        <v>243.048</v>
      </c>
      <c r="BJ876" s="71">
        <f>IFERROR(__xludf.DUMMYFUNCTION("""COMPUTED_VALUE"""),1762.098)</f>
        <v>1762.098</v>
      </c>
      <c r="BK876" s="71">
        <f>IFERROR(__xludf.DUMMYFUNCTION("""COMPUTED_VALUE"""),1439.1000000000001)</f>
        <v>1439.1</v>
      </c>
      <c r="BL876" s="71">
        <f>IFERROR(__xludf.DUMMYFUNCTION("""COMPUTED_VALUE"""),230.25600000000003)</f>
        <v>230.256</v>
      </c>
      <c r="BM876" s="71">
        <f>IFERROR(__xludf.DUMMYFUNCTION("""COMPUTED_VALUE"""),1669.3560000000002)</f>
        <v>1669.356</v>
      </c>
      <c r="BN876" s="71">
        <f>IFERROR(__xludf.DUMMYFUNCTION("""COMPUTED_VALUE"""),1359.1499999999999)</f>
        <v>1359.15</v>
      </c>
      <c r="BO876" s="71">
        <f>IFERROR(__xludf.DUMMYFUNCTION("""COMPUTED_VALUE"""),217.46399999999997)</f>
        <v>217.464</v>
      </c>
      <c r="BP876" s="71">
        <f>IFERROR(__xludf.DUMMYFUNCTION("""COMPUTED_VALUE"""),1576.6139999999998)</f>
        <v>1576.614</v>
      </c>
      <c r="BQ876" s="71">
        <f>IFERROR(__xludf.DUMMYFUNCTION("""COMPUTED_VALUE"""),1327.1699999999998)</f>
        <v>1327.17</v>
      </c>
      <c r="BR876" s="71">
        <f>IFERROR(__xludf.DUMMYFUNCTION("""COMPUTED_VALUE"""),212.3472)</f>
        <v>212.3472</v>
      </c>
      <c r="BS876" s="71">
        <f>IFERROR(__xludf.DUMMYFUNCTION("""COMPUTED_VALUE"""),1539.5171999999998)</f>
        <v>1539.5172</v>
      </c>
      <c r="BT876" s="71">
        <f>IFERROR(__xludf.DUMMYFUNCTION("""COMPUTED_VALUE"""),1279.2)</f>
        <v>1279.2</v>
      </c>
      <c r="BU876" s="71">
        <f>IFERROR(__xludf.DUMMYFUNCTION("""COMPUTED_VALUE"""),204.67200000000003)</f>
        <v>204.672</v>
      </c>
      <c r="BV876" s="71">
        <f>IFERROR(__xludf.DUMMYFUNCTION("""COMPUTED_VALUE"""),1483.872)</f>
        <v>1483.872</v>
      </c>
    </row>
    <row r="877">
      <c r="A877" s="53"/>
      <c r="B877" s="53">
        <v>3.0</v>
      </c>
      <c r="C877" s="53" t="s">
        <v>36</v>
      </c>
      <c r="D877" s="98" t="s">
        <v>2123</v>
      </c>
      <c r="E877" s="54" t="s">
        <v>38</v>
      </c>
      <c r="F877" s="55" t="s">
        <v>1610</v>
      </c>
      <c r="G877" s="139" t="s">
        <v>2124</v>
      </c>
      <c r="H877" s="55"/>
      <c r="I877" s="54">
        <f t="shared" si="24"/>
        <v>0</v>
      </c>
      <c r="J877" s="56"/>
      <c r="K877" s="57"/>
      <c r="L877" s="76"/>
      <c r="M877" s="59"/>
      <c r="N877" s="60"/>
      <c r="O877" s="61">
        <v>3495.0</v>
      </c>
      <c r="P877" s="62">
        <v>3774.6000000000004</v>
      </c>
      <c r="Q877" s="63">
        <v>3774.6000000000004</v>
      </c>
      <c r="R877" s="64">
        <v>4163.0</v>
      </c>
      <c r="S877" s="112">
        <v>4371.0</v>
      </c>
      <c r="T877" s="65">
        <f t="shared" si="2"/>
        <v>699.36</v>
      </c>
      <c r="U877" s="65">
        <f t="shared" si="3"/>
        <v>5070.36</v>
      </c>
      <c r="V877" s="66">
        <f t="shared" si="4"/>
        <v>0.04996396829</v>
      </c>
      <c r="W877" s="67">
        <f t="shared" si="5"/>
        <v>4152.45</v>
      </c>
      <c r="X877" s="67">
        <f t="shared" si="6"/>
        <v>664.392</v>
      </c>
      <c r="Y877" s="67">
        <f t="shared" si="7"/>
        <v>4816.842</v>
      </c>
      <c r="Z877" s="67">
        <f t="shared" si="8"/>
        <v>3933.9</v>
      </c>
      <c r="AA877" s="67">
        <f t="shared" si="9"/>
        <v>629.424</v>
      </c>
      <c r="AB877" s="67">
        <f t="shared" si="10"/>
        <v>4563.324</v>
      </c>
      <c r="AC877" s="67">
        <f t="shared" si="11"/>
        <v>3933.9</v>
      </c>
      <c r="AD877" s="67">
        <f t="shared" si="12"/>
        <v>629.424</v>
      </c>
      <c r="AE877" s="67">
        <f t="shared" si="13"/>
        <v>4563.324</v>
      </c>
      <c r="AF877" s="67">
        <f t="shared" si="33"/>
        <v>3933.9</v>
      </c>
      <c r="AG877" s="67">
        <f t="shared" si="15"/>
        <v>629.424</v>
      </c>
      <c r="AH877" s="67">
        <f t="shared" si="16"/>
        <v>4563.324</v>
      </c>
      <c r="AI877" s="67">
        <f t="shared" si="17"/>
        <v>3933.9</v>
      </c>
      <c r="AJ877" s="68">
        <f t="shared" si="31"/>
        <v>629.424</v>
      </c>
      <c r="AK877" s="68">
        <f t="shared" si="32"/>
        <v>4563.324</v>
      </c>
      <c r="AL877" s="70">
        <f>IFERROR(__xludf.DUMMYFUNCTION("""COMPUTED_VALUE"""),1.0)</f>
        <v>1</v>
      </c>
      <c r="AM877" s="70"/>
      <c r="AN877" s="71" t="str">
        <f>IFERROR(__xludf.DUMMYFUNCTION("""COMPUTED_VALUE""")," P")</f>
        <v>P</v>
      </c>
      <c r="AO877" s="71" t="str">
        <f>IFERROR(__xludf.DUMMYFUNCTION("""COMPUTED_VALUE""")," PT06")</f>
        <v>PT06</v>
      </c>
      <c r="AP877" s="71" t="str">
        <f>IFERROR(__xludf.DUMMYFUNCTION("""COMPUTED_VALUE""")," PZA")</f>
        <v>PZA</v>
      </c>
      <c r="AQ877" s="71" t="str">
        <f>IFERROR(__xludf.DUMMYFUNCTION("""COMPUTED_VALUE""")," REF")</f>
        <v>REF</v>
      </c>
      <c r="AR877" s="71" t="str">
        <f>IFERROR(__xludf.DUMMYFUNCTION("""COMPUTED_VALUE""")," PALETA P AMASADORA 50 KG IZQ ALUMINIO")</f>
        <v>PALETA P AMASADORA 50 KG IZQ ALUMINIO</v>
      </c>
      <c r="AS877" s="71" t="str">
        <f>IFERROR(__xludf.DUMMYFUNCTION("""COMPUTED_VALUE""")," PALETA P AMASADORA 50 KG IZQ ALUMINIO")</f>
        <v>PALETA P AMASADORA 50 KG IZQ ALUMINIO</v>
      </c>
      <c r="AT877" s="71">
        <f>IFERROR(__xludf.DUMMYFUNCTION("""COMPUTED_VALUE"""),37.0)</f>
        <v>37</v>
      </c>
      <c r="AU877" s="71"/>
      <c r="AV877" s="71"/>
      <c r="AW877" s="71"/>
      <c r="AX877" s="71"/>
      <c r="AY877" s="71">
        <f>IFERROR(__xludf.DUMMYFUNCTION("""COMPUTED_VALUE"""),202.0)</f>
        <v>202</v>
      </c>
      <c r="AZ877" s="71">
        <f>IFERROR(__xludf.DUMMYFUNCTION("""COMPUTED_VALUE"""),218.0)</f>
        <v>218</v>
      </c>
      <c r="BA877" s="71">
        <f>IFERROR(__xludf.DUMMYFUNCTION("""COMPUTED_VALUE"""),235.44000000000003)</f>
        <v>235.44</v>
      </c>
      <c r="BB877" s="71">
        <f>IFERROR(__xludf.DUMMYFUNCTION("""COMPUTED_VALUE"""),235.44000000000003)</f>
        <v>235.44</v>
      </c>
      <c r="BC877" s="71">
        <f>IFERROR(__xludf.DUMMYFUNCTION("""COMPUTED_VALUE"""),263.0)</f>
        <v>263</v>
      </c>
      <c r="BD877" s="71">
        <f>IFERROR(__xludf.DUMMYFUNCTION("""COMPUTED_VALUE"""),276.0)</f>
        <v>276</v>
      </c>
      <c r="BE877" s="71">
        <f>IFERROR(__xludf.DUMMYFUNCTION("""COMPUTED_VALUE"""),44.160000000000004)</f>
        <v>44.16</v>
      </c>
      <c r="BF877" s="71">
        <f>IFERROR(__xludf.DUMMYFUNCTION("""COMPUTED_VALUE"""),320.16)</f>
        <v>320.16</v>
      </c>
      <c r="BG877" s="71">
        <f>IFERROR(__xludf.DUMMYFUNCTION("""COMPUTED_VALUE"""),0.049429657794676805)</f>
        <v>0.04942965779</v>
      </c>
      <c r="BH877" s="71">
        <f>IFERROR(__xludf.DUMMYFUNCTION("""COMPUTED_VALUE"""),262.2)</f>
        <v>262.2</v>
      </c>
      <c r="BI877" s="71">
        <f>IFERROR(__xludf.DUMMYFUNCTION("""COMPUTED_VALUE"""),41.952)</f>
        <v>41.952</v>
      </c>
      <c r="BJ877" s="71">
        <f>IFERROR(__xludf.DUMMYFUNCTION("""COMPUTED_VALUE"""),304.152)</f>
        <v>304.152</v>
      </c>
      <c r="BK877" s="71">
        <f>IFERROR(__xludf.DUMMYFUNCTION("""COMPUTED_VALUE"""),248.4)</f>
        <v>248.4</v>
      </c>
      <c r="BL877" s="71">
        <f>IFERROR(__xludf.DUMMYFUNCTION("""COMPUTED_VALUE"""),39.744)</f>
        <v>39.744</v>
      </c>
      <c r="BM877" s="71">
        <f>IFERROR(__xludf.DUMMYFUNCTION("""COMPUTED_VALUE"""),288.144)</f>
        <v>288.144</v>
      </c>
      <c r="BN877" s="71">
        <f>IFERROR(__xludf.DUMMYFUNCTION("""COMPUTED_VALUE"""),234.6)</f>
        <v>234.6</v>
      </c>
      <c r="BO877" s="71">
        <f>IFERROR(__xludf.DUMMYFUNCTION("""COMPUTED_VALUE"""),37.536)</f>
        <v>37.536</v>
      </c>
      <c r="BP877" s="71">
        <f>IFERROR(__xludf.DUMMYFUNCTION("""COMPUTED_VALUE"""),272.13599999999997)</f>
        <v>272.136</v>
      </c>
      <c r="BQ877" s="71">
        <f>IFERROR(__xludf.DUMMYFUNCTION("""COMPUTED_VALUE"""),229.07999999999998)</f>
        <v>229.08</v>
      </c>
      <c r="BR877" s="71">
        <f>IFERROR(__xludf.DUMMYFUNCTION("""COMPUTED_VALUE"""),36.6528)</f>
        <v>36.6528</v>
      </c>
      <c r="BS877" s="71">
        <f>IFERROR(__xludf.DUMMYFUNCTION("""COMPUTED_VALUE"""),265.7328)</f>
        <v>265.7328</v>
      </c>
      <c r="BT877" s="71">
        <f>IFERROR(__xludf.DUMMYFUNCTION("""COMPUTED_VALUE"""),220.8)</f>
        <v>220.8</v>
      </c>
      <c r="BU877" s="71">
        <f>IFERROR(__xludf.DUMMYFUNCTION("""COMPUTED_VALUE"""),35.328)</f>
        <v>35.328</v>
      </c>
      <c r="BV877" s="71">
        <f>IFERROR(__xludf.DUMMYFUNCTION("""COMPUTED_VALUE"""),256.12800000000004)</f>
        <v>256.128</v>
      </c>
    </row>
    <row r="878">
      <c r="A878" s="53"/>
      <c r="B878" s="53">
        <v>3.0</v>
      </c>
      <c r="C878" s="53" t="s">
        <v>36</v>
      </c>
      <c r="D878" s="98" t="s">
        <v>2125</v>
      </c>
      <c r="E878" s="54" t="s">
        <v>38</v>
      </c>
      <c r="F878" s="55" t="s">
        <v>1610</v>
      </c>
      <c r="G878" s="147" t="s">
        <v>2126</v>
      </c>
      <c r="H878" s="55"/>
      <c r="I878" s="54">
        <f t="shared" si="24"/>
        <v>0</v>
      </c>
      <c r="J878" s="56"/>
      <c r="K878" s="57"/>
      <c r="L878" s="76"/>
      <c r="M878" s="59"/>
      <c r="N878" s="60"/>
      <c r="O878" s="61">
        <v>3495.0</v>
      </c>
      <c r="P878" s="62">
        <v>3774.6000000000004</v>
      </c>
      <c r="Q878" s="63">
        <v>3774.6000000000004</v>
      </c>
      <c r="R878" s="64">
        <v>4163.0</v>
      </c>
      <c r="S878" s="112">
        <v>4371.0</v>
      </c>
      <c r="T878" s="65">
        <f t="shared" si="2"/>
        <v>699.36</v>
      </c>
      <c r="U878" s="65">
        <f t="shared" si="3"/>
        <v>5070.36</v>
      </c>
      <c r="V878" s="66">
        <f t="shared" si="4"/>
        <v>0.04996396829</v>
      </c>
      <c r="W878" s="67">
        <f t="shared" si="5"/>
        <v>4152.45</v>
      </c>
      <c r="X878" s="67">
        <f t="shared" si="6"/>
        <v>664.392</v>
      </c>
      <c r="Y878" s="67">
        <f t="shared" si="7"/>
        <v>4816.842</v>
      </c>
      <c r="Z878" s="67">
        <f t="shared" si="8"/>
        <v>3933.9</v>
      </c>
      <c r="AA878" s="67">
        <f t="shared" si="9"/>
        <v>629.424</v>
      </c>
      <c r="AB878" s="67">
        <f t="shared" si="10"/>
        <v>4563.324</v>
      </c>
      <c r="AC878" s="67">
        <f t="shared" si="11"/>
        <v>3933.9</v>
      </c>
      <c r="AD878" s="67">
        <f t="shared" si="12"/>
        <v>629.424</v>
      </c>
      <c r="AE878" s="67">
        <f t="shared" si="13"/>
        <v>4563.324</v>
      </c>
      <c r="AF878" s="67">
        <f t="shared" si="33"/>
        <v>3933.9</v>
      </c>
      <c r="AG878" s="67">
        <f t="shared" si="15"/>
        <v>629.424</v>
      </c>
      <c r="AH878" s="67">
        <f t="shared" si="16"/>
        <v>4563.324</v>
      </c>
      <c r="AI878" s="67">
        <f t="shared" si="17"/>
        <v>3933.9</v>
      </c>
      <c r="AJ878" s="68">
        <f t="shared" si="31"/>
        <v>629.424</v>
      </c>
      <c r="AK878" s="68">
        <f t="shared" si="32"/>
        <v>4563.324</v>
      </c>
      <c r="AL878" s="70">
        <f>IFERROR(__xludf.DUMMYFUNCTION("""COMPUTED_VALUE"""),1.0)</f>
        <v>1</v>
      </c>
      <c r="AM878" s="70"/>
      <c r="AN878" s="71" t="str">
        <f>IFERROR(__xludf.DUMMYFUNCTION("""COMPUTED_VALUE""")," P")</f>
        <v>P</v>
      </c>
      <c r="AO878" s="71" t="str">
        <f>IFERROR(__xludf.DUMMYFUNCTION("""COMPUTED_VALUE""")," PT96")</f>
        <v>PT96</v>
      </c>
      <c r="AP878" s="71" t="str">
        <f>IFERROR(__xludf.DUMMYFUNCTION("""COMPUTED_VALUE""")," PZA")</f>
        <v>PZA</v>
      </c>
      <c r="AQ878" s="71" t="str">
        <f>IFERROR(__xludf.DUMMYFUNCTION("""COMPUTED_VALUE""")," REF")</f>
        <v>REF</v>
      </c>
      <c r="AR878" s="71" t="str">
        <f>IFERROR(__xludf.DUMMYFUNCTION("""COMPUTED_VALUE""")," PALETA P AMASADORA 50 KG IZQ INOX FUND")</f>
        <v>PALETA P AMASADORA 50 KG IZQ INOX FUND</v>
      </c>
      <c r="AS878" s="71" t="str">
        <f>IFERROR(__xludf.DUMMYFUNCTION("""COMPUTED_VALUE""")," PALETA P AMASADORA 50 KG IZQ INOX FUND")</f>
        <v>PALETA P AMASADORA 50 KG IZQ INOX FUND</v>
      </c>
      <c r="AT878" s="71">
        <f>IFERROR(__xludf.DUMMYFUNCTION("""COMPUTED_VALUE"""),38.0)</f>
        <v>38</v>
      </c>
      <c r="AU878" s="71"/>
      <c r="AV878" s="71"/>
      <c r="AW878" s="71"/>
      <c r="AX878" s="71"/>
      <c r="AY878" s="71">
        <f>IFERROR(__xludf.DUMMYFUNCTION("""COMPUTED_VALUE"""),965.0)</f>
        <v>965</v>
      </c>
      <c r="AZ878" s="71">
        <f>IFERROR(__xludf.DUMMYFUNCTION("""COMPUTED_VALUE"""),1042.0)</f>
        <v>1042</v>
      </c>
      <c r="BA878" s="71">
        <f>IFERROR(__xludf.DUMMYFUNCTION("""COMPUTED_VALUE"""),1450.0)</f>
        <v>1450</v>
      </c>
      <c r="BB878" s="71">
        <f>IFERROR(__xludf.DUMMYFUNCTION("""COMPUTED_VALUE"""),1450.0)</f>
        <v>1450</v>
      </c>
      <c r="BC878" s="71">
        <f>IFERROR(__xludf.DUMMYFUNCTION("""COMPUTED_VALUE"""),1523.0)</f>
        <v>1523</v>
      </c>
      <c r="BD878" s="71">
        <f>IFERROR(__xludf.DUMMYFUNCTION("""COMPUTED_VALUE"""),1599.0)</f>
        <v>1599</v>
      </c>
      <c r="BE878" s="71">
        <f>IFERROR(__xludf.DUMMYFUNCTION("""COMPUTED_VALUE"""),255.84)</f>
        <v>255.84</v>
      </c>
      <c r="BF878" s="71">
        <f>IFERROR(__xludf.DUMMYFUNCTION("""COMPUTED_VALUE"""),1854.84)</f>
        <v>1854.84</v>
      </c>
      <c r="BG878" s="71">
        <f>IFERROR(__xludf.DUMMYFUNCTION("""COMPUTED_VALUE"""),0.04990151017728168)</f>
        <v>0.04990151018</v>
      </c>
      <c r="BH878" s="71">
        <f>IFERROR(__xludf.DUMMYFUNCTION("""COMPUTED_VALUE"""),1519.05)</f>
        <v>1519.05</v>
      </c>
      <c r="BI878" s="71">
        <f>IFERROR(__xludf.DUMMYFUNCTION("""COMPUTED_VALUE"""),243.048)</f>
        <v>243.048</v>
      </c>
      <c r="BJ878" s="71">
        <f>IFERROR(__xludf.DUMMYFUNCTION("""COMPUTED_VALUE"""),1762.098)</f>
        <v>1762.098</v>
      </c>
      <c r="BK878" s="71">
        <f>IFERROR(__xludf.DUMMYFUNCTION("""COMPUTED_VALUE"""),1439.1000000000001)</f>
        <v>1439.1</v>
      </c>
      <c r="BL878" s="71">
        <f>IFERROR(__xludf.DUMMYFUNCTION("""COMPUTED_VALUE"""),230.25600000000003)</f>
        <v>230.256</v>
      </c>
      <c r="BM878" s="71">
        <f>IFERROR(__xludf.DUMMYFUNCTION("""COMPUTED_VALUE"""),1669.3560000000002)</f>
        <v>1669.356</v>
      </c>
      <c r="BN878" s="71">
        <f>IFERROR(__xludf.DUMMYFUNCTION("""COMPUTED_VALUE"""),1359.1499999999999)</f>
        <v>1359.15</v>
      </c>
      <c r="BO878" s="71">
        <f>IFERROR(__xludf.DUMMYFUNCTION("""COMPUTED_VALUE"""),217.46399999999997)</f>
        <v>217.464</v>
      </c>
      <c r="BP878" s="71">
        <f>IFERROR(__xludf.DUMMYFUNCTION("""COMPUTED_VALUE"""),1576.6139999999998)</f>
        <v>1576.614</v>
      </c>
      <c r="BQ878" s="71">
        <f>IFERROR(__xludf.DUMMYFUNCTION("""COMPUTED_VALUE"""),1327.1699999999998)</f>
        <v>1327.17</v>
      </c>
      <c r="BR878" s="71">
        <f>IFERROR(__xludf.DUMMYFUNCTION("""COMPUTED_VALUE"""),212.3472)</f>
        <v>212.3472</v>
      </c>
      <c r="BS878" s="71">
        <f>IFERROR(__xludf.DUMMYFUNCTION("""COMPUTED_VALUE"""),1539.5171999999998)</f>
        <v>1539.5172</v>
      </c>
      <c r="BT878" s="71">
        <f>IFERROR(__xludf.DUMMYFUNCTION("""COMPUTED_VALUE"""),1279.2)</f>
        <v>1279.2</v>
      </c>
      <c r="BU878" s="71">
        <f>IFERROR(__xludf.DUMMYFUNCTION("""COMPUTED_VALUE"""),204.67200000000003)</f>
        <v>204.672</v>
      </c>
      <c r="BV878" s="71">
        <f>IFERROR(__xludf.DUMMYFUNCTION("""COMPUTED_VALUE"""),1483.872)</f>
        <v>1483.872</v>
      </c>
    </row>
    <row r="879">
      <c r="A879" s="53"/>
      <c r="B879" s="53"/>
      <c r="C879" s="73" t="s">
        <v>603</v>
      </c>
      <c r="D879" s="53" t="s">
        <v>2127</v>
      </c>
      <c r="E879" s="54" t="s">
        <v>38</v>
      </c>
      <c r="F879" s="54" t="s">
        <v>42</v>
      </c>
      <c r="G879" s="55" t="s">
        <v>2128</v>
      </c>
      <c r="H879" s="54" t="s">
        <v>2129</v>
      </c>
      <c r="I879" s="54">
        <f t="shared" si="24"/>
        <v>36</v>
      </c>
      <c r="J879" s="56"/>
      <c r="K879" s="57"/>
      <c r="L879" s="76"/>
      <c r="M879" s="59"/>
      <c r="N879" s="60">
        <v>3305.4</v>
      </c>
      <c r="O879" s="61">
        <v>3569.0</v>
      </c>
      <c r="P879" s="62">
        <v>3854.5200000000004</v>
      </c>
      <c r="Q879" s="63">
        <v>3854.5200000000004</v>
      </c>
      <c r="R879" s="64">
        <v>4048.0</v>
      </c>
      <c r="S879" s="111">
        <v>4250.0</v>
      </c>
      <c r="T879" s="65">
        <f t="shared" si="2"/>
        <v>680</v>
      </c>
      <c r="U879" s="65">
        <f t="shared" si="3"/>
        <v>4930</v>
      </c>
      <c r="V879" s="66">
        <f t="shared" si="4"/>
        <v>0.04990118577</v>
      </c>
      <c r="W879" s="67">
        <f t="shared" si="5"/>
        <v>4037.5</v>
      </c>
      <c r="X879" s="67">
        <f t="shared" si="6"/>
        <v>646</v>
      </c>
      <c r="Y879" s="67">
        <f t="shared" si="7"/>
        <v>4683.5</v>
      </c>
      <c r="Z879" s="67">
        <f t="shared" si="8"/>
        <v>3825</v>
      </c>
      <c r="AA879" s="67">
        <f t="shared" si="9"/>
        <v>612</v>
      </c>
      <c r="AB879" s="67">
        <f t="shared" si="10"/>
        <v>4437</v>
      </c>
      <c r="AC879" s="67">
        <f t="shared" si="11"/>
        <v>3612.5</v>
      </c>
      <c r="AD879" s="67">
        <f t="shared" si="12"/>
        <v>578</v>
      </c>
      <c r="AE879" s="67">
        <f t="shared" si="13"/>
        <v>4190.5</v>
      </c>
      <c r="AF879" s="67">
        <f t="shared" si="33"/>
        <v>3527.5</v>
      </c>
      <c r="AG879" s="67">
        <f t="shared" si="15"/>
        <v>564.4</v>
      </c>
      <c r="AH879" s="67">
        <f t="shared" si="16"/>
        <v>4091.9</v>
      </c>
      <c r="AI879" s="67">
        <f t="shared" si="17"/>
        <v>3400</v>
      </c>
      <c r="AJ879" s="68">
        <f t="shared" si="31"/>
        <v>544</v>
      </c>
      <c r="AK879" s="68">
        <f t="shared" si="32"/>
        <v>3944</v>
      </c>
      <c r="AL879" s="70">
        <f>IFERROR(__xludf.DUMMYFUNCTION("""COMPUTED_VALUE"""),1.0)</f>
        <v>1</v>
      </c>
      <c r="AM879" s="70">
        <f>IFERROR(__xludf.DUMMYFUNCTION("""COMPUTED_VALUE"""),2.0)</f>
        <v>2</v>
      </c>
      <c r="AN879" s="71" t="str">
        <f>IFERROR(__xludf.DUMMYFUNCTION("""COMPUTED_VALUE""")," C")</f>
        <v>C</v>
      </c>
      <c r="AO879" s="71" t="str">
        <f>IFERROR(__xludf.DUMMYFUNCTION("""COMPUTED_VALUE""")," PP07")</f>
        <v>PP07</v>
      </c>
      <c r="AP879" s="71" t="str">
        <f>IFERROR(__xludf.DUMMYFUNCTION("""COMPUTED_VALUE""")," PZA")</f>
        <v>PZA</v>
      </c>
      <c r="AQ879" s="71" t="str">
        <f>IFERROR(__xludf.DUMMYFUNCTION("""COMPUTED_VALUE""")," REF")</f>
        <v>REF</v>
      </c>
      <c r="AR879" s="71" t="str">
        <f>IFERROR(__xludf.DUMMYFUNCTION("""COMPUTED_VALUE""")," PAPEL GRADO ALIMENTICIO PARA 1 KG 21GR/M2 2100 HOJAS")</f>
        <v>PAPEL GRADO ALIMENTICIO PARA 1 KG 21GR/M2 2100 HOJAS</v>
      </c>
      <c r="AS879" s="71" t="str">
        <f>IFERROR(__xludf.DUMMYFUNCTION("""COMPUTED_VALUE""")," PAPEL GA P/1KG 21 GR/M2 2100 HOJAS")</f>
        <v>PAPEL GA P/1KG 21 GR/M2 2100 HOJAS</v>
      </c>
      <c r="AT879" s="71">
        <f>IFERROR(__xludf.DUMMYFUNCTION("""COMPUTED_VALUE"""),34.0)</f>
        <v>34</v>
      </c>
      <c r="AU879" s="71"/>
      <c r="AV879" s="71"/>
      <c r="AW879" s="71"/>
      <c r="AX879" s="71"/>
      <c r="AY879" s="71"/>
      <c r="AZ879" s="71"/>
      <c r="BA879" s="71">
        <f>IFERROR(__xludf.DUMMYFUNCTION("""COMPUTED_VALUE"""),630.0)</f>
        <v>630</v>
      </c>
      <c r="BB879" s="71">
        <f>IFERROR(__xludf.DUMMYFUNCTION("""COMPUTED_VALUE"""),630.0)</f>
        <v>630</v>
      </c>
      <c r="BC879" s="71">
        <f>IFERROR(__xludf.DUMMYFUNCTION("""COMPUTED_VALUE"""),662.0)</f>
        <v>662</v>
      </c>
      <c r="BD879" s="71">
        <f>IFERROR(__xludf.DUMMYFUNCTION("""COMPUTED_VALUE"""),695.0)</f>
        <v>695</v>
      </c>
      <c r="BE879" s="71">
        <f>IFERROR(__xludf.DUMMYFUNCTION("""COMPUTED_VALUE"""),111.2)</f>
        <v>111.2</v>
      </c>
      <c r="BF879" s="71">
        <f>IFERROR(__xludf.DUMMYFUNCTION("""COMPUTED_VALUE"""),806.2)</f>
        <v>806.2</v>
      </c>
      <c r="BG879" s="71">
        <f>IFERROR(__xludf.DUMMYFUNCTION("""COMPUTED_VALUE"""),0.04984894259818731)</f>
        <v>0.0498489426</v>
      </c>
      <c r="BH879" s="71">
        <f>IFERROR(__xludf.DUMMYFUNCTION("""COMPUTED_VALUE"""),660.25)</f>
        <v>660.25</v>
      </c>
      <c r="BI879" s="71">
        <f>IFERROR(__xludf.DUMMYFUNCTION("""COMPUTED_VALUE"""),105.64)</f>
        <v>105.64</v>
      </c>
      <c r="BJ879" s="71">
        <f>IFERROR(__xludf.DUMMYFUNCTION("""COMPUTED_VALUE"""),765.89)</f>
        <v>765.89</v>
      </c>
      <c r="BK879" s="71">
        <f>IFERROR(__xludf.DUMMYFUNCTION("""COMPUTED_VALUE"""),625.5)</f>
        <v>625.5</v>
      </c>
      <c r="BL879" s="71">
        <f>IFERROR(__xludf.DUMMYFUNCTION("""COMPUTED_VALUE"""),100.08)</f>
        <v>100.08</v>
      </c>
      <c r="BM879" s="71">
        <f>IFERROR(__xludf.DUMMYFUNCTION("""COMPUTED_VALUE"""),725.58)</f>
        <v>725.58</v>
      </c>
      <c r="BN879" s="71">
        <f>IFERROR(__xludf.DUMMYFUNCTION("""COMPUTED_VALUE"""),590.75)</f>
        <v>590.75</v>
      </c>
      <c r="BO879" s="71">
        <f>IFERROR(__xludf.DUMMYFUNCTION("""COMPUTED_VALUE"""),94.52)</f>
        <v>94.52</v>
      </c>
      <c r="BP879" s="71">
        <f>IFERROR(__xludf.DUMMYFUNCTION("""COMPUTED_VALUE"""),685.27)</f>
        <v>685.27</v>
      </c>
      <c r="BQ879" s="71">
        <f>IFERROR(__xludf.DUMMYFUNCTION("""COMPUTED_VALUE"""),590.75)</f>
        <v>590.75</v>
      </c>
      <c r="BR879" s="71">
        <f>IFERROR(__xludf.DUMMYFUNCTION("""COMPUTED_VALUE"""),94.52)</f>
        <v>94.52</v>
      </c>
      <c r="BS879" s="71">
        <f>IFERROR(__xludf.DUMMYFUNCTION("""COMPUTED_VALUE"""),685.27)</f>
        <v>685.27</v>
      </c>
      <c r="BT879" s="71">
        <f>IFERROR(__xludf.DUMMYFUNCTION("""COMPUTED_VALUE"""),590.75)</f>
        <v>590.75</v>
      </c>
      <c r="BU879" s="71">
        <f>IFERROR(__xludf.DUMMYFUNCTION("""COMPUTED_VALUE"""),94.52)</f>
        <v>94.52</v>
      </c>
      <c r="BV879" s="71">
        <f>IFERROR(__xludf.DUMMYFUNCTION("""COMPUTED_VALUE"""),685.27)</f>
        <v>685.27</v>
      </c>
    </row>
    <row r="880">
      <c r="A880" s="53"/>
      <c r="B880" s="53">
        <v>3.0</v>
      </c>
      <c r="C880" s="53" t="s">
        <v>36</v>
      </c>
      <c r="D880" s="98" t="s">
        <v>2130</v>
      </c>
      <c r="E880" s="54" t="s">
        <v>38</v>
      </c>
      <c r="F880" s="55" t="s">
        <v>187</v>
      </c>
      <c r="G880" s="117" t="s">
        <v>2131</v>
      </c>
      <c r="H880" s="55"/>
      <c r="I880" s="54">
        <f t="shared" si="24"/>
        <v>0</v>
      </c>
      <c r="J880" s="56"/>
      <c r="K880" s="57"/>
      <c r="L880" s="76"/>
      <c r="M880" s="59"/>
      <c r="N880" s="60"/>
      <c r="O880" s="61">
        <v>42386.0</v>
      </c>
      <c r="P880" s="62">
        <v>45776.880000000005</v>
      </c>
      <c r="Q880" s="63">
        <v>45776.880000000005</v>
      </c>
      <c r="R880" s="64">
        <v>50470.0</v>
      </c>
      <c r="S880" s="107">
        <v>52994.0</v>
      </c>
      <c r="T880" s="65">
        <f t="shared" si="2"/>
        <v>8479.04</v>
      </c>
      <c r="U880" s="65">
        <f t="shared" si="3"/>
        <v>61473.04</v>
      </c>
      <c r="V880" s="66">
        <f t="shared" si="4"/>
        <v>0.05000990688</v>
      </c>
      <c r="W880" s="67">
        <f t="shared" si="5"/>
        <v>50344.3</v>
      </c>
      <c r="X880" s="67">
        <f t="shared" si="6"/>
        <v>8055.088</v>
      </c>
      <c r="Y880" s="67">
        <f t="shared" si="7"/>
        <v>58399.388</v>
      </c>
      <c r="Z880" s="67">
        <f t="shared" si="8"/>
        <v>47694.6</v>
      </c>
      <c r="AA880" s="67">
        <f t="shared" si="9"/>
        <v>7631.136</v>
      </c>
      <c r="AB880" s="67">
        <f t="shared" si="10"/>
        <v>55325.736</v>
      </c>
      <c r="AC880" s="67">
        <f t="shared" si="11"/>
        <v>47694.6</v>
      </c>
      <c r="AD880" s="67">
        <f t="shared" si="12"/>
        <v>7631.136</v>
      </c>
      <c r="AE880" s="67">
        <f t="shared" si="13"/>
        <v>55325.736</v>
      </c>
      <c r="AF880" s="67">
        <f t="shared" si="33"/>
        <v>47694.6</v>
      </c>
      <c r="AG880" s="67">
        <f t="shared" si="15"/>
        <v>7631.136</v>
      </c>
      <c r="AH880" s="67">
        <f t="shared" si="16"/>
        <v>55325.736</v>
      </c>
      <c r="AI880" s="67">
        <f t="shared" si="17"/>
        <v>47694.6</v>
      </c>
      <c r="AJ880" s="68">
        <f t="shared" si="31"/>
        <v>7631.136</v>
      </c>
      <c r="AK880" s="68">
        <f t="shared" si="32"/>
        <v>55325.736</v>
      </c>
      <c r="AL880" s="70">
        <f>IFERROR(__xludf.DUMMYFUNCTION("""COMPUTED_VALUE"""),1.0)</f>
        <v>1</v>
      </c>
      <c r="AM880" s="70">
        <f>IFERROR(__xludf.DUMMYFUNCTION("""COMPUTED_VALUE"""),2.0)</f>
        <v>2</v>
      </c>
      <c r="AN880" s="71" t="str">
        <f>IFERROR(__xludf.DUMMYFUNCTION("""COMPUTED_VALUE""")," C")</f>
        <v>C</v>
      </c>
      <c r="AO880" s="71" t="str">
        <f>IFERROR(__xludf.DUMMYFUNCTION("""COMPUTED_VALUE""")," PP09")</f>
        <v>PP09</v>
      </c>
      <c r="AP880" s="71" t="str">
        <f>IFERROR(__xludf.DUMMYFUNCTION("""COMPUTED_VALUE""")," PZA")</f>
        <v>PZA</v>
      </c>
      <c r="AQ880" s="71" t="str">
        <f>IFERROR(__xludf.DUMMYFUNCTION("""COMPUTED_VALUE""")," REF")</f>
        <v>REF</v>
      </c>
      <c r="AR880" s="71" t="str">
        <f>IFERROR(__xludf.DUMMYFUNCTION("""COMPUTED_VALUE""")," PAPEL GRADO ALIMENTICIO PARA 1 KG 21GR/M2 2850 HOJAS")</f>
        <v>PAPEL GRADO ALIMENTICIO PARA 1 KG 21GR/M2 2850 HOJAS</v>
      </c>
      <c r="AS880" s="71" t="str">
        <f>IFERROR(__xludf.DUMMYFUNCTION("""COMPUTED_VALUE""")," PAPEL GA P/1KG 21 GR/M2 2850 HOJAS")</f>
        <v>PAPEL GA P/1KG 21 GR/M2 2850 HOJAS</v>
      </c>
      <c r="AT880" s="71">
        <f>IFERROR(__xludf.DUMMYFUNCTION("""COMPUTED_VALUE"""),34.0)</f>
        <v>34</v>
      </c>
      <c r="AU880" s="71"/>
      <c r="AV880" s="71"/>
      <c r="AW880" s="71"/>
      <c r="AX880" s="71"/>
      <c r="AY880" s="71"/>
      <c r="AZ880" s="71"/>
      <c r="BA880" s="71">
        <f>IFERROR(__xludf.DUMMYFUNCTION("""COMPUTED_VALUE"""),742.5)</f>
        <v>742.5</v>
      </c>
      <c r="BB880" s="71">
        <f>IFERROR(__xludf.DUMMYFUNCTION("""COMPUTED_VALUE"""),742.5)</f>
        <v>742.5</v>
      </c>
      <c r="BC880" s="71">
        <f>IFERROR(__xludf.DUMMYFUNCTION("""COMPUTED_VALUE"""),781.0)</f>
        <v>781</v>
      </c>
      <c r="BD880" s="71">
        <f>IFERROR(__xludf.DUMMYFUNCTION("""COMPUTED_VALUE"""),820.0)</f>
        <v>820</v>
      </c>
      <c r="BE880" s="71">
        <f>IFERROR(__xludf.DUMMYFUNCTION("""COMPUTED_VALUE"""),131.2)</f>
        <v>131.2</v>
      </c>
      <c r="BF880" s="71">
        <f>IFERROR(__xludf.DUMMYFUNCTION("""COMPUTED_VALUE"""),951.2)</f>
        <v>951.2</v>
      </c>
      <c r="BG880" s="71">
        <f>IFERROR(__xludf.DUMMYFUNCTION("""COMPUTED_VALUE"""),0.0499359795134443)</f>
        <v>0.04993597951</v>
      </c>
      <c r="BH880" s="71">
        <f>IFERROR(__xludf.DUMMYFUNCTION("""COMPUTED_VALUE"""),779.0)</f>
        <v>779</v>
      </c>
      <c r="BI880" s="71">
        <f>IFERROR(__xludf.DUMMYFUNCTION("""COMPUTED_VALUE"""),124.64)</f>
        <v>124.64</v>
      </c>
      <c r="BJ880" s="71">
        <f>IFERROR(__xludf.DUMMYFUNCTION("""COMPUTED_VALUE"""),903.64)</f>
        <v>903.64</v>
      </c>
      <c r="BK880" s="71">
        <f>IFERROR(__xludf.DUMMYFUNCTION("""COMPUTED_VALUE"""),738.0)</f>
        <v>738</v>
      </c>
      <c r="BL880" s="71">
        <f>IFERROR(__xludf.DUMMYFUNCTION("""COMPUTED_VALUE"""),118.08)</f>
        <v>118.08</v>
      </c>
      <c r="BM880" s="71">
        <f>IFERROR(__xludf.DUMMYFUNCTION("""COMPUTED_VALUE"""),856.08)</f>
        <v>856.08</v>
      </c>
      <c r="BN880" s="71">
        <f>IFERROR(__xludf.DUMMYFUNCTION("""COMPUTED_VALUE"""),697.0)</f>
        <v>697</v>
      </c>
      <c r="BO880" s="71">
        <f>IFERROR(__xludf.DUMMYFUNCTION("""COMPUTED_VALUE"""),111.52)</f>
        <v>111.52</v>
      </c>
      <c r="BP880" s="71">
        <f>IFERROR(__xludf.DUMMYFUNCTION("""COMPUTED_VALUE"""),808.52)</f>
        <v>808.52</v>
      </c>
      <c r="BQ880" s="71">
        <f>IFERROR(__xludf.DUMMYFUNCTION("""COMPUTED_VALUE"""),697.0)</f>
        <v>697</v>
      </c>
      <c r="BR880" s="71">
        <f>IFERROR(__xludf.DUMMYFUNCTION("""COMPUTED_VALUE"""),111.52)</f>
        <v>111.52</v>
      </c>
      <c r="BS880" s="71">
        <f>IFERROR(__xludf.DUMMYFUNCTION("""COMPUTED_VALUE"""),808.52)</f>
        <v>808.52</v>
      </c>
      <c r="BT880" s="71">
        <f>IFERROR(__xludf.DUMMYFUNCTION("""COMPUTED_VALUE"""),697.0)</f>
        <v>697</v>
      </c>
      <c r="BU880" s="71">
        <f>IFERROR(__xludf.DUMMYFUNCTION("""COMPUTED_VALUE"""),111.52)</f>
        <v>111.52</v>
      </c>
      <c r="BV880" s="71">
        <f>IFERROR(__xludf.DUMMYFUNCTION("""COMPUTED_VALUE"""),808.52)</f>
        <v>808.52</v>
      </c>
    </row>
    <row r="881">
      <c r="A881" s="53"/>
      <c r="B881" s="53">
        <v>3.0</v>
      </c>
      <c r="C881" s="53" t="s">
        <v>36</v>
      </c>
      <c r="D881" s="85" t="s">
        <v>2132</v>
      </c>
      <c r="E881" s="54" t="s">
        <v>38</v>
      </c>
      <c r="F881" s="55" t="s">
        <v>187</v>
      </c>
      <c r="G881" s="147" t="s">
        <v>2133</v>
      </c>
      <c r="H881" s="55"/>
      <c r="I881" s="54">
        <f t="shared" si="24"/>
        <v>0</v>
      </c>
      <c r="J881" s="56"/>
      <c r="K881" s="57"/>
      <c r="L881" s="76"/>
      <c r="M881" s="59"/>
      <c r="N881" s="60"/>
      <c r="O881" s="61">
        <v>80092.0</v>
      </c>
      <c r="P881" s="62">
        <v>86499.36</v>
      </c>
      <c r="Q881" s="63">
        <v>86499.36</v>
      </c>
      <c r="R881" s="64">
        <v>95366.0</v>
      </c>
      <c r="S881" s="107">
        <v>100134.0</v>
      </c>
      <c r="T881" s="65">
        <f t="shared" si="2"/>
        <v>16021.44</v>
      </c>
      <c r="U881" s="65">
        <f t="shared" si="3"/>
        <v>116155.44</v>
      </c>
      <c r="V881" s="66">
        <f t="shared" si="4"/>
        <v>0.04999685422</v>
      </c>
      <c r="W881" s="67">
        <f t="shared" si="5"/>
        <v>95127.3</v>
      </c>
      <c r="X881" s="67">
        <f t="shared" si="6"/>
        <v>15220.368</v>
      </c>
      <c r="Y881" s="67">
        <f t="shared" si="7"/>
        <v>110347.668</v>
      </c>
      <c r="Z881" s="67">
        <f t="shared" si="8"/>
        <v>90120.6</v>
      </c>
      <c r="AA881" s="67">
        <f t="shared" si="9"/>
        <v>14419.296</v>
      </c>
      <c r="AB881" s="67">
        <f t="shared" si="10"/>
        <v>104539.896</v>
      </c>
      <c r="AC881" s="67">
        <f t="shared" si="11"/>
        <v>90120.6</v>
      </c>
      <c r="AD881" s="67">
        <f t="shared" si="12"/>
        <v>14419.296</v>
      </c>
      <c r="AE881" s="67">
        <f t="shared" si="13"/>
        <v>104539.896</v>
      </c>
      <c r="AF881" s="67">
        <f t="shared" si="33"/>
        <v>90120.6</v>
      </c>
      <c r="AG881" s="67">
        <f t="shared" si="15"/>
        <v>14419.296</v>
      </c>
      <c r="AH881" s="67">
        <f t="shared" si="16"/>
        <v>104539.896</v>
      </c>
      <c r="AI881" s="67">
        <f t="shared" si="17"/>
        <v>90120.6</v>
      </c>
      <c r="AJ881" s="68">
        <f t="shared" si="31"/>
        <v>14419.296</v>
      </c>
      <c r="AK881" s="68">
        <f t="shared" si="32"/>
        <v>104539.896</v>
      </c>
      <c r="AL881" s="70">
        <f>IFERROR(__xludf.DUMMYFUNCTION("""COMPUTED_VALUE"""),1.0)</f>
        <v>1</v>
      </c>
      <c r="AM881" s="70">
        <f>IFERROR(__xludf.DUMMYFUNCTION("""COMPUTED_VALUE"""),2.0)</f>
        <v>2</v>
      </c>
      <c r="AN881" s="71" t="str">
        <f>IFERROR(__xludf.DUMMYFUNCTION("""COMPUTED_VALUE""")," C")</f>
        <v>C</v>
      </c>
      <c r="AO881" s="71" t="str">
        <f>IFERROR(__xludf.DUMMYFUNCTION("""COMPUTED_VALUE""")," PP08")</f>
        <v>PP08</v>
      </c>
      <c r="AP881" s="71" t="str">
        <f>IFERROR(__xludf.DUMMYFUNCTION("""COMPUTED_VALUE""")," PZA")</f>
        <v>PZA</v>
      </c>
      <c r="AQ881" s="71" t="str">
        <f>IFERROR(__xludf.DUMMYFUNCTION("""COMPUTED_VALUE""")," REF")</f>
        <v>REF</v>
      </c>
      <c r="AR881" s="71" t="str">
        <f>IFERROR(__xludf.DUMMYFUNCTION("""COMPUTED_VALUE""")," PAPEL GRADO ALIMENTICIO PARA 2 KG 21GR/M2 1050 HOJAS")</f>
        <v>PAPEL GRADO ALIMENTICIO PARA 2 KG 21GR/M2 1050 HOJAS</v>
      </c>
      <c r="AS881" s="71" t="str">
        <f>IFERROR(__xludf.DUMMYFUNCTION("""COMPUTED_VALUE""")," PAPEL GA P/2KG 21 GR/M2 1050 HOJAS")</f>
        <v>PAPEL GA P/2KG 21 GR/M2 1050 HOJAS</v>
      </c>
      <c r="AT881" s="71">
        <f>IFERROR(__xludf.DUMMYFUNCTION("""COMPUTED_VALUE"""),34.0)</f>
        <v>34</v>
      </c>
      <c r="AU881" s="71"/>
      <c r="AV881" s="71"/>
      <c r="AW881" s="71"/>
      <c r="AX881" s="71"/>
      <c r="AY881" s="71"/>
      <c r="AZ881" s="71"/>
      <c r="BA881" s="71">
        <f>IFERROR(__xludf.DUMMYFUNCTION("""COMPUTED_VALUE"""),630.0)</f>
        <v>630</v>
      </c>
      <c r="BB881" s="71">
        <f>IFERROR(__xludf.DUMMYFUNCTION("""COMPUTED_VALUE"""),630.0)</f>
        <v>630</v>
      </c>
      <c r="BC881" s="71">
        <f>IFERROR(__xludf.DUMMYFUNCTION("""COMPUTED_VALUE"""),662.0)</f>
        <v>662</v>
      </c>
      <c r="BD881" s="71">
        <f>IFERROR(__xludf.DUMMYFUNCTION("""COMPUTED_VALUE"""),695.0)</f>
        <v>695</v>
      </c>
      <c r="BE881" s="71">
        <f>IFERROR(__xludf.DUMMYFUNCTION("""COMPUTED_VALUE"""),111.2)</f>
        <v>111.2</v>
      </c>
      <c r="BF881" s="71">
        <f>IFERROR(__xludf.DUMMYFUNCTION("""COMPUTED_VALUE"""),806.2)</f>
        <v>806.2</v>
      </c>
      <c r="BG881" s="71">
        <f>IFERROR(__xludf.DUMMYFUNCTION("""COMPUTED_VALUE"""),0.04984894259818731)</f>
        <v>0.0498489426</v>
      </c>
      <c r="BH881" s="71">
        <f>IFERROR(__xludf.DUMMYFUNCTION("""COMPUTED_VALUE"""),660.25)</f>
        <v>660.25</v>
      </c>
      <c r="BI881" s="71">
        <f>IFERROR(__xludf.DUMMYFUNCTION("""COMPUTED_VALUE"""),105.64)</f>
        <v>105.64</v>
      </c>
      <c r="BJ881" s="71">
        <f>IFERROR(__xludf.DUMMYFUNCTION("""COMPUTED_VALUE"""),765.89)</f>
        <v>765.89</v>
      </c>
      <c r="BK881" s="71">
        <f>IFERROR(__xludf.DUMMYFUNCTION("""COMPUTED_VALUE"""),625.5)</f>
        <v>625.5</v>
      </c>
      <c r="BL881" s="71">
        <f>IFERROR(__xludf.DUMMYFUNCTION("""COMPUTED_VALUE"""),100.08)</f>
        <v>100.08</v>
      </c>
      <c r="BM881" s="71">
        <f>IFERROR(__xludf.DUMMYFUNCTION("""COMPUTED_VALUE"""),725.58)</f>
        <v>725.58</v>
      </c>
      <c r="BN881" s="71">
        <f>IFERROR(__xludf.DUMMYFUNCTION("""COMPUTED_VALUE"""),590.75)</f>
        <v>590.75</v>
      </c>
      <c r="BO881" s="71">
        <f>IFERROR(__xludf.DUMMYFUNCTION("""COMPUTED_VALUE"""),94.52)</f>
        <v>94.52</v>
      </c>
      <c r="BP881" s="71">
        <f>IFERROR(__xludf.DUMMYFUNCTION("""COMPUTED_VALUE"""),685.27)</f>
        <v>685.27</v>
      </c>
      <c r="BQ881" s="71">
        <f>IFERROR(__xludf.DUMMYFUNCTION("""COMPUTED_VALUE"""),590.75)</f>
        <v>590.75</v>
      </c>
      <c r="BR881" s="71">
        <f>IFERROR(__xludf.DUMMYFUNCTION("""COMPUTED_VALUE"""),94.52)</f>
        <v>94.52</v>
      </c>
      <c r="BS881" s="71">
        <f>IFERROR(__xludf.DUMMYFUNCTION("""COMPUTED_VALUE"""),685.27)</f>
        <v>685.27</v>
      </c>
      <c r="BT881" s="71">
        <f>IFERROR(__xludf.DUMMYFUNCTION("""COMPUTED_VALUE"""),590.75)</f>
        <v>590.75</v>
      </c>
      <c r="BU881" s="71">
        <f>IFERROR(__xludf.DUMMYFUNCTION("""COMPUTED_VALUE"""),94.52)</f>
        <v>94.52</v>
      </c>
      <c r="BV881" s="71">
        <f>IFERROR(__xludf.DUMMYFUNCTION("""COMPUTED_VALUE"""),685.27)</f>
        <v>685.27</v>
      </c>
    </row>
    <row r="882">
      <c r="A882" s="53"/>
      <c r="B882" s="53">
        <v>3.0</v>
      </c>
      <c r="C882" s="53" t="s">
        <v>36</v>
      </c>
      <c r="D882" s="98" t="s">
        <v>2134</v>
      </c>
      <c r="E882" s="54" t="s">
        <v>38</v>
      </c>
      <c r="F882" s="55" t="s">
        <v>1610</v>
      </c>
      <c r="G882" s="150" t="s">
        <v>2135</v>
      </c>
      <c r="H882" s="55"/>
      <c r="I882" s="54">
        <f t="shared" si="24"/>
        <v>0</v>
      </c>
      <c r="J882" s="56"/>
      <c r="K882" s="57"/>
      <c r="L882" s="76"/>
      <c r="M882" s="59"/>
      <c r="N882" s="60"/>
      <c r="O882" s="61">
        <v>10012.0</v>
      </c>
      <c r="P882" s="62">
        <v>10812.960000000001</v>
      </c>
      <c r="Q882" s="63">
        <v>10812.960000000001</v>
      </c>
      <c r="R882" s="64">
        <v>11922.0</v>
      </c>
      <c r="S882" s="112">
        <v>12518.0</v>
      </c>
      <c r="T882" s="65">
        <f t="shared" si="2"/>
        <v>2002.88</v>
      </c>
      <c r="U882" s="65">
        <f t="shared" si="3"/>
        <v>14520.88</v>
      </c>
      <c r="V882" s="66">
        <f t="shared" si="4"/>
        <v>0.04999161215</v>
      </c>
      <c r="W882" s="67">
        <f t="shared" si="5"/>
        <v>11892.1</v>
      </c>
      <c r="X882" s="67">
        <f t="shared" si="6"/>
        <v>1902.736</v>
      </c>
      <c r="Y882" s="67">
        <f t="shared" si="7"/>
        <v>13794.836</v>
      </c>
      <c r="Z882" s="67">
        <f t="shared" si="8"/>
        <v>11266.2</v>
      </c>
      <c r="AA882" s="67">
        <f t="shared" si="9"/>
        <v>1802.592</v>
      </c>
      <c r="AB882" s="67">
        <f t="shared" si="10"/>
        <v>13068.792</v>
      </c>
      <c r="AC882" s="67">
        <f t="shared" si="11"/>
        <v>11266.2</v>
      </c>
      <c r="AD882" s="67">
        <f t="shared" si="12"/>
        <v>1802.592</v>
      </c>
      <c r="AE882" s="67">
        <f t="shared" si="13"/>
        <v>13068.792</v>
      </c>
      <c r="AF882" s="67">
        <f t="shared" si="33"/>
        <v>11266.2</v>
      </c>
      <c r="AG882" s="67">
        <f t="shared" si="15"/>
        <v>1802.592</v>
      </c>
      <c r="AH882" s="67">
        <f t="shared" si="16"/>
        <v>13068.792</v>
      </c>
      <c r="AI882" s="67">
        <f t="shared" si="17"/>
        <v>11266.2</v>
      </c>
      <c r="AJ882" s="68">
        <f t="shared" si="31"/>
        <v>1802.592</v>
      </c>
      <c r="AK882" s="68">
        <f t="shared" si="32"/>
        <v>13068.792</v>
      </c>
      <c r="AL882" s="70">
        <f>IFERROR(__xludf.DUMMYFUNCTION("""COMPUTED_VALUE"""),1.0)</f>
        <v>1</v>
      </c>
      <c r="AM882" s="70">
        <f>IFERROR(__xludf.DUMMYFUNCTION("""COMPUTED_VALUE"""),2.0)</f>
        <v>2</v>
      </c>
      <c r="AN882" s="71" t="str">
        <f>IFERROR(__xludf.DUMMYFUNCTION("""COMPUTED_VALUE""")," C")</f>
        <v>C</v>
      </c>
      <c r="AO882" s="71" t="str">
        <f>IFERROR(__xludf.DUMMYFUNCTION("""COMPUTED_VALUE""")," PP10")</f>
        <v>PP10</v>
      </c>
      <c r="AP882" s="71" t="str">
        <f>IFERROR(__xludf.DUMMYFUNCTION("""COMPUTED_VALUE""")," PZA")</f>
        <v>PZA</v>
      </c>
      <c r="AQ882" s="71" t="str">
        <f>IFERROR(__xludf.DUMMYFUNCTION("""COMPUTED_VALUE""")," REF")</f>
        <v>REF</v>
      </c>
      <c r="AR882" s="71" t="str">
        <f>IFERROR(__xludf.DUMMYFUNCTION("""COMPUTED_VALUE""")," PAPEL GRADO ALIMENTICIO PARA 2 KG 21GR/M2 1425 HOJAS")</f>
        <v>PAPEL GRADO ALIMENTICIO PARA 2 KG 21GR/M2 1425 HOJAS</v>
      </c>
      <c r="AS882" s="71" t="str">
        <f>IFERROR(__xludf.DUMMYFUNCTION("""COMPUTED_VALUE""")," PAPEL GA P/2KG 21 GR/M2 1425 HOJAS")</f>
        <v>PAPEL GA P/2KG 21 GR/M2 1425 HOJAS</v>
      </c>
      <c r="AT882" s="71">
        <f>IFERROR(__xludf.DUMMYFUNCTION("""COMPUTED_VALUE"""),34.0)</f>
        <v>34</v>
      </c>
      <c r="AU882" s="71"/>
      <c r="AV882" s="71"/>
      <c r="AW882" s="71"/>
      <c r="AX882" s="71"/>
      <c r="AY882" s="71"/>
      <c r="AZ882" s="71"/>
      <c r="BA882" s="71">
        <f>IFERROR(__xludf.DUMMYFUNCTION("""COMPUTED_VALUE"""),742.5)</f>
        <v>742.5</v>
      </c>
      <c r="BB882" s="71">
        <f>IFERROR(__xludf.DUMMYFUNCTION("""COMPUTED_VALUE"""),742.5)</f>
        <v>742.5</v>
      </c>
      <c r="BC882" s="71">
        <f>IFERROR(__xludf.DUMMYFUNCTION("""COMPUTED_VALUE"""),781.0)</f>
        <v>781</v>
      </c>
      <c r="BD882" s="71">
        <f>IFERROR(__xludf.DUMMYFUNCTION("""COMPUTED_VALUE"""),820.0)</f>
        <v>820</v>
      </c>
      <c r="BE882" s="71">
        <f>IFERROR(__xludf.DUMMYFUNCTION("""COMPUTED_VALUE"""),131.2)</f>
        <v>131.2</v>
      </c>
      <c r="BF882" s="71">
        <f>IFERROR(__xludf.DUMMYFUNCTION("""COMPUTED_VALUE"""),951.2)</f>
        <v>951.2</v>
      </c>
      <c r="BG882" s="71">
        <f>IFERROR(__xludf.DUMMYFUNCTION("""COMPUTED_VALUE"""),0.0499359795134443)</f>
        <v>0.04993597951</v>
      </c>
      <c r="BH882" s="71">
        <f>IFERROR(__xludf.DUMMYFUNCTION("""COMPUTED_VALUE"""),779.0)</f>
        <v>779</v>
      </c>
      <c r="BI882" s="71">
        <f>IFERROR(__xludf.DUMMYFUNCTION("""COMPUTED_VALUE"""),124.64)</f>
        <v>124.64</v>
      </c>
      <c r="BJ882" s="71">
        <f>IFERROR(__xludf.DUMMYFUNCTION("""COMPUTED_VALUE"""),903.64)</f>
        <v>903.64</v>
      </c>
      <c r="BK882" s="71">
        <f>IFERROR(__xludf.DUMMYFUNCTION("""COMPUTED_VALUE"""),738.0)</f>
        <v>738</v>
      </c>
      <c r="BL882" s="71">
        <f>IFERROR(__xludf.DUMMYFUNCTION("""COMPUTED_VALUE"""),118.08)</f>
        <v>118.08</v>
      </c>
      <c r="BM882" s="71">
        <f>IFERROR(__xludf.DUMMYFUNCTION("""COMPUTED_VALUE"""),856.08)</f>
        <v>856.08</v>
      </c>
      <c r="BN882" s="71">
        <f>IFERROR(__xludf.DUMMYFUNCTION("""COMPUTED_VALUE"""),697.0)</f>
        <v>697</v>
      </c>
      <c r="BO882" s="71">
        <f>IFERROR(__xludf.DUMMYFUNCTION("""COMPUTED_VALUE"""),111.52)</f>
        <v>111.52</v>
      </c>
      <c r="BP882" s="71">
        <f>IFERROR(__xludf.DUMMYFUNCTION("""COMPUTED_VALUE"""),808.52)</f>
        <v>808.52</v>
      </c>
      <c r="BQ882" s="71">
        <f>IFERROR(__xludf.DUMMYFUNCTION("""COMPUTED_VALUE"""),697.0)</f>
        <v>697</v>
      </c>
      <c r="BR882" s="71">
        <f>IFERROR(__xludf.DUMMYFUNCTION("""COMPUTED_VALUE"""),111.52)</f>
        <v>111.52</v>
      </c>
      <c r="BS882" s="71">
        <f>IFERROR(__xludf.DUMMYFUNCTION("""COMPUTED_VALUE"""),808.52)</f>
        <v>808.52</v>
      </c>
      <c r="BT882" s="71">
        <f>IFERROR(__xludf.DUMMYFUNCTION("""COMPUTED_VALUE"""),697.0)</f>
        <v>697</v>
      </c>
      <c r="BU882" s="71">
        <f>IFERROR(__xludf.DUMMYFUNCTION("""COMPUTED_VALUE"""),111.52)</f>
        <v>111.52</v>
      </c>
      <c r="BV882" s="71">
        <f>IFERROR(__xludf.DUMMYFUNCTION("""COMPUTED_VALUE"""),808.52)</f>
        <v>808.52</v>
      </c>
    </row>
    <row r="883">
      <c r="A883" s="53"/>
      <c r="B883" s="53">
        <v>3.0</v>
      </c>
      <c r="C883" s="53" t="s">
        <v>36</v>
      </c>
      <c r="D883" s="98" t="s">
        <v>2136</v>
      </c>
      <c r="E883" s="54" t="s">
        <v>38</v>
      </c>
      <c r="F883" s="55" t="s">
        <v>1610</v>
      </c>
      <c r="G883" s="84" t="s">
        <v>2137</v>
      </c>
      <c r="H883" s="55"/>
      <c r="I883" s="54">
        <f t="shared" si="24"/>
        <v>0</v>
      </c>
      <c r="J883" s="56"/>
      <c r="K883" s="57"/>
      <c r="L883" s="76"/>
      <c r="M883" s="59"/>
      <c r="N883" s="60"/>
      <c r="O883" s="61">
        <v>10898.0</v>
      </c>
      <c r="P883" s="62">
        <v>11769.84</v>
      </c>
      <c r="Q883" s="63">
        <v>11769.84</v>
      </c>
      <c r="R883" s="64">
        <v>12977.0</v>
      </c>
      <c r="S883" s="112">
        <v>13626.0</v>
      </c>
      <c r="T883" s="65">
        <f t="shared" si="2"/>
        <v>2180.16</v>
      </c>
      <c r="U883" s="65">
        <f t="shared" si="3"/>
        <v>15806.16</v>
      </c>
      <c r="V883" s="66">
        <f t="shared" si="4"/>
        <v>0.05001155891</v>
      </c>
      <c r="W883" s="67">
        <f t="shared" si="5"/>
        <v>12944.7</v>
      </c>
      <c r="X883" s="67">
        <f t="shared" si="6"/>
        <v>2071.152</v>
      </c>
      <c r="Y883" s="67">
        <f t="shared" si="7"/>
        <v>15015.852</v>
      </c>
      <c r="Z883" s="67">
        <f t="shared" si="8"/>
        <v>12263.4</v>
      </c>
      <c r="AA883" s="67">
        <f t="shared" si="9"/>
        <v>1962.144</v>
      </c>
      <c r="AB883" s="67">
        <f t="shared" si="10"/>
        <v>14225.544</v>
      </c>
      <c r="AC883" s="67">
        <f t="shared" si="11"/>
        <v>12263.4</v>
      </c>
      <c r="AD883" s="67">
        <f t="shared" si="12"/>
        <v>1962.144</v>
      </c>
      <c r="AE883" s="67">
        <f t="shared" si="13"/>
        <v>14225.544</v>
      </c>
      <c r="AF883" s="67">
        <f t="shared" si="33"/>
        <v>12263.4</v>
      </c>
      <c r="AG883" s="67">
        <f t="shared" si="15"/>
        <v>1962.144</v>
      </c>
      <c r="AH883" s="67">
        <f t="shared" si="16"/>
        <v>14225.544</v>
      </c>
      <c r="AI883" s="67">
        <f t="shared" si="17"/>
        <v>12263.4</v>
      </c>
      <c r="AJ883" s="68">
        <f t="shared" si="31"/>
        <v>1962.144</v>
      </c>
      <c r="AK883" s="68">
        <f t="shared" si="32"/>
        <v>14225.544</v>
      </c>
      <c r="AL883" s="70">
        <f>IFERROR(__xludf.DUMMYFUNCTION("""COMPUTED_VALUE"""),1.0)</f>
        <v>1</v>
      </c>
      <c r="AM883" s="70">
        <f>IFERROR(__xludf.DUMMYFUNCTION("""COMPUTED_VALUE"""),3.0)</f>
        <v>3</v>
      </c>
      <c r="AN883" s="71" t="str">
        <f>IFERROR(__xludf.DUMMYFUNCTION("""COMPUTED_VALUE""")," C")</f>
        <v>C</v>
      </c>
      <c r="AO883" s="71" t="str">
        <f>IFERROR(__xludf.DUMMYFUNCTION("""COMPUTED_VALUE""")," PP02")</f>
        <v>PP02</v>
      </c>
      <c r="AP883" s="71" t="str">
        <f>IFERROR(__xludf.DUMMYFUNCTION("""COMPUTED_VALUE""")," PZA")</f>
        <v>PZA</v>
      </c>
      <c r="AQ883" s="71" t="str">
        <f>IFERROR(__xludf.DUMMYFUNCTION("""COMPUTED_VALUE""")," REF")</f>
        <v>REF</v>
      </c>
      <c r="AR883" s="71" t="str">
        <f>IFERROR(__xludf.DUMMYFUNCTION("""COMPUTED_VALUE""")," PAPEL GRADO ALIMENTICIO PARA 2 KG 28GR/M2 1500 HOJAS")</f>
        <v>PAPEL GRADO ALIMENTICIO PARA 2 KG 28GR/M2 1500 HOJAS</v>
      </c>
      <c r="AS883" s="71" t="str">
        <f>IFERROR(__xludf.DUMMYFUNCTION("""COMPUTED_VALUE""")," PAPEL GA P/2KG 28 GR/M2 1500 HOJAS")</f>
        <v>PAPEL GA P/2KG 28 GR/M2 1500 HOJAS</v>
      </c>
      <c r="AT883" s="71">
        <f>IFERROR(__xludf.DUMMYFUNCTION("""COMPUTED_VALUE"""),34.0)</f>
        <v>34</v>
      </c>
      <c r="AU883" s="71"/>
      <c r="AV883" s="71"/>
      <c r="AW883" s="71" t="str">
        <f>IFERROR(__xludf.DUMMYFUNCTION("""COMPUTED_VALUE""")," dar de baja")</f>
        <v>dar de baja</v>
      </c>
      <c r="AX883" s="71"/>
      <c r="AY883" s="71">
        <f>IFERROR(__xludf.DUMMYFUNCTION("""COMPUTED_VALUE"""),961.0)</f>
        <v>961</v>
      </c>
      <c r="AZ883" s="71">
        <f>IFERROR(__xludf.DUMMYFUNCTION("""COMPUTED_VALUE"""),1037.0)</f>
        <v>1037</v>
      </c>
      <c r="BA883" s="71">
        <f>IFERROR(__xludf.DUMMYFUNCTION("""COMPUTED_VALUE"""),1119.96)</f>
        <v>1119.96</v>
      </c>
      <c r="BB883" s="71">
        <f>IFERROR(__xludf.DUMMYFUNCTION("""COMPUTED_VALUE"""),1119.96)</f>
        <v>1119.96</v>
      </c>
      <c r="BC883" s="71">
        <f>IFERROR(__xludf.DUMMYFUNCTION("""COMPUTED_VALUE"""),1248.0)</f>
        <v>1248</v>
      </c>
      <c r="BD883" s="71">
        <f>IFERROR(__xludf.DUMMYFUNCTION("""COMPUTED_VALUE"""),1310.0)</f>
        <v>1310</v>
      </c>
      <c r="BE883" s="71">
        <f>IFERROR(__xludf.DUMMYFUNCTION("""COMPUTED_VALUE"""),209.6)</f>
        <v>209.6</v>
      </c>
      <c r="BF883" s="71">
        <f>IFERROR(__xludf.DUMMYFUNCTION("""COMPUTED_VALUE"""),1519.6)</f>
        <v>1519.6</v>
      </c>
      <c r="BG883" s="71">
        <f>IFERROR(__xludf.DUMMYFUNCTION("""COMPUTED_VALUE"""),0.049679487179487176)</f>
        <v>0.04967948718</v>
      </c>
      <c r="BH883" s="71">
        <f>IFERROR(__xludf.DUMMYFUNCTION("""COMPUTED_VALUE"""),1244.5)</f>
        <v>1244.5</v>
      </c>
      <c r="BI883" s="71">
        <f>IFERROR(__xludf.DUMMYFUNCTION("""COMPUTED_VALUE"""),199.12)</f>
        <v>199.12</v>
      </c>
      <c r="BJ883" s="71">
        <f>IFERROR(__xludf.DUMMYFUNCTION("""COMPUTED_VALUE"""),1443.62)</f>
        <v>1443.62</v>
      </c>
      <c r="BK883" s="71">
        <f>IFERROR(__xludf.DUMMYFUNCTION("""COMPUTED_VALUE"""),1179.0)</f>
        <v>1179</v>
      </c>
      <c r="BL883" s="71">
        <f>IFERROR(__xludf.DUMMYFUNCTION("""COMPUTED_VALUE"""),188.64000000000001)</f>
        <v>188.64</v>
      </c>
      <c r="BM883" s="71">
        <f>IFERROR(__xludf.DUMMYFUNCTION("""COMPUTED_VALUE"""),1367.64)</f>
        <v>1367.64</v>
      </c>
      <c r="BN883" s="71">
        <f>IFERROR(__xludf.DUMMYFUNCTION("""COMPUTED_VALUE"""),1179.0)</f>
        <v>1179</v>
      </c>
      <c r="BO883" s="71">
        <f>IFERROR(__xludf.DUMMYFUNCTION("""COMPUTED_VALUE"""),188.64000000000001)</f>
        <v>188.64</v>
      </c>
      <c r="BP883" s="71">
        <f>IFERROR(__xludf.DUMMYFUNCTION("""COMPUTED_VALUE"""),1367.64)</f>
        <v>1367.64</v>
      </c>
      <c r="BQ883" s="71">
        <f>IFERROR(__xludf.DUMMYFUNCTION("""COMPUTED_VALUE"""),1179.0)</f>
        <v>1179</v>
      </c>
      <c r="BR883" s="71">
        <f>IFERROR(__xludf.DUMMYFUNCTION("""COMPUTED_VALUE"""),188.64000000000001)</f>
        <v>188.64</v>
      </c>
      <c r="BS883" s="71">
        <f>IFERROR(__xludf.DUMMYFUNCTION("""COMPUTED_VALUE"""),1367.64)</f>
        <v>1367.64</v>
      </c>
      <c r="BT883" s="71">
        <f>IFERROR(__xludf.DUMMYFUNCTION("""COMPUTED_VALUE"""),1179.0)</f>
        <v>1179</v>
      </c>
      <c r="BU883" s="71">
        <f>IFERROR(__xludf.DUMMYFUNCTION("""COMPUTED_VALUE"""),188.64000000000001)</f>
        <v>188.64</v>
      </c>
      <c r="BV883" s="71">
        <f>IFERROR(__xludf.DUMMYFUNCTION("""COMPUTED_VALUE"""),1367.64)</f>
        <v>1367.64</v>
      </c>
    </row>
    <row r="884">
      <c r="A884" s="53"/>
      <c r="B884" s="53">
        <v>3.0</v>
      </c>
      <c r="C884" s="53" t="s">
        <v>36</v>
      </c>
      <c r="D884" s="85" t="s">
        <v>2138</v>
      </c>
      <c r="E884" s="54" t="s">
        <v>38</v>
      </c>
      <c r="F884" s="55" t="s">
        <v>187</v>
      </c>
      <c r="G884" s="147" t="s">
        <v>2139</v>
      </c>
      <c r="H884" s="55"/>
      <c r="I884" s="54">
        <f t="shared" si="24"/>
        <v>0</v>
      </c>
      <c r="J884" s="56"/>
      <c r="K884" s="57"/>
      <c r="L884" s="76"/>
      <c r="M884" s="59"/>
      <c r="N884" s="60"/>
      <c r="O884" s="61">
        <v>19147.0</v>
      </c>
      <c r="P884" s="62">
        <v>20678.760000000002</v>
      </c>
      <c r="Q884" s="63">
        <v>20678.760000000002</v>
      </c>
      <c r="R884" s="64">
        <v>22799.0</v>
      </c>
      <c r="S884" s="107">
        <v>23939.0</v>
      </c>
      <c r="T884" s="65">
        <f t="shared" si="2"/>
        <v>3830.24</v>
      </c>
      <c r="U884" s="65">
        <f t="shared" si="3"/>
        <v>27769.24</v>
      </c>
      <c r="V884" s="66">
        <f t="shared" si="4"/>
        <v>0.05000219308</v>
      </c>
      <c r="W884" s="67">
        <f t="shared" si="5"/>
        <v>22742.05</v>
      </c>
      <c r="X884" s="67">
        <f t="shared" si="6"/>
        <v>3638.728</v>
      </c>
      <c r="Y884" s="67">
        <f t="shared" si="7"/>
        <v>26380.778</v>
      </c>
      <c r="Z884" s="67">
        <f t="shared" si="8"/>
        <v>21545.1</v>
      </c>
      <c r="AA884" s="67">
        <f t="shared" si="9"/>
        <v>3447.216</v>
      </c>
      <c r="AB884" s="67">
        <f t="shared" si="10"/>
        <v>24992.316</v>
      </c>
      <c r="AC884" s="67">
        <f t="shared" si="11"/>
        <v>21545.1</v>
      </c>
      <c r="AD884" s="67">
        <f t="shared" si="12"/>
        <v>3447.216</v>
      </c>
      <c r="AE884" s="67">
        <f t="shared" si="13"/>
        <v>24992.316</v>
      </c>
      <c r="AF884" s="67">
        <f t="shared" si="33"/>
        <v>21545.1</v>
      </c>
      <c r="AG884" s="67">
        <f t="shared" si="15"/>
        <v>3447.216</v>
      </c>
      <c r="AH884" s="67">
        <f t="shared" si="16"/>
        <v>24992.316</v>
      </c>
      <c r="AI884" s="67">
        <f t="shared" si="17"/>
        <v>21545.1</v>
      </c>
      <c r="AJ884" s="68">
        <f t="shared" si="31"/>
        <v>3447.216</v>
      </c>
      <c r="AK884" s="68">
        <f t="shared" si="32"/>
        <v>24992.316</v>
      </c>
      <c r="AL884" s="70">
        <f>IFERROR(__xludf.DUMMYFUNCTION("""COMPUTED_VALUE"""),1.0)</f>
        <v>1</v>
      </c>
      <c r="AM884" s="70">
        <f>IFERROR(__xludf.DUMMYFUNCTION("""COMPUTED_VALUE"""),3.0)</f>
        <v>3</v>
      </c>
      <c r="AN884" s="71" t="str">
        <f>IFERROR(__xludf.DUMMYFUNCTION("""COMPUTED_VALUE""")," C")</f>
        <v>C</v>
      </c>
      <c r="AO884" s="71" t="str">
        <f>IFERROR(__xludf.DUMMYFUNCTION("""COMPUTED_VALUE""")," PP05")</f>
        <v>PP05</v>
      </c>
      <c r="AP884" s="71" t="str">
        <f>IFERROR(__xludf.DUMMYFUNCTION("""COMPUTED_VALUE""")," PZA")</f>
        <v>PZA</v>
      </c>
      <c r="AQ884" s="71" t="str">
        <f>IFERROR(__xludf.DUMMYFUNCTION("""COMPUTED_VALUE""")," REF")</f>
        <v>REF</v>
      </c>
      <c r="AR884" s="71" t="str">
        <f>IFERROR(__xludf.DUMMYFUNCTION("""COMPUTED_VALUE""")," PAPEL GRADO ALIMENTICO PARA 1 KG 26GR/M2 (PAQUETE 12 KG)")</f>
        <v>PAPEL GRADO ALIMENTICO PARA 1 KG 26GR/M2 (PAQUETE 12 KG)</v>
      </c>
      <c r="AS884" s="71" t="str">
        <f>IFERROR(__xludf.DUMMYFUNCTION("""COMPUTED_VALUE""")," PAPEL GA P/1KG 26GR/M2 PAQ 12KG")</f>
        <v>PAPEL GA P/1KG 26GR/M2 PAQ 12KG</v>
      </c>
      <c r="AT884" s="71">
        <f>IFERROR(__xludf.DUMMYFUNCTION("""COMPUTED_VALUE"""),31.0)</f>
        <v>31</v>
      </c>
      <c r="AU884" s="71"/>
      <c r="AV884" s="71"/>
      <c r="AW884" s="71" t="str">
        <f>IFERROR(__xludf.DUMMYFUNCTION("""COMPUTED_VALUE""")," dar de baja")</f>
        <v>dar de baja</v>
      </c>
      <c r="AX884" s="71"/>
      <c r="AY884" s="71">
        <f>IFERROR(__xludf.DUMMYFUNCTION("""COMPUTED_VALUE"""),748.0)</f>
        <v>748</v>
      </c>
      <c r="AZ884" s="71">
        <f>IFERROR(__xludf.DUMMYFUNCTION("""COMPUTED_VALUE"""),807.0)</f>
        <v>807</v>
      </c>
      <c r="BA884" s="71">
        <f>IFERROR(__xludf.DUMMYFUNCTION("""COMPUTED_VALUE"""),871.5600000000001)</f>
        <v>871.56</v>
      </c>
      <c r="BB884" s="71">
        <f>IFERROR(__xludf.DUMMYFUNCTION("""COMPUTED_VALUE"""),871.5600000000001)</f>
        <v>871.56</v>
      </c>
      <c r="BC884" s="71">
        <f>IFERROR(__xludf.DUMMYFUNCTION("""COMPUTED_VALUE"""),971.0)</f>
        <v>971</v>
      </c>
      <c r="BD884" s="71">
        <f>IFERROR(__xludf.DUMMYFUNCTION("""COMPUTED_VALUE"""),1020.0)</f>
        <v>1020</v>
      </c>
      <c r="BE884" s="71">
        <f>IFERROR(__xludf.DUMMYFUNCTION("""COMPUTED_VALUE"""),163.20000000000002)</f>
        <v>163.2</v>
      </c>
      <c r="BF884" s="71">
        <f>IFERROR(__xludf.DUMMYFUNCTION("""COMPUTED_VALUE"""),1183.2)</f>
        <v>1183.2</v>
      </c>
      <c r="BG884" s="71">
        <f>IFERROR(__xludf.DUMMYFUNCTION("""COMPUTED_VALUE"""),0.05046343975283213)</f>
        <v>0.05046343975</v>
      </c>
      <c r="BH884" s="71">
        <f>IFERROR(__xludf.DUMMYFUNCTION("""COMPUTED_VALUE"""),969.0)</f>
        <v>969</v>
      </c>
      <c r="BI884" s="71">
        <f>IFERROR(__xludf.DUMMYFUNCTION("""COMPUTED_VALUE"""),155.04)</f>
        <v>155.04</v>
      </c>
      <c r="BJ884" s="71">
        <f>IFERROR(__xludf.DUMMYFUNCTION("""COMPUTED_VALUE"""),1124.04)</f>
        <v>1124.04</v>
      </c>
      <c r="BK884" s="71">
        <f>IFERROR(__xludf.DUMMYFUNCTION("""COMPUTED_VALUE"""),918.0)</f>
        <v>918</v>
      </c>
      <c r="BL884" s="71">
        <f>IFERROR(__xludf.DUMMYFUNCTION("""COMPUTED_VALUE"""),146.88)</f>
        <v>146.88</v>
      </c>
      <c r="BM884" s="71">
        <f>IFERROR(__xludf.DUMMYFUNCTION("""COMPUTED_VALUE"""),1064.88)</f>
        <v>1064.88</v>
      </c>
      <c r="BN884" s="71">
        <f>IFERROR(__xludf.DUMMYFUNCTION("""COMPUTED_VALUE"""),918.0)</f>
        <v>918</v>
      </c>
      <c r="BO884" s="71">
        <f>IFERROR(__xludf.DUMMYFUNCTION("""COMPUTED_VALUE"""),146.88)</f>
        <v>146.88</v>
      </c>
      <c r="BP884" s="71">
        <f>IFERROR(__xludf.DUMMYFUNCTION("""COMPUTED_VALUE"""),1064.88)</f>
        <v>1064.88</v>
      </c>
      <c r="BQ884" s="71">
        <f>IFERROR(__xludf.DUMMYFUNCTION("""COMPUTED_VALUE"""),918.0)</f>
        <v>918</v>
      </c>
      <c r="BR884" s="71">
        <f>IFERROR(__xludf.DUMMYFUNCTION("""COMPUTED_VALUE"""),146.88)</f>
        <v>146.88</v>
      </c>
      <c r="BS884" s="71">
        <f>IFERROR(__xludf.DUMMYFUNCTION("""COMPUTED_VALUE"""),1064.88)</f>
        <v>1064.88</v>
      </c>
      <c r="BT884" s="71">
        <f>IFERROR(__xludf.DUMMYFUNCTION("""COMPUTED_VALUE"""),918.0)</f>
        <v>918</v>
      </c>
      <c r="BU884" s="71">
        <f>IFERROR(__xludf.DUMMYFUNCTION("""COMPUTED_VALUE"""),146.88)</f>
        <v>146.88</v>
      </c>
      <c r="BV884" s="71">
        <f>IFERROR(__xludf.DUMMYFUNCTION("""COMPUTED_VALUE"""),1064.88)</f>
        <v>1064.88</v>
      </c>
    </row>
    <row r="885">
      <c r="A885" s="53"/>
      <c r="B885" s="53">
        <v>3.0</v>
      </c>
      <c r="C885" s="53" t="s">
        <v>36</v>
      </c>
      <c r="D885" s="85" t="s">
        <v>2140</v>
      </c>
      <c r="E885" s="54" t="s">
        <v>38</v>
      </c>
      <c r="F885" s="55" t="s">
        <v>187</v>
      </c>
      <c r="G885" s="147" t="s">
        <v>2141</v>
      </c>
      <c r="H885" s="55"/>
      <c r="I885" s="54">
        <f t="shared" si="24"/>
        <v>0</v>
      </c>
      <c r="J885" s="56"/>
      <c r="K885" s="57"/>
      <c r="L885" s="76"/>
      <c r="M885" s="59"/>
      <c r="N885" s="60"/>
      <c r="O885" s="61">
        <v>16371.0</v>
      </c>
      <c r="P885" s="62">
        <v>17680.68</v>
      </c>
      <c r="Q885" s="63">
        <v>17680.68</v>
      </c>
      <c r="R885" s="64">
        <v>19494.0</v>
      </c>
      <c r="S885" s="107">
        <v>20469.0</v>
      </c>
      <c r="T885" s="65">
        <f t="shared" si="2"/>
        <v>3275.04</v>
      </c>
      <c r="U885" s="65">
        <f t="shared" si="3"/>
        <v>23744.04</v>
      </c>
      <c r="V885" s="66">
        <f t="shared" si="4"/>
        <v>0.05001538935</v>
      </c>
      <c r="W885" s="67">
        <f t="shared" si="5"/>
        <v>19445.55</v>
      </c>
      <c r="X885" s="67">
        <f t="shared" si="6"/>
        <v>3111.288</v>
      </c>
      <c r="Y885" s="67">
        <f t="shared" si="7"/>
        <v>22556.838</v>
      </c>
      <c r="Z885" s="67">
        <f t="shared" si="8"/>
        <v>18422.1</v>
      </c>
      <c r="AA885" s="67">
        <f t="shared" si="9"/>
        <v>2947.536</v>
      </c>
      <c r="AB885" s="67">
        <f t="shared" si="10"/>
        <v>21369.636</v>
      </c>
      <c r="AC885" s="67">
        <f t="shared" si="11"/>
        <v>18422.1</v>
      </c>
      <c r="AD885" s="67">
        <f t="shared" si="12"/>
        <v>2947.536</v>
      </c>
      <c r="AE885" s="67">
        <f t="shared" si="13"/>
        <v>21369.636</v>
      </c>
      <c r="AF885" s="67">
        <f t="shared" si="33"/>
        <v>18422.1</v>
      </c>
      <c r="AG885" s="67">
        <f t="shared" si="15"/>
        <v>2947.536</v>
      </c>
      <c r="AH885" s="67">
        <f t="shared" si="16"/>
        <v>21369.636</v>
      </c>
      <c r="AI885" s="67">
        <f t="shared" si="17"/>
        <v>18422.1</v>
      </c>
      <c r="AJ885" s="68">
        <f t="shared" si="31"/>
        <v>2947.536</v>
      </c>
      <c r="AK885" s="68">
        <f t="shared" si="32"/>
        <v>21369.636</v>
      </c>
      <c r="AL885" s="70">
        <f>IFERROR(__xludf.DUMMYFUNCTION("""COMPUTED_VALUE"""),1.0)</f>
        <v>1</v>
      </c>
      <c r="AM885" s="70">
        <f>IFERROR(__xludf.DUMMYFUNCTION("""COMPUTED_VALUE"""),3.0)</f>
        <v>3</v>
      </c>
      <c r="AN885" s="71" t="str">
        <f>IFERROR(__xludf.DUMMYFUNCTION("""COMPUTED_VALUE""")," C")</f>
        <v>C</v>
      </c>
      <c r="AO885" s="71" t="str">
        <f>IFERROR(__xludf.DUMMYFUNCTION("""COMPUTED_VALUE""")," PP03")</f>
        <v>PP03</v>
      </c>
      <c r="AP885" s="71" t="str">
        <f>IFERROR(__xludf.DUMMYFUNCTION("""COMPUTED_VALUE""")," PZA")</f>
        <v>PZA</v>
      </c>
      <c r="AQ885" s="71" t="str">
        <f>IFERROR(__xludf.DUMMYFUNCTION("""COMPUTED_VALUE""")," REF")</f>
        <v>REF</v>
      </c>
      <c r="AR885" s="71" t="str">
        <f>IFERROR(__xludf.DUMMYFUNCTION("""COMPUTED_VALUE""")," PAPEL GRADO ALIMENTICO PARA 1 KG 26GR/M2 (PAQUETE 9 KG)")</f>
        <v>PAPEL GRADO ALIMENTICO PARA 1 KG 26GR/M2 (PAQUETE 9 KG)</v>
      </c>
      <c r="AS885" s="71" t="str">
        <f>IFERROR(__xludf.DUMMYFUNCTION("""COMPUTED_VALUE""")," PAPEL GA P/1KG 26GR/M2 PAQ 9KG")</f>
        <v>PAPEL GA P/1KG 26GR/M2 PAQ 9KG</v>
      </c>
      <c r="AT885" s="71">
        <f>IFERROR(__xludf.DUMMYFUNCTION("""COMPUTED_VALUE"""),30.0)</f>
        <v>30</v>
      </c>
      <c r="AU885" s="71"/>
      <c r="AV885" s="71"/>
      <c r="AW885" s="71" t="str">
        <f>IFERROR(__xludf.DUMMYFUNCTION("""COMPUTED_VALUE""")," dar de baja")</f>
        <v>dar de baja</v>
      </c>
      <c r="AX885" s="71"/>
      <c r="AY885" s="71">
        <f>IFERROR(__xludf.DUMMYFUNCTION("""COMPUTED_VALUE"""),569.0)</f>
        <v>569</v>
      </c>
      <c r="AZ885" s="71">
        <f>IFERROR(__xludf.DUMMYFUNCTION("""COMPUTED_VALUE"""),752.0)</f>
        <v>752</v>
      </c>
      <c r="BA885" s="71">
        <f>IFERROR(__xludf.DUMMYFUNCTION("""COMPUTED_VALUE"""),812.1600000000001)</f>
        <v>812.16</v>
      </c>
      <c r="BB885" s="71">
        <f>IFERROR(__xludf.DUMMYFUNCTION("""COMPUTED_VALUE"""),812.1600000000001)</f>
        <v>812.16</v>
      </c>
      <c r="BC885" s="71">
        <f>IFERROR(__xludf.DUMMYFUNCTION("""COMPUTED_VALUE"""),905.0)</f>
        <v>905</v>
      </c>
      <c r="BD885" s="71">
        <f>IFERROR(__xludf.DUMMYFUNCTION("""COMPUTED_VALUE"""),950.0)</f>
        <v>950</v>
      </c>
      <c r="BE885" s="71">
        <f>IFERROR(__xludf.DUMMYFUNCTION("""COMPUTED_VALUE"""),152.0)</f>
        <v>152</v>
      </c>
      <c r="BF885" s="71">
        <f>IFERROR(__xludf.DUMMYFUNCTION("""COMPUTED_VALUE"""),1102.0)</f>
        <v>1102</v>
      </c>
      <c r="BG885" s="71">
        <f>IFERROR(__xludf.DUMMYFUNCTION("""COMPUTED_VALUE"""),0.049723756906077346)</f>
        <v>0.04972375691</v>
      </c>
      <c r="BH885" s="71">
        <f>IFERROR(__xludf.DUMMYFUNCTION("""COMPUTED_VALUE"""),902.5)</f>
        <v>902.5</v>
      </c>
      <c r="BI885" s="71">
        <f>IFERROR(__xludf.DUMMYFUNCTION("""COMPUTED_VALUE"""),144.4)</f>
        <v>144.4</v>
      </c>
      <c r="BJ885" s="71">
        <f>IFERROR(__xludf.DUMMYFUNCTION("""COMPUTED_VALUE"""),1046.9)</f>
        <v>1046.9</v>
      </c>
      <c r="BK885" s="71">
        <f>IFERROR(__xludf.DUMMYFUNCTION("""COMPUTED_VALUE"""),855.0)</f>
        <v>855</v>
      </c>
      <c r="BL885" s="71">
        <f>IFERROR(__xludf.DUMMYFUNCTION("""COMPUTED_VALUE"""),136.8)</f>
        <v>136.8</v>
      </c>
      <c r="BM885" s="71">
        <f>IFERROR(__xludf.DUMMYFUNCTION("""COMPUTED_VALUE"""),991.8)</f>
        <v>991.8</v>
      </c>
      <c r="BN885" s="71">
        <f>IFERROR(__xludf.DUMMYFUNCTION("""COMPUTED_VALUE"""),855.0)</f>
        <v>855</v>
      </c>
      <c r="BO885" s="71">
        <f>IFERROR(__xludf.DUMMYFUNCTION("""COMPUTED_VALUE"""),136.8)</f>
        <v>136.8</v>
      </c>
      <c r="BP885" s="71">
        <f>IFERROR(__xludf.DUMMYFUNCTION("""COMPUTED_VALUE"""),991.8)</f>
        <v>991.8</v>
      </c>
      <c r="BQ885" s="71">
        <f>IFERROR(__xludf.DUMMYFUNCTION("""COMPUTED_VALUE"""),855.0)</f>
        <v>855</v>
      </c>
      <c r="BR885" s="71">
        <f>IFERROR(__xludf.DUMMYFUNCTION("""COMPUTED_VALUE"""),136.8)</f>
        <v>136.8</v>
      </c>
      <c r="BS885" s="71">
        <f>IFERROR(__xludf.DUMMYFUNCTION("""COMPUTED_VALUE"""),991.8)</f>
        <v>991.8</v>
      </c>
      <c r="BT885" s="71">
        <f>IFERROR(__xludf.DUMMYFUNCTION("""COMPUTED_VALUE"""),855.0)</f>
        <v>855</v>
      </c>
      <c r="BU885" s="71">
        <f>IFERROR(__xludf.DUMMYFUNCTION("""COMPUTED_VALUE"""),136.8)</f>
        <v>136.8</v>
      </c>
      <c r="BV885" s="71">
        <f>IFERROR(__xludf.DUMMYFUNCTION("""COMPUTED_VALUE"""),991.8)</f>
        <v>991.8</v>
      </c>
    </row>
    <row r="886">
      <c r="A886" s="53"/>
      <c r="B886" s="53">
        <v>3.0</v>
      </c>
      <c r="C886" s="53" t="s">
        <v>36</v>
      </c>
      <c r="D886" s="98" t="s">
        <v>2142</v>
      </c>
      <c r="E886" s="54" t="s">
        <v>38</v>
      </c>
      <c r="F886" s="55" t="s">
        <v>187</v>
      </c>
      <c r="G886" s="117" t="s">
        <v>2143</v>
      </c>
      <c r="H886" s="55"/>
      <c r="I886" s="54">
        <f t="shared" si="24"/>
        <v>0</v>
      </c>
      <c r="J886" s="56"/>
      <c r="K886" s="57"/>
      <c r="L886" s="76"/>
      <c r="M886" s="59"/>
      <c r="N886" s="60"/>
      <c r="O886" s="61">
        <v>19147.0</v>
      </c>
      <c r="P886" s="62">
        <v>20678.760000000002</v>
      </c>
      <c r="Q886" s="63">
        <v>20678.760000000002</v>
      </c>
      <c r="R886" s="64">
        <v>22799.0</v>
      </c>
      <c r="S886" s="107">
        <v>23939.0</v>
      </c>
      <c r="T886" s="65">
        <f t="shared" si="2"/>
        <v>3830.24</v>
      </c>
      <c r="U886" s="65">
        <f t="shared" si="3"/>
        <v>27769.24</v>
      </c>
      <c r="V886" s="66">
        <f t="shared" si="4"/>
        <v>0.05000219308</v>
      </c>
      <c r="W886" s="67">
        <f t="shared" si="5"/>
        <v>22742.05</v>
      </c>
      <c r="X886" s="67">
        <f t="shared" si="6"/>
        <v>3638.728</v>
      </c>
      <c r="Y886" s="67">
        <f t="shared" si="7"/>
        <v>26380.778</v>
      </c>
      <c r="Z886" s="67">
        <f t="shared" si="8"/>
        <v>21545.1</v>
      </c>
      <c r="AA886" s="67">
        <f t="shared" si="9"/>
        <v>3447.216</v>
      </c>
      <c r="AB886" s="67">
        <f t="shared" si="10"/>
        <v>24992.316</v>
      </c>
      <c r="AC886" s="67">
        <f t="shared" si="11"/>
        <v>21545.1</v>
      </c>
      <c r="AD886" s="67">
        <f t="shared" si="12"/>
        <v>3447.216</v>
      </c>
      <c r="AE886" s="67">
        <f t="shared" si="13"/>
        <v>24992.316</v>
      </c>
      <c r="AF886" s="67">
        <f t="shared" si="33"/>
        <v>21545.1</v>
      </c>
      <c r="AG886" s="67">
        <f t="shared" si="15"/>
        <v>3447.216</v>
      </c>
      <c r="AH886" s="67">
        <f t="shared" si="16"/>
        <v>24992.316</v>
      </c>
      <c r="AI886" s="67">
        <f t="shared" si="17"/>
        <v>21545.1</v>
      </c>
      <c r="AJ886" s="68">
        <f t="shared" si="31"/>
        <v>3447.216</v>
      </c>
      <c r="AK886" s="68">
        <f t="shared" si="32"/>
        <v>24992.316</v>
      </c>
      <c r="AL886" s="70">
        <f>IFERROR(__xludf.DUMMYFUNCTION("""COMPUTED_VALUE"""),1.0)</f>
        <v>1</v>
      </c>
      <c r="AM886" s="70">
        <f>IFERROR(__xludf.DUMMYFUNCTION("""COMPUTED_VALUE"""),3.0)</f>
        <v>3</v>
      </c>
      <c r="AN886" s="71" t="str">
        <f>IFERROR(__xludf.DUMMYFUNCTION("""COMPUTED_VALUE""")," C")</f>
        <v>C</v>
      </c>
      <c r="AO886" s="71" t="str">
        <f>IFERROR(__xludf.DUMMYFUNCTION("""COMPUTED_VALUE""")," PP04")</f>
        <v>PP04</v>
      </c>
      <c r="AP886" s="71" t="str">
        <f>IFERROR(__xludf.DUMMYFUNCTION("""COMPUTED_VALUE""")," PZA")</f>
        <v>PZA</v>
      </c>
      <c r="AQ886" s="71" t="str">
        <f>IFERROR(__xludf.DUMMYFUNCTION("""COMPUTED_VALUE""")," REF")</f>
        <v>REF</v>
      </c>
      <c r="AR886" s="71" t="str">
        <f>IFERROR(__xludf.DUMMYFUNCTION("""COMPUTED_VALUE""")," PAPEL GRADO ALIMENTICO PARA 2 KG 26GR (PAQUETE 9 KG)")</f>
        <v>PAPEL GRADO ALIMENTICO PARA 2 KG 26GR (PAQUETE 9 KG)</v>
      </c>
      <c r="AS886" s="71" t="str">
        <f>IFERROR(__xludf.DUMMYFUNCTION("""COMPUTED_VALUE""")," PAPEL GA P/2KG 26GR/M2 PAQ 9KG")</f>
        <v>PAPEL GA P/2KG 26GR/M2 PAQ 9KG</v>
      </c>
      <c r="AT886" s="71">
        <f>IFERROR(__xludf.DUMMYFUNCTION("""COMPUTED_VALUE"""),30.0)</f>
        <v>30</v>
      </c>
      <c r="AU886" s="71"/>
      <c r="AV886" s="71"/>
      <c r="AW886" s="71" t="str">
        <f>IFERROR(__xludf.DUMMYFUNCTION("""COMPUTED_VALUE""")," dar de baja")</f>
        <v>dar de baja</v>
      </c>
      <c r="AX886" s="71"/>
      <c r="AY886" s="71">
        <f>IFERROR(__xludf.DUMMYFUNCTION("""COMPUTED_VALUE"""),569.0)</f>
        <v>569</v>
      </c>
      <c r="AZ886" s="71">
        <f>IFERROR(__xludf.DUMMYFUNCTION("""COMPUTED_VALUE"""),752.0)</f>
        <v>752</v>
      </c>
      <c r="BA886" s="71">
        <f>IFERROR(__xludf.DUMMYFUNCTION("""COMPUTED_VALUE"""),812.1600000000001)</f>
        <v>812.16</v>
      </c>
      <c r="BB886" s="71">
        <f>IFERROR(__xludf.DUMMYFUNCTION("""COMPUTED_VALUE"""),812.1600000000001)</f>
        <v>812.16</v>
      </c>
      <c r="BC886" s="71">
        <f>IFERROR(__xludf.DUMMYFUNCTION("""COMPUTED_VALUE"""),905.0)</f>
        <v>905</v>
      </c>
      <c r="BD886" s="71">
        <f>IFERROR(__xludf.DUMMYFUNCTION("""COMPUTED_VALUE"""),950.0)</f>
        <v>950</v>
      </c>
      <c r="BE886" s="71">
        <f>IFERROR(__xludf.DUMMYFUNCTION("""COMPUTED_VALUE"""),152.0)</f>
        <v>152</v>
      </c>
      <c r="BF886" s="71">
        <f>IFERROR(__xludf.DUMMYFUNCTION("""COMPUTED_VALUE"""),1102.0)</f>
        <v>1102</v>
      </c>
      <c r="BG886" s="71">
        <f>IFERROR(__xludf.DUMMYFUNCTION("""COMPUTED_VALUE"""),0.049723756906077346)</f>
        <v>0.04972375691</v>
      </c>
      <c r="BH886" s="71">
        <f>IFERROR(__xludf.DUMMYFUNCTION("""COMPUTED_VALUE"""),902.5)</f>
        <v>902.5</v>
      </c>
      <c r="BI886" s="71">
        <f>IFERROR(__xludf.DUMMYFUNCTION("""COMPUTED_VALUE"""),144.4)</f>
        <v>144.4</v>
      </c>
      <c r="BJ886" s="71">
        <f>IFERROR(__xludf.DUMMYFUNCTION("""COMPUTED_VALUE"""),1046.9)</f>
        <v>1046.9</v>
      </c>
      <c r="BK886" s="71">
        <f>IFERROR(__xludf.DUMMYFUNCTION("""COMPUTED_VALUE"""),855.0)</f>
        <v>855</v>
      </c>
      <c r="BL886" s="71">
        <f>IFERROR(__xludf.DUMMYFUNCTION("""COMPUTED_VALUE"""),136.8)</f>
        <v>136.8</v>
      </c>
      <c r="BM886" s="71">
        <f>IFERROR(__xludf.DUMMYFUNCTION("""COMPUTED_VALUE"""),991.8)</f>
        <v>991.8</v>
      </c>
      <c r="BN886" s="71">
        <f>IFERROR(__xludf.DUMMYFUNCTION("""COMPUTED_VALUE"""),855.0)</f>
        <v>855</v>
      </c>
      <c r="BO886" s="71">
        <f>IFERROR(__xludf.DUMMYFUNCTION("""COMPUTED_VALUE"""),136.8)</f>
        <v>136.8</v>
      </c>
      <c r="BP886" s="71">
        <f>IFERROR(__xludf.DUMMYFUNCTION("""COMPUTED_VALUE"""),991.8)</f>
        <v>991.8</v>
      </c>
      <c r="BQ886" s="71">
        <f>IFERROR(__xludf.DUMMYFUNCTION("""COMPUTED_VALUE"""),855.0)</f>
        <v>855</v>
      </c>
      <c r="BR886" s="71">
        <f>IFERROR(__xludf.DUMMYFUNCTION("""COMPUTED_VALUE"""),136.8)</f>
        <v>136.8</v>
      </c>
      <c r="BS886" s="71">
        <f>IFERROR(__xludf.DUMMYFUNCTION("""COMPUTED_VALUE"""),991.8)</f>
        <v>991.8</v>
      </c>
      <c r="BT886" s="71">
        <f>IFERROR(__xludf.DUMMYFUNCTION("""COMPUTED_VALUE"""),855.0)</f>
        <v>855</v>
      </c>
      <c r="BU886" s="71">
        <f>IFERROR(__xludf.DUMMYFUNCTION("""COMPUTED_VALUE"""),136.8)</f>
        <v>136.8</v>
      </c>
      <c r="BV886" s="71">
        <f>IFERROR(__xludf.DUMMYFUNCTION("""COMPUTED_VALUE"""),991.8)</f>
        <v>991.8</v>
      </c>
    </row>
    <row r="887">
      <c r="A887" s="53"/>
      <c r="B887" s="53">
        <v>3.0</v>
      </c>
      <c r="C887" s="53" t="s">
        <v>36</v>
      </c>
      <c r="D887" s="98" t="s">
        <v>2144</v>
      </c>
      <c r="E887" s="54" t="s">
        <v>38</v>
      </c>
      <c r="F887" s="55" t="s">
        <v>187</v>
      </c>
      <c r="G887" s="117" t="s">
        <v>2145</v>
      </c>
      <c r="H887" s="55"/>
      <c r="I887" s="54">
        <f t="shared" si="24"/>
        <v>0</v>
      </c>
      <c r="J887" s="56"/>
      <c r="K887" s="57"/>
      <c r="L887" s="76"/>
      <c r="M887" s="59"/>
      <c r="N887" s="60"/>
      <c r="O887" s="61">
        <v>16371.0</v>
      </c>
      <c r="P887" s="62">
        <v>17680.68</v>
      </c>
      <c r="Q887" s="63">
        <v>17680.68</v>
      </c>
      <c r="R887" s="64">
        <v>19494.0</v>
      </c>
      <c r="S887" s="107">
        <v>20469.0</v>
      </c>
      <c r="T887" s="65">
        <f t="shared" si="2"/>
        <v>3275.04</v>
      </c>
      <c r="U887" s="65">
        <f t="shared" si="3"/>
        <v>23744.04</v>
      </c>
      <c r="V887" s="66">
        <f t="shared" si="4"/>
        <v>0.05001538935</v>
      </c>
      <c r="W887" s="67">
        <f t="shared" si="5"/>
        <v>19445.55</v>
      </c>
      <c r="X887" s="67">
        <f t="shared" si="6"/>
        <v>3111.288</v>
      </c>
      <c r="Y887" s="67">
        <f t="shared" si="7"/>
        <v>22556.838</v>
      </c>
      <c r="Z887" s="67">
        <f t="shared" si="8"/>
        <v>18422.1</v>
      </c>
      <c r="AA887" s="67">
        <f t="shared" si="9"/>
        <v>2947.536</v>
      </c>
      <c r="AB887" s="67">
        <f t="shared" si="10"/>
        <v>21369.636</v>
      </c>
      <c r="AC887" s="67">
        <f t="shared" si="11"/>
        <v>18422.1</v>
      </c>
      <c r="AD887" s="67">
        <f t="shared" si="12"/>
        <v>2947.536</v>
      </c>
      <c r="AE887" s="67">
        <f t="shared" si="13"/>
        <v>21369.636</v>
      </c>
      <c r="AF887" s="67">
        <f t="shared" si="33"/>
        <v>18422.1</v>
      </c>
      <c r="AG887" s="67">
        <f t="shared" si="15"/>
        <v>2947.536</v>
      </c>
      <c r="AH887" s="67">
        <f t="shared" si="16"/>
        <v>21369.636</v>
      </c>
      <c r="AI887" s="67">
        <f t="shared" si="17"/>
        <v>18422.1</v>
      </c>
      <c r="AJ887" s="68">
        <f t="shared" si="31"/>
        <v>2947.536</v>
      </c>
      <c r="AK887" s="68">
        <f t="shared" si="32"/>
        <v>21369.636</v>
      </c>
      <c r="AL887" s="70">
        <f>IFERROR(__xludf.DUMMYFUNCTION("""COMPUTED_VALUE"""),1.0)</f>
        <v>1</v>
      </c>
      <c r="AM887" s="70">
        <f>IFERROR(__xludf.DUMMYFUNCTION("""COMPUTED_VALUE"""),3.0)</f>
        <v>3</v>
      </c>
      <c r="AN887" s="71" t="str">
        <f>IFERROR(__xludf.DUMMYFUNCTION("""COMPUTED_VALUE""")," C")</f>
        <v>C</v>
      </c>
      <c r="AO887" s="71" t="str">
        <f>IFERROR(__xludf.DUMMYFUNCTION("""COMPUTED_VALUE""")," PP06")</f>
        <v>PP06</v>
      </c>
      <c r="AP887" s="71" t="str">
        <f>IFERROR(__xludf.DUMMYFUNCTION("""COMPUTED_VALUE""")," PZA")</f>
        <v>PZA</v>
      </c>
      <c r="AQ887" s="71" t="str">
        <f>IFERROR(__xludf.DUMMYFUNCTION("""COMPUTED_VALUE""")," REF")</f>
        <v>REF</v>
      </c>
      <c r="AR887" s="71" t="str">
        <f>IFERROR(__xludf.DUMMYFUNCTION("""COMPUTED_VALUE""")," PAPEL GRADO ALIMENTICO PARA 2 KG 26GR/M2 (PAQUETE 12 KG)")</f>
        <v>PAPEL GRADO ALIMENTICO PARA 2 KG 26GR/M2 (PAQUETE 12 KG)</v>
      </c>
      <c r="AS887" s="71" t="str">
        <f>IFERROR(__xludf.DUMMYFUNCTION("""COMPUTED_VALUE""")," PAPEL GA P2KG 26GR/M2 PAQ 12KG")</f>
        <v>PAPEL GA P2KG 26GR/M2 PAQ 12KG</v>
      </c>
      <c r="AT887" s="71">
        <f>IFERROR(__xludf.DUMMYFUNCTION("""COMPUTED_VALUE"""),30.0)</f>
        <v>30</v>
      </c>
      <c r="AU887" s="71"/>
      <c r="AV887" s="71"/>
      <c r="AW887" s="71" t="str">
        <f>IFERROR(__xludf.DUMMYFUNCTION("""COMPUTED_VALUE""")," dar de baja")</f>
        <v>dar de baja</v>
      </c>
      <c r="AX887" s="71"/>
      <c r="AY887" s="71">
        <f>IFERROR(__xludf.DUMMYFUNCTION("""COMPUTED_VALUE"""),748.0)</f>
        <v>748</v>
      </c>
      <c r="AZ887" s="71">
        <f>IFERROR(__xludf.DUMMYFUNCTION("""COMPUTED_VALUE"""),807.0)</f>
        <v>807</v>
      </c>
      <c r="BA887" s="71">
        <f>IFERROR(__xludf.DUMMYFUNCTION("""COMPUTED_VALUE"""),871.5600000000001)</f>
        <v>871.56</v>
      </c>
      <c r="BB887" s="71">
        <f>IFERROR(__xludf.DUMMYFUNCTION("""COMPUTED_VALUE"""),871.5600000000001)</f>
        <v>871.56</v>
      </c>
      <c r="BC887" s="71">
        <f>IFERROR(__xludf.DUMMYFUNCTION("""COMPUTED_VALUE"""),971.0)</f>
        <v>971</v>
      </c>
      <c r="BD887" s="71">
        <f>IFERROR(__xludf.DUMMYFUNCTION("""COMPUTED_VALUE"""),1020.0)</f>
        <v>1020</v>
      </c>
      <c r="BE887" s="71">
        <f>IFERROR(__xludf.DUMMYFUNCTION("""COMPUTED_VALUE"""),163.20000000000002)</f>
        <v>163.2</v>
      </c>
      <c r="BF887" s="71">
        <f>IFERROR(__xludf.DUMMYFUNCTION("""COMPUTED_VALUE"""),1183.2)</f>
        <v>1183.2</v>
      </c>
      <c r="BG887" s="71">
        <f>IFERROR(__xludf.DUMMYFUNCTION("""COMPUTED_VALUE"""),0.05046343975283213)</f>
        <v>0.05046343975</v>
      </c>
      <c r="BH887" s="71">
        <f>IFERROR(__xludf.DUMMYFUNCTION("""COMPUTED_VALUE"""),969.0)</f>
        <v>969</v>
      </c>
      <c r="BI887" s="71">
        <f>IFERROR(__xludf.DUMMYFUNCTION("""COMPUTED_VALUE"""),155.04)</f>
        <v>155.04</v>
      </c>
      <c r="BJ887" s="71">
        <f>IFERROR(__xludf.DUMMYFUNCTION("""COMPUTED_VALUE"""),1124.04)</f>
        <v>1124.04</v>
      </c>
      <c r="BK887" s="71">
        <f>IFERROR(__xludf.DUMMYFUNCTION("""COMPUTED_VALUE"""),918.0)</f>
        <v>918</v>
      </c>
      <c r="BL887" s="71">
        <f>IFERROR(__xludf.DUMMYFUNCTION("""COMPUTED_VALUE"""),146.88)</f>
        <v>146.88</v>
      </c>
      <c r="BM887" s="71">
        <f>IFERROR(__xludf.DUMMYFUNCTION("""COMPUTED_VALUE"""),1064.88)</f>
        <v>1064.88</v>
      </c>
      <c r="BN887" s="71">
        <f>IFERROR(__xludf.DUMMYFUNCTION("""COMPUTED_VALUE"""),918.0)</f>
        <v>918</v>
      </c>
      <c r="BO887" s="71">
        <f>IFERROR(__xludf.DUMMYFUNCTION("""COMPUTED_VALUE"""),146.88)</f>
        <v>146.88</v>
      </c>
      <c r="BP887" s="71">
        <f>IFERROR(__xludf.DUMMYFUNCTION("""COMPUTED_VALUE"""),1064.88)</f>
        <v>1064.88</v>
      </c>
      <c r="BQ887" s="71">
        <f>IFERROR(__xludf.DUMMYFUNCTION("""COMPUTED_VALUE"""),918.0)</f>
        <v>918</v>
      </c>
      <c r="BR887" s="71">
        <f>IFERROR(__xludf.DUMMYFUNCTION("""COMPUTED_VALUE"""),146.88)</f>
        <v>146.88</v>
      </c>
      <c r="BS887" s="71">
        <f>IFERROR(__xludf.DUMMYFUNCTION("""COMPUTED_VALUE"""),1064.88)</f>
        <v>1064.88</v>
      </c>
      <c r="BT887" s="71">
        <f>IFERROR(__xludf.DUMMYFUNCTION("""COMPUTED_VALUE"""),918.0)</f>
        <v>918</v>
      </c>
      <c r="BU887" s="71">
        <f>IFERROR(__xludf.DUMMYFUNCTION("""COMPUTED_VALUE"""),146.88)</f>
        <v>146.88</v>
      </c>
      <c r="BV887" s="71">
        <f>IFERROR(__xludf.DUMMYFUNCTION("""COMPUTED_VALUE"""),1064.88)</f>
        <v>1064.88</v>
      </c>
    </row>
    <row r="888">
      <c r="A888" s="53"/>
      <c r="B888" s="53"/>
      <c r="C888" s="53"/>
      <c r="D888" s="53" t="s">
        <v>2146</v>
      </c>
      <c r="E888" s="55" t="s">
        <v>38</v>
      </c>
      <c r="F888" s="89"/>
      <c r="G888" s="84" t="s">
        <v>2147</v>
      </c>
      <c r="H888" s="55"/>
      <c r="I888" s="54">
        <f t="shared" si="24"/>
        <v>0</v>
      </c>
      <c r="J888" s="56"/>
      <c r="K888" s="57"/>
      <c r="L888" s="55"/>
      <c r="M888" s="59"/>
      <c r="N888" s="60"/>
      <c r="O888" s="90"/>
      <c r="P888" s="62">
        <v>133653.0</v>
      </c>
      <c r="Q888" s="63">
        <v>133653.0</v>
      </c>
      <c r="R888" s="64">
        <v>147353.0</v>
      </c>
      <c r="S888" s="111">
        <v>154721.0</v>
      </c>
      <c r="T888" s="65">
        <f t="shared" si="2"/>
        <v>24755.36</v>
      </c>
      <c r="U888" s="65">
        <f t="shared" si="3"/>
        <v>179476.36</v>
      </c>
      <c r="V888" s="66">
        <f t="shared" si="4"/>
        <v>0.05000237525</v>
      </c>
      <c r="W888" s="67">
        <f t="shared" si="5"/>
        <v>146984.95</v>
      </c>
      <c r="X888" s="67">
        <f t="shared" si="6"/>
        <v>23517.592</v>
      </c>
      <c r="Y888" s="67">
        <f t="shared" si="7"/>
        <v>170502.542</v>
      </c>
      <c r="Z888" s="67">
        <f t="shared" si="8"/>
        <v>139248.9</v>
      </c>
      <c r="AA888" s="67">
        <f t="shared" si="9"/>
        <v>22279.824</v>
      </c>
      <c r="AB888" s="67">
        <f t="shared" si="10"/>
        <v>161528.724</v>
      </c>
      <c r="AC888" s="67">
        <f t="shared" si="11"/>
        <v>131512.85</v>
      </c>
      <c r="AD888" s="67">
        <f t="shared" si="12"/>
        <v>21042.056</v>
      </c>
      <c r="AE888" s="67">
        <f t="shared" si="13"/>
        <v>152554.906</v>
      </c>
      <c r="AF888" s="67">
        <f t="shared" si="33"/>
        <v>128418.43</v>
      </c>
      <c r="AG888" s="67">
        <f t="shared" si="15"/>
        <v>20546.9488</v>
      </c>
      <c r="AH888" s="67">
        <f t="shared" si="16"/>
        <v>148965.3788</v>
      </c>
      <c r="AI888" s="67">
        <f t="shared" si="17"/>
        <v>123776.8</v>
      </c>
      <c r="AJ888" s="68">
        <f t="shared" si="31"/>
        <v>19804.288</v>
      </c>
      <c r="AK888" s="68">
        <f t="shared" si="32"/>
        <v>143581.088</v>
      </c>
      <c r="AL888" s="70">
        <f>IFERROR(__xludf.DUMMYFUNCTION("""COMPUTED_VALUE"""),1.0)</f>
        <v>1</v>
      </c>
      <c r="AM888" s="70"/>
      <c r="AN888" s="71" t="str">
        <f>IFERROR(__xludf.DUMMYFUNCTION("""COMPUTED_VALUE""")," C")</f>
        <v>C</v>
      </c>
      <c r="AO888" s="71" t="str">
        <f>IFERROR(__xludf.DUMMYFUNCTION("""COMPUTED_VALUE""")," PE03")</f>
        <v>PE03</v>
      </c>
      <c r="AP888" s="71" t="str">
        <f>IFERROR(__xludf.DUMMYFUNCTION("""COMPUTED_VALUE""")," PZA")</f>
        <v>PZA</v>
      </c>
      <c r="AQ888" s="71" t="str">
        <f>IFERROR(__xludf.DUMMYFUNCTION("""COMPUTED_VALUE""")," REF")</f>
        <v>REF</v>
      </c>
      <c r="AR888" s="71" t="str">
        <f>IFERROR(__xludf.DUMMYFUNCTION("""COMPUTED_VALUE""")," PERFILADOR DUPLEX 10 CM")</f>
        <v>PERFILADOR DUPLEX 10 CM</v>
      </c>
      <c r="AS888" s="71" t="str">
        <f>IFERROR(__xludf.DUMMYFUNCTION("""COMPUTED_VALUE""")," PERFILADOR DUPLEX 10 CM")</f>
        <v>PERFILADOR DUPLEX 10 CM</v>
      </c>
      <c r="AT888" s="71">
        <f>IFERROR(__xludf.DUMMYFUNCTION("""COMPUTED_VALUE"""),23.0)</f>
        <v>23</v>
      </c>
      <c r="AU888" s="71"/>
      <c r="AV888" s="71"/>
      <c r="AW888" s="71"/>
      <c r="AX888" s="71"/>
      <c r="AY888" s="71">
        <f>IFERROR(__xludf.DUMMYFUNCTION("""COMPUTED_VALUE"""),1777.0)</f>
        <v>1777</v>
      </c>
      <c r="AZ888" s="71">
        <f>IFERROR(__xludf.DUMMYFUNCTION("""COMPUTED_VALUE"""),2070.0)</f>
        <v>2070</v>
      </c>
      <c r="BA888" s="71">
        <f>IFERROR(__xludf.DUMMYFUNCTION("""COMPUTED_VALUE"""),1590.0)</f>
        <v>1590</v>
      </c>
      <c r="BB888" s="71">
        <f>IFERROR(__xludf.DUMMYFUNCTION("""COMPUTED_VALUE"""),1590.0)</f>
        <v>1590</v>
      </c>
      <c r="BC888" s="71">
        <f>IFERROR(__xludf.DUMMYFUNCTION("""COMPUTED_VALUE"""),1771.0)</f>
        <v>1771</v>
      </c>
      <c r="BD888" s="71">
        <f>IFERROR(__xludf.DUMMYFUNCTION("""COMPUTED_VALUE"""),1860.0)</f>
        <v>1860</v>
      </c>
      <c r="BE888" s="71">
        <f>IFERROR(__xludf.DUMMYFUNCTION("""COMPUTED_VALUE"""),297.6)</f>
        <v>297.6</v>
      </c>
      <c r="BF888" s="71">
        <f>IFERROR(__xludf.DUMMYFUNCTION("""COMPUTED_VALUE"""),2157.6)</f>
        <v>2157.6</v>
      </c>
      <c r="BG888" s="71">
        <f>IFERROR(__xludf.DUMMYFUNCTION("""COMPUTED_VALUE"""),0.0502540937323546)</f>
        <v>0.05025409373</v>
      </c>
      <c r="BH888" s="71">
        <f>IFERROR(__xludf.DUMMYFUNCTION("""COMPUTED_VALUE"""),1767.0)</f>
        <v>1767</v>
      </c>
      <c r="BI888" s="71">
        <f>IFERROR(__xludf.DUMMYFUNCTION("""COMPUTED_VALUE"""),282.72)</f>
        <v>282.72</v>
      </c>
      <c r="BJ888" s="71">
        <f>IFERROR(__xludf.DUMMYFUNCTION("""COMPUTED_VALUE"""),2049.7200000000003)</f>
        <v>2049.72</v>
      </c>
      <c r="BK888" s="71">
        <f>IFERROR(__xludf.DUMMYFUNCTION("""COMPUTED_VALUE"""),1674.0)</f>
        <v>1674</v>
      </c>
      <c r="BL888" s="71">
        <f>IFERROR(__xludf.DUMMYFUNCTION("""COMPUTED_VALUE"""),267.84000000000003)</f>
        <v>267.84</v>
      </c>
      <c r="BM888" s="71">
        <f>IFERROR(__xludf.DUMMYFUNCTION("""COMPUTED_VALUE"""),1941.8400000000001)</f>
        <v>1941.84</v>
      </c>
      <c r="BN888" s="71">
        <f>IFERROR(__xludf.DUMMYFUNCTION("""COMPUTED_VALUE"""),1581.0)</f>
        <v>1581</v>
      </c>
      <c r="BO888" s="71">
        <f>IFERROR(__xludf.DUMMYFUNCTION("""COMPUTED_VALUE"""),252.96)</f>
        <v>252.96</v>
      </c>
      <c r="BP888" s="71">
        <f>IFERROR(__xludf.DUMMYFUNCTION("""COMPUTED_VALUE"""),1833.96)</f>
        <v>1833.96</v>
      </c>
      <c r="BQ888" s="71">
        <f>IFERROR(__xludf.DUMMYFUNCTION("""COMPUTED_VALUE"""),1543.8)</f>
        <v>1543.8</v>
      </c>
      <c r="BR888" s="71">
        <f>IFERROR(__xludf.DUMMYFUNCTION("""COMPUTED_VALUE"""),247.008)</f>
        <v>247.008</v>
      </c>
      <c r="BS888" s="71">
        <f>IFERROR(__xludf.DUMMYFUNCTION("""COMPUTED_VALUE"""),1790.808)</f>
        <v>1790.808</v>
      </c>
      <c r="BT888" s="71">
        <f>IFERROR(__xludf.DUMMYFUNCTION("""COMPUTED_VALUE"""),1488.0)</f>
        <v>1488</v>
      </c>
      <c r="BU888" s="71">
        <f>IFERROR(__xludf.DUMMYFUNCTION("""COMPUTED_VALUE"""),238.08)</f>
        <v>238.08</v>
      </c>
      <c r="BV888" s="71">
        <f>IFERROR(__xludf.DUMMYFUNCTION("""COMPUTED_VALUE"""),1726.08)</f>
        <v>1726.08</v>
      </c>
    </row>
    <row r="889">
      <c r="A889" s="53">
        <v>1.0</v>
      </c>
      <c r="B889" s="72"/>
      <c r="C889" s="73" t="s">
        <v>53</v>
      </c>
      <c r="D889" s="74" t="s">
        <v>2148</v>
      </c>
      <c r="E889" s="54" t="s">
        <v>38</v>
      </c>
      <c r="F889" s="54" t="s">
        <v>42</v>
      </c>
      <c r="G889" s="88" t="s">
        <v>2149</v>
      </c>
      <c r="H889" s="54" t="s">
        <v>2150</v>
      </c>
      <c r="I889" s="54">
        <f t="shared" si="24"/>
        <v>39</v>
      </c>
      <c r="J889" s="56"/>
      <c r="K889" s="75"/>
      <c r="L889" s="76"/>
      <c r="M889" s="59"/>
      <c r="N889" s="60">
        <v>304.0</v>
      </c>
      <c r="O889" s="61">
        <v>328.0</v>
      </c>
      <c r="P889" s="62">
        <v>354.24</v>
      </c>
      <c r="Q889" s="63">
        <v>354.24</v>
      </c>
      <c r="R889" s="64">
        <v>395.0</v>
      </c>
      <c r="S889" s="111">
        <v>415.0</v>
      </c>
      <c r="T889" s="65">
        <f t="shared" si="2"/>
        <v>66.4</v>
      </c>
      <c r="U889" s="65">
        <f t="shared" si="3"/>
        <v>481.4</v>
      </c>
      <c r="V889" s="66">
        <f t="shared" si="4"/>
        <v>0.05063291139</v>
      </c>
      <c r="W889" s="67">
        <f t="shared" si="5"/>
        <v>394.25</v>
      </c>
      <c r="X889" s="67">
        <f t="shared" si="6"/>
        <v>63.08</v>
      </c>
      <c r="Y889" s="67">
        <f t="shared" si="7"/>
        <v>457.33</v>
      </c>
      <c r="Z889" s="67">
        <f t="shared" si="8"/>
        <v>373.5</v>
      </c>
      <c r="AA889" s="67">
        <f t="shared" si="9"/>
        <v>59.76</v>
      </c>
      <c r="AB889" s="67">
        <f t="shared" si="10"/>
        <v>433.26</v>
      </c>
      <c r="AC889" s="67">
        <f t="shared" si="11"/>
        <v>352.75</v>
      </c>
      <c r="AD889" s="67">
        <f t="shared" si="12"/>
        <v>56.44</v>
      </c>
      <c r="AE889" s="67">
        <f t="shared" si="13"/>
        <v>409.19</v>
      </c>
      <c r="AF889" s="67">
        <f t="shared" si="33"/>
        <v>344.45</v>
      </c>
      <c r="AG889" s="67">
        <f t="shared" si="15"/>
        <v>55.112</v>
      </c>
      <c r="AH889" s="67">
        <f t="shared" si="16"/>
        <v>399.562</v>
      </c>
      <c r="AI889" s="67">
        <f t="shared" si="17"/>
        <v>332</v>
      </c>
      <c r="AJ889" s="68">
        <f t="shared" si="31"/>
        <v>53.12</v>
      </c>
      <c r="AK889" s="68">
        <f t="shared" si="32"/>
        <v>385.12</v>
      </c>
      <c r="AL889" s="70">
        <f>IFERROR(__xludf.DUMMYFUNCTION("""COMPUTED_VALUE"""),1.0)</f>
        <v>1</v>
      </c>
      <c r="AM889" s="70"/>
      <c r="AN889" s="71" t="str">
        <f>IFERROR(__xludf.DUMMYFUNCTION("""COMPUTED_VALUE""")," C")</f>
        <v>C</v>
      </c>
      <c r="AO889" s="71" t="str">
        <f>IFERROR(__xludf.DUMMYFUNCTION("""COMPUTED_VALUE""")," PE05")</f>
        <v>PE05</v>
      </c>
      <c r="AP889" s="71" t="str">
        <f>IFERROR(__xludf.DUMMYFUNCTION("""COMPUTED_VALUE""")," PZA")</f>
        <v>PZA</v>
      </c>
      <c r="AQ889" s="71" t="str">
        <f>IFERROR(__xludf.DUMMYFUNCTION("""COMPUTED_VALUE""")," REF")</f>
        <v>REF</v>
      </c>
      <c r="AR889" s="71" t="str">
        <f>IFERROR(__xludf.DUMMYFUNCTION("""COMPUTED_VALUE""")," PERFILADOR DUPLEX 12 CM")</f>
        <v>PERFILADOR DUPLEX 12 CM</v>
      </c>
      <c r="AS889" s="71" t="str">
        <f>IFERROR(__xludf.DUMMYFUNCTION("""COMPUTED_VALUE""")," PERFILADOR DUPLEX 12 CM")</f>
        <v>PERFILADOR DUPLEX 12 CM</v>
      </c>
      <c r="AT889" s="71">
        <f>IFERROR(__xludf.DUMMYFUNCTION("""COMPUTED_VALUE"""),23.0)</f>
        <v>23</v>
      </c>
      <c r="AU889" s="71"/>
      <c r="AV889" s="71"/>
      <c r="AW889" s="71"/>
      <c r="AX889" s="71"/>
      <c r="AY889" s="71">
        <f>IFERROR(__xludf.DUMMYFUNCTION("""COMPUTED_VALUE"""),1777.0)</f>
        <v>1777</v>
      </c>
      <c r="AZ889" s="71">
        <f>IFERROR(__xludf.DUMMYFUNCTION("""COMPUTED_VALUE"""),2070.0)</f>
        <v>2070</v>
      </c>
      <c r="BA889" s="71">
        <f>IFERROR(__xludf.DUMMYFUNCTION("""COMPUTED_VALUE"""),1590.0)</f>
        <v>1590</v>
      </c>
      <c r="BB889" s="71">
        <f>IFERROR(__xludf.DUMMYFUNCTION("""COMPUTED_VALUE"""),1590.0)</f>
        <v>1590</v>
      </c>
      <c r="BC889" s="71">
        <f>IFERROR(__xludf.DUMMYFUNCTION("""COMPUTED_VALUE"""),1821.0)</f>
        <v>1821</v>
      </c>
      <c r="BD889" s="71">
        <f>IFERROR(__xludf.DUMMYFUNCTION("""COMPUTED_VALUE"""),1912.0)</f>
        <v>1912</v>
      </c>
      <c r="BE889" s="71">
        <f>IFERROR(__xludf.DUMMYFUNCTION("""COMPUTED_VALUE"""),305.92)</f>
        <v>305.92</v>
      </c>
      <c r="BF889" s="71">
        <f>IFERROR(__xludf.DUMMYFUNCTION("""COMPUTED_VALUE"""),2217.92)</f>
        <v>2217.92</v>
      </c>
      <c r="BG889" s="71">
        <f>IFERROR(__xludf.DUMMYFUNCTION("""COMPUTED_VALUE"""),0.049972542559033495)</f>
        <v>0.04997254256</v>
      </c>
      <c r="BH889" s="71">
        <f>IFERROR(__xludf.DUMMYFUNCTION("""COMPUTED_VALUE"""),1816.3999999999999)</f>
        <v>1816.4</v>
      </c>
      <c r="BI889" s="71">
        <f>IFERROR(__xludf.DUMMYFUNCTION("""COMPUTED_VALUE"""),290.62399999999997)</f>
        <v>290.624</v>
      </c>
      <c r="BJ889" s="71">
        <f>IFERROR(__xludf.DUMMYFUNCTION("""COMPUTED_VALUE"""),2107.024)</f>
        <v>2107.024</v>
      </c>
      <c r="BK889" s="71">
        <f>IFERROR(__xludf.DUMMYFUNCTION("""COMPUTED_VALUE"""),1720.8)</f>
        <v>1720.8</v>
      </c>
      <c r="BL889" s="71">
        <f>IFERROR(__xludf.DUMMYFUNCTION("""COMPUTED_VALUE"""),275.328)</f>
        <v>275.328</v>
      </c>
      <c r="BM889" s="71">
        <f>IFERROR(__xludf.DUMMYFUNCTION("""COMPUTED_VALUE"""),1996.128)</f>
        <v>1996.128</v>
      </c>
      <c r="BN889" s="71">
        <f>IFERROR(__xludf.DUMMYFUNCTION("""COMPUTED_VALUE"""),1625.2)</f>
        <v>1625.2</v>
      </c>
      <c r="BO889" s="71">
        <f>IFERROR(__xludf.DUMMYFUNCTION("""COMPUTED_VALUE"""),260.03200000000004)</f>
        <v>260.032</v>
      </c>
      <c r="BP889" s="71">
        <f>IFERROR(__xludf.DUMMYFUNCTION("""COMPUTED_VALUE"""),1885.232)</f>
        <v>1885.232</v>
      </c>
      <c r="BQ889" s="71">
        <f>IFERROR(__xludf.DUMMYFUNCTION("""COMPUTED_VALUE"""),1586.96)</f>
        <v>1586.96</v>
      </c>
      <c r="BR889" s="71">
        <f>IFERROR(__xludf.DUMMYFUNCTION("""COMPUTED_VALUE"""),253.9136)</f>
        <v>253.9136</v>
      </c>
      <c r="BS889" s="71">
        <f>IFERROR(__xludf.DUMMYFUNCTION("""COMPUTED_VALUE"""),1840.8736000000001)</f>
        <v>1840.8736</v>
      </c>
      <c r="BT889" s="71">
        <f>IFERROR(__xludf.DUMMYFUNCTION("""COMPUTED_VALUE"""),1529.6000000000001)</f>
        <v>1529.6</v>
      </c>
      <c r="BU889" s="71">
        <f>IFERROR(__xludf.DUMMYFUNCTION("""COMPUTED_VALUE"""),244.73600000000002)</f>
        <v>244.736</v>
      </c>
      <c r="BV889" s="71">
        <f>IFERROR(__xludf.DUMMYFUNCTION("""COMPUTED_VALUE"""),1774.3360000000002)</f>
        <v>1774.336</v>
      </c>
    </row>
    <row r="890">
      <c r="A890" s="53">
        <v>1.0</v>
      </c>
      <c r="B890" s="72"/>
      <c r="C890" s="73" t="s">
        <v>12</v>
      </c>
      <c r="D890" s="74" t="s">
        <v>2151</v>
      </c>
      <c r="E890" s="54" t="s">
        <v>38</v>
      </c>
      <c r="F890" s="54" t="s">
        <v>42</v>
      </c>
      <c r="G890" s="55" t="s">
        <v>2152</v>
      </c>
      <c r="H890" s="54" t="s">
        <v>2152</v>
      </c>
      <c r="I890" s="54">
        <f t="shared" si="24"/>
        <v>25</v>
      </c>
      <c r="J890" s="56"/>
      <c r="K890" s="75"/>
      <c r="L890" s="76"/>
      <c r="M890" s="59"/>
      <c r="N890" s="60">
        <v>54.0</v>
      </c>
      <c r="O890" s="61">
        <v>65.0</v>
      </c>
      <c r="P890" s="62">
        <v>70.2</v>
      </c>
      <c r="Q890" s="63">
        <v>70.2</v>
      </c>
      <c r="R890" s="64">
        <v>82.0</v>
      </c>
      <c r="S890" s="111">
        <v>86.0</v>
      </c>
      <c r="T890" s="65">
        <f t="shared" si="2"/>
        <v>13.76</v>
      </c>
      <c r="U890" s="65">
        <f t="shared" si="3"/>
        <v>99.76</v>
      </c>
      <c r="V890" s="66">
        <f t="shared" si="4"/>
        <v>0.0487804878</v>
      </c>
      <c r="W890" s="67">
        <f t="shared" si="5"/>
        <v>81.7</v>
      </c>
      <c r="X890" s="67">
        <f t="shared" si="6"/>
        <v>13.072</v>
      </c>
      <c r="Y890" s="67">
        <f t="shared" si="7"/>
        <v>94.772</v>
      </c>
      <c r="Z890" s="67">
        <f t="shared" si="8"/>
        <v>77.4</v>
      </c>
      <c r="AA890" s="67">
        <f t="shared" si="9"/>
        <v>12.384</v>
      </c>
      <c r="AB890" s="67">
        <f t="shared" si="10"/>
        <v>89.784</v>
      </c>
      <c r="AC890" s="67">
        <f t="shared" si="11"/>
        <v>73.1</v>
      </c>
      <c r="AD890" s="67">
        <f t="shared" si="12"/>
        <v>11.696</v>
      </c>
      <c r="AE890" s="67">
        <f t="shared" si="13"/>
        <v>84.796</v>
      </c>
      <c r="AF890" s="67">
        <f t="shared" si="33"/>
        <v>71.38</v>
      </c>
      <c r="AG890" s="67">
        <f t="shared" si="15"/>
        <v>11.4208</v>
      </c>
      <c r="AH890" s="67">
        <f t="shared" si="16"/>
        <v>82.8008</v>
      </c>
      <c r="AI890" s="67">
        <f t="shared" si="17"/>
        <v>68.8</v>
      </c>
      <c r="AJ890" s="68">
        <f t="shared" si="31"/>
        <v>11.008</v>
      </c>
      <c r="AK890" s="68">
        <f t="shared" si="32"/>
        <v>79.808</v>
      </c>
      <c r="AL890" s="70">
        <f>IFERROR(__xludf.DUMMYFUNCTION("""COMPUTED_VALUE"""),1.0)</f>
        <v>1</v>
      </c>
      <c r="AM890" s="70"/>
      <c r="AN890" s="71" t="str">
        <f>IFERROR(__xludf.DUMMYFUNCTION("""COMPUTED_VALUE""")," C")</f>
        <v>C</v>
      </c>
      <c r="AO890" s="71" t="str">
        <f>IFERROR(__xludf.DUMMYFUNCTION("""COMPUTED_VALUE""")," PE07")</f>
        <v>PE07</v>
      </c>
      <c r="AP890" s="71" t="str">
        <f>IFERROR(__xludf.DUMMYFUNCTION("""COMPUTED_VALUE""")," PZA")</f>
        <v>PZA</v>
      </c>
      <c r="AQ890" s="71" t="str">
        <f>IFERROR(__xludf.DUMMYFUNCTION("""COMPUTED_VALUE""")," REF")</f>
        <v>REF</v>
      </c>
      <c r="AR890" s="71" t="str">
        <f>IFERROR(__xludf.DUMMYFUNCTION("""COMPUTED_VALUE""")," PERFILADOR DUPLEX 14 CM")</f>
        <v>PERFILADOR DUPLEX 14 CM</v>
      </c>
      <c r="AS890" s="71" t="str">
        <f>IFERROR(__xludf.DUMMYFUNCTION("""COMPUTED_VALUE""")," PERFILADOR DUPLEX 14 CM")</f>
        <v>PERFILADOR DUPLEX 14 CM</v>
      </c>
      <c r="AT890" s="71">
        <f>IFERROR(__xludf.DUMMYFUNCTION("""COMPUTED_VALUE"""),23.0)</f>
        <v>23</v>
      </c>
      <c r="AU890" s="71"/>
      <c r="AV890" s="71"/>
      <c r="AW890" s="71"/>
      <c r="AX890" s="71"/>
      <c r="AY890" s="71">
        <f>IFERROR(__xludf.DUMMYFUNCTION("""COMPUTED_VALUE"""),1777.0)</f>
        <v>1777</v>
      </c>
      <c r="AZ890" s="71">
        <f>IFERROR(__xludf.DUMMYFUNCTION("""COMPUTED_VALUE"""),2070.0)</f>
        <v>2070</v>
      </c>
      <c r="BA890" s="71">
        <f>IFERROR(__xludf.DUMMYFUNCTION("""COMPUTED_VALUE"""),1590.0)</f>
        <v>1590</v>
      </c>
      <c r="BB890" s="71">
        <f>IFERROR(__xludf.DUMMYFUNCTION("""COMPUTED_VALUE"""),1590.0)</f>
        <v>1590</v>
      </c>
      <c r="BC890" s="71">
        <f>IFERROR(__xludf.DUMMYFUNCTION("""COMPUTED_VALUE"""),1821.0)</f>
        <v>1821</v>
      </c>
      <c r="BD890" s="71">
        <f>IFERROR(__xludf.DUMMYFUNCTION("""COMPUTED_VALUE"""),1912.0)</f>
        <v>1912</v>
      </c>
      <c r="BE890" s="71">
        <f>IFERROR(__xludf.DUMMYFUNCTION("""COMPUTED_VALUE"""),305.92)</f>
        <v>305.92</v>
      </c>
      <c r="BF890" s="71">
        <f>IFERROR(__xludf.DUMMYFUNCTION("""COMPUTED_VALUE"""),2217.92)</f>
        <v>2217.92</v>
      </c>
      <c r="BG890" s="71">
        <f>IFERROR(__xludf.DUMMYFUNCTION("""COMPUTED_VALUE"""),0.049972542559033495)</f>
        <v>0.04997254256</v>
      </c>
      <c r="BH890" s="71">
        <f>IFERROR(__xludf.DUMMYFUNCTION("""COMPUTED_VALUE"""),1816.3999999999999)</f>
        <v>1816.4</v>
      </c>
      <c r="BI890" s="71">
        <f>IFERROR(__xludf.DUMMYFUNCTION("""COMPUTED_VALUE"""),290.62399999999997)</f>
        <v>290.624</v>
      </c>
      <c r="BJ890" s="71">
        <f>IFERROR(__xludf.DUMMYFUNCTION("""COMPUTED_VALUE"""),2107.024)</f>
        <v>2107.024</v>
      </c>
      <c r="BK890" s="71">
        <f>IFERROR(__xludf.DUMMYFUNCTION("""COMPUTED_VALUE"""),1720.8)</f>
        <v>1720.8</v>
      </c>
      <c r="BL890" s="71">
        <f>IFERROR(__xludf.DUMMYFUNCTION("""COMPUTED_VALUE"""),275.328)</f>
        <v>275.328</v>
      </c>
      <c r="BM890" s="71">
        <f>IFERROR(__xludf.DUMMYFUNCTION("""COMPUTED_VALUE"""),1996.128)</f>
        <v>1996.128</v>
      </c>
      <c r="BN890" s="71">
        <f>IFERROR(__xludf.DUMMYFUNCTION("""COMPUTED_VALUE"""),1625.2)</f>
        <v>1625.2</v>
      </c>
      <c r="BO890" s="71">
        <f>IFERROR(__xludf.DUMMYFUNCTION("""COMPUTED_VALUE"""),260.03200000000004)</f>
        <v>260.032</v>
      </c>
      <c r="BP890" s="71">
        <f>IFERROR(__xludf.DUMMYFUNCTION("""COMPUTED_VALUE"""),1885.232)</f>
        <v>1885.232</v>
      </c>
      <c r="BQ890" s="71">
        <f>IFERROR(__xludf.DUMMYFUNCTION("""COMPUTED_VALUE"""),1586.96)</f>
        <v>1586.96</v>
      </c>
      <c r="BR890" s="71">
        <f>IFERROR(__xludf.DUMMYFUNCTION("""COMPUTED_VALUE"""),253.9136)</f>
        <v>253.9136</v>
      </c>
      <c r="BS890" s="71">
        <f>IFERROR(__xludf.DUMMYFUNCTION("""COMPUTED_VALUE"""),1840.8736000000001)</f>
        <v>1840.8736</v>
      </c>
      <c r="BT890" s="71">
        <f>IFERROR(__xludf.DUMMYFUNCTION("""COMPUTED_VALUE"""),1529.6000000000001)</f>
        <v>1529.6</v>
      </c>
      <c r="BU890" s="71">
        <f>IFERROR(__xludf.DUMMYFUNCTION("""COMPUTED_VALUE"""),244.73600000000002)</f>
        <v>244.736</v>
      </c>
      <c r="BV890" s="71">
        <f>IFERROR(__xludf.DUMMYFUNCTION("""COMPUTED_VALUE"""),1774.3360000000002)</f>
        <v>1774.336</v>
      </c>
    </row>
    <row r="891">
      <c r="A891" s="53">
        <v>1.0</v>
      </c>
      <c r="B891" s="72"/>
      <c r="C891" s="73" t="s">
        <v>53</v>
      </c>
      <c r="D891" s="74" t="s">
        <v>2153</v>
      </c>
      <c r="E891" s="54" t="s">
        <v>38</v>
      </c>
      <c r="F891" s="54" t="s">
        <v>42</v>
      </c>
      <c r="G891" s="88" t="s">
        <v>2154</v>
      </c>
      <c r="H891" s="54" t="s">
        <v>2155</v>
      </c>
      <c r="I891" s="54">
        <f t="shared" si="24"/>
        <v>34</v>
      </c>
      <c r="J891" s="56"/>
      <c r="K891" s="75"/>
      <c r="L891" s="76"/>
      <c r="M891" s="59"/>
      <c r="N891" s="60">
        <v>72.0</v>
      </c>
      <c r="O891" s="61">
        <v>77.0</v>
      </c>
      <c r="P891" s="62">
        <v>83.16000000000001</v>
      </c>
      <c r="Q891" s="63">
        <v>83.16000000000001</v>
      </c>
      <c r="R891" s="64">
        <v>94.0</v>
      </c>
      <c r="S891" s="111">
        <v>99.0</v>
      </c>
      <c r="T891" s="65">
        <f t="shared" si="2"/>
        <v>15.84</v>
      </c>
      <c r="U891" s="65">
        <f t="shared" si="3"/>
        <v>114.84</v>
      </c>
      <c r="V891" s="66">
        <f t="shared" si="4"/>
        <v>0.05319148936</v>
      </c>
      <c r="W891" s="67">
        <f t="shared" si="5"/>
        <v>94.05</v>
      </c>
      <c r="X891" s="67">
        <f t="shared" si="6"/>
        <v>15.048</v>
      </c>
      <c r="Y891" s="67">
        <f t="shared" si="7"/>
        <v>109.098</v>
      </c>
      <c r="Z891" s="67">
        <f t="shared" si="8"/>
        <v>89.1</v>
      </c>
      <c r="AA891" s="67">
        <f t="shared" si="9"/>
        <v>14.256</v>
      </c>
      <c r="AB891" s="67">
        <f t="shared" si="10"/>
        <v>103.356</v>
      </c>
      <c r="AC891" s="67">
        <f t="shared" si="11"/>
        <v>84.15</v>
      </c>
      <c r="AD891" s="67">
        <f t="shared" si="12"/>
        <v>13.464</v>
      </c>
      <c r="AE891" s="67">
        <f t="shared" si="13"/>
        <v>97.614</v>
      </c>
      <c r="AF891" s="67">
        <f t="shared" si="33"/>
        <v>82.17</v>
      </c>
      <c r="AG891" s="67">
        <f t="shared" si="15"/>
        <v>13.1472</v>
      </c>
      <c r="AH891" s="67">
        <f t="shared" si="16"/>
        <v>95.3172</v>
      </c>
      <c r="AI891" s="67">
        <f t="shared" si="17"/>
        <v>79.2</v>
      </c>
      <c r="AJ891" s="68">
        <f t="shared" si="31"/>
        <v>12.672</v>
      </c>
      <c r="AK891" s="68">
        <f t="shared" si="32"/>
        <v>91.872</v>
      </c>
      <c r="AL891" s="70">
        <f>IFERROR(__xludf.DUMMYFUNCTION("""COMPUTED_VALUE"""),1.0)</f>
        <v>1</v>
      </c>
      <c r="AM891" s="70"/>
      <c r="AN891" s="71" t="str">
        <f>IFERROR(__xludf.DUMMYFUNCTION("""COMPUTED_VALUE""")," C")</f>
        <v>C</v>
      </c>
      <c r="AO891" s="71" t="str">
        <f>IFERROR(__xludf.DUMMYFUNCTION("""COMPUTED_VALUE""")," PE08")</f>
        <v>PE08</v>
      </c>
      <c r="AP891" s="71" t="str">
        <f>IFERROR(__xludf.DUMMYFUNCTION("""COMPUTED_VALUE""")," PZA")</f>
        <v>PZA</v>
      </c>
      <c r="AQ891" s="71" t="str">
        <f>IFERROR(__xludf.DUMMYFUNCTION("""COMPUTED_VALUE""")," REF")</f>
        <v>REF</v>
      </c>
      <c r="AR891" s="71" t="str">
        <f>IFERROR(__xludf.DUMMYFUNCTION("""COMPUTED_VALUE""")," PERFILADOR DUPLEX 15 CM")</f>
        <v>PERFILADOR DUPLEX 15 CM</v>
      </c>
      <c r="AS891" s="71" t="str">
        <f>IFERROR(__xludf.DUMMYFUNCTION("""COMPUTED_VALUE""")," PERFILADOR DUPLEX 15 CM")</f>
        <v>PERFILADOR DUPLEX 15 CM</v>
      </c>
      <c r="AT891" s="71">
        <f>IFERROR(__xludf.DUMMYFUNCTION("""COMPUTED_VALUE"""),23.0)</f>
        <v>23</v>
      </c>
      <c r="AU891" s="71"/>
      <c r="AV891" s="71"/>
      <c r="AW891" s="71"/>
      <c r="AX891" s="71"/>
      <c r="AY891" s="71">
        <f>IFERROR(__xludf.DUMMYFUNCTION("""COMPUTED_VALUE"""),1777.0)</f>
        <v>1777</v>
      </c>
      <c r="AZ891" s="71">
        <f>IFERROR(__xludf.DUMMYFUNCTION("""COMPUTED_VALUE"""),2070.0)</f>
        <v>2070</v>
      </c>
      <c r="BA891" s="71">
        <f>IFERROR(__xludf.DUMMYFUNCTION("""COMPUTED_VALUE"""),1590.0)</f>
        <v>1590</v>
      </c>
      <c r="BB891" s="71">
        <f>IFERROR(__xludf.DUMMYFUNCTION("""COMPUTED_VALUE"""),1590.0)</f>
        <v>1590</v>
      </c>
      <c r="BC891" s="71">
        <f>IFERROR(__xludf.DUMMYFUNCTION("""COMPUTED_VALUE"""),1821.0)</f>
        <v>1821</v>
      </c>
      <c r="BD891" s="71">
        <f>IFERROR(__xludf.DUMMYFUNCTION("""COMPUTED_VALUE"""),1912.0)</f>
        <v>1912</v>
      </c>
      <c r="BE891" s="71">
        <f>IFERROR(__xludf.DUMMYFUNCTION("""COMPUTED_VALUE"""),305.92)</f>
        <v>305.92</v>
      </c>
      <c r="BF891" s="71">
        <f>IFERROR(__xludf.DUMMYFUNCTION("""COMPUTED_VALUE"""),2217.92)</f>
        <v>2217.92</v>
      </c>
      <c r="BG891" s="71">
        <f>IFERROR(__xludf.DUMMYFUNCTION("""COMPUTED_VALUE"""),0.049972542559033495)</f>
        <v>0.04997254256</v>
      </c>
      <c r="BH891" s="71">
        <f>IFERROR(__xludf.DUMMYFUNCTION("""COMPUTED_VALUE"""),1816.3999999999999)</f>
        <v>1816.4</v>
      </c>
      <c r="BI891" s="71">
        <f>IFERROR(__xludf.DUMMYFUNCTION("""COMPUTED_VALUE"""),290.62399999999997)</f>
        <v>290.624</v>
      </c>
      <c r="BJ891" s="71">
        <f>IFERROR(__xludf.DUMMYFUNCTION("""COMPUTED_VALUE"""),2107.024)</f>
        <v>2107.024</v>
      </c>
      <c r="BK891" s="71">
        <f>IFERROR(__xludf.DUMMYFUNCTION("""COMPUTED_VALUE"""),1720.8)</f>
        <v>1720.8</v>
      </c>
      <c r="BL891" s="71">
        <f>IFERROR(__xludf.DUMMYFUNCTION("""COMPUTED_VALUE"""),275.328)</f>
        <v>275.328</v>
      </c>
      <c r="BM891" s="71">
        <f>IFERROR(__xludf.DUMMYFUNCTION("""COMPUTED_VALUE"""),1996.128)</f>
        <v>1996.128</v>
      </c>
      <c r="BN891" s="71">
        <f>IFERROR(__xludf.DUMMYFUNCTION("""COMPUTED_VALUE"""),1625.2)</f>
        <v>1625.2</v>
      </c>
      <c r="BO891" s="71">
        <f>IFERROR(__xludf.DUMMYFUNCTION("""COMPUTED_VALUE"""),260.03200000000004)</f>
        <v>260.032</v>
      </c>
      <c r="BP891" s="71">
        <f>IFERROR(__xludf.DUMMYFUNCTION("""COMPUTED_VALUE"""),1885.232)</f>
        <v>1885.232</v>
      </c>
      <c r="BQ891" s="71">
        <f>IFERROR(__xludf.DUMMYFUNCTION("""COMPUTED_VALUE"""),1586.96)</f>
        <v>1586.96</v>
      </c>
      <c r="BR891" s="71">
        <f>IFERROR(__xludf.DUMMYFUNCTION("""COMPUTED_VALUE"""),253.9136)</f>
        <v>253.9136</v>
      </c>
      <c r="BS891" s="71">
        <f>IFERROR(__xludf.DUMMYFUNCTION("""COMPUTED_VALUE"""),1840.8736000000001)</f>
        <v>1840.8736</v>
      </c>
      <c r="BT891" s="71">
        <f>IFERROR(__xludf.DUMMYFUNCTION("""COMPUTED_VALUE"""),1529.6000000000001)</f>
        <v>1529.6</v>
      </c>
      <c r="BU891" s="71">
        <f>IFERROR(__xludf.DUMMYFUNCTION("""COMPUTED_VALUE"""),244.73600000000002)</f>
        <v>244.736</v>
      </c>
      <c r="BV891" s="71">
        <f>IFERROR(__xludf.DUMMYFUNCTION("""COMPUTED_VALUE"""),1774.3360000000002)</f>
        <v>1774.336</v>
      </c>
    </row>
    <row r="892">
      <c r="A892" s="53">
        <v>1.0</v>
      </c>
      <c r="B892" s="72"/>
      <c r="C892" s="73" t="s">
        <v>53</v>
      </c>
      <c r="D892" s="74" t="s">
        <v>2156</v>
      </c>
      <c r="E892" s="54" t="s">
        <v>38</v>
      </c>
      <c r="F892" s="54" t="s">
        <v>42</v>
      </c>
      <c r="G892" s="88" t="s">
        <v>2157</v>
      </c>
      <c r="H892" s="54" t="s">
        <v>2158</v>
      </c>
      <c r="I892" s="54">
        <f t="shared" si="24"/>
        <v>40</v>
      </c>
      <c r="J892" s="56"/>
      <c r="K892" s="75"/>
      <c r="L892" s="76"/>
      <c r="M892" s="59"/>
      <c r="N892" s="60">
        <v>166.0</v>
      </c>
      <c r="O892" s="61">
        <v>179.0</v>
      </c>
      <c r="P892" s="62">
        <v>193.32000000000002</v>
      </c>
      <c r="Q892" s="63">
        <v>193.32000000000002</v>
      </c>
      <c r="R892" s="64">
        <v>216.0</v>
      </c>
      <c r="S892" s="111">
        <v>227.0</v>
      </c>
      <c r="T892" s="65">
        <f t="shared" si="2"/>
        <v>36.32</v>
      </c>
      <c r="U892" s="65">
        <f t="shared" si="3"/>
        <v>263.32</v>
      </c>
      <c r="V892" s="66">
        <f t="shared" si="4"/>
        <v>0.05092592593</v>
      </c>
      <c r="W892" s="67">
        <f t="shared" si="5"/>
        <v>215.65</v>
      </c>
      <c r="X892" s="67">
        <f t="shared" si="6"/>
        <v>34.504</v>
      </c>
      <c r="Y892" s="67">
        <f t="shared" si="7"/>
        <v>250.154</v>
      </c>
      <c r="Z892" s="67">
        <f t="shared" si="8"/>
        <v>204.3</v>
      </c>
      <c r="AA892" s="67">
        <f t="shared" si="9"/>
        <v>32.688</v>
      </c>
      <c r="AB892" s="67">
        <f t="shared" si="10"/>
        <v>236.988</v>
      </c>
      <c r="AC892" s="67">
        <f t="shared" si="11"/>
        <v>192.95</v>
      </c>
      <c r="AD892" s="67">
        <f t="shared" si="12"/>
        <v>30.872</v>
      </c>
      <c r="AE892" s="67">
        <f t="shared" si="13"/>
        <v>223.822</v>
      </c>
      <c r="AF892" s="67">
        <f t="shared" si="33"/>
        <v>188.41</v>
      </c>
      <c r="AG892" s="67">
        <f t="shared" si="15"/>
        <v>30.1456</v>
      </c>
      <c r="AH892" s="67">
        <f t="shared" si="16"/>
        <v>218.5556</v>
      </c>
      <c r="AI892" s="67">
        <f t="shared" si="17"/>
        <v>181.6</v>
      </c>
      <c r="AJ892" s="68">
        <f t="shared" si="31"/>
        <v>29.056</v>
      </c>
      <c r="AK892" s="68">
        <f t="shared" si="32"/>
        <v>210.656</v>
      </c>
      <c r="AL892" s="70">
        <f>IFERROR(__xludf.DUMMYFUNCTION("""COMPUTED_VALUE"""),1.0)</f>
        <v>1</v>
      </c>
      <c r="AM892" s="70"/>
      <c r="AN892" s="71" t="str">
        <f>IFERROR(__xludf.DUMMYFUNCTION("""COMPUTED_VALUE""")," C")</f>
        <v>C</v>
      </c>
      <c r="AO892" s="71" t="str">
        <f>IFERROR(__xludf.DUMMYFUNCTION("""COMPUTED_VALUE""")," PE09")</f>
        <v>PE09</v>
      </c>
      <c r="AP892" s="71" t="str">
        <f>IFERROR(__xludf.DUMMYFUNCTION("""COMPUTED_VALUE""")," PZA")</f>
        <v>PZA</v>
      </c>
      <c r="AQ892" s="71" t="str">
        <f>IFERROR(__xludf.DUMMYFUNCTION("""COMPUTED_VALUE""")," REF")</f>
        <v>REF</v>
      </c>
      <c r="AR892" s="71" t="str">
        <f>IFERROR(__xludf.DUMMYFUNCTION("""COMPUTED_VALUE""")," PERFILADOR DUPLEX 16 CM")</f>
        <v>PERFILADOR DUPLEX 16 CM</v>
      </c>
      <c r="AS892" s="71" t="str">
        <f>IFERROR(__xludf.DUMMYFUNCTION("""COMPUTED_VALUE""")," PERFILADOR DUPLEX 16 CM")</f>
        <v>PERFILADOR DUPLEX 16 CM</v>
      </c>
      <c r="AT892" s="71">
        <f>IFERROR(__xludf.DUMMYFUNCTION("""COMPUTED_VALUE"""),23.0)</f>
        <v>23</v>
      </c>
      <c r="AU892" s="71"/>
      <c r="AV892" s="71"/>
      <c r="AW892" s="71"/>
      <c r="AX892" s="71"/>
      <c r="AY892" s="71">
        <f>IFERROR(__xludf.DUMMYFUNCTION("""COMPUTED_VALUE"""),1777.0)</f>
        <v>1777</v>
      </c>
      <c r="AZ892" s="71">
        <f>IFERROR(__xludf.DUMMYFUNCTION("""COMPUTED_VALUE"""),2070.0)</f>
        <v>2070</v>
      </c>
      <c r="BA892" s="71">
        <f>IFERROR(__xludf.DUMMYFUNCTION("""COMPUTED_VALUE"""),1590.0)</f>
        <v>1590</v>
      </c>
      <c r="BB892" s="71">
        <f>IFERROR(__xludf.DUMMYFUNCTION("""COMPUTED_VALUE"""),1590.0)</f>
        <v>1590</v>
      </c>
      <c r="BC892" s="71">
        <f>IFERROR(__xludf.DUMMYFUNCTION("""COMPUTED_VALUE"""),1821.0)</f>
        <v>1821</v>
      </c>
      <c r="BD892" s="71">
        <f>IFERROR(__xludf.DUMMYFUNCTION("""COMPUTED_VALUE"""),1912.0)</f>
        <v>1912</v>
      </c>
      <c r="BE892" s="71">
        <f>IFERROR(__xludf.DUMMYFUNCTION("""COMPUTED_VALUE"""),305.92)</f>
        <v>305.92</v>
      </c>
      <c r="BF892" s="71">
        <f>IFERROR(__xludf.DUMMYFUNCTION("""COMPUTED_VALUE"""),2217.92)</f>
        <v>2217.92</v>
      </c>
      <c r="BG892" s="71">
        <f>IFERROR(__xludf.DUMMYFUNCTION("""COMPUTED_VALUE"""),0.049972542559033495)</f>
        <v>0.04997254256</v>
      </c>
      <c r="BH892" s="71">
        <f>IFERROR(__xludf.DUMMYFUNCTION("""COMPUTED_VALUE"""),1816.3999999999999)</f>
        <v>1816.4</v>
      </c>
      <c r="BI892" s="71">
        <f>IFERROR(__xludf.DUMMYFUNCTION("""COMPUTED_VALUE"""),290.62399999999997)</f>
        <v>290.624</v>
      </c>
      <c r="BJ892" s="71">
        <f>IFERROR(__xludf.DUMMYFUNCTION("""COMPUTED_VALUE"""),2107.024)</f>
        <v>2107.024</v>
      </c>
      <c r="BK892" s="71">
        <f>IFERROR(__xludf.DUMMYFUNCTION("""COMPUTED_VALUE"""),1720.8)</f>
        <v>1720.8</v>
      </c>
      <c r="BL892" s="71">
        <f>IFERROR(__xludf.DUMMYFUNCTION("""COMPUTED_VALUE"""),275.328)</f>
        <v>275.328</v>
      </c>
      <c r="BM892" s="71">
        <f>IFERROR(__xludf.DUMMYFUNCTION("""COMPUTED_VALUE"""),1996.128)</f>
        <v>1996.128</v>
      </c>
      <c r="BN892" s="71">
        <f>IFERROR(__xludf.DUMMYFUNCTION("""COMPUTED_VALUE"""),1625.2)</f>
        <v>1625.2</v>
      </c>
      <c r="BO892" s="71">
        <f>IFERROR(__xludf.DUMMYFUNCTION("""COMPUTED_VALUE"""),260.03200000000004)</f>
        <v>260.032</v>
      </c>
      <c r="BP892" s="71">
        <f>IFERROR(__xludf.DUMMYFUNCTION("""COMPUTED_VALUE"""),1885.232)</f>
        <v>1885.232</v>
      </c>
      <c r="BQ892" s="71">
        <f>IFERROR(__xludf.DUMMYFUNCTION("""COMPUTED_VALUE"""),1586.96)</f>
        <v>1586.96</v>
      </c>
      <c r="BR892" s="71">
        <f>IFERROR(__xludf.DUMMYFUNCTION("""COMPUTED_VALUE"""),253.9136)</f>
        <v>253.9136</v>
      </c>
      <c r="BS892" s="71">
        <f>IFERROR(__xludf.DUMMYFUNCTION("""COMPUTED_VALUE"""),1840.8736000000001)</f>
        <v>1840.8736</v>
      </c>
      <c r="BT892" s="71">
        <f>IFERROR(__xludf.DUMMYFUNCTION("""COMPUTED_VALUE"""),1529.6000000000001)</f>
        <v>1529.6</v>
      </c>
      <c r="BU892" s="71">
        <f>IFERROR(__xludf.DUMMYFUNCTION("""COMPUTED_VALUE"""),244.73600000000002)</f>
        <v>244.736</v>
      </c>
      <c r="BV892" s="71">
        <f>IFERROR(__xludf.DUMMYFUNCTION("""COMPUTED_VALUE"""),1774.3360000000002)</f>
        <v>1774.336</v>
      </c>
    </row>
    <row r="893">
      <c r="A893" s="53">
        <v>1.0</v>
      </c>
      <c r="B893" s="72"/>
      <c r="C893" s="73" t="s">
        <v>53</v>
      </c>
      <c r="D893" s="74" t="s">
        <v>2159</v>
      </c>
      <c r="E893" s="54" t="s">
        <v>38</v>
      </c>
      <c r="F893" s="54" t="s">
        <v>42</v>
      </c>
      <c r="G893" s="88" t="s">
        <v>2160</v>
      </c>
      <c r="H893" s="54" t="s">
        <v>2161</v>
      </c>
      <c r="I893" s="54">
        <f t="shared" si="24"/>
        <v>39</v>
      </c>
      <c r="J893" s="56"/>
      <c r="K893" s="75"/>
      <c r="L893" s="76"/>
      <c r="M893" s="59"/>
      <c r="N893" s="60">
        <v>134.0</v>
      </c>
      <c r="O893" s="61">
        <v>144.0</v>
      </c>
      <c r="P893" s="62">
        <v>155.52</v>
      </c>
      <c r="Q893" s="63">
        <v>155.52</v>
      </c>
      <c r="R893" s="64">
        <v>174.0</v>
      </c>
      <c r="S893" s="111">
        <v>183.0</v>
      </c>
      <c r="T893" s="65">
        <f t="shared" si="2"/>
        <v>29.28</v>
      </c>
      <c r="U893" s="65">
        <f t="shared" si="3"/>
        <v>212.28</v>
      </c>
      <c r="V893" s="66">
        <f t="shared" si="4"/>
        <v>0.05172413793</v>
      </c>
      <c r="W893" s="67">
        <f t="shared" si="5"/>
        <v>173.85</v>
      </c>
      <c r="X893" s="67">
        <f t="shared" si="6"/>
        <v>27.816</v>
      </c>
      <c r="Y893" s="67">
        <f t="shared" si="7"/>
        <v>201.666</v>
      </c>
      <c r="Z893" s="67">
        <f t="shared" si="8"/>
        <v>164.7</v>
      </c>
      <c r="AA893" s="67">
        <f t="shared" si="9"/>
        <v>26.352</v>
      </c>
      <c r="AB893" s="67">
        <f t="shared" si="10"/>
        <v>191.052</v>
      </c>
      <c r="AC893" s="67">
        <f t="shared" si="11"/>
        <v>155.55</v>
      </c>
      <c r="AD893" s="67">
        <f t="shared" si="12"/>
        <v>24.888</v>
      </c>
      <c r="AE893" s="67">
        <f t="shared" si="13"/>
        <v>180.438</v>
      </c>
      <c r="AF893" s="67">
        <f t="shared" si="33"/>
        <v>151.89</v>
      </c>
      <c r="AG893" s="67">
        <f t="shared" si="15"/>
        <v>24.3024</v>
      </c>
      <c r="AH893" s="67">
        <f t="shared" si="16"/>
        <v>176.1924</v>
      </c>
      <c r="AI893" s="67">
        <f t="shared" si="17"/>
        <v>146.4</v>
      </c>
      <c r="AJ893" s="68">
        <f t="shared" si="31"/>
        <v>23.424</v>
      </c>
      <c r="AK893" s="68">
        <f t="shared" si="32"/>
        <v>169.824</v>
      </c>
      <c r="AL893" s="70">
        <f>IFERROR(__xludf.DUMMYFUNCTION("""COMPUTED_VALUE"""),1.0)</f>
        <v>1</v>
      </c>
      <c r="AM893" s="70"/>
      <c r="AN893" s="71" t="str">
        <f>IFERROR(__xludf.DUMMYFUNCTION("""COMPUTED_VALUE""")," P")</f>
        <v>P</v>
      </c>
      <c r="AO893" s="71" t="str">
        <f>IFERROR(__xludf.DUMMYFUNCTION("""COMPUTED_VALUE""")," PE12")</f>
        <v>PE12</v>
      </c>
      <c r="AP893" s="71" t="str">
        <f>IFERROR(__xludf.DUMMYFUNCTION("""COMPUTED_VALUE""")," PZA")</f>
        <v>PZA</v>
      </c>
      <c r="AQ893" s="71" t="str">
        <f>IFERROR(__xludf.DUMMYFUNCTION("""COMPUTED_VALUE""")," REF")</f>
        <v>REF</v>
      </c>
      <c r="AR893" s="71" t="str">
        <f>IFERROR(__xludf.DUMMYFUNCTION("""COMPUTED_VALUE""")," PERFILADOR FE-INOX DUPLEX 10 CM")</f>
        <v>PERFILADOR FE-INOX DUPLEX 10 CM</v>
      </c>
      <c r="AS893" s="71" t="str">
        <f>IFERROR(__xludf.DUMMYFUNCTION("""COMPUTED_VALUE""")," PERFILADOR FE-INOX DUPLEX 10 CM")</f>
        <v>PERFILADOR FE-INOX DUPLEX 10 CM</v>
      </c>
      <c r="AT893" s="71">
        <f>IFERROR(__xludf.DUMMYFUNCTION("""COMPUTED_VALUE"""),31.0)</f>
        <v>31</v>
      </c>
      <c r="AU893" s="71"/>
      <c r="AV893" s="71"/>
      <c r="AW893" s="71"/>
      <c r="AX893" s="71"/>
      <c r="AY893" s="71">
        <f>IFERROR(__xludf.DUMMYFUNCTION("""COMPUTED_VALUE"""),2719.0)</f>
        <v>2719</v>
      </c>
      <c r="AZ893" s="71">
        <f>IFERROR(__xludf.DUMMYFUNCTION("""COMPUTED_VALUE"""),2936.0)</f>
        <v>2936</v>
      </c>
      <c r="BA893" s="71">
        <f>IFERROR(__xludf.DUMMYFUNCTION("""COMPUTED_VALUE"""),3170.88)</f>
        <v>3170.88</v>
      </c>
      <c r="BB893" s="71">
        <f>IFERROR(__xludf.DUMMYFUNCTION("""COMPUTED_VALUE"""),3170.88)</f>
        <v>3170.88</v>
      </c>
      <c r="BC893" s="71">
        <f>IFERROR(__xludf.DUMMYFUNCTION("""COMPUTED_VALUE"""),3531.0)</f>
        <v>3531</v>
      </c>
      <c r="BD893" s="71">
        <f>IFERROR(__xludf.DUMMYFUNCTION("""COMPUTED_VALUE"""),3708.0)</f>
        <v>3708</v>
      </c>
      <c r="BE893" s="71">
        <f>IFERROR(__xludf.DUMMYFUNCTION("""COMPUTED_VALUE"""),593.28)</f>
        <v>593.28</v>
      </c>
      <c r="BF893" s="71">
        <f>IFERROR(__xludf.DUMMYFUNCTION("""COMPUTED_VALUE"""),4301.28)</f>
        <v>4301.28</v>
      </c>
      <c r="BG893" s="71">
        <f>IFERROR(__xludf.DUMMYFUNCTION("""COMPUTED_VALUE"""),0.05012744265080714)</f>
        <v>0.05012744265</v>
      </c>
      <c r="BH893" s="71">
        <f>IFERROR(__xludf.DUMMYFUNCTION("""COMPUTED_VALUE"""),3522.6)</f>
        <v>3522.6</v>
      </c>
      <c r="BI893" s="71">
        <f>IFERROR(__xludf.DUMMYFUNCTION("""COMPUTED_VALUE"""),563.616)</f>
        <v>563.616</v>
      </c>
      <c r="BJ893" s="71">
        <f>IFERROR(__xludf.DUMMYFUNCTION("""COMPUTED_VALUE"""),4086.216)</f>
        <v>4086.216</v>
      </c>
      <c r="BK893" s="71">
        <f>IFERROR(__xludf.DUMMYFUNCTION("""COMPUTED_VALUE"""),3337.2000000000003)</f>
        <v>3337.2</v>
      </c>
      <c r="BL893" s="71">
        <f>IFERROR(__xludf.DUMMYFUNCTION("""COMPUTED_VALUE"""),533.952)</f>
        <v>533.952</v>
      </c>
      <c r="BM893" s="71">
        <f>IFERROR(__xludf.DUMMYFUNCTION("""COMPUTED_VALUE"""),3871.152)</f>
        <v>3871.152</v>
      </c>
      <c r="BN893" s="71">
        <f>IFERROR(__xludf.DUMMYFUNCTION("""COMPUTED_VALUE"""),3151.7999999999997)</f>
        <v>3151.8</v>
      </c>
      <c r="BO893" s="71">
        <f>IFERROR(__xludf.DUMMYFUNCTION("""COMPUTED_VALUE"""),504.28799999999995)</f>
        <v>504.288</v>
      </c>
      <c r="BP893" s="71">
        <f>IFERROR(__xludf.DUMMYFUNCTION("""COMPUTED_VALUE"""),3656.0879999999997)</f>
        <v>3656.088</v>
      </c>
      <c r="BQ893" s="71">
        <f>IFERROR(__xludf.DUMMYFUNCTION("""COMPUTED_VALUE"""),3077.64)</f>
        <v>3077.64</v>
      </c>
      <c r="BR893" s="71">
        <f>IFERROR(__xludf.DUMMYFUNCTION("""COMPUTED_VALUE"""),492.4224)</f>
        <v>492.4224</v>
      </c>
      <c r="BS893" s="71">
        <f>IFERROR(__xludf.DUMMYFUNCTION("""COMPUTED_VALUE"""),3570.0624)</f>
        <v>3570.0624</v>
      </c>
      <c r="BT893" s="71">
        <f>IFERROR(__xludf.DUMMYFUNCTION("""COMPUTED_VALUE"""),2966.4)</f>
        <v>2966.4</v>
      </c>
      <c r="BU893" s="71">
        <f>IFERROR(__xludf.DUMMYFUNCTION("""COMPUTED_VALUE"""),474.624)</f>
        <v>474.624</v>
      </c>
      <c r="BV893" s="71">
        <f>IFERROR(__xludf.DUMMYFUNCTION("""COMPUTED_VALUE"""),3441.0240000000003)</f>
        <v>3441.024</v>
      </c>
    </row>
    <row r="894">
      <c r="A894" s="53">
        <v>1.0</v>
      </c>
      <c r="B894" s="72"/>
      <c r="C894" s="73" t="s">
        <v>12</v>
      </c>
      <c r="D894" s="74" t="s">
        <v>2162</v>
      </c>
      <c r="E894" s="54" t="s">
        <v>38</v>
      </c>
      <c r="F894" s="54" t="s">
        <v>42</v>
      </c>
      <c r="G894" s="88" t="s">
        <v>2163</v>
      </c>
      <c r="H894" s="54" t="s">
        <v>2164</v>
      </c>
      <c r="I894" s="54">
        <f t="shared" si="24"/>
        <v>36</v>
      </c>
      <c r="J894" s="56"/>
      <c r="K894" s="75"/>
      <c r="L894" s="76"/>
      <c r="M894" s="59"/>
      <c r="N894" s="60">
        <v>48.0</v>
      </c>
      <c r="O894" s="61">
        <v>53.0</v>
      </c>
      <c r="P894" s="62">
        <v>60.72</v>
      </c>
      <c r="Q894" s="63">
        <v>60.72</v>
      </c>
      <c r="R894" s="64">
        <v>69.0</v>
      </c>
      <c r="S894" s="111">
        <v>72.0</v>
      </c>
      <c r="T894" s="65">
        <f t="shared" si="2"/>
        <v>11.52</v>
      </c>
      <c r="U894" s="65">
        <f t="shared" si="3"/>
        <v>83.52</v>
      </c>
      <c r="V894" s="66">
        <f t="shared" si="4"/>
        <v>0.04347826087</v>
      </c>
      <c r="W894" s="67">
        <f t="shared" si="5"/>
        <v>68.4</v>
      </c>
      <c r="X894" s="67">
        <f t="shared" si="6"/>
        <v>10.944</v>
      </c>
      <c r="Y894" s="67">
        <f t="shared" si="7"/>
        <v>79.344</v>
      </c>
      <c r="Z894" s="67">
        <f t="shared" si="8"/>
        <v>64.8</v>
      </c>
      <c r="AA894" s="67">
        <f t="shared" si="9"/>
        <v>10.368</v>
      </c>
      <c r="AB894" s="67">
        <f t="shared" si="10"/>
        <v>75.168</v>
      </c>
      <c r="AC894" s="67">
        <f t="shared" si="11"/>
        <v>61.2</v>
      </c>
      <c r="AD894" s="67">
        <f t="shared" si="12"/>
        <v>9.792</v>
      </c>
      <c r="AE894" s="67">
        <f t="shared" si="13"/>
        <v>70.992</v>
      </c>
      <c r="AF894" s="67">
        <f t="shared" si="33"/>
        <v>59.76</v>
      </c>
      <c r="AG894" s="67">
        <f t="shared" si="15"/>
        <v>9.5616</v>
      </c>
      <c r="AH894" s="67">
        <f t="shared" si="16"/>
        <v>69.3216</v>
      </c>
      <c r="AI894" s="67">
        <f t="shared" si="17"/>
        <v>57.6</v>
      </c>
      <c r="AJ894" s="68">
        <f t="shared" si="31"/>
        <v>9.216</v>
      </c>
      <c r="AK894" s="68">
        <f t="shared" si="32"/>
        <v>66.816</v>
      </c>
      <c r="AL894" s="70">
        <f>IFERROR(__xludf.DUMMYFUNCTION("""COMPUTED_VALUE"""),1.0)</f>
        <v>1</v>
      </c>
      <c r="AM894" s="70"/>
      <c r="AN894" s="71" t="str">
        <f>IFERROR(__xludf.DUMMYFUNCTION("""COMPUTED_VALUE""")," P")</f>
        <v>P</v>
      </c>
      <c r="AO894" s="71" t="str">
        <f>IFERROR(__xludf.DUMMYFUNCTION("""COMPUTED_VALUE""")," PE13")</f>
        <v>PE13</v>
      </c>
      <c r="AP894" s="71" t="str">
        <f>IFERROR(__xludf.DUMMYFUNCTION("""COMPUTED_VALUE""")," PZA")</f>
        <v>PZA</v>
      </c>
      <c r="AQ894" s="71" t="str">
        <f>IFERROR(__xludf.DUMMYFUNCTION("""COMPUTED_VALUE""")," REF")</f>
        <v>REF</v>
      </c>
      <c r="AR894" s="71" t="str">
        <f>IFERROR(__xludf.DUMMYFUNCTION("""COMPUTED_VALUE""")," PERFILADOR FE-INOX DUPLEX 11 CM")</f>
        <v>PERFILADOR FE-INOX DUPLEX 11 CM</v>
      </c>
      <c r="AS894" s="71" t="str">
        <f>IFERROR(__xludf.DUMMYFUNCTION("""COMPUTED_VALUE""")," PERFILADOR FE-INOX DUPLEX 11 CM")</f>
        <v>PERFILADOR FE-INOX DUPLEX 11 CM</v>
      </c>
      <c r="AT894" s="71">
        <f>IFERROR(__xludf.DUMMYFUNCTION("""COMPUTED_VALUE"""),31.0)</f>
        <v>31</v>
      </c>
      <c r="AU894" s="71"/>
      <c r="AV894" s="71"/>
      <c r="AW894" s="71"/>
      <c r="AX894" s="71"/>
      <c r="AY894" s="71">
        <f>IFERROR(__xludf.DUMMYFUNCTION("""COMPUTED_VALUE"""),2719.0)</f>
        <v>2719</v>
      </c>
      <c r="AZ894" s="71">
        <f>IFERROR(__xludf.DUMMYFUNCTION("""COMPUTED_VALUE"""),2936.0)</f>
        <v>2936</v>
      </c>
      <c r="BA894" s="71">
        <f>IFERROR(__xludf.DUMMYFUNCTION("""COMPUTED_VALUE"""),3170.88)</f>
        <v>3170.88</v>
      </c>
      <c r="BB894" s="71">
        <f>IFERROR(__xludf.DUMMYFUNCTION("""COMPUTED_VALUE"""),3170.88)</f>
        <v>3170.88</v>
      </c>
      <c r="BC894" s="71">
        <f>IFERROR(__xludf.DUMMYFUNCTION("""COMPUTED_VALUE"""),3531.0)</f>
        <v>3531</v>
      </c>
      <c r="BD894" s="71">
        <f>IFERROR(__xludf.DUMMYFUNCTION("""COMPUTED_VALUE"""),3708.0)</f>
        <v>3708</v>
      </c>
      <c r="BE894" s="71">
        <f>IFERROR(__xludf.DUMMYFUNCTION("""COMPUTED_VALUE"""),593.28)</f>
        <v>593.28</v>
      </c>
      <c r="BF894" s="71">
        <f>IFERROR(__xludf.DUMMYFUNCTION("""COMPUTED_VALUE"""),4301.28)</f>
        <v>4301.28</v>
      </c>
      <c r="BG894" s="71">
        <f>IFERROR(__xludf.DUMMYFUNCTION("""COMPUTED_VALUE"""),0.05012744265080714)</f>
        <v>0.05012744265</v>
      </c>
      <c r="BH894" s="71">
        <f>IFERROR(__xludf.DUMMYFUNCTION("""COMPUTED_VALUE"""),3522.6)</f>
        <v>3522.6</v>
      </c>
      <c r="BI894" s="71">
        <f>IFERROR(__xludf.DUMMYFUNCTION("""COMPUTED_VALUE"""),563.616)</f>
        <v>563.616</v>
      </c>
      <c r="BJ894" s="71">
        <f>IFERROR(__xludf.DUMMYFUNCTION("""COMPUTED_VALUE"""),4086.216)</f>
        <v>4086.216</v>
      </c>
      <c r="BK894" s="71">
        <f>IFERROR(__xludf.DUMMYFUNCTION("""COMPUTED_VALUE"""),3337.2000000000003)</f>
        <v>3337.2</v>
      </c>
      <c r="BL894" s="71">
        <f>IFERROR(__xludf.DUMMYFUNCTION("""COMPUTED_VALUE"""),533.952)</f>
        <v>533.952</v>
      </c>
      <c r="BM894" s="71">
        <f>IFERROR(__xludf.DUMMYFUNCTION("""COMPUTED_VALUE"""),3871.152)</f>
        <v>3871.152</v>
      </c>
      <c r="BN894" s="71">
        <f>IFERROR(__xludf.DUMMYFUNCTION("""COMPUTED_VALUE"""),3151.7999999999997)</f>
        <v>3151.8</v>
      </c>
      <c r="BO894" s="71">
        <f>IFERROR(__xludf.DUMMYFUNCTION("""COMPUTED_VALUE"""),504.28799999999995)</f>
        <v>504.288</v>
      </c>
      <c r="BP894" s="71">
        <f>IFERROR(__xludf.DUMMYFUNCTION("""COMPUTED_VALUE"""),3656.0879999999997)</f>
        <v>3656.088</v>
      </c>
      <c r="BQ894" s="71">
        <f>IFERROR(__xludf.DUMMYFUNCTION("""COMPUTED_VALUE"""),3077.64)</f>
        <v>3077.64</v>
      </c>
      <c r="BR894" s="71">
        <f>IFERROR(__xludf.DUMMYFUNCTION("""COMPUTED_VALUE"""),492.4224)</f>
        <v>492.4224</v>
      </c>
      <c r="BS894" s="71">
        <f>IFERROR(__xludf.DUMMYFUNCTION("""COMPUTED_VALUE"""),3570.0624)</f>
        <v>3570.0624</v>
      </c>
      <c r="BT894" s="71">
        <f>IFERROR(__xludf.DUMMYFUNCTION("""COMPUTED_VALUE"""),2966.4)</f>
        <v>2966.4</v>
      </c>
      <c r="BU894" s="71">
        <f>IFERROR(__xludf.DUMMYFUNCTION("""COMPUTED_VALUE"""),474.624)</f>
        <v>474.624</v>
      </c>
      <c r="BV894" s="71">
        <f>IFERROR(__xludf.DUMMYFUNCTION("""COMPUTED_VALUE"""),3441.0240000000003)</f>
        <v>3441.024</v>
      </c>
    </row>
    <row r="895">
      <c r="A895" s="53">
        <v>1.0</v>
      </c>
      <c r="B895" s="72"/>
      <c r="C895" s="73" t="s">
        <v>12</v>
      </c>
      <c r="D895" s="74" t="s">
        <v>2165</v>
      </c>
      <c r="E895" s="54" t="s">
        <v>38</v>
      </c>
      <c r="F895" s="54" t="s">
        <v>42</v>
      </c>
      <c r="G895" s="88" t="s">
        <v>2166</v>
      </c>
      <c r="H895" s="54" t="s">
        <v>2167</v>
      </c>
      <c r="I895" s="54">
        <f t="shared" si="24"/>
        <v>40</v>
      </c>
      <c r="J895" s="56"/>
      <c r="K895" s="75"/>
      <c r="L895" s="76"/>
      <c r="M895" s="59"/>
      <c r="N895" s="60">
        <v>33.0</v>
      </c>
      <c r="O895" s="61">
        <v>35.0</v>
      </c>
      <c r="P895" s="62">
        <v>35.2</v>
      </c>
      <c r="Q895" s="63">
        <v>35.2</v>
      </c>
      <c r="R895" s="64">
        <v>40.0</v>
      </c>
      <c r="S895" s="111">
        <v>42.0</v>
      </c>
      <c r="T895" s="65">
        <f t="shared" si="2"/>
        <v>6.72</v>
      </c>
      <c r="U895" s="65">
        <f t="shared" si="3"/>
        <v>48.72</v>
      </c>
      <c r="V895" s="66">
        <f t="shared" si="4"/>
        <v>0.05</v>
      </c>
      <c r="W895" s="67">
        <f t="shared" si="5"/>
        <v>39.9</v>
      </c>
      <c r="X895" s="67">
        <f t="shared" si="6"/>
        <v>6.384</v>
      </c>
      <c r="Y895" s="67">
        <f t="shared" si="7"/>
        <v>46.284</v>
      </c>
      <c r="Z895" s="67">
        <f t="shared" si="8"/>
        <v>37.8</v>
      </c>
      <c r="AA895" s="67">
        <f t="shared" si="9"/>
        <v>6.048</v>
      </c>
      <c r="AB895" s="67">
        <f t="shared" si="10"/>
        <v>43.848</v>
      </c>
      <c r="AC895" s="67">
        <f t="shared" si="11"/>
        <v>35.7</v>
      </c>
      <c r="AD895" s="67">
        <f t="shared" si="12"/>
        <v>5.712</v>
      </c>
      <c r="AE895" s="67">
        <f t="shared" si="13"/>
        <v>41.412</v>
      </c>
      <c r="AF895" s="67">
        <f t="shared" si="33"/>
        <v>34.86</v>
      </c>
      <c r="AG895" s="67">
        <f t="shared" si="15"/>
        <v>5.5776</v>
      </c>
      <c r="AH895" s="67">
        <f t="shared" si="16"/>
        <v>40.4376</v>
      </c>
      <c r="AI895" s="67">
        <f t="shared" si="17"/>
        <v>33.6</v>
      </c>
      <c r="AJ895" s="68">
        <f t="shared" si="31"/>
        <v>5.376</v>
      </c>
      <c r="AK895" s="68">
        <f t="shared" si="32"/>
        <v>38.976</v>
      </c>
      <c r="AL895" s="70">
        <f>IFERROR(__xludf.DUMMYFUNCTION("""COMPUTED_VALUE"""),1.0)</f>
        <v>1</v>
      </c>
      <c r="AM895" s="70"/>
      <c r="AN895" s="71" t="str">
        <f>IFERROR(__xludf.DUMMYFUNCTION("""COMPUTED_VALUE""")," P")</f>
        <v>P</v>
      </c>
      <c r="AO895" s="71" t="str">
        <f>IFERROR(__xludf.DUMMYFUNCTION("""COMPUTED_VALUE""")," PE15")</f>
        <v>PE15</v>
      </c>
      <c r="AP895" s="71" t="str">
        <f>IFERROR(__xludf.DUMMYFUNCTION("""COMPUTED_VALUE""")," PZA")</f>
        <v>PZA</v>
      </c>
      <c r="AQ895" s="71" t="str">
        <f>IFERROR(__xludf.DUMMYFUNCTION("""COMPUTED_VALUE""")," REF")</f>
        <v>REF</v>
      </c>
      <c r="AR895" s="71" t="str">
        <f>IFERROR(__xludf.DUMMYFUNCTION("""COMPUTED_VALUE""")," PERFILADOR FE-INOX DUPLEX 12 CM")</f>
        <v>PERFILADOR FE-INOX DUPLEX 12 CM</v>
      </c>
      <c r="AS895" s="71" t="str">
        <f>IFERROR(__xludf.DUMMYFUNCTION("""COMPUTED_VALUE""")," PERFILADOR FE-INOX DUPLEX 12 CM")</f>
        <v>PERFILADOR FE-INOX DUPLEX 12 CM</v>
      </c>
      <c r="AT895" s="71">
        <f>IFERROR(__xludf.DUMMYFUNCTION("""COMPUTED_VALUE"""),31.0)</f>
        <v>31</v>
      </c>
      <c r="AU895" s="71"/>
      <c r="AV895" s="71"/>
      <c r="AW895" s="71"/>
      <c r="AX895" s="71"/>
      <c r="AY895" s="71">
        <f>IFERROR(__xludf.DUMMYFUNCTION("""COMPUTED_VALUE"""),2719.0)</f>
        <v>2719</v>
      </c>
      <c r="AZ895" s="71">
        <f>IFERROR(__xludf.DUMMYFUNCTION("""COMPUTED_VALUE"""),2936.0)</f>
        <v>2936</v>
      </c>
      <c r="BA895" s="71">
        <f>IFERROR(__xludf.DUMMYFUNCTION("""COMPUTED_VALUE"""),3170.88)</f>
        <v>3170.88</v>
      </c>
      <c r="BB895" s="71">
        <f>IFERROR(__xludf.DUMMYFUNCTION("""COMPUTED_VALUE"""),3170.88)</f>
        <v>3170.88</v>
      </c>
      <c r="BC895" s="71">
        <f>IFERROR(__xludf.DUMMYFUNCTION("""COMPUTED_VALUE"""),3531.0)</f>
        <v>3531</v>
      </c>
      <c r="BD895" s="71">
        <f>IFERROR(__xludf.DUMMYFUNCTION("""COMPUTED_VALUE"""),3708.0)</f>
        <v>3708</v>
      </c>
      <c r="BE895" s="71">
        <f>IFERROR(__xludf.DUMMYFUNCTION("""COMPUTED_VALUE"""),593.28)</f>
        <v>593.28</v>
      </c>
      <c r="BF895" s="71">
        <f>IFERROR(__xludf.DUMMYFUNCTION("""COMPUTED_VALUE"""),4301.28)</f>
        <v>4301.28</v>
      </c>
      <c r="BG895" s="71">
        <f>IFERROR(__xludf.DUMMYFUNCTION("""COMPUTED_VALUE"""),0.05012744265080714)</f>
        <v>0.05012744265</v>
      </c>
      <c r="BH895" s="71">
        <f>IFERROR(__xludf.DUMMYFUNCTION("""COMPUTED_VALUE"""),3522.6)</f>
        <v>3522.6</v>
      </c>
      <c r="BI895" s="71">
        <f>IFERROR(__xludf.DUMMYFUNCTION("""COMPUTED_VALUE"""),563.616)</f>
        <v>563.616</v>
      </c>
      <c r="BJ895" s="71">
        <f>IFERROR(__xludf.DUMMYFUNCTION("""COMPUTED_VALUE"""),4086.216)</f>
        <v>4086.216</v>
      </c>
      <c r="BK895" s="71">
        <f>IFERROR(__xludf.DUMMYFUNCTION("""COMPUTED_VALUE"""),3337.2000000000003)</f>
        <v>3337.2</v>
      </c>
      <c r="BL895" s="71">
        <f>IFERROR(__xludf.DUMMYFUNCTION("""COMPUTED_VALUE"""),533.952)</f>
        <v>533.952</v>
      </c>
      <c r="BM895" s="71">
        <f>IFERROR(__xludf.DUMMYFUNCTION("""COMPUTED_VALUE"""),3871.152)</f>
        <v>3871.152</v>
      </c>
      <c r="BN895" s="71">
        <f>IFERROR(__xludf.DUMMYFUNCTION("""COMPUTED_VALUE"""),3151.7999999999997)</f>
        <v>3151.8</v>
      </c>
      <c r="BO895" s="71">
        <f>IFERROR(__xludf.DUMMYFUNCTION("""COMPUTED_VALUE"""),504.28799999999995)</f>
        <v>504.288</v>
      </c>
      <c r="BP895" s="71">
        <f>IFERROR(__xludf.DUMMYFUNCTION("""COMPUTED_VALUE"""),3656.0879999999997)</f>
        <v>3656.088</v>
      </c>
      <c r="BQ895" s="71">
        <f>IFERROR(__xludf.DUMMYFUNCTION("""COMPUTED_VALUE"""),3077.64)</f>
        <v>3077.64</v>
      </c>
      <c r="BR895" s="71">
        <f>IFERROR(__xludf.DUMMYFUNCTION("""COMPUTED_VALUE"""),492.4224)</f>
        <v>492.4224</v>
      </c>
      <c r="BS895" s="71">
        <f>IFERROR(__xludf.DUMMYFUNCTION("""COMPUTED_VALUE"""),3570.0624)</f>
        <v>3570.0624</v>
      </c>
      <c r="BT895" s="71">
        <f>IFERROR(__xludf.DUMMYFUNCTION("""COMPUTED_VALUE"""),2966.4)</f>
        <v>2966.4</v>
      </c>
      <c r="BU895" s="71">
        <f>IFERROR(__xludf.DUMMYFUNCTION("""COMPUTED_VALUE"""),474.624)</f>
        <v>474.624</v>
      </c>
      <c r="BV895" s="71">
        <f>IFERROR(__xludf.DUMMYFUNCTION("""COMPUTED_VALUE"""),3441.0240000000003)</f>
        <v>3441.024</v>
      </c>
    </row>
    <row r="896">
      <c r="A896" s="53">
        <v>1.0</v>
      </c>
      <c r="B896" s="53"/>
      <c r="C896" s="73" t="s">
        <v>12</v>
      </c>
      <c r="D896" s="74" t="s">
        <v>2168</v>
      </c>
      <c r="E896" s="54" t="s">
        <v>38</v>
      </c>
      <c r="F896" s="54" t="s">
        <v>42</v>
      </c>
      <c r="G896" s="55" t="s">
        <v>2169</v>
      </c>
      <c r="H896" s="54" t="s">
        <v>2170</v>
      </c>
      <c r="I896" s="54">
        <f t="shared" si="24"/>
        <v>37</v>
      </c>
      <c r="J896" s="56"/>
      <c r="K896" s="75"/>
      <c r="L896" s="76"/>
      <c r="M896" s="59"/>
      <c r="N896" s="60">
        <v>45.0</v>
      </c>
      <c r="O896" s="61">
        <v>48.0</v>
      </c>
      <c r="P896" s="62">
        <v>51.84</v>
      </c>
      <c r="Q896" s="63">
        <v>51.84</v>
      </c>
      <c r="R896" s="64">
        <v>58.0</v>
      </c>
      <c r="S896" s="111">
        <v>61.0</v>
      </c>
      <c r="T896" s="65">
        <f t="shared" si="2"/>
        <v>9.76</v>
      </c>
      <c r="U896" s="65">
        <f t="shared" si="3"/>
        <v>70.76</v>
      </c>
      <c r="V896" s="66">
        <f t="shared" si="4"/>
        <v>0.05172413793</v>
      </c>
      <c r="W896" s="67">
        <f t="shared" si="5"/>
        <v>57.95</v>
      </c>
      <c r="X896" s="67">
        <f t="shared" si="6"/>
        <v>9.272</v>
      </c>
      <c r="Y896" s="67">
        <f t="shared" si="7"/>
        <v>67.222</v>
      </c>
      <c r="Z896" s="67">
        <f t="shared" si="8"/>
        <v>54.9</v>
      </c>
      <c r="AA896" s="67">
        <f t="shared" si="9"/>
        <v>8.784</v>
      </c>
      <c r="AB896" s="67">
        <f t="shared" si="10"/>
        <v>63.684</v>
      </c>
      <c r="AC896" s="67">
        <f t="shared" si="11"/>
        <v>51.85</v>
      </c>
      <c r="AD896" s="67">
        <f t="shared" si="12"/>
        <v>8.296</v>
      </c>
      <c r="AE896" s="67">
        <f t="shared" si="13"/>
        <v>60.146</v>
      </c>
      <c r="AF896" s="67">
        <f t="shared" si="33"/>
        <v>50.63</v>
      </c>
      <c r="AG896" s="67">
        <f t="shared" si="15"/>
        <v>8.1008</v>
      </c>
      <c r="AH896" s="67">
        <f t="shared" si="16"/>
        <v>58.7308</v>
      </c>
      <c r="AI896" s="67">
        <f t="shared" si="17"/>
        <v>48.8</v>
      </c>
      <c r="AJ896" s="68">
        <f t="shared" si="31"/>
        <v>7.808</v>
      </c>
      <c r="AK896" s="68">
        <f t="shared" si="32"/>
        <v>56.608</v>
      </c>
      <c r="AL896" s="70">
        <f>IFERROR(__xludf.DUMMYFUNCTION("""COMPUTED_VALUE"""),1.0)</f>
        <v>1</v>
      </c>
      <c r="AM896" s="70"/>
      <c r="AN896" s="71" t="str">
        <f>IFERROR(__xludf.DUMMYFUNCTION("""COMPUTED_VALUE""")," P")</f>
        <v>P</v>
      </c>
      <c r="AO896" s="71" t="str">
        <f>IFERROR(__xludf.DUMMYFUNCTION("""COMPUTED_VALUE""")," PE14")</f>
        <v>PE14</v>
      </c>
      <c r="AP896" s="71" t="str">
        <f>IFERROR(__xludf.DUMMYFUNCTION("""COMPUTED_VALUE""")," PZA")</f>
        <v>PZA</v>
      </c>
      <c r="AQ896" s="71" t="str">
        <f>IFERROR(__xludf.DUMMYFUNCTION("""COMPUTED_VALUE""")," REF")</f>
        <v>REF</v>
      </c>
      <c r="AR896" s="71" t="str">
        <f>IFERROR(__xludf.DUMMYFUNCTION("""COMPUTED_VALUE""")," PERFILADOR FE-INOX DUPLEX 13 CM")</f>
        <v>PERFILADOR FE-INOX DUPLEX 13 CM</v>
      </c>
      <c r="AS896" s="71" t="str">
        <f>IFERROR(__xludf.DUMMYFUNCTION("""COMPUTED_VALUE""")," PERFILADOR FE-INOX DUPLEX 13 CM")</f>
        <v>PERFILADOR FE-INOX DUPLEX 13 CM</v>
      </c>
      <c r="AT896" s="71">
        <f>IFERROR(__xludf.DUMMYFUNCTION("""COMPUTED_VALUE"""),31.0)</f>
        <v>31</v>
      </c>
      <c r="AU896" s="71"/>
      <c r="AV896" s="71"/>
      <c r="AW896" s="71"/>
      <c r="AX896" s="71"/>
      <c r="AY896" s="71">
        <f>IFERROR(__xludf.DUMMYFUNCTION("""COMPUTED_VALUE"""),2719.0)</f>
        <v>2719</v>
      </c>
      <c r="AZ896" s="71">
        <f>IFERROR(__xludf.DUMMYFUNCTION("""COMPUTED_VALUE"""),2936.0)</f>
        <v>2936</v>
      </c>
      <c r="BA896" s="71">
        <f>IFERROR(__xludf.DUMMYFUNCTION("""COMPUTED_VALUE"""),3170.88)</f>
        <v>3170.88</v>
      </c>
      <c r="BB896" s="71">
        <f>IFERROR(__xludf.DUMMYFUNCTION("""COMPUTED_VALUE"""),3170.88)</f>
        <v>3170.88</v>
      </c>
      <c r="BC896" s="71">
        <f>IFERROR(__xludf.DUMMYFUNCTION("""COMPUTED_VALUE"""),3531.0)</f>
        <v>3531</v>
      </c>
      <c r="BD896" s="71">
        <f>IFERROR(__xludf.DUMMYFUNCTION("""COMPUTED_VALUE"""),3708.0)</f>
        <v>3708</v>
      </c>
      <c r="BE896" s="71">
        <f>IFERROR(__xludf.DUMMYFUNCTION("""COMPUTED_VALUE"""),593.28)</f>
        <v>593.28</v>
      </c>
      <c r="BF896" s="71">
        <f>IFERROR(__xludf.DUMMYFUNCTION("""COMPUTED_VALUE"""),4301.28)</f>
        <v>4301.28</v>
      </c>
      <c r="BG896" s="71">
        <f>IFERROR(__xludf.DUMMYFUNCTION("""COMPUTED_VALUE"""),0.05012744265080714)</f>
        <v>0.05012744265</v>
      </c>
      <c r="BH896" s="71">
        <f>IFERROR(__xludf.DUMMYFUNCTION("""COMPUTED_VALUE"""),3522.6)</f>
        <v>3522.6</v>
      </c>
      <c r="BI896" s="71">
        <f>IFERROR(__xludf.DUMMYFUNCTION("""COMPUTED_VALUE"""),563.616)</f>
        <v>563.616</v>
      </c>
      <c r="BJ896" s="71">
        <f>IFERROR(__xludf.DUMMYFUNCTION("""COMPUTED_VALUE"""),4086.216)</f>
        <v>4086.216</v>
      </c>
      <c r="BK896" s="71">
        <f>IFERROR(__xludf.DUMMYFUNCTION("""COMPUTED_VALUE"""),3337.2000000000003)</f>
        <v>3337.2</v>
      </c>
      <c r="BL896" s="71">
        <f>IFERROR(__xludf.DUMMYFUNCTION("""COMPUTED_VALUE"""),533.952)</f>
        <v>533.952</v>
      </c>
      <c r="BM896" s="71">
        <f>IFERROR(__xludf.DUMMYFUNCTION("""COMPUTED_VALUE"""),3871.152)</f>
        <v>3871.152</v>
      </c>
      <c r="BN896" s="71">
        <f>IFERROR(__xludf.DUMMYFUNCTION("""COMPUTED_VALUE"""),3151.7999999999997)</f>
        <v>3151.8</v>
      </c>
      <c r="BO896" s="71">
        <f>IFERROR(__xludf.DUMMYFUNCTION("""COMPUTED_VALUE"""),504.28799999999995)</f>
        <v>504.288</v>
      </c>
      <c r="BP896" s="71">
        <f>IFERROR(__xludf.DUMMYFUNCTION("""COMPUTED_VALUE"""),3656.0879999999997)</f>
        <v>3656.088</v>
      </c>
      <c r="BQ896" s="71">
        <f>IFERROR(__xludf.DUMMYFUNCTION("""COMPUTED_VALUE"""),3077.64)</f>
        <v>3077.64</v>
      </c>
      <c r="BR896" s="71">
        <f>IFERROR(__xludf.DUMMYFUNCTION("""COMPUTED_VALUE"""),492.4224)</f>
        <v>492.4224</v>
      </c>
      <c r="BS896" s="71">
        <f>IFERROR(__xludf.DUMMYFUNCTION("""COMPUTED_VALUE"""),3570.0624)</f>
        <v>3570.0624</v>
      </c>
      <c r="BT896" s="71">
        <f>IFERROR(__xludf.DUMMYFUNCTION("""COMPUTED_VALUE"""),2966.4)</f>
        <v>2966.4</v>
      </c>
      <c r="BU896" s="71">
        <f>IFERROR(__xludf.DUMMYFUNCTION("""COMPUTED_VALUE"""),474.624)</f>
        <v>474.624</v>
      </c>
      <c r="BV896" s="71">
        <f>IFERROR(__xludf.DUMMYFUNCTION("""COMPUTED_VALUE"""),3441.0240000000003)</f>
        <v>3441.024</v>
      </c>
    </row>
    <row r="897">
      <c r="A897" s="53">
        <v>1.0</v>
      </c>
      <c r="B897" s="72"/>
      <c r="C897" s="73" t="s">
        <v>53</v>
      </c>
      <c r="D897" s="74" t="s">
        <v>2171</v>
      </c>
      <c r="E897" s="54" t="s">
        <v>38</v>
      </c>
      <c r="F897" s="54" t="s">
        <v>42</v>
      </c>
      <c r="G897" s="88" t="s">
        <v>2172</v>
      </c>
      <c r="H897" s="54" t="s">
        <v>2172</v>
      </c>
      <c r="I897" s="54">
        <f t="shared" si="24"/>
        <v>36</v>
      </c>
      <c r="J897" s="56"/>
      <c r="K897" s="75"/>
      <c r="L897" s="76"/>
      <c r="M897" s="59"/>
      <c r="N897" s="60">
        <v>27.0</v>
      </c>
      <c r="O897" s="61">
        <v>29.0</v>
      </c>
      <c r="P897" s="62">
        <v>31.32</v>
      </c>
      <c r="Q897" s="63">
        <v>31.32</v>
      </c>
      <c r="R897" s="64">
        <v>35.0</v>
      </c>
      <c r="S897" s="111">
        <v>37.0</v>
      </c>
      <c r="T897" s="65">
        <f t="shared" si="2"/>
        <v>5.92</v>
      </c>
      <c r="U897" s="65">
        <f t="shared" si="3"/>
        <v>42.92</v>
      </c>
      <c r="V897" s="66">
        <f t="shared" si="4"/>
        <v>0.05714285714</v>
      </c>
      <c r="W897" s="67">
        <f t="shared" si="5"/>
        <v>35.15</v>
      </c>
      <c r="X897" s="67">
        <f t="shared" si="6"/>
        <v>5.624</v>
      </c>
      <c r="Y897" s="67">
        <f t="shared" si="7"/>
        <v>40.774</v>
      </c>
      <c r="Z897" s="67">
        <f t="shared" si="8"/>
        <v>33.3</v>
      </c>
      <c r="AA897" s="67">
        <f t="shared" si="9"/>
        <v>5.328</v>
      </c>
      <c r="AB897" s="67">
        <f t="shared" si="10"/>
        <v>38.628</v>
      </c>
      <c r="AC897" s="67">
        <f t="shared" si="11"/>
        <v>31.45</v>
      </c>
      <c r="AD897" s="67">
        <f t="shared" si="12"/>
        <v>5.032</v>
      </c>
      <c r="AE897" s="67">
        <f t="shared" si="13"/>
        <v>36.482</v>
      </c>
      <c r="AF897" s="67">
        <f t="shared" si="33"/>
        <v>30.71</v>
      </c>
      <c r="AG897" s="67">
        <f t="shared" si="15"/>
        <v>4.9136</v>
      </c>
      <c r="AH897" s="67">
        <f t="shared" si="16"/>
        <v>35.6236</v>
      </c>
      <c r="AI897" s="67">
        <f t="shared" si="17"/>
        <v>29.6</v>
      </c>
      <c r="AJ897" s="68">
        <f t="shared" si="31"/>
        <v>4.736</v>
      </c>
      <c r="AK897" s="68">
        <f t="shared" si="32"/>
        <v>34.336</v>
      </c>
      <c r="AL897" s="70">
        <f>IFERROR(__xludf.DUMMYFUNCTION("""COMPUTED_VALUE"""),1.0)</f>
        <v>1</v>
      </c>
      <c r="AM897" s="70"/>
      <c r="AN897" s="71" t="str">
        <f>IFERROR(__xludf.DUMMYFUNCTION("""COMPUTED_VALUE""")," P")</f>
        <v>P</v>
      </c>
      <c r="AO897" s="71" t="str">
        <f>IFERROR(__xludf.DUMMYFUNCTION("""COMPUTED_VALUE""")," PE16")</f>
        <v>PE16</v>
      </c>
      <c r="AP897" s="71" t="str">
        <f>IFERROR(__xludf.DUMMYFUNCTION("""COMPUTED_VALUE""")," PZA")</f>
        <v>PZA</v>
      </c>
      <c r="AQ897" s="71" t="str">
        <f>IFERROR(__xludf.DUMMYFUNCTION("""COMPUTED_VALUE""")," REF")</f>
        <v>REF</v>
      </c>
      <c r="AR897" s="71" t="str">
        <f>IFERROR(__xludf.DUMMYFUNCTION("""COMPUTED_VALUE""")," PERFILADOR FE-INOX DUPLEX 14 CM")</f>
        <v>PERFILADOR FE-INOX DUPLEX 14 CM</v>
      </c>
      <c r="AS897" s="71" t="str">
        <f>IFERROR(__xludf.DUMMYFUNCTION("""COMPUTED_VALUE""")," PERFILADOR FE-INOX DUPLEX 14 CM")</f>
        <v>PERFILADOR FE-INOX DUPLEX 14 CM</v>
      </c>
      <c r="AT897" s="71">
        <f>IFERROR(__xludf.DUMMYFUNCTION("""COMPUTED_VALUE"""),31.0)</f>
        <v>31</v>
      </c>
      <c r="AU897" s="71"/>
      <c r="AV897" s="71"/>
      <c r="AW897" s="71"/>
      <c r="AX897" s="71"/>
      <c r="AY897" s="71">
        <f>IFERROR(__xludf.DUMMYFUNCTION("""COMPUTED_VALUE"""),2719.0)</f>
        <v>2719</v>
      </c>
      <c r="AZ897" s="71">
        <f>IFERROR(__xludf.DUMMYFUNCTION("""COMPUTED_VALUE"""),2936.0)</f>
        <v>2936</v>
      </c>
      <c r="BA897" s="71">
        <f>IFERROR(__xludf.DUMMYFUNCTION("""COMPUTED_VALUE"""),3170.88)</f>
        <v>3170.88</v>
      </c>
      <c r="BB897" s="71">
        <f>IFERROR(__xludf.DUMMYFUNCTION("""COMPUTED_VALUE"""),3170.88)</f>
        <v>3170.88</v>
      </c>
      <c r="BC897" s="71">
        <f>IFERROR(__xludf.DUMMYFUNCTION("""COMPUTED_VALUE"""),3531.0)</f>
        <v>3531</v>
      </c>
      <c r="BD897" s="71">
        <f>IFERROR(__xludf.DUMMYFUNCTION("""COMPUTED_VALUE"""),3708.0)</f>
        <v>3708</v>
      </c>
      <c r="BE897" s="71">
        <f>IFERROR(__xludf.DUMMYFUNCTION("""COMPUTED_VALUE"""),593.28)</f>
        <v>593.28</v>
      </c>
      <c r="BF897" s="71">
        <f>IFERROR(__xludf.DUMMYFUNCTION("""COMPUTED_VALUE"""),4301.28)</f>
        <v>4301.28</v>
      </c>
      <c r="BG897" s="71">
        <f>IFERROR(__xludf.DUMMYFUNCTION("""COMPUTED_VALUE"""),0.05012744265080714)</f>
        <v>0.05012744265</v>
      </c>
      <c r="BH897" s="71">
        <f>IFERROR(__xludf.DUMMYFUNCTION("""COMPUTED_VALUE"""),3522.6)</f>
        <v>3522.6</v>
      </c>
      <c r="BI897" s="71">
        <f>IFERROR(__xludf.DUMMYFUNCTION("""COMPUTED_VALUE"""),563.616)</f>
        <v>563.616</v>
      </c>
      <c r="BJ897" s="71">
        <f>IFERROR(__xludf.DUMMYFUNCTION("""COMPUTED_VALUE"""),4086.216)</f>
        <v>4086.216</v>
      </c>
      <c r="BK897" s="71">
        <f>IFERROR(__xludf.DUMMYFUNCTION("""COMPUTED_VALUE"""),3337.2000000000003)</f>
        <v>3337.2</v>
      </c>
      <c r="BL897" s="71">
        <f>IFERROR(__xludf.DUMMYFUNCTION("""COMPUTED_VALUE"""),533.952)</f>
        <v>533.952</v>
      </c>
      <c r="BM897" s="71">
        <f>IFERROR(__xludf.DUMMYFUNCTION("""COMPUTED_VALUE"""),3871.152)</f>
        <v>3871.152</v>
      </c>
      <c r="BN897" s="71">
        <f>IFERROR(__xludf.DUMMYFUNCTION("""COMPUTED_VALUE"""),3151.7999999999997)</f>
        <v>3151.8</v>
      </c>
      <c r="BO897" s="71">
        <f>IFERROR(__xludf.DUMMYFUNCTION("""COMPUTED_VALUE"""),504.28799999999995)</f>
        <v>504.288</v>
      </c>
      <c r="BP897" s="71">
        <f>IFERROR(__xludf.DUMMYFUNCTION("""COMPUTED_VALUE"""),3656.0879999999997)</f>
        <v>3656.088</v>
      </c>
      <c r="BQ897" s="71">
        <f>IFERROR(__xludf.DUMMYFUNCTION("""COMPUTED_VALUE"""),3077.64)</f>
        <v>3077.64</v>
      </c>
      <c r="BR897" s="71">
        <f>IFERROR(__xludf.DUMMYFUNCTION("""COMPUTED_VALUE"""),492.4224)</f>
        <v>492.4224</v>
      </c>
      <c r="BS897" s="71">
        <f>IFERROR(__xludf.DUMMYFUNCTION("""COMPUTED_VALUE"""),3570.0624)</f>
        <v>3570.0624</v>
      </c>
      <c r="BT897" s="71">
        <f>IFERROR(__xludf.DUMMYFUNCTION("""COMPUTED_VALUE"""),2966.4)</f>
        <v>2966.4</v>
      </c>
      <c r="BU897" s="71">
        <f>IFERROR(__xludf.DUMMYFUNCTION("""COMPUTED_VALUE"""),474.624)</f>
        <v>474.624</v>
      </c>
      <c r="BV897" s="71">
        <f>IFERROR(__xludf.DUMMYFUNCTION("""COMPUTED_VALUE"""),3441.0240000000003)</f>
        <v>3441.024</v>
      </c>
    </row>
    <row r="898">
      <c r="A898" s="53">
        <v>1.0</v>
      </c>
      <c r="B898" s="72"/>
      <c r="C898" s="73" t="s">
        <v>53</v>
      </c>
      <c r="D898" s="74" t="s">
        <v>2173</v>
      </c>
      <c r="E898" s="54" t="s">
        <v>38</v>
      </c>
      <c r="F898" s="54" t="s">
        <v>42</v>
      </c>
      <c r="G898" s="88" t="s">
        <v>2174</v>
      </c>
      <c r="H898" s="54" t="s">
        <v>2175</v>
      </c>
      <c r="I898" s="54">
        <f t="shared" si="24"/>
        <v>31</v>
      </c>
      <c r="J898" s="56"/>
      <c r="K898" s="75"/>
      <c r="L898" s="76"/>
      <c r="M898" s="59"/>
      <c r="N898" s="60">
        <v>27.0</v>
      </c>
      <c r="O898" s="61">
        <v>29.0</v>
      </c>
      <c r="P898" s="62">
        <v>31.32</v>
      </c>
      <c r="Q898" s="63">
        <v>31.32</v>
      </c>
      <c r="R898" s="64">
        <v>35.0</v>
      </c>
      <c r="S898" s="111">
        <v>37.0</v>
      </c>
      <c r="T898" s="65">
        <f t="shared" si="2"/>
        <v>5.92</v>
      </c>
      <c r="U898" s="65">
        <f t="shared" si="3"/>
        <v>42.92</v>
      </c>
      <c r="V898" s="66">
        <f t="shared" si="4"/>
        <v>0.05714285714</v>
      </c>
      <c r="W898" s="67">
        <f t="shared" si="5"/>
        <v>35.15</v>
      </c>
      <c r="X898" s="67">
        <f t="shared" si="6"/>
        <v>5.624</v>
      </c>
      <c r="Y898" s="67">
        <f t="shared" si="7"/>
        <v>40.774</v>
      </c>
      <c r="Z898" s="67">
        <f t="shared" si="8"/>
        <v>33.3</v>
      </c>
      <c r="AA898" s="67">
        <f t="shared" si="9"/>
        <v>5.328</v>
      </c>
      <c r="AB898" s="67">
        <f t="shared" si="10"/>
        <v>38.628</v>
      </c>
      <c r="AC898" s="67">
        <f t="shared" si="11"/>
        <v>31.45</v>
      </c>
      <c r="AD898" s="67">
        <f t="shared" si="12"/>
        <v>5.032</v>
      </c>
      <c r="AE898" s="67">
        <f t="shared" si="13"/>
        <v>36.482</v>
      </c>
      <c r="AF898" s="67">
        <f t="shared" si="33"/>
        <v>30.71</v>
      </c>
      <c r="AG898" s="67">
        <f t="shared" si="15"/>
        <v>4.9136</v>
      </c>
      <c r="AH898" s="67">
        <f t="shared" si="16"/>
        <v>35.6236</v>
      </c>
      <c r="AI898" s="67">
        <f t="shared" si="17"/>
        <v>29.6</v>
      </c>
      <c r="AJ898" s="68">
        <f t="shared" si="31"/>
        <v>4.736</v>
      </c>
      <c r="AK898" s="68">
        <f t="shared" si="32"/>
        <v>34.336</v>
      </c>
      <c r="AL898" s="70">
        <f>IFERROR(__xludf.DUMMYFUNCTION("""COMPUTED_VALUE"""),1.0)</f>
        <v>1</v>
      </c>
      <c r="AM898" s="70"/>
      <c r="AN898" s="71" t="str">
        <f>IFERROR(__xludf.DUMMYFUNCTION("""COMPUTED_VALUE""")," C")</f>
        <v>C</v>
      </c>
      <c r="AO898" s="71" t="str">
        <f>IFERROR(__xludf.DUMMYFUNCTION("""COMPUTED_VALUE""")," PE17")</f>
        <v>PE17</v>
      </c>
      <c r="AP898" s="71" t="str">
        <f>IFERROR(__xludf.DUMMYFUNCTION("""COMPUTED_VALUE""")," PZA")</f>
        <v>PZA</v>
      </c>
      <c r="AQ898" s="71" t="str">
        <f>IFERROR(__xludf.DUMMYFUNCTION("""COMPUTED_VALUE""")," REF")</f>
        <v>REF</v>
      </c>
      <c r="AR898" s="71" t="str">
        <f>IFERROR(__xludf.DUMMYFUNCTION("""COMPUTED_VALUE""")," PERFILADOR FE-INOX DUPLEX 15 CM")</f>
        <v>PERFILADOR FE-INOX DUPLEX 15 CM</v>
      </c>
      <c r="AS898" s="71" t="str">
        <f>IFERROR(__xludf.DUMMYFUNCTION("""COMPUTED_VALUE""")," PERFILADOR FE-INOX DUPLEX 15 CM")</f>
        <v>PERFILADOR FE-INOX DUPLEX 15 CM</v>
      </c>
      <c r="AT898" s="71">
        <f>IFERROR(__xludf.DUMMYFUNCTION("""COMPUTED_VALUE"""),31.0)</f>
        <v>31</v>
      </c>
      <c r="AU898" s="71"/>
      <c r="AV898" s="71"/>
      <c r="AW898" s="71"/>
      <c r="AX898" s="71"/>
      <c r="AY898" s="71">
        <f>IFERROR(__xludf.DUMMYFUNCTION("""COMPUTED_VALUE"""),2719.0)</f>
        <v>2719</v>
      </c>
      <c r="AZ898" s="71">
        <f>IFERROR(__xludf.DUMMYFUNCTION("""COMPUTED_VALUE"""),2936.0)</f>
        <v>2936</v>
      </c>
      <c r="BA898" s="71">
        <f>IFERROR(__xludf.DUMMYFUNCTION("""COMPUTED_VALUE"""),3170.88)</f>
        <v>3170.88</v>
      </c>
      <c r="BB898" s="71">
        <f>IFERROR(__xludf.DUMMYFUNCTION("""COMPUTED_VALUE"""),3170.88)</f>
        <v>3170.88</v>
      </c>
      <c r="BC898" s="71">
        <f>IFERROR(__xludf.DUMMYFUNCTION("""COMPUTED_VALUE"""),3531.0)</f>
        <v>3531</v>
      </c>
      <c r="BD898" s="71">
        <f>IFERROR(__xludf.DUMMYFUNCTION("""COMPUTED_VALUE"""),3708.0)</f>
        <v>3708</v>
      </c>
      <c r="BE898" s="71">
        <f>IFERROR(__xludf.DUMMYFUNCTION("""COMPUTED_VALUE"""),593.28)</f>
        <v>593.28</v>
      </c>
      <c r="BF898" s="71">
        <f>IFERROR(__xludf.DUMMYFUNCTION("""COMPUTED_VALUE"""),4301.28)</f>
        <v>4301.28</v>
      </c>
      <c r="BG898" s="71">
        <f>IFERROR(__xludf.DUMMYFUNCTION("""COMPUTED_VALUE"""),0.05012744265080714)</f>
        <v>0.05012744265</v>
      </c>
      <c r="BH898" s="71">
        <f>IFERROR(__xludf.DUMMYFUNCTION("""COMPUTED_VALUE"""),3522.6)</f>
        <v>3522.6</v>
      </c>
      <c r="BI898" s="71">
        <f>IFERROR(__xludf.DUMMYFUNCTION("""COMPUTED_VALUE"""),563.616)</f>
        <v>563.616</v>
      </c>
      <c r="BJ898" s="71">
        <f>IFERROR(__xludf.DUMMYFUNCTION("""COMPUTED_VALUE"""),4086.216)</f>
        <v>4086.216</v>
      </c>
      <c r="BK898" s="71">
        <f>IFERROR(__xludf.DUMMYFUNCTION("""COMPUTED_VALUE"""),3337.2000000000003)</f>
        <v>3337.2</v>
      </c>
      <c r="BL898" s="71">
        <f>IFERROR(__xludf.DUMMYFUNCTION("""COMPUTED_VALUE"""),533.952)</f>
        <v>533.952</v>
      </c>
      <c r="BM898" s="71">
        <f>IFERROR(__xludf.DUMMYFUNCTION("""COMPUTED_VALUE"""),3871.152)</f>
        <v>3871.152</v>
      </c>
      <c r="BN898" s="71">
        <f>IFERROR(__xludf.DUMMYFUNCTION("""COMPUTED_VALUE"""),3151.7999999999997)</f>
        <v>3151.8</v>
      </c>
      <c r="BO898" s="71">
        <f>IFERROR(__xludf.DUMMYFUNCTION("""COMPUTED_VALUE"""),504.28799999999995)</f>
        <v>504.288</v>
      </c>
      <c r="BP898" s="71">
        <f>IFERROR(__xludf.DUMMYFUNCTION("""COMPUTED_VALUE"""),3656.0879999999997)</f>
        <v>3656.088</v>
      </c>
      <c r="BQ898" s="71">
        <f>IFERROR(__xludf.DUMMYFUNCTION("""COMPUTED_VALUE"""),3077.64)</f>
        <v>3077.64</v>
      </c>
      <c r="BR898" s="71">
        <f>IFERROR(__xludf.DUMMYFUNCTION("""COMPUTED_VALUE"""),492.4224)</f>
        <v>492.4224</v>
      </c>
      <c r="BS898" s="71">
        <f>IFERROR(__xludf.DUMMYFUNCTION("""COMPUTED_VALUE"""),3570.0624)</f>
        <v>3570.0624</v>
      </c>
      <c r="BT898" s="71">
        <f>IFERROR(__xludf.DUMMYFUNCTION("""COMPUTED_VALUE"""),2966.4)</f>
        <v>2966.4</v>
      </c>
      <c r="BU898" s="71">
        <f>IFERROR(__xludf.DUMMYFUNCTION("""COMPUTED_VALUE"""),474.624)</f>
        <v>474.624</v>
      </c>
      <c r="BV898" s="71">
        <f>IFERROR(__xludf.DUMMYFUNCTION("""COMPUTED_VALUE"""),3441.0240000000003)</f>
        <v>3441.024</v>
      </c>
    </row>
    <row r="899">
      <c r="A899" s="53">
        <v>1.0</v>
      </c>
      <c r="B899" s="53"/>
      <c r="C899" s="73" t="s">
        <v>12</v>
      </c>
      <c r="D899" s="74" t="s">
        <v>2176</v>
      </c>
      <c r="E899" s="54" t="s">
        <v>38</v>
      </c>
      <c r="F899" s="54" t="s">
        <v>42</v>
      </c>
      <c r="G899" s="54" t="s">
        <v>2177</v>
      </c>
      <c r="H899" s="54" t="s">
        <v>2178</v>
      </c>
      <c r="I899" s="54">
        <f t="shared" si="24"/>
        <v>32</v>
      </c>
      <c r="J899" s="56"/>
      <c r="K899" s="57"/>
      <c r="L899" s="87"/>
      <c r="M899" s="59"/>
      <c r="N899" s="60">
        <v>120.0</v>
      </c>
      <c r="O899" s="61">
        <v>129.0</v>
      </c>
      <c r="P899" s="62">
        <v>139.32000000000002</v>
      </c>
      <c r="Q899" s="63">
        <v>139.32000000000002</v>
      </c>
      <c r="R899" s="64">
        <v>156.0</v>
      </c>
      <c r="S899" s="111">
        <v>164.0</v>
      </c>
      <c r="T899" s="65">
        <f t="shared" si="2"/>
        <v>26.24</v>
      </c>
      <c r="U899" s="65">
        <f t="shared" si="3"/>
        <v>190.24</v>
      </c>
      <c r="V899" s="66">
        <f t="shared" si="4"/>
        <v>0.05128205128</v>
      </c>
      <c r="W899" s="67">
        <f t="shared" si="5"/>
        <v>155.8</v>
      </c>
      <c r="X899" s="67">
        <f t="shared" si="6"/>
        <v>24.928</v>
      </c>
      <c r="Y899" s="67">
        <f t="shared" si="7"/>
        <v>180.728</v>
      </c>
      <c r="Z899" s="67">
        <f t="shared" si="8"/>
        <v>147.6</v>
      </c>
      <c r="AA899" s="67">
        <f t="shared" si="9"/>
        <v>23.616</v>
      </c>
      <c r="AB899" s="67">
        <f t="shared" si="10"/>
        <v>171.216</v>
      </c>
      <c r="AC899" s="67">
        <f t="shared" si="11"/>
        <v>139.4</v>
      </c>
      <c r="AD899" s="67">
        <f t="shared" si="12"/>
        <v>22.304</v>
      </c>
      <c r="AE899" s="67">
        <f t="shared" si="13"/>
        <v>161.704</v>
      </c>
      <c r="AF899" s="67">
        <f t="shared" si="33"/>
        <v>136.12</v>
      </c>
      <c r="AG899" s="67">
        <f t="shared" si="15"/>
        <v>21.7792</v>
      </c>
      <c r="AH899" s="67">
        <f t="shared" si="16"/>
        <v>157.8992</v>
      </c>
      <c r="AI899" s="67">
        <f t="shared" si="17"/>
        <v>131.2</v>
      </c>
      <c r="AJ899" s="68">
        <f t="shared" si="31"/>
        <v>20.992</v>
      </c>
      <c r="AK899" s="68">
        <f t="shared" si="32"/>
        <v>152.192</v>
      </c>
      <c r="AL899" s="70">
        <f>IFERROR(__xludf.DUMMYFUNCTION("""COMPUTED_VALUE"""),1.0)</f>
        <v>1</v>
      </c>
      <c r="AM899" s="70"/>
      <c r="AN899" s="71" t="str">
        <f>IFERROR(__xludf.DUMMYFUNCTION("""COMPUTED_VALUE""")," P")</f>
        <v>P</v>
      </c>
      <c r="AO899" s="71" t="str">
        <f>IFERROR(__xludf.DUMMYFUNCTION("""COMPUTED_VALUE""")," PE18")</f>
        <v>PE18</v>
      </c>
      <c r="AP899" s="71" t="str">
        <f>IFERROR(__xludf.DUMMYFUNCTION("""COMPUTED_VALUE""")," PZA")</f>
        <v>PZA</v>
      </c>
      <c r="AQ899" s="71" t="str">
        <f>IFERROR(__xludf.DUMMYFUNCTION("""COMPUTED_VALUE""")," REF")</f>
        <v>REF</v>
      </c>
      <c r="AR899" s="71" t="str">
        <f>IFERROR(__xludf.DUMMYFUNCTION("""COMPUTED_VALUE""")," PERFILADOR FE-INOX DUPLEX 16 CM")</f>
        <v>PERFILADOR FE-INOX DUPLEX 16 CM</v>
      </c>
      <c r="AS899" s="71" t="str">
        <f>IFERROR(__xludf.DUMMYFUNCTION("""COMPUTED_VALUE""")," PERFILADOR FE-INOX DUPLEX 16 CM")</f>
        <v>PERFILADOR FE-INOX DUPLEX 16 CM</v>
      </c>
      <c r="AT899" s="71">
        <f>IFERROR(__xludf.DUMMYFUNCTION("""COMPUTED_VALUE"""),31.0)</f>
        <v>31</v>
      </c>
      <c r="AU899" s="71"/>
      <c r="AV899" s="71"/>
      <c r="AW899" s="71"/>
      <c r="AX899" s="71"/>
      <c r="AY899" s="71">
        <f>IFERROR(__xludf.DUMMYFUNCTION("""COMPUTED_VALUE"""),2719.0)</f>
        <v>2719</v>
      </c>
      <c r="AZ899" s="71">
        <f>IFERROR(__xludf.DUMMYFUNCTION("""COMPUTED_VALUE"""),2936.0)</f>
        <v>2936</v>
      </c>
      <c r="BA899" s="71">
        <f>IFERROR(__xludf.DUMMYFUNCTION("""COMPUTED_VALUE"""),3170.88)</f>
        <v>3170.88</v>
      </c>
      <c r="BB899" s="71">
        <f>IFERROR(__xludf.DUMMYFUNCTION("""COMPUTED_VALUE"""),3170.88)</f>
        <v>3170.88</v>
      </c>
      <c r="BC899" s="71">
        <f>IFERROR(__xludf.DUMMYFUNCTION("""COMPUTED_VALUE"""),3531.0)</f>
        <v>3531</v>
      </c>
      <c r="BD899" s="71">
        <f>IFERROR(__xludf.DUMMYFUNCTION("""COMPUTED_VALUE"""),3708.0)</f>
        <v>3708</v>
      </c>
      <c r="BE899" s="71">
        <f>IFERROR(__xludf.DUMMYFUNCTION("""COMPUTED_VALUE"""),593.28)</f>
        <v>593.28</v>
      </c>
      <c r="BF899" s="71">
        <f>IFERROR(__xludf.DUMMYFUNCTION("""COMPUTED_VALUE"""),4301.28)</f>
        <v>4301.28</v>
      </c>
      <c r="BG899" s="71">
        <f>IFERROR(__xludf.DUMMYFUNCTION("""COMPUTED_VALUE"""),0.05012744265080714)</f>
        <v>0.05012744265</v>
      </c>
      <c r="BH899" s="71">
        <f>IFERROR(__xludf.DUMMYFUNCTION("""COMPUTED_VALUE"""),3522.6)</f>
        <v>3522.6</v>
      </c>
      <c r="BI899" s="71">
        <f>IFERROR(__xludf.DUMMYFUNCTION("""COMPUTED_VALUE"""),563.616)</f>
        <v>563.616</v>
      </c>
      <c r="BJ899" s="71">
        <f>IFERROR(__xludf.DUMMYFUNCTION("""COMPUTED_VALUE"""),4086.216)</f>
        <v>4086.216</v>
      </c>
      <c r="BK899" s="71">
        <f>IFERROR(__xludf.DUMMYFUNCTION("""COMPUTED_VALUE"""),3337.2000000000003)</f>
        <v>3337.2</v>
      </c>
      <c r="BL899" s="71">
        <f>IFERROR(__xludf.DUMMYFUNCTION("""COMPUTED_VALUE"""),533.952)</f>
        <v>533.952</v>
      </c>
      <c r="BM899" s="71">
        <f>IFERROR(__xludf.DUMMYFUNCTION("""COMPUTED_VALUE"""),3871.152)</f>
        <v>3871.152</v>
      </c>
      <c r="BN899" s="71">
        <f>IFERROR(__xludf.DUMMYFUNCTION("""COMPUTED_VALUE"""),3151.7999999999997)</f>
        <v>3151.8</v>
      </c>
      <c r="BO899" s="71">
        <f>IFERROR(__xludf.DUMMYFUNCTION("""COMPUTED_VALUE"""),504.28799999999995)</f>
        <v>504.288</v>
      </c>
      <c r="BP899" s="71">
        <f>IFERROR(__xludf.DUMMYFUNCTION("""COMPUTED_VALUE"""),3656.0879999999997)</f>
        <v>3656.088</v>
      </c>
      <c r="BQ899" s="71">
        <f>IFERROR(__xludf.DUMMYFUNCTION("""COMPUTED_VALUE"""),3077.64)</f>
        <v>3077.64</v>
      </c>
      <c r="BR899" s="71">
        <f>IFERROR(__xludf.DUMMYFUNCTION("""COMPUTED_VALUE"""),492.4224)</f>
        <v>492.4224</v>
      </c>
      <c r="BS899" s="71">
        <f>IFERROR(__xludf.DUMMYFUNCTION("""COMPUTED_VALUE"""),3570.0624)</f>
        <v>3570.0624</v>
      </c>
      <c r="BT899" s="71">
        <f>IFERROR(__xludf.DUMMYFUNCTION("""COMPUTED_VALUE"""),2966.4)</f>
        <v>2966.4</v>
      </c>
      <c r="BU899" s="71">
        <f>IFERROR(__xludf.DUMMYFUNCTION("""COMPUTED_VALUE"""),474.624)</f>
        <v>474.624</v>
      </c>
      <c r="BV899" s="71">
        <f>IFERROR(__xludf.DUMMYFUNCTION("""COMPUTED_VALUE"""),3441.0240000000003)</f>
        <v>3441.024</v>
      </c>
    </row>
    <row r="900">
      <c r="A900" s="53">
        <v>1.0</v>
      </c>
      <c r="B900" s="72"/>
      <c r="C900" s="73" t="s">
        <v>12</v>
      </c>
      <c r="D900" s="74" t="s">
        <v>2179</v>
      </c>
      <c r="E900" s="54" t="s">
        <v>38</v>
      </c>
      <c r="F900" s="54" t="s">
        <v>42</v>
      </c>
      <c r="G900" s="55" t="s">
        <v>2180</v>
      </c>
      <c r="H900" s="54" t="s">
        <v>2180</v>
      </c>
      <c r="I900" s="54">
        <f t="shared" si="24"/>
        <v>35</v>
      </c>
      <c r="J900" s="56"/>
      <c r="K900" s="75"/>
      <c r="L900" s="76"/>
      <c r="M900" s="59"/>
      <c r="N900" s="60">
        <v>79.0</v>
      </c>
      <c r="O900" s="61">
        <v>60.0</v>
      </c>
      <c r="P900" s="62">
        <v>71.76</v>
      </c>
      <c r="Q900" s="63">
        <v>71.76</v>
      </c>
      <c r="R900" s="64">
        <v>81.0</v>
      </c>
      <c r="S900" s="111">
        <v>85.0</v>
      </c>
      <c r="T900" s="65">
        <f t="shared" si="2"/>
        <v>13.6</v>
      </c>
      <c r="U900" s="65">
        <f t="shared" si="3"/>
        <v>98.6</v>
      </c>
      <c r="V900" s="66">
        <f t="shared" si="4"/>
        <v>0.04938271605</v>
      </c>
      <c r="W900" s="67">
        <f t="shared" si="5"/>
        <v>80.75</v>
      </c>
      <c r="X900" s="67">
        <f t="shared" si="6"/>
        <v>12.92</v>
      </c>
      <c r="Y900" s="67">
        <f t="shared" si="7"/>
        <v>93.67</v>
      </c>
      <c r="Z900" s="67">
        <f t="shared" si="8"/>
        <v>76.5</v>
      </c>
      <c r="AA900" s="67">
        <f t="shared" si="9"/>
        <v>12.24</v>
      </c>
      <c r="AB900" s="67">
        <f t="shared" si="10"/>
        <v>88.74</v>
      </c>
      <c r="AC900" s="67">
        <f t="shared" si="11"/>
        <v>72.25</v>
      </c>
      <c r="AD900" s="67">
        <f t="shared" si="12"/>
        <v>11.56</v>
      </c>
      <c r="AE900" s="67">
        <f t="shared" si="13"/>
        <v>83.81</v>
      </c>
      <c r="AF900" s="67">
        <f t="shared" si="33"/>
        <v>70.55</v>
      </c>
      <c r="AG900" s="67">
        <f t="shared" si="15"/>
        <v>11.288</v>
      </c>
      <c r="AH900" s="67">
        <f t="shared" si="16"/>
        <v>81.838</v>
      </c>
      <c r="AI900" s="67">
        <f t="shared" si="17"/>
        <v>68</v>
      </c>
      <c r="AJ900" s="68">
        <f t="shared" si="31"/>
        <v>10.88</v>
      </c>
      <c r="AK900" s="68">
        <f t="shared" si="32"/>
        <v>78.88</v>
      </c>
      <c r="AL900" s="70">
        <f>IFERROR(__xludf.DUMMYFUNCTION("""COMPUTED_VALUE"""),1.0)</f>
        <v>1</v>
      </c>
      <c r="AM900" s="70"/>
      <c r="AN900" s="71" t="str">
        <f>IFERROR(__xludf.DUMMYFUNCTION("""COMPUTED_VALUE""")," P")</f>
        <v>P</v>
      </c>
      <c r="AO900" s="71" t="str">
        <f>IFERROR(__xludf.DUMMYFUNCTION("""COMPUTED_VALUE""")," PE38")</f>
        <v>PE38</v>
      </c>
      <c r="AP900" s="71" t="str">
        <f>IFERROR(__xludf.DUMMYFUNCTION("""COMPUTED_VALUE""")," PZA")</f>
        <v>PZA</v>
      </c>
      <c r="AQ900" s="71" t="str">
        <f>IFERROR(__xludf.DUMMYFUNCTION("""COMPUTED_VALUE""")," REF")</f>
        <v>REF</v>
      </c>
      <c r="AR900" s="71" t="str">
        <f>IFERROR(__xludf.DUMMYFUNCTION("""COMPUTED_VALUE""")," PERFILADOR FE-INOX SENCILLO 10 CM")</f>
        <v>PERFILADOR FE-INOX SENCILLO 10 CM</v>
      </c>
      <c r="AS900" s="71" t="str">
        <f>IFERROR(__xludf.DUMMYFUNCTION("""COMPUTED_VALUE""")," PERFILADOR FE-INOX SENCILLO 10 CM")</f>
        <v>PERFILADOR FE-INOX SENCILLO 10 CM</v>
      </c>
      <c r="AT900" s="71">
        <f>IFERROR(__xludf.DUMMYFUNCTION("""COMPUTED_VALUE"""),33.0)</f>
        <v>33</v>
      </c>
      <c r="AU900" s="71"/>
      <c r="AV900" s="71"/>
      <c r="AW900" s="71"/>
      <c r="AX900" s="71"/>
      <c r="AY900" s="71">
        <f>IFERROR(__xludf.DUMMYFUNCTION("""COMPUTED_VALUE"""),1113.0)</f>
        <v>1113</v>
      </c>
      <c r="AZ900" s="71">
        <f>IFERROR(__xludf.DUMMYFUNCTION("""COMPUTED_VALUE"""),1202.0)</f>
        <v>1202</v>
      </c>
      <c r="BA900" s="71">
        <f>IFERROR(__xludf.DUMMYFUNCTION("""COMPUTED_VALUE"""),1298.16)</f>
        <v>1298.16</v>
      </c>
      <c r="BB900" s="71">
        <f>IFERROR(__xludf.DUMMYFUNCTION("""COMPUTED_VALUE"""),1298.16)</f>
        <v>1298.16</v>
      </c>
      <c r="BC900" s="71">
        <f>IFERROR(__xludf.DUMMYFUNCTION("""COMPUTED_VALUE"""),1446.0)</f>
        <v>1446</v>
      </c>
      <c r="BD900" s="71">
        <f>IFERROR(__xludf.DUMMYFUNCTION("""COMPUTED_VALUE"""),1518.0)</f>
        <v>1518</v>
      </c>
      <c r="BE900" s="71">
        <f>IFERROR(__xludf.DUMMYFUNCTION("""COMPUTED_VALUE"""),242.88)</f>
        <v>242.88</v>
      </c>
      <c r="BF900" s="71">
        <f>IFERROR(__xludf.DUMMYFUNCTION("""COMPUTED_VALUE"""),1760.88)</f>
        <v>1760.88</v>
      </c>
      <c r="BG900" s="71">
        <f>IFERROR(__xludf.DUMMYFUNCTION("""COMPUTED_VALUE"""),0.04979253112033195)</f>
        <v>0.04979253112</v>
      </c>
      <c r="BH900" s="71">
        <f>IFERROR(__xludf.DUMMYFUNCTION("""COMPUTED_VALUE"""),1442.1)</f>
        <v>1442.1</v>
      </c>
      <c r="BI900" s="71">
        <f>IFERROR(__xludf.DUMMYFUNCTION("""COMPUTED_VALUE"""),230.736)</f>
        <v>230.736</v>
      </c>
      <c r="BJ900" s="71">
        <f>IFERROR(__xludf.DUMMYFUNCTION("""COMPUTED_VALUE"""),1672.8359999999998)</f>
        <v>1672.836</v>
      </c>
      <c r="BK900" s="71">
        <f>IFERROR(__xludf.DUMMYFUNCTION("""COMPUTED_VALUE"""),1366.2)</f>
        <v>1366.2</v>
      </c>
      <c r="BL900" s="71">
        <f>IFERROR(__xludf.DUMMYFUNCTION("""COMPUTED_VALUE"""),218.592)</f>
        <v>218.592</v>
      </c>
      <c r="BM900" s="71">
        <f>IFERROR(__xludf.DUMMYFUNCTION("""COMPUTED_VALUE"""),1584.7920000000001)</f>
        <v>1584.792</v>
      </c>
      <c r="BN900" s="71">
        <f>IFERROR(__xludf.DUMMYFUNCTION("""COMPUTED_VALUE"""),1290.3)</f>
        <v>1290.3</v>
      </c>
      <c r="BO900" s="71">
        <f>IFERROR(__xludf.DUMMYFUNCTION("""COMPUTED_VALUE"""),206.448)</f>
        <v>206.448</v>
      </c>
      <c r="BP900" s="71">
        <f>IFERROR(__xludf.DUMMYFUNCTION("""COMPUTED_VALUE"""),1496.748)</f>
        <v>1496.748</v>
      </c>
      <c r="BQ900" s="71">
        <f>IFERROR(__xludf.DUMMYFUNCTION("""COMPUTED_VALUE"""),1259.9399999999998)</f>
        <v>1259.94</v>
      </c>
      <c r="BR900" s="71">
        <f>IFERROR(__xludf.DUMMYFUNCTION("""COMPUTED_VALUE"""),201.5904)</f>
        <v>201.5904</v>
      </c>
      <c r="BS900" s="71">
        <f>IFERROR(__xludf.DUMMYFUNCTION("""COMPUTED_VALUE"""),1461.5303999999999)</f>
        <v>1461.5304</v>
      </c>
      <c r="BT900" s="71">
        <f>IFERROR(__xludf.DUMMYFUNCTION("""COMPUTED_VALUE"""),1214.4)</f>
        <v>1214.4</v>
      </c>
      <c r="BU900" s="71">
        <f>IFERROR(__xludf.DUMMYFUNCTION("""COMPUTED_VALUE"""),194.30400000000003)</f>
        <v>194.304</v>
      </c>
      <c r="BV900" s="71">
        <f>IFERROR(__xludf.DUMMYFUNCTION("""COMPUTED_VALUE"""),1408.7040000000002)</f>
        <v>1408.704</v>
      </c>
    </row>
    <row r="901">
      <c r="A901" s="53">
        <v>1.0</v>
      </c>
      <c r="B901" s="72"/>
      <c r="C901" s="73" t="s">
        <v>12</v>
      </c>
      <c r="D901" s="74" t="s">
        <v>2181</v>
      </c>
      <c r="E901" s="54" t="s">
        <v>38</v>
      </c>
      <c r="F901" s="54" t="s">
        <v>42</v>
      </c>
      <c r="G901" s="88" t="s">
        <v>2182</v>
      </c>
      <c r="H901" s="54" t="s">
        <v>2182</v>
      </c>
      <c r="I901" s="54">
        <f t="shared" si="24"/>
        <v>36</v>
      </c>
      <c r="J901" s="56"/>
      <c r="K901" s="75"/>
      <c r="L901" s="76"/>
      <c r="M901" s="59"/>
      <c r="N901" s="60">
        <v>68.0</v>
      </c>
      <c r="O901" s="61">
        <v>73.0</v>
      </c>
      <c r="P901" s="62">
        <v>78.84</v>
      </c>
      <c r="Q901" s="63">
        <v>78.84</v>
      </c>
      <c r="R901" s="64">
        <v>89.0</v>
      </c>
      <c r="S901" s="111">
        <v>93.0</v>
      </c>
      <c r="T901" s="65">
        <f t="shared" si="2"/>
        <v>14.88</v>
      </c>
      <c r="U901" s="65">
        <f t="shared" si="3"/>
        <v>107.88</v>
      </c>
      <c r="V901" s="66">
        <f t="shared" si="4"/>
        <v>0.04494382022</v>
      </c>
      <c r="W901" s="67">
        <f t="shared" si="5"/>
        <v>88.35</v>
      </c>
      <c r="X901" s="67">
        <f t="shared" si="6"/>
        <v>14.136</v>
      </c>
      <c r="Y901" s="67">
        <f t="shared" si="7"/>
        <v>102.486</v>
      </c>
      <c r="Z901" s="67">
        <f t="shared" si="8"/>
        <v>83.7</v>
      </c>
      <c r="AA901" s="67">
        <f t="shared" si="9"/>
        <v>13.392</v>
      </c>
      <c r="AB901" s="67">
        <f t="shared" si="10"/>
        <v>97.092</v>
      </c>
      <c r="AC901" s="67">
        <f t="shared" si="11"/>
        <v>79.05</v>
      </c>
      <c r="AD901" s="67">
        <f t="shared" si="12"/>
        <v>12.648</v>
      </c>
      <c r="AE901" s="67">
        <f t="shared" si="13"/>
        <v>91.698</v>
      </c>
      <c r="AF901" s="67">
        <f t="shared" si="33"/>
        <v>77.19</v>
      </c>
      <c r="AG901" s="67">
        <f t="shared" si="15"/>
        <v>12.3504</v>
      </c>
      <c r="AH901" s="67">
        <f t="shared" si="16"/>
        <v>89.5404</v>
      </c>
      <c r="AI901" s="67">
        <f t="shared" si="17"/>
        <v>74.4</v>
      </c>
      <c r="AJ901" s="68">
        <f t="shared" si="31"/>
        <v>11.904</v>
      </c>
      <c r="AK901" s="68">
        <f t="shared" si="32"/>
        <v>86.304</v>
      </c>
      <c r="AL901" s="70">
        <f>IFERROR(__xludf.DUMMYFUNCTION("""COMPUTED_VALUE"""),1.0)</f>
        <v>1</v>
      </c>
      <c r="AM901" s="70"/>
      <c r="AN901" s="71" t="str">
        <f>IFERROR(__xludf.DUMMYFUNCTION("""COMPUTED_VALUE""")," P")</f>
        <v>P</v>
      </c>
      <c r="AO901" s="71" t="str">
        <f>IFERROR(__xludf.DUMMYFUNCTION("""COMPUTED_VALUE""")," PE39")</f>
        <v>PE39</v>
      </c>
      <c r="AP901" s="71" t="str">
        <f>IFERROR(__xludf.DUMMYFUNCTION("""COMPUTED_VALUE""")," PZA")</f>
        <v>PZA</v>
      </c>
      <c r="AQ901" s="71" t="str">
        <f>IFERROR(__xludf.DUMMYFUNCTION("""COMPUTED_VALUE""")," REF")</f>
        <v>REF</v>
      </c>
      <c r="AR901" s="71" t="str">
        <f>IFERROR(__xludf.DUMMYFUNCTION("""COMPUTED_VALUE""")," PERFILADOR FE-INOX SENCILLO 11 CM")</f>
        <v>PERFILADOR FE-INOX SENCILLO 11 CM</v>
      </c>
      <c r="AS901" s="71" t="str">
        <f>IFERROR(__xludf.DUMMYFUNCTION("""COMPUTED_VALUE""")," PERFILADOR FE-INOX SENCILLO 11 CM")</f>
        <v>PERFILADOR FE-INOX SENCILLO 11 CM</v>
      </c>
      <c r="AT901" s="71">
        <f>IFERROR(__xludf.DUMMYFUNCTION("""COMPUTED_VALUE"""),33.0)</f>
        <v>33</v>
      </c>
      <c r="AU901" s="71"/>
      <c r="AV901" s="71"/>
      <c r="AW901" s="71"/>
      <c r="AX901" s="71"/>
      <c r="AY901" s="71">
        <f>IFERROR(__xludf.DUMMYFUNCTION("""COMPUTED_VALUE"""),1113.0)</f>
        <v>1113</v>
      </c>
      <c r="AZ901" s="71">
        <f>IFERROR(__xludf.DUMMYFUNCTION("""COMPUTED_VALUE"""),1202.0)</f>
        <v>1202</v>
      </c>
      <c r="BA901" s="71">
        <f>IFERROR(__xludf.DUMMYFUNCTION("""COMPUTED_VALUE"""),1298.16)</f>
        <v>1298.16</v>
      </c>
      <c r="BB901" s="71">
        <f>IFERROR(__xludf.DUMMYFUNCTION("""COMPUTED_VALUE"""),1298.16)</f>
        <v>1298.16</v>
      </c>
      <c r="BC901" s="71">
        <f>IFERROR(__xludf.DUMMYFUNCTION("""COMPUTED_VALUE"""),1446.0)</f>
        <v>1446</v>
      </c>
      <c r="BD901" s="71">
        <f>IFERROR(__xludf.DUMMYFUNCTION("""COMPUTED_VALUE"""),1518.0)</f>
        <v>1518</v>
      </c>
      <c r="BE901" s="71">
        <f>IFERROR(__xludf.DUMMYFUNCTION("""COMPUTED_VALUE"""),242.88)</f>
        <v>242.88</v>
      </c>
      <c r="BF901" s="71">
        <f>IFERROR(__xludf.DUMMYFUNCTION("""COMPUTED_VALUE"""),1760.88)</f>
        <v>1760.88</v>
      </c>
      <c r="BG901" s="71">
        <f>IFERROR(__xludf.DUMMYFUNCTION("""COMPUTED_VALUE"""),0.04979253112033195)</f>
        <v>0.04979253112</v>
      </c>
      <c r="BH901" s="71">
        <f>IFERROR(__xludf.DUMMYFUNCTION("""COMPUTED_VALUE"""),1442.1)</f>
        <v>1442.1</v>
      </c>
      <c r="BI901" s="71">
        <f>IFERROR(__xludf.DUMMYFUNCTION("""COMPUTED_VALUE"""),230.736)</f>
        <v>230.736</v>
      </c>
      <c r="BJ901" s="71">
        <f>IFERROR(__xludf.DUMMYFUNCTION("""COMPUTED_VALUE"""),1672.8359999999998)</f>
        <v>1672.836</v>
      </c>
      <c r="BK901" s="71">
        <f>IFERROR(__xludf.DUMMYFUNCTION("""COMPUTED_VALUE"""),1366.2)</f>
        <v>1366.2</v>
      </c>
      <c r="BL901" s="71">
        <f>IFERROR(__xludf.DUMMYFUNCTION("""COMPUTED_VALUE"""),218.592)</f>
        <v>218.592</v>
      </c>
      <c r="BM901" s="71">
        <f>IFERROR(__xludf.DUMMYFUNCTION("""COMPUTED_VALUE"""),1584.7920000000001)</f>
        <v>1584.792</v>
      </c>
      <c r="BN901" s="71">
        <f>IFERROR(__xludf.DUMMYFUNCTION("""COMPUTED_VALUE"""),1290.3)</f>
        <v>1290.3</v>
      </c>
      <c r="BO901" s="71">
        <f>IFERROR(__xludf.DUMMYFUNCTION("""COMPUTED_VALUE"""),206.448)</f>
        <v>206.448</v>
      </c>
      <c r="BP901" s="71">
        <f>IFERROR(__xludf.DUMMYFUNCTION("""COMPUTED_VALUE"""),1496.748)</f>
        <v>1496.748</v>
      </c>
      <c r="BQ901" s="71">
        <f>IFERROR(__xludf.DUMMYFUNCTION("""COMPUTED_VALUE"""),1259.9399999999998)</f>
        <v>1259.94</v>
      </c>
      <c r="BR901" s="71">
        <f>IFERROR(__xludf.DUMMYFUNCTION("""COMPUTED_VALUE"""),201.5904)</f>
        <v>201.5904</v>
      </c>
      <c r="BS901" s="71">
        <f>IFERROR(__xludf.DUMMYFUNCTION("""COMPUTED_VALUE"""),1461.5303999999999)</f>
        <v>1461.5304</v>
      </c>
      <c r="BT901" s="71">
        <f>IFERROR(__xludf.DUMMYFUNCTION("""COMPUTED_VALUE"""),1214.4)</f>
        <v>1214.4</v>
      </c>
      <c r="BU901" s="71">
        <f>IFERROR(__xludf.DUMMYFUNCTION("""COMPUTED_VALUE"""),194.30400000000003)</f>
        <v>194.304</v>
      </c>
      <c r="BV901" s="71">
        <f>IFERROR(__xludf.DUMMYFUNCTION("""COMPUTED_VALUE"""),1408.7040000000002)</f>
        <v>1408.704</v>
      </c>
    </row>
    <row r="902">
      <c r="A902" s="53">
        <v>1.0</v>
      </c>
      <c r="B902" s="72"/>
      <c r="C902" s="73" t="s">
        <v>12</v>
      </c>
      <c r="D902" s="74" t="s">
        <v>2183</v>
      </c>
      <c r="E902" s="54" t="s">
        <v>38</v>
      </c>
      <c r="F902" s="54" t="s">
        <v>42</v>
      </c>
      <c r="G902" s="88" t="s">
        <v>2184</v>
      </c>
      <c r="H902" s="54" t="s">
        <v>2184</v>
      </c>
      <c r="I902" s="54">
        <f t="shared" si="24"/>
        <v>38</v>
      </c>
      <c r="J902" s="56"/>
      <c r="K902" s="75"/>
      <c r="L902" s="76"/>
      <c r="M902" s="59"/>
      <c r="N902" s="60">
        <v>61.0</v>
      </c>
      <c r="O902" s="61">
        <v>60.0</v>
      </c>
      <c r="P902" s="62">
        <v>69.92</v>
      </c>
      <c r="Q902" s="63">
        <v>69.92</v>
      </c>
      <c r="R902" s="64">
        <v>79.0</v>
      </c>
      <c r="S902" s="111">
        <v>83.0</v>
      </c>
      <c r="T902" s="65">
        <f t="shared" si="2"/>
        <v>13.28</v>
      </c>
      <c r="U902" s="65">
        <f t="shared" si="3"/>
        <v>96.28</v>
      </c>
      <c r="V902" s="66">
        <f t="shared" si="4"/>
        <v>0.05063291139</v>
      </c>
      <c r="W902" s="67">
        <f t="shared" si="5"/>
        <v>78.85</v>
      </c>
      <c r="X902" s="67">
        <f t="shared" si="6"/>
        <v>12.616</v>
      </c>
      <c r="Y902" s="67">
        <f t="shared" si="7"/>
        <v>91.466</v>
      </c>
      <c r="Z902" s="67">
        <f t="shared" si="8"/>
        <v>74.7</v>
      </c>
      <c r="AA902" s="67">
        <f t="shared" si="9"/>
        <v>11.952</v>
      </c>
      <c r="AB902" s="67">
        <f t="shared" si="10"/>
        <v>86.652</v>
      </c>
      <c r="AC902" s="67">
        <f t="shared" si="11"/>
        <v>70.55</v>
      </c>
      <c r="AD902" s="67">
        <f t="shared" si="12"/>
        <v>11.288</v>
      </c>
      <c r="AE902" s="67">
        <f t="shared" si="13"/>
        <v>81.838</v>
      </c>
      <c r="AF902" s="67">
        <f t="shared" si="33"/>
        <v>68.89</v>
      </c>
      <c r="AG902" s="67">
        <f t="shared" si="15"/>
        <v>11.0224</v>
      </c>
      <c r="AH902" s="67">
        <f t="shared" si="16"/>
        <v>79.9124</v>
      </c>
      <c r="AI902" s="67">
        <f t="shared" si="17"/>
        <v>66.4</v>
      </c>
      <c r="AJ902" s="68">
        <f t="shared" si="31"/>
        <v>10.624</v>
      </c>
      <c r="AK902" s="68">
        <f t="shared" si="32"/>
        <v>77.024</v>
      </c>
      <c r="AL902" s="70">
        <f>IFERROR(__xludf.DUMMYFUNCTION("""COMPUTED_VALUE"""),1.0)</f>
        <v>1</v>
      </c>
      <c r="AM902" s="70"/>
      <c r="AN902" s="71" t="str">
        <f>IFERROR(__xludf.DUMMYFUNCTION("""COMPUTED_VALUE""")," P")</f>
        <v>P</v>
      </c>
      <c r="AO902" s="71" t="str">
        <f>IFERROR(__xludf.DUMMYFUNCTION("""COMPUTED_VALUE""")," PE40")</f>
        <v>PE40</v>
      </c>
      <c r="AP902" s="71" t="str">
        <f>IFERROR(__xludf.DUMMYFUNCTION("""COMPUTED_VALUE""")," PZA")</f>
        <v>PZA</v>
      </c>
      <c r="AQ902" s="71" t="str">
        <f>IFERROR(__xludf.DUMMYFUNCTION("""COMPUTED_VALUE""")," REF")</f>
        <v>REF</v>
      </c>
      <c r="AR902" s="71" t="str">
        <f>IFERROR(__xludf.DUMMYFUNCTION("""COMPUTED_VALUE""")," PERFILADOR FE-INOX SENCILLO 12 CM")</f>
        <v>PERFILADOR FE-INOX SENCILLO 12 CM</v>
      </c>
      <c r="AS902" s="71" t="str">
        <f>IFERROR(__xludf.DUMMYFUNCTION("""COMPUTED_VALUE""")," PERFILADOR FE-INOX SENCILLO 12 CM")</f>
        <v>PERFILADOR FE-INOX SENCILLO 12 CM</v>
      </c>
      <c r="AT902" s="71">
        <f>IFERROR(__xludf.DUMMYFUNCTION("""COMPUTED_VALUE"""),33.0)</f>
        <v>33</v>
      </c>
      <c r="AU902" s="71"/>
      <c r="AV902" s="71"/>
      <c r="AW902" s="71"/>
      <c r="AX902" s="71"/>
      <c r="AY902" s="71">
        <f>IFERROR(__xludf.DUMMYFUNCTION("""COMPUTED_VALUE"""),1113.0)</f>
        <v>1113</v>
      </c>
      <c r="AZ902" s="71">
        <f>IFERROR(__xludf.DUMMYFUNCTION("""COMPUTED_VALUE"""),1202.0)</f>
        <v>1202</v>
      </c>
      <c r="BA902" s="71">
        <f>IFERROR(__xludf.DUMMYFUNCTION("""COMPUTED_VALUE"""),1298.16)</f>
        <v>1298.16</v>
      </c>
      <c r="BB902" s="71">
        <f>IFERROR(__xludf.DUMMYFUNCTION("""COMPUTED_VALUE"""),1298.16)</f>
        <v>1298.16</v>
      </c>
      <c r="BC902" s="71">
        <f>IFERROR(__xludf.DUMMYFUNCTION("""COMPUTED_VALUE"""),1446.0)</f>
        <v>1446</v>
      </c>
      <c r="BD902" s="71">
        <f>IFERROR(__xludf.DUMMYFUNCTION("""COMPUTED_VALUE"""),1518.0)</f>
        <v>1518</v>
      </c>
      <c r="BE902" s="71">
        <f>IFERROR(__xludf.DUMMYFUNCTION("""COMPUTED_VALUE"""),242.88)</f>
        <v>242.88</v>
      </c>
      <c r="BF902" s="71">
        <f>IFERROR(__xludf.DUMMYFUNCTION("""COMPUTED_VALUE"""),1760.88)</f>
        <v>1760.88</v>
      </c>
      <c r="BG902" s="71">
        <f>IFERROR(__xludf.DUMMYFUNCTION("""COMPUTED_VALUE"""),0.04979253112033195)</f>
        <v>0.04979253112</v>
      </c>
      <c r="BH902" s="71">
        <f>IFERROR(__xludf.DUMMYFUNCTION("""COMPUTED_VALUE"""),1442.1)</f>
        <v>1442.1</v>
      </c>
      <c r="BI902" s="71">
        <f>IFERROR(__xludf.DUMMYFUNCTION("""COMPUTED_VALUE"""),230.736)</f>
        <v>230.736</v>
      </c>
      <c r="BJ902" s="71">
        <f>IFERROR(__xludf.DUMMYFUNCTION("""COMPUTED_VALUE"""),1672.8359999999998)</f>
        <v>1672.836</v>
      </c>
      <c r="BK902" s="71">
        <f>IFERROR(__xludf.DUMMYFUNCTION("""COMPUTED_VALUE"""),1366.2)</f>
        <v>1366.2</v>
      </c>
      <c r="BL902" s="71">
        <f>IFERROR(__xludf.DUMMYFUNCTION("""COMPUTED_VALUE"""),218.592)</f>
        <v>218.592</v>
      </c>
      <c r="BM902" s="71">
        <f>IFERROR(__xludf.DUMMYFUNCTION("""COMPUTED_VALUE"""),1584.7920000000001)</f>
        <v>1584.792</v>
      </c>
      <c r="BN902" s="71">
        <f>IFERROR(__xludf.DUMMYFUNCTION("""COMPUTED_VALUE"""),1290.3)</f>
        <v>1290.3</v>
      </c>
      <c r="BO902" s="71">
        <f>IFERROR(__xludf.DUMMYFUNCTION("""COMPUTED_VALUE"""),206.448)</f>
        <v>206.448</v>
      </c>
      <c r="BP902" s="71">
        <f>IFERROR(__xludf.DUMMYFUNCTION("""COMPUTED_VALUE"""),1496.748)</f>
        <v>1496.748</v>
      </c>
      <c r="BQ902" s="71">
        <f>IFERROR(__xludf.DUMMYFUNCTION("""COMPUTED_VALUE"""),1259.9399999999998)</f>
        <v>1259.94</v>
      </c>
      <c r="BR902" s="71">
        <f>IFERROR(__xludf.DUMMYFUNCTION("""COMPUTED_VALUE"""),201.5904)</f>
        <v>201.5904</v>
      </c>
      <c r="BS902" s="71">
        <f>IFERROR(__xludf.DUMMYFUNCTION("""COMPUTED_VALUE"""),1461.5303999999999)</f>
        <v>1461.5304</v>
      </c>
      <c r="BT902" s="71">
        <f>IFERROR(__xludf.DUMMYFUNCTION("""COMPUTED_VALUE"""),1214.4)</f>
        <v>1214.4</v>
      </c>
      <c r="BU902" s="71">
        <f>IFERROR(__xludf.DUMMYFUNCTION("""COMPUTED_VALUE"""),194.30400000000003)</f>
        <v>194.304</v>
      </c>
      <c r="BV902" s="71">
        <f>IFERROR(__xludf.DUMMYFUNCTION("""COMPUTED_VALUE"""),1408.7040000000002)</f>
        <v>1408.704</v>
      </c>
    </row>
    <row r="903">
      <c r="A903" s="53">
        <v>1.0</v>
      </c>
      <c r="B903" s="72"/>
      <c r="C903" s="73" t="s">
        <v>53</v>
      </c>
      <c r="D903" s="74" t="s">
        <v>2185</v>
      </c>
      <c r="E903" s="54" t="s">
        <v>38</v>
      </c>
      <c r="F903" s="54" t="s">
        <v>42</v>
      </c>
      <c r="G903" s="88" t="s">
        <v>2186</v>
      </c>
      <c r="H903" s="54" t="s">
        <v>2187</v>
      </c>
      <c r="I903" s="54">
        <f t="shared" si="24"/>
        <v>26</v>
      </c>
      <c r="J903" s="56"/>
      <c r="K903" s="75"/>
      <c r="L903" s="76"/>
      <c r="M903" s="59"/>
      <c r="N903" s="60">
        <v>1149.0</v>
      </c>
      <c r="O903" s="61">
        <v>1240.0</v>
      </c>
      <c r="P903" s="62">
        <v>1339.2</v>
      </c>
      <c r="Q903" s="63">
        <v>1339.2</v>
      </c>
      <c r="R903" s="64">
        <v>1491.0</v>
      </c>
      <c r="S903" s="111">
        <v>1566.0</v>
      </c>
      <c r="T903" s="65">
        <f t="shared" si="2"/>
        <v>250.56</v>
      </c>
      <c r="U903" s="65">
        <f t="shared" si="3"/>
        <v>1816.56</v>
      </c>
      <c r="V903" s="66">
        <f t="shared" si="4"/>
        <v>0.05030181087</v>
      </c>
      <c r="W903" s="67">
        <f t="shared" si="5"/>
        <v>1487.7</v>
      </c>
      <c r="X903" s="67">
        <f t="shared" si="6"/>
        <v>238.032</v>
      </c>
      <c r="Y903" s="67">
        <f t="shared" si="7"/>
        <v>1725.732</v>
      </c>
      <c r="Z903" s="67">
        <f t="shared" si="8"/>
        <v>1409.4</v>
      </c>
      <c r="AA903" s="67">
        <f t="shared" si="9"/>
        <v>225.504</v>
      </c>
      <c r="AB903" s="67">
        <f t="shared" si="10"/>
        <v>1634.904</v>
      </c>
      <c r="AC903" s="67">
        <f t="shared" si="11"/>
        <v>1331.1</v>
      </c>
      <c r="AD903" s="67">
        <f t="shared" si="12"/>
        <v>212.976</v>
      </c>
      <c r="AE903" s="67">
        <f t="shared" si="13"/>
        <v>1544.076</v>
      </c>
      <c r="AF903" s="67">
        <f t="shared" si="33"/>
        <v>1299.78</v>
      </c>
      <c r="AG903" s="67">
        <f t="shared" si="15"/>
        <v>207.9648</v>
      </c>
      <c r="AH903" s="67">
        <f t="shared" si="16"/>
        <v>1507.7448</v>
      </c>
      <c r="AI903" s="67">
        <f t="shared" si="17"/>
        <v>1252.8</v>
      </c>
      <c r="AJ903" s="68">
        <f t="shared" si="31"/>
        <v>200.448</v>
      </c>
      <c r="AK903" s="68">
        <f t="shared" si="32"/>
        <v>1453.248</v>
      </c>
      <c r="AL903" s="70">
        <f>IFERROR(__xludf.DUMMYFUNCTION("""COMPUTED_VALUE"""),1.0)</f>
        <v>1</v>
      </c>
      <c r="AM903" s="70"/>
      <c r="AN903" s="71" t="str">
        <f>IFERROR(__xludf.DUMMYFUNCTION("""COMPUTED_VALUE""")," P")</f>
        <v>P</v>
      </c>
      <c r="AO903" s="71" t="str">
        <f>IFERROR(__xludf.DUMMYFUNCTION("""COMPUTED_VALUE""")," PE41")</f>
        <v>PE41</v>
      </c>
      <c r="AP903" s="71" t="str">
        <f>IFERROR(__xludf.DUMMYFUNCTION("""COMPUTED_VALUE""")," PZA")</f>
        <v>PZA</v>
      </c>
      <c r="AQ903" s="71" t="str">
        <f>IFERROR(__xludf.DUMMYFUNCTION("""COMPUTED_VALUE""")," REF")</f>
        <v>REF</v>
      </c>
      <c r="AR903" s="71" t="str">
        <f>IFERROR(__xludf.DUMMYFUNCTION("""COMPUTED_VALUE""")," PERFILADOR FE-INOX SENCILLO 13 CM")</f>
        <v>PERFILADOR FE-INOX SENCILLO 13 CM</v>
      </c>
      <c r="AS903" s="71" t="str">
        <f>IFERROR(__xludf.DUMMYFUNCTION("""COMPUTED_VALUE""")," PERFILADOR FE-INOX SENCILLO 13 CM")</f>
        <v>PERFILADOR FE-INOX SENCILLO 13 CM</v>
      </c>
      <c r="AT903" s="71">
        <f>IFERROR(__xludf.DUMMYFUNCTION("""COMPUTED_VALUE"""),33.0)</f>
        <v>33</v>
      </c>
      <c r="AU903" s="71"/>
      <c r="AV903" s="71"/>
      <c r="AW903" s="71"/>
      <c r="AX903" s="71"/>
      <c r="AY903" s="71">
        <f>IFERROR(__xludf.DUMMYFUNCTION("""COMPUTED_VALUE"""),1113.0)</f>
        <v>1113</v>
      </c>
      <c r="AZ903" s="71">
        <f>IFERROR(__xludf.DUMMYFUNCTION("""COMPUTED_VALUE"""),1202.0)</f>
        <v>1202</v>
      </c>
      <c r="BA903" s="71">
        <f>IFERROR(__xludf.DUMMYFUNCTION("""COMPUTED_VALUE"""),1298.16)</f>
        <v>1298.16</v>
      </c>
      <c r="BB903" s="71">
        <f>IFERROR(__xludf.DUMMYFUNCTION("""COMPUTED_VALUE"""),1298.16)</f>
        <v>1298.16</v>
      </c>
      <c r="BC903" s="71">
        <f>IFERROR(__xludf.DUMMYFUNCTION("""COMPUTED_VALUE"""),1446.0)</f>
        <v>1446</v>
      </c>
      <c r="BD903" s="71">
        <f>IFERROR(__xludf.DUMMYFUNCTION("""COMPUTED_VALUE"""),1518.0)</f>
        <v>1518</v>
      </c>
      <c r="BE903" s="71">
        <f>IFERROR(__xludf.DUMMYFUNCTION("""COMPUTED_VALUE"""),242.88)</f>
        <v>242.88</v>
      </c>
      <c r="BF903" s="71">
        <f>IFERROR(__xludf.DUMMYFUNCTION("""COMPUTED_VALUE"""),1760.88)</f>
        <v>1760.88</v>
      </c>
      <c r="BG903" s="71">
        <f>IFERROR(__xludf.DUMMYFUNCTION("""COMPUTED_VALUE"""),0.04979253112033195)</f>
        <v>0.04979253112</v>
      </c>
      <c r="BH903" s="71">
        <f>IFERROR(__xludf.DUMMYFUNCTION("""COMPUTED_VALUE"""),1442.1)</f>
        <v>1442.1</v>
      </c>
      <c r="BI903" s="71">
        <f>IFERROR(__xludf.DUMMYFUNCTION("""COMPUTED_VALUE"""),230.736)</f>
        <v>230.736</v>
      </c>
      <c r="BJ903" s="71">
        <f>IFERROR(__xludf.DUMMYFUNCTION("""COMPUTED_VALUE"""),1672.8359999999998)</f>
        <v>1672.836</v>
      </c>
      <c r="BK903" s="71">
        <f>IFERROR(__xludf.DUMMYFUNCTION("""COMPUTED_VALUE"""),1366.2)</f>
        <v>1366.2</v>
      </c>
      <c r="BL903" s="71">
        <f>IFERROR(__xludf.DUMMYFUNCTION("""COMPUTED_VALUE"""),218.592)</f>
        <v>218.592</v>
      </c>
      <c r="BM903" s="71">
        <f>IFERROR(__xludf.DUMMYFUNCTION("""COMPUTED_VALUE"""),1584.7920000000001)</f>
        <v>1584.792</v>
      </c>
      <c r="BN903" s="71">
        <f>IFERROR(__xludf.DUMMYFUNCTION("""COMPUTED_VALUE"""),1290.3)</f>
        <v>1290.3</v>
      </c>
      <c r="BO903" s="71">
        <f>IFERROR(__xludf.DUMMYFUNCTION("""COMPUTED_VALUE"""),206.448)</f>
        <v>206.448</v>
      </c>
      <c r="BP903" s="71">
        <f>IFERROR(__xludf.DUMMYFUNCTION("""COMPUTED_VALUE"""),1496.748)</f>
        <v>1496.748</v>
      </c>
      <c r="BQ903" s="71">
        <f>IFERROR(__xludf.DUMMYFUNCTION("""COMPUTED_VALUE"""),1259.9399999999998)</f>
        <v>1259.94</v>
      </c>
      <c r="BR903" s="71">
        <f>IFERROR(__xludf.DUMMYFUNCTION("""COMPUTED_VALUE"""),201.5904)</f>
        <v>201.5904</v>
      </c>
      <c r="BS903" s="71">
        <f>IFERROR(__xludf.DUMMYFUNCTION("""COMPUTED_VALUE"""),1461.5303999999999)</f>
        <v>1461.5304</v>
      </c>
      <c r="BT903" s="71">
        <f>IFERROR(__xludf.DUMMYFUNCTION("""COMPUTED_VALUE"""),1214.4)</f>
        <v>1214.4</v>
      </c>
      <c r="BU903" s="71">
        <f>IFERROR(__xludf.DUMMYFUNCTION("""COMPUTED_VALUE"""),194.30400000000003)</f>
        <v>194.304</v>
      </c>
      <c r="BV903" s="71">
        <f>IFERROR(__xludf.DUMMYFUNCTION("""COMPUTED_VALUE"""),1408.7040000000002)</f>
        <v>1408.704</v>
      </c>
    </row>
    <row r="904">
      <c r="A904" s="53">
        <v>1.0</v>
      </c>
      <c r="B904" s="72"/>
      <c r="C904" s="73" t="s">
        <v>53</v>
      </c>
      <c r="D904" s="74" t="s">
        <v>2188</v>
      </c>
      <c r="E904" s="54" t="s">
        <v>38</v>
      </c>
      <c r="F904" s="54" t="s">
        <v>42</v>
      </c>
      <c r="G904" s="88" t="s">
        <v>2189</v>
      </c>
      <c r="H904" s="54" t="s">
        <v>2189</v>
      </c>
      <c r="I904" s="54">
        <f t="shared" si="24"/>
        <v>30</v>
      </c>
      <c r="J904" s="56"/>
      <c r="K904" s="75"/>
      <c r="L904" s="76"/>
      <c r="M904" s="59"/>
      <c r="N904" s="60">
        <v>1013.0</v>
      </c>
      <c r="O904" s="61">
        <v>1094.0</v>
      </c>
      <c r="P904" s="62">
        <v>1181.52</v>
      </c>
      <c r="Q904" s="63">
        <v>1181.52</v>
      </c>
      <c r="R904" s="64">
        <v>1316.0</v>
      </c>
      <c r="S904" s="111">
        <v>1382.0</v>
      </c>
      <c r="T904" s="65">
        <f t="shared" si="2"/>
        <v>221.12</v>
      </c>
      <c r="U904" s="65">
        <f t="shared" si="3"/>
        <v>1603.12</v>
      </c>
      <c r="V904" s="66">
        <f t="shared" si="4"/>
        <v>0.05015197568</v>
      </c>
      <c r="W904" s="67">
        <f t="shared" si="5"/>
        <v>1312.9</v>
      </c>
      <c r="X904" s="67">
        <f t="shared" si="6"/>
        <v>210.064</v>
      </c>
      <c r="Y904" s="67">
        <f t="shared" si="7"/>
        <v>1522.964</v>
      </c>
      <c r="Z904" s="67">
        <f t="shared" si="8"/>
        <v>1243.8</v>
      </c>
      <c r="AA904" s="67">
        <f t="shared" si="9"/>
        <v>199.008</v>
      </c>
      <c r="AB904" s="67">
        <f t="shared" si="10"/>
        <v>1442.808</v>
      </c>
      <c r="AC904" s="67">
        <f t="shared" si="11"/>
        <v>1174.7</v>
      </c>
      <c r="AD904" s="67">
        <f t="shared" si="12"/>
        <v>187.952</v>
      </c>
      <c r="AE904" s="67">
        <f t="shared" si="13"/>
        <v>1362.652</v>
      </c>
      <c r="AF904" s="67">
        <f t="shared" si="33"/>
        <v>1147.06</v>
      </c>
      <c r="AG904" s="67">
        <f t="shared" si="15"/>
        <v>183.5296</v>
      </c>
      <c r="AH904" s="67">
        <f t="shared" si="16"/>
        <v>1330.5896</v>
      </c>
      <c r="AI904" s="67">
        <f t="shared" si="17"/>
        <v>1105.6</v>
      </c>
      <c r="AJ904" s="68">
        <f t="shared" si="31"/>
        <v>176.896</v>
      </c>
      <c r="AK904" s="68">
        <f t="shared" si="32"/>
        <v>1282.496</v>
      </c>
      <c r="AL904" s="70">
        <f>IFERROR(__xludf.DUMMYFUNCTION("""COMPUTED_VALUE"""),1.0)</f>
        <v>1</v>
      </c>
      <c r="AM904" s="70"/>
      <c r="AN904" s="71" t="str">
        <f>IFERROR(__xludf.DUMMYFUNCTION("""COMPUTED_VALUE""")," P")</f>
        <v>P</v>
      </c>
      <c r="AO904" s="71" t="str">
        <f>IFERROR(__xludf.DUMMYFUNCTION("""COMPUTED_VALUE""")," PE42")</f>
        <v>PE42</v>
      </c>
      <c r="AP904" s="71" t="str">
        <f>IFERROR(__xludf.DUMMYFUNCTION("""COMPUTED_VALUE""")," PZA")</f>
        <v>PZA</v>
      </c>
      <c r="AQ904" s="71" t="str">
        <f>IFERROR(__xludf.DUMMYFUNCTION("""COMPUTED_VALUE""")," REF")</f>
        <v>REF</v>
      </c>
      <c r="AR904" s="71" t="str">
        <f>IFERROR(__xludf.DUMMYFUNCTION("""COMPUTED_VALUE""")," PERFILADOR FE-INOX SENCILLO 14 CM")</f>
        <v>PERFILADOR FE-INOX SENCILLO 14 CM</v>
      </c>
      <c r="AS904" s="71" t="str">
        <f>IFERROR(__xludf.DUMMYFUNCTION("""COMPUTED_VALUE""")," PERFILADOR FE-INOX SENCILLO 14 CM")</f>
        <v>PERFILADOR FE-INOX SENCILLO 14 CM</v>
      </c>
      <c r="AT904" s="71">
        <f>IFERROR(__xludf.DUMMYFUNCTION("""COMPUTED_VALUE"""),33.0)</f>
        <v>33</v>
      </c>
      <c r="AU904" s="71"/>
      <c r="AV904" s="71"/>
      <c r="AW904" s="71"/>
      <c r="AX904" s="71"/>
      <c r="AY904" s="71">
        <f>IFERROR(__xludf.DUMMYFUNCTION("""COMPUTED_VALUE"""),1113.0)</f>
        <v>1113</v>
      </c>
      <c r="AZ904" s="71">
        <f>IFERROR(__xludf.DUMMYFUNCTION("""COMPUTED_VALUE"""),1202.0)</f>
        <v>1202</v>
      </c>
      <c r="BA904" s="71">
        <f>IFERROR(__xludf.DUMMYFUNCTION("""COMPUTED_VALUE"""),1298.16)</f>
        <v>1298.16</v>
      </c>
      <c r="BB904" s="71">
        <f>IFERROR(__xludf.DUMMYFUNCTION("""COMPUTED_VALUE"""),1298.16)</f>
        <v>1298.16</v>
      </c>
      <c r="BC904" s="71">
        <f>IFERROR(__xludf.DUMMYFUNCTION("""COMPUTED_VALUE"""),1446.0)</f>
        <v>1446</v>
      </c>
      <c r="BD904" s="71">
        <f>IFERROR(__xludf.DUMMYFUNCTION("""COMPUTED_VALUE"""),1518.0)</f>
        <v>1518</v>
      </c>
      <c r="BE904" s="71">
        <f>IFERROR(__xludf.DUMMYFUNCTION("""COMPUTED_VALUE"""),242.88)</f>
        <v>242.88</v>
      </c>
      <c r="BF904" s="71">
        <f>IFERROR(__xludf.DUMMYFUNCTION("""COMPUTED_VALUE"""),1760.88)</f>
        <v>1760.88</v>
      </c>
      <c r="BG904" s="71">
        <f>IFERROR(__xludf.DUMMYFUNCTION("""COMPUTED_VALUE"""),0.04979253112033195)</f>
        <v>0.04979253112</v>
      </c>
      <c r="BH904" s="71">
        <f>IFERROR(__xludf.DUMMYFUNCTION("""COMPUTED_VALUE"""),1442.1)</f>
        <v>1442.1</v>
      </c>
      <c r="BI904" s="71">
        <f>IFERROR(__xludf.DUMMYFUNCTION("""COMPUTED_VALUE"""),230.736)</f>
        <v>230.736</v>
      </c>
      <c r="BJ904" s="71">
        <f>IFERROR(__xludf.DUMMYFUNCTION("""COMPUTED_VALUE"""),1672.8359999999998)</f>
        <v>1672.836</v>
      </c>
      <c r="BK904" s="71">
        <f>IFERROR(__xludf.DUMMYFUNCTION("""COMPUTED_VALUE"""),1366.2)</f>
        <v>1366.2</v>
      </c>
      <c r="BL904" s="71">
        <f>IFERROR(__xludf.DUMMYFUNCTION("""COMPUTED_VALUE"""),218.592)</f>
        <v>218.592</v>
      </c>
      <c r="BM904" s="71">
        <f>IFERROR(__xludf.DUMMYFUNCTION("""COMPUTED_VALUE"""),1584.7920000000001)</f>
        <v>1584.792</v>
      </c>
      <c r="BN904" s="71">
        <f>IFERROR(__xludf.DUMMYFUNCTION("""COMPUTED_VALUE"""),1290.3)</f>
        <v>1290.3</v>
      </c>
      <c r="BO904" s="71">
        <f>IFERROR(__xludf.DUMMYFUNCTION("""COMPUTED_VALUE"""),206.448)</f>
        <v>206.448</v>
      </c>
      <c r="BP904" s="71">
        <f>IFERROR(__xludf.DUMMYFUNCTION("""COMPUTED_VALUE"""),1496.748)</f>
        <v>1496.748</v>
      </c>
      <c r="BQ904" s="71">
        <f>IFERROR(__xludf.DUMMYFUNCTION("""COMPUTED_VALUE"""),1259.9399999999998)</f>
        <v>1259.94</v>
      </c>
      <c r="BR904" s="71">
        <f>IFERROR(__xludf.DUMMYFUNCTION("""COMPUTED_VALUE"""),201.5904)</f>
        <v>201.5904</v>
      </c>
      <c r="BS904" s="71">
        <f>IFERROR(__xludf.DUMMYFUNCTION("""COMPUTED_VALUE"""),1461.5303999999999)</f>
        <v>1461.5304</v>
      </c>
      <c r="BT904" s="71">
        <f>IFERROR(__xludf.DUMMYFUNCTION("""COMPUTED_VALUE"""),1214.4)</f>
        <v>1214.4</v>
      </c>
      <c r="BU904" s="71">
        <f>IFERROR(__xludf.DUMMYFUNCTION("""COMPUTED_VALUE"""),194.30400000000003)</f>
        <v>194.304</v>
      </c>
      <c r="BV904" s="71">
        <f>IFERROR(__xludf.DUMMYFUNCTION("""COMPUTED_VALUE"""),1408.7040000000002)</f>
        <v>1408.704</v>
      </c>
    </row>
    <row r="905">
      <c r="A905" s="53">
        <v>1.0</v>
      </c>
      <c r="B905" s="72"/>
      <c r="C905" s="73" t="s">
        <v>53</v>
      </c>
      <c r="D905" s="74" t="s">
        <v>2190</v>
      </c>
      <c r="E905" s="54" t="s">
        <v>38</v>
      </c>
      <c r="F905" s="54" t="s">
        <v>42</v>
      </c>
      <c r="G905" s="88" t="s">
        <v>2191</v>
      </c>
      <c r="H905" s="54" t="s">
        <v>2191</v>
      </c>
      <c r="I905" s="54">
        <f t="shared" si="24"/>
        <v>30</v>
      </c>
      <c r="J905" s="56"/>
      <c r="K905" s="75"/>
      <c r="L905" s="76"/>
      <c r="M905" s="59"/>
      <c r="N905" s="60">
        <v>1008.0</v>
      </c>
      <c r="O905" s="61">
        <v>1088.0</v>
      </c>
      <c r="P905" s="62">
        <v>1175.04</v>
      </c>
      <c r="Q905" s="63">
        <v>1175.04</v>
      </c>
      <c r="R905" s="64">
        <v>1309.0</v>
      </c>
      <c r="S905" s="111">
        <v>1374.0</v>
      </c>
      <c r="T905" s="65">
        <f t="shared" si="2"/>
        <v>219.84</v>
      </c>
      <c r="U905" s="65">
        <f t="shared" si="3"/>
        <v>1593.84</v>
      </c>
      <c r="V905" s="66">
        <f t="shared" si="4"/>
        <v>0.04965622613</v>
      </c>
      <c r="W905" s="67">
        <f t="shared" si="5"/>
        <v>1305.3</v>
      </c>
      <c r="X905" s="67">
        <f t="shared" si="6"/>
        <v>208.848</v>
      </c>
      <c r="Y905" s="67">
        <f t="shared" si="7"/>
        <v>1514.148</v>
      </c>
      <c r="Z905" s="67">
        <f t="shared" si="8"/>
        <v>1236.6</v>
      </c>
      <c r="AA905" s="67">
        <f t="shared" si="9"/>
        <v>197.856</v>
      </c>
      <c r="AB905" s="67">
        <f t="shared" si="10"/>
        <v>1434.456</v>
      </c>
      <c r="AC905" s="67">
        <f t="shared" si="11"/>
        <v>1167.9</v>
      </c>
      <c r="AD905" s="67">
        <f t="shared" si="12"/>
        <v>186.864</v>
      </c>
      <c r="AE905" s="67">
        <f t="shared" si="13"/>
        <v>1354.764</v>
      </c>
      <c r="AF905" s="67">
        <f t="shared" si="33"/>
        <v>1140.42</v>
      </c>
      <c r="AG905" s="67">
        <f t="shared" si="15"/>
        <v>182.4672</v>
      </c>
      <c r="AH905" s="67">
        <f t="shared" si="16"/>
        <v>1322.8872</v>
      </c>
      <c r="AI905" s="67">
        <f t="shared" si="17"/>
        <v>1099.2</v>
      </c>
      <c r="AJ905" s="68">
        <f t="shared" si="31"/>
        <v>175.872</v>
      </c>
      <c r="AK905" s="68">
        <f t="shared" si="32"/>
        <v>1275.072</v>
      </c>
      <c r="AL905" s="70">
        <f>IFERROR(__xludf.DUMMYFUNCTION("""COMPUTED_VALUE"""),1.0)</f>
        <v>1</v>
      </c>
      <c r="AM905" s="70"/>
      <c r="AN905" s="71" t="str">
        <f>IFERROR(__xludf.DUMMYFUNCTION("""COMPUTED_VALUE""")," P")</f>
        <v>P</v>
      </c>
      <c r="AO905" s="71" t="str">
        <f>IFERROR(__xludf.DUMMYFUNCTION("""COMPUTED_VALUE""")," PE43")</f>
        <v>PE43</v>
      </c>
      <c r="AP905" s="71" t="str">
        <f>IFERROR(__xludf.DUMMYFUNCTION("""COMPUTED_VALUE""")," PZA")</f>
        <v>PZA</v>
      </c>
      <c r="AQ905" s="71" t="str">
        <f>IFERROR(__xludf.DUMMYFUNCTION("""COMPUTED_VALUE""")," REF")</f>
        <v>REF</v>
      </c>
      <c r="AR905" s="71" t="str">
        <f>IFERROR(__xludf.DUMMYFUNCTION("""COMPUTED_VALUE""")," PERFILADOR FE-INOX SENCILLO 15 CM")</f>
        <v>PERFILADOR FE-INOX SENCILLO 15 CM</v>
      </c>
      <c r="AS905" s="71" t="str">
        <f>IFERROR(__xludf.DUMMYFUNCTION("""COMPUTED_VALUE""")," PERFILADOR FE-INOX SENCILLO 15 CM")</f>
        <v>PERFILADOR FE-INOX SENCILLO 15 CM</v>
      </c>
      <c r="AT905" s="71">
        <f>IFERROR(__xludf.DUMMYFUNCTION("""COMPUTED_VALUE"""),33.0)</f>
        <v>33</v>
      </c>
      <c r="AU905" s="71"/>
      <c r="AV905" s="71"/>
      <c r="AW905" s="71"/>
      <c r="AX905" s="71"/>
      <c r="AY905" s="71">
        <f>IFERROR(__xludf.DUMMYFUNCTION("""COMPUTED_VALUE"""),1113.0)</f>
        <v>1113</v>
      </c>
      <c r="AZ905" s="71">
        <f>IFERROR(__xludf.DUMMYFUNCTION("""COMPUTED_VALUE"""),1202.0)</f>
        <v>1202</v>
      </c>
      <c r="BA905" s="71">
        <f>IFERROR(__xludf.DUMMYFUNCTION("""COMPUTED_VALUE"""),1298.16)</f>
        <v>1298.16</v>
      </c>
      <c r="BB905" s="71">
        <f>IFERROR(__xludf.DUMMYFUNCTION("""COMPUTED_VALUE"""),1298.16)</f>
        <v>1298.16</v>
      </c>
      <c r="BC905" s="71">
        <f>IFERROR(__xludf.DUMMYFUNCTION("""COMPUTED_VALUE"""),1446.0)</f>
        <v>1446</v>
      </c>
      <c r="BD905" s="71">
        <f>IFERROR(__xludf.DUMMYFUNCTION("""COMPUTED_VALUE"""),1518.0)</f>
        <v>1518</v>
      </c>
      <c r="BE905" s="71">
        <f>IFERROR(__xludf.DUMMYFUNCTION("""COMPUTED_VALUE"""),242.88)</f>
        <v>242.88</v>
      </c>
      <c r="BF905" s="71">
        <f>IFERROR(__xludf.DUMMYFUNCTION("""COMPUTED_VALUE"""),1760.88)</f>
        <v>1760.88</v>
      </c>
      <c r="BG905" s="71">
        <f>IFERROR(__xludf.DUMMYFUNCTION("""COMPUTED_VALUE"""),0.04979253112033195)</f>
        <v>0.04979253112</v>
      </c>
      <c r="BH905" s="71">
        <f>IFERROR(__xludf.DUMMYFUNCTION("""COMPUTED_VALUE"""),1442.1)</f>
        <v>1442.1</v>
      </c>
      <c r="BI905" s="71">
        <f>IFERROR(__xludf.DUMMYFUNCTION("""COMPUTED_VALUE"""),230.736)</f>
        <v>230.736</v>
      </c>
      <c r="BJ905" s="71">
        <f>IFERROR(__xludf.DUMMYFUNCTION("""COMPUTED_VALUE"""),1672.8359999999998)</f>
        <v>1672.836</v>
      </c>
      <c r="BK905" s="71">
        <f>IFERROR(__xludf.DUMMYFUNCTION("""COMPUTED_VALUE"""),1366.2)</f>
        <v>1366.2</v>
      </c>
      <c r="BL905" s="71">
        <f>IFERROR(__xludf.DUMMYFUNCTION("""COMPUTED_VALUE"""),218.592)</f>
        <v>218.592</v>
      </c>
      <c r="BM905" s="71">
        <f>IFERROR(__xludf.DUMMYFUNCTION("""COMPUTED_VALUE"""),1584.7920000000001)</f>
        <v>1584.792</v>
      </c>
      <c r="BN905" s="71">
        <f>IFERROR(__xludf.DUMMYFUNCTION("""COMPUTED_VALUE"""),1290.3)</f>
        <v>1290.3</v>
      </c>
      <c r="BO905" s="71">
        <f>IFERROR(__xludf.DUMMYFUNCTION("""COMPUTED_VALUE"""),206.448)</f>
        <v>206.448</v>
      </c>
      <c r="BP905" s="71">
        <f>IFERROR(__xludf.DUMMYFUNCTION("""COMPUTED_VALUE"""),1496.748)</f>
        <v>1496.748</v>
      </c>
      <c r="BQ905" s="71">
        <f>IFERROR(__xludf.DUMMYFUNCTION("""COMPUTED_VALUE"""),1259.9399999999998)</f>
        <v>1259.94</v>
      </c>
      <c r="BR905" s="71">
        <f>IFERROR(__xludf.DUMMYFUNCTION("""COMPUTED_VALUE"""),201.5904)</f>
        <v>201.5904</v>
      </c>
      <c r="BS905" s="71">
        <f>IFERROR(__xludf.DUMMYFUNCTION("""COMPUTED_VALUE"""),1461.5303999999999)</f>
        <v>1461.5304</v>
      </c>
      <c r="BT905" s="71">
        <f>IFERROR(__xludf.DUMMYFUNCTION("""COMPUTED_VALUE"""),1214.4)</f>
        <v>1214.4</v>
      </c>
      <c r="BU905" s="71">
        <f>IFERROR(__xludf.DUMMYFUNCTION("""COMPUTED_VALUE"""),194.30400000000003)</f>
        <v>194.304</v>
      </c>
      <c r="BV905" s="71">
        <f>IFERROR(__xludf.DUMMYFUNCTION("""COMPUTED_VALUE"""),1408.7040000000002)</f>
        <v>1408.704</v>
      </c>
    </row>
    <row r="906">
      <c r="A906" s="53">
        <v>1.0</v>
      </c>
      <c r="B906" s="72"/>
      <c r="C906" s="73" t="s">
        <v>53</v>
      </c>
      <c r="D906" s="74" t="s">
        <v>2192</v>
      </c>
      <c r="E906" s="54" t="s">
        <v>38</v>
      </c>
      <c r="F906" s="54" t="s">
        <v>42</v>
      </c>
      <c r="G906" s="88" t="s">
        <v>2193</v>
      </c>
      <c r="H906" s="54" t="s">
        <v>2193</v>
      </c>
      <c r="I906" s="54">
        <f t="shared" si="24"/>
        <v>23</v>
      </c>
      <c r="J906" s="56"/>
      <c r="K906" s="75"/>
      <c r="L906" s="76"/>
      <c r="M906" s="59"/>
      <c r="N906" s="60">
        <v>218.0</v>
      </c>
      <c r="O906" s="61">
        <v>235.0</v>
      </c>
      <c r="P906" s="62">
        <v>253.8</v>
      </c>
      <c r="Q906" s="63">
        <v>253.8</v>
      </c>
      <c r="R906" s="64">
        <v>284.0</v>
      </c>
      <c r="S906" s="111">
        <v>298.0</v>
      </c>
      <c r="T906" s="65">
        <f t="shared" si="2"/>
        <v>47.68</v>
      </c>
      <c r="U906" s="65">
        <f t="shared" si="3"/>
        <v>345.68</v>
      </c>
      <c r="V906" s="66">
        <f t="shared" si="4"/>
        <v>0.04929577465</v>
      </c>
      <c r="W906" s="67">
        <f t="shared" si="5"/>
        <v>283.1</v>
      </c>
      <c r="X906" s="67">
        <f t="shared" si="6"/>
        <v>45.296</v>
      </c>
      <c r="Y906" s="67">
        <f t="shared" si="7"/>
        <v>328.396</v>
      </c>
      <c r="Z906" s="67">
        <f t="shared" si="8"/>
        <v>268.2</v>
      </c>
      <c r="AA906" s="67">
        <f t="shared" si="9"/>
        <v>42.912</v>
      </c>
      <c r="AB906" s="67">
        <f t="shared" si="10"/>
        <v>311.112</v>
      </c>
      <c r="AC906" s="67">
        <f t="shared" si="11"/>
        <v>253.3</v>
      </c>
      <c r="AD906" s="67">
        <f t="shared" si="12"/>
        <v>40.528</v>
      </c>
      <c r="AE906" s="67">
        <f t="shared" si="13"/>
        <v>293.828</v>
      </c>
      <c r="AF906" s="67">
        <f t="shared" si="33"/>
        <v>247.34</v>
      </c>
      <c r="AG906" s="67">
        <f t="shared" si="15"/>
        <v>39.5744</v>
      </c>
      <c r="AH906" s="67">
        <f t="shared" si="16"/>
        <v>286.9144</v>
      </c>
      <c r="AI906" s="67">
        <f t="shared" si="17"/>
        <v>238.4</v>
      </c>
      <c r="AJ906" s="68">
        <f t="shared" si="31"/>
        <v>38.144</v>
      </c>
      <c r="AK906" s="68">
        <f t="shared" si="32"/>
        <v>276.544</v>
      </c>
      <c r="AL906" s="70">
        <f>IFERROR(__xludf.DUMMYFUNCTION("""COMPUTED_VALUE"""),1.0)</f>
        <v>1</v>
      </c>
      <c r="AM906" s="70"/>
      <c r="AN906" s="71" t="str">
        <f>IFERROR(__xludf.DUMMYFUNCTION("""COMPUTED_VALUE""")," P")</f>
        <v>P</v>
      </c>
      <c r="AO906" s="71" t="str">
        <f>IFERROR(__xludf.DUMMYFUNCTION("""COMPUTED_VALUE""")," PE44")</f>
        <v>PE44</v>
      </c>
      <c r="AP906" s="71" t="str">
        <f>IFERROR(__xludf.DUMMYFUNCTION("""COMPUTED_VALUE""")," PZA")</f>
        <v>PZA</v>
      </c>
      <c r="AQ906" s="71" t="str">
        <f>IFERROR(__xludf.DUMMYFUNCTION("""COMPUTED_VALUE""")," REF")</f>
        <v>REF</v>
      </c>
      <c r="AR906" s="71" t="str">
        <f>IFERROR(__xludf.DUMMYFUNCTION("""COMPUTED_VALUE""")," PERFILADOR FE-INOX SENCILLO 16 CM")</f>
        <v>PERFILADOR FE-INOX SENCILLO 16 CM</v>
      </c>
      <c r="AS906" s="71" t="str">
        <f>IFERROR(__xludf.DUMMYFUNCTION("""COMPUTED_VALUE""")," PERFILADOR FE-INOX SENCILLO 16 CM")</f>
        <v>PERFILADOR FE-INOX SENCILLO 16 CM</v>
      </c>
      <c r="AT906" s="71">
        <f>IFERROR(__xludf.DUMMYFUNCTION("""COMPUTED_VALUE"""),33.0)</f>
        <v>33</v>
      </c>
      <c r="AU906" s="71"/>
      <c r="AV906" s="71"/>
      <c r="AW906" s="71"/>
      <c r="AX906" s="71"/>
      <c r="AY906" s="71">
        <f>IFERROR(__xludf.DUMMYFUNCTION("""COMPUTED_VALUE"""),1113.0)</f>
        <v>1113</v>
      </c>
      <c r="AZ906" s="71">
        <f>IFERROR(__xludf.DUMMYFUNCTION("""COMPUTED_VALUE"""),1202.0)</f>
        <v>1202</v>
      </c>
      <c r="BA906" s="71">
        <f>IFERROR(__xludf.DUMMYFUNCTION("""COMPUTED_VALUE"""),1298.16)</f>
        <v>1298.16</v>
      </c>
      <c r="BB906" s="71">
        <f>IFERROR(__xludf.DUMMYFUNCTION("""COMPUTED_VALUE"""),1298.16)</f>
        <v>1298.16</v>
      </c>
      <c r="BC906" s="71">
        <f>IFERROR(__xludf.DUMMYFUNCTION("""COMPUTED_VALUE"""),1446.0)</f>
        <v>1446</v>
      </c>
      <c r="BD906" s="71">
        <f>IFERROR(__xludf.DUMMYFUNCTION("""COMPUTED_VALUE"""),1518.0)</f>
        <v>1518</v>
      </c>
      <c r="BE906" s="71">
        <f>IFERROR(__xludf.DUMMYFUNCTION("""COMPUTED_VALUE"""),242.88)</f>
        <v>242.88</v>
      </c>
      <c r="BF906" s="71">
        <f>IFERROR(__xludf.DUMMYFUNCTION("""COMPUTED_VALUE"""),1760.88)</f>
        <v>1760.88</v>
      </c>
      <c r="BG906" s="71">
        <f>IFERROR(__xludf.DUMMYFUNCTION("""COMPUTED_VALUE"""),0.04979253112033195)</f>
        <v>0.04979253112</v>
      </c>
      <c r="BH906" s="71">
        <f>IFERROR(__xludf.DUMMYFUNCTION("""COMPUTED_VALUE"""),1442.1)</f>
        <v>1442.1</v>
      </c>
      <c r="BI906" s="71">
        <f>IFERROR(__xludf.DUMMYFUNCTION("""COMPUTED_VALUE"""),230.736)</f>
        <v>230.736</v>
      </c>
      <c r="BJ906" s="71">
        <f>IFERROR(__xludf.DUMMYFUNCTION("""COMPUTED_VALUE"""),1672.8359999999998)</f>
        <v>1672.836</v>
      </c>
      <c r="BK906" s="71">
        <f>IFERROR(__xludf.DUMMYFUNCTION("""COMPUTED_VALUE"""),1366.2)</f>
        <v>1366.2</v>
      </c>
      <c r="BL906" s="71">
        <f>IFERROR(__xludf.DUMMYFUNCTION("""COMPUTED_VALUE"""),218.592)</f>
        <v>218.592</v>
      </c>
      <c r="BM906" s="71">
        <f>IFERROR(__xludf.DUMMYFUNCTION("""COMPUTED_VALUE"""),1584.7920000000001)</f>
        <v>1584.792</v>
      </c>
      <c r="BN906" s="71">
        <f>IFERROR(__xludf.DUMMYFUNCTION("""COMPUTED_VALUE"""),1290.3)</f>
        <v>1290.3</v>
      </c>
      <c r="BO906" s="71">
        <f>IFERROR(__xludf.DUMMYFUNCTION("""COMPUTED_VALUE"""),206.448)</f>
        <v>206.448</v>
      </c>
      <c r="BP906" s="71">
        <f>IFERROR(__xludf.DUMMYFUNCTION("""COMPUTED_VALUE"""),1496.748)</f>
        <v>1496.748</v>
      </c>
      <c r="BQ906" s="71">
        <f>IFERROR(__xludf.DUMMYFUNCTION("""COMPUTED_VALUE"""),1259.9399999999998)</f>
        <v>1259.94</v>
      </c>
      <c r="BR906" s="71">
        <f>IFERROR(__xludf.DUMMYFUNCTION("""COMPUTED_VALUE"""),201.5904)</f>
        <v>201.5904</v>
      </c>
      <c r="BS906" s="71">
        <f>IFERROR(__xludf.DUMMYFUNCTION("""COMPUTED_VALUE"""),1461.5303999999999)</f>
        <v>1461.5304</v>
      </c>
      <c r="BT906" s="71">
        <f>IFERROR(__xludf.DUMMYFUNCTION("""COMPUTED_VALUE"""),1214.4)</f>
        <v>1214.4</v>
      </c>
      <c r="BU906" s="71">
        <f>IFERROR(__xludf.DUMMYFUNCTION("""COMPUTED_VALUE"""),194.30400000000003)</f>
        <v>194.304</v>
      </c>
      <c r="BV906" s="71">
        <f>IFERROR(__xludf.DUMMYFUNCTION("""COMPUTED_VALUE"""),1408.7040000000002)</f>
        <v>1408.704</v>
      </c>
    </row>
    <row r="907">
      <c r="A907" s="53"/>
      <c r="B907" s="53"/>
      <c r="C907" s="73" t="s">
        <v>53</v>
      </c>
      <c r="D907" s="53" t="s">
        <v>2194</v>
      </c>
      <c r="E907" s="54" t="s">
        <v>38</v>
      </c>
      <c r="F907" s="54" t="s">
        <v>42</v>
      </c>
      <c r="G907" s="55" t="s">
        <v>2195</v>
      </c>
      <c r="H907" s="54" t="s">
        <v>2195</v>
      </c>
      <c r="I907" s="54">
        <f t="shared" si="24"/>
        <v>29</v>
      </c>
      <c r="J907" s="56"/>
      <c r="K907" s="57"/>
      <c r="L907" s="76"/>
      <c r="M907" s="59"/>
      <c r="N907" s="79">
        <v>600.0</v>
      </c>
      <c r="O907" s="61">
        <v>648.0</v>
      </c>
      <c r="P907" s="63">
        <v>699.84</v>
      </c>
      <c r="Q907" s="63">
        <v>699.84</v>
      </c>
      <c r="R907" s="64">
        <v>735.0</v>
      </c>
      <c r="S907" s="111">
        <v>772.0</v>
      </c>
      <c r="T907" s="65">
        <f t="shared" si="2"/>
        <v>123.52</v>
      </c>
      <c r="U907" s="65">
        <f t="shared" si="3"/>
        <v>895.52</v>
      </c>
      <c r="V907" s="66">
        <f t="shared" si="4"/>
        <v>0.05034013605</v>
      </c>
      <c r="W907" s="67">
        <f t="shared" si="5"/>
        <v>733.4</v>
      </c>
      <c r="X907" s="67">
        <f t="shared" si="6"/>
        <v>117.344</v>
      </c>
      <c r="Y907" s="67">
        <f t="shared" si="7"/>
        <v>850.744</v>
      </c>
      <c r="Z907" s="67">
        <f t="shared" si="8"/>
        <v>694.8</v>
      </c>
      <c r="AA907" s="67">
        <f t="shared" si="9"/>
        <v>111.168</v>
      </c>
      <c r="AB907" s="67">
        <f t="shared" si="10"/>
        <v>805.968</v>
      </c>
      <c r="AC907" s="67">
        <f t="shared" si="11"/>
        <v>656.2</v>
      </c>
      <c r="AD907" s="67">
        <f t="shared" si="12"/>
        <v>104.992</v>
      </c>
      <c r="AE907" s="67">
        <f t="shared" si="13"/>
        <v>761.192</v>
      </c>
      <c r="AF907" s="67">
        <f t="shared" si="33"/>
        <v>640.76</v>
      </c>
      <c r="AG907" s="67">
        <f t="shared" si="15"/>
        <v>102.5216</v>
      </c>
      <c r="AH907" s="67">
        <f t="shared" si="16"/>
        <v>743.2816</v>
      </c>
      <c r="AI907" s="67">
        <f t="shared" si="17"/>
        <v>617.6</v>
      </c>
      <c r="AJ907" s="68">
        <f t="shared" si="31"/>
        <v>98.816</v>
      </c>
      <c r="AK907" s="68">
        <f t="shared" si="32"/>
        <v>716.416</v>
      </c>
      <c r="AL907" s="70">
        <f>IFERROR(__xludf.DUMMYFUNCTION("""COMPUTED_VALUE"""),1.0)</f>
        <v>1</v>
      </c>
      <c r="AM907" s="70"/>
      <c r="AN907" s="71" t="str">
        <f>IFERROR(__xludf.DUMMYFUNCTION("""COMPUTED_VALUE""")," P")</f>
        <v>P</v>
      </c>
      <c r="AO907" s="71" t="str">
        <f>IFERROR(__xludf.DUMMYFUNCTION("""COMPUTED_VALUE""")," PE45")</f>
        <v>PE45</v>
      </c>
      <c r="AP907" s="71" t="str">
        <f>IFERROR(__xludf.DUMMYFUNCTION("""COMPUTED_VALUE""")," PZA")</f>
        <v>PZA</v>
      </c>
      <c r="AQ907" s="71" t="str">
        <f>IFERROR(__xludf.DUMMYFUNCTION("""COMPUTED_VALUE""")," REF")</f>
        <v>REF</v>
      </c>
      <c r="AR907" s="71" t="str">
        <f>IFERROR(__xludf.DUMMYFUNCTION("""COMPUTED_VALUE""")," PERFILADOR FE-INOX SENCILLO 17 CM")</f>
        <v>PERFILADOR FE-INOX SENCILLO 17 CM</v>
      </c>
      <c r="AS907" s="71" t="str">
        <f>IFERROR(__xludf.DUMMYFUNCTION("""COMPUTED_VALUE""")," PERFILADOR FE-INOX SENCILLO 17 CM")</f>
        <v>PERFILADOR FE-INOX SENCILLO 17 CM</v>
      </c>
      <c r="AT907" s="71">
        <f>IFERROR(__xludf.DUMMYFUNCTION("""COMPUTED_VALUE"""),33.0)</f>
        <v>33</v>
      </c>
      <c r="AU907" s="71"/>
      <c r="AV907" s="71"/>
      <c r="AW907" s="71"/>
      <c r="AX907" s="71"/>
      <c r="AY907" s="71">
        <f>IFERROR(__xludf.DUMMYFUNCTION("""COMPUTED_VALUE"""),1113.0)</f>
        <v>1113</v>
      </c>
      <c r="AZ907" s="71">
        <f>IFERROR(__xludf.DUMMYFUNCTION("""COMPUTED_VALUE"""),1202.0)</f>
        <v>1202</v>
      </c>
      <c r="BA907" s="71">
        <f>IFERROR(__xludf.DUMMYFUNCTION("""COMPUTED_VALUE"""),1298.16)</f>
        <v>1298.16</v>
      </c>
      <c r="BB907" s="71">
        <f>IFERROR(__xludf.DUMMYFUNCTION("""COMPUTED_VALUE"""),1298.16)</f>
        <v>1298.16</v>
      </c>
      <c r="BC907" s="71">
        <f>IFERROR(__xludf.DUMMYFUNCTION("""COMPUTED_VALUE"""),1446.0)</f>
        <v>1446</v>
      </c>
      <c r="BD907" s="71">
        <f>IFERROR(__xludf.DUMMYFUNCTION("""COMPUTED_VALUE"""),1518.0)</f>
        <v>1518</v>
      </c>
      <c r="BE907" s="71">
        <f>IFERROR(__xludf.DUMMYFUNCTION("""COMPUTED_VALUE"""),242.88)</f>
        <v>242.88</v>
      </c>
      <c r="BF907" s="71">
        <f>IFERROR(__xludf.DUMMYFUNCTION("""COMPUTED_VALUE"""),1760.88)</f>
        <v>1760.88</v>
      </c>
      <c r="BG907" s="71">
        <f>IFERROR(__xludf.DUMMYFUNCTION("""COMPUTED_VALUE"""),0.04979253112033195)</f>
        <v>0.04979253112</v>
      </c>
      <c r="BH907" s="71">
        <f>IFERROR(__xludf.DUMMYFUNCTION("""COMPUTED_VALUE"""),1442.1)</f>
        <v>1442.1</v>
      </c>
      <c r="BI907" s="71">
        <f>IFERROR(__xludf.DUMMYFUNCTION("""COMPUTED_VALUE"""),230.736)</f>
        <v>230.736</v>
      </c>
      <c r="BJ907" s="71">
        <f>IFERROR(__xludf.DUMMYFUNCTION("""COMPUTED_VALUE"""),1672.8359999999998)</f>
        <v>1672.836</v>
      </c>
      <c r="BK907" s="71">
        <f>IFERROR(__xludf.DUMMYFUNCTION("""COMPUTED_VALUE"""),1366.2)</f>
        <v>1366.2</v>
      </c>
      <c r="BL907" s="71">
        <f>IFERROR(__xludf.DUMMYFUNCTION("""COMPUTED_VALUE"""),218.592)</f>
        <v>218.592</v>
      </c>
      <c r="BM907" s="71">
        <f>IFERROR(__xludf.DUMMYFUNCTION("""COMPUTED_VALUE"""),1584.7920000000001)</f>
        <v>1584.792</v>
      </c>
      <c r="BN907" s="71">
        <f>IFERROR(__xludf.DUMMYFUNCTION("""COMPUTED_VALUE"""),1290.3)</f>
        <v>1290.3</v>
      </c>
      <c r="BO907" s="71">
        <f>IFERROR(__xludf.DUMMYFUNCTION("""COMPUTED_VALUE"""),206.448)</f>
        <v>206.448</v>
      </c>
      <c r="BP907" s="71">
        <f>IFERROR(__xludf.DUMMYFUNCTION("""COMPUTED_VALUE"""),1496.748)</f>
        <v>1496.748</v>
      </c>
      <c r="BQ907" s="71">
        <f>IFERROR(__xludf.DUMMYFUNCTION("""COMPUTED_VALUE"""),1259.9399999999998)</f>
        <v>1259.94</v>
      </c>
      <c r="BR907" s="71">
        <f>IFERROR(__xludf.DUMMYFUNCTION("""COMPUTED_VALUE"""),201.5904)</f>
        <v>201.5904</v>
      </c>
      <c r="BS907" s="71">
        <f>IFERROR(__xludf.DUMMYFUNCTION("""COMPUTED_VALUE"""),1461.5303999999999)</f>
        <v>1461.5304</v>
      </c>
      <c r="BT907" s="71">
        <f>IFERROR(__xludf.DUMMYFUNCTION("""COMPUTED_VALUE"""),1214.4)</f>
        <v>1214.4</v>
      </c>
      <c r="BU907" s="71">
        <f>IFERROR(__xludf.DUMMYFUNCTION("""COMPUTED_VALUE"""),194.30400000000003)</f>
        <v>194.304</v>
      </c>
      <c r="BV907" s="71">
        <f>IFERROR(__xludf.DUMMYFUNCTION("""COMPUTED_VALUE"""),1408.7040000000002)</f>
        <v>1408.704</v>
      </c>
    </row>
    <row r="908">
      <c r="A908" s="53">
        <v>1.0</v>
      </c>
      <c r="B908" s="72"/>
      <c r="C908" s="73" t="s">
        <v>53</v>
      </c>
      <c r="D908" s="74" t="s">
        <v>2196</v>
      </c>
      <c r="E908" s="54" t="s">
        <v>38</v>
      </c>
      <c r="F908" s="54" t="s">
        <v>42</v>
      </c>
      <c r="G908" s="88" t="s">
        <v>2197</v>
      </c>
      <c r="H908" s="54" t="s">
        <v>2197</v>
      </c>
      <c r="I908" s="54">
        <f t="shared" si="24"/>
        <v>29</v>
      </c>
      <c r="J908" s="56"/>
      <c r="K908" s="75"/>
      <c r="L908" s="76"/>
      <c r="M908" s="59"/>
      <c r="N908" s="60">
        <v>114.0</v>
      </c>
      <c r="O908" s="61">
        <v>123.0</v>
      </c>
      <c r="P908" s="62">
        <v>132.84</v>
      </c>
      <c r="Q908" s="63">
        <v>132.84</v>
      </c>
      <c r="R908" s="64">
        <v>149.0</v>
      </c>
      <c r="S908" s="111">
        <v>156.0</v>
      </c>
      <c r="T908" s="65">
        <f t="shared" si="2"/>
        <v>24.96</v>
      </c>
      <c r="U908" s="65">
        <f t="shared" si="3"/>
        <v>180.96</v>
      </c>
      <c r="V908" s="66">
        <f t="shared" si="4"/>
        <v>0.04697986577</v>
      </c>
      <c r="W908" s="67">
        <f t="shared" si="5"/>
        <v>148.2</v>
      </c>
      <c r="X908" s="67">
        <f t="shared" si="6"/>
        <v>23.712</v>
      </c>
      <c r="Y908" s="67">
        <f t="shared" si="7"/>
        <v>171.912</v>
      </c>
      <c r="Z908" s="67">
        <f t="shared" si="8"/>
        <v>140.4</v>
      </c>
      <c r="AA908" s="67">
        <f t="shared" si="9"/>
        <v>22.464</v>
      </c>
      <c r="AB908" s="67">
        <f t="shared" si="10"/>
        <v>162.864</v>
      </c>
      <c r="AC908" s="67">
        <f t="shared" si="11"/>
        <v>132.6</v>
      </c>
      <c r="AD908" s="67">
        <f t="shared" si="12"/>
        <v>21.216</v>
      </c>
      <c r="AE908" s="67">
        <f t="shared" si="13"/>
        <v>153.816</v>
      </c>
      <c r="AF908" s="67">
        <f t="shared" si="33"/>
        <v>129.48</v>
      </c>
      <c r="AG908" s="67">
        <f t="shared" si="15"/>
        <v>20.7168</v>
      </c>
      <c r="AH908" s="67">
        <f t="shared" si="16"/>
        <v>150.1968</v>
      </c>
      <c r="AI908" s="67">
        <f t="shared" si="17"/>
        <v>124.8</v>
      </c>
      <c r="AJ908" s="68">
        <f t="shared" si="31"/>
        <v>19.968</v>
      </c>
      <c r="AK908" s="68">
        <f t="shared" si="32"/>
        <v>144.768</v>
      </c>
      <c r="AL908" s="70">
        <f>IFERROR(__xludf.DUMMYFUNCTION("""COMPUTED_VALUE"""),1.0)</f>
        <v>1</v>
      </c>
      <c r="AM908" s="70"/>
      <c r="AN908" s="71" t="str">
        <f>IFERROR(__xludf.DUMMYFUNCTION("""COMPUTED_VALUE""")," P")</f>
        <v>P</v>
      </c>
      <c r="AO908" s="71" t="str">
        <f>IFERROR(__xludf.DUMMYFUNCTION("""COMPUTED_VALUE""")," PE46")</f>
        <v>PE46</v>
      </c>
      <c r="AP908" s="71" t="str">
        <f>IFERROR(__xludf.DUMMYFUNCTION("""COMPUTED_VALUE""")," PZA")</f>
        <v>PZA</v>
      </c>
      <c r="AQ908" s="71" t="str">
        <f>IFERROR(__xludf.DUMMYFUNCTION("""COMPUTED_VALUE""")," REF")</f>
        <v>REF</v>
      </c>
      <c r="AR908" s="71" t="str">
        <f>IFERROR(__xludf.DUMMYFUNCTION("""COMPUTED_VALUE""")," PERFILADOR FE-INOX SENCILLO 18 CM")</f>
        <v>PERFILADOR FE-INOX SENCILLO 18 CM</v>
      </c>
      <c r="AS908" s="71" t="str">
        <f>IFERROR(__xludf.DUMMYFUNCTION("""COMPUTED_VALUE""")," PERFILADOR FE-INOX SENCILLO 18 CM")</f>
        <v>PERFILADOR FE-INOX SENCILLO 18 CM</v>
      </c>
      <c r="AT908" s="71">
        <f>IFERROR(__xludf.DUMMYFUNCTION("""COMPUTED_VALUE"""),33.0)</f>
        <v>33</v>
      </c>
      <c r="AU908" s="71"/>
      <c r="AV908" s="71"/>
      <c r="AW908" s="71"/>
      <c r="AX908" s="71"/>
      <c r="AY908" s="71">
        <f>IFERROR(__xludf.DUMMYFUNCTION("""COMPUTED_VALUE"""),1113.0)</f>
        <v>1113</v>
      </c>
      <c r="AZ908" s="71">
        <f>IFERROR(__xludf.DUMMYFUNCTION("""COMPUTED_VALUE"""),1202.0)</f>
        <v>1202</v>
      </c>
      <c r="BA908" s="71">
        <f>IFERROR(__xludf.DUMMYFUNCTION("""COMPUTED_VALUE"""),1298.16)</f>
        <v>1298.16</v>
      </c>
      <c r="BB908" s="71">
        <f>IFERROR(__xludf.DUMMYFUNCTION("""COMPUTED_VALUE"""),1298.16)</f>
        <v>1298.16</v>
      </c>
      <c r="BC908" s="71">
        <f>IFERROR(__xludf.DUMMYFUNCTION("""COMPUTED_VALUE"""),1446.0)</f>
        <v>1446</v>
      </c>
      <c r="BD908" s="71">
        <f>IFERROR(__xludf.DUMMYFUNCTION("""COMPUTED_VALUE"""),1518.0)</f>
        <v>1518</v>
      </c>
      <c r="BE908" s="71">
        <f>IFERROR(__xludf.DUMMYFUNCTION("""COMPUTED_VALUE"""),242.88)</f>
        <v>242.88</v>
      </c>
      <c r="BF908" s="71">
        <f>IFERROR(__xludf.DUMMYFUNCTION("""COMPUTED_VALUE"""),1760.88)</f>
        <v>1760.88</v>
      </c>
      <c r="BG908" s="71">
        <f>IFERROR(__xludf.DUMMYFUNCTION("""COMPUTED_VALUE"""),0.04979253112033195)</f>
        <v>0.04979253112</v>
      </c>
      <c r="BH908" s="71">
        <f>IFERROR(__xludf.DUMMYFUNCTION("""COMPUTED_VALUE"""),1442.1)</f>
        <v>1442.1</v>
      </c>
      <c r="BI908" s="71">
        <f>IFERROR(__xludf.DUMMYFUNCTION("""COMPUTED_VALUE"""),230.736)</f>
        <v>230.736</v>
      </c>
      <c r="BJ908" s="71">
        <f>IFERROR(__xludf.DUMMYFUNCTION("""COMPUTED_VALUE"""),1672.8359999999998)</f>
        <v>1672.836</v>
      </c>
      <c r="BK908" s="71">
        <f>IFERROR(__xludf.DUMMYFUNCTION("""COMPUTED_VALUE"""),1366.2)</f>
        <v>1366.2</v>
      </c>
      <c r="BL908" s="71">
        <f>IFERROR(__xludf.DUMMYFUNCTION("""COMPUTED_VALUE"""),218.592)</f>
        <v>218.592</v>
      </c>
      <c r="BM908" s="71">
        <f>IFERROR(__xludf.DUMMYFUNCTION("""COMPUTED_VALUE"""),1584.7920000000001)</f>
        <v>1584.792</v>
      </c>
      <c r="BN908" s="71">
        <f>IFERROR(__xludf.DUMMYFUNCTION("""COMPUTED_VALUE"""),1290.3)</f>
        <v>1290.3</v>
      </c>
      <c r="BO908" s="71">
        <f>IFERROR(__xludf.DUMMYFUNCTION("""COMPUTED_VALUE"""),206.448)</f>
        <v>206.448</v>
      </c>
      <c r="BP908" s="71">
        <f>IFERROR(__xludf.DUMMYFUNCTION("""COMPUTED_VALUE"""),1496.748)</f>
        <v>1496.748</v>
      </c>
      <c r="BQ908" s="71">
        <f>IFERROR(__xludf.DUMMYFUNCTION("""COMPUTED_VALUE"""),1259.9399999999998)</f>
        <v>1259.94</v>
      </c>
      <c r="BR908" s="71">
        <f>IFERROR(__xludf.DUMMYFUNCTION("""COMPUTED_VALUE"""),201.5904)</f>
        <v>201.5904</v>
      </c>
      <c r="BS908" s="71">
        <f>IFERROR(__xludf.DUMMYFUNCTION("""COMPUTED_VALUE"""),1461.5303999999999)</f>
        <v>1461.5304</v>
      </c>
      <c r="BT908" s="71">
        <f>IFERROR(__xludf.DUMMYFUNCTION("""COMPUTED_VALUE"""),1214.4)</f>
        <v>1214.4</v>
      </c>
      <c r="BU908" s="71">
        <f>IFERROR(__xludf.DUMMYFUNCTION("""COMPUTED_VALUE"""),194.30400000000003)</f>
        <v>194.304</v>
      </c>
      <c r="BV908" s="71">
        <f>IFERROR(__xludf.DUMMYFUNCTION("""COMPUTED_VALUE"""),1408.7040000000002)</f>
        <v>1408.704</v>
      </c>
    </row>
    <row r="909">
      <c r="A909" s="53"/>
      <c r="B909" s="53"/>
      <c r="C909" s="53" t="s">
        <v>53</v>
      </c>
      <c r="D909" s="53" t="s">
        <v>2198</v>
      </c>
      <c r="E909" s="54" t="s">
        <v>38</v>
      </c>
      <c r="F909" s="54" t="s">
        <v>42</v>
      </c>
      <c r="G909" s="55" t="s">
        <v>2199</v>
      </c>
      <c r="H909" s="54" t="s">
        <v>2199</v>
      </c>
      <c r="I909" s="54">
        <f t="shared" si="24"/>
        <v>22</v>
      </c>
      <c r="J909" s="56"/>
      <c r="K909" s="75"/>
      <c r="L909" s="76"/>
      <c r="M909" s="59"/>
      <c r="N909" s="79">
        <v>280.0</v>
      </c>
      <c r="O909" s="61">
        <v>302.0</v>
      </c>
      <c r="P909" s="63">
        <v>326.16</v>
      </c>
      <c r="Q909" s="63">
        <v>326.16</v>
      </c>
      <c r="R909" s="64">
        <v>343.0</v>
      </c>
      <c r="S909" s="111">
        <v>360.0</v>
      </c>
      <c r="T909" s="65">
        <f t="shared" si="2"/>
        <v>57.6</v>
      </c>
      <c r="U909" s="65">
        <f t="shared" si="3"/>
        <v>417.6</v>
      </c>
      <c r="V909" s="66">
        <f t="shared" si="4"/>
        <v>0.04956268222</v>
      </c>
      <c r="W909" s="67">
        <f t="shared" si="5"/>
        <v>342</v>
      </c>
      <c r="X909" s="67">
        <f t="shared" si="6"/>
        <v>54.72</v>
      </c>
      <c r="Y909" s="67">
        <f t="shared" si="7"/>
        <v>396.72</v>
      </c>
      <c r="Z909" s="67">
        <f t="shared" si="8"/>
        <v>324</v>
      </c>
      <c r="AA909" s="67">
        <f t="shared" si="9"/>
        <v>51.84</v>
      </c>
      <c r="AB909" s="67">
        <f t="shared" si="10"/>
        <v>375.84</v>
      </c>
      <c r="AC909" s="67">
        <f t="shared" si="11"/>
        <v>306</v>
      </c>
      <c r="AD909" s="67">
        <f t="shared" si="12"/>
        <v>48.96</v>
      </c>
      <c r="AE909" s="67">
        <f t="shared" si="13"/>
        <v>354.96</v>
      </c>
      <c r="AF909" s="67">
        <f t="shared" si="33"/>
        <v>298.8</v>
      </c>
      <c r="AG909" s="67">
        <f t="shared" si="15"/>
        <v>47.808</v>
      </c>
      <c r="AH909" s="67">
        <f t="shared" si="16"/>
        <v>346.608</v>
      </c>
      <c r="AI909" s="67">
        <f t="shared" si="17"/>
        <v>288</v>
      </c>
      <c r="AJ909" s="68">
        <f t="shared" si="31"/>
        <v>46.08</v>
      </c>
      <c r="AK909" s="68">
        <f t="shared" si="32"/>
        <v>334.08</v>
      </c>
      <c r="AL909" s="70">
        <f>IFERROR(__xludf.DUMMYFUNCTION("""COMPUTED_VALUE"""),1.0)</f>
        <v>1</v>
      </c>
      <c r="AM909" s="70"/>
      <c r="AN909" s="71" t="str">
        <f>IFERROR(__xludf.DUMMYFUNCTION("""COMPUTED_VALUE""")," P")</f>
        <v>P</v>
      </c>
      <c r="AO909" s="71" t="str">
        <f>IFERROR(__xludf.DUMMYFUNCTION("""COMPUTED_VALUE""")," PE47")</f>
        <v>PE47</v>
      </c>
      <c r="AP909" s="71" t="str">
        <f>IFERROR(__xludf.DUMMYFUNCTION("""COMPUTED_VALUE""")," PZA")</f>
        <v>PZA</v>
      </c>
      <c r="AQ909" s="71" t="str">
        <f>IFERROR(__xludf.DUMMYFUNCTION("""COMPUTED_VALUE""")," REF")</f>
        <v>REF</v>
      </c>
      <c r="AR909" s="71" t="str">
        <f>IFERROR(__xludf.DUMMYFUNCTION("""COMPUTED_VALUE""")," PERFILADOR FE-INOX SENCILLO 18 CM T.PUE")</f>
        <v>PERFILADOR FE-INOX SENCILLO 18 CM T.PUE</v>
      </c>
      <c r="AS909" s="71" t="str">
        <f>IFERROR(__xludf.DUMMYFUNCTION("""COMPUTED_VALUE""")," PERFILADOR FE-INOX SENCILLO 18 CM T.PUE")</f>
        <v>PERFILADOR FE-INOX SENCILLO 18 CM T.PUE</v>
      </c>
      <c r="AT909" s="71">
        <f>IFERROR(__xludf.DUMMYFUNCTION("""COMPUTED_VALUE"""),39.0)</f>
        <v>39</v>
      </c>
      <c r="AU909" s="71"/>
      <c r="AV909" s="71"/>
      <c r="AW909" s="71"/>
      <c r="AX909" s="71"/>
      <c r="AY909" s="71">
        <f>IFERROR(__xludf.DUMMYFUNCTION("""COMPUTED_VALUE"""),1113.0)</f>
        <v>1113</v>
      </c>
      <c r="AZ909" s="71">
        <f>IFERROR(__xludf.DUMMYFUNCTION("""COMPUTED_VALUE"""),1202.0)</f>
        <v>1202</v>
      </c>
      <c r="BA909" s="71">
        <f>IFERROR(__xludf.DUMMYFUNCTION("""COMPUTED_VALUE"""),1298.16)</f>
        <v>1298.16</v>
      </c>
      <c r="BB909" s="71">
        <f>IFERROR(__xludf.DUMMYFUNCTION("""COMPUTED_VALUE"""),1298.16)</f>
        <v>1298.16</v>
      </c>
      <c r="BC909" s="71">
        <f>IFERROR(__xludf.DUMMYFUNCTION("""COMPUTED_VALUE"""),1446.0)</f>
        <v>1446</v>
      </c>
      <c r="BD909" s="71">
        <f>IFERROR(__xludf.DUMMYFUNCTION("""COMPUTED_VALUE"""),1518.0)</f>
        <v>1518</v>
      </c>
      <c r="BE909" s="71">
        <f>IFERROR(__xludf.DUMMYFUNCTION("""COMPUTED_VALUE"""),242.88)</f>
        <v>242.88</v>
      </c>
      <c r="BF909" s="71">
        <f>IFERROR(__xludf.DUMMYFUNCTION("""COMPUTED_VALUE"""),1760.88)</f>
        <v>1760.88</v>
      </c>
      <c r="BG909" s="71">
        <f>IFERROR(__xludf.DUMMYFUNCTION("""COMPUTED_VALUE"""),0.04979253112033195)</f>
        <v>0.04979253112</v>
      </c>
      <c r="BH909" s="71">
        <f>IFERROR(__xludf.DUMMYFUNCTION("""COMPUTED_VALUE"""),1442.1)</f>
        <v>1442.1</v>
      </c>
      <c r="BI909" s="71">
        <f>IFERROR(__xludf.DUMMYFUNCTION("""COMPUTED_VALUE"""),230.736)</f>
        <v>230.736</v>
      </c>
      <c r="BJ909" s="71">
        <f>IFERROR(__xludf.DUMMYFUNCTION("""COMPUTED_VALUE"""),1672.8359999999998)</f>
        <v>1672.836</v>
      </c>
      <c r="BK909" s="71">
        <f>IFERROR(__xludf.DUMMYFUNCTION("""COMPUTED_VALUE"""),1366.2)</f>
        <v>1366.2</v>
      </c>
      <c r="BL909" s="71">
        <f>IFERROR(__xludf.DUMMYFUNCTION("""COMPUTED_VALUE"""),218.592)</f>
        <v>218.592</v>
      </c>
      <c r="BM909" s="71">
        <f>IFERROR(__xludf.DUMMYFUNCTION("""COMPUTED_VALUE"""),1584.7920000000001)</f>
        <v>1584.792</v>
      </c>
      <c r="BN909" s="71">
        <f>IFERROR(__xludf.DUMMYFUNCTION("""COMPUTED_VALUE"""),1290.3)</f>
        <v>1290.3</v>
      </c>
      <c r="BO909" s="71">
        <f>IFERROR(__xludf.DUMMYFUNCTION("""COMPUTED_VALUE"""),206.448)</f>
        <v>206.448</v>
      </c>
      <c r="BP909" s="71">
        <f>IFERROR(__xludf.DUMMYFUNCTION("""COMPUTED_VALUE"""),1496.748)</f>
        <v>1496.748</v>
      </c>
      <c r="BQ909" s="71">
        <f>IFERROR(__xludf.DUMMYFUNCTION("""COMPUTED_VALUE"""),1259.9399999999998)</f>
        <v>1259.94</v>
      </c>
      <c r="BR909" s="71">
        <f>IFERROR(__xludf.DUMMYFUNCTION("""COMPUTED_VALUE"""),201.5904)</f>
        <v>201.5904</v>
      </c>
      <c r="BS909" s="71">
        <f>IFERROR(__xludf.DUMMYFUNCTION("""COMPUTED_VALUE"""),1461.5303999999999)</f>
        <v>1461.5304</v>
      </c>
      <c r="BT909" s="71">
        <f>IFERROR(__xludf.DUMMYFUNCTION("""COMPUTED_VALUE"""),1214.4)</f>
        <v>1214.4</v>
      </c>
      <c r="BU909" s="71">
        <f>IFERROR(__xludf.DUMMYFUNCTION("""COMPUTED_VALUE"""),194.30400000000003)</f>
        <v>194.304</v>
      </c>
      <c r="BV909" s="71">
        <f>IFERROR(__xludf.DUMMYFUNCTION("""COMPUTED_VALUE"""),1408.7040000000002)</f>
        <v>1408.704</v>
      </c>
    </row>
    <row r="910">
      <c r="A910" s="53">
        <v>1.0</v>
      </c>
      <c r="B910" s="72"/>
      <c r="C910" s="73" t="s">
        <v>53</v>
      </c>
      <c r="D910" s="74" t="s">
        <v>2200</v>
      </c>
      <c r="E910" s="54" t="s">
        <v>38</v>
      </c>
      <c r="F910" s="54" t="s">
        <v>42</v>
      </c>
      <c r="G910" s="88" t="s">
        <v>2201</v>
      </c>
      <c r="H910" s="54" t="s">
        <v>2201</v>
      </c>
      <c r="I910" s="54">
        <f t="shared" si="24"/>
        <v>21</v>
      </c>
      <c r="J910" s="56"/>
      <c r="K910" s="75"/>
      <c r="L910" s="76"/>
      <c r="M910" s="59"/>
      <c r="N910" s="60">
        <v>221.0</v>
      </c>
      <c r="O910" s="61">
        <v>238.0</v>
      </c>
      <c r="P910" s="62">
        <v>257.04</v>
      </c>
      <c r="Q910" s="63">
        <v>257.04</v>
      </c>
      <c r="R910" s="64">
        <v>287.0</v>
      </c>
      <c r="S910" s="111">
        <v>301.0</v>
      </c>
      <c r="T910" s="65">
        <f t="shared" si="2"/>
        <v>48.16</v>
      </c>
      <c r="U910" s="65">
        <f t="shared" si="3"/>
        <v>349.16</v>
      </c>
      <c r="V910" s="66">
        <f t="shared" si="4"/>
        <v>0.0487804878</v>
      </c>
      <c r="W910" s="67">
        <f t="shared" si="5"/>
        <v>285.95</v>
      </c>
      <c r="X910" s="67">
        <f t="shared" si="6"/>
        <v>45.752</v>
      </c>
      <c r="Y910" s="67">
        <f t="shared" si="7"/>
        <v>331.702</v>
      </c>
      <c r="Z910" s="67">
        <f t="shared" si="8"/>
        <v>270.9</v>
      </c>
      <c r="AA910" s="67">
        <f t="shared" si="9"/>
        <v>43.344</v>
      </c>
      <c r="AB910" s="67">
        <f t="shared" si="10"/>
        <v>314.244</v>
      </c>
      <c r="AC910" s="67">
        <f t="shared" si="11"/>
        <v>255.85</v>
      </c>
      <c r="AD910" s="67">
        <f t="shared" si="12"/>
        <v>40.936</v>
      </c>
      <c r="AE910" s="67">
        <f t="shared" si="13"/>
        <v>296.786</v>
      </c>
      <c r="AF910" s="67">
        <f t="shared" si="33"/>
        <v>249.83</v>
      </c>
      <c r="AG910" s="67">
        <f t="shared" si="15"/>
        <v>39.9728</v>
      </c>
      <c r="AH910" s="67">
        <f t="shared" si="16"/>
        <v>289.8028</v>
      </c>
      <c r="AI910" s="67">
        <f t="shared" si="17"/>
        <v>240.8</v>
      </c>
      <c r="AJ910" s="68">
        <f t="shared" si="31"/>
        <v>38.528</v>
      </c>
      <c r="AK910" s="68">
        <f t="shared" si="32"/>
        <v>279.328</v>
      </c>
      <c r="AL910" s="70">
        <f>IFERROR(__xludf.DUMMYFUNCTION("""COMPUTED_VALUE"""),1.0)</f>
        <v>1</v>
      </c>
      <c r="AM910" s="70"/>
      <c r="AN910" s="71" t="str">
        <f>IFERROR(__xludf.DUMMYFUNCTION("""COMPUTED_VALUE""")," P")</f>
        <v>P</v>
      </c>
      <c r="AO910" s="71" t="str">
        <f>IFERROR(__xludf.DUMMYFUNCTION("""COMPUTED_VALUE""")," PE48")</f>
        <v>PE48</v>
      </c>
      <c r="AP910" s="71" t="str">
        <f>IFERROR(__xludf.DUMMYFUNCTION("""COMPUTED_VALUE""")," PZA")</f>
        <v>PZA</v>
      </c>
      <c r="AQ910" s="71" t="str">
        <f>IFERROR(__xludf.DUMMYFUNCTION("""COMPUTED_VALUE""")," REF")</f>
        <v>REF</v>
      </c>
      <c r="AR910" s="71" t="str">
        <f>IFERROR(__xludf.DUMMYFUNCTION("""COMPUTED_VALUE""")," PERFILADOR FE-INOX SENCILLO 19 CM ESP")</f>
        <v>PERFILADOR FE-INOX SENCILLO 19 CM ESP</v>
      </c>
      <c r="AS910" s="71" t="str">
        <f>IFERROR(__xludf.DUMMYFUNCTION("""COMPUTED_VALUE""")," PERFILADOR FE-INOX SENCILLO 19 CM ESP")</f>
        <v>PERFILADOR FE-INOX SENCILLO 19 CM ESP</v>
      </c>
      <c r="AT910" s="71">
        <f>IFERROR(__xludf.DUMMYFUNCTION("""COMPUTED_VALUE"""),37.0)</f>
        <v>37</v>
      </c>
      <c r="AU910" s="71"/>
      <c r="AV910" s="71"/>
      <c r="AW910" s="71"/>
      <c r="AX910" s="71"/>
      <c r="AY910" s="71">
        <f>IFERROR(__xludf.DUMMYFUNCTION("""COMPUTED_VALUE"""),1113.0)</f>
        <v>1113</v>
      </c>
      <c r="AZ910" s="71">
        <f>IFERROR(__xludf.DUMMYFUNCTION("""COMPUTED_VALUE"""),1202.0)</f>
        <v>1202</v>
      </c>
      <c r="BA910" s="71">
        <f>IFERROR(__xludf.DUMMYFUNCTION("""COMPUTED_VALUE"""),1298.16)</f>
        <v>1298.16</v>
      </c>
      <c r="BB910" s="71">
        <f>IFERROR(__xludf.DUMMYFUNCTION("""COMPUTED_VALUE"""),1298.16)</f>
        <v>1298.16</v>
      </c>
      <c r="BC910" s="71">
        <f>IFERROR(__xludf.DUMMYFUNCTION("""COMPUTED_VALUE"""),1446.0)</f>
        <v>1446</v>
      </c>
      <c r="BD910" s="71">
        <f>IFERROR(__xludf.DUMMYFUNCTION("""COMPUTED_VALUE"""),1518.0)</f>
        <v>1518</v>
      </c>
      <c r="BE910" s="71">
        <f>IFERROR(__xludf.DUMMYFUNCTION("""COMPUTED_VALUE"""),242.88)</f>
        <v>242.88</v>
      </c>
      <c r="BF910" s="71">
        <f>IFERROR(__xludf.DUMMYFUNCTION("""COMPUTED_VALUE"""),1760.88)</f>
        <v>1760.88</v>
      </c>
      <c r="BG910" s="71">
        <f>IFERROR(__xludf.DUMMYFUNCTION("""COMPUTED_VALUE"""),0.04979253112033195)</f>
        <v>0.04979253112</v>
      </c>
      <c r="BH910" s="71">
        <f>IFERROR(__xludf.DUMMYFUNCTION("""COMPUTED_VALUE"""),1442.1)</f>
        <v>1442.1</v>
      </c>
      <c r="BI910" s="71">
        <f>IFERROR(__xludf.DUMMYFUNCTION("""COMPUTED_VALUE"""),230.736)</f>
        <v>230.736</v>
      </c>
      <c r="BJ910" s="71">
        <f>IFERROR(__xludf.DUMMYFUNCTION("""COMPUTED_VALUE"""),1672.8359999999998)</f>
        <v>1672.836</v>
      </c>
      <c r="BK910" s="71">
        <f>IFERROR(__xludf.DUMMYFUNCTION("""COMPUTED_VALUE"""),1366.2)</f>
        <v>1366.2</v>
      </c>
      <c r="BL910" s="71">
        <f>IFERROR(__xludf.DUMMYFUNCTION("""COMPUTED_VALUE"""),218.592)</f>
        <v>218.592</v>
      </c>
      <c r="BM910" s="71">
        <f>IFERROR(__xludf.DUMMYFUNCTION("""COMPUTED_VALUE"""),1584.7920000000001)</f>
        <v>1584.792</v>
      </c>
      <c r="BN910" s="71">
        <f>IFERROR(__xludf.DUMMYFUNCTION("""COMPUTED_VALUE"""),1290.3)</f>
        <v>1290.3</v>
      </c>
      <c r="BO910" s="71">
        <f>IFERROR(__xludf.DUMMYFUNCTION("""COMPUTED_VALUE"""),206.448)</f>
        <v>206.448</v>
      </c>
      <c r="BP910" s="71">
        <f>IFERROR(__xludf.DUMMYFUNCTION("""COMPUTED_VALUE"""),1496.748)</f>
        <v>1496.748</v>
      </c>
      <c r="BQ910" s="71">
        <f>IFERROR(__xludf.DUMMYFUNCTION("""COMPUTED_VALUE"""),1259.9399999999998)</f>
        <v>1259.94</v>
      </c>
      <c r="BR910" s="71">
        <f>IFERROR(__xludf.DUMMYFUNCTION("""COMPUTED_VALUE"""),201.5904)</f>
        <v>201.5904</v>
      </c>
      <c r="BS910" s="71">
        <f>IFERROR(__xludf.DUMMYFUNCTION("""COMPUTED_VALUE"""),1461.5303999999999)</f>
        <v>1461.5304</v>
      </c>
      <c r="BT910" s="71">
        <f>IFERROR(__xludf.DUMMYFUNCTION("""COMPUTED_VALUE"""),1214.4)</f>
        <v>1214.4</v>
      </c>
      <c r="BU910" s="71">
        <f>IFERROR(__xludf.DUMMYFUNCTION("""COMPUTED_VALUE"""),194.30400000000003)</f>
        <v>194.304</v>
      </c>
      <c r="BV910" s="71">
        <f>IFERROR(__xludf.DUMMYFUNCTION("""COMPUTED_VALUE"""),1408.7040000000002)</f>
        <v>1408.704</v>
      </c>
    </row>
    <row r="911">
      <c r="A911" s="53">
        <v>1.0</v>
      </c>
      <c r="B911" s="72"/>
      <c r="C911" s="73" t="s">
        <v>53</v>
      </c>
      <c r="D911" s="74" t="s">
        <v>2202</v>
      </c>
      <c r="E911" s="54" t="s">
        <v>38</v>
      </c>
      <c r="F911" s="54" t="s">
        <v>42</v>
      </c>
      <c r="G911" s="88" t="s">
        <v>2203</v>
      </c>
      <c r="H911" s="54" t="s">
        <v>2203</v>
      </c>
      <c r="I911" s="54">
        <f t="shared" si="24"/>
        <v>33</v>
      </c>
      <c r="J911" s="56"/>
      <c r="K911" s="57"/>
      <c r="L911" s="87"/>
      <c r="M911" s="59"/>
      <c r="N911" s="60">
        <v>326.0</v>
      </c>
      <c r="O911" s="61">
        <v>352.0</v>
      </c>
      <c r="P911" s="62">
        <v>380.16</v>
      </c>
      <c r="Q911" s="63">
        <v>380.16</v>
      </c>
      <c r="R911" s="64">
        <v>424.0</v>
      </c>
      <c r="S911" s="111">
        <v>445.0</v>
      </c>
      <c r="T911" s="65">
        <f t="shared" si="2"/>
        <v>71.2</v>
      </c>
      <c r="U911" s="65">
        <f t="shared" si="3"/>
        <v>516.2</v>
      </c>
      <c r="V911" s="66">
        <f t="shared" si="4"/>
        <v>0.04952830189</v>
      </c>
      <c r="W911" s="67">
        <f t="shared" si="5"/>
        <v>422.75</v>
      </c>
      <c r="X911" s="67">
        <f t="shared" si="6"/>
        <v>67.64</v>
      </c>
      <c r="Y911" s="67">
        <f t="shared" si="7"/>
        <v>490.39</v>
      </c>
      <c r="Z911" s="67">
        <f t="shared" si="8"/>
        <v>400.5</v>
      </c>
      <c r="AA911" s="67">
        <f t="shared" si="9"/>
        <v>64.08</v>
      </c>
      <c r="AB911" s="67">
        <f t="shared" si="10"/>
        <v>464.58</v>
      </c>
      <c r="AC911" s="67">
        <f t="shared" si="11"/>
        <v>378.25</v>
      </c>
      <c r="AD911" s="67">
        <f t="shared" si="12"/>
        <v>60.52</v>
      </c>
      <c r="AE911" s="67">
        <f t="shared" si="13"/>
        <v>438.77</v>
      </c>
      <c r="AF911" s="67">
        <f t="shared" si="33"/>
        <v>369.35</v>
      </c>
      <c r="AG911" s="67">
        <f t="shared" si="15"/>
        <v>59.096</v>
      </c>
      <c r="AH911" s="67">
        <f t="shared" si="16"/>
        <v>428.446</v>
      </c>
      <c r="AI911" s="67">
        <f t="shared" si="17"/>
        <v>356</v>
      </c>
      <c r="AJ911" s="68">
        <f t="shared" si="31"/>
        <v>56.96</v>
      </c>
      <c r="AK911" s="68">
        <f t="shared" si="32"/>
        <v>412.96</v>
      </c>
      <c r="AL911" s="70">
        <f>IFERROR(__xludf.DUMMYFUNCTION("""COMPUTED_VALUE"""),1.0)</f>
        <v>1</v>
      </c>
      <c r="AM911" s="70"/>
      <c r="AN911" s="71" t="str">
        <f>IFERROR(__xludf.DUMMYFUNCTION("""COMPUTED_VALUE""")," P")</f>
        <v>P</v>
      </c>
      <c r="AO911" s="71" t="str">
        <f>IFERROR(__xludf.DUMMYFUNCTION("""COMPUTED_VALUE""")," PE49")</f>
        <v>PE49</v>
      </c>
      <c r="AP911" s="71" t="str">
        <f>IFERROR(__xludf.DUMMYFUNCTION("""COMPUTED_VALUE""")," PZA")</f>
        <v>PZA</v>
      </c>
      <c r="AQ911" s="71" t="str">
        <f>IFERROR(__xludf.DUMMYFUNCTION("""COMPUTED_VALUE""")," REF")</f>
        <v>REF</v>
      </c>
      <c r="AR911" s="71" t="str">
        <f>IFERROR(__xludf.DUMMYFUNCTION("""COMPUTED_VALUE""")," PERFILADOR FE-INOX SENCILLO 19 CM T.PUE")</f>
        <v>PERFILADOR FE-INOX SENCILLO 19 CM T.PUE</v>
      </c>
      <c r="AS911" s="71" t="str">
        <f>IFERROR(__xludf.DUMMYFUNCTION("""COMPUTED_VALUE""")," PERFILADOR FE-INOX SENCILLO 19 CM T.PUE")</f>
        <v>PERFILADOR FE-INOX SENCILLO 19 CM T.PUE</v>
      </c>
      <c r="AT911" s="71">
        <f>IFERROR(__xludf.DUMMYFUNCTION("""COMPUTED_VALUE"""),39.0)</f>
        <v>39</v>
      </c>
      <c r="AU911" s="71"/>
      <c r="AV911" s="71"/>
      <c r="AW911" s="71"/>
      <c r="AX911" s="71"/>
      <c r="AY911" s="71">
        <f>IFERROR(__xludf.DUMMYFUNCTION("""COMPUTED_VALUE"""),1113.0)</f>
        <v>1113</v>
      </c>
      <c r="AZ911" s="71">
        <f>IFERROR(__xludf.DUMMYFUNCTION("""COMPUTED_VALUE"""),1202.0)</f>
        <v>1202</v>
      </c>
      <c r="BA911" s="71">
        <f>IFERROR(__xludf.DUMMYFUNCTION("""COMPUTED_VALUE"""),1298.16)</f>
        <v>1298.16</v>
      </c>
      <c r="BB911" s="71">
        <f>IFERROR(__xludf.DUMMYFUNCTION("""COMPUTED_VALUE"""),1298.16)</f>
        <v>1298.16</v>
      </c>
      <c r="BC911" s="71">
        <f>IFERROR(__xludf.DUMMYFUNCTION("""COMPUTED_VALUE"""),1446.0)</f>
        <v>1446</v>
      </c>
      <c r="BD911" s="71">
        <f>IFERROR(__xludf.DUMMYFUNCTION("""COMPUTED_VALUE"""),1518.0)</f>
        <v>1518</v>
      </c>
      <c r="BE911" s="71">
        <f>IFERROR(__xludf.DUMMYFUNCTION("""COMPUTED_VALUE"""),242.88)</f>
        <v>242.88</v>
      </c>
      <c r="BF911" s="71">
        <f>IFERROR(__xludf.DUMMYFUNCTION("""COMPUTED_VALUE"""),1760.88)</f>
        <v>1760.88</v>
      </c>
      <c r="BG911" s="71">
        <f>IFERROR(__xludf.DUMMYFUNCTION("""COMPUTED_VALUE"""),0.04979253112033195)</f>
        <v>0.04979253112</v>
      </c>
      <c r="BH911" s="71">
        <f>IFERROR(__xludf.DUMMYFUNCTION("""COMPUTED_VALUE"""),1442.1)</f>
        <v>1442.1</v>
      </c>
      <c r="BI911" s="71">
        <f>IFERROR(__xludf.DUMMYFUNCTION("""COMPUTED_VALUE"""),230.736)</f>
        <v>230.736</v>
      </c>
      <c r="BJ911" s="71">
        <f>IFERROR(__xludf.DUMMYFUNCTION("""COMPUTED_VALUE"""),1672.8359999999998)</f>
        <v>1672.836</v>
      </c>
      <c r="BK911" s="71">
        <f>IFERROR(__xludf.DUMMYFUNCTION("""COMPUTED_VALUE"""),1366.2)</f>
        <v>1366.2</v>
      </c>
      <c r="BL911" s="71">
        <f>IFERROR(__xludf.DUMMYFUNCTION("""COMPUTED_VALUE"""),218.592)</f>
        <v>218.592</v>
      </c>
      <c r="BM911" s="71">
        <f>IFERROR(__xludf.DUMMYFUNCTION("""COMPUTED_VALUE"""),1584.7920000000001)</f>
        <v>1584.792</v>
      </c>
      <c r="BN911" s="71">
        <f>IFERROR(__xludf.DUMMYFUNCTION("""COMPUTED_VALUE"""),1290.3)</f>
        <v>1290.3</v>
      </c>
      <c r="BO911" s="71">
        <f>IFERROR(__xludf.DUMMYFUNCTION("""COMPUTED_VALUE"""),206.448)</f>
        <v>206.448</v>
      </c>
      <c r="BP911" s="71">
        <f>IFERROR(__xludf.DUMMYFUNCTION("""COMPUTED_VALUE"""),1496.748)</f>
        <v>1496.748</v>
      </c>
      <c r="BQ911" s="71">
        <f>IFERROR(__xludf.DUMMYFUNCTION("""COMPUTED_VALUE"""),1259.9399999999998)</f>
        <v>1259.94</v>
      </c>
      <c r="BR911" s="71">
        <f>IFERROR(__xludf.DUMMYFUNCTION("""COMPUTED_VALUE"""),201.5904)</f>
        <v>201.5904</v>
      </c>
      <c r="BS911" s="71">
        <f>IFERROR(__xludf.DUMMYFUNCTION("""COMPUTED_VALUE"""),1461.5303999999999)</f>
        <v>1461.5304</v>
      </c>
      <c r="BT911" s="71">
        <f>IFERROR(__xludf.DUMMYFUNCTION("""COMPUTED_VALUE"""),1214.4)</f>
        <v>1214.4</v>
      </c>
      <c r="BU911" s="71">
        <f>IFERROR(__xludf.DUMMYFUNCTION("""COMPUTED_VALUE"""),194.30400000000003)</f>
        <v>194.304</v>
      </c>
      <c r="BV911" s="71">
        <f>IFERROR(__xludf.DUMMYFUNCTION("""COMPUTED_VALUE"""),1408.7040000000002)</f>
        <v>1408.704</v>
      </c>
    </row>
    <row r="912">
      <c r="A912" s="53"/>
      <c r="B912" s="53"/>
      <c r="C912" s="53" t="s">
        <v>36</v>
      </c>
      <c r="D912" s="85" t="s">
        <v>2204</v>
      </c>
      <c r="E912" s="54" t="s">
        <v>38</v>
      </c>
      <c r="F912" s="55" t="s">
        <v>39</v>
      </c>
      <c r="G912" s="86" t="s">
        <v>2205</v>
      </c>
      <c r="H912" s="55"/>
      <c r="I912" s="54">
        <f t="shared" si="24"/>
        <v>0</v>
      </c>
      <c r="J912" s="56"/>
      <c r="K912" s="57"/>
      <c r="L912" s="76"/>
      <c r="M912" s="59"/>
      <c r="N912" s="60"/>
      <c r="O912" s="61">
        <v>2100.48</v>
      </c>
      <c r="P912" s="62">
        <v>2268.5184000000004</v>
      </c>
      <c r="Q912" s="63">
        <v>2268.5184000000004</v>
      </c>
      <c r="R912" s="64">
        <v>2383.0</v>
      </c>
      <c r="S912" s="107">
        <v>2502.0</v>
      </c>
      <c r="T912" s="65">
        <f t="shared" si="2"/>
        <v>400.32</v>
      </c>
      <c r="U912" s="65">
        <f t="shared" si="3"/>
        <v>2902.32</v>
      </c>
      <c r="V912" s="66">
        <f t="shared" si="4"/>
        <v>0.04993705413</v>
      </c>
      <c r="W912" s="67">
        <f t="shared" si="5"/>
        <v>2376.9</v>
      </c>
      <c r="X912" s="67">
        <f t="shared" si="6"/>
        <v>380.304</v>
      </c>
      <c r="Y912" s="67">
        <f t="shared" si="7"/>
        <v>2757.204</v>
      </c>
      <c r="Z912" s="67">
        <f t="shared" si="8"/>
        <v>2251.8</v>
      </c>
      <c r="AA912" s="67">
        <f t="shared" si="9"/>
        <v>360.288</v>
      </c>
      <c r="AB912" s="67">
        <f t="shared" si="10"/>
        <v>2612.088</v>
      </c>
      <c r="AC912" s="67">
        <f t="shared" si="11"/>
        <v>2126.7</v>
      </c>
      <c r="AD912" s="67">
        <f t="shared" si="12"/>
        <v>340.272</v>
      </c>
      <c r="AE912" s="67">
        <f t="shared" si="13"/>
        <v>2466.972</v>
      </c>
      <c r="AF912" s="67">
        <f t="shared" si="33"/>
        <v>2076.66</v>
      </c>
      <c r="AG912" s="67">
        <f t="shared" si="15"/>
        <v>332.2656</v>
      </c>
      <c r="AH912" s="67">
        <f t="shared" si="16"/>
        <v>2408.9256</v>
      </c>
      <c r="AI912" s="67">
        <f t="shared" si="17"/>
        <v>2001.6</v>
      </c>
      <c r="AJ912" s="68">
        <f t="shared" si="31"/>
        <v>320.256</v>
      </c>
      <c r="AK912" s="68">
        <f t="shared" si="32"/>
        <v>2321.856</v>
      </c>
      <c r="AL912" s="70">
        <f>IFERROR(__xludf.DUMMYFUNCTION("""COMPUTED_VALUE"""),1.0)</f>
        <v>1</v>
      </c>
      <c r="AM912" s="70"/>
      <c r="AN912" s="71" t="str">
        <f>IFERROR(__xludf.DUMMYFUNCTION("""COMPUTED_VALUE""")," P")</f>
        <v>P</v>
      </c>
      <c r="AO912" s="71" t="str">
        <f>IFERROR(__xludf.DUMMYFUNCTION("""COMPUTED_VALUE""")," PE50")</f>
        <v>PE50</v>
      </c>
      <c r="AP912" s="71" t="str">
        <f>IFERROR(__xludf.DUMMYFUNCTION("""COMPUTED_VALUE""")," PZA")</f>
        <v>PZA</v>
      </c>
      <c r="AQ912" s="71" t="str">
        <f>IFERROR(__xludf.DUMMYFUNCTION("""COMPUTED_VALUE""")," REF")</f>
        <v>REF</v>
      </c>
      <c r="AR912" s="71" t="str">
        <f>IFERROR(__xludf.DUMMYFUNCTION("""COMPUTED_VALUE""")," PERFILADOR FE-INOX SENCILLO 20 CM ESP")</f>
        <v>PERFILADOR FE-INOX SENCILLO 20 CM ESP</v>
      </c>
      <c r="AS912" s="71" t="str">
        <f>IFERROR(__xludf.DUMMYFUNCTION("""COMPUTED_VALUE""")," PERFILADOR FE-INOX SENCILLO 20 CM ESP")</f>
        <v>PERFILADOR FE-INOX SENCILLO 20 CM ESP</v>
      </c>
      <c r="AT912" s="71">
        <f>IFERROR(__xludf.DUMMYFUNCTION("""COMPUTED_VALUE"""),37.0)</f>
        <v>37</v>
      </c>
      <c r="AU912" s="71"/>
      <c r="AV912" s="71"/>
      <c r="AW912" s="71"/>
      <c r="AX912" s="71"/>
      <c r="AY912" s="71">
        <f>IFERROR(__xludf.DUMMYFUNCTION("""COMPUTED_VALUE"""),1113.0)</f>
        <v>1113</v>
      </c>
      <c r="AZ912" s="71">
        <f>IFERROR(__xludf.DUMMYFUNCTION("""COMPUTED_VALUE"""),1202.0)</f>
        <v>1202</v>
      </c>
      <c r="BA912" s="71">
        <f>IFERROR(__xludf.DUMMYFUNCTION("""COMPUTED_VALUE"""),1298.16)</f>
        <v>1298.16</v>
      </c>
      <c r="BB912" s="71">
        <f>IFERROR(__xludf.DUMMYFUNCTION("""COMPUTED_VALUE"""),1298.16)</f>
        <v>1298.16</v>
      </c>
      <c r="BC912" s="71">
        <f>IFERROR(__xludf.DUMMYFUNCTION("""COMPUTED_VALUE"""),1446.0)</f>
        <v>1446</v>
      </c>
      <c r="BD912" s="71">
        <f>IFERROR(__xludf.DUMMYFUNCTION("""COMPUTED_VALUE"""),1518.0)</f>
        <v>1518</v>
      </c>
      <c r="BE912" s="71">
        <f>IFERROR(__xludf.DUMMYFUNCTION("""COMPUTED_VALUE"""),242.88)</f>
        <v>242.88</v>
      </c>
      <c r="BF912" s="71">
        <f>IFERROR(__xludf.DUMMYFUNCTION("""COMPUTED_VALUE"""),1760.88)</f>
        <v>1760.88</v>
      </c>
      <c r="BG912" s="71">
        <f>IFERROR(__xludf.DUMMYFUNCTION("""COMPUTED_VALUE"""),0.04979253112033195)</f>
        <v>0.04979253112</v>
      </c>
      <c r="BH912" s="71">
        <f>IFERROR(__xludf.DUMMYFUNCTION("""COMPUTED_VALUE"""),1442.1)</f>
        <v>1442.1</v>
      </c>
      <c r="BI912" s="71">
        <f>IFERROR(__xludf.DUMMYFUNCTION("""COMPUTED_VALUE"""),230.736)</f>
        <v>230.736</v>
      </c>
      <c r="BJ912" s="71">
        <f>IFERROR(__xludf.DUMMYFUNCTION("""COMPUTED_VALUE"""),1672.8359999999998)</f>
        <v>1672.836</v>
      </c>
      <c r="BK912" s="71">
        <f>IFERROR(__xludf.DUMMYFUNCTION("""COMPUTED_VALUE"""),1366.2)</f>
        <v>1366.2</v>
      </c>
      <c r="BL912" s="71">
        <f>IFERROR(__xludf.DUMMYFUNCTION("""COMPUTED_VALUE"""),218.592)</f>
        <v>218.592</v>
      </c>
      <c r="BM912" s="71">
        <f>IFERROR(__xludf.DUMMYFUNCTION("""COMPUTED_VALUE"""),1584.7920000000001)</f>
        <v>1584.792</v>
      </c>
      <c r="BN912" s="71">
        <f>IFERROR(__xludf.DUMMYFUNCTION("""COMPUTED_VALUE"""),1290.3)</f>
        <v>1290.3</v>
      </c>
      <c r="BO912" s="71">
        <f>IFERROR(__xludf.DUMMYFUNCTION("""COMPUTED_VALUE"""),206.448)</f>
        <v>206.448</v>
      </c>
      <c r="BP912" s="71">
        <f>IFERROR(__xludf.DUMMYFUNCTION("""COMPUTED_VALUE"""),1496.748)</f>
        <v>1496.748</v>
      </c>
      <c r="BQ912" s="71">
        <f>IFERROR(__xludf.DUMMYFUNCTION("""COMPUTED_VALUE"""),1259.9399999999998)</f>
        <v>1259.94</v>
      </c>
      <c r="BR912" s="71">
        <f>IFERROR(__xludf.DUMMYFUNCTION("""COMPUTED_VALUE"""),201.5904)</f>
        <v>201.5904</v>
      </c>
      <c r="BS912" s="71">
        <f>IFERROR(__xludf.DUMMYFUNCTION("""COMPUTED_VALUE"""),1461.5303999999999)</f>
        <v>1461.5304</v>
      </c>
      <c r="BT912" s="71">
        <f>IFERROR(__xludf.DUMMYFUNCTION("""COMPUTED_VALUE"""),1214.4)</f>
        <v>1214.4</v>
      </c>
      <c r="BU912" s="71">
        <f>IFERROR(__xludf.DUMMYFUNCTION("""COMPUTED_VALUE"""),194.30400000000003)</f>
        <v>194.304</v>
      </c>
      <c r="BV912" s="71">
        <f>IFERROR(__xludf.DUMMYFUNCTION("""COMPUTED_VALUE"""),1408.7040000000002)</f>
        <v>1408.704</v>
      </c>
    </row>
    <row r="913">
      <c r="A913" s="53"/>
      <c r="B913" s="53"/>
      <c r="C913" s="53" t="s">
        <v>53</v>
      </c>
      <c r="D913" s="53" t="s">
        <v>2206</v>
      </c>
      <c r="E913" s="54" t="s">
        <v>38</v>
      </c>
      <c r="F913" s="54" t="s">
        <v>42</v>
      </c>
      <c r="G913" s="55" t="s">
        <v>2207</v>
      </c>
      <c r="H913" s="55" t="s">
        <v>2207</v>
      </c>
      <c r="I913" s="54">
        <f t="shared" si="24"/>
        <v>32</v>
      </c>
      <c r="J913" s="56"/>
      <c r="K913" s="57"/>
      <c r="L913" s="76"/>
      <c r="M913" s="59"/>
      <c r="N913" s="60"/>
      <c r="O913" s="61">
        <v>961.0</v>
      </c>
      <c r="P913" s="62">
        <v>1037.88</v>
      </c>
      <c r="Q913" s="63">
        <v>1037.88</v>
      </c>
      <c r="R913" s="64">
        <v>1090.0</v>
      </c>
      <c r="S913" s="111">
        <v>1145.0</v>
      </c>
      <c r="T913" s="65">
        <f t="shared" si="2"/>
        <v>183.2</v>
      </c>
      <c r="U913" s="65">
        <f t="shared" si="3"/>
        <v>1328.2</v>
      </c>
      <c r="V913" s="66">
        <f t="shared" si="4"/>
        <v>0.0504587156</v>
      </c>
      <c r="W913" s="67">
        <f t="shared" si="5"/>
        <v>1087.75</v>
      </c>
      <c r="X913" s="67">
        <f t="shared" si="6"/>
        <v>174.04</v>
      </c>
      <c r="Y913" s="67">
        <f t="shared" si="7"/>
        <v>1261.79</v>
      </c>
      <c r="Z913" s="67">
        <f t="shared" si="8"/>
        <v>1030.5</v>
      </c>
      <c r="AA913" s="67">
        <f t="shared" si="9"/>
        <v>164.88</v>
      </c>
      <c r="AB913" s="67">
        <f t="shared" si="10"/>
        <v>1195.38</v>
      </c>
      <c r="AC913" s="67">
        <f t="shared" si="11"/>
        <v>973.25</v>
      </c>
      <c r="AD913" s="67">
        <f t="shared" si="12"/>
        <v>155.72</v>
      </c>
      <c r="AE913" s="67">
        <f t="shared" si="13"/>
        <v>1128.97</v>
      </c>
      <c r="AF913" s="67">
        <f t="shared" si="33"/>
        <v>950.35</v>
      </c>
      <c r="AG913" s="67">
        <f t="shared" si="15"/>
        <v>152.056</v>
      </c>
      <c r="AH913" s="67">
        <f t="shared" si="16"/>
        <v>1102.406</v>
      </c>
      <c r="AI913" s="67">
        <f t="shared" si="17"/>
        <v>916</v>
      </c>
      <c r="AJ913" s="68">
        <f t="shared" si="31"/>
        <v>146.56</v>
      </c>
      <c r="AK913" s="68">
        <f t="shared" si="32"/>
        <v>1062.56</v>
      </c>
      <c r="AL913" s="70">
        <f>IFERROR(__xludf.DUMMYFUNCTION("""COMPUTED_VALUE"""),1.0)</f>
        <v>1</v>
      </c>
      <c r="AM913" s="70"/>
      <c r="AN913" s="71" t="str">
        <f>IFERROR(__xludf.DUMMYFUNCTION("""COMPUTED_VALUE""")," P")</f>
        <v>P</v>
      </c>
      <c r="AO913" s="71" t="str">
        <f>IFERROR(__xludf.DUMMYFUNCTION("""COMPUTED_VALUE""")," PE51")</f>
        <v>PE51</v>
      </c>
      <c r="AP913" s="71" t="str">
        <f>IFERROR(__xludf.DUMMYFUNCTION("""COMPUTED_VALUE""")," PZA")</f>
        <v>PZA</v>
      </c>
      <c r="AQ913" s="71" t="str">
        <f>IFERROR(__xludf.DUMMYFUNCTION("""COMPUTED_VALUE""")," REF")</f>
        <v>REF</v>
      </c>
      <c r="AR913" s="71" t="str">
        <f>IFERROR(__xludf.DUMMYFUNCTION("""COMPUTED_VALUE""")," PERFILADOR FE-INOX SENCILLO 20 CM T.PUE")</f>
        <v>PERFILADOR FE-INOX SENCILLO 20 CM T.PUE</v>
      </c>
      <c r="AS913" s="71" t="str">
        <f>IFERROR(__xludf.DUMMYFUNCTION("""COMPUTED_VALUE""")," PERFILADOR FE-INOX SENCILLO 20 CM T.PUE")</f>
        <v>PERFILADOR FE-INOX SENCILLO 20 CM T.PUE</v>
      </c>
      <c r="AT913" s="71">
        <f>IFERROR(__xludf.DUMMYFUNCTION("""COMPUTED_VALUE"""),39.0)</f>
        <v>39</v>
      </c>
      <c r="AU913" s="71"/>
      <c r="AV913" s="71"/>
      <c r="AW913" s="71"/>
      <c r="AX913" s="71"/>
      <c r="AY913" s="71">
        <f>IFERROR(__xludf.DUMMYFUNCTION("""COMPUTED_VALUE"""),1113.0)</f>
        <v>1113</v>
      </c>
      <c r="AZ913" s="71">
        <f>IFERROR(__xludf.DUMMYFUNCTION("""COMPUTED_VALUE"""),1202.0)</f>
        <v>1202</v>
      </c>
      <c r="BA913" s="71">
        <f>IFERROR(__xludf.DUMMYFUNCTION("""COMPUTED_VALUE"""),1298.16)</f>
        <v>1298.16</v>
      </c>
      <c r="BB913" s="71">
        <f>IFERROR(__xludf.DUMMYFUNCTION("""COMPUTED_VALUE"""),1298.16)</f>
        <v>1298.16</v>
      </c>
      <c r="BC913" s="71">
        <f>IFERROR(__xludf.DUMMYFUNCTION("""COMPUTED_VALUE"""),1446.0)</f>
        <v>1446</v>
      </c>
      <c r="BD913" s="71">
        <f>IFERROR(__xludf.DUMMYFUNCTION("""COMPUTED_VALUE"""),1518.0)</f>
        <v>1518</v>
      </c>
      <c r="BE913" s="71">
        <f>IFERROR(__xludf.DUMMYFUNCTION("""COMPUTED_VALUE"""),242.88)</f>
        <v>242.88</v>
      </c>
      <c r="BF913" s="71">
        <f>IFERROR(__xludf.DUMMYFUNCTION("""COMPUTED_VALUE"""),1760.88)</f>
        <v>1760.88</v>
      </c>
      <c r="BG913" s="71">
        <f>IFERROR(__xludf.DUMMYFUNCTION("""COMPUTED_VALUE"""),0.04979253112033195)</f>
        <v>0.04979253112</v>
      </c>
      <c r="BH913" s="71">
        <f>IFERROR(__xludf.DUMMYFUNCTION("""COMPUTED_VALUE"""),1442.1)</f>
        <v>1442.1</v>
      </c>
      <c r="BI913" s="71">
        <f>IFERROR(__xludf.DUMMYFUNCTION("""COMPUTED_VALUE"""),230.736)</f>
        <v>230.736</v>
      </c>
      <c r="BJ913" s="71">
        <f>IFERROR(__xludf.DUMMYFUNCTION("""COMPUTED_VALUE"""),1672.8359999999998)</f>
        <v>1672.836</v>
      </c>
      <c r="BK913" s="71">
        <f>IFERROR(__xludf.DUMMYFUNCTION("""COMPUTED_VALUE"""),1366.2)</f>
        <v>1366.2</v>
      </c>
      <c r="BL913" s="71">
        <f>IFERROR(__xludf.DUMMYFUNCTION("""COMPUTED_VALUE"""),218.592)</f>
        <v>218.592</v>
      </c>
      <c r="BM913" s="71">
        <f>IFERROR(__xludf.DUMMYFUNCTION("""COMPUTED_VALUE"""),1584.7920000000001)</f>
        <v>1584.792</v>
      </c>
      <c r="BN913" s="71">
        <f>IFERROR(__xludf.DUMMYFUNCTION("""COMPUTED_VALUE"""),1290.3)</f>
        <v>1290.3</v>
      </c>
      <c r="BO913" s="71">
        <f>IFERROR(__xludf.DUMMYFUNCTION("""COMPUTED_VALUE"""),206.448)</f>
        <v>206.448</v>
      </c>
      <c r="BP913" s="71">
        <f>IFERROR(__xludf.DUMMYFUNCTION("""COMPUTED_VALUE"""),1496.748)</f>
        <v>1496.748</v>
      </c>
      <c r="BQ913" s="71">
        <f>IFERROR(__xludf.DUMMYFUNCTION("""COMPUTED_VALUE"""),1259.9399999999998)</f>
        <v>1259.94</v>
      </c>
      <c r="BR913" s="71">
        <f>IFERROR(__xludf.DUMMYFUNCTION("""COMPUTED_VALUE"""),201.5904)</f>
        <v>201.5904</v>
      </c>
      <c r="BS913" s="71">
        <f>IFERROR(__xludf.DUMMYFUNCTION("""COMPUTED_VALUE"""),1461.5303999999999)</f>
        <v>1461.5304</v>
      </c>
      <c r="BT913" s="71">
        <f>IFERROR(__xludf.DUMMYFUNCTION("""COMPUTED_VALUE"""),1214.4)</f>
        <v>1214.4</v>
      </c>
      <c r="BU913" s="71">
        <f>IFERROR(__xludf.DUMMYFUNCTION("""COMPUTED_VALUE"""),194.30400000000003)</f>
        <v>194.304</v>
      </c>
      <c r="BV913" s="71">
        <f>IFERROR(__xludf.DUMMYFUNCTION("""COMPUTED_VALUE"""),1408.7040000000002)</f>
        <v>1408.704</v>
      </c>
    </row>
    <row r="914">
      <c r="A914" s="53">
        <v>1.0</v>
      </c>
      <c r="B914" s="72"/>
      <c r="C914" s="73" t="s">
        <v>53</v>
      </c>
      <c r="D914" s="74" t="s">
        <v>2208</v>
      </c>
      <c r="E914" s="54" t="s">
        <v>38</v>
      </c>
      <c r="F914" s="54" t="s">
        <v>42</v>
      </c>
      <c r="G914" s="88" t="s">
        <v>2209</v>
      </c>
      <c r="H914" s="54" t="s">
        <v>2210</v>
      </c>
      <c r="I914" s="54">
        <f t="shared" si="24"/>
        <v>29</v>
      </c>
      <c r="J914" s="56"/>
      <c r="K914" s="75"/>
      <c r="L914" s="76"/>
      <c r="M914" s="59"/>
      <c r="N914" s="60">
        <v>554.0</v>
      </c>
      <c r="O914" s="61">
        <v>598.0</v>
      </c>
      <c r="P914" s="62">
        <v>645.84</v>
      </c>
      <c r="Q914" s="63">
        <v>645.84</v>
      </c>
      <c r="R914" s="64">
        <v>720.0</v>
      </c>
      <c r="S914" s="111">
        <v>756.0</v>
      </c>
      <c r="T914" s="65">
        <f t="shared" si="2"/>
        <v>120.96</v>
      </c>
      <c r="U914" s="65">
        <f t="shared" si="3"/>
        <v>876.96</v>
      </c>
      <c r="V914" s="66">
        <f t="shared" si="4"/>
        <v>0.05</v>
      </c>
      <c r="W914" s="67">
        <f t="shared" si="5"/>
        <v>718.2</v>
      </c>
      <c r="X914" s="67">
        <f t="shared" si="6"/>
        <v>114.912</v>
      </c>
      <c r="Y914" s="67">
        <f t="shared" si="7"/>
        <v>833.112</v>
      </c>
      <c r="Z914" s="67">
        <f t="shared" si="8"/>
        <v>680.4</v>
      </c>
      <c r="AA914" s="67">
        <f t="shared" si="9"/>
        <v>108.864</v>
      </c>
      <c r="AB914" s="67">
        <f t="shared" si="10"/>
        <v>789.264</v>
      </c>
      <c r="AC914" s="67">
        <f t="shared" si="11"/>
        <v>642.6</v>
      </c>
      <c r="AD914" s="67">
        <f t="shared" si="12"/>
        <v>102.816</v>
      </c>
      <c r="AE914" s="67">
        <f t="shared" si="13"/>
        <v>745.416</v>
      </c>
      <c r="AF914" s="67">
        <f t="shared" si="33"/>
        <v>627.48</v>
      </c>
      <c r="AG914" s="67">
        <f t="shared" si="15"/>
        <v>100.3968</v>
      </c>
      <c r="AH914" s="67">
        <f t="shared" si="16"/>
        <v>727.8768</v>
      </c>
      <c r="AI914" s="67">
        <f t="shared" si="17"/>
        <v>604.8</v>
      </c>
      <c r="AJ914" s="68">
        <f t="shared" si="31"/>
        <v>96.768</v>
      </c>
      <c r="AK914" s="68">
        <f t="shared" si="32"/>
        <v>701.568</v>
      </c>
      <c r="AL914" s="70">
        <f>IFERROR(__xludf.DUMMYFUNCTION("""COMPUTED_VALUE"""),1.0)</f>
        <v>1</v>
      </c>
      <c r="AM914" s="70"/>
      <c r="AN914" s="71" t="str">
        <f>IFERROR(__xludf.DUMMYFUNCTION("""COMPUTED_VALUE""")," P")</f>
        <v>P</v>
      </c>
      <c r="AO914" s="71" t="str">
        <f>IFERROR(__xludf.DUMMYFUNCTION("""COMPUTED_VALUE""")," PE53")</f>
        <v>PE53</v>
      </c>
      <c r="AP914" s="71" t="str">
        <f>IFERROR(__xludf.DUMMYFUNCTION("""COMPUTED_VALUE""")," PZA")</f>
        <v>PZA</v>
      </c>
      <c r="AQ914" s="71" t="str">
        <f>IFERROR(__xludf.DUMMYFUNCTION("""COMPUTED_VALUE""")," REF")</f>
        <v>REF</v>
      </c>
      <c r="AR914" s="71" t="str">
        <f>IFERROR(__xludf.DUMMYFUNCTION("""COMPUTED_VALUE""")," PERFILADOR FE-INOX SENCILLO 21 CM")</f>
        <v>PERFILADOR FE-INOX SENCILLO 21 CM</v>
      </c>
      <c r="AS914" s="71" t="str">
        <f>IFERROR(__xludf.DUMMYFUNCTION("""COMPUTED_VALUE""")," PERFILADOR FE-INOX SENCILLO 21 CM")</f>
        <v>PERFILADOR FE-INOX SENCILLO 21 CM</v>
      </c>
      <c r="AT914" s="71">
        <f>IFERROR(__xludf.DUMMYFUNCTION("""COMPUTED_VALUE"""),33.0)</f>
        <v>33</v>
      </c>
      <c r="AU914" s="71"/>
      <c r="AV914" s="71"/>
      <c r="AW914" s="71"/>
      <c r="AX914" s="71"/>
      <c r="AY914" s="71">
        <f>IFERROR(__xludf.DUMMYFUNCTION("""COMPUTED_VALUE"""),1113.0)</f>
        <v>1113</v>
      </c>
      <c r="AZ914" s="71">
        <f>IFERROR(__xludf.DUMMYFUNCTION("""COMPUTED_VALUE"""),1202.0)</f>
        <v>1202</v>
      </c>
      <c r="BA914" s="71">
        <f>IFERROR(__xludf.DUMMYFUNCTION("""COMPUTED_VALUE"""),1298.16)</f>
        <v>1298.16</v>
      </c>
      <c r="BB914" s="71">
        <f>IFERROR(__xludf.DUMMYFUNCTION("""COMPUTED_VALUE"""),1298.16)</f>
        <v>1298.16</v>
      </c>
      <c r="BC914" s="71">
        <f>IFERROR(__xludf.DUMMYFUNCTION("""COMPUTED_VALUE"""),1446.0)</f>
        <v>1446</v>
      </c>
      <c r="BD914" s="71">
        <f>IFERROR(__xludf.DUMMYFUNCTION("""COMPUTED_VALUE"""),1518.0)</f>
        <v>1518</v>
      </c>
      <c r="BE914" s="71">
        <f>IFERROR(__xludf.DUMMYFUNCTION("""COMPUTED_VALUE"""),242.88)</f>
        <v>242.88</v>
      </c>
      <c r="BF914" s="71">
        <f>IFERROR(__xludf.DUMMYFUNCTION("""COMPUTED_VALUE"""),1760.88)</f>
        <v>1760.88</v>
      </c>
      <c r="BG914" s="71">
        <f>IFERROR(__xludf.DUMMYFUNCTION("""COMPUTED_VALUE"""),0.04979253112033195)</f>
        <v>0.04979253112</v>
      </c>
      <c r="BH914" s="71">
        <f>IFERROR(__xludf.DUMMYFUNCTION("""COMPUTED_VALUE"""),1442.1)</f>
        <v>1442.1</v>
      </c>
      <c r="BI914" s="71">
        <f>IFERROR(__xludf.DUMMYFUNCTION("""COMPUTED_VALUE"""),230.736)</f>
        <v>230.736</v>
      </c>
      <c r="BJ914" s="71">
        <f>IFERROR(__xludf.DUMMYFUNCTION("""COMPUTED_VALUE"""),1672.8359999999998)</f>
        <v>1672.836</v>
      </c>
      <c r="BK914" s="71">
        <f>IFERROR(__xludf.DUMMYFUNCTION("""COMPUTED_VALUE"""),1366.2)</f>
        <v>1366.2</v>
      </c>
      <c r="BL914" s="71">
        <f>IFERROR(__xludf.DUMMYFUNCTION("""COMPUTED_VALUE"""),218.592)</f>
        <v>218.592</v>
      </c>
      <c r="BM914" s="71">
        <f>IFERROR(__xludf.DUMMYFUNCTION("""COMPUTED_VALUE"""),1584.7920000000001)</f>
        <v>1584.792</v>
      </c>
      <c r="BN914" s="71">
        <f>IFERROR(__xludf.DUMMYFUNCTION("""COMPUTED_VALUE"""),1290.3)</f>
        <v>1290.3</v>
      </c>
      <c r="BO914" s="71">
        <f>IFERROR(__xludf.DUMMYFUNCTION("""COMPUTED_VALUE"""),206.448)</f>
        <v>206.448</v>
      </c>
      <c r="BP914" s="71">
        <f>IFERROR(__xludf.DUMMYFUNCTION("""COMPUTED_VALUE"""),1496.748)</f>
        <v>1496.748</v>
      </c>
      <c r="BQ914" s="71">
        <f>IFERROR(__xludf.DUMMYFUNCTION("""COMPUTED_VALUE"""),1259.9399999999998)</f>
        <v>1259.94</v>
      </c>
      <c r="BR914" s="71">
        <f>IFERROR(__xludf.DUMMYFUNCTION("""COMPUTED_VALUE"""),201.5904)</f>
        <v>201.5904</v>
      </c>
      <c r="BS914" s="71">
        <f>IFERROR(__xludf.DUMMYFUNCTION("""COMPUTED_VALUE"""),1461.5303999999999)</f>
        <v>1461.5304</v>
      </c>
      <c r="BT914" s="71">
        <f>IFERROR(__xludf.DUMMYFUNCTION("""COMPUTED_VALUE"""),1214.4)</f>
        <v>1214.4</v>
      </c>
      <c r="BU914" s="71">
        <f>IFERROR(__xludf.DUMMYFUNCTION("""COMPUTED_VALUE"""),194.30400000000003)</f>
        <v>194.304</v>
      </c>
      <c r="BV914" s="71">
        <f>IFERROR(__xludf.DUMMYFUNCTION("""COMPUTED_VALUE"""),1408.7040000000002)</f>
        <v>1408.704</v>
      </c>
    </row>
    <row r="915">
      <c r="A915" s="53">
        <v>1.0</v>
      </c>
      <c r="B915" s="72"/>
      <c r="C915" s="73" t="s">
        <v>53</v>
      </c>
      <c r="D915" s="74" t="s">
        <v>2211</v>
      </c>
      <c r="E915" s="54" t="s">
        <v>38</v>
      </c>
      <c r="F915" s="54" t="s">
        <v>42</v>
      </c>
      <c r="G915" s="88" t="s">
        <v>2212</v>
      </c>
      <c r="H915" s="54" t="s">
        <v>2213</v>
      </c>
      <c r="I915" s="54">
        <f t="shared" si="24"/>
        <v>34</v>
      </c>
      <c r="J915" s="56"/>
      <c r="K915" s="75"/>
      <c r="L915" s="76"/>
      <c r="M915" s="59"/>
      <c r="N915" s="60">
        <v>278.0</v>
      </c>
      <c r="O915" s="61">
        <v>300.0</v>
      </c>
      <c r="P915" s="62">
        <v>324.0</v>
      </c>
      <c r="Q915" s="63">
        <v>324.0</v>
      </c>
      <c r="R915" s="64">
        <v>362.0</v>
      </c>
      <c r="S915" s="111">
        <v>380.0</v>
      </c>
      <c r="T915" s="65">
        <f t="shared" si="2"/>
        <v>60.8</v>
      </c>
      <c r="U915" s="65">
        <f t="shared" si="3"/>
        <v>440.8</v>
      </c>
      <c r="V915" s="66">
        <f t="shared" si="4"/>
        <v>0.04972375691</v>
      </c>
      <c r="W915" s="67">
        <f t="shared" si="5"/>
        <v>361</v>
      </c>
      <c r="X915" s="67">
        <f t="shared" si="6"/>
        <v>57.76</v>
      </c>
      <c r="Y915" s="67">
        <f t="shared" si="7"/>
        <v>418.76</v>
      </c>
      <c r="Z915" s="67">
        <f t="shared" si="8"/>
        <v>342</v>
      </c>
      <c r="AA915" s="67">
        <f t="shared" si="9"/>
        <v>54.72</v>
      </c>
      <c r="AB915" s="67">
        <f t="shared" si="10"/>
        <v>396.72</v>
      </c>
      <c r="AC915" s="67">
        <f t="shared" si="11"/>
        <v>323</v>
      </c>
      <c r="AD915" s="67">
        <f t="shared" si="12"/>
        <v>51.68</v>
      </c>
      <c r="AE915" s="67">
        <f t="shared" si="13"/>
        <v>374.68</v>
      </c>
      <c r="AF915" s="67">
        <f t="shared" si="33"/>
        <v>315.4</v>
      </c>
      <c r="AG915" s="67">
        <f t="shared" si="15"/>
        <v>50.464</v>
      </c>
      <c r="AH915" s="67">
        <f t="shared" si="16"/>
        <v>365.864</v>
      </c>
      <c r="AI915" s="67">
        <f t="shared" si="17"/>
        <v>304</v>
      </c>
      <c r="AJ915" s="68">
        <f t="shared" si="31"/>
        <v>48.64</v>
      </c>
      <c r="AK915" s="68">
        <f t="shared" si="32"/>
        <v>352.64</v>
      </c>
      <c r="AL915" s="70">
        <f>IFERROR(__xludf.DUMMYFUNCTION("""COMPUTED_VALUE"""),1.0)</f>
        <v>1</v>
      </c>
      <c r="AM915" s="70"/>
      <c r="AN915" s="71" t="str">
        <f>IFERROR(__xludf.DUMMYFUNCTION("""COMPUTED_VALUE""")," P")</f>
        <v>P</v>
      </c>
      <c r="AO915" s="71" t="str">
        <f>IFERROR(__xludf.DUMMYFUNCTION("""COMPUTED_VALUE""")," PE52")</f>
        <v>PE52</v>
      </c>
      <c r="AP915" s="71" t="str">
        <f>IFERROR(__xludf.DUMMYFUNCTION("""COMPUTED_VALUE""")," PZA")</f>
        <v>PZA</v>
      </c>
      <c r="AQ915" s="71" t="str">
        <f>IFERROR(__xludf.DUMMYFUNCTION("""COMPUTED_VALUE""")," REF")</f>
        <v>REF</v>
      </c>
      <c r="AR915" s="71" t="str">
        <f>IFERROR(__xludf.DUMMYFUNCTION("""COMPUTED_VALUE""")," PERFILADOR FE-INOX SENCILLO 21 CM T.PUE")</f>
        <v>PERFILADOR FE-INOX SENCILLO 21 CM T.PUE</v>
      </c>
      <c r="AS915" s="71" t="str">
        <f>IFERROR(__xludf.DUMMYFUNCTION("""COMPUTED_VALUE""")," PERFILADOR FE-INOX SENCILLO 21 CM T.PUE")</f>
        <v>PERFILADOR FE-INOX SENCILLO 21 CM T.PUE</v>
      </c>
      <c r="AT915" s="71">
        <f>IFERROR(__xludf.DUMMYFUNCTION("""COMPUTED_VALUE"""),39.0)</f>
        <v>39</v>
      </c>
      <c r="AU915" s="71"/>
      <c r="AV915" s="71"/>
      <c r="AW915" s="71"/>
      <c r="AX915" s="71"/>
      <c r="AY915" s="71">
        <f>IFERROR(__xludf.DUMMYFUNCTION("""COMPUTED_VALUE"""),1113.0)</f>
        <v>1113</v>
      </c>
      <c r="AZ915" s="71">
        <f>IFERROR(__xludf.DUMMYFUNCTION("""COMPUTED_VALUE"""),1202.0)</f>
        <v>1202</v>
      </c>
      <c r="BA915" s="71">
        <f>IFERROR(__xludf.DUMMYFUNCTION("""COMPUTED_VALUE"""),1298.16)</f>
        <v>1298.16</v>
      </c>
      <c r="BB915" s="71">
        <f>IFERROR(__xludf.DUMMYFUNCTION("""COMPUTED_VALUE"""),1298.16)</f>
        <v>1298.16</v>
      </c>
      <c r="BC915" s="71">
        <f>IFERROR(__xludf.DUMMYFUNCTION("""COMPUTED_VALUE"""),1446.0)</f>
        <v>1446</v>
      </c>
      <c r="BD915" s="71">
        <f>IFERROR(__xludf.DUMMYFUNCTION("""COMPUTED_VALUE"""),1518.0)</f>
        <v>1518</v>
      </c>
      <c r="BE915" s="71">
        <f>IFERROR(__xludf.DUMMYFUNCTION("""COMPUTED_VALUE"""),242.88)</f>
        <v>242.88</v>
      </c>
      <c r="BF915" s="71">
        <f>IFERROR(__xludf.DUMMYFUNCTION("""COMPUTED_VALUE"""),1760.88)</f>
        <v>1760.88</v>
      </c>
      <c r="BG915" s="71">
        <f>IFERROR(__xludf.DUMMYFUNCTION("""COMPUTED_VALUE"""),0.04979253112033195)</f>
        <v>0.04979253112</v>
      </c>
      <c r="BH915" s="71">
        <f>IFERROR(__xludf.DUMMYFUNCTION("""COMPUTED_VALUE"""),1442.1)</f>
        <v>1442.1</v>
      </c>
      <c r="BI915" s="71">
        <f>IFERROR(__xludf.DUMMYFUNCTION("""COMPUTED_VALUE"""),230.736)</f>
        <v>230.736</v>
      </c>
      <c r="BJ915" s="71">
        <f>IFERROR(__xludf.DUMMYFUNCTION("""COMPUTED_VALUE"""),1672.8359999999998)</f>
        <v>1672.836</v>
      </c>
      <c r="BK915" s="71">
        <f>IFERROR(__xludf.DUMMYFUNCTION("""COMPUTED_VALUE"""),1366.2)</f>
        <v>1366.2</v>
      </c>
      <c r="BL915" s="71">
        <f>IFERROR(__xludf.DUMMYFUNCTION("""COMPUTED_VALUE"""),218.592)</f>
        <v>218.592</v>
      </c>
      <c r="BM915" s="71">
        <f>IFERROR(__xludf.DUMMYFUNCTION("""COMPUTED_VALUE"""),1584.7920000000001)</f>
        <v>1584.792</v>
      </c>
      <c r="BN915" s="71">
        <f>IFERROR(__xludf.DUMMYFUNCTION("""COMPUTED_VALUE"""),1290.3)</f>
        <v>1290.3</v>
      </c>
      <c r="BO915" s="71">
        <f>IFERROR(__xludf.DUMMYFUNCTION("""COMPUTED_VALUE"""),206.448)</f>
        <v>206.448</v>
      </c>
      <c r="BP915" s="71">
        <f>IFERROR(__xludf.DUMMYFUNCTION("""COMPUTED_VALUE"""),1496.748)</f>
        <v>1496.748</v>
      </c>
      <c r="BQ915" s="71">
        <f>IFERROR(__xludf.DUMMYFUNCTION("""COMPUTED_VALUE"""),1259.9399999999998)</f>
        <v>1259.94</v>
      </c>
      <c r="BR915" s="71">
        <f>IFERROR(__xludf.DUMMYFUNCTION("""COMPUTED_VALUE"""),201.5904)</f>
        <v>201.5904</v>
      </c>
      <c r="BS915" s="71">
        <f>IFERROR(__xludf.DUMMYFUNCTION("""COMPUTED_VALUE"""),1461.5303999999999)</f>
        <v>1461.5304</v>
      </c>
      <c r="BT915" s="71">
        <f>IFERROR(__xludf.DUMMYFUNCTION("""COMPUTED_VALUE"""),1214.4)</f>
        <v>1214.4</v>
      </c>
      <c r="BU915" s="71">
        <f>IFERROR(__xludf.DUMMYFUNCTION("""COMPUTED_VALUE"""),194.30400000000003)</f>
        <v>194.304</v>
      </c>
      <c r="BV915" s="71">
        <f>IFERROR(__xludf.DUMMYFUNCTION("""COMPUTED_VALUE"""),1408.7040000000002)</f>
        <v>1408.704</v>
      </c>
    </row>
    <row r="916">
      <c r="A916" s="53">
        <v>1.0</v>
      </c>
      <c r="B916" s="72"/>
      <c r="C916" s="73" t="s">
        <v>53</v>
      </c>
      <c r="D916" s="74" t="s">
        <v>2214</v>
      </c>
      <c r="E916" s="54" t="s">
        <v>38</v>
      </c>
      <c r="F916" s="54" t="s">
        <v>42</v>
      </c>
      <c r="G916" s="88" t="s">
        <v>2215</v>
      </c>
      <c r="H916" s="54" t="s">
        <v>2216</v>
      </c>
      <c r="I916" s="54">
        <f t="shared" si="24"/>
        <v>24</v>
      </c>
      <c r="J916" s="56"/>
      <c r="K916" s="75"/>
      <c r="L916" s="76"/>
      <c r="M916" s="59"/>
      <c r="N916" s="60">
        <v>166.0</v>
      </c>
      <c r="O916" s="61">
        <v>179.0</v>
      </c>
      <c r="P916" s="62">
        <v>193.32000000000002</v>
      </c>
      <c r="Q916" s="63">
        <v>193.32000000000002</v>
      </c>
      <c r="R916" s="64">
        <v>216.0</v>
      </c>
      <c r="S916" s="111">
        <v>227.0</v>
      </c>
      <c r="T916" s="65">
        <f t="shared" si="2"/>
        <v>36.32</v>
      </c>
      <c r="U916" s="65">
        <f t="shared" si="3"/>
        <v>263.32</v>
      </c>
      <c r="V916" s="66">
        <f t="shared" si="4"/>
        <v>0.05092592593</v>
      </c>
      <c r="W916" s="67">
        <f t="shared" si="5"/>
        <v>215.65</v>
      </c>
      <c r="X916" s="67">
        <f t="shared" si="6"/>
        <v>34.504</v>
      </c>
      <c r="Y916" s="67">
        <f t="shared" si="7"/>
        <v>250.154</v>
      </c>
      <c r="Z916" s="67">
        <f t="shared" si="8"/>
        <v>204.3</v>
      </c>
      <c r="AA916" s="67">
        <f t="shared" si="9"/>
        <v>32.688</v>
      </c>
      <c r="AB916" s="67">
        <f t="shared" si="10"/>
        <v>236.988</v>
      </c>
      <c r="AC916" s="67">
        <f t="shared" si="11"/>
        <v>192.95</v>
      </c>
      <c r="AD916" s="67">
        <f t="shared" si="12"/>
        <v>30.872</v>
      </c>
      <c r="AE916" s="67">
        <f t="shared" si="13"/>
        <v>223.822</v>
      </c>
      <c r="AF916" s="67">
        <f t="shared" si="33"/>
        <v>188.41</v>
      </c>
      <c r="AG916" s="67">
        <f t="shared" si="15"/>
        <v>30.1456</v>
      </c>
      <c r="AH916" s="67">
        <f t="shared" si="16"/>
        <v>218.5556</v>
      </c>
      <c r="AI916" s="67">
        <f t="shared" si="17"/>
        <v>181.6</v>
      </c>
      <c r="AJ916" s="68">
        <f t="shared" si="31"/>
        <v>29.056</v>
      </c>
      <c r="AK916" s="68">
        <f t="shared" si="32"/>
        <v>210.656</v>
      </c>
      <c r="AL916" s="70">
        <f>IFERROR(__xludf.DUMMYFUNCTION("""COMPUTED_VALUE"""),1.0)</f>
        <v>1</v>
      </c>
      <c r="AM916" s="70"/>
      <c r="AN916" s="71" t="str">
        <f>IFERROR(__xludf.DUMMYFUNCTION("""COMPUTED_VALUE""")," P")</f>
        <v>P</v>
      </c>
      <c r="AO916" s="71" t="str">
        <f>IFERROR(__xludf.DUMMYFUNCTION("""COMPUTED_VALUE""")," PE54")</f>
        <v>PE54</v>
      </c>
      <c r="AP916" s="71" t="str">
        <f>IFERROR(__xludf.DUMMYFUNCTION("""COMPUTED_VALUE""")," PZA")</f>
        <v>PZA</v>
      </c>
      <c r="AQ916" s="71" t="str">
        <f>IFERROR(__xludf.DUMMYFUNCTION("""COMPUTED_VALUE""")," REF")</f>
        <v>REF</v>
      </c>
      <c r="AR916" s="71" t="str">
        <f>IFERROR(__xludf.DUMMYFUNCTION("""COMPUTED_VALUE""")," PERFILADOR FE-INOX SENCILLO 22 CM ESP")</f>
        <v>PERFILADOR FE-INOX SENCILLO 22 CM ESP</v>
      </c>
      <c r="AS916" s="71" t="str">
        <f>IFERROR(__xludf.DUMMYFUNCTION("""COMPUTED_VALUE""")," PERFILADOR FE-INOX SENCILLO 22 CM ESP")</f>
        <v>PERFILADOR FE-INOX SENCILLO 22 CM ESP</v>
      </c>
      <c r="AT916" s="71">
        <f>IFERROR(__xludf.DUMMYFUNCTION("""COMPUTED_VALUE"""),37.0)</f>
        <v>37</v>
      </c>
      <c r="AU916" s="71"/>
      <c r="AV916" s="71"/>
      <c r="AW916" s="71"/>
      <c r="AX916" s="71"/>
      <c r="AY916" s="71">
        <f>IFERROR(__xludf.DUMMYFUNCTION("""COMPUTED_VALUE"""),1113.0)</f>
        <v>1113</v>
      </c>
      <c r="AZ916" s="71">
        <f>IFERROR(__xludf.DUMMYFUNCTION("""COMPUTED_VALUE"""),1202.0)</f>
        <v>1202</v>
      </c>
      <c r="BA916" s="71">
        <f>IFERROR(__xludf.DUMMYFUNCTION("""COMPUTED_VALUE"""),1298.16)</f>
        <v>1298.16</v>
      </c>
      <c r="BB916" s="71">
        <f>IFERROR(__xludf.DUMMYFUNCTION("""COMPUTED_VALUE"""),1298.16)</f>
        <v>1298.16</v>
      </c>
      <c r="BC916" s="71">
        <f>IFERROR(__xludf.DUMMYFUNCTION("""COMPUTED_VALUE"""),1446.0)</f>
        <v>1446</v>
      </c>
      <c r="BD916" s="71">
        <f>IFERROR(__xludf.DUMMYFUNCTION("""COMPUTED_VALUE"""),1518.0)</f>
        <v>1518</v>
      </c>
      <c r="BE916" s="71">
        <f>IFERROR(__xludf.DUMMYFUNCTION("""COMPUTED_VALUE"""),242.88)</f>
        <v>242.88</v>
      </c>
      <c r="BF916" s="71">
        <f>IFERROR(__xludf.DUMMYFUNCTION("""COMPUTED_VALUE"""),1760.88)</f>
        <v>1760.88</v>
      </c>
      <c r="BG916" s="71">
        <f>IFERROR(__xludf.DUMMYFUNCTION("""COMPUTED_VALUE"""),0.04979253112033195)</f>
        <v>0.04979253112</v>
      </c>
      <c r="BH916" s="71">
        <f>IFERROR(__xludf.DUMMYFUNCTION("""COMPUTED_VALUE"""),1442.1)</f>
        <v>1442.1</v>
      </c>
      <c r="BI916" s="71">
        <f>IFERROR(__xludf.DUMMYFUNCTION("""COMPUTED_VALUE"""),230.736)</f>
        <v>230.736</v>
      </c>
      <c r="BJ916" s="71">
        <f>IFERROR(__xludf.DUMMYFUNCTION("""COMPUTED_VALUE"""),1672.8359999999998)</f>
        <v>1672.836</v>
      </c>
      <c r="BK916" s="71">
        <f>IFERROR(__xludf.DUMMYFUNCTION("""COMPUTED_VALUE"""),1366.2)</f>
        <v>1366.2</v>
      </c>
      <c r="BL916" s="71">
        <f>IFERROR(__xludf.DUMMYFUNCTION("""COMPUTED_VALUE"""),218.592)</f>
        <v>218.592</v>
      </c>
      <c r="BM916" s="71">
        <f>IFERROR(__xludf.DUMMYFUNCTION("""COMPUTED_VALUE"""),1584.7920000000001)</f>
        <v>1584.792</v>
      </c>
      <c r="BN916" s="71">
        <f>IFERROR(__xludf.DUMMYFUNCTION("""COMPUTED_VALUE"""),1290.3)</f>
        <v>1290.3</v>
      </c>
      <c r="BO916" s="71">
        <f>IFERROR(__xludf.DUMMYFUNCTION("""COMPUTED_VALUE"""),206.448)</f>
        <v>206.448</v>
      </c>
      <c r="BP916" s="71">
        <f>IFERROR(__xludf.DUMMYFUNCTION("""COMPUTED_VALUE"""),1496.748)</f>
        <v>1496.748</v>
      </c>
      <c r="BQ916" s="71">
        <f>IFERROR(__xludf.DUMMYFUNCTION("""COMPUTED_VALUE"""),1259.9399999999998)</f>
        <v>1259.94</v>
      </c>
      <c r="BR916" s="71">
        <f>IFERROR(__xludf.DUMMYFUNCTION("""COMPUTED_VALUE"""),201.5904)</f>
        <v>201.5904</v>
      </c>
      <c r="BS916" s="71">
        <f>IFERROR(__xludf.DUMMYFUNCTION("""COMPUTED_VALUE"""),1461.5303999999999)</f>
        <v>1461.5304</v>
      </c>
      <c r="BT916" s="71">
        <f>IFERROR(__xludf.DUMMYFUNCTION("""COMPUTED_VALUE"""),1214.4)</f>
        <v>1214.4</v>
      </c>
      <c r="BU916" s="71">
        <f>IFERROR(__xludf.DUMMYFUNCTION("""COMPUTED_VALUE"""),194.30400000000003)</f>
        <v>194.304</v>
      </c>
      <c r="BV916" s="71">
        <f>IFERROR(__xludf.DUMMYFUNCTION("""COMPUTED_VALUE"""),1408.7040000000002)</f>
        <v>1408.704</v>
      </c>
    </row>
    <row r="917">
      <c r="A917" s="53">
        <v>1.0</v>
      </c>
      <c r="B917" s="72"/>
      <c r="C917" s="73" t="s">
        <v>53</v>
      </c>
      <c r="D917" s="74" t="s">
        <v>2217</v>
      </c>
      <c r="E917" s="54" t="s">
        <v>38</v>
      </c>
      <c r="F917" s="54" t="s">
        <v>42</v>
      </c>
      <c r="G917" s="88" t="s">
        <v>2218</v>
      </c>
      <c r="H917" s="54" t="s">
        <v>2218</v>
      </c>
      <c r="I917" s="54">
        <f t="shared" si="24"/>
        <v>38</v>
      </c>
      <c r="J917" s="56"/>
      <c r="K917" s="75"/>
      <c r="L917" s="76"/>
      <c r="M917" s="59"/>
      <c r="N917" s="60">
        <v>257.0</v>
      </c>
      <c r="O917" s="61">
        <v>277.0</v>
      </c>
      <c r="P917" s="62">
        <v>299.16</v>
      </c>
      <c r="Q917" s="63">
        <v>299.16</v>
      </c>
      <c r="R917" s="64">
        <v>334.0</v>
      </c>
      <c r="S917" s="111">
        <v>351.0</v>
      </c>
      <c r="T917" s="65">
        <f t="shared" si="2"/>
        <v>56.16</v>
      </c>
      <c r="U917" s="65">
        <f t="shared" si="3"/>
        <v>407.16</v>
      </c>
      <c r="V917" s="66">
        <f t="shared" si="4"/>
        <v>0.05089820359</v>
      </c>
      <c r="W917" s="67">
        <f t="shared" si="5"/>
        <v>333.45</v>
      </c>
      <c r="X917" s="67">
        <f t="shared" si="6"/>
        <v>53.352</v>
      </c>
      <c r="Y917" s="67">
        <f t="shared" si="7"/>
        <v>386.802</v>
      </c>
      <c r="Z917" s="67">
        <f t="shared" si="8"/>
        <v>315.9</v>
      </c>
      <c r="AA917" s="67">
        <f t="shared" si="9"/>
        <v>50.544</v>
      </c>
      <c r="AB917" s="67">
        <f t="shared" si="10"/>
        <v>366.444</v>
      </c>
      <c r="AC917" s="67">
        <f t="shared" si="11"/>
        <v>298.35</v>
      </c>
      <c r="AD917" s="67">
        <f t="shared" si="12"/>
        <v>47.736</v>
      </c>
      <c r="AE917" s="67">
        <f t="shared" si="13"/>
        <v>346.086</v>
      </c>
      <c r="AF917" s="67">
        <f t="shared" si="33"/>
        <v>291.33</v>
      </c>
      <c r="AG917" s="67">
        <f t="shared" si="15"/>
        <v>46.6128</v>
      </c>
      <c r="AH917" s="67">
        <f t="shared" si="16"/>
        <v>337.9428</v>
      </c>
      <c r="AI917" s="67">
        <f t="shared" si="17"/>
        <v>280.8</v>
      </c>
      <c r="AJ917" s="68">
        <f t="shared" si="31"/>
        <v>44.928</v>
      </c>
      <c r="AK917" s="68">
        <f t="shared" si="32"/>
        <v>325.728</v>
      </c>
      <c r="AL917" s="70">
        <f>IFERROR(__xludf.DUMMYFUNCTION("""COMPUTED_VALUE"""),1.0)</f>
        <v>1</v>
      </c>
      <c r="AM917" s="70"/>
      <c r="AN917" s="71" t="str">
        <f>IFERROR(__xludf.DUMMYFUNCTION("""COMPUTED_VALUE""")," P")</f>
        <v>P</v>
      </c>
      <c r="AO917" s="71" t="str">
        <f>IFERROR(__xludf.DUMMYFUNCTION("""COMPUTED_VALUE""")," PE55")</f>
        <v>PE55</v>
      </c>
      <c r="AP917" s="71" t="str">
        <f>IFERROR(__xludf.DUMMYFUNCTION("""COMPUTED_VALUE""")," PZA")</f>
        <v>PZA</v>
      </c>
      <c r="AQ917" s="71" t="str">
        <f>IFERROR(__xludf.DUMMYFUNCTION("""COMPUTED_VALUE""")," REF")</f>
        <v>REF</v>
      </c>
      <c r="AR917" s="71" t="str">
        <f>IFERROR(__xludf.DUMMYFUNCTION("""COMPUTED_VALUE""")," PERFILADOR FE-INOX SENCILLO 22 CM T.PUE")</f>
        <v>PERFILADOR FE-INOX SENCILLO 22 CM T.PUE</v>
      </c>
      <c r="AS917" s="71" t="str">
        <f>IFERROR(__xludf.DUMMYFUNCTION("""COMPUTED_VALUE""")," PERFILADOR FE-INOX SENCILLO 22 CM T.PUE")</f>
        <v>PERFILADOR FE-INOX SENCILLO 22 CM T.PUE</v>
      </c>
      <c r="AT917" s="71">
        <f>IFERROR(__xludf.DUMMYFUNCTION("""COMPUTED_VALUE"""),39.0)</f>
        <v>39</v>
      </c>
      <c r="AU917" s="71"/>
      <c r="AV917" s="71"/>
      <c r="AW917" s="71"/>
      <c r="AX917" s="71"/>
      <c r="AY917" s="71">
        <f>IFERROR(__xludf.DUMMYFUNCTION("""COMPUTED_VALUE"""),1113.0)</f>
        <v>1113</v>
      </c>
      <c r="AZ917" s="71">
        <f>IFERROR(__xludf.DUMMYFUNCTION("""COMPUTED_VALUE"""),1202.0)</f>
        <v>1202</v>
      </c>
      <c r="BA917" s="71">
        <f>IFERROR(__xludf.DUMMYFUNCTION("""COMPUTED_VALUE"""),1298.16)</f>
        <v>1298.16</v>
      </c>
      <c r="BB917" s="71">
        <f>IFERROR(__xludf.DUMMYFUNCTION("""COMPUTED_VALUE"""),1298.16)</f>
        <v>1298.16</v>
      </c>
      <c r="BC917" s="71">
        <f>IFERROR(__xludf.DUMMYFUNCTION("""COMPUTED_VALUE"""),1446.0)</f>
        <v>1446</v>
      </c>
      <c r="BD917" s="71">
        <f>IFERROR(__xludf.DUMMYFUNCTION("""COMPUTED_VALUE"""),1518.0)</f>
        <v>1518</v>
      </c>
      <c r="BE917" s="71">
        <f>IFERROR(__xludf.DUMMYFUNCTION("""COMPUTED_VALUE"""),242.88)</f>
        <v>242.88</v>
      </c>
      <c r="BF917" s="71">
        <f>IFERROR(__xludf.DUMMYFUNCTION("""COMPUTED_VALUE"""),1760.88)</f>
        <v>1760.88</v>
      </c>
      <c r="BG917" s="71">
        <f>IFERROR(__xludf.DUMMYFUNCTION("""COMPUTED_VALUE"""),0.04979253112033195)</f>
        <v>0.04979253112</v>
      </c>
      <c r="BH917" s="71">
        <f>IFERROR(__xludf.DUMMYFUNCTION("""COMPUTED_VALUE"""),1442.1)</f>
        <v>1442.1</v>
      </c>
      <c r="BI917" s="71">
        <f>IFERROR(__xludf.DUMMYFUNCTION("""COMPUTED_VALUE"""),230.736)</f>
        <v>230.736</v>
      </c>
      <c r="BJ917" s="71">
        <f>IFERROR(__xludf.DUMMYFUNCTION("""COMPUTED_VALUE"""),1672.8359999999998)</f>
        <v>1672.836</v>
      </c>
      <c r="BK917" s="71">
        <f>IFERROR(__xludf.DUMMYFUNCTION("""COMPUTED_VALUE"""),1366.2)</f>
        <v>1366.2</v>
      </c>
      <c r="BL917" s="71">
        <f>IFERROR(__xludf.DUMMYFUNCTION("""COMPUTED_VALUE"""),218.592)</f>
        <v>218.592</v>
      </c>
      <c r="BM917" s="71">
        <f>IFERROR(__xludf.DUMMYFUNCTION("""COMPUTED_VALUE"""),1584.7920000000001)</f>
        <v>1584.792</v>
      </c>
      <c r="BN917" s="71">
        <f>IFERROR(__xludf.DUMMYFUNCTION("""COMPUTED_VALUE"""),1290.3)</f>
        <v>1290.3</v>
      </c>
      <c r="BO917" s="71">
        <f>IFERROR(__xludf.DUMMYFUNCTION("""COMPUTED_VALUE"""),206.448)</f>
        <v>206.448</v>
      </c>
      <c r="BP917" s="71">
        <f>IFERROR(__xludf.DUMMYFUNCTION("""COMPUTED_VALUE"""),1496.748)</f>
        <v>1496.748</v>
      </c>
      <c r="BQ917" s="71">
        <f>IFERROR(__xludf.DUMMYFUNCTION("""COMPUTED_VALUE"""),1259.9399999999998)</f>
        <v>1259.94</v>
      </c>
      <c r="BR917" s="71">
        <f>IFERROR(__xludf.DUMMYFUNCTION("""COMPUTED_VALUE"""),201.5904)</f>
        <v>201.5904</v>
      </c>
      <c r="BS917" s="71">
        <f>IFERROR(__xludf.DUMMYFUNCTION("""COMPUTED_VALUE"""),1461.5303999999999)</f>
        <v>1461.5304</v>
      </c>
      <c r="BT917" s="71">
        <f>IFERROR(__xludf.DUMMYFUNCTION("""COMPUTED_VALUE"""),1214.4)</f>
        <v>1214.4</v>
      </c>
      <c r="BU917" s="71">
        <f>IFERROR(__xludf.DUMMYFUNCTION("""COMPUTED_VALUE"""),194.30400000000003)</f>
        <v>194.304</v>
      </c>
      <c r="BV917" s="71">
        <f>IFERROR(__xludf.DUMMYFUNCTION("""COMPUTED_VALUE"""),1408.7040000000002)</f>
        <v>1408.704</v>
      </c>
    </row>
    <row r="918">
      <c r="A918" s="53"/>
      <c r="B918" s="53"/>
      <c r="C918" s="53" t="s">
        <v>53</v>
      </c>
      <c r="D918" s="53" t="s">
        <v>2219</v>
      </c>
      <c r="E918" s="54" t="s">
        <v>38</v>
      </c>
      <c r="F918" s="54" t="s">
        <v>42</v>
      </c>
      <c r="G918" s="55" t="s">
        <v>2220</v>
      </c>
      <c r="H918" s="55" t="s">
        <v>2220</v>
      </c>
      <c r="I918" s="54">
        <f t="shared" si="24"/>
        <v>28</v>
      </c>
      <c r="J918" s="56"/>
      <c r="K918" s="57"/>
      <c r="L918" s="76"/>
      <c r="M918" s="59"/>
      <c r="N918" s="60"/>
      <c r="O918" s="61">
        <v>901.0</v>
      </c>
      <c r="P918" s="62">
        <v>973.08</v>
      </c>
      <c r="Q918" s="63">
        <v>973.08</v>
      </c>
      <c r="R918" s="64">
        <v>1022.0</v>
      </c>
      <c r="S918" s="111">
        <v>1073.0</v>
      </c>
      <c r="T918" s="65">
        <f t="shared" si="2"/>
        <v>171.68</v>
      </c>
      <c r="U918" s="65">
        <f t="shared" si="3"/>
        <v>1244.68</v>
      </c>
      <c r="V918" s="66">
        <f t="shared" si="4"/>
        <v>0.04990215264</v>
      </c>
      <c r="W918" s="67">
        <f t="shared" si="5"/>
        <v>1019.35</v>
      </c>
      <c r="X918" s="67">
        <f t="shared" si="6"/>
        <v>163.096</v>
      </c>
      <c r="Y918" s="67">
        <f t="shared" si="7"/>
        <v>1182.446</v>
      </c>
      <c r="Z918" s="67">
        <f t="shared" si="8"/>
        <v>965.7</v>
      </c>
      <c r="AA918" s="67">
        <f t="shared" si="9"/>
        <v>154.512</v>
      </c>
      <c r="AB918" s="67">
        <f t="shared" si="10"/>
        <v>1120.212</v>
      </c>
      <c r="AC918" s="67">
        <f t="shared" si="11"/>
        <v>912.05</v>
      </c>
      <c r="AD918" s="67">
        <f t="shared" si="12"/>
        <v>145.928</v>
      </c>
      <c r="AE918" s="67">
        <f t="shared" si="13"/>
        <v>1057.978</v>
      </c>
      <c r="AF918" s="67">
        <f t="shared" si="33"/>
        <v>890.59</v>
      </c>
      <c r="AG918" s="67">
        <f t="shared" si="15"/>
        <v>142.4944</v>
      </c>
      <c r="AH918" s="67">
        <f t="shared" si="16"/>
        <v>1033.0844</v>
      </c>
      <c r="AI918" s="67">
        <f t="shared" si="17"/>
        <v>858.4</v>
      </c>
      <c r="AJ918" s="68">
        <f t="shared" si="31"/>
        <v>137.344</v>
      </c>
      <c r="AK918" s="68">
        <f t="shared" si="32"/>
        <v>995.744</v>
      </c>
      <c r="AL918" s="70">
        <f>IFERROR(__xludf.DUMMYFUNCTION("""COMPUTED_VALUE"""),1.0)</f>
        <v>1</v>
      </c>
      <c r="AM918" s="70"/>
      <c r="AN918" s="71" t="str">
        <f>IFERROR(__xludf.DUMMYFUNCTION("""COMPUTED_VALUE""")," P")</f>
        <v>P</v>
      </c>
      <c r="AO918" s="71" t="str">
        <f>IFERROR(__xludf.DUMMYFUNCTION("""COMPUTED_VALUE""")," PE88")</f>
        <v>PE88</v>
      </c>
      <c r="AP918" s="71" t="str">
        <f>IFERROR(__xludf.DUMMYFUNCTION("""COMPUTED_VALUE""")," PZA")</f>
        <v>PZA</v>
      </c>
      <c r="AQ918" s="71" t="str">
        <f>IFERROR(__xludf.DUMMYFUNCTION("""COMPUTED_VALUE""")," REF")</f>
        <v>REF</v>
      </c>
      <c r="AR918" s="71" t="str">
        <f>IFERROR(__xludf.DUMMYFUNCTION("""COMPUTED_VALUE""")," PERFILADOR INOX COMP 21 CM SENCILLO T.PUE")</f>
        <v>PERFILADOR INOX COMP 21 CM SENCILLO T.PUE</v>
      </c>
      <c r="AS918" s="71" t="str">
        <f>IFERROR(__xludf.DUMMYFUNCTION("""COMPUTED_VALUE""")," PERFILADOR INOX COMP 21 CM SEN T.PUE")</f>
        <v>PERFILADOR INOX COMP 21 CM SEN T.PUE</v>
      </c>
      <c r="AT918" s="71">
        <f>IFERROR(__xludf.DUMMYFUNCTION("""COMPUTED_VALUE"""),36.0)</f>
        <v>36</v>
      </c>
      <c r="AU918" s="71"/>
      <c r="AV918" s="71"/>
      <c r="AW918" s="71"/>
      <c r="AX918" s="71"/>
      <c r="AY918" s="71">
        <f>IFERROR(__xludf.DUMMYFUNCTION("""COMPUTED_VALUE"""),1722.0)</f>
        <v>1722</v>
      </c>
      <c r="AZ918" s="71">
        <f>IFERROR(__xludf.DUMMYFUNCTION("""COMPUTED_VALUE"""),1859.0)</f>
        <v>1859</v>
      </c>
      <c r="BA918" s="71">
        <f>IFERROR(__xludf.DUMMYFUNCTION("""COMPUTED_VALUE"""),2007.72)</f>
        <v>2007.72</v>
      </c>
      <c r="BB918" s="71">
        <f>IFERROR(__xludf.DUMMYFUNCTION("""COMPUTED_VALUE"""),2007.72)</f>
        <v>2007.72</v>
      </c>
      <c r="BC918" s="71">
        <f>IFERROR(__xludf.DUMMYFUNCTION("""COMPUTED_VALUE"""),2236.0)</f>
        <v>2236</v>
      </c>
      <c r="BD918" s="71">
        <f>IFERROR(__xludf.DUMMYFUNCTION("""COMPUTED_VALUE"""),2348.0)</f>
        <v>2348</v>
      </c>
      <c r="BE918" s="71">
        <f>IFERROR(__xludf.DUMMYFUNCTION("""COMPUTED_VALUE"""),375.68)</f>
        <v>375.68</v>
      </c>
      <c r="BF918" s="71">
        <f>IFERROR(__xludf.DUMMYFUNCTION("""COMPUTED_VALUE"""),2723.68)</f>
        <v>2723.68</v>
      </c>
      <c r="BG918" s="71">
        <f>IFERROR(__xludf.DUMMYFUNCTION("""COMPUTED_VALUE"""),0.05008944543828265)</f>
        <v>0.05008944544</v>
      </c>
      <c r="BH918" s="71">
        <f>IFERROR(__xludf.DUMMYFUNCTION("""COMPUTED_VALUE"""),2230.6)</f>
        <v>2230.6</v>
      </c>
      <c r="BI918" s="71">
        <f>IFERROR(__xludf.DUMMYFUNCTION("""COMPUTED_VALUE"""),356.896)</f>
        <v>356.896</v>
      </c>
      <c r="BJ918" s="71">
        <f>IFERROR(__xludf.DUMMYFUNCTION("""COMPUTED_VALUE"""),2587.496)</f>
        <v>2587.496</v>
      </c>
      <c r="BK918" s="71">
        <f>IFERROR(__xludf.DUMMYFUNCTION("""COMPUTED_VALUE"""),2113.2000000000003)</f>
        <v>2113.2</v>
      </c>
      <c r="BL918" s="71">
        <f>IFERROR(__xludf.DUMMYFUNCTION("""COMPUTED_VALUE"""),338.112)</f>
        <v>338.112</v>
      </c>
      <c r="BM918" s="71">
        <f>IFERROR(__xludf.DUMMYFUNCTION("""COMPUTED_VALUE"""),2451.3120000000004)</f>
        <v>2451.312</v>
      </c>
      <c r="BN918" s="71">
        <f>IFERROR(__xludf.DUMMYFUNCTION("""COMPUTED_VALUE"""),1995.8)</f>
        <v>1995.8</v>
      </c>
      <c r="BO918" s="71">
        <f>IFERROR(__xludf.DUMMYFUNCTION("""COMPUTED_VALUE"""),319.328)</f>
        <v>319.328</v>
      </c>
      <c r="BP918" s="71">
        <f>IFERROR(__xludf.DUMMYFUNCTION("""COMPUTED_VALUE"""),2315.1279999999997)</f>
        <v>2315.128</v>
      </c>
      <c r="BQ918" s="71">
        <f>IFERROR(__xludf.DUMMYFUNCTION("""COMPUTED_VALUE"""),1948.84)</f>
        <v>1948.84</v>
      </c>
      <c r="BR918" s="71">
        <f>IFERROR(__xludf.DUMMYFUNCTION("""COMPUTED_VALUE"""),311.8144)</f>
        <v>311.8144</v>
      </c>
      <c r="BS918" s="71">
        <f>IFERROR(__xludf.DUMMYFUNCTION("""COMPUTED_VALUE"""),2260.6544)</f>
        <v>2260.6544</v>
      </c>
      <c r="BT918" s="71">
        <f>IFERROR(__xludf.DUMMYFUNCTION("""COMPUTED_VALUE"""),1878.4)</f>
        <v>1878.4</v>
      </c>
      <c r="BU918" s="71">
        <f>IFERROR(__xludf.DUMMYFUNCTION("""COMPUTED_VALUE"""),300.54400000000004)</f>
        <v>300.544</v>
      </c>
      <c r="BV918" s="71">
        <f>IFERROR(__xludf.DUMMYFUNCTION("""COMPUTED_VALUE"""),2178.944)</f>
        <v>2178.944</v>
      </c>
    </row>
    <row r="919">
      <c r="A919" s="53"/>
      <c r="B919" s="53"/>
      <c r="C919" s="53" t="s">
        <v>53</v>
      </c>
      <c r="D919" s="53" t="s">
        <v>2221</v>
      </c>
      <c r="E919" s="54" t="s">
        <v>38</v>
      </c>
      <c r="F919" s="54" t="s">
        <v>42</v>
      </c>
      <c r="G919" s="55" t="s">
        <v>2222</v>
      </c>
      <c r="H919" s="55" t="s">
        <v>2223</v>
      </c>
      <c r="I919" s="54">
        <f t="shared" si="24"/>
        <v>40</v>
      </c>
      <c r="J919" s="56"/>
      <c r="K919" s="57"/>
      <c r="L919" s="76"/>
      <c r="M919" s="59"/>
      <c r="N919" s="60"/>
      <c r="O919" s="61">
        <v>2720.0</v>
      </c>
      <c r="P919" s="62">
        <v>2937.6000000000004</v>
      </c>
      <c r="Q919" s="63">
        <v>2937.6000000000004</v>
      </c>
      <c r="R919" s="64">
        <v>3085.0</v>
      </c>
      <c r="S919" s="111">
        <v>3239.0</v>
      </c>
      <c r="T919" s="65">
        <f t="shared" si="2"/>
        <v>518.24</v>
      </c>
      <c r="U919" s="65">
        <f t="shared" si="3"/>
        <v>3757.24</v>
      </c>
      <c r="V919" s="66">
        <f t="shared" si="4"/>
        <v>0.04991896272</v>
      </c>
      <c r="W919" s="67">
        <f t="shared" si="5"/>
        <v>3077.05</v>
      </c>
      <c r="X919" s="67">
        <f t="shared" si="6"/>
        <v>492.328</v>
      </c>
      <c r="Y919" s="67">
        <f t="shared" si="7"/>
        <v>3569.378</v>
      </c>
      <c r="Z919" s="67">
        <f t="shared" si="8"/>
        <v>2915.1</v>
      </c>
      <c r="AA919" s="67">
        <f t="shared" si="9"/>
        <v>466.416</v>
      </c>
      <c r="AB919" s="67">
        <f t="shared" si="10"/>
        <v>3381.516</v>
      </c>
      <c r="AC919" s="67">
        <f t="shared" si="11"/>
        <v>2753.15</v>
      </c>
      <c r="AD919" s="67">
        <f t="shared" si="12"/>
        <v>440.504</v>
      </c>
      <c r="AE919" s="67">
        <f t="shared" si="13"/>
        <v>3193.654</v>
      </c>
      <c r="AF919" s="67">
        <f t="shared" si="33"/>
        <v>2688.37</v>
      </c>
      <c r="AG919" s="67">
        <f t="shared" si="15"/>
        <v>430.1392</v>
      </c>
      <c r="AH919" s="67">
        <f t="shared" si="16"/>
        <v>3118.5092</v>
      </c>
      <c r="AI919" s="67">
        <f t="shared" si="17"/>
        <v>2591.2</v>
      </c>
      <c r="AJ919" s="68">
        <f t="shared" si="31"/>
        <v>414.592</v>
      </c>
      <c r="AK919" s="68">
        <f t="shared" si="32"/>
        <v>3005.792</v>
      </c>
      <c r="AL919" s="70">
        <f>IFERROR(__xludf.DUMMYFUNCTION("""COMPUTED_VALUE"""),1.0)</f>
        <v>1</v>
      </c>
      <c r="AM919" s="70"/>
      <c r="AN919" s="71" t="str">
        <f>IFERROR(__xludf.DUMMYFUNCTION("""COMPUTED_VALUE""")," P")</f>
        <v>P</v>
      </c>
      <c r="AO919" s="71" t="str">
        <f>IFERROR(__xludf.DUMMYFUNCTION("""COMPUTED_VALUE""")," PE74")</f>
        <v>PE74</v>
      </c>
      <c r="AP919" s="71" t="str">
        <f>IFERROR(__xludf.DUMMYFUNCTION("""COMPUTED_VALUE""")," PZA")</f>
        <v>PZA</v>
      </c>
      <c r="AQ919" s="71" t="str">
        <f>IFERROR(__xludf.DUMMYFUNCTION("""COMPUTED_VALUE""")," REF")</f>
        <v>REF</v>
      </c>
      <c r="AR919" s="71" t="str">
        <f>IFERROR(__xludf.DUMMYFUNCTION("""COMPUTED_VALUE""")," PERFILADOR INOX COMP SENCILLO 10 CM")</f>
        <v>PERFILADOR INOX COMP SENCILLO 10 CM</v>
      </c>
      <c r="AS919" s="71" t="str">
        <f>IFERROR(__xludf.DUMMYFUNCTION("""COMPUTED_VALUE""")," PERFILADOR INOX COMP SENCILLO 10 CM")</f>
        <v>PERFILADOR INOX COMP SENCILLO 10 CM</v>
      </c>
      <c r="AT919" s="71">
        <f>IFERROR(__xludf.DUMMYFUNCTION("""COMPUTED_VALUE"""),35.0)</f>
        <v>35</v>
      </c>
      <c r="AU919" s="71"/>
      <c r="AV919" s="71"/>
      <c r="AW919" s="71"/>
      <c r="AX919" s="71"/>
      <c r="AY919" s="71">
        <f>IFERROR(__xludf.DUMMYFUNCTION("""COMPUTED_VALUE"""),1198.0)</f>
        <v>1198</v>
      </c>
      <c r="AZ919" s="71">
        <f>IFERROR(__xludf.DUMMYFUNCTION("""COMPUTED_VALUE"""),1293.0)</f>
        <v>1293</v>
      </c>
      <c r="BA919" s="71">
        <f>IFERROR(__xludf.DUMMYFUNCTION("""COMPUTED_VALUE"""),1799.0)</f>
        <v>1799</v>
      </c>
      <c r="BB919" s="71">
        <f>IFERROR(__xludf.DUMMYFUNCTION("""COMPUTED_VALUE"""),1799.0)</f>
        <v>1799</v>
      </c>
      <c r="BC919" s="71">
        <f>IFERROR(__xludf.DUMMYFUNCTION("""COMPUTED_VALUE"""),2003.0)</f>
        <v>2003</v>
      </c>
      <c r="BD919" s="71">
        <f>IFERROR(__xludf.DUMMYFUNCTION("""COMPUTED_VALUE"""),2103.0)</f>
        <v>2103</v>
      </c>
      <c r="BE919" s="71">
        <f>IFERROR(__xludf.DUMMYFUNCTION("""COMPUTED_VALUE"""),336.48)</f>
        <v>336.48</v>
      </c>
      <c r="BF919" s="71">
        <f>IFERROR(__xludf.DUMMYFUNCTION("""COMPUTED_VALUE"""),2439.48)</f>
        <v>2439.48</v>
      </c>
      <c r="BG919" s="71">
        <f>IFERROR(__xludf.DUMMYFUNCTION("""COMPUTED_VALUE"""),0.04992511233150274)</f>
        <v>0.04992511233</v>
      </c>
      <c r="BH919" s="71">
        <f>IFERROR(__xludf.DUMMYFUNCTION("""COMPUTED_VALUE"""),1997.85)</f>
        <v>1997.85</v>
      </c>
      <c r="BI919" s="71">
        <f>IFERROR(__xludf.DUMMYFUNCTION("""COMPUTED_VALUE"""),319.656)</f>
        <v>319.656</v>
      </c>
      <c r="BJ919" s="71">
        <f>IFERROR(__xludf.DUMMYFUNCTION("""COMPUTED_VALUE"""),2317.506)</f>
        <v>2317.506</v>
      </c>
      <c r="BK919" s="71">
        <f>IFERROR(__xludf.DUMMYFUNCTION("""COMPUTED_VALUE"""),1892.7)</f>
        <v>1892.7</v>
      </c>
      <c r="BL919" s="71">
        <f>IFERROR(__xludf.DUMMYFUNCTION("""COMPUTED_VALUE"""),302.832)</f>
        <v>302.832</v>
      </c>
      <c r="BM919" s="71">
        <f>IFERROR(__xludf.DUMMYFUNCTION("""COMPUTED_VALUE"""),2195.532)</f>
        <v>2195.532</v>
      </c>
      <c r="BN919" s="71">
        <f>IFERROR(__xludf.DUMMYFUNCTION("""COMPUTED_VALUE"""),1787.55)</f>
        <v>1787.55</v>
      </c>
      <c r="BO919" s="71">
        <f>IFERROR(__xludf.DUMMYFUNCTION("""COMPUTED_VALUE"""),286.008)</f>
        <v>286.008</v>
      </c>
      <c r="BP919" s="71">
        <f>IFERROR(__xludf.DUMMYFUNCTION("""COMPUTED_VALUE"""),2073.558)</f>
        <v>2073.558</v>
      </c>
      <c r="BQ919" s="71">
        <f>IFERROR(__xludf.DUMMYFUNCTION("""COMPUTED_VALUE"""),1745.49)</f>
        <v>1745.49</v>
      </c>
      <c r="BR919" s="71">
        <f>IFERROR(__xludf.DUMMYFUNCTION("""COMPUTED_VALUE"""),279.27840000000003)</f>
        <v>279.2784</v>
      </c>
      <c r="BS919" s="71">
        <f>IFERROR(__xludf.DUMMYFUNCTION("""COMPUTED_VALUE"""),2024.7684)</f>
        <v>2024.7684</v>
      </c>
      <c r="BT919" s="71">
        <f>IFERROR(__xludf.DUMMYFUNCTION("""COMPUTED_VALUE"""),1682.4)</f>
        <v>1682.4</v>
      </c>
      <c r="BU919" s="71">
        <f>IFERROR(__xludf.DUMMYFUNCTION("""COMPUTED_VALUE"""),269.184)</f>
        <v>269.184</v>
      </c>
      <c r="BV919" s="71">
        <f>IFERROR(__xludf.DUMMYFUNCTION("""COMPUTED_VALUE"""),1951.584)</f>
        <v>1951.584</v>
      </c>
    </row>
    <row r="920">
      <c r="A920" s="53"/>
      <c r="B920" s="53"/>
      <c r="C920" s="53" t="s">
        <v>53</v>
      </c>
      <c r="D920" s="53" t="s">
        <v>2224</v>
      </c>
      <c r="E920" s="54" t="s">
        <v>38</v>
      </c>
      <c r="F920" s="54" t="s">
        <v>42</v>
      </c>
      <c r="G920" s="55" t="s">
        <v>2225</v>
      </c>
      <c r="H920" s="55" t="s">
        <v>2226</v>
      </c>
      <c r="I920" s="54">
        <f t="shared" si="24"/>
        <v>40</v>
      </c>
      <c r="J920" s="56"/>
      <c r="K920" s="57"/>
      <c r="L920" s="76"/>
      <c r="M920" s="59"/>
      <c r="N920" s="60"/>
      <c r="O920" s="61">
        <v>1360.0</v>
      </c>
      <c r="P920" s="62">
        <v>1468.8000000000002</v>
      </c>
      <c r="Q920" s="63">
        <v>1468.8000000000002</v>
      </c>
      <c r="R920" s="64">
        <v>1543.0</v>
      </c>
      <c r="S920" s="111">
        <v>1620.0</v>
      </c>
      <c r="T920" s="65">
        <f t="shared" si="2"/>
        <v>259.2</v>
      </c>
      <c r="U920" s="65">
        <f t="shared" si="3"/>
        <v>1879.2</v>
      </c>
      <c r="V920" s="66">
        <f t="shared" si="4"/>
        <v>0.04990278678</v>
      </c>
      <c r="W920" s="67">
        <f t="shared" si="5"/>
        <v>1539</v>
      </c>
      <c r="X920" s="67">
        <f t="shared" si="6"/>
        <v>246.24</v>
      </c>
      <c r="Y920" s="67">
        <f t="shared" si="7"/>
        <v>1785.24</v>
      </c>
      <c r="Z920" s="67">
        <f t="shared" si="8"/>
        <v>1458</v>
      </c>
      <c r="AA920" s="67">
        <f t="shared" si="9"/>
        <v>233.28</v>
      </c>
      <c r="AB920" s="67">
        <f t="shared" si="10"/>
        <v>1691.28</v>
      </c>
      <c r="AC920" s="67">
        <f t="shared" si="11"/>
        <v>1377</v>
      </c>
      <c r="AD920" s="67">
        <f t="shared" si="12"/>
        <v>220.32</v>
      </c>
      <c r="AE920" s="67">
        <f t="shared" si="13"/>
        <v>1597.32</v>
      </c>
      <c r="AF920" s="67">
        <f t="shared" si="33"/>
        <v>1344.6</v>
      </c>
      <c r="AG920" s="67">
        <f t="shared" si="15"/>
        <v>215.136</v>
      </c>
      <c r="AH920" s="67">
        <f t="shared" si="16"/>
        <v>1559.736</v>
      </c>
      <c r="AI920" s="67">
        <f t="shared" si="17"/>
        <v>1296</v>
      </c>
      <c r="AJ920" s="68">
        <f t="shared" si="31"/>
        <v>207.36</v>
      </c>
      <c r="AK920" s="68">
        <f t="shared" si="32"/>
        <v>1503.36</v>
      </c>
      <c r="AL920" s="70">
        <f>IFERROR(__xludf.DUMMYFUNCTION("""COMPUTED_VALUE"""),1.0)</f>
        <v>1</v>
      </c>
      <c r="AM920" s="70"/>
      <c r="AN920" s="71" t="str">
        <f>IFERROR(__xludf.DUMMYFUNCTION("""COMPUTED_VALUE""")," P")</f>
        <v>P</v>
      </c>
      <c r="AO920" s="71" t="str">
        <f>IFERROR(__xludf.DUMMYFUNCTION("""COMPUTED_VALUE""")," PE75")</f>
        <v>PE75</v>
      </c>
      <c r="AP920" s="71" t="str">
        <f>IFERROR(__xludf.DUMMYFUNCTION("""COMPUTED_VALUE""")," PZA")</f>
        <v>PZA</v>
      </c>
      <c r="AQ920" s="71" t="str">
        <f>IFERROR(__xludf.DUMMYFUNCTION("""COMPUTED_VALUE""")," REF")</f>
        <v>REF</v>
      </c>
      <c r="AR920" s="71" t="str">
        <f>IFERROR(__xludf.DUMMYFUNCTION("""COMPUTED_VALUE""")," PERFILADOR INOX COMP SENCILLO 11 CM")</f>
        <v>PERFILADOR INOX COMP SENCILLO 11 CM</v>
      </c>
      <c r="AS920" s="71" t="str">
        <f>IFERROR(__xludf.DUMMYFUNCTION("""COMPUTED_VALUE""")," PERFILADOR INOX COMP SENCILLO 11 CM")</f>
        <v>PERFILADOR INOX COMP SENCILLO 11 CM</v>
      </c>
      <c r="AT920" s="71">
        <f>IFERROR(__xludf.DUMMYFUNCTION("""COMPUTED_VALUE"""),35.0)</f>
        <v>35</v>
      </c>
      <c r="AU920" s="71"/>
      <c r="AV920" s="71"/>
      <c r="AW920" s="71"/>
      <c r="AX920" s="71"/>
      <c r="AY920" s="71">
        <f>IFERROR(__xludf.DUMMYFUNCTION("""COMPUTED_VALUE"""),1198.0)</f>
        <v>1198</v>
      </c>
      <c r="AZ920" s="71">
        <f>IFERROR(__xludf.DUMMYFUNCTION("""COMPUTED_VALUE"""),1293.0)</f>
        <v>1293</v>
      </c>
      <c r="BA920" s="71">
        <f>IFERROR(__xludf.DUMMYFUNCTION("""COMPUTED_VALUE"""),1799.0)</f>
        <v>1799</v>
      </c>
      <c r="BB920" s="71">
        <f>IFERROR(__xludf.DUMMYFUNCTION("""COMPUTED_VALUE"""),1799.0)</f>
        <v>1799</v>
      </c>
      <c r="BC920" s="71">
        <f>IFERROR(__xludf.DUMMYFUNCTION("""COMPUTED_VALUE"""),2003.0)</f>
        <v>2003</v>
      </c>
      <c r="BD920" s="71">
        <f>IFERROR(__xludf.DUMMYFUNCTION("""COMPUTED_VALUE"""),2103.0)</f>
        <v>2103</v>
      </c>
      <c r="BE920" s="71">
        <f>IFERROR(__xludf.DUMMYFUNCTION("""COMPUTED_VALUE"""),336.48)</f>
        <v>336.48</v>
      </c>
      <c r="BF920" s="71">
        <f>IFERROR(__xludf.DUMMYFUNCTION("""COMPUTED_VALUE"""),2439.48)</f>
        <v>2439.48</v>
      </c>
      <c r="BG920" s="71">
        <f>IFERROR(__xludf.DUMMYFUNCTION("""COMPUTED_VALUE"""),0.04992511233150274)</f>
        <v>0.04992511233</v>
      </c>
      <c r="BH920" s="71">
        <f>IFERROR(__xludf.DUMMYFUNCTION("""COMPUTED_VALUE"""),1997.85)</f>
        <v>1997.85</v>
      </c>
      <c r="BI920" s="71">
        <f>IFERROR(__xludf.DUMMYFUNCTION("""COMPUTED_VALUE"""),319.656)</f>
        <v>319.656</v>
      </c>
      <c r="BJ920" s="71">
        <f>IFERROR(__xludf.DUMMYFUNCTION("""COMPUTED_VALUE"""),2317.506)</f>
        <v>2317.506</v>
      </c>
      <c r="BK920" s="71">
        <f>IFERROR(__xludf.DUMMYFUNCTION("""COMPUTED_VALUE"""),1892.7)</f>
        <v>1892.7</v>
      </c>
      <c r="BL920" s="71">
        <f>IFERROR(__xludf.DUMMYFUNCTION("""COMPUTED_VALUE"""),302.832)</f>
        <v>302.832</v>
      </c>
      <c r="BM920" s="71">
        <f>IFERROR(__xludf.DUMMYFUNCTION("""COMPUTED_VALUE"""),2195.532)</f>
        <v>2195.532</v>
      </c>
      <c r="BN920" s="71">
        <f>IFERROR(__xludf.DUMMYFUNCTION("""COMPUTED_VALUE"""),1787.55)</f>
        <v>1787.55</v>
      </c>
      <c r="BO920" s="71">
        <f>IFERROR(__xludf.DUMMYFUNCTION("""COMPUTED_VALUE"""),286.008)</f>
        <v>286.008</v>
      </c>
      <c r="BP920" s="71">
        <f>IFERROR(__xludf.DUMMYFUNCTION("""COMPUTED_VALUE"""),2073.558)</f>
        <v>2073.558</v>
      </c>
      <c r="BQ920" s="71">
        <f>IFERROR(__xludf.DUMMYFUNCTION("""COMPUTED_VALUE"""),1745.49)</f>
        <v>1745.49</v>
      </c>
      <c r="BR920" s="71">
        <f>IFERROR(__xludf.DUMMYFUNCTION("""COMPUTED_VALUE"""),279.27840000000003)</f>
        <v>279.2784</v>
      </c>
      <c r="BS920" s="71">
        <f>IFERROR(__xludf.DUMMYFUNCTION("""COMPUTED_VALUE"""),2024.7684)</f>
        <v>2024.7684</v>
      </c>
      <c r="BT920" s="71">
        <f>IFERROR(__xludf.DUMMYFUNCTION("""COMPUTED_VALUE"""),1682.4)</f>
        <v>1682.4</v>
      </c>
      <c r="BU920" s="71">
        <f>IFERROR(__xludf.DUMMYFUNCTION("""COMPUTED_VALUE"""),269.184)</f>
        <v>269.184</v>
      </c>
      <c r="BV920" s="71">
        <f>IFERROR(__xludf.DUMMYFUNCTION("""COMPUTED_VALUE"""),1951.584)</f>
        <v>1951.584</v>
      </c>
    </row>
    <row r="921">
      <c r="A921" s="53">
        <v>1.0</v>
      </c>
      <c r="B921" s="72"/>
      <c r="C921" s="73" t="s">
        <v>53</v>
      </c>
      <c r="D921" s="74" t="s">
        <v>2227</v>
      </c>
      <c r="E921" s="54" t="s">
        <v>38</v>
      </c>
      <c r="F921" s="54" t="s">
        <v>42</v>
      </c>
      <c r="G921" s="88" t="s">
        <v>2228</v>
      </c>
      <c r="H921" s="54" t="s">
        <v>2229</v>
      </c>
      <c r="I921" s="54">
        <f t="shared" si="24"/>
        <v>38</v>
      </c>
      <c r="J921" s="56"/>
      <c r="K921" s="75"/>
      <c r="L921" s="76"/>
      <c r="M921" s="59"/>
      <c r="N921" s="60">
        <v>2224.0</v>
      </c>
      <c r="O921" s="61">
        <v>2401.0</v>
      </c>
      <c r="P921" s="62">
        <v>4231.09</v>
      </c>
      <c r="Q921" s="63">
        <v>4231.09</v>
      </c>
      <c r="R921" s="64">
        <v>4443.0</v>
      </c>
      <c r="S921" s="111">
        <v>4665.0</v>
      </c>
      <c r="T921" s="65">
        <f t="shared" si="2"/>
        <v>746.4</v>
      </c>
      <c r="U921" s="65">
        <f t="shared" si="3"/>
        <v>5411.4</v>
      </c>
      <c r="V921" s="66">
        <f t="shared" si="4"/>
        <v>0.04996623903</v>
      </c>
      <c r="W921" s="67">
        <f t="shared" si="5"/>
        <v>4431.75</v>
      </c>
      <c r="X921" s="67">
        <f t="shared" si="6"/>
        <v>709.08</v>
      </c>
      <c r="Y921" s="67">
        <f t="shared" si="7"/>
        <v>5140.83</v>
      </c>
      <c r="Z921" s="67">
        <f t="shared" si="8"/>
        <v>4198.5</v>
      </c>
      <c r="AA921" s="67">
        <f t="shared" si="9"/>
        <v>671.76</v>
      </c>
      <c r="AB921" s="67">
        <f t="shared" si="10"/>
        <v>4870.26</v>
      </c>
      <c r="AC921" s="67">
        <f t="shared" si="11"/>
        <v>3965.25</v>
      </c>
      <c r="AD921" s="67">
        <f t="shared" si="12"/>
        <v>634.44</v>
      </c>
      <c r="AE921" s="67">
        <f t="shared" si="13"/>
        <v>4599.69</v>
      </c>
      <c r="AF921" s="67">
        <f t="shared" si="33"/>
        <v>3871.95</v>
      </c>
      <c r="AG921" s="67">
        <f t="shared" si="15"/>
        <v>619.512</v>
      </c>
      <c r="AH921" s="67">
        <f t="shared" si="16"/>
        <v>4491.462</v>
      </c>
      <c r="AI921" s="67">
        <f t="shared" si="17"/>
        <v>3732</v>
      </c>
      <c r="AJ921" s="68">
        <f t="shared" si="31"/>
        <v>597.12</v>
      </c>
      <c r="AK921" s="68">
        <f t="shared" si="32"/>
        <v>4329.12</v>
      </c>
      <c r="AL921" s="70">
        <f>IFERROR(__xludf.DUMMYFUNCTION("""COMPUTED_VALUE"""),1.0)</f>
        <v>1</v>
      </c>
      <c r="AM921" s="70"/>
      <c r="AN921" s="71" t="str">
        <f>IFERROR(__xludf.DUMMYFUNCTION("""COMPUTED_VALUE""")," P")</f>
        <v>P</v>
      </c>
      <c r="AO921" s="71" t="str">
        <f>IFERROR(__xludf.DUMMYFUNCTION("""COMPUTED_VALUE""")," PE76")</f>
        <v>PE76</v>
      </c>
      <c r="AP921" s="71" t="str">
        <f>IFERROR(__xludf.DUMMYFUNCTION("""COMPUTED_VALUE""")," PZA")</f>
        <v>PZA</v>
      </c>
      <c r="AQ921" s="71" t="str">
        <f>IFERROR(__xludf.DUMMYFUNCTION("""COMPUTED_VALUE""")," REF")</f>
        <v>REF</v>
      </c>
      <c r="AR921" s="71" t="str">
        <f>IFERROR(__xludf.DUMMYFUNCTION("""COMPUTED_VALUE""")," PERFILADOR INOX COMP SENCILLO 12 CM")</f>
        <v>PERFILADOR INOX COMP SENCILLO 12 CM</v>
      </c>
      <c r="AS921" s="71" t="str">
        <f>IFERROR(__xludf.DUMMYFUNCTION("""COMPUTED_VALUE""")," PERFILADOR INOX COMP SENCILLO 12 CM")</f>
        <v>PERFILADOR INOX COMP SENCILLO 12 CM</v>
      </c>
      <c r="AT921" s="71">
        <f>IFERROR(__xludf.DUMMYFUNCTION("""COMPUTED_VALUE"""),35.0)</f>
        <v>35</v>
      </c>
      <c r="AU921" s="71"/>
      <c r="AV921" s="71"/>
      <c r="AW921" s="71"/>
      <c r="AX921" s="71"/>
      <c r="AY921" s="71">
        <f>IFERROR(__xludf.DUMMYFUNCTION("""COMPUTED_VALUE"""),1198.0)</f>
        <v>1198</v>
      </c>
      <c r="AZ921" s="71">
        <f>IFERROR(__xludf.DUMMYFUNCTION("""COMPUTED_VALUE"""),1293.0)</f>
        <v>1293</v>
      </c>
      <c r="BA921" s="71">
        <f>IFERROR(__xludf.DUMMYFUNCTION("""COMPUTED_VALUE"""),1799.0)</f>
        <v>1799</v>
      </c>
      <c r="BB921" s="71">
        <f>IFERROR(__xludf.DUMMYFUNCTION("""COMPUTED_VALUE"""),1799.0)</f>
        <v>1799</v>
      </c>
      <c r="BC921" s="71">
        <f>IFERROR(__xludf.DUMMYFUNCTION("""COMPUTED_VALUE"""),2003.0)</f>
        <v>2003</v>
      </c>
      <c r="BD921" s="71">
        <f>IFERROR(__xludf.DUMMYFUNCTION("""COMPUTED_VALUE"""),2103.0)</f>
        <v>2103</v>
      </c>
      <c r="BE921" s="71">
        <f>IFERROR(__xludf.DUMMYFUNCTION("""COMPUTED_VALUE"""),336.48)</f>
        <v>336.48</v>
      </c>
      <c r="BF921" s="71">
        <f>IFERROR(__xludf.DUMMYFUNCTION("""COMPUTED_VALUE"""),2439.48)</f>
        <v>2439.48</v>
      </c>
      <c r="BG921" s="71">
        <f>IFERROR(__xludf.DUMMYFUNCTION("""COMPUTED_VALUE"""),0.04992511233150274)</f>
        <v>0.04992511233</v>
      </c>
      <c r="BH921" s="71">
        <f>IFERROR(__xludf.DUMMYFUNCTION("""COMPUTED_VALUE"""),1997.85)</f>
        <v>1997.85</v>
      </c>
      <c r="BI921" s="71">
        <f>IFERROR(__xludf.DUMMYFUNCTION("""COMPUTED_VALUE"""),319.656)</f>
        <v>319.656</v>
      </c>
      <c r="BJ921" s="71">
        <f>IFERROR(__xludf.DUMMYFUNCTION("""COMPUTED_VALUE"""),2317.506)</f>
        <v>2317.506</v>
      </c>
      <c r="BK921" s="71">
        <f>IFERROR(__xludf.DUMMYFUNCTION("""COMPUTED_VALUE"""),1892.7)</f>
        <v>1892.7</v>
      </c>
      <c r="BL921" s="71">
        <f>IFERROR(__xludf.DUMMYFUNCTION("""COMPUTED_VALUE"""),302.832)</f>
        <v>302.832</v>
      </c>
      <c r="BM921" s="71">
        <f>IFERROR(__xludf.DUMMYFUNCTION("""COMPUTED_VALUE"""),2195.532)</f>
        <v>2195.532</v>
      </c>
      <c r="BN921" s="71">
        <f>IFERROR(__xludf.DUMMYFUNCTION("""COMPUTED_VALUE"""),1787.55)</f>
        <v>1787.55</v>
      </c>
      <c r="BO921" s="71">
        <f>IFERROR(__xludf.DUMMYFUNCTION("""COMPUTED_VALUE"""),286.008)</f>
        <v>286.008</v>
      </c>
      <c r="BP921" s="71">
        <f>IFERROR(__xludf.DUMMYFUNCTION("""COMPUTED_VALUE"""),2073.558)</f>
        <v>2073.558</v>
      </c>
      <c r="BQ921" s="71">
        <f>IFERROR(__xludf.DUMMYFUNCTION("""COMPUTED_VALUE"""),1745.49)</f>
        <v>1745.49</v>
      </c>
      <c r="BR921" s="71">
        <f>IFERROR(__xludf.DUMMYFUNCTION("""COMPUTED_VALUE"""),279.27840000000003)</f>
        <v>279.2784</v>
      </c>
      <c r="BS921" s="71">
        <f>IFERROR(__xludf.DUMMYFUNCTION("""COMPUTED_VALUE"""),2024.7684)</f>
        <v>2024.7684</v>
      </c>
      <c r="BT921" s="71">
        <f>IFERROR(__xludf.DUMMYFUNCTION("""COMPUTED_VALUE"""),1682.4)</f>
        <v>1682.4</v>
      </c>
      <c r="BU921" s="71">
        <f>IFERROR(__xludf.DUMMYFUNCTION("""COMPUTED_VALUE"""),269.184)</f>
        <v>269.184</v>
      </c>
      <c r="BV921" s="71">
        <f>IFERROR(__xludf.DUMMYFUNCTION("""COMPUTED_VALUE"""),1951.584)</f>
        <v>1951.584</v>
      </c>
    </row>
    <row r="922">
      <c r="A922" s="53">
        <v>1.0</v>
      </c>
      <c r="B922" s="72"/>
      <c r="C922" s="73" t="s">
        <v>53</v>
      </c>
      <c r="D922" s="74" t="s">
        <v>2230</v>
      </c>
      <c r="E922" s="54" t="s">
        <v>38</v>
      </c>
      <c r="F922" s="54" t="s">
        <v>42</v>
      </c>
      <c r="G922" s="88" t="s">
        <v>2231</v>
      </c>
      <c r="H922" s="54" t="s">
        <v>2232</v>
      </c>
      <c r="I922" s="54">
        <f t="shared" si="24"/>
        <v>39</v>
      </c>
      <c r="J922" s="56"/>
      <c r="K922" s="75"/>
      <c r="L922" s="76"/>
      <c r="M922" s="59"/>
      <c r="N922" s="60">
        <v>1395.0</v>
      </c>
      <c r="O922" s="61">
        <v>1506.0</v>
      </c>
      <c r="P922" s="62">
        <v>2205.07</v>
      </c>
      <c r="Q922" s="63">
        <v>2205.07</v>
      </c>
      <c r="R922" s="64">
        <v>2455.0</v>
      </c>
      <c r="S922" s="111">
        <v>2578.0</v>
      </c>
      <c r="T922" s="65">
        <f t="shared" si="2"/>
        <v>412.48</v>
      </c>
      <c r="U922" s="65">
        <f t="shared" si="3"/>
        <v>2990.48</v>
      </c>
      <c r="V922" s="66">
        <f t="shared" si="4"/>
        <v>0.05010183299</v>
      </c>
      <c r="W922" s="67">
        <f t="shared" si="5"/>
        <v>2449.1</v>
      </c>
      <c r="X922" s="67">
        <f t="shared" si="6"/>
        <v>391.856</v>
      </c>
      <c r="Y922" s="67">
        <f t="shared" si="7"/>
        <v>2840.956</v>
      </c>
      <c r="Z922" s="67">
        <f t="shared" si="8"/>
        <v>2320.2</v>
      </c>
      <c r="AA922" s="67">
        <f t="shared" si="9"/>
        <v>371.232</v>
      </c>
      <c r="AB922" s="67">
        <f t="shared" si="10"/>
        <v>2691.432</v>
      </c>
      <c r="AC922" s="67">
        <f t="shared" si="11"/>
        <v>2191.3</v>
      </c>
      <c r="AD922" s="67">
        <f t="shared" si="12"/>
        <v>350.608</v>
      </c>
      <c r="AE922" s="67">
        <f t="shared" si="13"/>
        <v>2541.908</v>
      </c>
      <c r="AF922" s="67">
        <f t="shared" si="33"/>
        <v>2139.74</v>
      </c>
      <c r="AG922" s="67">
        <f t="shared" si="15"/>
        <v>342.3584</v>
      </c>
      <c r="AH922" s="67">
        <f t="shared" si="16"/>
        <v>2482.0984</v>
      </c>
      <c r="AI922" s="67">
        <f t="shared" si="17"/>
        <v>2062.4</v>
      </c>
      <c r="AJ922" s="68">
        <f t="shared" si="31"/>
        <v>329.984</v>
      </c>
      <c r="AK922" s="68">
        <f t="shared" si="32"/>
        <v>2392.384</v>
      </c>
      <c r="AL922" s="70">
        <f>IFERROR(__xludf.DUMMYFUNCTION("""COMPUTED_VALUE"""),1.0)</f>
        <v>1</v>
      </c>
      <c r="AM922" s="70"/>
      <c r="AN922" s="71" t="str">
        <f>IFERROR(__xludf.DUMMYFUNCTION("""COMPUTED_VALUE""")," P")</f>
        <v>P</v>
      </c>
      <c r="AO922" s="71" t="str">
        <f>IFERROR(__xludf.DUMMYFUNCTION("""COMPUTED_VALUE""")," PE77")</f>
        <v>PE77</v>
      </c>
      <c r="AP922" s="71" t="str">
        <f>IFERROR(__xludf.DUMMYFUNCTION("""COMPUTED_VALUE""")," PZA")</f>
        <v>PZA</v>
      </c>
      <c r="AQ922" s="71" t="str">
        <f>IFERROR(__xludf.DUMMYFUNCTION("""COMPUTED_VALUE""")," REF")</f>
        <v>REF</v>
      </c>
      <c r="AR922" s="71" t="str">
        <f>IFERROR(__xludf.DUMMYFUNCTION("""COMPUTED_VALUE""")," PERFILADOR INOX COMP SENCILLO 13 CM")</f>
        <v>PERFILADOR INOX COMP SENCILLO 13 CM</v>
      </c>
      <c r="AS922" s="71" t="str">
        <f>IFERROR(__xludf.DUMMYFUNCTION("""COMPUTED_VALUE""")," PERFILADOR INOX COMP SENCILLO 13 CM")</f>
        <v>PERFILADOR INOX COMP SENCILLO 13 CM</v>
      </c>
      <c r="AT922" s="71">
        <f>IFERROR(__xludf.DUMMYFUNCTION("""COMPUTED_VALUE"""),35.0)</f>
        <v>35</v>
      </c>
      <c r="AU922" s="71"/>
      <c r="AV922" s="71"/>
      <c r="AW922" s="71"/>
      <c r="AX922" s="71"/>
      <c r="AY922" s="71">
        <f>IFERROR(__xludf.DUMMYFUNCTION("""COMPUTED_VALUE"""),1198.0)</f>
        <v>1198</v>
      </c>
      <c r="AZ922" s="71">
        <f>IFERROR(__xludf.DUMMYFUNCTION("""COMPUTED_VALUE"""),1293.0)</f>
        <v>1293</v>
      </c>
      <c r="BA922" s="71">
        <f>IFERROR(__xludf.DUMMYFUNCTION("""COMPUTED_VALUE"""),1799.0)</f>
        <v>1799</v>
      </c>
      <c r="BB922" s="71">
        <f>IFERROR(__xludf.DUMMYFUNCTION("""COMPUTED_VALUE"""),1799.0)</f>
        <v>1799</v>
      </c>
      <c r="BC922" s="71">
        <f>IFERROR(__xludf.DUMMYFUNCTION("""COMPUTED_VALUE"""),2003.0)</f>
        <v>2003</v>
      </c>
      <c r="BD922" s="71">
        <f>IFERROR(__xludf.DUMMYFUNCTION("""COMPUTED_VALUE"""),2103.0)</f>
        <v>2103</v>
      </c>
      <c r="BE922" s="71">
        <f>IFERROR(__xludf.DUMMYFUNCTION("""COMPUTED_VALUE"""),336.48)</f>
        <v>336.48</v>
      </c>
      <c r="BF922" s="71">
        <f>IFERROR(__xludf.DUMMYFUNCTION("""COMPUTED_VALUE"""),2439.48)</f>
        <v>2439.48</v>
      </c>
      <c r="BG922" s="71">
        <f>IFERROR(__xludf.DUMMYFUNCTION("""COMPUTED_VALUE"""),0.04992511233150274)</f>
        <v>0.04992511233</v>
      </c>
      <c r="BH922" s="71">
        <f>IFERROR(__xludf.DUMMYFUNCTION("""COMPUTED_VALUE"""),1997.85)</f>
        <v>1997.85</v>
      </c>
      <c r="BI922" s="71">
        <f>IFERROR(__xludf.DUMMYFUNCTION("""COMPUTED_VALUE"""),319.656)</f>
        <v>319.656</v>
      </c>
      <c r="BJ922" s="71">
        <f>IFERROR(__xludf.DUMMYFUNCTION("""COMPUTED_VALUE"""),2317.506)</f>
        <v>2317.506</v>
      </c>
      <c r="BK922" s="71">
        <f>IFERROR(__xludf.DUMMYFUNCTION("""COMPUTED_VALUE"""),1892.7)</f>
        <v>1892.7</v>
      </c>
      <c r="BL922" s="71">
        <f>IFERROR(__xludf.DUMMYFUNCTION("""COMPUTED_VALUE"""),302.832)</f>
        <v>302.832</v>
      </c>
      <c r="BM922" s="71">
        <f>IFERROR(__xludf.DUMMYFUNCTION("""COMPUTED_VALUE"""),2195.532)</f>
        <v>2195.532</v>
      </c>
      <c r="BN922" s="71">
        <f>IFERROR(__xludf.DUMMYFUNCTION("""COMPUTED_VALUE"""),1787.55)</f>
        <v>1787.55</v>
      </c>
      <c r="BO922" s="71">
        <f>IFERROR(__xludf.DUMMYFUNCTION("""COMPUTED_VALUE"""),286.008)</f>
        <v>286.008</v>
      </c>
      <c r="BP922" s="71">
        <f>IFERROR(__xludf.DUMMYFUNCTION("""COMPUTED_VALUE"""),2073.558)</f>
        <v>2073.558</v>
      </c>
      <c r="BQ922" s="71">
        <f>IFERROR(__xludf.DUMMYFUNCTION("""COMPUTED_VALUE"""),1745.49)</f>
        <v>1745.49</v>
      </c>
      <c r="BR922" s="71">
        <f>IFERROR(__xludf.DUMMYFUNCTION("""COMPUTED_VALUE"""),279.27840000000003)</f>
        <v>279.2784</v>
      </c>
      <c r="BS922" s="71">
        <f>IFERROR(__xludf.DUMMYFUNCTION("""COMPUTED_VALUE"""),2024.7684)</f>
        <v>2024.7684</v>
      </c>
      <c r="BT922" s="71">
        <f>IFERROR(__xludf.DUMMYFUNCTION("""COMPUTED_VALUE"""),1682.4)</f>
        <v>1682.4</v>
      </c>
      <c r="BU922" s="71">
        <f>IFERROR(__xludf.DUMMYFUNCTION("""COMPUTED_VALUE"""),269.184)</f>
        <v>269.184</v>
      </c>
      <c r="BV922" s="71">
        <f>IFERROR(__xludf.DUMMYFUNCTION("""COMPUTED_VALUE"""),1951.584)</f>
        <v>1951.584</v>
      </c>
    </row>
    <row r="923">
      <c r="A923" s="53"/>
      <c r="B923" s="53"/>
      <c r="C923" s="73" t="s">
        <v>53</v>
      </c>
      <c r="D923" s="53" t="s">
        <v>2233</v>
      </c>
      <c r="E923" s="54" t="s">
        <v>38</v>
      </c>
      <c r="F923" s="55" t="s">
        <v>309</v>
      </c>
      <c r="G923" s="54" t="s">
        <v>2234</v>
      </c>
      <c r="H923" s="55"/>
      <c r="I923" s="54">
        <f t="shared" si="24"/>
        <v>0</v>
      </c>
      <c r="J923" s="56"/>
      <c r="K923" s="57"/>
      <c r="L923" s="76"/>
      <c r="M923" s="59"/>
      <c r="N923" s="60"/>
      <c r="O923" s="61">
        <v>1506.0</v>
      </c>
      <c r="P923" s="62">
        <v>1626.48</v>
      </c>
      <c r="Q923" s="63">
        <v>1626.48</v>
      </c>
      <c r="R923" s="64">
        <v>2455.0</v>
      </c>
      <c r="S923" s="111">
        <v>2578.0</v>
      </c>
      <c r="T923" s="65">
        <f t="shared" si="2"/>
        <v>412.48</v>
      </c>
      <c r="U923" s="65">
        <f t="shared" si="3"/>
        <v>2990.48</v>
      </c>
      <c r="V923" s="66">
        <f t="shared" si="4"/>
        <v>0.05010183299</v>
      </c>
      <c r="W923" s="67">
        <f t="shared" si="5"/>
        <v>2449.1</v>
      </c>
      <c r="X923" s="67">
        <f t="shared" si="6"/>
        <v>391.856</v>
      </c>
      <c r="Y923" s="67">
        <f t="shared" si="7"/>
        <v>2840.956</v>
      </c>
      <c r="Z923" s="67">
        <f t="shared" si="8"/>
        <v>2320.2</v>
      </c>
      <c r="AA923" s="67">
        <f t="shared" si="9"/>
        <v>371.232</v>
      </c>
      <c r="AB923" s="67">
        <f t="shared" si="10"/>
        <v>2691.432</v>
      </c>
      <c r="AC923" s="67">
        <f t="shared" si="11"/>
        <v>2191.3</v>
      </c>
      <c r="AD923" s="67">
        <f t="shared" si="12"/>
        <v>350.608</v>
      </c>
      <c r="AE923" s="67">
        <f t="shared" si="13"/>
        <v>2541.908</v>
      </c>
      <c r="AF923" s="67">
        <f t="shared" si="33"/>
        <v>2139.74</v>
      </c>
      <c r="AG923" s="67">
        <f t="shared" si="15"/>
        <v>342.3584</v>
      </c>
      <c r="AH923" s="67">
        <f t="shared" si="16"/>
        <v>2482.0984</v>
      </c>
      <c r="AI923" s="67">
        <f t="shared" si="17"/>
        <v>2062.4</v>
      </c>
      <c r="AJ923" s="68">
        <f t="shared" si="31"/>
        <v>329.984</v>
      </c>
      <c r="AK923" s="68">
        <f t="shared" si="32"/>
        <v>2392.384</v>
      </c>
      <c r="AL923" s="70">
        <f>IFERROR(__xludf.DUMMYFUNCTION("""COMPUTED_VALUE"""),1.0)</f>
        <v>1</v>
      </c>
      <c r="AM923" s="70"/>
      <c r="AN923" s="71" t="str">
        <f>IFERROR(__xludf.DUMMYFUNCTION("""COMPUTED_VALUE""")," P")</f>
        <v>P</v>
      </c>
      <c r="AO923" s="71" t="str">
        <f>IFERROR(__xludf.DUMMYFUNCTION("""COMPUTED_VALUE""")," PE78")</f>
        <v>PE78</v>
      </c>
      <c r="AP923" s="71" t="str">
        <f>IFERROR(__xludf.DUMMYFUNCTION("""COMPUTED_VALUE""")," PZA")</f>
        <v>PZA</v>
      </c>
      <c r="AQ923" s="71" t="str">
        <f>IFERROR(__xludf.DUMMYFUNCTION("""COMPUTED_VALUE""")," REF")</f>
        <v>REF</v>
      </c>
      <c r="AR923" s="71" t="str">
        <f>IFERROR(__xludf.DUMMYFUNCTION("""COMPUTED_VALUE""")," PERFILADOR INOX COMP SENCILLO 14 CM")</f>
        <v>PERFILADOR INOX COMP SENCILLO 14 CM</v>
      </c>
      <c r="AS923" s="71" t="str">
        <f>IFERROR(__xludf.DUMMYFUNCTION("""COMPUTED_VALUE""")," PERFILADOR INOX COMP SENCILLO 14 CM")</f>
        <v>PERFILADOR INOX COMP SENCILLO 14 CM</v>
      </c>
      <c r="AT923" s="71">
        <f>IFERROR(__xludf.DUMMYFUNCTION("""COMPUTED_VALUE"""),35.0)</f>
        <v>35</v>
      </c>
      <c r="AU923" s="71"/>
      <c r="AV923" s="71"/>
      <c r="AW923" s="71"/>
      <c r="AX923" s="71"/>
      <c r="AY923" s="71">
        <f>IFERROR(__xludf.DUMMYFUNCTION("""COMPUTED_VALUE"""),1198.0)</f>
        <v>1198</v>
      </c>
      <c r="AZ923" s="71">
        <f>IFERROR(__xludf.DUMMYFUNCTION("""COMPUTED_VALUE"""),1293.0)</f>
        <v>1293</v>
      </c>
      <c r="BA923" s="71">
        <f>IFERROR(__xludf.DUMMYFUNCTION("""COMPUTED_VALUE"""),1799.0)</f>
        <v>1799</v>
      </c>
      <c r="BB923" s="71">
        <f>IFERROR(__xludf.DUMMYFUNCTION("""COMPUTED_VALUE"""),1799.0)</f>
        <v>1799</v>
      </c>
      <c r="BC923" s="71">
        <f>IFERROR(__xludf.DUMMYFUNCTION("""COMPUTED_VALUE"""),2003.0)</f>
        <v>2003</v>
      </c>
      <c r="BD923" s="71">
        <f>IFERROR(__xludf.DUMMYFUNCTION("""COMPUTED_VALUE"""),2103.0)</f>
        <v>2103</v>
      </c>
      <c r="BE923" s="71">
        <f>IFERROR(__xludf.DUMMYFUNCTION("""COMPUTED_VALUE"""),336.48)</f>
        <v>336.48</v>
      </c>
      <c r="BF923" s="71">
        <f>IFERROR(__xludf.DUMMYFUNCTION("""COMPUTED_VALUE"""),2439.48)</f>
        <v>2439.48</v>
      </c>
      <c r="BG923" s="71">
        <f>IFERROR(__xludf.DUMMYFUNCTION("""COMPUTED_VALUE"""),0.04992511233150274)</f>
        <v>0.04992511233</v>
      </c>
      <c r="BH923" s="71">
        <f>IFERROR(__xludf.DUMMYFUNCTION("""COMPUTED_VALUE"""),1997.85)</f>
        <v>1997.85</v>
      </c>
      <c r="BI923" s="71">
        <f>IFERROR(__xludf.DUMMYFUNCTION("""COMPUTED_VALUE"""),319.656)</f>
        <v>319.656</v>
      </c>
      <c r="BJ923" s="71">
        <f>IFERROR(__xludf.DUMMYFUNCTION("""COMPUTED_VALUE"""),2317.506)</f>
        <v>2317.506</v>
      </c>
      <c r="BK923" s="71">
        <f>IFERROR(__xludf.DUMMYFUNCTION("""COMPUTED_VALUE"""),1892.7)</f>
        <v>1892.7</v>
      </c>
      <c r="BL923" s="71">
        <f>IFERROR(__xludf.DUMMYFUNCTION("""COMPUTED_VALUE"""),302.832)</f>
        <v>302.832</v>
      </c>
      <c r="BM923" s="71">
        <f>IFERROR(__xludf.DUMMYFUNCTION("""COMPUTED_VALUE"""),2195.532)</f>
        <v>2195.532</v>
      </c>
      <c r="BN923" s="71">
        <f>IFERROR(__xludf.DUMMYFUNCTION("""COMPUTED_VALUE"""),1787.55)</f>
        <v>1787.55</v>
      </c>
      <c r="BO923" s="71">
        <f>IFERROR(__xludf.DUMMYFUNCTION("""COMPUTED_VALUE"""),286.008)</f>
        <v>286.008</v>
      </c>
      <c r="BP923" s="71">
        <f>IFERROR(__xludf.DUMMYFUNCTION("""COMPUTED_VALUE"""),2073.558)</f>
        <v>2073.558</v>
      </c>
      <c r="BQ923" s="71">
        <f>IFERROR(__xludf.DUMMYFUNCTION("""COMPUTED_VALUE"""),1745.49)</f>
        <v>1745.49</v>
      </c>
      <c r="BR923" s="71">
        <f>IFERROR(__xludf.DUMMYFUNCTION("""COMPUTED_VALUE"""),279.27840000000003)</f>
        <v>279.2784</v>
      </c>
      <c r="BS923" s="71">
        <f>IFERROR(__xludf.DUMMYFUNCTION("""COMPUTED_VALUE"""),2024.7684)</f>
        <v>2024.7684</v>
      </c>
      <c r="BT923" s="71">
        <f>IFERROR(__xludf.DUMMYFUNCTION("""COMPUTED_VALUE"""),1682.4)</f>
        <v>1682.4</v>
      </c>
      <c r="BU923" s="71">
        <f>IFERROR(__xludf.DUMMYFUNCTION("""COMPUTED_VALUE"""),269.184)</f>
        <v>269.184</v>
      </c>
      <c r="BV923" s="71">
        <f>IFERROR(__xludf.DUMMYFUNCTION("""COMPUTED_VALUE"""),1951.584)</f>
        <v>1951.584</v>
      </c>
    </row>
    <row r="924">
      <c r="A924" s="53">
        <v>1.0</v>
      </c>
      <c r="B924" s="72"/>
      <c r="C924" s="73" t="s">
        <v>53</v>
      </c>
      <c r="D924" s="74" t="s">
        <v>2235</v>
      </c>
      <c r="E924" s="54" t="s">
        <v>38</v>
      </c>
      <c r="F924" s="54" t="s">
        <v>42</v>
      </c>
      <c r="G924" s="88" t="s">
        <v>2236</v>
      </c>
      <c r="H924" s="54" t="s">
        <v>2237</v>
      </c>
      <c r="I924" s="54">
        <f t="shared" si="24"/>
        <v>39</v>
      </c>
      <c r="J924" s="56"/>
      <c r="K924" s="75"/>
      <c r="L924" s="76"/>
      <c r="M924" s="59"/>
      <c r="N924" s="60">
        <v>6460.0</v>
      </c>
      <c r="O924" s="61">
        <v>6976.0</v>
      </c>
      <c r="P924" s="62">
        <v>10055.48</v>
      </c>
      <c r="Q924" s="63">
        <v>10055.48</v>
      </c>
      <c r="R924" s="64">
        <v>11192.0</v>
      </c>
      <c r="S924" s="111">
        <v>11752.0</v>
      </c>
      <c r="T924" s="65">
        <f t="shared" si="2"/>
        <v>1880.32</v>
      </c>
      <c r="U924" s="65">
        <f t="shared" si="3"/>
        <v>13632.32</v>
      </c>
      <c r="V924" s="66">
        <f t="shared" si="4"/>
        <v>0.05003573981</v>
      </c>
      <c r="W924" s="67">
        <f t="shared" si="5"/>
        <v>11164.4</v>
      </c>
      <c r="X924" s="67">
        <f t="shared" si="6"/>
        <v>1786.304</v>
      </c>
      <c r="Y924" s="67">
        <f t="shared" si="7"/>
        <v>12950.704</v>
      </c>
      <c r="Z924" s="67">
        <f t="shared" si="8"/>
        <v>10576.8</v>
      </c>
      <c r="AA924" s="67">
        <f t="shared" si="9"/>
        <v>1692.288</v>
      </c>
      <c r="AB924" s="67">
        <f t="shared" si="10"/>
        <v>12269.088</v>
      </c>
      <c r="AC924" s="67">
        <f t="shared" si="11"/>
        <v>9989.2</v>
      </c>
      <c r="AD924" s="67">
        <f t="shared" si="12"/>
        <v>1598.272</v>
      </c>
      <c r="AE924" s="67">
        <f t="shared" si="13"/>
        <v>11587.472</v>
      </c>
      <c r="AF924" s="67">
        <f t="shared" si="33"/>
        <v>9754.16</v>
      </c>
      <c r="AG924" s="67">
        <f t="shared" si="15"/>
        <v>1560.6656</v>
      </c>
      <c r="AH924" s="67">
        <f t="shared" si="16"/>
        <v>11314.8256</v>
      </c>
      <c r="AI924" s="67">
        <f t="shared" si="17"/>
        <v>9401.6</v>
      </c>
      <c r="AJ924" s="68">
        <f t="shared" si="31"/>
        <v>1504.256</v>
      </c>
      <c r="AK924" s="68">
        <f t="shared" si="32"/>
        <v>10905.856</v>
      </c>
      <c r="AL924" s="70">
        <f>IFERROR(__xludf.DUMMYFUNCTION("""COMPUTED_VALUE"""),1.0)</f>
        <v>1</v>
      </c>
      <c r="AM924" s="70">
        <f>IFERROR(__xludf.DUMMYFUNCTION("""COMPUTED_VALUE"""),1.0)</f>
        <v>1</v>
      </c>
      <c r="AN924" s="71" t="str">
        <f>IFERROR(__xludf.DUMMYFUNCTION("""COMPUTED_VALUE""")," P")</f>
        <v>P</v>
      </c>
      <c r="AO924" s="71" t="str">
        <f>IFERROR(__xludf.DUMMYFUNCTION("""COMPUTED_VALUE""")," PE79")</f>
        <v>PE79</v>
      </c>
      <c r="AP924" s="71" t="str">
        <f>IFERROR(__xludf.DUMMYFUNCTION("""COMPUTED_VALUE""")," PZA")</f>
        <v>PZA</v>
      </c>
      <c r="AQ924" s="71" t="str">
        <f>IFERROR(__xludf.DUMMYFUNCTION("""COMPUTED_VALUE""")," REF")</f>
        <v>REF</v>
      </c>
      <c r="AR924" s="71" t="str">
        <f>IFERROR(__xludf.DUMMYFUNCTION("""COMPUTED_VALUE""")," PERFILADOR INOX COMP SENCILLO 15 CM")</f>
        <v>PERFILADOR INOX COMP SENCILLO 15 CM</v>
      </c>
      <c r="AS924" s="71" t="str">
        <f>IFERROR(__xludf.DUMMYFUNCTION("""COMPUTED_VALUE""")," PERFILADOR INOX COMP SENCILLO 15 CM")</f>
        <v>PERFILADOR INOX COMP SENCILLO 15 CM</v>
      </c>
      <c r="AT924" s="71">
        <f>IFERROR(__xludf.DUMMYFUNCTION("""COMPUTED_VALUE"""),35.0)</f>
        <v>35</v>
      </c>
      <c r="AU924" s="71"/>
      <c r="AV924" s="71"/>
      <c r="AW924" s="71"/>
      <c r="AX924" s="71"/>
      <c r="AY924" s="71">
        <f>IFERROR(__xludf.DUMMYFUNCTION("""COMPUTED_VALUE"""),1198.0)</f>
        <v>1198</v>
      </c>
      <c r="AZ924" s="71">
        <f>IFERROR(__xludf.DUMMYFUNCTION("""COMPUTED_VALUE"""),1293.0)</f>
        <v>1293</v>
      </c>
      <c r="BA924" s="71">
        <f>IFERROR(__xludf.DUMMYFUNCTION("""COMPUTED_VALUE"""),1799.0)</f>
        <v>1799</v>
      </c>
      <c r="BB924" s="71">
        <f>IFERROR(__xludf.DUMMYFUNCTION("""COMPUTED_VALUE"""),1799.0)</f>
        <v>1799</v>
      </c>
      <c r="BC924" s="71">
        <f>IFERROR(__xludf.DUMMYFUNCTION("""COMPUTED_VALUE"""),2003.0)</f>
        <v>2003</v>
      </c>
      <c r="BD924" s="71">
        <f>IFERROR(__xludf.DUMMYFUNCTION("""COMPUTED_VALUE"""),2103.0)</f>
        <v>2103</v>
      </c>
      <c r="BE924" s="71">
        <f>IFERROR(__xludf.DUMMYFUNCTION("""COMPUTED_VALUE"""),336.48)</f>
        <v>336.48</v>
      </c>
      <c r="BF924" s="71">
        <f>IFERROR(__xludf.DUMMYFUNCTION("""COMPUTED_VALUE"""),2439.48)</f>
        <v>2439.48</v>
      </c>
      <c r="BG924" s="71">
        <f>IFERROR(__xludf.DUMMYFUNCTION("""COMPUTED_VALUE"""),0.04992511233150274)</f>
        <v>0.04992511233</v>
      </c>
      <c r="BH924" s="71">
        <f>IFERROR(__xludf.DUMMYFUNCTION("""COMPUTED_VALUE"""),1997.85)</f>
        <v>1997.85</v>
      </c>
      <c r="BI924" s="71">
        <f>IFERROR(__xludf.DUMMYFUNCTION("""COMPUTED_VALUE"""),319.656)</f>
        <v>319.656</v>
      </c>
      <c r="BJ924" s="71">
        <f>IFERROR(__xludf.DUMMYFUNCTION("""COMPUTED_VALUE"""),2317.506)</f>
        <v>2317.506</v>
      </c>
      <c r="BK924" s="71">
        <f>IFERROR(__xludf.DUMMYFUNCTION("""COMPUTED_VALUE"""),1892.7)</f>
        <v>1892.7</v>
      </c>
      <c r="BL924" s="71">
        <f>IFERROR(__xludf.DUMMYFUNCTION("""COMPUTED_VALUE"""),302.832)</f>
        <v>302.832</v>
      </c>
      <c r="BM924" s="71">
        <f>IFERROR(__xludf.DUMMYFUNCTION("""COMPUTED_VALUE"""),2195.532)</f>
        <v>2195.532</v>
      </c>
      <c r="BN924" s="71">
        <f>IFERROR(__xludf.DUMMYFUNCTION("""COMPUTED_VALUE"""),1787.55)</f>
        <v>1787.55</v>
      </c>
      <c r="BO924" s="71">
        <f>IFERROR(__xludf.DUMMYFUNCTION("""COMPUTED_VALUE"""),286.008)</f>
        <v>286.008</v>
      </c>
      <c r="BP924" s="71">
        <f>IFERROR(__xludf.DUMMYFUNCTION("""COMPUTED_VALUE"""),2073.558)</f>
        <v>2073.558</v>
      </c>
      <c r="BQ924" s="71">
        <f>IFERROR(__xludf.DUMMYFUNCTION("""COMPUTED_VALUE"""),1745.49)</f>
        <v>1745.49</v>
      </c>
      <c r="BR924" s="71">
        <f>IFERROR(__xludf.DUMMYFUNCTION("""COMPUTED_VALUE"""),279.27840000000003)</f>
        <v>279.2784</v>
      </c>
      <c r="BS924" s="71">
        <f>IFERROR(__xludf.DUMMYFUNCTION("""COMPUTED_VALUE"""),2024.7684)</f>
        <v>2024.7684</v>
      </c>
      <c r="BT924" s="71">
        <f>IFERROR(__xludf.DUMMYFUNCTION("""COMPUTED_VALUE"""),1682.4)</f>
        <v>1682.4</v>
      </c>
      <c r="BU924" s="71">
        <f>IFERROR(__xludf.DUMMYFUNCTION("""COMPUTED_VALUE"""),269.184)</f>
        <v>269.184</v>
      </c>
      <c r="BV924" s="71">
        <f>IFERROR(__xludf.DUMMYFUNCTION("""COMPUTED_VALUE"""),1951.584)</f>
        <v>1951.584</v>
      </c>
    </row>
    <row r="925">
      <c r="A925" s="53">
        <v>1.0</v>
      </c>
      <c r="B925" s="72"/>
      <c r="C925" s="73" t="s">
        <v>53</v>
      </c>
      <c r="D925" s="74" t="s">
        <v>2238</v>
      </c>
      <c r="E925" s="54" t="s">
        <v>38</v>
      </c>
      <c r="F925" s="54" t="s">
        <v>42</v>
      </c>
      <c r="G925" s="88" t="s">
        <v>2239</v>
      </c>
      <c r="H925" s="54" t="s">
        <v>2240</v>
      </c>
      <c r="I925" s="54">
        <f t="shared" si="24"/>
        <v>40</v>
      </c>
      <c r="J925" s="56"/>
      <c r="K925" s="75"/>
      <c r="L925" s="76"/>
      <c r="M925" s="59"/>
      <c r="N925" s="60">
        <v>3029.0</v>
      </c>
      <c r="O925" s="61">
        <v>3271.0</v>
      </c>
      <c r="P925" s="62">
        <v>3532.6800000000003</v>
      </c>
      <c r="Q925" s="63">
        <v>3532.6800000000003</v>
      </c>
      <c r="R925" s="64">
        <v>3933.0</v>
      </c>
      <c r="S925" s="111">
        <v>4130.0</v>
      </c>
      <c r="T925" s="65">
        <f t="shared" si="2"/>
        <v>660.8</v>
      </c>
      <c r="U925" s="65">
        <f t="shared" si="3"/>
        <v>4790.8</v>
      </c>
      <c r="V925" s="66">
        <f t="shared" si="4"/>
        <v>0.05008899059</v>
      </c>
      <c r="W925" s="67">
        <f t="shared" si="5"/>
        <v>3923.5</v>
      </c>
      <c r="X925" s="67">
        <f t="shared" si="6"/>
        <v>627.76</v>
      </c>
      <c r="Y925" s="67">
        <f t="shared" si="7"/>
        <v>4551.26</v>
      </c>
      <c r="Z925" s="67">
        <f t="shared" si="8"/>
        <v>3717</v>
      </c>
      <c r="AA925" s="67">
        <f t="shared" si="9"/>
        <v>594.72</v>
      </c>
      <c r="AB925" s="67">
        <f t="shared" si="10"/>
        <v>4311.72</v>
      </c>
      <c r="AC925" s="67">
        <f t="shared" si="11"/>
        <v>3510.5</v>
      </c>
      <c r="AD925" s="67">
        <f t="shared" si="12"/>
        <v>561.68</v>
      </c>
      <c r="AE925" s="67">
        <f t="shared" si="13"/>
        <v>4072.18</v>
      </c>
      <c r="AF925" s="67">
        <f t="shared" si="33"/>
        <v>3427.9</v>
      </c>
      <c r="AG925" s="67">
        <f t="shared" si="15"/>
        <v>548.464</v>
      </c>
      <c r="AH925" s="67">
        <f t="shared" si="16"/>
        <v>3976.364</v>
      </c>
      <c r="AI925" s="67">
        <f t="shared" si="17"/>
        <v>3304</v>
      </c>
      <c r="AJ925" s="68">
        <f t="shared" si="31"/>
        <v>528.64</v>
      </c>
      <c r="AK925" s="68">
        <f t="shared" si="32"/>
        <v>3832.64</v>
      </c>
      <c r="AL925" s="70">
        <f>IFERROR(__xludf.DUMMYFUNCTION("""COMPUTED_VALUE"""),1.0)</f>
        <v>1</v>
      </c>
      <c r="AM925" s="70"/>
      <c r="AN925" s="71" t="str">
        <f>IFERROR(__xludf.DUMMYFUNCTION("""COMPUTED_VALUE""")," P")</f>
        <v>P</v>
      </c>
      <c r="AO925" s="71" t="str">
        <f>IFERROR(__xludf.DUMMYFUNCTION("""COMPUTED_VALUE""")," PE80")</f>
        <v>PE80</v>
      </c>
      <c r="AP925" s="71" t="str">
        <f>IFERROR(__xludf.DUMMYFUNCTION("""COMPUTED_VALUE""")," PZA")</f>
        <v>PZA</v>
      </c>
      <c r="AQ925" s="71" t="str">
        <f>IFERROR(__xludf.DUMMYFUNCTION("""COMPUTED_VALUE""")," REF")</f>
        <v>REF</v>
      </c>
      <c r="AR925" s="71" t="str">
        <f>IFERROR(__xludf.DUMMYFUNCTION("""COMPUTED_VALUE""")," PERFILADOR INOX COMP SENCILLO 16 CM")</f>
        <v>PERFILADOR INOX COMP SENCILLO 16 CM</v>
      </c>
      <c r="AS925" s="71" t="str">
        <f>IFERROR(__xludf.DUMMYFUNCTION("""COMPUTED_VALUE""")," PERFILADOR INOX COMP SENCILLO 16 CM")</f>
        <v>PERFILADOR INOX COMP SENCILLO 16 CM</v>
      </c>
      <c r="AT925" s="71">
        <f>IFERROR(__xludf.DUMMYFUNCTION("""COMPUTED_VALUE"""),35.0)</f>
        <v>35</v>
      </c>
      <c r="AU925" s="71"/>
      <c r="AV925" s="71"/>
      <c r="AW925" s="71"/>
      <c r="AX925" s="71"/>
      <c r="AY925" s="71">
        <f>IFERROR(__xludf.DUMMYFUNCTION("""COMPUTED_VALUE"""),1198.0)</f>
        <v>1198</v>
      </c>
      <c r="AZ925" s="71">
        <f>IFERROR(__xludf.DUMMYFUNCTION("""COMPUTED_VALUE"""),1293.0)</f>
        <v>1293</v>
      </c>
      <c r="BA925" s="71">
        <f>IFERROR(__xludf.DUMMYFUNCTION("""COMPUTED_VALUE"""),1799.0)</f>
        <v>1799</v>
      </c>
      <c r="BB925" s="71">
        <f>IFERROR(__xludf.DUMMYFUNCTION("""COMPUTED_VALUE"""),1799.0)</f>
        <v>1799</v>
      </c>
      <c r="BC925" s="71">
        <f>IFERROR(__xludf.DUMMYFUNCTION("""COMPUTED_VALUE"""),2060.0)</f>
        <v>2060</v>
      </c>
      <c r="BD925" s="71">
        <f>IFERROR(__xludf.DUMMYFUNCTION("""COMPUTED_VALUE"""),2163.0)</f>
        <v>2163</v>
      </c>
      <c r="BE925" s="71">
        <f>IFERROR(__xludf.DUMMYFUNCTION("""COMPUTED_VALUE"""),346.08)</f>
        <v>346.08</v>
      </c>
      <c r="BF925" s="71">
        <f>IFERROR(__xludf.DUMMYFUNCTION("""COMPUTED_VALUE"""),2509.08)</f>
        <v>2509.08</v>
      </c>
      <c r="BG925" s="71">
        <f>IFERROR(__xludf.DUMMYFUNCTION("""COMPUTED_VALUE"""),0.05)</f>
        <v>0.05</v>
      </c>
      <c r="BH925" s="71">
        <f>IFERROR(__xludf.DUMMYFUNCTION("""COMPUTED_VALUE"""),2054.85)</f>
        <v>2054.85</v>
      </c>
      <c r="BI925" s="71">
        <f>IFERROR(__xludf.DUMMYFUNCTION("""COMPUTED_VALUE"""),328.776)</f>
        <v>328.776</v>
      </c>
      <c r="BJ925" s="71">
        <f>IFERROR(__xludf.DUMMYFUNCTION("""COMPUTED_VALUE"""),2383.6259999999997)</f>
        <v>2383.626</v>
      </c>
      <c r="BK925" s="71">
        <f>IFERROR(__xludf.DUMMYFUNCTION("""COMPUTED_VALUE"""),1946.7)</f>
        <v>1946.7</v>
      </c>
      <c r="BL925" s="71">
        <f>IFERROR(__xludf.DUMMYFUNCTION("""COMPUTED_VALUE"""),311.47200000000004)</f>
        <v>311.472</v>
      </c>
      <c r="BM925" s="71">
        <f>IFERROR(__xludf.DUMMYFUNCTION("""COMPUTED_VALUE"""),2258.172)</f>
        <v>2258.172</v>
      </c>
      <c r="BN925" s="71">
        <f>IFERROR(__xludf.DUMMYFUNCTION("""COMPUTED_VALUE"""),1838.55)</f>
        <v>1838.55</v>
      </c>
      <c r="BO925" s="71">
        <f>IFERROR(__xludf.DUMMYFUNCTION("""COMPUTED_VALUE"""),294.168)</f>
        <v>294.168</v>
      </c>
      <c r="BP925" s="71">
        <f>IFERROR(__xludf.DUMMYFUNCTION("""COMPUTED_VALUE"""),2132.718)</f>
        <v>2132.718</v>
      </c>
      <c r="BQ925" s="71">
        <f>IFERROR(__xludf.DUMMYFUNCTION("""COMPUTED_VALUE"""),1795.29)</f>
        <v>1795.29</v>
      </c>
      <c r="BR925" s="71">
        <f>IFERROR(__xludf.DUMMYFUNCTION("""COMPUTED_VALUE"""),287.2464)</f>
        <v>287.2464</v>
      </c>
      <c r="BS925" s="71">
        <f>IFERROR(__xludf.DUMMYFUNCTION("""COMPUTED_VALUE"""),2082.5364)</f>
        <v>2082.5364</v>
      </c>
      <c r="BT925" s="71">
        <f>IFERROR(__xludf.DUMMYFUNCTION("""COMPUTED_VALUE"""),1730.4)</f>
        <v>1730.4</v>
      </c>
      <c r="BU925" s="71">
        <f>IFERROR(__xludf.DUMMYFUNCTION("""COMPUTED_VALUE"""),276.86400000000003)</f>
        <v>276.864</v>
      </c>
      <c r="BV925" s="71">
        <f>IFERROR(__xludf.DUMMYFUNCTION("""COMPUTED_VALUE"""),2007.2640000000001)</f>
        <v>2007.264</v>
      </c>
    </row>
    <row r="926">
      <c r="A926" s="53"/>
      <c r="B926" s="53"/>
      <c r="C926" s="73" t="s">
        <v>53</v>
      </c>
      <c r="D926" s="53" t="s">
        <v>2241</v>
      </c>
      <c r="E926" s="54" t="s">
        <v>38</v>
      </c>
      <c r="F926" s="55" t="s">
        <v>309</v>
      </c>
      <c r="G926" s="54" t="s">
        <v>2242</v>
      </c>
      <c r="H926" s="55"/>
      <c r="I926" s="54">
        <f t="shared" si="24"/>
        <v>0</v>
      </c>
      <c r="J926" s="56"/>
      <c r="K926" s="57"/>
      <c r="L926" s="76"/>
      <c r="M926" s="59"/>
      <c r="N926" s="60"/>
      <c r="O926" s="61">
        <v>3271.0</v>
      </c>
      <c r="P926" s="62">
        <v>4593.0</v>
      </c>
      <c r="Q926" s="63">
        <v>4593.0</v>
      </c>
      <c r="R926" s="64">
        <v>3933.0</v>
      </c>
      <c r="S926" s="111">
        <v>4130.0</v>
      </c>
      <c r="T926" s="65">
        <f t="shared" si="2"/>
        <v>660.8</v>
      </c>
      <c r="U926" s="65">
        <f t="shared" si="3"/>
        <v>4790.8</v>
      </c>
      <c r="V926" s="66">
        <f t="shared" si="4"/>
        <v>0.05008899059</v>
      </c>
      <c r="W926" s="67">
        <f t="shared" si="5"/>
        <v>3923.5</v>
      </c>
      <c r="X926" s="67">
        <f t="shared" si="6"/>
        <v>627.76</v>
      </c>
      <c r="Y926" s="67">
        <f t="shared" si="7"/>
        <v>4551.26</v>
      </c>
      <c r="Z926" s="67">
        <f t="shared" si="8"/>
        <v>3717</v>
      </c>
      <c r="AA926" s="67">
        <f t="shared" si="9"/>
        <v>594.72</v>
      </c>
      <c r="AB926" s="67">
        <f t="shared" si="10"/>
        <v>4311.72</v>
      </c>
      <c r="AC926" s="67">
        <f t="shared" si="11"/>
        <v>3510.5</v>
      </c>
      <c r="AD926" s="67">
        <f t="shared" si="12"/>
        <v>561.68</v>
      </c>
      <c r="AE926" s="67">
        <f t="shared" si="13"/>
        <v>4072.18</v>
      </c>
      <c r="AF926" s="67">
        <f t="shared" si="33"/>
        <v>3427.9</v>
      </c>
      <c r="AG926" s="67">
        <f t="shared" si="15"/>
        <v>548.464</v>
      </c>
      <c r="AH926" s="67">
        <f t="shared" si="16"/>
        <v>3976.364</v>
      </c>
      <c r="AI926" s="67">
        <f t="shared" si="17"/>
        <v>3304</v>
      </c>
      <c r="AJ926" s="68">
        <f t="shared" si="31"/>
        <v>528.64</v>
      </c>
      <c r="AK926" s="68">
        <f t="shared" si="32"/>
        <v>3832.64</v>
      </c>
      <c r="AL926" s="70">
        <f>IFERROR(__xludf.DUMMYFUNCTION("""COMPUTED_VALUE"""),1.0)</f>
        <v>1</v>
      </c>
      <c r="AM926" s="70"/>
      <c r="AN926" s="71" t="str">
        <f>IFERROR(__xludf.DUMMYFUNCTION("""COMPUTED_VALUE""")," P")</f>
        <v>P</v>
      </c>
      <c r="AO926" s="71" t="str">
        <f>IFERROR(__xludf.DUMMYFUNCTION("""COMPUTED_VALUE""")," PE81")</f>
        <v>PE81</v>
      </c>
      <c r="AP926" s="71" t="str">
        <f>IFERROR(__xludf.DUMMYFUNCTION("""COMPUTED_VALUE""")," PZA")</f>
        <v>PZA</v>
      </c>
      <c r="AQ926" s="71" t="str">
        <f>IFERROR(__xludf.DUMMYFUNCTION("""COMPUTED_VALUE""")," REF")</f>
        <v>REF</v>
      </c>
      <c r="AR926" s="71" t="str">
        <f>IFERROR(__xludf.DUMMYFUNCTION("""COMPUTED_VALUE""")," PERFILADOR INOX COMP SENCILLO 17 CM")</f>
        <v>PERFILADOR INOX COMP SENCILLO 17 CM</v>
      </c>
      <c r="AS926" s="71" t="str">
        <f>IFERROR(__xludf.DUMMYFUNCTION("""COMPUTED_VALUE""")," PERFILADOR INOX COMP SENCILLO 17 CM")</f>
        <v>PERFILADOR INOX COMP SENCILLO 17 CM</v>
      </c>
      <c r="AT926" s="71">
        <f>IFERROR(__xludf.DUMMYFUNCTION("""COMPUTED_VALUE"""),35.0)</f>
        <v>35</v>
      </c>
      <c r="AU926" s="71"/>
      <c r="AV926" s="71"/>
      <c r="AW926" s="71"/>
      <c r="AX926" s="71"/>
      <c r="AY926" s="71">
        <f>IFERROR(__xludf.DUMMYFUNCTION("""COMPUTED_VALUE"""),1198.0)</f>
        <v>1198</v>
      </c>
      <c r="AZ926" s="71">
        <f>IFERROR(__xludf.DUMMYFUNCTION("""COMPUTED_VALUE"""),1293.0)</f>
        <v>1293</v>
      </c>
      <c r="BA926" s="71">
        <f>IFERROR(__xludf.DUMMYFUNCTION("""COMPUTED_VALUE"""),1799.0)</f>
        <v>1799</v>
      </c>
      <c r="BB926" s="71">
        <f>IFERROR(__xludf.DUMMYFUNCTION("""COMPUTED_VALUE"""),1799.0)</f>
        <v>1799</v>
      </c>
      <c r="BC926" s="71">
        <f>IFERROR(__xludf.DUMMYFUNCTION("""COMPUTED_VALUE"""),2003.0)</f>
        <v>2003</v>
      </c>
      <c r="BD926" s="71">
        <f>IFERROR(__xludf.DUMMYFUNCTION("""COMPUTED_VALUE"""),2103.0)</f>
        <v>2103</v>
      </c>
      <c r="BE926" s="71">
        <f>IFERROR(__xludf.DUMMYFUNCTION("""COMPUTED_VALUE"""),336.48)</f>
        <v>336.48</v>
      </c>
      <c r="BF926" s="71">
        <f>IFERROR(__xludf.DUMMYFUNCTION("""COMPUTED_VALUE"""),2439.48)</f>
        <v>2439.48</v>
      </c>
      <c r="BG926" s="71">
        <f>IFERROR(__xludf.DUMMYFUNCTION("""COMPUTED_VALUE"""),0.04992511233150274)</f>
        <v>0.04992511233</v>
      </c>
      <c r="BH926" s="71">
        <f>IFERROR(__xludf.DUMMYFUNCTION("""COMPUTED_VALUE"""),1997.85)</f>
        <v>1997.85</v>
      </c>
      <c r="BI926" s="71">
        <f>IFERROR(__xludf.DUMMYFUNCTION("""COMPUTED_VALUE"""),319.656)</f>
        <v>319.656</v>
      </c>
      <c r="BJ926" s="71">
        <f>IFERROR(__xludf.DUMMYFUNCTION("""COMPUTED_VALUE"""),2317.506)</f>
        <v>2317.506</v>
      </c>
      <c r="BK926" s="71">
        <f>IFERROR(__xludf.DUMMYFUNCTION("""COMPUTED_VALUE"""),1892.7)</f>
        <v>1892.7</v>
      </c>
      <c r="BL926" s="71">
        <f>IFERROR(__xludf.DUMMYFUNCTION("""COMPUTED_VALUE"""),302.832)</f>
        <v>302.832</v>
      </c>
      <c r="BM926" s="71">
        <f>IFERROR(__xludf.DUMMYFUNCTION("""COMPUTED_VALUE"""),2195.532)</f>
        <v>2195.532</v>
      </c>
      <c r="BN926" s="71">
        <f>IFERROR(__xludf.DUMMYFUNCTION("""COMPUTED_VALUE"""),1787.55)</f>
        <v>1787.55</v>
      </c>
      <c r="BO926" s="71">
        <f>IFERROR(__xludf.DUMMYFUNCTION("""COMPUTED_VALUE"""),286.008)</f>
        <v>286.008</v>
      </c>
      <c r="BP926" s="71">
        <f>IFERROR(__xludf.DUMMYFUNCTION("""COMPUTED_VALUE"""),2073.558)</f>
        <v>2073.558</v>
      </c>
      <c r="BQ926" s="71">
        <f>IFERROR(__xludf.DUMMYFUNCTION("""COMPUTED_VALUE"""),1745.49)</f>
        <v>1745.49</v>
      </c>
      <c r="BR926" s="71">
        <f>IFERROR(__xludf.DUMMYFUNCTION("""COMPUTED_VALUE"""),279.27840000000003)</f>
        <v>279.2784</v>
      </c>
      <c r="BS926" s="71">
        <f>IFERROR(__xludf.DUMMYFUNCTION("""COMPUTED_VALUE"""),2024.7684)</f>
        <v>2024.7684</v>
      </c>
      <c r="BT926" s="71">
        <f>IFERROR(__xludf.DUMMYFUNCTION("""COMPUTED_VALUE"""),1682.4)</f>
        <v>1682.4</v>
      </c>
      <c r="BU926" s="71">
        <f>IFERROR(__xludf.DUMMYFUNCTION("""COMPUTED_VALUE"""),269.184)</f>
        <v>269.184</v>
      </c>
      <c r="BV926" s="71">
        <f>IFERROR(__xludf.DUMMYFUNCTION("""COMPUTED_VALUE"""),1951.584)</f>
        <v>1951.584</v>
      </c>
    </row>
    <row r="927">
      <c r="A927" s="53">
        <v>1.0</v>
      </c>
      <c r="B927" s="53"/>
      <c r="C927" s="73" t="s">
        <v>53</v>
      </c>
      <c r="D927" s="53" t="s">
        <v>2243</v>
      </c>
      <c r="E927" s="54" t="s">
        <v>38</v>
      </c>
      <c r="F927" s="54" t="s">
        <v>42</v>
      </c>
      <c r="G927" s="88" t="s">
        <v>2244</v>
      </c>
      <c r="H927" s="54" t="s">
        <v>2244</v>
      </c>
      <c r="I927" s="54">
        <f t="shared" si="24"/>
        <v>34</v>
      </c>
      <c r="J927" s="56"/>
      <c r="K927" s="57"/>
      <c r="L927" s="87"/>
      <c r="M927" s="59"/>
      <c r="N927" s="60">
        <v>330.0</v>
      </c>
      <c r="O927" s="61">
        <v>356.0</v>
      </c>
      <c r="P927" s="62">
        <v>384.48</v>
      </c>
      <c r="Q927" s="63">
        <v>384.48</v>
      </c>
      <c r="R927" s="64">
        <v>429.0</v>
      </c>
      <c r="S927" s="111">
        <v>450.0</v>
      </c>
      <c r="T927" s="65">
        <f t="shared" si="2"/>
        <v>72</v>
      </c>
      <c r="U927" s="65">
        <f t="shared" si="3"/>
        <v>522</v>
      </c>
      <c r="V927" s="66">
        <f t="shared" si="4"/>
        <v>0.04895104895</v>
      </c>
      <c r="W927" s="67">
        <f t="shared" si="5"/>
        <v>427.5</v>
      </c>
      <c r="X927" s="67">
        <f t="shared" si="6"/>
        <v>68.4</v>
      </c>
      <c r="Y927" s="67">
        <f t="shared" si="7"/>
        <v>495.9</v>
      </c>
      <c r="Z927" s="67">
        <f t="shared" si="8"/>
        <v>405</v>
      </c>
      <c r="AA927" s="67">
        <f t="shared" si="9"/>
        <v>64.8</v>
      </c>
      <c r="AB927" s="67">
        <f t="shared" si="10"/>
        <v>469.8</v>
      </c>
      <c r="AC927" s="67">
        <f t="shared" si="11"/>
        <v>382.5</v>
      </c>
      <c r="AD927" s="67">
        <f t="shared" si="12"/>
        <v>61.2</v>
      </c>
      <c r="AE927" s="67">
        <f t="shared" si="13"/>
        <v>443.7</v>
      </c>
      <c r="AF927" s="67">
        <f t="shared" si="33"/>
        <v>373.5</v>
      </c>
      <c r="AG927" s="67">
        <f t="shared" si="15"/>
        <v>59.76</v>
      </c>
      <c r="AH927" s="67">
        <f t="shared" si="16"/>
        <v>433.26</v>
      </c>
      <c r="AI927" s="67">
        <f t="shared" si="17"/>
        <v>360</v>
      </c>
      <c r="AJ927" s="68">
        <f t="shared" si="31"/>
        <v>57.6</v>
      </c>
      <c r="AK927" s="68">
        <f t="shared" si="32"/>
        <v>417.6</v>
      </c>
      <c r="AL927" s="70">
        <f>IFERROR(__xludf.DUMMYFUNCTION("""COMPUTED_VALUE"""),1.0)</f>
        <v>1</v>
      </c>
      <c r="AM927" s="70"/>
      <c r="AN927" s="71" t="str">
        <f>IFERROR(__xludf.DUMMYFUNCTION("""COMPUTED_VALUE""")," P")</f>
        <v>P</v>
      </c>
      <c r="AO927" s="71" t="str">
        <f>IFERROR(__xludf.DUMMYFUNCTION("""COMPUTED_VALUE""")," PE82")</f>
        <v>PE82</v>
      </c>
      <c r="AP927" s="71" t="str">
        <f>IFERROR(__xludf.DUMMYFUNCTION("""COMPUTED_VALUE""")," PZA")</f>
        <v>PZA</v>
      </c>
      <c r="AQ927" s="71" t="str">
        <f>IFERROR(__xludf.DUMMYFUNCTION("""COMPUTED_VALUE""")," REF")</f>
        <v>REF</v>
      </c>
      <c r="AR927" s="71" t="str">
        <f>IFERROR(__xludf.DUMMYFUNCTION("""COMPUTED_VALUE""")," PERFILADOR INOX COMP SENCILLO 18 CM ESPECIAL")</f>
        <v>PERFILADOR INOX COMP SENCILLO 18 CM ESPECIAL</v>
      </c>
      <c r="AS927" s="71" t="str">
        <f>IFERROR(__xludf.DUMMYFUNCTION("""COMPUTED_VALUE""")," PERFILADOR INOX COMP SENCILLO 18 CM ESP")</f>
        <v>PERFILADOR INOX COMP SENCILLO 18 CM ESP</v>
      </c>
      <c r="AT927" s="71">
        <f>IFERROR(__xludf.DUMMYFUNCTION("""COMPUTED_VALUE"""),39.0)</f>
        <v>39</v>
      </c>
      <c r="AU927" s="71"/>
      <c r="AV927" s="71"/>
      <c r="AW927" s="71"/>
      <c r="AX927" s="71"/>
      <c r="AY927" s="71">
        <f>IFERROR(__xludf.DUMMYFUNCTION("""COMPUTED_VALUE"""),1198.0)</f>
        <v>1198</v>
      </c>
      <c r="AZ927" s="71">
        <f>IFERROR(__xludf.DUMMYFUNCTION("""COMPUTED_VALUE"""),1293.0)</f>
        <v>1293</v>
      </c>
      <c r="BA927" s="71">
        <f>IFERROR(__xludf.DUMMYFUNCTION("""COMPUTED_VALUE"""),1799.0)</f>
        <v>1799</v>
      </c>
      <c r="BB927" s="71">
        <f>IFERROR(__xludf.DUMMYFUNCTION("""COMPUTED_VALUE"""),1799.0)</f>
        <v>1799</v>
      </c>
      <c r="BC927" s="71">
        <f>IFERROR(__xludf.DUMMYFUNCTION("""COMPUTED_VALUE"""),2003.0)</f>
        <v>2003</v>
      </c>
      <c r="BD927" s="71">
        <f>IFERROR(__xludf.DUMMYFUNCTION("""COMPUTED_VALUE"""),2103.0)</f>
        <v>2103</v>
      </c>
      <c r="BE927" s="71">
        <f>IFERROR(__xludf.DUMMYFUNCTION("""COMPUTED_VALUE"""),336.48)</f>
        <v>336.48</v>
      </c>
      <c r="BF927" s="71">
        <f>IFERROR(__xludf.DUMMYFUNCTION("""COMPUTED_VALUE"""),2439.48)</f>
        <v>2439.48</v>
      </c>
      <c r="BG927" s="71">
        <f>IFERROR(__xludf.DUMMYFUNCTION("""COMPUTED_VALUE"""),0.04992511233150274)</f>
        <v>0.04992511233</v>
      </c>
      <c r="BH927" s="71">
        <f>IFERROR(__xludf.DUMMYFUNCTION("""COMPUTED_VALUE"""),1997.85)</f>
        <v>1997.85</v>
      </c>
      <c r="BI927" s="71">
        <f>IFERROR(__xludf.DUMMYFUNCTION("""COMPUTED_VALUE"""),319.656)</f>
        <v>319.656</v>
      </c>
      <c r="BJ927" s="71">
        <f>IFERROR(__xludf.DUMMYFUNCTION("""COMPUTED_VALUE"""),2317.506)</f>
        <v>2317.506</v>
      </c>
      <c r="BK927" s="71">
        <f>IFERROR(__xludf.DUMMYFUNCTION("""COMPUTED_VALUE"""),1892.7)</f>
        <v>1892.7</v>
      </c>
      <c r="BL927" s="71">
        <f>IFERROR(__xludf.DUMMYFUNCTION("""COMPUTED_VALUE"""),302.832)</f>
        <v>302.832</v>
      </c>
      <c r="BM927" s="71">
        <f>IFERROR(__xludf.DUMMYFUNCTION("""COMPUTED_VALUE"""),2195.532)</f>
        <v>2195.532</v>
      </c>
      <c r="BN927" s="71">
        <f>IFERROR(__xludf.DUMMYFUNCTION("""COMPUTED_VALUE"""),1787.55)</f>
        <v>1787.55</v>
      </c>
      <c r="BO927" s="71">
        <f>IFERROR(__xludf.DUMMYFUNCTION("""COMPUTED_VALUE"""),286.008)</f>
        <v>286.008</v>
      </c>
      <c r="BP927" s="71">
        <f>IFERROR(__xludf.DUMMYFUNCTION("""COMPUTED_VALUE"""),2073.558)</f>
        <v>2073.558</v>
      </c>
      <c r="BQ927" s="71">
        <f>IFERROR(__xludf.DUMMYFUNCTION("""COMPUTED_VALUE"""),1745.49)</f>
        <v>1745.49</v>
      </c>
      <c r="BR927" s="71">
        <f>IFERROR(__xludf.DUMMYFUNCTION("""COMPUTED_VALUE"""),279.27840000000003)</f>
        <v>279.2784</v>
      </c>
      <c r="BS927" s="71">
        <f>IFERROR(__xludf.DUMMYFUNCTION("""COMPUTED_VALUE"""),2024.7684)</f>
        <v>2024.7684</v>
      </c>
      <c r="BT927" s="71">
        <f>IFERROR(__xludf.DUMMYFUNCTION("""COMPUTED_VALUE"""),1682.4)</f>
        <v>1682.4</v>
      </c>
      <c r="BU927" s="71">
        <f>IFERROR(__xludf.DUMMYFUNCTION("""COMPUTED_VALUE"""),269.184)</f>
        <v>269.184</v>
      </c>
      <c r="BV927" s="71">
        <f>IFERROR(__xludf.DUMMYFUNCTION("""COMPUTED_VALUE"""),1951.584)</f>
        <v>1951.584</v>
      </c>
    </row>
    <row r="928">
      <c r="A928" s="53"/>
      <c r="B928" s="53"/>
      <c r="C928" s="53" t="s">
        <v>36</v>
      </c>
      <c r="D928" s="85" t="s">
        <v>2245</v>
      </c>
      <c r="E928" s="54" t="s">
        <v>38</v>
      </c>
      <c r="F928" s="55" t="s">
        <v>39</v>
      </c>
      <c r="G928" s="86" t="s">
        <v>2246</v>
      </c>
      <c r="H928" s="55"/>
      <c r="I928" s="54">
        <f t="shared" si="24"/>
        <v>0</v>
      </c>
      <c r="J928" s="56"/>
      <c r="K928" s="57"/>
      <c r="L928" s="76"/>
      <c r="M928" s="59"/>
      <c r="N928" s="60"/>
      <c r="O928" s="61">
        <v>13.0</v>
      </c>
      <c r="P928" s="62">
        <v>14.040000000000001</v>
      </c>
      <c r="Q928" s="63">
        <v>14.040000000000001</v>
      </c>
      <c r="R928" s="64">
        <v>15.0</v>
      </c>
      <c r="S928" s="107">
        <v>15.75</v>
      </c>
      <c r="T928" s="65">
        <f t="shared" si="2"/>
        <v>2.52</v>
      </c>
      <c r="U928" s="65">
        <f t="shared" si="3"/>
        <v>18.27</v>
      </c>
      <c r="V928" s="66">
        <f t="shared" si="4"/>
        <v>0.05</v>
      </c>
      <c r="W928" s="67">
        <f t="shared" si="5"/>
        <v>14.9625</v>
      </c>
      <c r="X928" s="67">
        <f t="shared" si="6"/>
        <v>2.394</v>
      </c>
      <c r="Y928" s="67">
        <f t="shared" si="7"/>
        <v>17.3565</v>
      </c>
      <c r="Z928" s="67">
        <f t="shared" si="8"/>
        <v>14.175</v>
      </c>
      <c r="AA928" s="67">
        <f t="shared" si="9"/>
        <v>2.268</v>
      </c>
      <c r="AB928" s="67">
        <f t="shared" si="10"/>
        <v>16.443</v>
      </c>
      <c r="AC928" s="67">
        <f t="shared" si="11"/>
        <v>13.3875</v>
      </c>
      <c r="AD928" s="67">
        <f t="shared" si="12"/>
        <v>2.142</v>
      </c>
      <c r="AE928" s="67">
        <f t="shared" si="13"/>
        <v>15.5295</v>
      </c>
      <c r="AF928" s="67">
        <f t="shared" si="33"/>
        <v>13.0725</v>
      </c>
      <c r="AG928" s="67">
        <f t="shared" si="15"/>
        <v>2.0916</v>
      </c>
      <c r="AH928" s="67">
        <f t="shared" si="16"/>
        <v>15.1641</v>
      </c>
      <c r="AI928" s="67">
        <f t="shared" si="17"/>
        <v>12.6</v>
      </c>
      <c r="AJ928" s="68">
        <f t="shared" si="31"/>
        <v>2.016</v>
      </c>
      <c r="AK928" s="68">
        <f t="shared" si="32"/>
        <v>14.616</v>
      </c>
      <c r="AL928" s="70">
        <f>IFERROR(__xludf.DUMMYFUNCTION("""COMPUTED_VALUE"""),1.0)</f>
        <v>1</v>
      </c>
      <c r="AM928" s="70"/>
      <c r="AN928" s="71" t="str">
        <f>IFERROR(__xludf.DUMMYFUNCTION("""COMPUTED_VALUE""")," P")</f>
        <v>P</v>
      </c>
      <c r="AO928" s="71" t="str">
        <f>IFERROR(__xludf.DUMMYFUNCTION("""COMPUTED_VALUE""")," PE84")</f>
        <v>PE84</v>
      </c>
      <c r="AP928" s="71" t="str">
        <f>IFERROR(__xludf.DUMMYFUNCTION("""COMPUTED_VALUE""")," PZA")</f>
        <v>PZA</v>
      </c>
      <c r="AQ928" s="71" t="str">
        <f>IFERROR(__xludf.DUMMYFUNCTION("""COMPUTED_VALUE""")," REF")</f>
        <v>REF</v>
      </c>
      <c r="AR928" s="71" t="str">
        <f>IFERROR(__xludf.DUMMYFUNCTION("""COMPUTED_VALUE""")," PERFILADOR INOX COMP SENCILLO 19 CM ESPECIAL")</f>
        <v>PERFILADOR INOX COMP SENCILLO 19 CM ESPECIAL</v>
      </c>
      <c r="AS928" s="71" t="str">
        <f>IFERROR(__xludf.DUMMYFUNCTION("""COMPUTED_VALUE""")," PERFILADOR INOX COMP SENCILLO 19 CM ESP")</f>
        <v>PERFILADOR INOX COMP SENCILLO 19 CM ESP</v>
      </c>
      <c r="AT928" s="71">
        <f>IFERROR(__xludf.DUMMYFUNCTION("""COMPUTED_VALUE"""),39.0)</f>
        <v>39</v>
      </c>
      <c r="AU928" s="71"/>
      <c r="AV928" s="71"/>
      <c r="AW928" s="71"/>
      <c r="AX928" s="71"/>
      <c r="AY928" s="71">
        <f>IFERROR(__xludf.DUMMYFUNCTION("""COMPUTED_VALUE"""),1198.0)</f>
        <v>1198</v>
      </c>
      <c r="AZ928" s="71">
        <f>IFERROR(__xludf.DUMMYFUNCTION("""COMPUTED_VALUE"""),1293.0)</f>
        <v>1293</v>
      </c>
      <c r="BA928" s="71">
        <f>IFERROR(__xludf.DUMMYFUNCTION("""COMPUTED_VALUE"""),1799.0)</f>
        <v>1799</v>
      </c>
      <c r="BB928" s="71">
        <f>IFERROR(__xludf.DUMMYFUNCTION("""COMPUTED_VALUE"""),1799.0)</f>
        <v>1799</v>
      </c>
      <c r="BC928" s="71">
        <f>IFERROR(__xludf.DUMMYFUNCTION("""COMPUTED_VALUE"""),2003.0)</f>
        <v>2003</v>
      </c>
      <c r="BD928" s="71">
        <f>IFERROR(__xludf.DUMMYFUNCTION("""COMPUTED_VALUE"""),2103.0)</f>
        <v>2103</v>
      </c>
      <c r="BE928" s="71">
        <f>IFERROR(__xludf.DUMMYFUNCTION("""COMPUTED_VALUE"""),336.48)</f>
        <v>336.48</v>
      </c>
      <c r="BF928" s="71">
        <f>IFERROR(__xludf.DUMMYFUNCTION("""COMPUTED_VALUE"""),2439.48)</f>
        <v>2439.48</v>
      </c>
      <c r="BG928" s="71">
        <f>IFERROR(__xludf.DUMMYFUNCTION("""COMPUTED_VALUE"""),0.04992511233150274)</f>
        <v>0.04992511233</v>
      </c>
      <c r="BH928" s="71">
        <f>IFERROR(__xludf.DUMMYFUNCTION("""COMPUTED_VALUE"""),1997.85)</f>
        <v>1997.85</v>
      </c>
      <c r="BI928" s="71">
        <f>IFERROR(__xludf.DUMMYFUNCTION("""COMPUTED_VALUE"""),319.656)</f>
        <v>319.656</v>
      </c>
      <c r="BJ928" s="71">
        <f>IFERROR(__xludf.DUMMYFUNCTION("""COMPUTED_VALUE"""),2317.506)</f>
        <v>2317.506</v>
      </c>
      <c r="BK928" s="71">
        <f>IFERROR(__xludf.DUMMYFUNCTION("""COMPUTED_VALUE"""),1892.7)</f>
        <v>1892.7</v>
      </c>
      <c r="BL928" s="71">
        <f>IFERROR(__xludf.DUMMYFUNCTION("""COMPUTED_VALUE"""),302.832)</f>
        <v>302.832</v>
      </c>
      <c r="BM928" s="71">
        <f>IFERROR(__xludf.DUMMYFUNCTION("""COMPUTED_VALUE"""),2195.532)</f>
        <v>2195.532</v>
      </c>
      <c r="BN928" s="71">
        <f>IFERROR(__xludf.DUMMYFUNCTION("""COMPUTED_VALUE"""),1787.55)</f>
        <v>1787.55</v>
      </c>
      <c r="BO928" s="71">
        <f>IFERROR(__xludf.DUMMYFUNCTION("""COMPUTED_VALUE"""),286.008)</f>
        <v>286.008</v>
      </c>
      <c r="BP928" s="71">
        <f>IFERROR(__xludf.DUMMYFUNCTION("""COMPUTED_VALUE"""),2073.558)</f>
        <v>2073.558</v>
      </c>
      <c r="BQ928" s="71">
        <f>IFERROR(__xludf.DUMMYFUNCTION("""COMPUTED_VALUE"""),1745.49)</f>
        <v>1745.49</v>
      </c>
      <c r="BR928" s="71">
        <f>IFERROR(__xludf.DUMMYFUNCTION("""COMPUTED_VALUE"""),279.27840000000003)</f>
        <v>279.2784</v>
      </c>
      <c r="BS928" s="71">
        <f>IFERROR(__xludf.DUMMYFUNCTION("""COMPUTED_VALUE"""),2024.7684)</f>
        <v>2024.7684</v>
      </c>
      <c r="BT928" s="71">
        <f>IFERROR(__xludf.DUMMYFUNCTION("""COMPUTED_VALUE"""),1682.4)</f>
        <v>1682.4</v>
      </c>
      <c r="BU928" s="71">
        <f>IFERROR(__xludf.DUMMYFUNCTION("""COMPUTED_VALUE"""),269.184)</f>
        <v>269.184</v>
      </c>
      <c r="BV928" s="71">
        <f>IFERROR(__xludf.DUMMYFUNCTION("""COMPUTED_VALUE"""),1951.584)</f>
        <v>1951.584</v>
      </c>
    </row>
    <row r="929">
      <c r="A929" s="53"/>
      <c r="B929" s="53"/>
      <c r="C929" s="53" t="s">
        <v>36</v>
      </c>
      <c r="D929" s="85" t="s">
        <v>2247</v>
      </c>
      <c r="E929" s="54" t="s">
        <v>38</v>
      </c>
      <c r="F929" s="55" t="s">
        <v>39</v>
      </c>
      <c r="G929" s="86" t="s">
        <v>2248</v>
      </c>
      <c r="H929" s="55"/>
      <c r="I929" s="54">
        <f t="shared" si="24"/>
        <v>0</v>
      </c>
      <c r="J929" s="56"/>
      <c r="K929" s="57"/>
      <c r="L929" s="76"/>
      <c r="M929" s="59"/>
      <c r="N929" s="60"/>
      <c r="O929" s="61">
        <v>13.44</v>
      </c>
      <c r="P929" s="62">
        <v>14.5152</v>
      </c>
      <c r="Q929" s="63">
        <v>14.5152</v>
      </c>
      <c r="R929" s="64">
        <v>16.0</v>
      </c>
      <c r="S929" s="107">
        <v>16.8</v>
      </c>
      <c r="T929" s="65">
        <f t="shared" si="2"/>
        <v>2.688</v>
      </c>
      <c r="U929" s="65">
        <f t="shared" si="3"/>
        <v>19.488</v>
      </c>
      <c r="V929" s="66">
        <f t="shared" si="4"/>
        <v>0.05</v>
      </c>
      <c r="W929" s="67">
        <f t="shared" si="5"/>
        <v>15.96</v>
      </c>
      <c r="X929" s="67">
        <f t="shared" si="6"/>
        <v>2.5536</v>
      </c>
      <c r="Y929" s="67">
        <f t="shared" si="7"/>
        <v>18.5136</v>
      </c>
      <c r="Z929" s="67">
        <f t="shared" si="8"/>
        <v>15.12</v>
      </c>
      <c r="AA929" s="67">
        <f t="shared" si="9"/>
        <v>2.4192</v>
      </c>
      <c r="AB929" s="67">
        <f t="shared" si="10"/>
        <v>17.5392</v>
      </c>
      <c r="AC929" s="67">
        <f t="shared" si="11"/>
        <v>14.28</v>
      </c>
      <c r="AD929" s="67">
        <f t="shared" si="12"/>
        <v>2.2848</v>
      </c>
      <c r="AE929" s="67">
        <f t="shared" si="13"/>
        <v>16.5648</v>
      </c>
      <c r="AF929" s="67">
        <f t="shared" si="33"/>
        <v>13.944</v>
      </c>
      <c r="AG929" s="67">
        <f t="shared" si="15"/>
        <v>2.23104</v>
      </c>
      <c r="AH929" s="67">
        <f t="shared" si="16"/>
        <v>16.17504</v>
      </c>
      <c r="AI929" s="67">
        <f t="shared" si="17"/>
        <v>13.44</v>
      </c>
      <c r="AJ929" s="68">
        <f t="shared" si="31"/>
        <v>2.1504</v>
      </c>
      <c r="AK929" s="68">
        <f t="shared" si="32"/>
        <v>15.5904</v>
      </c>
      <c r="AL929" s="70">
        <f>IFERROR(__xludf.DUMMYFUNCTION("""COMPUTED_VALUE"""),1.0)</f>
        <v>1</v>
      </c>
      <c r="AM929" s="70"/>
      <c r="AN929" s="71" t="str">
        <f>IFERROR(__xludf.DUMMYFUNCTION("""COMPUTED_VALUE""")," P")</f>
        <v>P</v>
      </c>
      <c r="AO929" s="71" t="str">
        <f>IFERROR(__xludf.DUMMYFUNCTION("""COMPUTED_VALUE""")," PE86")</f>
        <v>PE86</v>
      </c>
      <c r="AP929" s="71" t="str">
        <f>IFERROR(__xludf.DUMMYFUNCTION("""COMPUTED_VALUE""")," PZA")</f>
        <v>PZA</v>
      </c>
      <c r="AQ929" s="71" t="str">
        <f>IFERROR(__xludf.DUMMYFUNCTION("""COMPUTED_VALUE""")," REF")</f>
        <v>REF</v>
      </c>
      <c r="AR929" s="71" t="str">
        <f>IFERROR(__xludf.DUMMYFUNCTION("""COMPUTED_VALUE""")," PERFILADOR INOX COMP SENCILLO 20 CM")</f>
        <v>PERFILADOR INOX COMP SENCILLO 20 CM</v>
      </c>
      <c r="AS929" s="71" t="str">
        <f>IFERROR(__xludf.DUMMYFUNCTION("""COMPUTED_VALUE""")," PERFILADOR INOX COMP SENCILLO 20 CM")</f>
        <v>PERFILADOR INOX COMP SENCILLO 20 CM</v>
      </c>
      <c r="AT929" s="71">
        <f>IFERROR(__xludf.DUMMYFUNCTION("""COMPUTED_VALUE"""),35.0)</f>
        <v>35</v>
      </c>
      <c r="AU929" s="71"/>
      <c r="AV929" s="71"/>
      <c r="AW929" s="71"/>
      <c r="AX929" s="71"/>
      <c r="AY929" s="71">
        <f>IFERROR(__xludf.DUMMYFUNCTION("""COMPUTED_VALUE"""),1198.0)</f>
        <v>1198</v>
      </c>
      <c r="AZ929" s="71">
        <f>IFERROR(__xludf.DUMMYFUNCTION("""COMPUTED_VALUE"""),1293.0)</f>
        <v>1293</v>
      </c>
      <c r="BA929" s="71">
        <f>IFERROR(__xludf.DUMMYFUNCTION("""COMPUTED_VALUE"""),1799.0)</f>
        <v>1799</v>
      </c>
      <c r="BB929" s="71">
        <f>IFERROR(__xludf.DUMMYFUNCTION("""COMPUTED_VALUE"""),1799.0)</f>
        <v>1799</v>
      </c>
      <c r="BC929" s="71">
        <f>IFERROR(__xludf.DUMMYFUNCTION("""COMPUTED_VALUE"""),2003.0)</f>
        <v>2003</v>
      </c>
      <c r="BD929" s="71">
        <f>IFERROR(__xludf.DUMMYFUNCTION("""COMPUTED_VALUE"""),2103.0)</f>
        <v>2103</v>
      </c>
      <c r="BE929" s="71">
        <f>IFERROR(__xludf.DUMMYFUNCTION("""COMPUTED_VALUE"""),336.48)</f>
        <v>336.48</v>
      </c>
      <c r="BF929" s="71">
        <f>IFERROR(__xludf.DUMMYFUNCTION("""COMPUTED_VALUE"""),2439.48)</f>
        <v>2439.48</v>
      </c>
      <c r="BG929" s="71">
        <f>IFERROR(__xludf.DUMMYFUNCTION("""COMPUTED_VALUE"""),0.04992511233150274)</f>
        <v>0.04992511233</v>
      </c>
      <c r="BH929" s="71">
        <f>IFERROR(__xludf.DUMMYFUNCTION("""COMPUTED_VALUE"""),1997.85)</f>
        <v>1997.85</v>
      </c>
      <c r="BI929" s="71">
        <f>IFERROR(__xludf.DUMMYFUNCTION("""COMPUTED_VALUE"""),319.656)</f>
        <v>319.656</v>
      </c>
      <c r="BJ929" s="71">
        <f>IFERROR(__xludf.DUMMYFUNCTION("""COMPUTED_VALUE"""),2317.506)</f>
        <v>2317.506</v>
      </c>
      <c r="BK929" s="71">
        <f>IFERROR(__xludf.DUMMYFUNCTION("""COMPUTED_VALUE"""),1892.7)</f>
        <v>1892.7</v>
      </c>
      <c r="BL929" s="71">
        <f>IFERROR(__xludf.DUMMYFUNCTION("""COMPUTED_VALUE"""),302.832)</f>
        <v>302.832</v>
      </c>
      <c r="BM929" s="71">
        <f>IFERROR(__xludf.DUMMYFUNCTION("""COMPUTED_VALUE"""),2195.532)</f>
        <v>2195.532</v>
      </c>
      <c r="BN929" s="71">
        <f>IFERROR(__xludf.DUMMYFUNCTION("""COMPUTED_VALUE"""),1787.55)</f>
        <v>1787.55</v>
      </c>
      <c r="BO929" s="71">
        <f>IFERROR(__xludf.DUMMYFUNCTION("""COMPUTED_VALUE"""),286.008)</f>
        <v>286.008</v>
      </c>
      <c r="BP929" s="71">
        <f>IFERROR(__xludf.DUMMYFUNCTION("""COMPUTED_VALUE"""),2073.558)</f>
        <v>2073.558</v>
      </c>
      <c r="BQ929" s="71">
        <f>IFERROR(__xludf.DUMMYFUNCTION("""COMPUTED_VALUE"""),1745.49)</f>
        <v>1745.49</v>
      </c>
      <c r="BR929" s="71">
        <f>IFERROR(__xludf.DUMMYFUNCTION("""COMPUTED_VALUE"""),279.27840000000003)</f>
        <v>279.2784</v>
      </c>
      <c r="BS929" s="71">
        <f>IFERROR(__xludf.DUMMYFUNCTION("""COMPUTED_VALUE"""),2024.7684)</f>
        <v>2024.7684</v>
      </c>
      <c r="BT929" s="71">
        <f>IFERROR(__xludf.DUMMYFUNCTION("""COMPUTED_VALUE"""),1682.4)</f>
        <v>1682.4</v>
      </c>
      <c r="BU929" s="71">
        <f>IFERROR(__xludf.DUMMYFUNCTION("""COMPUTED_VALUE"""),269.184)</f>
        <v>269.184</v>
      </c>
      <c r="BV929" s="71">
        <f>IFERROR(__xludf.DUMMYFUNCTION("""COMPUTED_VALUE"""),1951.584)</f>
        <v>1951.584</v>
      </c>
    </row>
    <row r="930">
      <c r="A930" s="53">
        <v>1.0</v>
      </c>
      <c r="B930" s="72"/>
      <c r="C930" s="73" t="s">
        <v>53</v>
      </c>
      <c r="D930" s="74" t="s">
        <v>2249</v>
      </c>
      <c r="E930" s="54" t="s">
        <v>38</v>
      </c>
      <c r="F930" s="54" t="s">
        <v>42</v>
      </c>
      <c r="G930" s="88" t="s">
        <v>2250</v>
      </c>
      <c r="H930" s="54" t="s">
        <v>2251</v>
      </c>
      <c r="I930" s="54">
        <f t="shared" si="24"/>
        <v>15</v>
      </c>
      <c r="J930" s="56"/>
      <c r="K930" s="75"/>
      <c r="L930" s="76"/>
      <c r="M930" s="59"/>
      <c r="N930" s="60">
        <v>8.0</v>
      </c>
      <c r="O930" s="61">
        <v>8.0</v>
      </c>
      <c r="P930" s="62">
        <v>8.64</v>
      </c>
      <c r="Q930" s="63">
        <v>8.64</v>
      </c>
      <c r="R930" s="78">
        <v>10.0</v>
      </c>
      <c r="S930" s="111">
        <v>10.5</v>
      </c>
      <c r="T930" s="65">
        <f t="shared" si="2"/>
        <v>1.68</v>
      </c>
      <c r="U930" s="65">
        <f t="shared" si="3"/>
        <v>12.18</v>
      </c>
      <c r="V930" s="66">
        <f t="shared" si="4"/>
        <v>0.05</v>
      </c>
      <c r="W930" s="67">
        <f t="shared" si="5"/>
        <v>9.975</v>
      </c>
      <c r="X930" s="67">
        <f t="shared" si="6"/>
        <v>1.596</v>
      </c>
      <c r="Y930" s="67">
        <f t="shared" si="7"/>
        <v>11.571</v>
      </c>
      <c r="Z930" s="67">
        <f t="shared" si="8"/>
        <v>9.45</v>
      </c>
      <c r="AA930" s="67">
        <f t="shared" si="9"/>
        <v>1.512</v>
      </c>
      <c r="AB930" s="67">
        <f t="shared" si="10"/>
        <v>10.962</v>
      </c>
      <c r="AC930" s="67">
        <f t="shared" si="11"/>
        <v>8.925</v>
      </c>
      <c r="AD930" s="67">
        <f t="shared" si="12"/>
        <v>1.428</v>
      </c>
      <c r="AE930" s="67">
        <f t="shared" si="13"/>
        <v>10.353</v>
      </c>
      <c r="AF930" s="67">
        <f t="shared" si="33"/>
        <v>8.715</v>
      </c>
      <c r="AG930" s="67">
        <f t="shared" si="15"/>
        <v>1.3944</v>
      </c>
      <c r="AH930" s="67">
        <f t="shared" si="16"/>
        <v>10.1094</v>
      </c>
      <c r="AI930" s="67">
        <f t="shared" si="17"/>
        <v>8.4</v>
      </c>
      <c r="AJ930" s="68">
        <f t="shared" si="31"/>
        <v>1.344</v>
      </c>
      <c r="AK930" s="68">
        <f t="shared" si="32"/>
        <v>9.744</v>
      </c>
      <c r="AL930" s="70">
        <f>IFERROR(__xludf.DUMMYFUNCTION("""COMPUTED_VALUE"""),1.0)</f>
        <v>1</v>
      </c>
      <c r="AM930" s="70"/>
      <c r="AN930" s="71" t="str">
        <f>IFERROR(__xludf.DUMMYFUNCTION("""COMPUTED_VALUE""")," P")</f>
        <v>P</v>
      </c>
      <c r="AO930" s="71" t="str">
        <f>IFERROR(__xludf.DUMMYFUNCTION("""COMPUTED_VALUE""")," PE87")</f>
        <v>PE87</v>
      </c>
      <c r="AP930" s="71" t="str">
        <f>IFERROR(__xludf.DUMMYFUNCTION("""COMPUTED_VALUE""")," PZA")</f>
        <v>PZA</v>
      </c>
      <c r="AQ930" s="71" t="str">
        <f>IFERROR(__xludf.DUMMYFUNCTION("""COMPUTED_VALUE""")," REF")</f>
        <v>REF</v>
      </c>
      <c r="AR930" s="71" t="str">
        <f>IFERROR(__xludf.DUMMYFUNCTION("""COMPUTED_VALUE""")," PERFILADOR INOX COMP SENCILLO 20 CM T.PUE")</f>
        <v>PERFILADOR INOX COMP SENCILLO 20 CM T.PUE</v>
      </c>
      <c r="AS930" s="71" t="str">
        <f>IFERROR(__xludf.DUMMYFUNCTION("""COMPUTED_VALUE""")," PERFILADOR INOX COMP SENCILLO 20CM T.PUE")</f>
        <v>PERFILADOR INOX COMP SENCILLO 20CM T.PUE</v>
      </c>
      <c r="AT930" s="71">
        <f>IFERROR(__xludf.DUMMYFUNCTION("""COMPUTED_VALUE"""),40.0)</f>
        <v>40</v>
      </c>
      <c r="AU930" s="71"/>
      <c r="AV930" s="71"/>
      <c r="AW930" s="71"/>
      <c r="AX930" s="71"/>
      <c r="AY930" s="71">
        <f>IFERROR(__xludf.DUMMYFUNCTION("""COMPUTED_VALUE"""),1722.0)</f>
        <v>1722</v>
      </c>
      <c r="AZ930" s="71">
        <f>IFERROR(__xludf.DUMMYFUNCTION("""COMPUTED_VALUE"""),1859.0)</f>
        <v>1859</v>
      </c>
      <c r="BA930" s="71">
        <f>IFERROR(__xludf.DUMMYFUNCTION("""COMPUTED_VALUE"""),2007.72)</f>
        <v>2007.72</v>
      </c>
      <c r="BB930" s="71">
        <f>IFERROR(__xludf.DUMMYFUNCTION("""COMPUTED_VALUE"""),2007.72)</f>
        <v>2007.72</v>
      </c>
      <c r="BC930" s="71">
        <f>IFERROR(__xludf.DUMMYFUNCTION("""COMPUTED_VALUE"""),2236.0)</f>
        <v>2236</v>
      </c>
      <c r="BD930" s="71">
        <f>IFERROR(__xludf.DUMMYFUNCTION("""COMPUTED_VALUE"""),2348.0)</f>
        <v>2348</v>
      </c>
      <c r="BE930" s="71">
        <f>IFERROR(__xludf.DUMMYFUNCTION("""COMPUTED_VALUE"""),375.68)</f>
        <v>375.68</v>
      </c>
      <c r="BF930" s="71">
        <f>IFERROR(__xludf.DUMMYFUNCTION("""COMPUTED_VALUE"""),2723.68)</f>
        <v>2723.68</v>
      </c>
      <c r="BG930" s="71">
        <f>IFERROR(__xludf.DUMMYFUNCTION("""COMPUTED_VALUE"""),0.05008944543828265)</f>
        <v>0.05008944544</v>
      </c>
      <c r="BH930" s="71">
        <f>IFERROR(__xludf.DUMMYFUNCTION("""COMPUTED_VALUE"""),2230.6)</f>
        <v>2230.6</v>
      </c>
      <c r="BI930" s="71">
        <f>IFERROR(__xludf.DUMMYFUNCTION("""COMPUTED_VALUE"""),356.896)</f>
        <v>356.896</v>
      </c>
      <c r="BJ930" s="71">
        <f>IFERROR(__xludf.DUMMYFUNCTION("""COMPUTED_VALUE"""),2587.496)</f>
        <v>2587.496</v>
      </c>
      <c r="BK930" s="71">
        <f>IFERROR(__xludf.DUMMYFUNCTION("""COMPUTED_VALUE"""),2113.2000000000003)</f>
        <v>2113.2</v>
      </c>
      <c r="BL930" s="71">
        <f>IFERROR(__xludf.DUMMYFUNCTION("""COMPUTED_VALUE"""),338.112)</f>
        <v>338.112</v>
      </c>
      <c r="BM930" s="71">
        <f>IFERROR(__xludf.DUMMYFUNCTION("""COMPUTED_VALUE"""),2451.3120000000004)</f>
        <v>2451.312</v>
      </c>
      <c r="BN930" s="71">
        <f>IFERROR(__xludf.DUMMYFUNCTION("""COMPUTED_VALUE"""),1995.8)</f>
        <v>1995.8</v>
      </c>
      <c r="BO930" s="71">
        <f>IFERROR(__xludf.DUMMYFUNCTION("""COMPUTED_VALUE"""),319.328)</f>
        <v>319.328</v>
      </c>
      <c r="BP930" s="71">
        <f>IFERROR(__xludf.DUMMYFUNCTION("""COMPUTED_VALUE"""),2315.1279999999997)</f>
        <v>2315.128</v>
      </c>
      <c r="BQ930" s="71">
        <f>IFERROR(__xludf.DUMMYFUNCTION("""COMPUTED_VALUE"""),1948.84)</f>
        <v>1948.84</v>
      </c>
      <c r="BR930" s="71">
        <f>IFERROR(__xludf.DUMMYFUNCTION("""COMPUTED_VALUE"""),311.8144)</f>
        <v>311.8144</v>
      </c>
      <c r="BS930" s="71">
        <f>IFERROR(__xludf.DUMMYFUNCTION("""COMPUTED_VALUE"""),2260.6544)</f>
        <v>2260.6544</v>
      </c>
      <c r="BT930" s="71">
        <f>IFERROR(__xludf.DUMMYFUNCTION("""COMPUTED_VALUE"""),1878.4)</f>
        <v>1878.4</v>
      </c>
      <c r="BU930" s="71">
        <f>IFERROR(__xludf.DUMMYFUNCTION("""COMPUTED_VALUE"""),300.54400000000004)</f>
        <v>300.544</v>
      </c>
      <c r="BV930" s="71">
        <f>IFERROR(__xludf.DUMMYFUNCTION("""COMPUTED_VALUE"""),2178.944)</f>
        <v>2178.944</v>
      </c>
    </row>
    <row r="931">
      <c r="A931" s="53">
        <v>1.0</v>
      </c>
      <c r="B931" s="72"/>
      <c r="C931" s="73" t="s">
        <v>53</v>
      </c>
      <c r="D931" s="74" t="s">
        <v>2252</v>
      </c>
      <c r="E931" s="54" t="s">
        <v>38</v>
      </c>
      <c r="F931" s="54" t="s">
        <v>42</v>
      </c>
      <c r="G931" s="88" t="s">
        <v>2253</v>
      </c>
      <c r="H931" s="54" t="s">
        <v>2254</v>
      </c>
      <c r="I931" s="54">
        <f t="shared" si="24"/>
        <v>15</v>
      </c>
      <c r="J931" s="56"/>
      <c r="K931" s="75"/>
      <c r="L931" s="76"/>
      <c r="M931" s="59"/>
      <c r="N931" s="60">
        <v>8.0</v>
      </c>
      <c r="O931" s="61">
        <v>8.0</v>
      </c>
      <c r="P931" s="62">
        <v>8.64</v>
      </c>
      <c r="Q931" s="63">
        <v>8.64</v>
      </c>
      <c r="R931" s="78">
        <v>10.0</v>
      </c>
      <c r="S931" s="111">
        <v>10.5</v>
      </c>
      <c r="T931" s="65">
        <f t="shared" si="2"/>
        <v>1.68</v>
      </c>
      <c r="U931" s="65">
        <f t="shared" si="3"/>
        <v>12.18</v>
      </c>
      <c r="V931" s="66">
        <f t="shared" si="4"/>
        <v>0.05</v>
      </c>
      <c r="W931" s="67">
        <f t="shared" si="5"/>
        <v>9.975</v>
      </c>
      <c r="X931" s="67">
        <f t="shared" si="6"/>
        <v>1.596</v>
      </c>
      <c r="Y931" s="67">
        <f t="shared" si="7"/>
        <v>11.571</v>
      </c>
      <c r="Z931" s="67">
        <f t="shared" si="8"/>
        <v>9.45</v>
      </c>
      <c r="AA931" s="67">
        <f t="shared" si="9"/>
        <v>1.512</v>
      </c>
      <c r="AB931" s="67">
        <f t="shared" si="10"/>
        <v>10.962</v>
      </c>
      <c r="AC931" s="67">
        <f t="shared" si="11"/>
        <v>8.925</v>
      </c>
      <c r="AD931" s="67">
        <f t="shared" si="12"/>
        <v>1.428</v>
      </c>
      <c r="AE931" s="67">
        <f t="shared" si="13"/>
        <v>10.353</v>
      </c>
      <c r="AF931" s="67">
        <f t="shared" si="33"/>
        <v>8.715</v>
      </c>
      <c r="AG931" s="67">
        <f t="shared" si="15"/>
        <v>1.3944</v>
      </c>
      <c r="AH931" s="67">
        <f t="shared" si="16"/>
        <v>10.1094</v>
      </c>
      <c r="AI931" s="67">
        <f t="shared" si="17"/>
        <v>8.4</v>
      </c>
      <c r="AJ931" s="68">
        <f t="shared" si="31"/>
        <v>1.344</v>
      </c>
      <c r="AK931" s="68">
        <f t="shared" si="32"/>
        <v>9.744</v>
      </c>
      <c r="AL931" s="70">
        <f>IFERROR(__xludf.DUMMYFUNCTION("""COMPUTED_VALUE"""),1.0)</f>
        <v>1</v>
      </c>
      <c r="AM931" s="70"/>
      <c r="AN931" s="71" t="str">
        <f>IFERROR(__xludf.DUMMYFUNCTION("""COMPUTED_VALUE""")," P")</f>
        <v>P</v>
      </c>
      <c r="AO931" s="71" t="str">
        <f>IFERROR(__xludf.DUMMYFUNCTION("""COMPUTED_VALUE""")," PE89")</f>
        <v>PE89</v>
      </c>
      <c r="AP931" s="71" t="str">
        <f>IFERROR(__xludf.DUMMYFUNCTION("""COMPUTED_VALUE""")," PZA")</f>
        <v>PZA</v>
      </c>
      <c r="AQ931" s="71" t="str">
        <f>IFERROR(__xludf.DUMMYFUNCTION("""COMPUTED_VALUE""")," REF")</f>
        <v>REF</v>
      </c>
      <c r="AR931" s="71" t="str">
        <f>IFERROR(__xludf.DUMMYFUNCTION("""COMPUTED_VALUE""")," PERFILADOR INOX COMP SENCILLO 21 CM")</f>
        <v>PERFILADOR INOX COMP SENCILLO 21 CM</v>
      </c>
      <c r="AS931" s="71" t="str">
        <f>IFERROR(__xludf.DUMMYFUNCTION("""COMPUTED_VALUE""")," PERFILADOR INOX COMP SENCILLO 21 CM")</f>
        <v>PERFILADOR INOX COMP SENCILLO 21 CM</v>
      </c>
      <c r="AT931" s="71">
        <f>IFERROR(__xludf.DUMMYFUNCTION("""COMPUTED_VALUE"""),35.0)</f>
        <v>35</v>
      </c>
      <c r="AU931" s="71"/>
      <c r="AV931" s="71"/>
      <c r="AW931" s="71"/>
      <c r="AX931" s="71"/>
      <c r="AY931" s="71">
        <f>IFERROR(__xludf.DUMMYFUNCTION("""COMPUTED_VALUE"""),1722.0)</f>
        <v>1722</v>
      </c>
      <c r="AZ931" s="71">
        <f>IFERROR(__xludf.DUMMYFUNCTION("""COMPUTED_VALUE"""),1859.0)</f>
        <v>1859</v>
      </c>
      <c r="BA931" s="71">
        <f>IFERROR(__xludf.DUMMYFUNCTION("""COMPUTED_VALUE"""),2007.72)</f>
        <v>2007.72</v>
      </c>
      <c r="BB931" s="71">
        <f>IFERROR(__xludf.DUMMYFUNCTION("""COMPUTED_VALUE"""),2007.72)</f>
        <v>2007.72</v>
      </c>
      <c r="BC931" s="71">
        <f>IFERROR(__xludf.DUMMYFUNCTION("""COMPUTED_VALUE"""),2236.0)</f>
        <v>2236</v>
      </c>
      <c r="BD931" s="71">
        <f>IFERROR(__xludf.DUMMYFUNCTION("""COMPUTED_VALUE"""),2348.0)</f>
        <v>2348</v>
      </c>
      <c r="BE931" s="71">
        <f>IFERROR(__xludf.DUMMYFUNCTION("""COMPUTED_VALUE"""),375.68)</f>
        <v>375.68</v>
      </c>
      <c r="BF931" s="71">
        <f>IFERROR(__xludf.DUMMYFUNCTION("""COMPUTED_VALUE"""),2723.68)</f>
        <v>2723.68</v>
      </c>
      <c r="BG931" s="71">
        <f>IFERROR(__xludf.DUMMYFUNCTION("""COMPUTED_VALUE"""),0.05008944543828265)</f>
        <v>0.05008944544</v>
      </c>
      <c r="BH931" s="71">
        <f>IFERROR(__xludf.DUMMYFUNCTION("""COMPUTED_VALUE"""),2230.6)</f>
        <v>2230.6</v>
      </c>
      <c r="BI931" s="71">
        <f>IFERROR(__xludf.DUMMYFUNCTION("""COMPUTED_VALUE"""),356.896)</f>
        <v>356.896</v>
      </c>
      <c r="BJ931" s="71">
        <f>IFERROR(__xludf.DUMMYFUNCTION("""COMPUTED_VALUE"""),2587.496)</f>
        <v>2587.496</v>
      </c>
      <c r="BK931" s="71">
        <f>IFERROR(__xludf.DUMMYFUNCTION("""COMPUTED_VALUE"""),2113.2000000000003)</f>
        <v>2113.2</v>
      </c>
      <c r="BL931" s="71">
        <f>IFERROR(__xludf.DUMMYFUNCTION("""COMPUTED_VALUE"""),338.112)</f>
        <v>338.112</v>
      </c>
      <c r="BM931" s="71">
        <f>IFERROR(__xludf.DUMMYFUNCTION("""COMPUTED_VALUE"""),2451.3120000000004)</f>
        <v>2451.312</v>
      </c>
      <c r="BN931" s="71">
        <f>IFERROR(__xludf.DUMMYFUNCTION("""COMPUTED_VALUE"""),1995.8)</f>
        <v>1995.8</v>
      </c>
      <c r="BO931" s="71">
        <f>IFERROR(__xludf.DUMMYFUNCTION("""COMPUTED_VALUE"""),319.328)</f>
        <v>319.328</v>
      </c>
      <c r="BP931" s="71">
        <f>IFERROR(__xludf.DUMMYFUNCTION("""COMPUTED_VALUE"""),2315.1279999999997)</f>
        <v>2315.128</v>
      </c>
      <c r="BQ931" s="71">
        <f>IFERROR(__xludf.DUMMYFUNCTION("""COMPUTED_VALUE"""),1948.84)</f>
        <v>1948.84</v>
      </c>
      <c r="BR931" s="71">
        <f>IFERROR(__xludf.DUMMYFUNCTION("""COMPUTED_VALUE"""),311.8144)</f>
        <v>311.8144</v>
      </c>
      <c r="BS931" s="71">
        <f>IFERROR(__xludf.DUMMYFUNCTION("""COMPUTED_VALUE"""),2260.6544)</f>
        <v>2260.6544</v>
      </c>
      <c r="BT931" s="71">
        <f>IFERROR(__xludf.DUMMYFUNCTION("""COMPUTED_VALUE"""),1878.4)</f>
        <v>1878.4</v>
      </c>
      <c r="BU931" s="71">
        <f>IFERROR(__xludf.DUMMYFUNCTION("""COMPUTED_VALUE"""),300.54400000000004)</f>
        <v>300.544</v>
      </c>
      <c r="BV931" s="71">
        <f>IFERROR(__xludf.DUMMYFUNCTION("""COMPUTED_VALUE"""),2178.944)</f>
        <v>2178.944</v>
      </c>
    </row>
    <row r="932">
      <c r="A932" s="53">
        <v>1.0</v>
      </c>
      <c r="B932" s="72"/>
      <c r="C932" s="73" t="s">
        <v>53</v>
      </c>
      <c r="D932" s="74" t="s">
        <v>2255</v>
      </c>
      <c r="E932" s="54" t="s">
        <v>38</v>
      </c>
      <c r="F932" s="54" t="s">
        <v>42</v>
      </c>
      <c r="G932" s="88" t="s">
        <v>2256</v>
      </c>
      <c r="H932" s="54" t="s">
        <v>2257</v>
      </c>
      <c r="I932" s="54">
        <f t="shared" si="24"/>
        <v>16</v>
      </c>
      <c r="J932" s="56"/>
      <c r="K932" s="75"/>
      <c r="L932" s="76"/>
      <c r="M932" s="59"/>
      <c r="N932" s="60">
        <v>8.0</v>
      </c>
      <c r="O932" s="61">
        <v>8.0</v>
      </c>
      <c r="P932" s="62">
        <v>8.64</v>
      </c>
      <c r="Q932" s="63">
        <v>8.64</v>
      </c>
      <c r="R932" s="78">
        <v>10.0</v>
      </c>
      <c r="S932" s="111">
        <v>10.5</v>
      </c>
      <c r="T932" s="65">
        <f t="shared" si="2"/>
        <v>1.68</v>
      </c>
      <c r="U932" s="65">
        <f t="shared" si="3"/>
        <v>12.18</v>
      </c>
      <c r="V932" s="66">
        <f t="shared" si="4"/>
        <v>0.05</v>
      </c>
      <c r="W932" s="67">
        <f t="shared" si="5"/>
        <v>9.975</v>
      </c>
      <c r="X932" s="67">
        <f t="shared" si="6"/>
        <v>1.596</v>
      </c>
      <c r="Y932" s="67">
        <f t="shared" si="7"/>
        <v>11.571</v>
      </c>
      <c r="Z932" s="67">
        <f t="shared" si="8"/>
        <v>9.45</v>
      </c>
      <c r="AA932" s="67">
        <f t="shared" si="9"/>
        <v>1.512</v>
      </c>
      <c r="AB932" s="67">
        <f t="shared" si="10"/>
        <v>10.962</v>
      </c>
      <c r="AC932" s="67">
        <f t="shared" si="11"/>
        <v>8.925</v>
      </c>
      <c r="AD932" s="67">
        <f t="shared" si="12"/>
        <v>1.428</v>
      </c>
      <c r="AE932" s="67">
        <f t="shared" si="13"/>
        <v>10.353</v>
      </c>
      <c r="AF932" s="67">
        <f t="shared" si="33"/>
        <v>8.715</v>
      </c>
      <c r="AG932" s="67">
        <f t="shared" si="15"/>
        <v>1.3944</v>
      </c>
      <c r="AH932" s="67">
        <f t="shared" si="16"/>
        <v>10.1094</v>
      </c>
      <c r="AI932" s="67">
        <f t="shared" si="17"/>
        <v>8.4</v>
      </c>
      <c r="AJ932" s="68">
        <f t="shared" si="31"/>
        <v>1.344</v>
      </c>
      <c r="AK932" s="68">
        <f t="shared" si="32"/>
        <v>9.744</v>
      </c>
      <c r="AL932" s="70">
        <f>IFERROR(__xludf.DUMMYFUNCTION("""COMPUTED_VALUE"""),1.0)</f>
        <v>1</v>
      </c>
      <c r="AM932" s="70"/>
      <c r="AN932" s="71" t="str">
        <f>IFERROR(__xludf.DUMMYFUNCTION("""COMPUTED_VALUE""")," P")</f>
        <v>P</v>
      </c>
      <c r="AO932" s="71" t="str">
        <f>IFERROR(__xludf.DUMMYFUNCTION("""COMPUTED_VALUE""")," PE90")</f>
        <v>PE90</v>
      </c>
      <c r="AP932" s="71" t="str">
        <f>IFERROR(__xludf.DUMMYFUNCTION("""COMPUTED_VALUE""")," PZA")</f>
        <v>PZA</v>
      </c>
      <c r="AQ932" s="71" t="str">
        <f>IFERROR(__xludf.DUMMYFUNCTION("""COMPUTED_VALUE""")," REF")</f>
        <v>REF</v>
      </c>
      <c r="AR932" s="71" t="str">
        <f>IFERROR(__xludf.DUMMYFUNCTION("""COMPUTED_VALUE""")," PERFILADOR INOX COMP SENCILLO 22 CM")</f>
        <v>PERFILADOR INOX COMP SENCILLO 22 CM</v>
      </c>
      <c r="AS932" s="71" t="str">
        <f>IFERROR(__xludf.DUMMYFUNCTION("""COMPUTED_VALUE""")," PERFILADOR INOX COMP SENCILLO 22 CM")</f>
        <v>PERFILADOR INOX COMP SENCILLO 22 CM</v>
      </c>
      <c r="AT932" s="71">
        <f>IFERROR(__xludf.DUMMYFUNCTION("""COMPUTED_VALUE"""),35.0)</f>
        <v>35</v>
      </c>
      <c r="AU932" s="71"/>
      <c r="AV932" s="71"/>
      <c r="AW932" s="71"/>
      <c r="AX932" s="71"/>
      <c r="AY932" s="71">
        <f>IFERROR(__xludf.DUMMYFUNCTION("""COMPUTED_VALUE"""),1722.0)</f>
        <v>1722</v>
      </c>
      <c r="AZ932" s="71">
        <f>IFERROR(__xludf.DUMMYFUNCTION("""COMPUTED_VALUE"""),1859.0)</f>
        <v>1859</v>
      </c>
      <c r="BA932" s="71">
        <f>IFERROR(__xludf.DUMMYFUNCTION("""COMPUTED_VALUE"""),2007.72)</f>
        <v>2007.72</v>
      </c>
      <c r="BB932" s="71">
        <f>IFERROR(__xludf.DUMMYFUNCTION("""COMPUTED_VALUE"""),2007.72)</f>
        <v>2007.72</v>
      </c>
      <c r="BC932" s="71">
        <f>IFERROR(__xludf.DUMMYFUNCTION("""COMPUTED_VALUE"""),2236.0)</f>
        <v>2236</v>
      </c>
      <c r="BD932" s="71">
        <f>IFERROR(__xludf.DUMMYFUNCTION("""COMPUTED_VALUE"""),2348.0)</f>
        <v>2348</v>
      </c>
      <c r="BE932" s="71">
        <f>IFERROR(__xludf.DUMMYFUNCTION("""COMPUTED_VALUE"""),375.68)</f>
        <v>375.68</v>
      </c>
      <c r="BF932" s="71">
        <f>IFERROR(__xludf.DUMMYFUNCTION("""COMPUTED_VALUE"""),2723.68)</f>
        <v>2723.68</v>
      </c>
      <c r="BG932" s="71">
        <f>IFERROR(__xludf.DUMMYFUNCTION("""COMPUTED_VALUE"""),0.05008944543828265)</f>
        <v>0.05008944544</v>
      </c>
      <c r="BH932" s="71">
        <f>IFERROR(__xludf.DUMMYFUNCTION("""COMPUTED_VALUE"""),2230.6)</f>
        <v>2230.6</v>
      </c>
      <c r="BI932" s="71">
        <f>IFERROR(__xludf.DUMMYFUNCTION("""COMPUTED_VALUE"""),356.896)</f>
        <v>356.896</v>
      </c>
      <c r="BJ932" s="71">
        <f>IFERROR(__xludf.DUMMYFUNCTION("""COMPUTED_VALUE"""),2587.496)</f>
        <v>2587.496</v>
      </c>
      <c r="BK932" s="71">
        <f>IFERROR(__xludf.DUMMYFUNCTION("""COMPUTED_VALUE"""),2113.2000000000003)</f>
        <v>2113.2</v>
      </c>
      <c r="BL932" s="71">
        <f>IFERROR(__xludf.DUMMYFUNCTION("""COMPUTED_VALUE"""),338.112)</f>
        <v>338.112</v>
      </c>
      <c r="BM932" s="71">
        <f>IFERROR(__xludf.DUMMYFUNCTION("""COMPUTED_VALUE"""),2451.3120000000004)</f>
        <v>2451.312</v>
      </c>
      <c r="BN932" s="71">
        <f>IFERROR(__xludf.DUMMYFUNCTION("""COMPUTED_VALUE"""),1995.8)</f>
        <v>1995.8</v>
      </c>
      <c r="BO932" s="71">
        <f>IFERROR(__xludf.DUMMYFUNCTION("""COMPUTED_VALUE"""),319.328)</f>
        <v>319.328</v>
      </c>
      <c r="BP932" s="71">
        <f>IFERROR(__xludf.DUMMYFUNCTION("""COMPUTED_VALUE"""),2315.1279999999997)</f>
        <v>2315.128</v>
      </c>
      <c r="BQ932" s="71">
        <f>IFERROR(__xludf.DUMMYFUNCTION("""COMPUTED_VALUE"""),1948.84)</f>
        <v>1948.84</v>
      </c>
      <c r="BR932" s="71">
        <f>IFERROR(__xludf.DUMMYFUNCTION("""COMPUTED_VALUE"""),311.8144)</f>
        <v>311.8144</v>
      </c>
      <c r="BS932" s="71">
        <f>IFERROR(__xludf.DUMMYFUNCTION("""COMPUTED_VALUE"""),2260.6544)</f>
        <v>2260.6544</v>
      </c>
      <c r="BT932" s="71">
        <f>IFERROR(__xludf.DUMMYFUNCTION("""COMPUTED_VALUE"""),1878.4)</f>
        <v>1878.4</v>
      </c>
      <c r="BU932" s="71">
        <f>IFERROR(__xludf.DUMMYFUNCTION("""COMPUTED_VALUE"""),300.54400000000004)</f>
        <v>300.544</v>
      </c>
      <c r="BV932" s="71">
        <f>IFERROR(__xludf.DUMMYFUNCTION("""COMPUTED_VALUE"""),2178.944)</f>
        <v>2178.944</v>
      </c>
    </row>
    <row r="933">
      <c r="A933" s="53">
        <v>1.0</v>
      </c>
      <c r="B933" s="72"/>
      <c r="C933" s="73" t="s">
        <v>53</v>
      </c>
      <c r="D933" s="74" t="s">
        <v>2258</v>
      </c>
      <c r="E933" s="54" t="s">
        <v>38</v>
      </c>
      <c r="F933" s="54" t="s">
        <v>42</v>
      </c>
      <c r="G933" s="88" t="s">
        <v>2259</v>
      </c>
      <c r="H933" s="54" t="s">
        <v>2260</v>
      </c>
      <c r="I933" s="54">
        <f t="shared" si="24"/>
        <v>15</v>
      </c>
      <c r="J933" s="56"/>
      <c r="K933" s="75"/>
      <c r="L933" s="76"/>
      <c r="M933" s="59"/>
      <c r="N933" s="60">
        <v>8.0</v>
      </c>
      <c r="O933" s="61">
        <v>8.0</v>
      </c>
      <c r="P933" s="62">
        <v>8.64</v>
      </c>
      <c r="Q933" s="63">
        <v>8.64</v>
      </c>
      <c r="R933" s="78">
        <v>10.0</v>
      </c>
      <c r="S933" s="111">
        <v>10.5</v>
      </c>
      <c r="T933" s="65">
        <f t="shared" si="2"/>
        <v>1.68</v>
      </c>
      <c r="U933" s="65">
        <f t="shared" si="3"/>
        <v>12.18</v>
      </c>
      <c r="V933" s="66">
        <f t="shared" si="4"/>
        <v>0.05</v>
      </c>
      <c r="W933" s="67">
        <f t="shared" si="5"/>
        <v>9.975</v>
      </c>
      <c r="X933" s="67">
        <f t="shared" si="6"/>
        <v>1.596</v>
      </c>
      <c r="Y933" s="67">
        <f t="shared" si="7"/>
        <v>11.571</v>
      </c>
      <c r="Z933" s="67">
        <f t="shared" si="8"/>
        <v>9.45</v>
      </c>
      <c r="AA933" s="67">
        <f t="shared" si="9"/>
        <v>1.512</v>
      </c>
      <c r="AB933" s="67">
        <f t="shared" si="10"/>
        <v>10.962</v>
      </c>
      <c r="AC933" s="67">
        <f t="shared" si="11"/>
        <v>8.925</v>
      </c>
      <c r="AD933" s="67">
        <f t="shared" si="12"/>
        <v>1.428</v>
      </c>
      <c r="AE933" s="67">
        <f t="shared" si="13"/>
        <v>10.353</v>
      </c>
      <c r="AF933" s="67">
        <f t="shared" si="33"/>
        <v>8.715</v>
      </c>
      <c r="AG933" s="67">
        <f t="shared" si="15"/>
        <v>1.3944</v>
      </c>
      <c r="AH933" s="67">
        <f t="shared" si="16"/>
        <v>10.1094</v>
      </c>
      <c r="AI933" s="67">
        <f t="shared" si="17"/>
        <v>8.4</v>
      </c>
      <c r="AJ933" s="68">
        <f t="shared" si="31"/>
        <v>1.344</v>
      </c>
      <c r="AK933" s="68">
        <f t="shared" si="32"/>
        <v>9.744</v>
      </c>
      <c r="AL933" s="70">
        <f>IFERROR(__xludf.DUMMYFUNCTION("""COMPUTED_VALUE"""),1.0)</f>
        <v>1</v>
      </c>
      <c r="AM933" s="70"/>
      <c r="AN933" s="71" t="str">
        <f>IFERROR(__xludf.DUMMYFUNCTION("""COMPUTED_VALUE""")," P")</f>
        <v>P</v>
      </c>
      <c r="AO933" s="71" t="str">
        <f>IFERROR(__xludf.DUMMYFUNCTION("""COMPUTED_VALUE""")," PE91")</f>
        <v>PE91</v>
      </c>
      <c r="AP933" s="71" t="str">
        <f>IFERROR(__xludf.DUMMYFUNCTION("""COMPUTED_VALUE""")," PZA")</f>
        <v>PZA</v>
      </c>
      <c r="AQ933" s="71" t="str">
        <f>IFERROR(__xludf.DUMMYFUNCTION("""COMPUTED_VALUE""")," REF")</f>
        <v>REF</v>
      </c>
      <c r="AR933" s="71" t="str">
        <f>IFERROR(__xludf.DUMMYFUNCTION("""COMPUTED_VALUE""")," PERFILADOR INOX COMP SENCILLO 22 CM T.PUE")</f>
        <v>PERFILADOR INOX COMP SENCILLO 22 CM T.PUE</v>
      </c>
      <c r="AS933" s="71" t="str">
        <f>IFERROR(__xludf.DUMMYFUNCTION("""COMPUTED_VALUE""")," PERFILADOR INOX COMP SENCILLO 22CM T.PUE")</f>
        <v>PERFILADOR INOX COMP SENCILLO 22CM T.PUE</v>
      </c>
      <c r="AT933" s="71">
        <f>IFERROR(__xludf.DUMMYFUNCTION("""COMPUTED_VALUE"""),40.0)</f>
        <v>40</v>
      </c>
      <c r="AU933" s="71"/>
      <c r="AV933" s="71"/>
      <c r="AW933" s="71"/>
      <c r="AX933" s="71"/>
      <c r="AY933" s="71">
        <f>IFERROR(__xludf.DUMMYFUNCTION("""COMPUTED_VALUE"""),1722.0)</f>
        <v>1722</v>
      </c>
      <c r="AZ933" s="71">
        <f>IFERROR(__xludf.DUMMYFUNCTION("""COMPUTED_VALUE"""),1859.0)</f>
        <v>1859</v>
      </c>
      <c r="BA933" s="71">
        <f>IFERROR(__xludf.DUMMYFUNCTION("""COMPUTED_VALUE"""),2007.72)</f>
        <v>2007.72</v>
      </c>
      <c r="BB933" s="71">
        <f>IFERROR(__xludf.DUMMYFUNCTION("""COMPUTED_VALUE"""),2007.72)</f>
        <v>2007.72</v>
      </c>
      <c r="BC933" s="71">
        <f>IFERROR(__xludf.DUMMYFUNCTION("""COMPUTED_VALUE"""),2236.0)</f>
        <v>2236</v>
      </c>
      <c r="BD933" s="71">
        <f>IFERROR(__xludf.DUMMYFUNCTION("""COMPUTED_VALUE"""),2348.0)</f>
        <v>2348</v>
      </c>
      <c r="BE933" s="71">
        <f>IFERROR(__xludf.DUMMYFUNCTION("""COMPUTED_VALUE"""),375.68)</f>
        <v>375.68</v>
      </c>
      <c r="BF933" s="71">
        <f>IFERROR(__xludf.DUMMYFUNCTION("""COMPUTED_VALUE"""),2723.68)</f>
        <v>2723.68</v>
      </c>
      <c r="BG933" s="71">
        <f>IFERROR(__xludf.DUMMYFUNCTION("""COMPUTED_VALUE"""),0.05008944543828265)</f>
        <v>0.05008944544</v>
      </c>
      <c r="BH933" s="71">
        <f>IFERROR(__xludf.DUMMYFUNCTION("""COMPUTED_VALUE"""),2230.6)</f>
        <v>2230.6</v>
      </c>
      <c r="BI933" s="71">
        <f>IFERROR(__xludf.DUMMYFUNCTION("""COMPUTED_VALUE"""),356.896)</f>
        <v>356.896</v>
      </c>
      <c r="BJ933" s="71">
        <f>IFERROR(__xludf.DUMMYFUNCTION("""COMPUTED_VALUE"""),2587.496)</f>
        <v>2587.496</v>
      </c>
      <c r="BK933" s="71">
        <f>IFERROR(__xludf.DUMMYFUNCTION("""COMPUTED_VALUE"""),2113.2000000000003)</f>
        <v>2113.2</v>
      </c>
      <c r="BL933" s="71">
        <f>IFERROR(__xludf.DUMMYFUNCTION("""COMPUTED_VALUE"""),338.112)</f>
        <v>338.112</v>
      </c>
      <c r="BM933" s="71">
        <f>IFERROR(__xludf.DUMMYFUNCTION("""COMPUTED_VALUE"""),2451.3120000000004)</f>
        <v>2451.312</v>
      </c>
      <c r="BN933" s="71">
        <f>IFERROR(__xludf.DUMMYFUNCTION("""COMPUTED_VALUE"""),1995.8)</f>
        <v>1995.8</v>
      </c>
      <c r="BO933" s="71">
        <f>IFERROR(__xludf.DUMMYFUNCTION("""COMPUTED_VALUE"""),319.328)</f>
        <v>319.328</v>
      </c>
      <c r="BP933" s="71">
        <f>IFERROR(__xludf.DUMMYFUNCTION("""COMPUTED_VALUE"""),2315.1279999999997)</f>
        <v>2315.128</v>
      </c>
      <c r="BQ933" s="71">
        <f>IFERROR(__xludf.DUMMYFUNCTION("""COMPUTED_VALUE"""),1948.84)</f>
        <v>1948.84</v>
      </c>
      <c r="BR933" s="71">
        <f>IFERROR(__xludf.DUMMYFUNCTION("""COMPUTED_VALUE"""),311.8144)</f>
        <v>311.8144</v>
      </c>
      <c r="BS933" s="71">
        <f>IFERROR(__xludf.DUMMYFUNCTION("""COMPUTED_VALUE"""),2260.6544)</f>
        <v>2260.6544</v>
      </c>
      <c r="BT933" s="71">
        <f>IFERROR(__xludf.DUMMYFUNCTION("""COMPUTED_VALUE"""),1878.4)</f>
        <v>1878.4</v>
      </c>
      <c r="BU933" s="71">
        <f>IFERROR(__xludf.DUMMYFUNCTION("""COMPUTED_VALUE"""),300.54400000000004)</f>
        <v>300.544</v>
      </c>
      <c r="BV933" s="71">
        <f>IFERROR(__xludf.DUMMYFUNCTION("""COMPUTED_VALUE"""),2178.944)</f>
        <v>2178.944</v>
      </c>
    </row>
    <row r="934">
      <c r="A934" s="53">
        <v>1.0</v>
      </c>
      <c r="B934" s="72"/>
      <c r="C934" s="73" t="s">
        <v>53</v>
      </c>
      <c r="D934" s="74" t="s">
        <v>2261</v>
      </c>
      <c r="E934" s="54" t="s">
        <v>38</v>
      </c>
      <c r="F934" s="54" t="s">
        <v>42</v>
      </c>
      <c r="G934" s="88" t="s">
        <v>2262</v>
      </c>
      <c r="H934" s="54" t="s">
        <v>2263</v>
      </c>
      <c r="I934" s="54">
        <f t="shared" si="24"/>
        <v>15</v>
      </c>
      <c r="J934" s="56"/>
      <c r="K934" s="75"/>
      <c r="L934" s="76"/>
      <c r="M934" s="59"/>
      <c r="N934" s="60">
        <v>8.0</v>
      </c>
      <c r="O934" s="61">
        <v>8.0</v>
      </c>
      <c r="P934" s="62">
        <v>8.64</v>
      </c>
      <c r="Q934" s="63">
        <v>8.64</v>
      </c>
      <c r="R934" s="78">
        <v>10.0</v>
      </c>
      <c r="S934" s="111">
        <v>10.5</v>
      </c>
      <c r="T934" s="65">
        <f t="shared" si="2"/>
        <v>1.68</v>
      </c>
      <c r="U934" s="65">
        <f t="shared" si="3"/>
        <v>12.18</v>
      </c>
      <c r="V934" s="66">
        <f t="shared" si="4"/>
        <v>0.05</v>
      </c>
      <c r="W934" s="67">
        <f t="shared" si="5"/>
        <v>9.975</v>
      </c>
      <c r="X934" s="67">
        <f t="shared" si="6"/>
        <v>1.596</v>
      </c>
      <c r="Y934" s="67">
        <f t="shared" si="7"/>
        <v>11.571</v>
      </c>
      <c r="Z934" s="67">
        <f t="shared" si="8"/>
        <v>9.45</v>
      </c>
      <c r="AA934" s="67">
        <f t="shared" si="9"/>
        <v>1.512</v>
      </c>
      <c r="AB934" s="67">
        <f t="shared" si="10"/>
        <v>10.962</v>
      </c>
      <c r="AC934" s="67">
        <f t="shared" si="11"/>
        <v>8.925</v>
      </c>
      <c r="AD934" s="67">
        <f t="shared" si="12"/>
        <v>1.428</v>
      </c>
      <c r="AE934" s="67">
        <f t="shared" si="13"/>
        <v>10.353</v>
      </c>
      <c r="AF934" s="67">
        <f t="shared" si="33"/>
        <v>8.715</v>
      </c>
      <c r="AG934" s="67">
        <f t="shared" si="15"/>
        <v>1.3944</v>
      </c>
      <c r="AH934" s="67">
        <f t="shared" si="16"/>
        <v>10.1094</v>
      </c>
      <c r="AI934" s="67">
        <f t="shared" si="17"/>
        <v>8.4</v>
      </c>
      <c r="AJ934" s="68">
        <f t="shared" si="31"/>
        <v>1.344</v>
      </c>
      <c r="AK934" s="68">
        <f t="shared" si="32"/>
        <v>9.744</v>
      </c>
      <c r="AL934" s="70">
        <f>IFERROR(__xludf.DUMMYFUNCTION("""COMPUTED_VALUE"""),1.0)</f>
        <v>1</v>
      </c>
      <c r="AM934" s="70"/>
      <c r="AN934" s="71" t="str">
        <f>IFERROR(__xludf.DUMMYFUNCTION("""COMPUTED_VALUE""")," P")</f>
        <v>P</v>
      </c>
      <c r="AO934" s="71" t="str">
        <f>IFERROR(__xludf.DUMMYFUNCTION("""COMPUTED_VALUE""")," PE20")</f>
        <v>PE20</v>
      </c>
      <c r="AP934" s="71" t="str">
        <f>IFERROR(__xludf.DUMMYFUNCTION("""COMPUTED_VALUE""")," PZA")</f>
        <v>PZA</v>
      </c>
      <c r="AQ934" s="71" t="str">
        <f>IFERROR(__xludf.DUMMYFUNCTION("""COMPUTED_VALUE""")," REF")</f>
        <v>REF</v>
      </c>
      <c r="AR934" s="71" t="str">
        <f>IFERROR(__xludf.DUMMYFUNCTION("""COMPUTED_VALUE""")," PERFILADOR SENCILLO 10 CM")</f>
        <v>PERFILADOR SENCILLO 10 CM</v>
      </c>
      <c r="AS934" s="71" t="str">
        <f>IFERROR(__xludf.DUMMYFUNCTION("""COMPUTED_VALUE""")," PERFILADOR SENCILLO 10 CM")</f>
        <v>PERFILADOR SENCILLO 10 CM</v>
      </c>
      <c r="AT934" s="71">
        <f>IFERROR(__xludf.DUMMYFUNCTION("""COMPUTED_VALUE"""),25.0)</f>
        <v>25</v>
      </c>
      <c r="AU934" s="71"/>
      <c r="AV934" s="71"/>
      <c r="AW934" s="71"/>
      <c r="AX934" s="71"/>
      <c r="AY934" s="71">
        <f>IFERROR(__xludf.DUMMYFUNCTION("""COMPUTED_VALUE"""),478.0)</f>
        <v>478</v>
      </c>
      <c r="AZ934" s="71">
        <f>IFERROR(__xludf.DUMMYFUNCTION("""COMPUTED_VALUE"""),580.0)</f>
        <v>580</v>
      </c>
      <c r="BA934" s="71">
        <f>IFERROR(__xludf.DUMMYFUNCTION("""COMPUTED_VALUE"""),626.4000000000001)</f>
        <v>626.4</v>
      </c>
      <c r="BB934" s="71">
        <f>IFERROR(__xludf.DUMMYFUNCTION("""COMPUTED_VALUE"""),626.4000000000001)</f>
        <v>626.4</v>
      </c>
      <c r="BC934" s="71">
        <f>IFERROR(__xludf.DUMMYFUNCTION("""COMPUTED_VALUE"""),659.0)</f>
        <v>659</v>
      </c>
      <c r="BD934" s="71">
        <f>IFERROR(__xludf.DUMMYFUNCTION("""COMPUTED_VALUE"""),692.0)</f>
        <v>692</v>
      </c>
      <c r="BE934" s="71">
        <f>IFERROR(__xludf.DUMMYFUNCTION("""COMPUTED_VALUE"""),110.72)</f>
        <v>110.72</v>
      </c>
      <c r="BF934" s="71">
        <f>IFERROR(__xludf.DUMMYFUNCTION("""COMPUTED_VALUE"""),802.72)</f>
        <v>802.72</v>
      </c>
      <c r="BG934" s="71">
        <f>IFERROR(__xludf.DUMMYFUNCTION("""COMPUTED_VALUE"""),0.05007587253414264)</f>
        <v>0.05007587253</v>
      </c>
      <c r="BH934" s="71">
        <f>IFERROR(__xludf.DUMMYFUNCTION("""COMPUTED_VALUE"""),657.4)</f>
        <v>657.4</v>
      </c>
      <c r="BI934" s="71">
        <f>IFERROR(__xludf.DUMMYFUNCTION("""COMPUTED_VALUE"""),105.184)</f>
        <v>105.184</v>
      </c>
      <c r="BJ934" s="71">
        <f>IFERROR(__xludf.DUMMYFUNCTION("""COMPUTED_VALUE"""),762.584)</f>
        <v>762.584</v>
      </c>
      <c r="BK934" s="71">
        <f>IFERROR(__xludf.DUMMYFUNCTION("""COMPUTED_VALUE"""),622.8000000000001)</f>
        <v>622.8</v>
      </c>
      <c r="BL934" s="71">
        <f>IFERROR(__xludf.DUMMYFUNCTION("""COMPUTED_VALUE"""),99.64800000000001)</f>
        <v>99.648</v>
      </c>
      <c r="BM934" s="71">
        <f>IFERROR(__xludf.DUMMYFUNCTION("""COMPUTED_VALUE"""),722.4480000000001)</f>
        <v>722.448</v>
      </c>
      <c r="BN934" s="71">
        <f>IFERROR(__xludf.DUMMYFUNCTION("""COMPUTED_VALUE"""),588.1999999999999)</f>
        <v>588.2</v>
      </c>
      <c r="BO934" s="71">
        <f>IFERROR(__xludf.DUMMYFUNCTION("""COMPUTED_VALUE"""),94.112)</f>
        <v>94.112</v>
      </c>
      <c r="BP934" s="71">
        <f>IFERROR(__xludf.DUMMYFUNCTION("""COMPUTED_VALUE"""),682.3119999999999)</f>
        <v>682.312</v>
      </c>
      <c r="BQ934" s="71">
        <f>IFERROR(__xludf.DUMMYFUNCTION("""COMPUTED_VALUE"""),574.36)</f>
        <v>574.36</v>
      </c>
      <c r="BR934" s="71">
        <f>IFERROR(__xludf.DUMMYFUNCTION("""COMPUTED_VALUE"""),91.8976)</f>
        <v>91.8976</v>
      </c>
      <c r="BS934" s="71">
        <f>IFERROR(__xludf.DUMMYFUNCTION("""COMPUTED_VALUE"""),666.2576)</f>
        <v>666.2576</v>
      </c>
      <c r="BT934" s="71">
        <f>IFERROR(__xludf.DUMMYFUNCTION("""COMPUTED_VALUE"""),553.6)</f>
        <v>553.6</v>
      </c>
      <c r="BU934" s="71">
        <f>IFERROR(__xludf.DUMMYFUNCTION("""COMPUTED_VALUE"""),88.57600000000001)</f>
        <v>88.576</v>
      </c>
      <c r="BV934" s="71">
        <f>IFERROR(__xludf.DUMMYFUNCTION("""COMPUTED_VALUE"""),642.176)</f>
        <v>642.176</v>
      </c>
    </row>
    <row r="935">
      <c r="A935" s="53">
        <v>1.0</v>
      </c>
      <c r="B935" s="72"/>
      <c r="C935" s="73" t="s">
        <v>53</v>
      </c>
      <c r="D935" s="74" t="s">
        <v>2264</v>
      </c>
      <c r="E935" s="54" t="s">
        <v>38</v>
      </c>
      <c r="F935" s="54" t="s">
        <v>42</v>
      </c>
      <c r="G935" s="88" t="s">
        <v>2265</v>
      </c>
      <c r="H935" s="54" t="s">
        <v>2266</v>
      </c>
      <c r="I935" s="54">
        <f t="shared" si="24"/>
        <v>16</v>
      </c>
      <c r="J935" s="56"/>
      <c r="K935" s="75"/>
      <c r="L935" s="76"/>
      <c r="M935" s="59"/>
      <c r="N935" s="60">
        <v>8.0</v>
      </c>
      <c r="O935" s="61">
        <v>8.0</v>
      </c>
      <c r="P935" s="62">
        <v>8.64</v>
      </c>
      <c r="Q935" s="63">
        <v>8.64</v>
      </c>
      <c r="R935" s="78">
        <v>10.0</v>
      </c>
      <c r="S935" s="111">
        <v>10.5</v>
      </c>
      <c r="T935" s="65">
        <f t="shared" si="2"/>
        <v>1.68</v>
      </c>
      <c r="U935" s="65">
        <f t="shared" si="3"/>
        <v>12.18</v>
      </c>
      <c r="V935" s="66">
        <f t="shared" si="4"/>
        <v>0.05</v>
      </c>
      <c r="W935" s="67">
        <f t="shared" si="5"/>
        <v>9.975</v>
      </c>
      <c r="X935" s="67">
        <f t="shared" si="6"/>
        <v>1.596</v>
      </c>
      <c r="Y935" s="67">
        <f t="shared" si="7"/>
        <v>11.571</v>
      </c>
      <c r="Z935" s="67">
        <f t="shared" si="8"/>
        <v>9.45</v>
      </c>
      <c r="AA935" s="67">
        <f t="shared" si="9"/>
        <v>1.512</v>
      </c>
      <c r="AB935" s="67">
        <f t="shared" si="10"/>
        <v>10.962</v>
      </c>
      <c r="AC935" s="67">
        <f t="shared" si="11"/>
        <v>8.925</v>
      </c>
      <c r="AD935" s="67">
        <f t="shared" si="12"/>
        <v>1.428</v>
      </c>
      <c r="AE935" s="67">
        <f t="shared" si="13"/>
        <v>10.353</v>
      </c>
      <c r="AF935" s="67">
        <f t="shared" si="33"/>
        <v>8.715</v>
      </c>
      <c r="AG935" s="67">
        <f t="shared" si="15"/>
        <v>1.3944</v>
      </c>
      <c r="AH935" s="67">
        <f t="shared" si="16"/>
        <v>10.1094</v>
      </c>
      <c r="AI935" s="67">
        <f t="shared" si="17"/>
        <v>8.4</v>
      </c>
      <c r="AJ935" s="68">
        <f t="shared" si="31"/>
        <v>1.344</v>
      </c>
      <c r="AK935" s="68">
        <f t="shared" si="32"/>
        <v>9.744</v>
      </c>
      <c r="AL935" s="70">
        <f>IFERROR(__xludf.DUMMYFUNCTION("""COMPUTED_VALUE"""),1.0)</f>
        <v>1</v>
      </c>
      <c r="AM935" s="70"/>
      <c r="AN935" s="71" t="str">
        <f>IFERROR(__xludf.DUMMYFUNCTION("""COMPUTED_VALUE""")," P")</f>
        <v>P</v>
      </c>
      <c r="AO935" s="71" t="str">
        <f>IFERROR(__xludf.DUMMYFUNCTION("""COMPUTED_VALUE""")," PE21")</f>
        <v>PE21</v>
      </c>
      <c r="AP935" s="71" t="str">
        <f>IFERROR(__xludf.DUMMYFUNCTION("""COMPUTED_VALUE""")," PZA")</f>
        <v>PZA</v>
      </c>
      <c r="AQ935" s="71" t="str">
        <f>IFERROR(__xludf.DUMMYFUNCTION("""COMPUTED_VALUE""")," REF")</f>
        <v>REF</v>
      </c>
      <c r="AR935" s="71" t="str">
        <f>IFERROR(__xludf.DUMMYFUNCTION("""COMPUTED_VALUE""")," PERFILADOR SENCILLO 11 CM")</f>
        <v>PERFILADOR SENCILLO 11 CM</v>
      </c>
      <c r="AS935" s="71" t="str">
        <f>IFERROR(__xludf.DUMMYFUNCTION("""COMPUTED_VALUE""")," PERFILADOR SENCILLO 11 CM")</f>
        <v>PERFILADOR SENCILLO 11 CM</v>
      </c>
      <c r="AT935" s="71">
        <f>IFERROR(__xludf.DUMMYFUNCTION("""COMPUTED_VALUE"""),25.0)</f>
        <v>25</v>
      </c>
      <c r="AU935" s="71"/>
      <c r="AV935" s="71"/>
      <c r="AW935" s="71"/>
      <c r="AX935" s="71"/>
      <c r="AY935" s="71">
        <f>IFERROR(__xludf.DUMMYFUNCTION("""COMPUTED_VALUE"""),478.0)</f>
        <v>478</v>
      </c>
      <c r="AZ935" s="71">
        <f>IFERROR(__xludf.DUMMYFUNCTION("""COMPUTED_VALUE"""),580.0)</f>
        <v>580</v>
      </c>
      <c r="BA935" s="71">
        <f>IFERROR(__xludf.DUMMYFUNCTION("""COMPUTED_VALUE"""),626.4000000000001)</f>
        <v>626.4</v>
      </c>
      <c r="BB935" s="71">
        <f>IFERROR(__xludf.DUMMYFUNCTION("""COMPUTED_VALUE"""),626.4000000000001)</f>
        <v>626.4</v>
      </c>
      <c r="BC935" s="71">
        <f>IFERROR(__xludf.DUMMYFUNCTION("""COMPUTED_VALUE"""),659.0)</f>
        <v>659</v>
      </c>
      <c r="BD935" s="71">
        <f>IFERROR(__xludf.DUMMYFUNCTION("""COMPUTED_VALUE"""),692.0)</f>
        <v>692</v>
      </c>
      <c r="BE935" s="71">
        <f>IFERROR(__xludf.DUMMYFUNCTION("""COMPUTED_VALUE"""),110.72)</f>
        <v>110.72</v>
      </c>
      <c r="BF935" s="71">
        <f>IFERROR(__xludf.DUMMYFUNCTION("""COMPUTED_VALUE"""),802.72)</f>
        <v>802.72</v>
      </c>
      <c r="BG935" s="71">
        <f>IFERROR(__xludf.DUMMYFUNCTION("""COMPUTED_VALUE"""),0.05007587253414264)</f>
        <v>0.05007587253</v>
      </c>
      <c r="BH935" s="71">
        <f>IFERROR(__xludf.DUMMYFUNCTION("""COMPUTED_VALUE"""),657.4)</f>
        <v>657.4</v>
      </c>
      <c r="BI935" s="71">
        <f>IFERROR(__xludf.DUMMYFUNCTION("""COMPUTED_VALUE"""),105.184)</f>
        <v>105.184</v>
      </c>
      <c r="BJ935" s="71">
        <f>IFERROR(__xludf.DUMMYFUNCTION("""COMPUTED_VALUE"""),762.584)</f>
        <v>762.584</v>
      </c>
      <c r="BK935" s="71">
        <f>IFERROR(__xludf.DUMMYFUNCTION("""COMPUTED_VALUE"""),622.8000000000001)</f>
        <v>622.8</v>
      </c>
      <c r="BL935" s="71">
        <f>IFERROR(__xludf.DUMMYFUNCTION("""COMPUTED_VALUE"""),99.64800000000001)</f>
        <v>99.648</v>
      </c>
      <c r="BM935" s="71">
        <f>IFERROR(__xludf.DUMMYFUNCTION("""COMPUTED_VALUE"""),722.4480000000001)</f>
        <v>722.448</v>
      </c>
      <c r="BN935" s="71">
        <f>IFERROR(__xludf.DUMMYFUNCTION("""COMPUTED_VALUE"""),588.1999999999999)</f>
        <v>588.2</v>
      </c>
      <c r="BO935" s="71">
        <f>IFERROR(__xludf.DUMMYFUNCTION("""COMPUTED_VALUE"""),94.112)</f>
        <v>94.112</v>
      </c>
      <c r="BP935" s="71">
        <f>IFERROR(__xludf.DUMMYFUNCTION("""COMPUTED_VALUE"""),682.3119999999999)</f>
        <v>682.312</v>
      </c>
      <c r="BQ935" s="71">
        <f>IFERROR(__xludf.DUMMYFUNCTION("""COMPUTED_VALUE"""),574.36)</f>
        <v>574.36</v>
      </c>
      <c r="BR935" s="71">
        <f>IFERROR(__xludf.DUMMYFUNCTION("""COMPUTED_VALUE"""),91.8976)</f>
        <v>91.8976</v>
      </c>
      <c r="BS935" s="71">
        <f>IFERROR(__xludf.DUMMYFUNCTION("""COMPUTED_VALUE"""),666.2576)</f>
        <v>666.2576</v>
      </c>
      <c r="BT935" s="71">
        <f>IFERROR(__xludf.DUMMYFUNCTION("""COMPUTED_VALUE"""),553.6)</f>
        <v>553.6</v>
      </c>
      <c r="BU935" s="71">
        <f>IFERROR(__xludf.DUMMYFUNCTION("""COMPUTED_VALUE"""),88.57600000000001)</f>
        <v>88.576</v>
      </c>
      <c r="BV935" s="71">
        <f>IFERROR(__xludf.DUMMYFUNCTION("""COMPUTED_VALUE"""),642.176)</f>
        <v>642.176</v>
      </c>
    </row>
    <row r="936">
      <c r="A936" s="53"/>
      <c r="B936" s="53">
        <v>3.0</v>
      </c>
      <c r="C936" s="53" t="s">
        <v>36</v>
      </c>
      <c r="D936" s="85" t="s">
        <v>2267</v>
      </c>
      <c r="E936" s="54" t="s">
        <v>38</v>
      </c>
      <c r="F936" s="54" t="s">
        <v>1610</v>
      </c>
      <c r="G936" s="106" t="s">
        <v>2268</v>
      </c>
      <c r="H936" s="55"/>
      <c r="I936" s="54">
        <f t="shared" si="24"/>
        <v>0</v>
      </c>
      <c r="J936" s="56"/>
      <c r="K936" s="57"/>
      <c r="L936" s="76"/>
      <c r="M936" s="59"/>
      <c r="N936" s="60"/>
      <c r="O936" s="61">
        <v>458844.0</v>
      </c>
      <c r="P936" s="62">
        <v>495551.52</v>
      </c>
      <c r="Q936" s="63">
        <v>495551.52</v>
      </c>
      <c r="R936" s="64">
        <v>546347.0</v>
      </c>
      <c r="S936" s="107">
        <v>573664.0</v>
      </c>
      <c r="T936" s="65">
        <f t="shared" si="2"/>
        <v>91786.24</v>
      </c>
      <c r="U936" s="65">
        <f t="shared" si="3"/>
        <v>665450.24</v>
      </c>
      <c r="V936" s="66">
        <f t="shared" si="4"/>
        <v>0.04999935938</v>
      </c>
      <c r="W936" s="67">
        <f t="shared" si="5"/>
        <v>544980.8</v>
      </c>
      <c r="X936" s="67">
        <f t="shared" si="6"/>
        <v>87196.928</v>
      </c>
      <c r="Y936" s="67">
        <f t="shared" si="7"/>
        <v>632177.728</v>
      </c>
      <c r="Z936" s="67">
        <f t="shared" si="8"/>
        <v>516297.6</v>
      </c>
      <c r="AA936" s="67">
        <f t="shared" si="9"/>
        <v>82607.616</v>
      </c>
      <c r="AB936" s="67">
        <f t="shared" si="10"/>
        <v>598905.216</v>
      </c>
      <c r="AC936" s="67">
        <f t="shared" si="11"/>
        <v>516297.6</v>
      </c>
      <c r="AD936" s="67">
        <f t="shared" si="12"/>
        <v>82607.616</v>
      </c>
      <c r="AE936" s="67">
        <f t="shared" si="13"/>
        <v>598905.216</v>
      </c>
      <c r="AF936" s="67">
        <f t="shared" si="33"/>
        <v>516297.6</v>
      </c>
      <c r="AG936" s="67">
        <f t="shared" si="15"/>
        <v>82607.616</v>
      </c>
      <c r="AH936" s="67">
        <f t="shared" si="16"/>
        <v>598905.216</v>
      </c>
      <c r="AI936" s="67">
        <f t="shared" si="17"/>
        <v>516297.6</v>
      </c>
      <c r="AJ936" s="68">
        <f t="shared" si="31"/>
        <v>82607.616</v>
      </c>
      <c r="AK936" s="68">
        <f t="shared" si="32"/>
        <v>598905.216</v>
      </c>
      <c r="AL936" s="70">
        <f>IFERROR(__xludf.DUMMYFUNCTION("""COMPUTED_VALUE"""),1.0)</f>
        <v>1</v>
      </c>
      <c r="AM936" s="70"/>
      <c r="AN936" s="71" t="str">
        <f>IFERROR(__xludf.DUMMYFUNCTION("""COMPUTED_VALUE""")," P")</f>
        <v>P</v>
      </c>
      <c r="AO936" s="71" t="str">
        <f>IFERROR(__xludf.DUMMYFUNCTION("""COMPUTED_VALUE""")," PE22")</f>
        <v>PE22</v>
      </c>
      <c r="AP936" s="71" t="str">
        <f>IFERROR(__xludf.DUMMYFUNCTION("""COMPUTED_VALUE""")," PZA")</f>
        <v>PZA</v>
      </c>
      <c r="AQ936" s="71" t="str">
        <f>IFERROR(__xludf.DUMMYFUNCTION("""COMPUTED_VALUE""")," REF")</f>
        <v>REF</v>
      </c>
      <c r="AR936" s="71" t="str">
        <f>IFERROR(__xludf.DUMMYFUNCTION("""COMPUTED_VALUE""")," PERFILADOR SENCILLO 12 CM")</f>
        <v>PERFILADOR SENCILLO 12 CM</v>
      </c>
      <c r="AS936" s="71" t="str">
        <f>IFERROR(__xludf.DUMMYFUNCTION("""COMPUTED_VALUE""")," PERFILADOR SENCILLO 12 CM")</f>
        <v>PERFILADOR SENCILLO 12 CM</v>
      </c>
      <c r="AT936" s="71">
        <f>IFERROR(__xludf.DUMMYFUNCTION("""COMPUTED_VALUE"""),25.0)</f>
        <v>25</v>
      </c>
      <c r="AU936" s="71"/>
      <c r="AV936" s="71"/>
      <c r="AW936" s="71"/>
      <c r="AX936" s="71"/>
      <c r="AY936" s="71">
        <f>IFERROR(__xludf.DUMMYFUNCTION("""COMPUTED_VALUE"""),478.0)</f>
        <v>478</v>
      </c>
      <c r="AZ936" s="71">
        <f>IFERROR(__xludf.DUMMYFUNCTION("""COMPUTED_VALUE"""),580.0)</f>
        <v>580</v>
      </c>
      <c r="BA936" s="71">
        <f>IFERROR(__xludf.DUMMYFUNCTION("""COMPUTED_VALUE"""),626.4000000000001)</f>
        <v>626.4</v>
      </c>
      <c r="BB936" s="71">
        <f>IFERROR(__xludf.DUMMYFUNCTION("""COMPUTED_VALUE"""),626.4000000000001)</f>
        <v>626.4</v>
      </c>
      <c r="BC936" s="71">
        <f>IFERROR(__xludf.DUMMYFUNCTION("""COMPUTED_VALUE"""),678.0)</f>
        <v>678</v>
      </c>
      <c r="BD936" s="71">
        <f>IFERROR(__xludf.DUMMYFUNCTION("""COMPUTED_VALUE"""),712.0)</f>
        <v>712</v>
      </c>
      <c r="BE936" s="71">
        <f>IFERROR(__xludf.DUMMYFUNCTION("""COMPUTED_VALUE"""),113.92)</f>
        <v>113.92</v>
      </c>
      <c r="BF936" s="71">
        <f>IFERROR(__xludf.DUMMYFUNCTION("""COMPUTED_VALUE"""),825.92)</f>
        <v>825.92</v>
      </c>
      <c r="BG936" s="71">
        <f>IFERROR(__xludf.DUMMYFUNCTION("""COMPUTED_VALUE"""),0.05014749262536873)</f>
        <v>0.05014749263</v>
      </c>
      <c r="BH936" s="71">
        <f>IFERROR(__xludf.DUMMYFUNCTION("""COMPUTED_VALUE"""),676.4)</f>
        <v>676.4</v>
      </c>
      <c r="BI936" s="71">
        <f>IFERROR(__xludf.DUMMYFUNCTION("""COMPUTED_VALUE"""),108.224)</f>
        <v>108.224</v>
      </c>
      <c r="BJ936" s="71">
        <f>IFERROR(__xludf.DUMMYFUNCTION("""COMPUTED_VALUE"""),784.624)</f>
        <v>784.624</v>
      </c>
      <c r="BK936" s="71">
        <f>IFERROR(__xludf.DUMMYFUNCTION("""COMPUTED_VALUE"""),640.8000000000001)</f>
        <v>640.8</v>
      </c>
      <c r="BL936" s="71">
        <f>IFERROR(__xludf.DUMMYFUNCTION("""COMPUTED_VALUE"""),102.52800000000002)</f>
        <v>102.528</v>
      </c>
      <c r="BM936" s="71">
        <f>IFERROR(__xludf.DUMMYFUNCTION("""COMPUTED_VALUE"""),743.3280000000001)</f>
        <v>743.328</v>
      </c>
      <c r="BN936" s="71">
        <f>IFERROR(__xludf.DUMMYFUNCTION("""COMPUTED_VALUE"""),605.1999999999999)</f>
        <v>605.2</v>
      </c>
      <c r="BO936" s="71">
        <f>IFERROR(__xludf.DUMMYFUNCTION("""COMPUTED_VALUE"""),96.832)</f>
        <v>96.832</v>
      </c>
      <c r="BP936" s="71">
        <f>IFERROR(__xludf.DUMMYFUNCTION("""COMPUTED_VALUE"""),702.0319999999999)</f>
        <v>702.032</v>
      </c>
      <c r="BQ936" s="71">
        <f>IFERROR(__xludf.DUMMYFUNCTION("""COMPUTED_VALUE"""),590.9599999999999)</f>
        <v>590.96</v>
      </c>
      <c r="BR936" s="71">
        <f>IFERROR(__xludf.DUMMYFUNCTION("""COMPUTED_VALUE"""),94.55359999999999)</f>
        <v>94.5536</v>
      </c>
      <c r="BS936" s="71">
        <f>IFERROR(__xludf.DUMMYFUNCTION("""COMPUTED_VALUE"""),685.5135999999999)</f>
        <v>685.5136</v>
      </c>
      <c r="BT936" s="71">
        <f>IFERROR(__xludf.DUMMYFUNCTION("""COMPUTED_VALUE"""),569.6)</f>
        <v>569.6</v>
      </c>
      <c r="BU936" s="71">
        <f>IFERROR(__xludf.DUMMYFUNCTION("""COMPUTED_VALUE"""),91.13600000000001)</f>
        <v>91.136</v>
      </c>
      <c r="BV936" s="71">
        <f>IFERROR(__xludf.DUMMYFUNCTION("""COMPUTED_VALUE"""),660.736)</f>
        <v>660.736</v>
      </c>
    </row>
    <row r="937">
      <c r="A937" s="53"/>
      <c r="B937" s="53"/>
      <c r="C937" s="53"/>
      <c r="D937" s="53" t="s">
        <v>2269</v>
      </c>
      <c r="E937" s="55" t="s">
        <v>38</v>
      </c>
      <c r="F937" s="151"/>
      <c r="G937" s="84" t="s">
        <v>2270</v>
      </c>
      <c r="H937" s="55"/>
      <c r="I937" s="54">
        <f t="shared" si="24"/>
        <v>0</v>
      </c>
      <c r="J937" s="56"/>
      <c r="K937" s="57"/>
      <c r="L937" s="55"/>
      <c r="M937" s="59"/>
      <c r="N937" s="60"/>
      <c r="O937" s="90"/>
      <c r="P937" s="62">
        <v>997870.0</v>
      </c>
      <c r="Q937" s="63">
        <v>997870.0</v>
      </c>
      <c r="R937" s="64">
        <v>1100153.0</v>
      </c>
      <c r="S937" s="111">
        <v>1155161.0</v>
      </c>
      <c r="T937" s="65">
        <f t="shared" si="2"/>
        <v>184825.76</v>
      </c>
      <c r="U937" s="65">
        <f t="shared" si="3"/>
        <v>1339986.76</v>
      </c>
      <c r="V937" s="66">
        <f t="shared" si="4"/>
        <v>0.05000031814</v>
      </c>
      <c r="W937" s="67">
        <f t="shared" si="5"/>
        <v>1097402.95</v>
      </c>
      <c r="X937" s="67">
        <f t="shared" si="6"/>
        <v>175584.472</v>
      </c>
      <c r="Y937" s="67">
        <f t="shared" si="7"/>
        <v>1272987.422</v>
      </c>
      <c r="Z937" s="67">
        <f t="shared" si="8"/>
        <v>1039644.9</v>
      </c>
      <c r="AA937" s="67">
        <f t="shared" si="9"/>
        <v>166343.184</v>
      </c>
      <c r="AB937" s="67">
        <f t="shared" si="10"/>
        <v>1205988.084</v>
      </c>
      <c r="AC937" s="67">
        <f t="shared" si="11"/>
        <v>981886.85</v>
      </c>
      <c r="AD937" s="67">
        <f t="shared" si="12"/>
        <v>157101.896</v>
      </c>
      <c r="AE937" s="67">
        <f t="shared" si="13"/>
        <v>1138988.746</v>
      </c>
      <c r="AF937" s="67">
        <f t="shared" si="33"/>
        <v>958783.63</v>
      </c>
      <c r="AG937" s="67">
        <f t="shared" si="15"/>
        <v>153405.3808</v>
      </c>
      <c r="AH937" s="67">
        <f t="shared" si="16"/>
        <v>1112189.011</v>
      </c>
      <c r="AI937" s="67">
        <f t="shared" si="17"/>
        <v>924128.8</v>
      </c>
      <c r="AJ937" s="68">
        <f t="shared" si="31"/>
        <v>147860.608</v>
      </c>
      <c r="AK937" s="68">
        <f t="shared" si="32"/>
        <v>1071989.408</v>
      </c>
      <c r="AL937" s="70">
        <f>IFERROR(__xludf.DUMMYFUNCTION("""COMPUTED_VALUE"""),1.0)</f>
        <v>1</v>
      </c>
      <c r="AM937" s="70"/>
      <c r="AN937" s="71" t="str">
        <f>IFERROR(__xludf.DUMMYFUNCTION("""COMPUTED_VALUE""")," P")</f>
        <v>P</v>
      </c>
      <c r="AO937" s="71" t="str">
        <f>IFERROR(__xludf.DUMMYFUNCTION("""COMPUTED_VALUE""")," PE23")</f>
        <v>PE23</v>
      </c>
      <c r="AP937" s="71" t="str">
        <f>IFERROR(__xludf.DUMMYFUNCTION("""COMPUTED_VALUE""")," PZA")</f>
        <v>PZA</v>
      </c>
      <c r="AQ937" s="71" t="str">
        <f>IFERROR(__xludf.DUMMYFUNCTION("""COMPUTED_VALUE""")," REF")</f>
        <v>REF</v>
      </c>
      <c r="AR937" s="71" t="str">
        <f>IFERROR(__xludf.DUMMYFUNCTION("""COMPUTED_VALUE""")," PERFILADOR SENCILLO 13 CM")</f>
        <v>PERFILADOR SENCILLO 13 CM</v>
      </c>
      <c r="AS937" s="71" t="str">
        <f>IFERROR(__xludf.DUMMYFUNCTION("""COMPUTED_VALUE""")," PERFILADOR SENCILLO 13 CM")</f>
        <v>PERFILADOR SENCILLO 13 CM</v>
      </c>
      <c r="AT937" s="71">
        <f>IFERROR(__xludf.DUMMYFUNCTION("""COMPUTED_VALUE"""),25.0)</f>
        <v>25</v>
      </c>
      <c r="AU937" s="71"/>
      <c r="AV937" s="71"/>
      <c r="AW937" s="71"/>
      <c r="AX937" s="71"/>
      <c r="AY937" s="71">
        <f>IFERROR(__xludf.DUMMYFUNCTION("""COMPUTED_VALUE"""),478.0)</f>
        <v>478</v>
      </c>
      <c r="AZ937" s="71">
        <f>IFERROR(__xludf.DUMMYFUNCTION("""COMPUTED_VALUE"""),580.0)</f>
        <v>580</v>
      </c>
      <c r="BA937" s="71">
        <f>IFERROR(__xludf.DUMMYFUNCTION("""COMPUTED_VALUE"""),626.4000000000001)</f>
        <v>626.4</v>
      </c>
      <c r="BB937" s="71">
        <f>IFERROR(__xludf.DUMMYFUNCTION("""COMPUTED_VALUE"""),626.4000000000001)</f>
        <v>626.4</v>
      </c>
      <c r="BC937" s="71">
        <f>IFERROR(__xludf.DUMMYFUNCTION("""COMPUTED_VALUE"""),659.0)</f>
        <v>659</v>
      </c>
      <c r="BD937" s="71">
        <f>IFERROR(__xludf.DUMMYFUNCTION("""COMPUTED_VALUE"""),692.0)</f>
        <v>692</v>
      </c>
      <c r="BE937" s="71">
        <f>IFERROR(__xludf.DUMMYFUNCTION("""COMPUTED_VALUE"""),110.72)</f>
        <v>110.72</v>
      </c>
      <c r="BF937" s="71">
        <f>IFERROR(__xludf.DUMMYFUNCTION("""COMPUTED_VALUE"""),802.72)</f>
        <v>802.72</v>
      </c>
      <c r="BG937" s="71">
        <f>IFERROR(__xludf.DUMMYFUNCTION("""COMPUTED_VALUE"""),0.05007587253414264)</f>
        <v>0.05007587253</v>
      </c>
      <c r="BH937" s="71">
        <f>IFERROR(__xludf.DUMMYFUNCTION("""COMPUTED_VALUE"""),657.4)</f>
        <v>657.4</v>
      </c>
      <c r="BI937" s="71">
        <f>IFERROR(__xludf.DUMMYFUNCTION("""COMPUTED_VALUE"""),105.184)</f>
        <v>105.184</v>
      </c>
      <c r="BJ937" s="71">
        <f>IFERROR(__xludf.DUMMYFUNCTION("""COMPUTED_VALUE"""),762.584)</f>
        <v>762.584</v>
      </c>
      <c r="BK937" s="71">
        <f>IFERROR(__xludf.DUMMYFUNCTION("""COMPUTED_VALUE"""),622.8000000000001)</f>
        <v>622.8</v>
      </c>
      <c r="BL937" s="71">
        <f>IFERROR(__xludf.DUMMYFUNCTION("""COMPUTED_VALUE"""),99.64800000000001)</f>
        <v>99.648</v>
      </c>
      <c r="BM937" s="71">
        <f>IFERROR(__xludf.DUMMYFUNCTION("""COMPUTED_VALUE"""),722.4480000000001)</f>
        <v>722.448</v>
      </c>
      <c r="BN937" s="71">
        <f>IFERROR(__xludf.DUMMYFUNCTION("""COMPUTED_VALUE"""),588.1999999999999)</f>
        <v>588.2</v>
      </c>
      <c r="BO937" s="71">
        <f>IFERROR(__xludf.DUMMYFUNCTION("""COMPUTED_VALUE"""),94.112)</f>
        <v>94.112</v>
      </c>
      <c r="BP937" s="71">
        <f>IFERROR(__xludf.DUMMYFUNCTION("""COMPUTED_VALUE"""),682.3119999999999)</f>
        <v>682.312</v>
      </c>
      <c r="BQ937" s="71">
        <f>IFERROR(__xludf.DUMMYFUNCTION("""COMPUTED_VALUE"""),574.36)</f>
        <v>574.36</v>
      </c>
      <c r="BR937" s="71">
        <f>IFERROR(__xludf.DUMMYFUNCTION("""COMPUTED_VALUE"""),91.8976)</f>
        <v>91.8976</v>
      </c>
      <c r="BS937" s="71">
        <f>IFERROR(__xludf.DUMMYFUNCTION("""COMPUTED_VALUE"""),666.2576)</f>
        <v>666.2576</v>
      </c>
      <c r="BT937" s="71">
        <f>IFERROR(__xludf.DUMMYFUNCTION("""COMPUTED_VALUE"""),553.6)</f>
        <v>553.6</v>
      </c>
      <c r="BU937" s="71">
        <f>IFERROR(__xludf.DUMMYFUNCTION("""COMPUTED_VALUE"""),88.57600000000001)</f>
        <v>88.576</v>
      </c>
      <c r="BV937" s="71">
        <f>IFERROR(__xludf.DUMMYFUNCTION("""COMPUTED_VALUE"""),642.176)</f>
        <v>642.176</v>
      </c>
    </row>
    <row r="938">
      <c r="A938" s="53"/>
      <c r="B938" s="53">
        <v>3.0</v>
      </c>
      <c r="C938" s="53" t="s">
        <v>36</v>
      </c>
      <c r="D938" s="85" t="s">
        <v>2271</v>
      </c>
      <c r="E938" s="54" t="s">
        <v>38</v>
      </c>
      <c r="F938" s="54" t="s">
        <v>1610</v>
      </c>
      <c r="G938" s="106" t="s">
        <v>2272</v>
      </c>
      <c r="H938" s="55"/>
      <c r="I938" s="54">
        <f t="shared" si="24"/>
        <v>0</v>
      </c>
      <c r="J938" s="56"/>
      <c r="K938" s="57"/>
      <c r="L938" s="76"/>
      <c r="M938" s="59"/>
      <c r="N938" s="60"/>
      <c r="O938" s="61">
        <v>375240.0</v>
      </c>
      <c r="P938" s="62">
        <v>405259.2</v>
      </c>
      <c r="Q938" s="63">
        <v>405259.2</v>
      </c>
      <c r="R938" s="64">
        <v>446799.0</v>
      </c>
      <c r="S938" s="107">
        <v>469139.0</v>
      </c>
      <c r="T938" s="65">
        <f t="shared" si="2"/>
        <v>75062.24</v>
      </c>
      <c r="U938" s="65">
        <f t="shared" si="3"/>
        <v>544201.24</v>
      </c>
      <c r="V938" s="66">
        <f t="shared" si="4"/>
        <v>0.05000011191</v>
      </c>
      <c r="W938" s="67">
        <f t="shared" si="5"/>
        <v>445682.05</v>
      </c>
      <c r="X938" s="67">
        <f t="shared" si="6"/>
        <v>71309.128</v>
      </c>
      <c r="Y938" s="67">
        <f t="shared" si="7"/>
        <v>516991.178</v>
      </c>
      <c r="Z938" s="67">
        <f t="shared" si="8"/>
        <v>422225.1</v>
      </c>
      <c r="AA938" s="67">
        <f t="shared" si="9"/>
        <v>67556.016</v>
      </c>
      <c r="AB938" s="67">
        <f t="shared" si="10"/>
        <v>489781.116</v>
      </c>
      <c r="AC938" s="67">
        <f t="shared" si="11"/>
        <v>422225.1</v>
      </c>
      <c r="AD938" s="67">
        <f t="shared" si="12"/>
        <v>67556.016</v>
      </c>
      <c r="AE938" s="67">
        <f t="shared" si="13"/>
        <v>489781.116</v>
      </c>
      <c r="AF938" s="67">
        <f t="shared" si="33"/>
        <v>422225.1</v>
      </c>
      <c r="AG938" s="67">
        <f t="shared" si="15"/>
        <v>67556.016</v>
      </c>
      <c r="AH938" s="67">
        <f t="shared" si="16"/>
        <v>489781.116</v>
      </c>
      <c r="AI938" s="67">
        <f t="shared" si="17"/>
        <v>422225.1</v>
      </c>
      <c r="AJ938" s="68">
        <f t="shared" si="31"/>
        <v>67556.016</v>
      </c>
      <c r="AK938" s="68">
        <f t="shared" si="32"/>
        <v>489781.116</v>
      </c>
      <c r="AL938" s="70">
        <f>IFERROR(__xludf.DUMMYFUNCTION("""COMPUTED_VALUE"""),1.0)</f>
        <v>1</v>
      </c>
      <c r="AM938" s="70"/>
      <c r="AN938" s="71" t="str">
        <f>IFERROR(__xludf.DUMMYFUNCTION("""COMPUTED_VALUE""")," P")</f>
        <v>P</v>
      </c>
      <c r="AO938" s="71" t="str">
        <f>IFERROR(__xludf.DUMMYFUNCTION("""COMPUTED_VALUE""")," PE24")</f>
        <v>PE24</v>
      </c>
      <c r="AP938" s="71" t="str">
        <f>IFERROR(__xludf.DUMMYFUNCTION("""COMPUTED_VALUE""")," PZA")</f>
        <v>PZA</v>
      </c>
      <c r="AQ938" s="71" t="str">
        <f>IFERROR(__xludf.DUMMYFUNCTION("""COMPUTED_VALUE""")," REF")</f>
        <v>REF</v>
      </c>
      <c r="AR938" s="71" t="str">
        <f>IFERROR(__xludf.DUMMYFUNCTION("""COMPUTED_VALUE""")," PERFILADOR SENCILLO 14 CM")</f>
        <v>PERFILADOR SENCILLO 14 CM</v>
      </c>
      <c r="AS938" s="71" t="str">
        <f>IFERROR(__xludf.DUMMYFUNCTION("""COMPUTED_VALUE""")," PERFILADOR SENCILLO 14 CM")</f>
        <v>PERFILADOR SENCILLO 14 CM</v>
      </c>
      <c r="AT938" s="71">
        <f>IFERROR(__xludf.DUMMYFUNCTION("""COMPUTED_VALUE"""),25.0)</f>
        <v>25</v>
      </c>
      <c r="AU938" s="71"/>
      <c r="AV938" s="71"/>
      <c r="AW938" s="71"/>
      <c r="AX938" s="71"/>
      <c r="AY938" s="71">
        <f>IFERROR(__xludf.DUMMYFUNCTION("""COMPUTED_VALUE"""),478.0)</f>
        <v>478</v>
      </c>
      <c r="AZ938" s="71">
        <f>IFERROR(__xludf.DUMMYFUNCTION("""COMPUTED_VALUE"""),580.0)</f>
        <v>580</v>
      </c>
      <c r="BA938" s="71">
        <f>IFERROR(__xludf.DUMMYFUNCTION("""COMPUTED_VALUE"""),626.4000000000001)</f>
        <v>626.4</v>
      </c>
      <c r="BB938" s="71">
        <f>IFERROR(__xludf.DUMMYFUNCTION("""COMPUTED_VALUE"""),626.4000000000001)</f>
        <v>626.4</v>
      </c>
      <c r="BC938" s="71">
        <f>IFERROR(__xludf.DUMMYFUNCTION("""COMPUTED_VALUE"""),678.0)</f>
        <v>678</v>
      </c>
      <c r="BD938" s="71">
        <f>IFERROR(__xludf.DUMMYFUNCTION("""COMPUTED_VALUE"""),712.0)</f>
        <v>712</v>
      </c>
      <c r="BE938" s="71">
        <f>IFERROR(__xludf.DUMMYFUNCTION("""COMPUTED_VALUE"""),113.92)</f>
        <v>113.92</v>
      </c>
      <c r="BF938" s="71">
        <f>IFERROR(__xludf.DUMMYFUNCTION("""COMPUTED_VALUE"""),825.92)</f>
        <v>825.92</v>
      </c>
      <c r="BG938" s="71">
        <f>IFERROR(__xludf.DUMMYFUNCTION("""COMPUTED_VALUE"""),0.05014749262536873)</f>
        <v>0.05014749263</v>
      </c>
      <c r="BH938" s="71">
        <f>IFERROR(__xludf.DUMMYFUNCTION("""COMPUTED_VALUE"""),676.4)</f>
        <v>676.4</v>
      </c>
      <c r="BI938" s="71">
        <f>IFERROR(__xludf.DUMMYFUNCTION("""COMPUTED_VALUE"""),108.224)</f>
        <v>108.224</v>
      </c>
      <c r="BJ938" s="71">
        <f>IFERROR(__xludf.DUMMYFUNCTION("""COMPUTED_VALUE"""),784.624)</f>
        <v>784.624</v>
      </c>
      <c r="BK938" s="71">
        <f>IFERROR(__xludf.DUMMYFUNCTION("""COMPUTED_VALUE"""),640.8000000000001)</f>
        <v>640.8</v>
      </c>
      <c r="BL938" s="71">
        <f>IFERROR(__xludf.DUMMYFUNCTION("""COMPUTED_VALUE"""),102.52800000000002)</f>
        <v>102.528</v>
      </c>
      <c r="BM938" s="71">
        <f>IFERROR(__xludf.DUMMYFUNCTION("""COMPUTED_VALUE"""),743.3280000000001)</f>
        <v>743.328</v>
      </c>
      <c r="BN938" s="71">
        <f>IFERROR(__xludf.DUMMYFUNCTION("""COMPUTED_VALUE"""),605.1999999999999)</f>
        <v>605.2</v>
      </c>
      <c r="BO938" s="71">
        <f>IFERROR(__xludf.DUMMYFUNCTION("""COMPUTED_VALUE"""),96.832)</f>
        <v>96.832</v>
      </c>
      <c r="BP938" s="71">
        <f>IFERROR(__xludf.DUMMYFUNCTION("""COMPUTED_VALUE"""),702.0319999999999)</f>
        <v>702.032</v>
      </c>
      <c r="BQ938" s="71">
        <f>IFERROR(__xludf.DUMMYFUNCTION("""COMPUTED_VALUE"""),590.9599999999999)</f>
        <v>590.96</v>
      </c>
      <c r="BR938" s="71">
        <f>IFERROR(__xludf.DUMMYFUNCTION("""COMPUTED_VALUE"""),94.55359999999999)</f>
        <v>94.5536</v>
      </c>
      <c r="BS938" s="71">
        <f>IFERROR(__xludf.DUMMYFUNCTION("""COMPUTED_VALUE"""),685.5135999999999)</f>
        <v>685.5136</v>
      </c>
      <c r="BT938" s="71">
        <f>IFERROR(__xludf.DUMMYFUNCTION("""COMPUTED_VALUE"""),569.6)</f>
        <v>569.6</v>
      </c>
      <c r="BU938" s="71">
        <f>IFERROR(__xludf.DUMMYFUNCTION("""COMPUTED_VALUE"""),91.13600000000001)</f>
        <v>91.136</v>
      </c>
      <c r="BV938" s="71">
        <f>IFERROR(__xludf.DUMMYFUNCTION("""COMPUTED_VALUE"""),660.736)</f>
        <v>660.736</v>
      </c>
    </row>
    <row r="939">
      <c r="A939" s="53"/>
      <c r="B939" s="53"/>
      <c r="C939" s="53"/>
      <c r="D939" s="53" t="s">
        <v>2273</v>
      </c>
      <c r="E939" s="55" t="s">
        <v>38</v>
      </c>
      <c r="F939" s="151"/>
      <c r="G939" s="84" t="s">
        <v>2274</v>
      </c>
      <c r="H939" s="55"/>
      <c r="I939" s="54">
        <f t="shared" si="24"/>
        <v>0</v>
      </c>
      <c r="J939" s="56"/>
      <c r="K939" s="57"/>
      <c r="L939" s="55"/>
      <c r="M939" s="59"/>
      <c r="N939" s="60"/>
      <c r="O939" s="90"/>
      <c r="P939" s="62">
        <v>383896.0</v>
      </c>
      <c r="Q939" s="63">
        <v>383896.0</v>
      </c>
      <c r="R939" s="64">
        <v>423246.0</v>
      </c>
      <c r="S939" s="111">
        <v>444408.0</v>
      </c>
      <c r="T939" s="65">
        <f t="shared" si="2"/>
        <v>71105.28</v>
      </c>
      <c r="U939" s="65">
        <f t="shared" si="3"/>
        <v>515513.28</v>
      </c>
      <c r="V939" s="66">
        <f t="shared" si="4"/>
        <v>0.04999929119</v>
      </c>
      <c r="W939" s="67">
        <f t="shared" si="5"/>
        <v>422187.6</v>
      </c>
      <c r="X939" s="67">
        <f t="shared" si="6"/>
        <v>67550.016</v>
      </c>
      <c r="Y939" s="67">
        <f t="shared" si="7"/>
        <v>489737.616</v>
      </c>
      <c r="Z939" s="67">
        <f t="shared" si="8"/>
        <v>399967.2</v>
      </c>
      <c r="AA939" s="67">
        <f t="shared" si="9"/>
        <v>63994.752</v>
      </c>
      <c r="AB939" s="67">
        <f t="shared" si="10"/>
        <v>463961.952</v>
      </c>
      <c r="AC939" s="67">
        <f t="shared" si="11"/>
        <v>377746.8</v>
      </c>
      <c r="AD939" s="67">
        <f t="shared" si="12"/>
        <v>60439.488</v>
      </c>
      <c r="AE939" s="67">
        <f t="shared" si="13"/>
        <v>438186.288</v>
      </c>
      <c r="AF939" s="67">
        <f t="shared" si="33"/>
        <v>368858.64</v>
      </c>
      <c r="AG939" s="67">
        <f t="shared" si="15"/>
        <v>59017.3824</v>
      </c>
      <c r="AH939" s="67">
        <f t="shared" si="16"/>
        <v>427876.0224</v>
      </c>
      <c r="AI939" s="67">
        <f t="shared" si="17"/>
        <v>355526.4</v>
      </c>
      <c r="AJ939" s="68">
        <f t="shared" si="31"/>
        <v>56884.224</v>
      </c>
      <c r="AK939" s="68">
        <f t="shared" si="32"/>
        <v>412410.624</v>
      </c>
      <c r="AL939" s="70">
        <f>IFERROR(__xludf.DUMMYFUNCTION("""COMPUTED_VALUE"""),1.0)</f>
        <v>1</v>
      </c>
      <c r="AM939" s="70"/>
      <c r="AN939" s="71" t="str">
        <f>IFERROR(__xludf.DUMMYFUNCTION("""COMPUTED_VALUE""")," P")</f>
        <v>P</v>
      </c>
      <c r="AO939" s="71" t="str">
        <f>IFERROR(__xludf.DUMMYFUNCTION("""COMPUTED_VALUE""")," PE25")</f>
        <v>PE25</v>
      </c>
      <c r="AP939" s="71" t="str">
        <f>IFERROR(__xludf.DUMMYFUNCTION("""COMPUTED_VALUE""")," PZA")</f>
        <v>PZA</v>
      </c>
      <c r="AQ939" s="71" t="str">
        <f>IFERROR(__xludf.DUMMYFUNCTION("""COMPUTED_VALUE""")," REF")</f>
        <v>REF</v>
      </c>
      <c r="AR939" s="71" t="str">
        <f>IFERROR(__xludf.DUMMYFUNCTION("""COMPUTED_VALUE""")," PERFILADOR SENCILLO 15 CM")</f>
        <v>PERFILADOR SENCILLO 15 CM</v>
      </c>
      <c r="AS939" s="71" t="str">
        <f>IFERROR(__xludf.DUMMYFUNCTION("""COMPUTED_VALUE""")," PERFILADOR SENCILLO 15 CM")</f>
        <v>PERFILADOR SENCILLO 15 CM</v>
      </c>
      <c r="AT939" s="71">
        <f>IFERROR(__xludf.DUMMYFUNCTION("""COMPUTED_VALUE"""),25.0)</f>
        <v>25</v>
      </c>
      <c r="AU939" s="71"/>
      <c r="AV939" s="71"/>
      <c r="AW939" s="71"/>
      <c r="AX939" s="71"/>
      <c r="AY939" s="71">
        <f>IFERROR(__xludf.DUMMYFUNCTION("""COMPUTED_VALUE"""),478.0)</f>
        <v>478</v>
      </c>
      <c r="AZ939" s="71">
        <f>IFERROR(__xludf.DUMMYFUNCTION("""COMPUTED_VALUE"""),580.0)</f>
        <v>580</v>
      </c>
      <c r="BA939" s="71">
        <f>IFERROR(__xludf.DUMMYFUNCTION("""COMPUTED_VALUE"""),626.4000000000001)</f>
        <v>626.4</v>
      </c>
      <c r="BB939" s="71">
        <f>IFERROR(__xludf.DUMMYFUNCTION("""COMPUTED_VALUE"""),626.4000000000001)</f>
        <v>626.4</v>
      </c>
      <c r="BC939" s="71">
        <f>IFERROR(__xludf.DUMMYFUNCTION("""COMPUTED_VALUE"""),659.0)</f>
        <v>659</v>
      </c>
      <c r="BD939" s="71">
        <f>IFERROR(__xludf.DUMMYFUNCTION("""COMPUTED_VALUE"""),692.0)</f>
        <v>692</v>
      </c>
      <c r="BE939" s="71">
        <f>IFERROR(__xludf.DUMMYFUNCTION("""COMPUTED_VALUE"""),110.72)</f>
        <v>110.72</v>
      </c>
      <c r="BF939" s="71">
        <f>IFERROR(__xludf.DUMMYFUNCTION("""COMPUTED_VALUE"""),802.72)</f>
        <v>802.72</v>
      </c>
      <c r="BG939" s="71">
        <f>IFERROR(__xludf.DUMMYFUNCTION("""COMPUTED_VALUE"""),0.05007587253414264)</f>
        <v>0.05007587253</v>
      </c>
      <c r="BH939" s="71">
        <f>IFERROR(__xludf.DUMMYFUNCTION("""COMPUTED_VALUE"""),657.4)</f>
        <v>657.4</v>
      </c>
      <c r="BI939" s="71">
        <f>IFERROR(__xludf.DUMMYFUNCTION("""COMPUTED_VALUE"""),105.184)</f>
        <v>105.184</v>
      </c>
      <c r="BJ939" s="71">
        <f>IFERROR(__xludf.DUMMYFUNCTION("""COMPUTED_VALUE"""),762.584)</f>
        <v>762.584</v>
      </c>
      <c r="BK939" s="71">
        <f>IFERROR(__xludf.DUMMYFUNCTION("""COMPUTED_VALUE"""),622.8000000000001)</f>
        <v>622.8</v>
      </c>
      <c r="BL939" s="71">
        <f>IFERROR(__xludf.DUMMYFUNCTION("""COMPUTED_VALUE"""),99.64800000000001)</f>
        <v>99.648</v>
      </c>
      <c r="BM939" s="71">
        <f>IFERROR(__xludf.DUMMYFUNCTION("""COMPUTED_VALUE"""),722.4480000000001)</f>
        <v>722.448</v>
      </c>
      <c r="BN939" s="71">
        <f>IFERROR(__xludf.DUMMYFUNCTION("""COMPUTED_VALUE"""),588.1999999999999)</f>
        <v>588.2</v>
      </c>
      <c r="BO939" s="71">
        <f>IFERROR(__xludf.DUMMYFUNCTION("""COMPUTED_VALUE"""),94.112)</f>
        <v>94.112</v>
      </c>
      <c r="BP939" s="71">
        <f>IFERROR(__xludf.DUMMYFUNCTION("""COMPUTED_VALUE"""),682.3119999999999)</f>
        <v>682.312</v>
      </c>
      <c r="BQ939" s="71">
        <f>IFERROR(__xludf.DUMMYFUNCTION("""COMPUTED_VALUE"""),574.36)</f>
        <v>574.36</v>
      </c>
      <c r="BR939" s="71">
        <f>IFERROR(__xludf.DUMMYFUNCTION("""COMPUTED_VALUE"""),91.8976)</f>
        <v>91.8976</v>
      </c>
      <c r="BS939" s="71">
        <f>IFERROR(__xludf.DUMMYFUNCTION("""COMPUTED_VALUE"""),666.2576)</f>
        <v>666.2576</v>
      </c>
      <c r="BT939" s="71">
        <f>IFERROR(__xludf.DUMMYFUNCTION("""COMPUTED_VALUE"""),553.6)</f>
        <v>553.6</v>
      </c>
      <c r="BU939" s="71">
        <f>IFERROR(__xludf.DUMMYFUNCTION("""COMPUTED_VALUE"""),88.57600000000001)</f>
        <v>88.576</v>
      </c>
      <c r="BV939" s="71">
        <f>IFERROR(__xludf.DUMMYFUNCTION("""COMPUTED_VALUE"""),642.176)</f>
        <v>642.176</v>
      </c>
    </row>
    <row r="940">
      <c r="A940" s="53"/>
      <c r="B940" s="53">
        <v>3.0</v>
      </c>
      <c r="C940" s="53" t="s">
        <v>36</v>
      </c>
      <c r="D940" s="98" t="s">
        <v>2275</v>
      </c>
      <c r="E940" s="54" t="s">
        <v>38</v>
      </c>
      <c r="F940" s="54" t="s">
        <v>1610</v>
      </c>
      <c r="G940" s="106" t="s">
        <v>2276</v>
      </c>
      <c r="H940" s="55" t="s">
        <v>2277</v>
      </c>
      <c r="I940" s="54">
        <f t="shared" si="24"/>
        <v>40</v>
      </c>
      <c r="J940" s="56"/>
      <c r="K940" s="57"/>
      <c r="L940" s="76"/>
      <c r="M940" s="59"/>
      <c r="N940" s="60"/>
      <c r="O940" s="61">
        <v>0.0</v>
      </c>
      <c r="P940" s="62">
        <v>0.0</v>
      </c>
      <c r="Q940" s="63">
        <v>0.0</v>
      </c>
      <c r="R940" s="64">
        <v>0.0</v>
      </c>
      <c r="S940" s="112">
        <v>0.0</v>
      </c>
      <c r="T940" s="65">
        <f t="shared" si="2"/>
        <v>0</v>
      </c>
      <c r="U940" s="65">
        <f t="shared" si="3"/>
        <v>0</v>
      </c>
      <c r="V940" s="66" t="str">
        <f t="shared" si="4"/>
        <v>#DIV/0!</v>
      </c>
      <c r="W940" s="67">
        <f t="shared" si="5"/>
        <v>0</v>
      </c>
      <c r="X940" s="67">
        <f t="shared" si="6"/>
        <v>0</v>
      </c>
      <c r="Y940" s="67">
        <f t="shared" si="7"/>
        <v>0</v>
      </c>
      <c r="Z940" s="67">
        <f t="shared" si="8"/>
        <v>0</v>
      </c>
      <c r="AA940" s="67">
        <f t="shared" si="9"/>
        <v>0</v>
      </c>
      <c r="AB940" s="67">
        <f t="shared" si="10"/>
        <v>0</v>
      </c>
      <c r="AC940" s="67">
        <f t="shared" si="11"/>
        <v>0</v>
      </c>
      <c r="AD940" s="67">
        <f t="shared" si="12"/>
        <v>0</v>
      </c>
      <c r="AE940" s="67">
        <f t="shared" si="13"/>
        <v>0</v>
      </c>
      <c r="AF940" s="67">
        <f t="shared" si="33"/>
        <v>0</v>
      </c>
      <c r="AG940" s="67">
        <f t="shared" si="15"/>
        <v>0</v>
      </c>
      <c r="AH940" s="67">
        <f t="shared" si="16"/>
        <v>0</v>
      </c>
      <c r="AI940" s="67">
        <f t="shared" si="17"/>
        <v>0</v>
      </c>
      <c r="AJ940" s="68">
        <f t="shared" si="31"/>
        <v>0</v>
      </c>
      <c r="AK940" s="68">
        <f t="shared" si="32"/>
        <v>0</v>
      </c>
      <c r="AL940" s="70">
        <f>IFERROR(__xludf.DUMMYFUNCTION("""COMPUTED_VALUE"""),1.0)</f>
        <v>1</v>
      </c>
      <c r="AM940" s="70"/>
      <c r="AN940" s="71" t="str">
        <f>IFERROR(__xludf.DUMMYFUNCTION("""COMPUTED_VALUE""")," P")</f>
        <v>P</v>
      </c>
      <c r="AO940" s="71" t="str">
        <f>IFERROR(__xludf.DUMMYFUNCTION("""COMPUTED_VALUE""")," PE26")</f>
        <v>PE26</v>
      </c>
      <c r="AP940" s="71" t="str">
        <f>IFERROR(__xludf.DUMMYFUNCTION("""COMPUTED_VALUE""")," PZA")</f>
        <v>PZA</v>
      </c>
      <c r="AQ940" s="71" t="str">
        <f>IFERROR(__xludf.DUMMYFUNCTION("""COMPUTED_VALUE""")," REF")</f>
        <v>REF</v>
      </c>
      <c r="AR940" s="71" t="str">
        <f>IFERROR(__xludf.DUMMYFUNCTION("""COMPUTED_VALUE""")," PERFILADOR SENCILLO 16 CM")</f>
        <v>PERFILADOR SENCILLO 16 CM</v>
      </c>
      <c r="AS940" s="71" t="str">
        <f>IFERROR(__xludf.DUMMYFUNCTION("""COMPUTED_VALUE""")," PERFILADOR SENCILLO 16 CM")</f>
        <v>PERFILADOR SENCILLO 16 CM</v>
      </c>
      <c r="AT940" s="71">
        <f>IFERROR(__xludf.DUMMYFUNCTION("""COMPUTED_VALUE"""),25.0)</f>
        <v>25</v>
      </c>
      <c r="AU940" s="71"/>
      <c r="AV940" s="71"/>
      <c r="AW940" s="71"/>
      <c r="AX940" s="71"/>
      <c r="AY940" s="71">
        <f>IFERROR(__xludf.DUMMYFUNCTION("""COMPUTED_VALUE"""),478.0)</f>
        <v>478</v>
      </c>
      <c r="AZ940" s="71">
        <f>IFERROR(__xludf.DUMMYFUNCTION("""COMPUTED_VALUE"""),580.0)</f>
        <v>580</v>
      </c>
      <c r="BA940" s="71">
        <f>IFERROR(__xludf.DUMMYFUNCTION("""COMPUTED_VALUE"""),626.4000000000001)</f>
        <v>626.4</v>
      </c>
      <c r="BB940" s="71">
        <f>IFERROR(__xludf.DUMMYFUNCTION("""COMPUTED_VALUE"""),626.4000000000001)</f>
        <v>626.4</v>
      </c>
      <c r="BC940" s="71">
        <f>IFERROR(__xludf.DUMMYFUNCTION("""COMPUTED_VALUE"""),678.0)</f>
        <v>678</v>
      </c>
      <c r="BD940" s="71">
        <f>IFERROR(__xludf.DUMMYFUNCTION("""COMPUTED_VALUE"""),712.0)</f>
        <v>712</v>
      </c>
      <c r="BE940" s="71">
        <f>IFERROR(__xludf.DUMMYFUNCTION("""COMPUTED_VALUE"""),113.92)</f>
        <v>113.92</v>
      </c>
      <c r="BF940" s="71">
        <f>IFERROR(__xludf.DUMMYFUNCTION("""COMPUTED_VALUE"""),825.92)</f>
        <v>825.92</v>
      </c>
      <c r="BG940" s="71">
        <f>IFERROR(__xludf.DUMMYFUNCTION("""COMPUTED_VALUE"""),0.05014749262536873)</f>
        <v>0.05014749263</v>
      </c>
      <c r="BH940" s="71">
        <f>IFERROR(__xludf.DUMMYFUNCTION("""COMPUTED_VALUE"""),676.4)</f>
        <v>676.4</v>
      </c>
      <c r="BI940" s="71">
        <f>IFERROR(__xludf.DUMMYFUNCTION("""COMPUTED_VALUE"""),108.224)</f>
        <v>108.224</v>
      </c>
      <c r="BJ940" s="71">
        <f>IFERROR(__xludf.DUMMYFUNCTION("""COMPUTED_VALUE"""),784.624)</f>
        <v>784.624</v>
      </c>
      <c r="BK940" s="71">
        <f>IFERROR(__xludf.DUMMYFUNCTION("""COMPUTED_VALUE"""),640.8000000000001)</f>
        <v>640.8</v>
      </c>
      <c r="BL940" s="71">
        <f>IFERROR(__xludf.DUMMYFUNCTION("""COMPUTED_VALUE"""),102.52800000000002)</f>
        <v>102.528</v>
      </c>
      <c r="BM940" s="71">
        <f>IFERROR(__xludf.DUMMYFUNCTION("""COMPUTED_VALUE"""),743.3280000000001)</f>
        <v>743.328</v>
      </c>
      <c r="BN940" s="71">
        <f>IFERROR(__xludf.DUMMYFUNCTION("""COMPUTED_VALUE"""),605.1999999999999)</f>
        <v>605.2</v>
      </c>
      <c r="BO940" s="71">
        <f>IFERROR(__xludf.DUMMYFUNCTION("""COMPUTED_VALUE"""),96.832)</f>
        <v>96.832</v>
      </c>
      <c r="BP940" s="71">
        <f>IFERROR(__xludf.DUMMYFUNCTION("""COMPUTED_VALUE"""),702.0319999999999)</f>
        <v>702.032</v>
      </c>
      <c r="BQ940" s="71">
        <f>IFERROR(__xludf.DUMMYFUNCTION("""COMPUTED_VALUE"""),590.9599999999999)</f>
        <v>590.96</v>
      </c>
      <c r="BR940" s="71">
        <f>IFERROR(__xludf.DUMMYFUNCTION("""COMPUTED_VALUE"""),94.55359999999999)</f>
        <v>94.5536</v>
      </c>
      <c r="BS940" s="71">
        <f>IFERROR(__xludf.DUMMYFUNCTION("""COMPUTED_VALUE"""),685.5135999999999)</f>
        <v>685.5136</v>
      </c>
      <c r="BT940" s="71">
        <f>IFERROR(__xludf.DUMMYFUNCTION("""COMPUTED_VALUE"""),569.6)</f>
        <v>569.6</v>
      </c>
      <c r="BU940" s="71">
        <f>IFERROR(__xludf.DUMMYFUNCTION("""COMPUTED_VALUE"""),91.13600000000001)</f>
        <v>91.136</v>
      </c>
      <c r="BV940" s="71">
        <f>IFERROR(__xludf.DUMMYFUNCTION("""COMPUTED_VALUE"""),660.736)</f>
        <v>660.736</v>
      </c>
    </row>
    <row r="941">
      <c r="A941" s="53"/>
      <c r="B941" s="53">
        <v>3.0</v>
      </c>
      <c r="C941" s="53" t="s">
        <v>36</v>
      </c>
      <c r="D941" s="85" t="s">
        <v>2278</v>
      </c>
      <c r="E941" s="54" t="s">
        <v>38</v>
      </c>
      <c r="F941" s="54" t="s">
        <v>1610</v>
      </c>
      <c r="G941" s="86" t="s">
        <v>2279</v>
      </c>
      <c r="H941" s="55"/>
      <c r="I941" s="54">
        <f t="shared" si="24"/>
        <v>0</v>
      </c>
      <c r="J941" s="56"/>
      <c r="K941" s="57"/>
      <c r="L941" s="76"/>
      <c r="M941" s="59"/>
      <c r="N941" s="60"/>
      <c r="O941" s="61">
        <v>416778.0</v>
      </c>
      <c r="P941" s="62">
        <v>450120.24000000005</v>
      </c>
      <c r="Q941" s="63">
        <v>450120.24000000005</v>
      </c>
      <c r="R941" s="64">
        <v>496258.0</v>
      </c>
      <c r="S941" s="107">
        <v>521071.0</v>
      </c>
      <c r="T941" s="65">
        <f t="shared" si="2"/>
        <v>83371.36</v>
      </c>
      <c r="U941" s="65">
        <f t="shared" si="3"/>
        <v>604442.36</v>
      </c>
      <c r="V941" s="66">
        <f t="shared" si="4"/>
        <v>0.05000020151</v>
      </c>
      <c r="W941" s="67">
        <f t="shared" si="5"/>
        <v>495017.45</v>
      </c>
      <c r="X941" s="67">
        <f t="shared" si="6"/>
        <v>79202.792</v>
      </c>
      <c r="Y941" s="67">
        <f t="shared" si="7"/>
        <v>574220.242</v>
      </c>
      <c r="Z941" s="67">
        <f t="shared" si="8"/>
        <v>468963.9</v>
      </c>
      <c r="AA941" s="67">
        <f t="shared" si="9"/>
        <v>75034.224</v>
      </c>
      <c r="AB941" s="67">
        <f t="shared" si="10"/>
        <v>543998.124</v>
      </c>
      <c r="AC941" s="67">
        <f t="shared" si="11"/>
        <v>468963.9</v>
      </c>
      <c r="AD941" s="67">
        <f t="shared" si="12"/>
        <v>75034.224</v>
      </c>
      <c r="AE941" s="67">
        <f t="shared" si="13"/>
        <v>543998.124</v>
      </c>
      <c r="AF941" s="67">
        <f t="shared" si="33"/>
        <v>468963.9</v>
      </c>
      <c r="AG941" s="67">
        <f t="shared" si="15"/>
        <v>75034.224</v>
      </c>
      <c r="AH941" s="67">
        <f t="shared" si="16"/>
        <v>543998.124</v>
      </c>
      <c r="AI941" s="67">
        <f t="shared" si="17"/>
        <v>468963.9</v>
      </c>
      <c r="AJ941" s="68">
        <f t="shared" si="31"/>
        <v>75034.224</v>
      </c>
      <c r="AK941" s="68">
        <f t="shared" si="32"/>
        <v>543998.124</v>
      </c>
      <c r="AL941" s="70">
        <f>IFERROR(__xludf.DUMMYFUNCTION("""COMPUTED_VALUE"""),1.0)</f>
        <v>1</v>
      </c>
      <c r="AM941" s="70"/>
      <c r="AN941" s="71" t="str">
        <f>IFERROR(__xludf.DUMMYFUNCTION("""COMPUTED_VALUE""")," P")</f>
        <v>P</v>
      </c>
      <c r="AO941" s="71" t="str">
        <f>IFERROR(__xludf.DUMMYFUNCTION("""COMPUTED_VALUE""")," PE27")</f>
        <v>PE27</v>
      </c>
      <c r="AP941" s="71" t="str">
        <f>IFERROR(__xludf.DUMMYFUNCTION("""COMPUTED_VALUE""")," PZA")</f>
        <v>PZA</v>
      </c>
      <c r="AQ941" s="71" t="str">
        <f>IFERROR(__xludf.DUMMYFUNCTION("""COMPUTED_VALUE""")," REF")</f>
        <v>REF</v>
      </c>
      <c r="AR941" s="71" t="str">
        <f>IFERROR(__xludf.DUMMYFUNCTION("""COMPUTED_VALUE""")," PERFILADOR SENCILLO 17 CM")</f>
        <v>PERFILADOR SENCILLO 17 CM</v>
      </c>
      <c r="AS941" s="71" t="str">
        <f>IFERROR(__xludf.DUMMYFUNCTION("""COMPUTED_VALUE""")," PERFILADOR SENCILLO 17 CM")</f>
        <v>PERFILADOR SENCILLO 17 CM</v>
      </c>
      <c r="AT941" s="71">
        <f>IFERROR(__xludf.DUMMYFUNCTION("""COMPUTED_VALUE"""),25.0)</f>
        <v>25</v>
      </c>
      <c r="AU941" s="71"/>
      <c r="AV941" s="71"/>
      <c r="AW941" s="71"/>
      <c r="AX941" s="71"/>
      <c r="AY941" s="71">
        <f>IFERROR(__xludf.DUMMYFUNCTION("""COMPUTED_VALUE"""),478.0)</f>
        <v>478</v>
      </c>
      <c r="AZ941" s="71">
        <f>IFERROR(__xludf.DUMMYFUNCTION("""COMPUTED_VALUE"""),580.0)</f>
        <v>580</v>
      </c>
      <c r="BA941" s="71">
        <f>IFERROR(__xludf.DUMMYFUNCTION("""COMPUTED_VALUE"""),626.4000000000001)</f>
        <v>626.4</v>
      </c>
      <c r="BB941" s="71">
        <f>IFERROR(__xludf.DUMMYFUNCTION("""COMPUTED_VALUE"""),626.4000000000001)</f>
        <v>626.4</v>
      </c>
      <c r="BC941" s="71">
        <f>IFERROR(__xludf.DUMMYFUNCTION("""COMPUTED_VALUE"""),659.0)</f>
        <v>659</v>
      </c>
      <c r="BD941" s="71">
        <f>IFERROR(__xludf.DUMMYFUNCTION("""COMPUTED_VALUE"""),692.0)</f>
        <v>692</v>
      </c>
      <c r="BE941" s="71">
        <f>IFERROR(__xludf.DUMMYFUNCTION("""COMPUTED_VALUE"""),110.72)</f>
        <v>110.72</v>
      </c>
      <c r="BF941" s="71">
        <f>IFERROR(__xludf.DUMMYFUNCTION("""COMPUTED_VALUE"""),802.72)</f>
        <v>802.72</v>
      </c>
      <c r="BG941" s="71">
        <f>IFERROR(__xludf.DUMMYFUNCTION("""COMPUTED_VALUE"""),0.05007587253414264)</f>
        <v>0.05007587253</v>
      </c>
      <c r="BH941" s="71">
        <f>IFERROR(__xludf.DUMMYFUNCTION("""COMPUTED_VALUE"""),657.4)</f>
        <v>657.4</v>
      </c>
      <c r="BI941" s="71">
        <f>IFERROR(__xludf.DUMMYFUNCTION("""COMPUTED_VALUE"""),105.184)</f>
        <v>105.184</v>
      </c>
      <c r="BJ941" s="71">
        <f>IFERROR(__xludf.DUMMYFUNCTION("""COMPUTED_VALUE"""),762.584)</f>
        <v>762.584</v>
      </c>
      <c r="BK941" s="71">
        <f>IFERROR(__xludf.DUMMYFUNCTION("""COMPUTED_VALUE"""),622.8000000000001)</f>
        <v>622.8</v>
      </c>
      <c r="BL941" s="71">
        <f>IFERROR(__xludf.DUMMYFUNCTION("""COMPUTED_VALUE"""),99.64800000000001)</f>
        <v>99.648</v>
      </c>
      <c r="BM941" s="71">
        <f>IFERROR(__xludf.DUMMYFUNCTION("""COMPUTED_VALUE"""),722.4480000000001)</f>
        <v>722.448</v>
      </c>
      <c r="BN941" s="71">
        <f>IFERROR(__xludf.DUMMYFUNCTION("""COMPUTED_VALUE"""),588.1999999999999)</f>
        <v>588.2</v>
      </c>
      <c r="BO941" s="71">
        <f>IFERROR(__xludf.DUMMYFUNCTION("""COMPUTED_VALUE"""),94.112)</f>
        <v>94.112</v>
      </c>
      <c r="BP941" s="71">
        <f>IFERROR(__xludf.DUMMYFUNCTION("""COMPUTED_VALUE"""),682.3119999999999)</f>
        <v>682.312</v>
      </c>
      <c r="BQ941" s="71">
        <f>IFERROR(__xludf.DUMMYFUNCTION("""COMPUTED_VALUE"""),574.36)</f>
        <v>574.36</v>
      </c>
      <c r="BR941" s="71">
        <f>IFERROR(__xludf.DUMMYFUNCTION("""COMPUTED_VALUE"""),91.8976)</f>
        <v>91.8976</v>
      </c>
      <c r="BS941" s="71">
        <f>IFERROR(__xludf.DUMMYFUNCTION("""COMPUTED_VALUE"""),666.2576)</f>
        <v>666.2576</v>
      </c>
      <c r="BT941" s="71">
        <f>IFERROR(__xludf.DUMMYFUNCTION("""COMPUTED_VALUE"""),553.6)</f>
        <v>553.6</v>
      </c>
      <c r="BU941" s="71">
        <f>IFERROR(__xludf.DUMMYFUNCTION("""COMPUTED_VALUE"""),88.57600000000001)</f>
        <v>88.576</v>
      </c>
      <c r="BV941" s="71">
        <f>IFERROR(__xludf.DUMMYFUNCTION("""COMPUTED_VALUE"""),642.176)</f>
        <v>642.176</v>
      </c>
    </row>
    <row r="942">
      <c r="A942" s="53"/>
      <c r="B942" s="53"/>
      <c r="C942" s="73" t="s">
        <v>12</v>
      </c>
      <c r="D942" s="53" t="s">
        <v>2280</v>
      </c>
      <c r="E942" s="54" t="s">
        <v>38</v>
      </c>
      <c r="F942" s="54" t="s">
        <v>42</v>
      </c>
      <c r="G942" s="55" t="s">
        <v>2281</v>
      </c>
      <c r="H942" s="55" t="s">
        <v>2281</v>
      </c>
      <c r="I942" s="54">
        <f t="shared" si="24"/>
        <v>34</v>
      </c>
      <c r="J942" s="56"/>
      <c r="K942" s="57"/>
      <c r="L942" s="76"/>
      <c r="M942" s="59"/>
      <c r="N942" s="60"/>
      <c r="O942" s="90"/>
      <c r="P942" s="62">
        <v>279.41</v>
      </c>
      <c r="Q942" s="63">
        <v>279.41</v>
      </c>
      <c r="R942" s="64">
        <v>293.0</v>
      </c>
      <c r="S942" s="111">
        <v>308.0</v>
      </c>
      <c r="T942" s="65">
        <f t="shared" si="2"/>
        <v>49.28</v>
      </c>
      <c r="U942" s="65">
        <f t="shared" si="3"/>
        <v>357.28</v>
      </c>
      <c r="V942" s="66">
        <f t="shared" si="4"/>
        <v>0.05119453925</v>
      </c>
      <c r="W942" s="67">
        <f t="shared" si="5"/>
        <v>292.6</v>
      </c>
      <c r="X942" s="67">
        <f t="shared" si="6"/>
        <v>46.816</v>
      </c>
      <c r="Y942" s="67">
        <f t="shared" si="7"/>
        <v>339.416</v>
      </c>
      <c r="Z942" s="67">
        <f t="shared" si="8"/>
        <v>277.2</v>
      </c>
      <c r="AA942" s="67">
        <f t="shared" si="9"/>
        <v>44.352</v>
      </c>
      <c r="AB942" s="67">
        <f t="shared" si="10"/>
        <v>321.552</v>
      </c>
      <c r="AC942" s="67">
        <f t="shared" si="11"/>
        <v>261.8</v>
      </c>
      <c r="AD942" s="67">
        <f t="shared" si="12"/>
        <v>41.888</v>
      </c>
      <c r="AE942" s="67">
        <f t="shared" si="13"/>
        <v>303.688</v>
      </c>
      <c r="AF942" s="67">
        <f t="shared" si="33"/>
        <v>255.64</v>
      </c>
      <c r="AG942" s="67">
        <f t="shared" si="15"/>
        <v>40.9024</v>
      </c>
      <c r="AH942" s="67">
        <f t="shared" si="16"/>
        <v>296.5424</v>
      </c>
      <c r="AI942" s="67">
        <f t="shared" si="17"/>
        <v>246.4</v>
      </c>
      <c r="AJ942" s="68">
        <f t="shared" si="31"/>
        <v>39.424</v>
      </c>
      <c r="AK942" s="68">
        <f t="shared" si="32"/>
        <v>285.824</v>
      </c>
      <c r="AL942" s="70">
        <f>IFERROR(__xludf.DUMMYFUNCTION("""COMPUTED_VALUE"""),1.0)</f>
        <v>1</v>
      </c>
      <c r="AM942" s="70"/>
      <c r="AN942" s="71" t="str">
        <f>IFERROR(__xludf.DUMMYFUNCTION("""COMPUTED_VALUE""")," P")</f>
        <v>P</v>
      </c>
      <c r="AO942" s="71" t="str">
        <f>IFERROR(__xludf.DUMMYFUNCTION("""COMPUTED_VALUE""")," PE28")</f>
        <v>PE28</v>
      </c>
      <c r="AP942" s="71" t="str">
        <f>IFERROR(__xludf.DUMMYFUNCTION("""COMPUTED_VALUE""")," PZA")</f>
        <v>PZA</v>
      </c>
      <c r="AQ942" s="71" t="str">
        <f>IFERROR(__xludf.DUMMYFUNCTION("""COMPUTED_VALUE""")," REF")</f>
        <v>REF</v>
      </c>
      <c r="AR942" s="71" t="str">
        <f>IFERROR(__xludf.DUMMYFUNCTION("""COMPUTED_VALUE""")," PERFILADOR SENCILLO 18 CM ESP.")</f>
        <v>PERFILADOR SENCILLO 18 CM ESP.</v>
      </c>
      <c r="AS942" s="71" t="str">
        <f>IFERROR(__xludf.DUMMYFUNCTION("""COMPUTED_VALUE""")," PERFILADOR SENCILLO 18 CM ESP.")</f>
        <v>PERFILADOR SENCILLO 18 CM ESP.</v>
      </c>
      <c r="AT942" s="71">
        <f>IFERROR(__xludf.DUMMYFUNCTION("""COMPUTED_VALUE"""),30.0)</f>
        <v>30</v>
      </c>
      <c r="AU942" s="71"/>
      <c r="AV942" s="71"/>
      <c r="AW942" s="71"/>
      <c r="AX942" s="71"/>
      <c r="AY942" s="71">
        <f>IFERROR(__xludf.DUMMYFUNCTION("""COMPUTED_VALUE"""),478.0)</f>
        <v>478</v>
      </c>
      <c r="AZ942" s="71">
        <f>IFERROR(__xludf.DUMMYFUNCTION("""COMPUTED_VALUE"""),580.0)</f>
        <v>580</v>
      </c>
      <c r="BA942" s="71">
        <f>IFERROR(__xludf.DUMMYFUNCTION("""COMPUTED_VALUE"""),626.4000000000001)</f>
        <v>626.4</v>
      </c>
      <c r="BB942" s="71">
        <f>IFERROR(__xludf.DUMMYFUNCTION("""COMPUTED_VALUE"""),626.4000000000001)</f>
        <v>626.4</v>
      </c>
      <c r="BC942" s="71">
        <f>IFERROR(__xludf.DUMMYFUNCTION("""COMPUTED_VALUE"""),659.0)</f>
        <v>659</v>
      </c>
      <c r="BD942" s="71">
        <f>IFERROR(__xludf.DUMMYFUNCTION("""COMPUTED_VALUE"""),692.0)</f>
        <v>692</v>
      </c>
      <c r="BE942" s="71">
        <f>IFERROR(__xludf.DUMMYFUNCTION("""COMPUTED_VALUE"""),110.72)</f>
        <v>110.72</v>
      </c>
      <c r="BF942" s="71">
        <f>IFERROR(__xludf.DUMMYFUNCTION("""COMPUTED_VALUE"""),802.72)</f>
        <v>802.72</v>
      </c>
      <c r="BG942" s="71">
        <f>IFERROR(__xludf.DUMMYFUNCTION("""COMPUTED_VALUE"""),0.05007587253414264)</f>
        <v>0.05007587253</v>
      </c>
      <c r="BH942" s="71">
        <f>IFERROR(__xludf.DUMMYFUNCTION("""COMPUTED_VALUE"""),657.4)</f>
        <v>657.4</v>
      </c>
      <c r="BI942" s="71">
        <f>IFERROR(__xludf.DUMMYFUNCTION("""COMPUTED_VALUE"""),105.184)</f>
        <v>105.184</v>
      </c>
      <c r="BJ942" s="71">
        <f>IFERROR(__xludf.DUMMYFUNCTION("""COMPUTED_VALUE"""),762.584)</f>
        <v>762.584</v>
      </c>
      <c r="BK942" s="71">
        <f>IFERROR(__xludf.DUMMYFUNCTION("""COMPUTED_VALUE"""),622.8000000000001)</f>
        <v>622.8</v>
      </c>
      <c r="BL942" s="71">
        <f>IFERROR(__xludf.DUMMYFUNCTION("""COMPUTED_VALUE"""),99.64800000000001)</f>
        <v>99.648</v>
      </c>
      <c r="BM942" s="71">
        <f>IFERROR(__xludf.DUMMYFUNCTION("""COMPUTED_VALUE"""),722.4480000000001)</f>
        <v>722.448</v>
      </c>
      <c r="BN942" s="71">
        <f>IFERROR(__xludf.DUMMYFUNCTION("""COMPUTED_VALUE"""),588.1999999999999)</f>
        <v>588.2</v>
      </c>
      <c r="BO942" s="71">
        <f>IFERROR(__xludf.DUMMYFUNCTION("""COMPUTED_VALUE"""),94.112)</f>
        <v>94.112</v>
      </c>
      <c r="BP942" s="71">
        <f>IFERROR(__xludf.DUMMYFUNCTION("""COMPUTED_VALUE"""),682.3119999999999)</f>
        <v>682.312</v>
      </c>
      <c r="BQ942" s="71">
        <f>IFERROR(__xludf.DUMMYFUNCTION("""COMPUTED_VALUE"""),574.36)</f>
        <v>574.36</v>
      </c>
      <c r="BR942" s="71">
        <f>IFERROR(__xludf.DUMMYFUNCTION("""COMPUTED_VALUE"""),91.8976)</f>
        <v>91.8976</v>
      </c>
      <c r="BS942" s="71">
        <f>IFERROR(__xludf.DUMMYFUNCTION("""COMPUTED_VALUE"""),666.2576)</f>
        <v>666.2576</v>
      </c>
      <c r="BT942" s="71">
        <f>IFERROR(__xludf.DUMMYFUNCTION("""COMPUTED_VALUE"""),553.6)</f>
        <v>553.6</v>
      </c>
      <c r="BU942" s="71">
        <f>IFERROR(__xludf.DUMMYFUNCTION("""COMPUTED_VALUE"""),88.57600000000001)</f>
        <v>88.576</v>
      </c>
      <c r="BV942" s="71">
        <f>IFERROR(__xludf.DUMMYFUNCTION("""COMPUTED_VALUE"""),642.176)</f>
        <v>642.176</v>
      </c>
    </row>
    <row r="943">
      <c r="A943" s="53">
        <v>1.0</v>
      </c>
      <c r="B943" s="72"/>
      <c r="C943" s="73" t="s">
        <v>53</v>
      </c>
      <c r="D943" s="74" t="s">
        <v>2282</v>
      </c>
      <c r="E943" s="54" t="s">
        <v>38</v>
      </c>
      <c r="F943" s="54" t="s">
        <v>42</v>
      </c>
      <c r="G943" s="88" t="s">
        <v>2283</v>
      </c>
      <c r="H943" s="54" t="s">
        <v>2284</v>
      </c>
      <c r="I943" s="54">
        <f t="shared" si="24"/>
        <v>30</v>
      </c>
      <c r="J943" s="56"/>
      <c r="K943" s="75"/>
      <c r="L943" s="76"/>
      <c r="M943" s="59"/>
      <c r="N943" s="60">
        <v>392.0</v>
      </c>
      <c r="O943" s="61">
        <v>423.0</v>
      </c>
      <c r="P943" s="62">
        <v>456.84000000000003</v>
      </c>
      <c r="Q943" s="63">
        <v>456.84000000000003</v>
      </c>
      <c r="R943" s="64">
        <v>510.0</v>
      </c>
      <c r="S943" s="111">
        <v>536.0</v>
      </c>
      <c r="T943" s="65">
        <f t="shared" si="2"/>
        <v>85.76</v>
      </c>
      <c r="U943" s="65">
        <f t="shared" si="3"/>
        <v>621.76</v>
      </c>
      <c r="V943" s="66">
        <f t="shared" si="4"/>
        <v>0.05098039216</v>
      </c>
      <c r="W943" s="67">
        <f t="shared" si="5"/>
        <v>509.2</v>
      </c>
      <c r="X943" s="67">
        <f t="shared" si="6"/>
        <v>81.472</v>
      </c>
      <c r="Y943" s="67">
        <f t="shared" si="7"/>
        <v>590.672</v>
      </c>
      <c r="Z943" s="67">
        <f t="shared" si="8"/>
        <v>482.4</v>
      </c>
      <c r="AA943" s="67">
        <f t="shared" si="9"/>
        <v>77.184</v>
      </c>
      <c r="AB943" s="67">
        <f t="shared" si="10"/>
        <v>559.584</v>
      </c>
      <c r="AC943" s="67">
        <f t="shared" si="11"/>
        <v>455.6</v>
      </c>
      <c r="AD943" s="67">
        <f t="shared" si="12"/>
        <v>72.896</v>
      </c>
      <c r="AE943" s="67">
        <f t="shared" si="13"/>
        <v>528.496</v>
      </c>
      <c r="AF943" s="67">
        <f t="shared" si="33"/>
        <v>444.88</v>
      </c>
      <c r="AG943" s="67">
        <f t="shared" si="15"/>
        <v>71.1808</v>
      </c>
      <c r="AH943" s="67">
        <f t="shared" si="16"/>
        <v>516.0608</v>
      </c>
      <c r="AI943" s="67">
        <f t="shared" si="17"/>
        <v>428.8</v>
      </c>
      <c r="AJ943" s="68">
        <f t="shared" si="31"/>
        <v>68.608</v>
      </c>
      <c r="AK943" s="68">
        <f t="shared" si="32"/>
        <v>497.408</v>
      </c>
      <c r="AL943" s="70">
        <f>IFERROR(__xludf.DUMMYFUNCTION("""COMPUTED_VALUE"""),1.0)</f>
        <v>1</v>
      </c>
      <c r="AM943" s="70"/>
      <c r="AN943" s="71" t="str">
        <f>IFERROR(__xludf.DUMMYFUNCTION("""COMPUTED_VALUE""")," P")</f>
        <v>P</v>
      </c>
      <c r="AO943" s="71" t="str">
        <f>IFERROR(__xludf.DUMMYFUNCTION("""COMPUTED_VALUE""")," PE29")</f>
        <v>PE29</v>
      </c>
      <c r="AP943" s="71" t="str">
        <f>IFERROR(__xludf.DUMMYFUNCTION("""COMPUTED_VALUE""")," PZA")</f>
        <v>PZA</v>
      </c>
      <c r="AQ943" s="71" t="str">
        <f>IFERROR(__xludf.DUMMYFUNCTION("""COMPUTED_VALUE""")," REF")</f>
        <v>REF</v>
      </c>
      <c r="AR943" s="71" t="str">
        <f>IFERROR(__xludf.DUMMYFUNCTION("""COMPUTED_VALUE""")," PERFILADOR SENCILLO 18 CM T.PUE")</f>
        <v>PERFILADOR SENCILLO 18 CM T.PUE</v>
      </c>
      <c r="AS943" s="71" t="str">
        <f>IFERROR(__xludf.DUMMYFUNCTION("""COMPUTED_VALUE""")," PERFILADOR SENCILLO 18 CM T.PUE")</f>
        <v>PERFILADOR SENCILLO 18 CM T.PUE</v>
      </c>
      <c r="AT943" s="71">
        <f>IFERROR(__xludf.DUMMYFUNCTION("""COMPUTED_VALUE"""),31.0)</f>
        <v>31</v>
      </c>
      <c r="AU943" s="71"/>
      <c r="AV943" s="71"/>
      <c r="AW943" s="71"/>
      <c r="AX943" s="71"/>
      <c r="AY943" s="71">
        <f>IFERROR(__xludf.DUMMYFUNCTION("""COMPUTED_VALUE"""),478.0)</f>
        <v>478</v>
      </c>
      <c r="AZ943" s="71">
        <f>IFERROR(__xludf.DUMMYFUNCTION("""COMPUTED_VALUE"""),580.0)</f>
        <v>580</v>
      </c>
      <c r="BA943" s="71">
        <f>IFERROR(__xludf.DUMMYFUNCTION("""COMPUTED_VALUE"""),626.4000000000001)</f>
        <v>626.4</v>
      </c>
      <c r="BB943" s="71">
        <f>IFERROR(__xludf.DUMMYFUNCTION("""COMPUTED_VALUE"""),626.4000000000001)</f>
        <v>626.4</v>
      </c>
      <c r="BC943" s="71">
        <f>IFERROR(__xludf.DUMMYFUNCTION("""COMPUTED_VALUE"""),698.0)</f>
        <v>698</v>
      </c>
      <c r="BD943" s="71">
        <f>IFERROR(__xludf.DUMMYFUNCTION("""COMPUTED_VALUE"""),733.0)</f>
        <v>733</v>
      </c>
      <c r="BE943" s="71">
        <f>IFERROR(__xludf.DUMMYFUNCTION("""COMPUTED_VALUE"""),117.28)</f>
        <v>117.28</v>
      </c>
      <c r="BF943" s="71">
        <f>IFERROR(__xludf.DUMMYFUNCTION("""COMPUTED_VALUE"""),850.28)</f>
        <v>850.28</v>
      </c>
      <c r="BG943" s="71">
        <f>IFERROR(__xludf.DUMMYFUNCTION("""COMPUTED_VALUE"""),0.050143266475644696)</f>
        <v>0.05014326648</v>
      </c>
      <c r="BH943" s="71">
        <f>IFERROR(__xludf.DUMMYFUNCTION("""COMPUTED_VALUE"""),696.35)</f>
        <v>696.35</v>
      </c>
      <c r="BI943" s="71">
        <f>IFERROR(__xludf.DUMMYFUNCTION("""COMPUTED_VALUE"""),111.41600000000001)</f>
        <v>111.416</v>
      </c>
      <c r="BJ943" s="71">
        <f>IFERROR(__xludf.DUMMYFUNCTION("""COMPUTED_VALUE"""),807.7660000000001)</f>
        <v>807.766</v>
      </c>
      <c r="BK943" s="71">
        <f>IFERROR(__xludf.DUMMYFUNCTION("""COMPUTED_VALUE"""),659.7)</f>
        <v>659.7</v>
      </c>
      <c r="BL943" s="71">
        <f>IFERROR(__xludf.DUMMYFUNCTION("""COMPUTED_VALUE"""),105.552)</f>
        <v>105.552</v>
      </c>
      <c r="BM943" s="71">
        <f>IFERROR(__xludf.DUMMYFUNCTION("""COMPUTED_VALUE"""),765.2520000000001)</f>
        <v>765.252</v>
      </c>
      <c r="BN943" s="71">
        <f>IFERROR(__xludf.DUMMYFUNCTION("""COMPUTED_VALUE"""),623.05)</f>
        <v>623.05</v>
      </c>
      <c r="BO943" s="71">
        <f>IFERROR(__xludf.DUMMYFUNCTION("""COMPUTED_VALUE"""),99.68799999999999)</f>
        <v>99.688</v>
      </c>
      <c r="BP943" s="71">
        <f>IFERROR(__xludf.DUMMYFUNCTION("""COMPUTED_VALUE"""),722.7379999999999)</f>
        <v>722.738</v>
      </c>
      <c r="BQ943" s="71">
        <f>IFERROR(__xludf.DUMMYFUNCTION("""COMPUTED_VALUE"""),608.39)</f>
        <v>608.39</v>
      </c>
      <c r="BR943" s="71">
        <f>IFERROR(__xludf.DUMMYFUNCTION("""COMPUTED_VALUE"""),97.3424)</f>
        <v>97.3424</v>
      </c>
      <c r="BS943" s="71">
        <f>IFERROR(__xludf.DUMMYFUNCTION("""COMPUTED_VALUE"""),705.7324)</f>
        <v>705.7324</v>
      </c>
      <c r="BT943" s="71">
        <f>IFERROR(__xludf.DUMMYFUNCTION("""COMPUTED_VALUE"""),586.4)</f>
        <v>586.4</v>
      </c>
      <c r="BU943" s="71">
        <f>IFERROR(__xludf.DUMMYFUNCTION("""COMPUTED_VALUE"""),93.824)</f>
        <v>93.824</v>
      </c>
      <c r="BV943" s="71">
        <f>IFERROR(__xludf.DUMMYFUNCTION("""COMPUTED_VALUE"""),680.2239999999999)</f>
        <v>680.224</v>
      </c>
    </row>
    <row r="944">
      <c r="A944" s="53">
        <v>1.0</v>
      </c>
      <c r="B944" s="72"/>
      <c r="C944" s="73" t="s">
        <v>53</v>
      </c>
      <c r="D944" s="74" t="s">
        <v>2285</v>
      </c>
      <c r="E944" s="54" t="s">
        <v>38</v>
      </c>
      <c r="F944" s="54" t="s">
        <v>42</v>
      </c>
      <c r="G944" s="88" t="s">
        <v>2286</v>
      </c>
      <c r="H944" s="54" t="s">
        <v>2287</v>
      </c>
      <c r="I944" s="54">
        <f t="shared" si="24"/>
        <v>32</v>
      </c>
      <c r="J944" s="56"/>
      <c r="K944" s="75"/>
      <c r="L944" s="76"/>
      <c r="M944" s="59"/>
      <c r="N944" s="60">
        <v>175.0</v>
      </c>
      <c r="O944" s="61">
        <v>189.0</v>
      </c>
      <c r="P944" s="62">
        <v>204.12</v>
      </c>
      <c r="Q944" s="63">
        <v>204.12</v>
      </c>
      <c r="R944" s="64">
        <v>228.0</v>
      </c>
      <c r="S944" s="111">
        <v>239.0</v>
      </c>
      <c r="T944" s="65">
        <f t="shared" si="2"/>
        <v>38.24</v>
      </c>
      <c r="U944" s="65">
        <f t="shared" si="3"/>
        <v>277.24</v>
      </c>
      <c r="V944" s="66">
        <f t="shared" si="4"/>
        <v>0.04824561404</v>
      </c>
      <c r="W944" s="67">
        <f t="shared" si="5"/>
        <v>227.05</v>
      </c>
      <c r="X944" s="67">
        <f t="shared" si="6"/>
        <v>36.328</v>
      </c>
      <c r="Y944" s="67">
        <f t="shared" si="7"/>
        <v>263.378</v>
      </c>
      <c r="Z944" s="67">
        <f t="shared" si="8"/>
        <v>215.1</v>
      </c>
      <c r="AA944" s="67">
        <f t="shared" si="9"/>
        <v>34.416</v>
      </c>
      <c r="AB944" s="67">
        <f t="shared" si="10"/>
        <v>249.516</v>
      </c>
      <c r="AC944" s="67">
        <f t="shared" si="11"/>
        <v>203.15</v>
      </c>
      <c r="AD944" s="67">
        <f t="shared" si="12"/>
        <v>32.504</v>
      </c>
      <c r="AE944" s="67">
        <f t="shared" si="13"/>
        <v>235.654</v>
      </c>
      <c r="AF944" s="67">
        <f t="shared" si="33"/>
        <v>198.37</v>
      </c>
      <c r="AG944" s="67">
        <f t="shared" si="15"/>
        <v>31.7392</v>
      </c>
      <c r="AH944" s="67">
        <f t="shared" si="16"/>
        <v>230.1092</v>
      </c>
      <c r="AI944" s="67">
        <f t="shared" si="17"/>
        <v>191.2</v>
      </c>
      <c r="AJ944" s="68">
        <f t="shared" si="31"/>
        <v>30.592</v>
      </c>
      <c r="AK944" s="68">
        <f t="shared" si="32"/>
        <v>221.792</v>
      </c>
      <c r="AL944" s="70">
        <f>IFERROR(__xludf.DUMMYFUNCTION("""COMPUTED_VALUE"""),1.0)</f>
        <v>1</v>
      </c>
      <c r="AM944" s="70"/>
      <c r="AN944" s="71" t="str">
        <f>IFERROR(__xludf.DUMMYFUNCTION("""COMPUTED_VALUE""")," P")</f>
        <v>P</v>
      </c>
      <c r="AO944" s="71" t="str">
        <f>IFERROR(__xludf.DUMMYFUNCTION("""COMPUTED_VALUE""")," PE32")</f>
        <v>PE32</v>
      </c>
      <c r="AP944" s="71" t="str">
        <f>IFERROR(__xludf.DUMMYFUNCTION("""COMPUTED_VALUE""")," PZA")</f>
        <v>PZA</v>
      </c>
      <c r="AQ944" s="71" t="str">
        <f>IFERROR(__xludf.DUMMYFUNCTION("""COMPUTED_VALUE""")," REF")</f>
        <v>REF</v>
      </c>
      <c r="AR944" s="71" t="str">
        <f>IFERROR(__xludf.DUMMYFUNCTION("""COMPUTED_VALUE""")," PERFILADOR SENCILLO 20 CM ESP.")</f>
        <v>PERFILADOR SENCILLO 20 CM ESP.</v>
      </c>
      <c r="AS944" s="71" t="str">
        <f>IFERROR(__xludf.DUMMYFUNCTION("""COMPUTED_VALUE""")," PERFILADOR SENCILLO 20 CM ESP.")</f>
        <v>PERFILADOR SENCILLO 20 CM ESP.</v>
      </c>
      <c r="AT944" s="71">
        <f>IFERROR(__xludf.DUMMYFUNCTION("""COMPUTED_VALUE"""),30.0)</f>
        <v>30</v>
      </c>
      <c r="AU944" s="71"/>
      <c r="AV944" s="71"/>
      <c r="AW944" s="71"/>
      <c r="AX944" s="71"/>
      <c r="AY944" s="71">
        <f>IFERROR(__xludf.DUMMYFUNCTION("""COMPUTED_VALUE"""),478.0)</f>
        <v>478</v>
      </c>
      <c r="AZ944" s="71">
        <f>IFERROR(__xludf.DUMMYFUNCTION("""COMPUTED_VALUE"""),580.0)</f>
        <v>580</v>
      </c>
      <c r="BA944" s="71">
        <f>IFERROR(__xludf.DUMMYFUNCTION("""COMPUTED_VALUE"""),626.4000000000001)</f>
        <v>626.4</v>
      </c>
      <c r="BB944" s="71">
        <f>IFERROR(__xludf.DUMMYFUNCTION("""COMPUTED_VALUE"""),626.4000000000001)</f>
        <v>626.4</v>
      </c>
      <c r="BC944" s="71">
        <f>IFERROR(__xludf.DUMMYFUNCTION("""COMPUTED_VALUE"""),659.0)</f>
        <v>659</v>
      </c>
      <c r="BD944" s="71">
        <f>IFERROR(__xludf.DUMMYFUNCTION("""COMPUTED_VALUE"""),692.0)</f>
        <v>692</v>
      </c>
      <c r="BE944" s="71">
        <f>IFERROR(__xludf.DUMMYFUNCTION("""COMPUTED_VALUE"""),110.72)</f>
        <v>110.72</v>
      </c>
      <c r="BF944" s="71">
        <f>IFERROR(__xludf.DUMMYFUNCTION("""COMPUTED_VALUE"""),802.72)</f>
        <v>802.72</v>
      </c>
      <c r="BG944" s="71">
        <f>IFERROR(__xludf.DUMMYFUNCTION("""COMPUTED_VALUE"""),0.05007587253414264)</f>
        <v>0.05007587253</v>
      </c>
      <c r="BH944" s="71">
        <f>IFERROR(__xludf.DUMMYFUNCTION("""COMPUTED_VALUE"""),657.4)</f>
        <v>657.4</v>
      </c>
      <c r="BI944" s="71">
        <f>IFERROR(__xludf.DUMMYFUNCTION("""COMPUTED_VALUE"""),105.184)</f>
        <v>105.184</v>
      </c>
      <c r="BJ944" s="71">
        <f>IFERROR(__xludf.DUMMYFUNCTION("""COMPUTED_VALUE"""),762.584)</f>
        <v>762.584</v>
      </c>
      <c r="BK944" s="71">
        <f>IFERROR(__xludf.DUMMYFUNCTION("""COMPUTED_VALUE"""),622.8000000000001)</f>
        <v>622.8</v>
      </c>
      <c r="BL944" s="71">
        <f>IFERROR(__xludf.DUMMYFUNCTION("""COMPUTED_VALUE"""),99.64800000000001)</f>
        <v>99.648</v>
      </c>
      <c r="BM944" s="71">
        <f>IFERROR(__xludf.DUMMYFUNCTION("""COMPUTED_VALUE"""),722.4480000000001)</f>
        <v>722.448</v>
      </c>
      <c r="BN944" s="71">
        <f>IFERROR(__xludf.DUMMYFUNCTION("""COMPUTED_VALUE"""),588.1999999999999)</f>
        <v>588.2</v>
      </c>
      <c r="BO944" s="71">
        <f>IFERROR(__xludf.DUMMYFUNCTION("""COMPUTED_VALUE"""),94.112)</f>
        <v>94.112</v>
      </c>
      <c r="BP944" s="71">
        <f>IFERROR(__xludf.DUMMYFUNCTION("""COMPUTED_VALUE"""),682.3119999999999)</f>
        <v>682.312</v>
      </c>
      <c r="BQ944" s="71">
        <f>IFERROR(__xludf.DUMMYFUNCTION("""COMPUTED_VALUE"""),574.36)</f>
        <v>574.36</v>
      </c>
      <c r="BR944" s="71">
        <f>IFERROR(__xludf.DUMMYFUNCTION("""COMPUTED_VALUE"""),91.8976)</f>
        <v>91.8976</v>
      </c>
      <c r="BS944" s="71">
        <f>IFERROR(__xludf.DUMMYFUNCTION("""COMPUTED_VALUE"""),666.2576)</f>
        <v>666.2576</v>
      </c>
      <c r="BT944" s="71">
        <f>IFERROR(__xludf.DUMMYFUNCTION("""COMPUTED_VALUE"""),553.6)</f>
        <v>553.6</v>
      </c>
      <c r="BU944" s="71">
        <f>IFERROR(__xludf.DUMMYFUNCTION("""COMPUTED_VALUE"""),88.57600000000001)</f>
        <v>88.576</v>
      </c>
      <c r="BV944" s="71">
        <f>IFERROR(__xludf.DUMMYFUNCTION("""COMPUTED_VALUE"""),642.176)</f>
        <v>642.176</v>
      </c>
    </row>
    <row r="945">
      <c r="A945" s="53">
        <v>1.0</v>
      </c>
      <c r="B945" s="72"/>
      <c r="C945" s="73" t="s">
        <v>53</v>
      </c>
      <c r="D945" s="74" t="s">
        <v>2288</v>
      </c>
      <c r="E945" s="54" t="s">
        <v>38</v>
      </c>
      <c r="F945" s="54" t="s">
        <v>42</v>
      </c>
      <c r="G945" s="88" t="s">
        <v>2289</v>
      </c>
      <c r="H945" s="54" t="s">
        <v>2290</v>
      </c>
      <c r="I945" s="54">
        <f t="shared" si="24"/>
        <v>34</v>
      </c>
      <c r="J945" s="56"/>
      <c r="K945" s="75"/>
      <c r="L945" s="76"/>
      <c r="M945" s="59"/>
      <c r="N945" s="60">
        <v>291.0</v>
      </c>
      <c r="O945" s="61">
        <v>314.0</v>
      </c>
      <c r="P945" s="62">
        <v>339.12</v>
      </c>
      <c r="Q945" s="63">
        <v>339.12</v>
      </c>
      <c r="R945" s="64">
        <v>378.0</v>
      </c>
      <c r="S945" s="111">
        <v>397.0</v>
      </c>
      <c r="T945" s="65">
        <f t="shared" si="2"/>
        <v>63.52</v>
      </c>
      <c r="U945" s="65">
        <f t="shared" si="3"/>
        <v>460.52</v>
      </c>
      <c r="V945" s="66">
        <f t="shared" si="4"/>
        <v>0.05026455026</v>
      </c>
      <c r="W945" s="67">
        <f t="shared" si="5"/>
        <v>377.15</v>
      </c>
      <c r="X945" s="67">
        <f t="shared" si="6"/>
        <v>60.344</v>
      </c>
      <c r="Y945" s="67">
        <f t="shared" si="7"/>
        <v>437.494</v>
      </c>
      <c r="Z945" s="67">
        <f t="shared" si="8"/>
        <v>357.3</v>
      </c>
      <c r="AA945" s="67">
        <f t="shared" si="9"/>
        <v>57.168</v>
      </c>
      <c r="AB945" s="67">
        <f t="shared" si="10"/>
        <v>414.468</v>
      </c>
      <c r="AC945" s="67">
        <f t="shared" si="11"/>
        <v>337.45</v>
      </c>
      <c r="AD945" s="67">
        <f t="shared" si="12"/>
        <v>53.992</v>
      </c>
      <c r="AE945" s="67">
        <f t="shared" si="13"/>
        <v>391.442</v>
      </c>
      <c r="AF945" s="67">
        <f t="shared" si="33"/>
        <v>329.51</v>
      </c>
      <c r="AG945" s="67">
        <f t="shared" si="15"/>
        <v>52.7216</v>
      </c>
      <c r="AH945" s="67">
        <f t="shared" si="16"/>
        <v>382.2316</v>
      </c>
      <c r="AI945" s="67">
        <f t="shared" si="17"/>
        <v>317.6</v>
      </c>
      <c r="AJ945" s="68">
        <f t="shared" si="31"/>
        <v>50.816</v>
      </c>
      <c r="AK945" s="68">
        <f t="shared" si="32"/>
        <v>368.416</v>
      </c>
      <c r="AL945" s="70">
        <f>IFERROR(__xludf.DUMMYFUNCTION("""COMPUTED_VALUE"""),1.0)</f>
        <v>1</v>
      </c>
      <c r="AM945" s="70"/>
      <c r="AN945" s="71" t="str">
        <f>IFERROR(__xludf.DUMMYFUNCTION("""COMPUTED_VALUE""")," P")</f>
        <v>P</v>
      </c>
      <c r="AO945" s="71" t="str">
        <f>IFERROR(__xludf.DUMMYFUNCTION("""COMPUTED_VALUE""")," PE33")</f>
        <v>PE33</v>
      </c>
      <c r="AP945" s="71" t="str">
        <f>IFERROR(__xludf.DUMMYFUNCTION("""COMPUTED_VALUE""")," PZA")</f>
        <v>PZA</v>
      </c>
      <c r="AQ945" s="71" t="str">
        <f>IFERROR(__xludf.DUMMYFUNCTION("""COMPUTED_VALUE""")," REF")</f>
        <v>REF</v>
      </c>
      <c r="AR945" s="71" t="str">
        <f>IFERROR(__xludf.DUMMYFUNCTION("""COMPUTED_VALUE""")," PERFILADOR SENCILLO 20 CM T.PUE")</f>
        <v>PERFILADOR SENCILLO 20 CM T.PUE</v>
      </c>
      <c r="AS945" s="71" t="str">
        <f>IFERROR(__xludf.DUMMYFUNCTION("""COMPUTED_VALUE""")," PERFILADOR SENCILLO 20 CM T.PUE")</f>
        <v>PERFILADOR SENCILLO 20 CM T.PUE</v>
      </c>
      <c r="AT945" s="71">
        <f>IFERROR(__xludf.DUMMYFUNCTION("""COMPUTED_VALUE"""),31.0)</f>
        <v>31</v>
      </c>
      <c r="AU945" s="71"/>
      <c r="AV945" s="71"/>
      <c r="AW945" s="71"/>
      <c r="AX945" s="71"/>
      <c r="AY945" s="71">
        <f>IFERROR(__xludf.DUMMYFUNCTION("""COMPUTED_VALUE"""),478.0)</f>
        <v>478</v>
      </c>
      <c r="AZ945" s="71">
        <f>IFERROR(__xludf.DUMMYFUNCTION("""COMPUTED_VALUE"""),580.0)</f>
        <v>580</v>
      </c>
      <c r="BA945" s="71">
        <f>IFERROR(__xludf.DUMMYFUNCTION("""COMPUTED_VALUE"""),626.4000000000001)</f>
        <v>626.4</v>
      </c>
      <c r="BB945" s="71">
        <f>IFERROR(__xludf.DUMMYFUNCTION("""COMPUTED_VALUE"""),626.4000000000001)</f>
        <v>626.4</v>
      </c>
      <c r="BC945" s="71">
        <f>IFERROR(__xludf.DUMMYFUNCTION("""COMPUTED_VALUE"""),698.0)</f>
        <v>698</v>
      </c>
      <c r="BD945" s="71">
        <f>IFERROR(__xludf.DUMMYFUNCTION("""COMPUTED_VALUE"""),733.0)</f>
        <v>733</v>
      </c>
      <c r="BE945" s="71">
        <f>IFERROR(__xludf.DUMMYFUNCTION("""COMPUTED_VALUE"""),117.28)</f>
        <v>117.28</v>
      </c>
      <c r="BF945" s="71">
        <f>IFERROR(__xludf.DUMMYFUNCTION("""COMPUTED_VALUE"""),850.28)</f>
        <v>850.28</v>
      </c>
      <c r="BG945" s="71">
        <f>IFERROR(__xludf.DUMMYFUNCTION("""COMPUTED_VALUE"""),0.050143266475644696)</f>
        <v>0.05014326648</v>
      </c>
      <c r="BH945" s="71">
        <f>IFERROR(__xludf.DUMMYFUNCTION("""COMPUTED_VALUE"""),696.35)</f>
        <v>696.35</v>
      </c>
      <c r="BI945" s="71">
        <f>IFERROR(__xludf.DUMMYFUNCTION("""COMPUTED_VALUE"""),111.41600000000001)</f>
        <v>111.416</v>
      </c>
      <c r="BJ945" s="71">
        <f>IFERROR(__xludf.DUMMYFUNCTION("""COMPUTED_VALUE"""),807.7660000000001)</f>
        <v>807.766</v>
      </c>
      <c r="BK945" s="71">
        <f>IFERROR(__xludf.DUMMYFUNCTION("""COMPUTED_VALUE"""),659.7)</f>
        <v>659.7</v>
      </c>
      <c r="BL945" s="71">
        <f>IFERROR(__xludf.DUMMYFUNCTION("""COMPUTED_VALUE"""),105.552)</f>
        <v>105.552</v>
      </c>
      <c r="BM945" s="71">
        <f>IFERROR(__xludf.DUMMYFUNCTION("""COMPUTED_VALUE"""),765.2520000000001)</f>
        <v>765.252</v>
      </c>
      <c r="BN945" s="71">
        <f>IFERROR(__xludf.DUMMYFUNCTION("""COMPUTED_VALUE"""),623.05)</f>
        <v>623.05</v>
      </c>
      <c r="BO945" s="71">
        <f>IFERROR(__xludf.DUMMYFUNCTION("""COMPUTED_VALUE"""),99.68799999999999)</f>
        <v>99.688</v>
      </c>
      <c r="BP945" s="71">
        <f>IFERROR(__xludf.DUMMYFUNCTION("""COMPUTED_VALUE"""),722.7379999999999)</f>
        <v>722.738</v>
      </c>
      <c r="BQ945" s="71">
        <f>IFERROR(__xludf.DUMMYFUNCTION("""COMPUTED_VALUE"""),608.39)</f>
        <v>608.39</v>
      </c>
      <c r="BR945" s="71">
        <f>IFERROR(__xludf.DUMMYFUNCTION("""COMPUTED_VALUE"""),97.3424)</f>
        <v>97.3424</v>
      </c>
      <c r="BS945" s="71">
        <f>IFERROR(__xludf.DUMMYFUNCTION("""COMPUTED_VALUE"""),705.7324)</f>
        <v>705.7324</v>
      </c>
      <c r="BT945" s="71">
        <f>IFERROR(__xludf.DUMMYFUNCTION("""COMPUTED_VALUE"""),586.4)</f>
        <v>586.4</v>
      </c>
      <c r="BU945" s="71">
        <f>IFERROR(__xludf.DUMMYFUNCTION("""COMPUTED_VALUE"""),93.824)</f>
        <v>93.824</v>
      </c>
      <c r="BV945" s="71">
        <f>IFERROR(__xludf.DUMMYFUNCTION("""COMPUTED_VALUE"""),680.2239999999999)</f>
        <v>680.224</v>
      </c>
    </row>
    <row r="946">
      <c r="A946" s="53">
        <v>1.0</v>
      </c>
      <c r="B946" s="72"/>
      <c r="C946" s="73" t="s">
        <v>53</v>
      </c>
      <c r="D946" s="74" t="s">
        <v>2291</v>
      </c>
      <c r="E946" s="54" t="s">
        <v>38</v>
      </c>
      <c r="F946" s="54" t="s">
        <v>42</v>
      </c>
      <c r="G946" s="88" t="s">
        <v>2292</v>
      </c>
      <c r="H946" s="54" t="s">
        <v>2292</v>
      </c>
      <c r="I946" s="54">
        <f t="shared" si="24"/>
        <v>36</v>
      </c>
      <c r="J946" s="56"/>
      <c r="K946" s="75"/>
      <c r="L946" s="76"/>
      <c r="M946" s="59"/>
      <c r="N946" s="60">
        <v>126.0</v>
      </c>
      <c r="O946" s="61">
        <v>136.0</v>
      </c>
      <c r="P946" s="62">
        <v>146.88</v>
      </c>
      <c r="Q946" s="63">
        <v>146.88</v>
      </c>
      <c r="R946" s="64">
        <v>164.0</v>
      </c>
      <c r="S946" s="65">
        <v>137.6</v>
      </c>
      <c r="T946" s="65">
        <f t="shared" si="2"/>
        <v>22.016</v>
      </c>
      <c r="U946" s="65">
        <f t="shared" si="3"/>
        <v>159.616</v>
      </c>
      <c r="V946" s="66">
        <f t="shared" si="4"/>
        <v>-0.1609756098</v>
      </c>
      <c r="W946" s="67">
        <f t="shared" si="5"/>
        <v>130.72</v>
      </c>
      <c r="X946" s="67">
        <f t="shared" si="6"/>
        <v>20.9152</v>
      </c>
      <c r="Y946" s="67">
        <f t="shared" si="7"/>
        <v>151.6352</v>
      </c>
      <c r="Z946" s="67">
        <f t="shared" si="8"/>
        <v>123.84</v>
      </c>
      <c r="AA946" s="67">
        <f t="shared" si="9"/>
        <v>19.8144</v>
      </c>
      <c r="AB946" s="67">
        <f t="shared" si="10"/>
        <v>143.6544</v>
      </c>
      <c r="AC946" s="67">
        <f t="shared" si="11"/>
        <v>116.96</v>
      </c>
      <c r="AD946" s="67">
        <f t="shared" si="12"/>
        <v>18.7136</v>
      </c>
      <c r="AE946" s="67">
        <f t="shared" si="13"/>
        <v>135.6736</v>
      </c>
      <c r="AF946" s="67">
        <f t="shared" si="33"/>
        <v>114.208</v>
      </c>
      <c r="AG946" s="67">
        <f t="shared" si="15"/>
        <v>18.27328</v>
      </c>
      <c r="AH946" s="67">
        <f t="shared" si="16"/>
        <v>132.48128</v>
      </c>
      <c r="AI946" s="67">
        <f t="shared" si="17"/>
        <v>110.08</v>
      </c>
      <c r="AJ946" s="68">
        <f t="shared" si="31"/>
        <v>17.6128</v>
      </c>
      <c r="AK946" s="68">
        <f t="shared" si="32"/>
        <v>127.6928</v>
      </c>
      <c r="AL946" s="70">
        <f>IFERROR(__xludf.DUMMYFUNCTION("""COMPUTED_VALUE"""),1.0)</f>
        <v>1</v>
      </c>
      <c r="AM946" s="70"/>
      <c r="AN946" s="71" t="str">
        <f>IFERROR(__xludf.DUMMYFUNCTION("""COMPUTED_VALUE""")," CP")</f>
        <v>CP</v>
      </c>
      <c r="AO946" s="71" t="str">
        <f>IFERROR(__xludf.DUMMYFUNCTION("""COMPUTED_VALUE""")," PR01")</f>
        <v>PR01</v>
      </c>
      <c r="AP946" s="71" t="str">
        <f>IFERROR(__xludf.DUMMYFUNCTION("""COMPUTED_VALUE""")," PZA")</f>
        <v>PZA</v>
      </c>
      <c r="AQ946" s="71" t="str">
        <f>IFERROR(__xludf.DUMMYFUNCTION("""COMPUTED_VALUE""")," REF")</f>
        <v>REF</v>
      </c>
      <c r="AR946" s="71" t="str">
        <f>IFERROR(__xludf.DUMMYFUNCTION("""COMPUTED_VALUE""")," PERILLA DE ALUMINIO PARA TAPA")</f>
        <v>PERILLA DE ALUMINIO PARA TAPA</v>
      </c>
      <c r="AS946" s="71" t="str">
        <f>IFERROR(__xludf.DUMMYFUNCTION("""COMPUTED_VALUE""")," PERILLA DE ALUMINIO PARA TAPA")</f>
        <v>PERILLA DE ALUMINIO PARA TAPA</v>
      </c>
      <c r="AT946" s="71">
        <f>IFERROR(__xludf.DUMMYFUNCTION("""COMPUTED_VALUE"""),29.0)</f>
        <v>29</v>
      </c>
      <c r="AU946" s="71"/>
      <c r="AV946" s="71"/>
      <c r="AW946" s="71"/>
      <c r="AX946" s="71"/>
      <c r="AY946" s="71">
        <f>IFERROR(__xludf.DUMMYFUNCTION("""COMPUTED_VALUE"""),34.0)</f>
        <v>34</v>
      </c>
      <c r="AZ946" s="71">
        <f>IFERROR(__xludf.DUMMYFUNCTION("""COMPUTED_VALUE"""),36.0)</f>
        <v>36</v>
      </c>
      <c r="BA946" s="71">
        <f>IFERROR(__xludf.DUMMYFUNCTION("""COMPUTED_VALUE"""),38.88)</f>
        <v>38.88</v>
      </c>
      <c r="BB946" s="71">
        <f>IFERROR(__xludf.DUMMYFUNCTION("""COMPUTED_VALUE"""),38.88)</f>
        <v>38.88</v>
      </c>
      <c r="BC946" s="71">
        <f>IFERROR(__xludf.DUMMYFUNCTION("""COMPUTED_VALUE"""),45.0)</f>
        <v>45</v>
      </c>
      <c r="BD946" s="71">
        <f>IFERROR(__xludf.DUMMYFUNCTION("""COMPUTED_VALUE"""),47.0)</f>
        <v>47</v>
      </c>
      <c r="BE946" s="71">
        <f>IFERROR(__xludf.DUMMYFUNCTION("""COMPUTED_VALUE"""),7.5200000000000005)</f>
        <v>7.52</v>
      </c>
      <c r="BF946" s="71">
        <f>IFERROR(__xludf.DUMMYFUNCTION("""COMPUTED_VALUE"""),54.52)</f>
        <v>54.52</v>
      </c>
      <c r="BG946" s="71">
        <f>IFERROR(__xludf.DUMMYFUNCTION("""COMPUTED_VALUE"""),0.044444444444444446)</f>
        <v>0.04444444444</v>
      </c>
      <c r="BH946" s="71">
        <f>IFERROR(__xludf.DUMMYFUNCTION("""COMPUTED_VALUE"""),44.65)</f>
        <v>44.65</v>
      </c>
      <c r="BI946" s="71">
        <f>IFERROR(__xludf.DUMMYFUNCTION("""COMPUTED_VALUE"""),7.144)</f>
        <v>7.144</v>
      </c>
      <c r="BJ946" s="71">
        <f>IFERROR(__xludf.DUMMYFUNCTION("""COMPUTED_VALUE"""),51.794)</f>
        <v>51.794</v>
      </c>
      <c r="BK946" s="71">
        <f>IFERROR(__xludf.DUMMYFUNCTION("""COMPUTED_VALUE"""),42.300000000000004)</f>
        <v>42.3</v>
      </c>
      <c r="BL946" s="71">
        <f>IFERROR(__xludf.DUMMYFUNCTION("""COMPUTED_VALUE"""),6.768000000000001)</f>
        <v>6.768</v>
      </c>
      <c r="BM946" s="71">
        <f>IFERROR(__xludf.DUMMYFUNCTION("""COMPUTED_VALUE"""),49.068000000000005)</f>
        <v>49.068</v>
      </c>
      <c r="BN946" s="71">
        <f>IFERROR(__xludf.DUMMYFUNCTION("""COMPUTED_VALUE"""),39.949999999999996)</f>
        <v>39.95</v>
      </c>
      <c r="BO946" s="71">
        <f>IFERROR(__xludf.DUMMYFUNCTION("""COMPUTED_VALUE"""),6.3919999999999995)</f>
        <v>6.392</v>
      </c>
      <c r="BP946" s="71">
        <f>IFERROR(__xludf.DUMMYFUNCTION("""COMPUTED_VALUE"""),46.342)</f>
        <v>46.342</v>
      </c>
      <c r="BQ946" s="71">
        <f>IFERROR(__xludf.DUMMYFUNCTION("""COMPUTED_VALUE"""),39.01)</f>
        <v>39.01</v>
      </c>
      <c r="BR946" s="71">
        <f>IFERROR(__xludf.DUMMYFUNCTION("""COMPUTED_VALUE"""),6.2416)</f>
        <v>6.2416</v>
      </c>
      <c r="BS946" s="71">
        <f>IFERROR(__xludf.DUMMYFUNCTION("""COMPUTED_VALUE"""),45.251599999999996)</f>
        <v>45.2516</v>
      </c>
      <c r="BT946" s="71">
        <f>IFERROR(__xludf.DUMMYFUNCTION("""COMPUTED_VALUE"""),37.6)</f>
        <v>37.6</v>
      </c>
      <c r="BU946" s="71">
        <f>IFERROR(__xludf.DUMMYFUNCTION("""COMPUTED_VALUE"""),6.016)</f>
        <v>6.016</v>
      </c>
      <c r="BV946" s="71">
        <f>IFERROR(__xludf.DUMMYFUNCTION("""COMPUTED_VALUE"""),43.616)</f>
        <v>43.616</v>
      </c>
    </row>
    <row r="947">
      <c r="A947" s="53">
        <v>1.0</v>
      </c>
      <c r="B947" s="72"/>
      <c r="C947" s="73" t="s">
        <v>53</v>
      </c>
      <c r="D947" s="74" t="s">
        <v>2293</v>
      </c>
      <c r="E947" s="54" t="s">
        <v>38</v>
      </c>
      <c r="F947" s="54" t="s">
        <v>42</v>
      </c>
      <c r="G947" s="88" t="s">
        <v>2294</v>
      </c>
      <c r="H947" s="54" t="s">
        <v>2294</v>
      </c>
      <c r="I947" s="54">
        <f t="shared" si="24"/>
        <v>36</v>
      </c>
      <c r="J947" s="56"/>
      <c r="K947" s="75"/>
      <c r="L947" s="87"/>
      <c r="M947" s="59"/>
      <c r="N947" s="60">
        <v>254.0</v>
      </c>
      <c r="O947" s="61">
        <v>274.0</v>
      </c>
      <c r="P947" s="62">
        <v>295.92</v>
      </c>
      <c r="Q947" s="63">
        <v>295.92</v>
      </c>
      <c r="R947" s="64">
        <v>330.0</v>
      </c>
      <c r="S947" s="111">
        <v>347.0</v>
      </c>
      <c r="T947" s="65">
        <f t="shared" si="2"/>
        <v>55.52</v>
      </c>
      <c r="U947" s="65">
        <f t="shared" si="3"/>
        <v>402.52</v>
      </c>
      <c r="V947" s="66">
        <f t="shared" si="4"/>
        <v>0.05151515152</v>
      </c>
      <c r="W947" s="67">
        <f t="shared" si="5"/>
        <v>329.65</v>
      </c>
      <c r="X947" s="67">
        <f t="shared" si="6"/>
        <v>52.744</v>
      </c>
      <c r="Y947" s="67">
        <f t="shared" si="7"/>
        <v>382.394</v>
      </c>
      <c r="Z947" s="67">
        <f t="shared" si="8"/>
        <v>312.3</v>
      </c>
      <c r="AA947" s="67">
        <f t="shared" si="9"/>
        <v>49.968</v>
      </c>
      <c r="AB947" s="67">
        <f t="shared" si="10"/>
        <v>362.268</v>
      </c>
      <c r="AC947" s="67">
        <f t="shared" si="11"/>
        <v>294.95</v>
      </c>
      <c r="AD947" s="67">
        <f t="shared" si="12"/>
        <v>47.192</v>
      </c>
      <c r="AE947" s="67">
        <f t="shared" si="13"/>
        <v>342.142</v>
      </c>
      <c r="AF947" s="67">
        <f t="shared" si="33"/>
        <v>288.01</v>
      </c>
      <c r="AG947" s="67">
        <f t="shared" si="15"/>
        <v>46.0816</v>
      </c>
      <c r="AH947" s="67">
        <f t="shared" si="16"/>
        <v>334.0916</v>
      </c>
      <c r="AI947" s="67">
        <f t="shared" si="17"/>
        <v>277.6</v>
      </c>
      <c r="AJ947" s="68">
        <f t="shared" si="31"/>
        <v>44.416</v>
      </c>
      <c r="AK947" s="68">
        <f t="shared" si="32"/>
        <v>322.016</v>
      </c>
      <c r="AL947" s="70">
        <f>IFERROR(__xludf.DUMMYFUNCTION("""COMPUTED_VALUE"""),1.0)</f>
        <v>1</v>
      </c>
      <c r="AM947" s="70"/>
      <c r="AN947" s="71" t="str">
        <f>IFERROR(__xludf.DUMMYFUNCTION("""COMPUTED_VALUE""")," P")</f>
        <v>P</v>
      </c>
      <c r="AO947" s="71" t="str">
        <f>IFERROR(__xludf.DUMMYFUNCTION("""COMPUTED_VALUE""")," PR02")</f>
        <v>PR02</v>
      </c>
      <c r="AP947" s="71" t="str">
        <f>IFERROR(__xludf.DUMMYFUNCTION("""COMPUTED_VALUE""")," PZA")</f>
        <v>PZA</v>
      </c>
      <c r="AQ947" s="71" t="str">
        <f>IFERROR(__xludf.DUMMYFUNCTION("""COMPUTED_VALUE""")," REF")</f>
        <v>REF</v>
      </c>
      <c r="AR947" s="71" t="str">
        <f>IFERROR(__xludf.DUMMYFUNCTION("""COMPUTED_VALUE""")," PERILLA DE BRONCE CON BARRENO 5/16 PARA LENGÜETA")</f>
        <v>PERILLA DE BRONCE CON BARRENO 5/16 PARA LENGÜETA</v>
      </c>
      <c r="AS947" s="71" t="str">
        <f>IFERROR(__xludf.DUMMYFUNCTION("""COMPUTED_VALUE""")," PERILLA BRONCE C/BARRENO 5/16 P/LENG")</f>
        <v>PERILLA BRONCE C/BARRENO 5/16 P/LENG</v>
      </c>
      <c r="AT947" s="71">
        <f>IFERROR(__xludf.DUMMYFUNCTION("""COMPUTED_VALUE"""),36.0)</f>
        <v>36</v>
      </c>
      <c r="AU947" s="71"/>
      <c r="AV947" s="71"/>
      <c r="AW947" s="71"/>
      <c r="AX947" s="71"/>
      <c r="AY947" s="71">
        <f>IFERROR(__xludf.DUMMYFUNCTION("""COMPUTED_VALUE"""),207.0)</f>
        <v>207</v>
      </c>
      <c r="AZ947" s="71">
        <f>IFERROR(__xludf.DUMMYFUNCTION("""COMPUTED_VALUE"""),294.0)</f>
        <v>294</v>
      </c>
      <c r="BA947" s="71">
        <f>IFERROR(__xludf.DUMMYFUNCTION("""COMPUTED_VALUE"""),317.52000000000004)</f>
        <v>317.52</v>
      </c>
      <c r="BB947" s="71">
        <f>IFERROR(__xludf.DUMMYFUNCTION("""COMPUTED_VALUE"""),317.52000000000004)</f>
        <v>317.52</v>
      </c>
      <c r="BC947" s="71">
        <f>IFERROR(__xludf.DUMMYFUNCTION("""COMPUTED_VALUE"""),354.0)</f>
        <v>354</v>
      </c>
      <c r="BD947" s="71">
        <f>IFERROR(__xludf.DUMMYFUNCTION("""COMPUTED_VALUE"""),372.0)</f>
        <v>372</v>
      </c>
      <c r="BE947" s="71">
        <f>IFERROR(__xludf.DUMMYFUNCTION("""COMPUTED_VALUE"""),59.52)</f>
        <v>59.52</v>
      </c>
      <c r="BF947" s="71">
        <f>IFERROR(__xludf.DUMMYFUNCTION("""COMPUTED_VALUE"""),431.52)</f>
        <v>431.52</v>
      </c>
      <c r="BG947" s="71">
        <f>IFERROR(__xludf.DUMMYFUNCTION("""COMPUTED_VALUE"""),0.05084745762711865)</f>
        <v>0.05084745763</v>
      </c>
      <c r="BH947" s="71">
        <f>IFERROR(__xludf.DUMMYFUNCTION("""COMPUTED_VALUE"""),353.4)</f>
        <v>353.4</v>
      </c>
      <c r="BI947" s="71">
        <f>IFERROR(__xludf.DUMMYFUNCTION("""COMPUTED_VALUE"""),56.544)</f>
        <v>56.544</v>
      </c>
      <c r="BJ947" s="71">
        <f>IFERROR(__xludf.DUMMYFUNCTION("""COMPUTED_VALUE"""),409.94399999999996)</f>
        <v>409.944</v>
      </c>
      <c r="BK947" s="71">
        <f>IFERROR(__xludf.DUMMYFUNCTION("""COMPUTED_VALUE"""),334.8)</f>
        <v>334.8</v>
      </c>
      <c r="BL947" s="71">
        <f>IFERROR(__xludf.DUMMYFUNCTION("""COMPUTED_VALUE"""),53.568000000000005)</f>
        <v>53.568</v>
      </c>
      <c r="BM947" s="71">
        <f>IFERROR(__xludf.DUMMYFUNCTION("""COMPUTED_VALUE"""),388.368)</f>
        <v>388.368</v>
      </c>
      <c r="BN947" s="71">
        <f>IFERROR(__xludf.DUMMYFUNCTION("""COMPUTED_VALUE"""),316.2)</f>
        <v>316.2</v>
      </c>
      <c r="BO947" s="71">
        <f>IFERROR(__xludf.DUMMYFUNCTION("""COMPUTED_VALUE"""),50.592)</f>
        <v>50.592</v>
      </c>
      <c r="BP947" s="71">
        <f>IFERROR(__xludf.DUMMYFUNCTION("""COMPUTED_VALUE"""),366.792)</f>
        <v>366.792</v>
      </c>
      <c r="BQ947" s="71">
        <f>IFERROR(__xludf.DUMMYFUNCTION("""COMPUTED_VALUE"""),308.76)</f>
        <v>308.76</v>
      </c>
      <c r="BR947" s="71">
        <f>IFERROR(__xludf.DUMMYFUNCTION("""COMPUTED_VALUE"""),49.4016)</f>
        <v>49.4016</v>
      </c>
      <c r="BS947" s="71">
        <f>IFERROR(__xludf.DUMMYFUNCTION("""COMPUTED_VALUE"""),358.1616)</f>
        <v>358.1616</v>
      </c>
      <c r="BT947" s="71">
        <f>IFERROR(__xludf.DUMMYFUNCTION("""COMPUTED_VALUE"""),297.6)</f>
        <v>297.6</v>
      </c>
      <c r="BU947" s="71">
        <f>IFERROR(__xludf.DUMMYFUNCTION("""COMPUTED_VALUE"""),47.61600000000001)</f>
        <v>47.616</v>
      </c>
      <c r="BV947" s="71">
        <f>IFERROR(__xludf.DUMMYFUNCTION("""COMPUTED_VALUE"""),345.216)</f>
        <v>345.216</v>
      </c>
    </row>
    <row r="948">
      <c r="A948" s="53"/>
      <c r="B948" s="53"/>
      <c r="C948" s="53" t="s">
        <v>36</v>
      </c>
      <c r="D948" s="85" t="s">
        <v>2295</v>
      </c>
      <c r="E948" s="54" t="s">
        <v>38</v>
      </c>
      <c r="F948" s="55" t="s">
        <v>39</v>
      </c>
      <c r="G948" s="86" t="s">
        <v>2296</v>
      </c>
      <c r="H948" s="55"/>
      <c r="I948" s="54">
        <f t="shared" si="24"/>
        <v>0</v>
      </c>
      <c r="J948" s="56"/>
      <c r="K948" s="57"/>
      <c r="L948" s="76"/>
      <c r="M948" s="59"/>
      <c r="N948" s="60"/>
      <c r="O948" s="61">
        <v>1363.2</v>
      </c>
      <c r="P948" s="62">
        <v>1472.256</v>
      </c>
      <c r="Q948" s="63">
        <v>1472.256</v>
      </c>
      <c r="R948" s="64">
        <v>1546.0</v>
      </c>
      <c r="S948" s="107">
        <v>1623.0</v>
      </c>
      <c r="T948" s="65">
        <f t="shared" si="2"/>
        <v>259.68</v>
      </c>
      <c r="U948" s="65">
        <f t="shared" si="3"/>
        <v>1882.68</v>
      </c>
      <c r="V948" s="66">
        <f t="shared" si="4"/>
        <v>0.04980595084</v>
      </c>
      <c r="W948" s="67">
        <f t="shared" si="5"/>
        <v>1541.85</v>
      </c>
      <c r="X948" s="67">
        <f t="shared" si="6"/>
        <v>246.696</v>
      </c>
      <c r="Y948" s="67">
        <f t="shared" si="7"/>
        <v>1788.546</v>
      </c>
      <c r="Z948" s="67">
        <f t="shared" si="8"/>
        <v>1460.7</v>
      </c>
      <c r="AA948" s="67">
        <f t="shared" si="9"/>
        <v>233.712</v>
      </c>
      <c r="AB948" s="67">
        <f t="shared" si="10"/>
        <v>1694.412</v>
      </c>
      <c r="AC948" s="67">
        <f t="shared" si="11"/>
        <v>1379.55</v>
      </c>
      <c r="AD948" s="67">
        <f t="shared" si="12"/>
        <v>220.728</v>
      </c>
      <c r="AE948" s="67">
        <f t="shared" si="13"/>
        <v>1600.278</v>
      </c>
      <c r="AF948" s="67">
        <f t="shared" si="33"/>
        <v>1347.09</v>
      </c>
      <c r="AG948" s="67">
        <f t="shared" si="15"/>
        <v>215.5344</v>
      </c>
      <c r="AH948" s="67">
        <f t="shared" si="16"/>
        <v>1562.6244</v>
      </c>
      <c r="AI948" s="67">
        <f t="shared" si="17"/>
        <v>1298.4</v>
      </c>
      <c r="AJ948" s="68">
        <f t="shared" si="31"/>
        <v>207.744</v>
      </c>
      <c r="AK948" s="68">
        <f t="shared" si="32"/>
        <v>1506.144</v>
      </c>
      <c r="AL948" s="70">
        <f>IFERROR(__xludf.DUMMYFUNCTION("""COMPUTED_VALUE"""),1.0)</f>
        <v>1</v>
      </c>
      <c r="AM948" s="70"/>
      <c r="AN948" s="71" t="str">
        <f>IFERROR(__xludf.DUMMYFUNCTION("""COMPUTED_VALUE""")," P")</f>
        <v>P</v>
      </c>
      <c r="AO948" s="71" t="str">
        <f>IFERROR(__xludf.DUMMYFUNCTION("""COMPUTED_VALUE""")," PR04")</f>
        <v>PR04</v>
      </c>
      <c r="AP948" s="71" t="str">
        <f>IFERROR(__xludf.DUMMYFUNCTION("""COMPUTED_VALUE""")," PZA")</f>
        <v>PZA</v>
      </c>
      <c r="AQ948" s="71" t="str">
        <f>IFERROR(__xludf.DUMMYFUNCTION("""COMPUTED_VALUE""")," REF")</f>
        <v>REF</v>
      </c>
      <c r="AR948" s="71" t="str">
        <f>IFERROR(__xludf.DUMMYFUNCTION("""COMPUTED_VALUE""")," PERILLA DE CUADRO CON PERNO DÚPLEX")</f>
        <v>PERILLA DE CUADRO CON PERNO DÚPLEX</v>
      </c>
      <c r="AS948" s="71" t="str">
        <f>IFERROR(__xludf.DUMMYFUNCTION("""COMPUTED_VALUE""")," PERILLA DE CUADRO CON PERNO DPLX")</f>
        <v>PERILLA DE CUADRO CON PERNO DPLX</v>
      </c>
      <c r="AT948" s="71">
        <f>IFERROR(__xludf.DUMMYFUNCTION("""COMPUTED_VALUE"""),32.0)</f>
        <v>32</v>
      </c>
      <c r="AU948" s="71"/>
      <c r="AV948" s="71"/>
      <c r="AW948" s="71"/>
      <c r="AX948" s="71"/>
      <c r="AY948" s="71">
        <f>IFERROR(__xludf.DUMMYFUNCTION("""COMPUTED_VALUE"""),42.0)</f>
        <v>42</v>
      </c>
      <c r="AZ948" s="71">
        <f>IFERROR(__xludf.DUMMYFUNCTION("""COMPUTED_VALUE"""),45.0)</f>
        <v>45</v>
      </c>
      <c r="BA948" s="71">
        <f>IFERROR(__xludf.DUMMYFUNCTION("""COMPUTED_VALUE"""),48.6)</f>
        <v>48.6</v>
      </c>
      <c r="BB948" s="71">
        <f>IFERROR(__xludf.DUMMYFUNCTION("""COMPUTED_VALUE"""),48.6)</f>
        <v>48.6</v>
      </c>
      <c r="BC948" s="71">
        <f>IFERROR(__xludf.DUMMYFUNCTION("""COMPUTED_VALUE"""),55.0)</f>
        <v>55</v>
      </c>
      <c r="BD948" s="71">
        <f>IFERROR(__xludf.DUMMYFUNCTION("""COMPUTED_VALUE"""),58.0)</f>
        <v>58</v>
      </c>
      <c r="BE948" s="71">
        <f>IFERROR(__xludf.DUMMYFUNCTION("""COMPUTED_VALUE"""),9.28)</f>
        <v>9.28</v>
      </c>
      <c r="BF948" s="71">
        <f>IFERROR(__xludf.DUMMYFUNCTION("""COMPUTED_VALUE"""),67.28)</f>
        <v>67.28</v>
      </c>
      <c r="BG948" s="71">
        <f>IFERROR(__xludf.DUMMYFUNCTION("""COMPUTED_VALUE"""),0.05454545454545454)</f>
        <v>0.05454545455</v>
      </c>
      <c r="BH948" s="71">
        <f>IFERROR(__xludf.DUMMYFUNCTION("""COMPUTED_VALUE"""),55.099999999999994)</f>
        <v>55.1</v>
      </c>
      <c r="BI948" s="71">
        <f>IFERROR(__xludf.DUMMYFUNCTION("""COMPUTED_VALUE"""),8.815999999999999)</f>
        <v>8.816</v>
      </c>
      <c r="BJ948" s="71">
        <f>IFERROR(__xludf.DUMMYFUNCTION("""COMPUTED_VALUE"""),63.916)</f>
        <v>63.916</v>
      </c>
      <c r="BK948" s="71">
        <f>IFERROR(__xludf.DUMMYFUNCTION("""COMPUTED_VALUE"""),52.2)</f>
        <v>52.2</v>
      </c>
      <c r="BL948" s="71">
        <f>IFERROR(__xludf.DUMMYFUNCTION("""COMPUTED_VALUE"""),8.352)</f>
        <v>8.352</v>
      </c>
      <c r="BM948" s="71">
        <f>IFERROR(__xludf.DUMMYFUNCTION("""COMPUTED_VALUE"""),60.55200000000001)</f>
        <v>60.552</v>
      </c>
      <c r="BN948" s="71">
        <f>IFERROR(__xludf.DUMMYFUNCTION("""COMPUTED_VALUE"""),49.3)</f>
        <v>49.3</v>
      </c>
      <c r="BO948" s="71">
        <f>IFERROR(__xludf.DUMMYFUNCTION("""COMPUTED_VALUE"""),7.888)</f>
        <v>7.888</v>
      </c>
      <c r="BP948" s="71">
        <f>IFERROR(__xludf.DUMMYFUNCTION("""COMPUTED_VALUE"""),57.187999999999995)</f>
        <v>57.188</v>
      </c>
      <c r="BQ948" s="71">
        <f>IFERROR(__xludf.DUMMYFUNCTION("""COMPUTED_VALUE"""),48.14)</f>
        <v>48.14</v>
      </c>
      <c r="BR948" s="71">
        <f>IFERROR(__xludf.DUMMYFUNCTION("""COMPUTED_VALUE"""),7.7024)</f>
        <v>7.7024</v>
      </c>
      <c r="BS948" s="71">
        <f>IFERROR(__xludf.DUMMYFUNCTION("""COMPUTED_VALUE"""),55.8424)</f>
        <v>55.8424</v>
      </c>
      <c r="BT948" s="71">
        <f>IFERROR(__xludf.DUMMYFUNCTION("""COMPUTED_VALUE"""),46.400000000000006)</f>
        <v>46.4</v>
      </c>
      <c r="BU948" s="71">
        <f>IFERROR(__xludf.DUMMYFUNCTION("""COMPUTED_VALUE"""),7.424000000000001)</f>
        <v>7.424</v>
      </c>
      <c r="BV948" s="71">
        <f>IFERROR(__xludf.DUMMYFUNCTION("""COMPUTED_VALUE"""),53.824000000000005)</f>
        <v>53.824</v>
      </c>
    </row>
    <row r="949">
      <c r="A949" s="53"/>
      <c r="B949" s="53"/>
      <c r="C949" s="53" t="s">
        <v>36</v>
      </c>
      <c r="D949" s="85" t="s">
        <v>2297</v>
      </c>
      <c r="E949" s="54" t="s">
        <v>38</v>
      </c>
      <c r="F949" s="55" t="s">
        <v>39</v>
      </c>
      <c r="G949" s="86" t="s">
        <v>2298</v>
      </c>
      <c r="H949" s="55"/>
      <c r="I949" s="54">
        <f t="shared" si="24"/>
        <v>0</v>
      </c>
      <c r="J949" s="56"/>
      <c r="K949" s="57"/>
      <c r="L949" s="76"/>
      <c r="M949" s="59"/>
      <c r="N949" s="60"/>
      <c r="O949" s="61">
        <v>1555.2</v>
      </c>
      <c r="P949" s="62">
        <v>1679.6160000000002</v>
      </c>
      <c r="Q949" s="63">
        <v>1679.6160000000002</v>
      </c>
      <c r="R949" s="64">
        <v>1764.0</v>
      </c>
      <c r="S949" s="107">
        <v>1852.0</v>
      </c>
      <c r="T949" s="65">
        <f t="shared" si="2"/>
        <v>296.32</v>
      </c>
      <c r="U949" s="65">
        <f t="shared" si="3"/>
        <v>2148.32</v>
      </c>
      <c r="V949" s="66">
        <f t="shared" si="4"/>
        <v>0.04988662132</v>
      </c>
      <c r="W949" s="67">
        <f t="shared" si="5"/>
        <v>1759.4</v>
      </c>
      <c r="X949" s="67">
        <f t="shared" si="6"/>
        <v>281.504</v>
      </c>
      <c r="Y949" s="67">
        <f t="shared" si="7"/>
        <v>2040.904</v>
      </c>
      <c r="Z949" s="67">
        <f t="shared" si="8"/>
        <v>1666.8</v>
      </c>
      <c r="AA949" s="67">
        <f t="shared" si="9"/>
        <v>266.688</v>
      </c>
      <c r="AB949" s="67">
        <f t="shared" si="10"/>
        <v>1933.488</v>
      </c>
      <c r="AC949" s="67">
        <f t="shared" si="11"/>
        <v>1574.2</v>
      </c>
      <c r="AD949" s="67">
        <f t="shared" si="12"/>
        <v>251.872</v>
      </c>
      <c r="AE949" s="67">
        <f t="shared" si="13"/>
        <v>1826.072</v>
      </c>
      <c r="AF949" s="67">
        <f t="shared" si="33"/>
        <v>1537.16</v>
      </c>
      <c r="AG949" s="67">
        <f t="shared" si="15"/>
        <v>245.9456</v>
      </c>
      <c r="AH949" s="67">
        <f t="shared" si="16"/>
        <v>1783.1056</v>
      </c>
      <c r="AI949" s="67">
        <f t="shared" si="17"/>
        <v>1481.6</v>
      </c>
      <c r="AJ949" s="68">
        <f t="shared" si="31"/>
        <v>237.056</v>
      </c>
      <c r="AK949" s="68">
        <f t="shared" si="32"/>
        <v>1718.656</v>
      </c>
      <c r="AL949" s="70">
        <f>IFERROR(__xludf.DUMMYFUNCTION("""COMPUTED_VALUE"""),1.0)</f>
        <v>1</v>
      </c>
      <c r="AM949" s="70"/>
      <c r="AN949" s="71" t="str">
        <f>IFERROR(__xludf.DUMMYFUNCTION("""COMPUTED_VALUE""")," P")</f>
        <v>P</v>
      </c>
      <c r="AO949" s="71" t="str">
        <f>IFERROR(__xludf.DUMMYFUNCTION("""COMPUTED_VALUE""")," PR13")</f>
        <v>PR13</v>
      </c>
      <c r="AP949" s="71" t="str">
        <f>IFERROR(__xludf.DUMMYFUNCTION("""COMPUTED_VALUE""")," PZA")</f>
        <v>PZA</v>
      </c>
      <c r="AQ949" s="71" t="str">
        <f>IFERROR(__xludf.DUMMYFUNCTION("""COMPUTED_VALUE""")," REF")</f>
        <v>REF</v>
      </c>
      <c r="AR949" s="71" t="str">
        <f>IFERROR(__xludf.DUMMYFUNCTION("""COMPUTED_VALUE""")," PERILLA DE CUADRO FORJADA")</f>
        <v>PERILLA DE CUADRO FORJADA</v>
      </c>
      <c r="AS949" s="71" t="str">
        <f>IFERROR(__xludf.DUMMYFUNCTION("""COMPUTED_VALUE""")," PERILLA DE CUADRO FORJADA")</f>
        <v>PERILLA DE CUADRO FORJADA</v>
      </c>
      <c r="AT949" s="71">
        <f>IFERROR(__xludf.DUMMYFUNCTION("""COMPUTED_VALUE"""),25.0)</f>
        <v>25</v>
      </c>
      <c r="AU949" s="71"/>
      <c r="AV949" s="71"/>
      <c r="AW949" s="71"/>
      <c r="AX949" s="71"/>
      <c r="AY949" s="71">
        <f>IFERROR(__xludf.DUMMYFUNCTION("""COMPUTED_VALUE"""),38.0)</f>
        <v>38</v>
      </c>
      <c r="AZ949" s="71">
        <f>IFERROR(__xludf.DUMMYFUNCTION("""COMPUTED_VALUE"""),41.0)</f>
        <v>41</v>
      </c>
      <c r="BA949" s="71">
        <f>IFERROR(__xludf.DUMMYFUNCTION("""COMPUTED_VALUE"""),44.28)</f>
        <v>44.28</v>
      </c>
      <c r="BB949" s="71">
        <f>IFERROR(__xludf.DUMMYFUNCTION("""COMPUTED_VALUE"""),44.28)</f>
        <v>44.28</v>
      </c>
      <c r="BC949" s="71">
        <f>IFERROR(__xludf.DUMMYFUNCTION("""COMPUTED_VALUE"""),50.0)</f>
        <v>50</v>
      </c>
      <c r="BD949" s="71">
        <f>IFERROR(__xludf.DUMMYFUNCTION("""COMPUTED_VALUE"""),53.0)</f>
        <v>53</v>
      </c>
      <c r="BE949" s="71">
        <f>IFERROR(__xludf.DUMMYFUNCTION("""COMPUTED_VALUE"""),8.48)</f>
        <v>8.48</v>
      </c>
      <c r="BF949" s="71">
        <f>IFERROR(__xludf.DUMMYFUNCTION("""COMPUTED_VALUE"""),61.480000000000004)</f>
        <v>61.48</v>
      </c>
      <c r="BG949" s="71">
        <f>IFERROR(__xludf.DUMMYFUNCTION("""COMPUTED_VALUE"""),0.06)</f>
        <v>0.06</v>
      </c>
      <c r="BH949" s="71">
        <f>IFERROR(__xludf.DUMMYFUNCTION("""COMPUTED_VALUE"""),50.349999999999994)</f>
        <v>50.35</v>
      </c>
      <c r="BI949" s="71">
        <f>IFERROR(__xludf.DUMMYFUNCTION("""COMPUTED_VALUE"""),8.056)</f>
        <v>8.056</v>
      </c>
      <c r="BJ949" s="71">
        <f>IFERROR(__xludf.DUMMYFUNCTION("""COMPUTED_VALUE"""),58.40599999999999)</f>
        <v>58.406</v>
      </c>
      <c r="BK949" s="71">
        <f>IFERROR(__xludf.DUMMYFUNCTION("""COMPUTED_VALUE"""),47.7)</f>
        <v>47.7</v>
      </c>
      <c r="BL949" s="71">
        <f>IFERROR(__xludf.DUMMYFUNCTION("""COMPUTED_VALUE"""),7.632000000000001)</f>
        <v>7.632</v>
      </c>
      <c r="BM949" s="71">
        <f>IFERROR(__xludf.DUMMYFUNCTION("""COMPUTED_VALUE"""),55.332)</f>
        <v>55.332</v>
      </c>
      <c r="BN949" s="71">
        <f>IFERROR(__xludf.DUMMYFUNCTION("""COMPUTED_VALUE"""),45.05)</f>
        <v>45.05</v>
      </c>
      <c r="BO949" s="71">
        <f>IFERROR(__xludf.DUMMYFUNCTION("""COMPUTED_VALUE"""),7.207999999999999)</f>
        <v>7.208</v>
      </c>
      <c r="BP949" s="71">
        <f>IFERROR(__xludf.DUMMYFUNCTION("""COMPUTED_VALUE"""),52.257999999999996)</f>
        <v>52.258</v>
      </c>
      <c r="BQ949" s="71">
        <f>IFERROR(__xludf.DUMMYFUNCTION("""COMPUTED_VALUE"""),43.989999999999995)</f>
        <v>43.99</v>
      </c>
      <c r="BR949" s="71">
        <f>IFERROR(__xludf.DUMMYFUNCTION("""COMPUTED_VALUE"""),7.038399999999999)</f>
        <v>7.0384</v>
      </c>
      <c r="BS949" s="71">
        <f>IFERROR(__xludf.DUMMYFUNCTION("""COMPUTED_VALUE"""),51.02839999999999)</f>
        <v>51.0284</v>
      </c>
      <c r="BT949" s="71">
        <f>IFERROR(__xludf.DUMMYFUNCTION("""COMPUTED_VALUE"""),42.400000000000006)</f>
        <v>42.4</v>
      </c>
      <c r="BU949" s="71">
        <f>IFERROR(__xludf.DUMMYFUNCTION("""COMPUTED_VALUE"""),6.784000000000001)</f>
        <v>6.784</v>
      </c>
      <c r="BV949" s="71">
        <f>IFERROR(__xludf.DUMMYFUNCTION("""COMPUTED_VALUE"""),49.184000000000005)</f>
        <v>49.184</v>
      </c>
    </row>
    <row r="950">
      <c r="A950" s="53">
        <v>1.0</v>
      </c>
      <c r="B950" s="72"/>
      <c r="C950" s="73" t="s">
        <v>53</v>
      </c>
      <c r="D950" s="74" t="s">
        <v>2299</v>
      </c>
      <c r="E950" s="54" t="s">
        <v>38</v>
      </c>
      <c r="F950" s="54" t="s">
        <v>42</v>
      </c>
      <c r="G950" s="88" t="s">
        <v>2300</v>
      </c>
      <c r="H950" s="54" t="s">
        <v>2301</v>
      </c>
      <c r="I950" s="54">
        <f t="shared" si="24"/>
        <v>24</v>
      </c>
      <c r="J950" s="56"/>
      <c r="K950" s="75"/>
      <c r="L950" s="76"/>
      <c r="M950" s="59"/>
      <c r="N950" s="60">
        <v>3379.0</v>
      </c>
      <c r="O950" s="61">
        <v>3649.0</v>
      </c>
      <c r="P950" s="62">
        <v>3940.92</v>
      </c>
      <c r="Q950" s="63">
        <v>3940.92</v>
      </c>
      <c r="R950" s="64">
        <v>4387.0</v>
      </c>
      <c r="S950" s="111">
        <v>4606.0</v>
      </c>
      <c r="T950" s="65">
        <f t="shared" si="2"/>
        <v>736.96</v>
      </c>
      <c r="U950" s="65">
        <f t="shared" si="3"/>
        <v>5342.96</v>
      </c>
      <c r="V950" s="66">
        <f t="shared" si="4"/>
        <v>0.04992021883</v>
      </c>
      <c r="W950" s="67">
        <f t="shared" si="5"/>
        <v>4375.7</v>
      </c>
      <c r="X950" s="67">
        <f t="shared" si="6"/>
        <v>700.112</v>
      </c>
      <c r="Y950" s="67">
        <f t="shared" si="7"/>
        <v>5075.812</v>
      </c>
      <c r="Z950" s="67">
        <f t="shared" si="8"/>
        <v>4145.4</v>
      </c>
      <c r="AA950" s="67">
        <f t="shared" si="9"/>
        <v>663.264</v>
      </c>
      <c r="AB950" s="67">
        <f t="shared" si="10"/>
        <v>4808.664</v>
      </c>
      <c r="AC950" s="67">
        <f t="shared" si="11"/>
        <v>3915.1</v>
      </c>
      <c r="AD950" s="67">
        <f t="shared" si="12"/>
        <v>626.416</v>
      </c>
      <c r="AE950" s="67">
        <f t="shared" si="13"/>
        <v>4541.516</v>
      </c>
      <c r="AF950" s="67">
        <f t="shared" si="33"/>
        <v>3822.98</v>
      </c>
      <c r="AG950" s="67">
        <f t="shared" si="15"/>
        <v>611.6768</v>
      </c>
      <c r="AH950" s="67">
        <f t="shared" si="16"/>
        <v>4434.6568</v>
      </c>
      <c r="AI950" s="67">
        <f t="shared" si="17"/>
        <v>3684.8</v>
      </c>
      <c r="AJ950" s="68">
        <f t="shared" si="31"/>
        <v>589.568</v>
      </c>
      <c r="AK950" s="68">
        <f t="shared" si="32"/>
        <v>4274.368</v>
      </c>
      <c r="AL950" s="70">
        <f>IFERROR(__xludf.DUMMYFUNCTION("""COMPUTED_VALUE"""),1.0)</f>
        <v>1</v>
      </c>
      <c r="AM950" s="70"/>
      <c r="AN950" s="71" t="str">
        <f>IFERROR(__xludf.DUMMYFUNCTION("""COMPUTED_VALUE""")," P")</f>
        <v>P</v>
      </c>
      <c r="AO950" s="71" t="str">
        <f>IFERROR(__xludf.DUMMYFUNCTION("""COMPUTED_VALUE""")," PR03")</f>
        <v>PR03</v>
      </c>
      <c r="AP950" s="71" t="str">
        <f>IFERROR(__xludf.DUMMYFUNCTION("""COMPUTED_VALUE""")," PZA")</f>
        <v>PZA</v>
      </c>
      <c r="AQ950" s="71" t="str">
        <f>IFERROR(__xludf.DUMMYFUNCTION("""COMPUTED_VALUE""")," REF")</f>
        <v>REF</v>
      </c>
      <c r="AR950" s="71" t="str">
        <f>IFERROR(__xludf.DUMMYFUNCTION("""COMPUTED_VALUE""")," PERILLA DE CUADRO TROQUELADA")</f>
        <v>PERILLA DE CUADRO TROQUELADA</v>
      </c>
      <c r="AS950" s="71" t="str">
        <f>IFERROR(__xludf.DUMMYFUNCTION("""COMPUTED_VALUE""")," PERILLA DE CUADRO TROQUELADA")</f>
        <v>PERILLA DE CUADRO TROQUELADA</v>
      </c>
      <c r="AT950" s="71">
        <f>IFERROR(__xludf.DUMMYFUNCTION("""COMPUTED_VALUE"""),28.0)</f>
        <v>28</v>
      </c>
      <c r="AU950" s="71"/>
      <c r="AV950" s="71"/>
      <c r="AW950" s="71"/>
      <c r="AX950" s="71"/>
      <c r="AY950" s="71">
        <f>IFERROR(__xludf.DUMMYFUNCTION("""COMPUTED_VALUE"""),38.0)</f>
        <v>38</v>
      </c>
      <c r="AZ950" s="71">
        <f>IFERROR(__xludf.DUMMYFUNCTION("""COMPUTED_VALUE"""),41.0)</f>
        <v>41</v>
      </c>
      <c r="BA950" s="71">
        <f>IFERROR(__xludf.DUMMYFUNCTION("""COMPUTED_VALUE"""),44.28)</f>
        <v>44.28</v>
      </c>
      <c r="BB950" s="71">
        <f>IFERROR(__xludf.DUMMYFUNCTION("""COMPUTED_VALUE"""),44.28)</f>
        <v>44.28</v>
      </c>
      <c r="BC950" s="71">
        <f>IFERROR(__xludf.DUMMYFUNCTION("""COMPUTED_VALUE"""),50.0)</f>
        <v>50</v>
      </c>
      <c r="BD950" s="71">
        <f>IFERROR(__xludf.DUMMYFUNCTION("""COMPUTED_VALUE"""),53.0)</f>
        <v>53</v>
      </c>
      <c r="BE950" s="71">
        <f>IFERROR(__xludf.DUMMYFUNCTION("""COMPUTED_VALUE"""),8.48)</f>
        <v>8.48</v>
      </c>
      <c r="BF950" s="71">
        <f>IFERROR(__xludf.DUMMYFUNCTION("""COMPUTED_VALUE"""),61.480000000000004)</f>
        <v>61.48</v>
      </c>
      <c r="BG950" s="71">
        <f>IFERROR(__xludf.DUMMYFUNCTION("""COMPUTED_VALUE"""),0.06)</f>
        <v>0.06</v>
      </c>
      <c r="BH950" s="71">
        <f>IFERROR(__xludf.DUMMYFUNCTION("""COMPUTED_VALUE"""),50.349999999999994)</f>
        <v>50.35</v>
      </c>
      <c r="BI950" s="71">
        <f>IFERROR(__xludf.DUMMYFUNCTION("""COMPUTED_VALUE"""),8.056)</f>
        <v>8.056</v>
      </c>
      <c r="BJ950" s="71">
        <f>IFERROR(__xludf.DUMMYFUNCTION("""COMPUTED_VALUE"""),58.40599999999999)</f>
        <v>58.406</v>
      </c>
      <c r="BK950" s="71">
        <f>IFERROR(__xludf.DUMMYFUNCTION("""COMPUTED_VALUE"""),47.7)</f>
        <v>47.7</v>
      </c>
      <c r="BL950" s="71">
        <f>IFERROR(__xludf.DUMMYFUNCTION("""COMPUTED_VALUE"""),7.632000000000001)</f>
        <v>7.632</v>
      </c>
      <c r="BM950" s="71">
        <f>IFERROR(__xludf.DUMMYFUNCTION("""COMPUTED_VALUE"""),55.332)</f>
        <v>55.332</v>
      </c>
      <c r="BN950" s="71">
        <f>IFERROR(__xludf.DUMMYFUNCTION("""COMPUTED_VALUE"""),45.05)</f>
        <v>45.05</v>
      </c>
      <c r="BO950" s="71">
        <f>IFERROR(__xludf.DUMMYFUNCTION("""COMPUTED_VALUE"""),7.207999999999999)</f>
        <v>7.208</v>
      </c>
      <c r="BP950" s="71">
        <f>IFERROR(__xludf.DUMMYFUNCTION("""COMPUTED_VALUE"""),52.257999999999996)</f>
        <v>52.258</v>
      </c>
      <c r="BQ950" s="71">
        <f>IFERROR(__xludf.DUMMYFUNCTION("""COMPUTED_VALUE"""),43.989999999999995)</f>
        <v>43.99</v>
      </c>
      <c r="BR950" s="71">
        <f>IFERROR(__xludf.DUMMYFUNCTION("""COMPUTED_VALUE"""),7.038399999999999)</f>
        <v>7.0384</v>
      </c>
      <c r="BS950" s="71">
        <f>IFERROR(__xludf.DUMMYFUNCTION("""COMPUTED_VALUE"""),51.02839999999999)</f>
        <v>51.0284</v>
      </c>
      <c r="BT950" s="71">
        <f>IFERROR(__xludf.DUMMYFUNCTION("""COMPUTED_VALUE"""),42.400000000000006)</f>
        <v>42.4</v>
      </c>
      <c r="BU950" s="71">
        <f>IFERROR(__xludf.DUMMYFUNCTION("""COMPUTED_VALUE"""),6.784000000000001)</f>
        <v>6.784</v>
      </c>
      <c r="BV950" s="71">
        <f>IFERROR(__xludf.DUMMYFUNCTION("""COMPUTED_VALUE"""),49.184000000000005)</f>
        <v>49.184</v>
      </c>
    </row>
    <row r="951">
      <c r="A951" s="53"/>
      <c r="B951" s="53"/>
      <c r="C951" s="73" t="s">
        <v>53</v>
      </c>
      <c r="D951" s="53" t="s">
        <v>2302</v>
      </c>
      <c r="E951" s="54" t="s">
        <v>38</v>
      </c>
      <c r="F951" s="54" t="s">
        <v>42</v>
      </c>
      <c r="G951" s="55" t="s">
        <v>2303</v>
      </c>
      <c r="H951" s="54" t="s">
        <v>2304</v>
      </c>
      <c r="I951" s="54">
        <f t="shared" si="24"/>
        <v>26</v>
      </c>
      <c r="J951" s="56"/>
      <c r="K951" s="57"/>
      <c r="L951" s="76"/>
      <c r="M951" s="59"/>
      <c r="N951" s="60">
        <v>3378.9</v>
      </c>
      <c r="O951" s="61">
        <v>3649.0</v>
      </c>
      <c r="P951" s="62">
        <v>3940.92</v>
      </c>
      <c r="Q951" s="63">
        <v>3940.92</v>
      </c>
      <c r="R951" s="64">
        <v>4139.0</v>
      </c>
      <c r="S951" s="111">
        <v>4346.0</v>
      </c>
      <c r="T951" s="65">
        <f t="shared" si="2"/>
        <v>695.36</v>
      </c>
      <c r="U951" s="65">
        <f t="shared" si="3"/>
        <v>5041.36</v>
      </c>
      <c r="V951" s="66">
        <f t="shared" si="4"/>
        <v>0.05001208021</v>
      </c>
      <c r="W951" s="67">
        <f t="shared" si="5"/>
        <v>4128.7</v>
      </c>
      <c r="X951" s="67">
        <f t="shared" si="6"/>
        <v>660.592</v>
      </c>
      <c r="Y951" s="67">
        <f t="shared" si="7"/>
        <v>4789.292</v>
      </c>
      <c r="Z951" s="67">
        <f t="shared" si="8"/>
        <v>3911.4</v>
      </c>
      <c r="AA951" s="67">
        <f t="shared" si="9"/>
        <v>625.824</v>
      </c>
      <c r="AB951" s="67">
        <f t="shared" si="10"/>
        <v>4537.224</v>
      </c>
      <c r="AC951" s="67">
        <f t="shared" si="11"/>
        <v>3694.1</v>
      </c>
      <c r="AD951" s="67">
        <f t="shared" si="12"/>
        <v>591.056</v>
      </c>
      <c r="AE951" s="67">
        <f t="shared" si="13"/>
        <v>4285.156</v>
      </c>
      <c r="AF951" s="67">
        <f t="shared" si="33"/>
        <v>3607.18</v>
      </c>
      <c r="AG951" s="67">
        <f t="shared" si="15"/>
        <v>577.1488</v>
      </c>
      <c r="AH951" s="67">
        <f t="shared" si="16"/>
        <v>4184.3288</v>
      </c>
      <c r="AI951" s="67">
        <f t="shared" si="17"/>
        <v>3476.8</v>
      </c>
      <c r="AJ951" s="68">
        <f t="shared" si="31"/>
        <v>556.288</v>
      </c>
      <c r="AK951" s="68">
        <f t="shared" si="32"/>
        <v>4033.088</v>
      </c>
      <c r="AL951" s="70">
        <f>IFERROR(__xludf.DUMMYFUNCTION("""COMPUTED_VALUE"""),1.0)</f>
        <v>1</v>
      </c>
      <c r="AM951" s="70"/>
      <c r="AN951" s="71" t="str">
        <f>IFERROR(__xludf.DUMMYFUNCTION("""COMPUTED_VALUE""")," P")</f>
        <v>P</v>
      </c>
      <c r="AO951" s="71" t="str">
        <f>IFERROR(__xludf.DUMMYFUNCTION("""COMPUTED_VALUE""")," PR05")</f>
        <v>PR05</v>
      </c>
      <c r="AP951" s="71" t="str">
        <f>IFERROR(__xludf.DUMMYFUNCTION("""COMPUTED_VALUE""")," PZA")</f>
        <v>PZA</v>
      </c>
      <c r="AQ951" s="71" t="str">
        <f>IFERROR(__xludf.DUMMYFUNCTION("""COMPUTED_VALUE""")," REF")</f>
        <v>REF</v>
      </c>
      <c r="AR951" s="71" t="str">
        <f>IFERROR(__xludf.DUMMYFUNCTION("""COMPUTED_VALUE""")," PERILLA DE FIERRO CON BARRENO 5/16 PARA LENGÜETA")</f>
        <v>PERILLA DE FIERRO CON BARRENO 5/16 PARA LENGÜETA</v>
      </c>
      <c r="AS951" s="71" t="str">
        <f>IFERROR(__xludf.DUMMYFUNCTION("""COMPUTED_VALUE""")," PERILLA FIERRO C/BARRENO 5/16 P/LENG")</f>
        <v>PERILLA FIERRO C/BARRENO 5/16 P/LENG</v>
      </c>
      <c r="AT951" s="71">
        <f>IFERROR(__xludf.DUMMYFUNCTION("""COMPUTED_VALUE"""),36.0)</f>
        <v>36</v>
      </c>
      <c r="AU951" s="71"/>
      <c r="AV951" s="71"/>
      <c r="AW951" s="71"/>
      <c r="AX951" s="71"/>
      <c r="AY951" s="71">
        <f>IFERROR(__xludf.DUMMYFUNCTION("""COMPUTED_VALUE"""),111.0)</f>
        <v>111</v>
      </c>
      <c r="AZ951" s="71">
        <f>IFERROR(__xludf.DUMMYFUNCTION("""COMPUTED_VALUE"""),134.0)</f>
        <v>134</v>
      </c>
      <c r="BA951" s="71">
        <f>IFERROR(__xludf.DUMMYFUNCTION("""COMPUTED_VALUE"""),144.72)</f>
        <v>144.72</v>
      </c>
      <c r="BB951" s="71">
        <f>IFERROR(__xludf.DUMMYFUNCTION("""COMPUTED_VALUE"""),144.72)</f>
        <v>144.72</v>
      </c>
      <c r="BC951" s="71">
        <f>IFERROR(__xludf.DUMMYFUNCTION("""COMPUTED_VALUE"""),162.0)</f>
        <v>162</v>
      </c>
      <c r="BD951" s="71">
        <f>IFERROR(__xludf.DUMMYFUNCTION("""COMPUTED_VALUE"""),170.0)</f>
        <v>170</v>
      </c>
      <c r="BE951" s="71">
        <f>IFERROR(__xludf.DUMMYFUNCTION("""COMPUTED_VALUE"""),27.2)</f>
        <v>27.2</v>
      </c>
      <c r="BF951" s="71">
        <f>IFERROR(__xludf.DUMMYFUNCTION("""COMPUTED_VALUE"""),197.2)</f>
        <v>197.2</v>
      </c>
      <c r="BG951" s="71">
        <f>IFERROR(__xludf.DUMMYFUNCTION("""COMPUTED_VALUE"""),0.04938271604938271)</f>
        <v>0.04938271605</v>
      </c>
      <c r="BH951" s="71">
        <f>IFERROR(__xludf.DUMMYFUNCTION("""COMPUTED_VALUE"""),161.5)</f>
        <v>161.5</v>
      </c>
      <c r="BI951" s="71">
        <f>IFERROR(__xludf.DUMMYFUNCTION("""COMPUTED_VALUE"""),25.84)</f>
        <v>25.84</v>
      </c>
      <c r="BJ951" s="71">
        <f>IFERROR(__xludf.DUMMYFUNCTION("""COMPUTED_VALUE"""),187.34)</f>
        <v>187.34</v>
      </c>
      <c r="BK951" s="71">
        <f>IFERROR(__xludf.DUMMYFUNCTION("""COMPUTED_VALUE"""),153.0)</f>
        <v>153</v>
      </c>
      <c r="BL951" s="71">
        <f>IFERROR(__xludf.DUMMYFUNCTION("""COMPUTED_VALUE"""),24.48)</f>
        <v>24.48</v>
      </c>
      <c r="BM951" s="71">
        <f>IFERROR(__xludf.DUMMYFUNCTION("""COMPUTED_VALUE"""),177.48)</f>
        <v>177.48</v>
      </c>
      <c r="BN951" s="71">
        <f>IFERROR(__xludf.DUMMYFUNCTION("""COMPUTED_VALUE"""),144.5)</f>
        <v>144.5</v>
      </c>
      <c r="BO951" s="71">
        <f>IFERROR(__xludf.DUMMYFUNCTION("""COMPUTED_VALUE"""),23.12)</f>
        <v>23.12</v>
      </c>
      <c r="BP951" s="71">
        <f>IFERROR(__xludf.DUMMYFUNCTION("""COMPUTED_VALUE"""),167.62)</f>
        <v>167.62</v>
      </c>
      <c r="BQ951" s="71">
        <f>IFERROR(__xludf.DUMMYFUNCTION("""COMPUTED_VALUE"""),141.1)</f>
        <v>141.1</v>
      </c>
      <c r="BR951" s="71">
        <f>IFERROR(__xludf.DUMMYFUNCTION("""COMPUTED_VALUE"""),22.576)</f>
        <v>22.576</v>
      </c>
      <c r="BS951" s="71">
        <f>IFERROR(__xludf.DUMMYFUNCTION("""COMPUTED_VALUE"""),163.676)</f>
        <v>163.676</v>
      </c>
      <c r="BT951" s="71">
        <f>IFERROR(__xludf.DUMMYFUNCTION("""COMPUTED_VALUE"""),136.0)</f>
        <v>136</v>
      </c>
      <c r="BU951" s="71">
        <f>IFERROR(__xludf.DUMMYFUNCTION("""COMPUTED_VALUE"""),21.76)</f>
        <v>21.76</v>
      </c>
      <c r="BV951" s="71">
        <f>IFERROR(__xludf.DUMMYFUNCTION("""COMPUTED_VALUE"""),157.76)</f>
        <v>157.76</v>
      </c>
    </row>
    <row r="952">
      <c r="A952" s="53">
        <v>1.0</v>
      </c>
      <c r="B952" s="72"/>
      <c r="C952" s="73" t="s">
        <v>53</v>
      </c>
      <c r="D952" s="74" t="s">
        <v>2305</v>
      </c>
      <c r="E952" s="54" t="s">
        <v>38</v>
      </c>
      <c r="F952" s="54" t="s">
        <v>42</v>
      </c>
      <c r="G952" s="88" t="s">
        <v>2306</v>
      </c>
      <c r="H952" s="54" t="s">
        <v>2307</v>
      </c>
      <c r="I952" s="54">
        <f t="shared" si="24"/>
        <v>28</v>
      </c>
      <c r="J952" s="56"/>
      <c r="K952" s="75"/>
      <c r="L952" s="76"/>
      <c r="M952" s="59"/>
      <c r="N952" s="60">
        <v>2653.0</v>
      </c>
      <c r="O952" s="61">
        <v>2865.0</v>
      </c>
      <c r="P952" s="62">
        <v>3094.2000000000003</v>
      </c>
      <c r="Q952" s="63">
        <v>3094.2000000000003</v>
      </c>
      <c r="R952" s="64">
        <v>3444.0</v>
      </c>
      <c r="S952" s="111">
        <v>3616.0</v>
      </c>
      <c r="T952" s="65">
        <f t="shared" si="2"/>
        <v>578.56</v>
      </c>
      <c r="U952" s="65">
        <f t="shared" si="3"/>
        <v>4194.56</v>
      </c>
      <c r="V952" s="66">
        <f t="shared" si="4"/>
        <v>0.04994192799</v>
      </c>
      <c r="W952" s="67">
        <f t="shared" si="5"/>
        <v>3435.2</v>
      </c>
      <c r="X952" s="67">
        <f t="shared" si="6"/>
        <v>549.632</v>
      </c>
      <c r="Y952" s="67">
        <f t="shared" si="7"/>
        <v>3984.832</v>
      </c>
      <c r="Z952" s="67">
        <f t="shared" si="8"/>
        <v>3254.4</v>
      </c>
      <c r="AA952" s="67">
        <f t="shared" si="9"/>
        <v>520.704</v>
      </c>
      <c r="AB952" s="67">
        <f t="shared" si="10"/>
        <v>3775.104</v>
      </c>
      <c r="AC952" s="67">
        <f t="shared" si="11"/>
        <v>3073.6</v>
      </c>
      <c r="AD952" s="67">
        <f t="shared" si="12"/>
        <v>491.776</v>
      </c>
      <c r="AE952" s="67">
        <f t="shared" si="13"/>
        <v>3565.376</v>
      </c>
      <c r="AF952" s="67">
        <f t="shared" si="33"/>
        <v>3001.28</v>
      </c>
      <c r="AG952" s="67">
        <f t="shared" si="15"/>
        <v>480.2048</v>
      </c>
      <c r="AH952" s="67">
        <f t="shared" si="16"/>
        <v>3481.4848</v>
      </c>
      <c r="AI952" s="67">
        <f t="shared" si="17"/>
        <v>2892.8</v>
      </c>
      <c r="AJ952" s="68">
        <f t="shared" si="31"/>
        <v>462.848</v>
      </c>
      <c r="AK952" s="68">
        <f t="shared" si="32"/>
        <v>3355.648</v>
      </c>
      <c r="AL952" s="70">
        <f>IFERROR(__xludf.DUMMYFUNCTION("""COMPUTED_VALUE"""),1.0)</f>
        <v>1</v>
      </c>
      <c r="AM952" s="70"/>
      <c r="AN952" s="71" t="str">
        <f>IFERROR(__xludf.DUMMYFUNCTION("""COMPUTED_VALUE""")," CP")</f>
        <v>CP</v>
      </c>
      <c r="AO952" s="71" t="str">
        <f>IFERROR(__xludf.DUMMYFUNCTION("""COMPUTED_VALUE""")," PR06")</f>
        <v>PR06</v>
      </c>
      <c r="AP952" s="71" t="str">
        <f>IFERROR(__xludf.DUMMYFUNCTION("""COMPUTED_VALUE""")," PZA")</f>
        <v>PZA</v>
      </c>
      <c r="AQ952" s="71" t="str">
        <f>IFERROR(__xludf.DUMMYFUNCTION("""COMPUTED_VALUE""")," REF")</f>
        <v>REF</v>
      </c>
      <c r="AR952" s="71" t="str">
        <f>IFERROR(__xludf.DUMMYFUNCTION("""COMPUTED_VALUE""")," PERILLA DE FLOR")</f>
        <v>PERILLA DE FLOR</v>
      </c>
      <c r="AS952" s="71" t="str">
        <f>IFERROR(__xludf.DUMMYFUNCTION("""COMPUTED_VALUE""")," PERILLA DE FLOR")</f>
        <v>PERILLA DE FLOR</v>
      </c>
      <c r="AT952" s="71">
        <f>IFERROR(__xludf.DUMMYFUNCTION("""COMPUTED_VALUE"""),15.0)</f>
        <v>15</v>
      </c>
      <c r="AU952" s="71"/>
      <c r="AV952" s="71"/>
      <c r="AW952" s="71"/>
      <c r="AX952" s="71"/>
      <c r="AY952" s="71">
        <f>IFERROR(__xludf.DUMMYFUNCTION("""COMPUTED_VALUE"""),54.0)</f>
        <v>54</v>
      </c>
      <c r="AZ952" s="71">
        <f>IFERROR(__xludf.DUMMYFUNCTION("""COMPUTED_VALUE"""),58.0)</f>
        <v>58</v>
      </c>
      <c r="BA952" s="71">
        <f>IFERROR(__xludf.DUMMYFUNCTION("""COMPUTED_VALUE"""),62.64)</f>
        <v>62.64</v>
      </c>
      <c r="BB952" s="71">
        <f>IFERROR(__xludf.DUMMYFUNCTION("""COMPUTED_VALUE"""),62.64)</f>
        <v>62.64</v>
      </c>
      <c r="BC952" s="71">
        <f>IFERROR(__xludf.DUMMYFUNCTION("""COMPUTED_VALUE"""),71.0)</f>
        <v>71</v>
      </c>
      <c r="BD952" s="71">
        <f>IFERROR(__xludf.DUMMYFUNCTION("""COMPUTED_VALUE"""),75.0)</f>
        <v>75</v>
      </c>
      <c r="BE952" s="71">
        <f>IFERROR(__xludf.DUMMYFUNCTION("""COMPUTED_VALUE"""),12.0)</f>
        <v>12</v>
      </c>
      <c r="BF952" s="71">
        <f>IFERROR(__xludf.DUMMYFUNCTION("""COMPUTED_VALUE"""),87.0)</f>
        <v>87</v>
      </c>
      <c r="BG952" s="71">
        <f>IFERROR(__xludf.DUMMYFUNCTION("""COMPUTED_VALUE"""),0.056338028169014086)</f>
        <v>0.05633802817</v>
      </c>
      <c r="BH952" s="71">
        <f>IFERROR(__xludf.DUMMYFUNCTION("""COMPUTED_VALUE"""),71.25)</f>
        <v>71.25</v>
      </c>
      <c r="BI952" s="71">
        <f>IFERROR(__xludf.DUMMYFUNCTION("""COMPUTED_VALUE"""),11.4)</f>
        <v>11.4</v>
      </c>
      <c r="BJ952" s="71">
        <f>IFERROR(__xludf.DUMMYFUNCTION("""COMPUTED_VALUE"""),82.65)</f>
        <v>82.65</v>
      </c>
      <c r="BK952" s="71">
        <f>IFERROR(__xludf.DUMMYFUNCTION("""COMPUTED_VALUE"""),67.5)</f>
        <v>67.5</v>
      </c>
      <c r="BL952" s="71">
        <f>IFERROR(__xludf.DUMMYFUNCTION("""COMPUTED_VALUE"""),10.8)</f>
        <v>10.8</v>
      </c>
      <c r="BM952" s="71">
        <f>IFERROR(__xludf.DUMMYFUNCTION("""COMPUTED_VALUE"""),78.3)</f>
        <v>78.3</v>
      </c>
      <c r="BN952" s="71">
        <f>IFERROR(__xludf.DUMMYFUNCTION("""COMPUTED_VALUE"""),63.75)</f>
        <v>63.75</v>
      </c>
      <c r="BO952" s="71">
        <f>IFERROR(__xludf.DUMMYFUNCTION("""COMPUTED_VALUE"""),10.200000000000001)</f>
        <v>10.2</v>
      </c>
      <c r="BP952" s="71">
        <f>IFERROR(__xludf.DUMMYFUNCTION("""COMPUTED_VALUE"""),73.95)</f>
        <v>73.95</v>
      </c>
      <c r="BQ952" s="71">
        <f>IFERROR(__xludf.DUMMYFUNCTION("""COMPUTED_VALUE"""),62.25)</f>
        <v>62.25</v>
      </c>
      <c r="BR952" s="71">
        <f>IFERROR(__xludf.DUMMYFUNCTION("""COMPUTED_VALUE"""),9.96)</f>
        <v>9.96</v>
      </c>
      <c r="BS952" s="71">
        <f>IFERROR(__xludf.DUMMYFUNCTION("""COMPUTED_VALUE"""),72.21000000000001)</f>
        <v>72.21</v>
      </c>
      <c r="BT952" s="71">
        <f>IFERROR(__xludf.DUMMYFUNCTION("""COMPUTED_VALUE"""),60.0)</f>
        <v>60</v>
      </c>
      <c r="BU952" s="71">
        <f>IFERROR(__xludf.DUMMYFUNCTION("""COMPUTED_VALUE"""),9.6)</f>
        <v>9.6</v>
      </c>
      <c r="BV952" s="71">
        <f>IFERROR(__xludf.DUMMYFUNCTION("""COMPUTED_VALUE"""),69.6)</f>
        <v>69.6</v>
      </c>
    </row>
    <row r="953">
      <c r="A953" s="53"/>
      <c r="B953" s="53"/>
      <c r="C953" s="73" t="s">
        <v>53</v>
      </c>
      <c r="D953" s="53" t="s">
        <v>2308</v>
      </c>
      <c r="E953" s="54" t="s">
        <v>38</v>
      </c>
      <c r="F953" s="54" t="s">
        <v>42</v>
      </c>
      <c r="G953" s="55" t="s">
        <v>2309</v>
      </c>
      <c r="H953" s="55" t="s">
        <v>2310</v>
      </c>
      <c r="I953" s="54">
        <f t="shared" si="24"/>
        <v>37</v>
      </c>
      <c r="J953" s="56"/>
      <c r="K953" s="75"/>
      <c r="L953" s="76"/>
      <c r="M953" s="59"/>
      <c r="N953" s="60"/>
      <c r="O953" s="61">
        <v>377.0</v>
      </c>
      <c r="P953" s="62">
        <v>407.16</v>
      </c>
      <c r="Q953" s="63">
        <v>407.16</v>
      </c>
      <c r="R953" s="64">
        <v>428.0</v>
      </c>
      <c r="S953" s="111">
        <v>449.0</v>
      </c>
      <c r="T953" s="65">
        <f t="shared" si="2"/>
        <v>71.84</v>
      </c>
      <c r="U953" s="65">
        <f t="shared" si="3"/>
        <v>520.84</v>
      </c>
      <c r="V953" s="66">
        <f t="shared" si="4"/>
        <v>0.04906542056</v>
      </c>
      <c r="W953" s="67">
        <f t="shared" si="5"/>
        <v>426.55</v>
      </c>
      <c r="X953" s="67">
        <f t="shared" si="6"/>
        <v>68.248</v>
      </c>
      <c r="Y953" s="67">
        <f t="shared" si="7"/>
        <v>494.798</v>
      </c>
      <c r="Z953" s="67">
        <f t="shared" si="8"/>
        <v>404.1</v>
      </c>
      <c r="AA953" s="67">
        <f t="shared" si="9"/>
        <v>64.656</v>
      </c>
      <c r="AB953" s="67">
        <f t="shared" si="10"/>
        <v>468.756</v>
      </c>
      <c r="AC953" s="67">
        <f t="shared" si="11"/>
        <v>381.65</v>
      </c>
      <c r="AD953" s="67">
        <f t="shared" si="12"/>
        <v>61.064</v>
      </c>
      <c r="AE953" s="67">
        <f t="shared" si="13"/>
        <v>442.714</v>
      </c>
      <c r="AF953" s="67">
        <f t="shared" si="33"/>
        <v>372.67</v>
      </c>
      <c r="AG953" s="67">
        <f t="shared" si="15"/>
        <v>59.6272</v>
      </c>
      <c r="AH953" s="67">
        <f t="shared" si="16"/>
        <v>432.2972</v>
      </c>
      <c r="AI953" s="67">
        <f t="shared" si="17"/>
        <v>359.2</v>
      </c>
      <c r="AJ953" s="68">
        <f t="shared" si="31"/>
        <v>57.472</v>
      </c>
      <c r="AK953" s="68">
        <f t="shared" si="32"/>
        <v>416.672</v>
      </c>
      <c r="AL953" s="70">
        <f>IFERROR(__xludf.DUMMYFUNCTION("""COMPUTED_VALUE"""),1.0)</f>
        <v>1</v>
      </c>
      <c r="AM953" s="70"/>
      <c r="AN953" s="71" t="str">
        <f>IFERROR(__xludf.DUMMYFUNCTION("""COMPUTED_VALUE""")," C")</f>
        <v>C</v>
      </c>
      <c r="AO953" s="71" t="str">
        <f>IFERROR(__xludf.DUMMYFUNCTION("""COMPUTED_VALUE""")," PN01")</f>
        <v>PN01</v>
      </c>
      <c r="AP953" s="71" t="str">
        <f>IFERROR(__xludf.DUMMYFUNCTION("""COMPUTED_VALUE""")," PZA")</f>
        <v>PZA</v>
      </c>
      <c r="AQ953" s="71" t="str">
        <f>IFERROR(__xludf.DUMMYFUNCTION("""COMPUTED_VALUE""")," REF")</f>
        <v>REF</v>
      </c>
      <c r="AR953" s="71" t="str">
        <f>IFERROR(__xludf.DUMMYFUNCTION("""COMPUTED_VALUE""")," PERNO PARA BANDA METÁLICA")</f>
        <v>PERNO PARA BANDA METÁLICA</v>
      </c>
      <c r="AS953" s="71" t="str">
        <f>IFERROR(__xludf.DUMMYFUNCTION("""COMPUTED_VALUE""")," PERNO P/BANDA METALICA")</f>
        <v>PERNO P/BANDA METALICA</v>
      </c>
      <c r="AT953" s="71">
        <f>IFERROR(__xludf.DUMMYFUNCTION("""COMPUTED_VALUE"""),22.0)</f>
        <v>22</v>
      </c>
      <c r="AU953" s="71"/>
      <c r="AV953" s="71"/>
      <c r="AW953" s="71"/>
      <c r="AX953" s="71"/>
      <c r="AY953" s="71">
        <f>IFERROR(__xludf.DUMMYFUNCTION("""COMPUTED_VALUE"""),5.0)</f>
        <v>5</v>
      </c>
      <c r="AZ953" s="71">
        <f>IFERROR(__xludf.DUMMYFUNCTION("""COMPUTED_VALUE"""),5.0)</f>
        <v>5</v>
      </c>
      <c r="BA953" s="71">
        <f>IFERROR(__xludf.DUMMYFUNCTION("""COMPUTED_VALUE"""),5.4)</f>
        <v>5.4</v>
      </c>
      <c r="BB953" s="71">
        <f>IFERROR(__xludf.DUMMYFUNCTION("""COMPUTED_VALUE"""),5.4)</f>
        <v>5.4</v>
      </c>
      <c r="BC953" s="71">
        <f>IFERROR(__xludf.DUMMYFUNCTION("""COMPUTED_VALUE"""),6.0)</f>
        <v>6</v>
      </c>
      <c r="BD953" s="71">
        <f>IFERROR(__xludf.DUMMYFUNCTION("""COMPUTED_VALUE"""),6.300000000000001)</f>
        <v>6.3</v>
      </c>
      <c r="BE953" s="71">
        <f>IFERROR(__xludf.DUMMYFUNCTION("""COMPUTED_VALUE"""),1.0080000000000002)</f>
        <v>1.008</v>
      </c>
      <c r="BF953" s="71">
        <f>IFERROR(__xludf.DUMMYFUNCTION("""COMPUTED_VALUE"""),7.308000000000001)</f>
        <v>7.308</v>
      </c>
      <c r="BG953" s="71">
        <f>IFERROR(__xludf.DUMMYFUNCTION("""COMPUTED_VALUE"""),0.05000000000000012)</f>
        <v>0.05</v>
      </c>
      <c r="BH953" s="71">
        <f>IFERROR(__xludf.DUMMYFUNCTION("""COMPUTED_VALUE"""),5.985)</f>
        <v>5.985</v>
      </c>
      <c r="BI953" s="71">
        <f>IFERROR(__xludf.DUMMYFUNCTION("""COMPUTED_VALUE"""),0.9576000000000001)</f>
        <v>0.9576</v>
      </c>
      <c r="BJ953" s="71">
        <f>IFERROR(__xludf.DUMMYFUNCTION("""COMPUTED_VALUE"""),6.9426000000000005)</f>
        <v>6.9426</v>
      </c>
      <c r="BK953" s="71">
        <f>IFERROR(__xludf.DUMMYFUNCTION("""COMPUTED_VALUE"""),5.670000000000001)</f>
        <v>5.67</v>
      </c>
      <c r="BL953" s="71">
        <f>IFERROR(__xludf.DUMMYFUNCTION("""COMPUTED_VALUE"""),0.9072000000000001)</f>
        <v>0.9072</v>
      </c>
      <c r="BM953" s="71">
        <f>IFERROR(__xludf.DUMMYFUNCTION("""COMPUTED_VALUE"""),6.577200000000001)</f>
        <v>6.5772</v>
      </c>
      <c r="BN953" s="71">
        <f>IFERROR(__xludf.DUMMYFUNCTION("""COMPUTED_VALUE"""),5.355)</f>
        <v>5.355</v>
      </c>
      <c r="BO953" s="71">
        <f>IFERROR(__xludf.DUMMYFUNCTION("""COMPUTED_VALUE"""),0.8568000000000001)</f>
        <v>0.8568</v>
      </c>
      <c r="BP953" s="71">
        <f>IFERROR(__xludf.DUMMYFUNCTION("""COMPUTED_VALUE"""),6.2118)</f>
        <v>6.2118</v>
      </c>
      <c r="BQ953" s="71">
        <f>IFERROR(__xludf.DUMMYFUNCTION("""COMPUTED_VALUE"""),5.229)</f>
        <v>5.229</v>
      </c>
      <c r="BR953" s="71">
        <f>IFERROR(__xludf.DUMMYFUNCTION("""COMPUTED_VALUE"""),0.83664)</f>
        <v>0.83664</v>
      </c>
      <c r="BS953" s="71">
        <f>IFERROR(__xludf.DUMMYFUNCTION("""COMPUTED_VALUE"""),6.06564)</f>
        <v>6.06564</v>
      </c>
      <c r="BT953" s="71">
        <f>IFERROR(__xludf.DUMMYFUNCTION("""COMPUTED_VALUE"""),5.040000000000001)</f>
        <v>5.04</v>
      </c>
      <c r="BU953" s="71">
        <f>IFERROR(__xludf.DUMMYFUNCTION("""COMPUTED_VALUE"""),0.8064000000000001)</f>
        <v>0.8064</v>
      </c>
      <c r="BV953" s="71">
        <f>IFERROR(__xludf.DUMMYFUNCTION("""COMPUTED_VALUE"""),5.846400000000001)</f>
        <v>5.8464</v>
      </c>
    </row>
    <row r="954">
      <c r="A954" s="53"/>
      <c r="B954" s="53"/>
      <c r="C954" s="73" t="s">
        <v>53</v>
      </c>
      <c r="D954" s="53" t="s">
        <v>2311</v>
      </c>
      <c r="E954" s="54" t="s">
        <v>38</v>
      </c>
      <c r="F954" s="54" t="s">
        <v>42</v>
      </c>
      <c r="G954" s="55" t="s">
        <v>2312</v>
      </c>
      <c r="H954" s="54" t="s">
        <v>2312</v>
      </c>
      <c r="I954" s="54">
        <f t="shared" si="24"/>
        <v>35</v>
      </c>
      <c r="J954" s="56"/>
      <c r="K954" s="57"/>
      <c r="L954" s="76"/>
      <c r="M954" s="59"/>
      <c r="N954" s="79">
        <v>485.0</v>
      </c>
      <c r="O954" s="61">
        <v>523.0</v>
      </c>
      <c r="P954" s="62">
        <v>564.84</v>
      </c>
      <c r="Q954" s="63">
        <v>564.84</v>
      </c>
      <c r="R954" s="64">
        <v>594.0</v>
      </c>
      <c r="S954" s="111">
        <v>624.0</v>
      </c>
      <c r="T954" s="65">
        <f t="shared" si="2"/>
        <v>99.84</v>
      </c>
      <c r="U954" s="65">
        <f t="shared" si="3"/>
        <v>723.84</v>
      </c>
      <c r="V954" s="66">
        <f t="shared" si="4"/>
        <v>0.05050505051</v>
      </c>
      <c r="W954" s="67">
        <f t="shared" si="5"/>
        <v>592.8</v>
      </c>
      <c r="X954" s="67">
        <f t="shared" si="6"/>
        <v>94.848</v>
      </c>
      <c r="Y954" s="67">
        <f t="shared" si="7"/>
        <v>687.648</v>
      </c>
      <c r="Z954" s="67">
        <f t="shared" si="8"/>
        <v>561.6</v>
      </c>
      <c r="AA954" s="67">
        <f t="shared" si="9"/>
        <v>89.856</v>
      </c>
      <c r="AB954" s="67">
        <f t="shared" si="10"/>
        <v>651.456</v>
      </c>
      <c r="AC954" s="67">
        <f t="shared" si="11"/>
        <v>530.4</v>
      </c>
      <c r="AD954" s="67">
        <f t="shared" si="12"/>
        <v>84.864</v>
      </c>
      <c r="AE954" s="67">
        <f t="shared" si="13"/>
        <v>615.264</v>
      </c>
      <c r="AF954" s="67">
        <f t="shared" si="33"/>
        <v>517.92</v>
      </c>
      <c r="AG954" s="67">
        <f t="shared" si="15"/>
        <v>82.8672</v>
      </c>
      <c r="AH954" s="67">
        <f t="shared" si="16"/>
        <v>600.7872</v>
      </c>
      <c r="AI954" s="67">
        <f t="shared" si="17"/>
        <v>499.2</v>
      </c>
      <c r="AJ954" s="68">
        <f t="shared" si="31"/>
        <v>79.872</v>
      </c>
      <c r="AK954" s="68">
        <f t="shared" si="32"/>
        <v>579.072</v>
      </c>
      <c r="AL954" s="70">
        <f>IFERROR(__xludf.DUMMYFUNCTION("""COMPUTED_VALUE"""),1.0)</f>
        <v>1</v>
      </c>
      <c r="AM954" s="70"/>
      <c r="AN954" s="71" t="str">
        <f>IFERROR(__xludf.DUMMYFUNCTION("""COMPUTED_VALUE""")," C")</f>
        <v>C</v>
      </c>
      <c r="AO954" s="71" t="str">
        <f>IFERROR(__xludf.DUMMYFUNCTION("""COMPUTED_VALUE""")," PN02")</f>
        <v>PN02</v>
      </c>
      <c r="AP954" s="71" t="str">
        <f>IFERROR(__xludf.DUMMYFUNCTION("""COMPUTED_VALUE""")," PZA")</f>
        <v>PZA</v>
      </c>
      <c r="AQ954" s="71" t="str">
        <f>IFERROR(__xludf.DUMMYFUNCTION("""COMPUTED_VALUE""")," REF")</f>
        <v>REF</v>
      </c>
      <c r="AR954" s="71" t="str">
        <f>IFERROR(__xludf.DUMMYFUNCTION("""COMPUTED_VALUE""")," PERNO PARA BANDA METÁLICA (BOLSA DE 100 PIEZAS)")</f>
        <v>PERNO PARA BANDA METÁLICA (BOLSA DE 100 PIEZAS)</v>
      </c>
      <c r="AS954" s="71" t="str">
        <f>IFERROR(__xludf.DUMMYFUNCTION("""COMPUTED_VALUE""")," PERNO P/BANDA METALICA 100 PZA")</f>
        <v>PERNO P/BANDA METALICA 100 PZA</v>
      </c>
      <c r="AT954" s="71">
        <f>IFERROR(__xludf.DUMMYFUNCTION("""COMPUTED_VALUE"""),30.0)</f>
        <v>30</v>
      </c>
      <c r="AU954" s="71"/>
      <c r="AV954" s="71"/>
      <c r="AW954" s="71"/>
      <c r="AX954" s="71"/>
      <c r="AY954" s="71">
        <f>IFERROR(__xludf.DUMMYFUNCTION("""COMPUTED_VALUE"""),173.0)</f>
        <v>173</v>
      </c>
      <c r="AZ954" s="71">
        <f>IFERROR(__xludf.DUMMYFUNCTION("""COMPUTED_VALUE"""),186.0)</f>
        <v>186</v>
      </c>
      <c r="BA954" s="71">
        <f>IFERROR(__xludf.DUMMYFUNCTION("""COMPUTED_VALUE"""),200.88000000000002)</f>
        <v>200.88</v>
      </c>
      <c r="BB954" s="71">
        <f>IFERROR(__xludf.DUMMYFUNCTION("""COMPUTED_VALUE"""),200.88000000000002)</f>
        <v>200.88</v>
      </c>
      <c r="BC954" s="71">
        <f>IFERROR(__xludf.DUMMYFUNCTION("""COMPUTED_VALUE"""),224.0)</f>
        <v>224</v>
      </c>
      <c r="BD954" s="71">
        <f>IFERROR(__xludf.DUMMYFUNCTION("""COMPUTED_VALUE"""),235.0)</f>
        <v>235</v>
      </c>
      <c r="BE954" s="71">
        <f>IFERROR(__xludf.DUMMYFUNCTION("""COMPUTED_VALUE"""),37.6)</f>
        <v>37.6</v>
      </c>
      <c r="BF954" s="71">
        <f>IFERROR(__xludf.DUMMYFUNCTION("""COMPUTED_VALUE"""),272.6)</f>
        <v>272.6</v>
      </c>
      <c r="BG954" s="71">
        <f>IFERROR(__xludf.DUMMYFUNCTION("""COMPUTED_VALUE"""),0.049107142857142856)</f>
        <v>0.04910714286</v>
      </c>
      <c r="BH954" s="71">
        <f>IFERROR(__xludf.DUMMYFUNCTION("""COMPUTED_VALUE"""),223.25)</f>
        <v>223.25</v>
      </c>
      <c r="BI954" s="71">
        <f>IFERROR(__xludf.DUMMYFUNCTION("""COMPUTED_VALUE"""),35.72)</f>
        <v>35.72</v>
      </c>
      <c r="BJ954" s="71">
        <f>IFERROR(__xludf.DUMMYFUNCTION("""COMPUTED_VALUE"""),258.97)</f>
        <v>258.97</v>
      </c>
      <c r="BK954" s="71">
        <f>IFERROR(__xludf.DUMMYFUNCTION("""COMPUTED_VALUE"""),211.5)</f>
        <v>211.5</v>
      </c>
      <c r="BL954" s="71">
        <f>IFERROR(__xludf.DUMMYFUNCTION("""COMPUTED_VALUE"""),33.84)</f>
        <v>33.84</v>
      </c>
      <c r="BM954" s="71">
        <f>IFERROR(__xludf.DUMMYFUNCTION("""COMPUTED_VALUE"""),245.34)</f>
        <v>245.34</v>
      </c>
      <c r="BN954" s="71">
        <f>IFERROR(__xludf.DUMMYFUNCTION("""COMPUTED_VALUE"""),199.75)</f>
        <v>199.75</v>
      </c>
      <c r="BO954" s="71">
        <f>IFERROR(__xludf.DUMMYFUNCTION("""COMPUTED_VALUE"""),31.96)</f>
        <v>31.96</v>
      </c>
      <c r="BP954" s="71">
        <f>IFERROR(__xludf.DUMMYFUNCTION("""COMPUTED_VALUE"""),231.71)</f>
        <v>231.71</v>
      </c>
      <c r="BQ954" s="71">
        <f>IFERROR(__xludf.DUMMYFUNCTION("""COMPUTED_VALUE"""),195.04999999999998)</f>
        <v>195.05</v>
      </c>
      <c r="BR954" s="71">
        <f>IFERROR(__xludf.DUMMYFUNCTION("""COMPUTED_VALUE"""),31.208)</f>
        <v>31.208</v>
      </c>
      <c r="BS954" s="71">
        <f>IFERROR(__xludf.DUMMYFUNCTION("""COMPUTED_VALUE"""),226.25799999999998)</f>
        <v>226.258</v>
      </c>
      <c r="BT954" s="71">
        <f>IFERROR(__xludf.DUMMYFUNCTION("""COMPUTED_VALUE"""),188.0)</f>
        <v>188</v>
      </c>
      <c r="BU954" s="71">
        <f>IFERROR(__xludf.DUMMYFUNCTION("""COMPUTED_VALUE"""),30.080000000000002)</f>
        <v>30.08</v>
      </c>
      <c r="BV954" s="71">
        <f>IFERROR(__xludf.DUMMYFUNCTION("""COMPUTED_VALUE"""),218.08)</f>
        <v>218.08</v>
      </c>
    </row>
    <row r="955">
      <c r="A955" s="53">
        <v>1.0</v>
      </c>
      <c r="B955" s="72"/>
      <c r="C955" s="73" t="s">
        <v>53</v>
      </c>
      <c r="D955" s="74" t="s">
        <v>2313</v>
      </c>
      <c r="E955" s="54" t="s">
        <v>38</v>
      </c>
      <c r="F955" s="54" t="s">
        <v>42</v>
      </c>
      <c r="G955" s="88" t="s">
        <v>2314</v>
      </c>
      <c r="H955" s="54" t="s">
        <v>2315</v>
      </c>
      <c r="I955" s="54">
        <f t="shared" si="24"/>
        <v>40</v>
      </c>
      <c r="J955" s="56"/>
      <c r="K955" s="75"/>
      <c r="L955" s="76"/>
      <c r="M955" s="59"/>
      <c r="N955" s="60">
        <v>392.0</v>
      </c>
      <c r="O955" s="61">
        <v>423.0</v>
      </c>
      <c r="P955" s="62">
        <v>456.84000000000003</v>
      </c>
      <c r="Q955" s="63">
        <v>456.84000000000003</v>
      </c>
      <c r="R955" s="64">
        <v>510.0</v>
      </c>
      <c r="S955" s="111">
        <v>536.0</v>
      </c>
      <c r="T955" s="65">
        <f t="shared" si="2"/>
        <v>85.76</v>
      </c>
      <c r="U955" s="65">
        <f t="shared" si="3"/>
        <v>621.76</v>
      </c>
      <c r="V955" s="66">
        <f t="shared" si="4"/>
        <v>0.05098039216</v>
      </c>
      <c r="W955" s="67">
        <f t="shared" si="5"/>
        <v>509.2</v>
      </c>
      <c r="X955" s="67">
        <f t="shared" si="6"/>
        <v>81.472</v>
      </c>
      <c r="Y955" s="67">
        <f t="shared" si="7"/>
        <v>590.672</v>
      </c>
      <c r="Z955" s="67">
        <f t="shared" si="8"/>
        <v>482.4</v>
      </c>
      <c r="AA955" s="67">
        <f t="shared" si="9"/>
        <v>77.184</v>
      </c>
      <c r="AB955" s="67">
        <f t="shared" si="10"/>
        <v>559.584</v>
      </c>
      <c r="AC955" s="67">
        <f t="shared" si="11"/>
        <v>455.6</v>
      </c>
      <c r="AD955" s="67">
        <f t="shared" si="12"/>
        <v>72.896</v>
      </c>
      <c r="AE955" s="67">
        <f t="shared" si="13"/>
        <v>528.496</v>
      </c>
      <c r="AF955" s="67">
        <f t="shared" si="33"/>
        <v>444.88</v>
      </c>
      <c r="AG955" s="67">
        <f t="shared" si="15"/>
        <v>71.1808</v>
      </c>
      <c r="AH955" s="67">
        <f t="shared" si="16"/>
        <v>516.0608</v>
      </c>
      <c r="AI955" s="67">
        <f t="shared" si="17"/>
        <v>428.8</v>
      </c>
      <c r="AJ955" s="68">
        <f t="shared" si="31"/>
        <v>68.608</v>
      </c>
      <c r="AK955" s="68">
        <f t="shared" si="32"/>
        <v>497.408</v>
      </c>
      <c r="AL955" s="70">
        <f>IFERROR(__xludf.DUMMYFUNCTION("""COMPUTED_VALUE"""),1.0)</f>
        <v>1</v>
      </c>
      <c r="AM955" s="70"/>
      <c r="AN955" s="71" t="str">
        <f>IFERROR(__xludf.DUMMYFUNCTION("""COMPUTED_VALUE""")," CP")</f>
        <v>CP</v>
      </c>
      <c r="AO955" s="71" t="str">
        <f>IFERROR(__xludf.DUMMYFUNCTION("""COMPUTED_VALUE""")," PN03")</f>
        <v>PN03</v>
      </c>
      <c r="AP955" s="71" t="str">
        <f>IFERROR(__xludf.DUMMYFUNCTION("""COMPUTED_VALUE""")," PZA")</f>
        <v>PZA</v>
      </c>
      <c r="AQ955" s="71" t="str">
        <f>IFERROR(__xludf.DUMMYFUNCTION("""COMPUTED_VALUE""")," REF")</f>
        <v>REF</v>
      </c>
      <c r="AR955" s="71" t="str">
        <f>IFERROR(__xludf.DUMMYFUNCTION("""COMPUTED_VALUE""")," PERNO PARA CHUMACERA DE BRONCE")</f>
        <v>PERNO PARA CHUMACERA DE BRONCE</v>
      </c>
      <c r="AS955" s="71" t="str">
        <f>IFERROR(__xludf.DUMMYFUNCTION("""COMPUTED_VALUE""")," PERNO P/CHUMACERA DE BRONCE")</f>
        <v>PERNO P/CHUMACERA DE BRONCE</v>
      </c>
      <c r="AT955" s="71">
        <f>IFERROR(__xludf.DUMMYFUNCTION("""COMPUTED_VALUE"""),27.0)</f>
        <v>27</v>
      </c>
      <c r="AU955" s="71"/>
      <c r="AV955" s="71"/>
      <c r="AW955" s="71"/>
      <c r="AX955" s="71"/>
      <c r="AY955" s="71">
        <f>IFERROR(__xludf.DUMMYFUNCTION("""COMPUTED_VALUE"""),33.0)</f>
        <v>33</v>
      </c>
      <c r="AZ955" s="71">
        <f>IFERROR(__xludf.DUMMYFUNCTION("""COMPUTED_VALUE"""),35.0)</f>
        <v>35</v>
      </c>
      <c r="BA955" s="71">
        <f>IFERROR(__xludf.DUMMYFUNCTION("""COMPUTED_VALUE"""),37.800000000000004)</f>
        <v>37.8</v>
      </c>
      <c r="BB955" s="71">
        <f>IFERROR(__xludf.DUMMYFUNCTION("""COMPUTED_VALUE"""),37.800000000000004)</f>
        <v>37.8</v>
      </c>
      <c r="BC955" s="71">
        <f>IFERROR(__xludf.DUMMYFUNCTION("""COMPUTED_VALUE"""),44.0)</f>
        <v>44</v>
      </c>
      <c r="BD955" s="71">
        <f>IFERROR(__xludf.DUMMYFUNCTION("""COMPUTED_VALUE"""),46.0)</f>
        <v>46</v>
      </c>
      <c r="BE955" s="71">
        <f>IFERROR(__xludf.DUMMYFUNCTION("""COMPUTED_VALUE"""),7.36)</f>
        <v>7.36</v>
      </c>
      <c r="BF955" s="71">
        <f>IFERROR(__xludf.DUMMYFUNCTION("""COMPUTED_VALUE"""),53.36)</f>
        <v>53.36</v>
      </c>
      <c r="BG955" s="71">
        <f>IFERROR(__xludf.DUMMYFUNCTION("""COMPUTED_VALUE"""),0.045454545454545456)</f>
        <v>0.04545454545</v>
      </c>
      <c r="BH955" s="71">
        <f>IFERROR(__xludf.DUMMYFUNCTION("""COMPUTED_VALUE"""),43.699999999999996)</f>
        <v>43.7</v>
      </c>
      <c r="BI955" s="71">
        <f>IFERROR(__xludf.DUMMYFUNCTION("""COMPUTED_VALUE"""),6.991999999999999)</f>
        <v>6.992</v>
      </c>
      <c r="BJ955" s="71">
        <f>IFERROR(__xludf.DUMMYFUNCTION("""COMPUTED_VALUE"""),50.69199999999999)</f>
        <v>50.692</v>
      </c>
      <c r="BK955" s="71">
        <f>IFERROR(__xludf.DUMMYFUNCTION("""COMPUTED_VALUE"""),41.4)</f>
        <v>41.4</v>
      </c>
      <c r="BL955" s="71">
        <f>IFERROR(__xludf.DUMMYFUNCTION("""COMPUTED_VALUE"""),6.624)</f>
        <v>6.624</v>
      </c>
      <c r="BM955" s="71">
        <f>IFERROR(__xludf.DUMMYFUNCTION("""COMPUTED_VALUE"""),48.024)</f>
        <v>48.024</v>
      </c>
      <c r="BN955" s="71">
        <f>IFERROR(__xludf.DUMMYFUNCTION("""COMPUTED_VALUE"""),39.1)</f>
        <v>39.1</v>
      </c>
      <c r="BO955" s="71">
        <f>IFERROR(__xludf.DUMMYFUNCTION("""COMPUTED_VALUE"""),6.256)</f>
        <v>6.256</v>
      </c>
      <c r="BP955" s="71">
        <f>IFERROR(__xludf.DUMMYFUNCTION("""COMPUTED_VALUE"""),45.356)</f>
        <v>45.356</v>
      </c>
      <c r="BQ955" s="71">
        <f>IFERROR(__xludf.DUMMYFUNCTION("""COMPUTED_VALUE"""),38.18)</f>
        <v>38.18</v>
      </c>
      <c r="BR955" s="71">
        <f>IFERROR(__xludf.DUMMYFUNCTION("""COMPUTED_VALUE"""),6.1088000000000005)</f>
        <v>6.1088</v>
      </c>
      <c r="BS955" s="71">
        <f>IFERROR(__xludf.DUMMYFUNCTION("""COMPUTED_VALUE"""),44.2888)</f>
        <v>44.2888</v>
      </c>
      <c r="BT955" s="71">
        <f>IFERROR(__xludf.DUMMYFUNCTION("""COMPUTED_VALUE"""),36.800000000000004)</f>
        <v>36.8</v>
      </c>
      <c r="BU955" s="71">
        <f>IFERROR(__xludf.DUMMYFUNCTION("""COMPUTED_VALUE"""),5.888000000000001)</f>
        <v>5.888</v>
      </c>
      <c r="BV955" s="71">
        <f>IFERROR(__xludf.DUMMYFUNCTION("""COMPUTED_VALUE"""),42.688)</f>
        <v>42.688</v>
      </c>
    </row>
    <row r="956">
      <c r="A956" s="53">
        <v>1.0</v>
      </c>
      <c r="B956" s="72"/>
      <c r="C956" s="73" t="s">
        <v>53</v>
      </c>
      <c r="D956" s="74" t="s">
        <v>2316</v>
      </c>
      <c r="E956" s="54" t="s">
        <v>38</v>
      </c>
      <c r="F956" s="54" t="s">
        <v>42</v>
      </c>
      <c r="G956" s="88" t="s">
        <v>2317</v>
      </c>
      <c r="H956" s="54" t="s">
        <v>2318</v>
      </c>
      <c r="I956" s="54">
        <f t="shared" si="24"/>
        <v>30</v>
      </c>
      <c r="J956" s="56"/>
      <c r="K956" s="75"/>
      <c r="L956" s="76"/>
      <c r="M956" s="59"/>
      <c r="N956" s="60">
        <v>172.0</v>
      </c>
      <c r="O956" s="61">
        <v>185.0</v>
      </c>
      <c r="P956" s="62">
        <v>199.8</v>
      </c>
      <c r="Q956" s="63">
        <v>199.8</v>
      </c>
      <c r="R956" s="64">
        <v>223.0</v>
      </c>
      <c r="S956" s="111">
        <v>234.0</v>
      </c>
      <c r="T956" s="65">
        <f t="shared" si="2"/>
        <v>37.44</v>
      </c>
      <c r="U956" s="65">
        <f t="shared" si="3"/>
        <v>271.44</v>
      </c>
      <c r="V956" s="66">
        <f t="shared" si="4"/>
        <v>0.04932735426</v>
      </c>
      <c r="W956" s="67">
        <f t="shared" si="5"/>
        <v>222.3</v>
      </c>
      <c r="X956" s="67">
        <f t="shared" si="6"/>
        <v>35.568</v>
      </c>
      <c r="Y956" s="67">
        <f t="shared" si="7"/>
        <v>257.868</v>
      </c>
      <c r="Z956" s="67">
        <f t="shared" si="8"/>
        <v>210.6</v>
      </c>
      <c r="AA956" s="67">
        <f t="shared" si="9"/>
        <v>33.696</v>
      </c>
      <c r="AB956" s="67">
        <f t="shared" si="10"/>
        <v>244.296</v>
      </c>
      <c r="AC956" s="67">
        <f t="shared" si="11"/>
        <v>198.9</v>
      </c>
      <c r="AD956" s="67">
        <f t="shared" si="12"/>
        <v>31.824</v>
      </c>
      <c r="AE956" s="67">
        <f t="shared" si="13"/>
        <v>230.724</v>
      </c>
      <c r="AF956" s="67">
        <f t="shared" si="33"/>
        <v>194.22</v>
      </c>
      <c r="AG956" s="67">
        <f t="shared" si="15"/>
        <v>31.0752</v>
      </c>
      <c r="AH956" s="67">
        <f t="shared" si="16"/>
        <v>225.2952</v>
      </c>
      <c r="AI956" s="67">
        <f t="shared" si="17"/>
        <v>187.2</v>
      </c>
      <c r="AJ956" s="68">
        <f t="shared" si="31"/>
        <v>29.952</v>
      </c>
      <c r="AK956" s="68">
        <f t="shared" si="32"/>
        <v>217.152</v>
      </c>
      <c r="AL956" s="70">
        <f>IFERROR(__xludf.DUMMYFUNCTION("""COMPUTED_VALUE"""),1.0)</f>
        <v>1</v>
      </c>
      <c r="AM956" s="70"/>
      <c r="AN956" s="71" t="str">
        <f>IFERROR(__xludf.DUMMYFUNCTION("""COMPUTED_VALUE""")," CP")</f>
        <v>CP</v>
      </c>
      <c r="AO956" s="71" t="str">
        <f>IFERROR(__xludf.DUMMYFUNCTION("""COMPUTED_VALUE""")," PN04")</f>
        <v>PN04</v>
      </c>
      <c r="AP956" s="71" t="str">
        <f>IFERROR(__xludf.DUMMYFUNCTION("""COMPUTED_VALUE""")," PZA")</f>
        <v>PZA</v>
      </c>
      <c r="AQ956" s="71" t="str">
        <f>IFERROR(__xludf.DUMMYFUNCTION("""COMPUTED_VALUE""")," REF")</f>
        <v>REF</v>
      </c>
      <c r="AR956" s="71" t="str">
        <f>IFERROR(__xludf.DUMMYFUNCTION("""COMPUTED_VALUE""")," PERNO PARA PUENTE DÚPLEX MODELO ANTERIOR")</f>
        <v>PERNO PARA PUENTE DÚPLEX MODELO ANTERIOR</v>
      </c>
      <c r="AS956" s="71" t="str">
        <f>IFERROR(__xludf.DUMMYFUNCTION("""COMPUTED_VALUE""")," PERNO P/PUENTE DPLX MA")</f>
        <v>PERNO P/PUENTE DPLX MA</v>
      </c>
      <c r="AT956" s="71">
        <f>IFERROR(__xludf.DUMMYFUNCTION("""COMPUTED_VALUE"""),22.0)</f>
        <v>22</v>
      </c>
      <c r="AU956" s="71"/>
      <c r="AV956" s="71"/>
      <c r="AW956" s="71"/>
      <c r="AX956" s="71"/>
      <c r="AY956" s="71">
        <f>IFERROR(__xludf.DUMMYFUNCTION("""COMPUTED_VALUE"""),101.0)</f>
        <v>101</v>
      </c>
      <c r="AZ956" s="71">
        <f>IFERROR(__xludf.DUMMYFUNCTION("""COMPUTED_VALUE"""),109.0)</f>
        <v>109</v>
      </c>
      <c r="BA956" s="71">
        <f>IFERROR(__xludf.DUMMYFUNCTION("""COMPUTED_VALUE"""),117.72000000000001)</f>
        <v>117.72</v>
      </c>
      <c r="BB956" s="71">
        <f>IFERROR(__xludf.DUMMYFUNCTION("""COMPUTED_VALUE"""),117.72000000000001)</f>
        <v>117.72</v>
      </c>
      <c r="BC956" s="71">
        <f>IFERROR(__xludf.DUMMYFUNCTION("""COMPUTED_VALUE"""),132.0)</f>
        <v>132</v>
      </c>
      <c r="BD956" s="71">
        <f>IFERROR(__xludf.DUMMYFUNCTION("""COMPUTED_VALUE"""),139.0)</f>
        <v>139</v>
      </c>
      <c r="BE956" s="71">
        <f>IFERROR(__xludf.DUMMYFUNCTION("""COMPUTED_VALUE"""),22.240000000000002)</f>
        <v>22.24</v>
      </c>
      <c r="BF956" s="71">
        <f>IFERROR(__xludf.DUMMYFUNCTION("""COMPUTED_VALUE"""),161.24)</f>
        <v>161.24</v>
      </c>
      <c r="BG956" s="71">
        <f>IFERROR(__xludf.DUMMYFUNCTION("""COMPUTED_VALUE"""),0.05303030303030303)</f>
        <v>0.05303030303</v>
      </c>
      <c r="BH956" s="71">
        <f>IFERROR(__xludf.DUMMYFUNCTION("""COMPUTED_VALUE"""),132.04999999999998)</f>
        <v>132.05</v>
      </c>
      <c r="BI956" s="71">
        <f>IFERROR(__xludf.DUMMYFUNCTION("""COMPUTED_VALUE"""),21.127999999999997)</f>
        <v>21.128</v>
      </c>
      <c r="BJ956" s="71">
        <f>IFERROR(__xludf.DUMMYFUNCTION("""COMPUTED_VALUE"""),153.17799999999997)</f>
        <v>153.178</v>
      </c>
      <c r="BK956" s="71">
        <f>IFERROR(__xludf.DUMMYFUNCTION("""COMPUTED_VALUE"""),125.10000000000001)</f>
        <v>125.1</v>
      </c>
      <c r="BL956" s="71">
        <f>IFERROR(__xludf.DUMMYFUNCTION("""COMPUTED_VALUE"""),20.016000000000002)</f>
        <v>20.016</v>
      </c>
      <c r="BM956" s="71">
        <f>IFERROR(__xludf.DUMMYFUNCTION("""COMPUTED_VALUE"""),145.116)</f>
        <v>145.116</v>
      </c>
      <c r="BN956" s="71">
        <f>IFERROR(__xludf.DUMMYFUNCTION("""COMPUTED_VALUE"""),118.14999999999999)</f>
        <v>118.15</v>
      </c>
      <c r="BO956" s="71">
        <f>IFERROR(__xludf.DUMMYFUNCTION("""COMPUTED_VALUE"""),18.904)</f>
        <v>18.904</v>
      </c>
      <c r="BP956" s="71">
        <f>IFERROR(__xludf.DUMMYFUNCTION("""COMPUTED_VALUE"""),137.054)</f>
        <v>137.054</v>
      </c>
      <c r="BQ956" s="71">
        <f>IFERROR(__xludf.DUMMYFUNCTION("""COMPUTED_VALUE"""),115.36999999999999)</f>
        <v>115.37</v>
      </c>
      <c r="BR956" s="71">
        <f>IFERROR(__xludf.DUMMYFUNCTION("""COMPUTED_VALUE"""),18.4592)</f>
        <v>18.4592</v>
      </c>
      <c r="BS956" s="71">
        <f>IFERROR(__xludf.DUMMYFUNCTION("""COMPUTED_VALUE"""),133.8292)</f>
        <v>133.8292</v>
      </c>
      <c r="BT956" s="71">
        <f>IFERROR(__xludf.DUMMYFUNCTION("""COMPUTED_VALUE"""),111.2)</f>
        <v>111.2</v>
      </c>
      <c r="BU956" s="71">
        <f>IFERROR(__xludf.DUMMYFUNCTION("""COMPUTED_VALUE"""),17.792)</f>
        <v>17.792</v>
      </c>
      <c r="BV956" s="71">
        <f>IFERROR(__xludf.DUMMYFUNCTION("""COMPUTED_VALUE"""),128.99200000000002)</f>
        <v>128.992</v>
      </c>
    </row>
    <row r="957">
      <c r="A957" s="53"/>
      <c r="B957" s="72"/>
      <c r="C957" s="73" t="s">
        <v>53</v>
      </c>
      <c r="D957" s="53" t="s">
        <v>2319</v>
      </c>
      <c r="E957" s="54" t="s">
        <v>38</v>
      </c>
      <c r="F957" s="54" t="s">
        <v>42</v>
      </c>
      <c r="G957" s="54" t="s">
        <v>2320</v>
      </c>
      <c r="H957" s="54" t="s">
        <v>2321</v>
      </c>
      <c r="I957" s="54">
        <f t="shared" si="24"/>
        <v>35</v>
      </c>
      <c r="J957" s="56"/>
      <c r="K957" s="57"/>
      <c r="L957" s="76"/>
      <c r="M957" s="59"/>
      <c r="N957" s="60"/>
      <c r="O957" s="61">
        <v>423.0</v>
      </c>
      <c r="P957" s="62">
        <v>456.84000000000003</v>
      </c>
      <c r="Q957" s="63">
        <v>456.84000000000003</v>
      </c>
      <c r="R957" s="64">
        <v>480.0</v>
      </c>
      <c r="S957" s="111">
        <v>504.0</v>
      </c>
      <c r="T957" s="65">
        <f t="shared" si="2"/>
        <v>80.64</v>
      </c>
      <c r="U957" s="65">
        <f t="shared" si="3"/>
        <v>584.64</v>
      </c>
      <c r="V957" s="66">
        <f t="shared" si="4"/>
        <v>0.05</v>
      </c>
      <c r="W957" s="67">
        <f t="shared" si="5"/>
        <v>478.8</v>
      </c>
      <c r="X957" s="67">
        <f t="shared" si="6"/>
        <v>76.608</v>
      </c>
      <c r="Y957" s="67">
        <f t="shared" si="7"/>
        <v>555.408</v>
      </c>
      <c r="Z957" s="67">
        <f t="shared" si="8"/>
        <v>453.6</v>
      </c>
      <c r="AA957" s="67">
        <f t="shared" si="9"/>
        <v>72.576</v>
      </c>
      <c r="AB957" s="67">
        <f t="shared" si="10"/>
        <v>526.176</v>
      </c>
      <c r="AC957" s="67">
        <f t="shared" si="11"/>
        <v>428.4</v>
      </c>
      <c r="AD957" s="67">
        <f t="shared" si="12"/>
        <v>68.544</v>
      </c>
      <c r="AE957" s="67">
        <f t="shared" si="13"/>
        <v>496.944</v>
      </c>
      <c r="AF957" s="67">
        <f t="shared" si="33"/>
        <v>418.32</v>
      </c>
      <c r="AG957" s="67">
        <f t="shared" si="15"/>
        <v>66.9312</v>
      </c>
      <c r="AH957" s="67">
        <f t="shared" si="16"/>
        <v>485.2512</v>
      </c>
      <c r="AI957" s="67">
        <f t="shared" si="17"/>
        <v>403.2</v>
      </c>
      <c r="AJ957" s="68">
        <f t="shared" si="31"/>
        <v>64.512</v>
      </c>
      <c r="AK957" s="68">
        <f t="shared" si="32"/>
        <v>467.712</v>
      </c>
      <c r="AL957" s="70">
        <f>IFERROR(__xludf.DUMMYFUNCTION("""COMPUTED_VALUE"""),1.0)</f>
        <v>1</v>
      </c>
      <c r="AM957" s="70"/>
      <c r="AN957" s="71" t="str">
        <f>IFERROR(__xludf.DUMMYFUNCTION("""COMPUTED_VALUE""")," CP")</f>
        <v>CP</v>
      </c>
      <c r="AO957" s="71" t="str">
        <f>IFERROR(__xludf.DUMMYFUNCTION("""COMPUTED_VALUE""")," PN05")</f>
        <v>PN05</v>
      </c>
      <c r="AP957" s="71" t="str">
        <f>IFERROR(__xludf.DUMMYFUNCTION("""COMPUTED_VALUE""")," PZA")</f>
        <v>PZA</v>
      </c>
      <c r="AQ957" s="71" t="str">
        <f>IFERROR(__xludf.DUMMYFUNCTION("""COMPUTED_VALUE""")," REF")</f>
        <v>REF</v>
      </c>
      <c r="AR957" s="71" t="str">
        <f>IFERROR(__xludf.DUMMYFUNCTION("""COMPUTED_VALUE""")," PERNO PARA PUENTE SENCILLO MODELO ANTERIOR")</f>
        <v>PERNO PARA PUENTE SENCILLO MODELO ANTERIOR</v>
      </c>
      <c r="AS957" s="71" t="str">
        <f>IFERROR(__xludf.DUMMYFUNCTION("""COMPUTED_VALUE""")," PERNO P/PUENTE SENCILLO MA")</f>
        <v>PERNO P/PUENTE SENCILLO MA</v>
      </c>
      <c r="AT957" s="71">
        <f>IFERROR(__xludf.DUMMYFUNCTION("""COMPUTED_VALUE"""),26.0)</f>
        <v>26</v>
      </c>
      <c r="AU957" s="71"/>
      <c r="AV957" s="71"/>
      <c r="AW957" s="71"/>
      <c r="AX957" s="71"/>
      <c r="AY957" s="71">
        <f>IFERROR(__xludf.DUMMYFUNCTION("""COMPUTED_VALUE"""),80.0)</f>
        <v>80</v>
      </c>
      <c r="AZ957" s="71">
        <f>IFERROR(__xludf.DUMMYFUNCTION("""COMPUTED_VALUE"""),86.0)</f>
        <v>86</v>
      </c>
      <c r="BA957" s="71">
        <f>IFERROR(__xludf.DUMMYFUNCTION("""COMPUTED_VALUE"""),92.88000000000001)</f>
        <v>92.88</v>
      </c>
      <c r="BB957" s="71">
        <f>IFERROR(__xludf.DUMMYFUNCTION("""COMPUTED_VALUE"""),92.88000000000001)</f>
        <v>92.88</v>
      </c>
      <c r="BC957" s="71">
        <f>IFERROR(__xludf.DUMMYFUNCTION("""COMPUTED_VALUE"""),104.0)</f>
        <v>104</v>
      </c>
      <c r="BD957" s="71">
        <f>IFERROR(__xludf.DUMMYFUNCTION("""COMPUTED_VALUE"""),109.0)</f>
        <v>109</v>
      </c>
      <c r="BE957" s="71">
        <f>IFERROR(__xludf.DUMMYFUNCTION("""COMPUTED_VALUE"""),17.44)</f>
        <v>17.44</v>
      </c>
      <c r="BF957" s="71">
        <f>IFERROR(__xludf.DUMMYFUNCTION("""COMPUTED_VALUE"""),126.44)</f>
        <v>126.44</v>
      </c>
      <c r="BG957" s="71">
        <f>IFERROR(__xludf.DUMMYFUNCTION("""COMPUTED_VALUE"""),0.04807692307692308)</f>
        <v>0.04807692308</v>
      </c>
      <c r="BH957" s="71">
        <f>IFERROR(__xludf.DUMMYFUNCTION("""COMPUTED_VALUE"""),103.55)</f>
        <v>103.55</v>
      </c>
      <c r="BI957" s="71">
        <f>IFERROR(__xludf.DUMMYFUNCTION("""COMPUTED_VALUE"""),16.568)</f>
        <v>16.568</v>
      </c>
      <c r="BJ957" s="71">
        <f>IFERROR(__xludf.DUMMYFUNCTION("""COMPUTED_VALUE"""),120.118)</f>
        <v>120.118</v>
      </c>
      <c r="BK957" s="71">
        <f>IFERROR(__xludf.DUMMYFUNCTION("""COMPUTED_VALUE"""),98.10000000000001)</f>
        <v>98.1</v>
      </c>
      <c r="BL957" s="71">
        <f>IFERROR(__xludf.DUMMYFUNCTION("""COMPUTED_VALUE"""),15.696000000000002)</f>
        <v>15.696</v>
      </c>
      <c r="BM957" s="71">
        <f>IFERROR(__xludf.DUMMYFUNCTION("""COMPUTED_VALUE"""),113.796)</f>
        <v>113.796</v>
      </c>
      <c r="BN957" s="71">
        <f>IFERROR(__xludf.DUMMYFUNCTION("""COMPUTED_VALUE"""),92.64999999999999)</f>
        <v>92.65</v>
      </c>
      <c r="BO957" s="71">
        <f>IFERROR(__xludf.DUMMYFUNCTION("""COMPUTED_VALUE"""),14.823999999999998)</f>
        <v>14.824</v>
      </c>
      <c r="BP957" s="71">
        <f>IFERROR(__xludf.DUMMYFUNCTION("""COMPUTED_VALUE"""),107.47399999999999)</f>
        <v>107.474</v>
      </c>
      <c r="BQ957" s="71">
        <f>IFERROR(__xludf.DUMMYFUNCTION("""COMPUTED_VALUE"""),90.47)</f>
        <v>90.47</v>
      </c>
      <c r="BR957" s="71">
        <f>IFERROR(__xludf.DUMMYFUNCTION("""COMPUTED_VALUE"""),14.475200000000001)</f>
        <v>14.4752</v>
      </c>
      <c r="BS957" s="71">
        <f>IFERROR(__xludf.DUMMYFUNCTION("""COMPUTED_VALUE"""),104.9452)</f>
        <v>104.9452</v>
      </c>
      <c r="BT957" s="71">
        <f>IFERROR(__xludf.DUMMYFUNCTION("""COMPUTED_VALUE"""),87.2)</f>
        <v>87.2</v>
      </c>
      <c r="BU957" s="71">
        <f>IFERROR(__xludf.DUMMYFUNCTION("""COMPUTED_VALUE"""),13.952)</f>
        <v>13.952</v>
      </c>
      <c r="BV957" s="71">
        <f>IFERROR(__xludf.DUMMYFUNCTION("""COMPUTED_VALUE"""),101.152)</f>
        <v>101.152</v>
      </c>
    </row>
    <row r="958">
      <c r="A958" s="53">
        <v>1.0</v>
      </c>
      <c r="B958" s="72"/>
      <c r="C958" s="73" t="s">
        <v>53</v>
      </c>
      <c r="D958" s="74" t="s">
        <v>2322</v>
      </c>
      <c r="E958" s="54" t="s">
        <v>38</v>
      </c>
      <c r="F958" s="54" t="s">
        <v>42</v>
      </c>
      <c r="G958" s="88" t="s">
        <v>2323</v>
      </c>
      <c r="H958" s="54" t="s">
        <v>2324</v>
      </c>
      <c r="I958" s="54">
        <f t="shared" si="24"/>
        <v>32</v>
      </c>
      <c r="J958" s="56"/>
      <c r="K958" s="75"/>
      <c r="L958" s="76"/>
      <c r="M958" s="59"/>
      <c r="N958" s="60">
        <v>254.0</v>
      </c>
      <c r="O958" s="61">
        <v>274.0</v>
      </c>
      <c r="P958" s="62">
        <v>295.92</v>
      </c>
      <c r="Q958" s="63">
        <v>295.92</v>
      </c>
      <c r="R958" s="64">
        <v>330.0</v>
      </c>
      <c r="S958" s="111">
        <v>347.0</v>
      </c>
      <c r="T958" s="65">
        <f t="shared" si="2"/>
        <v>55.52</v>
      </c>
      <c r="U958" s="65">
        <f t="shared" si="3"/>
        <v>402.52</v>
      </c>
      <c r="V958" s="66">
        <f t="shared" si="4"/>
        <v>0.05151515152</v>
      </c>
      <c r="W958" s="67">
        <f t="shared" si="5"/>
        <v>329.65</v>
      </c>
      <c r="X958" s="67">
        <f t="shared" si="6"/>
        <v>52.744</v>
      </c>
      <c r="Y958" s="67">
        <f t="shared" si="7"/>
        <v>382.394</v>
      </c>
      <c r="Z958" s="67">
        <f t="shared" si="8"/>
        <v>312.3</v>
      </c>
      <c r="AA958" s="67">
        <f t="shared" si="9"/>
        <v>49.968</v>
      </c>
      <c r="AB958" s="67">
        <f t="shared" si="10"/>
        <v>362.268</v>
      </c>
      <c r="AC958" s="67">
        <f t="shared" si="11"/>
        <v>294.95</v>
      </c>
      <c r="AD958" s="67">
        <f t="shared" si="12"/>
        <v>47.192</v>
      </c>
      <c r="AE958" s="67">
        <f t="shared" si="13"/>
        <v>342.142</v>
      </c>
      <c r="AF958" s="67">
        <f t="shared" si="33"/>
        <v>288.01</v>
      </c>
      <c r="AG958" s="67">
        <f t="shared" si="15"/>
        <v>46.0816</v>
      </c>
      <c r="AH958" s="67">
        <f t="shared" si="16"/>
        <v>334.0916</v>
      </c>
      <c r="AI958" s="67">
        <f t="shared" si="17"/>
        <v>277.6</v>
      </c>
      <c r="AJ958" s="68">
        <f t="shared" si="31"/>
        <v>44.416</v>
      </c>
      <c r="AK958" s="68">
        <f t="shared" si="32"/>
        <v>322.016</v>
      </c>
      <c r="AL958" s="70">
        <f>IFERROR(__xludf.DUMMYFUNCTION("""COMPUTED_VALUE"""),1.0)</f>
        <v>1</v>
      </c>
      <c r="AM958" s="70"/>
      <c r="AN958" s="71" t="str">
        <f>IFERROR(__xludf.DUMMYFUNCTION("""COMPUTED_VALUE""")," CP")</f>
        <v>CP</v>
      </c>
      <c r="AO958" s="71" t="str">
        <f>IFERROR(__xludf.DUMMYFUNCTION("""COMPUTED_VALUE""")," PN06")</f>
        <v>PN06</v>
      </c>
      <c r="AP958" s="71" t="str">
        <f>IFERROR(__xludf.DUMMYFUNCTION("""COMPUTED_VALUE""")," PZA")</f>
        <v>PZA</v>
      </c>
      <c r="AQ958" s="71" t="str">
        <f>IFERROR(__xludf.DUMMYFUNCTION("""COMPUTED_VALUE""")," REF")</f>
        <v>REF</v>
      </c>
      <c r="AR958" s="71" t="str">
        <f>IFERROR(__xludf.DUMMYFUNCTION("""COMPUTED_VALUE""")," PERNO PARA PUENTE SENCILLO Y DÚPLEX TV-50 (B.C.)")</f>
        <v>PERNO PARA PUENTE SENCILLO Y DÚPLEX TV-50 (B.C.)</v>
      </c>
      <c r="AS958" s="71" t="str">
        <f>IFERROR(__xludf.DUMMYFUNCTION("""COMPUTED_VALUE""")," PERNO P/PUENTE SENCILLO/DPLX TV50 BC")</f>
        <v>PERNO P/PUENTE SENCILLO/DPLX TV50 BC</v>
      </c>
      <c r="AT958" s="71">
        <f>IFERROR(__xludf.DUMMYFUNCTION("""COMPUTED_VALUE"""),36.0)</f>
        <v>36</v>
      </c>
      <c r="AU958" s="71"/>
      <c r="AV958" s="71"/>
      <c r="AW958" s="71"/>
      <c r="AX958" s="71"/>
      <c r="AY958" s="71">
        <f>IFERROR(__xludf.DUMMYFUNCTION("""COMPUTED_VALUE"""),155.0)</f>
        <v>155</v>
      </c>
      <c r="AZ958" s="71">
        <f>IFERROR(__xludf.DUMMYFUNCTION("""COMPUTED_VALUE"""),167.0)</f>
        <v>167</v>
      </c>
      <c r="BA958" s="71">
        <f>IFERROR(__xludf.DUMMYFUNCTION("""COMPUTED_VALUE"""),180.36)</f>
        <v>180.36</v>
      </c>
      <c r="BB958" s="71">
        <f>IFERROR(__xludf.DUMMYFUNCTION("""COMPUTED_VALUE"""),180.36)</f>
        <v>180.36</v>
      </c>
      <c r="BC958" s="71">
        <f>IFERROR(__xludf.DUMMYFUNCTION("""COMPUTED_VALUE"""),202.0)</f>
        <v>202</v>
      </c>
      <c r="BD958" s="71">
        <f>IFERROR(__xludf.DUMMYFUNCTION("""COMPUTED_VALUE"""),212.0)</f>
        <v>212</v>
      </c>
      <c r="BE958" s="71">
        <f>IFERROR(__xludf.DUMMYFUNCTION("""COMPUTED_VALUE"""),33.92)</f>
        <v>33.92</v>
      </c>
      <c r="BF958" s="71">
        <f>IFERROR(__xludf.DUMMYFUNCTION("""COMPUTED_VALUE"""),245.92000000000002)</f>
        <v>245.92</v>
      </c>
      <c r="BG958" s="71">
        <f>IFERROR(__xludf.DUMMYFUNCTION("""COMPUTED_VALUE"""),0.04950495049504951)</f>
        <v>0.0495049505</v>
      </c>
      <c r="BH958" s="71">
        <f>IFERROR(__xludf.DUMMYFUNCTION("""COMPUTED_VALUE"""),201.39999999999998)</f>
        <v>201.4</v>
      </c>
      <c r="BI958" s="71">
        <f>IFERROR(__xludf.DUMMYFUNCTION("""COMPUTED_VALUE"""),32.224)</f>
        <v>32.224</v>
      </c>
      <c r="BJ958" s="71">
        <f>IFERROR(__xludf.DUMMYFUNCTION("""COMPUTED_VALUE"""),233.62399999999997)</f>
        <v>233.624</v>
      </c>
      <c r="BK958" s="71">
        <f>IFERROR(__xludf.DUMMYFUNCTION("""COMPUTED_VALUE"""),190.8)</f>
        <v>190.8</v>
      </c>
      <c r="BL958" s="71">
        <f>IFERROR(__xludf.DUMMYFUNCTION("""COMPUTED_VALUE"""),30.528000000000002)</f>
        <v>30.528</v>
      </c>
      <c r="BM958" s="71">
        <f>IFERROR(__xludf.DUMMYFUNCTION("""COMPUTED_VALUE"""),221.328)</f>
        <v>221.328</v>
      </c>
      <c r="BN958" s="71">
        <f>IFERROR(__xludf.DUMMYFUNCTION("""COMPUTED_VALUE"""),180.2)</f>
        <v>180.2</v>
      </c>
      <c r="BO958" s="71">
        <f>IFERROR(__xludf.DUMMYFUNCTION("""COMPUTED_VALUE"""),28.831999999999997)</f>
        <v>28.832</v>
      </c>
      <c r="BP958" s="71">
        <f>IFERROR(__xludf.DUMMYFUNCTION("""COMPUTED_VALUE"""),209.03199999999998)</f>
        <v>209.032</v>
      </c>
      <c r="BQ958" s="71">
        <f>IFERROR(__xludf.DUMMYFUNCTION("""COMPUTED_VALUE"""),175.95999999999998)</f>
        <v>175.96</v>
      </c>
      <c r="BR958" s="71">
        <f>IFERROR(__xludf.DUMMYFUNCTION("""COMPUTED_VALUE"""),28.153599999999997)</f>
        <v>28.1536</v>
      </c>
      <c r="BS958" s="71">
        <f>IFERROR(__xludf.DUMMYFUNCTION("""COMPUTED_VALUE"""),204.11359999999996)</f>
        <v>204.1136</v>
      </c>
      <c r="BT958" s="71">
        <f>IFERROR(__xludf.DUMMYFUNCTION("""COMPUTED_VALUE"""),169.60000000000002)</f>
        <v>169.6</v>
      </c>
      <c r="BU958" s="71">
        <f>IFERROR(__xludf.DUMMYFUNCTION("""COMPUTED_VALUE"""),27.136000000000003)</f>
        <v>27.136</v>
      </c>
      <c r="BV958" s="71">
        <f>IFERROR(__xludf.DUMMYFUNCTION("""COMPUTED_VALUE"""),196.73600000000002)</f>
        <v>196.736</v>
      </c>
    </row>
    <row r="959">
      <c r="A959" s="53">
        <v>1.0</v>
      </c>
      <c r="B959" s="72"/>
      <c r="C959" s="73" t="s">
        <v>53</v>
      </c>
      <c r="D959" s="74" t="s">
        <v>2325</v>
      </c>
      <c r="E959" s="54" t="s">
        <v>38</v>
      </c>
      <c r="F959" s="54" t="s">
        <v>42</v>
      </c>
      <c r="G959" s="88" t="s">
        <v>2326</v>
      </c>
      <c r="H959" s="54" t="s">
        <v>2326</v>
      </c>
      <c r="I959" s="54">
        <f t="shared" si="24"/>
        <v>34</v>
      </c>
      <c r="J959" s="56"/>
      <c r="K959" s="75"/>
      <c r="L959" s="76"/>
      <c r="M959" s="59"/>
      <c r="N959" s="60">
        <v>120.0</v>
      </c>
      <c r="O959" s="61">
        <v>129.0</v>
      </c>
      <c r="P959" s="62">
        <v>139.32000000000002</v>
      </c>
      <c r="Q959" s="63">
        <v>139.32000000000002</v>
      </c>
      <c r="R959" s="64">
        <v>156.0</v>
      </c>
      <c r="S959" s="111">
        <v>164.0</v>
      </c>
      <c r="T959" s="65">
        <f t="shared" si="2"/>
        <v>26.24</v>
      </c>
      <c r="U959" s="65">
        <f t="shared" si="3"/>
        <v>190.24</v>
      </c>
      <c r="V959" s="66">
        <f t="shared" si="4"/>
        <v>0.05128205128</v>
      </c>
      <c r="W959" s="67">
        <f t="shared" si="5"/>
        <v>155.8</v>
      </c>
      <c r="X959" s="67">
        <f t="shared" si="6"/>
        <v>24.928</v>
      </c>
      <c r="Y959" s="67">
        <f t="shared" si="7"/>
        <v>180.728</v>
      </c>
      <c r="Z959" s="67">
        <f t="shared" si="8"/>
        <v>147.6</v>
      </c>
      <c r="AA959" s="67">
        <f t="shared" si="9"/>
        <v>23.616</v>
      </c>
      <c r="AB959" s="67">
        <f t="shared" si="10"/>
        <v>171.216</v>
      </c>
      <c r="AC959" s="67">
        <f t="shared" si="11"/>
        <v>139.4</v>
      </c>
      <c r="AD959" s="67">
        <f t="shared" si="12"/>
        <v>22.304</v>
      </c>
      <c r="AE959" s="67">
        <f t="shared" si="13"/>
        <v>161.704</v>
      </c>
      <c r="AF959" s="67">
        <f t="shared" si="33"/>
        <v>136.12</v>
      </c>
      <c r="AG959" s="67">
        <f t="shared" si="15"/>
        <v>21.7792</v>
      </c>
      <c r="AH959" s="67">
        <f t="shared" si="16"/>
        <v>157.8992</v>
      </c>
      <c r="AI959" s="67">
        <f t="shared" si="17"/>
        <v>131.2</v>
      </c>
      <c r="AJ959" s="68">
        <f t="shared" si="31"/>
        <v>20.992</v>
      </c>
      <c r="AK959" s="68">
        <f t="shared" si="32"/>
        <v>152.192</v>
      </c>
      <c r="AL959" s="70">
        <f>IFERROR(__xludf.DUMMYFUNCTION("""COMPUTED_VALUE"""),1.0)</f>
        <v>1</v>
      </c>
      <c r="AM959" s="70"/>
      <c r="AN959" s="71" t="str">
        <f>IFERROR(__xludf.DUMMYFUNCTION("""COMPUTED_VALUE""")," CP")</f>
        <v>CP</v>
      </c>
      <c r="AO959" s="71" t="str">
        <f>IFERROR(__xludf.DUMMYFUNCTION("""COMPUTED_VALUE""")," PN07")</f>
        <v>PN07</v>
      </c>
      <c r="AP959" s="71" t="str">
        <f>IFERROR(__xludf.DUMMYFUNCTION("""COMPUTED_VALUE""")," PZA")</f>
        <v>PZA</v>
      </c>
      <c r="AQ959" s="71" t="str">
        <f>IFERROR(__xludf.DUMMYFUNCTION("""COMPUTED_VALUE""")," REF")</f>
        <v>REF</v>
      </c>
      <c r="AR959" s="71" t="str">
        <f>IFERROR(__xludf.DUMMYFUNCTION("""COMPUTED_VALUE""")," PERNO PARA SEGUIDOR DÚPLEX")</f>
        <v>PERNO PARA SEGUIDOR DÚPLEX</v>
      </c>
      <c r="AS959" s="71" t="str">
        <f>IFERROR(__xludf.DUMMYFUNCTION("""COMPUTED_VALUE""")," PERNO P/SEGUIDOR DPLX")</f>
        <v>PERNO P/SEGUIDOR DPLX</v>
      </c>
      <c r="AT959" s="71">
        <f>IFERROR(__xludf.DUMMYFUNCTION("""COMPUTED_VALUE"""),21.0)</f>
        <v>21</v>
      </c>
      <c r="AU959" s="71"/>
      <c r="AV959" s="71"/>
      <c r="AW959" s="71"/>
      <c r="AX959" s="71"/>
      <c r="AY959" s="71">
        <f>IFERROR(__xludf.DUMMYFUNCTION("""COMPUTED_VALUE"""),33.0)</f>
        <v>33</v>
      </c>
      <c r="AZ959" s="71">
        <f>IFERROR(__xludf.DUMMYFUNCTION("""COMPUTED_VALUE"""),35.0)</f>
        <v>35</v>
      </c>
      <c r="BA959" s="71">
        <f>IFERROR(__xludf.DUMMYFUNCTION("""COMPUTED_VALUE"""),37.800000000000004)</f>
        <v>37.8</v>
      </c>
      <c r="BB959" s="71">
        <f>IFERROR(__xludf.DUMMYFUNCTION("""COMPUTED_VALUE"""),37.800000000000004)</f>
        <v>37.8</v>
      </c>
      <c r="BC959" s="71">
        <f>IFERROR(__xludf.DUMMYFUNCTION("""COMPUTED_VALUE"""),44.0)</f>
        <v>44</v>
      </c>
      <c r="BD959" s="71">
        <f>IFERROR(__xludf.DUMMYFUNCTION("""COMPUTED_VALUE"""),46.0)</f>
        <v>46</v>
      </c>
      <c r="BE959" s="71">
        <f>IFERROR(__xludf.DUMMYFUNCTION("""COMPUTED_VALUE"""),7.36)</f>
        <v>7.36</v>
      </c>
      <c r="BF959" s="71">
        <f>IFERROR(__xludf.DUMMYFUNCTION("""COMPUTED_VALUE"""),53.36)</f>
        <v>53.36</v>
      </c>
      <c r="BG959" s="71">
        <f>IFERROR(__xludf.DUMMYFUNCTION("""COMPUTED_VALUE"""),0.045454545454545456)</f>
        <v>0.04545454545</v>
      </c>
      <c r="BH959" s="71">
        <f>IFERROR(__xludf.DUMMYFUNCTION("""COMPUTED_VALUE"""),43.699999999999996)</f>
        <v>43.7</v>
      </c>
      <c r="BI959" s="71">
        <f>IFERROR(__xludf.DUMMYFUNCTION("""COMPUTED_VALUE"""),6.991999999999999)</f>
        <v>6.992</v>
      </c>
      <c r="BJ959" s="71">
        <f>IFERROR(__xludf.DUMMYFUNCTION("""COMPUTED_VALUE"""),50.69199999999999)</f>
        <v>50.692</v>
      </c>
      <c r="BK959" s="71">
        <f>IFERROR(__xludf.DUMMYFUNCTION("""COMPUTED_VALUE"""),41.4)</f>
        <v>41.4</v>
      </c>
      <c r="BL959" s="71">
        <f>IFERROR(__xludf.DUMMYFUNCTION("""COMPUTED_VALUE"""),6.624)</f>
        <v>6.624</v>
      </c>
      <c r="BM959" s="71">
        <f>IFERROR(__xludf.DUMMYFUNCTION("""COMPUTED_VALUE"""),48.024)</f>
        <v>48.024</v>
      </c>
      <c r="BN959" s="71">
        <f>IFERROR(__xludf.DUMMYFUNCTION("""COMPUTED_VALUE"""),39.1)</f>
        <v>39.1</v>
      </c>
      <c r="BO959" s="71">
        <f>IFERROR(__xludf.DUMMYFUNCTION("""COMPUTED_VALUE"""),6.256)</f>
        <v>6.256</v>
      </c>
      <c r="BP959" s="71">
        <f>IFERROR(__xludf.DUMMYFUNCTION("""COMPUTED_VALUE"""),45.356)</f>
        <v>45.356</v>
      </c>
      <c r="BQ959" s="71">
        <f>IFERROR(__xludf.DUMMYFUNCTION("""COMPUTED_VALUE"""),38.18)</f>
        <v>38.18</v>
      </c>
      <c r="BR959" s="71">
        <f>IFERROR(__xludf.DUMMYFUNCTION("""COMPUTED_VALUE"""),6.1088000000000005)</f>
        <v>6.1088</v>
      </c>
      <c r="BS959" s="71">
        <f>IFERROR(__xludf.DUMMYFUNCTION("""COMPUTED_VALUE"""),44.2888)</f>
        <v>44.2888</v>
      </c>
      <c r="BT959" s="71">
        <f>IFERROR(__xludf.DUMMYFUNCTION("""COMPUTED_VALUE"""),36.800000000000004)</f>
        <v>36.8</v>
      </c>
      <c r="BU959" s="71">
        <f>IFERROR(__xludf.DUMMYFUNCTION("""COMPUTED_VALUE"""),5.888000000000001)</f>
        <v>5.888</v>
      </c>
      <c r="BV959" s="71">
        <f>IFERROR(__xludf.DUMMYFUNCTION("""COMPUTED_VALUE"""),42.688)</f>
        <v>42.688</v>
      </c>
    </row>
    <row r="960">
      <c r="A960" s="53"/>
      <c r="B960" s="53"/>
      <c r="C960" s="53" t="s">
        <v>36</v>
      </c>
      <c r="D960" s="85" t="s">
        <v>2327</v>
      </c>
      <c r="E960" s="54" t="s">
        <v>38</v>
      </c>
      <c r="F960" s="55" t="s">
        <v>39</v>
      </c>
      <c r="G960" s="86" t="s">
        <v>2328</v>
      </c>
      <c r="H960" s="55"/>
      <c r="I960" s="54">
        <f t="shared" si="24"/>
        <v>0</v>
      </c>
      <c r="J960" s="56"/>
      <c r="K960" s="57"/>
      <c r="L960" s="76"/>
      <c r="M960" s="59"/>
      <c r="N960" s="60"/>
      <c r="O960" s="61">
        <v>435.84</v>
      </c>
      <c r="P960" s="62">
        <v>470.7072</v>
      </c>
      <c r="Q960" s="63">
        <v>470.7072</v>
      </c>
      <c r="R960" s="64">
        <v>495.0</v>
      </c>
      <c r="S960" s="107">
        <v>520.0</v>
      </c>
      <c r="T960" s="65">
        <f t="shared" si="2"/>
        <v>83.2</v>
      </c>
      <c r="U960" s="65">
        <f t="shared" si="3"/>
        <v>603.2</v>
      </c>
      <c r="V960" s="66">
        <f t="shared" si="4"/>
        <v>0.05050505051</v>
      </c>
      <c r="W960" s="67">
        <f t="shared" si="5"/>
        <v>494</v>
      </c>
      <c r="X960" s="67">
        <f t="shared" si="6"/>
        <v>79.04</v>
      </c>
      <c r="Y960" s="67">
        <f t="shared" si="7"/>
        <v>573.04</v>
      </c>
      <c r="Z960" s="67">
        <f t="shared" si="8"/>
        <v>468</v>
      </c>
      <c r="AA960" s="67">
        <f t="shared" si="9"/>
        <v>74.88</v>
      </c>
      <c r="AB960" s="67">
        <f t="shared" si="10"/>
        <v>542.88</v>
      </c>
      <c r="AC960" s="67">
        <f t="shared" si="11"/>
        <v>442</v>
      </c>
      <c r="AD960" s="67">
        <f t="shared" si="12"/>
        <v>70.72</v>
      </c>
      <c r="AE960" s="67">
        <f t="shared" si="13"/>
        <v>512.72</v>
      </c>
      <c r="AF960" s="67">
        <f t="shared" si="33"/>
        <v>431.6</v>
      </c>
      <c r="AG960" s="67">
        <f t="shared" si="15"/>
        <v>69.056</v>
      </c>
      <c r="AH960" s="67">
        <f t="shared" si="16"/>
        <v>500.656</v>
      </c>
      <c r="AI960" s="67">
        <f t="shared" si="17"/>
        <v>416</v>
      </c>
      <c r="AJ960" s="68">
        <f t="shared" si="31"/>
        <v>66.56</v>
      </c>
      <c r="AK960" s="68">
        <f t="shared" si="32"/>
        <v>482.56</v>
      </c>
      <c r="AL960" s="70">
        <f>IFERROR(__xludf.DUMMYFUNCTION("""COMPUTED_VALUE"""),1.0)</f>
        <v>1</v>
      </c>
      <c r="AM960" s="70"/>
      <c r="AN960" s="71" t="str">
        <f>IFERROR(__xludf.DUMMYFUNCTION("""COMPUTED_VALUE""")," CP")</f>
        <v>CP</v>
      </c>
      <c r="AO960" s="71" t="str">
        <f>IFERROR(__xludf.DUMMYFUNCTION("""COMPUTED_VALUE""")," PN08")</f>
        <v>PN08</v>
      </c>
      <c r="AP960" s="71" t="str">
        <f>IFERROR(__xludf.DUMMYFUNCTION("""COMPUTED_VALUE""")," PZA")</f>
        <v>PZA</v>
      </c>
      <c r="AQ960" s="71" t="str">
        <f>IFERROR(__xludf.DUMMYFUNCTION("""COMPUTED_VALUE""")," REF")</f>
        <v>REF</v>
      </c>
      <c r="AR960" s="71" t="str">
        <f>IFERROR(__xludf.DUMMYFUNCTION("""COMPUTED_VALUE""")," PERNO PARA SEGUIDOR SENCILLO")</f>
        <v>PERNO PARA SEGUIDOR SENCILLO</v>
      </c>
      <c r="AS960" s="71" t="str">
        <f>IFERROR(__xludf.DUMMYFUNCTION("""COMPUTED_VALUE""")," PERNO P/SEGUIDOR SENCILLO")</f>
        <v>PERNO P/SEGUIDOR SENCILLO</v>
      </c>
      <c r="AT960" s="71">
        <f>IFERROR(__xludf.DUMMYFUNCTION("""COMPUTED_VALUE"""),25.0)</f>
        <v>25</v>
      </c>
      <c r="AU960" s="71"/>
      <c r="AV960" s="71"/>
      <c r="AW960" s="71"/>
      <c r="AX960" s="71"/>
      <c r="AY960" s="71">
        <f>IFERROR(__xludf.DUMMYFUNCTION("""COMPUTED_VALUE"""),33.0)</f>
        <v>33</v>
      </c>
      <c r="AZ960" s="71">
        <f>IFERROR(__xludf.DUMMYFUNCTION("""COMPUTED_VALUE"""),35.0)</f>
        <v>35</v>
      </c>
      <c r="BA960" s="71">
        <f>IFERROR(__xludf.DUMMYFUNCTION("""COMPUTED_VALUE"""),37.800000000000004)</f>
        <v>37.8</v>
      </c>
      <c r="BB960" s="71">
        <f>IFERROR(__xludf.DUMMYFUNCTION("""COMPUTED_VALUE"""),37.800000000000004)</f>
        <v>37.8</v>
      </c>
      <c r="BC960" s="71">
        <f>IFERROR(__xludf.DUMMYFUNCTION("""COMPUTED_VALUE"""),44.0)</f>
        <v>44</v>
      </c>
      <c r="BD960" s="71">
        <f>IFERROR(__xludf.DUMMYFUNCTION("""COMPUTED_VALUE"""),46.0)</f>
        <v>46</v>
      </c>
      <c r="BE960" s="71">
        <f>IFERROR(__xludf.DUMMYFUNCTION("""COMPUTED_VALUE"""),7.36)</f>
        <v>7.36</v>
      </c>
      <c r="BF960" s="71">
        <f>IFERROR(__xludf.DUMMYFUNCTION("""COMPUTED_VALUE"""),53.36)</f>
        <v>53.36</v>
      </c>
      <c r="BG960" s="71">
        <f>IFERROR(__xludf.DUMMYFUNCTION("""COMPUTED_VALUE"""),0.045454545454545456)</f>
        <v>0.04545454545</v>
      </c>
      <c r="BH960" s="71">
        <f>IFERROR(__xludf.DUMMYFUNCTION("""COMPUTED_VALUE"""),43.699999999999996)</f>
        <v>43.7</v>
      </c>
      <c r="BI960" s="71">
        <f>IFERROR(__xludf.DUMMYFUNCTION("""COMPUTED_VALUE"""),6.991999999999999)</f>
        <v>6.992</v>
      </c>
      <c r="BJ960" s="71">
        <f>IFERROR(__xludf.DUMMYFUNCTION("""COMPUTED_VALUE"""),50.69199999999999)</f>
        <v>50.692</v>
      </c>
      <c r="BK960" s="71">
        <f>IFERROR(__xludf.DUMMYFUNCTION("""COMPUTED_VALUE"""),41.4)</f>
        <v>41.4</v>
      </c>
      <c r="BL960" s="71">
        <f>IFERROR(__xludf.DUMMYFUNCTION("""COMPUTED_VALUE"""),6.624)</f>
        <v>6.624</v>
      </c>
      <c r="BM960" s="71">
        <f>IFERROR(__xludf.DUMMYFUNCTION("""COMPUTED_VALUE"""),48.024)</f>
        <v>48.024</v>
      </c>
      <c r="BN960" s="71">
        <f>IFERROR(__xludf.DUMMYFUNCTION("""COMPUTED_VALUE"""),39.1)</f>
        <v>39.1</v>
      </c>
      <c r="BO960" s="71">
        <f>IFERROR(__xludf.DUMMYFUNCTION("""COMPUTED_VALUE"""),6.256)</f>
        <v>6.256</v>
      </c>
      <c r="BP960" s="71">
        <f>IFERROR(__xludf.DUMMYFUNCTION("""COMPUTED_VALUE"""),45.356)</f>
        <v>45.356</v>
      </c>
      <c r="BQ960" s="71">
        <f>IFERROR(__xludf.DUMMYFUNCTION("""COMPUTED_VALUE"""),38.18)</f>
        <v>38.18</v>
      </c>
      <c r="BR960" s="71">
        <f>IFERROR(__xludf.DUMMYFUNCTION("""COMPUTED_VALUE"""),6.1088000000000005)</f>
        <v>6.1088</v>
      </c>
      <c r="BS960" s="71">
        <f>IFERROR(__xludf.DUMMYFUNCTION("""COMPUTED_VALUE"""),44.2888)</f>
        <v>44.2888</v>
      </c>
      <c r="BT960" s="71">
        <f>IFERROR(__xludf.DUMMYFUNCTION("""COMPUTED_VALUE"""),36.800000000000004)</f>
        <v>36.8</v>
      </c>
      <c r="BU960" s="71">
        <f>IFERROR(__xludf.DUMMYFUNCTION("""COMPUTED_VALUE"""),5.888000000000001)</f>
        <v>5.888</v>
      </c>
      <c r="BV960" s="71">
        <f>IFERROR(__xludf.DUMMYFUNCTION("""COMPUTED_VALUE"""),42.688)</f>
        <v>42.688</v>
      </c>
    </row>
    <row r="961">
      <c r="A961" s="53"/>
      <c r="B961" s="53"/>
      <c r="C961" s="53" t="s">
        <v>36</v>
      </c>
      <c r="D961" s="85" t="s">
        <v>2329</v>
      </c>
      <c r="E961" s="54" t="s">
        <v>38</v>
      </c>
      <c r="F961" s="55" t="s">
        <v>39</v>
      </c>
      <c r="G961" s="86" t="s">
        <v>2330</v>
      </c>
      <c r="H961" s="55"/>
      <c r="I961" s="54">
        <f t="shared" si="24"/>
        <v>0</v>
      </c>
      <c r="J961" s="56"/>
      <c r="K961" s="57"/>
      <c r="L961" s="76"/>
      <c r="M961" s="59"/>
      <c r="N961" s="60"/>
      <c r="O961" s="61">
        <v>1469.3</v>
      </c>
      <c r="P961" s="62">
        <v>1586.844</v>
      </c>
      <c r="Q961" s="63">
        <v>1586.844</v>
      </c>
      <c r="R961" s="64">
        <v>1667.0</v>
      </c>
      <c r="S961" s="107">
        <v>1750.0</v>
      </c>
      <c r="T961" s="65">
        <f t="shared" si="2"/>
        <v>280</v>
      </c>
      <c r="U961" s="65">
        <f t="shared" si="3"/>
        <v>2030</v>
      </c>
      <c r="V961" s="66">
        <f t="shared" si="4"/>
        <v>0.04979004199</v>
      </c>
      <c r="W961" s="67">
        <f t="shared" si="5"/>
        <v>1662.5</v>
      </c>
      <c r="X961" s="67">
        <f t="shared" si="6"/>
        <v>266</v>
      </c>
      <c r="Y961" s="67">
        <f t="shared" si="7"/>
        <v>1928.5</v>
      </c>
      <c r="Z961" s="67">
        <f t="shared" si="8"/>
        <v>1575</v>
      </c>
      <c r="AA961" s="67">
        <f t="shared" si="9"/>
        <v>252</v>
      </c>
      <c r="AB961" s="67">
        <f t="shared" si="10"/>
        <v>1827</v>
      </c>
      <c r="AC961" s="67">
        <f t="shared" si="11"/>
        <v>1487.5</v>
      </c>
      <c r="AD961" s="67">
        <f t="shared" si="12"/>
        <v>238</v>
      </c>
      <c r="AE961" s="67">
        <f t="shared" si="13"/>
        <v>1725.5</v>
      </c>
      <c r="AF961" s="67">
        <f t="shared" si="33"/>
        <v>1452.5</v>
      </c>
      <c r="AG961" s="67">
        <f t="shared" si="15"/>
        <v>232.4</v>
      </c>
      <c r="AH961" s="67">
        <f t="shared" si="16"/>
        <v>1684.9</v>
      </c>
      <c r="AI961" s="67">
        <f t="shared" si="17"/>
        <v>1400</v>
      </c>
      <c r="AJ961" s="68">
        <f t="shared" si="31"/>
        <v>224</v>
      </c>
      <c r="AK961" s="68">
        <f t="shared" si="32"/>
        <v>1624</v>
      </c>
      <c r="AL961" s="70">
        <f>IFERROR(__xludf.DUMMYFUNCTION("""COMPUTED_VALUE"""),1.0)</f>
        <v>1</v>
      </c>
      <c r="AM961" s="70"/>
      <c r="AN961" s="71" t="str">
        <f>IFERROR(__xludf.DUMMYFUNCTION("""COMPUTED_VALUE""")," CP")</f>
        <v>CP</v>
      </c>
      <c r="AO961" s="71" t="str">
        <f>IFERROR(__xludf.DUMMYFUNCTION("""COMPUTED_VALUE""")," PN09")</f>
        <v>PN09</v>
      </c>
      <c r="AP961" s="71" t="str">
        <f>IFERROR(__xludf.DUMMYFUNCTION("""COMPUTED_VALUE""")," PZA")</f>
        <v>PZA</v>
      </c>
      <c r="AQ961" s="71" t="str">
        <f>IFERROR(__xludf.DUMMYFUNCTION("""COMPUTED_VALUE""")," REF")</f>
        <v>REF</v>
      </c>
      <c r="AR961" s="71" t="str">
        <f>IFERROR(__xludf.DUMMYFUNCTION("""COMPUTED_VALUE""")," PERNO PARA SINFÍN ASPA DÚPLEX")</f>
        <v>PERNO PARA SINFÍN ASPA DÚPLEX</v>
      </c>
      <c r="AS961" s="71" t="str">
        <f>IFERROR(__xludf.DUMMYFUNCTION("""COMPUTED_VALUE""")," PERNO P/SINFIN ASPA DPLX")</f>
        <v>PERNO P/SINFIN ASPA DPLX</v>
      </c>
      <c r="AT961" s="71">
        <f>IFERROR(__xludf.DUMMYFUNCTION("""COMPUTED_VALUE"""),24.0)</f>
        <v>24</v>
      </c>
      <c r="AU961" s="71"/>
      <c r="AV961" s="71"/>
      <c r="AW961" s="71"/>
      <c r="AX961" s="71"/>
      <c r="AY961" s="71">
        <f>IFERROR(__xludf.DUMMYFUNCTION("""COMPUTED_VALUE"""),13.0)</f>
        <v>13</v>
      </c>
      <c r="AZ961" s="71">
        <f>IFERROR(__xludf.DUMMYFUNCTION("""COMPUTED_VALUE"""),14.0)</f>
        <v>14</v>
      </c>
      <c r="BA961" s="71">
        <f>IFERROR(__xludf.DUMMYFUNCTION("""COMPUTED_VALUE"""),15.120000000000001)</f>
        <v>15.12</v>
      </c>
      <c r="BB961" s="71">
        <f>IFERROR(__xludf.DUMMYFUNCTION("""COMPUTED_VALUE"""),15.120000000000001)</f>
        <v>15.12</v>
      </c>
      <c r="BC961" s="71">
        <f>IFERROR(__xludf.DUMMYFUNCTION("""COMPUTED_VALUE"""),18.0)</f>
        <v>18</v>
      </c>
      <c r="BD961" s="71">
        <f>IFERROR(__xludf.DUMMYFUNCTION("""COMPUTED_VALUE"""),18.900000000000002)</f>
        <v>18.9</v>
      </c>
      <c r="BE961" s="71">
        <f>IFERROR(__xludf.DUMMYFUNCTION("""COMPUTED_VALUE"""),3.0240000000000005)</f>
        <v>3.024</v>
      </c>
      <c r="BF961" s="71">
        <f>IFERROR(__xludf.DUMMYFUNCTION("""COMPUTED_VALUE"""),21.924000000000003)</f>
        <v>21.924</v>
      </c>
      <c r="BG961" s="71">
        <f>IFERROR(__xludf.DUMMYFUNCTION("""COMPUTED_VALUE"""),0.05000000000000012)</f>
        <v>0.05</v>
      </c>
      <c r="BH961" s="71">
        <f>IFERROR(__xludf.DUMMYFUNCTION("""COMPUTED_VALUE"""),17.955000000000002)</f>
        <v>17.955</v>
      </c>
      <c r="BI961" s="71">
        <f>IFERROR(__xludf.DUMMYFUNCTION("""COMPUTED_VALUE"""),2.8728000000000002)</f>
        <v>2.8728</v>
      </c>
      <c r="BJ961" s="71">
        <f>IFERROR(__xludf.DUMMYFUNCTION("""COMPUTED_VALUE"""),20.827800000000003)</f>
        <v>20.8278</v>
      </c>
      <c r="BK961" s="71">
        <f>IFERROR(__xludf.DUMMYFUNCTION("""COMPUTED_VALUE"""),17.01)</f>
        <v>17.01</v>
      </c>
      <c r="BL961" s="71">
        <f>IFERROR(__xludf.DUMMYFUNCTION("""COMPUTED_VALUE"""),2.7216000000000005)</f>
        <v>2.7216</v>
      </c>
      <c r="BM961" s="71">
        <f>IFERROR(__xludf.DUMMYFUNCTION("""COMPUTED_VALUE"""),19.7316)</f>
        <v>19.7316</v>
      </c>
      <c r="BN961" s="71">
        <f>IFERROR(__xludf.DUMMYFUNCTION("""COMPUTED_VALUE"""),16.065)</f>
        <v>16.065</v>
      </c>
      <c r="BO961" s="71">
        <f>IFERROR(__xludf.DUMMYFUNCTION("""COMPUTED_VALUE"""),2.5704000000000002)</f>
        <v>2.5704</v>
      </c>
      <c r="BP961" s="71">
        <f>IFERROR(__xludf.DUMMYFUNCTION("""COMPUTED_VALUE"""),18.6354)</f>
        <v>18.6354</v>
      </c>
      <c r="BQ961" s="71">
        <f>IFERROR(__xludf.DUMMYFUNCTION("""COMPUTED_VALUE"""),15.687000000000001)</f>
        <v>15.687</v>
      </c>
      <c r="BR961" s="71">
        <f>IFERROR(__xludf.DUMMYFUNCTION("""COMPUTED_VALUE"""),2.50992)</f>
        <v>2.50992</v>
      </c>
      <c r="BS961" s="71">
        <f>IFERROR(__xludf.DUMMYFUNCTION("""COMPUTED_VALUE"""),18.196920000000002)</f>
        <v>18.19692</v>
      </c>
      <c r="BT961" s="71">
        <f>IFERROR(__xludf.DUMMYFUNCTION("""COMPUTED_VALUE"""),15.120000000000003)</f>
        <v>15.12</v>
      </c>
      <c r="BU961" s="71">
        <f>IFERROR(__xludf.DUMMYFUNCTION("""COMPUTED_VALUE"""),2.4192000000000005)</f>
        <v>2.4192</v>
      </c>
      <c r="BV961" s="71">
        <f>IFERROR(__xludf.DUMMYFUNCTION("""COMPUTED_VALUE"""),17.539200000000005)</f>
        <v>17.5392</v>
      </c>
    </row>
    <row r="962">
      <c r="A962" s="53"/>
      <c r="B962" s="53"/>
      <c r="C962" s="53" t="s">
        <v>53</v>
      </c>
      <c r="D962" s="53" t="s">
        <v>2331</v>
      </c>
      <c r="E962" s="54" t="s">
        <v>38</v>
      </c>
      <c r="F962" s="55" t="s">
        <v>39</v>
      </c>
      <c r="G962" s="55" t="s">
        <v>2332</v>
      </c>
      <c r="H962" s="55" t="s">
        <v>2333</v>
      </c>
      <c r="I962" s="54">
        <f t="shared" si="24"/>
        <v>17</v>
      </c>
      <c r="J962" s="56"/>
      <c r="K962" s="57"/>
      <c r="L962" s="76"/>
      <c r="M962" s="59"/>
      <c r="N962" s="60"/>
      <c r="O962" s="61">
        <v>1190.4</v>
      </c>
      <c r="P962" s="62">
        <v>1285.6320000000003</v>
      </c>
      <c r="Q962" s="63">
        <v>1285.6320000000003</v>
      </c>
      <c r="R962" s="64">
        <v>1351.0</v>
      </c>
      <c r="S962" s="111">
        <v>1419.0</v>
      </c>
      <c r="T962" s="65">
        <f t="shared" si="2"/>
        <v>227.04</v>
      </c>
      <c r="U962" s="65">
        <f t="shared" si="3"/>
        <v>1646.04</v>
      </c>
      <c r="V962" s="66">
        <f t="shared" si="4"/>
        <v>0.0503330866</v>
      </c>
      <c r="W962" s="67">
        <f t="shared" si="5"/>
        <v>1348.05</v>
      </c>
      <c r="X962" s="67">
        <f t="shared" si="6"/>
        <v>215.688</v>
      </c>
      <c r="Y962" s="67">
        <f t="shared" si="7"/>
        <v>1563.738</v>
      </c>
      <c r="Z962" s="67">
        <f t="shared" si="8"/>
        <v>1277.1</v>
      </c>
      <c r="AA962" s="67">
        <f t="shared" si="9"/>
        <v>204.336</v>
      </c>
      <c r="AB962" s="67">
        <f t="shared" si="10"/>
        <v>1481.436</v>
      </c>
      <c r="AC962" s="67">
        <f t="shared" si="11"/>
        <v>1206.15</v>
      </c>
      <c r="AD962" s="67">
        <f t="shared" si="12"/>
        <v>192.984</v>
      </c>
      <c r="AE962" s="67">
        <f t="shared" si="13"/>
        <v>1399.134</v>
      </c>
      <c r="AF962" s="67">
        <f t="shared" si="33"/>
        <v>1177.77</v>
      </c>
      <c r="AG962" s="67">
        <f t="shared" si="15"/>
        <v>188.4432</v>
      </c>
      <c r="AH962" s="67">
        <f t="shared" si="16"/>
        <v>1366.2132</v>
      </c>
      <c r="AI962" s="67">
        <f t="shared" si="17"/>
        <v>1135.2</v>
      </c>
      <c r="AJ962" s="68">
        <f t="shared" si="31"/>
        <v>181.632</v>
      </c>
      <c r="AK962" s="68">
        <f t="shared" si="32"/>
        <v>1316.832</v>
      </c>
      <c r="AL962" s="70">
        <f>IFERROR(__xludf.DUMMYFUNCTION("""COMPUTED_VALUE"""),1.0)</f>
        <v>1</v>
      </c>
      <c r="AM962" s="70"/>
      <c r="AN962" s="71" t="str">
        <f>IFERROR(__xludf.DUMMYFUNCTION("""COMPUTED_VALUE""")," CP")</f>
        <v>CP</v>
      </c>
      <c r="AO962" s="71" t="str">
        <f>IFERROR(__xludf.DUMMYFUNCTION("""COMPUTED_VALUE""")," PN98")</f>
        <v>PN98</v>
      </c>
      <c r="AP962" s="71" t="str">
        <f>IFERROR(__xludf.DUMMYFUNCTION("""COMPUTED_VALUE""")," PZA")</f>
        <v>PZA</v>
      </c>
      <c r="AQ962" s="71" t="str">
        <f>IFERROR(__xludf.DUMMYFUNCTION("""COMPUTED_VALUE""")," REF")</f>
        <v>REF</v>
      </c>
      <c r="AR962" s="71" t="str">
        <f>IFERROR(__xludf.DUMMYFUNCTION("""COMPUTED_VALUE""")," PERNO PARA SINFÍN ASPA DÚPLEX EN ACERO INOX. T-304 GRADO ALIMENTICIO")</f>
        <v>PERNO PARA SINFÍN ASPA DÚPLEX EN ACERO INOX. T-304 GRADO ALIMENTICIO</v>
      </c>
      <c r="AS962" s="71" t="str">
        <f>IFERROR(__xludf.DUMMYFUNCTION("""COMPUTED_VALUE""")," PERNO P/SINFIN ASPA DPLX INOX")</f>
        <v>PERNO P/SINFIN ASPA DPLX INOX</v>
      </c>
      <c r="AT962" s="71">
        <f>IFERROR(__xludf.DUMMYFUNCTION("""COMPUTED_VALUE"""),29.0)</f>
        <v>29</v>
      </c>
      <c r="AU962" s="71"/>
      <c r="AV962" s="71"/>
      <c r="AW962" s="71"/>
      <c r="AX962" s="71"/>
      <c r="AY962" s="71">
        <f>IFERROR(__xludf.DUMMYFUNCTION("""COMPUTED_VALUE"""),23.0)</f>
        <v>23</v>
      </c>
      <c r="AZ962" s="71">
        <f>IFERROR(__xludf.DUMMYFUNCTION("""COMPUTED_VALUE"""),24.0)</f>
        <v>24</v>
      </c>
      <c r="BA962" s="71">
        <f>IFERROR(__xludf.DUMMYFUNCTION("""COMPUTED_VALUE"""),25.92)</f>
        <v>25.92</v>
      </c>
      <c r="BB962" s="71">
        <f>IFERROR(__xludf.DUMMYFUNCTION("""COMPUTED_VALUE"""),25.92)</f>
        <v>25.92</v>
      </c>
      <c r="BC962" s="71">
        <f>IFERROR(__xludf.DUMMYFUNCTION("""COMPUTED_VALUE"""),30.0)</f>
        <v>30</v>
      </c>
      <c r="BD962" s="71">
        <f>IFERROR(__xludf.DUMMYFUNCTION("""COMPUTED_VALUE"""),32.0)</f>
        <v>32</v>
      </c>
      <c r="BE962" s="71">
        <f>IFERROR(__xludf.DUMMYFUNCTION("""COMPUTED_VALUE"""),5.12)</f>
        <v>5.12</v>
      </c>
      <c r="BF962" s="71">
        <f>IFERROR(__xludf.DUMMYFUNCTION("""COMPUTED_VALUE"""),37.12)</f>
        <v>37.12</v>
      </c>
      <c r="BG962" s="71">
        <f>IFERROR(__xludf.DUMMYFUNCTION("""COMPUTED_VALUE"""),0.06666666666666667)</f>
        <v>0.06666666667</v>
      </c>
      <c r="BH962" s="71">
        <f>IFERROR(__xludf.DUMMYFUNCTION("""COMPUTED_VALUE"""),30.4)</f>
        <v>30.4</v>
      </c>
      <c r="BI962" s="71">
        <f>IFERROR(__xludf.DUMMYFUNCTION("""COMPUTED_VALUE"""),4.864)</f>
        <v>4.864</v>
      </c>
      <c r="BJ962" s="71">
        <f>IFERROR(__xludf.DUMMYFUNCTION("""COMPUTED_VALUE"""),35.263999999999996)</f>
        <v>35.264</v>
      </c>
      <c r="BK962" s="71">
        <f>IFERROR(__xludf.DUMMYFUNCTION("""COMPUTED_VALUE"""),28.8)</f>
        <v>28.8</v>
      </c>
      <c r="BL962" s="71">
        <f>IFERROR(__xludf.DUMMYFUNCTION("""COMPUTED_VALUE"""),4.6080000000000005)</f>
        <v>4.608</v>
      </c>
      <c r="BM962" s="71">
        <f>IFERROR(__xludf.DUMMYFUNCTION("""COMPUTED_VALUE"""),33.408)</f>
        <v>33.408</v>
      </c>
      <c r="BN962" s="71">
        <f>IFERROR(__xludf.DUMMYFUNCTION("""COMPUTED_VALUE"""),27.2)</f>
        <v>27.2</v>
      </c>
      <c r="BO962" s="71">
        <f>IFERROR(__xludf.DUMMYFUNCTION("""COMPUTED_VALUE"""),4.352)</f>
        <v>4.352</v>
      </c>
      <c r="BP962" s="71">
        <f>IFERROR(__xludf.DUMMYFUNCTION("""COMPUTED_VALUE"""),31.552)</f>
        <v>31.552</v>
      </c>
      <c r="BQ962" s="71">
        <f>IFERROR(__xludf.DUMMYFUNCTION("""COMPUTED_VALUE"""),26.56)</f>
        <v>26.56</v>
      </c>
      <c r="BR962" s="71">
        <f>IFERROR(__xludf.DUMMYFUNCTION("""COMPUTED_VALUE"""),4.2496)</f>
        <v>4.2496</v>
      </c>
      <c r="BS962" s="71">
        <f>IFERROR(__xludf.DUMMYFUNCTION("""COMPUTED_VALUE"""),30.8096)</f>
        <v>30.8096</v>
      </c>
      <c r="BT962" s="71">
        <f>IFERROR(__xludf.DUMMYFUNCTION("""COMPUTED_VALUE"""),25.6)</f>
        <v>25.6</v>
      </c>
      <c r="BU962" s="71">
        <f>IFERROR(__xludf.DUMMYFUNCTION("""COMPUTED_VALUE"""),4.096)</f>
        <v>4.096</v>
      </c>
      <c r="BV962" s="71">
        <f>IFERROR(__xludf.DUMMYFUNCTION("""COMPUTED_VALUE"""),29.696)</f>
        <v>29.696</v>
      </c>
    </row>
    <row r="963">
      <c r="A963" s="53"/>
      <c r="B963" s="53"/>
      <c r="C963" s="73" t="s">
        <v>53</v>
      </c>
      <c r="D963" s="128" t="s">
        <v>2334</v>
      </c>
      <c r="E963" s="54" t="s">
        <v>38</v>
      </c>
      <c r="F963" s="54" t="s">
        <v>42</v>
      </c>
      <c r="G963" s="54" t="s">
        <v>2335</v>
      </c>
      <c r="H963" s="54" t="s">
        <v>2336</v>
      </c>
      <c r="I963" s="54">
        <f t="shared" si="24"/>
        <v>40</v>
      </c>
      <c r="J963" s="56"/>
      <c r="K963" s="75"/>
      <c r="L963" s="76"/>
      <c r="M963" s="59"/>
      <c r="N963" s="60"/>
      <c r="O963" s="129">
        <v>80.0</v>
      </c>
      <c r="P963" s="62">
        <v>86.4</v>
      </c>
      <c r="Q963" s="63">
        <v>86.4</v>
      </c>
      <c r="R963" s="64">
        <v>91.0</v>
      </c>
      <c r="S963" s="111">
        <v>96.0</v>
      </c>
      <c r="T963" s="65">
        <f t="shared" si="2"/>
        <v>15.36</v>
      </c>
      <c r="U963" s="65">
        <f t="shared" si="3"/>
        <v>111.36</v>
      </c>
      <c r="V963" s="66">
        <f t="shared" si="4"/>
        <v>0.05494505495</v>
      </c>
      <c r="W963" s="67">
        <f t="shared" si="5"/>
        <v>91.2</v>
      </c>
      <c r="X963" s="67">
        <f t="shared" si="6"/>
        <v>14.592</v>
      </c>
      <c r="Y963" s="67">
        <f t="shared" si="7"/>
        <v>105.792</v>
      </c>
      <c r="Z963" s="67">
        <f t="shared" si="8"/>
        <v>86.4</v>
      </c>
      <c r="AA963" s="67">
        <f t="shared" si="9"/>
        <v>13.824</v>
      </c>
      <c r="AB963" s="67">
        <f t="shared" si="10"/>
        <v>100.224</v>
      </c>
      <c r="AC963" s="67">
        <f t="shared" si="11"/>
        <v>81.6</v>
      </c>
      <c r="AD963" s="67">
        <f t="shared" si="12"/>
        <v>13.056</v>
      </c>
      <c r="AE963" s="67">
        <f t="shared" si="13"/>
        <v>94.656</v>
      </c>
      <c r="AF963" s="67">
        <f t="shared" si="33"/>
        <v>79.68</v>
      </c>
      <c r="AG963" s="67">
        <f t="shared" si="15"/>
        <v>12.7488</v>
      </c>
      <c r="AH963" s="67">
        <f t="shared" si="16"/>
        <v>92.4288</v>
      </c>
      <c r="AI963" s="67">
        <f t="shared" si="17"/>
        <v>76.8</v>
      </c>
      <c r="AJ963" s="68">
        <f t="shared" si="31"/>
        <v>12.288</v>
      </c>
      <c r="AK963" s="68">
        <f t="shared" si="32"/>
        <v>89.088</v>
      </c>
      <c r="AL963" s="70">
        <f>IFERROR(__xludf.DUMMYFUNCTION("""COMPUTED_VALUE"""),1.0)</f>
        <v>1</v>
      </c>
      <c r="AM963" s="70"/>
      <c r="AN963" s="71" t="str">
        <f>IFERROR(__xludf.DUMMYFUNCTION("""COMPUTED_VALUE""")," CP")</f>
        <v>CP</v>
      </c>
      <c r="AO963" s="71" t="str">
        <f>IFERROR(__xludf.DUMMYFUNCTION("""COMPUTED_VALUE""")," PN10")</f>
        <v>PN10</v>
      </c>
      <c r="AP963" s="71" t="str">
        <f>IFERROR(__xludf.DUMMYFUNCTION("""COMPUTED_VALUE""")," PZA")</f>
        <v>PZA</v>
      </c>
      <c r="AQ963" s="71" t="str">
        <f>IFERROR(__xludf.DUMMYFUNCTION("""COMPUTED_VALUE""")," REF")</f>
        <v>REF</v>
      </c>
      <c r="AR963" s="71" t="str">
        <f>IFERROR(__xludf.DUMMYFUNCTION("""COMPUTED_VALUE""")," PERNO PARA SINFÍN ASPA SENCILLO")</f>
        <v>PERNO PARA SINFÍN ASPA SENCILLO</v>
      </c>
      <c r="AS963" s="71" t="str">
        <f>IFERROR(__xludf.DUMMYFUNCTION("""COMPUTED_VALUE""")," PERNO P/SINFIN ASPA SENCILLO")</f>
        <v>PERNO P/SINFIN ASPA SENCILLO</v>
      </c>
      <c r="AT963" s="71">
        <f>IFERROR(__xludf.DUMMYFUNCTION("""COMPUTED_VALUE"""),28.0)</f>
        <v>28</v>
      </c>
      <c r="AU963" s="71"/>
      <c r="AV963" s="71"/>
      <c r="AW963" s="71"/>
      <c r="AX963" s="71"/>
      <c r="AY963" s="71">
        <f>IFERROR(__xludf.DUMMYFUNCTION("""COMPUTED_VALUE"""),9.0)</f>
        <v>9</v>
      </c>
      <c r="AZ963" s="71">
        <f>IFERROR(__xludf.DUMMYFUNCTION("""COMPUTED_VALUE"""),9.0)</f>
        <v>9</v>
      </c>
      <c r="BA963" s="71">
        <f>IFERROR(__xludf.DUMMYFUNCTION("""COMPUTED_VALUE"""),9.72)</f>
        <v>9.72</v>
      </c>
      <c r="BB963" s="71">
        <f>IFERROR(__xludf.DUMMYFUNCTION("""COMPUTED_VALUE"""),9.72)</f>
        <v>9.72</v>
      </c>
      <c r="BC963" s="71">
        <f>IFERROR(__xludf.DUMMYFUNCTION("""COMPUTED_VALUE"""),12.0)</f>
        <v>12</v>
      </c>
      <c r="BD963" s="71">
        <f>IFERROR(__xludf.DUMMYFUNCTION("""COMPUTED_VALUE"""),12.600000000000001)</f>
        <v>12.6</v>
      </c>
      <c r="BE963" s="71">
        <f>IFERROR(__xludf.DUMMYFUNCTION("""COMPUTED_VALUE"""),2.0160000000000005)</f>
        <v>2.016</v>
      </c>
      <c r="BF963" s="71">
        <f>IFERROR(__xludf.DUMMYFUNCTION("""COMPUTED_VALUE"""),14.616000000000001)</f>
        <v>14.616</v>
      </c>
      <c r="BG963" s="71">
        <f>IFERROR(__xludf.DUMMYFUNCTION("""COMPUTED_VALUE"""),0.05000000000000012)</f>
        <v>0.05</v>
      </c>
      <c r="BH963" s="71">
        <f>IFERROR(__xludf.DUMMYFUNCTION("""COMPUTED_VALUE"""),11.97)</f>
        <v>11.97</v>
      </c>
      <c r="BI963" s="71">
        <f>IFERROR(__xludf.DUMMYFUNCTION("""COMPUTED_VALUE"""),1.9152000000000002)</f>
        <v>1.9152</v>
      </c>
      <c r="BJ963" s="71">
        <f>IFERROR(__xludf.DUMMYFUNCTION("""COMPUTED_VALUE"""),13.885200000000001)</f>
        <v>13.8852</v>
      </c>
      <c r="BK963" s="71">
        <f>IFERROR(__xludf.DUMMYFUNCTION("""COMPUTED_VALUE"""),11.340000000000002)</f>
        <v>11.34</v>
      </c>
      <c r="BL963" s="71">
        <f>IFERROR(__xludf.DUMMYFUNCTION("""COMPUTED_VALUE"""),1.8144000000000002)</f>
        <v>1.8144</v>
      </c>
      <c r="BM963" s="71">
        <f>IFERROR(__xludf.DUMMYFUNCTION("""COMPUTED_VALUE"""),13.154400000000003)</f>
        <v>13.1544</v>
      </c>
      <c r="BN963" s="71">
        <f>IFERROR(__xludf.DUMMYFUNCTION("""COMPUTED_VALUE"""),10.71)</f>
        <v>10.71</v>
      </c>
      <c r="BO963" s="71">
        <f>IFERROR(__xludf.DUMMYFUNCTION("""COMPUTED_VALUE"""),1.7136000000000002)</f>
        <v>1.7136</v>
      </c>
      <c r="BP963" s="71">
        <f>IFERROR(__xludf.DUMMYFUNCTION("""COMPUTED_VALUE"""),12.4236)</f>
        <v>12.4236</v>
      </c>
      <c r="BQ963" s="71">
        <f>IFERROR(__xludf.DUMMYFUNCTION("""COMPUTED_VALUE"""),10.458)</f>
        <v>10.458</v>
      </c>
      <c r="BR963" s="71">
        <f>IFERROR(__xludf.DUMMYFUNCTION("""COMPUTED_VALUE"""),1.67328)</f>
        <v>1.67328</v>
      </c>
      <c r="BS963" s="71">
        <f>IFERROR(__xludf.DUMMYFUNCTION("""COMPUTED_VALUE"""),12.13128)</f>
        <v>12.13128</v>
      </c>
      <c r="BT963" s="71">
        <f>IFERROR(__xludf.DUMMYFUNCTION("""COMPUTED_VALUE"""),10.080000000000002)</f>
        <v>10.08</v>
      </c>
      <c r="BU963" s="71">
        <f>IFERROR(__xludf.DUMMYFUNCTION("""COMPUTED_VALUE"""),1.6128000000000002)</f>
        <v>1.6128</v>
      </c>
      <c r="BV963" s="71">
        <f>IFERROR(__xludf.DUMMYFUNCTION("""COMPUTED_VALUE"""),11.692800000000002)</f>
        <v>11.6928</v>
      </c>
    </row>
    <row r="964">
      <c r="A964" s="53"/>
      <c r="B964" s="53"/>
      <c r="C964" s="73" t="s">
        <v>53</v>
      </c>
      <c r="D964" s="128" t="s">
        <v>2337</v>
      </c>
      <c r="E964" s="54" t="s">
        <v>38</v>
      </c>
      <c r="F964" s="54" t="s">
        <v>42</v>
      </c>
      <c r="G964" s="130" t="s">
        <v>2338</v>
      </c>
      <c r="H964" s="54" t="s">
        <v>2339</v>
      </c>
      <c r="I964" s="54">
        <f t="shared" si="24"/>
        <v>40</v>
      </c>
      <c r="J964" s="56"/>
      <c r="K964" s="57"/>
      <c r="L964" s="76"/>
      <c r="M964" s="59"/>
      <c r="N964" s="60">
        <v>257.25</v>
      </c>
      <c r="O964" s="129">
        <v>277.0</v>
      </c>
      <c r="P964" s="62">
        <v>299.16</v>
      </c>
      <c r="Q964" s="63">
        <v>299.16</v>
      </c>
      <c r="R964" s="64">
        <v>314.0</v>
      </c>
      <c r="S964" s="111">
        <v>330.0</v>
      </c>
      <c r="T964" s="65">
        <f t="shared" si="2"/>
        <v>52.8</v>
      </c>
      <c r="U964" s="65">
        <f t="shared" si="3"/>
        <v>382.8</v>
      </c>
      <c r="V964" s="66">
        <f t="shared" si="4"/>
        <v>0.05095541401</v>
      </c>
      <c r="W964" s="67">
        <f t="shared" si="5"/>
        <v>313.5</v>
      </c>
      <c r="X964" s="67">
        <f t="shared" si="6"/>
        <v>50.16</v>
      </c>
      <c r="Y964" s="67">
        <f t="shared" si="7"/>
        <v>363.66</v>
      </c>
      <c r="Z964" s="67">
        <f t="shared" si="8"/>
        <v>297</v>
      </c>
      <c r="AA964" s="67">
        <f t="shared" si="9"/>
        <v>47.52</v>
      </c>
      <c r="AB964" s="67">
        <f t="shared" si="10"/>
        <v>344.52</v>
      </c>
      <c r="AC964" s="67">
        <f t="shared" si="11"/>
        <v>280.5</v>
      </c>
      <c r="AD964" s="67">
        <f t="shared" si="12"/>
        <v>44.88</v>
      </c>
      <c r="AE964" s="67">
        <f t="shared" si="13"/>
        <v>325.38</v>
      </c>
      <c r="AF964" s="67">
        <f t="shared" si="33"/>
        <v>273.9</v>
      </c>
      <c r="AG964" s="67">
        <f t="shared" si="15"/>
        <v>43.824</v>
      </c>
      <c r="AH964" s="67">
        <f t="shared" si="16"/>
        <v>317.724</v>
      </c>
      <c r="AI964" s="67">
        <f t="shared" si="17"/>
        <v>264</v>
      </c>
      <c r="AJ964" s="68">
        <f t="shared" si="31"/>
        <v>42.24</v>
      </c>
      <c r="AK964" s="68">
        <f t="shared" si="32"/>
        <v>306.24</v>
      </c>
      <c r="AL964" s="70">
        <f>IFERROR(__xludf.DUMMYFUNCTION("""COMPUTED_VALUE"""),1.0)</f>
        <v>1</v>
      </c>
      <c r="AM964" s="70"/>
      <c r="AN964" s="71" t="str">
        <f>IFERROR(__xludf.DUMMYFUNCTION("""COMPUTED_VALUE""")," CP")</f>
        <v>CP</v>
      </c>
      <c r="AO964" s="71" t="str">
        <f>IFERROR(__xludf.DUMMYFUNCTION("""COMPUTED_VALUE""")," PN99")</f>
        <v>PN99</v>
      </c>
      <c r="AP964" s="71" t="str">
        <f>IFERROR(__xludf.DUMMYFUNCTION("""COMPUTED_VALUE""")," PZA")</f>
        <v>PZA</v>
      </c>
      <c r="AQ964" s="71" t="str">
        <f>IFERROR(__xludf.DUMMYFUNCTION("""COMPUTED_VALUE""")," REF")</f>
        <v>REF</v>
      </c>
      <c r="AR964" s="71" t="str">
        <f>IFERROR(__xludf.DUMMYFUNCTION("""COMPUTED_VALUE""")," PERNO PARA SINFÍN ASPA SENCILLO EN ACERO INOX. T-304 GRADO ALIMENTICIO")</f>
        <v>PERNO PARA SINFÍN ASPA SENCILLO EN ACERO INOX. T-304 GRADO ALIMENTICIO</v>
      </c>
      <c r="AS964" s="71" t="str">
        <f>IFERROR(__xludf.DUMMYFUNCTION("""COMPUTED_VALUE""")," PERNO P/SINFIN ASPA SENCILLO INOX")</f>
        <v>PERNO P/SINFIN ASPA SENCILLO INOX</v>
      </c>
      <c r="AT964" s="71">
        <f>IFERROR(__xludf.DUMMYFUNCTION("""COMPUTED_VALUE"""),33.0)</f>
        <v>33</v>
      </c>
      <c r="AU964" s="71"/>
      <c r="AV964" s="71"/>
      <c r="AW964" s="71"/>
      <c r="AX964" s="71"/>
      <c r="AY964" s="71">
        <f>IFERROR(__xludf.DUMMYFUNCTION("""COMPUTED_VALUE"""),20.0)</f>
        <v>20</v>
      </c>
      <c r="AZ964" s="71">
        <f>IFERROR(__xludf.DUMMYFUNCTION("""COMPUTED_VALUE"""),21.0)</f>
        <v>21</v>
      </c>
      <c r="BA964" s="71">
        <f>IFERROR(__xludf.DUMMYFUNCTION("""COMPUTED_VALUE"""),22.68)</f>
        <v>22.68</v>
      </c>
      <c r="BB964" s="71">
        <f>IFERROR(__xludf.DUMMYFUNCTION("""COMPUTED_VALUE"""),22.68)</f>
        <v>22.68</v>
      </c>
      <c r="BC964" s="71">
        <f>IFERROR(__xludf.DUMMYFUNCTION("""COMPUTED_VALUE"""),27.0)</f>
        <v>27</v>
      </c>
      <c r="BD964" s="71">
        <f>IFERROR(__xludf.DUMMYFUNCTION("""COMPUTED_VALUE"""),28.0)</f>
        <v>28</v>
      </c>
      <c r="BE964" s="71">
        <f>IFERROR(__xludf.DUMMYFUNCTION("""COMPUTED_VALUE"""),4.48)</f>
        <v>4.48</v>
      </c>
      <c r="BF964" s="71">
        <f>IFERROR(__xludf.DUMMYFUNCTION("""COMPUTED_VALUE"""),32.480000000000004)</f>
        <v>32.48</v>
      </c>
      <c r="BG964" s="71">
        <f>IFERROR(__xludf.DUMMYFUNCTION("""COMPUTED_VALUE"""),0.037037037037037035)</f>
        <v>0.03703703704</v>
      </c>
      <c r="BH964" s="71">
        <f>IFERROR(__xludf.DUMMYFUNCTION("""COMPUTED_VALUE"""),26.599999999999998)</f>
        <v>26.6</v>
      </c>
      <c r="BI964" s="71">
        <f>IFERROR(__xludf.DUMMYFUNCTION("""COMPUTED_VALUE"""),4.255999999999999)</f>
        <v>4.256</v>
      </c>
      <c r="BJ964" s="71">
        <f>IFERROR(__xludf.DUMMYFUNCTION("""COMPUTED_VALUE"""),30.855999999999998)</f>
        <v>30.856</v>
      </c>
      <c r="BK964" s="71">
        <f>IFERROR(__xludf.DUMMYFUNCTION("""COMPUTED_VALUE"""),25.2)</f>
        <v>25.2</v>
      </c>
      <c r="BL964" s="71">
        <f>IFERROR(__xludf.DUMMYFUNCTION("""COMPUTED_VALUE"""),4.032)</f>
        <v>4.032</v>
      </c>
      <c r="BM964" s="71">
        <f>IFERROR(__xludf.DUMMYFUNCTION("""COMPUTED_VALUE"""),29.232)</f>
        <v>29.232</v>
      </c>
      <c r="BN964" s="71">
        <f>IFERROR(__xludf.DUMMYFUNCTION("""COMPUTED_VALUE"""),23.8)</f>
        <v>23.8</v>
      </c>
      <c r="BO964" s="71">
        <f>IFERROR(__xludf.DUMMYFUNCTION("""COMPUTED_VALUE"""),3.8080000000000003)</f>
        <v>3.808</v>
      </c>
      <c r="BP964" s="71">
        <f>IFERROR(__xludf.DUMMYFUNCTION("""COMPUTED_VALUE"""),27.608)</f>
        <v>27.608</v>
      </c>
      <c r="BQ964" s="71">
        <f>IFERROR(__xludf.DUMMYFUNCTION("""COMPUTED_VALUE"""),23.24)</f>
        <v>23.24</v>
      </c>
      <c r="BR964" s="71">
        <f>IFERROR(__xludf.DUMMYFUNCTION("""COMPUTED_VALUE"""),3.7184)</f>
        <v>3.7184</v>
      </c>
      <c r="BS964" s="71">
        <f>IFERROR(__xludf.DUMMYFUNCTION("""COMPUTED_VALUE"""),26.958399999999997)</f>
        <v>26.9584</v>
      </c>
      <c r="BT964" s="71">
        <f>IFERROR(__xludf.DUMMYFUNCTION("""COMPUTED_VALUE"""),22.400000000000002)</f>
        <v>22.4</v>
      </c>
      <c r="BU964" s="71">
        <f>IFERROR(__xludf.DUMMYFUNCTION("""COMPUTED_VALUE"""),3.5840000000000005)</f>
        <v>3.584</v>
      </c>
      <c r="BV964" s="71">
        <f>IFERROR(__xludf.DUMMYFUNCTION("""COMPUTED_VALUE"""),25.984)</f>
        <v>25.984</v>
      </c>
    </row>
    <row r="965">
      <c r="A965" s="53">
        <v>1.0</v>
      </c>
      <c r="B965" s="72"/>
      <c r="C965" s="73" t="s">
        <v>53</v>
      </c>
      <c r="D965" s="74" t="s">
        <v>2340</v>
      </c>
      <c r="E965" s="54" t="s">
        <v>38</v>
      </c>
      <c r="F965" s="54" t="s">
        <v>42</v>
      </c>
      <c r="G965" s="88" t="s">
        <v>2341</v>
      </c>
      <c r="H965" s="54" t="s">
        <v>2341</v>
      </c>
      <c r="I965" s="54">
        <f t="shared" si="24"/>
        <v>27</v>
      </c>
      <c r="J965" s="56"/>
      <c r="K965" s="57"/>
      <c r="L965" s="87"/>
      <c r="M965" s="59"/>
      <c r="N965" s="60">
        <v>10590.0</v>
      </c>
      <c r="O965" s="61">
        <v>11437.0</v>
      </c>
      <c r="P965" s="62">
        <v>12351.960000000001</v>
      </c>
      <c r="Q965" s="63">
        <v>12351.960000000001</v>
      </c>
      <c r="R965" s="64">
        <v>13749.0</v>
      </c>
      <c r="S965" s="111">
        <v>14436.0</v>
      </c>
      <c r="T965" s="65">
        <f t="shared" si="2"/>
        <v>2309.76</v>
      </c>
      <c r="U965" s="65">
        <f t="shared" si="3"/>
        <v>16745.76</v>
      </c>
      <c r="V965" s="66">
        <f t="shared" si="4"/>
        <v>0.04996727035</v>
      </c>
      <c r="W965" s="67">
        <f t="shared" si="5"/>
        <v>13714.2</v>
      </c>
      <c r="X965" s="67">
        <f t="shared" si="6"/>
        <v>2194.272</v>
      </c>
      <c r="Y965" s="67">
        <f t="shared" si="7"/>
        <v>15908.472</v>
      </c>
      <c r="Z965" s="67">
        <f t="shared" si="8"/>
        <v>12992.4</v>
      </c>
      <c r="AA965" s="67">
        <f t="shared" si="9"/>
        <v>2078.784</v>
      </c>
      <c r="AB965" s="67">
        <f t="shared" si="10"/>
        <v>15071.184</v>
      </c>
      <c r="AC965" s="67">
        <f t="shared" si="11"/>
        <v>12270.6</v>
      </c>
      <c r="AD965" s="67">
        <f t="shared" si="12"/>
        <v>1963.296</v>
      </c>
      <c r="AE965" s="67">
        <f t="shared" si="13"/>
        <v>14233.896</v>
      </c>
      <c r="AF965" s="67">
        <f t="shared" si="33"/>
        <v>11981.88</v>
      </c>
      <c r="AG965" s="67">
        <f t="shared" si="15"/>
        <v>1917.1008</v>
      </c>
      <c r="AH965" s="67">
        <f t="shared" si="16"/>
        <v>13898.9808</v>
      </c>
      <c r="AI965" s="67">
        <f t="shared" si="17"/>
        <v>11548.8</v>
      </c>
      <c r="AJ965" s="68">
        <f t="shared" si="31"/>
        <v>1847.808</v>
      </c>
      <c r="AK965" s="68">
        <f t="shared" si="32"/>
        <v>13396.608</v>
      </c>
      <c r="AL965" s="70">
        <f>IFERROR(__xludf.DUMMYFUNCTION("""COMPUTED_VALUE"""),1.0)</f>
        <v>1</v>
      </c>
      <c r="AM965" s="70"/>
      <c r="AN965" s="71" t="str">
        <f>IFERROR(__xludf.DUMMYFUNCTION("""COMPUTED_VALUE""")," C")</f>
        <v>C</v>
      </c>
      <c r="AO965" s="71" t="str">
        <f>IFERROR(__xludf.DUMMYFUNCTION("""COMPUTED_VALUE""")," PA01")</f>
        <v>PA01</v>
      </c>
      <c r="AP965" s="71" t="str">
        <f>IFERROR(__xludf.DUMMYFUNCTION("""COMPUTED_VALUE""")," PZA")</f>
        <v>PZA</v>
      </c>
      <c r="AQ965" s="71" t="str">
        <f>IFERROR(__xludf.DUMMYFUNCTION("""COMPUTED_VALUE""")," REF")</f>
        <v>REF</v>
      </c>
      <c r="AR965" s="71" t="str">
        <f>IFERROR(__xludf.DUMMYFUNCTION("""COMPUTED_VALUE""")," PINTURA DE ALUMINIO ALTA TEMPERATURA DE 1 LITRO")</f>
        <v>PINTURA DE ALUMINIO ALTA TEMPERATURA DE 1 LITRO</v>
      </c>
      <c r="AS965" s="71" t="str">
        <f>IFERROR(__xludf.DUMMYFUNCTION("""COMPUTED_VALUE""")," PINTURA ALUMINIO ALTA TEMPERATURA 1 LTR")</f>
        <v>PINTURA ALUMINIO ALTA TEMPERATURA 1 LTR</v>
      </c>
      <c r="AT965" s="71">
        <f>IFERROR(__xludf.DUMMYFUNCTION("""COMPUTED_VALUE"""),39.0)</f>
        <v>39</v>
      </c>
      <c r="AU965" s="71"/>
      <c r="AV965" s="71"/>
      <c r="AW965" s="71"/>
      <c r="AX965" s="71"/>
      <c r="AY965" s="71">
        <f>IFERROR(__xludf.DUMMYFUNCTION("""COMPUTED_VALUE"""),293.0)</f>
        <v>293</v>
      </c>
      <c r="AZ965" s="71">
        <f>IFERROR(__xludf.DUMMYFUNCTION("""COMPUTED_VALUE"""),352.0)</f>
        <v>352</v>
      </c>
      <c r="BA965" s="71">
        <f>IFERROR(__xludf.DUMMYFUNCTION("""COMPUTED_VALUE"""),352.13)</f>
        <v>352.13</v>
      </c>
      <c r="BB965" s="71">
        <f>IFERROR(__xludf.DUMMYFUNCTION("""COMPUTED_VALUE"""),352.13)</f>
        <v>352.13</v>
      </c>
      <c r="BC965" s="71">
        <f>IFERROR(__xludf.DUMMYFUNCTION("""COMPUTED_VALUE"""),371.0)</f>
        <v>371</v>
      </c>
      <c r="BD965" s="71">
        <f>IFERROR(__xludf.DUMMYFUNCTION("""COMPUTED_VALUE"""),390.0)</f>
        <v>390</v>
      </c>
      <c r="BE965" s="71">
        <f>IFERROR(__xludf.DUMMYFUNCTION("""COMPUTED_VALUE"""),62.4)</f>
        <v>62.4</v>
      </c>
      <c r="BF965" s="71">
        <f>IFERROR(__xludf.DUMMYFUNCTION("""COMPUTED_VALUE"""),452.4)</f>
        <v>452.4</v>
      </c>
      <c r="BG965" s="71">
        <f>IFERROR(__xludf.DUMMYFUNCTION("""COMPUTED_VALUE"""),0.05121293800539083)</f>
        <v>0.05121293801</v>
      </c>
      <c r="BH965" s="71">
        <f>IFERROR(__xludf.DUMMYFUNCTION("""COMPUTED_VALUE"""),370.5)</f>
        <v>370.5</v>
      </c>
      <c r="BI965" s="71">
        <f>IFERROR(__xludf.DUMMYFUNCTION("""COMPUTED_VALUE"""),59.28)</f>
        <v>59.28</v>
      </c>
      <c r="BJ965" s="71">
        <f>IFERROR(__xludf.DUMMYFUNCTION("""COMPUTED_VALUE"""),429.78)</f>
        <v>429.78</v>
      </c>
      <c r="BK965" s="71">
        <f>IFERROR(__xludf.DUMMYFUNCTION("""COMPUTED_VALUE"""),351.0)</f>
        <v>351</v>
      </c>
      <c r="BL965" s="71">
        <f>IFERROR(__xludf.DUMMYFUNCTION("""COMPUTED_VALUE"""),56.160000000000004)</f>
        <v>56.16</v>
      </c>
      <c r="BM965" s="71">
        <f>IFERROR(__xludf.DUMMYFUNCTION("""COMPUTED_VALUE"""),407.16)</f>
        <v>407.16</v>
      </c>
      <c r="BN965" s="71">
        <f>IFERROR(__xludf.DUMMYFUNCTION("""COMPUTED_VALUE"""),331.5)</f>
        <v>331.5</v>
      </c>
      <c r="BO965" s="71">
        <f>IFERROR(__xludf.DUMMYFUNCTION("""COMPUTED_VALUE"""),53.04)</f>
        <v>53.04</v>
      </c>
      <c r="BP965" s="71">
        <f>IFERROR(__xludf.DUMMYFUNCTION("""COMPUTED_VALUE"""),384.54)</f>
        <v>384.54</v>
      </c>
      <c r="BQ965" s="71">
        <f>IFERROR(__xludf.DUMMYFUNCTION("""COMPUTED_VALUE"""),323.7)</f>
        <v>323.7</v>
      </c>
      <c r="BR965" s="71">
        <f>IFERROR(__xludf.DUMMYFUNCTION("""COMPUTED_VALUE"""),51.792)</f>
        <v>51.792</v>
      </c>
      <c r="BS965" s="71">
        <f>IFERROR(__xludf.DUMMYFUNCTION("""COMPUTED_VALUE"""),375.49199999999996)</f>
        <v>375.492</v>
      </c>
      <c r="BT965" s="71">
        <f>IFERROR(__xludf.DUMMYFUNCTION("""COMPUTED_VALUE"""),312.0)</f>
        <v>312</v>
      </c>
      <c r="BU965" s="71">
        <f>IFERROR(__xludf.DUMMYFUNCTION("""COMPUTED_VALUE"""),49.92)</f>
        <v>49.92</v>
      </c>
      <c r="BV965" s="71">
        <f>IFERROR(__xludf.DUMMYFUNCTION("""COMPUTED_VALUE"""),361.92)</f>
        <v>361.92</v>
      </c>
    </row>
    <row r="966">
      <c r="A966" s="53">
        <v>1.0</v>
      </c>
      <c r="B966" s="72"/>
      <c r="C966" s="73" t="s">
        <v>53</v>
      </c>
      <c r="D966" s="74" t="s">
        <v>2342</v>
      </c>
      <c r="E966" s="54" t="s">
        <v>38</v>
      </c>
      <c r="F966" s="54" t="s">
        <v>42</v>
      </c>
      <c r="G966" s="88" t="s">
        <v>2343</v>
      </c>
      <c r="H966" s="54" t="s">
        <v>2344</v>
      </c>
      <c r="I966" s="54">
        <f t="shared" si="24"/>
        <v>20</v>
      </c>
      <c r="J966" s="56"/>
      <c r="K966" s="57"/>
      <c r="L966" s="87"/>
      <c r="M966" s="59"/>
      <c r="N966" s="60">
        <v>10590.0</v>
      </c>
      <c r="O966" s="61">
        <v>11437.0</v>
      </c>
      <c r="P966" s="62">
        <v>12351.960000000001</v>
      </c>
      <c r="Q966" s="63">
        <v>12351.960000000001</v>
      </c>
      <c r="R966" s="64">
        <v>13749.0</v>
      </c>
      <c r="S966" s="111">
        <v>14436.0</v>
      </c>
      <c r="T966" s="65">
        <f t="shared" si="2"/>
        <v>2309.76</v>
      </c>
      <c r="U966" s="65">
        <f t="shared" si="3"/>
        <v>16745.76</v>
      </c>
      <c r="V966" s="66">
        <f t="shared" si="4"/>
        <v>0.04996727035</v>
      </c>
      <c r="W966" s="67">
        <f t="shared" si="5"/>
        <v>13714.2</v>
      </c>
      <c r="X966" s="67">
        <f t="shared" si="6"/>
        <v>2194.272</v>
      </c>
      <c r="Y966" s="67">
        <f t="shared" si="7"/>
        <v>15908.472</v>
      </c>
      <c r="Z966" s="67">
        <f t="shared" si="8"/>
        <v>12992.4</v>
      </c>
      <c r="AA966" s="67">
        <f t="shared" si="9"/>
        <v>2078.784</v>
      </c>
      <c r="AB966" s="67">
        <f t="shared" si="10"/>
        <v>15071.184</v>
      </c>
      <c r="AC966" s="67">
        <f t="shared" si="11"/>
        <v>12270.6</v>
      </c>
      <c r="AD966" s="67">
        <f t="shared" si="12"/>
        <v>1963.296</v>
      </c>
      <c r="AE966" s="67">
        <f t="shared" si="13"/>
        <v>14233.896</v>
      </c>
      <c r="AF966" s="67">
        <f t="shared" si="33"/>
        <v>11981.88</v>
      </c>
      <c r="AG966" s="67">
        <f t="shared" si="15"/>
        <v>1917.1008</v>
      </c>
      <c r="AH966" s="67">
        <f t="shared" si="16"/>
        <v>13898.9808</v>
      </c>
      <c r="AI966" s="67">
        <f t="shared" si="17"/>
        <v>11548.8</v>
      </c>
      <c r="AJ966" s="68">
        <f t="shared" si="31"/>
        <v>1847.808</v>
      </c>
      <c r="AK966" s="68">
        <f t="shared" si="32"/>
        <v>13396.608</v>
      </c>
      <c r="AL966" s="70">
        <f>IFERROR(__xludf.DUMMYFUNCTION("""COMPUTED_VALUE"""),1.0)</f>
        <v>1</v>
      </c>
      <c r="AM966" s="70"/>
      <c r="AN966" s="71" t="str">
        <f>IFERROR(__xludf.DUMMYFUNCTION("""COMPUTED_VALUE""")," C")</f>
        <v>C</v>
      </c>
      <c r="AO966" s="71" t="str">
        <f>IFERROR(__xludf.DUMMYFUNCTION("""COMPUTED_VALUE""")," PA02")</f>
        <v>PA02</v>
      </c>
      <c r="AP966" s="71" t="str">
        <f>IFERROR(__xludf.DUMMYFUNCTION("""COMPUTED_VALUE""")," PZA")</f>
        <v>PZA</v>
      </c>
      <c r="AQ966" s="71" t="str">
        <f>IFERROR(__xludf.DUMMYFUNCTION("""COMPUTED_VALUE""")," REF")</f>
        <v>REF</v>
      </c>
      <c r="AR966" s="71" t="str">
        <f>IFERROR(__xludf.DUMMYFUNCTION("""COMPUTED_VALUE""")," PINTURA GRIS DE 1 LITRO")</f>
        <v>PINTURA GRIS DE 1 LITRO</v>
      </c>
      <c r="AS966" s="71" t="str">
        <f>IFERROR(__xludf.DUMMYFUNCTION("""COMPUTED_VALUE""")," PINTURA GRIS DE 1 LTR")</f>
        <v>PINTURA GRIS DE 1 LTR</v>
      </c>
      <c r="AT966" s="71">
        <f>IFERROR(__xludf.DUMMYFUNCTION("""COMPUTED_VALUE"""),21.0)</f>
        <v>21</v>
      </c>
      <c r="AU966" s="71"/>
      <c r="AV966" s="71"/>
      <c r="AW966" s="71"/>
      <c r="AX966" s="71"/>
      <c r="AY966" s="71">
        <f>IFERROR(__xludf.DUMMYFUNCTION("""COMPUTED_VALUE"""),161.0)</f>
        <v>161</v>
      </c>
      <c r="AZ966" s="71">
        <f>IFERROR(__xludf.DUMMYFUNCTION("""COMPUTED_VALUE"""),192.0)</f>
        <v>192</v>
      </c>
      <c r="BA966" s="71">
        <f>IFERROR(__xludf.DUMMYFUNCTION("""COMPUTED_VALUE"""),221.04)</f>
        <v>221.04</v>
      </c>
      <c r="BB966" s="71">
        <f>IFERROR(__xludf.DUMMYFUNCTION("""COMPUTED_VALUE"""),221.04)</f>
        <v>221.04</v>
      </c>
      <c r="BC966" s="71">
        <f>IFERROR(__xludf.DUMMYFUNCTION("""COMPUTED_VALUE"""),234.0)</f>
        <v>234</v>
      </c>
      <c r="BD966" s="71">
        <f>IFERROR(__xludf.DUMMYFUNCTION("""COMPUTED_VALUE"""),246.0)</f>
        <v>246</v>
      </c>
      <c r="BE966" s="71">
        <f>IFERROR(__xludf.DUMMYFUNCTION("""COMPUTED_VALUE"""),39.36)</f>
        <v>39.36</v>
      </c>
      <c r="BF966" s="71">
        <f>IFERROR(__xludf.DUMMYFUNCTION("""COMPUTED_VALUE"""),285.36)</f>
        <v>285.36</v>
      </c>
      <c r="BG966" s="71">
        <f>IFERROR(__xludf.DUMMYFUNCTION("""COMPUTED_VALUE"""),0.05128205128205128)</f>
        <v>0.05128205128</v>
      </c>
      <c r="BH966" s="71">
        <f>IFERROR(__xludf.DUMMYFUNCTION("""COMPUTED_VALUE"""),233.7)</f>
        <v>233.7</v>
      </c>
      <c r="BI966" s="71">
        <f>IFERROR(__xludf.DUMMYFUNCTION("""COMPUTED_VALUE"""),37.391999999999996)</f>
        <v>37.392</v>
      </c>
      <c r="BJ966" s="71">
        <f>IFERROR(__xludf.DUMMYFUNCTION("""COMPUTED_VALUE"""),271.092)</f>
        <v>271.092</v>
      </c>
      <c r="BK966" s="71">
        <f>IFERROR(__xludf.DUMMYFUNCTION("""COMPUTED_VALUE"""),221.4)</f>
        <v>221.4</v>
      </c>
      <c r="BL966" s="71">
        <f>IFERROR(__xludf.DUMMYFUNCTION("""COMPUTED_VALUE"""),35.424)</f>
        <v>35.424</v>
      </c>
      <c r="BM966" s="71">
        <f>IFERROR(__xludf.DUMMYFUNCTION("""COMPUTED_VALUE"""),256.824)</f>
        <v>256.824</v>
      </c>
      <c r="BN966" s="71">
        <f>IFERROR(__xludf.DUMMYFUNCTION("""COMPUTED_VALUE"""),209.1)</f>
        <v>209.1</v>
      </c>
      <c r="BO966" s="71">
        <f>IFERROR(__xludf.DUMMYFUNCTION("""COMPUTED_VALUE"""),33.456)</f>
        <v>33.456</v>
      </c>
      <c r="BP966" s="71">
        <f>IFERROR(__xludf.DUMMYFUNCTION("""COMPUTED_VALUE"""),242.55599999999998)</f>
        <v>242.556</v>
      </c>
      <c r="BQ966" s="71">
        <f>IFERROR(__xludf.DUMMYFUNCTION("""COMPUTED_VALUE"""),204.17999999999998)</f>
        <v>204.18</v>
      </c>
      <c r="BR966" s="71">
        <f>IFERROR(__xludf.DUMMYFUNCTION("""COMPUTED_VALUE"""),32.6688)</f>
        <v>32.6688</v>
      </c>
      <c r="BS966" s="71">
        <f>IFERROR(__xludf.DUMMYFUNCTION("""COMPUTED_VALUE"""),236.84879999999998)</f>
        <v>236.8488</v>
      </c>
      <c r="BT966" s="71">
        <f>IFERROR(__xludf.DUMMYFUNCTION("""COMPUTED_VALUE"""),196.8)</f>
        <v>196.8</v>
      </c>
      <c r="BU966" s="71">
        <f>IFERROR(__xludf.DUMMYFUNCTION("""COMPUTED_VALUE"""),31.488000000000003)</f>
        <v>31.488</v>
      </c>
      <c r="BV966" s="71">
        <f>IFERROR(__xludf.DUMMYFUNCTION("""COMPUTED_VALUE"""),228.288)</f>
        <v>228.288</v>
      </c>
    </row>
    <row r="967">
      <c r="A967" s="53"/>
      <c r="B967" s="53"/>
      <c r="C967" s="73" t="s">
        <v>12</v>
      </c>
      <c r="D967" s="53" t="s">
        <v>2345</v>
      </c>
      <c r="E967" s="54" t="s">
        <v>38</v>
      </c>
      <c r="F967" s="54" t="s">
        <v>42</v>
      </c>
      <c r="G967" s="54" t="s">
        <v>2346</v>
      </c>
      <c r="H967" s="54" t="s">
        <v>2347</v>
      </c>
      <c r="I967" s="54">
        <f t="shared" si="24"/>
        <v>33</v>
      </c>
      <c r="J967" s="56"/>
      <c r="K967" s="57"/>
      <c r="L967" s="76"/>
      <c r="M967" s="59"/>
      <c r="N967" s="79"/>
      <c r="O967" s="61">
        <v>357.0</v>
      </c>
      <c r="P967" s="62">
        <v>385.56</v>
      </c>
      <c r="Q967" s="63">
        <v>385.56</v>
      </c>
      <c r="R967" s="64">
        <v>406.0</v>
      </c>
      <c r="S967" s="111">
        <v>426.0</v>
      </c>
      <c r="T967" s="65">
        <f t="shared" si="2"/>
        <v>68.16</v>
      </c>
      <c r="U967" s="65">
        <f t="shared" si="3"/>
        <v>494.16</v>
      </c>
      <c r="V967" s="66">
        <f t="shared" si="4"/>
        <v>0.04926108374</v>
      </c>
      <c r="W967" s="67">
        <f t="shared" si="5"/>
        <v>404.7</v>
      </c>
      <c r="X967" s="67">
        <f t="shared" si="6"/>
        <v>64.752</v>
      </c>
      <c r="Y967" s="67">
        <f t="shared" si="7"/>
        <v>469.452</v>
      </c>
      <c r="Z967" s="67">
        <f t="shared" si="8"/>
        <v>383.4</v>
      </c>
      <c r="AA967" s="67">
        <f t="shared" si="9"/>
        <v>61.344</v>
      </c>
      <c r="AB967" s="67">
        <f t="shared" si="10"/>
        <v>444.744</v>
      </c>
      <c r="AC967" s="67">
        <f t="shared" si="11"/>
        <v>362.1</v>
      </c>
      <c r="AD967" s="67">
        <f t="shared" si="12"/>
        <v>57.936</v>
      </c>
      <c r="AE967" s="67">
        <f t="shared" si="13"/>
        <v>420.036</v>
      </c>
      <c r="AF967" s="67">
        <f t="shared" si="33"/>
        <v>353.58</v>
      </c>
      <c r="AG967" s="67">
        <f t="shared" si="15"/>
        <v>56.5728</v>
      </c>
      <c r="AH967" s="67">
        <f t="shared" si="16"/>
        <v>410.1528</v>
      </c>
      <c r="AI967" s="67">
        <f t="shared" si="17"/>
        <v>340.8</v>
      </c>
      <c r="AJ967" s="68">
        <f t="shared" si="31"/>
        <v>54.528</v>
      </c>
      <c r="AK967" s="68">
        <f t="shared" si="32"/>
        <v>395.328</v>
      </c>
      <c r="AL967" s="70">
        <f>IFERROR(__xludf.DUMMYFUNCTION("""COMPUTED_VALUE"""),1.0)</f>
        <v>1</v>
      </c>
      <c r="AM967" s="70"/>
      <c r="AN967" s="71" t="str">
        <f>IFERROR(__xludf.DUMMYFUNCTION("""COMPUTED_VALUE""")," C")</f>
        <v>C</v>
      </c>
      <c r="AO967" s="71" t="str">
        <f>IFERROR(__xludf.DUMMYFUNCTION("""COMPUTED_VALUE""")," PA03")</f>
        <v>PA03</v>
      </c>
      <c r="AP967" s="71" t="str">
        <f>IFERROR(__xludf.DUMMYFUNCTION("""COMPUTED_VALUE""")," PZA")</f>
        <v>PZA</v>
      </c>
      <c r="AQ967" s="71" t="str">
        <f>IFERROR(__xludf.DUMMYFUNCTION("""COMPUTED_VALUE""")," REF")</f>
        <v>REF</v>
      </c>
      <c r="AR967" s="71" t="str">
        <f>IFERROR(__xludf.DUMMYFUNCTION("""COMPUTED_VALUE""")," PINTURA VERDE DE 1 LITRO")</f>
        <v>PINTURA VERDE DE 1 LITRO</v>
      </c>
      <c r="AS967" s="71" t="str">
        <f>IFERROR(__xludf.DUMMYFUNCTION("""COMPUTED_VALUE""")," PINTURA VERDE DE 1 LTR")</f>
        <v>PINTURA VERDE DE 1 LTR</v>
      </c>
      <c r="AT967" s="71">
        <f>IFERROR(__xludf.DUMMYFUNCTION("""COMPUTED_VALUE"""),22.0)</f>
        <v>22</v>
      </c>
      <c r="AU967" s="71"/>
      <c r="AV967" s="71"/>
      <c r="AW967" s="71"/>
      <c r="AX967" s="71"/>
      <c r="AY967" s="71">
        <f>IFERROR(__xludf.DUMMYFUNCTION("""COMPUTED_VALUE"""),195.0)</f>
        <v>195</v>
      </c>
      <c r="AZ967" s="71">
        <f>IFERROR(__xludf.DUMMYFUNCTION("""COMPUTED_VALUE"""),238.0)</f>
        <v>238</v>
      </c>
      <c r="BA967" s="71">
        <f>IFERROR(__xludf.DUMMYFUNCTION("""COMPUTED_VALUE"""),258.46)</f>
        <v>258.46</v>
      </c>
      <c r="BB967" s="71">
        <f>IFERROR(__xludf.DUMMYFUNCTION("""COMPUTED_VALUE"""),258.46)</f>
        <v>258.46</v>
      </c>
      <c r="BC967" s="71">
        <f>IFERROR(__xludf.DUMMYFUNCTION("""COMPUTED_VALUE"""),272.0)</f>
        <v>272</v>
      </c>
      <c r="BD967" s="71">
        <f>IFERROR(__xludf.DUMMYFUNCTION("""COMPUTED_VALUE"""),286.0)</f>
        <v>286</v>
      </c>
      <c r="BE967" s="71">
        <f>IFERROR(__xludf.DUMMYFUNCTION("""COMPUTED_VALUE"""),45.76)</f>
        <v>45.76</v>
      </c>
      <c r="BF967" s="71">
        <f>IFERROR(__xludf.DUMMYFUNCTION("""COMPUTED_VALUE"""),331.76)</f>
        <v>331.76</v>
      </c>
      <c r="BG967" s="71">
        <f>IFERROR(__xludf.DUMMYFUNCTION("""COMPUTED_VALUE"""),0.051470588235294115)</f>
        <v>0.05147058824</v>
      </c>
      <c r="BH967" s="71">
        <f>IFERROR(__xludf.DUMMYFUNCTION("""COMPUTED_VALUE"""),271.7)</f>
        <v>271.7</v>
      </c>
      <c r="BI967" s="71">
        <f>IFERROR(__xludf.DUMMYFUNCTION("""COMPUTED_VALUE"""),43.472)</f>
        <v>43.472</v>
      </c>
      <c r="BJ967" s="71">
        <f>IFERROR(__xludf.DUMMYFUNCTION("""COMPUTED_VALUE"""),315.17199999999997)</f>
        <v>315.172</v>
      </c>
      <c r="BK967" s="71">
        <f>IFERROR(__xludf.DUMMYFUNCTION("""COMPUTED_VALUE"""),257.40000000000003)</f>
        <v>257.4</v>
      </c>
      <c r="BL967" s="71">
        <f>IFERROR(__xludf.DUMMYFUNCTION("""COMPUTED_VALUE"""),41.184000000000005)</f>
        <v>41.184</v>
      </c>
      <c r="BM967" s="71">
        <f>IFERROR(__xludf.DUMMYFUNCTION("""COMPUTED_VALUE"""),298.58400000000006)</f>
        <v>298.584</v>
      </c>
      <c r="BN967" s="71">
        <f>IFERROR(__xludf.DUMMYFUNCTION("""COMPUTED_VALUE"""),243.1)</f>
        <v>243.1</v>
      </c>
      <c r="BO967" s="71">
        <f>IFERROR(__xludf.DUMMYFUNCTION("""COMPUTED_VALUE"""),38.896)</f>
        <v>38.896</v>
      </c>
      <c r="BP967" s="71">
        <f>IFERROR(__xludf.DUMMYFUNCTION("""COMPUTED_VALUE"""),281.996)</f>
        <v>281.996</v>
      </c>
      <c r="BQ967" s="71">
        <f>IFERROR(__xludf.DUMMYFUNCTION("""COMPUTED_VALUE"""),237.38)</f>
        <v>237.38</v>
      </c>
      <c r="BR967" s="71">
        <f>IFERROR(__xludf.DUMMYFUNCTION("""COMPUTED_VALUE"""),37.9808)</f>
        <v>37.9808</v>
      </c>
      <c r="BS967" s="71">
        <f>IFERROR(__xludf.DUMMYFUNCTION("""COMPUTED_VALUE"""),275.3608)</f>
        <v>275.3608</v>
      </c>
      <c r="BT967" s="71">
        <f>IFERROR(__xludf.DUMMYFUNCTION("""COMPUTED_VALUE"""),228.8)</f>
        <v>228.8</v>
      </c>
      <c r="BU967" s="71">
        <f>IFERROR(__xludf.DUMMYFUNCTION("""COMPUTED_VALUE"""),36.608000000000004)</f>
        <v>36.608</v>
      </c>
      <c r="BV967" s="71">
        <f>IFERROR(__xludf.DUMMYFUNCTION("""COMPUTED_VALUE"""),265.408)</f>
        <v>265.408</v>
      </c>
    </row>
    <row r="968">
      <c r="A968" s="53">
        <v>1.0</v>
      </c>
      <c r="B968" s="53"/>
      <c r="C968" s="73" t="s">
        <v>53</v>
      </c>
      <c r="D968" s="53" t="s">
        <v>2348</v>
      </c>
      <c r="E968" s="54" t="s">
        <v>38</v>
      </c>
      <c r="F968" s="54" t="s">
        <v>42</v>
      </c>
      <c r="G968" s="88" t="s">
        <v>2349</v>
      </c>
      <c r="H968" s="54" t="s">
        <v>2350</v>
      </c>
      <c r="I968" s="54">
        <f t="shared" si="24"/>
        <v>40</v>
      </c>
      <c r="J968" s="56"/>
      <c r="K968" s="57"/>
      <c r="L968" s="87"/>
      <c r="M968" s="59"/>
      <c r="N968" s="79">
        <v>3724.0</v>
      </c>
      <c r="O968" s="61">
        <v>4021.0</v>
      </c>
      <c r="P968" s="62">
        <v>4342.68</v>
      </c>
      <c r="Q968" s="63">
        <v>4342.68</v>
      </c>
      <c r="R968" s="64">
        <v>4835.0</v>
      </c>
      <c r="S968" s="111">
        <v>5077.0</v>
      </c>
      <c r="T968" s="65">
        <f t="shared" si="2"/>
        <v>812.32</v>
      </c>
      <c r="U968" s="65">
        <f t="shared" si="3"/>
        <v>5889.32</v>
      </c>
      <c r="V968" s="66">
        <f t="shared" si="4"/>
        <v>0.05005170631</v>
      </c>
      <c r="W968" s="67">
        <f t="shared" si="5"/>
        <v>4823.15</v>
      </c>
      <c r="X968" s="67">
        <f t="shared" si="6"/>
        <v>771.704</v>
      </c>
      <c r="Y968" s="67">
        <f t="shared" si="7"/>
        <v>5594.854</v>
      </c>
      <c r="Z968" s="67">
        <f t="shared" si="8"/>
        <v>4569.3</v>
      </c>
      <c r="AA968" s="67">
        <f t="shared" si="9"/>
        <v>731.088</v>
      </c>
      <c r="AB968" s="67">
        <f t="shared" si="10"/>
        <v>5300.388</v>
      </c>
      <c r="AC968" s="67">
        <f t="shared" si="11"/>
        <v>4315.45</v>
      </c>
      <c r="AD968" s="67">
        <f t="shared" si="12"/>
        <v>690.472</v>
      </c>
      <c r="AE968" s="67">
        <f t="shared" si="13"/>
        <v>5005.922</v>
      </c>
      <c r="AF968" s="67">
        <f t="shared" si="33"/>
        <v>4213.91</v>
      </c>
      <c r="AG968" s="67">
        <f t="shared" si="15"/>
        <v>674.2256</v>
      </c>
      <c r="AH968" s="67">
        <f t="shared" si="16"/>
        <v>4888.1356</v>
      </c>
      <c r="AI968" s="67">
        <f t="shared" si="17"/>
        <v>4061.6</v>
      </c>
      <c r="AJ968" s="68">
        <f t="shared" si="31"/>
        <v>649.856</v>
      </c>
      <c r="AK968" s="68">
        <f t="shared" si="32"/>
        <v>4711.456</v>
      </c>
      <c r="AL968" s="70">
        <f>IFERROR(__xludf.DUMMYFUNCTION("""COMPUTED_VALUE"""),1.0)</f>
        <v>1</v>
      </c>
      <c r="AM968" s="70"/>
      <c r="AN968" s="71" t="str">
        <f>IFERROR(__xludf.DUMMYFUNCTION("""COMPUTED_VALUE""")," P")</f>
        <v>P</v>
      </c>
      <c r="AO968" s="71" t="str">
        <f>IFERROR(__xludf.DUMMYFUNCTION("""COMPUTED_VALUE""")," PI01")</f>
        <v>PI01</v>
      </c>
      <c r="AP968" s="71" t="str">
        <f>IFERROR(__xludf.DUMMYFUNCTION("""COMPUTED_VALUE""")," PZA")</f>
        <v>PZA</v>
      </c>
      <c r="AQ968" s="71" t="str">
        <f>IFERROR(__xludf.DUMMYFUNCTION("""COMPUTED_VALUE""")," REF")</f>
        <v>REF</v>
      </c>
      <c r="AR968" s="71" t="str">
        <f>IFERROR(__xludf.DUMMYFUNCTION("""COMPUTED_VALUE""")," PIÑÓN DE 11 DTS CON FLANGE PARA ENGRANE MODELO ANTERIOR (A15/16)")</f>
        <v>PIÑÓN DE 11 DTS CON FLANGE PARA ENGRANE MODELO ANTERIOR (A15/16)</v>
      </c>
      <c r="AS968" s="71" t="str">
        <f>IFERROR(__xludf.DUMMYFUNCTION("""COMPUTED_VALUE""")," PINON 11 DTES C/FLANGE P/ENG MA AB15/16")</f>
        <v>PINON 11 DTES C/FLANGE P/ENG MA AB15/16</v>
      </c>
      <c r="AT968" s="71">
        <f>IFERROR(__xludf.DUMMYFUNCTION("""COMPUTED_VALUE"""),39.0)</f>
        <v>39</v>
      </c>
      <c r="AU968" s="71"/>
      <c r="AV968" s="71"/>
      <c r="AW968" s="71"/>
      <c r="AX968" s="71"/>
      <c r="AY968" s="71">
        <f>IFERROR(__xludf.DUMMYFUNCTION("""COMPUTED_VALUE"""),278.0)</f>
        <v>278</v>
      </c>
      <c r="AZ968" s="71">
        <f>IFERROR(__xludf.DUMMYFUNCTION("""COMPUTED_VALUE"""),300.0)</f>
        <v>300</v>
      </c>
      <c r="BA968" s="71">
        <f>IFERROR(__xludf.DUMMYFUNCTION("""COMPUTED_VALUE"""),324.0)</f>
        <v>324</v>
      </c>
      <c r="BB968" s="71">
        <f>IFERROR(__xludf.DUMMYFUNCTION("""COMPUTED_VALUE"""),324.0)</f>
        <v>324</v>
      </c>
      <c r="BC968" s="71">
        <f>IFERROR(__xludf.DUMMYFUNCTION("""COMPUTED_VALUE"""),362.0)</f>
        <v>362</v>
      </c>
      <c r="BD968" s="71">
        <f>IFERROR(__xludf.DUMMYFUNCTION("""COMPUTED_VALUE"""),304.0)</f>
        <v>304</v>
      </c>
      <c r="BE968" s="71">
        <f>IFERROR(__xludf.DUMMYFUNCTION("""COMPUTED_VALUE"""),48.64)</f>
        <v>48.64</v>
      </c>
      <c r="BF968" s="71">
        <f>IFERROR(__xludf.DUMMYFUNCTION("""COMPUTED_VALUE"""),352.64)</f>
        <v>352.64</v>
      </c>
      <c r="BG968" s="71">
        <f>IFERROR(__xludf.DUMMYFUNCTION("""COMPUTED_VALUE"""),-0.16022099447513813)</f>
        <v>-0.1602209945</v>
      </c>
      <c r="BH968" s="71">
        <f>IFERROR(__xludf.DUMMYFUNCTION("""COMPUTED_VALUE"""),288.8)</f>
        <v>288.8</v>
      </c>
      <c r="BI968" s="71">
        <f>IFERROR(__xludf.DUMMYFUNCTION("""COMPUTED_VALUE"""),46.208000000000006)</f>
        <v>46.208</v>
      </c>
      <c r="BJ968" s="71">
        <f>IFERROR(__xludf.DUMMYFUNCTION("""COMPUTED_VALUE"""),335.00800000000004)</f>
        <v>335.008</v>
      </c>
      <c r="BK968" s="71">
        <f>IFERROR(__xludf.DUMMYFUNCTION("""COMPUTED_VALUE"""),273.6)</f>
        <v>273.6</v>
      </c>
      <c r="BL968" s="71">
        <f>IFERROR(__xludf.DUMMYFUNCTION("""COMPUTED_VALUE"""),43.776)</f>
        <v>43.776</v>
      </c>
      <c r="BM968" s="71">
        <f>IFERROR(__xludf.DUMMYFUNCTION("""COMPUTED_VALUE"""),317.37600000000003)</f>
        <v>317.376</v>
      </c>
      <c r="BN968" s="71">
        <f>IFERROR(__xludf.DUMMYFUNCTION("""COMPUTED_VALUE"""),258.4)</f>
        <v>258.4</v>
      </c>
      <c r="BO968" s="71">
        <f>IFERROR(__xludf.DUMMYFUNCTION("""COMPUTED_VALUE"""),41.343999999999994)</f>
        <v>41.344</v>
      </c>
      <c r="BP968" s="71">
        <f>IFERROR(__xludf.DUMMYFUNCTION("""COMPUTED_VALUE"""),299.74399999999997)</f>
        <v>299.744</v>
      </c>
      <c r="BQ968" s="71">
        <f>IFERROR(__xludf.DUMMYFUNCTION("""COMPUTED_VALUE"""),252.32)</f>
        <v>252.32</v>
      </c>
      <c r="BR968" s="71">
        <f>IFERROR(__xludf.DUMMYFUNCTION("""COMPUTED_VALUE"""),40.3712)</f>
        <v>40.3712</v>
      </c>
      <c r="BS968" s="71">
        <f>IFERROR(__xludf.DUMMYFUNCTION("""COMPUTED_VALUE"""),292.6912)</f>
        <v>292.6912</v>
      </c>
      <c r="BT968" s="71">
        <f>IFERROR(__xludf.DUMMYFUNCTION("""COMPUTED_VALUE"""),243.20000000000002)</f>
        <v>243.2</v>
      </c>
      <c r="BU968" s="71">
        <f>IFERROR(__xludf.DUMMYFUNCTION("""COMPUTED_VALUE"""),38.912000000000006)</f>
        <v>38.912</v>
      </c>
      <c r="BV968" s="71">
        <f>IFERROR(__xludf.DUMMYFUNCTION("""COMPUTED_VALUE"""),282.112)</f>
        <v>282.112</v>
      </c>
    </row>
    <row r="969">
      <c r="A969" s="53"/>
      <c r="B969" s="53"/>
      <c r="C969" s="73" t="s">
        <v>12</v>
      </c>
      <c r="D969" s="53" t="s">
        <v>2351</v>
      </c>
      <c r="E969" s="54" t="s">
        <v>38</v>
      </c>
      <c r="F969" s="54" t="s">
        <v>42</v>
      </c>
      <c r="G969" s="55" t="s">
        <v>2352</v>
      </c>
      <c r="H969" s="54" t="s">
        <v>2353</v>
      </c>
      <c r="I969" s="54">
        <f t="shared" si="24"/>
        <v>39</v>
      </c>
      <c r="J969" s="56"/>
      <c r="K969" s="75"/>
      <c r="L969" s="76"/>
      <c r="M969" s="59"/>
      <c r="N969" s="79">
        <v>965.0</v>
      </c>
      <c r="O969" s="61">
        <v>1042.0</v>
      </c>
      <c r="P969" s="62">
        <v>1125.3600000000001</v>
      </c>
      <c r="Q969" s="63">
        <v>1125.3600000000001</v>
      </c>
      <c r="R969" s="64">
        <v>1182.0</v>
      </c>
      <c r="S969" s="111">
        <v>1241.0</v>
      </c>
      <c r="T969" s="65">
        <f t="shared" si="2"/>
        <v>198.56</v>
      </c>
      <c r="U969" s="65">
        <f t="shared" si="3"/>
        <v>1439.56</v>
      </c>
      <c r="V969" s="66">
        <f t="shared" si="4"/>
        <v>0.04991539763</v>
      </c>
      <c r="W969" s="67">
        <f t="shared" si="5"/>
        <v>1178.95</v>
      </c>
      <c r="X969" s="67">
        <f t="shared" si="6"/>
        <v>188.632</v>
      </c>
      <c r="Y969" s="67">
        <f t="shared" si="7"/>
        <v>1367.582</v>
      </c>
      <c r="Z969" s="67">
        <f t="shared" si="8"/>
        <v>1116.9</v>
      </c>
      <c r="AA969" s="67">
        <f t="shared" si="9"/>
        <v>178.704</v>
      </c>
      <c r="AB969" s="67">
        <f t="shared" si="10"/>
        <v>1295.604</v>
      </c>
      <c r="AC969" s="67">
        <f t="shared" si="11"/>
        <v>1054.85</v>
      </c>
      <c r="AD969" s="67">
        <f t="shared" si="12"/>
        <v>168.776</v>
      </c>
      <c r="AE969" s="67">
        <f t="shared" si="13"/>
        <v>1223.626</v>
      </c>
      <c r="AF969" s="67">
        <f t="shared" si="33"/>
        <v>1030.03</v>
      </c>
      <c r="AG969" s="67">
        <f t="shared" si="15"/>
        <v>164.8048</v>
      </c>
      <c r="AH969" s="67">
        <f t="shared" si="16"/>
        <v>1194.8348</v>
      </c>
      <c r="AI969" s="67">
        <f t="shared" si="17"/>
        <v>992.8</v>
      </c>
      <c r="AJ969" s="68">
        <f t="shared" si="31"/>
        <v>158.848</v>
      </c>
      <c r="AK969" s="68">
        <f t="shared" si="32"/>
        <v>1151.648</v>
      </c>
      <c r="AL969" s="70">
        <f>IFERROR(__xludf.DUMMYFUNCTION("""COMPUTED_VALUE"""),1.0)</f>
        <v>1</v>
      </c>
      <c r="AM969" s="70"/>
      <c r="AN969" s="71" t="str">
        <f>IFERROR(__xludf.DUMMYFUNCTION("""COMPUTED_VALUE""")," P")</f>
        <v>P</v>
      </c>
      <c r="AO969" s="71" t="str">
        <f>IFERROR(__xludf.DUMMYFUNCTION("""COMPUTED_VALUE""")," PI02")</f>
        <v>PI02</v>
      </c>
      <c r="AP969" s="71" t="str">
        <f>IFERROR(__xludf.DUMMYFUNCTION("""COMPUTED_VALUE""")," PZA")</f>
        <v>PZA</v>
      </c>
      <c r="AQ969" s="71" t="str">
        <f>IFERROR(__xludf.DUMMYFUNCTION("""COMPUTED_VALUE""")," REF")</f>
        <v>REF</v>
      </c>
      <c r="AR969" s="71" t="str">
        <f>IFERROR(__xludf.DUMMYFUNCTION("""COMPUTED_VALUE""")," PIÑÓN DE 11 DTS CON FLANGE PARA ENGRANE TV-50 (B.C.) (A 1"")")</f>
        <v>PIÑÓN DE 11 DTS CON FLANGE PARA ENGRANE TV-50 (B.C.) (A 1")</v>
      </c>
      <c r="AS969" s="71" t="str">
        <f>IFERROR(__xludf.DUMMYFUNCTION("""COMPUTED_VALUE""")," PINON 11 DTES C/FLANGE P/ENG TV50BC AB1")</f>
        <v>PINON 11 DTES C/FLANGE P/ENG TV50BC AB1</v>
      </c>
      <c r="AT969" s="71">
        <f>IFERROR(__xludf.DUMMYFUNCTION("""COMPUTED_VALUE"""),39.0)</f>
        <v>39</v>
      </c>
      <c r="AU969" s="71"/>
      <c r="AV969" s="71"/>
      <c r="AW969" s="71"/>
      <c r="AX969" s="71"/>
      <c r="AY969" s="71">
        <f>IFERROR(__xludf.DUMMYFUNCTION("""COMPUTED_VALUE"""),278.0)</f>
        <v>278</v>
      </c>
      <c r="AZ969" s="71">
        <f>IFERROR(__xludf.DUMMYFUNCTION("""COMPUTED_VALUE"""),300.0)</f>
        <v>300</v>
      </c>
      <c r="BA969" s="71">
        <f>IFERROR(__xludf.DUMMYFUNCTION("""COMPUTED_VALUE"""),324.0)</f>
        <v>324</v>
      </c>
      <c r="BB969" s="71">
        <f>IFERROR(__xludf.DUMMYFUNCTION("""COMPUTED_VALUE"""),324.0)</f>
        <v>324</v>
      </c>
      <c r="BC969" s="71">
        <f>IFERROR(__xludf.DUMMYFUNCTION("""COMPUTED_VALUE"""),362.0)</f>
        <v>362</v>
      </c>
      <c r="BD969" s="71">
        <f>IFERROR(__xludf.DUMMYFUNCTION("""COMPUTED_VALUE"""),304.0)</f>
        <v>304</v>
      </c>
      <c r="BE969" s="71">
        <f>IFERROR(__xludf.DUMMYFUNCTION("""COMPUTED_VALUE"""),48.64)</f>
        <v>48.64</v>
      </c>
      <c r="BF969" s="71">
        <f>IFERROR(__xludf.DUMMYFUNCTION("""COMPUTED_VALUE"""),352.64)</f>
        <v>352.64</v>
      </c>
      <c r="BG969" s="71">
        <f>IFERROR(__xludf.DUMMYFUNCTION("""COMPUTED_VALUE"""),-0.16022099447513813)</f>
        <v>-0.1602209945</v>
      </c>
      <c r="BH969" s="71">
        <f>IFERROR(__xludf.DUMMYFUNCTION("""COMPUTED_VALUE"""),288.8)</f>
        <v>288.8</v>
      </c>
      <c r="BI969" s="71">
        <f>IFERROR(__xludf.DUMMYFUNCTION("""COMPUTED_VALUE"""),46.208000000000006)</f>
        <v>46.208</v>
      </c>
      <c r="BJ969" s="71">
        <f>IFERROR(__xludf.DUMMYFUNCTION("""COMPUTED_VALUE"""),335.00800000000004)</f>
        <v>335.008</v>
      </c>
      <c r="BK969" s="71">
        <f>IFERROR(__xludf.DUMMYFUNCTION("""COMPUTED_VALUE"""),273.6)</f>
        <v>273.6</v>
      </c>
      <c r="BL969" s="71">
        <f>IFERROR(__xludf.DUMMYFUNCTION("""COMPUTED_VALUE"""),43.776)</f>
        <v>43.776</v>
      </c>
      <c r="BM969" s="71">
        <f>IFERROR(__xludf.DUMMYFUNCTION("""COMPUTED_VALUE"""),317.37600000000003)</f>
        <v>317.376</v>
      </c>
      <c r="BN969" s="71">
        <f>IFERROR(__xludf.DUMMYFUNCTION("""COMPUTED_VALUE"""),258.4)</f>
        <v>258.4</v>
      </c>
      <c r="BO969" s="71">
        <f>IFERROR(__xludf.DUMMYFUNCTION("""COMPUTED_VALUE"""),41.343999999999994)</f>
        <v>41.344</v>
      </c>
      <c r="BP969" s="71">
        <f>IFERROR(__xludf.DUMMYFUNCTION("""COMPUTED_VALUE"""),299.74399999999997)</f>
        <v>299.744</v>
      </c>
      <c r="BQ969" s="71">
        <f>IFERROR(__xludf.DUMMYFUNCTION("""COMPUTED_VALUE"""),252.32)</f>
        <v>252.32</v>
      </c>
      <c r="BR969" s="71">
        <f>IFERROR(__xludf.DUMMYFUNCTION("""COMPUTED_VALUE"""),40.3712)</f>
        <v>40.3712</v>
      </c>
      <c r="BS969" s="71">
        <f>IFERROR(__xludf.DUMMYFUNCTION("""COMPUTED_VALUE"""),292.6912)</f>
        <v>292.6912</v>
      </c>
      <c r="BT969" s="71">
        <f>IFERROR(__xludf.DUMMYFUNCTION("""COMPUTED_VALUE"""),243.20000000000002)</f>
        <v>243.2</v>
      </c>
      <c r="BU969" s="71">
        <f>IFERROR(__xludf.DUMMYFUNCTION("""COMPUTED_VALUE"""),38.912000000000006)</f>
        <v>38.912</v>
      </c>
      <c r="BV969" s="71">
        <f>IFERROR(__xludf.DUMMYFUNCTION("""COMPUTED_VALUE"""),282.112)</f>
        <v>282.112</v>
      </c>
    </row>
    <row r="970">
      <c r="A970" s="53"/>
      <c r="B970" s="53"/>
      <c r="C970" s="53" t="s">
        <v>12</v>
      </c>
      <c r="D970" s="53" t="s">
        <v>2354</v>
      </c>
      <c r="E970" s="54" t="s">
        <v>38</v>
      </c>
      <c r="F970" s="54" t="s">
        <v>42</v>
      </c>
      <c r="G970" s="55" t="s">
        <v>2355</v>
      </c>
      <c r="H970" s="54" t="s">
        <v>2355</v>
      </c>
      <c r="I970" s="54">
        <f t="shared" si="24"/>
        <v>38</v>
      </c>
      <c r="J970" s="56"/>
      <c r="K970" s="57"/>
      <c r="L970" s="76"/>
      <c r="M970" s="59"/>
      <c r="N970" s="79">
        <v>2721.0</v>
      </c>
      <c r="O970" s="61">
        <v>2938.0</v>
      </c>
      <c r="P970" s="63">
        <v>3173.0400000000004</v>
      </c>
      <c r="Q970" s="63">
        <v>3173.0400000000004</v>
      </c>
      <c r="R970" s="64">
        <v>3332.0</v>
      </c>
      <c r="S970" s="111">
        <v>3499.0</v>
      </c>
      <c r="T970" s="65">
        <f t="shared" si="2"/>
        <v>559.84</v>
      </c>
      <c r="U970" s="65">
        <f t="shared" si="3"/>
        <v>4058.84</v>
      </c>
      <c r="V970" s="66">
        <f t="shared" si="4"/>
        <v>0.05012004802</v>
      </c>
      <c r="W970" s="67">
        <f t="shared" si="5"/>
        <v>3324.05</v>
      </c>
      <c r="X970" s="67">
        <f t="shared" si="6"/>
        <v>531.848</v>
      </c>
      <c r="Y970" s="67">
        <f t="shared" si="7"/>
        <v>3855.898</v>
      </c>
      <c r="Z970" s="67">
        <f t="shared" si="8"/>
        <v>3149.1</v>
      </c>
      <c r="AA970" s="67">
        <f t="shared" si="9"/>
        <v>503.856</v>
      </c>
      <c r="AB970" s="67">
        <f t="shared" si="10"/>
        <v>3652.956</v>
      </c>
      <c r="AC970" s="67">
        <f t="shared" si="11"/>
        <v>2974.15</v>
      </c>
      <c r="AD970" s="67">
        <f t="shared" si="12"/>
        <v>475.864</v>
      </c>
      <c r="AE970" s="67">
        <f t="shared" si="13"/>
        <v>3450.014</v>
      </c>
      <c r="AF970" s="67">
        <f t="shared" si="33"/>
        <v>2904.17</v>
      </c>
      <c r="AG970" s="67">
        <f t="shared" si="15"/>
        <v>464.6672</v>
      </c>
      <c r="AH970" s="67">
        <f t="shared" si="16"/>
        <v>3368.8372</v>
      </c>
      <c r="AI970" s="67">
        <f t="shared" si="17"/>
        <v>2799.2</v>
      </c>
      <c r="AJ970" s="68">
        <f t="shared" si="31"/>
        <v>447.872</v>
      </c>
      <c r="AK970" s="68">
        <f t="shared" si="32"/>
        <v>3247.072</v>
      </c>
      <c r="AL970" s="70">
        <f>IFERROR(__xludf.DUMMYFUNCTION("""COMPUTED_VALUE"""),1.0)</f>
        <v>1</v>
      </c>
      <c r="AM970" s="70"/>
      <c r="AN970" s="71" t="str">
        <f>IFERROR(__xludf.DUMMYFUNCTION("""COMPUTED_VALUE""")," P")</f>
        <v>P</v>
      </c>
      <c r="AO970" s="71" t="str">
        <f>IFERROR(__xludf.DUMMYFUNCTION("""COMPUTED_VALUE""")," PI03")</f>
        <v>PI03</v>
      </c>
      <c r="AP970" s="71" t="str">
        <f>IFERROR(__xludf.DUMMYFUNCTION("""COMPUTED_VALUE""")," PZA")</f>
        <v>PZA</v>
      </c>
      <c r="AQ970" s="71" t="str">
        <f>IFERROR(__xludf.DUMMYFUNCTION("""COMPUTED_VALUE""")," REF")</f>
        <v>REF</v>
      </c>
      <c r="AR970" s="71" t="str">
        <f>IFERROR(__xludf.DUMMYFUNCTION("""COMPUTED_VALUE""")," PIÑÓN DE 11 DTS CON MAMELÓN REFORZADO TIPO U 3000 (MAQUINADO)")</f>
        <v>PIÑÓN DE 11 DTS CON MAMELÓN REFORZADO TIPO U 3000 (MAQUINADO)</v>
      </c>
      <c r="AS970" s="71" t="str">
        <f>IFERROR(__xludf.DUMMYFUNCTION("""COMPUTED_VALUE""")," PINON 11 DTES C/MAMELON REF U3000 MAQUIN")</f>
        <v>PINON 11 DTES C/MAMELON REF U3000 MAQUIN</v>
      </c>
      <c r="AT970" s="71">
        <f>IFERROR(__xludf.DUMMYFUNCTION("""COMPUTED_VALUE"""),40.0)</f>
        <v>40</v>
      </c>
      <c r="AU970" s="71"/>
      <c r="AV970" s="71"/>
      <c r="AW970" s="71"/>
      <c r="AX970" s="71"/>
      <c r="AY970" s="71">
        <f>IFERROR(__xludf.DUMMYFUNCTION("""COMPUTED_VALUE"""),351.0)</f>
        <v>351</v>
      </c>
      <c r="AZ970" s="71">
        <f>IFERROR(__xludf.DUMMYFUNCTION("""COMPUTED_VALUE"""),379.0)</f>
        <v>379</v>
      </c>
      <c r="BA970" s="71">
        <f>IFERROR(__xludf.DUMMYFUNCTION("""COMPUTED_VALUE"""),409.32000000000005)</f>
        <v>409.32</v>
      </c>
      <c r="BB970" s="71">
        <f>IFERROR(__xludf.DUMMYFUNCTION("""COMPUTED_VALUE"""),409.32000000000005)</f>
        <v>409.32</v>
      </c>
      <c r="BC970" s="71">
        <f>IFERROR(__xludf.DUMMYFUNCTION("""COMPUTED_VALUE"""),456.0)</f>
        <v>456</v>
      </c>
      <c r="BD970" s="71">
        <f>IFERROR(__xludf.DUMMYFUNCTION("""COMPUTED_VALUE"""),383.2)</f>
        <v>383.2</v>
      </c>
      <c r="BE970" s="71">
        <f>IFERROR(__xludf.DUMMYFUNCTION("""COMPUTED_VALUE"""),61.312)</f>
        <v>61.312</v>
      </c>
      <c r="BF970" s="71">
        <f>IFERROR(__xludf.DUMMYFUNCTION("""COMPUTED_VALUE"""),444.512)</f>
        <v>444.512</v>
      </c>
      <c r="BG970" s="71">
        <f>IFERROR(__xludf.DUMMYFUNCTION("""COMPUTED_VALUE"""),-0.15964912280701757)</f>
        <v>-0.1596491228</v>
      </c>
      <c r="BH970" s="71">
        <f>IFERROR(__xludf.DUMMYFUNCTION("""COMPUTED_VALUE"""),364.03999999999996)</f>
        <v>364.04</v>
      </c>
      <c r="BI970" s="71">
        <f>IFERROR(__xludf.DUMMYFUNCTION("""COMPUTED_VALUE"""),58.246399999999994)</f>
        <v>58.2464</v>
      </c>
      <c r="BJ970" s="71">
        <f>IFERROR(__xludf.DUMMYFUNCTION("""COMPUTED_VALUE"""),422.28639999999996)</f>
        <v>422.2864</v>
      </c>
      <c r="BK970" s="71">
        <f>IFERROR(__xludf.DUMMYFUNCTION("""COMPUTED_VALUE"""),344.88)</f>
        <v>344.88</v>
      </c>
      <c r="BL970" s="71">
        <f>IFERROR(__xludf.DUMMYFUNCTION("""COMPUTED_VALUE"""),55.1808)</f>
        <v>55.1808</v>
      </c>
      <c r="BM970" s="71">
        <f>IFERROR(__xludf.DUMMYFUNCTION("""COMPUTED_VALUE"""),400.0608)</f>
        <v>400.0608</v>
      </c>
      <c r="BN970" s="71">
        <f>IFERROR(__xludf.DUMMYFUNCTION("""COMPUTED_VALUE"""),325.71999999999997)</f>
        <v>325.72</v>
      </c>
      <c r="BO970" s="71">
        <f>IFERROR(__xludf.DUMMYFUNCTION("""COMPUTED_VALUE"""),52.115199999999994)</f>
        <v>52.1152</v>
      </c>
      <c r="BP970" s="71">
        <f>IFERROR(__xludf.DUMMYFUNCTION("""COMPUTED_VALUE"""),377.8352)</f>
        <v>377.8352</v>
      </c>
      <c r="BQ970" s="71">
        <f>IFERROR(__xludf.DUMMYFUNCTION("""COMPUTED_VALUE"""),318.056)</f>
        <v>318.056</v>
      </c>
      <c r="BR970" s="71">
        <f>IFERROR(__xludf.DUMMYFUNCTION("""COMPUTED_VALUE"""),50.88896)</f>
        <v>50.88896</v>
      </c>
      <c r="BS970" s="71">
        <f>IFERROR(__xludf.DUMMYFUNCTION("""COMPUTED_VALUE"""),368.94496)</f>
        <v>368.94496</v>
      </c>
      <c r="BT970" s="71">
        <f>IFERROR(__xludf.DUMMYFUNCTION("""COMPUTED_VALUE"""),306.56)</f>
        <v>306.56</v>
      </c>
      <c r="BU970" s="71">
        <f>IFERROR(__xludf.DUMMYFUNCTION("""COMPUTED_VALUE"""),49.0496)</f>
        <v>49.0496</v>
      </c>
      <c r="BV970" s="71">
        <f>IFERROR(__xludf.DUMMYFUNCTION("""COMPUTED_VALUE"""),355.6096)</f>
        <v>355.6096</v>
      </c>
    </row>
    <row r="971">
      <c r="A971" s="53"/>
      <c r="B971" s="53"/>
      <c r="C971" s="73" t="s">
        <v>603</v>
      </c>
      <c r="D971" s="53" t="s">
        <v>2356</v>
      </c>
      <c r="E971" s="54" t="s">
        <v>38</v>
      </c>
      <c r="F971" s="54" t="s">
        <v>42</v>
      </c>
      <c r="G971" s="55" t="s">
        <v>2357</v>
      </c>
      <c r="H971" s="54" t="s">
        <v>2358</v>
      </c>
      <c r="I971" s="54">
        <f t="shared" si="24"/>
        <v>36</v>
      </c>
      <c r="J971" s="56"/>
      <c r="K971" s="57"/>
      <c r="L971" s="87"/>
      <c r="M971" s="59"/>
      <c r="N971" s="79">
        <v>26197.0</v>
      </c>
      <c r="O971" s="61">
        <v>28292.0</v>
      </c>
      <c r="P971" s="62">
        <v>30555.36</v>
      </c>
      <c r="Q971" s="63">
        <v>30555.36</v>
      </c>
      <c r="R971" s="64">
        <v>34009.0</v>
      </c>
      <c r="S971" s="111">
        <v>35709.0</v>
      </c>
      <c r="T971" s="65">
        <f t="shared" si="2"/>
        <v>5713.44</v>
      </c>
      <c r="U971" s="65">
        <f t="shared" si="3"/>
        <v>41422.44</v>
      </c>
      <c r="V971" s="66">
        <f t="shared" si="4"/>
        <v>0.04998676821</v>
      </c>
      <c r="W971" s="67">
        <f t="shared" si="5"/>
        <v>33923.55</v>
      </c>
      <c r="X971" s="67">
        <f t="shared" si="6"/>
        <v>5427.768</v>
      </c>
      <c r="Y971" s="67">
        <f t="shared" si="7"/>
        <v>39351.318</v>
      </c>
      <c r="Z971" s="67">
        <f t="shared" si="8"/>
        <v>32138.1</v>
      </c>
      <c r="AA971" s="67">
        <f t="shared" si="9"/>
        <v>5142.096</v>
      </c>
      <c r="AB971" s="67">
        <f t="shared" si="10"/>
        <v>37280.196</v>
      </c>
      <c r="AC971" s="67">
        <f t="shared" si="11"/>
        <v>30352.65</v>
      </c>
      <c r="AD971" s="67">
        <f t="shared" si="12"/>
        <v>4856.424</v>
      </c>
      <c r="AE971" s="67">
        <f t="shared" si="13"/>
        <v>35209.074</v>
      </c>
      <c r="AF971" s="67">
        <f t="shared" si="33"/>
        <v>29638.47</v>
      </c>
      <c r="AG971" s="67">
        <f t="shared" si="15"/>
        <v>4742.1552</v>
      </c>
      <c r="AH971" s="67">
        <f t="shared" si="16"/>
        <v>34380.6252</v>
      </c>
      <c r="AI971" s="67">
        <f t="shared" si="17"/>
        <v>28567.2</v>
      </c>
      <c r="AJ971" s="68">
        <f t="shared" si="31"/>
        <v>4570.752</v>
      </c>
      <c r="AK971" s="68">
        <f t="shared" si="32"/>
        <v>33137.952</v>
      </c>
      <c r="AL971" s="70">
        <f>IFERROR(__xludf.DUMMYFUNCTION("""COMPUTED_VALUE"""),1.0)</f>
        <v>1</v>
      </c>
      <c r="AM971" s="70"/>
      <c r="AN971" s="71" t="str">
        <f>IFERROR(__xludf.DUMMYFUNCTION("""COMPUTED_VALUE""")," P")</f>
        <v>P</v>
      </c>
      <c r="AO971" s="71" t="str">
        <f>IFERROR(__xludf.DUMMYFUNCTION("""COMPUTED_VALUE""")," PI05")</f>
        <v>PI05</v>
      </c>
      <c r="AP971" s="71" t="str">
        <f>IFERROR(__xludf.DUMMYFUNCTION("""COMPUTED_VALUE""")," PZA")</f>
        <v>PZA</v>
      </c>
      <c r="AQ971" s="71" t="str">
        <f>IFERROR(__xludf.DUMMYFUNCTION("""COMPUTED_VALUE""")," REF")</f>
        <v>REF</v>
      </c>
      <c r="AR971" s="71" t="str">
        <f>IFERROR(__xludf.DUMMYFUNCTION("""COMPUTED_VALUE""")," PIÑÓN DE 11 DTS CON MAMELÓN SENCILLO (FUNDICIÓN)")</f>
        <v>PIÑÓN DE 11 DTS CON MAMELÓN SENCILLO (FUNDICIÓN)</v>
      </c>
      <c r="AS971" s="71" t="str">
        <f>IFERROR(__xludf.DUMMYFUNCTION("""COMPUTED_VALUE""")," PINON 11 DTES C/MAMELON SENCILLO FUND")</f>
        <v>PINON 11 DTES C/MAMELON SENCILLO FUND</v>
      </c>
      <c r="AT971" s="71">
        <f>IFERROR(__xludf.DUMMYFUNCTION("""COMPUTED_VALUE"""),37.0)</f>
        <v>37</v>
      </c>
      <c r="AU971" s="71"/>
      <c r="AV971" s="71"/>
      <c r="AW971" s="71"/>
      <c r="AX971" s="71"/>
      <c r="AY971" s="71">
        <f>IFERROR(__xludf.DUMMYFUNCTION("""COMPUTED_VALUE"""),271.0)</f>
        <v>271</v>
      </c>
      <c r="AZ971" s="71">
        <f>IFERROR(__xludf.DUMMYFUNCTION("""COMPUTED_VALUE"""),271.0)</f>
        <v>271</v>
      </c>
      <c r="BA971" s="71">
        <f>IFERROR(__xludf.DUMMYFUNCTION("""COMPUTED_VALUE"""),292.68)</f>
        <v>292.68</v>
      </c>
      <c r="BB971" s="71">
        <f>IFERROR(__xludf.DUMMYFUNCTION("""COMPUTED_VALUE"""),292.68)</f>
        <v>292.68</v>
      </c>
      <c r="BC971" s="71">
        <f>IFERROR(__xludf.DUMMYFUNCTION("""COMPUTED_VALUE"""),327.0)</f>
        <v>327</v>
      </c>
      <c r="BD971" s="71">
        <f>IFERROR(__xludf.DUMMYFUNCTION("""COMPUTED_VALUE"""),274.4)</f>
        <v>274.4</v>
      </c>
      <c r="BE971" s="71">
        <f>IFERROR(__xludf.DUMMYFUNCTION("""COMPUTED_VALUE"""),43.903999999999996)</f>
        <v>43.904</v>
      </c>
      <c r="BF971" s="71">
        <f>IFERROR(__xludf.DUMMYFUNCTION("""COMPUTED_VALUE"""),318.304)</f>
        <v>318.304</v>
      </c>
      <c r="BG971" s="71">
        <f>IFERROR(__xludf.DUMMYFUNCTION("""COMPUTED_VALUE"""),-0.16085626911314993)</f>
        <v>-0.1608562691</v>
      </c>
      <c r="BH971" s="71">
        <f>IFERROR(__xludf.DUMMYFUNCTION("""COMPUTED_VALUE"""),260.67999999999995)</f>
        <v>260.68</v>
      </c>
      <c r="BI971" s="71">
        <f>IFERROR(__xludf.DUMMYFUNCTION("""COMPUTED_VALUE"""),41.70879999999999)</f>
        <v>41.7088</v>
      </c>
      <c r="BJ971" s="71">
        <f>IFERROR(__xludf.DUMMYFUNCTION("""COMPUTED_VALUE"""),302.38879999999995)</f>
        <v>302.3888</v>
      </c>
      <c r="BK971" s="71">
        <f>IFERROR(__xludf.DUMMYFUNCTION("""COMPUTED_VALUE"""),246.95999999999998)</f>
        <v>246.96</v>
      </c>
      <c r="BL971" s="71">
        <f>IFERROR(__xludf.DUMMYFUNCTION("""COMPUTED_VALUE"""),39.5136)</f>
        <v>39.5136</v>
      </c>
      <c r="BM971" s="71">
        <f>IFERROR(__xludf.DUMMYFUNCTION("""COMPUTED_VALUE"""),286.4736)</f>
        <v>286.4736</v>
      </c>
      <c r="BN971" s="71">
        <f>IFERROR(__xludf.DUMMYFUNCTION("""COMPUTED_VALUE"""),233.23999999999998)</f>
        <v>233.24</v>
      </c>
      <c r="BO971" s="71">
        <f>IFERROR(__xludf.DUMMYFUNCTION("""COMPUTED_VALUE"""),37.3184)</f>
        <v>37.3184</v>
      </c>
      <c r="BP971" s="71">
        <f>IFERROR(__xludf.DUMMYFUNCTION("""COMPUTED_VALUE"""),270.5584)</f>
        <v>270.5584</v>
      </c>
      <c r="BQ971" s="71">
        <f>IFERROR(__xludf.DUMMYFUNCTION("""COMPUTED_VALUE"""),227.75199999999998)</f>
        <v>227.752</v>
      </c>
      <c r="BR971" s="71">
        <f>IFERROR(__xludf.DUMMYFUNCTION("""COMPUTED_VALUE"""),36.44032)</f>
        <v>36.44032</v>
      </c>
      <c r="BS971" s="71">
        <f>IFERROR(__xludf.DUMMYFUNCTION("""COMPUTED_VALUE"""),264.19232)</f>
        <v>264.19232</v>
      </c>
      <c r="BT971" s="71">
        <f>IFERROR(__xludf.DUMMYFUNCTION("""COMPUTED_VALUE"""),219.51999999999998)</f>
        <v>219.52</v>
      </c>
      <c r="BU971" s="71">
        <f>IFERROR(__xludf.DUMMYFUNCTION("""COMPUTED_VALUE"""),35.1232)</f>
        <v>35.1232</v>
      </c>
      <c r="BV971" s="71">
        <f>IFERROR(__xludf.DUMMYFUNCTION("""COMPUTED_VALUE"""),254.64319999999998)</f>
        <v>254.6432</v>
      </c>
    </row>
    <row r="972">
      <c r="A972" s="53"/>
      <c r="B972" s="53"/>
      <c r="C972" s="53" t="s">
        <v>36</v>
      </c>
      <c r="D972" s="85" t="s">
        <v>2359</v>
      </c>
      <c r="E972" s="54" t="s">
        <v>38</v>
      </c>
      <c r="F972" s="55" t="s">
        <v>39</v>
      </c>
      <c r="G972" s="86" t="s">
        <v>2360</v>
      </c>
      <c r="H972" s="55"/>
      <c r="I972" s="54">
        <f t="shared" si="24"/>
        <v>0</v>
      </c>
      <c r="J972" s="56"/>
      <c r="K972" s="57"/>
      <c r="L972" s="76"/>
      <c r="M972" s="59"/>
      <c r="N972" s="60"/>
      <c r="O972" s="61">
        <v>1459.3</v>
      </c>
      <c r="P972" s="62">
        <v>1576.044</v>
      </c>
      <c r="Q972" s="63">
        <v>1576.044</v>
      </c>
      <c r="R972" s="64">
        <v>1655.0</v>
      </c>
      <c r="S972" s="107">
        <v>1738.0</v>
      </c>
      <c r="T972" s="65">
        <f t="shared" si="2"/>
        <v>278.08</v>
      </c>
      <c r="U972" s="65">
        <f t="shared" si="3"/>
        <v>2016.08</v>
      </c>
      <c r="V972" s="66">
        <f t="shared" si="4"/>
        <v>0.0501510574</v>
      </c>
      <c r="W972" s="67">
        <f t="shared" si="5"/>
        <v>1651.1</v>
      </c>
      <c r="X972" s="67">
        <f t="shared" si="6"/>
        <v>264.176</v>
      </c>
      <c r="Y972" s="67">
        <f t="shared" si="7"/>
        <v>1915.276</v>
      </c>
      <c r="Z972" s="67">
        <f t="shared" si="8"/>
        <v>1564.2</v>
      </c>
      <c r="AA972" s="67">
        <f t="shared" si="9"/>
        <v>250.272</v>
      </c>
      <c r="AB972" s="67">
        <f t="shared" si="10"/>
        <v>1814.472</v>
      </c>
      <c r="AC972" s="67">
        <f t="shared" si="11"/>
        <v>1477.3</v>
      </c>
      <c r="AD972" s="67">
        <f t="shared" si="12"/>
        <v>236.368</v>
      </c>
      <c r="AE972" s="67">
        <f t="shared" si="13"/>
        <v>1713.668</v>
      </c>
      <c r="AF972" s="67">
        <f t="shared" si="33"/>
        <v>1442.54</v>
      </c>
      <c r="AG972" s="67">
        <f t="shared" si="15"/>
        <v>230.8064</v>
      </c>
      <c r="AH972" s="67">
        <f t="shared" si="16"/>
        <v>1673.3464</v>
      </c>
      <c r="AI972" s="67">
        <f t="shared" si="17"/>
        <v>1390.4</v>
      </c>
      <c r="AJ972" s="68">
        <f t="shared" si="31"/>
        <v>222.464</v>
      </c>
      <c r="AK972" s="68">
        <f t="shared" si="32"/>
        <v>1612.864</v>
      </c>
      <c r="AL972" s="70">
        <f>IFERROR(__xludf.DUMMYFUNCTION("""COMPUTED_VALUE"""),1.0)</f>
        <v>1</v>
      </c>
      <c r="AM972" s="70"/>
      <c r="AN972" s="71" t="str">
        <f>IFERROR(__xludf.DUMMYFUNCTION("""COMPUTED_VALUE""")," P")</f>
        <v>P</v>
      </c>
      <c r="AO972" s="71" t="str">
        <f>IFERROR(__xludf.DUMMYFUNCTION("""COMPUTED_VALUE""")," PI06")</f>
        <v>PI06</v>
      </c>
      <c r="AP972" s="71" t="str">
        <f>IFERROR(__xludf.DUMMYFUNCTION("""COMPUTED_VALUE""")," PZA")</f>
        <v>PZA</v>
      </c>
      <c r="AQ972" s="71" t="str">
        <f>IFERROR(__xludf.DUMMYFUNCTION("""COMPUTED_VALUE""")," REF")</f>
        <v>REF</v>
      </c>
      <c r="AR972" s="71" t="str">
        <f>IFERROR(__xludf.DUMMYFUNCTION("""COMPUTED_VALUE""")," PIÑÓN DE 11 DTS CON MAMELÓN SENCILLO REFORZADO (MAQUINADO)")</f>
        <v>PIÑÓN DE 11 DTS CON MAMELÓN SENCILLO REFORZADO (MAQUINADO)</v>
      </c>
      <c r="AS972" s="71" t="str">
        <f>IFERROR(__xludf.DUMMYFUNCTION("""COMPUTED_VALUE""")," PINON 11 DTS C/MAMELON SENC REF MAQUINAD")</f>
        <v>PINON 11 DTS C/MAMELON SENC REF MAQUINAD</v>
      </c>
      <c r="AT972" s="71">
        <f>IFERROR(__xludf.DUMMYFUNCTION("""COMPUTED_VALUE"""),40.0)</f>
        <v>40</v>
      </c>
      <c r="AU972" s="71"/>
      <c r="AV972" s="71"/>
      <c r="AW972" s="71"/>
      <c r="AX972" s="71"/>
      <c r="AY972" s="71">
        <f>IFERROR(__xludf.DUMMYFUNCTION("""COMPUTED_VALUE"""),388.0)</f>
        <v>388</v>
      </c>
      <c r="AZ972" s="71">
        <f>IFERROR(__xludf.DUMMYFUNCTION("""COMPUTED_VALUE"""),419.0)</f>
        <v>419</v>
      </c>
      <c r="BA972" s="71">
        <f>IFERROR(__xludf.DUMMYFUNCTION("""COMPUTED_VALUE"""),452.52000000000004)</f>
        <v>452.52</v>
      </c>
      <c r="BB972" s="71">
        <f>IFERROR(__xludf.DUMMYFUNCTION("""COMPUTED_VALUE"""),452.52000000000004)</f>
        <v>452.52</v>
      </c>
      <c r="BC972" s="71">
        <f>IFERROR(__xludf.DUMMYFUNCTION("""COMPUTED_VALUE"""),504.0)</f>
        <v>504</v>
      </c>
      <c r="BD972" s="71">
        <f>IFERROR(__xludf.DUMMYFUNCTION("""COMPUTED_VALUE"""),423.2)</f>
        <v>423.2</v>
      </c>
      <c r="BE972" s="71">
        <f>IFERROR(__xludf.DUMMYFUNCTION("""COMPUTED_VALUE"""),67.712)</f>
        <v>67.712</v>
      </c>
      <c r="BF972" s="71">
        <f>IFERROR(__xludf.DUMMYFUNCTION("""COMPUTED_VALUE"""),490.912)</f>
        <v>490.912</v>
      </c>
      <c r="BG972" s="71">
        <f>IFERROR(__xludf.DUMMYFUNCTION("""COMPUTED_VALUE"""),-0.16031746031746033)</f>
        <v>-0.1603174603</v>
      </c>
      <c r="BH972" s="71">
        <f>IFERROR(__xludf.DUMMYFUNCTION("""COMPUTED_VALUE"""),402.03999999999996)</f>
        <v>402.04</v>
      </c>
      <c r="BI972" s="71">
        <f>IFERROR(__xludf.DUMMYFUNCTION("""COMPUTED_VALUE"""),64.32639999999999)</f>
        <v>64.3264</v>
      </c>
      <c r="BJ972" s="71">
        <f>IFERROR(__xludf.DUMMYFUNCTION("""COMPUTED_VALUE"""),466.36639999999994)</f>
        <v>466.3664</v>
      </c>
      <c r="BK972" s="71">
        <f>IFERROR(__xludf.DUMMYFUNCTION("""COMPUTED_VALUE"""),380.88)</f>
        <v>380.88</v>
      </c>
      <c r="BL972" s="71">
        <f>IFERROR(__xludf.DUMMYFUNCTION("""COMPUTED_VALUE"""),60.9408)</f>
        <v>60.9408</v>
      </c>
      <c r="BM972" s="71">
        <f>IFERROR(__xludf.DUMMYFUNCTION("""COMPUTED_VALUE"""),441.8208)</f>
        <v>441.8208</v>
      </c>
      <c r="BN972" s="71">
        <f>IFERROR(__xludf.DUMMYFUNCTION("""COMPUTED_VALUE"""),359.71999999999997)</f>
        <v>359.72</v>
      </c>
      <c r="BO972" s="71">
        <f>IFERROR(__xludf.DUMMYFUNCTION("""COMPUTED_VALUE"""),57.5552)</f>
        <v>57.5552</v>
      </c>
      <c r="BP972" s="71">
        <f>IFERROR(__xludf.DUMMYFUNCTION("""COMPUTED_VALUE"""),417.2752)</f>
        <v>417.2752</v>
      </c>
      <c r="BQ972" s="71">
        <f>IFERROR(__xludf.DUMMYFUNCTION("""COMPUTED_VALUE"""),351.256)</f>
        <v>351.256</v>
      </c>
      <c r="BR972" s="71">
        <f>IFERROR(__xludf.DUMMYFUNCTION("""COMPUTED_VALUE"""),56.200959999999995)</f>
        <v>56.20096</v>
      </c>
      <c r="BS972" s="71">
        <f>IFERROR(__xludf.DUMMYFUNCTION("""COMPUTED_VALUE"""),407.45696)</f>
        <v>407.45696</v>
      </c>
      <c r="BT972" s="71">
        <f>IFERROR(__xludf.DUMMYFUNCTION("""COMPUTED_VALUE"""),338.56)</f>
        <v>338.56</v>
      </c>
      <c r="BU972" s="71">
        <f>IFERROR(__xludf.DUMMYFUNCTION("""COMPUTED_VALUE"""),54.1696)</f>
        <v>54.1696</v>
      </c>
      <c r="BV972" s="71">
        <f>IFERROR(__xludf.DUMMYFUNCTION("""COMPUTED_VALUE"""),392.7296)</f>
        <v>392.7296</v>
      </c>
    </row>
    <row r="973">
      <c r="A973" s="53"/>
      <c r="B973" s="53"/>
      <c r="C973" s="53" t="s">
        <v>36</v>
      </c>
      <c r="D973" s="85" t="s">
        <v>2361</v>
      </c>
      <c r="E973" s="54" t="s">
        <v>38</v>
      </c>
      <c r="F973" s="55" t="s">
        <v>39</v>
      </c>
      <c r="G973" s="86" t="s">
        <v>2362</v>
      </c>
      <c r="H973" s="55"/>
      <c r="I973" s="54">
        <f t="shared" si="24"/>
        <v>0</v>
      </c>
      <c r="J973" s="56"/>
      <c r="K973" s="57"/>
      <c r="L973" s="76"/>
      <c r="M973" s="59"/>
      <c r="N973" s="60"/>
      <c r="O973" s="61">
        <v>1563.2</v>
      </c>
      <c r="P973" s="62">
        <v>1688.256</v>
      </c>
      <c r="Q973" s="63">
        <v>1688.256</v>
      </c>
      <c r="R973" s="64">
        <v>1773.0</v>
      </c>
      <c r="S973" s="107">
        <v>1862.0</v>
      </c>
      <c r="T973" s="65">
        <f t="shared" si="2"/>
        <v>297.92</v>
      </c>
      <c r="U973" s="65">
        <f t="shared" si="3"/>
        <v>2159.92</v>
      </c>
      <c r="V973" s="66">
        <f t="shared" si="4"/>
        <v>0.05019740553</v>
      </c>
      <c r="W973" s="67">
        <f t="shared" si="5"/>
        <v>1768.9</v>
      </c>
      <c r="X973" s="67">
        <f t="shared" si="6"/>
        <v>283.024</v>
      </c>
      <c r="Y973" s="67">
        <f t="shared" si="7"/>
        <v>2051.924</v>
      </c>
      <c r="Z973" s="67">
        <f t="shared" si="8"/>
        <v>1675.8</v>
      </c>
      <c r="AA973" s="67">
        <f t="shared" si="9"/>
        <v>268.128</v>
      </c>
      <c r="AB973" s="67">
        <f t="shared" si="10"/>
        <v>1943.928</v>
      </c>
      <c r="AC973" s="67">
        <f t="shared" si="11"/>
        <v>1582.7</v>
      </c>
      <c r="AD973" s="67">
        <f t="shared" si="12"/>
        <v>253.232</v>
      </c>
      <c r="AE973" s="67">
        <f t="shared" si="13"/>
        <v>1835.932</v>
      </c>
      <c r="AF973" s="67">
        <f t="shared" si="33"/>
        <v>1545.46</v>
      </c>
      <c r="AG973" s="67">
        <f t="shared" si="15"/>
        <v>247.2736</v>
      </c>
      <c r="AH973" s="67">
        <f t="shared" si="16"/>
        <v>1792.7336</v>
      </c>
      <c r="AI973" s="67">
        <f t="shared" si="17"/>
        <v>1489.6</v>
      </c>
      <c r="AJ973" s="68">
        <f t="shared" si="31"/>
        <v>238.336</v>
      </c>
      <c r="AK973" s="68">
        <f t="shared" si="32"/>
        <v>1727.936</v>
      </c>
      <c r="AL973" s="70">
        <f>IFERROR(__xludf.DUMMYFUNCTION("""COMPUTED_VALUE"""),1.0)</f>
        <v>1</v>
      </c>
      <c r="AM973" s="70"/>
      <c r="AN973" s="71" t="str">
        <f>IFERROR(__xludf.DUMMYFUNCTION("""COMPUTED_VALUE""")," P")</f>
        <v>P</v>
      </c>
      <c r="AO973" s="71" t="str">
        <f>IFERROR(__xludf.DUMMYFUNCTION("""COMPUTED_VALUE""")," PI04")</f>
        <v>PI04</v>
      </c>
      <c r="AP973" s="71" t="str">
        <f>IFERROR(__xludf.DUMMYFUNCTION("""COMPUTED_VALUE""")," PZA")</f>
        <v>PZA</v>
      </c>
      <c r="AQ973" s="71" t="str">
        <f>IFERROR(__xludf.DUMMYFUNCTION("""COMPUTED_VALUE""")," REF")</f>
        <v>REF</v>
      </c>
      <c r="AR973" s="71" t="str">
        <f>IFERROR(__xludf.DUMMYFUNCTION("""COMPUTED_VALUE""")," PIÑÓN DE 11 DTS CON MAMELÓN TIPO U 3000 (FUNDICIÓN)")</f>
        <v>PIÑÓN DE 11 DTS CON MAMELÓN TIPO U 3000 (FUNDICIÓN)</v>
      </c>
      <c r="AS973" s="71" t="str">
        <f>IFERROR(__xludf.DUMMYFUNCTION("""COMPUTED_VALUE""")," PINON 11 DTES C/MAMELON U3000 FUND")</f>
        <v>PINON 11 DTES C/MAMELON U3000 FUND</v>
      </c>
      <c r="AT973" s="71">
        <f>IFERROR(__xludf.DUMMYFUNCTION("""COMPUTED_VALUE"""),34.0)</f>
        <v>34</v>
      </c>
      <c r="AU973" s="71"/>
      <c r="AV973" s="71"/>
      <c r="AW973" s="71"/>
      <c r="AX973" s="71"/>
      <c r="AY973" s="71">
        <f>IFERROR(__xludf.DUMMYFUNCTION("""COMPUTED_VALUE"""),286.0)</f>
        <v>286</v>
      </c>
      <c r="AZ973" s="71">
        <f>IFERROR(__xludf.DUMMYFUNCTION("""COMPUTED_VALUE"""),286.0)</f>
        <v>286</v>
      </c>
      <c r="BA973" s="71">
        <f>IFERROR(__xludf.DUMMYFUNCTION("""COMPUTED_VALUE"""),308.88)</f>
        <v>308.88</v>
      </c>
      <c r="BB973" s="71">
        <f>IFERROR(__xludf.DUMMYFUNCTION("""COMPUTED_VALUE"""),308.88)</f>
        <v>308.88</v>
      </c>
      <c r="BC973" s="71">
        <f>IFERROR(__xludf.DUMMYFUNCTION("""COMPUTED_VALUE"""),345.0)</f>
        <v>345</v>
      </c>
      <c r="BD973" s="71">
        <f>IFERROR(__xludf.DUMMYFUNCTION("""COMPUTED_VALUE"""),289.6)</f>
        <v>289.6</v>
      </c>
      <c r="BE973" s="71">
        <f>IFERROR(__xludf.DUMMYFUNCTION("""COMPUTED_VALUE"""),46.336000000000006)</f>
        <v>46.336</v>
      </c>
      <c r="BF973" s="71">
        <f>IFERROR(__xludf.DUMMYFUNCTION("""COMPUTED_VALUE"""),335.93600000000004)</f>
        <v>335.936</v>
      </c>
      <c r="BG973" s="71">
        <f>IFERROR(__xludf.DUMMYFUNCTION("""COMPUTED_VALUE"""),-0.16057971014492747)</f>
        <v>-0.1605797101</v>
      </c>
      <c r="BH973" s="71">
        <f>IFERROR(__xludf.DUMMYFUNCTION("""COMPUTED_VALUE"""),275.12)</f>
        <v>275.12</v>
      </c>
      <c r="BI973" s="71">
        <f>IFERROR(__xludf.DUMMYFUNCTION("""COMPUTED_VALUE"""),44.019200000000005)</f>
        <v>44.0192</v>
      </c>
      <c r="BJ973" s="71">
        <f>IFERROR(__xludf.DUMMYFUNCTION("""COMPUTED_VALUE"""),319.1392)</f>
        <v>319.1392</v>
      </c>
      <c r="BK973" s="71">
        <f>IFERROR(__xludf.DUMMYFUNCTION("""COMPUTED_VALUE"""),260.64000000000004)</f>
        <v>260.64</v>
      </c>
      <c r="BL973" s="71">
        <f>IFERROR(__xludf.DUMMYFUNCTION("""COMPUTED_VALUE"""),41.702400000000004)</f>
        <v>41.7024</v>
      </c>
      <c r="BM973" s="71">
        <f>IFERROR(__xludf.DUMMYFUNCTION("""COMPUTED_VALUE"""),302.34240000000005)</f>
        <v>302.3424</v>
      </c>
      <c r="BN973" s="71">
        <f>IFERROR(__xludf.DUMMYFUNCTION("""COMPUTED_VALUE"""),246.16000000000003)</f>
        <v>246.16</v>
      </c>
      <c r="BO973" s="71">
        <f>IFERROR(__xludf.DUMMYFUNCTION("""COMPUTED_VALUE"""),39.385600000000004)</f>
        <v>39.3856</v>
      </c>
      <c r="BP973" s="71">
        <f>IFERROR(__xludf.DUMMYFUNCTION("""COMPUTED_VALUE"""),285.54560000000004)</f>
        <v>285.5456</v>
      </c>
      <c r="BQ973" s="71">
        <f>IFERROR(__xludf.DUMMYFUNCTION("""COMPUTED_VALUE"""),240.368)</f>
        <v>240.368</v>
      </c>
      <c r="BR973" s="71">
        <f>IFERROR(__xludf.DUMMYFUNCTION("""COMPUTED_VALUE"""),38.45888)</f>
        <v>38.45888</v>
      </c>
      <c r="BS973" s="71">
        <f>IFERROR(__xludf.DUMMYFUNCTION("""COMPUTED_VALUE"""),278.82688)</f>
        <v>278.82688</v>
      </c>
      <c r="BT973" s="71">
        <f>IFERROR(__xludf.DUMMYFUNCTION("""COMPUTED_VALUE"""),231.68000000000004)</f>
        <v>231.68</v>
      </c>
      <c r="BU973" s="71">
        <f>IFERROR(__xludf.DUMMYFUNCTION("""COMPUTED_VALUE"""),37.0688)</f>
        <v>37.0688</v>
      </c>
      <c r="BV973" s="71">
        <f>IFERROR(__xludf.DUMMYFUNCTION("""COMPUTED_VALUE"""),268.7488)</f>
        <v>268.7488</v>
      </c>
    </row>
    <row r="974">
      <c r="A974" s="53"/>
      <c r="B974" s="53"/>
      <c r="C974" s="53"/>
      <c r="D974" s="53" t="s">
        <v>2363</v>
      </c>
      <c r="E974" s="55" t="s">
        <v>38</v>
      </c>
      <c r="F974" s="89"/>
      <c r="G974" s="84" t="s">
        <v>2364</v>
      </c>
      <c r="H974" s="55"/>
      <c r="I974" s="54">
        <f t="shared" si="24"/>
        <v>0</v>
      </c>
      <c r="J974" s="56"/>
      <c r="K974" s="57"/>
      <c r="L974" s="55"/>
      <c r="M974" s="59"/>
      <c r="N974" s="60"/>
      <c r="O974" s="90"/>
      <c r="P974" s="62">
        <v>215390.0</v>
      </c>
      <c r="Q974" s="63">
        <v>215390.0</v>
      </c>
      <c r="R974" s="64">
        <v>237468.0</v>
      </c>
      <c r="S974" s="111">
        <v>249341.0</v>
      </c>
      <c r="T974" s="65">
        <f t="shared" si="2"/>
        <v>39894.56</v>
      </c>
      <c r="U974" s="65">
        <f t="shared" si="3"/>
        <v>289235.56</v>
      </c>
      <c r="V974" s="66">
        <f t="shared" si="4"/>
        <v>0.04999831556</v>
      </c>
      <c r="W974" s="67">
        <f t="shared" si="5"/>
        <v>236873.95</v>
      </c>
      <c r="X974" s="67">
        <f t="shared" si="6"/>
        <v>37899.832</v>
      </c>
      <c r="Y974" s="67">
        <f t="shared" si="7"/>
        <v>274773.782</v>
      </c>
      <c r="Z974" s="67">
        <f t="shared" si="8"/>
        <v>224406.9</v>
      </c>
      <c r="AA974" s="67">
        <f t="shared" si="9"/>
        <v>35905.104</v>
      </c>
      <c r="AB974" s="67">
        <f t="shared" si="10"/>
        <v>260312.004</v>
      </c>
      <c r="AC974" s="67">
        <f t="shared" si="11"/>
        <v>211939.85</v>
      </c>
      <c r="AD974" s="67">
        <f t="shared" si="12"/>
        <v>33910.376</v>
      </c>
      <c r="AE974" s="67">
        <f t="shared" si="13"/>
        <v>245850.226</v>
      </c>
      <c r="AF974" s="67">
        <f t="shared" si="33"/>
        <v>206953.03</v>
      </c>
      <c r="AG974" s="67">
        <f t="shared" si="15"/>
        <v>33112.4848</v>
      </c>
      <c r="AH974" s="67">
        <f t="shared" si="16"/>
        <v>240065.5148</v>
      </c>
      <c r="AI974" s="67">
        <f t="shared" si="17"/>
        <v>199472.8</v>
      </c>
      <c r="AJ974" s="68">
        <f t="shared" si="31"/>
        <v>31915.648</v>
      </c>
      <c r="AK974" s="68">
        <f t="shared" si="32"/>
        <v>231388.448</v>
      </c>
      <c r="AL974" s="70">
        <f>IFERROR(__xludf.DUMMYFUNCTION("""COMPUTED_VALUE"""),1.0)</f>
        <v>1</v>
      </c>
      <c r="AM974" s="70"/>
      <c r="AN974" s="71" t="str">
        <f>IFERROR(__xludf.DUMMYFUNCTION("""COMPUTED_VALUE""")," P")</f>
        <v>P</v>
      </c>
      <c r="AO974" s="71" t="str">
        <f>IFERROR(__xludf.DUMMYFUNCTION("""COMPUTED_VALUE""")," PI07")</f>
        <v>PI07</v>
      </c>
      <c r="AP974" s="71" t="str">
        <f>IFERROR(__xludf.DUMMYFUNCTION("""COMPUTED_VALUE""")," PZA")</f>
        <v>PZA</v>
      </c>
      <c r="AQ974" s="71" t="str">
        <f>IFERROR(__xludf.DUMMYFUNCTION("""COMPUTED_VALUE""")," REF")</f>
        <v>REF</v>
      </c>
      <c r="AR974" s="71" t="str">
        <f>IFERROR(__xludf.DUMMYFUNCTION("""COMPUTED_VALUE""")," PIÑÓN DE 12 DTS CON MAMELÓN DÚPLEX (FUNDICIÓN)")</f>
        <v>PIÑÓN DE 12 DTS CON MAMELÓN DÚPLEX (FUNDICIÓN)</v>
      </c>
      <c r="AS974" s="71" t="str">
        <f>IFERROR(__xludf.DUMMYFUNCTION("""COMPUTED_VALUE""")," PINON 12 DTES C/MAMELON DPLX FUND")</f>
        <v>PINON 12 DTES C/MAMELON DPLX FUND</v>
      </c>
      <c r="AT974" s="71">
        <f>IFERROR(__xludf.DUMMYFUNCTION("""COMPUTED_VALUE"""),33.0)</f>
        <v>33</v>
      </c>
      <c r="AU974" s="71"/>
      <c r="AV974" s="71"/>
      <c r="AW974" s="71"/>
      <c r="AX974" s="71"/>
      <c r="AY974" s="71">
        <f>IFERROR(__xludf.DUMMYFUNCTION("""COMPUTED_VALUE"""),260.0)</f>
        <v>260</v>
      </c>
      <c r="AZ974" s="71">
        <f>IFERROR(__xludf.DUMMYFUNCTION("""COMPUTED_VALUE"""),260.0)</f>
        <v>260</v>
      </c>
      <c r="BA974" s="71">
        <f>IFERROR(__xludf.DUMMYFUNCTION("""COMPUTED_VALUE"""),280.8)</f>
        <v>280.8</v>
      </c>
      <c r="BB974" s="71">
        <f>IFERROR(__xludf.DUMMYFUNCTION("""COMPUTED_VALUE"""),280.8)</f>
        <v>280.8</v>
      </c>
      <c r="BC974" s="71">
        <f>IFERROR(__xludf.DUMMYFUNCTION("""COMPUTED_VALUE"""),313.0)</f>
        <v>313</v>
      </c>
      <c r="BD974" s="71">
        <f>IFERROR(__xludf.DUMMYFUNCTION("""COMPUTED_VALUE"""),263.2)</f>
        <v>263.2</v>
      </c>
      <c r="BE974" s="71">
        <f>IFERROR(__xludf.DUMMYFUNCTION("""COMPUTED_VALUE"""),42.112)</f>
        <v>42.112</v>
      </c>
      <c r="BF974" s="71">
        <f>IFERROR(__xludf.DUMMYFUNCTION("""COMPUTED_VALUE"""),305.312)</f>
        <v>305.312</v>
      </c>
      <c r="BG974" s="71">
        <f>IFERROR(__xludf.DUMMYFUNCTION("""COMPUTED_VALUE"""),-0.15910543130990418)</f>
        <v>-0.1591054313</v>
      </c>
      <c r="BH974" s="71">
        <f>IFERROR(__xludf.DUMMYFUNCTION("""COMPUTED_VALUE"""),250.03999999999996)</f>
        <v>250.04</v>
      </c>
      <c r="BI974" s="71">
        <f>IFERROR(__xludf.DUMMYFUNCTION("""COMPUTED_VALUE"""),40.00639999999999)</f>
        <v>40.0064</v>
      </c>
      <c r="BJ974" s="71">
        <f>IFERROR(__xludf.DUMMYFUNCTION("""COMPUTED_VALUE"""),290.04639999999995)</f>
        <v>290.0464</v>
      </c>
      <c r="BK974" s="71">
        <f>IFERROR(__xludf.DUMMYFUNCTION("""COMPUTED_VALUE"""),236.88)</f>
        <v>236.88</v>
      </c>
      <c r="BL974" s="71">
        <f>IFERROR(__xludf.DUMMYFUNCTION("""COMPUTED_VALUE"""),37.9008)</f>
        <v>37.9008</v>
      </c>
      <c r="BM974" s="71">
        <f>IFERROR(__xludf.DUMMYFUNCTION("""COMPUTED_VALUE"""),274.7808)</f>
        <v>274.7808</v>
      </c>
      <c r="BN974" s="71">
        <f>IFERROR(__xludf.DUMMYFUNCTION("""COMPUTED_VALUE"""),223.71999999999997)</f>
        <v>223.72</v>
      </c>
      <c r="BO974" s="71">
        <f>IFERROR(__xludf.DUMMYFUNCTION("""COMPUTED_VALUE"""),35.795199999999994)</f>
        <v>35.7952</v>
      </c>
      <c r="BP974" s="71">
        <f>IFERROR(__xludf.DUMMYFUNCTION("""COMPUTED_VALUE"""),259.51519999999994)</f>
        <v>259.5152</v>
      </c>
      <c r="BQ974" s="71">
        <f>IFERROR(__xludf.DUMMYFUNCTION("""COMPUTED_VALUE"""),218.456)</f>
        <v>218.456</v>
      </c>
      <c r="BR974" s="71">
        <f>IFERROR(__xludf.DUMMYFUNCTION("""COMPUTED_VALUE"""),34.95296)</f>
        <v>34.95296</v>
      </c>
      <c r="BS974" s="71">
        <f>IFERROR(__xludf.DUMMYFUNCTION("""COMPUTED_VALUE"""),253.40895999999998)</f>
        <v>253.40896</v>
      </c>
      <c r="BT974" s="71">
        <f>IFERROR(__xludf.DUMMYFUNCTION("""COMPUTED_VALUE"""),210.56)</f>
        <v>210.56</v>
      </c>
      <c r="BU974" s="71">
        <f>IFERROR(__xludf.DUMMYFUNCTION("""COMPUTED_VALUE"""),33.6896)</f>
        <v>33.6896</v>
      </c>
      <c r="BV974" s="71">
        <f>IFERROR(__xludf.DUMMYFUNCTION("""COMPUTED_VALUE"""),244.2496)</f>
        <v>244.2496</v>
      </c>
    </row>
    <row r="975">
      <c r="A975" s="53"/>
      <c r="B975" s="53">
        <v>3.0</v>
      </c>
      <c r="C975" s="53" t="s">
        <v>36</v>
      </c>
      <c r="D975" s="120" t="s">
        <v>2365</v>
      </c>
      <c r="E975" s="54" t="s">
        <v>38</v>
      </c>
      <c r="F975" s="55" t="s">
        <v>866</v>
      </c>
      <c r="G975" s="138" t="s">
        <v>2366</v>
      </c>
      <c r="H975" s="55"/>
      <c r="I975" s="54">
        <f t="shared" si="24"/>
        <v>0</v>
      </c>
      <c r="J975" s="56"/>
      <c r="K975" s="57"/>
      <c r="L975" s="76"/>
      <c r="M975" s="59"/>
      <c r="N975" s="60"/>
      <c r="O975" s="61">
        <v>41240.0</v>
      </c>
      <c r="P975" s="62">
        <v>44539.200000000004</v>
      </c>
      <c r="Q975" s="63">
        <v>44539.200000000004</v>
      </c>
      <c r="R975" s="64">
        <v>46766.0</v>
      </c>
      <c r="S975" s="107">
        <v>49104.0</v>
      </c>
      <c r="T975" s="65">
        <f t="shared" si="2"/>
        <v>7856.64</v>
      </c>
      <c r="U975" s="65">
        <f t="shared" si="3"/>
        <v>56960.64</v>
      </c>
      <c r="V975" s="66">
        <f t="shared" si="4"/>
        <v>0.04999358508</v>
      </c>
      <c r="W975" s="67">
        <f t="shared" si="5"/>
        <v>46648.8</v>
      </c>
      <c r="X975" s="67">
        <f t="shared" si="6"/>
        <v>7463.808</v>
      </c>
      <c r="Y975" s="67">
        <f t="shared" si="7"/>
        <v>54112.608</v>
      </c>
      <c r="Z975" s="67">
        <f t="shared" si="8"/>
        <v>44193.6</v>
      </c>
      <c r="AA975" s="67">
        <f t="shared" si="9"/>
        <v>7070.976</v>
      </c>
      <c r="AB975" s="67">
        <f t="shared" si="10"/>
        <v>51264.576</v>
      </c>
      <c r="AC975" s="67">
        <f t="shared" si="11"/>
        <v>44193.6</v>
      </c>
      <c r="AD975" s="67">
        <f t="shared" si="12"/>
        <v>7070.976</v>
      </c>
      <c r="AE975" s="67">
        <f t="shared" si="13"/>
        <v>51264.576</v>
      </c>
      <c r="AF975" s="67">
        <f t="shared" si="33"/>
        <v>44193.6</v>
      </c>
      <c r="AG975" s="67">
        <f t="shared" si="15"/>
        <v>7070.976</v>
      </c>
      <c r="AH975" s="67">
        <f t="shared" si="16"/>
        <v>51264.576</v>
      </c>
      <c r="AI975" s="67">
        <f t="shared" si="17"/>
        <v>44193.6</v>
      </c>
      <c r="AJ975" s="68">
        <f t="shared" si="31"/>
        <v>7070.976</v>
      </c>
      <c r="AK975" s="68">
        <f t="shared" si="32"/>
        <v>51264.576</v>
      </c>
      <c r="AL975" s="70">
        <f>IFERROR(__xludf.DUMMYFUNCTION("""COMPUTED_VALUE"""),1.0)</f>
        <v>1</v>
      </c>
      <c r="AM975" s="70"/>
      <c r="AN975" s="71" t="str">
        <f>IFERROR(__xludf.DUMMYFUNCTION("""COMPUTED_VALUE""")," P")</f>
        <v>P</v>
      </c>
      <c r="AO975" s="71" t="str">
        <f>IFERROR(__xludf.DUMMYFUNCTION("""COMPUTED_VALUE""")," PI08")</f>
        <v>PI08</v>
      </c>
      <c r="AP975" s="71" t="str">
        <f>IFERROR(__xludf.DUMMYFUNCTION("""COMPUTED_VALUE""")," PZA")</f>
        <v>PZA</v>
      </c>
      <c r="AQ975" s="71" t="str">
        <f>IFERROR(__xludf.DUMMYFUNCTION("""COMPUTED_VALUE""")," REF")</f>
        <v>REF</v>
      </c>
      <c r="AR975" s="71" t="str">
        <f>IFERROR(__xludf.DUMMYFUNCTION("""COMPUTED_VALUE""")," PIÑÓN DE 12 DTS CON MAMELÓN DÚPLEX REFORZADO (MAQUINADO)")</f>
        <v>PIÑÓN DE 12 DTS CON MAMELÓN DÚPLEX REFORZADO (MAQUINADO)</v>
      </c>
      <c r="AS975" s="71" t="str">
        <f>IFERROR(__xludf.DUMMYFUNCTION("""COMPUTED_VALUE""")," PINON 12 DTES C/MAMELON DPLX REF MAQ")</f>
        <v>PINON 12 DTES C/MAMELON DPLX REF MAQ</v>
      </c>
      <c r="AT975" s="71">
        <f>IFERROR(__xludf.DUMMYFUNCTION("""COMPUTED_VALUE"""),36.0)</f>
        <v>36</v>
      </c>
      <c r="AU975" s="71"/>
      <c r="AV975" s="71"/>
      <c r="AW975" s="71"/>
      <c r="AX975" s="71"/>
      <c r="AY975" s="71">
        <f>IFERROR(__xludf.DUMMYFUNCTION("""COMPUTED_VALUE"""),405.0)</f>
        <v>405</v>
      </c>
      <c r="AZ975" s="71">
        <f>IFERROR(__xludf.DUMMYFUNCTION("""COMPUTED_VALUE"""),437.0)</f>
        <v>437</v>
      </c>
      <c r="BA975" s="71">
        <f>IFERROR(__xludf.DUMMYFUNCTION("""COMPUTED_VALUE"""),471.96000000000004)</f>
        <v>471.96</v>
      </c>
      <c r="BB975" s="71">
        <f>IFERROR(__xludf.DUMMYFUNCTION("""COMPUTED_VALUE"""),471.96000000000004)</f>
        <v>471.96</v>
      </c>
      <c r="BC975" s="71">
        <f>IFERROR(__xludf.DUMMYFUNCTION("""COMPUTED_VALUE"""),527.0)</f>
        <v>527</v>
      </c>
      <c r="BD975" s="71">
        <f>IFERROR(__xludf.DUMMYFUNCTION("""COMPUTED_VALUE"""),442.4)</f>
        <v>442.4</v>
      </c>
      <c r="BE975" s="71">
        <f>IFERROR(__xludf.DUMMYFUNCTION("""COMPUTED_VALUE"""),70.78399999999999)</f>
        <v>70.784</v>
      </c>
      <c r="BF975" s="71">
        <f>IFERROR(__xludf.DUMMYFUNCTION("""COMPUTED_VALUE"""),513.184)</f>
        <v>513.184</v>
      </c>
      <c r="BG975" s="71">
        <f>IFERROR(__xludf.DUMMYFUNCTION("""COMPUTED_VALUE"""),-0.16053130929791276)</f>
        <v>-0.1605313093</v>
      </c>
      <c r="BH975" s="71">
        <f>IFERROR(__xludf.DUMMYFUNCTION("""COMPUTED_VALUE"""),420.28)</f>
        <v>420.28</v>
      </c>
      <c r="BI975" s="71">
        <f>IFERROR(__xludf.DUMMYFUNCTION("""COMPUTED_VALUE"""),67.2448)</f>
        <v>67.2448</v>
      </c>
      <c r="BJ975" s="71">
        <f>IFERROR(__xludf.DUMMYFUNCTION("""COMPUTED_VALUE"""),487.52479999999997)</f>
        <v>487.5248</v>
      </c>
      <c r="BK975" s="71">
        <f>IFERROR(__xludf.DUMMYFUNCTION("""COMPUTED_VALUE"""),398.15999999999997)</f>
        <v>398.16</v>
      </c>
      <c r="BL975" s="71">
        <f>IFERROR(__xludf.DUMMYFUNCTION("""COMPUTED_VALUE"""),63.7056)</f>
        <v>63.7056</v>
      </c>
      <c r="BM975" s="71">
        <f>IFERROR(__xludf.DUMMYFUNCTION("""COMPUTED_VALUE"""),461.8656)</f>
        <v>461.8656</v>
      </c>
      <c r="BN975" s="71">
        <f>IFERROR(__xludf.DUMMYFUNCTION("""COMPUTED_VALUE"""),376.03999999999996)</f>
        <v>376.04</v>
      </c>
      <c r="BO975" s="71">
        <f>IFERROR(__xludf.DUMMYFUNCTION("""COMPUTED_VALUE"""),60.166399999999996)</f>
        <v>60.1664</v>
      </c>
      <c r="BP975" s="71">
        <f>IFERROR(__xludf.DUMMYFUNCTION("""COMPUTED_VALUE"""),436.2064)</f>
        <v>436.2064</v>
      </c>
      <c r="BQ975" s="71">
        <f>IFERROR(__xludf.DUMMYFUNCTION("""COMPUTED_VALUE"""),367.19199999999995)</f>
        <v>367.192</v>
      </c>
      <c r="BR975" s="71">
        <f>IFERROR(__xludf.DUMMYFUNCTION("""COMPUTED_VALUE"""),58.750719999999994)</f>
        <v>58.75072</v>
      </c>
      <c r="BS975" s="71">
        <f>IFERROR(__xludf.DUMMYFUNCTION("""COMPUTED_VALUE"""),425.94271999999995)</f>
        <v>425.94272</v>
      </c>
      <c r="BT975" s="71">
        <f>IFERROR(__xludf.DUMMYFUNCTION("""COMPUTED_VALUE"""),353.92)</f>
        <v>353.92</v>
      </c>
      <c r="BU975" s="71">
        <f>IFERROR(__xludf.DUMMYFUNCTION("""COMPUTED_VALUE"""),56.6272)</f>
        <v>56.6272</v>
      </c>
      <c r="BV975" s="71">
        <f>IFERROR(__xludf.DUMMYFUNCTION("""COMPUTED_VALUE"""),410.54720000000003)</f>
        <v>410.5472</v>
      </c>
    </row>
    <row r="976">
      <c r="A976" s="53"/>
      <c r="B976" s="53">
        <v>3.0</v>
      </c>
      <c r="C976" s="53" t="s">
        <v>36</v>
      </c>
      <c r="D976" s="120" t="s">
        <v>2367</v>
      </c>
      <c r="E976" s="54" t="s">
        <v>38</v>
      </c>
      <c r="F976" s="55" t="s">
        <v>866</v>
      </c>
      <c r="G976" s="134" t="s">
        <v>2368</v>
      </c>
      <c r="H976" s="55"/>
      <c r="I976" s="54">
        <f t="shared" si="24"/>
        <v>0</v>
      </c>
      <c r="J976" s="56"/>
      <c r="K976" s="57"/>
      <c r="L976" s="76"/>
      <c r="M976" s="59"/>
      <c r="N976" s="60"/>
      <c r="O976" s="61">
        <v>55870.0</v>
      </c>
      <c r="P976" s="62">
        <v>60339.600000000006</v>
      </c>
      <c r="Q976" s="63">
        <v>60339.600000000006</v>
      </c>
      <c r="R976" s="64">
        <v>63357.0</v>
      </c>
      <c r="S976" s="111">
        <v>66525.0</v>
      </c>
      <c r="T976" s="65">
        <f t="shared" si="2"/>
        <v>10644</v>
      </c>
      <c r="U976" s="65">
        <f t="shared" si="3"/>
        <v>77169</v>
      </c>
      <c r="V976" s="66">
        <f t="shared" si="4"/>
        <v>0.05000236754</v>
      </c>
      <c r="W976" s="67">
        <f t="shared" si="5"/>
        <v>63198.75</v>
      </c>
      <c r="X976" s="67">
        <f t="shared" si="6"/>
        <v>10111.8</v>
      </c>
      <c r="Y976" s="67">
        <f t="shared" si="7"/>
        <v>73310.55</v>
      </c>
      <c r="Z976" s="67">
        <f t="shared" si="8"/>
        <v>59872.5</v>
      </c>
      <c r="AA976" s="67">
        <f t="shared" si="9"/>
        <v>9579.6</v>
      </c>
      <c r="AB976" s="67">
        <f t="shared" si="10"/>
        <v>69452.1</v>
      </c>
      <c r="AC976" s="67">
        <f t="shared" si="11"/>
        <v>59872.5</v>
      </c>
      <c r="AD976" s="67">
        <f t="shared" si="12"/>
        <v>9579.6</v>
      </c>
      <c r="AE976" s="67">
        <f t="shared" si="13"/>
        <v>69452.1</v>
      </c>
      <c r="AF976" s="67">
        <f t="shared" si="33"/>
        <v>59872.5</v>
      </c>
      <c r="AG976" s="67">
        <f t="shared" si="15"/>
        <v>9579.6</v>
      </c>
      <c r="AH976" s="67">
        <f t="shared" si="16"/>
        <v>69452.1</v>
      </c>
      <c r="AI976" s="67">
        <f t="shared" si="17"/>
        <v>59872.5</v>
      </c>
      <c r="AJ976" s="68">
        <f t="shared" si="31"/>
        <v>9579.6</v>
      </c>
      <c r="AK976" s="68">
        <f t="shared" si="32"/>
        <v>69452.1</v>
      </c>
      <c r="AL976" s="70">
        <f>IFERROR(__xludf.DUMMYFUNCTION("""COMPUTED_VALUE"""),1.0)</f>
        <v>1</v>
      </c>
      <c r="AM976" s="70"/>
      <c r="AN976" s="71" t="str">
        <f>IFERROR(__xludf.DUMMYFUNCTION("""COMPUTED_VALUE""")," P")</f>
        <v>P</v>
      </c>
      <c r="AO976" s="71" t="str">
        <f>IFERROR(__xludf.DUMMYFUNCTION("""COMPUTED_VALUE""")," PI09")</f>
        <v>PI09</v>
      </c>
      <c r="AP976" s="71" t="str">
        <f>IFERROR(__xludf.DUMMYFUNCTION("""COMPUTED_VALUE""")," PZA")</f>
        <v>PZA</v>
      </c>
      <c r="AQ976" s="71" t="str">
        <f>IFERROR(__xludf.DUMMYFUNCTION("""COMPUTED_VALUE""")," REF")</f>
        <v>REF</v>
      </c>
      <c r="AR976" s="71" t="str">
        <f>IFERROR(__xludf.DUMMYFUNCTION("""COMPUTED_VALUE""")," PIÑÓN DE 9 DTS")</f>
        <v>PIÑÓN DE 9 DTS</v>
      </c>
      <c r="AS976" s="71" t="str">
        <f>IFERROR(__xludf.DUMMYFUNCTION("""COMPUTED_VALUE""")," PINON 9 DTES")</f>
        <v>PINON 9 DTES</v>
      </c>
      <c r="AT976" s="71">
        <f>IFERROR(__xludf.DUMMYFUNCTION("""COMPUTED_VALUE"""),12.0)</f>
        <v>12</v>
      </c>
      <c r="AU976" s="71"/>
      <c r="AV976" s="71"/>
      <c r="AW976" s="71"/>
      <c r="AX976" s="71"/>
      <c r="AY976" s="71">
        <f>IFERROR(__xludf.DUMMYFUNCTION("""COMPUTED_VALUE"""),73.0)</f>
        <v>73</v>
      </c>
      <c r="AZ976" s="71">
        <f>IFERROR(__xludf.DUMMYFUNCTION("""COMPUTED_VALUE"""),78.0)</f>
        <v>78</v>
      </c>
      <c r="BA976" s="71">
        <f>IFERROR(__xludf.DUMMYFUNCTION("""COMPUTED_VALUE"""),84.24000000000001)</f>
        <v>84.24</v>
      </c>
      <c r="BB976" s="71">
        <f>IFERROR(__xludf.DUMMYFUNCTION("""COMPUTED_VALUE"""),84.24000000000001)</f>
        <v>84.24</v>
      </c>
      <c r="BC976" s="71">
        <f>IFERROR(__xludf.DUMMYFUNCTION("""COMPUTED_VALUE"""),95.0)</f>
        <v>95</v>
      </c>
      <c r="BD976" s="71">
        <f>IFERROR(__xludf.DUMMYFUNCTION("""COMPUTED_VALUE"""),80.0)</f>
        <v>80</v>
      </c>
      <c r="BE976" s="71">
        <f>IFERROR(__xludf.DUMMYFUNCTION("""COMPUTED_VALUE"""),12.8)</f>
        <v>12.8</v>
      </c>
      <c r="BF976" s="71">
        <f>IFERROR(__xludf.DUMMYFUNCTION("""COMPUTED_VALUE"""),92.8)</f>
        <v>92.8</v>
      </c>
      <c r="BG976" s="71">
        <f>IFERROR(__xludf.DUMMYFUNCTION("""COMPUTED_VALUE"""),-0.15789473684210525)</f>
        <v>-0.1578947368</v>
      </c>
      <c r="BH976" s="71">
        <f>IFERROR(__xludf.DUMMYFUNCTION("""COMPUTED_VALUE"""),76.0)</f>
        <v>76</v>
      </c>
      <c r="BI976" s="71">
        <f>IFERROR(__xludf.DUMMYFUNCTION("""COMPUTED_VALUE"""),12.16)</f>
        <v>12.16</v>
      </c>
      <c r="BJ976" s="71">
        <f>IFERROR(__xludf.DUMMYFUNCTION("""COMPUTED_VALUE"""),88.16)</f>
        <v>88.16</v>
      </c>
      <c r="BK976" s="71">
        <f>IFERROR(__xludf.DUMMYFUNCTION("""COMPUTED_VALUE"""),72.0)</f>
        <v>72</v>
      </c>
      <c r="BL976" s="71">
        <f>IFERROR(__xludf.DUMMYFUNCTION("""COMPUTED_VALUE"""),11.52)</f>
        <v>11.52</v>
      </c>
      <c r="BM976" s="71">
        <f>IFERROR(__xludf.DUMMYFUNCTION("""COMPUTED_VALUE"""),83.52)</f>
        <v>83.52</v>
      </c>
      <c r="BN976" s="71">
        <f>IFERROR(__xludf.DUMMYFUNCTION("""COMPUTED_VALUE"""),68.0)</f>
        <v>68</v>
      </c>
      <c r="BO976" s="71">
        <f>IFERROR(__xludf.DUMMYFUNCTION("""COMPUTED_VALUE"""),10.88)</f>
        <v>10.88</v>
      </c>
      <c r="BP976" s="71">
        <f>IFERROR(__xludf.DUMMYFUNCTION("""COMPUTED_VALUE"""),78.88)</f>
        <v>78.88</v>
      </c>
      <c r="BQ976" s="71">
        <f>IFERROR(__xludf.DUMMYFUNCTION("""COMPUTED_VALUE"""),66.39999999999999)</f>
        <v>66.4</v>
      </c>
      <c r="BR976" s="71">
        <f>IFERROR(__xludf.DUMMYFUNCTION("""COMPUTED_VALUE"""),10.623999999999999)</f>
        <v>10.624</v>
      </c>
      <c r="BS976" s="71">
        <f>IFERROR(__xludf.DUMMYFUNCTION("""COMPUTED_VALUE"""),77.02399999999999)</f>
        <v>77.024</v>
      </c>
      <c r="BT976" s="71">
        <f>IFERROR(__xludf.DUMMYFUNCTION("""COMPUTED_VALUE"""),64.0)</f>
        <v>64</v>
      </c>
      <c r="BU976" s="71">
        <f>IFERROR(__xludf.DUMMYFUNCTION("""COMPUTED_VALUE"""),10.24)</f>
        <v>10.24</v>
      </c>
      <c r="BV976" s="71">
        <f>IFERROR(__xludf.DUMMYFUNCTION("""COMPUTED_VALUE"""),74.24)</f>
        <v>74.24</v>
      </c>
    </row>
    <row r="977">
      <c r="A977" s="53"/>
      <c r="B977" s="53"/>
      <c r="C977" s="53"/>
      <c r="D977" s="53" t="s">
        <v>2369</v>
      </c>
      <c r="E977" s="55" t="s">
        <v>38</v>
      </c>
      <c r="F977" s="89"/>
      <c r="G977" s="84" t="s">
        <v>2370</v>
      </c>
      <c r="H977" s="55"/>
      <c r="I977" s="54">
        <f t="shared" si="24"/>
        <v>0</v>
      </c>
      <c r="J977" s="56"/>
      <c r="K977" s="57"/>
      <c r="L977" s="55"/>
      <c r="M977" s="59"/>
      <c r="N977" s="60"/>
      <c r="O977" s="90"/>
      <c r="P977" s="62">
        <v>55780.0</v>
      </c>
      <c r="Q977" s="63">
        <v>55780.0</v>
      </c>
      <c r="R977" s="64">
        <v>61498.0</v>
      </c>
      <c r="S977" s="111">
        <v>64573.0</v>
      </c>
      <c r="T977" s="65">
        <f t="shared" si="2"/>
        <v>10331.68</v>
      </c>
      <c r="U977" s="65">
        <f t="shared" si="3"/>
        <v>74904.68</v>
      </c>
      <c r="V977" s="66">
        <f t="shared" si="4"/>
        <v>0.05000162607</v>
      </c>
      <c r="W977" s="67">
        <f t="shared" si="5"/>
        <v>61344.35</v>
      </c>
      <c r="X977" s="67">
        <f t="shared" si="6"/>
        <v>9815.096</v>
      </c>
      <c r="Y977" s="67">
        <f t="shared" si="7"/>
        <v>71159.446</v>
      </c>
      <c r="Z977" s="67">
        <f t="shared" si="8"/>
        <v>58115.7</v>
      </c>
      <c r="AA977" s="67">
        <f t="shared" si="9"/>
        <v>9298.512</v>
      </c>
      <c r="AB977" s="67">
        <f t="shared" si="10"/>
        <v>67414.212</v>
      </c>
      <c r="AC977" s="67">
        <f t="shared" si="11"/>
        <v>54887.05</v>
      </c>
      <c r="AD977" s="67">
        <f t="shared" si="12"/>
        <v>8781.928</v>
      </c>
      <c r="AE977" s="67">
        <f t="shared" si="13"/>
        <v>63668.978</v>
      </c>
      <c r="AF977" s="67">
        <f t="shared" si="33"/>
        <v>53595.59</v>
      </c>
      <c r="AG977" s="67">
        <f t="shared" si="15"/>
        <v>8575.2944</v>
      </c>
      <c r="AH977" s="67">
        <f t="shared" si="16"/>
        <v>62170.8844</v>
      </c>
      <c r="AI977" s="67">
        <f t="shared" si="17"/>
        <v>51658.4</v>
      </c>
      <c r="AJ977" s="68">
        <f t="shared" si="31"/>
        <v>8265.344</v>
      </c>
      <c r="AK977" s="68">
        <f t="shared" si="32"/>
        <v>59923.744</v>
      </c>
      <c r="AL977" s="70">
        <f>IFERROR(__xludf.DUMMYFUNCTION("""COMPUTED_VALUE"""),1.0)</f>
        <v>1</v>
      </c>
      <c r="AM977" s="70"/>
      <c r="AN977" s="71" t="str">
        <f>IFERROR(__xludf.DUMMYFUNCTION("""COMPUTED_VALUE""")," P")</f>
        <v>P</v>
      </c>
      <c r="AO977" s="71" t="str">
        <f>IFERROR(__xludf.DUMMYFUNCTION("""COMPUTED_VALUE""")," PO71")</f>
        <v>PO71</v>
      </c>
      <c r="AP977" s="71" t="str">
        <f>IFERROR(__xludf.DUMMYFUNCTION("""COMPUTED_VALUE""")," PZA")</f>
        <v>PZA</v>
      </c>
      <c r="AQ977" s="71" t="str">
        <f>IFERROR(__xludf.DUMMYFUNCTION("""COMPUTED_VALUE""")," REF")</f>
        <v>REF</v>
      </c>
      <c r="AR977" s="71" t="str">
        <f>IFERROR(__xludf.DUMMYFUNCTION("""COMPUTED_VALUE""")," POLEA 10"" 2RB E7/8 C1/4")</f>
        <v>POLEA 10" 2RB E7/8 C1/4</v>
      </c>
      <c r="AS977" s="71" t="str">
        <f>IFERROR(__xludf.DUMMYFUNCTION("""COMPUTED_VALUE""")," POLEA 10"" 2RB E7/8 C1/4")</f>
        <v>POLEA 10" 2RB E7/8 C1/4</v>
      </c>
      <c r="AT977" s="71">
        <f>IFERROR(__xludf.DUMMYFUNCTION("""COMPUTED_VALUE"""),23.0)</f>
        <v>23</v>
      </c>
      <c r="AU977" s="71"/>
      <c r="AV977" s="71"/>
      <c r="AW977" s="71"/>
      <c r="AX977" s="71"/>
      <c r="AY977" s="71">
        <f>IFERROR(__xludf.DUMMYFUNCTION("""COMPUTED_VALUE"""),882.0)</f>
        <v>882</v>
      </c>
      <c r="AZ977" s="71">
        <f>IFERROR(__xludf.DUMMYFUNCTION("""COMPUTED_VALUE"""),952.0)</f>
        <v>952</v>
      </c>
      <c r="BA977" s="71">
        <f>IFERROR(__xludf.DUMMYFUNCTION("""COMPUTED_VALUE"""),1028.16)</f>
        <v>1028.16</v>
      </c>
      <c r="BB977" s="71">
        <f>IFERROR(__xludf.DUMMYFUNCTION("""COMPUTED_VALUE"""),1028.16)</f>
        <v>1028.16</v>
      </c>
      <c r="BC977" s="71">
        <f>IFERROR(__xludf.DUMMYFUNCTION("""COMPUTED_VALUE"""),1111.0)</f>
        <v>1111</v>
      </c>
      <c r="BD977" s="71">
        <f>IFERROR(__xludf.DUMMYFUNCTION("""COMPUTED_VALUE"""),1167.0)</f>
        <v>1167</v>
      </c>
      <c r="BE977" s="71">
        <f>IFERROR(__xludf.DUMMYFUNCTION("""COMPUTED_VALUE"""),186.72)</f>
        <v>186.72</v>
      </c>
      <c r="BF977" s="71">
        <f>IFERROR(__xludf.DUMMYFUNCTION("""COMPUTED_VALUE"""),1353.72)</f>
        <v>1353.72</v>
      </c>
      <c r="BG977" s="71">
        <f>IFERROR(__xludf.DUMMYFUNCTION("""COMPUTED_VALUE"""),0.050405040504050404)</f>
        <v>0.0504050405</v>
      </c>
      <c r="BH977" s="71">
        <f>IFERROR(__xludf.DUMMYFUNCTION("""COMPUTED_VALUE"""),1108.6499999999999)</f>
        <v>1108.65</v>
      </c>
      <c r="BI977" s="71">
        <f>IFERROR(__xludf.DUMMYFUNCTION("""COMPUTED_VALUE"""),177.384)</f>
        <v>177.384</v>
      </c>
      <c r="BJ977" s="71">
        <f>IFERROR(__xludf.DUMMYFUNCTION("""COMPUTED_VALUE"""),1286.0339999999999)</f>
        <v>1286.034</v>
      </c>
      <c r="BK977" s="71">
        <f>IFERROR(__xludf.DUMMYFUNCTION("""COMPUTED_VALUE"""),1050.3)</f>
        <v>1050.3</v>
      </c>
      <c r="BL977" s="71">
        <f>IFERROR(__xludf.DUMMYFUNCTION("""COMPUTED_VALUE"""),168.048)</f>
        <v>168.048</v>
      </c>
      <c r="BM977" s="71">
        <f>IFERROR(__xludf.DUMMYFUNCTION("""COMPUTED_VALUE"""),1218.348)</f>
        <v>1218.348</v>
      </c>
      <c r="BN977" s="71">
        <f>IFERROR(__xludf.DUMMYFUNCTION("""COMPUTED_VALUE"""),991.9499999999999)</f>
        <v>991.95</v>
      </c>
      <c r="BO977" s="71">
        <f>IFERROR(__xludf.DUMMYFUNCTION("""COMPUTED_VALUE"""),158.712)</f>
        <v>158.712</v>
      </c>
      <c r="BP977" s="71">
        <f>IFERROR(__xludf.DUMMYFUNCTION("""COMPUTED_VALUE"""),1150.6619999999998)</f>
        <v>1150.662</v>
      </c>
      <c r="BQ977" s="71">
        <f>IFERROR(__xludf.DUMMYFUNCTION("""COMPUTED_VALUE"""),968.6099999999999)</f>
        <v>968.61</v>
      </c>
      <c r="BR977" s="71">
        <f>IFERROR(__xludf.DUMMYFUNCTION("""COMPUTED_VALUE"""),154.9776)</f>
        <v>154.9776</v>
      </c>
      <c r="BS977" s="71">
        <f>IFERROR(__xludf.DUMMYFUNCTION("""COMPUTED_VALUE"""),1123.5875999999998)</f>
        <v>1123.5876</v>
      </c>
      <c r="BT977" s="71">
        <f>IFERROR(__xludf.DUMMYFUNCTION("""COMPUTED_VALUE"""),933.6)</f>
        <v>933.6</v>
      </c>
      <c r="BU977" s="71">
        <f>IFERROR(__xludf.DUMMYFUNCTION("""COMPUTED_VALUE"""),149.376)</f>
        <v>149.376</v>
      </c>
      <c r="BV977" s="71">
        <f>IFERROR(__xludf.DUMMYFUNCTION("""COMPUTED_VALUE"""),1082.976)</f>
        <v>1082.976</v>
      </c>
    </row>
    <row r="978">
      <c r="A978" s="53">
        <v>1.0</v>
      </c>
      <c r="B978" s="72"/>
      <c r="C978" s="73" t="s">
        <v>12</v>
      </c>
      <c r="D978" s="74" t="s">
        <v>2371</v>
      </c>
      <c r="E978" s="54" t="s">
        <v>38</v>
      </c>
      <c r="F978" s="54" t="s">
        <v>42</v>
      </c>
      <c r="G978" s="88" t="s">
        <v>2372</v>
      </c>
      <c r="H978" s="54" t="s">
        <v>2373</v>
      </c>
      <c r="I978" s="54">
        <f t="shared" si="24"/>
        <v>40</v>
      </c>
      <c r="J978" s="56"/>
      <c r="K978" s="75"/>
      <c r="L978" s="76"/>
      <c r="M978" s="59"/>
      <c r="N978" s="60">
        <v>63.0</v>
      </c>
      <c r="O978" s="61">
        <v>68.0</v>
      </c>
      <c r="P978" s="62">
        <v>73.44</v>
      </c>
      <c r="Q978" s="63">
        <v>73.44</v>
      </c>
      <c r="R978" s="64">
        <v>82.0</v>
      </c>
      <c r="S978" s="111">
        <v>86.0</v>
      </c>
      <c r="T978" s="65">
        <f t="shared" si="2"/>
        <v>13.76</v>
      </c>
      <c r="U978" s="65">
        <f t="shared" si="3"/>
        <v>99.76</v>
      </c>
      <c r="V978" s="66">
        <f t="shared" si="4"/>
        <v>0.0487804878</v>
      </c>
      <c r="W978" s="67">
        <f t="shared" si="5"/>
        <v>81.7</v>
      </c>
      <c r="X978" s="67">
        <f t="shared" si="6"/>
        <v>13.072</v>
      </c>
      <c r="Y978" s="67">
        <f t="shared" si="7"/>
        <v>94.772</v>
      </c>
      <c r="Z978" s="67">
        <f t="shared" si="8"/>
        <v>77.4</v>
      </c>
      <c r="AA978" s="67">
        <f t="shared" si="9"/>
        <v>12.384</v>
      </c>
      <c r="AB978" s="67">
        <f t="shared" si="10"/>
        <v>89.784</v>
      </c>
      <c r="AC978" s="67">
        <f t="shared" si="11"/>
        <v>73.1</v>
      </c>
      <c r="AD978" s="67">
        <f t="shared" si="12"/>
        <v>11.696</v>
      </c>
      <c r="AE978" s="67">
        <f t="shared" si="13"/>
        <v>84.796</v>
      </c>
      <c r="AF978" s="67">
        <f t="shared" si="33"/>
        <v>71.38</v>
      </c>
      <c r="AG978" s="67">
        <f t="shared" si="15"/>
        <v>11.4208</v>
      </c>
      <c r="AH978" s="67">
        <f t="shared" si="16"/>
        <v>82.8008</v>
      </c>
      <c r="AI978" s="67">
        <f t="shared" si="17"/>
        <v>68.8</v>
      </c>
      <c r="AJ978" s="68">
        <f t="shared" si="31"/>
        <v>11.008</v>
      </c>
      <c r="AK978" s="68">
        <f t="shared" si="32"/>
        <v>79.808</v>
      </c>
      <c r="AL978" s="70">
        <f>IFERROR(__xludf.DUMMYFUNCTION("""COMPUTED_VALUE"""),1.0)</f>
        <v>1</v>
      </c>
      <c r="AM978" s="70"/>
      <c r="AN978" s="71" t="str">
        <f>IFERROR(__xludf.DUMMYFUNCTION("""COMPUTED_VALUE""")," R")</f>
        <v>R</v>
      </c>
      <c r="AO978" s="71" t="str">
        <f>IFERROR(__xludf.DUMMYFUNCTION("""COMPUTED_VALUE""")," PO33")</f>
        <v>PO33</v>
      </c>
      <c r="AP978" s="71" t="str">
        <f>IFERROR(__xludf.DUMMYFUNCTION("""COMPUTED_VALUE""")," PZA")</f>
        <v>PZA</v>
      </c>
      <c r="AQ978" s="71" t="str">
        <f>IFERROR(__xludf.DUMMYFUNCTION("""COMPUTED_VALUE""")," REF")</f>
        <v>REF</v>
      </c>
      <c r="AR978" s="71" t="str">
        <f>IFERROR(__xludf.DUMMYFUNCTION("""COMPUTED_VALUE""")," POLEA 10PULG 2RAN V INT 1-3/16 CUN 1/4")</f>
        <v>POLEA 10PULG 2RAN V INT 1-3/16 CUN 1/4</v>
      </c>
      <c r="AS978" s="71" t="str">
        <f>IFERROR(__xludf.DUMMYFUNCTION("""COMPUTED_VALUE""")," POLEA 10PULG 2RAN V INT 1-3/16 CUN 1/4")</f>
        <v>POLEA 10PULG 2RAN V INT 1-3/16 CUN 1/4</v>
      </c>
      <c r="AT978" s="71">
        <f>IFERROR(__xludf.DUMMYFUNCTION("""COMPUTED_VALUE"""),38.0)</f>
        <v>38</v>
      </c>
      <c r="AU978" s="71"/>
      <c r="AV978" s="71"/>
      <c r="AW978" s="71"/>
      <c r="AX978" s="71"/>
      <c r="AY978" s="71"/>
      <c r="AZ978" s="71"/>
      <c r="BA978" s="71"/>
      <c r="BB978" s="71"/>
      <c r="BC978" s="71"/>
      <c r="BD978" s="71">
        <f>IFERROR(__xludf.DUMMYFUNCTION("""COMPUTED_VALUE"""),1167.0)</f>
        <v>1167</v>
      </c>
      <c r="BE978" s="71">
        <f>IFERROR(__xludf.DUMMYFUNCTION("""COMPUTED_VALUE"""),186.72)</f>
        <v>186.72</v>
      </c>
      <c r="BF978" s="71">
        <f>IFERROR(__xludf.DUMMYFUNCTION("""COMPUTED_VALUE"""),1353.72)</f>
        <v>1353.72</v>
      </c>
      <c r="BG978" s="71" t="str">
        <f>IFERROR(__xludf.DUMMYFUNCTION("""COMPUTED_VALUE"""),"#DIV/0!")</f>
        <v>#DIV/0!</v>
      </c>
      <c r="BH978" s="71">
        <f>IFERROR(__xludf.DUMMYFUNCTION("""COMPUTED_VALUE"""),1108.6499999999999)</f>
        <v>1108.65</v>
      </c>
      <c r="BI978" s="71">
        <f>IFERROR(__xludf.DUMMYFUNCTION("""COMPUTED_VALUE"""),177.384)</f>
        <v>177.384</v>
      </c>
      <c r="BJ978" s="71">
        <f>IFERROR(__xludf.DUMMYFUNCTION("""COMPUTED_VALUE"""),1286.0339999999999)</f>
        <v>1286.034</v>
      </c>
      <c r="BK978" s="71">
        <f>IFERROR(__xludf.DUMMYFUNCTION("""COMPUTED_VALUE"""),1050.3)</f>
        <v>1050.3</v>
      </c>
      <c r="BL978" s="71">
        <f>IFERROR(__xludf.DUMMYFUNCTION("""COMPUTED_VALUE"""),168.048)</f>
        <v>168.048</v>
      </c>
      <c r="BM978" s="71">
        <f>IFERROR(__xludf.DUMMYFUNCTION("""COMPUTED_VALUE"""),1218.348)</f>
        <v>1218.348</v>
      </c>
      <c r="BN978" s="71">
        <f>IFERROR(__xludf.DUMMYFUNCTION("""COMPUTED_VALUE"""),991.9499999999999)</f>
        <v>991.95</v>
      </c>
      <c r="BO978" s="71">
        <f>IFERROR(__xludf.DUMMYFUNCTION("""COMPUTED_VALUE"""),158.712)</f>
        <v>158.712</v>
      </c>
      <c r="BP978" s="71">
        <f>IFERROR(__xludf.DUMMYFUNCTION("""COMPUTED_VALUE"""),1150.6619999999998)</f>
        <v>1150.662</v>
      </c>
      <c r="BQ978" s="71">
        <f>IFERROR(__xludf.DUMMYFUNCTION("""COMPUTED_VALUE"""),968.6099999999999)</f>
        <v>968.61</v>
      </c>
      <c r="BR978" s="71">
        <f>IFERROR(__xludf.DUMMYFUNCTION("""COMPUTED_VALUE"""),154.9776)</f>
        <v>154.9776</v>
      </c>
      <c r="BS978" s="71">
        <f>IFERROR(__xludf.DUMMYFUNCTION("""COMPUTED_VALUE"""),1123.5875999999998)</f>
        <v>1123.5876</v>
      </c>
      <c r="BT978" s="71">
        <f>IFERROR(__xludf.DUMMYFUNCTION("""COMPUTED_VALUE"""),933.6)</f>
        <v>933.6</v>
      </c>
      <c r="BU978" s="71">
        <f>IFERROR(__xludf.DUMMYFUNCTION("""COMPUTED_VALUE"""),149.376)</f>
        <v>149.376</v>
      </c>
      <c r="BV978" s="71">
        <f>IFERROR(__xludf.DUMMYFUNCTION("""COMPUTED_VALUE"""),1082.976)</f>
        <v>1082.976</v>
      </c>
    </row>
    <row r="979">
      <c r="A979" s="53">
        <v>1.0</v>
      </c>
      <c r="B979" s="72"/>
      <c r="C979" s="73" t="s">
        <v>12</v>
      </c>
      <c r="D979" s="74" t="s">
        <v>2374</v>
      </c>
      <c r="E979" s="54" t="s">
        <v>38</v>
      </c>
      <c r="F979" s="54" t="s">
        <v>42</v>
      </c>
      <c r="G979" s="55" t="s">
        <v>2375</v>
      </c>
      <c r="H979" s="54" t="s">
        <v>2376</v>
      </c>
      <c r="I979" s="54">
        <f t="shared" si="24"/>
        <v>39</v>
      </c>
      <c r="J979" s="56"/>
      <c r="K979" s="75"/>
      <c r="L979" s="76"/>
      <c r="M979" s="59"/>
      <c r="N979" s="60">
        <v>63.0</v>
      </c>
      <c r="O979" s="61">
        <v>68.0</v>
      </c>
      <c r="P979" s="62">
        <v>73.44</v>
      </c>
      <c r="Q979" s="63">
        <v>73.44</v>
      </c>
      <c r="R979" s="64">
        <v>82.0</v>
      </c>
      <c r="S979" s="111">
        <v>86.0</v>
      </c>
      <c r="T979" s="65">
        <f t="shared" si="2"/>
        <v>13.76</v>
      </c>
      <c r="U979" s="65">
        <f t="shared" si="3"/>
        <v>99.76</v>
      </c>
      <c r="V979" s="66">
        <f t="shared" si="4"/>
        <v>0.0487804878</v>
      </c>
      <c r="W979" s="67">
        <f t="shared" si="5"/>
        <v>81.7</v>
      </c>
      <c r="X979" s="67">
        <f t="shared" si="6"/>
        <v>13.072</v>
      </c>
      <c r="Y979" s="67">
        <f t="shared" si="7"/>
        <v>94.772</v>
      </c>
      <c r="Z979" s="67">
        <f t="shared" si="8"/>
        <v>77.4</v>
      </c>
      <c r="AA979" s="67">
        <f t="shared" si="9"/>
        <v>12.384</v>
      </c>
      <c r="AB979" s="67">
        <f t="shared" si="10"/>
        <v>89.784</v>
      </c>
      <c r="AC979" s="67">
        <f t="shared" si="11"/>
        <v>73.1</v>
      </c>
      <c r="AD979" s="67">
        <f t="shared" si="12"/>
        <v>11.696</v>
      </c>
      <c r="AE979" s="67">
        <f t="shared" si="13"/>
        <v>84.796</v>
      </c>
      <c r="AF979" s="67">
        <f t="shared" si="33"/>
        <v>71.38</v>
      </c>
      <c r="AG979" s="67">
        <f t="shared" si="15"/>
        <v>11.4208</v>
      </c>
      <c r="AH979" s="67">
        <f t="shared" si="16"/>
        <v>82.8008</v>
      </c>
      <c r="AI979" s="67">
        <f t="shared" si="17"/>
        <v>68.8</v>
      </c>
      <c r="AJ979" s="68">
        <f t="shared" si="31"/>
        <v>11.008</v>
      </c>
      <c r="AK979" s="68">
        <f t="shared" si="32"/>
        <v>79.808</v>
      </c>
      <c r="AL979" s="70">
        <f>IFERROR(__xludf.DUMMYFUNCTION("""COMPUTED_VALUE"""),1.0)</f>
        <v>1</v>
      </c>
      <c r="AM979" s="70"/>
      <c r="AN979" s="71" t="str">
        <f>IFERROR(__xludf.DUMMYFUNCTION("""COMPUTED_VALUE""")," P")</f>
        <v>P</v>
      </c>
      <c r="AO979" s="71" t="str">
        <f>IFERROR(__xludf.DUMMYFUNCTION("""COMPUTED_VALUE""")," PO26")</f>
        <v>PO26</v>
      </c>
      <c r="AP979" s="71" t="str">
        <f>IFERROR(__xludf.DUMMYFUNCTION("""COMPUTED_VALUE""")," PZA")</f>
        <v>PZA</v>
      </c>
      <c r="AQ979" s="71" t="str">
        <f>IFERROR(__xludf.DUMMYFUNCTION("""COMPUTED_VALUE""")," REF")</f>
        <v>REF</v>
      </c>
      <c r="AR979" s="71" t="str">
        <f>IFERROR(__xludf.DUMMYFUNCTION("""COMPUTED_VALUE""")," POLEA 12'' 3RB E1-1/2 C1/4 F/COL P/MOL C")</f>
        <v>POLEA 12'' 3RB E1-1/2 C1/4 F/COL P/MOL C</v>
      </c>
      <c r="AS979" s="71" t="str">
        <f>IFERROR(__xludf.DUMMYFUNCTION("""COMPUTED_VALUE""")," POLEA 12'' 3RB E1-1/2 C1/4 F/COL P/MOL C")</f>
        <v>POLEA 12'' 3RB E1-1/2 C1/4 F/COL P/MOL C</v>
      </c>
      <c r="AT979" s="71">
        <f>IFERROR(__xludf.DUMMYFUNCTION("""COMPUTED_VALUE"""),40.0)</f>
        <v>40</v>
      </c>
      <c r="AU979" s="71"/>
      <c r="AV979" s="71"/>
      <c r="AW979" s="71"/>
      <c r="AX979" s="71"/>
      <c r="AY979" s="71"/>
      <c r="AZ979" s="71">
        <f>IFERROR(__xludf.DUMMYFUNCTION("""COMPUTED_VALUE"""),1443.0)</f>
        <v>1443</v>
      </c>
      <c r="BA979" s="71">
        <f>IFERROR(__xludf.DUMMYFUNCTION("""COMPUTED_VALUE"""),1558.44)</f>
        <v>1558.44</v>
      </c>
      <c r="BB979" s="71">
        <f>IFERROR(__xludf.DUMMYFUNCTION("""COMPUTED_VALUE"""),1558.44)</f>
        <v>1558.44</v>
      </c>
      <c r="BC979" s="71">
        <f>IFERROR(__xludf.DUMMYFUNCTION("""COMPUTED_VALUE"""),1683.0)</f>
        <v>1683</v>
      </c>
      <c r="BD979" s="71">
        <f>IFERROR(__xludf.DUMMYFUNCTION("""COMPUTED_VALUE"""),1767.0)</f>
        <v>1767</v>
      </c>
      <c r="BE979" s="71">
        <f>IFERROR(__xludf.DUMMYFUNCTION("""COMPUTED_VALUE"""),282.72)</f>
        <v>282.72</v>
      </c>
      <c r="BF979" s="71">
        <f>IFERROR(__xludf.DUMMYFUNCTION("""COMPUTED_VALUE"""),2049.7200000000003)</f>
        <v>2049.72</v>
      </c>
      <c r="BG979" s="71">
        <f>IFERROR(__xludf.DUMMYFUNCTION("""COMPUTED_VALUE"""),0.049910873440285206)</f>
        <v>0.04991087344</v>
      </c>
      <c r="BH979" s="71">
        <f>IFERROR(__xludf.DUMMYFUNCTION("""COMPUTED_VALUE"""),1678.6499999999999)</f>
        <v>1678.65</v>
      </c>
      <c r="BI979" s="71">
        <f>IFERROR(__xludf.DUMMYFUNCTION("""COMPUTED_VALUE"""),268.584)</f>
        <v>268.584</v>
      </c>
      <c r="BJ979" s="71">
        <f>IFERROR(__xludf.DUMMYFUNCTION("""COMPUTED_VALUE"""),1947.234)</f>
        <v>1947.234</v>
      </c>
      <c r="BK979" s="71">
        <f>IFERROR(__xludf.DUMMYFUNCTION("""COMPUTED_VALUE"""),1590.3)</f>
        <v>1590.3</v>
      </c>
      <c r="BL979" s="71">
        <f>IFERROR(__xludf.DUMMYFUNCTION("""COMPUTED_VALUE"""),254.448)</f>
        <v>254.448</v>
      </c>
      <c r="BM979" s="71">
        <f>IFERROR(__xludf.DUMMYFUNCTION("""COMPUTED_VALUE"""),1844.748)</f>
        <v>1844.748</v>
      </c>
      <c r="BN979" s="71">
        <f>IFERROR(__xludf.DUMMYFUNCTION("""COMPUTED_VALUE"""),1501.95)</f>
        <v>1501.95</v>
      </c>
      <c r="BO979" s="71">
        <f>IFERROR(__xludf.DUMMYFUNCTION("""COMPUTED_VALUE"""),240.312)</f>
        <v>240.312</v>
      </c>
      <c r="BP979" s="71">
        <f>IFERROR(__xludf.DUMMYFUNCTION("""COMPUTED_VALUE"""),1742.2620000000002)</f>
        <v>1742.262</v>
      </c>
      <c r="BQ979" s="71">
        <f>IFERROR(__xludf.DUMMYFUNCTION("""COMPUTED_VALUE"""),1466.61)</f>
        <v>1466.61</v>
      </c>
      <c r="BR979" s="71">
        <f>IFERROR(__xludf.DUMMYFUNCTION("""COMPUTED_VALUE"""),234.6576)</f>
        <v>234.6576</v>
      </c>
      <c r="BS979" s="71">
        <f>IFERROR(__xludf.DUMMYFUNCTION("""COMPUTED_VALUE"""),1701.2676)</f>
        <v>1701.2676</v>
      </c>
      <c r="BT979" s="71">
        <f>IFERROR(__xludf.DUMMYFUNCTION("""COMPUTED_VALUE"""),1413.6000000000001)</f>
        <v>1413.6</v>
      </c>
      <c r="BU979" s="71">
        <f>IFERROR(__xludf.DUMMYFUNCTION("""COMPUTED_VALUE"""),226.17600000000002)</f>
        <v>226.176</v>
      </c>
      <c r="BV979" s="71">
        <f>IFERROR(__xludf.DUMMYFUNCTION("""COMPUTED_VALUE"""),1639.776)</f>
        <v>1639.776</v>
      </c>
    </row>
    <row r="980">
      <c r="A980" s="53">
        <v>1.0</v>
      </c>
      <c r="B980" s="72"/>
      <c r="C980" s="73" t="s">
        <v>12</v>
      </c>
      <c r="D980" s="74" t="s">
        <v>2377</v>
      </c>
      <c r="E980" s="54" t="s">
        <v>38</v>
      </c>
      <c r="F980" s="54" t="s">
        <v>42</v>
      </c>
      <c r="G980" s="55" t="s">
        <v>2378</v>
      </c>
      <c r="H980" s="54" t="s">
        <v>2379</v>
      </c>
      <c r="I980" s="54">
        <f t="shared" si="24"/>
        <v>39</v>
      </c>
      <c r="J980" s="56"/>
      <c r="K980" s="75"/>
      <c r="L980" s="76"/>
      <c r="M980" s="59"/>
      <c r="N980" s="60">
        <v>63.0</v>
      </c>
      <c r="O980" s="61">
        <v>68.0</v>
      </c>
      <c r="P980" s="62">
        <v>80.0</v>
      </c>
      <c r="Q980" s="63">
        <v>80.0</v>
      </c>
      <c r="R980" s="64">
        <v>84.0</v>
      </c>
      <c r="S980" s="111">
        <v>88.0</v>
      </c>
      <c r="T980" s="65">
        <f t="shared" si="2"/>
        <v>14.08</v>
      </c>
      <c r="U980" s="65">
        <f t="shared" si="3"/>
        <v>102.08</v>
      </c>
      <c r="V980" s="66">
        <f t="shared" si="4"/>
        <v>0.04761904762</v>
      </c>
      <c r="W980" s="67">
        <f t="shared" si="5"/>
        <v>83.6</v>
      </c>
      <c r="X980" s="67">
        <f t="shared" si="6"/>
        <v>13.376</v>
      </c>
      <c r="Y980" s="67">
        <f t="shared" si="7"/>
        <v>96.976</v>
      </c>
      <c r="Z980" s="67">
        <f t="shared" si="8"/>
        <v>79.2</v>
      </c>
      <c r="AA980" s="67">
        <f t="shared" si="9"/>
        <v>12.672</v>
      </c>
      <c r="AB980" s="67">
        <f t="shared" si="10"/>
        <v>91.872</v>
      </c>
      <c r="AC980" s="67">
        <f t="shared" si="11"/>
        <v>74.8</v>
      </c>
      <c r="AD980" s="67">
        <f t="shared" si="12"/>
        <v>11.968</v>
      </c>
      <c r="AE980" s="67">
        <f t="shared" si="13"/>
        <v>86.768</v>
      </c>
      <c r="AF980" s="67">
        <f t="shared" si="33"/>
        <v>73.04</v>
      </c>
      <c r="AG980" s="67">
        <f t="shared" si="15"/>
        <v>11.6864</v>
      </c>
      <c r="AH980" s="67">
        <f t="shared" si="16"/>
        <v>84.7264</v>
      </c>
      <c r="AI980" s="67">
        <f t="shared" si="17"/>
        <v>70.4</v>
      </c>
      <c r="AJ980" s="68">
        <f t="shared" si="31"/>
        <v>11.264</v>
      </c>
      <c r="AK980" s="68">
        <f t="shared" si="32"/>
        <v>81.664</v>
      </c>
      <c r="AL980" s="70">
        <f>IFERROR(__xludf.DUMMYFUNCTION("""COMPUTED_VALUE"""),1.0)</f>
        <v>1</v>
      </c>
      <c r="AM980" s="70"/>
      <c r="AN980" s="71" t="str">
        <f>IFERROR(__xludf.DUMMYFUNCTION("""COMPUTED_VALUE""")," P")</f>
        <v>P</v>
      </c>
      <c r="AO980" s="71" t="str">
        <f>IFERROR(__xludf.DUMMYFUNCTION("""COMPUTED_VALUE""")," PO95")</f>
        <v>PO95</v>
      </c>
      <c r="AP980" s="71" t="str">
        <f>IFERROR(__xludf.DUMMYFUNCTION("""COMPUTED_VALUE""")," PZA")</f>
        <v>PZA</v>
      </c>
      <c r="AQ980" s="71" t="str">
        <f>IFERROR(__xludf.DUMMYFUNCTION("""COMPUTED_VALUE""")," REF")</f>
        <v>REF</v>
      </c>
      <c r="AR980" s="71" t="str">
        <f>IFERROR(__xludf.DUMMYFUNCTION("""COMPUTED_VALUE""")," POLEA 14"" 1RB E1 C1/4")</f>
        <v>POLEA 14" 1RB E1 C1/4</v>
      </c>
      <c r="AS980" s="71" t="str">
        <f>IFERROR(__xludf.DUMMYFUNCTION("""COMPUTED_VALUE""")," POLEA 14"" 1RB E1 C1/4")</f>
        <v>POLEA 14" 1RB E1 C1/4</v>
      </c>
      <c r="AT980" s="71">
        <f>IFERROR(__xludf.DUMMYFUNCTION("""COMPUTED_VALUE"""),21.0)</f>
        <v>21</v>
      </c>
      <c r="AU980" s="71"/>
      <c r="AV980" s="71"/>
      <c r="AW980" s="71"/>
      <c r="AX980" s="71"/>
      <c r="AY980" s="71">
        <f>IFERROR(__xludf.DUMMYFUNCTION("""COMPUTED_VALUE"""),710.0)</f>
        <v>710</v>
      </c>
      <c r="AZ980" s="71">
        <f>IFERROR(__xludf.DUMMYFUNCTION("""COMPUTED_VALUE"""),766.0)</f>
        <v>766</v>
      </c>
      <c r="BA980" s="71">
        <f>IFERROR(__xludf.DUMMYFUNCTION("""COMPUTED_VALUE"""),827.2800000000001)</f>
        <v>827.28</v>
      </c>
      <c r="BB980" s="71">
        <f>IFERROR(__xludf.DUMMYFUNCTION("""COMPUTED_VALUE"""),827.2800000000001)</f>
        <v>827.28</v>
      </c>
      <c r="BC980" s="71">
        <f>IFERROR(__xludf.DUMMYFUNCTION("""COMPUTED_VALUE"""),894.0)</f>
        <v>894</v>
      </c>
      <c r="BD980" s="71">
        <f>IFERROR(__xludf.DUMMYFUNCTION("""COMPUTED_VALUE"""),939.0)</f>
        <v>939</v>
      </c>
      <c r="BE980" s="71">
        <f>IFERROR(__xludf.DUMMYFUNCTION("""COMPUTED_VALUE"""),150.24)</f>
        <v>150.24</v>
      </c>
      <c r="BF980" s="71">
        <f>IFERROR(__xludf.DUMMYFUNCTION("""COMPUTED_VALUE"""),1089.24)</f>
        <v>1089.24</v>
      </c>
      <c r="BG980" s="71">
        <f>IFERROR(__xludf.DUMMYFUNCTION("""COMPUTED_VALUE"""),0.050335570469798654)</f>
        <v>0.05033557047</v>
      </c>
      <c r="BH980" s="71">
        <f>IFERROR(__xludf.DUMMYFUNCTION("""COMPUTED_VALUE"""),892.05)</f>
        <v>892.05</v>
      </c>
      <c r="BI980" s="71">
        <f>IFERROR(__xludf.DUMMYFUNCTION("""COMPUTED_VALUE"""),142.728)</f>
        <v>142.728</v>
      </c>
      <c r="BJ980" s="71">
        <f>IFERROR(__xludf.DUMMYFUNCTION("""COMPUTED_VALUE"""),1034.778)</f>
        <v>1034.778</v>
      </c>
      <c r="BK980" s="71">
        <f>IFERROR(__xludf.DUMMYFUNCTION("""COMPUTED_VALUE"""),845.1)</f>
        <v>845.1</v>
      </c>
      <c r="BL980" s="71">
        <f>IFERROR(__xludf.DUMMYFUNCTION("""COMPUTED_VALUE"""),135.216)</f>
        <v>135.216</v>
      </c>
      <c r="BM980" s="71">
        <f>IFERROR(__xludf.DUMMYFUNCTION("""COMPUTED_VALUE"""),980.316)</f>
        <v>980.316</v>
      </c>
      <c r="BN980" s="71">
        <f>IFERROR(__xludf.DUMMYFUNCTION("""COMPUTED_VALUE"""),798.15)</f>
        <v>798.15</v>
      </c>
      <c r="BO980" s="71">
        <f>IFERROR(__xludf.DUMMYFUNCTION("""COMPUTED_VALUE"""),127.704)</f>
        <v>127.704</v>
      </c>
      <c r="BP980" s="71">
        <f>IFERROR(__xludf.DUMMYFUNCTION("""COMPUTED_VALUE"""),925.8539999999999)</f>
        <v>925.854</v>
      </c>
      <c r="BQ980" s="71">
        <f>IFERROR(__xludf.DUMMYFUNCTION("""COMPUTED_VALUE"""),779.37)</f>
        <v>779.37</v>
      </c>
      <c r="BR980" s="71">
        <f>IFERROR(__xludf.DUMMYFUNCTION("""COMPUTED_VALUE"""),124.6992)</f>
        <v>124.6992</v>
      </c>
      <c r="BS980" s="71">
        <f>IFERROR(__xludf.DUMMYFUNCTION("""COMPUTED_VALUE"""),904.0692)</f>
        <v>904.0692</v>
      </c>
      <c r="BT980" s="71">
        <f>IFERROR(__xludf.DUMMYFUNCTION("""COMPUTED_VALUE"""),751.2)</f>
        <v>751.2</v>
      </c>
      <c r="BU980" s="71">
        <f>IFERROR(__xludf.DUMMYFUNCTION("""COMPUTED_VALUE"""),120.19200000000001)</f>
        <v>120.192</v>
      </c>
      <c r="BV980" s="71">
        <f>IFERROR(__xludf.DUMMYFUNCTION("""COMPUTED_VALUE"""),871.392)</f>
        <v>871.392</v>
      </c>
    </row>
    <row r="981">
      <c r="A981" s="53">
        <v>1.0</v>
      </c>
      <c r="B981" s="72"/>
      <c r="C981" s="73" t="s">
        <v>12</v>
      </c>
      <c r="D981" s="74" t="s">
        <v>2380</v>
      </c>
      <c r="E981" s="54" t="s">
        <v>38</v>
      </c>
      <c r="F981" s="54" t="s">
        <v>42</v>
      </c>
      <c r="G981" s="88" t="s">
        <v>2381</v>
      </c>
      <c r="H981" s="54" t="s">
        <v>2381</v>
      </c>
      <c r="I981" s="54">
        <f t="shared" si="24"/>
        <v>31</v>
      </c>
      <c r="J981" s="56"/>
      <c r="K981" s="75"/>
      <c r="L981" s="76"/>
      <c r="M981" s="59"/>
      <c r="N981" s="60">
        <v>23.0</v>
      </c>
      <c r="O981" s="61">
        <v>24.0</v>
      </c>
      <c r="P981" s="62">
        <v>18.4</v>
      </c>
      <c r="Q981" s="63">
        <v>18.4</v>
      </c>
      <c r="R981" s="64">
        <v>21.0</v>
      </c>
      <c r="S981" s="111">
        <v>22.0</v>
      </c>
      <c r="T981" s="65">
        <f t="shared" si="2"/>
        <v>3.52</v>
      </c>
      <c r="U981" s="65">
        <f t="shared" si="3"/>
        <v>25.52</v>
      </c>
      <c r="V981" s="66">
        <f t="shared" si="4"/>
        <v>0.04761904762</v>
      </c>
      <c r="W981" s="67">
        <f t="shared" si="5"/>
        <v>20.9</v>
      </c>
      <c r="X981" s="67">
        <f t="shared" si="6"/>
        <v>3.344</v>
      </c>
      <c r="Y981" s="67">
        <f t="shared" si="7"/>
        <v>24.244</v>
      </c>
      <c r="Z981" s="67">
        <f t="shared" si="8"/>
        <v>19.8</v>
      </c>
      <c r="AA981" s="67">
        <f t="shared" si="9"/>
        <v>3.168</v>
      </c>
      <c r="AB981" s="67">
        <f t="shared" si="10"/>
        <v>22.968</v>
      </c>
      <c r="AC981" s="67">
        <f t="shared" si="11"/>
        <v>18.7</v>
      </c>
      <c r="AD981" s="67">
        <f t="shared" si="12"/>
        <v>2.992</v>
      </c>
      <c r="AE981" s="67">
        <f t="shared" si="13"/>
        <v>21.692</v>
      </c>
      <c r="AF981" s="67">
        <f t="shared" si="33"/>
        <v>18.26</v>
      </c>
      <c r="AG981" s="67">
        <f t="shared" si="15"/>
        <v>2.9216</v>
      </c>
      <c r="AH981" s="67">
        <f t="shared" si="16"/>
        <v>21.1816</v>
      </c>
      <c r="AI981" s="67">
        <f t="shared" si="17"/>
        <v>17.6</v>
      </c>
      <c r="AJ981" s="68">
        <f t="shared" si="31"/>
        <v>2.816</v>
      </c>
      <c r="AK981" s="68">
        <f t="shared" si="32"/>
        <v>20.416</v>
      </c>
      <c r="AL981" s="70">
        <f>IFERROR(__xludf.DUMMYFUNCTION("""COMPUTED_VALUE"""),1.0)</f>
        <v>1</v>
      </c>
      <c r="AM981" s="70"/>
      <c r="AN981" s="71" t="str">
        <f>IFERROR(__xludf.DUMMYFUNCTION("""COMPUTED_VALUE""")," P")</f>
        <v>P</v>
      </c>
      <c r="AO981" s="71" t="str">
        <f>IFERROR(__xludf.DUMMYFUNCTION("""COMPUTED_VALUE""")," PO20")</f>
        <v>PO20</v>
      </c>
      <c r="AP981" s="71" t="str">
        <f>IFERROR(__xludf.DUMMYFUNCTION("""COMPUTED_VALUE""")," PZA")</f>
        <v>PZA</v>
      </c>
      <c r="AQ981" s="71" t="str">
        <f>IFERROR(__xludf.DUMMYFUNCTION("""COMPUTED_VALUE""")," REF")</f>
        <v>REF</v>
      </c>
      <c r="AR981" s="71" t="str">
        <f>IFERROR(__xludf.DUMMYFUNCTION("""COMPUTED_VALUE""")," POLEA 15"" 1RB E1 C1/4")</f>
        <v>POLEA 15" 1RB E1 C1/4</v>
      </c>
      <c r="AS981" s="71" t="str">
        <f>IFERROR(__xludf.DUMMYFUNCTION("""COMPUTED_VALUE""")," POLEA 15"" 1RB E1 C1/4")</f>
        <v>POLEA 15" 1RB E1 C1/4</v>
      </c>
      <c r="AT981" s="71">
        <f>IFERROR(__xludf.DUMMYFUNCTION("""COMPUTED_VALUE"""),21.0)</f>
        <v>21</v>
      </c>
      <c r="AU981" s="71"/>
      <c r="AV981" s="71"/>
      <c r="AW981" s="71"/>
      <c r="AX981" s="71"/>
      <c r="AY981" s="71">
        <f>IFERROR(__xludf.DUMMYFUNCTION("""COMPUTED_VALUE"""),598.0)</f>
        <v>598</v>
      </c>
      <c r="AZ981" s="71">
        <f>IFERROR(__xludf.DUMMYFUNCTION("""COMPUTED_VALUE"""),645.0)</f>
        <v>645</v>
      </c>
      <c r="BA981" s="71">
        <f>IFERROR(__xludf.DUMMYFUNCTION("""COMPUTED_VALUE"""),696.6)</f>
        <v>696.6</v>
      </c>
      <c r="BB981" s="71">
        <f>IFERROR(__xludf.DUMMYFUNCTION("""COMPUTED_VALUE"""),696.6)</f>
        <v>696.6</v>
      </c>
      <c r="BC981" s="71">
        <f>IFERROR(__xludf.DUMMYFUNCTION("""COMPUTED_VALUE"""),799.0)</f>
        <v>799</v>
      </c>
      <c r="BD981" s="71">
        <f>IFERROR(__xludf.DUMMYFUNCTION("""COMPUTED_VALUE"""),839.0)</f>
        <v>839</v>
      </c>
      <c r="BE981" s="71">
        <f>IFERROR(__xludf.DUMMYFUNCTION("""COMPUTED_VALUE"""),134.24)</f>
        <v>134.24</v>
      </c>
      <c r="BF981" s="71">
        <f>IFERROR(__xludf.DUMMYFUNCTION("""COMPUTED_VALUE"""),973.24)</f>
        <v>973.24</v>
      </c>
      <c r="BG981" s="71">
        <f>IFERROR(__xludf.DUMMYFUNCTION("""COMPUTED_VALUE"""),0.05006257822277847)</f>
        <v>0.05006257822</v>
      </c>
      <c r="BH981" s="71">
        <f>IFERROR(__xludf.DUMMYFUNCTION("""COMPUTED_VALUE"""),797.05)</f>
        <v>797.05</v>
      </c>
      <c r="BI981" s="71">
        <f>IFERROR(__xludf.DUMMYFUNCTION("""COMPUTED_VALUE"""),127.52799999999999)</f>
        <v>127.528</v>
      </c>
      <c r="BJ981" s="71">
        <f>IFERROR(__xludf.DUMMYFUNCTION("""COMPUTED_VALUE"""),924.578)</f>
        <v>924.578</v>
      </c>
      <c r="BK981" s="71">
        <f>IFERROR(__xludf.DUMMYFUNCTION("""COMPUTED_VALUE"""),755.1)</f>
        <v>755.1</v>
      </c>
      <c r="BL981" s="71">
        <f>IFERROR(__xludf.DUMMYFUNCTION("""COMPUTED_VALUE"""),120.816)</f>
        <v>120.816</v>
      </c>
      <c r="BM981" s="71">
        <f>IFERROR(__xludf.DUMMYFUNCTION("""COMPUTED_VALUE"""),875.916)</f>
        <v>875.916</v>
      </c>
      <c r="BN981" s="71">
        <f>IFERROR(__xludf.DUMMYFUNCTION("""COMPUTED_VALUE"""),713.15)</f>
        <v>713.15</v>
      </c>
      <c r="BO981" s="71">
        <f>IFERROR(__xludf.DUMMYFUNCTION("""COMPUTED_VALUE"""),114.104)</f>
        <v>114.104</v>
      </c>
      <c r="BP981" s="71">
        <f>IFERROR(__xludf.DUMMYFUNCTION("""COMPUTED_VALUE"""),827.254)</f>
        <v>827.254</v>
      </c>
      <c r="BQ981" s="71">
        <f>IFERROR(__xludf.DUMMYFUNCTION("""COMPUTED_VALUE"""),696.37)</f>
        <v>696.37</v>
      </c>
      <c r="BR981" s="71">
        <f>IFERROR(__xludf.DUMMYFUNCTION("""COMPUTED_VALUE"""),111.4192)</f>
        <v>111.4192</v>
      </c>
      <c r="BS981" s="71">
        <f>IFERROR(__xludf.DUMMYFUNCTION("""COMPUTED_VALUE"""),807.7892)</f>
        <v>807.7892</v>
      </c>
      <c r="BT981" s="71">
        <f>IFERROR(__xludf.DUMMYFUNCTION("""COMPUTED_VALUE"""),671.2)</f>
        <v>671.2</v>
      </c>
      <c r="BU981" s="71">
        <f>IFERROR(__xludf.DUMMYFUNCTION("""COMPUTED_VALUE"""),107.39200000000001)</f>
        <v>107.392</v>
      </c>
      <c r="BV981" s="71">
        <f>IFERROR(__xludf.DUMMYFUNCTION("""COMPUTED_VALUE"""),778.5920000000001)</f>
        <v>778.592</v>
      </c>
    </row>
    <row r="982">
      <c r="A982" s="53">
        <v>1.0</v>
      </c>
      <c r="B982" s="53"/>
      <c r="C982" s="73" t="s">
        <v>12</v>
      </c>
      <c r="D982" s="74" t="s">
        <v>2382</v>
      </c>
      <c r="E982" s="54" t="s">
        <v>38</v>
      </c>
      <c r="F982" s="54" t="s">
        <v>42</v>
      </c>
      <c r="G982" s="54" t="s">
        <v>2383</v>
      </c>
      <c r="H982" s="54" t="s">
        <v>2384</v>
      </c>
      <c r="I982" s="54">
        <f t="shared" si="24"/>
        <v>34</v>
      </c>
      <c r="J982" s="56"/>
      <c r="K982" s="75"/>
      <c r="L982" s="76"/>
      <c r="M982" s="59"/>
      <c r="N982" s="60">
        <v>29.0</v>
      </c>
      <c r="O982" s="61">
        <v>31.0</v>
      </c>
      <c r="P982" s="62">
        <v>33.480000000000004</v>
      </c>
      <c r="Q982" s="63">
        <v>33.480000000000004</v>
      </c>
      <c r="R982" s="64">
        <v>38.0</v>
      </c>
      <c r="S982" s="111">
        <v>40.0</v>
      </c>
      <c r="T982" s="65">
        <f t="shared" si="2"/>
        <v>6.4</v>
      </c>
      <c r="U982" s="65">
        <f t="shared" si="3"/>
        <v>46.4</v>
      </c>
      <c r="V982" s="66">
        <f t="shared" si="4"/>
        <v>0.05263157895</v>
      </c>
      <c r="W982" s="67">
        <f t="shared" si="5"/>
        <v>38</v>
      </c>
      <c r="X982" s="67">
        <f t="shared" si="6"/>
        <v>6.08</v>
      </c>
      <c r="Y982" s="67">
        <f t="shared" si="7"/>
        <v>44.08</v>
      </c>
      <c r="Z982" s="67">
        <f t="shared" si="8"/>
        <v>36</v>
      </c>
      <c r="AA982" s="67">
        <f t="shared" si="9"/>
        <v>5.76</v>
      </c>
      <c r="AB982" s="67">
        <f t="shared" si="10"/>
        <v>41.76</v>
      </c>
      <c r="AC982" s="67">
        <f t="shared" si="11"/>
        <v>34</v>
      </c>
      <c r="AD982" s="67">
        <f t="shared" si="12"/>
        <v>5.44</v>
      </c>
      <c r="AE982" s="67">
        <f t="shared" si="13"/>
        <v>39.44</v>
      </c>
      <c r="AF982" s="67">
        <f t="shared" si="33"/>
        <v>33.2</v>
      </c>
      <c r="AG982" s="67">
        <f t="shared" si="15"/>
        <v>5.312</v>
      </c>
      <c r="AH982" s="67">
        <f t="shared" si="16"/>
        <v>38.512</v>
      </c>
      <c r="AI982" s="67">
        <f t="shared" si="17"/>
        <v>32</v>
      </c>
      <c r="AJ982" s="68">
        <f t="shared" si="31"/>
        <v>5.12</v>
      </c>
      <c r="AK982" s="68">
        <f t="shared" si="32"/>
        <v>37.12</v>
      </c>
      <c r="AL982" s="70">
        <f>IFERROR(__xludf.DUMMYFUNCTION("""COMPUTED_VALUE"""),1.0)</f>
        <v>1</v>
      </c>
      <c r="AM982" s="70"/>
      <c r="AN982" s="71" t="str">
        <f>IFERROR(__xludf.DUMMYFUNCTION("""COMPUTED_VALUE""")," P")</f>
        <v>P</v>
      </c>
      <c r="AO982" s="71" t="str">
        <f>IFERROR(__xludf.DUMMYFUNCTION("""COMPUTED_VALUE""")," PO55")</f>
        <v>PO55</v>
      </c>
      <c r="AP982" s="71" t="str">
        <f>IFERROR(__xludf.DUMMYFUNCTION("""COMPUTED_VALUE""")," PZA")</f>
        <v>PZA</v>
      </c>
      <c r="AQ982" s="71" t="str">
        <f>IFERROR(__xludf.DUMMYFUNCTION("""COMPUTED_VALUE""")," REF")</f>
        <v>REF</v>
      </c>
      <c r="AR982" s="71" t="str">
        <f>IFERROR(__xludf.DUMMYFUNCTION("""COMPUTED_VALUE""")," POLEA 15"" 2RB E1 C1/4")</f>
        <v>POLEA 15" 2RB E1 C1/4</v>
      </c>
      <c r="AS982" s="71" t="str">
        <f>IFERROR(__xludf.DUMMYFUNCTION("""COMPUTED_VALUE""")," POLEA 15"" 2RB E1 C1/4")</f>
        <v>POLEA 15" 2RB E1 C1/4</v>
      </c>
      <c r="AT982" s="71">
        <f>IFERROR(__xludf.DUMMYFUNCTION("""COMPUTED_VALUE"""),21.0)</f>
        <v>21</v>
      </c>
      <c r="AU982" s="71"/>
      <c r="AV982" s="71"/>
      <c r="AW982" s="71"/>
      <c r="AX982" s="71"/>
      <c r="AY982" s="71">
        <f>IFERROR(__xludf.DUMMYFUNCTION("""COMPUTED_VALUE"""),1214.0)</f>
        <v>1214</v>
      </c>
      <c r="AZ982" s="71">
        <f>IFERROR(__xludf.DUMMYFUNCTION("""COMPUTED_VALUE"""),1311.0)</f>
        <v>1311</v>
      </c>
      <c r="BA982" s="71">
        <f>IFERROR(__xludf.DUMMYFUNCTION("""COMPUTED_VALUE"""),1415.88)</f>
        <v>1415.88</v>
      </c>
      <c r="BB982" s="71">
        <f>IFERROR(__xludf.DUMMYFUNCTION("""COMPUTED_VALUE"""),1415.88)</f>
        <v>1415.88</v>
      </c>
      <c r="BC982" s="71">
        <f>IFERROR(__xludf.DUMMYFUNCTION("""COMPUTED_VALUE"""),1530.0)</f>
        <v>1530</v>
      </c>
      <c r="BD982" s="71">
        <f>IFERROR(__xludf.DUMMYFUNCTION("""COMPUTED_VALUE"""),1607.0)</f>
        <v>1607</v>
      </c>
      <c r="BE982" s="71">
        <f>IFERROR(__xludf.DUMMYFUNCTION("""COMPUTED_VALUE"""),257.12)</f>
        <v>257.12</v>
      </c>
      <c r="BF982" s="71">
        <f>IFERROR(__xludf.DUMMYFUNCTION("""COMPUTED_VALUE"""),1864.12)</f>
        <v>1864.12</v>
      </c>
      <c r="BG982" s="71">
        <f>IFERROR(__xludf.DUMMYFUNCTION("""COMPUTED_VALUE"""),0.05032679738562092)</f>
        <v>0.05032679739</v>
      </c>
      <c r="BH982" s="71">
        <f>IFERROR(__xludf.DUMMYFUNCTION("""COMPUTED_VALUE"""),1526.6499999999999)</f>
        <v>1526.65</v>
      </c>
      <c r="BI982" s="71">
        <f>IFERROR(__xludf.DUMMYFUNCTION("""COMPUTED_VALUE"""),244.26399999999998)</f>
        <v>244.264</v>
      </c>
      <c r="BJ982" s="71">
        <f>IFERROR(__xludf.DUMMYFUNCTION("""COMPUTED_VALUE"""),1770.9139999999998)</f>
        <v>1770.914</v>
      </c>
      <c r="BK982" s="71">
        <f>IFERROR(__xludf.DUMMYFUNCTION("""COMPUTED_VALUE"""),1446.3)</f>
        <v>1446.3</v>
      </c>
      <c r="BL982" s="71">
        <f>IFERROR(__xludf.DUMMYFUNCTION("""COMPUTED_VALUE"""),231.408)</f>
        <v>231.408</v>
      </c>
      <c r="BM982" s="71">
        <f>IFERROR(__xludf.DUMMYFUNCTION("""COMPUTED_VALUE"""),1677.7079999999999)</f>
        <v>1677.708</v>
      </c>
      <c r="BN982" s="71">
        <f>IFERROR(__xludf.DUMMYFUNCTION("""COMPUTED_VALUE"""),1365.95)</f>
        <v>1365.95</v>
      </c>
      <c r="BO982" s="71">
        <f>IFERROR(__xludf.DUMMYFUNCTION("""COMPUTED_VALUE"""),218.55200000000002)</f>
        <v>218.552</v>
      </c>
      <c r="BP982" s="71">
        <f>IFERROR(__xludf.DUMMYFUNCTION("""COMPUTED_VALUE"""),1584.502)</f>
        <v>1584.502</v>
      </c>
      <c r="BQ982" s="71">
        <f>IFERROR(__xludf.DUMMYFUNCTION("""COMPUTED_VALUE"""),1333.81)</f>
        <v>1333.81</v>
      </c>
      <c r="BR982" s="71">
        <f>IFERROR(__xludf.DUMMYFUNCTION("""COMPUTED_VALUE"""),213.40959999999998)</f>
        <v>213.4096</v>
      </c>
      <c r="BS982" s="71">
        <f>IFERROR(__xludf.DUMMYFUNCTION("""COMPUTED_VALUE"""),1547.2196)</f>
        <v>1547.2196</v>
      </c>
      <c r="BT982" s="71">
        <f>IFERROR(__xludf.DUMMYFUNCTION("""COMPUTED_VALUE"""),1285.6000000000001)</f>
        <v>1285.6</v>
      </c>
      <c r="BU982" s="71">
        <f>IFERROR(__xludf.DUMMYFUNCTION("""COMPUTED_VALUE"""),205.69600000000003)</f>
        <v>205.696</v>
      </c>
      <c r="BV982" s="71">
        <f>IFERROR(__xludf.DUMMYFUNCTION("""COMPUTED_VALUE"""),1491.2960000000003)</f>
        <v>1491.296</v>
      </c>
    </row>
    <row r="983">
      <c r="A983" s="53">
        <v>1.0</v>
      </c>
      <c r="B983" s="53"/>
      <c r="C983" s="73" t="s">
        <v>53</v>
      </c>
      <c r="D983" s="74" t="s">
        <v>2385</v>
      </c>
      <c r="E983" s="54" t="s">
        <v>38</v>
      </c>
      <c r="F983" s="54" t="s">
        <v>42</v>
      </c>
      <c r="G983" s="54" t="s">
        <v>2386</v>
      </c>
      <c r="H983" s="54" t="s">
        <v>2387</v>
      </c>
      <c r="I983" s="54">
        <f t="shared" si="24"/>
        <v>27</v>
      </c>
      <c r="J983" s="56"/>
      <c r="K983" s="75"/>
      <c r="L983" s="76"/>
      <c r="M983" s="59"/>
      <c r="N983" s="60">
        <v>419.0</v>
      </c>
      <c r="O983" s="61">
        <v>452.0</v>
      </c>
      <c r="P983" s="62">
        <v>488.16</v>
      </c>
      <c r="Q983" s="63">
        <v>488.16</v>
      </c>
      <c r="R983" s="64">
        <v>544.0</v>
      </c>
      <c r="S983" s="111">
        <v>571.0</v>
      </c>
      <c r="T983" s="65">
        <f t="shared" si="2"/>
        <v>91.36</v>
      </c>
      <c r="U983" s="65">
        <f t="shared" si="3"/>
        <v>662.36</v>
      </c>
      <c r="V983" s="66">
        <f t="shared" si="4"/>
        <v>0.04963235294</v>
      </c>
      <c r="W983" s="67">
        <f t="shared" si="5"/>
        <v>542.45</v>
      </c>
      <c r="X983" s="67">
        <f t="shared" si="6"/>
        <v>86.792</v>
      </c>
      <c r="Y983" s="67">
        <f t="shared" si="7"/>
        <v>629.242</v>
      </c>
      <c r="Z983" s="67">
        <f t="shared" si="8"/>
        <v>513.9</v>
      </c>
      <c r="AA983" s="67">
        <f t="shared" si="9"/>
        <v>82.224</v>
      </c>
      <c r="AB983" s="67">
        <f t="shared" si="10"/>
        <v>596.124</v>
      </c>
      <c r="AC983" s="67">
        <f t="shared" si="11"/>
        <v>485.35</v>
      </c>
      <c r="AD983" s="67">
        <f t="shared" si="12"/>
        <v>77.656</v>
      </c>
      <c r="AE983" s="67">
        <f t="shared" si="13"/>
        <v>563.006</v>
      </c>
      <c r="AF983" s="67">
        <f t="shared" si="33"/>
        <v>473.93</v>
      </c>
      <c r="AG983" s="67">
        <f t="shared" si="15"/>
        <v>75.8288</v>
      </c>
      <c r="AH983" s="67">
        <f t="shared" si="16"/>
        <v>549.7588</v>
      </c>
      <c r="AI983" s="67">
        <f t="shared" si="17"/>
        <v>456.8</v>
      </c>
      <c r="AJ983" s="68">
        <f t="shared" si="31"/>
        <v>73.088</v>
      </c>
      <c r="AK983" s="68">
        <f t="shared" si="32"/>
        <v>529.888</v>
      </c>
      <c r="AL983" s="70">
        <f>IFERROR(__xludf.DUMMYFUNCTION("""COMPUTED_VALUE"""),1.0)</f>
        <v>1</v>
      </c>
      <c r="AM983" s="70"/>
      <c r="AN983" s="71" t="str">
        <f>IFERROR(__xludf.DUMMYFUNCTION("""COMPUTED_VALUE""")," P")</f>
        <v>P</v>
      </c>
      <c r="AO983" s="71" t="str">
        <f>IFERROR(__xludf.DUMMYFUNCTION("""COMPUTED_VALUE""")," PO50")</f>
        <v>PO50</v>
      </c>
      <c r="AP983" s="71" t="str">
        <f>IFERROR(__xludf.DUMMYFUNCTION("""COMPUTED_VALUE""")," PZA")</f>
        <v>PZA</v>
      </c>
      <c r="AQ983" s="71" t="str">
        <f>IFERROR(__xludf.DUMMYFUNCTION("""COMPUTED_VALUE""")," REF")</f>
        <v>REF</v>
      </c>
      <c r="AR983" s="71" t="str">
        <f>IFERROR(__xludf.DUMMYFUNCTION("""COMPUTED_VALUE""")," POLEA 16"" 1RB E1 C1/4")</f>
        <v>POLEA 16" 1RB E1 C1/4</v>
      </c>
      <c r="AS983" s="71" t="str">
        <f>IFERROR(__xludf.DUMMYFUNCTION("""COMPUTED_VALUE""")," POLEA 16"" 1RB E1 C1/4")</f>
        <v>POLEA 16" 1RB E1 C1/4</v>
      </c>
      <c r="AT983" s="71">
        <f>IFERROR(__xludf.DUMMYFUNCTION("""COMPUTED_VALUE"""),21.0)</f>
        <v>21</v>
      </c>
      <c r="AU983" s="71"/>
      <c r="AV983" s="71"/>
      <c r="AW983" s="71"/>
      <c r="AX983" s="71"/>
      <c r="AY983" s="71">
        <f>IFERROR(__xludf.DUMMYFUNCTION("""COMPUTED_VALUE"""),885.0)</f>
        <v>885</v>
      </c>
      <c r="AZ983" s="71">
        <f>IFERROR(__xludf.DUMMYFUNCTION("""COMPUTED_VALUE"""),955.0)</f>
        <v>955</v>
      </c>
      <c r="BA983" s="71">
        <f>IFERROR(__xludf.DUMMYFUNCTION("""COMPUTED_VALUE"""),1031.4)</f>
        <v>1031.4</v>
      </c>
      <c r="BB983" s="71">
        <f>IFERROR(__xludf.DUMMYFUNCTION("""COMPUTED_VALUE"""),1031.4)</f>
        <v>1031.4</v>
      </c>
      <c r="BC983" s="71">
        <f>IFERROR(__xludf.DUMMYFUNCTION("""COMPUTED_VALUE"""),1114.0)</f>
        <v>1114</v>
      </c>
      <c r="BD983" s="71">
        <f>IFERROR(__xludf.DUMMYFUNCTION("""COMPUTED_VALUE"""),1170.0)</f>
        <v>1170</v>
      </c>
      <c r="BE983" s="71">
        <f>IFERROR(__xludf.DUMMYFUNCTION("""COMPUTED_VALUE"""),187.20000000000002)</f>
        <v>187.2</v>
      </c>
      <c r="BF983" s="71">
        <f>IFERROR(__xludf.DUMMYFUNCTION("""COMPUTED_VALUE"""),1357.2)</f>
        <v>1357.2</v>
      </c>
      <c r="BG983" s="71">
        <f>IFERROR(__xludf.DUMMYFUNCTION("""COMPUTED_VALUE"""),0.05026929982046679)</f>
        <v>0.05026929982</v>
      </c>
      <c r="BH983" s="71">
        <f>IFERROR(__xludf.DUMMYFUNCTION("""COMPUTED_VALUE"""),1111.5)</f>
        <v>1111.5</v>
      </c>
      <c r="BI983" s="71">
        <f>IFERROR(__xludf.DUMMYFUNCTION("""COMPUTED_VALUE"""),177.84)</f>
        <v>177.84</v>
      </c>
      <c r="BJ983" s="71">
        <f>IFERROR(__xludf.DUMMYFUNCTION("""COMPUTED_VALUE"""),1289.34)</f>
        <v>1289.34</v>
      </c>
      <c r="BK983" s="71">
        <f>IFERROR(__xludf.DUMMYFUNCTION("""COMPUTED_VALUE"""),1053.0)</f>
        <v>1053</v>
      </c>
      <c r="BL983" s="71">
        <f>IFERROR(__xludf.DUMMYFUNCTION("""COMPUTED_VALUE"""),168.48)</f>
        <v>168.48</v>
      </c>
      <c r="BM983" s="71">
        <f>IFERROR(__xludf.DUMMYFUNCTION("""COMPUTED_VALUE"""),1221.48)</f>
        <v>1221.48</v>
      </c>
      <c r="BN983" s="71">
        <f>IFERROR(__xludf.DUMMYFUNCTION("""COMPUTED_VALUE"""),994.5)</f>
        <v>994.5</v>
      </c>
      <c r="BO983" s="71">
        <f>IFERROR(__xludf.DUMMYFUNCTION("""COMPUTED_VALUE"""),159.12)</f>
        <v>159.12</v>
      </c>
      <c r="BP983" s="71">
        <f>IFERROR(__xludf.DUMMYFUNCTION("""COMPUTED_VALUE"""),1153.62)</f>
        <v>1153.62</v>
      </c>
      <c r="BQ983" s="71">
        <f>IFERROR(__xludf.DUMMYFUNCTION("""COMPUTED_VALUE"""),971.0999999999999)</f>
        <v>971.1</v>
      </c>
      <c r="BR983" s="71">
        <f>IFERROR(__xludf.DUMMYFUNCTION("""COMPUTED_VALUE"""),155.37599999999998)</f>
        <v>155.376</v>
      </c>
      <c r="BS983" s="71">
        <f>IFERROR(__xludf.DUMMYFUNCTION("""COMPUTED_VALUE"""),1126.4759999999999)</f>
        <v>1126.476</v>
      </c>
      <c r="BT983" s="71">
        <f>IFERROR(__xludf.DUMMYFUNCTION("""COMPUTED_VALUE"""),936.0)</f>
        <v>936</v>
      </c>
      <c r="BU983" s="71">
        <f>IFERROR(__xludf.DUMMYFUNCTION("""COMPUTED_VALUE"""),149.76)</f>
        <v>149.76</v>
      </c>
      <c r="BV983" s="71">
        <f>IFERROR(__xludf.DUMMYFUNCTION("""COMPUTED_VALUE"""),1085.76)</f>
        <v>1085.76</v>
      </c>
    </row>
    <row r="984">
      <c r="A984" s="53">
        <v>1.0</v>
      </c>
      <c r="B984" s="53"/>
      <c r="C984" s="73" t="s">
        <v>53</v>
      </c>
      <c r="D984" s="74" t="s">
        <v>2388</v>
      </c>
      <c r="E984" s="54" t="s">
        <v>38</v>
      </c>
      <c r="F984" s="54" t="s">
        <v>42</v>
      </c>
      <c r="G984" s="54" t="s">
        <v>2389</v>
      </c>
      <c r="H984" s="54" t="s">
        <v>2390</v>
      </c>
      <c r="I984" s="54">
        <f t="shared" si="24"/>
        <v>38</v>
      </c>
      <c r="J984" s="56"/>
      <c r="K984" s="75"/>
      <c r="L984" s="76"/>
      <c r="M984" s="59"/>
      <c r="N984" s="60">
        <v>8.0</v>
      </c>
      <c r="O984" s="61">
        <v>8.0</v>
      </c>
      <c r="P984" s="62">
        <v>8.64</v>
      </c>
      <c r="Q984" s="63">
        <v>8.64</v>
      </c>
      <c r="R984" s="78">
        <v>10.0</v>
      </c>
      <c r="S984" s="111">
        <v>10.5</v>
      </c>
      <c r="T984" s="65">
        <f t="shared" si="2"/>
        <v>1.68</v>
      </c>
      <c r="U984" s="65">
        <f t="shared" si="3"/>
        <v>12.18</v>
      </c>
      <c r="V984" s="66">
        <f t="shared" si="4"/>
        <v>0.05</v>
      </c>
      <c r="W984" s="67">
        <f t="shared" si="5"/>
        <v>9.975</v>
      </c>
      <c r="X984" s="67">
        <f t="shared" si="6"/>
        <v>1.596</v>
      </c>
      <c r="Y984" s="67">
        <f t="shared" si="7"/>
        <v>11.571</v>
      </c>
      <c r="Z984" s="67">
        <f t="shared" si="8"/>
        <v>9.45</v>
      </c>
      <c r="AA984" s="67">
        <f t="shared" si="9"/>
        <v>1.512</v>
      </c>
      <c r="AB984" s="67">
        <f t="shared" si="10"/>
        <v>10.962</v>
      </c>
      <c r="AC984" s="67">
        <f t="shared" si="11"/>
        <v>8.925</v>
      </c>
      <c r="AD984" s="67">
        <f t="shared" si="12"/>
        <v>1.428</v>
      </c>
      <c r="AE984" s="67">
        <f t="shared" si="13"/>
        <v>10.353</v>
      </c>
      <c r="AF984" s="67">
        <f t="shared" si="33"/>
        <v>8.715</v>
      </c>
      <c r="AG984" s="67">
        <f t="shared" si="15"/>
        <v>1.3944</v>
      </c>
      <c r="AH984" s="67">
        <f t="shared" si="16"/>
        <v>10.1094</v>
      </c>
      <c r="AI984" s="67">
        <f t="shared" si="17"/>
        <v>8.4</v>
      </c>
      <c r="AJ984" s="68">
        <f t="shared" si="31"/>
        <v>1.344</v>
      </c>
      <c r="AK984" s="68">
        <f t="shared" si="32"/>
        <v>9.744</v>
      </c>
      <c r="AL984" s="70">
        <f>IFERROR(__xludf.DUMMYFUNCTION("""COMPUTED_VALUE"""),1.0)</f>
        <v>1</v>
      </c>
      <c r="AM984" s="70"/>
      <c r="AN984" s="71" t="str">
        <f>IFERROR(__xludf.DUMMYFUNCTION("""COMPUTED_VALUE""")," P")</f>
        <v>P</v>
      </c>
      <c r="AO984" s="71" t="str">
        <f>IFERROR(__xludf.DUMMYFUNCTION("""COMPUTED_VALUE""")," PO21")</f>
        <v>PO21</v>
      </c>
      <c r="AP984" s="71" t="str">
        <f>IFERROR(__xludf.DUMMYFUNCTION("""COMPUTED_VALUE""")," PZA")</f>
        <v>PZA</v>
      </c>
      <c r="AQ984" s="71" t="str">
        <f>IFERROR(__xludf.DUMMYFUNCTION("""COMPUTED_VALUE""")," REF")</f>
        <v>REF</v>
      </c>
      <c r="AR984" s="71" t="str">
        <f>IFERROR(__xludf.DUMMYFUNCTION("""COMPUTED_VALUE""")," POLEA 16"" 2RB E1 C1/4")</f>
        <v>POLEA 16" 2RB E1 C1/4</v>
      </c>
      <c r="AS984" s="71" t="str">
        <f>IFERROR(__xludf.DUMMYFUNCTION("""COMPUTED_VALUE""")," POLEA 16"" 2RB E1 C1/4")</f>
        <v>POLEA 16" 2RB E1 C1/4</v>
      </c>
      <c r="AT984" s="71">
        <f>IFERROR(__xludf.DUMMYFUNCTION("""COMPUTED_VALUE"""),21.0)</f>
        <v>21</v>
      </c>
      <c r="AU984" s="71"/>
      <c r="AV984" s="71"/>
      <c r="AW984" s="71"/>
      <c r="AX984" s="71"/>
      <c r="AY984" s="71">
        <f>IFERROR(__xludf.DUMMYFUNCTION("""COMPUTED_VALUE"""),1185.0)</f>
        <v>1185</v>
      </c>
      <c r="AZ984" s="71">
        <f>IFERROR(__xludf.DUMMYFUNCTION("""COMPUTED_VALUE"""),1279.0)</f>
        <v>1279</v>
      </c>
      <c r="BA984" s="71">
        <f>IFERROR(__xludf.DUMMYFUNCTION("""COMPUTED_VALUE"""),1381.3200000000002)</f>
        <v>1381.32</v>
      </c>
      <c r="BB984" s="71">
        <f>IFERROR(__xludf.DUMMYFUNCTION("""COMPUTED_VALUE"""),1381.3200000000002)</f>
        <v>1381.32</v>
      </c>
      <c r="BC984" s="71">
        <f>IFERROR(__xludf.DUMMYFUNCTION("""COMPUTED_VALUE"""),1583.0)</f>
        <v>1583</v>
      </c>
      <c r="BD984" s="71">
        <f>IFERROR(__xludf.DUMMYFUNCTION("""COMPUTED_VALUE"""),1662.0)</f>
        <v>1662</v>
      </c>
      <c r="BE984" s="71">
        <f>IFERROR(__xludf.DUMMYFUNCTION("""COMPUTED_VALUE"""),265.92)</f>
        <v>265.92</v>
      </c>
      <c r="BF984" s="71">
        <f>IFERROR(__xludf.DUMMYFUNCTION("""COMPUTED_VALUE"""),1927.92)</f>
        <v>1927.92</v>
      </c>
      <c r="BG984" s="71">
        <f>IFERROR(__xludf.DUMMYFUNCTION("""COMPUTED_VALUE"""),0.04990524320909665)</f>
        <v>0.04990524321</v>
      </c>
      <c r="BH984" s="71">
        <f>IFERROR(__xludf.DUMMYFUNCTION("""COMPUTED_VALUE"""),1578.8999999999999)</f>
        <v>1578.9</v>
      </c>
      <c r="BI984" s="71">
        <f>IFERROR(__xludf.DUMMYFUNCTION("""COMPUTED_VALUE"""),252.624)</f>
        <v>252.624</v>
      </c>
      <c r="BJ984" s="71">
        <f>IFERROR(__xludf.DUMMYFUNCTION("""COMPUTED_VALUE"""),1831.524)</f>
        <v>1831.524</v>
      </c>
      <c r="BK984" s="71">
        <f>IFERROR(__xludf.DUMMYFUNCTION("""COMPUTED_VALUE"""),1495.8)</f>
        <v>1495.8</v>
      </c>
      <c r="BL984" s="71">
        <f>IFERROR(__xludf.DUMMYFUNCTION("""COMPUTED_VALUE"""),239.328)</f>
        <v>239.328</v>
      </c>
      <c r="BM984" s="71">
        <f>IFERROR(__xludf.DUMMYFUNCTION("""COMPUTED_VALUE"""),1735.128)</f>
        <v>1735.128</v>
      </c>
      <c r="BN984" s="71">
        <f>IFERROR(__xludf.DUMMYFUNCTION("""COMPUTED_VALUE"""),1412.7)</f>
        <v>1412.7</v>
      </c>
      <c r="BO984" s="71">
        <f>IFERROR(__xludf.DUMMYFUNCTION("""COMPUTED_VALUE"""),226.032)</f>
        <v>226.032</v>
      </c>
      <c r="BP984" s="71">
        <f>IFERROR(__xludf.DUMMYFUNCTION("""COMPUTED_VALUE"""),1638.732)</f>
        <v>1638.732</v>
      </c>
      <c r="BQ984" s="71">
        <f>IFERROR(__xludf.DUMMYFUNCTION("""COMPUTED_VALUE"""),1379.46)</f>
        <v>1379.46</v>
      </c>
      <c r="BR984" s="71">
        <f>IFERROR(__xludf.DUMMYFUNCTION("""COMPUTED_VALUE"""),220.7136)</f>
        <v>220.7136</v>
      </c>
      <c r="BS984" s="71">
        <f>IFERROR(__xludf.DUMMYFUNCTION("""COMPUTED_VALUE"""),1600.1736)</f>
        <v>1600.1736</v>
      </c>
      <c r="BT984" s="71">
        <f>IFERROR(__xludf.DUMMYFUNCTION("""COMPUTED_VALUE"""),1329.6000000000001)</f>
        <v>1329.6</v>
      </c>
      <c r="BU984" s="71">
        <f>IFERROR(__xludf.DUMMYFUNCTION("""COMPUTED_VALUE"""),212.73600000000002)</f>
        <v>212.736</v>
      </c>
      <c r="BV984" s="71">
        <f>IFERROR(__xludf.DUMMYFUNCTION("""COMPUTED_VALUE"""),1542.3360000000002)</f>
        <v>1542.336</v>
      </c>
    </row>
    <row r="985">
      <c r="A985" s="53">
        <v>1.0</v>
      </c>
      <c r="B985" s="53"/>
      <c r="C985" s="73" t="s">
        <v>53</v>
      </c>
      <c r="D985" s="74" t="s">
        <v>2391</v>
      </c>
      <c r="E985" s="54" t="s">
        <v>38</v>
      </c>
      <c r="F985" s="54" t="s">
        <v>42</v>
      </c>
      <c r="G985" s="54" t="s">
        <v>2392</v>
      </c>
      <c r="H985" s="54" t="s">
        <v>2393</v>
      </c>
      <c r="I985" s="54">
        <f t="shared" si="24"/>
        <v>40</v>
      </c>
      <c r="J985" s="56"/>
      <c r="K985" s="75"/>
      <c r="L985" s="76"/>
      <c r="M985" s="59"/>
      <c r="N985" s="60">
        <v>292.0</v>
      </c>
      <c r="O985" s="61">
        <v>315.0</v>
      </c>
      <c r="P985" s="62">
        <v>560.0</v>
      </c>
      <c r="Q985" s="63">
        <v>560.0</v>
      </c>
      <c r="R985" s="64">
        <v>380.0</v>
      </c>
      <c r="S985" s="111">
        <v>399.0</v>
      </c>
      <c r="T985" s="65">
        <f t="shared" si="2"/>
        <v>63.84</v>
      </c>
      <c r="U985" s="65">
        <f t="shared" si="3"/>
        <v>462.84</v>
      </c>
      <c r="V985" s="66">
        <f t="shared" si="4"/>
        <v>0.05</v>
      </c>
      <c r="W985" s="67">
        <f t="shared" si="5"/>
        <v>379.05</v>
      </c>
      <c r="X985" s="67">
        <f t="shared" si="6"/>
        <v>60.648</v>
      </c>
      <c r="Y985" s="67">
        <f t="shared" si="7"/>
        <v>439.698</v>
      </c>
      <c r="Z985" s="67">
        <f t="shared" si="8"/>
        <v>359.1</v>
      </c>
      <c r="AA985" s="67">
        <f t="shared" si="9"/>
        <v>57.456</v>
      </c>
      <c r="AB985" s="67">
        <f t="shared" si="10"/>
        <v>416.556</v>
      </c>
      <c r="AC985" s="67">
        <f t="shared" si="11"/>
        <v>339.15</v>
      </c>
      <c r="AD985" s="67">
        <f t="shared" si="12"/>
        <v>54.264</v>
      </c>
      <c r="AE985" s="67">
        <f t="shared" si="13"/>
        <v>393.414</v>
      </c>
      <c r="AF985" s="67">
        <f t="shared" si="33"/>
        <v>331.17</v>
      </c>
      <c r="AG985" s="67">
        <f t="shared" si="15"/>
        <v>52.9872</v>
      </c>
      <c r="AH985" s="67">
        <f t="shared" si="16"/>
        <v>384.1572</v>
      </c>
      <c r="AI985" s="67">
        <f t="shared" si="17"/>
        <v>319.2</v>
      </c>
      <c r="AJ985" s="68">
        <f t="shared" si="31"/>
        <v>51.072</v>
      </c>
      <c r="AK985" s="68">
        <f t="shared" si="32"/>
        <v>370.272</v>
      </c>
      <c r="AL985" s="70">
        <f>IFERROR(__xludf.DUMMYFUNCTION("""COMPUTED_VALUE"""),1.0)</f>
        <v>1</v>
      </c>
      <c r="AM985" s="70"/>
      <c r="AN985" s="71" t="str">
        <f>IFERROR(__xludf.DUMMYFUNCTION("""COMPUTED_VALUE""")," P")</f>
        <v>P</v>
      </c>
      <c r="AO985" s="71" t="str">
        <f>IFERROR(__xludf.DUMMYFUNCTION("""COMPUTED_VALUE""")," PO27")</f>
        <v>PO27</v>
      </c>
      <c r="AP985" s="71" t="str">
        <f>IFERROR(__xludf.DUMMYFUNCTION("""COMPUTED_VALUE""")," PZA")</f>
        <v>PZA</v>
      </c>
      <c r="AQ985" s="71" t="str">
        <f>IFERROR(__xludf.DUMMYFUNCTION("""COMPUTED_VALUE""")," REF")</f>
        <v>REF</v>
      </c>
      <c r="AR985" s="71" t="str">
        <f>IFERROR(__xludf.DUMMYFUNCTION("""COMPUTED_VALUE""")," POLEA 16"" X 3RB X 1 3/8""")</f>
        <v>POLEA 16" X 3RB X 1 3/8"</v>
      </c>
      <c r="AS985" s="71" t="str">
        <f>IFERROR(__xludf.DUMMYFUNCTION("""COMPUTED_VALUE""")," POLEA 16"" X 3RB X 1 3/8""")</f>
        <v>POLEA 16" X 3RB X 1 3/8"</v>
      </c>
      <c r="AT985" s="71">
        <f>IFERROR(__xludf.DUMMYFUNCTION("""COMPUTED_VALUE"""),24.0)</f>
        <v>24</v>
      </c>
      <c r="AU985" s="71"/>
      <c r="AV985" s="71"/>
      <c r="AW985" s="71"/>
      <c r="AX985" s="71"/>
      <c r="AY985" s="71"/>
      <c r="AZ985" s="71">
        <f>IFERROR(__xludf.DUMMYFUNCTION("""COMPUTED_VALUE"""),3965.0)</f>
        <v>3965</v>
      </c>
      <c r="BA985" s="71">
        <f>IFERROR(__xludf.DUMMYFUNCTION("""COMPUTED_VALUE"""),4282.200000000001)</f>
        <v>4282.2</v>
      </c>
      <c r="BB985" s="71">
        <f>IFERROR(__xludf.DUMMYFUNCTION("""COMPUTED_VALUE"""),4282.200000000001)</f>
        <v>4282.2</v>
      </c>
      <c r="BC985" s="71">
        <f>IFERROR(__xludf.DUMMYFUNCTION("""COMPUTED_VALUE"""),4625.0)</f>
        <v>4625</v>
      </c>
      <c r="BD985" s="71">
        <f>IFERROR(__xludf.DUMMYFUNCTION("""COMPUTED_VALUE"""),4856.0)</f>
        <v>4856</v>
      </c>
      <c r="BE985" s="71">
        <f>IFERROR(__xludf.DUMMYFUNCTION("""COMPUTED_VALUE"""),776.96)</f>
        <v>776.96</v>
      </c>
      <c r="BF985" s="71">
        <f>IFERROR(__xludf.DUMMYFUNCTION("""COMPUTED_VALUE"""),5632.96)</f>
        <v>5632.96</v>
      </c>
      <c r="BG985" s="71">
        <f>IFERROR(__xludf.DUMMYFUNCTION("""COMPUTED_VALUE"""),0.049945945945945945)</f>
        <v>0.04994594595</v>
      </c>
      <c r="BH985" s="71">
        <f>IFERROR(__xludf.DUMMYFUNCTION("""COMPUTED_VALUE"""),4613.2)</f>
        <v>4613.2</v>
      </c>
      <c r="BI985" s="71">
        <f>IFERROR(__xludf.DUMMYFUNCTION("""COMPUTED_VALUE"""),738.112)</f>
        <v>738.112</v>
      </c>
      <c r="BJ985" s="71">
        <f>IFERROR(__xludf.DUMMYFUNCTION("""COMPUTED_VALUE"""),5351.312)</f>
        <v>5351.312</v>
      </c>
      <c r="BK985" s="71">
        <f>IFERROR(__xludf.DUMMYFUNCTION("""COMPUTED_VALUE"""),4370.400000000001)</f>
        <v>4370.4</v>
      </c>
      <c r="BL985" s="71">
        <f>IFERROR(__xludf.DUMMYFUNCTION("""COMPUTED_VALUE"""),699.2640000000001)</f>
        <v>699.264</v>
      </c>
      <c r="BM985" s="71">
        <f>IFERROR(__xludf.DUMMYFUNCTION("""COMPUTED_VALUE"""),5069.664000000001)</f>
        <v>5069.664</v>
      </c>
      <c r="BN985" s="71">
        <f>IFERROR(__xludf.DUMMYFUNCTION("""COMPUTED_VALUE"""),4127.599999999999)</f>
        <v>4127.6</v>
      </c>
      <c r="BO985" s="71">
        <f>IFERROR(__xludf.DUMMYFUNCTION("""COMPUTED_VALUE"""),660.4159999999999)</f>
        <v>660.416</v>
      </c>
      <c r="BP985" s="71">
        <f>IFERROR(__xludf.DUMMYFUNCTION("""COMPUTED_VALUE"""),4788.016)</f>
        <v>4788.016</v>
      </c>
      <c r="BQ985" s="71">
        <f>IFERROR(__xludf.DUMMYFUNCTION("""COMPUTED_VALUE"""),4030.48)</f>
        <v>4030.48</v>
      </c>
      <c r="BR985" s="71">
        <f>IFERROR(__xludf.DUMMYFUNCTION("""COMPUTED_VALUE"""),644.8768)</f>
        <v>644.8768</v>
      </c>
      <c r="BS985" s="71">
        <f>IFERROR(__xludf.DUMMYFUNCTION("""COMPUTED_VALUE"""),4675.3568)</f>
        <v>4675.3568</v>
      </c>
      <c r="BT985" s="71">
        <f>IFERROR(__xludf.DUMMYFUNCTION("""COMPUTED_VALUE"""),3884.8)</f>
        <v>3884.8</v>
      </c>
      <c r="BU985" s="71">
        <f>IFERROR(__xludf.DUMMYFUNCTION("""COMPUTED_VALUE"""),621.5680000000001)</f>
        <v>621.568</v>
      </c>
      <c r="BV985" s="71">
        <f>IFERROR(__xludf.DUMMYFUNCTION("""COMPUTED_VALUE"""),4506.368)</f>
        <v>4506.368</v>
      </c>
    </row>
    <row r="986">
      <c r="A986" s="53">
        <v>1.0</v>
      </c>
      <c r="B986" s="53"/>
      <c r="C986" s="73" t="s">
        <v>53</v>
      </c>
      <c r="D986" s="74" t="s">
        <v>2394</v>
      </c>
      <c r="E986" s="54" t="s">
        <v>38</v>
      </c>
      <c r="F986" s="54" t="s">
        <v>42</v>
      </c>
      <c r="G986" s="55" t="s">
        <v>2395</v>
      </c>
      <c r="H986" s="54" t="s">
        <v>2396</v>
      </c>
      <c r="I986" s="54">
        <f t="shared" si="24"/>
        <v>39</v>
      </c>
      <c r="J986" s="56"/>
      <c r="K986" s="75"/>
      <c r="L986" s="76"/>
      <c r="M986" s="59"/>
      <c r="N986" s="60">
        <v>292.0</v>
      </c>
      <c r="O986" s="61">
        <v>315.0</v>
      </c>
      <c r="P986" s="62">
        <v>340.20000000000005</v>
      </c>
      <c r="Q986" s="63">
        <v>340.20000000000005</v>
      </c>
      <c r="R986" s="64">
        <v>380.0</v>
      </c>
      <c r="S986" s="111">
        <v>399.0</v>
      </c>
      <c r="T986" s="65">
        <f t="shared" si="2"/>
        <v>63.84</v>
      </c>
      <c r="U986" s="65">
        <f t="shared" si="3"/>
        <v>462.84</v>
      </c>
      <c r="V986" s="66">
        <f t="shared" si="4"/>
        <v>0.05</v>
      </c>
      <c r="W986" s="67">
        <f t="shared" si="5"/>
        <v>379.05</v>
      </c>
      <c r="X986" s="67">
        <f t="shared" si="6"/>
        <v>60.648</v>
      </c>
      <c r="Y986" s="67">
        <f t="shared" si="7"/>
        <v>439.698</v>
      </c>
      <c r="Z986" s="67">
        <f t="shared" si="8"/>
        <v>359.1</v>
      </c>
      <c r="AA986" s="67">
        <f t="shared" si="9"/>
        <v>57.456</v>
      </c>
      <c r="AB986" s="67">
        <f t="shared" si="10"/>
        <v>416.556</v>
      </c>
      <c r="AC986" s="67">
        <f t="shared" si="11"/>
        <v>339.15</v>
      </c>
      <c r="AD986" s="67">
        <f t="shared" si="12"/>
        <v>54.264</v>
      </c>
      <c r="AE986" s="67">
        <f t="shared" si="13"/>
        <v>393.414</v>
      </c>
      <c r="AF986" s="67">
        <f t="shared" si="33"/>
        <v>331.17</v>
      </c>
      <c r="AG986" s="67">
        <f t="shared" si="15"/>
        <v>52.9872</v>
      </c>
      <c r="AH986" s="67">
        <f t="shared" si="16"/>
        <v>384.1572</v>
      </c>
      <c r="AI986" s="67">
        <f t="shared" si="17"/>
        <v>319.2</v>
      </c>
      <c r="AJ986" s="68">
        <f t="shared" si="31"/>
        <v>51.072</v>
      </c>
      <c r="AK986" s="68">
        <f t="shared" si="32"/>
        <v>370.272</v>
      </c>
      <c r="AL986" s="70">
        <f>IFERROR(__xludf.DUMMYFUNCTION("""COMPUTED_VALUE"""),1.0)</f>
        <v>1</v>
      </c>
      <c r="AM986" s="70"/>
      <c r="AN986" s="71" t="str">
        <f>IFERROR(__xludf.DUMMYFUNCTION("""COMPUTED_VALUE""")," P")</f>
        <v>P</v>
      </c>
      <c r="AO986" s="71" t="str">
        <f>IFERROR(__xludf.DUMMYFUNCTION("""COMPUTED_VALUE""")," PO22")</f>
        <v>PO22</v>
      </c>
      <c r="AP986" s="71" t="str">
        <f>IFERROR(__xludf.DUMMYFUNCTION("""COMPUTED_VALUE""")," PZA")</f>
        <v>PZA</v>
      </c>
      <c r="AQ986" s="71" t="str">
        <f>IFERROR(__xludf.DUMMYFUNCTION("""COMPUTED_VALUE""")," REF")</f>
        <v>REF</v>
      </c>
      <c r="AR986" s="71" t="str">
        <f>IFERROR(__xludf.DUMMYFUNCTION("""COMPUTED_VALUE""")," POLEA 17"" 1RB E1 C1/4")</f>
        <v>POLEA 17" 1RB E1 C1/4</v>
      </c>
      <c r="AS986" s="71" t="str">
        <f>IFERROR(__xludf.DUMMYFUNCTION("""COMPUTED_VALUE""")," POLEA 17"" 1RB E1 C1/4")</f>
        <v>POLEA 17" 1RB E1 C1/4</v>
      </c>
      <c r="AT986" s="71">
        <f>IFERROR(__xludf.DUMMYFUNCTION("""COMPUTED_VALUE"""),21.0)</f>
        <v>21</v>
      </c>
      <c r="AU986" s="71"/>
      <c r="AV986" s="71"/>
      <c r="AW986" s="71"/>
      <c r="AX986" s="71"/>
      <c r="AY986" s="71">
        <f>IFERROR(__xludf.DUMMYFUNCTION("""COMPUTED_VALUE"""),880.0)</f>
        <v>880</v>
      </c>
      <c r="AZ986" s="71">
        <f>IFERROR(__xludf.DUMMYFUNCTION("""COMPUTED_VALUE"""),950.0)</f>
        <v>950</v>
      </c>
      <c r="BA986" s="71">
        <f>IFERROR(__xludf.DUMMYFUNCTION("""COMPUTED_VALUE"""),1026.0)</f>
        <v>1026</v>
      </c>
      <c r="BB986" s="71">
        <f>IFERROR(__xludf.DUMMYFUNCTION("""COMPUTED_VALUE"""),1026.0)</f>
        <v>1026</v>
      </c>
      <c r="BC986" s="71">
        <f>IFERROR(__xludf.DUMMYFUNCTION("""COMPUTED_VALUE"""),1176.0)</f>
        <v>1176</v>
      </c>
      <c r="BD986" s="71">
        <f>IFERROR(__xludf.DUMMYFUNCTION("""COMPUTED_VALUE"""),1235.0)</f>
        <v>1235</v>
      </c>
      <c r="BE986" s="71">
        <f>IFERROR(__xludf.DUMMYFUNCTION("""COMPUTED_VALUE"""),197.6)</f>
        <v>197.6</v>
      </c>
      <c r="BF986" s="71">
        <f>IFERROR(__xludf.DUMMYFUNCTION("""COMPUTED_VALUE"""),1432.6)</f>
        <v>1432.6</v>
      </c>
      <c r="BG986" s="71">
        <f>IFERROR(__xludf.DUMMYFUNCTION("""COMPUTED_VALUE"""),0.050170068027210885)</f>
        <v>0.05017006803</v>
      </c>
      <c r="BH986" s="71">
        <f>IFERROR(__xludf.DUMMYFUNCTION("""COMPUTED_VALUE"""),1173.25)</f>
        <v>1173.25</v>
      </c>
      <c r="BI986" s="71">
        <f>IFERROR(__xludf.DUMMYFUNCTION("""COMPUTED_VALUE"""),187.72)</f>
        <v>187.72</v>
      </c>
      <c r="BJ986" s="71">
        <f>IFERROR(__xludf.DUMMYFUNCTION("""COMPUTED_VALUE"""),1360.97)</f>
        <v>1360.97</v>
      </c>
      <c r="BK986" s="71">
        <f>IFERROR(__xludf.DUMMYFUNCTION("""COMPUTED_VALUE"""),1111.5)</f>
        <v>1111.5</v>
      </c>
      <c r="BL986" s="71">
        <f>IFERROR(__xludf.DUMMYFUNCTION("""COMPUTED_VALUE"""),177.84)</f>
        <v>177.84</v>
      </c>
      <c r="BM986" s="71">
        <f>IFERROR(__xludf.DUMMYFUNCTION("""COMPUTED_VALUE"""),1289.34)</f>
        <v>1289.34</v>
      </c>
      <c r="BN986" s="71">
        <f>IFERROR(__xludf.DUMMYFUNCTION("""COMPUTED_VALUE"""),1049.75)</f>
        <v>1049.75</v>
      </c>
      <c r="BO986" s="71">
        <f>IFERROR(__xludf.DUMMYFUNCTION("""COMPUTED_VALUE"""),167.96)</f>
        <v>167.96</v>
      </c>
      <c r="BP986" s="71">
        <f>IFERROR(__xludf.DUMMYFUNCTION("""COMPUTED_VALUE"""),1217.71)</f>
        <v>1217.71</v>
      </c>
      <c r="BQ986" s="71">
        <f>IFERROR(__xludf.DUMMYFUNCTION("""COMPUTED_VALUE"""),1025.05)</f>
        <v>1025.05</v>
      </c>
      <c r="BR986" s="71">
        <f>IFERROR(__xludf.DUMMYFUNCTION("""COMPUTED_VALUE"""),164.008)</f>
        <v>164.008</v>
      </c>
      <c r="BS986" s="71">
        <f>IFERROR(__xludf.DUMMYFUNCTION("""COMPUTED_VALUE"""),1189.058)</f>
        <v>1189.058</v>
      </c>
      <c r="BT986" s="71">
        <f>IFERROR(__xludf.DUMMYFUNCTION("""COMPUTED_VALUE"""),988.0)</f>
        <v>988</v>
      </c>
      <c r="BU986" s="71">
        <f>IFERROR(__xludf.DUMMYFUNCTION("""COMPUTED_VALUE"""),158.08)</f>
        <v>158.08</v>
      </c>
      <c r="BV986" s="71">
        <f>IFERROR(__xludf.DUMMYFUNCTION("""COMPUTED_VALUE"""),1146.08)</f>
        <v>1146.08</v>
      </c>
    </row>
    <row r="987">
      <c r="A987" s="53">
        <v>1.0</v>
      </c>
      <c r="B987" s="53"/>
      <c r="C987" s="73" t="s">
        <v>53</v>
      </c>
      <c r="D987" s="74" t="s">
        <v>2397</v>
      </c>
      <c r="E987" s="54" t="s">
        <v>38</v>
      </c>
      <c r="F987" s="54" t="s">
        <v>42</v>
      </c>
      <c r="G987" s="55" t="s">
        <v>2398</v>
      </c>
      <c r="H987" s="54" t="s">
        <v>2399</v>
      </c>
      <c r="I987" s="54">
        <f t="shared" si="24"/>
        <v>39</v>
      </c>
      <c r="J987" s="56"/>
      <c r="K987" s="75"/>
      <c r="L987" s="76"/>
      <c r="M987" s="59"/>
      <c r="N987" s="60">
        <v>292.0</v>
      </c>
      <c r="O987" s="61">
        <v>315.0</v>
      </c>
      <c r="P987" s="62">
        <v>560.0</v>
      </c>
      <c r="Q987" s="63">
        <v>560.0</v>
      </c>
      <c r="R987" s="64">
        <v>380.0</v>
      </c>
      <c r="S987" s="111">
        <v>399.0</v>
      </c>
      <c r="T987" s="65">
        <f t="shared" si="2"/>
        <v>63.84</v>
      </c>
      <c r="U987" s="65">
        <f t="shared" si="3"/>
        <v>462.84</v>
      </c>
      <c r="V987" s="66">
        <f t="shared" si="4"/>
        <v>0.05</v>
      </c>
      <c r="W987" s="67">
        <f t="shared" si="5"/>
        <v>379.05</v>
      </c>
      <c r="X987" s="67">
        <f t="shared" si="6"/>
        <v>60.648</v>
      </c>
      <c r="Y987" s="67">
        <f t="shared" si="7"/>
        <v>439.698</v>
      </c>
      <c r="Z987" s="67">
        <f t="shared" si="8"/>
        <v>359.1</v>
      </c>
      <c r="AA987" s="67">
        <f t="shared" si="9"/>
        <v>57.456</v>
      </c>
      <c r="AB987" s="67">
        <f t="shared" si="10"/>
        <v>416.556</v>
      </c>
      <c r="AC987" s="67">
        <f t="shared" si="11"/>
        <v>339.15</v>
      </c>
      <c r="AD987" s="67">
        <f t="shared" si="12"/>
        <v>54.264</v>
      </c>
      <c r="AE987" s="67">
        <f t="shared" si="13"/>
        <v>393.414</v>
      </c>
      <c r="AF987" s="67">
        <f t="shared" si="33"/>
        <v>331.17</v>
      </c>
      <c r="AG987" s="67">
        <f t="shared" si="15"/>
        <v>52.9872</v>
      </c>
      <c r="AH987" s="67">
        <f t="shared" si="16"/>
        <v>384.1572</v>
      </c>
      <c r="AI987" s="67">
        <f t="shared" si="17"/>
        <v>319.2</v>
      </c>
      <c r="AJ987" s="68">
        <f t="shared" si="31"/>
        <v>51.072</v>
      </c>
      <c r="AK987" s="68">
        <f t="shared" si="32"/>
        <v>370.272</v>
      </c>
      <c r="AL987" s="70">
        <f>IFERROR(__xludf.DUMMYFUNCTION("""COMPUTED_VALUE"""),1.0)</f>
        <v>1</v>
      </c>
      <c r="AM987" s="70"/>
      <c r="AN987" s="71" t="str">
        <f>IFERROR(__xludf.DUMMYFUNCTION("""COMPUTED_VALUE""")," P")</f>
        <v>P</v>
      </c>
      <c r="AO987" s="71" t="str">
        <f>IFERROR(__xludf.DUMMYFUNCTION("""COMPUTED_VALUE""")," PO56")</f>
        <v>PO56</v>
      </c>
      <c r="AP987" s="71" t="str">
        <f>IFERROR(__xludf.DUMMYFUNCTION("""COMPUTED_VALUE""")," PZA")</f>
        <v>PZA</v>
      </c>
      <c r="AQ987" s="71" t="str">
        <f>IFERROR(__xludf.DUMMYFUNCTION("""COMPUTED_VALUE""")," REF")</f>
        <v>REF</v>
      </c>
      <c r="AR987" s="71" t="str">
        <f>IFERROR(__xludf.DUMMYFUNCTION("""COMPUTED_VALUE""")," POLEA 17"" 2RB E1 C1/4")</f>
        <v>POLEA 17" 2RB E1 C1/4</v>
      </c>
      <c r="AS987" s="71" t="str">
        <f>IFERROR(__xludf.DUMMYFUNCTION("""COMPUTED_VALUE""")," POLEA 17"" 2RB E1 C1/4")</f>
        <v>POLEA 17" 2RB E1 C1/4</v>
      </c>
      <c r="AT987" s="71">
        <f>IFERROR(__xludf.DUMMYFUNCTION("""COMPUTED_VALUE"""),21.0)</f>
        <v>21</v>
      </c>
      <c r="AU987" s="71"/>
      <c r="AV987" s="71"/>
      <c r="AW987" s="71"/>
      <c r="AX987" s="71"/>
      <c r="AY987" s="71">
        <f>IFERROR(__xludf.DUMMYFUNCTION("""COMPUTED_VALUE"""),1428.0)</f>
        <v>1428</v>
      </c>
      <c r="AZ987" s="71">
        <f>IFERROR(__xludf.DUMMYFUNCTION("""COMPUTED_VALUE"""),1542.0)</f>
        <v>1542</v>
      </c>
      <c r="BA987" s="71">
        <f>IFERROR(__xludf.DUMMYFUNCTION("""COMPUTED_VALUE"""),1665.3600000000001)</f>
        <v>1665.36</v>
      </c>
      <c r="BB987" s="71">
        <f>IFERROR(__xludf.DUMMYFUNCTION("""COMPUTED_VALUE"""),1665.3600000000001)</f>
        <v>1665.36</v>
      </c>
      <c r="BC987" s="71">
        <f>IFERROR(__xludf.DUMMYFUNCTION("""COMPUTED_VALUE"""),1799.0)</f>
        <v>1799</v>
      </c>
      <c r="BD987" s="71">
        <f>IFERROR(__xludf.DUMMYFUNCTION("""COMPUTED_VALUE"""),1889.0)</f>
        <v>1889</v>
      </c>
      <c r="BE987" s="71">
        <f>IFERROR(__xludf.DUMMYFUNCTION("""COMPUTED_VALUE"""),302.24)</f>
        <v>302.24</v>
      </c>
      <c r="BF987" s="71">
        <f>IFERROR(__xludf.DUMMYFUNCTION("""COMPUTED_VALUE"""),2191.24)</f>
        <v>2191.24</v>
      </c>
      <c r="BG987" s="71">
        <f>IFERROR(__xludf.DUMMYFUNCTION("""COMPUTED_VALUE"""),0.0500277932184547)</f>
        <v>0.05002779322</v>
      </c>
      <c r="BH987" s="71">
        <f>IFERROR(__xludf.DUMMYFUNCTION("""COMPUTED_VALUE"""),1794.55)</f>
        <v>1794.55</v>
      </c>
      <c r="BI987" s="71">
        <f>IFERROR(__xludf.DUMMYFUNCTION("""COMPUTED_VALUE"""),287.128)</f>
        <v>287.128</v>
      </c>
      <c r="BJ987" s="71">
        <f>IFERROR(__xludf.DUMMYFUNCTION("""COMPUTED_VALUE"""),2081.678)</f>
        <v>2081.678</v>
      </c>
      <c r="BK987" s="71">
        <f>IFERROR(__xludf.DUMMYFUNCTION("""COMPUTED_VALUE"""),1700.1000000000001)</f>
        <v>1700.1</v>
      </c>
      <c r="BL987" s="71">
        <f>IFERROR(__xludf.DUMMYFUNCTION("""COMPUTED_VALUE"""),272.016)</f>
        <v>272.016</v>
      </c>
      <c r="BM987" s="71">
        <f>IFERROR(__xludf.DUMMYFUNCTION("""COMPUTED_VALUE"""),1972.1160000000002)</f>
        <v>1972.116</v>
      </c>
      <c r="BN987" s="71">
        <f>IFERROR(__xludf.DUMMYFUNCTION("""COMPUTED_VALUE"""),1605.6499999999999)</f>
        <v>1605.65</v>
      </c>
      <c r="BO987" s="71">
        <f>IFERROR(__xludf.DUMMYFUNCTION("""COMPUTED_VALUE"""),256.904)</f>
        <v>256.904</v>
      </c>
      <c r="BP987" s="71">
        <f>IFERROR(__xludf.DUMMYFUNCTION("""COMPUTED_VALUE"""),1862.5539999999999)</f>
        <v>1862.554</v>
      </c>
      <c r="BQ987" s="71">
        <f>IFERROR(__xludf.DUMMYFUNCTION("""COMPUTED_VALUE"""),1567.87)</f>
        <v>1567.87</v>
      </c>
      <c r="BR987" s="71">
        <f>IFERROR(__xludf.DUMMYFUNCTION("""COMPUTED_VALUE"""),250.8592)</f>
        <v>250.8592</v>
      </c>
      <c r="BS987" s="71">
        <f>IFERROR(__xludf.DUMMYFUNCTION("""COMPUTED_VALUE"""),1818.7291999999998)</f>
        <v>1818.7292</v>
      </c>
      <c r="BT987" s="71">
        <f>IFERROR(__xludf.DUMMYFUNCTION("""COMPUTED_VALUE"""),1511.2)</f>
        <v>1511.2</v>
      </c>
      <c r="BU987" s="71">
        <f>IFERROR(__xludf.DUMMYFUNCTION("""COMPUTED_VALUE"""),241.792)</f>
        <v>241.792</v>
      </c>
      <c r="BV987" s="71">
        <f>IFERROR(__xludf.DUMMYFUNCTION("""COMPUTED_VALUE"""),1752.992)</f>
        <v>1752.992</v>
      </c>
    </row>
    <row r="988">
      <c r="A988" s="53">
        <v>1.0</v>
      </c>
      <c r="B988" s="72"/>
      <c r="C988" s="73" t="s">
        <v>12</v>
      </c>
      <c r="D988" s="74" t="s">
        <v>2400</v>
      </c>
      <c r="E988" s="54" t="s">
        <v>38</v>
      </c>
      <c r="F988" s="54" t="s">
        <v>42</v>
      </c>
      <c r="G988" s="88" t="s">
        <v>2401</v>
      </c>
      <c r="H988" s="54" t="s">
        <v>2402</v>
      </c>
      <c r="I988" s="54">
        <f t="shared" si="24"/>
        <v>32</v>
      </c>
      <c r="J988" s="56"/>
      <c r="K988" s="75"/>
      <c r="L988" s="76"/>
      <c r="M988" s="59"/>
      <c r="N988" s="60">
        <v>140.0</v>
      </c>
      <c r="O988" s="61">
        <v>151.0</v>
      </c>
      <c r="P988" s="62">
        <v>163.08</v>
      </c>
      <c r="Q988" s="63">
        <v>163.08</v>
      </c>
      <c r="R988" s="64">
        <v>182.0</v>
      </c>
      <c r="S988" s="111">
        <v>191.0</v>
      </c>
      <c r="T988" s="65">
        <f t="shared" si="2"/>
        <v>30.56</v>
      </c>
      <c r="U988" s="65">
        <f t="shared" si="3"/>
        <v>221.56</v>
      </c>
      <c r="V988" s="66">
        <f t="shared" si="4"/>
        <v>0.04945054945</v>
      </c>
      <c r="W988" s="67">
        <f t="shared" si="5"/>
        <v>181.45</v>
      </c>
      <c r="X988" s="67">
        <f t="shared" si="6"/>
        <v>29.032</v>
      </c>
      <c r="Y988" s="67">
        <f t="shared" si="7"/>
        <v>210.482</v>
      </c>
      <c r="Z988" s="67">
        <f t="shared" si="8"/>
        <v>171.9</v>
      </c>
      <c r="AA988" s="67">
        <f t="shared" si="9"/>
        <v>27.504</v>
      </c>
      <c r="AB988" s="67">
        <f t="shared" si="10"/>
        <v>199.404</v>
      </c>
      <c r="AC988" s="67">
        <f t="shared" si="11"/>
        <v>162.35</v>
      </c>
      <c r="AD988" s="67">
        <f t="shared" si="12"/>
        <v>25.976</v>
      </c>
      <c r="AE988" s="67">
        <f t="shared" si="13"/>
        <v>188.326</v>
      </c>
      <c r="AF988" s="67">
        <f t="shared" si="33"/>
        <v>158.53</v>
      </c>
      <c r="AG988" s="67">
        <f t="shared" si="15"/>
        <v>25.3648</v>
      </c>
      <c r="AH988" s="67">
        <f t="shared" si="16"/>
        <v>183.8948</v>
      </c>
      <c r="AI988" s="67">
        <f t="shared" si="17"/>
        <v>152.8</v>
      </c>
      <c r="AJ988" s="68">
        <f t="shared" si="31"/>
        <v>24.448</v>
      </c>
      <c r="AK988" s="68">
        <f t="shared" si="32"/>
        <v>177.248</v>
      </c>
      <c r="AL988" s="70">
        <f>IFERROR(__xludf.DUMMYFUNCTION("""COMPUTED_VALUE"""),1.0)</f>
        <v>1</v>
      </c>
      <c r="AM988" s="70"/>
      <c r="AN988" s="71" t="str">
        <f>IFERROR(__xludf.DUMMYFUNCTION("""COMPUTED_VALUE""")," P")</f>
        <v>P</v>
      </c>
      <c r="AO988" s="71" t="str">
        <f>IFERROR(__xludf.DUMMYFUNCTION("""COMPUTED_VALUE""")," PO24")</f>
        <v>PO24</v>
      </c>
      <c r="AP988" s="71" t="str">
        <f>IFERROR(__xludf.DUMMYFUNCTION("""COMPUTED_VALUE""")," PZA")</f>
        <v>PZA</v>
      </c>
      <c r="AQ988" s="71" t="str">
        <f>IFERROR(__xludf.DUMMYFUNCTION("""COMPUTED_VALUE""")," REF")</f>
        <v>REF</v>
      </c>
      <c r="AR988" s="71" t="str">
        <f>IFERROR(__xludf.DUMMYFUNCTION("""COMPUTED_VALUE""")," POLEA 18"" 1RB E1 C1/4")</f>
        <v>POLEA 18" 1RB E1 C1/4</v>
      </c>
      <c r="AS988" s="71" t="str">
        <f>IFERROR(__xludf.DUMMYFUNCTION("""COMPUTED_VALUE""")," POLEA 18"" 1RB E1 C1/4")</f>
        <v>POLEA 18" 1RB E1 C1/4</v>
      </c>
      <c r="AT988" s="71">
        <f>IFERROR(__xludf.DUMMYFUNCTION("""COMPUTED_VALUE"""),21.0)</f>
        <v>21</v>
      </c>
      <c r="AU988" s="71"/>
      <c r="AV988" s="71"/>
      <c r="AW988" s="71"/>
      <c r="AX988" s="71"/>
      <c r="AY988" s="71">
        <f>IFERROR(__xludf.DUMMYFUNCTION("""COMPUTED_VALUE"""),1107.0)</f>
        <v>1107</v>
      </c>
      <c r="AZ988" s="71">
        <f>IFERROR(__xludf.DUMMYFUNCTION("""COMPUTED_VALUE"""),1195.0)</f>
        <v>1195</v>
      </c>
      <c r="BA988" s="71">
        <f>IFERROR(__xludf.DUMMYFUNCTION("""COMPUTED_VALUE"""),1290.6000000000001)</f>
        <v>1290.6</v>
      </c>
      <c r="BB988" s="71">
        <f>IFERROR(__xludf.DUMMYFUNCTION("""COMPUTED_VALUE"""),1290.6000000000001)</f>
        <v>1290.6</v>
      </c>
      <c r="BC988" s="71">
        <f>IFERROR(__xludf.DUMMYFUNCTION("""COMPUTED_VALUE"""),1479.0)</f>
        <v>1479</v>
      </c>
      <c r="BD988" s="71">
        <f>IFERROR(__xludf.DUMMYFUNCTION("""COMPUTED_VALUE"""),1553.0)</f>
        <v>1553</v>
      </c>
      <c r="BE988" s="71">
        <f>IFERROR(__xludf.DUMMYFUNCTION("""COMPUTED_VALUE"""),248.48000000000002)</f>
        <v>248.48</v>
      </c>
      <c r="BF988" s="71">
        <f>IFERROR(__xludf.DUMMYFUNCTION("""COMPUTED_VALUE"""),1801.48)</f>
        <v>1801.48</v>
      </c>
      <c r="BG988" s="71">
        <f>IFERROR(__xludf.DUMMYFUNCTION("""COMPUTED_VALUE"""),0.050033806626098715)</f>
        <v>0.05003380663</v>
      </c>
      <c r="BH988" s="71">
        <f>IFERROR(__xludf.DUMMYFUNCTION("""COMPUTED_VALUE"""),1475.35)</f>
        <v>1475.35</v>
      </c>
      <c r="BI988" s="71">
        <f>IFERROR(__xludf.DUMMYFUNCTION("""COMPUTED_VALUE"""),236.05599999999998)</f>
        <v>236.056</v>
      </c>
      <c r="BJ988" s="71">
        <f>IFERROR(__xludf.DUMMYFUNCTION("""COMPUTED_VALUE"""),1711.406)</f>
        <v>1711.406</v>
      </c>
      <c r="BK988" s="71">
        <f>IFERROR(__xludf.DUMMYFUNCTION("""COMPUTED_VALUE"""),1397.7)</f>
        <v>1397.7</v>
      </c>
      <c r="BL988" s="71">
        <f>IFERROR(__xludf.DUMMYFUNCTION("""COMPUTED_VALUE"""),223.632)</f>
        <v>223.632</v>
      </c>
      <c r="BM988" s="71">
        <f>IFERROR(__xludf.DUMMYFUNCTION("""COMPUTED_VALUE"""),1621.332)</f>
        <v>1621.332</v>
      </c>
      <c r="BN988" s="71">
        <f>IFERROR(__xludf.DUMMYFUNCTION("""COMPUTED_VALUE"""),1320.05)</f>
        <v>1320.05</v>
      </c>
      <c r="BO988" s="71">
        <f>IFERROR(__xludf.DUMMYFUNCTION("""COMPUTED_VALUE"""),211.208)</f>
        <v>211.208</v>
      </c>
      <c r="BP988" s="71">
        <f>IFERROR(__xludf.DUMMYFUNCTION("""COMPUTED_VALUE"""),1531.258)</f>
        <v>1531.258</v>
      </c>
      <c r="BQ988" s="71">
        <f>IFERROR(__xludf.DUMMYFUNCTION("""COMPUTED_VALUE"""),1288.99)</f>
        <v>1288.99</v>
      </c>
      <c r="BR988" s="71">
        <f>IFERROR(__xludf.DUMMYFUNCTION("""COMPUTED_VALUE"""),206.2384)</f>
        <v>206.2384</v>
      </c>
      <c r="BS988" s="71">
        <f>IFERROR(__xludf.DUMMYFUNCTION("""COMPUTED_VALUE"""),1495.2284)</f>
        <v>1495.2284</v>
      </c>
      <c r="BT988" s="71">
        <f>IFERROR(__xludf.DUMMYFUNCTION("""COMPUTED_VALUE"""),1242.4)</f>
        <v>1242.4</v>
      </c>
      <c r="BU988" s="71">
        <f>IFERROR(__xludf.DUMMYFUNCTION("""COMPUTED_VALUE"""),198.78400000000002)</f>
        <v>198.784</v>
      </c>
      <c r="BV988" s="71">
        <f>IFERROR(__xludf.DUMMYFUNCTION("""COMPUTED_VALUE"""),1441.1840000000002)</f>
        <v>1441.184</v>
      </c>
    </row>
    <row r="989">
      <c r="A989" s="53">
        <v>1.0</v>
      </c>
      <c r="B989" s="72"/>
      <c r="C989" s="73" t="s">
        <v>12</v>
      </c>
      <c r="D989" s="74" t="s">
        <v>2403</v>
      </c>
      <c r="E989" s="54" t="s">
        <v>38</v>
      </c>
      <c r="F989" s="54" t="s">
        <v>42</v>
      </c>
      <c r="G989" s="88" t="s">
        <v>2404</v>
      </c>
      <c r="H989" s="54" t="s">
        <v>2405</v>
      </c>
      <c r="I989" s="54">
        <f t="shared" si="24"/>
        <v>21</v>
      </c>
      <c r="J989" s="56"/>
      <c r="K989" s="75"/>
      <c r="L989" s="76"/>
      <c r="M989" s="59"/>
      <c r="N989" s="60">
        <v>4.0</v>
      </c>
      <c r="O989" s="61">
        <v>4.0</v>
      </c>
      <c r="P989" s="62">
        <v>4.32</v>
      </c>
      <c r="Q989" s="63">
        <v>4.32</v>
      </c>
      <c r="R989" s="78">
        <v>5.0</v>
      </c>
      <c r="S989" s="111">
        <v>5.25</v>
      </c>
      <c r="T989" s="65">
        <f t="shared" si="2"/>
        <v>0.84</v>
      </c>
      <c r="U989" s="65">
        <f t="shared" si="3"/>
        <v>6.09</v>
      </c>
      <c r="V989" s="66">
        <f t="shared" si="4"/>
        <v>0.05</v>
      </c>
      <c r="W989" s="67">
        <f t="shared" si="5"/>
        <v>4.9875</v>
      </c>
      <c r="X989" s="67">
        <f t="shared" si="6"/>
        <v>0.798</v>
      </c>
      <c r="Y989" s="67">
        <f t="shared" si="7"/>
        <v>5.7855</v>
      </c>
      <c r="Z989" s="67">
        <f t="shared" si="8"/>
        <v>4.725</v>
      </c>
      <c r="AA989" s="67">
        <f t="shared" si="9"/>
        <v>0.756</v>
      </c>
      <c r="AB989" s="67">
        <f t="shared" si="10"/>
        <v>5.481</v>
      </c>
      <c r="AC989" s="67">
        <f t="shared" si="11"/>
        <v>4.4625</v>
      </c>
      <c r="AD989" s="67">
        <f t="shared" si="12"/>
        <v>0.714</v>
      </c>
      <c r="AE989" s="67">
        <f t="shared" si="13"/>
        <v>5.1765</v>
      </c>
      <c r="AF989" s="67">
        <f t="shared" si="33"/>
        <v>4.3575</v>
      </c>
      <c r="AG989" s="67">
        <f t="shared" si="15"/>
        <v>0.6972</v>
      </c>
      <c r="AH989" s="67">
        <f t="shared" si="16"/>
        <v>5.0547</v>
      </c>
      <c r="AI989" s="67">
        <f t="shared" si="17"/>
        <v>4.2</v>
      </c>
      <c r="AJ989" s="68">
        <f t="shared" si="31"/>
        <v>0.672</v>
      </c>
      <c r="AK989" s="68">
        <f t="shared" si="32"/>
        <v>4.872</v>
      </c>
      <c r="AL989" s="70">
        <f>IFERROR(__xludf.DUMMYFUNCTION("""COMPUTED_VALUE"""),1.0)</f>
        <v>1</v>
      </c>
      <c r="AM989" s="70"/>
      <c r="AN989" s="71" t="str">
        <f>IFERROR(__xludf.DUMMYFUNCTION("""COMPUTED_VALUE""")," P")</f>
        <v>P</v>
      </c>
      <c r="AO989" s="71" t="str">
        <f>IFERROR(__xludf.DUMMYFUNCTION("""COMPUTED_VALUE""")," PO23")</f>
        <v>PO23</v>
      </c>
      <c r="AP989" s="71" t="str">
        <f>IFERROR(__xludf.DUMMYFUNCTION("""COMPUTED_VALUE""")," PZA")</f>
        <v>PZA</v>
      </c>
      <c r="AQ989" s="71" t="str">
        <f>IFERROR(__xludf.DUMMYFUNCTION("""COMPUTED_VALUE""")," REF")</f>
        <v>REF</v>
      </c>
      <c r="AR989" s="71" t="str">
        <f>IFERROR(__xludf.DUMMYFUNCTION("""COMPUTED_VALUE""")," POLEA 18"" 2RB E1 C1/4")</f>
        <v>POLEA 18" 2RB E1 C1/4</v>
      </c>
      <c r="AS989" s="71" t="str">
        <f>IFERROR(__xludf.DUMMYFUNCTION("""COMPUTED_VALUE""")," POLEA 18"" 2RB E1 C1/4")</f>
        <v>POLEA 18" 2RB E1 C1/4</v>
      </c>
      <c r="AT989" s="71">
        <f>IFERROR(__xludf.DUMMYFUNCTION("""COMPUTED_VALUE"""),21.0)</f>
        <v>21</v>
      </c>
      <c r="AU989" s="71"/>
      <c r="AV989" s="71"/>
      <c r="AW989" s="71"/>
      <c r="AX989" s="71"/>
      <c r="AY989" s="71">
        <f>IFERROR(__xludf.DUMMYFUNCTION("""COMPUTED_VALUE"""),1587.0)</f>
        <v>1587</v>
      </c>
      <c r="AZ989" s="71">
        <f>IFERROR(__xludf.DUMMYFUNCTION("""COMPUTED_VALUE"""),1713.0)</f>
        <v>1713</v>
      </c>
      <c r="BA989" s="71">
        <f>IFERROR(__xludf.DUMMYFUNCTION("""COMPUTED_VALUE"""),1850.0400000000002)</f>
        <v>1850.04</v>
      </c>
      <c r="BB989" s="71">
        <f>IFERROR(__xludf.DUMMYFUNCTION("""COMPUTED_VALUE"""),1850.0400000000002)</f>
        <v>1850.04</v>
      </c>
      <c r="BC989" s="71">
        <f>IFERROR(__xludf.DUMMYFUNCTION("""COMPUTED_VALUE"""),2119.0)</f>
        <v>2119</v>
      </c>
      <c r="BD989" s="71">
        <f>IFERROR(__xludf.DUMMYFUNCTION("""COMPUTED_VALUE"""),2225.0)</f>
        <v>2225</v>
      </c>
      <c r="BE989" s="71">
        <f>IFERROR(__xludf.DUMMYFUNCTION("""COMPUTED_VALUE"""),356.0)</f>
        <v>356</v>
      </c>
      <c r="BF989" s="71">
        <f>IFERROR(__xludf.DUMMYFUNCTION("""COMPUTED_VALUE"""),2581.0)</f>
        <v>2581</v>
      </c>
      <c r="BG989" s="71">
        <f>IFERROR(__xludf.DUMMYFUNCTION("""COMPUTED_VALUE"""),0.05002359603586597)</f>
        <v>0.05002359604</v>
      </c>
      <c r="BH989" s="71">
        <f>IFERROR(__xludf.DUMMYFUNCTION("""COMPUTED_VALUE"""),2113.75)</f>
        <v>2113.75</v>
      </c>
      <c r="BI989" s="71">
        <f>IFERROR(__xludf.DUMMYFUNCTION("""COMPUTED_VALUE"""),338.2)</f>
        <v>338.2</v>
      </c>
      <c r="BJ989" s="71">
        <f>IFERROR(__xludf.DUMMYFUNCTION("""COMPUTED_VALUE"""),2451.95)</f>
        <v>2451.95</v>
      </c>
      <c r="BK989" s="71">
        <f>IFERROR(__xludf.DUMMYFUNCTION("""COMPUTED_VALUE"""),2002.5)</f>
        <v>2002.5</v>
      </c>
      <c r="BL989" s="71">
        <f>IFERROR(__xludf.DUMMYFUNCTION("""COMPUTED_VALUE"""),320.40000000000003)</f>
        <v>320.4</v>
      </c>
      <c r="BM989" s="71">
        <f>IFERROR(__xludf.DUMMYFUNCTION("""COMPUTED_VALUE"""),2322.9)</f>
        <v>2322.9</v>
      </c>
      <c r="BN989" s="71">
        <f>IFERROR(__xludf.DUMMYFUNCTION("""COMPUTED_VALUE"""),1891.25)</f>
        <v>1891.25</v>
      </c>
      <c r="BO989" s="71">
        <f>IFERROR(__xludf.DUMMYFUNCTION("""COMPUTED_VALUE"""),302.6)</f>
        <v>302.6</v>
      </c>
      <c r="BP989" s="71">
        <f>IFERROR(__xludf.DUMMYFUNCTION("""COMPUTED_VALUE"""),2193.85)</f>
        <v>2193.85</v>
      </c>
      <c r="BQ989" s="71">
        <f>IFERROR(__xludf.DUMMYFUNCTION("""COMPUTED_VALUE"""),1846.75)</f>
        <v>1846.75</v>
      </c>
      <c r="BR989" s="71">
        <f>IFERROR(__xludf.DUMMYFUNCTION("""COMPUTED_VALUE"""),295.48)</f>
        <v>295.48</v>
      </c>
      <c r="BS989" s="71">
        <f>IFERROR(__xludf.DUMMYFUNCTION("""COMPUTED_VALUE"""),2142.23)</f>
        <v>2142.23</v>
      </c>
      <c r="BT989" s="71">
        <f>IFERROR(__xludf.DUMMYFUNCTION("""COMPUTED_VALUE"""),1780.0)</f>
        <v>1780</v>
      </c>
      <c r="BU989" s="71">
        <f>IFERROR(__xludf.DUMMYFUNCTION("""COMPUTED_VALUE"""),284.8)</f>
        <v>284.8</v>
      </c>
      <c r="BV989" s="71">
        <f>IFERROR(__xludf.DUMMYFUNCTION("""COMPUTED_VALUE"""),2064.8)</f>
        <v>2064.8</v>
      </c>
    </row>
    <row r="990">
      <c r="A990" s="53"/>
      <c r="B990" s="53"/>
      <c r="C990" s="73" t="s">
        <v>12</v>
      </c>
      <c r="D990" s="53" t="s">
        <v>2406</v>
      </c>
      <c r="E990" s="54" t="s">
        <v>38</v>
      </c>
      <c r="F990" s="54" t="s">
        <v>42</v>
      </c>
      <c r="G990" s="55" t="s">
        <v>2407</v>
      </c>
      <c r="H990" s="55" t="s">
        <v>2407</v>
      </c>
      <c r="I990" s="54">
        <f t="shared" si="24"/>
        <v>30</v>
      </c>
      <c r="J990" s="56"/>
      <c r="K990" s="57"/>
      <c r="L990" s="76"/>
      <c r="M990" s="59"/>
      <c r="N990" s="60"/>
      <c r="O990" s="90"/>
      <c r="P990" s="62">
        <v>8.3</v>
      </c>
      <c r="Q990" s="63">
        <v>8.3</v>
      </c>
      <c r="R990" s="64">
        <v>9.0</v>
      </c>
      <c r="S990" s="111">
        <v>9.450000000000001</v>
      </c>
      <c r="T990" s="65">
        <f t="shared" si="2"/>
        <v>1.512</v>
      </c>
      <c r="U990" s="65">
        <f t="shared" si="3"/>
        <v>10.962</v>
      </c>
      <c r="V990" s="66">
        <f t="shared" si="4"/>
        <v>0.05</v>
      </c>
      <c r="W990" s="67">
        <f t="shared" si="5"/>
        <v>8.9775</v>
      </c>
      <c r="X990" s="67">
        <f t="shared" si="6"/>
        <v>1.4364</v>
      </c>
      <c r="Y990" s="67">
        <f t="shared" si="7"/>
        <v>10.4139</v>
      </c>
      <c r="Z990" s="67">
        <f t="shared" si="8"/>
        <v>8.505</v>
      </c>
      <c r="AA990" s="67">
        <f t="shared" si="9"/>
        <v>1.3608</v>
      </c>
      <c r="AB990" s="67">
        <f t="shared" si="10"/>
        <v>9.8658</v>
      </c>
      <c r="AC990" s="67">
        <f t="shared" si="11"/>
        <v>8.0325</v>
      </c>
      <c r="AD990" s="67">
        <f t="shared" si="12"/>
        <v>1.2852</v>
      </c>
      <c r="AE990" s="67">
        <f t="shared" si="13"/>
        <v>9.3177</v>
      </c>
      <c r="AF990" s="67">
        <f t="shared" si="33"/>
        <v>7.8435</v>
      </c>
      <c r="AG990" s="67">
        <f t="shared" si="15"/>
        <v>1.25496</v>
      </c>
      <c r="AH990" s="67">
        <f t="shared" si="16"/>
        <v>9.09846</v>
      </c>
      <c r="AI990" s="67">
        <f t="shared" si="17"/>
        <v>7.56</v>
      </c>
      <c r="AJ990" s="68">
        <f t="shared" si="31"/>
        <v>1.2096</v>
      </c>
      <c r="AK990" s="68">
        <f t="shared" si="32"/>
        <v>8.7696</v>
      </c>
      <c r="AL990" s="70">
        <f>IFERROR(__xludf.DUMMYFUNCTION("""COMPUTED_VALUE"""),1.0)</f>
        <v>1</v>
      </c>
      <c r="AM990" s="70"/>
      <c r="AN990" s="71" t="str">
        <f>IFERROR(__xludf.DUMMYFUNCTION("""COMPUTED_VALUE""")," P")</f>
        <v>P</v>
      </c>
      <c r="AO990" s="71" t="str">
        <f>IFERROR(__xludf.DUMMYFUNCTION("""COMPUTED_VALUE""")," PO03")</f>
        <v>PO03</v>
      </c>
      <c r="AP990" s="71" t="str">
        <f>IFERROR(__xludf.DUMMYFUNCTION("""COMPUTED_VALUE""")," PZA")</f>
        <v>PZA</v>
      </c>
      <c r="AQ990" s="71" t="str">
        <f>IFERROR(__xludf.DUMMYFUNCTION("""COMPUTED_VALUE""")," REF")</f>
        <v>REF</v>
      </c>
      <c r="AR990" s="71" t="str">
        <f>IFERROR(__xludf.DUMMYFUNCTION("""COMPUTED_VALUE""")," POLEA 2 1/2"" 1RB C/MAMELON E5/8 C3/16")</f>
        <v>POLEA 2 1/2" 1RB C/MAMELON E5/8 C3/16</v>
      </c>
      <c r="AS990" s="71" t="str">
        <f>IFERROR(__xludf.DUMMYFUNCTION("""COMPUTED_VALUE""")," POLEA 2 1/2"" 1RB C/MAMELON E5/8 C3/16")</f>
        <v>POLEA 2 1/2" 1RB C/MAMELON E5/8 C3/16</v>
      </c>
      <c r="AT990" s="71">
        <f>IFERROR(__xludf.DUMMYFUNCTION("""COMPUTED_VALUE"""),37.0)</f>
        <v>37</v>
      </c>
      <c r="AU990" s="71"/>
      <c r="AV990" s="71"/>
      <c r="AW990" s="71"/>
      <c r="AX990" s="71"/>
      <c r="AY990" s="71">
        <f>IFERROR(__xludf.DUMMYFUNCTION("""COMPUTED_VALUE"""),67.0)</f>
        <v>67</v>
      </c>
      <c r="AZ990" s="71">
        <f>IFERROR(__xludf.DUMMYFUNCTION("""COMPUTED_VALUE"""),72.0)</f>
        <v>72</v>
      </c>
      <c r="BA990" s="71">
        <f>IFERROR(__xludf.DUMMYFUNCTION("""COMPUTED_VALUE"""),77.76)</f>
        <v>77.76</v>
      </c>
      <c r="BB990" s="71">
        <f>IFERROR(__xludf.DUMMYFUNCTION("""COMPUTED_VALUE"""),77.76)</f>
        <v>77.76</v>
      </c>
      <c r="BC990" s="71">
        <f>IFERROR(__xludf.DUMMYFUNCTION("""COMPUTED_VALUE"""),90.0)</f>
        <v>90</v>
      </c>
      <c r="BD990" s="71">
        <f>IFERROR(__xludf.DUMMYFUNCTION("""COMPUTED_VALUE"""),95.0)</f>
        <v>95</v>
      </c>
      <c r="BE990" s="71">
        <f>IFERROR(__xludf.DUMMYFUNCTION("""COMPUTED_VALUE"""),15.200000000000001)</f>
        <v>15.2</v>
      </c>
      <c r="BF990" s="71">
        <f>IFERROR(__xludf.DUMMYFUNCTION("""COMPUTED_VALUE"""),110.2)</f>
        <v>110.2</v>
      </c>
      <c r="BG990" s="71">
        <f>IFERROR(__xludf.DUMMYFUNCTION("""COMPUTED_VALUE"""),0.05555555555555555)</f>
        <v>0.05555555556</v>
      </c>
      <c r="BH990" s="71">
        <f>IFERROR(__xludf.DUMMYFUNCTION("""COMPUTED_VALUE"""),90.25)</f>
        <v>90.25</v>
      </c>
      <c r="BI990" s="71">
        <f>IFERROR(__xludf.DUMMYFUNCTION("""COMPUTED_VALUE"""),14.44)</f>
        <v>14.44</v>
      </c>
      <c r="BJ990" s="71">
        <f>IFERROR(__xludf.DUMMYFUNCTION("""COMPUTED_VALUE"""),104.69)</f>
        <v>104.69</v>
      </c>
      <c r="BK990" s="71">
        <f>IFERROR(__xludf.DUMMYFUNCTION("""COMPUTED_VALUE"""),85.5)</f>
        <v>85.5</v>
      </c>
      <c r="BL990" s="71">
        <f>IFERROR(__xludf.DUMMYFUNCTION("""COMPUTED_VALUE"""),13.68)</f>
        <v>13.68</v>
      </c>
      <c r="BM990" s="71">
        <f>IFERROR(__xludf.DUMMYFUNCTION("""COMPUTED_VALUE"""),99.18)</f>
        <v>99.18</v>
      </c>
      <c r="BN990" s="71">
        <f>IFERROR(__xludf.DUMMYFUNCTION("""COMPUTED_VALUE"""),80.75)</f>
        <v>80.75</v>
      </c>
      <c r="BO990" s="71">
        <f>IFERROR(__xludf.DUMMYFUNCTION("""COMPUTED_VALUE"""),12.92)</f>
        <v>12.92</v>
      </c>
      <c r="BP990" s="71">
        <f>IFERROR(__xludf.DUMMYFUNCTION("""COMPUTED_VALUE"""),93.67)</f>
        <v>93.67</v>
      </c>
      <c r="BQ990" s="71">
        <f>IFERROR(__xludf.DUMMYFUNCTION("""COMPUTED_VALUE"""),78.85)</f>
        <v>78.85</v>
      </c>
      <c r="BR990" s="71">
        <f>IFERROR(__xludf.DUMMYFUNCTION("""COMPUTED_VALUE"""),12.616)</f>
        <v>12.616</v>
      </c>
      <c r="BS990" s="71">
        <f>IFERROR(__xludf.DUMMYFUNCTION("""COMPUTED_VALUE"""),91.466)</f>
        <v>91.466</v>
      </c>
      <c r="BT990" s="71">
        <f>IFERROR(__xludf.DUMMYFUNCTION("""COMPUTED_VALUE"""),76.0)</f>
        <v>76</v>
      </c>
      <c r="BU990" s="71">
        <f>IFERROR(__xludf.DUMMYFUNCTION("""COMPUTED_VALUE"""),12.16)</f>
        <v>12.16</v>
      </c>
      <c r="BV990" s="71">
        <f>IFERROR(__xludf.DUMMYFUNCTION("""COMPUTED_VALUE"""),88.16)</f>
        <v>88.16</v>
      </c>
    </row>
    <row r="991">
      <c r="A991" s="53"/>
      <c r="B991" s="53"/>
      <c r="C991" s="73" t="s">
        <v>12</v>
      </c>
      <c r="D991" s="53" t="s">
        <v>2408</v>
      </c>
      <c r="E991" s="54" t="s">
        <v>38</v>
      </c>
      <c r="F991" s="54" t="s">
        <v>42</v>
      </c>
      <c r="G991" s="55" t="s">
        <v>2409</v>
      </c>
      <c r="H991" s="55" t="s">
        <v>2409</v>
      </c>
      <c r="I991" s="54">
        <f t="shared" si="24"/>
        <v>31</v>
      </c>
      <c r="J991" s="56"/>
      <c r="K991" s="57"/>
      <c r="L991" s="76"/>
      <c r="M991" s="59"/>
      <c r="N991" s="79"/>
      <c r="O991" s="61">
        <v>249.0</v>
      </c>
      <c r="P991" s="63">
        <v>268.92</v>
      </c>
      <c r="Q991" s="63">
        <v>268.92</v>
      </c>
      <c r="R991" s="64">
        <v>283.0</v>
      </c>
      <c r="S991" s="111">
        <v>297.0</v>
      </c>
      <c r="T991" s="65">
        <f t="shared" si="2"/>
        <v>47.52</v>
      </c>
      <c r="U991" s="65">
        <f t="shared" si="3"/>
        <v>344.52</v>
      </c>
      <c r="V991" s="66">
        <f t="shared" si="4"/>
        <v>0.04946996466</v>
      </c>
      <c r="W991" s="67">
        <f t="shared" si="5"/>
        <v>282.15</v>
      </c>
      <c r="X991" s="67">
        <f t="shared" si="6"/>
        <v>45.144</v>
      </c>
      <c r="Y991" s="67">
        <f t="shared" si="7"/>
        <v>327.294</v>
      </c>
      <c r="Z991" s="67">
        <f t="shared" si="8"/>
        <v>267.3</v>
      </c>
      <c r="AA991" s="67">
        <f t="shared" si="9"/>
        <v>42.768</v>
      </c>
      <c r="AB991" s="67">
        <f t="shared" si="10"/>
        <v>310.068</v>
      </c>
      <c r="AC991" s="67">
        <f t="shared" si="11"/>
        <v>252.45</v>
      </c>
      <c r="AD991" s="67">
        <f t="shared" si="12"/>
        <v>40.392</v>
      </c>
      <c r="AE991" s="67">
        <f t="shared" si="13"/>
        <v>292.842</v>
      </c>
      <c r="AF991" s="67">
        <f t="shared" si="33"/>
        <v>246.51</v>
      </c>
      <c r="AG991" s="67">
        <f t="shared" si="15"/>
        <v>39.4416</v>
      </c>
      <c r="AH991" s="67">
        <f t="shared" si="16"/>
        <v>285.9516</v>
      </c>
      <c r="AI991" s="67">
        <f t="shared" si="17"/>
        <v>237.6</v>
      </c>
      <c r="AJ991" s="68">
        <f t="shared" si="31"/>
        <v>38.016</v>
      </c>
      <c r="AK991" s="68">
        <f t="shared" si="32"/>
        <v>275.616</v>
      </c>
      <c r="AL991" s="70">
        <f>IFERROR(__xludf.DUMMYFUNCTION("""COMPUTED_VALUE"""),1.0)</f>
        <v>1</v>
      </c>
      <c r="AM991" s="70"/>
      <c r="AN991" s="71" t="str">
        <f>IFERROR(__xludf.DUMMYFUNCTION("""COMPUTED_VALUE""")," P")</f>
        <v>P</v>
      </c>
      <c r="AO991" s="71" t="str">
        <f>IFERROR(__xludf.DUMMYFUNCTION("""COMPUTED_VALUE""")," PO04")</f>
        <v>PO04</v>
      </c>
      <c r="AP991" s="71" t="str">
        <f>IFERROR(__xludf.DUMMYFUNCTION("""COMPUTED_VALUE""")," PZA")</f>
        <v>PZA</v>
      </c>
      <c r="AQ991" s="71" t="str">
        <f>IFERROR(__xludf.DUMMYFUNCTION("""COMPUTED_VALUE""")," REF")</f>
        <v>REF</v>
      </c>
      <c r="AR991" s="71" t="str">
        <f>IFERROR(__xludf.DUMMYFUNCTION("""COMPUTED_VALUE""")," POLEA 2-1/2"" 1RB C/MAMELON E7/8 C3/16")</f>
        <v>POLEA 2-1/2" 1RB C/MAMELON E7/8 C3/16</v>
      </c>
      <c r="AS991" s="71" t="str">
        <f>IFERROR(__xludf.DUMMYFUNCTION("""COMPUTED_VALUE""")," POLEA 2-1/2"" 1RB C/MAMELON E7/8 C3/16")</f>
        <v>POLEA 2-1/2" 1RB C/MAMELON E7/8 C3/16</v>
      </c>
      <c r="AT991" s="71">
        <f>IFERROR(__xludf.DUMMYFUNCTION("""COMPUTED_VALUE"""),37.0)</f>
        <v>37</v>
      </c>
      <c r="AU991" s="71"/>
      <c r="AV991" s="71"/>
      <c r="AW991" s="71"/>
      <c r="AX991" s="71"/>
      <c r="AY991" s="71">
        <f>IFERROR(__xludf.DUMMYFUNCTION("""COMPUTED_VALUE"""),67.0)</f>
        <v>67</v>
      </c>
      <c r="AZ991" s="71">
        <f>IFERROR(__xludf.DUMMYFUNCTION("""COMPUTED_VALUE"""),72.0)</f>
        <v>72</v>
      </c>
      <c r="BA991" s="71">
        <f>IFERROR(__xludf.DUMMYFUNCTION("""COMPUTED_VALUE"""),77.76)</f>
        <v>77.76</v>
      </c>
      <c r="BB991" s="71">
        <f>IFERROR(__xludf.DUMMYFUNCTION("""COMPUTED_VALUE"""),77.76)</f>
        <v>77.76</v>
      </c>
      <c r="BC991" s="71">
        <f>IFERROR(__xludf.DUMMYFUNCTION("""COMPUTED_VALUE"""),90.0)</f>
        <v>90</v>
      </c>
      <c r="BD991" s="71">
        <f>IFERROR(__xludf.DUMMYFUNCTION("""COMPUTED_VALUE"""),95.0)</f>
        <v>95</v>
      </c>
      <c r="BE991" s="71">
        <f>IFERROR(__xludf.DUMMYFUNCTION("""COMPUTED_VALUE"""),15.200000000000001)</f>
        <v>15.2</v>
      </c>
      <c r="BF991" s="71">
        <f>IFERROR(__xludf.DUMMYFUNCTION("""COMPUTED_VALUE"""),110.2)</f>
        <v>110.2</v>
      </c>
      <c r="BG991" s="71">
        <f>IFERROR(__xludf.DUMMYFUNCTION("""COMPUTED_VALUE"""),0.05555555555555555)</f>
        <v>0.05555555556</v>
      </c>
      <c r="BH991" s="71">
        <f>IFERROR(__xludf.DUMMYFUNCTION("""COMPUTED_VALUE"""),90.25)</f>
        <v>90.25</v>
      </c>
      <c r="BI991" s="71">
        <f>IFERROR(__xludf.DUMMYFUNCTION("""COMPUTED_VALUE"""),14.44)</f>
        <v>14.44</v>
      </c>
      <c r="BJ991" s="71">
        <f>IFERROR(__xludf.DUMMYFUNCTION("""COMPUTED_VALUE"""),104.69)</f>
        <v>104.69</v>
      </c>
      <c r="BK991" s="71">
        <f>IFERROR(__xludf.DUMMYFUNCTION("""COMPUTED_VALUE"""),85.5)</f>
        <v>85.5</v>
      </c>
      <c r="BL991" s="71">
        <f>IFERROR(__xludf.DUMMYFUNCTION("""COMPUTED_VALUE"""),13.68)</f>
        <v>13.68</v>
      </c>
      <c r="BM991" s="71">
        <f>IFERROR(__xludf.DUMMYFUNCTION("""COMPUTED_VALUE"""),99.18)</f>
        <v>99.18</v>
      </c>
      <c r="BN991" s="71">
        <f>IFERROR(__xludf.DUMMYFUNCTION("""COMPUTED_VALUE"""),80.75)</f>
        <v>80.75</v>
      </c>
      <c r="BO991" s="71">
        <f>IFERROR(__xludf.DUMMYFUNCTION("""COMPUTED_VALUE"""),12.92)</f>
        <v>12.92</v>
      </c>
      <c r="BP991" s="71">
        <f>IFERROR(__xludf.DUMMYFUNCTION("""COMPUTED_VALUE"""),93.67)</f>
        <v>93.67</v>
      </c>
      <c r="BQ991" s="71">
        <f>IFERROR(__xludf.DUMMYFUNCTION("""COMPUTED_VALUE"""),78.85)</f>
        <v>78.85</v>
      </c>
      <c r="BR991" s="71">
        <f>IFERROR(__xludf.DUMMYFUNCTION("""COMPUTED_VALUE"""),12.616)</f>
        <v>12.616</v>
      </c>
      <c r="BS991" s="71">
        <f>IFERROR(__xludf.DUMMYFUNCTION("""COMPUTED_VALUE"""),91.466)</f>
        <v>91.466</v>
      </c>
      <c r="BT991" s="71">
        <f>IFERROR(__xludf.DUMMYFUNCTION("""COMPUTED_VALUE"""),76.0)</f>
        <v>76</v>
      </c>
      <c r="BU991" s="71">
        <f>IFERROR(__xludf.DUMMYFUNCTION("""COMPUTED_VALUE"""),12.16)</f>
        <v>12.16</v>
      </c>
      <c r="BV991" s="71">
        <f>IFERROR(__xludf.DUMMYFUNCTION("""COMPUTED_VALUE"""),88.16)</f>
        <v>88.16</v>
      </c>
    </row>
    <row r="992">
      <c r="A992" s="53"/>
      <c r="B992" s="53"/>
      <c r="C992" s="73" t="s">
        <v>12</v>
      </c>
      <c r="D992" s="53" t="s">
        <v>2410</v>
      </c>
      <c r="E992" s="54" t="s">
        <v>38</v>
      </c>
      <c r="F992" s="54" t="s">
        <v>42</v>
      </c>
      <c r="G992" s="55" t="s">
        <v>2411</v>
      </c>
      <c r="H992" s="55" t="s">
        <v>2411</v>
      </c>
      <c r="I992" s="54">
        <f t="shared" si="24"/>
        <v>31</v>
      </c>
      <c r="J992" s="56"/>
      <c r="K992" s="57"/>
      <c r="L992" s="76"/>
      <c r="M992" s="59"/>
      <c r="N992" s="79"/>
      <c r="O992" s="61">
        <v>538.0</v>
      </c>
      <c r="P992" s="63">
        <v>581.0400000000001</v>
      </c>
      <c r="Q992" s="63">
        <v>581.0400000000001</v>
      </c>
      <c r="R992" s="64">
        <v>611.0</v>
      </c>
      <c r="S992" s="111">
        <v>642.0</v>
      </c>
      <c r="T992" s="65">
        <f t="shared" si="2"/>
        <v>102.72</v>
      </c>
      <c r="U992" s="65">
        <f t="shared" si="3"/>
        <v>744.72</v>
      </c>
      <c r="V992" s="66">
        <f t="shared" si="4"/>
        <v>0.05073649755</v>
      </c>
      <c r="W992" s="67">
        <f t="shared" si="5"/>
        <v>609.9</v>
      </c>
      <c r="X992" s="67">
        <f t="shared" si="6"/>
        <v>97.584</v>
      </c>
      <c r="Y992" s="67">
        <f t="shared" si="7"/>
        <v>707.484</v>
      </c>
      <c r="Z992" s="67">
        <f t="shared" si="8"/>
        <v>577.8</v>
      </c>
      <c r="AA992" s="67">
        <f t="shared" si="9"/>
        <v>92.448</v>
      </c>
      <c r="AB992" s="67">
        <f t="shared" si="10"/>
        <v>670.248</v>
      </c>
      <c r="AC992" s="67">
        <f t="shared" si="11"/>
        <v>545.7</v>
      </c>
      <c r="AD992" s="67">
        <f t="shared" si="12"/>
        <v>87.312</v>
      </c>
      <c r="AE992" s="67">
        <f t="shared" si="13"/>
        <v>633.012</v>
      </c>
      <c r="AF992" s="67">
        <f t="shared" si="33"/>
        <v>532.86</v>
      </c>
      <c r="AG992" s="67">
        <f t="shared" si="15"/>
        <v>85.2576</v>
      </c>
      <c r="AH992" s="67">
        <f t="shared" si="16"/>
        <v>618.1176</v>
      </c>
      <c r="AI992" s="67">
        <f t="shared" si="17"/>
        <v>513.6</v>
      </c>
      <c r="AJ992" s="68">
        <f t="shared" si="31"/>
        <v>82.176</v>
      </c>
      <c r="AK992" s="68">
        <f t="shared" si="32"/>
        <v>595.776</v>
      </c>
      <c r="AL992" s="70">
        <f>IFERROR(__xludf.DUMMYFUNCTION("""COMPUTED_VALUE"""),1.0)</f>
        <v>1</v>
      </c>
      <c r="AM992" s="70"/>
      <c r="AN992" s="71" t="str">
        <f>IFERROR(__xludf.DUMMYFUNCTION("""COMPUTED_VALUE""")," P")</f>
        <v>P</v>
      </c>
      <c r="AO992" s="71" t="str">
        <f>IFERROR(__xludf.DUMMYFUNCTION("""COMPUTED_VALUE""")," PO65")</f>
        <v>PO65</v>
      </c>
      <c r="AP992" s="71" t="str">
        <f>IFERROR(__xludf.DUMMYFUNCTION("""COMPUTED_VALUE""")," PZA")</f>
        <v>PZA</v>
      </c>
      <c r="AQ992" s="71" t="str">
        <f>IFERROR(__xludf.DUMMYFUNCTION("""COMPUTED_VALUE""")," REF")</f>
        <v>REF</v>
      </c>
      <c r="AR992" s="71" t="str">
        <f>IFERROR(__xludf.DUMMYFUNCTION("""COMPUTED_VALUE""")," POLEA 2-1/2"" 1RB C/MAMELON NE1 C1/4")</f>
        <v>POLEA 2-1/2" 1RB C/MAMELON NE1 C1/4</v>
      </c>
      <c r="AS992" s="71" t="str">
        <f>IFERROR(__xludf.DUMMYFUNCTION("""COMPUTED_VALUE""")," POLEA 2-1/2"" 1RB C/MAMELON NE1 C1/4")</f>
        <v>POLEA 2-1/2" 1RB C/MAMELON NE1 C1/4</v>
      </c>
      <c r="AT992" s="71">
        <f>IFERROR(__xludf.DUMMYFUNCTION("""COMPUTED_VALUE"""),35.0)</f>
        <v>35</v>
      </c>
      <c r="AU992" s="71"/>
      <c r="AV992" s="71"/>
      <c r="AW992" s="71"/>
      <c r="AX992" s="71"/>
      <c r="AY992" s="71"/>
      <c r="AZ992" s="71"/>
      <c r="BA992" s="71"/>
      <c r="BB992" s="71"/>
      <c r="BC992" s="71"/>
      <c r="BD992" s="71">
        <f>IFERROR(__xludf.DUMMYFUNCTION("""COMPUTED_VALUE"""),95.0)</f>
        <v>95</v>
      </c>
      <c r="BE992" s="71">
        <f>IFERROR(__xludf.DUMMYFUNCTION("""COMPUTED_VALUE"""),15.200000000000001)</f>
        <v>15.2</v>
      </c>
      <c r="BF992" s="71">
        <f>IFERROR(__xludf.DUMMYFUNCTION("""COMPUTED_VALUE"""),110.2)</f>
        <v>110.2</v>
      </c>
      <c r="BG992" s="71" t="str">
        <f>IFERROR(__xludf.DUMMYFUNCTION("""COMPUTED_VALUE"""),"#DIV/0!")</f>
        <v>#DIV/0!</v>
      </c>
      <c r="BH992" s="71">
        <f>IFERROR(__xludf.DUMMYFUNCTION("""COMPUTED_VALUE"""),90.25)</f>
        <v>90.25</v>
      </c>
      <c r="BI992" s="71">
        <f>IFERROR(__xludf.DUMMYFUNCTION("""COMPUTED_VALUE"""),14.44)</f>
        <v>14.44</v>
      </c>
      <c r="BJ992" s="71">
        <f>IFERROR(__xludf.DUMMYFUNCTION("""COMPUTED_VALUE"""),104.69)</f>
        <v>104.69</v>
      </c>
      <c r="BK992" s="71">
        <f>IFERROR(__xludf.DUMMYFUNCTION("""COMPUTED_VALUE"""),85.5)</f>
        <v>85.5</v>
      </c>
      <c r="BL992" s="71">
        <f>IFERROR(__xludf.DUMMYFUNCTION("""COMPUTED_VALUE"""),13.68)</f>
        <v>13.68</v>
      </c>
      <c r="BM992" s="71">
        <f>IFERROR(__xludf.DUMMYFUNCTION("""COMPUTED_VALUE"""),99.18)</f>
        <v>99.18</v>
      </c>
      <c r="BN992" s="71">
        <f>IFERROR(__xludf.DUMMYFUNCTION("""COMPUTED_VALUE"""),80.75)</f>
        <v>80.75</v>
      </c>
      <c r="BO992" s="71">
        <f>IFERROR(__xludf.DUMMYFUNCTION("""COMPUTED_VALUE"""),12.92)</f>
        <v>12.92</v>
      </c>
      <c r="BP992" s="71">
        <f>IFERROR(__xludf.DUMMYFUNCTION("""COMPUTED_VALUE"""),93.67)</f>
        <v>93.67</v>
      </c>
      <c r="BQ992" s="71">
        <f>IFERROR(__xludf.DUMMYFUNCTION("""COMPUTED_VALUE"""),78.85)</f>
        <v>78.85</v>
      </c>
      <c r="BR992" s="71">
        <f>IFERROR(__xludf.DUMMYFUNCTION("""COMPUTED_VALUE"""),12.616)</f>
        <v>12.616</v>
      </c>
      <c r="BS992" s="71">
        <f>IFERROR(__xludf.DUMMYFUNCTION("""COMPUTED_VALUE"""),91.466)</f>
        <v>91.466</v>
      </c>
      <c r="BT992" s="71">
        <f>IFERROR(__xludf.DUMMYFUNCTION("""COMPUTED_VALUE"""),76.0)</f>
        <v>76</v>
      </c>
      <c r="BU992" s="71">
        <f>IFERROR(__xludf.DUMMYFUNCTION("""COMPUTED_VALUE"""),12.16)</f>
        <v>12.16</v>
      </c>
      <c r="BV992" s="71">
        <f>IFERROR(__xludf.DUMMYFUNCTION("""COMPUTED_VALUE"""),88.16)</f>
        <v>88.16</v>
      </c>
    </row>
    <row r="993">
      <c r="A993" s="53"/>
      <c r="B993" s="53"/>
      <c r="C993" s="53" t="s">
        <v>36</v>
      </c>
      <c r="D993" s="85" t="s">
        <v>2412</v>
      </c>
      <c r="E993" s="54" t="s">
        <v>38</v>
      </c>
      <c r="F993" s="55" t="s">
        <v>39</v>
      </c>
      <c r="G993" s="86" t="s">
        <v>2413</v>
      </c>
      <c r="H993" s="55"/>
      <c r="I993" s="54">
        <f t="shared" si="24"/>
        <v>0</v>
      </c>
      <c r="J993" s="56"/>
      <c r="K993" s="57"/>
      <c r="L993" s="76"/>
      <c r="M993" s="59"/>
      <c r="N993" s="60"/>
      <c r="O993" s="61">
        <v>13.44</v>
      </c>
      <c r="P993" s="62">
        <v>14.5152</v>
      </c>
      <c r="Q993" s="63">
        <v>14.5152</v>
      </c>
      <c r="R993" s="64">
        <v>16.0</v>
      </c>
      <c r="S993" s="107">
        <v>16.8</v>
      </c>
      <c r="T993" s="65">
        <f t="shared" si="2"/>
        <v>2.688</v>
      </c>
      <c r="U993" s="65">
        <f t="shared" si="3"/>
        <v>19.488</v>
      </c>
      <c r="V993" s="66">
        <f t="shared" si="4"/>
        <v>0.05</v>
      </c>
      <c r="W993" s="67">
        <f t="shared" si="5"/>
        <v>15.96</v>
      </c>
      <c r="X993" s="67">
        <f t="shared" si="6"/>
        <v>2.5536</v>
      </c>
      <c r="Y993" s="67">
        <f t="shared" si="7"/>
        <v>18.5136</v>
      </c>
      <c r="Z993" s="67">
        <f t="shared" si="8"/>
        <v>15.12</v>
      </c>
      <c r="AA993" s="67">
        <f t="shared" si="9"/>
        <v>2.4192</v>
      </c>
      <c r="AB993" s="67">
        <f t="shared" si="10"/>
        <v>17.5392</v>
      </c>
      <c r="AC993" s="67">
        <f t="shared" si="11"/>
        <v>14.28</v>
      </c>
      <c r="AD993" s="67">
        <f t="shared" si="12"/>
        <v>2.2848</v>
      </c>
      <c r="AE993" s="67">
        <f t="shared" si="13"/>
        <v>16.5648</v>
      </c>
      <c r="AF993" s="67">
        <f t="shared" si="33"/>
        <v>13.944</v>
      </c>
      <c r="AG993" s="67">
        <f t="shared" si="15"/>
        <v>2.23104</v>
      </c>
      <c r="AH993" s="67">
        <f t="shared" si="16"/>
        <v>16.17504</v>
      </c>
      <c r="AI993" s="67">
        <f t="shared" si="17"/>
        <v>13.44</v>
      </c>
      <c r="AJ993" s="68">
        <f t="shared" si="31"/>
        <v>2.1504</v>
      </c>
      <c r="AK993" s="68">
        <f t="shared" si="32"/>
        <v>15.5904</v>
      </c>
      <c r="AL993" s="70">
        <f>IFERROR(__xludf.DUMMYFUNCTION("""COMPUTED_VALUE"""),1.0)</f>
        <v>1</v>
      </c>
      <c r="AM993" s="70"/>
      <c r="AN993" s="71" t="str">
        <f>IFERROR(__xludf.DUMMYFUNCTION("""COMPUTED_VALUE""")," P")</f>
        <v>P</v>
      </c>
      <c r="AO993" s="71" t="str">
        <f>IFERROR(__xludf.DUMMYFUNCTION("""COMPUTED_VALUE""")," PO30")</f>
        <v>PO30</v>
      </c>
      <c r="AP993" s="71" t="str">
        <f>IFERROR(__xludf.DUMMYFUNCTION("""COMPUTED_VALUE""")," PZA")</f>
        <v>PZA</v>
      </c>
      <c r="AQ993" s="71" t="str">
        <f>IFERROR(__xludf.DUMMYFUNCTION("""COMPUTED_VALUE""")," REF")</f>
        <v>REF</v>
      </c>
      <c r="AR993" s="71" t="str">
        <f>IFERROR(__xludf.DUMMYFUNCTION("""COMPUTED_VALUE""")," POLEA 2-1/2"" 1RB E1")</f>
        <v>POLEA 2-1/2" 1RB E1</v>
      </c>
      <c r="AS993" s="71" t="str">
        <f>IFERROR(__xludf.DUMMYFUNCTION("""COMPUTED_VALUE""")," POLEA 2-1/2"" 1RB E1")</f>
        <v>POLEA 2-1/2" 1RB E1</v>
      </c>
      <c r="AT993" s="71">
        <f>IFERROR(__xludf.DUMMYFUNCTION("""COMPUTED_VALUE"""),19.0)</f>
        <v>19</v>
      </c>
      <c r="AU993" s="71"/>
      <c r="AV993" s="71"/>
      <c r="AW993" s="71"/>
      <c r="AX993" s="71"/>
      <c r="AY993" s="71"/>
      <c r="AZ993" s="71">
        <f>IFERROR(__xludf.DUMMYFUNCTION("""COMPUTED_VALUE"""),82.0)</f>
        <v>82</v>
      </c>
      <c r="BA993" s="71">
        <f>IFERROR(__xludf.DUMMYFUNCTION("""COMPUTED_VALUE"""),88.56)</f>
        <v>88.56</v>
      </c>
      <c r="BB993" s="71">
        <f>IFERROR(__xludf.DUMMYFUNCTION("""COMPUTED_VALUE"""),88.56)</f>
        <v>88.56</v>
      </c>
      <c r="BC993" s="71">
        <f>IFERROR(__xludf.DUMMYFUNCTION("""COMPUTED_VALUE"""),97.0)</f>
        <v>97</v>
      </c>
      <c r="BD993" s="71">
        <f>IFERROR(__xludf.DUMMYFUNCTION("""COMPUTED_VALUE"""),102.0)</f>
        <v>102</v>
      </c>
      <c r="BE993" s="71">
        <f>IFERROR(__xludf.DUMMYFUNCTION("""COMPUTED_VALUE"""),16.32)</f>
        <v>16.32</v>
      </c>
      <c r="BF993" s="71">
        <f>IFERROR(__xludf.DUMMYFUNCTION("""COMPUTED_VALUE"""),118.32)</f>
        <v>118.32</v>
      </c>
      <c r="BG993" s="71">
        <f>IFERROR(__xludf.DUMMYFUNCTION("""COMPUTED_VALUE"""),0.05154639175257732)</f>
        <v>0.05154639175</v>
      </c>
      <c r="BH993" s="71">
        <f>IFERROR(__xludf.DUMMYFUNCTION("""COMPUTED_VALUE"""),96.89999999999999)</f>
        <v>96.9</v>
      </c>
      <c r="BI993" s="71">
        <f>IFERROR(__xludf.DUMMYFUNCTION("""COMPUTED_VALUE"""),15.504)</f>
        <v>15.504</v>
      </c>
      <c r="BJ993" s="71">
        <f>IFERROR(__xludf.DUMMYFUNCTION("""COMPUTED_VALUE"""),112.404)</f>
        <v>112.404</v>
      </c>
      <c r="BK993" s="71">
        <f>IFERROR(__xludf.DUMMYFUNCTION("""COMPUTED_VALUE"""),91.8)</f>
        <v>91.8</v>
      </c>
      <c r="BL993" s="71">
        <f>IFERROR(__xludf.DUMMYFUNCTION("""COMPUTED_VALUE"""),14.688)</f>
        <v>14.688</v>
      </c>
      <c r="BM993" s="71">
        <f>IFERROR(__xludf.DUMMYFUNCTION("""COMPUTED_VALUE"""),106.488)</f>
        <v>106.488</v>
      </c>
      <c r="BN993" s="71">
        <f>IFERROR(__xludf.DUMMYFUNCTION("""COMPUTED_VALUE"""),86.7)</f>
        <v>86.7</v>
      </c>
      <c r="BO993" s="71">
        <f>IFERROR(__xludf.DUMMYFUNCTION("""COMPUTED_VALUE"""),13.872)</f>
        <v>13.872</v>
      </c>
      <c r="BP993" s="71">
        <f>IFERROR(__xludf.DUMMYFUNCTION("""COMPUTED_VALUE"""),100.572)</f>
        <v>100.572</v>
      </c>
      <c r="BQ993" s="71">
        <f>IFERROR(__xludf.DUMMYFUNCTION("""COMPUTED_VALUE"""),84.66)</f>
        <v>84.66</v>
      </c>
      <c r="BR993" s="71">
        <f>IFERROR(__xludf.DUMMYFUNCTION("""COMPUTED_VALUE"""),13.5456)</f>
        <v>13.5456</v>
      </c>
      <c r="BS993" s="71">
        <f>IFERROR(__xludf.DUMMYFUNCTION("""COMPUTED_VALUE"""),98.2056)</f>
        <v>98.2056</v>
      </c>
      <c r="BT993" s="71">
        <f>IFERROR(__xludf.DUMMYFUNCTION("""COMPUTED_VALUE"""),81.60000000000001)</f>
        <v>81.6</v>
      </c>
      <c r="BU993" s="71">
        <f>IFERROR(__xludf.DUMMYFUNCTION("""COMPUTED_VALUE"""),13.056000000000001)</f>
        <v>13.056</v>
      </c>
      <c r="BV993" s="71">
        <f>IFERROR(__xludf.DUMMYFUNCTION("""COMPUTED_VALUE"""),94.656)</f>
        <v>94.656</v>
      </c>
    </row>
    <row r="994">
      <c r="A994" s="53"/>
      <c r="B994" s="53"/>
      <c r="C994" s="53" t="s">
        <v>36</v>
      </c>
      <c r="D994" s="85" t="s">
        <v>2414</v>
      </c>
      <c r="E994" s="54" t="s">
        <v>38</v>
      </c>
      <c r="F994" s="55" t="s">
        <v>39</v>
      </c>
      <c r="G994" s="86" t="s">
        <v>2415</v>
      </c>
      <c r="H994" s="55"/>
      <c r="I994" s="54">
        <f t="shared" si="24"/>
        <v>0</v>
      </c>
      <c r="J994" s="56"/>
      <c r="K994" s="57"/>
      <c r="L994" s="76"/>
      <c r="M994" s="59"/>
      <c r="N994" s="60"/>
      <c r="O994" s="61">
        <v>168.96</v>
      </c>
      <c r="P994" s="62">
        <v>182.47680000000003</v>
      </c>
      <c r="Q994" s="63">
        <v>182.47680000000003</v>
      </c>
      <c r="R994" s="64">
        <v>192.0</v>
      </c>
      <c r="S994" s="107">
        <v>202.0</v>
      </c>
      <c r="T994" s="65">
        <f t="shared" si="2"/>
        <v>32.32</v>
      </c>
      <c r="U994" s="65">
        <f t="shared" si="3"/>
        <v>234.32</v>
      </c>
      <c r="V994" s="66">
        <f t="shared" si="4"/>
        <v>0.05208333333</v>
      </c>
      <c r="W994" s="67">
        <f t="shared" si="5"/>
        <v>191.9</v>
      </c>
      <c r="X994" s="67">
        <f t="shared" si="6"/>
        <v>30.704</v>
      </c>
      <c r="Y994" s="67">
        <f t="shared" si="7"/>
        <v>222.604</v>
      </c>
      <c r="Z994" s="67">
        <f t="shared" si="8"/>
        <v>181.8</v>
      </c>
      <c r="AA994" s="67">
        <f t="shared" si="9"/>
        <v>29.088</v>
      </c>
      <c r="AB994" s="67">
        <f t="shared" si="10"/>
        <v>210.888</v>
      </c>
      <c r="AC994" s="67">
        <f t="shared" si="11"/>
        <v>171.7</v>
      </c>
      <c r="AD994" s="67">
        <f t="shared" si="12"/>
        <v>27.472</v>
      </c>
      <c r="AE994" s="67">
        <f t="shared" si="13"/>
        <v>199.172</v>
      </c>
      <c r="AF994" s="67">
        <f t="shared" si="33"/>
        <v>167.66</v>
      </c>
      <c r="AG994" s="67">
        <f t="shared" si="15"/>
        <v>26.8256</v>
      </c>
      <c r="AH994" s="67">
        <f t="shared" si="16"/>
        <v>194.4856</v>
      </c>
      <c r="AI994" s="67">
        <f t="shared" si="17"/>
        <v>161.6</v>
      </c>
      <c r="AJ994" s="68">
        <f t="shared" si="31"/>
        <v>25.856</v>
      </c>
      <c r="AK994" s="68">
        <f t="shared" si="32"/>
        <v>187.456</v>
      </c>
      <c r="AL994" s="70">
        <f>IFERROR(__xludf.DUMMYFUNCTION("""COMPUTED_VALUE"""),1.0)</f>
        <v>1</v>
      </c>
      <c r="AM994" s="70"/>
      <c r="AN994" s="71" t="str">
        <f>IFERROR(__xludf.DUMMYFUNCTION("""COMPUTED_VALUE""")," P")</f>
        <v>P</v>
      </c>
      <c r="AO994" s="71" t="str">
        <f>IFERROR(__xludf.DUMMYFUNCTION("""COMPUTED_VALUE""")," PO64")</f>
        <v>PO64</v>
      </c>
      <c r="AP994" s="71" t="str">
        <f>IFERROR(__xludf.DUMMYFUNCTION("""COMPUTED_VALUE""")," PZA")</f>
        <v>PZA</v>
      </c>
      <c r="AQ994" s="71" t="str">
        <f>IFERROR(__xludf.DUMMYFUNCTION("""COMPUTED_VALUE""")," REF")</f>
        <v>REF</v>
      </c>
      <c r="AR994" s="71" t="str">
        <f>IFERROR(__xludf.DUMMYFUNCTION("""COMPUTED_VALUE""")," POLEA 2-1/2"" 1RB E1 C1/4")</f>
        <v>POLEA 2-1/2" 1RB E1 C1/4</v>
      </c>
      <c r="AS994" s="71" t="str">
        <f>IFERROR(__xludf.DUMMYFUNCTION("""COMPUTED_VALUE""")," POLEA 2-1/2"" 1RB E1 C1/4")</f>
        <v>POLEA 2-1/2" 1RB E1 C1/4</v>
      </c>
      <c r="AT994" s="71">
        <f>IFERROR(__xludf.DUMMYFUNCTION("""COMPUTED_VALUE"""),24.0)</f>
        <v>24</v>
      </c>
      <c r="AU994" s="71"/>
      <c r="AV994" s="71"/>
      <c r="AW994" s="71"/>
      <c r="AX994" s="71"/>
      <c r="AY994" s="71">
        <f>IFERROR(__xludf.DUMMYFUNCTION("""COMPUTED_VALUE"""),76.65)</f>
        <v>76.65</v>
      </c>
      <c r="AZ994" s="71">
        <f>IFERROR(__xludf.DUMMYFUNCTION("""COMPUTED_VALUE"""),82.0)</f>
        <v>82</v>
      </c>
      <c r="BA994" s="71">
        <f>IFERROR(__xludf.DUMMYFUNCTION("""COMPUTED_VALUE"""),88.56)</f>
        <v>88.56</v>
      </c>
      <c r="BB994" s="71">
        <f>IFERROR(__xludf.DUMMYFUNCTION("""COMPUTED_VALUE"""),88.56)</f>
        <v>88.56</v>
      </c>
      <c r="BC994" s="71">
        <f>IFERROR(__xludf.DUMMYFUNCTION("""COMPUTED_VALUE"""),97.0)</f>
        <v>97</v>
      </c>
      <c r="BD994" s="71">
        <f>IFERROR(__xludf.DUMMYFUNCTION("""COMPUTED_VALUE"""),102.0)</f>
        <v>102</v>
      </c>
      <c r="BE994" s="71">
        <f>IFERROR(__xludf.DUMMYFUNCTION("""COMPUTED_VALUE"""),16.32)</f>
        <v>16.32</v>
      </c>
      <c r="BF994" s="71">
        <f>IFERROR(__xludf.DUMMYFUNCTION("""COMPUTED_VALUE"""),118.32)</f>
        <v>118.32</v>
      </c>
      <c r="BG994" s="71">
        <f>IFERROR(__xludf.DUMMYFUNCTION("""COMPUTED_VALUE"""),0.05154639175257732)</f>
        <v>0.05154639175</v>
      </c>
      <c r="BH994" s="71">
        <f>IFERROR(__xludf.DUMMYFUNCTION("""COMPUTED_VALUE"""),96.89999999999999)</f>
        <v>96.9</v>
      </c>
      <c r="BI994" s="71">
        <f>IFERROR(__xludf.DUMMYFUNCTION("""COMPUTED_VALUE"""),15.504)</f>
        <v>15.504</v>
      </c>
      <c r="BJ994" s="71">
        <f>IFERROR(__xludf.DUMMYFUNCTION("""COMPUTED_VALUE"""),112.404)</f>
        <v>112.404</v>
      </c>
      <c r="BK994" s="71">
        <f>IFERROR(__xludf.DUMMYFUNCTION("""COMPUTED_VALUE"""),91.8)</f>
        <v>91.8</v>
      </c>
      <c r="BL994" s="71">
        <f>IFERROR(__xludf.DUMMYFUNCTION("""COMPUTED_VALUE"""),14.688)</f>
        <v>14.688</v>
      </c>
      <c r="BM994" s="71">
        <f>IFERROR(__xludf.DUMMYFUNCTION("""COMPUTED_VALUE"""),106.488)</f>
        <v>106.488</v>
      </c>
      <c r="BN994" s="71">
        <f>IFERROR(__xludf.DUMMYFUNCTION("""COMPUTED_VALUE"""),86.7)</f>
        <v>86.7</v>
      </c>
      <c r="BO994" s="71">
        <f>IFERROR(__xludf.DUMMYFUNCTION("""COMPUTED_VALUE"""),13.872)</f>
        <v>13.872</v>
      </c>
      <c r="BP994" s="71">
        <f>IFERROR(__xludf.DUMMYFUNCTION("""COMPUTED_VALUE"""),100.572)</f>
        <v>100.572</v>
      </c>
      <c r="BQ994" s="71">
        <f>IFERROR(__xludf.DUMMYFUNCTION("""COMPUTED_VALUE"""),84.66)</f>
        <v>84.66</v>
      </c>
      <c r="BR994" s="71">
        <f>IFERROR(__xludf.DUMMYFUNCTION("""COMPUTED_VALUE"""),13.5456)</f>
        <v>13.5456</v>
      </c>
      <c r="BS994" s="71">
        <f>IFERROR(__xludf.DUMMYFUNCTION("""COMPUTED_VALUE"""),98.2056)</f>
        <v>98.2056</v>
      </c>
      <c r="BT994" s="71">
        <f>IFERROR(__xludf.DUMMYFUNCTION("""COMPUTED_VALUE"""),81.60000000000001)</f>
        <v>81.6</v>
      </c>
      <c r="BU994" s="71">
        <f>IFERROR(__xludf.DUMMYFUNCTION("""COMPUTED_VALUE"""),13.056000000000001)</f>
        <v>13.056</v>
      </c>
      <c r="BV994" s="71">
        <f>IFERROR(__xludf.DUMMYFUNCTION("""COMPUTED_VALUE"""),94.656)</f>
        <v>94.656</v>
      </c>
    </row>
    <row r="995">
      <c r="A995" s="53"/>
      <c r="B995" s="53"/>
      <c r="C995" s="53" t="s">
        <v>53</v>
      </c>
      <c r="D995" s="53" t="s">
        <v>2416</v>
      </c>
      <c r="E995" s="54" t="s">
        <v>38</v>
      </c>
      <c r="F995" s="55" t="s">
        <v>39</v>
      </c>
      <c r="G995" s="55" t="s">
        <v>2417</v>
      </c>
      <c r="H995" s="55" t="s">
        <v>2415</v>
      </c>
      <c r="I995" s="54">
        <f t="shared" si="24"/>
        <v>30</v>
      </c>
      <c r="J995" s="56"/>
      <c r="K995" s="57"/>
      <c r="L995" s="76"/>
      <c r="M995" s="59"/>
      <c r="N995" s="60"/>
      <c r="O995" s="61">
        <v>168.96</v>
      </c>
      <c r="P995" s="62">
        <v>190.0</v>
      </c>
      <c r="Q995" s="63">
        <v>190.0</v>
      </c>
      <c r="R995" s="64">
        <v>200.0</v>
      </c>
      <c r="S995" s="111">
        <v>210.0</v>
      </c>
      <c r="T995" s="65">
        <f t="shared" si="2"/>
        <v>33.6</v>
      </c>
      <c r="U995" s="65">
        <f t="shared" si="3"/>
        <v>243.6</v>
      </c>
      <c r="V995" s="66">
        <f t="shared" si="4"/>
        <v>0.05</v>
      </c>
      <c r="W995" s="67">
        <f t="shared" si="5"/>
        <v>199.5</v>
      </c>
      <c r="X995" s="67">
        <f t="shared" si="6"/>
        <v>31.92</v>
      </c>
      <c r="Y995" s="67">
        <f t="shared" si="7"/>
        <v>231.42</v>
      </c>
      <c r="Z995" s="67">
        <f t="shared" si="8"/>
        <v>189</v>
      </c>
      <c r="AA995" s="67">
        <f t="shared" si="9"/>
        <v>30.24</v>
      </c>
      <c r="AB995" s="67">
        <f t="shared" si="10"/>
        <v>219.24</v>
      </c>
      <c r="AC995" s="67">
        <f t="shared" si="11"/>
        <v>178.5</v>
      </c>
      <c r="AD995" s="67">
        <f t="shared" si="12"/>
        <v>28.56</v>
      </c>
      <c r="AE995" s="67">
        <f t="shared" si="13"/>
        <v>207.06</v>
      </c>
      <c r="AF995" s="67">
        <f t="shared" si="33"/>
        <v>174.3</v>
      </c>
      <c r="AG995" s="67">
        <f t="shared" si="15"/>
        <v>27.888</v>
      </c>
      <c r="AH995" s="67">
        <f t="shared" si="16"/>
        <v>202.188</v>
      </c>
      <c r="AI995" s="67">
        <f t="shared" si="17"/>
        <v>168</v>
      </c>
      <c r="AJ995" s="68">
        <f t="shared" si="31"/>
        <v>26.88</v>
      </c>
      <c r="AK995" s="68">
        <f t="shared" si="32"/>
        <v>194.88</v>
      </c>
      <c r="AL995" s="70">
        <f>IFERROR(__xludf.DUMMYFUNCTION("""COMPUTED_VALUE"""),1.0)</f>
        <v>1</v>
      </c>
      <c r="AM995" s="70"/>
      <c r="AN995" s="71" t="str">
        <f>IFERROR(__xludf.DUMMYFUNCTION("""COMPUTED_VALUE""")," P")</f>
        <v>P</v>
      </c>
      <c r="AO995" s="71" t="str">
        <f>IFERROR(__xludf.DUMMYFUNCTION("""COMPUTED_VALUE""")," PO02")</f>
        <v>PO02</v>
      </c>
      <c r="AP995" s="71" t="str">
        <f>IFERROR(__xludf.DUMMYFUNCTION("""COMPUTED_VALUE""")," PZA")</f>
        <v>PZA</v>
      </c>
      <c r="AQ995" s="71" t="str">
        <f>IFERROR(__xludf.DUMMYFUNCTION("""COMPUTED_VALUE""")," REF")</f>
        <v>REF</v>
      </c>
      <c r="AR995" s="71" t="str">
        <f>IFERROR(__xludf.DUMMYFUNCTION("""COMPUTED_VALUE""")," POLEA 2-1/2"" 1RB E7/8 C3/16")</f>
        <v>POLEA 2-1/2" 1RB E7/8 C3/16</v>
      </c>
      <c r="AS995" s="71" t="str">
        <f>IFERROR(__xludf.DUMMYFUNCTION("""COMPUTED_VALUE""")," POLEA 2-1/2"" 1RB E7/8 C3/16")</f>
        <v>POLEA 2-1/2" 1RB E7/8 C3/16</v>
      </c>
      <c r="AT995" s="71">
        <f>IFERROR(__xludf.DUMMYFUNCTION("""COMPUTED_VALUE"""),27.0)</f>
        <v>27</v>
      </c>
      <c r="AU995" s="71"/>
      <c r="AV995" s="71"/>
      <c r="AW995" s="71"/>
      <c r="AX995" s="71"/>
      <c r="AY995" s="71">
        <f>IFERROR(__xludf.DUMMYFUNCTION("""COMPUTED_VALUE"""),67.0)</f>
        <v>67</v>
      </c>
      <c r="AZ995" s="71">
        <f>IFERROR(__xludf.DUMMYFUNCTION("""COMPUTED_VALUE"""),72.0)</f>
        <v>72</v>
      </c>
      <c r="BA995" s="71">
        <f>IFERROR(__xludf.DUMMYFUNCTION("""COMPUTED_VALUE"""),77.76)</f>
        <v>77.76</v>
      </c>
      <c r="BB995" s="71">
        <f>IFERROR(__xludf.DUMMYFUNCTION("""COMPUTED_VALUE"""),77.76)</f>
        <v>77.76</v>
      </c>
      <c r="BC995" s="71">
        <f>IFERROR(__xludf.DUMMYFUNCTION("""COMPUTED_VALUE"""),90.0)</f>
        <v>90</v>
      </c>
      <c r="BD995" s="71">
        <f>IFERROR(__xludf.DUMMYFUNCTION("""COMPUTED_VALUE"""),95.0)</f>
        <v>95</v>
      </c>
      <c r="BE995" s="71">
        <f>IFERROR(__xludf.DUMMYFUNCTION("""COMPUTED_VALUE"""),15.200000000000001)</f>
        <v>15.2</v>
      </c>
      <c r="BF995" s="71">
        <f>IFERROR(__xludf.DUMMYFUNCTION("""COMPUTED_VALUE"""),110.2)</f>
        <v>110.2</v>
      </c>
      <c r="BG995" s="71">
        <f>IFERROR(__xludf.DUMMYFUNCTION("""COMPUTED_VALUE"""),0.05555555555555555)</f>
        <v>0.05555555556</v>
      </c>
      <c r="BH995" s="71">
        <f>IFERROR(__xludf.DUMMYFUNCTION("""COMPUTED_VALUE"""),90.25)</f>
        <v>90.25</v>
      </c>
      <c r="BI995" s="71">
        <f>IFERROR(__xludf.DUMMYFUNCTION("""COMPUTED_VALUE"""),14.44)</f>
        <v>14.44</v>
      </c>
      <c r="BJ995" s="71">
        <f>IFERROR(__xludf.DUMMYFUNCTION("""COMPUTED_VALUE"""),104.69)</f>
        <v>104.69</v>
      </c>
      <c r="BK995" s="71">
        <f>IFERROR(__xludf.DUMMYFUNCTION("""COMPUTED_VALUE"""),85.5)</f>
        <v>85.5</v>
      </c>
      <c r="BL995" s="71">
        <f>IFERROR(__xludf.DUMMYFUNCTION("""COMPUTED_VALUE"""),13.68)</f>
        <v>13.68</v>
      </c>
      <c r="BM995" s="71">
        <f>IFERROR(__xludf.DUMMYFUNCTION("""COMPUTED_VALUE"""),99.18)</f>
        <v>99.18</v>
      </c>
      <c r="BN995" s="71">
        <f>IFERROR(__xludf.DUMMYFUNCTION("""COMPUTED_VALUE"""),80.75)</f>
        <v>80.75</v>
      </c>
      <c r="BO995" s="71">
        <f>IFERROR(__xludf.DUMMYFUNCTION("""COMPUTED_VALUE"""),12.92)</f>
        <v>12.92</v>
      </c>
      <c r="BP995" s="71">
        <f>IFERROR(__xludf.DUMMYFUNCTION("""COMPUTED_VALUE"""),93.67)</f>
        <v>93.67</v>
      </c>
      <c r="BQ995" s="71">
        <f>IFERROR(__xludf.DUMMYFUNCTION("""COMPUTED_VALUE"""),78.85)</f>
        <v>78.85</v>
      </c>
      <c r="BR995" s="71">
        <f>IFERROR(__xludf.DUMMYFUNCTION("""COMPUTED_VALUE"""),12.616)</f>
        <v>12.616</v>
      </c>
      <c r="BS995" s="71">
        <f>IFERROR(__xludf.DUMMYFUNCTION("""COMPUTED_VALUE"""),91.466)</f>
        <v>91.466</v>
      </c>
      <c r="BT995" s="71">
        <f>IFERROR(__xludf.DUMMYFUNCTION("""COMPUTED_VALUE"""),76.0)</f>
        <v>76</v>
      </c>
      <c r="BU995" s="71">
        <f>IFERROR(__xludf.DUMMYFUNCTION("""COMPUTED_VALUE"""),12.16)</f>
        <v>12.16</v>
      </c>
      <c r="BV995" s="71">
        <f>IFERROR(__xludf.DUMMYFUNCTION("""COMPUTED_VALUE"""),88.16)</f>
        <v>88.16</v>
      </c>
    </row>
    <row r="996">
      <c r="A996" s="53"/>
      <c r="B996" s="53"/>
      <c r="C996" s="53" t="s">
        <v>36</v>
      </c>
      <c r="D996" s="85" t="s">
        <v>2418</v>
      </c>
      <c r="E996" s="54" t="s">
        <v>38</v>
      </c>
      <c r="F996" s="55" t="s">
        <v>39</v>
      </c>
      <c r="G996" s="86" t="s">
        <v>2419</v>
      </c>
      <c r="H996" s="55"/>
      <c r="I996" s="54">
        <f t="shared" si="24"/>
        <v>0</v>
      </c>
      <c r="J996" s="56"/>
      <c r="K996" s="57"/>
      <c r="L996" s="76"/>
      <c r="M996" s="59"/>
      <c r="N996" s="60"/>
      <c r="O996" s="61">
        <v>168.96</v>
      </c>
      <c r="P996" s="62">
        <v>182.47680000000003</v>
      </c>
      <c r="Q996" s="63">
        <v>182.47680000000003</v>
      </c>
      <c r="R996" s="64">
        <v>192.0</v>
      </c>
      <c r="S996" s="107">
        <v>202.0</v>
      </c>
      <c r="T996" s="65">
        <f t="shared" si="2"/>
        <v>32.32</v>
      </c>
      <c r="U996" s="65">
        <f t="shared" si="3"/>
        <v>234.32</v>
      </c>
      <c r="V996" s="66">
        <f t="shared" si="4"/>
        <v>0.05208333333</v>
      </c>
      <c r="W996" s="67">
        <f t="shared" si="5"/>
        <v>191.9</v>
      </c>
      <c r="X996" s="67">
        <f t="shared" si="6"/>
        <v>30.704</v>
      </c>
      <c r="Y996" s="67">
        <f t="shared" si="7"/>
        <v>222.604</v>
      </c>
      <c r="Z996" s="67">
        <f t="shared" si="8"/>
        <v>181.8</v>
      </c>
      <c r="AA996" s="67">
        <f t="shared" si="9"/>
        <v>29.088</v>
      </c>
      <c r="AB996" s="67">
        <f t="shared" si="10"/>
        <v>210.888</v>
      </c>
      <c r="AC996" s="67">
        <f t="shared" si="11"/>
        <v>171.7</v>
      </c>
      <c r="AD996" s="67">
        <f t="shared" si="12"/>
        <v>27.472</v>
      </c>
      <c r="AE996" s="67">
        <f t="shared" si="13"/>
        <v>199.172</v>
      </c>
      <c r="AF996" s="67">
        <f t="shared" si="33"/>
        <v>167.66</v>
      </c>
      <c r="AG996" s="67">
        <f t="shared" si="15"/>
        <v>26.8256</v>
      </c>
      <c r="AH996" s="67">
        <f t="shared" si="16"/>
        <v>194.4856</v>
      </c>
      <c r="AI996" s="67">
        <f t="shared" si="17"/>
        <v>161.6</v>
      </c>
      <c r="AJ996" s="68">
        <f t="shared" si="31"/>
        <v>25.856</v>
      </c>
      <c r="AK996" s="68">
        <f t="shared" si="32"/>
        <v>187.456</v>
      </c>
      <c r="AL996" s="70">
        <f>IFERROR(__xludf.DUMMYFUNCTION("""COMPUTED_VALUE"""),1.0)</f>
        <v>1</v>
      </c>
      <c r="AM996" s="70"/>
      <c r="AN996" s="71" t="str">
        <f>IFERROR(__xludf.DUMMYFUNCTION("""COMPUTED_VALUE""")," P")</f>
        <v>P</v>
      </c>
      <c r="AO996" s="71" t="str">
        <f>IFERROR(__xludf.DUMMYFUNCTION("""COMPUTED_VALUE""")," PO05")</f>
        <v>PO05</v>
      </c>
      <c r="AP996" s="71" t="str">
        <f>IFERROR(__xludf.DUMMYFUNCTION("""COMPUTED_VALUE""")," PZA")</f>
        <v>PZA</v>
      </c>
      <c r="AQ996" s="71" t="str">
        <f>IFERROR(__xludf.DUMMYFUNCTION("""COMPUTED_VALUE""")," REF")</f>
        <v>REF</v>
      </c>
      <c r="AR996" s="71" t="str">
        <f>IFERROR(__xludf.DUMMYFUNCTION("""COMPUTED_VALUE""")," POLEA 2-1/2"" 2RB C/MAMELON E5/8 C3/16")</f>
        <v>POLEA 2-1/2" 2RB C/MAMELON E5/8 C3/16</v>
      </c>
      <c r="AS996" s="71" t="str">
        <f>IFERROR(__xludf.DUMMYFUNCTION("""COMPUTED_VALUE""")," POLEA 2-1/2"" 2RB C/MAMELON E5/8 C3/16")</f>
        <v>POLEA 2-1/2" 2RB C/MAMELON E5/8 C3/16</v>
      </c>
      <c r="AT996" s="71">
        <f>IFERROR(__xludf.DUMMYFUNCTION("""COMPUTED_VALUE"""),37.0)</f>
        <v>37</v>
      </c>
      <c r="AU996" s="71"/>
      <c r="AV996" s="71"/>
      <c r="AW996" s="71"/>
      <c r="AX996" s="71"/>
      <c r="AY996" s="71">
        <f>IFERROR(__xludf.DUMMYFUNCTION("""COMPUTED_VALUE"""),113.0)</f>
        <v>113</v>
      </c>
      <c r="AZ996" s="71">
        <f>IFERROR(__xludf.DUMMYFUNCTION("""COMPUTED_VALUE"""),122.0)</f>
        <v>122</v>
      </c>
      <c r="BA996" s="71">
        <f>IFERROR(__xludf.DUMMYFUNCTION("""COMPUTED_VALUE"""),131.76000000000002)</f>
        <v>131.76</v>
      </c>
      <c r="BB996" s="71">
        <f>IFERROR(__xludf.DUMMYFUNCTION("""COMPUTED_VALUE"""),131.76000000000002)</f>
        <v>131.76</v>
      </c>
      <c r="BC996" s="71">
        <f>IFERROR(__xludf.DUMMYFUNCTION("""COMPUTED_VALUE"""),152.0)</f>
        <v>152</v>
      </c>
      <c r="BD996" s="71">
        <f>IFERROR(__xludf.DUMMYFUNCTION("""COMPUTED_VALUE"""),160.0)</f>
        <v>160</v>
      </c>
      <c r="BE996" s="71">
        <f>IFERROR(__xludf.DUMMYFUNCTION("""COMPUTED_VALUE"""),25.6)</f>
        <v>25.6</v>
      </c>
      <c r="BF996" s="71">
        <f>IFERROR(__xludf.DUMMYFUNCTION("""COMPUTED_VALUE"""),185.6)</f>
        <v>185.6</v>
      </c>
      <c r="BG996" s="71">
        <f>IFERROR(__xludf.DUMMYFUNCTION("""COMPUTED_VALUE"""),0.05263157894736842)</f>
        <v>0.05263157895</v>
      </c>
      <c r="BH996" s="71">
        <f>IFERROR(__xludf.DUMMYFUNCTION("""COMPUTED_VALUE"""),152.0)</f>
        <v>152</v>
      </c>
      <c r="BI996" s="71">
        <f>IFERROR(__xludf.DUMMYFUNCTION("""COMPUTED_VALUE"""),24.32)</f>
        <v>24.32</v>
      </c>
      <c r="BJ996" s="71">
        <f>IFERROR(__xludf.DUMMYFUNCTION("""COMPUTED_VALUE"""),176.32)</f>
        <v>176.32</v>
      </c>
      <c r="BK996" s="71">
        <f>IFERROR(__xludf.DUMMYFUNCTION("""COMPUTED_VALUE"""),144.0)</f>
        <v>144</v>
      </c>
      <c r="BL996" s="71">
        <f>IFERROR(__xludf.DUMMYFUNCTION("""COMPUTED_VALUE"""),23.04)</f>
        <v>23.04</v>
      </c>
      <c r="BM996" s="71">
        <f>IFERROR(__xludf.DUMMYFUNCTION("""COMPUTED_VALUE"""),167.04)</f>
        <v>167.04</v>
      </c>
      <c r="BN996" s="71">
        <f>IFERROR(__xludf.DUMMYFUNCTION("""COMPUTED_VALUE"""),136.0)</f>
        <v>136</v>
      </c>
      <c r="BO996" s="71">
        <f>IFERROR(__xludf.DUMMYFUNCTION("""COMPUTED_VALUE"""),21.76)</f>
        <v>21.76</v>
      </c>
      <c r="BP996" s="71">
        <f>IFERROR(__xludf.DUMMYFUNCTION("""COMPUTED_VALUE"""),157.76)</f>
        <v>157.76</v>
      </c>
      <c r="BQ996" s="71">
        <f>IFERROR(__xludf.DUMMYFUNCTION("""COMPUTED_VALUE"""),132.79999999999998)</f>
        <v>132.8</v>
      </c>
      <c r="BR996" s="71">
        <f>IFERROR(__xludf.DUMMYFUNCTION("""COMPUTED_VALUE"""),21.247999999999998)</f>
        <v>21.248</v>
      </c>
      <c r="BS996" s="71">
        <f>IFERROR(__xludf.DUMMYFUNCTION("""COMPUTED_VALUE"""),154.04799999999997)</f>
        <v>154.048</v>
      </c>
      <c r="BT996" s="71">
        <f>IFERROR(__xludf.DUMMYFUNCTION("""COMPUTED_VALUE"""),128.0)</f>
        <v>128</v>
      </c>
      <c r="BU996" s="71">
        <f>IFERROR(__xludf.DUMMYFUNCTION("""COMPUTED_VALUE"""),20.48)</f>
        <v>20.48</v>
      </c>
      <c r="BV996" s="71">
        <f>IFERROR(__xludf.DUMMYFUNCTION("""COMPUTED_VALUE"""),148.48)</f>
        <v>148.48</v>
      </c>
    </row>
    <row r="997">
      <c r="A997" s="53"/>
      <c r="B997" s="53"/>
      <c r="C997" s="53" t="s">
        <v>36</v>
      </c>
      <c r="D997" s="85" t="s">
        <v>2420</v>
      </c>
      <c r="E997" s="54" t="s">
        <v>38</v>
      </c>
      <c r="F997" s="55" t="s">
        <v>39</v>
      </c>
      <c r="G997" s="86" t="s">
        <v>2421</v>
      </c>
      <c r="H997" s="86" t="s">
        <v>2421</v>
      </c>
      <c r="I997" s="54">
        <f t="shared" si="24"/>
        <v>34</v>
      </c>
      <c r="J997" s="56"/>
      <c r="K997" s="57"/>
      <c r="L997" s="76"/>
      <c r="M997" s="59"/>
      <c r="N997" s="60"/>
      <c r="O997" s="61">
        <v>451.0</v>
      </c>
      <c r="P997" s="62">
        <v>510.0</v>
      </c>
      <c r="Q997" s="63">
        <v>510.0</v>
      </c>
      <c r="R997" s="64">
        <v>536.0</v>
      </c>
      <c r="S997" s="107">
        <v>563.0</v>
      </c>
      <c r="T997" s="65">
        <f t="shared" si="2"/>
        <v>90.08</v>
      </c>
      <c r="U997" s="65">
        <f t="shared" si="3"/>
        <v>653.08</v>
      </c>
      <c r="V997" s="66">
        <f t="shared" si="4"/>
        <v>0.05037313433</v>
      </c>
      <c r="W997" s="67">
        <f t="shared" si="5"/>
        <v>534.85</v>
      </c>
      <c r="X997" s="67">
        <f t="shared" si="6"/>
        <v>85.576</v>
      </c>
      <c r="Y997" s="67">
        <f t="shared" si="7"/>
        <v>620.426</v>
      </c>
      <c r="Z997" s="67">
        <f t="shared" si="8"/>
        <v>506.7</v>
      </c>
      <c r="AA997" s="67">
        <f t="shared" si="9"/>
        <v>81.072</v>
      </c>
      <c r="AB997" s="67">
        <f t="shared" si="10"/>
        <v>587.772</v>
      </c>
      <c r="AC997" s="67">
        <f t="shared" si="11"/>
        <v>478.55</v>
      </c>
      <c r="AD997" s="67">
        <f t="shared" si="12"/>
        <v>76.568</v>
      </c>
      <c r="AE997" s="67">
        <f t="shared" si="13"/>
        <v>555.118</v>
      </c>
      <c r="AF997" s="67">
        <f t="shared" si="33"/>
        <v>467.29</v>
      </c>
      <c r="AG997" s="67">
        <f t="shared" si="15"/>
        <v>74.7664</v>
      </c>
      <c r="AH997" s="67">
        <f t="shared" si="16"/>
        <v>542.0564</v>
      </c>
      <c r="AI997" s="67">
        <f t="shared" si="17"/>
        <v>450.4</v>
      </c>
      <c r="AJ997" s="68">
        <f t="shared" si="31"/>
        <v>72.064</v>
      </c>
      <c r="AK997" s="68">
        <f t="shared" si="32"/>
        <v>522.464</v>
      </c>
      <c r="AL997" s="70">
        <f>IFERROR(__xludf.DUMMYFUNCTION("""COMPUTED_VALUE"""),1.0)</f>
        <v>1</v>
      </c>
      <c r="AM997" s="70"/>
      <c r="AN997" s="71" t="str">
        <f>IFERROR(__xludf.DUMMYFUNCTION("""COMPUTED_VALUE""")," P")</f>
        <v>P</v>
      </c>
      <c r="AO997" s="71" t="str">
        <f>IFERROR(__xludf.DUMMYFUNCTION("""COMPUTED_VALUE""")," PO06")</f>
        <v>PO06</v>
      </c>
      <c r="AP997" s="71" t="str">
        <f>IFERROR(__xludf.DUMMYFUNCTION("""COMPUTED_VALUE""")," PZA")</f>
        <v>PZA</v>
      </c>
      <c r="AQ997" s="71" t="str">
        <f>IFERROR(__xludf.DUMMYFUNCTION("""COMPUTED_VALUE""")," REF")</f>
        <v>REF</v>
      </c>
      <c r="AR997" s="71" t="str">
        <f>IFERROR(__xludf.DUMMYFUNCTION("""COMPUTED_VALUE""")," POLEA 2-1/2"" 2RB C/MAMELON, E7/8 C3/16")</f>
        <v>POLEA 2-1/2" 2RB C/MAMELON, E7/8 C3/16</v>
      </c>
      <c r="AS997" s="71" t="str">
        <f>IFERROR(__xludf.DUMMYFUNCTION("""COMPUTED_VALUE""")," POLEA 2-1/2"" 2RB C/MAMELON, E7/8 C3/16")</f>
        <v>POLEA 2-1/2" 2RB C/MAMELON, E7/8 C3/16</v>
      </c>
      <c r="AT997" s="71">
        <f>IFERROR(__xludf.DUMMYFUNCTION("""COMPUTED_VALUE"""),38.0)</f>
        <v>38</v>
      </c>
      <c r="AU997" s="71"/>
      <c r="AV997" s="71"/>
      <c r="AW997" s="71"/>
      <c r="AX997" s="71"/>
      <c r="AY997" s="71">
        <f>IFERROR(__xludf.DUMMYFUNCTION("""COMPUTED_VALUE"""),113.0)</f>
        <v>113</v>
      </c>
      <c r="AZ997" s="71">
        <f>IFERROR(__xludf.DUMMYFUNCTION("""COMPUTED_VALUE"""),122.0)</f>
        <v>122</v>
      </c>
      <c r="BA997" s="71">
        <f>IFERROR(__xludf.DUMMYFUNCTION("""COMPUTED_VALUE"""),131.76000000000002)</f>
        <v>131.76</v>
      </c>
      <c r="BB997" s="71">
        <f>IFERROR(__xludf.DUMMYFUNCTION("""COMPUTED_VALUE"""),131.76000000000002)</f>
        <v>131.76</v>
      </c>
      <c r="BC997" s="71">
        <f>IFERROR(__xludf.DUMMYFUNCTION("""COMPUTED_VALUE"""),152.0)</f>
        <v>152</v>
      </c>
      <c r="BD997" s="71">
        <f>IFERROR(__xludf.DUMMYFUNCTION("""COMPUTED_VALUE"""),160.0)</f>
        <v>160</v>
      </c>
      <c r="BE997" s="71">
        <f>IFERROR(__xludf.DUMMYFUNCTION("""COMPUTED_VALUE"""),25.6)</f>
        <v>25.6</v>
      </c>
      <c r="BF997" s="71">
        <f>IFERROR(__xludf.DUMMYFUNCTION("""COMPUTED_VALUE"""),185.6)</f>
        <v>185.6</v>
      </c>
      <c r="BG997" s="71">
        <f>IFERROR(__xludf.DUMMYFUNCTION("""COMPUTED_VALUE"""),0.05263157894736842)</f>
        <v>0.05263157895</v>
      </c>
      <c r="BH997" s="71">
        <f>IFERROR(__xludf.DUMMYFUNCTION("""COMPUTED_VALUE"""),152.0)</f>
        <v>152</v>
      </c>
      <c r="BI997" s="71">
        <f>IFERROR(__xludf.DUMMYFUNCTION("""COMPUTED_VALUE"""),24.32)</f>
        <v>24.32</v>
      </c>
      <c r="BJ997" s="71">
        <f>IFERROR(__xludf.DUMMYFUNCTION("""COMPUTED_VALUE"""),176.32)</f>
        <v>176.32</v>
      </c>
      <c r="BK997" s="71">
        <f>IFERROR(__xludf.DUMMYFUNCTION("""COMPUTED_VALUE"""),144.0)</f>
        <v>144</v>
      </c>
      <c r="BL997" s="71">
        <f>IFERROR(__xludf.DUMMYFUNCTION("""COMPUTED_VALUE"""),23.04)</f>
        <v>23.04</v>
      </c>
      <c r="BM997" s="71">
        <f>IFERROR(__xludf.DUMMYFUNCTION("""COMPUTED_VALUE"""),167.04)</f>
        <v>167.04</v>
      </c>
      <c r="BN997" s="71">
        <f>IFERROR(__xludf.DUMMYFUNCTION("""COMPUTED_VALUE"""),136.0)</f>
        <v>136</v>
      </c>
      <c r="BO997" s="71">
        <f>IFERROR(__xludf.DUMMYFUNCTION("""COMPUTED_VALUE"""),21.76)</f>
        <v>21.76</v>
      </c>
      <c r="BP997" s="71">
        <f>IFERROR(__xludf.DUMMYFUNCTION("""COMPUTED_VALUE"""),157.76)</f>
        <v>157.76</v>
      </c>
      <c r="BQ997" s="71">
        <f>IFERROR(__xludf.DUMMYFUNCTION("""COMPUTED_VALUE"""),132.79999999999998)</f>
        <v>132.8</v>
      </c>
      <c r="BR997" s="71">
        <f>IFERROR(__xludf.DUMMYFUNCTION("""COMPUTED_VALUE"""),21.247999999999998)</f>
        <v>21.248</v>
      </c>
      <c r="BS997" s="71">
        <f>IFERROR(__xludf.DUMMYFUNCTION("""COMPUTED_VALUE"""),154.04799999999997)</f>
        <v>154.048</v>
      </c>
      <c r="BT997" s="71">
        <f>IFERROR(__xludf.DUMMYFUNCTION("""COMPUTED_VALUE"""),128.0)</f>
        <v>128</v>
      </c>
      <c r="BU997" s="71">
        <f>IFERROR(__xludf.DUMMYFUNCTION("""COMPUTED_VALUE"""),20.48)</f>
        <v>20.48</v>
      </c>
      <c r="BV997" s="71">
        <f>IFERROR(__xludf.DUMMYFUNCTION("""COMPUTED_VALUE"""),148.48)</f>
        <v>148.48</v>
      </c>
    </row>
    <row r="998">
      <c r="A998" s="53">
        <v>1.0</v>
      </c>
      <c r="B998" s="72"/>
      <c r="C998" s="73" t="s">
        <v>12</v>
      </c>
      <c r="D998" s="74" t="s">
        <v>2422</v>
      </c>
      <c r="E998" s="54" t="s">
        <v>38</v>
      </c>
      <c r="F998" s="54" t="s">
        <v>42</v>
      </c>
      <c r="G998" s="88" t="s">
        <v>2423</v>
      </c>
      <c r="H998" s="54" t="s">
        <v>2424</v>
      </c>
      <c r="I998" s="54">
        <f t="shared" si="24"/>
        <v>33</v>
      </c>
      <c r="J998" s="56"/>
      <c r="K998" s="75"/>
      <c r="L998" s="76"/>
      <c r="M998" s="59"/>
      <c r="N998" s="60">
        <v>58.0</v>
      </c>
      <c r="O998" s="61">
        <v>62.0</v>
      </c>
      <c r="P998" s="62">
        <v>66.96000000000001</v>
      </c>
      <c r="Q998" s="63">
        <v>66.96000000000001</v>
      </c>
      <c r="R998" s="64">
        <v>75.0</v>
      </c>
      <c r="S998" s="111">
        <v>79.0</v>
      </c>
      <c r="T998" s="65">
        <f t="shared" si="2"/>
        <v>12.64</v>
      </c>
      <c r="U998" s="65">
        <f t="shared" si="3"/>
        <v>91.64</v>
      </c>
      <c r="V998" s="66">
        <f t="shared" si="4"/>
        <v>0.05333333333</v>
      </c>
      <c r="W998" s="67">
        <f t="shared" si="5"/>
        <v>75.05</v>
      </c>
      <c r="X998" s="67">
        <f t="shared" si="6"/>
        <v>12.008</v>
      </c>
      <c r="Y998" s="67">
        <f t="shared" si="7"/>
        <v>87.058</v>
      </c>
      <c r="Z998" s="67">
        <f t="shared" si="8"/>
        <v>71.1</v>
      </c>
      <c r="AA998" s="67">
        <f t="shared" si="9"/>
        <v>11.376</v>
      </c>
      <c r="AB998" s="67">
        <f t="shared" si="10"/>
        <v>82.476</v>
      </c>
      <c r="AC998" s="67">
        <f t="shared" si="11"/>
        <v>67.15</v>
      </c>
      <c r="AD998" s="67">
        <f t="shared" si="12"/>
        <v>10.744</v>
      </c>
      <c r="AE998" s="67">
        <f t="shared" si="13"/>
        <v>77.894</v>
      </c>
      <c r="AF998" s="67">
        <f t="shared" si="33"/>
        <v>65.57</v>
      </c>
      <c r="AG998" s="67">
        <f t="shared" si="15"/>
        <v>10.4912</v>
      </c>
      <c r="AH998" s="67">
        <f t="shared" si="16"/>
        <v>76.0612</v>
      </c>
      <c r="AI998" s="67">
        <f t="shared" si="17"/>
        <v>63.2</v>
      </c>
      <c r="AJ998" s="68">
        <f t="shared" si="31"/>
        <v>10.112</v>
      </c>
      <c r="AK998" s="68">
        <f t="shared" si="32"/>
        <v>73.312</v>
      </c>
      <c r="AL998" s="70">
        <f>IFERROR(__xludf.DUMMYFUNCTION("""COMPUTED_VALUE"""),1.0)</f>
        <v>1</v>
      </c>
      <c r="AM998" s="70"/>
      <c r="AN998" s="71" t="str">
        <f>IFERROR(__xludf.DUMMYFUNCTION("""COMPUTED_VALUE""")," P")</f>
        <v>P</v>
      </c>
      <c r="AO998" s="71" t="str">
        <f>IFERROR(__xludf.DUMMYFUNCTION("""COMPUTED_VALUE""")," PO01")</f>
        <v>PO01</v>
      </c>
      <c r="AP998" s="71" t="str">
        <f>IFERROR(__xludf.DUMMYFUNCTION("""COMPUTED_VALUE""")," PZA")</f>
        <v>PZA</v>
      </c>
      <c r="AQ998" s="71" t="str">
        <f>IFERROR(__xludf.DUMMYFUNCTION("""COMPUTED_VALUE""")," REF")</f>
        <v>REF</v>
      </c>
      <c r="AR998" s="71" t="str">
        <f>IFERROR(__xludf.DUMMYFUNCTION("""COMPUTED_VALUE""")," POLEA 2"" 1RA P/VENTILADOR")</f>
        <v>POLEA 2" 1RA P/VENTILADOR</v>
      </c>
      <c r="AS998" s="71" t="str">
        <f>IFERROR(__xludf.DUMMYFUNCTION("""COMPUTED_VALUE""")," POLEA 2"" 1RA P/VENTILADOR")</f>
        <v>POLEA 2" 1RA P/VENTILADOR</v>
      </c>
      <c r="AT998" s="71">
        <f>IFERROR(__xludf.DUMMYFUNCTION("""COMPUTED_VALUE"""),25.0)</f>
        <v>25</v>
      </c>
      <c r="AU998" s="71"/>
      <c r="AV998" s="71"/>
      <c r="AW998" s="71"/>
      <c r="AX998" s="71"/>
      <c r="AY998" s="71">
        <f>IFERROR(__xludf.DUMMYFUNCTION("""COMPUTED_VALUE"""),60.0)</f>
        <v>60</v>
      </c>
      <c r="AZ998" s="71">
        <f>IFERROR(__xludf.DUMMYFUNCTION("""COMPUTED_VALUE"""),64.0)</f>
        <v>64</v>
      </c>
      <c r="BA998" s="71">
        <f>IFERROR(__xludf.DUMMYFUNCTION("""COMPUTED_VALUE"""),69.12)</f>
        <v>69.12</v>
      </c>
      <c r="BB998" s="71">
        <f>IFERROR(__xludf.DUMMYFUNCTION("""COMPUTED_VALUE"""),69.12)</f>
        <v>69.12</v>
      </c>
      <c r="BC998" s="71">
        <f>IFERROR(__xludf.DUMMYFUNCTION("""COMPUTED_VALUE"""),80.0)</f>
        <v>80</v>
      </c>
      <c r="BD998" s="71">
        <f>IFERROR(__xludf.DUMMYFUNCTION("""COMPUTED_VALUE"""),84.0)</f>
        <v>84</v>
      </c>
      <c r="BE998" s="71">
        <f>IFERROR(__xludf.DUMMYFUNCTION("""COMPUTED_VALUE"""),13.44)</f>
        <v>13.44</v>
      </c>
      <c r="BF998" s="71">
        <f>IFERROR(__xludf.DUMMYFUNCTION("""COMPUTED_VALUE"""),97.44)</f>
        <v>97.44</v>
      </c>
      <c r="BG998" s="71">
        <f>IFERROR(__xludf.DUMMYFUNCTION("""COMPUTED_VALUE"""),0.05)</f>
        <v>0.05</v>
      </c>
      <c r="BH998" s="71">
        <f>IFERROR(__xludf.DUMMYFUNCTION("""COMPUTED_VALUE"""),79.8)</f>
        <v>79.8</v>
      </c>
      <c r="BI998" s="71">
        <f>IFERROR(__xludf.DUMMYFUNCTION("""COMPUTED_VALUE"""),12.768)</f>
        <v>12.768</v>
      </c>
      <c r="BJ998" s="71">
        <f>IFERROR(__xludf.DUMMYFUNCTION("""COMPUTED_VALUE"""),92.568)</f>
        <v>92.568</v>
      </c>
      <c r="BK998" s="71">
        <f>IFERROR(__xludf.DUMMYFUNCTION("""COMPUTED_VALUE"""),75.60000000000001)</f>
        <v>75.6</v>
      </c>
      <c r="BL998" s="71">
        <f>IFERROR(__xludf.DUMMYFUNCTION("""COMPUTED_VALUE"""),12.096000000000002)</f>
        <v>12.096</v>
      </c>
      <c r="BM998" s="71">
        <f>IFERROR(__xludf.DUMMYFUNCTION("""COMPUTED_VALUE"""),87.69600000000001)</f>
        <v>87.696</v>
      </c>
      <c r="BN998" s="71">
        <f>IFERROR(__xludf.DUMMYFUNCTION("""COMPUTED_VALUE"""),71.39999999999999)</f>
        <v>71.4</v>
      </c>
      <c r="BO998" s="71">
        <f>IFERROR(__xludf.DUMMYFUNCTION("""COMPUTED_VALUE"""),11.424)</f>
        <v>11.424</v>
      </c>
      <c r="BP998" s="71">
        <f>IFERROR(__xludf.DUMMYFUNCTION("""COMPUTED_VALUE"""),82.82399999999998)</f>
        <v>82.824</v>
      </c>
      <c r="BQ998" s="71">
        <f>IFERROR(__xludf.DUMMYFUNCTION("""COMPUTED_VALUE"""),69.72)</f>
        <v>69.72</v>
      </c>
      <c r="BR998" s="71">
        <f>IFERROR(__xludf.DUMMYFUNCTION("""COMPUTED_VALUE"""),11.1552)</f>
        <v>11.1552</v>
      </c>
      <c r="BS998" s="71">
        <f>IFERROR(__xludf.DUMMYFUNCTION("""COMPUTED_VALUE"""),80.8752)</f>
        <v>80.8752</v>
      </c>
      <c r="BT998" s="71">
        <f>IFERROR(__xludf.DUMMYFUNCTION("""COMPUTED_VALUE"""),67.2)</f>
        <v>67.2</v>
      </c>
      <c r="BU998" s="71">
        <f>IFERROR(__xludf.DUMMYFUNCTION("""COMPUTED_VALUE"""),10.752)</f>
        <v>10.752</v>
      </c>
      <c r="BV998" s="71">
        <f>IFERROR(__xludf.DUMMYFUNCTION("""COMPUTED_VALUE"""),77.952)</f>
        <v>77.952</v>
      </c>
    </row>
    <row r="999">
      <c r="A999" s="53">
        <v>1.0</v>
      </c>
      <c r="B999" s="72"/>
      <c r="C999" s="73" t="s">
        <v>12</v>
      </c>
      <c r="D999" s="74" t="s">
        <v>2425</v>
      </c>
      <c r="E999" s="54" t="s">
        <v>38</v>
      </c>
      <c r="F999" s="54" t="s">
        <v>42</v>
      </c>
      <c r="G999" s="88" t="s">
        <v>2426</v>
      </c>
      <c r="H999" s="54" t="s">
        <v>2427</v>
      </c>
      <c r="I999" s="54">
        <f t="shared" si="24"/>
        <v>37</v>
      </c>
      <c r="J999" s="56"/>
      <c r="K999" s="75"/>
      <c r="L999" s="76"/>
      <c r="M999" s="59"/>
      <c r="N999" s="60">
        <v>58.0</v>
      </c>
      <c r="O999" s="61">
        <v>62.0</v>
      </c>
      <c r="P999" s="62">
        <v>66.96000000000001</v>
      </c>
      <c r="Q999" s="63">
        <v>66.96000000000001</v>
      </c>
      <c r="R999" s="64">
        <v>75.0</v>
      </c>
      <c r="S999" s="111">
        <v>79.0</v>
      </c>
      <c r="T999" s="65">
        <f t="shared" si="2"/>
        <v>12.64</v>
      </c>
      <c r="U999" s="65">
        <f t="shared" si="3"/>
        <v>91.64</v>
      </c>
      <c r="V999" s="66">
        <f t="shared" si="4"/>
        <v>0.05333333333</v>
      </c>
      <c r="W999" s="67">
        <f t="shared" si="5"/>
        <v>75.05</v>
      </c>
      <c r="X999" s="67">
        <f t="shared" si="6"/>
        <v>12.008</v>
      </c>
      <c r="Y999" s="67">
        <f t="shared" si="7"/>
        <v>87.058</v>
      </c>
      <c r="Z999" s="67">
        <f t="shared" si="8"/>
        <v>71.1</v>
      </c>
      <c r="AA999" s="67">
        <f t="shared" si="9"/>
        <v>11.376</v>
      </c>
      <c r="AB999" s="67">
        <f t="shared" si="10"/>
        <v>82.476</v>
      </c>
      <c r="AC999" s="67">
        <f t="shared" si="11"/>
        <v>67.15</v>
      </c>
      <c r="AD999" s="67">
        <f t="shared" si="12"/>
        <v>10.744</v>
      </c>
      <c r="AE999" s="67">
        <f t="shared" si="13"/>
        <v>77.894</v>
      </c>
      <c r="AF999" s="67">
        <f t="shared" si="33"/>
        <v>65.57</v>
      </c>
      <c r="AG999" s="67">
        <f t="shared" si="15"/>
        <v>10.4912</v>
      </c>
      <c r="AH999" s="67">
        <f t="shared" si="16"/>
        <v>76.0612</v>
      </c>
      <c r="AI999" s="67">
        <f t="shared" si="17"/>
        <v>63.2</v>
      </c>
      <c r="AJ999" s="68">
        <f t="shared" si="31"/>
        <v>10.112</v>
      </c>
      <c r="AK999" s="68">
        <f t="shared" si="32"/>
        <v>73.312</v>
      </c>
      <c r="AL999" s="70">
        <f>IFERROR(__xludf.DUMMYFUNCTION("""COMPUTED_VALUE"""),1.0)</f>
        <v>1</v>
      </c>
      <c r="AM999" s="70"/>
      <c r="AN999" s="71" t="str">
        <f>IFERROR(__xludf.DUMMYFUNCTION("""COMPUTED_VALUE""")," P")</f>
        <v>P</v>
      </c>
      <c r="AO999" s="71" t="str">
        <f>IFERROR(__xludf.DUMMYFUNCTION("""COMPUTED_VALUE""")," PO63")</f>
        <v>PO63</v>
      </c>
      <c r="AP999" s="71" t="str">
        <f>IFERROR(__xludf.DUMMYFUNCTION("""COMPUTED_VALUE""")," PZA")</f>
        <v>PZA</v>
      </c>
      <c r="AQ999" s="71" t="str">
        <f>IFERROR(__xludf.DUMMYFUNCTION("""COMPUTED_VALUE""")," REF")</f>
        <v>REF</v>
      </c>
      <c r="AR999" s="71" t="str">
        <f>IFERROR(__xludf.DUMMYFUNCTION("""COMPUTED_VALUE""")," POLEA 3 7/8"" 3RB E5/8 C3/16 ")</f>
        <v>POLEA 3 7/8" 3RB E5/8 C3/16 </v>
      </c>
      <c r="AS999" s="71" t="str">
        <f>IFERROR(__xludf.DUMMYFUNCTION("""COMPUTED_VALUE""")," POLEA 3 7/8"" 3RB E5/8 C3/16 ")</f>
        <v>POLEA 3 7/8" 3RB E5/8 C3/16 </v>
      </c>
      <c r="AT999" s="71">
        <f>IFERROR(__xludf.DUMMYFUNCTION("""COMPUTED_VALUE"""),28.0)</f>
        <v>28</v>
      </c>
      <c r="AU999" s="71"/>
      <c r="AV999" s="71"/>
      <c r="AW999" s="71"/>
      <c r="AX999" s="71"/>
      <c r="AY999" s="71">
        <f>IFERROR(__xludf.DUMMYFUNCTION("""COMPUTED_VALUE"""),314.0)</f>
        <v>314</v>
      </c>
      <c r="AZ999" s="71">
        <f>IFERROR(__xludf.DUMMYFUNCTION("""COMPUTED_VALUE"""),339.0)</f>
        <v>339</v>
      </c>
      <c r="BA999" s="71">
        <f>IFERROR(__xludf.DUMMYFUNCTION("""COMPUTED_VALUE"""),366.12)</f>
        <v>366.12</v>
      </c>
      <c r="BB999" s="71">
        <f>IFERROR(__xludf.DUMMYFUNCTION("""COMPUTED_VALUE"""),366.12)</f>
        <v>366.12</v>
      </c>
      <c r="BC999" s="71">
        <f>IFERROR(__xludf.DUMMYFUNCTION("""COMPUTED_VALUE"""),396.0)</f>
        <v>396</v>
      </c>
      <c r="BD999" s="71">
        <f>IFERROR(__xludf.DUMMYFUNCTION("""COMPUTED_VALUE"""),416.0)</f>
        <v>416</v>
      </c>
      <c r="BE999" s="71">
        <f>IFERROR(__xludf.DUMMYFUNCTION("""COMPUTED_VALUE"""),66.56)</f>
        <v>66.56</v>
      </c>
      <c r="BF999" s="71">
        <f>IFERROR(__xludf.DUMMYFUNCTION("""COMPUTED_VALUE"""),482.56)</f>
        <v>482.56</v>
      </c>
      <c r="BG999" s="71">
        <f>IFERROR(__xludf.DUMMYFUNCTION("""COMPUTED_VALUE"""),0.050505050505050504)</f>
        <v>0.05050505051</v>
      </c>
      <c r="BH999" s="71">
        <f>IFERROR(__xludf.DUMMYFUNCTION("""COMPUTED_VALUE"""),395.2)</f>
        <v>395.2</v>
      </c>
      <c r="BI999" s="71">
        <f>IFERROR(__xludf.DUMMYFUNCTION("""COMPUTED_VALUE"""),63.232)</f>
        <v>63.232</v>
      </c>
      <c r="BJ999" s="71">
        <f>IFERROR(__xludf.DUMMYFUNCTION("""COMPUTED_VALUE"""),458.432)</f>
        <v>458.432</v>
      </c>
      <c r="BK999" s="71">
        <f>IFERROR(__xludf.DUMMYFUNCTION("""COMPUTED_VALUE"""),374.40000000000003)</f>
        <v>374.4</v>
      </c>
      <c r="BL999" s="71">
        <f>IFERROR(__xludf.DUMMYFUNCTION("""COMPUTED_VALUE"""),59.904)</f>
        <v>59.904</v>
      </c>
      <c r="BM999" s="71">
        <f>IFERROR(__xludf.DUMMYFUNCTION("""COMPUTED_VALUE"""),434.30400000000003)</f>
        <v>434.304</v>
      </c>
      <c r="BN999" s="71">
        <f>IFERROR(__xludf.DUMMYFUNCTION("""COMPUTED_VALUE"""),353.59999999999997)</f>
        <v>353.6</v>
      </c>
      <c r="BO999" s="71">
        <f>IFERROR(__xludf.DUMMYFUNCTION("""COMPUTED_VALUE"""),56.57599999999999)</f>
        <v>56.576</v>
      </c>
      <c r="BP999" s="71">
        <f>IFERROR(__xludf.DUMMYFUNCTION("""COMPUTED_VALUE"""),410.17599999999993)</f>
        <v>410.176</v>
      </c>
      <c r="BQ999" s="71">
        <f>IFERROR(__xludf.DUMMYFUNCTION("""COMPUTED_VALUE"""),345.28)</f>
        <v>345.28</v>
      </c>
      <c r="BR999" s="71">
        <f>IFERROR(__xludf.DUMMYFUNCTION("""COMPUTED_VALUE"""),55.2448)</f>
        <v>55.2448</v>
      </c>
      <c r="BS999" s="71">
        <f>IFERROR(__xludf.DUMMYFUNCTION("""COMPUTED_VALUE"""),400.52479999999997)</f>
        <v>400.5248</v>
      </c>
      <c r="BT999" s="71">
        <f>IFERROR(__xludf.DUMMYFUNCTION("""COMPUTED_VALUE"""),332.8)</f>
        <v>332.8</v>
      </c>
      <c r="BU999" s="71">
        <f>IFERROR(__xludf.DUMMYFUNCTION("""COMPUTED_VALUE"""),53.248000000000005)</f>
        <v>53.248</v>
      </c>
      <c r="BV999" s="71">
        <f>IFERROR(__xludf.DUMMYFUNCTION("""COMPUTED_VALUE"""),386.048)</f>
        <v>386.048</v>
      </c>
    </row>
    <row r="1000">
      <c r="A1000" s="53"/>
      <c r="B1000" s="53"/>
      <c r="C1000" s="53" t="s">
        <v>36</v>
      </c>
      <c r="D1000" s="85" t="s">
        <v>2428</v>
      </c>
      <c r="E1000" s="54" t="s">
        <v>38</v>
      </c>
      <c r="F1000" s="55" t="s">
        <v>39</v>
      </c>
      <c r="G1000" s="86" t="s">
        <v>2429</v>
      </c>
      <c r="H1000" s="55"/>
      <c r="I1000" s="54">
        <f t="shared" si="24"/>
        <v>0</v>
      </c>
      <c r="J1000" s="56"/>
      <c r="K1000" s="57"/>
      <c r="L1000" s="76"/>
      <c r="M1000" s="59"/>
      <c r="N1000" s="60"/>
      <c r="O1000" s="61">
        <v>218.88</v>
      </c>
      <c r="P1000" s="62">
        <v>236.3904</v>
      </c>
      <c r="Q1000" s="63">
        <v>236.3904</v>
      </c>
      <c r="R1000" s="64">
        <v>248.0</v>
      </c>
      <c r="S1000" s="107">
        <v>260.0</v>
      </c>
      <c r="T1000" s="65">
        <f t="shared" si="2"/>
        <v>41.6</v>
      </c>
      <c r="U1000" s="65">
        <f t="shared" si="3"/>
        <v>301.6</v>
      </c>
      <c r="V1000" s="66">
        <f t="shared" si="4"/>
        <v>0.04838709677</v>
      </c>
      <c r="W1000" s="67">
        <f t="shared" si="5"/>
        <v>247</v>
      </c>
      <c r="X1000" s="67">
        <f t="shared" si="6"/>
        <v>39.52</v>
      </c>
      <c r="Y1000" s="67">
        <f t="shared" si="7"/>
        <v>286.52</v>
      </c>
      <c r="Z1000" s="67">
        <f t="shared" si="8"/>
        <v>234</v>
      </c>
      <c r="AA1000" s="67">
        <f t="shared" si="9"/>
        <v>37.44</v>
      </c>
      <c r="AB1000" s="67">
        <f t="shared" si="10"/>
        <v>271.44</v>
      </c>
      <c r="AC1000" s="67">
        <f t="shared" si="11"/>
        <v>221</v>
      </c>
      <c r="AD1000" s="67">
        <f t="shared" si="12"/>
        <v>35.36</v>
      </c>
      <c r="AE1000" s="67">
        <f t="shared" si="13"/>
        <v>256.36</v>
      </c>
      <c r="AF1000" s="67">
        <f t="shared" si="33"/>
        <v>215.8</v>
      </c>
      <c r="AG1000" s="67">
        <f t="shared" si="15"/>
        <v>34.528</v>
      </c>
      <c r="AH1000" s="67">
        <f t="shared" si="16"/>
        <v>250.328</v>
      </c>
      <c r="AI1000" s="67">
        <f t="shared" si="17"/>
        <v>208</v>
      </c>
      <c r="AJ1000" s="68">
        <f t="shared" si="31"/>
        <v>33.28</v>
      </c>
      <c r="AK1000" s="68">
        <f t="shared" si="32"/>
        <v>241.28</v>
      </c>
      <c r="AL1000" s="70">
        <f>IFERROR(__xludf.DUMMYFUNCTION("""COMPUTED_VALUE"""),1.0)</f>
        <v>1</v>
      </c>
      <c r="AM1000" s="70"/>
      <c r="AN1000" s="71" t="str">
        <f>IFERROR(__xludf.DUMMYFUNCTION("""COMPUTED_VALUE""")," P")</f>
        <v>P</v>
      </c>
      <c r="AO1000" s="71" t="str">
        <f>IFERROR(__xludf.DUMMYFUNCTION("""COMPUTED_VALUE""")," PO62")</f>
        <v>PO62</v>
      </c>
      <c r="AP1000" s="71" t="str">
        <f>IFERROR(__xludf.DUMMYFUNCTION("""COMPUTED_VALUE""")," PZA")</f>
        <v>PZA</v>
      </c>
      <c r="AQ1000" s="71" t="str">
        <f>IFERROR(__xludf.DUMMYFUNCTION("""COMPUTED_VALUE""")," REF")</f>
        <v>REF</v>
      </c>
      <c r="AR1000" s="71" t="str">
        <f>IFERROR(__xludf.DUMMYFUNCTION("""COMPUTED_VALUE""")," POLEA 3 7/8"" 3RB E7/8 C1/4")</f>
        <v>POLEA 3 7/8" 3RB E7/8 C1/4</v>
      </c>
      <c r="AS1000" s="71" t="str">
        <f>IFERROR(__xludf.DUMMYFUNCTION("""COMPUTED_VALUE""")," POLEA 3 7/8"" 3RB E7/8 C1/4")</f>
        <v>POLEA 3 7/8" 3RB E7/8 C1/4</v>
      </c>
      <c r="AT1000" s="71">
        <f>IFERROR(__xludf.DUMMYFUNCTION("""COMPUTED_VALUE"""),26.0)</f>
        <v>26</v>
      </c>
      <c r="AU1000" s="71"/>
      <c r="AV1000" s="71"/>
      <c r="AW1000" s="71"/>
      <c r="AX1000" s="71"/>
      <c r="AY1000" s="71">
        <f>IFERROR(__xludf.DUMMYFUNCTION("""COMPUTED_VALUE"""),324.0)</f>
        <v>324</v>
      </c>
      <c r="AZ1000" s="71">
        <f>IFERROR(__xludf.DUMMYFUNCTION("""COMPUTED_VALUE"""),349.0)</f>
        <v>349</v>
      </c>
      <c r="BA1000" s="71">
        <f>IFERROR(__xludf.DUMMYFUNCTION("""COMPUTED_VALUE"""),376.92)</f>
        <v>376.92</v>
      </c>
      <c r="BB1000" s="71">
        <f>IFERROR(__xludf.DUMMYFUNCTION("""COMPUTED_VALUE"""),376.92)</f>
        <v>376.92</v>
      </c>
      <c r="BC1000" s="71">
        <f>IFERROR(__xludf.DUMMYFUNCTION("""COMPUTED_VALUE"""),408.0)</f>
        <v>408</v>
      </c>
      <c r="BD1000" s="71">
        <f>IFERROR(__xludf.DUMMYFUNCTION("""COMPUTED_VALUE"""),428.0)</f>
        <v>428</v>
      </c>
      <c r="BE1000" s="71">
        <f>IFERROR(__xludf.DUMMYFUNCTION("""COMPUTED_VALUE"""),68.48)</f>
        <v>68.48</v>
      </c>
      <c r="BF1000" s="71">
        <f>IFERROR(__xludf.DUMMYFUNCTION("""COMPUTED_VALUE"""),496.48)</f>
        <v>496.48</v>
      </c>
      <c r="BG1000" s="71">
        <f>IFERROR(__xludf.DUMMYFUNCTION("""COMPUTED_VALUE"""),0.049019607843137254)</f>
        <v>0.04901960784</v>
      </c>
      <c r="BH1000" s="71">
        <f>IFERROR(__xludf.DUMMYFUNCTION("""COMPUTED_VALUE"""),406.59999999999997)</f>
        <v>406.6</v>
      </c>
      <c r="BI1000" s="71">
        <f>IFERROR(__xludf.DUMMYFUNCTION("""COMPUTED_VALUE"""),65.056)</f>
        <v>65.056</v>
      </c>
      <c r="BJ1000" s="71">
        <f>IFERROR(__xludf.DUMMYFUNCTION("""COMPUTED_VALUE"""),471.65599999999995)</f>
        <v>471.656</v>
      </c>
      <c r="BK1000" s="71">
        <f>IFERROR(__xludf.DUMMYFUNCTION("""COMPUTED_VALUE"""),385.2)</f>
        <v>385.2</v>
      </c>
      <c r="BL1000" s="71">
        <f>IFERROR(__xludf.DUMMYFUNCTION("""COMPUTED_VALUE"""),61.632)</f>
        <v>61.632</v>
      </c>
      <c r="BM1000" s="71">
        <f>IFERROR(__xludf.DUMMYFUNCTION("""COMPUTED_VALUE"""),446.832)</f>
        <v>446.832</v>
      </c>
      <c r="BN1000" s="71">
        <f>IFERROR(__xludf.DUMMYFUNCTION("""COMPUTED_VALUE"""),363.8)</f>
        <v>363.8</v>
      </c>
      <c r="BO1000" s="71">
        <f>IFERROR(__xludf.DUMMYFUNCTION("""COMPUTED_VALUE"""),58.208000000000006)</f>
        <v>58.208</v>
      </c>
      <c r="BP1000" s="71">
        <f>IFERROR(__xludf.DUMMYFUNCTION("""COMPUTED_VALUE"""),422.00800000000004)</f>
        <v>422.008</v>
      </c>
      <c r="BQ1000" s="71">
        <f>IFERROR(__xludf.DUMMYFUNCTION("""COMPUTED_VALUE"""),355.24)</f>
        <v>355.24</v>
      </c>
      <c r="BR1000" s="71">
        <f>IFERROR(__xludf.DUMMYFUNCTION("""COMPUTED_VALUE"""),56.8384)</f>
        <v>56.8384</v>
      </c>
      <c r="BS1000" s="71">
        <f>IFERROR(__xludf.DUMMYFUNCTION("""COMPUTED_VALUE"""),412.0784)</f>
        <v>412.0784</v>
      </c>
      <c r="BT1000" s="71">
        <f>IFERROR(__xludf.DUMMYFUNCTION("""COMPUTED_VALUE"""),342.40000000000003)</f>
        <v>342.4</v>
      </c>
      <c r="BU1000" s="71">
        <f>IFERROR(__xludf.DUMMYFUNCTION("""COMPUTED_VALUE"""),54.784000000000006)</f>
        <v>54.784</v>
      </c>
      <c r="BV1000" s="71">
        <f>IFERROR(__xludf.DUMMYFUNCTION("""COMPUTED_VALUE"""),397.184)</f>
        <v>397.184</v>
      </c>
    </row>
    <row r="1001">
      <c r="A1001" s="53"/>
      <c r="B1001" s="53">
        <v>3.0</v>
      </c>
      <c r="C1001" s="53" t="s">
        <v>36</v>
      </c>
      <c r="D1001" s="120" t="s">
        <v>2430</v>
      </c>
      <c r="E1001" s="54" t="s">
        <v>38</v>
      </c>
      <c r="F1001" s="55" t="s">
        <v>1610</v>
      </c>
      <c r="G1001" s="132" t="s">
        <v>2431</v>
      </c>
      <c r="H1001" s="55"/>
      <c r="I1001" s="54">
        <f t="shared" si="24"/>
        <v>0</v>
      </c>
      <c r="J1001" s="56"/>
      <c r="K1001" s="57"/>
      <c r="L1001" s="76"/>
      <c r="M1001" s="59"/>
      <c r="N1001" s="60"/>
      <c r="O1001" s="61">
        <v>12485.0</v>
      </c>
      <c r="P1001" s="62">
        <v>13483.800000000001</v>
      </c>
      <c r="Q1001" s="63">
        <v>13483.800000000001</v>
      </c>
      <c r="R1001" s="64">
        <v>14866.0</v>
      </c>
      <c r="S1001" s="107">
        <v>15609.0</v>
      </c>
      <c r="T1001" s="65">
        <f t="shared" si="2"/>
        <v>2497.44</v>
      </c>
      <c r="U1001" s="65">
        <f t="shared" si="3"/>
        <v>18106.44</v>
      </c>
      <c r="V1001" s="66">
        <f t="shared" si="4"/>
        <v>0.04997981972</v>
      </c>
      <c r="W1001" s="67">
        <f t="shared" si="5"/>
        <v>14828.55</v>
      </c>
      <c r="X1001" s="67">
        <f t="shared" si="6"/>
        <v>2372.568</v>
      </c>
      <c r="Y1001" s="67">
        <f t="shared" si="7"/>
        <v>17201.118</v>
      </c>
      <c r="Z1001" s="67">
        <f t="shared" si="8"/>
        <v>14048.1</v>
      </c>
      <c r="AA1001" s="67">
        <f t="shared" si="9"/>
        <v>2247.696</v>
      </c>
      <c r="AB1001" s="67">
        <f t="shared" si="10"/>
        <v>16295.796</v>
      </c>
      <c r="AC1001" s="67">
        <f t="shared" si="11"/>
        <v>14048.1</v>
      </c>
      <c r="AD1001" s="67">
        <f t="shared" si="12"/>
        <v>2247.696</v>
      </c>
      <c r="AE1001" s="67">
        <f t="shared" si="13"/>
        <v>16295.796</v>
      </c>
      <c r="AF1001" s="67">
        <f t="shared" si="33"/>
        <v>14048.1</v>
      </c>
      <c r="AG1001" s="67">
        <f t="shared" si="15"/>
        <v>2247.696</v>
      </c>
      <c r="AH1001" s="67">
        <f t="shared" si="16"/>
        <v>16295.796</v>
      </c>
      <c r="AI1001" s="67">
        <f t="shared" si="17"/>
        <v>14048.1</v>
      </c>
      <c r="AJ1001" s="68">
        <f t="shared" si="31"/>
        <v>2247.696</v>
      </c>
      <c r="AK1001" s="68">
        <f t="shared" si="32"/>
        <v>16295.796</v>
      </c>
      <c r="AL1001" s="70">
        <f>IFERROR(__xludf.DUMMYFUNCTION("""COMPUTED_VALUE"""),1.0)</f>
        <v>1</v>
      </c>
      <c r="AM1001" s="70"/>
      <c r="AN1001" s="71" t="str">
        <f>IFERROR(__xludf.DUMMYFUNCTION("""COMPUTED_VALUE""")," P")</f>
        <v>P</v>
      </c>
      <c r="AO1001" s="71" t="str">
        <f>IFERROR(__xludf.DUMMYFUNCTION("""COMPUTED_VALUE""")," PO101")</f>
        <v>PO101</v>
      </c>
      <c r="AP1001" s="71" t="str">
        <f>IFERROR(__xludf.DUMMYFUNCTION("""COMPUTED_VALUE""")," PZA")</f>
        <v>PZA</v>
      </c>
      <c r="AQ1001" s="71" t="str">
        <f>IFERROR(__xludf.DUMMYFUNCTION("""COMPUTED_VALUE""")," REF")</f>
        <v>REF</v>
      </c>
      <c r="AR1001" s="71" t="str">
        <f>IFERROR(__xludf.DUMMYFUNCTION("""COMPUTED_VALUE""")," POLEA 3-1/2"" 3RB E1-3/8 C5/16")</f>
        <v>POLEA 3-1/2" 3RB E1-3/8 C5/16</v>
      </c>
      <c r="AS1001" s="71" t="str">
        <f>IFERROR(__xludf.DUMMYFUNCTION("""COMPUTED_VALUE""")," POLEA 3-1/2"" 3RB E1-3/8 C5/16")</f>
        <v>POLEA 3-1/2" 3RB E1-3/8 C5/16</v>
      </c>
      <c r="AT1001" s="71">
        <f>IFERROR(__xludf.DUMMYFUNCTION("""COMPUTED_VALUE"""),29.0)</f>
        <v>29</v>
      </c>
      <c r="AU1001" s="71"/>
      <c r="AV1001" s="71"/>
      <c r="AW1001" s="71"/>
      <c r="AX1001" s="71"/>
      <c r="AY1001" s="71">
        <f>IFERROR(__xludf.DUMMYFUNCTION("""COMPUTED_VALUE"""),368.0)</f>
        <v>368</v>
      </c>
      <c r="AZ1001" s="71">
        <f>IFERROR(__xludf.DUMMYFUNCTION("""COMPUTED_VALUE"""),397.0)</f>
        <v>397</v>
      </c>
      <c r="BA1001" s="71">
        <f>IFERROR(__xludf.DUMMYFUNCTION("""COMPUTED_VALUE"""),428.76000000000005)</f>
        <v>428.76</v>
      </c>
      <c r="BB1001" s="71">
        <f>IFERROR(__xludf.DUMMYFUNCTION("""COMPUTED_VALUE"""),428.76000000000005)</f>
        <v>428.76</v>
      </c>
      <c r="BC1001" s="71">
        <f>IFERROR(__xludf.DUMMYFUNCTION("""COMPUTED_VALUE"""),464.0)</f>
        <v>464</v>
      </c>
      <c r="BD1001" s="71">
        <f>IFERROR(__xludf.DUMMYFUNCTION("""COMPUTED_VALUE"""),487.0)</f>
        <v>487</v>
      </c>
      <c r="BE1001" s="71">
        <f>IFERROR(__xludf.DUMMYFUNCTION("""COMPUTED_VALUE"""),77.92)</f>
        <v>77.92</v>
      </c>
      <c r="BF1001" s="71">
        <f>IFERROR(__xludf.DUMMYFUNCTION("""COMPUTED_VALUE"""),564.92)</f>
        <v>564.92</v>
      </c>
      <c r="BG1001" s="71">
        <f>IFERROR(__xludf.DUMMYFUNCTION("""COMPUTED_VALUE"""),0.04956896551724138)</f>
        <v>0.04956896552</v>
      </c>
      <c r="BH1001" s="71">
        <f>IFERROR(__xludf.DUMMYFUNCTION("""COMPUTED_VALUE"""),462.65)</f>
        <v>462.65</v>
      </c>
      <c r="BI1001" s="71">
        <f>IFERROR(__xludf.DUMMYFUNCTION("""COMPUTED_VALUE"""),74.024)</f>
        <v>74.024</v>
      </c>
      <c r="BJ1001" s="71">
        <f>IFERROR(__xludf.DUMMYFUNCTION("""COMPUTED_VALUE"""),536.674)</f>
        <v>536.674</v>
      </c>
      <c r="BK1001" s="71">
        <f>IFERROR(__xludf.DUMMYFUNCTION("""COMPUTED_VALUE"""),438.3)</f>
        <v>438.3</v>
      </c>
      <c r="BL1001" s="71">
        <f>IFERROR(__xludf.DUMMYFUNCTION("""COMPUTED_VALUE"""),70.128)</f>
        <v>70.128</v>
      </c>
      <c r="BM1001" s="71">
        <f>IFERROR(__xludf.DUMMYFUNCTION("""COMPUTED_VALUE"""),508.428)</f>
        <v>508.428</v>
      </c>
      <c r="BN1001" s="71">
        <f>IFERROR(__xludf.DUMMYFUNCTION("""COMPUTED_VALUE"""),413.95)</f>
        <v>413.95</v>
      </c>
      <c r="BO1001" s="71">
        <f>IFERROR(__xludf.DUMMYFUNCTION("""COMPUTED_VALUE"""),66.232)</f>
        <v>66.232</v>
      </c>
      <c r="BP1001" s="71">
        <f>IFERROR(__xludf.DUMMYFUNCTION("""COMPUTED_VALUE"""),480.182)</f>
        <v>480.182</v>
      </c>
      <c r="BQ1001" s="71">
        <f>IFERROR(__xludf.DUMMYFUNCTION("""COMPUTED_VALUE"""),404.21)</f>
        <v>404.21</v>
      </c>
      <c r="BR1001" s="71">
        <f>IFERROR(__xludf.DUMMYFUNCTION("""COMPUTED_VALUE"""),64.6736)</f>
        <v>64.6736</v>
      </c>
      <c r="BS1001" s="71">
        <f>IFERROR(__xludf.DUMMYFUNCTION("""COMPUTED_VALUE"""),468.8836)</f>
        <v>468.8836</v>
      </c>
      <c r="BT1001" s="71">
        <f>IFERROR(__xludf.DUMMYFUNCTION("""COMPUTED_VALUE"""),389.6)</f>
        <v>389.6</v>
      </c>
      <c r="BU1001" s="71">
        <f>IFERROR(__xludf.DUMMYFUNCTION("""COMPUTED_VALUE"""),62.336000000000006)</f>
        <v>62.336</v>
      </c>
      <c r="BV1001" s="71">
        <f>IFERROR(__xludf.DUMMYFUNCTION("""COMPUTED_VALUE"""),451.93600000000004)</f>
        <v>451.936</v>
      </c>
    </row>
    <row r="1002">
      <c r="A1002" s="53"/>
      <c r="B1002" s="53"/>
      <c r="C1002" s="53"/>
      <c r="D1002" s="53" t="s">
        <v>2432</v>
      </c>
      <c r="E1002" s="55" t="s">
        <v>38</v>
      </c>
      <c r="F1002" s="89"/>
      <c r="G1002" s="84" t="s">
        <v>2433</v>
      </c>
      <c r="H1002" s="55"/>
      <c r="I1002" s="54">
        <f t="shared" si="24"/>
        <v>0</v>
      </c>
      <c r="J1002" s="56"/>
      <c r="K1002" s="57"/>
      <c r="L1002" s="55"/>
      <c r="M1002" s="59"/>
      <c r="N1002" s="60"/>
      <c r="O1002" s="90"/>
      <c r="P1002" s="62">
        <v>254040.0</v>
      </c>
      <c r="Q1002" s="63">
        <v>254040.0</v>
      </c>
      <c r="R1002" s="64">
        <v>280080.0</v>
      </c>
      <c r="S1002" s="111">
        <v>294084.0</v>
      </c>
      <c r="T1002" s="65">
        <f t="shared" si="2"/>
        <v>47053.44</v>
      </c>
      <c r="U1002" s="65">
        <f t="shared" si="3"/>
        <v>341137.44</v>
      </c>
      <c r="V1002" s="66">
        <f t="shared" si="4"/>
        <v>0.05</v>
      </c>
      <c r="W1002" s="67">
        <f t="shared" si="5"/>
        <v>279379.8</v>
      </c>
      <c r="X1002" s="67">
        <f t="shared" si="6"/>
        <v>44700.768</v>
      </c>
      <c r="Y1002" s="67">
        <f t="shared" si="7"/>
        <v>324080.568</v>
      </c>
      <c r="Z1002" s="67">
        <f t="shared" si="8"/>
        <v>264675.6</v>
      </c>
      <c r="AA1002" s="67">
        <f t="shared" si="9"/>
        <v>42348.096</v>
      </c>
      <c r="AB1002" s="67">
        <f t="shared" si="10"/>
        <v>307023.696</v>
      </c>
      <c r="AC1002" s="67">
        <f t="shared" si="11"/>
        <v>249971.4</v>
      </c>
      <c r="AD1002" s="67">
        <f t="shared" si="12"/>
        <v>39995.424</v>
      </c>
      <c r="AE1002" s="67">
        <f t="shared" si="13"/>
        <v>289966.824</v>
      </c>
      <c r="AF1002" s="67">
        <f t="shared" si="33"/>
        <v>244089.72</v>
      </c>
      <c r="AG1002" s="67">
        <f t="shared" si="15"/>
        <v>39054.3552</v>
      </c>
      <c r="AH1002" s="67">
        <f t="shared" si="16"/>
        <v>283144.0752</v>
      </c>
      <c r="AI1002" s="67">
        <f t="shared" si="17"/>
        <v>235267.2</v>
      </c>
      <c r="AJ1002" s="68">
        <f t="shared" si="31"/>
        <v>37642.752</v>
      </c>
      <c r="AK1002" s="68">
        <f t="shared" si="32"/>
        <v>272909.952</v>
      </c>
      <c r="AL1002" s="70">
        <f>IFERROR(__xludf.DUMMYFUNCTION("""COMPUTED_VALUE"""),1.0)</f>
        <v>1</v>
      </c>
      <c r="AM1002" s="70"/>
      <c r="AN1002" s="71" t="str">
        <f>IFERROR(__xludf.DUMMYFUNCTION("""COMPUTED_VALUE""")," P")</f>
        <v>P</v>
      </c>
      <c r="AO1002" s="71" t="str">
        <f>IFERROR(__xludf.DUMMYFUNCTION("""COMPUTED_VALUE""")," PO09")</f>
        <v>PO09</v>
      </c>
      <c r="AP1002" s="71" t="str">
        <f>IFERROR(__xludf.DUMMYFUNCTION("""COMPUTED_VALUE""")," PZA")</f>
        <v>PZA</v>
      </c>
      <c r="AQ1002" s="71" t="str">
        <f>IFERROR(__xludf.DUMMYFUNCTION("""COMPUTED_VALUE""")," REF")</f>
        <v>REF</v>
      </c>
      <c r="AR1002" s="71" t="str">
        <f>IFERROR(__xludf.DUMMYFUNCTION("""COMPUTED_VALUE""")," POLEA 3-1/2"" 3RB E7/8 C3/16")</f>
        <v>POLEA 3-1/2" 3RB E7/8 C3/16</v>
      </c>
      <c r="AS1002" s="71" t="str">
        <f>IFERROR(__xludf.DUMMYFUNCTION("""COMPUTED_VALUE""")," POLEA 3-1/2"" 3RB E7/8 C3/16")</f>
        <v>POLEA 3-1/2" 3RB E7/8 C3/16</v>
      </c>
      <c r="AT1002" s="71">
        <f>IFERROR(__xludf.DUMMYFUNCTION("""COMPUTED_VALUE"""),27.0)</f>
        <v>27</v>
      </c>
      <c r="AU1002" s="71"/>
      <c r="AV1002" s="71"/>
      <c r="AW1002" s="71"/>
      <c r="AX1002" s="71"/>
      <c r="AY1002" s="71">
        <f>IFERROR(__xludf.DUMMYFUNCTION("""COMPUTED_VALUE"""),268.0)</f>
        <v>268</v>
      </c>
      <c r="AZ1002" s="71">
        <f>IFERROR(__xludf.DUMMYFUNCTION("""COMPUTED_VALUE"""),289.0)</f>
        <v>289</v>
      </c>
      <c r="BA1002" s="71">
        <f>IFERROR(__xludf.DUMMYFUNCTION("""COMPUTED_VALUE"""),312.12)</f>
        <v>312.12</v>
      </c>
      <c r="BB1002" s="71">
        <f>IFERROR(__xludf.DUMMYFUNCTION("""COMPUTED_VALUE"""),312.12)</f>
        <v>312.12</v>
      </c>
      <c r="BC1002" s="71">
        <f>IFERROR(__xludf.DUMMYFUNCTION("""COMPUTED_VALUE"""),358.0)</f>
        <v>358</v>
      </c>
      <c r="BD1002" s="71">
        <f>IFERROR(__xludf.DUMMYFUNCTION("""COMPUTED_VALUE"""),376.0)</f>
        <v>376</v>
      </c>
      <c r="BE1002" s="71">
        <f>IFERROR(__xludf.DUMMYFUNCTION("""COMPUTED_VALUE"""),60.160000000000004)</f>
        <v>60.16</v>
      </c>
      <c r="BF1002" s="71">
        <f>IFERROR(__xludf.DUMMYFUNCTION("""COMPUTED_VALUE"""),436.16)</f>
        <v>436.16</v>
      </c>
      <c r="BG1002" s="71">
        <f>IFERROR(__xludf.DUMMYFUNCTION("""COMPUTED_VALUE"""),0.05027932960893855)</f>
        <v>0.05027932961</v>
      </c>
      <c r="BH1002" s="71">
        <f>IFERROR(__xludf.DUMMYFUNCTION("""COMPUTED_VALUE"""),357.2)</f>
        <v>357.2</v>
      </c>
      <c r="BI1002" s="71">
        <f>IFERROR(__xludf.DUMMYFUNCTION("""COMPUTED_VALUE"""),57.152)</f>
        <v>57.152</v>
      </c>
      <c r="BJ1002" s="71">
        <f>IFERROR(__xludf.DUMMYFUNCTION("""COMPUTED_VALUE"""),414.352)</f>
        <v>414.352</v>
      </c>
      <c r="BK1002" s="71">
        <f>IFERROR(__xludf.DUMMYFUNCTION("""COMPUTED_VALUE"""),338.40000000000003)</f>
        <v>338.4</v>
      </c>
      <c r="BL1002" s="71">
        <f>IFERROR(__xludf.DUMMYFUNCTION("""COMPUTED_VALUE"""),54.144000000000005)</f>
        <v>54.144</v>
      </c>
      <c r="BM1002" s="71">
        <f>IFERROR(__xludf.DUMMYFUNCTION("""COMPUTED_VALUE"""),392.54400000000004)</f>
        <v>392.544</v>
      </c>
      <c r="BN1002" s="71">
        <f>IFERROR(__xludf.DUMMYFUNCTION("""COMPUTED_VALUE"""),319.59999999999997)</f>
        <v>319.6</v>
      </c>
      <c r="BO1002" s="71">
        <f>IFERROR(__xludf.DUMMYFUNCTION("""COMPUTED_VALUE"""),51.135999999999996)</f>
        <v>51.136</v>
      </c>
      <c r="BP1002" s="71">
        <f>IFERROR(__xludf.DUMMYFUNCTION("""COMPUTED_VALUE"""),370.736)</f>
        <v>370.736</v>
      </c>
      <c r="BQ1002" s="71">
        <f>IFERROR(__xludf.DUMMYFUNCTION("""COMPUTED_VALUE"""),312.08)</f>
        <v>312.08</v>
      </c>
      <c r="BR1002" s="71">
        <f>IFERROR(__xludf.DUMMYFUNCTION("""COMPUTED_VALUE"""),49.9328)</f>
        <v>49.9328</v>
      </c>
      <c r="BS1002" s="71">
        <f>IFERROR(__xludf.DUMMYFUNCTION("""COMPUTED_VALUE"""),362.01279999999997)</f>
        <v>362.0128</v>
      </c>
      <c r="BT1002" s="71">
        <f>IFERROR(__xludf.DUMMYFUNCTION("""COMPUTED_VALUE"""),300.8)</f>
        <v>300.8</v>
      </c>
      <c r="BU1002" s="71">
        <f>IFERROR(__xludf.DUMMYFUNCTION("""COMPUTED_VALUE"""),48.128)</f>
        <v>48.128</v>
      </c>
      <c r="BV1002" s="71">
        <f>IFERROR(__xludf.DUMMYFUNCTION("""COMPUTED_VALUE"""),348.928)</f>
        <v>348.928</v>
      </c>
    </row>
    <row r="1003">
      <c r="A1003" s="53"/>
      <c r="B1003" s="53"/>
      <c r="C1003" s="53"/>
      <c r="D1003" s="53" t="s">
        <v>2434</v>
      </c>
      <c r="E1003" s="55" t="s">
        <v>38</v>
      </c>
      <c r="F1003" s="89"/>
      <c r="G1003" s="84" t="s">
        <v>2435</v>
      </c>
      <c r="H1003" s="55"/>
      <c r="I1003" s="54">
        <f t="shared" si="24"/>
        <v>0</v>
      </c>
      <c r="J1003" s="56"/>
      <c r="K1003" s="57"/>
      <c r="L1003" s="55"/>
      <c r="M1003" s="59"/>
      <c r="N1003" s="60"/>
      <c r="O1003" s="90"/>
      <c r="P1003" s="62">
        <v>82073.0</v>
      </c>
      <c r="Q1003" s="63">
        <v>82073.0</v>
      </c>
      <c r="R1003" s="64">
        <v>90486.0</v>
      </c>
      <c r="S1003" s="111">
        <v>95010.0</v>
      </c>
      <c r="T1003" s="65">
        <f t="shared" si="2"/>
        <v>15201.6</v>
      </c>
      <c r="U1003" s="65">
        <f t="shared" si="3"/>
        <v>110211.6</v>
      </c>
      <c r="V1003" s="66">
        <f t="shared" si="4"/>
        <v>0.04999668457</v>
      </c>
      <c r="W1003" s="67">
        <f t="shared" si="5"/>
        <v>90259.5</v>
      </c>
      <c r="X1003" s="67">
        <f t="shared" si="6"/>
        <v>14441.52</v>
      </c>
      <c r="Y1003" s="67">
        <f t="shared" si="7"/>
        <v>104701.02</v>
      </c>
      <c r="Z1003" s="67">
        <f t="shared" si="8"/>
        <v>85509</v>
      </c>
      <c r="AA1003" s="67">
        <f t="shared" si="9"/>
        <v>13681.44</v>
      </c>
      <c r="AB1003" s="67">
        <f t="shared" si="10"/>
        <v>99190.44</v>
      </c>
      <c r="AC1003" s="67">
        <f t="shared" si="11"/>
        <v>80758.5</v>
      </c>
      <c r="AD1003" s="67">
        <f t="shared" si="12"/>
        <v>12921.36</v>
      </c>
      <c r="AE1003" s="67">
        <f t="shared" si="13"/>
        <v>93679.86</v>
      </c>
      <c r="AF1003" s="67">
        <f t="shared" si="33"/>
        <v>78858.3</v>
      </c>
      <c r="AG1003" s="67">
        <f t="shared" si="15"/>
        <v>12617.328</v>
      </c>
      <c r="AH1003" s="67">
        <f t="shared" si="16"/>
        <v>91475.628</v>
      </c>
      <c r="AI1003" s="67">
        <f t="shared" si="17"/>
        <v>76008</v>
      </c>
      <c r="AJ1003" s="68">
        <f t="shared" si="31"/>
        <v>12161.28</v>
      </c>
      <c r="AK1003" s="68">
        <f t="shared" si="32"/>
        <v>88169.28</v>
      </c>
      <c r="AL1003" s="70">
        <f>IFERROR(__xludf.DUMMYFUNCTION("""COMPUTED_VALUE"""),1.0)</f>
        <v>1</v>
      </c>
      <c r="AM1003" s="70"/>
      <c r="AN1003" s="71" t="str">
        <f>IFERROR(__xludf.DUMMYFUNCTION("""COMPUTED_VALUE""")," P")</f>
        <v>P</v>
      </c>
      <c r="AO1003" s="71" t="str">
        <f>IFERROR(__xludf.DUMMYFUNCTION("""COMPUTED_VALUE""")," PO74")</f>
        <v>PO74</v>
      </c>
      <c r="AP1003" s="71" t="str">
        <f>IFERROR(__xludf.DUMMYFUNCTION("""COMPUTED_VALUE""")," PZA")</f>
        <v>PZA</v>
      </c>
      <c r="AQ1003" s="71" t="str">
        <f>IFERROR(__xludf.DUMMYFUNCTION("""COMPUTED_VALUE""")," REF")</f>
        <v>REF</v>
      </c>
      <c r="AR1003" s="71" t="str">
        <f>IFERROR(__xludf.DUMMYFUNCTION("""COMPUTED_VALUE""")," POLEA 3-7/8"" 2RB E7/8 C3/16")</f>
        <v>POLEA 3-7/8" 2RB E7/8 C3/16</v>
      </c>
      <c r="AS1003" s="71" t="str">
        <f>IFERROR(__xludf.DUMMYFUNCTION("""COMPUTED_VALUE""")," POLEA 3-7/8"" 2RB E7/8 C3/16")</f>
        <v>POLEA 3-7/8" 2RB E7/8 C3/16</v>
      </c>
      <c r="AT1003" s="71">
        <f>IFERROR(__xludf.DUMMYFUNCTION("""COMPUTED_VALUE"""),27.0)</f>
        <v>27</v>
      </c>
      <c r="AU1003" s="71"/>
      <c r="AV1003" s="71"/>
      <c r="AW1003" s="71"/>
      <c r="AX1003" s="71"/>
      <c r="AY1003" s="71"/>
      <c r="AZ1003" s="71">
        <f>IFERROR(__xludf.DUMMYFUNCTION("""COMPUTED_VALUE"""),289.0)</f>
        <v>289</v>
      </c>
      <c r="BA1003" s="71">
        <f>IFERROR(__xludf.DUMMYFUNCTION("""COMPUTED_VALUE"""),312.12)</f>
        <v>312.12</v>
      </c>
      <c r="BB1003" s="71">
        <f>IFERROR(__xludf.DUMMYFUNCTION("""COMPUTED_VALUE"""),312.12)</f>
        <v>312.12</v>
      </c>
      <c r="BC1003" s="71">
        <f>IFERROR(__xludf.DUMMYFUNCTION("""COMPUTED_VALUE"""),337.0)</f>
        <v>337</v>
      </c>
      <c r="BD1003" s="71">
        <f>IFERROR(__xludf.DUMMYFUNCTION("""COMPUTED_VALUE"""),354.0)</f>
        <v>354</v>
      </c>
      <c r="BE1003" s="71">
        <f>IFERROR(__xludf.DUMMYFUNCTION("""COMPUTED_VALUE"""),56.64)</f>
        <v>56.64</v>
      </c>
      <c r="BF1003" s="71">
        <f>IFERROR(__xludf.DUMMYFUNCTION("""COMPUTED_VALUE"""),410.64)</f>
        <v>410.64</v>
      </c>
      <c r="BG1003" s="71">
        <f>IFERROR(__xludf.DUMMYFUNCTION("""COMPUTED_VALUE"""),0.050445103857566766)</f>
        <v>0.05044510386</v>
      </c>
      <c r="BH1003" s="71">
        <f>IFERROR(__xludf.DUMMYFUNCTION("""COMPUTED_VALUE"""),336.3)</f>
        <v>336.3</v>
      </c>
      <c r="BI1003" s="71">
        <f>IFERROR(__xludf.DUMMYFUNCTION("""COMPUTED_VALUE"""),53.808)</f>
        <v>53.808</v>
      </c>
      <c r="BJ1003" s="71">
        <f>IFERROR(__xludf.DUMMYFUNCTION("""COMPUTED_VALUE"""),390.108)</f>
        <v>390.108</v>
      </c>
      <c r="BK1003" s="71">
        <f>IFERROR(__xludf.DUMMYFUNCTION("""COMPUTED_VALUE"""),318.6)</f>
        <v>318.6</v>
      </c>
      <c r="BL1003" s="71">
        <f>IFERROR(__xludf.DUMMYFUNCTION("""COMPUTED_VALUE"""),50.976000000000006)</f>
        <v>50.976</v>
      </c>
      <c r="BM1003" s="71">
        <f>IFERROR(__xludf.DUMMYFUNCTION("""COMPUTED_VALUE"""),369.576)</f>
        <v>369.576</v>
      </c>
      <c r="BN1003" s="71">
        <f>IFERROR(__xludf.DUMMYFUNCTION("""COMPUTED_VALUE"""),300.9)</f>
        <v>300.9</v>
      </c>
      <c r="BO1003" s="71">
        <f>IFERROR(__xludf.DUMMYFUNCTION("""COMPUTED_VALUE"""),48.144)</f>
        <v>48.144</v>
      </c>
      <c r="BP1003" s="71">
        <f>IFERROR(__xludf.DUMMYFUNCTION("""COMPUTED_VALUE"""),349.044)</f>
        <v>349.044</v>
      </c>
      <c r="BQ1003" s="71">
        <f>IFERROR(__xludf.DUMMYFUNCTION("""COMPUTED_VALUE"""),293.82)</f>
        <v>293.82</v>
      </c>
      <c r="BR1003" s="71">
        <f>IFERROR(__xludf.DUMMYFUNCTION("""COMPUTED_VALUE"""),47.0112)</f>
        <v>47.0112</v>
      </c>
      <c r="BS1003" s="71">
        <f>IFERROR(__xludf.DUMMYFUNCTION("""COMPUTED_VALUE"""),340.83119999999997)</f>
        <v>340.8312</v>
      </c>
      <c r="BT1003" s="71">
        <f>IFERROR(__xludf.DUMMYFUNCTION("""COMPUTED_VALUE"""),283.2)</f>
        <v>283.2</v>
      </c>
      <c r="BU1003" s="71">
        <f>IFERROR(__xludf.DUMMYFUNCTION("""COMPUTED_VALUE"""),45.312)</f>
        <v>45.312</v>
      </c>
      <c r="BV1003" s="71">
        <f>IFERROR(__xludf.DUMMYFUNCTION("""COMPUTED_VALUE"""),328.512)</f>
        <v>328.512</v>
      </c>
    </row>
    <row r="1004">
      <c r="A1004" s="53"/>
      <c r="B1004" s="53"/>
      <c r="C1004" s="53"/>
      <c r="D1004" s="53" t="s">
        <v>2436</v>
      </c>
      <c r="E1004" s="55" t="s">
        <v>38</v>
      </c>
      <c r="F1004" s="89"/>
      <c r="G1004" s="84" t="s">
        <v>2437</v>
      </c>
      <c r="H1004" s="55"/>
      <c r="I1004" s="54">
        <f t="shared" si="24"/>
        <v>0</v>
      </c>
      <c r="J1004" s="56"/>
      <c r="K1004" s="57"/>
      <c r="L1004" s="55"/>
      <c r="M1004" s="59"/>
      <c r="N1004" s="60"/>
      <c r="O1004" s="90"/>
      <c r="P1004" s="62">
        <v>287560.0</v>
      </c>
      <c r="Q1004" s="63">
        <v>287560.0</v>
      </c>
      <c r="R1004" s="64">
        <v>317035.0</v>
      </c>
      <c r="S1004" s="111">
        <v>332887.0</v>
      </c>
      <c r="T1004" s="65">
        <f t="shared" si="2"/>
        <v>53261.92</v>
      </c>
      <c r="U1004" s="65">
        <f t="shared" si="3"/>
        <v>386148.92</v>
      </c>
      <c r="V1004" s="66">
        <f t="shared" si="4"/>
        <v>0.05000078856</v>
      </c>
      <c r="W1004" s="67">
        <f t="shared" si="5"/>
        <v>316242.65</v>
      </c>
      <c r="X1004" s="67">
        <f t="shared" si="6"/>
        <v>50598.824</v>
      </c>
      <c r="Y1004" s="67">
        <f t="shared" si="7"/>
        <v>366841.474</v>
      </c>
      <c r="Z1004" s="67">
        <f t="shared" si="8"/>
        <v>299598.3</v>
      </c>
      <c r="AA1004" s="67">
        <f t="shared" si="9"/>
        <v>47935.728</v>
      </c>
      <c r="AB1004" s="67">
        <f t="shared" si="10"/>
        <v>347534.028</v>
      </c>
      <c r="AC1004" s="67">
        <f t="shared" si="11"/>
        <v>282953.95</v>
      </c>
      <c r="AD1004" s="67">
        <f t="shared" si="12"/>
        <v>45272.632</v>
      </c>
      <c r="AE1004" s="67">
        <f t="shared" si="13"/>
        <v>328226.582</v>
      </c>
      <c r="AF1004" s="67">
        <f t="shared" si="33"/>
        <v>276296.21</v>
      </c>
      <c r="AG1004" s="67">
        <f t="shared" si="15"/>
        <v>44207.3936</v>
      </c>
      <c r="AH1004" s="67">
        <f t="shared" si="16"/>
        <v>320503.6036</v>
      </c>
      <c r="AI1004" s="67">
        <f t="shared" si="17"/>
        <v>266309.6</v>
      </c>
      <c r="AJ1004" s="68">
        <f t="shared" si="31"/>
        <v>42609.536</v>
      </c>
      <c r="AK1004" s="68">
        <f t="shared" si="32"/>
        <v>308919.136</v>
      </c>
      <c r="AL1004" s="70">
        <f>IFERROR(__xludf.DUMMYFUNCTION("""COMPUTED_VALUE"""),1.0)</f>
        <v>1</v>
      </c>
      <c r="AM1004" s="70"/>
      <c r="AN1004" s="71" t="str">
        <f>IFERROR(__xludf.DUMMYFUNCTION("""COMPUTED_VALUE""")," R")</f>
        <v>R</v>
      </c>
      <c r="AO1004" s="71" t="str">
        <f>IFERROR(__xludf.DUMMYFUNCTION("""COMPUTED_VALUE""")," PO34")</f>
        <v>PO34</v>
      </c>
      <c r="AP1004" s="71" t="str">
        <f>IFERROR(__xludf.DUMMYFUNCTION("""COMPUTED_VALUE""")," PZA")</f>
        <v>PZA</v>
      </c>
      <c r="AQ1004" s="71" t="str">
        <f>IFERROR(__xludf.DUMMYFUNCTION("""COMPUTED_VALUE""")," REF")</f>
        <v>REF</v>
      </c>
      <c r="AR1004" s="71" t="str">
        <f>IFERROR(__xludf.DUMMYFUNCTION("""COMPUTED_VALUE""")," POLEA 3"" 2RB E1-1/8 C1/4")</f>
        <v>POLEA 3" 2RB E1-1/8 C1/4</v>
      </c>
      <c r="AS1004" s="71" t="str">
        <f>IFERROR(__xludf.DUMMYFUNCTION("""COMPUTED_VALUE""")," POLEA 3"" 2RB E1-1/8 C1/4")</f>
        <v>POLEA 3" 2RB E1-1/8 C1/4</v>
      </c>
      <c r="AT1004" s="71">
        <f>IFERROR(__xludf.DUMMYFUNCTION("""COMPUTED_VALUE"""),24.0)</f>
        <v>24</v>
      </c>
      <c r="AU1004" s="71"/>
      <c r="AV1004" s="71"/>
      <c r="AW1004" s="71"/>
      <c r="AX1004" s="71"/>
      <c r="AY1004" s="71"/>
      <c r="AZ1004" s="71"/>
      <c r="BA1004" s="71"/>
      <c r="BB1004" s="71"/>
      <c r="BC1004" s="71"/>
      <c r="BD1004" s="71">
        <f>IFERROR(__xludf.DUMMYFUNCTION("""COMPUTED_VALUE"""),211.0)</f>
        <v>211</v>
      </c>
      <c r="BE1004" s="71">
        <f>IFERROR(__xludf.DUMMYFUNCTION("""COMPUTED_VALUE"""),33.76)</f>
        <v>33.76</v>
      </c>
      <c r="BF1004" s="71">
        <f>IFERROR(__xludf.DUMMYFUNCTION("""COMPUTED_VALUE"""),244.76)</f>
        <v>244.76</v>
      </c>
      <c r="BG1004" s="71" t="str">
        <f>IFERROR(__xludf.DUMMYFUNCTION("""COMPUTED_VALUE"""),"#DIV/0!")</f>
        <v>#DIV/0!</v>
      </c>
      <c r="BH1004" s="71">
        <f>IFERROR(__xludf.DUMMYFUNCTION("""COMPUTED_VALUE"""),200.45)</f>
        <v>200.45</v>
      </c>
      <c r="BI1004" s="71">
        <f>IFERROR(__xludf.DUMMYFUNCTION("""COMPUTED_VALUE"""),32.071999999999996)</f>
        <v>32.072</v>
      </c>
      <c r="BJ1004" s="71">
        <f>IFERROR(__xludf.DUMMYFUNCTION("""COMPUTED_VALUE"""),232.522)</f>
        <v>232.522</v>
      </c>
      <c r="BK1004" s="71">
        <f>IFERROR(__xludf.DUMMYFUNCTION("""COMPUTED_VALUE"""),189.9)</f>
        <v>189.9</v>
      </c>
      <c r="BL1004" s="71">
        <f>IFERROR(__xludf.DUMMYFUNCTION("""COMPUTED_VALUE"""),30.384)</f>
        <v>30.384</v>
      </c>
      <c r="BM1004" s="71">
        <f>IFERROR(__xludf.DUMMYFUNCTION("""COMPUTED_VALUE"""),220.284)</f>
        <v>220.284</v>
      </c>
      <c r="BN1004" s="71">
        <f>IFERROR(__xludf.DUMMYFUNCTION("""COMPUTED_VALUE"""),179.35)</f>
        <v>179.35</v>
      </c>
      <c r="BO1004" s="71">
        <f>IFERROR(__xludf.DUMMYFUNCTION("""COMPUTED_VALUE"""),28.695999999999998)</f>
        <v>28.696</v>
      </c>
      <c r="BP1004" s="71">
        <f>IFERROR(__xludf.DUMMYFUNCTION("""COMPUTED_VALUE"""),208.046)</f>
        <v>208.046</v>
      </c>
      <c r="BQ1004" s="71">
        <f>IFERROR(__xludf.DUMMYFUNCTION("""COMPUTED_VALUE"""),175.13)</f>
        <v>175.13</v>
      </c>
      <c r="BR1004" s="71">
        <f>IFERROR(__xludf.DUMMYFUNCTION("""COMPUTED_VALUE"""),28.0208)</f>
        <v>28.0208</v>
      </c>
      <c r="BS1004" s="71">
        <f>IFERROR(__xludf.DUMMYFUNCTION("""COMPUTED_VALUE"""),203.1508)</f>
        <v>203.1508</v>
      </c>
      <c r="BT1004" s="71">
        <f>IFERROR(__xludf.DUMMYFUNCTION("""COMPUTED_VALUE"""),168.8)</f>
        <v>168.8</v>
      </c>
      <c r="BU1004" s="71">
        <f>IFERROR(__xludf.DUMMYFUNCTION("""COMPUTED_VALUE"""),27.008000000000003)</f>
        <v>27.008</v>
      </c>
      <c r="BV1004" s="71">
        <f>IFERROR(__xludf.DUMMYFUNCTION("""COMPUTED_VALUE"""),195.80800000000002)</f>
        <v>195.808</v>
      </c>
    </row>
    <row r="1005">
      <c r="A1005" s="53"/>
      <c r="B1005" s="53"/>
      <c r="C1005" s="53"/>
      <c r="D1005" s="53" t="s">
        <v>2438</v>
      </c>
      <c r="E1005" s="55" t="s">
        <v>38</v>
      </c>
      <c r="F1005" s="89"/>
      <c r="G1005" s="84" t="s">
        <v>2439</v>
      </c>
      <c r="H1005" s="55"/>
      <c r="I1005" s="54">
        <f t="shared" si="24"/>
        <v>0</v>
      </c>
      <c r="J1005" s="56"/>
      <c r="K1005" s="57"/>
      <c r="L1005" s="55"/>
      <c r="M1005" s="59"/>
      <c r="N1005" s="60"/>
      <c r="O1005" s="90"/>
      <c r="P1005" s="62">
        <v>259600.0</v>
      </c>
      <c r="Q1005" s="63">
        <v>259600.0</v>
      </c>
      <c r="R1005" s="64">
        <v>286209.0</v>
      </c>
      <c r="S1005" s="111">
        <v>300519.0</v>
      </c>
      <c r="T1005" s="65">
        <f t="shared" si="2"/>
        <v>48083.04</v>
      </c>
      <c r="U1005" s="65">
        <f t="shared" si="3"/>
        <v>348602.04</v>
      </c>
      <c r="V1005" s="66">
        <f t="shared" si="4"/>
        <v>0.04999842772</v>
      </c>
      <c r="W1005" s="67">
        <f t="shared" si="5"/>
        <v>285493.05</v>
      </c>
      <c r="X1005" s="67">
        <f t="shared" si="6"/>
        <v>45678.888</v>
      </c>
      <c r="Y1005" s="67">
        <f t="shared" si="7"/>
        <v>331171.938</v>
      </c>
      <c r="Z1005" s="67">
        <f t="shared" si="8"/>
        <v>270467.1</v>
      </c>
      <c r="AA1005" s="67">
        <f t="shared" si="9"/>
        <v>43274.736</v>
      </c>
      <c r="AB1005" s="67">
        <f t="shared" si="10"/>
        <v>313741.836</v>
      </c>
      <c r="AC1005" s="67">
        <f t="shared" si="11"/>
        <v>255441.15</v>
      </c>
      <c r="AD1005" s="67">
        <f t="shared" si="12"/>
        <v>40870.584</v>
      </c>
      <c r="AE1005" s="67">
        <f t="shared" si="13"/>
        <v>296311.734</v>
      </c>
      <c r="AF1005" s="67">
        <f t="shared" si="33"/>
        <v>249430.77</v>
      </c>
      <c r="AG1005" s="67">
        <f t="shared" si="15"/>
        <v>39908.9232</v>
      </c>
      <c r="AH1005" s="67">
        <f t="shared" si="16"/>
        <v>289339.6932</v>
      </c>
      <c r="AI1005" s="67">
        <f t="shared" si="17"/>
        <v>240415.2</v>
      </c>
      <c r="AJ1005" s="68">
        <f t="shared" si="31"/>
        <v>38466.432</v>
      </c>
      <c r="AK1005" s="68">
        <f t="shared" si="32"/>
        <v>278881.632</v>
      </c>
      <c r="AL1005" s="70">
        <f>IFERROR(__xludf.DUMMYFUNCTION("""COMPUTED_VALUE"""),1.0)</f>
        <v>1</v>
      </c>
      <c r="AM1005" s="70"/>
      <c r="AN1005" s="71" t="str">
        <f>IFERROR(__xludf.DUMMYFUNCTION("""COMPUTED_VALUE""")," P")</f>
        <v>P</v>
      </c>
      <c r="AO1005" s="71" t="str">
        <f>IFERROR(__xludf.DUMMYFUNCTION("""COMPUTED_VALUE""")," PO07")</f>
        <v>PO07</v>
      </c>
      <c r="AP1005" s="71" t="str">
        <f>IFERROR(__xludf.DUMMYFUNCTION("""COMPUTED_VALUE""")," PZA")</f>
        <v>PZA</v>
      </c>
      <c r="AQ1005" s="71" t="str">
        <f>IFERROR(__xludf.DUMMYFUNCTION("""COMPUTED_VALUE""")," REF")</f>
        <v>REF</v>
      </c>
      <c r="AR1005" s="71" t="str">
        <f>IFERROR(__xludf.DUMMYFUNCTION("""COMPUTED_VALUE""")," POLEA 3"" 2RB E7/8 C3/16")</f>
        <v>POLEA 3" 2RB E7/8 C3/16</v>
      </c>
      <c r="AS1005" s="71" t="str">
        <f>IFERROR(__xludf.DUMMYFUNCTION("""COMPUTED_VALUE""")," POLEA 3"" 2RB E7/8 C3/16")</f>
        <v>POLEA 3" 2RB E7/8 C3/16</v>
      </c>
      <c r="AT1005" s="71">
        <f>IFERROR(__xludf.DUMMYFUNCTION("""COMPUTED_VALUE"""),23.0)</f>
        <v>23</v>
      </c>
      <c r="AU1005" s="71"/>
      <c r="AV1005" s="71"/>
      <c r="AW1005" s="71"/>
      <c r="AX1005" s="71"/>
      <c r="AY1005" s="71">
        <f>IFERROR(__xludf.DUMMYFUNCTION("""COMPUTED_VALUE"""),150.0)</f>
        <v>150</v>
      </c>
      <c r="AZ1005" s="71">
        <f>IFERROR(__xludf.DUMMYFUNCTION("""COMPUTED_VALUE"""),162.0)</f>
        <v>162</v>
      </c>
      <c r="BA1005" s="71">
        <f>IFERROR(__xludf.DUMMYFUNCTION("""COMPUTED_VALUE"""),174.96)</f>
        <v>174.96</v>
      </c>
      <c r="BB1005" s="71">
        <f>IFERROR(__xludf.DUMMYFUNCTION("""COMPUTED_VALUE"""),174.96)</f>
        <v>174.96</v>
      </c>
      <c r="BC1005" s="71">
        <f>IFERROR(__xludf.DUMMYFUNCTION("""COMPUTED_VALUE"""),201.0)</f>
        <v>201</v>
      </c>
      <c r="BD1005" s="71">
        <f>IFERROR(__xludf.DUMMYFUNCTION("""COMPUTED_VALUE"""),211.0)</f>
        <v>211</v>
      </c>
      <c r="BE1005" s="71">
        <f>IFERROR(__xludf.DUMMYFUNCTION("""COMPUTED_VALUE"""),33.76)</f>
        <v>33.76</v>
      </c>
      <c r="BF1005" s="71">
        <f>IFERROR(__xludf.DUMMYFUNCTION("""COMPUTED_VALUE"""),244.76)</f>
        <v>244.76</v>
      </c>
      <c r="BG1005" s="71">
        <f>IFERROR(__xludf.DUMMYFUNCTION("""COMPUTED_VALUE"""),0.04975124378109453)</f>
        <v>0.04975124378</v>
      </c>
      <c r="BH1005" s="71">
        <f>IFERROR(__xludf.DUMMYFUNCTION("""COMPUTED_VALUE"""),200.45)</f>
        <v>200.45</v>
      </c>
      <c r="BI1005" s="71">
        <f>IFERROR(__xludf.DUMMYFUNCTION("""COMPUTED_VALUE"""),32.071999999999996)</f>
        <v>32.072</v>
      </c>
      <c r="BJ1005" s="71">
        <f>IFERROR(__xludf.DUMMYFUNCTION("""COMPUTED_VALUE"""),232.522)</f>
        <v>232.522</v>
      </c>
      <c r="BK1005" s="71">
        <f>IFERROR(__xludf.DUMMYFUNCTION("""COMPUTED_VALUE"""),189.9)</f>
        <v>189.9</v>
      </c>
      <c r="BL1005" s="71">
        <f>IFERROR(__xludf.DUMMYFUNCTION("""COMPUTED_VALUE"""),30.384)</f>
        <v>30.384</v>
      </c>
      <c r="BM1005" s="71">
        <f>IFERROR(__xludf.DUMMYFUNCTION("""COMPUTED_VALUE"""),220.284)</f>
        <v>220.284</v>
      </c>
      <c r="BN1005" s="71">
        <f>IFERROR(__xludf.DUMMYFUNCTION("""COMPUTED_VALUE"""),179.35)</f>
        <v>179.35</v>
      </c>
      <c r="BO1005" s="71">
        <f>IFERROR(__xludf.DUMMYFUNCTION("""COMPUTED_VALUE"""),28.695999999999998)</f>
        <v>28.696</v>
      </c>
      <c r="BP1005" s="71">
        <f>IFERROR(__xludf.DUMMYFUNCTION("""COMPUTED_VALUE"""),208.046)</f>
        <v>208.046</v>
      </c>
      <c r="BQ1005" s="71">
        <f>IFERROR(__xludf.DUMMYFUNCTION("""COMPUTED_VALUE"""),175.13)</f>
        <v>175.13</v>
      </c>
      <c r="BR1005" s="71">
        <f>IFERROR(__xludf.DUMMYFUNCTION("""COMPUTED_VALUE"""),28.0208)</f>
        <v>28.0208</v>
      </c>
      <c r="BS1005" s="71">
        <f>IFERROR(__xludf.DUMMYFUNCTION("""COMPUTED_VALUE"""),203.1508)</f>
        <v>203.1508</v>
      </c>
      <c r="BT1005" s="71">
        <f>IFERROR(__xludf.DUMMYFUNCTION("""COMPUTED_VALUE"""),168.8)</f>
        <v>168.8</v>
      </c>
      <c r="BU1005" s="71">
        <f>IFERROR(__xludf.DUMMYFUNCTION("""COMPUTED_VALUE"""),27.008000000000003)</f>
        <v>27.008</v>
      </c>
      <c r="BV1005" s="71">
        <f>IFERROR(__xludf.DUMMYFUNCTION("""COMPUTED_VALUE"""),195.80800000000002)</f>
        <v>195.808</v>
      </c>
    </row>
    <row r="1006">
      <c r="A1006" s="53"/>
      <c r="B1006" s="53">
        <v>3.0</v>
      </c>
      <c r="C1006" s="53" t="s">
        <v>36</v>
      </c>
      <c r="D1006" s="98" t="s">
        <v>2440</v>
      </c>
      <c r="E1006" s="54" t="s">
        <v>38</v>
      </c>
      <c r="F1006" s="55" t="s">
        <v>187</v>
      </c>
      <c r="G1006" s="117" t="s">
        <v>2441</v>
      </c>
      <c r="H1006" s="55"/>
      <c r="I1006" s="54">
        <f t="shared" si="24"/>
        <v>0</v>
      </c>
      <c r="J1006" s="56"/>
      <c r="K1006" s="57"/>
      <c r="L1006" s="76"/>
      <c r="M1006" s="59"/>
      <c r="N1006" s="60"/>
      <c r="O1006" s="61">
        <v>43806.0</v>
      </c>
      <c r="P1006" s="62">
        <v>47310.48</v>
      </c>
      <c r="Q1006" s="63">
        <v>47310.48</v>
      </c>
      <c r="R1006" s="64">
        <v>52160.0</v>
      </c>
      <c r="S1006" s="107">
        <v>54768.0</v>
      </c>
      <c r="T1006" s="65">
        <f t="shared" si="2"/>
        <v>8762.88</v>
      </c>
      <c r="U1006" s="65">
        <f t="shared" si="3"/>
        <v>63530.88</v>
      </c>
      <c r="V1006" s="66">
        <f t="shared" si="4"/>
        <v>0.05</v>
      </c>
      <c r="W1006" s="67">
        <f t="shared" si="5"/>
        <v>52029.6</v>
      </c>
      <c r="X1006" s="67">
        <f t="shared" si="6"/>
        <v>8324.736</v>
      </c>
      <c r="Y1006" s="67">
        <f t="shared" si="7"/>
        <v>60354.336</v>
      </c>
      <c r="Z1006" s="67">
        <f t="shared" si="8"/>
        <v>49291.2</v>
      </c>
      <c r="AA1006" s="67">
        <f t="shared" si="9"/>
        <v>7886.592</v>
      </c>
      <c r="AB1006" s="67">
        <f t="shared" si="10"/>
        <v>57177.792</v>
      </c>
      <c r="AC1006" s="67">
        <f t="shared" si="11"/>
        <v>49291.2</v>
      </c>
      <c r="AD1006" s="67">
        <f t="shared" si="12"/>
        <v>7886.592</v>
      </c>
      <c r="AE1006" s="67">
        <f t="shared" si="13"/>
        <v>57177.792</v>
      </c>
      <c r="AF1006" s="67">
        <f t="shared" si="33"/>
        <v>49291.2</v>
      </c>
      <c r="AG1006" s="67">
        <f t="shared" si="15"/>
        <v>7886.592</v>
      </c>
      <c r="AH1006" s="67">
        <f t="shared" si="16"/>
        <v>57177.792</v>
      </c>
      <c r="AI1006" s="67">
        <f t="shared" si="17"/>
        <v>49291.2</v>
      </c>
      <c r="AJ1006" s="68">
        <f t="shared" si="31"/>
        <v>7886.592</v>
      </c>
      <c r="AK1006" s="68">
        <f t="shared" si="32"/>
        <v>57177.792</v>
      </c>
      <c r="AL1006" s="70">
        <f>IFERROR(__xludf.DUMMYFUNCTION("""COMPUTED_VALUE"""),1.0)</f>
        <v>1</v>
      </c>
      <c r="AM1006" s="70"/>
      <c r="AN1006" s="71" t="str">
        <f>IFERROR(__xludf.DUMMYFUNCTION("""COMPUTED_VALUE""")," P")</f>
        <v>P</v>
      </c>
      <c r="AO1006" s="71" t="str">
        <f>IFERROR(__xludf.DUMMYFUNCTION("""COMPUTED_VALUE""")," PO28")</f>
        <v>PO28</v>
      </c>
      <c r="AP1006" s="71" t="str">
        <f>IFERROR(__xludf.DUMMYFUNCTION("""COMPUTED_VALUE""")," PZA")</f>
        <v>PZA</v>
      </c>
      <c r="AQ1006" s="71" t="str">
        <f>IFERROR(__xludf.DUMMYFUNCTION("""COMPUTED_VALUE""")," REF")</f>
        <v>REF</v>
      </c>
      <c r="AR1006" s="71" t="str">
        <f>IFERROR(__xludf.DUMMYFUNCTION("""COMPUTED_VALUE""")," POLEA 3"" 3RB E5/8 C3/16")</f>
        <v>POLEA 3" 3RB E5/8 C3/16</v>
      </c>
      <c r="AS1006" s="71" t="str">
        <f>IFERROR(__xludf.DUMMYFUNCTION("""COMPUTED_VALUE""")," POLEA 3"" 3RB E5/8 C3/16")</f>
        <v>POLEA 3" 3RB E5/8 C3/16</v>
      </c>
      <c r="AT1006" s="71">
        <f>IFERROR(__xludf.DUMMYFUNCTION("""COMPUTED_VALUE"""),23.0)</f>
        <v>23</v>
      </c>
      <c r="AU1006" s="71"/>
      <c r="AV1006" s="71"/>
      <c r="AW1006" s="71"/>
      <c r="AX1006" s="71"/>
      <c r="AY1006" s="71"/>
      <c r="AZ1006" s="71">
        <f>IFERROR(__xludf.DUMMYFUNCTION("""COMPUTED_VALUE"""),339.0)</f>
        <v>339</v>
      </c>
      <c r="BA1006" s="71">
        <f>IFERROR(__xludf.DUMMYFUNCTION("""COMPUTED_VALUE"""),366.12)</f>
        <v>366.12</v>
      </c>
      <c r="BB1006" s="71">
        <f>IFERROR(__xludf.DUMMYFUNCTION("""COMPUTED_VALUE"""),366.12)</f>
        <v>366.12</v>
      </c>
      <c r="BC1006" s="71">
        <f>IFERROR(__xludf.DUMMYFUNCTION("""COMPUTED_VALUE"""),396.0)</f>
        <v>396</v>
      </c>
      <c r="BD1006" s="71">
        <f>IFERROR(__xludf.DUMMYFUNCTION("""COMPUTED_VALUE"""),416.0)</f>
        <v>416</v>
      </c>
      <c r="BE1006" s="71">
        <f>IFERROR(__xludf.DUMMYFUNCTION("""COMPUTED_VALUE"""),66.56)</f>
        <v>66.56</v>
      </c>
      <c r="BF1006" s="71">
        <f>IFERROR(__xludf.DUMMYFUNCTION("""COMPUTED_VALUE"""),482.56)</f>
        <v>482.56</v>
      </c>
      <c r="BG1006" s="71">
        <f>IFERROR(__xludf.DUMMYFUNCTION("""COMPUTED_VALUE"""),0.050505050505050504)</f>
        <v>0.05050505051</v>
      </c>
      <c r="BH1006" s="71">
        <f>IFERROR(__xludf.DUMMYFUNCTION("""COMPUTED_VALUE"""),395.2)</f>
        <v>395.2</v>
      </c>
      <c r="BI1006" s="71">
        <f>IFERROR(__xludf.DUMMYFUNCTION("""COMPUTED_VALUE"""),63.232)</f>
        <v>63.232</v>
      </c>
      <c r="BJ1006" s="71">
        <f>IFERROR(__xludf.DUMMYFUNCTION("""COMPUTED_VALUE"""),458.432)</f>
        <v>458.432</v>
      </c>
      <c r="BK1006" s="71">
        <f>IFERROR(__xludf.DUMMYFUNCTION("""COMPUTED_VALUE"""),374.40000000000003)</f>
        <v>374.4</v>
      </c>
      <c r="BL1006" s="71">
        <f>IFERROR(__xludf.DUMMYFUNCTION("""COMPUTED_VALUE"""),59.904)</f>
        <v>59.904</v>
      </c>
      <c r="BM1006" s="71">
        <f>IFERROR(__xludf.DUMMYFUNCTION("""COMPUTED_VALUE"""),434.30400000000003)</f>
        <v>434.304</v>
      </c>
      <c r="BN1006" s="71">
        <f>IFERROR(__xludf.DUMMYFUNCTION("""COMPUTED_VALUE"""),353.59999999999997)</f>
        <v>353.6</v>
      </c>
      <c r="BO1006" s="71">
        <f>IFERROR(__xludf.DUMMYFUNCTION("""COMPUTED_VALUE"""),56.57599999999999)</f>
        <v>56.576</v>
      </c>
      <c r="BP1006" s="71">
        <f>IFERROR(__xludf.DUMMYFUNCTION("""COMPUTED_VALUE"""),410.17599999999993)</f>
        <v>410.176</v>
      </c>
      <c r="BQ1006" s="71">
        <f>IFERROR(__xludf.DUMMYFUNCTION("""COMPUTED_VALUE"""),345.28)</f>
        <v>345.28</v>
      </c>
      <c r="BR1006" s="71">
        <f>IFERROR(__xludf.DUMMYFUNCTION("""COMPUTED_VALUE"""),55.2448)</f>
        <v>55.2448</v>
      </c>
      <c r="BS1006" s="71">
        <f>IFERROR(__xludf.DUMMYFUNCTION("""COMPUTED_VALUE"""),400.52479999999997)</f>
        <v>400.5248</v>
      </c>
      <c r="BT1006" s="71">
        <f>IFERROR(__xludf.DUMMYFUNCTION("""COMPUTED_VALUE"""),332.8)</f>
        <v>332.8</v>
      </c>
      <c r="BU1006" s="71">
        <f>IFERROR(__xludf.DUMMYFUNCTION("""COMPUTED_VALUE"""),53.248000000000005)</f>
        <v>53.248</v>
      </c>
      <c r="BV1006" s="71">
        <f>IFERROR(__xludf.DUMMYFUNCTION("""COMPUTED_VALUE"""),386.048)</f>
        <v>386.048</v>
      </c>
    </row>
    <row r="1007">
      <c r="A1007" s="53"/>
      <c r="B1007" s="53">
        <v>3.0</v>
      </c>
      <c r="C1007" s="53" t="s">
        <v>36</v>
      </c>
      <c r="D1007" s="98" t="s">
        <v>2442</v>
      </c>
      <c r="E1007" s="54" t="s">
        <v>38</v>
      </c>
      <c r="F1007" s="55" t="s">
        <v>187</v>
      </c>
      <c r="G1007" s="117" t="s">
        <v>2443</v>
      </c>
      <c r="H1007" s="55"/>
      <c r="I1007" s="54">
        <f t="shared" si="24"/>
        <v>0</v>
      </c>
      <c r="J1007" s="56"/>
      <c r="K1007" s="57"/>
      <c r="L1007" s="76"/>
      <c r="M1007" s="59"/>
      <c r="N1007" s="60"/>
      <c r="O1007" s="61">
        <v>76471.0</v>
      </c>
      <c r="P1007" s="62">
        <v>82588.68000000001</v>
      </c>
      <c r="Q1007" s="63">
        <v>82588.68000000001</v>
      </c>
      <c r="R1007" s="64">
        <v>91054.0</v>
      </c>
      <c r="S1007" s="107">
        <v>95607.0</v>
      </c>
      <c r="T1007" s="65">
        <f t="shared" si="2"/>
        <v>15297.12</v>
      </c>
      <c r="U1007" s="65">
        <f t="shared" si="3"/>
        <v>110904.12</v>
      </c>
      <c r="V1007" s="66">
        <f t="shared" si="4"/>
        <v>0.05000329475</v>
      </c>
      <c r="W1007" s="67">
        <f t="shared" si="5"/>
        <v>90826.65</v>
      </c>
      <c r="X1007" s="67">
        <f t="shared" si="6"/>
        <v>14532.264</v>
      </c>
      <c r="Y1007" s="67">
        <f t="shared" si="7"/>
        <v>105358.914</v>
      </c>
      <c r="Z1007" s="67">
        <f t="shared" si="8"/>
        <v>86046.3</v>
      </c>
      <c r="AA1007" s="67">
        <f t="shared" si="9"/>
        <v>13767.408</v>
      </c>
      <c r="AB1007" s="67">
        <f t="shared" si="10"/>
        <v>99813.708</v>
      </c>
      <c r="AC1007" s="67">
        <f t="shared" si="11"/>
        <v>86046.3</v>
      </c>
      <c r="AD1007" s="67">
        <f t="shared" si="12"/>
        <v>13767.408</v>
      </c>
      <c r="AE1007" s="67">
        <f t="shared" si="13"/>
        <v>99813.708</v>
      </c>
      <c r="AF1007" s="67">
        <f t="shared" si="33"/>
        <v>86046.3</v>
      </c>
      <c r="AG1007" s="67">
        <f t="shared" si="15"/>
        <v>13767.408</v>
      </c>
      <c r="AH1007" s="67">
        <f t="shared" si="16"/>
        <v>99813.708</v>
      </c>
      <c r="AI1007" s="67">
        <f t="shared" si="17"/>
        <v>86046.3</v>
      </c>
      <c r="AJ1007" s="68">
        <f t="shared" si="31"/>
        <v>13767.408</v>
      </c>
      <c r="AK1007" s="68">
        <f t="shared" si="32"/>
        <v>99813.708</v>
      </c>
      <c r="AL1007" s="70">
        <f>IFERROR(__xludf.DUMMYFUNCTION("""COMPUTED_VALUE"""),1.0)</f>
        <v>1</v>
      </c>
      <c r="AM1007" s="70"/>
      <c r="AN1007" s="71" t="str">
        <f>IFERROR(__xludf.DUMMYFUNCTION("""COMPUTED_VALUE""")," P")</f>
        <v>P</v>
      </c>
      <c r="AO1007" s="71" t="str">
        <f>IFERROR(__xludf.DUMMYFUNCTION("""COMPUTED_VALUE""")," PO08")</f>
        <v>PO08</v>
      </c>
      <c r="AP1007" s="71" t="str">
        <f>IFERROR(__xludf.DUMMYFUNCTION("""COMPUTED_VALUE""")," PZA")</f>
        <v>PZA</v>
      </c>
      <c r="AQ1007" s="71" t="str">
        <f>IFERROR(__xludf.DUMMYFUNCTION("""COMPUTED_VALUE""")," REF")</f>
        <v>REF</v>
      </c>
      <c r="AR1007" s="71" t="str">
        <f>IFERROR(__xludf.DUMMYFUNCTION("""COMPUTED_VALUE""")," POLEA 3"" 3RB E7/8 C3/16")</f>
        <v>POLEA 3" 3RB E7/8 C3/16</v>
      </c>
      <c r="AS1007" s="71" t="str">
        <f>IFERROR(__xludf.DUMMYFUNCTION("""COMPUTED_VALUE""")," POLEA 3"" 3RB E7/8 C3/16")</f>
        <v>POLEA 3" 3RB E7/8 C3/16</v>
      </c>
      <c r="AT1007" s="71">
        <f>IFERROR(__xludf.DUMMYFUNCTION("""COMPUTED_VALUE"""),23.0)</f>
        <v>23</v>
      </c>
      <c r="AU1007" s="71"/>
      <c r="AV1007" s="71"/>
      <c r="AW1007" s="71"/>
      <c r="AX1007" s="71"/>
      <c r="AY1007" s="71">
        <f>IFERROR(__xludf.DUMMYFUNCTION("""COMPUTED_VALUE"""),216.0)</f>
        <v>216</v>
      </c>
      <c r="AZ1007" s="71">
        <f>IFERROR(__xludf.DUMMYFUNCTION("""COMPUTED_VALUE"""),233.0)</f>
        <v>233</v>
      </c>
      <c r="BA1007" s="71">
        <f>IFERROR(__xludf.DUMMYFUNCTION("""COMPUTED_VALUE"""),251.64000000000001)</f>
        <v>251.64</v>
      </c>
      <c r="BB1007" s="71">
        <f>IFERROR(__xludf.DUMMYFUNCTION("""COMPUTED_VALUE"""),251.64000000000001)</f>
        <v>251.64</v>
      </c>
      <c r="BC1007" s="71">
        <f>IFERROR(__xludf.DUMMYFUNCTION("""COMPUTED_VALUE"""),289.0)</f>
        <v>289</v>
      </c>
      <c r="BD1007" s="71">
        <f>IFERROR(__xludf.DUMMYFUNCTION("""COMPUTED_VALUE"""),303.0)</f>
        <v>303</v>
      </c>
      <c r="BE1007" s="71">
        <f>IFERROR(__xludf.DUMMYFUNCTION("""COMPUTED_VALUE"""),48.480000000000004)</f>
        <v>48.48</v>
      </c>
      <c r="BF1007" s="71">
        <f>IFERROR(__xludf.DUMMYFUNCTION("""COMPUTED_VALUE"""),351.48)</f>
        <v>351.48</v>
      </c>
      <c r="BG1007" s="71">
        <f>IFERROR(__xludf.DUMMYFUNCTION("""COMPUTED_VALUE"""),0.04844290657439446)</f>
        <v>0.04844290657</v>
      </c>
      <c r="BH1007" s="71">
        <f>IFERROR(__xludf.DUMMYFUNCTION("""COMPUTED_VALUE"""),287.84999999999997)</f>
        <v>287.85</v>
      </c>
      <c r="BI1007" s="71">
        <f>IFERROR(__xludf.DUMMYFUNCTION("""COMPUTED_VALUE"""),46.056)</f>
        <v>46.056</v>
      </c>
      <c r="BJ1007" s="71">
        <f>IFERROR(__xludf.DUMMYFUNCTION("""COMPUTED_VALUE"""),333.90599999999995)</f>
        <v>333.906</v>
      </c>
      <c r="BK1007" s="71">
        <f>IFERROR(__xludf.DUMMYFUNCTION("""COMPUTED_VALUE"""),272.7)</f>
        <v>272.7</v>
      </c>
      <c r="BL1007" s="71">
        <f>IFERROR(__xludf.DUMMYFUNCTION("""COMPUTED_VALUE"""),43.632)</f>
        <v>43.632</v>
      </c>
      <c r="BM1007" s="71">
        <f>IFERROR(__xludf.DUMMYFUNCTION("""COMPUTED_VALUE"""),316.332)</f>
        <v>316.332</v>
      </c>
      <c r="BN1007" s="71">
        <f>IFERROR(__xludf.DUMMYFUNCTION("""COMPUTED_VALUE"""),257.55)</f>
        <v>257.55</v>
      </c>
      <c r="BO1007" s="71">
        <f>IFERROR(__xludf.DUMMYFUNCTION("""COMPUTED_VALUE"""),41.208000000000006)</f>
        <v>41.208</v>
      </c>
      <c r="BP1007" s="71">
        <f>IFERROR(__xludf.DUMMYFUNCTION("""COMPUTED_VALUE"""),298.75800000000004)</f>
        <v>298.758</v>
      </c>
      <c r="BQ1007" s="71">
        <f>IFERROR(__xludf.DUMMYFUNCTION("""COMPUTED_VALUE"""),251.48999999999998)</f>
        <v>251.49</v>
      </c>
      <c r="BR1007" s="71">
        <f>IFERROR(__xludf.DUMMYFUNCTION("""COMPUTED_VALUE"""),40.2384)</f>
        <v>40.2384</v>
      </c>
      <c r="BS1007" s="71">
        <f>IFERROR(__xludf.DUMMYFUNCTION("""COMPUTED_VALUE"""),291.72839999999997)</f>
        <v>291.7284</v>
      </c>
      <c r="BT1007" s="71">
        <f>IFERROR(__xludf.DUMMYFUNCTION("""COMPUTED_VALUE"""),242.4)</f>
        <v>242.4</v>
      </c>
      <c r="BU1007" s="71">
        <f>IFERROR(__xludf.DUMMYFUNCTION("""COMPUTED_VALUE"""),38.784)</f>
        <v>38.784</v>
      </c>
      <c r="BV1007" s="71">
        <f>IFERROR(__xludf.DUMMYFUNCTION("""COMPUTED_VALUE"""),281.184)</f>
        <v>281.184</v>
      </c>
    </row>
    <row r="1008">
      <c r="A1008" s="53"/>
      <c r="B1008" s="53">
        <v>3.0</v>
      </c>
      <c r="C1008" s="53" t="s">
        <v>36</v>
      </c>
      <c r="D1008" s="98" t="s">
        <v>2444</v>
      </c>
      <c r="E1008" s="54" t="s">
        <v>38</v>
      </c>
      <c r="F1008" s="55" t="s">
        <v>187</v>
      </c>
      <c r="G1008" s="117" t="s">
        <v>2445</v>
      </c>
      <c r="H1008" s="55"/>
      <c r="I1008" s="54">
        <f t="shared" si="24"/>
        <v>0</v>
      </c>
      <c r="J1008" s="56"/>
      <c r="K1008" s="57"/>
      <c r="L1008" s="76"/>
      <c r="M1008" s="59"/>
      <c r="N1008" s="60"/>
      <c r="O1008" s="61">
        <v>76815.0</v>
      </c>
      <c r="P1008" s="62">
        <v>82960.20000000001</v>
      </c>
      <c r="Q1008" s="63">
        <v>82960.20000000001</v>
      </c>
      <c r="R1008" s="64">
        <v>91464.0</v>
      </c>
      <c r="S1008" s="107">
        <v>96037.0</v>
      </c>
      <c r="T1008" s="65">
        <f t="shared" si="2"/>
        <v>15365.92</v>
      </c>
      <c r="U1008" s="65">
        <f t="shared" si="3"/>
        <v>111402.92</v>
      </c>
      <c r="V1008" s="66">
        <f t="shared" si="4"/>
        <v>0.04999781335</v>
      </c>
      <c r="W1008" s="67">
        <f t="shared" si="5"/>
        <v>91235.15</v>
      </c>
      <c r="X1008" s="67">
        <f t="shared" si="6"/>
        <v>14597.624</v>
      </c>
      <c r="Y1008" s="67">
        <f t="shared" si="7"/>
        <v>105832.774</v>
      </c>
      <c r="Z1008" s="67">
        <f t="shared" si="8"/>
        <v>86433.3</v>
      </c>
      <c r="AA1008" s="67">
        <f t="shared" si="9"/>
        <v>13829.328</v>
      </c>
      <c r="AB1008" s="67">
        <f t="shared" si="10"/>
        <v>100262.628</v>
      </c>
      <c r="AC1008" s="67">
        <f t="shared" si="11"/>
        <v>86433.3</v>
      </c>
      <c r="AD1008" s="67">
        <f t="shared" si="12"/>
        <v>13829.328</v>
      </c>
      <c r="AE1008" s="67">
        <f t="shared" si="13"/>
        <v>100262.628</v>
      </c>
      <c r="AF1008" s="67">
        <f t="shared" si="33"/>
        <v>86433.3</v>
      </c>
      <c r="AG1008" s="67">
        <f t="shared" si="15"/>
        <v>13829.328</v>
      </c>
      <c r="AH1008" s="67">
        <f t="shared" si="16"/>
        <v>100262.628</v>
      </c>
      <c r="AI1008" s="67">
        <f t="shared" si="17"/>
        <v>86433.3</v>
      </c>
      <c r="AJ1008" s="68">
        <f t="shared" si="31"/>
        <v>13829.328</v>
      </c>
      <c r="AK1008" s="68">
        <f t="shared" si="32"/>
        <v>100262.628</v>
      </c>
      <c r="AL1008" s="70">
        <f>IFERROR(__xludf.DUMMYFUNCTION("""COMPUTED_VALUE"""),1.0)</f>
        <v>1</v>
      </c>
      <c r="AM1008" s="70"/>
      <c r="AN1008" s="71" t="str">
        <f>IFERROR(__xludf.DUMMYFUNCTION("""COMPUTED_VALUE""")," P")</f>
        <v>P</v>
      </c>
      <c r="AO1008" s="71" t="str">
        <f>IFERROR(__xludf.DUMMYFUNCTION("""COMPUTED_VALUE""")," PO13")</f>
        <v>PO13</v>
      </c>
      <c r="AP1008" s="71" t="str">
        <f>IFERROR(__xludf.DUMMYFUNCTION("""COMPUTED_VALUE""")," PZA")</f>
        <v>PZA</v>
      </c>
      <c r="AQ1008" s="71" t="str">
        <f>IFERROR(__xludf.DUMMYFUNCTION("""COMPUTED_VALUE""")," REF")</f>
        <v>REF</v>
      </c>
      <c r="AR1008" s="71" t="str">
        <f>IFERROR(__xludf.DUMMYFUNCTION("""COMPUTED_VALUE""")," POLEA 4-1/2"" 2RB E7/8 C1/4")</f>
        <v>POLEA 4-1/2" 2RB E7/8 C1/4</v>
      </c>
      <c r="AS1008" s="71" t="str">
        <f>IFERROR(__xludf.DUMMYFUNCTION("""COMPUTED_VALUE""")," POLEA 4-1/2"" 2RB E7/8 C1/4")</f>
        <v>POLEA 4-1/2" 2RB E7/8 C1/4</v>
      </c>
      <c r="AT1008" s="71">
        <f>IFERROR(__xludf.DUMMYFUNCTION("""COMPUTED_VALUE"""),26.0)</f>
        <v>26</v>
      </c>
      <c r="AU1008" s="71"/>
      <c r="AV1008" s="71"/>
      <c r="AW1008" s="71"/>
      <c r="AX1008" s="71"/>
      <c r="AY1008" s="71">
        <f>IFERROR(__xludf.DUMMYFUNCTION("""COMPUTED_VALUE"""),273.0)</f>
        <v>273</v>
      </c>
      <c r="AZ1008" s="71">
        <f>IFERROR(__xludf.DUMMYFUNCTION("""COMPUTED_VALUE"""),294.0)</f>
        <v>294</v>
      </c>
      <c r="BA1008" s="71">
        <f>IFERROR(__xludf.DUMMYFUNCTION("""COMPUTED_VALUE"""),317.52000000000004)</f>
        <v>317.52</v>
      </c>
      <c r="BB1008" s="71">
        <f>IFERROR(__xludf.DUMMYFUNCTION("""COMPUTED_VALUE"""),317.52000000000004)</f>
        <v>317.52</v>
      </c>
      <c r="BC1008" s="71">
        <f>IFERROR(__xludf.DUMMYFUNCTION("""COMPUTED_VALUE"""),364.0)</f>
        <v>364</v>
      </c>
      <c r="BD1008" s="71">
        <f>IFERROR(__xludf.DUMMYFUNCTION("""COMPUTED_VALUE"""),382.0)</f>
        <v>382</v>
      </c>
      <c r="BE1008" s="71">
        <f>IFERROR(__xludf.DUMMYFUNCTION("""COMPUTED_VALUE"""),61.120000000000005)</f>
        <v>61.12</v>
      </c>
      <c r="BF1008" s="71">
        <f>IFERROR(__xludf.DUMMYFUNCTION("""COMPUTED_VALUE"""),443.12)</f>
        <v>443.12</v>
      </c>
      <c r="BG1008" s="71">
        <f>IFERROR(__xludf.DUMMYFUNCTION("""COMPUTED_VALUE"""),0.04945054945054945)</f>
        <v>0.04945054945</v>
      </c>
      <c r="BH1008" s="71">
        <f>IFERROR(__xludf.DUMMYFUNCTION("""COMPUTED_VALUE"""),362.9)</f>
        <v>362.9</v>
      </c>
      <c r="BI1008" s="71">
        <f>IFERROR(__xludf.DUMMYFUNCTION("""COMPUTED_VALUE"""),58.064)</f>
        <v>58.064</v>
      </c>
      <c r="BJ1008" s="71">
        <f>IFERROR(__xludf.DUMMYFUNCTION("""COMPUTED_VALUE"""),420.964)</f>
        <v>420.964</v>
      </c>
      <c r="BK1008" s="71">
        <f>IFERROR(__xludf.DUMMYFUNCTION("""COMPUTED_VALUE"""),343.8)</f>
        <v>343.8</v>
      </c>
      <c r="BL1008" s="71">
        <f>IFERROR(__xludf.DUMMYFUNCTION("""COMPUTED_VALUE"""),55.008)</f>
        <v>55.008</v>
      </c>
      <c r="BM1008" s="71">
        <f>IFERROR(__xludf.DUMMYFUNCTION("""COMPUTED_VALUE"""),398.808)</f>
        <v>398.808</v>
      </c>
      <c r="BN1008" s="71">
        <f>IFERROR(__xludf.DUMMYFUNCTION("""COMPUTED_VALUE"""),324.7)</f>
        <v>324.7</v>
      </c>
      <c r="BO1008" s="71">
        <f>IFERROR(__xludf.DUMMYFUNCTION("""COMPUTED_VALUE"""),51.952)</f>
        <v>51.952</v>
      </c>
      <c r="BP1008" s="71">
        <f>IFERROR(__xludf.DUMMYFUNCTION("""COMPUTED_VALUE"""),376.652)</f>
        <v>376.652</v>
      </c>
      <c r="BQ1008" s="71">
        <f>IFERROR(__xludf.DUMMYFUNCTION("""COMPUTED_VALUE"""),317.06)</f>
        <v>317.06</v>
      </c>
      <c r="BR1008" s="71">
        <f>IFERROR(__xludf.DUMMYFUNCTION("""COMPUTED_VALUE"""),50.729600000000005)</f>
        <v>50.7296</v>
      </c>
      <c r="BS1008" s="71">
        <f>IFERROR(__xludf.DUMMYFUNCTION("""COMPUTED_VALUE"""),367.7896)</f>
        <v>367.7896</v>
      </c>
      <c r="BT1008" s="71">
        <f>IFERROR(__xludf.DUMMYFUNCTION("""COMPUTED_VALUE"""),305.6)</f>
        <v>305.6</v>
      </c>
      <c r="BU1008" s="71">
        <f>IFERROR(__xludf.DUMMYFUNCTION("""COMPUTED_VALUE"""),48.89600000000001)</f>
        <v>48.896</v>
      </c>
      <c r="BV1008" s="71">
        <f>IFERROR(__xludf.DUMMYFUNCTION("""COMPUTED_VALUE"""),354.49600000000004)</f>
        <v>354.496</v>
      </c>
    </row>
    <row r="1009">
      <c r="A1009" s="53"/>
      <c r="B1009" s="53">
        <v>3.0</v>
      </c>
      <c r="C1009" s="53" t="s">
        <v>36</v>
      </c>
      <c r="D1009" s="98" t="s">
        <v>2446</v>
      </c>
      <c r="E1009" s="54" t="s">
        <v>38</v>
      </c>
      <c r="F1009" s="55" t="s">
        <v>187</v>
      </c>
      <c r="G1009" s="117" t="s">
        <v>2447</v>
      </c>
      <c r="H1009" s="55"/>
      <c r="I1009" s="54">
        <f t="shared" si="24"/>
        <v>0</v>
      </c>
      <c r="J1009" s="56"/>
      <c r="K1009" s="57"/>
      <c r="L1009" s="76"/>
      <c r="M1009" s="59"/>
      <c r="N1009" s="60"/>
      <c r="O1009" s="61">
        <v>86031.0</v>
      </c>
      <c r="P1009" s="62">
        <v>92913.48000000001</v>
      </c>
      <c r="Q1009" s="63">
        <v>92913.48000000001</v>
      </c>
      <c r="R1009" s="64">
        <v>102437.0</v>
      </c>
      <c r="S1009" s="107">
        <v>107559.0</v>
      </c>
      <c r="T1009" s="65">
        <f t="shared" si="2"/>
        <v>17209.44</v>
      </c>
      <c r="U1009" s="65">
        <f t="shared" si="3"/>
        <v>124768.44</v>
      </c>
      <c r="V1009" s="66">
        <f t="shared" si="4"/>
        <v>0.05000146431</v>
      </c>
      <c r="W1009" s="67">
        <f t="shared" si="5"/>
        <v>102181.05</v>
      </c>
      <c r="X1009" s="67">
        <f t="shared" si="6"/>
        <v>16348.968</v>
      </c>
      <c r="Y1009" s="67">
        <f t="shared" si="7"/>
        <v>118530.018</v>
      </c>
      <c r="Z1009" s="67">
        <f t="shared" si="8"/>
        <v>96803.1</v>
      </c>
      <c r="AA1009" s="67">
        <f t="shared" si="9"/>
        <v>15488.496</v>
      </c>
      <c r="AB1009" s="67">
        <f t="shared" si="10"/>
        <v>112291.596</v>
      </c>
      <c r="AC1009" s="67">
        <f t="shared" si="11"/>
        <v>96803.1</v>
      </c>
      <c r="AD1009" s="67">
        <f t="shared" si="12"/>
        <v>15488.496</v>
      </c>
      <c r="AE1009" s="67">
        <f t="shared" si="13"/>
        <v>112291.596</v>
      </c>
      <c r="AF1009" s="67">
        <f t="shared" si="33"/>
        <v>96803.1</v>
      </c>
      <c r="AG1009" s="67">
        <f t="shared" si="15"/>
        <v>15488.496</v>
      </c>
      <c r="AH1009" s="67">
        <f t="shared" si="16"/>
        <v>112291.596</v>
      </c>
      <c r="AI1009" s="67">
        <f t="shared" si="17"/>
        <v>96803.1</v>
      </c>
      <c r="AJ1009" s="68">
        <f t="shared" si="31"/>
        <v>15488.496</v>
      </c>
      <c r="AK1009" s="68">
        <f t="shared" si="32"/>
        <v>112291.596</v>
      </c>
      <c r="AL1009" s="70">
        <f>IFERROR(__xludf.DUMMYFUNCTION("""COMPUTED_VALUE"""),1.0)</f>
        <v>1</v>
      </c>
      <c r="AM1009" s="70"/>
      <c r="AN1009" s="71" t="str">
        <f>IFERROR(__xludf.DUMMYFUNCTION("""COMPUTED_VALUE""")," P")</f>
        <v>P</v>
      </c>
      <c r="AO1009" s="71" t="str">
        <f>IFERROR(__xludf.DUMMYFUNCTION("""COMPUTED_VALUE""")," PO25")</f>
        <v>PO25</v>
      </c>
      <c r="AP1009" s="71" t="str">
        <f>IFERROR(__xludf.DUMMYFUNCTION("""COMPUTED_VALUE""")," PZA")</f>
        <v>PZA</v>
      </c>
      <c r="AQ1009" s="71" t="str">
        <f>IFERROR(__xludf.DUMMYFUNCTION("""COMPUTED_VALUE""")," REF")</f>
        <v>REF</v>
      </c>
      <c r="AR1009" s="71" t="str">
        <f>IFERROR(__xludf.DUMMYFUNCTION("""COMPUTED_VALUE""")," POLEA 4'' 3RB E1-3/8 C5/16")</f>
        <v>POLEA 4'' 3RB E1-3/8 C5/16</v>
      </c>
      <c r="AS1009" s="71" t="str">
        <f>IFERROR(__xludf.DUMMYFUNCTION("""COMPUTED_VALUE""")," POLEA 4'' 3RB E1-3/8 C5/16")</f>
        <v>POLEA 4'' 3RB E1-3/8 C5/16</v>
      </c>
      <c r="AT1009" s="71">
        <f>IFERROR(__xludf.DUMMYFUNCTION("""COMPUTED_VALUE"""),26.0)</f>
        <v>26</v>
      </c>
      <c r="AU1009" s="71"/>
      <c r="AV1009" s="71"/>
      <c r="AW1009" s="71"/>
      <c r="AX1009" s="71"/>
      <c r="AY1009" s="71">
        <f>IFERROR(__xludf.DUMMYFUNCTION("""COMPUTED_VALUE"""),402.0)</f>
        <v>402</v>
      </c>
      <c r="AZ1009" s="71">
        <f>IFERROR(__xludf.DUMMYFUNCTION("""COMPUTED_VALUE"""),434.0)</f>
        <v>434</v>
      </c>
      <c r="BA1009" s="71">
        <f>IFERROR(__xludf.DUMMYFUNCTION("""COMPUTED_VALUE"""),468.72)</f>
        <v>468.72</v>
      </c>
      <c r="BB1009" s="71">
        <f>IFERROR(__xludf.DUMMYFUNCTION("""COMPUTED_VALUE"""),468.72)</f>
        <v>468.72</v>
      </c>
      <c r="BC1009" s="71">
        <f>IFERROR(__xludf.DUMMYFUNCTION("""COMPUTED_VALUE"""),507.0)</f>
        <v>507</v>
      </c>
      <c r="BD1009" s="71">
        <f>IFERROR(__xludf.DUMMYFUNCTION("""COMPUTED_VALUE"""),532.0)</f>
        <v>532</v>
      </c>
      <c r="BE1009" s="71">
        <f>IFERROR(__xludf.DUMMYFUNCTION("""COMPUTED_VALUE"""),85.12)</f>
        <v>85.12</v>
      </c>
      <c r="BF1009" s="71">
        <f>IFERROR(__xludf.DUMMYFUNCTION("""COMPUTED_VALUE"""),617.12)</f>
        <v>617.12</v>
      </c>
      <c r="BG1009" s="71">
        <f>IFERROR(__xludf.DUMMYFUNCTION("""COMPUTED_VALUE"""),0.04930966469428008)</f>
        <v>0.04930966469</v>
      </c>
      <c r="BH1009" s="71">
        <f>IFERROR(__xludf.DUMMYFUNCTION("""COMPUTED_VALUE"""),505.4)</f>
        <v>505.4</v>
      </c>
      <c r="BI1009" s="71">
        <f>IFERROR(__xludf.DUMMYFUNCTION("""COMPUTED_VALUE"""),80.864)</f>
        <v>80.864</v>
      </c>
      <c r="BJ1009" s="71">
        <f>IFERROR(__xludf.DUMMYFUNCTION("""COMPUTED_VALUE"""),586.264)</f>
        <v>586.264</v>
      </c>
      <c r="BK1009" s="71">
        <f>IFERROR(__xludf.DUMMYFUNCTION("""COMPUTED_VALUE"""),478.8)</f>
        <v>478.8</v>
      </c>
      <c r="BL1009" s="71">
        <f>IFERROR(__xludf.DUMMYFUNCTION("""COMPUTED_VALUE"""),76.608)</f>
        <v>76.608</v>
      </c>
      <c r="BM1009" s="71">
        <f>IFERROR(__xludf.DUMMYFUNCTION("""COMPUTED_VALUE"""),555.408)</f>
        <v>555.408</v>
      </c>
      <c r="BN1009" s="71">
        <f>IFERROR(__xludf.DUMMYFUNCTION("""COMPUTED_VALUE"""),452.2)</f>
        <v>452.2</v>
      </c>
      <c r="BO1009" s="71">
        <f>IFERROR(__xludf.DUMMYFUNCTION("""COMPUTED_VALUE"""),72.352)</f>
        <v>72.352</v>
      </c>
      <c r="BP1009" s="71">
        <f>IFERROR(__xludf.DUMMYFUNCTION("""COMPUTED_VALUE"""),524.552)</f>
        <v>524.552</v>
      </c>
      <c r="BQ1009" s="71">
        <f>IFERROR(__xludf.DUMMYFUNCTION("""COMPUTED_VALUE"""),441.56)</f>
        <v>441.56</v>
      </c>
      <c r="BR1009" s="71">
        <f>IFERROR(__xludf.DUMMYFUNCTION("""COMPUTED_VALUE"""),70.6496)</f>
        <v>70.6496</v>
      </c>
      <c r="BS1009" s="71">
        <f>IFERROR(__xludf.DUMMYFUNCTION("""COMPUTED_VALUE"""),512.2096)</f>
        <v>512.2096</v>
      </c>
      <c r="BT1009" s="71">
        <f>IFERROR(__xludf.DUMMYFUNCTION("""COMPUTED_VALUE"""),425.6)</f>
        <v>425.6</v>
      </c>
      <c r="BU1009" s="71">
        <f>IFERROR(__xludf.DUMMYFUNCTION("""COMPUTED_VALUE"""),68.096)</f>
        <v>68.096</v>
      </c>
      <c r="BV1009" s="71">
        <f>IFERROR(__xludf.DUMMYFUNCTION("""COMPUTED_VALUE"""),493.696)</f>
        <v>493.696</v>
      </c>
    </row>
    <row r="1010">
      <c r="A1010" s="53"/>
      <c r="B1010" s="53">
        <v>3.0</v>
      </c>
      <c r="C1010" s="53" t="s">
        <v>36</v>
      </c>
      <c r="D1010" s="85" t="s">
        <v>2448</v>
      </c>
      <c r="E1010" s="54" t="s">
        <v>38</v>
      </c>
      <c r="F1010" s="55" t="s">
        <v>187</v>
      </c>
      <c r="G1010" s="147" t="s">
        <v>2449</v>
      </c>
      <c r="H1010" s="147" t="s">
        <v>2450</v>
      </c>
      <c r="I1010" s="54">
        <f t="shared" si="24"/>
        <v>40</v>
      </c>
      <c r="J1010" s="56"/>
      <c r="K1010" s="57"/>
      <c r="L1010" s="76"/>
      <c r="M1010" s="59"/>
      <c r="N1010" s="60"/>
      <c r="O1010" s="90"/>
      <c r="P1010" s="62">
        <v>134555.0</v>
      </c>
      <c r="Q1010" s="63">
        <v>134555.0</v>
      </c>
      <c r="R1010" s="64">
        <v>148348.0</v>
      </c>
      <c r="S1010" s="111">
        <v>155765.0</v>
      </c>
      <c r="T1010" s="65"/>
      <c r="U1010" s="65"/>
      <c r="V1010" s="66"/>
      <c r="W1010" s="67">
        <f t="shared" si="5"/>
        <v>147976.75</v>
      </c>
      <c r="X1010" s="67">
        <f t="shared" si="6"/>
        <v>23676.28</v>
      </c>
      <c r="Y1010" s="67">
        <f t="shared" si="7"/>
        <v>171653.03</v>
      </c>
      <c r="Z1010" s="67">
        <f t="shared" si="8"/>
        <v>140188.5</v>
      </c>
      <c r="AA1010" s="67">
        <f t="shared" si="9"/>
        <v>22430.16</v>
      </c>
      <c r="AB1010" s="67">
        <f t="shared" si="10"/>
        <v>162618.66</v>
      </c>
      <c r="AC1010" s="67">
        <f t="shared" si="11"/>
        <v>140188.5</v>
      </c>
      <c r="AD1010" s="67">
        <f t="shared" si="12"/>
        <v>22430.16</v>
      </c>
      <c r="AE1010" s="67">
        <f t="shared" si="13"/>
        <v>162618.66</v>
      </c>
      <c r="AF1010" s="67">
        <f t="shared" si="33"/>
        <v>140188.5</v>
      </c>
      <c r="AG1010" s="67">
        <f t="shared" si="15"/>
        <v>22430.16</v>
      </c>
      <c r="AH1010" s="67">
        <f t="shared" si="16"/>
        <v>162618.66</v>
      </c>
      <c r="AI1010" s="67">
        <f t="shared" si="17"/>
        <v>140188.5</v>
      </c>
      <c r="AJ1010" s="68">
        <f t="shared" si="31"/>
        <v>22430.16</v>
      </c>
      <c r="AK1010" s="68">
        <f t="shared" si="32"/>
        <v>162618.66</v>
      </c>
      <c r="AL1010" s="70">
        <f>IFERROR(__xludf.DUMMYFUNCTION("""COMPUTED_VALUE"""),1.0)</f>
        <v>1</v>
      </c>
      <c r="AM1010" s="70"/>
      <c r="AN1010" s="71" t="str">
        <f>IFERROR(__xludf.DUMMYFUNCTION("""COMPUTED_VALUE""")," P")</f>
        <v>P</v>
      </c>
      <c r="AO1010" s="71" t="str">
        <f>IFERROR(__xludf.DUMMYFUNCTION("""COMPUTED_VALUE""")," PO32")</f>
        <v>PO32</v>
      </c>
      <c r="AP1010" s="71" t="str">
        <f>IFERROR(__xludf.DUMMYFUNCTION("""COMPUTED_VALUE""")," PZA")</f>
        <v>PZA</v>
      </c>
      <c r="AQ1010" s="71" t="str">
        <f>IFERROR(__xludf.DUMMYFUNCTION("""COMPUTED_VALUE""")," REF")</f>
        <v>REF</v>
      </c>
      <c r="AR1010" s="71" t="str">
        <f>IFERROR(__xludf.DUMMYFUNCTION("""COMPUTED_VALUE""")," POLEA 4"" 1RA E5/8 C3/16")</f>
        <v>POLEA 4" 1RA E5/8 C3/16</v>
      </c>
      <c r="AS1010" s="71" t="str">
        <f>IFERROR(__xludf.DUMMYFUNCTION("""COMPUTED_VALUE""")," POLEA 4"" 1RA E5/8 C 3/16")</f>
        <v>POLEA 4" 1RA E5/8 C 3/16</v>
      </c>
      <c r="AT1010" s="71">
        <f>IFERROR(__xludf.DUMMYFUNCTION("""COMPUTED_VALUE"""),24.0)</f>
        <v>24</v>
      </c>
      <c r="AU1010" s="71"/>
      <c r="AV1010" s="71"/>
      <c r="AW1010" s="71"/>
      <c r="AX1010" s="71"/>
      <c r="AY1010" s="71"/>
      <c r="AZ1010" s="71"/>
      <c r="BA1010" s="71"/>
      <c r="BB1010" s="71"/>
      <c r="BC1010" s="71">
        <f>IFERROR(__xludf.DUMMYFUNCTION("""COMPUTED_VALUE"""),773.0)</f>
        <v>773</v>
      </c>
      <c r="BD1010" s="71">
        <f>IFERROR(__xludf.DUMMYFUNCTION("""COMPUTED_VALUE"""),255.0)</f>
        <v>255</v>
      </c>
      <c r="BE1010" s="71">
        <f>IFERROR(__xludf.DUMMYFUNCTION("""COMPUTED_VALUE"""),40.800000000000004)</f>
        <v>40.8</v>
      </c>
      <c r="BF1010" s="71">
        <f>IFERROR(__xludf.DUMMYFUNCTION("""COMPUTED_VALUE"""),295.8)</f>
        <v>295.8</v>
      </c>
      <c r="BG1010" s="71">
        <f>IFERROR(__xludf.DUMMYFUNCTION("""COMPUTED_VALUE"""),-0.6701164294954722)</f>
        <v>-0.6701164295</v>
      </c>
      <c r="BH1010" s="71">
        <f>IFERROR(__xludf.DUMMYFUNCTION("""COMPUTED_VALUE"""),242.25)</f>
        <v>242.25</v>
      </c>
      <c r="BI1010" s="71">
        <f>IFERROR(__xludf.DUMMYFUNCTION("""COMPUTED_VALUE"""),38.76)</f>
        <v>38.76</v>
      </c>
      <c r="BJ1010" s="71">
        <f>IFERROR(__xludf.DUMMYFUNCTION("""COMPUTED_VALUE"""),281.01)</f>
        <v>281.01</v>
      </c>
      <c r="BK1010" s="71">
        <f>IFERROR(__xludf.DUMMYFUNCTION("""COMPUTED_VALUE"""),229.5)</f>
        <v>229.5</v>
      </c>
      <c r="BL1010" s="71">
        <f>IFERROR(__xludf.DUMMYFUNCTION("""COMPUTED_VALUE"""),36.72)</f>
        <v>36.72</v>
      </c>
      <c r="BM1010" s="71">
        <f>IFERROR(__xludf.DUMMYFUNCTION("""COMPUTED_VALUE"""),266.22)</f>
        <v>266.22</v>
      </c>
      <c r="BN1010" s="71">
        <f>IFERROR(__xludf.DUMMYFUNCTION("""COMPUTED_VALUE"""),216.75)</f>
        <v>216.75</v>
      </c>
      <c r="BO1010" s="71">
        <f>IFERROR(__xludf.DUMMYFUNCTION("""COMPUTED_VALUE"""),34.68)</f>
        <v>34.68</v>
      </c>
      <c r="BP1010" s="71">
        <f>IFERROR(__xludf.DUMMYFUNCTION("""COMPUTED_VALUE"""),251.43)</f>
        <v>251.43</v>
      </c>
      <c r="BQ1010" s="71">
        <f>IFERROR(__xludf.DUMMYFUNCTION("""COMPUTED_VALUE"""),211.64999999999998)</f>
        <v>211.65</v>
      </c>
      <c r="BR1010" s="71">
        <f>IFERROR(__xludf.DUMMYFUNCTION("""COMPUTED_VALUE"""),33.864)</f>
        <v>33.864</v>
      </c>
      <c r="BS1010" s="71">
        <f>IFERROR(__xludf.DUMMYFUNCTION("""COMPUTED_VALUE"""),245.51399999999998)</f>
        <v>245.514</v>
      </c>
      <c r="BT1010" s="71">
        <f>IFERROR(__xludf.DUMMYFUNCTION("""COMPUTED_VALUE"""),204.0)</f>
        <v>204</v>
      </c>
      <c r="BU1010" s="71">
        <f>IFERROR(__xludf.DUMMYFUNCTION("""COMPUTED_VALUE"""),32.64)</f>
        <v>32.64</v>
      </c>
      <c r="BV1010" s="71">
        <f>IFERROR(__xludf.DUMMYFUNCTION("""COMPUTED_VALUE"""),236.64)</f>
        <v>236.64</v>
      </c>
    </row>
    <row r="1011">
      <c r="A1011" s="53"/>
      <c r="B1011" s="53">
        <v>3.0</v>
      </c>
      <c r="C1011" s="53" t="s">
        <v>36</v>
      </c>
      <c r="D1011" s="120" t="s">
        <v>2451</v>
      </c>
      <c r="E1011" s="54" t="s">
        <v>38</v>
      </c>
      <c r="F1011" s="55" t="s">
        <v>187</v>
      </c>
      <c r="G1011" s="139" t="s">
        <v>2452</v>
      </c>
      <c r="H1011" s="55"/>
      <c r="I1011" s="54">
        <f t="shared" si="24"/>
        <v>0</v>
      </c>
      <c r="J1011" s="56"/>
      <c r="K1011" s="57"/>
      <c r="L1011" s="76"/>
      <c r="M1011" s="59"/>
      <c r="N1011" s="60"/>
      <c r="O1011" s="61">
        <v>60684.0</v>
      </c>
      <c r="P1011" s="62">
        <v>65538.72</v>
      </c>
      <c r="Q1011" s="63">
        <v>65538.72</v>
      </c>
      <c r="R1011" s="64">
        <v>72257.0</v>
      </c>
      <c r="S1011" s="107">
        <v>75870.0</v>
      </c>
      <c r="T1011" s="65">
        <f t="shared" ref="T1011:T1068" si="34">S1011*0.16</f>
        <v>12139.2</v>
      </c>
      <c r="U1011" s="65">
        <f t="shared" ref="U1011:U1068" si="35">S1011+T1011</f>
        <v>88009.2</v>
      </c>
      <c r="V1011" s="66">
        <f t="shared" ref="V1011:V1068" si="36">(S1011-R1011)/R1011</f>
        <v>0.05000207592</v>
      </c>
      <c r="W1011" s="67">
        <f t="shared" si="5"/>
        <v>72076.5</v>
      </c>
      <c r="X1011" s="67">
        <f t="shared" si="6"/>
        <v>11532.24</v>
      </c>
      <c r="Y1011" s="67">
        <f t="shared" si="7"/>
        <v>83608.74</v>
      </c>
      <c r="Z1011" s="67">
        <f t="shared" si="8"/>
        <v>68283</v>
      </c>
      <c r="AA1011" s="67">
        <f t="shared" si="9"/>
        <v>10925.28</v>
      </c>
      <c r="AB1011" s="67">
        <f t="shared" si="10"/>
        <v>79208.28</v>
      </c>
      <c r="AC1011" s="67">
        <f t="shared" si="11"/>
        <v>68283</v>
      </c>
      <c r="AD1011" s="67">
        <f t="shared" si="12"/>
        <v>10925.28</v>
      </c>
      <c r="AE1011" s="67">
        <f t="shared" si="13"/>
        <v>79208.28</v>
      </c>
      <c r="AF1011" s="67">
        <f t="shared" si="33"/>
        <v>68283</v>
      </c>
      <c r="AG1011" s="67">
        <f t="shared" si="15"/>
        <v>10925.28</v>
      </c>
      <c r="AH1011" s="67">
        <f t="shared" si="16"/>
        <v>79208.28</v>
      </c>
      <c r="AI1011" s="67">
        <f t="shared" si="17"/>
        <v>68283</v>
      </c>
      <c r="AJ1011" s="68">
        <f t="shared" si="31"/>
        <v>10925.28</v>
      </c>
      <c r="AK1011" s="68">
        <f t="shared" si="32"/>
        <v>79208.28</v>
      </c>
      <c r="AL1011" s="70">
        <f>IFERROR(__xludf.DUMMYFUNCTION("""COMPUTED_VALUE"""),1.0)</f>
        <v>1</v>
      </c>
      <c r="AM1011" s="70"/>
      <c r="AN1011" s="71" t="str">
        <f>IFERROR(__xludf.DUMMYFUNCTION("""COMPUTED_VALUE""")," P")</f>
        <v>P</v>
      </c>
      <c r="AO1011" s="71" t="str">
        <f>IFERROR(__xludf.DUMMYFUNCTION("""COMPUTED_VALUE""")," PO31")</f>
        <v>PO31</v>
      </c>
      <c r="AP1011" s="71" t="str">
        <f>IFERROR(__xludf.DUMMYFUNCTION("""COMPUTED_VALUE""")," PZA")</f>
        <v>PZA</v>
      </c>
      <c r="AQ1011" s="71" t="str">
        <f>IFERROR(__xludf.DUMMYFUNCTION("""COMPUTED_VALUE""")," REF")</f>
        <v>REF</v>
      </c>
      <c r="AR1011" s="71" t="str">
        <f>IFERROR(__xludf.DUMMYFUNCTION("""COMPUTED_VALUE""")," POLEA 4"" 1RB E5/8 C3/16")</f>
        <v>POLEA 4" 1RB E5/8 C3/16</v>
      </c>
      <c r="AS1011" s="71" t="str">
        <f>IFERROR(__xludf.DUMMYFUNCTION("""COMPUTED_VALUE""")," POLEA 4"" 1RB E5/8 C3/16")</f>
        <v>POLEA 4" 1RB E5/8 C3/16</v>
      </c>
      <c r="AT1011" s="71">
        <f>IFERROR(__xludf.DUMMYFUNCTION("""COMPUTED_VALUE"""),23.0)</f>
        <v>23</v>
      </c>
      <c r="AU1011" s="71"/>
      <c r="AV1011" s="71"/>
      <c r="AW1011" s="71"/>
      <c r="AX1011" s="71"/>
      <c r="AY1011" s="71"/>
      <c r="AZ1011" s="71"/>
      <c r="BA1011" s="71">
        <f>IFERROR(__xludf.DUMMYFUNCTION("""COMPUTED_VALUE"""),235.0)</f>
        <v>235</v>
      </c>
      <c r="BB1011" s="71">
        <f>IFERROR(__xludf.DUMMYFUNCTION("""COMPUTED_VALUE"""),235.0)</f>
        <v>235</v>
      </c>
      <c r="BC1011" s="71">
        <f>IFERROR(__xludf.DUMMYFUNCTION("""COMPUTED_VALUE"""),254.0)</f>
        <v>254</v>
      </c>
      <c r="BD1011" s="71">
        <f>IFERROR(__xludf.DUMMYFUNCTION("""COMPUTED_VALUE"""),267.0)</f>
        <v>267</v>
      </c>
      <c r="BE1011" s="71">
        <f>IFERROR(__xludf.DUMMYFUNCTION("""COMPUTED_VALUE"""),42.72)</f>
        <v>42.72</v>
      </c>
      <c r="BF1011" s="71">
        <f>IFERROR(__xludf.DUMMYFUNCTION("""COMPUTED_VALUE"""),309.72)</f>
        <v>309.72</v>
      </c>
      <c r="BG1011" s="71"/>
      <c r="BH1011" s="71">
        <f>IFERROR(__xludf.DUMMYFUNCTION("""COMPUTED_VALUE"""),253.64999999999998)</f>
        <v>253.65</v>
      </c>
      <c r="BI1011" s="71"/>
      <c r="BJ1011" s="71"/>
      <c r="BK1011" s="71">
        <f>IFERROR(__xludf.DUMMYFUNCTION("""COMPUTED_VALUE"""),240.3)</f>
        <v>240.3</v>
      </c>
      <c r="BL1011" s="71"/>
      <c r="BM1011" s="71"/>
      <c r="BN1011" s="71">
        <f>IFERROR(__xludf.DUMMYFUNCTION("""COMPUTED_VALUE"""),226.95)</f>
        <v>226.95</v>
      </c>
      <c r="BO1011" s="71"/>
      <c r="BP1011" s="71"/>
      <c r="BQ1011" s="71">
        <f>IFERROR(__xludf.DUMMYFUNCTION("""COMPUTED_VALUE"""),221.60999999999999)</f>
        <v>221.61</v>
      </c>
      <c r="BR1011" s="71"/>
      <c r="BS1011" s="71"/>
      <c r="BT1011" s="71">
        <f>IFERROR(__xludf.DUMMYFUNCTION("""COMPUTED_VALUE"""),213.60000000000002)</f>
        <v>213.6</v>
      </c>
      <c r="BU1011" s="71">
        <f>IFERROR(__xludf.DUMMYFUNCTION("""COMPUTED_VALUE"""),34.176)</f>
        <v>34.176</v>
      </c>
      <c r="BV1011" s="71">
        <f>IFERROR(__xludf.DUMMYFUNCTION("""COMPUTED_VALUE"""),247.776)</f>
        <v>247.776</v>
      </c>
    </row>
    <row r="1012">
      <c r="A1012" s="53"/>
      <c r="B1012" s="53">
        <v>3.0</v>
      </c>
      <c r="C1012" s="53" t="s">
        <v>36</v>
      </c>
      <c r="D1012" s="120" t="s">
        <v>2453</v>
      </c>
      <c r="E1012" s="54" t="s">
        <v>38</v>
      </c>
      <c r="F1012" s="55" t="s">
        <v>187</v>
      </c>
      <c r="G1012" s="138" t="s">
        <v>2454</v>
      </c>
      <c r="H1012" s="55"/>
      <c r="I1012" s="54">
        <f t="shared" si="24"/>
        <v>0</v>
      </c>
      <c r="J1012" s="56"/>
      <c r="K1012" s="57"/>
      <c r="L1012" s="76"/>
      <c r="M1012" s="59"/>
      <c r="N1012" s="60"/>
      <c r="O1012" s="61">
        <v>82073.0</v>
      </c>
      <c r="P1012" s="62">
        <v>88638.84000000001</v>
      </c>
      <c r="Q1012" s="63">
        <v>88638.84000000001</v>
      </c>
      <c r="R1012" s="64">
        <v>97725.0</v>
      </c>
      <c r="S1012" s="107">
        <v>102611.0</v>
      </c>
      <c r="T1012" s="65">
        <f t="shared" si="34"/>
        <v>16417.76</v>
      </c>
      <c r="U1012" s="65">
        <f t="shared" si="35"/>
        <v>119028.76</v>
      </c>
      <c r="V1012" s="66">
        <f t="shared" si="36"/>
        <v>0.0499974418</v>
      </c>
      <c r="W1012" s="67">
        <f t="shared" si="5"/>
        <v>97480.45</v>
      </c>
      <c r="X1012" s="67">
        <f t="shared" si="6"/>
        <v>15596.872</v>
      </c>
      <c r="Y1012" s="67">
        <f t="shared" si="7"/>
        <v>113077.322</v>
      </c>
      <c r="Z1012" s="67">
        <f t="shared" si="8"/>
        <v>92349.9</v>
      </c>
      <c r="AA1012" s="67">
        <f t="shared" si="9"/>
        <v>14775.984</v>
      </c>
      <c r="AB1012" s="67">
        <f t="shared" si="10"/>
        <v>107125.884</v>
      </c>
      <c r="AC1012" s="67">
        <f t="shared" si="11"/>
        <v>92349.9</v>
      </c>
      <c r="AD1012" s="67">
        <f t="shared" si="12"/>
        <v>14775.984</v>
      </c>
      <c r="AE1012" s="67">
        <f t="shared" si="13"/>
        <v>107125.884</v>
      </c>
      <c r="AF1012" s="67">
        <f t="shared" si="33"/>
        <v>92349.9</v>
      </c>
      <c r="AG1012" s="67">
        <f t="shared" si="15"/>
        <v>14775.984</v>
      </c>
      <c r="AH1012" s="67">
        <f t="shared" si="16"/>
        <v>107125.884</v>
      </c>
      <c r="AI1012" s="67">
        <f t="shared" si="17"/>
        <v>92349.9</v>
      </c>
      <c r="AJ1012" s="68">
        <f t="shared" si="31"/>
        <v>14775.984</v>
      </c>
      <c r="AK1012" s="68">
        <f t="shared" si="32"/>
        <v>107125.884</v>
      </c>
      <c r="AL1012" s="70">
        <f>IFERROR(__xludf.DUMMYFUNCTION("""COMPUTED_VALUE"""),1.0)</f>
        <v>1</v>
      </c>
      <c r="AM1012" s="70"/>
      <c r="AN1012" s="71" t="str">
        <f>IFERROR(__xludf.DUMMYFUNCTION("""COMPUTED_VALUE""")," P")</f>
        <v>P</v>
      </c>
      <c r="AO1012" s="71" t="str">
        <f>IFERROR(__xludf.DUMMYFUNCTION("""COMPUTED_VALUE""")," PO49")</f>
        <v>PO49</v>
      </c>
      <c r="AP1012" s="71" t="str">
        <f>IFERROR(__xludf.DUMMYFUNCTION("""COMPUTED_VALUE""")," PZA")</f>
        <v>PZA</v>
      </c>
      <c r="AQ1012" s="71" t="str">
        <f>IFERROR(__xludf.DUMMYFUNCTION("""COMPUTED_VALUE""")," REF")</f>
        <v>REF</v>
      </c>
      <c r="AR1012" s="71" t="str">
        <f>IFERROR(__xludf.DUMMYFUNCTION("""COMPUTED_VALUE""")," POLEA 4"" 2RB E5/8 C3/16")</f>
        <v>POLEA 4" 2RB E5/8 C3/16</v>
      </c>
      <c r="AS1012" s="71" t="str">
        <f>IFERROR(__xludf.DUMMYFUNCTION("""COMPUTED_VALUE""")," POLEA 4"" 2RB E5/8 C3/16")</f>
        <v>POLEA 4" 2RB E5/8 C3/16</v>
      </c>
      <c r="AT1012" s="71">
        <f>IFERROR(__xludf.DUMMYFUNCTION("""COMPUTED_VALUE"""),23.0)</f>
        <v>23</v>
      </c>
      <c r="AU1012" s="71"/>
      <c r="AV1012" s="71"/>
      <c r="AW1012" s="71"/>
      <c r="AX1012" s="71"/>
      <c r="AY1012" s="71">
        <f>IFERROR(__xludf.DUMMYFUNCTION("""COMPUTED_VALUE"""),245.0)</f>
        <v>245</v>
      </c>
      <c r="AZ1012" s="71">
        <f>IFERROR(__xludf.DUMMYFUNCTION("""COMPUTED_VALUE"""),264.0)</f>
        <v>264</v>
      </c>
      <c r="BA1012" s="71">
        <f>IFERROR(__xludf.DUMMYFUNCTION("""COMPUTED_VALUE"""),285.12)</f>
        <v>285.12</v>
      </c>
      <c r="BB1012" s="71">
        <f>IFERROR(__xludf.DUMMYFUNCTION("""COMPUTED_VALUE"""),285.12)</f>
        <v>285.12</v>
      </c>
      <c r="BC1012" s="71">
        <f>IFERROR(__xludf.DUMMYFUNCTION("""COMPUTED_VALUE"""),308.0)</f>
        <v>308</v>
      </c>
      <c r="BD1012" s="71">
        <f>IFERROR(__xludf.DUMMYFUNCTION("""COMPUTED_VALUE"""),323.0)</f>
        <v>323</v>
      </c>
      <c r="BE1012" s="71">
        <f>IFERROR(__xludf.DUMMYFUNCTION("""COMPUTED_VALUE"""),51.68)</f>
        <v>51.68</v>
      </c>
      <c r="BF1012" s="71">
        <f>IFERROR(__xludf.DUMMYFUNCTION("""COMPUTED_VALUE"""),374.68)</f>
        <v>374.68</v>
      </c>
      <c r="BG1012" s="71">
        <f>IFERROR(__xludf.DUMMYFUNCTION("""COMPUTED_VALUE"""),0.048701298701298704)</f>
        <v>0.0487012987</v>
      </c>
      <c r="BH1012" s="71">
        <f>IFERROR(__xludf.DUMMYFUNCTION("""COMPUTED_VALUE"""),306.84999999999997)</f>
        <v>306.85</v>
      </c>
      <c r="BI1012" s="71">
        <f>IFERROR(__xludf.DUMMYFUNCTION("""COMPUTED_VALUE"""),49.096)</f>
        <v>49.096</v>
      </c>
      <c r="BJ1012" s="71">
        <f>IFERROR(__xludf.DUMMYFUNCTION("""COMPUTED_VALUE"""),355.94599999999997)</f>
        <v>355.946</v>
      </c>
      <c r="BK1012" s="71">
        <f>IFERROR(__xludf.DUMMYFUNCTION("""COMPUTED_VALUE"""),290.7)</f>
        <v>290.7</v>
      </c>
      <c r="BL1012" s="71">
        <f>IFERROR(__xludf.DUMMYFUNCTION("""COMPUTED_VALUE"""),46.512)</f>
        <v>46.512</v>
      </c>
      <c r="BM1012" s="71">
        <f>IFERROR(__xludf.DUMMYFUNCTION("""COMPUTED_VALUE"""),337.212)</f>
        <v>337.212</v>
      </c>
      <c r="BN1012" s="71">
        <f>IFERROR(__xludf.DUMMYFUNCTION("""COMPUTED_VALUE"""),274.55)</f>
        <v>274.55</v>
      </c>
      <c r="BO1012" s="71">
        <f>IFERROR(__xludf.DUMMYFUNCTION("""COMPUTED_VALUE"""),43.928000000000004)</f>
        <v>43.928</v>
      </c>
      <c r="BP1012" s="71">
        <f>IFERROR(__xludf.DUMMYFUNCTION("""COMPUTED_VALUE"""),318.478)</f>
        <v>318.478</v>
      </c>
      <c r="BQ1012" s="71">
        <f>IFERROR(__xludf.DUMMYFUNCTION("""COMPUTED_VALUE"""),268.09)</f>
        <v>268.09</v>
      </c>
      <c r="BR1012" s="71">
        <f>IFERROR(__xludf.DUMMYFUNCTION("""COMPUTED_VALUE"""),42.8944)</f>
        <v>42.8944</v>
      </c>
      <c r="BS1012" s="71">
        <f>IFERROR(__xludf.DUMMYFUNCTION("""COMPUTED_VALUE"""),310.9844)</f>
        <v>310.9844</v>
      </c>
      <c r="BT1012" s="71">
        <f>IFERROR(__xludf.DUMMYFUNCTION("""COMPUTED_VALUE"""),258.40000000000003)</f>
        <v>258.4</v>
      </c>
      <c r="BU1012" s="71">
        <f>IFERROR(__xludf.DUMMYFUNCTION("""COMPUTED_VALUE"""),41.34400000000001)</f>
        <v>41.344</v>
      </c>
      <c r="BV1012" s="71">
        <f>IFERROR(__xludf.DUMMYFUNCTION("""COMPUTED_VALUE"""),299.744)</f>
        <v>299.744</v>
      </c>
    </row>
    <row r="1013">
      <c r="A1013" s="53"/>
      <c r="B1013" s="53">
        <v>3.0</v>
      </c>
      <c r="C1013" s="53" t="s">
        <v>36</v>
      </c>
      <c r="D1013" s="120" t="s">
        <v>2455</v>
      </c>
      <c r="E1013" s="54" t="s">
        <v>38</v>
      </c>
      <c r="F1013" s="55" t="s">
        <v>187</v>
      </c>
      <c r="G1013" s="138" t="s">
        <v>2456</v>
      </c>
      <c r="H1013" s="55"/>
      <c r="I1013" s="54">
        <f t="shared" si="24"/>
        <v>0</v>
      </c>
      <c r="J1013" s="56"/>
      <c r="K1013" s="57"/>
      <c r="L1013" s="76"/>
      <c r="M1013" s="59"/>
      <c r="N1013" s="60"/>
      <c r="O1013" s="61">
        <v>96361.0</v>
      </c>
      <c r="P1013" s="62">
        <v>104069.88</v>
      </c>
      <c r="Q1013" s="63">
        <v>104069.88</v>
      </c>
      <c r="R1013" s="64">
        <v>114738.0</v>
      </c>
      <c r="S1013" s="107">
        <v>120475.0</v>
      </c>
      <c r="T1013" s="65">
        <f t="shared" si="34"/>
        <v>19276</v>
      </c>
      <c r="U1013" s="65">
        <f t="shared" si="35"/>
        <v>139751</v>
      </c>
      <c r="V1013" s="66">
        <f t="shared" si="36"/>
        <v>0.05000087155</v>
      </c>
      <c r="W1013" s="67">
        <f t="shared" si="5"/>
        <v>114451.25</v>
      </c>
      <c r="X1013" s="67">
        <f t="shared" si="6"/>
        <v>18312.2</v>
      </c>
      <c r="Y1013" s="67">
        <f t="shared" si="7"/>
        <v>132763.45</v>
      </c>
      <c r="Z1013" s="67">
        <f t="shared" si="8"/>
        <v>108427.5</v>
      </c>
      <c r="AA1013" s="67">
        <f t="shared" si="9"/>
        <v>17348.4</v>
      </c>
      <c r="AB1013" s="67">
        <f t="shared" si="10"/>
        <v>125775.9</v>
      </c>
      <c r="AC1013" s="67">
        <f t="shared" si="11"/>
        <v>108427.5</v>
      </c>
      <c r="AD1013" s="67">
        <f t="shared" si="12"/>
        <v>17348.4</v>
      </c>
      <c r="AE1013" s="67">
        <f t="shared" si="13"/>
        <v>125775.9</v>
      </c>
      <c r="AF1013" s="67">
        <f t="shared" si="33"/>
        <v>108427.5</v>
      </c>
      <c r="AG1013" s="67">
        <f t="shared" si="15"/>
        <v>17348.4</v>
      </c>
      <c r="AH1013" s="67">
        <f t="shared" si="16"/>
        <v>125775.9</v>
      </c>
      <c r="AI1013" s="67">
        <f t="shared" si="17"/>
        <v>108427.5</v>
      </c>
      <c r="AJ1013" s="68">
        <f t="shared" si="31"/>
        <v>17348.4</v>
      </c>
      <c r="AK1013" s="68">
        <f t="shared" si="32"/>
        <v>125775.9</v>
      </c>
      <c r="AL1013" s="70">
        <f>IFERROR(__xludf.DUMMYFUNCTION("""COMPUTED_VALUE"""),1.0)</f>
        <v>1</v>
      </c>
      <c r="AM1013" s="70"/>
      <c r="AN1013" s="71" t="str">
        <f>IFERROR(__xludf.DUMMYFUNCTION("""COMPUTED_VALUE""")," P")</f>
        <v>P</v>
      </c>
      <c r="AO1013" s="71" t="str">
        <f>IFERROR(__xludf.DUMMYFUNCTION("""COMPUTED_VALUE""")," PO10")</f>
        <v>PO10</v>
      </c>
      <c r="AP1013" s="71" t="str">
        <f>IFERROR(__xludf.DUMMYFUNCTION("""COMPUTED_VALUE""")," PZA")</f>
        <v>PZA</v>
      </c>
      <c r="AQ1013" s="71" t="str">
        <f>IFERROR(__xludf.DUMMYFUNCTION("""COMPUTED_VALUE""")," REF")</f>
        <v>REF</v>
      </c>
      <c r="AR1013" s="71" t="str">
        <f>IFERROR(__xludf.DUMMYFUNCTION("""COMPUTED_VALUE""")," POLEA 4"" 2RB E7/8 C1/4")</f>
        <v>POLEA 4" 2RB E7/8 C1/4</v>
      </c>
      <c r="AS1013" s="71" t="str">
        <f>IFERROR(__xludf.DUMMYFUNCTION("""COMPUTED_VALUE""")," POLEA 4"" 2RB E7/8 C1/4")</f>
        <v>POLEA 4" 2RB E7/8 C1/4</v>
      </c>
      <c r="AT1013" s="71">
        <f>IFERROR(__xludf.DUMMYFUNCTION("""COMPUTED_VALUE"""),22.0)</f>
        <v>22</v>
      </c>
      <c r="AU1013" s="71"/>
      <c r="AV1013" s="71"/>
      <c r="AW1013" s="71"/>
      <c r="AX1013" s="71"/>
      <c r="AY1013" s="71">
        <f>IFERROR(__xludf.DUMMYFUNCTION("""COMPUTED_VALUE"""),233.0)</f>
        <v>233</v>
      </c>
      <c r="AZ1013" s="71">
        <f>IFERROR(__xludf.DUMMYFUNCTION("""COMPUTED_VALUE"""),266.0)</f>
        <v>266</v>
      </c>
      <c r="BA1013" s="71">
        <f>IFERROR(__xludf.DUMMYFUNCTION("""COMPUTED_VALUE"""),287.28000000000003)</f>
        <v>287.28</v>
      </c>
      <c r="BB1013" s="71">
        <f>IFERROR(__xludf.DUMMYFUNCTION("""COMPUTED_VALUE"""),287.28000000000003)</f>
        <v>287.28</v>
      </c>
      <c r="BC1013" s="71">
        <f>IFERROR(__xludf.DUMMYFUNCTION("""COMPUTED_VALUE"""),330.0)</f>
        <v>330</v>
      </c>
      <c r="BD1013" s="71">
        <f>IFERROR(__xludf.DUMMYFUNCTION("""COMPUTED_VALUE"""),347.0)</f>
        <v>347</v>
      </c>
      <c r="BE1013" s="71">
        <f>IFERROR(__xludf.DUMMYFUNCTION("""COMPUTED_VALUE"""),55.52)</f>
        <v>55.52</v>
      </c>
      <c r="BF1013" s="71">
        <f>IFERROR(__xludf.DUMMYFUNCTION("""COMPUTED_VALUE"""),402.52)</f>
        <v>402.52</v>
      </c>
      <c r="BG1013" s="71">
        <f>IFERROR(__xludf.DUMMYFUNCTION("""COMPUTED_VALUE"""),0.051515151515151514)</f>
        <v>0.05151515152</v>
      </c>
      <c r="BH1013" s="71">
        <f>IFERROR(__xludf.DUMMYFUNCTION("""COMPUTED_VALUE"""),329.65)</f>
        <v>329.65</v>
      </c>
      <c r="BI1013" s="71">
        <f>IFERROR(__xludf.DUMMYFUNCTION("""COMPUTED_VALUE"""),52.744)</f>
        <v>52.744</v>
      </c>
      <c r="BJ1013" s="71">
        <f>IFERROR(__xludf.DUMMYFUNCTION("""COMPUTED_VALUE"""),382.394)</f>
        <v>382.394</v>
      </c>
      <c r="BK1013" s="71">
        <f>IFERROR(__xludf.DUMMYFUNCTION("""COMPUTED_VALUE"""),312.3)</f>
        <v>312.3</v>
      </c>
      <c r="BL1013" s="71">
        <f>IFERROR(__xludf.DUMMYFUNCTION("""COMPUTED_VALUE"""),49.968)</f>
        <v>49.968</v>
      </c>
      <c r="BM1013" s="71">
        <f>IFERROR(__xludf.DUMMYFUNCTION("""COMPUTED_VALUE"""),362.26800000000003)</f>
        <v>362.268</v>
      </c>
      <c r="BN1013" s="71">
        <f>IFERROR(__xludf.DUMMYFUNCTION("""COMPUTED_VALUE"""),294.95)</f>
        <v>294.95</v>
      </c>
      <c r="BO1013" s="71">
        <f>IFERROR(__xludf.DUMMYFUNCTION("""COMPUTED_VALUE"""),47.192)</f>
        <v>47.192</v>
      </c>
      <c r="BP1013" s="71">
        <f>IFERROR(__xludf.DUMMYFUNCTION("""COMPUTED_VALUE"""),342.142)</f>
        <v>342.142</v>
      </c>
      <c r="BQ1013" s="71">
        <f>IFERROR(__xludf.DUMMYFUNCTION("""COMPUTED_VALUE"""),288.01)</f>
        <v>288.01</v>
      </c>
      <c r="BR1013" s="71">
        <f>IFERROR(__xludf.DUMMYFUNCTION("""COMPUTED_VALUE"""),46.0816)</f>
        <v>46.0816</v>
      </c>
      <c r="BS1013" s="71">
        <f>IFERROR(__xludf.DUMMYFUNCTION("""COMPUTED_VALUE"""),334.09159999999997)</f>
        <v>334.0916</v>
      </c>
      <c r="BT1013" s="71">
        <f>IFERROR(__xludf.DUMMYFUNCTION("""COMPUTED_VALUE"""),277.6)</f>
        <v>277.6</v>
      </c>
      <c r="BU1013" s="71">
        <f>IFERROR(__xludf.DUMMYFUNCTION("""COMPUTED_VALUE"""),44.416000000000004)</f>
        <v>44.416</v>
      </c>
      <c r="BV1013" s="71">
        <f>IFERROR(__xludf.DUMMYFUNCTION("""COMPUTED_VALUE"""),322.016)</f>
        <v>322.016</v>
      </c>
    </row>
    <row r="1014">
      <c r="A1014" s="53"/>
      <c r="B1014" s="53">
        <v>3.0</v>
      </c>
      <c r="C1014" s="53" t="s">
        <v>36</v>
      </c>
      <c r="D1014" s="85" t="s">
        <v>2457</v>
      </c>
      <c r="E1014" s="54" t="s">
        <v>38</v>
      </c>
      <c r="F1014" s="55" t="s">
        <v>187</v>
      </c>
      <c r="G1014" s="147" t="s">
        <v>2458</v>
      </c>
      <c r="H1014" s="55"/>
      <c r="I1014" s="54">
        <f t="shared" si="24"/>
        <v>0</v>
      </c>
      <c r="J1014" s="56"/>
      <c r="K1014" s="57"/>
      <c r="L1014" s="76"/>
      <c r="M1014" s="59"/>
      <c r="N1014" s="60"/>
      <c r="O1014" s="61">
        <v>140883.0</v>
      </c>
      <c r="P1014" s="62">
        <v>152153.64</v>
      </c>
      <c r="Q1014" s="63">
        <v>152153.64</v>
      </c>
      <c r="R1014" s="64">
        <v>167751.0</v>
      </c>
      <c r="S1014" s="107">
        <v>176139.0</v>
      </c>
      <c r="T1014" s="65">
        <f t="shared" si="34"/>
        <v>28182.24</v>
      </c>
      <c r="U1014" s="65">
        <f t="shared" si="35"/>
        <v>204321.24</v>
      </c>
      <c r="V1014" s="66">
        <f t="shared" si="36"/>
        <v>0.05000268255</v>
      </c>
      <c r="W1014" s="67">
        <f t="shared" si="5"/>
        <v>167332.05</v>
      </c>
      <c r="X1014" s="67">
        <f t="shared" si="6"/>
        <v>26773.128</v>
      </c>
      <c r="Y1014" s="67">
        <f t="shared" si="7"/>
        <v>194105.178</v>
      </c>
      <c r="Z1014" s="67">
        <f t="shared" si="8"/>
        <v>158525.1</v>
      </c>
      <c r="AA1014" s="67">
        <f t="shared" si="9"/>
        <v>25364.016</v>
      </c>
      <c r="AB1014" s="67">
        <f t="shared" si="10"/>
        <v>183889.116</v>
      </c>
      <c r="AC1014" s="67">
        <f t="shared" si="11"/>
        <v>158525.1</v>
      </c>
      <c r="AD1014" s="67">
        <f t="shared" si="12"/>
        <v>25364.016</v>
      </c>
      <c r="AE1014" s="67">
        <f t="shared" si="13"/>
        <v>183889.116</v>
      </c>
      <c r="AF1014" s="67">
        <f t="shared" si="33"/>
        <v>158525.1</v>
      </c>
      <c r="AG1014" s="67">
        <f t="shared" si="15"/>
        <v>25364.016</v>
      </c>
      <c r="AH1014" s="67">
        <f t="shared" si="16"/>
        <v>183889.116</v>
      </c>
      <c r="AI1014" s="67">
        <f t="shared" si="17"/>
        <v>158525.1</v>
      </c>
      <c r="AJ1014" s="68">
        <f t="shared" si="31"/>
        <v>25364.016</v>
      </c>
      <c r="AK1014" s="68">
        <f t="shared" si="32"/>
        <v>183889.116</v>
      </c>
      <c r="AL1014" s="70">
        <f>IFERROR(__xludf.DUMMYFUNCTION("""COMPUTED_VALUE"""),1.0)</f>
        <v>1</v>
      </c>
      <c r="AM1014" s="70"/>
      <c r="AN1014" s="71" t="str">
        <f>IFERROR(__xludf.DUMMYFUNCTION("""COMPUTED_VALUE""")," P")</f>
        <v>P</v>
      </c>
      <c r="AO1014" s="71" t="str">
        <f>IFERROR(__xludf.DUMMYFUNCTION("""COMPUTED_VALUE""")," PO97")</f>
        <v>PO97</v>
      </c>
      <c r="AP1014" s="71" t="str">
        <f>IFERROR(__xludf.DUMMYFUNCTION("""COMPUTED_VALUE""")," PZA")</f>
        <v>PZA</v>
      </c>
      <c r="AQ1014" s="71" t="str">
        <f>IFERROR(__xludf.DUMMYFUNCTION("""COMPUTED_VALUE""")," REF")</f>
        <v>REF</v>
      </c>
      <c r="AR1014" s="71" t="str">
        <f>IFERROR(__xludf.DUMMYFUNCTION("""COMPUTED_VALUE""")," POLEA 4"" 2RB E7/8 C3/16")</f>
        <v>POLEA 4" 2RB E7/8 C3/16</v>
      </c>
      <c r="AS1014" s="71" t="str">
        <f>IFERROR(__xludf.DUMMYFUNCTION("""COMPUTED_VALUE""")," POLEA 4"" 2RB E7/8 C3/16")</f>
        <v>POLEA 4" 2RB E7/8 C3/16</v>
      </c>
      <c r="AT1014" s="71">
        <f>IFERROR(__xludf.DUMMYFUNCTION("""COMPUTED_VALUE"""),23.0)</f>
        <v>23</v>
      </c>
      <c r="AU1014" s="71"/>
      <c r="AV1014" s="71"/>
      <c r="AW1014" s="71"/>
      <c r="AX1014" s="71"/>
      <c r="AY1014" s="71">
        <f>IFERROR(__xludf.DUMMYFUNCTION("""COMPUTED_VALUE"""),344.0)</f>
        <v>344</v>
      </c>
      <c r="AZ1014" s="71">
        <f>IFERROR(__xludf.DUMMYFUNCTION("""COMPUTED_VALUE"""),371.0)</f>
        <v>371</v>
      </c>
      <c r="BA1014" s="71">
        <f>IFERROR(__xludf.DUMMYFUNCTION("""COMPUTED_VALUE"""),400.68)</f>
        <v>400.68</v>
      </c>
      <c r="BB1014" s="71">
        <f>IFERROR(__xludf.DUMMYFUNCTION("""COMPUTED_VALUE"""),400.68)</f>
        <v>400.68</v>
      </c>
      <c r="BC1014" s="71">
        <f>IFERROR(__xludf.DUMMYFUNCTION("""COMPUTED_VALUE"""),434.0)</f>
        <v>434</v>
      </c>
      <c r="BD1014" s="71">
        <f>IFERROR(__xludf.DUMMYFUNCTION("""COMPUTED_VALUE"""),456.0)</f>
        <v>456</v>
      </c>
      <c r="BE1014" s="71">
        <f>IFERROR(__xludf.DUMMYFUNCTION("""COMPUTED_VALUE"""),72.96000000000001)</f>
        <v>72.96</v>
      </c>
      <c r="BF1014" s="71">
        <f>IFERROR(__xludf.DUMMYFUNCTION("""COMPUTED_VALUE"""),528.96)</f>
        <v>528.96</v>
      </c>
      <c r="BG1014" s="71">
        <f>IFERROR(__xludf.DUMMYFUNCTION("""COMPUTED_VALUE"""),0.05069124423963134)</f>
        <v>0.05069124424</v>
      </c>
      <c r="BH1014" s="71">
        <f>IFERROR(__xludf.DUMMYFUNCTION("""COMPUTED_VALUE"""),433.2)</f>
        <v>433.2</v>
      </c>
      <c r="BI1014" s="71">
        <f>IFERROR(__xludf.DUMMYFUNCTION("""COMPUTED_VALUE"""),69.312)</f>
        <v>69.312</v>
      </c>
      <c r="BJ1014" s="71">
        <f>IFERROR(__xludf.DUMMYFUNCTION("""COMPUTED_VALUE"""),502.512)</f>
        <v>502.512</v>
      </c>
      <c r="BK1014" s="71">
        <f>IFERROR(__xludf.DUMMYFUNCTION("""COMPUTED_VALUE"""),410.40000000000003)</f>
        <v>410.4</v>
      </c>
      <c r="BL1014" s="71">
        <f>IFERROR(__xludf.DUMMYFUNCTION("""COMPUTED_VALUE"""),65.664)</f>
        <v>65.664</v>
      </c>
      <c r="BM1014" s="71">
        <f>IFERROR(__xludf.DUMMYFUNCTION("""COMPUTED_VALUE"""),476.064)</f>
        <v>476.064</v>
      </c>
      <c r="BN1014" s="71">
        <f>IFERROR(__xludf.DUMMYFUNCTION("""COMPUTED_VALUE"""),387.59999999999997)</f>
        <v>387.6</v>
      </c>
      <c r="BO1014" s="71">
        <f>IFERROR(__xludf.DUMMYFUNCTION("""COMPUTED_VALUE"""),62.016)</f>
        <v>62.016</v>
      </c>
      <c r="BP1014" s="71">
        <f>IFERROR(__xludf.DUMMYFUNCTION("""COMPUTED_VALUE"""),449.616)</f>
        <v>449.616</v>
      </c>
      <c r="BQ1014" s="71">
        <f>IFERROR(__xludf.DUMMYFUNCTION("""COMPUTED_VALUE"""),378.47999999999996)</f>
        <v>378.48</v>
      </c>
      <c r="BR1014" s="71">
        <f>IFERROR(__xludf.DUMMYFUNCTION("""COMPUTED_VALUE"""),60.556799999999996)</f>
        <v>60.5568</v>
      </c>
      <c r="BS1014" s="71">
        <f>IFERROR(__xludf.DUMMYFUNCTION("""COMPUTED_VALUE"""),439.03679999999997)</f>
        <v>439.0368</v>
      </c>
      <c r="BT1014" s="71">
        <f>IFERROR(__xludf.DUMMYFUNCTION("""COMPUTED_VALUE"""),364.8)</f>
        <v>364.8</v>
      </c>
      <c r="BU1014" s="71">
        <f>IFERROR(__xludf.DUMMYFUNCTION("""COMPUTED_VALUE"""),58.368)</f>
        <v>58.368</v>
      </c>
      <c r="BV1014" s="71">
        <f>IFERROR(__xludf.DUMMYFUNCTION("""COMPUTED_VALUE"""),423.168)</f>
        <v>423.168</v>
      </c>
    </row>
    <row r="1015">
      <c r="A1015" s="53"/>
      <c r="B1015" s="53">
        <v>3.0</v>
      </c>
      <c r="C1015" s="53" t="s">
        <v>36</v>
      </c>
      <c r="D1015" s="74" t="s">
        <v>2459</v>
      </c>
      <c r="E1015" s="54" t="s">
        <v>38</v>
      </c>
      <c r="F1015" s="55" t="s">
        <v>61</v>
      </c>
      <c r="G1015" s="81" t="s">
        <v>2460</v>
      </c>
      <c r="H1015" s="55"/>
      <c r="I1015" s="54">
        <f t="shared" si="24"/>
        <v>0</v>
      </c>
      <c r="J1015" s="56"/>
      <c r="K1015" s="57"/>
      <c r="L1015" s="76"/>
      <c r="M1015" s="59"/>
      <c r="N1015" s="60"/>
      <c r="O1015" s="61">
        <v>10825.0</v>
      </c>
      <c r="P1015" s="62">
        <v>11691.0</v>
      </c>
      <c r="Q1015" s="63">
        <v>11691.0</v>
      </c>
      <c r="R1015" s="64">
        <v>12890.0</v>
      </c>
      <c r="S1015" s="107">
        <v>13535.0</v>
      </c>
      <c r="T1015" s="65">
        <f t="shared" si="34"/>
        <v>2165.6</v>
      </c>
      <c r="U1015" s="65">
        <f t="shared" si="35"/>
        <v>15700.6</v>
      </c>
      <c r="V1015" s="66">
        <f t="shared" si="36"/>
        <v>0.05003878976</v>
      </c>
      <c r="W1015" s="67">
        <f t="shared" si="5"/>
        <v>12858.25</v>
      </c>
      <c r="X1015" s="67">
        <f t="shared" si="6"/>
        <v>2057.32</v>
      </c>
      <c r="Y1015" s="67">
        <f t="shared" si="7"/>
        <v>14915.57</v>
      </c>
      <c r="Z1015" s="67">
        <f t="shared" si="8"/>
        <v>12181.5</v>
      </c>
      <c r="AA1015" s="67">
        <f t="shared" si="9"/>
        <v>1949.04</v>
      </c>
      <c r="AB1015" s="67">
        <f t="shared" si="10"/>
        <v>14130.54</v>
      </c>
      <c r="AC1015" s="67">
        <f t="shared" si="11"/>
        <v>12181.5</v>
      </c>
      <c r="AD1015" s="67">
        <f t="shared" si="12"/>
        <v>1949.04</v>
      </c>
      <c r="AE1015" s="67">
        <f t="shared" si="13"/>
        <v>14130.54</v>
      </c>
      <c r="AF1015" s="67">
        <f t="shared" si="33"/>
        <v>12181.5</v>
      </c>
      <c r="AG1015" s="67">
        <f t="shared" si="15"/>
        <v>1949.04</v>
      </c>
      <c r="AH1015" s="67">
        <f t="shared" si="16"/>
        <v>14130.54</v>
      </c>
      <c r="AI1015" s="67">
        <f t="shared" si="17"/>
        <v>12181.5</v>
      </c>
      <c r="AJ1015" s="68">
        <f t="shared" si="31"/>
        <v>1949.04</v>
      </c>
      <c r="AK1015" s="68">
        <f t="shared" si="32"/>
        <v>14130.54</v>
      </c>
      <c r="AL1015" s="70">
        <f>IFERROR(__xludf.DUMMYFUNCTION("""COMPUTED_VALUE"""),1.0)</f>
        <v>1</v>
      </c>
      <c r="AM1015" s="70"/>
      <c r="AN1015" s="71" t="str">
        <f>IFERROR(__xludf.DUMMYFUNCTION("""COMPUTED_VALUE""")," P")</f>
        <v>P</v>
      </c>
      <c r="AO1015" s="71" t="str">
        <f>IFERROR(__xludf.DUMMYFUNCTION("""COMPUTED_VALUE""")," PO11")</f>
        <v>PO11</v>
      </c>
      <c r="AP1015" s="71" t="str">
        <f>IFERROR(__xludf.DUMMYFUNCTION("""COMPUTED_VALUE""")," PZA")</f>
        <v>PZA</v>
      </c>
      <c r="AQ1015" s="71" t="str">
        <f>IFERROR(__xludf.DUMMYFUNCTION("""COMPUTED_VALUE""")," REF")</f>
        <v>REF</v>
      </c>
      <c r="AR1015" s="71" t="str">
        <f>IFERROR(__xludf.DUMMYFUNCTION("""COMPUTED_VALUE""")," POLEA 4"" 3RB E1-1/8 C1/4")</f>
        <v>POLEA 4" 3RB E1-1/8 C1/4</v>
      </c>
      <c r="AS1015" s="71" t="str">
        <f>IFERROR(__xludf.DUMMYFUNCTION("""COMPUTED_VALUE""")," POLEA 4"" 3RB E1-1/8 C1/4")</f>
        <v>POLEA 4" 3RB E1-1/8 C1/4</v>
      </c>
      <c r="AT1015" s="71">
        <f>IFERROR(__xludf.DUMMYFUNCTION("""COMPUTED_VALUE"""),24.0)</f>
        <v>24</v>
      </c>
      <c r="AU1015" s="71"/>
      <c r="AV1015" s="71"/>
      <c r="AW1015" s="71"/>
      <c r="AX1015" s="71"/>
      <c r="AY1015" s="71">
        <f>IFERROR(__xludf.DUMMYFUNCTION("""COMPUTED_VALUE"""),334.0)</f>
        <v>334</v>
      </c>
      <c r="AZ1015" s="71">
        <f>IFERROR(__xludf.DUMMYFUNCTION("""COMPUTED_VALUE"""),360.0)</f>
        <v>360</v>
      </c>
      <c r="BA1015" s="71">
        <f>IFERROR(__xludf.DUMMYFUNCTION("""COMPUTED_VALUE"""),388.8)</f>
        <v>388.8</v>
      </c>
      <c r="BB1015" s="71">
        <f>IFERROR(__xludf.DUMMYFUNCTION("""COMPUTED_VALUE"""),388.8)</f>
        <v>388.8</v>
      </c>
      <c r="BC1015" s="71">
        <f>IFERROR(__xludf.DUMMYFUNCTION("""COMPUTED_VALUE"""),447.0)</f>
        <v>447</v>
      </c>
      <c r="BD1015" s="71">
        <f>IFERROR(__xludf.DUMMYFUNCTION("""COMPUTED_VALUE"""),469.0)</f>
        <v>469</v>
      </c>
      <c r="BE1015" s="71">
        <f>IFERROR(__xludf.DUMMYFUNCTION("""COMPUTED_VALUE"""),75.04)</f>
        <v>75.04</v>
      </c>
      <c r="BF1015" s="71">
        <f>IFERROR(__xludf.DUMMYFUNCTION("""COMPUTED_VALUE"""),544.04)</f>
        <v>544.04</v>
      </c>
      <c r="BG1015" s="71">
        <f>IFERROR(__xludf.DUMMYFUNCTION("""COMPUTED_VALUE"""),0.049217002237136466)</f>
        <v>0.04921700224</v>
      </c>
      <c r="BH1015" s="71">
        <f>IFERROR(__xludf.DUMMYFUNCTION("""COMPUTED_VALUE"""),445.54999999999995)</f>
        <v>445.55</v>
      </c>
      <c r="BI1015" s="71">
        <f>IFERROR(__xludf.DUMMYFUNCTION("""COMPUTED_VALUE"""),71.288)</f>
        <v>71.288</v>
      </c>
      <c r="BJ1015" s="71">
        <f>IFERROR(__xludf.DUMMYFUNCTION("""COMPUTED_VALUE"""),516.838)</f>
        <v>516.838</v>
      </c>
      <c r="BK1015" s="71">
        <f>IFERROR(__xludf.DUMMYFUNCTION("""COMPUTED_VALUE"""),422.1)</f>
        <v>422.1</v>
      </c>
      <c r="BL1015" s="71">
        <f>IFERROR(__xludf.DUMMYFUNCTION("""COMPUTED_VALUE"""),67.536)</f>
        <v>67.536</v>
      </c>
      <c r="BM1015" s="71">
        <f>IFERROR(__xludf.DUMMYFUNCTION("""COMPUTED_VALUE"""),489.636)</f>
        <v>489.636</v>
      </c>
      <c r="BN1015" s="71">
        <f>IFERROR(__xludf.DUMMYFUNCTION("""COMPUTED_VALUE"""),398.65)</f>
        <v>398.65</v>
      </c>
      <c r="BO1015" s="71">
        <f>IFERROR(__xludf.DUMMYFUNCTION("""COMPUTED_VALUE"""),63.784)</f>
        <v>63.784</v>
      </c>
      <c r="BP1015" s="71">
        <f>IFERROR(__xludf.DUMMYFUNCTION("""COMPUTED_VALUE"""),462.43399999999997)</f>
        <v>462.434</v>
      </c>
      <c r="BQ1015" s="71">
        <f>IFERROR(__xludf.DUMMYFUNCTION("""COMPUTED_VALUE"""),389.27)</f>
        <v>389.27</v>
      </c>
      <c r="BR1015" s="71">
        <f>IFERROR(__xludf.DUMMYFUNCTION("""COMPUTED_VALUE"""),62.2832)</f>
        <v>62.2832</v>
      </c>
      <c r="BS1015" s="71">
        <f>IFERROR(__xludf.DUMMYFUNCTION("""COMPUTED_VALUE"""),451.5532)</f>
        <v>451.5532</v>
      </c>
      <c r="BT1015" s="71">
        <f>IFERROR(__xludf.DUMMYFUNCTION("""COMPUTED_VALUE"""),375.20000000000005)</f>
        <v>375.2</v>
      </c>
      <c r="BU1015" s="71">
        <f>IFERROR(__xludf.DUMMYFUNCTION("""COMPUTED_VALUE"""),60.03200000000001)</f>
        <v>60.032</v>
      </c>
      <c r="BV1015" s="71">
        <f>IFERROR(__xludf.DUMMYFUNCTION("""COMPUTED_VALUE"""),435.2320000000001)</f>
        <v>435.232</v>
      </c>
    </row>
    <row r="1016">
      <c r="A1016" s="53"/>
      <c r="B1016" s="53"/>
      <c r="C1016" s="53"/>
      <c r="D1016" s="53" t="s">
        <v>2461</v>
      </c>
      <c r="E1016" s="55" t="s">
        <v>38</v>
      </c>
      <c r="F1016" s="89"/>
      <c r="G1016" s="84" t="s">
        <v>2462</v>
      </c>
      <c r="H1016" s="55"/>
      <c r="I1016" s="54">
        <f t="shared" si="24"/>
        <v>0</v>
      </c>
      <c r="J1016" s="56"/>
      <c r="K1016" s="57"/>
      <c r="L1016" s="55"/>
      <c r="M1016" s="59"/>
      <c r="N1016" s="60"/>
      <c r="O1016" s="90"/>
      <c r="P1016" s="62">
        <v>140205.0</v>
      </c>
      <c r="Q1016" s="63">
        <v>140205.0</v>
      </c>
      <c r="R1016" s="64">
        <v>154576.0</v>
      </c>
      <c r="S1016" s="111">
        <v>162305.0</v>
      </c>
      <c r="T1016" s="65">
        <f t="shared" si="34"/>
        <v>25968.8</v>
      </c>
      <c r="U1016" s="65">
        <f t="shared" si="35"/>
        <v>188273.8</v>
      </c>
      <c r="V1016" s="66">
        <f t="shared" si="36"/>
        <v>0.05000129386</v>
      </c>
      <c r="W1016" s="67">
        <f t="shared" si="5"/>
        <v>154189.75</v>
      </c>
      <c r="X1016" s="67">
        <f t="shared" si="6"/>
        <v>24670.36</v>
      </c>
      <c r="Y1016" s="67">
        <f t="shared" si="7"/>
        <v>178860.11</v>
      </c>
      <c r="Z1016" s="67">
        <f t="shared" si="8"/>
        <v>146074.5</v>
      </c>
      <c r="AA1016" s="67">
        <f t="shared" si="9"/>
        <v>23371.92</v>
      </c>
      <c r="AB1016" s="67">
        <f t="shared" si="10"/>
        <v>169446.42</v>
      </c>
      <c r="AC1016" s="67">
        <f t="shared" si="11"/>
        <v>137959.25</v>
      </c>
      <c r="AD1016" s="67">
        <f t="shared" si="12"/>
        <v>22073.48</v>
      </c>
      <c r="AE1016" s="67">
        <f t="shared" si="13"/>
        <v>160032.73</v>
      </c>
      <c r="AF1016" s="67">
        <f t="shared" si="33"/>
        <v>134713.15</v>
      </c>
      <c r="AG1016" s="67">
        <f t="shared" si="15"/>
        <v>21554.104</v>
      </c>
      <c r="AH1016" s="67">
        <f t="shared" si="16"/>
        <v>156267.254</v>
      </c>
      <c r="AI1016" s="67">
        <f t="shared" si="17"/>
        <v>129844</v>
      </c>
      <c r="AJ1016" s="68">
        <f t="shared" si="31"/>
        <v>20775.04</v>
      </c>
      <c r="AK1016" s="68">
        <f t="shared" si="32"/>
        <v>150619.04</v>
      </c>
      <c r="AL1016" s="70">
        <f>IFERROR(__xludf.DUMMYFUNCTION("""COMPUTED_VALUE"""),1.0)</f>
        <v>1</v>
      </c>
      <c r="AM1016" s="70"/>
      <c r="AN1016" s="71" t="str">
        <f>IFERROR(__xludf.DUMMYFUNCTION("""COMPUTED_VALUE""")," P")</f>
        <v>P</v>
      </c>
      <c r="AO1016" s="71" t="str">
        <f>IFERROR(__xludf.DUMMYFUNCTION("""COMPUTED_VALUE""")," PO96")</f>
        <v>PO96</v>
      </c>
      <c r="AP1016" s="71" t="str">
        <f>IFERROR(__xludf.DUMMYFUNCTION("""COMPUTED_VALUE""")," PZA")</f>
        <v>PZA</v>
      </c>
      <c r="AQ1016" s="71" t="str">
        <f>IFERROR(__xludf.DUMMYFUNCTION("""COMPUTED_VALUE""")," REF")</f>
        <v>REF</v>
      </c>
      <c r="AR1016" s="71" t="str">
        <f>IFERROR(__xludf.DUMMYFUNCTION("""COMPUTED_VALUE""")," POLEA 4"" 3RB E5/8 C3/16")</f>
        <v>POLEA 4" 3RB E5/8 C3/16</v>
      </c>
      <c r="AS1016" s="71" t="str">
        <f>IFERROR(__xludf.DUMMYFUNCTION("""COMPUTED_VALUE""")," POLEA 4"" 3RB E5/8 C3/16")</f>
        <v>POLEA 4" 3RB E5/8 C3/16</v>
      </c>
      <c r="AT1016" s="71">
        <f>IFERROR(__xludf.DUMMYFUNCTION("""COMPUTED_VALUE"""),23.0)</f>
        <v>23</v>
      </c>
      <c r="AU1016" s="71"/>
      <c r="AV1016" s="71"/>
      <c r="AW1016" s="71"/>
      <c r="AX1016" s="71"/>
      <c r="AY1016" s="71">
        <f>IFERROR(__xludf.DUMMYFUNCTION("""COMPUTED_VALUE"""),354.0)</f>
        <v>354</v>
      </c>
      <c r="AZ1016" s="71">
        <f>IFERROR(__xludf.DUMMYFUNCTION("""COMPUTED_VALUE"""),382.0)</f>
        <v>382</v>
      </c>
      <c r="BA1016" s="71">
        <f>IFERROR(__xludf.DUMMYFUNCTION("""COMPUTED_VALUE"""),412.56)</f>
        <v>412.56</v>
      </c>
      <c r="BB1016" s="71">
        <f>IFERROR(__xludf.DUMMYFUNCTION("""COMPUTED_VALUE"""),412.56)</f>
        <v>412.56</v>
      </c>
      <c r="BC1016" s="71">
        <f>IFERROR(__xludf.DUMMYFUNCTION("""COMPUTED_VALUE"""),447.0)</f>
        <v>447</v>
      </c>
      <c r="BD1016" s="71">
        <f>IFERROR(__xludf.DUMMYFUNCTION("""COMPUTED_VALUE"""),469.0)</f>
        <v>469</v>
      </c>
      <c r="BE1016" s="71">
        <f>IFERROR(__xludf.DUMMYFUNCTION("""COMPUTED_VALUE"""),75.04)</f>
        <v>75.04</v>
      </c>
      <c r="BF1016" s="71">
        <f>IFERROR(__xludf.DUMMYFUNCTION("""COMPUTED_VALUE"""),544.04)</f>
        <v>544.04</v>
      </c>
      <c r="BG1016" s="71">
        <f>IFERROR(__xludf.DUMMYFUNCTION("""COMPUTED_VALUE"""),0.049217002237136466)</f>
        <v>0.04921700224</v>
      </c>
      <c r="BH1016" s="71">
        <f>IFERROR(__xludf.DUMMYFUNCTION("""COMPUTED_VALUE"""),445.54999999999995)</f>
        <v>445.55</v>
      </c>
      <c r="BI1016" s="71">
        <f>IFERROR(__xludf.DUMMYFUNCTION("""COMPUTED_VALUE"""),71.288)</f>
        <v>71.288</v>
      </c>
      <c r="BJ1016" s="71">
        <f>IFERROR(__xludf.DUMMYFUNCTION("""COMPUTED_VALUE"""),516.838)</f>
        <v>516.838</v>
      </c>
      <c r="BK1016" s="71">
        <f>IFERROR(__xludf.DUMMYFUNCTION("""COMPUTED_VALUE"""),422.1)</f>
        <v>422.1</v>
      </c>
      <c r="BL1016" s="71">
        <f>IFERROR(__xludf.DUMMYFUNCTION("""COMPUTED_VALUE"""),67.536)</f>
        <v>67.536</v>
      </c>
      <c r="BM1016" s="71">
        <f>IFERROR(__xludf.DUMMYFUNCTION("""COMPUTED_VALUE"""),489.636)</f>
        <v>489.636</v>
      </c>
      <c r="BN1016" s="71">
        <f>IFERROR(__xludf.DUMMYFUNCTION("""COMPUTED_VALUE"""),398.65)</f>
        <v>398.65</v>
      </c>
      <c r="BO1016" s="71">
        <f>IFERROR(__xludf.DUMMYFUNCTION("""COMPUTED_VALUE"""),63.784)</f>
        <v>63.784</v>
      </c>
      <c r="BP1016" s="71">
        <f>IFERROR(__xludf.DUMMYFUNCTION("""COMPUTED_VALUE"""),462.43399999999997)</f>
        <v>462.434</v>
      </c>
      <c r="BQ1016" s="71">
        <f>IFERROR(__xludf.DUMMYFUNCTION("""COMPUTED_VALUE"""),389.27)</f>
        <v>389.27</v>
      </c>
      <c r="BR1016" s="71">
        <f>IFERROR(__xludf.DUMMYFUNCTION("""COMPUTED_VALUE"""),62.2832)</f>
        <v>62.2832</v>
      </c>
      <c r="BS1016" s="71">
        <f>IFERROR(__xludf.DUMMYFUNCTION("""COMPUTED_VALUE"""),451.5532)</f>
        <v>451.5532</v>
      </c>
      <c r="BT1016" s="71">
        <f>IFERROR(__xludf.DUMMYFUNCTION("""COMPUTED_VALUE"""),375.20000000000005)</f>
        <v>375.2</v>
      </c>
      <c r="BU1016" s="71">
        <f>IFERROR(__xludf.DUMMYFUNCTION("""COMPUTED_VALUE"""),60.03200000000001)</f>
        <v>60.032</v>
      </c>
      <c r="BV1016" s="71">
        <f>IFERROR(__xludf.DUMMYFUNCTION("""COMPUTED_VALUE"""),435.2320000000001)</f>
        <v>435.232</v>
      </c>
    </row>
    <row r="1017">
      <c r="A1017" s="53"/>
      <c r="B1017" s="53"/>
      <c r="C1017" s="53"/>
      <c r="D1017" s="53" t="s">
        <v>2463</v>
      </c>
      <c r="E1017" s="55" t="s">
        <v>38</v>
      </c>
      <c r="F1017" s="89"/>
      <c r="G1017" s="84" t="s">
        <v>2464</v>
      </c>
      <c r="H1017" s="55"/>
      <c r="I1017" s="54">
        <f t="shared" si="24"/>
        <v>0</v>
      </c>
      <c r="J1017" s="56"/>
      <c r="K1017" s="57"/>
      <c r="L1017" s="55"/>
      <c r="M1017" s="59"/>
      <c r="N1017" s="60"/>
      <c r="O1017" s="90"/>
      <c r="P1017" s="62">
        <v>398900.0</v>
      </c>
      <c r="Q1017" s="63">
        <v>398900.0</v>
      </c>
      <c r="R1017" s="64">
        <v>439788.0</v>
      </c>
      <c r="S1017" s="111">
        <v>461777.0</v>
      </c>
      <c r="T1017" s="65">
        <f t="shared" si="34"/>
        <v>73884.32</v>
      </c>
      <c r="U1017" s="65">
        <f t="shared" si="35"/>
        <v>535661.32</v>
      </c>
      <c r="V1017" s="66">
        <f t="shared" si="36"/>
        <v>0.04999909047</v>
      </c>
      <c r="W1017" s="67">
        <f t="shared" si="5"/>
        <v>438688.15</v>
      </c>
      <c r="X1017" s="67">
        <f t="shared" si="6"/>
        <v>70190.104</v>
      </c>
      <c r="Y1017" s="67">
        <f t="shared" si="7"/>
        <v>508878.254</v>
      </c>
      <c r="Z1017" s="67">
        <f t="shared" si="8"/>
        <v>415599.3</v>
      </c>
      <c r="AA1017" s="67">
        <f t="shared" si="9"/>
        <v>66495.888</v>
      </c>
      <c r="AB1017" s="67">
        <f t="shared" si="10"/>
        <v>482095.188</v>
      </c>
      <c r="AC1017" s="67">
        <f t="shared" si="11"/>
        <v>392510.45</v>
      </c>
      <c r="AD1017" s="67">
        <f t="shared" si="12"/>
        <v>62801.672</v>
      </c>
      <c r="AE1017" s="67">
        <f t="shared" si="13"/>
        <v>455312.122</v>
      </c>
      <c r="AF1017" s="67">
        <f t="shared" si="33"/>
        <v>383274.91</v>
      </c>
      <c r="AG1017" s="67">
        <f t="shared" si="15"/>
        <v>61323.9856</v>
      </c>
      <c r="AH1017" s="67">
        <f t="shared" si="16"/>
        <v>444598.8956</v>
      </c>
      <c r="AI1017" s="67">
        <f t="shared" si="17"/>
        <v>369421.6</v>
      </c>
      <c r="AJ1017" s="68">
        <f t="shared" si="31"/>
        <v>59107.456</v>
      </c>
      <c r="AK1017" s="68">
        <f t="shared" si="32"/>
        <v>428529.056</v>
      </c>
      <c r="AL1017" s="70">
        <f>IFERROR(__xludf.DUMMYFUNCTION("""COMPUTED_VALUE"""),1.0)</f>
        <v>1</v>
      </c>
      <c r="AM1017" s="70"/>
      <c r="AN1017" s="71" t="str">
        <f>IFERROR(__xludf.DUMMYFUNCTION("""COMPUTED_VALUE""")," P")</f>
        <v>P</v>
      </c>
      <c r="AO1017" s="71" t="str">
        <f>IFERROR(__xludf.DUMMYFUNCTION("""COMPUTED_VALUE""")," PO12")</f>
        <v>PO12</v>
      </c>
      <c r="AP1017" s="71" t="str">
        <f>IFERROR(__xludf.DUMMYFUNCTION("""COMPUTED_VALUE""")," PZA")</f>
        <v>PZA</v>
      </c>
      <c r="AQ1017" s="71" t="str">
        <f>IFERROR(__xludf.DUMMYFUNCTION("""COMPUTED_VALUE""")," REF")</f>
        <v>REF</v>
      </c>
      <c r="AR1017" s="71" t="str">
        <f>IFERROR(__xludf.DUMMYFUNCTION("""COMPUTED_VALUE""")," POLEA 4"" 3RB E7/8 C3/16")</f>
        <v>POLEA 4" 3RB E7/8 C3/16</v>
      </c>
      <c r="AS1017" s="71" t="str">
        <f>IFERROR(__xludf.DUMMYFUNCTION("""COMPUTED_VALUE""")," POLEA 4"" 3RB E7/8 C3/16")</f>
        <v>POLEA 4" 3RB E7/8 C3/16</v>
      </c>
      <c r="AT1017" s="71">
        <f>IFERROR(__xludf.DUMMYFUNCTION("""COMPUTED_VALUE"""),23.0)</f>
        <v>23</v>
      </c>
      <c r="AU1017" s="71"/>
      <c r="AV1017" s="71"/>
      <c r="AW1017" s="71"/>
      <c r="AX1017" s="71"/>
      <c r="AY1017" s="71">
        <f>IFERROR(__xludf.DUMMYFUNCTION("""COMPUTED_VALUE"""),334.0)</f>
        <v>334</v>
      </c>
      <c r="AZ1017" s="71">
        <f>IFERROR(__xludf.DUMMYFUNCTION("""COMPUTED_VALUE"""),360.0)</f>
        <v>360</v>
      </c>
      <c r="BA1017" s="71">
        <f>IFERROR(__xludf.DUMMYFUNCTION("""COMPUTED_VALUE"""),388.8)</f>
        <v>388.8</v>
      </c>
      <c r="BB1017" s="71">
        <f>IFERROR(__xludf.DUMMYFUNCTION("""COMPUTED_VALUE"""),388.8)</f>
        <v>388.8</v>
      </c>
      <c r="BC1017" s="71">
        <f>IFERROR(__xludf.DUMMYFUNCTION("""COMPUTED_VALUE"""),447.0)</f>
        <v>447</v>
      </c>
      <c r="BD1017" s="71">
        <f>IFERROR(__xludf.DUMMYFUNCTION("""COMPUTED_VALUE"""),469.0)</f>
        <v>469</v>
      </c>
      <c r="BE1017" s="71">
        <f>IFERROR(__xludf.DUMMYFUNCTION("""COMPUTED_VALUE"""),75.04)</f>
        <v>75.04</v>
      </c>
      <c r="BF1017" s="71">
        <f>IFERROR(__xludf.DUMMYFUNCTION("""COMPUTED_VALUE"""),544.04)</f>
        <v>544.04</v>
      </c>
      <c r="BG1017" s="71">
        <f>IFERROR(__xludf.DUMMYFUNCTION("""COMPUTED_VALUE"""),0.049217002237136466)</f>
        <v>0.04921700224</v>
      </c>
      <c r="BH1017" s="71">
        <f>IFERROR(__xludf.DUMMYFUNCTION("""COMPUTED_VALUE"""),445.54999999999995)</f>
        <v>445.55</v>
      </c>
      <c r="BI1017" s="71">
        <f>IFERROR(__xludf.DUMMYFUNCTION("""COMPUTED_VALUE"""),71.288)</f>
        <v>71.288</v>
      </c>
      <c r="BJ1017" s="71">
        <f>IFERROR(__xludf.DUMMYFUNCTION("""COMPUTED_VALUE"""),516.838)</f>
        <v>516.838</v>
      </c>
      <c r="BK1017" s="71">
        <f>IFERROR(__xludf.DUMMYFUNCTION("""COMPUTED_VALUE"""),422.1)</f>
        <v>422.1</v>
      </c>
      <c r="BL1017" s="71">
        <f>IFERROR(__xludf.DUMMYFUNCTION("""COMPUTED_VALUE"""),67.536)</f>
        <v>67.536</v>
      </c>
      <c r="BM1017" s="71">
        <f>IFERROR(__xludf.DUMMYFUNCTION("""COMPUTED_VALUE"""),489.636)</f>
        <v>489.636</v>
      </c>
      <c r="BN1017" s="71">
        <f>IFERROR(__xludf.DUMMYFUNCTION("""COMPUTED_VALUE"""),398.65)</f>
        <v>398.65</v>
      </c>
      <c r="BO1017" s="71">
        <f>IFERROR(__xludf.DUMMYFUNCTION("""COMPUTED_VALUE"""),63.784)</f>
        <v>63.784</v>
      </c>
      <c r="BP1017" s="71">
        <f>IFERROR(__xludf.DUMMYFUNCTION("""COMPUTED_VALUE"""),462.43399999999997)</f>
        <v>462.434</v>
      </c>
      <c r="BQ1017" s="71">
        <f>IFERROR(__xludf.DUMMYFUNCTION("""COMPUTED_VALUE"""),389.27)</f>
        <v>389.27</v>
      </c>
      <c r="BR1017" s="71">
        <f>IFERROR(__xludf.DUMMYFUNCTION("""COMPUTED_VALUE"""),62.2832)</f>
        <v>62.2832</v>
      </c>
      <c r="BS1017" s="71">
        <f>IFERROR(__xludf.DUMMYFUNCTION("""COMPUTED_VALUE"""),451.5532)</f>
        <v>451.5532</v>
      </c>
      <c r="BT1017" s="71">
        <f>IFERROR(__xludf.DUMMYFUNCTION("""COMPUTED_VALUE"""),375.20000000000005)</f>
        <v>375.2</v>
      </c>
      <c r="BU1017" s="71">
        <f>IFERROR(__xludf.DUMMYFUNCTION("""COMPUTED_VALUE"""),60.03200000000001)</f>
        <v>60.032</v>
      </c>
      <c r="BV1017" s="71">
        <f>IFERROR(__xludf.DUMMYFUNCTION("""COMPUTED_VALUE"""),435.2320000000001)</f>
        <v>435.232</v>
      </c>
    </row>
    <row r="1018">
      <c r="A1018" s="53"/>
      <c r="B1018" s="53">
        <v>3.0</v>
      </c>
      <c r="C1018" s="53" t="s">
        <v>36</v>
      </c>
      <c r="D1018" s="74" t="s">
        <v>2465</v>
      </c>
      <c r="E1018" s="54" t="s">
        <v>38</v>
      </c>
      <c r="F1018" s="55" t="s">
        <v>61</v>
      </c>
      <c r="G1018" s="81" t="s">
        <v>2466</v>
      </c>
      <c r="H1018" s="55"/>
      <c r="I1018" s="54">
        <f t="shared" si="24"/>
        <v>0</v>
      </c>
      <c r="J1018" s="56"/>
      <c r="K1018" s="57"/>
      <c r="L1018" s="76"/>
      <c r="M1018" s="59"/>
      <c r="N1018" s="60"/>
      <c r="O1018" s="61">
        <v>5765.0</v>
      </c>
      <c r="P1018" s="62">
        <v>6226.200000000001</v>
      </c>
      <c r="Q1018" s="63">
        <v>6226.200000000001</v>
      </c>
      <c r="R1018" s="64">
        <v>6864.0</v>
      </c>
      <c r="S1018" s="107">
        <v>7207.0</v>
      </c>
      <c r="T1018" s="65">
        <f t="shared" si="34"/>
        <v>1153.12</v>
      </c>
      <c r="U1018" s="65">
        <f t="shared" si="35"/>
        <v>8360.12</v>
      </c>
      <c r="V1018" s="66">
        <f t="shared" si="36"/>
        <v>0.04997086247</v>
      </c>
      <c r="W1018" s="67">
        <f t="shared" si="5"/>
        <v>6846.65</v>
      </c>
      <c r="X1018" s="67">
        <f t="shared" si="6"/>
        <v>1095.464</v>
      </c>
      <c r="Y1018" s="67">
        <f t="shared" si="7"/>
        <v>7942.114</v>
      </c>
      <c r="Z1018" s="67">
        <f t="shared" si="8"/>
        <v>6486.3</v>
      </c>
      <c r="AA1018" s="67">
        <f t="shared" si="9"/>
        <v>1037.808</v>
      </c>
      <c r="AB1018" s="67">
        <f t="shared" si="10"/>
        <v>7524.108</v>
      </c>
      <c r="AC1018" s="67">
        <f t="shared" si="11"/>
        <v>6486.3</v>
      </c>
      <c r="AD1018" s="67">
        <f t="shared" si="12"/>
        <v>1037.808</v>
      </c>
      <c r="AE1018" s="67">
        <f t="shared" si="13"/>
        <v>7524.108</v>
      </c>
      <c r="AF1018" s="67">
        <f t="shared" si="33"/>
        <v>6486.3</v>
      </c>
      <c r="AG1018" s="67">
        <f t="shared" si="15"/>
        <v>1037.808</v>
      </c>
      <c r="AH1018" s="67">
        <f t="shared" si="16"/>
        <v>7524.108</v>
      </c>
      <c r="AI1018" s="67">
        <f t="shared" si="17"/>
        <v>6486.3</v>
      </c>
      <c r="AJ1018" s="68">
        <f t="shared" si="31"/>
        <v>1037.808</v>
      </c>
      <c r="AK1018" s="68">
        <f t="shared" si="32"/>
        <v>7524.108</v>
      </c>
      <c r="AL1018" s="70">
        <f>IFERROR(__xludf.DUMMYFUNCTION("""COMPUTED_VALUE"""),1.0)</f>
        <v>1</v>
      </c>
      <c r="AM1018" s="70"/>
      <c r="AN1018" s="71" t="str">
        <f>IFERROR(__xludf.DUMMYFUNCTION("""COMPUTED_VALUE""")," P")</f>
        <v>P</v>
      </c>
      <c r="AO1018" s="71" t="str">
        <f>IFERROR(__xludf.DUMMYFUNCTION("""COMPUTED_VALUE""")," PO15")</f>
        <v>PO15</v>
      </c>
      <c r="AP1018" s="71" t="str">
        <f>IFERROR(__xludf.DUMMYFUNCTION("""COMPUTED_VALUE""")," PZA")</f>
        <v>PZA</v>
      </c>
      <c r="AQ1018" s="71" t="str">
        <f>IFERROR(__xludf.DUMMYFUNCTION("""COMPUTED_VALUE""")," REF")</f>
        <v>REF</v>
      </c>
      <c r="AR1018" s="71" t="str">
        <f>IFERROR(__xludf.DUMMYFUNCTION("""COMPUTED_VALUE""")," POLEA 5-1/2"" 2RB E7/8 C1/4")</f>
        <v>POLEA 5-1/2" 2RB E7/8 C1/4</v>
      </c>
      <c r="AS1018" s="71" t="str">
        <f>IFERROR(__xludf.DUMMYFUNCTION("""COMPUTED_VALUE""")," POLEA 5-1/2"" 2RB E7/8 C1/4")</f>
        <v>POLEA 5-1/2" 2RB E7/8 C1/4</v>
      </c>
      <c r="AT1018" s="71">
        <f>IFERROR(__xludf.DUMMYFUNCTION("""COMPUTED_VALUE"""),26.0)</f>
        <v>26</v>
      </c>
      <c r="AU1018" s="71"/>
      <c r="AV1018" s="71"/>
      <c r="AW1018" s="71"/>
      <c r="AX1018" s="71"/>
      <c r="AY1018" s="71">
        <f>IFERROR(__xludf.DUMMYFUNCTION("""COMPUTED_VALUE"""),332.0)</f>
        <v>332</v>
      </c>
      <c r="AZ1018" s="71">
        <f>IFERROR(__xludf.DUMMYFUNCTION("""COMPUTED_VALUE"""),358.0)</f>
        <v>358</v>
      </c>
      <c r="BA1018" s="71">
        <f>IFERROR(__xludf.DUMMYFUNCTION("""COMPUTED_VALUE"""),386.64000000000004)</f>
        <v>386.64</v>
      </c>
      <c r="BB1018" s="71">
        <f>IFERROR(__xludf.DUMMYFUNCTION("""COMPUTED_VALUE"""),386.64000000000004)</f>
        <v>386.64</v>
      </c>
      <c r="BC1018" s="71">
        <f>IFERROR(__xludf.DUMMYFUNCTION("""COMPUTED_VALUE"""),443.0)</f>
        <v>443</v>
      </c>
      <c r="BD1018" s="71">
        <f>IFERROR(__xludf.DUMMYFUNCTION("""COMPUTED_VALUE"""),465.0)</f>
        <v>465</v>
      </c>
      <c r="BE1018" s="71">
        <f>IFERROR(__xludf.DUMMYFUNCTION("""COMPUTED_VALUE"""),74.4)</f>
        <v>74.4</v>
      </c>
      <c r="BF1018" s="71">
        <f>IFERROR(__xludf.DUMMYFUNCTION("""COMPUTED_VALUE"""),539.4)</f>
        <v>539.4</v>
      </c>
      <c r="BG1018" s="71">
        <f>IFERROR(__xludf.DUMMYFUNCTION("""COMPUTED_VALUE"""),0.04966139954853273)</f>
        <v>0.04966139955</v>
      </c>
      <c r="BH1018" s="71">
        <f>IFERROR(__xludf.DUMMYFUNCTION("""COMPUTED_VALUE"""),441.75)</f>
        <v>441.75</v>
      </c>
      <c r="BI1018" s="71">
        <f>IFERROR(__xludf.DUMMYFUNCTION("""COMPUTED_VALUE"""),70.68)</f>
        <v>70.68</v>
      </c>
      <c r="BJ1018" s="71">
        <f>IFERROR(__xludf.DUMMYFUNCTION("""COMPUTED_VALUE"""),512.4300000000001)</f>
        <v>512.43</v>
      </c>
      <c r="BK1018" s="71">
        <f>IFERROR(__xludf.DUMMYFUNCTION("""COMPUTED_VALUE"""),418.5)</f>
        <v>418.5</v>
      </c>
      <c r="BL1018" s="71">
        <f>IFERROR(__xludf.DUMMYFUNCTION("""COMPUTED_VALUE"""),66.96000000000001)</f>
        <v>66.96</v>
      </c>
      <c r="BM1018" s="71">
        <f>IFERROR(__xludf.DUMMYFUNCTION("""COMPUTED_VALUE"""),485.46000000000004)</f>
        <v>485.46</v>
      </c>
      <c r="BN1018" s="71">
        <f>IFERROR(__xludf.DUMMYFUNCTION("""COMPUTED_VALUE"""),395.25)</f>
        <v>395.25</v>
      </c>
      <c r="BO1018" s="71">
        <f>IFERROR(__xludf.DUMMYFUNCTION("""COMPUTED_VALUE"""),63.24)</f>
        <v>63.24</v>
      </c>
      <c r="BP1018" s="71">
        <f>IFERROR(__xludf.DUMMYFUNCTION("""COMPUTED_VALUE"""),458.49)</f>
        <v>458.49</v>
      </c>
      <c r="BQ1018" s="71">
        <f>IFERROR(__xludf.DUMMYFUNCTION("""COMPUTED_VALUE"""),385.95)</f>
        <v>385.95</v>
      </c>
      <c r="BR1018" s="71">
        <f>IFERROR(__xludf.DUMMYFUNCTION("""COMPUTED_VALUE"""),61.752)</f>
        <v>61.752</v>
      </c>
      <c r="BS1018" s="71">
        <f>IFERROR(__xludf.DUMMYFUNCTION("""COMPUTED_VALUE"""),447.702)</f>
        <v>447.702</v>
      </c>
      <c r="BT1018" s="71">
        <f>IFERROR(__xludf.DUMMYFUNCTION("""COMPUTED_VALUE"""),372.0)</f>
        <v>372</v>
      </c>
      <c r="BU1018" s="71">
        <f>IFERROR(__xludf.DUMMYFUNCTION("""COMPUTED_VALUE"""),59.52)</f>
        <v>59.52</v>
      </c>
      <c r="BV1018" s="71">
        <f>IFERROR(__xludf.DUMMYFUNCTION("""COMPUTED_VALUE"""),431.52)</f>
        <v>431.52</v>
      </c>
    </row>
    <row r="1019">
      <c r="A1019" s="53"/>
      <c r="B1019" s="53">
        <v>3.0</v>
      </c>
      <c r="C1019" s="53" t="s">
        <v>36</v>
      </c>
      <c r="D1019" s="74" t="s">
        <v>2467</v>
      </c>
      <c r="E1019" s="54" t="s">
        <v>38</v>
      </c>
      <c r="F1019" s="55" t="s">
        <v>61</v>
      </c>
      <c r="G1019" s="81" t="s">
        <v>2468</v>
      </c>
      <c r="H1019" s="55"/>
      <c r="I1019" s="54">
        <f t="shared" si="24"/>
        <v>0</v>
      </c>
      <c r="J1019" s="56"/>
      <c r="K1019" s="57"/>
      <c r="L1019" s="76"/>
      <c r="M1019" s="59"/>
      <c r="N1019" s="60"/>
      <c r="O1019" s="61">
        <v>5357.0</v>
      </c>
      <c r="P1019" s="62">
        <v>5785.56</v>
      </c>
      <c r="Q1019" s="63">
        <v>5785.56</v>
      </c>
      <c r="R1019" s="64">
        <v>6379.0</v>
      </c>
      <c r="S1019" s="107">
        <v>6698.0</v>
      </c>
      <c r="T1019" s="65">
        <f t="shared" si="34"/>
        <v>1071.68</v>
      </c>
      <c r="U1019" s="65">
        <f t="shared" si="35"/>
        <v>7769.68</v>
      </c>
      <c r="V1019" s="66">
        <f t="shared" si="36"/>
        <v>0.05000783822</v>
      </c>
      <c r="W1019" s="67">
        <f t="shared" si="5"/>
        <v>6363.1</v>
      </c>
      <c r="X1019" s="67">
        <f t="shared" si="6"/>
        <v>1018.096</v>
      </c>
      <c r="Y1019" s="67">
        <f t="shared" si="7"/>
        <v>7381.196</v>
      </c>
      <c r="Z1019" s="67">
        <f t="shared" si="8"/>
        <v>6028.2</v>
      </c>
      <c r="AA1019" s="67">
        <f t="shared" si="9"/>
        <v>964.512</v>
      </c>
      <c r="AB1019" s="67">
        <f t="shared" si="10"/>
        <v>6992.712</v>
      </c>
      <c r="AC1019" s="67">
        <f t="shared" si="11"/>
        <v>6028.2</v>
      </c>
      <c r="AD1019" s="67">
        <f t="shared" si="12"/>
        <v>964.512</v>
      </c>
      <c r="AE1019" s="67">
        <f t="shared" si="13"/>
        <v>6992.712</v>
      </c>
      <c r="AF1019" s="67">
        <f t="shared" si="33"/>
        <v>6028.2</v>
      </c>
      <c r="AG1019" s="67">
        <f t="shared" si="15"/>
        <v>964.512</v>
      </c>
      <c r="AH1019" s="67">
        <f t="shared" si="16"/>
        <v>6992.712</v>
      </c>
      <c r="AI1019" s="67">
        <f t="shared" si="17"/>
        <v>6028.2</v>
      </c>
      <c r="AJ1019" s="68">
        <f t="shared" si="31"/>
        <v>964.512</v>
      </c>
      <c r="AK1019" s="68">
        <f t="shared" si="32"/>
        <v>6992.712</v>
      </c>
      <c r="AL1019" s="70">
        <f>IFERROR(__xludf.DUMMYFUNCTION("""COMPUTED_VALUE"""),1.0)</f>
        <v>1</v>
      </c>
      <c r="AM1019" s="70"/>
      <c r="AN1019" s="71" t="str">
        <f>IFERROR(__xludf.DUMMYFUNCTION("""COMPUTED_VALUE""")," P")</f>
        <v>P</v>
      </c>
      <c r="AO1019" s="71" t="str">
        <f>IFERROR(__xludf.DUMMYFUNCTION("""COMPUTED_VALUE""")," PO14")</f>
        <v>PO14</v>
      </c>
      <c r="AP1019" s="71" t="str">
        <f>IFERROR(__xludf.DUMMYFUNCTION("""COMPUTED_VALUE""")," PZA")</f>
        <v>PZA</v>
      </c>
      <c r="AQ1019" s="71" t="str">
        <f>IFERROR(__xludf.DUMMYFUNCTION("""COMPUTED_VALUE""")," REF")</f>
        <v>REF</v>
      </c>
      <c r="AR1019" s="71" t="str">
        <f>IFERROR(__xludf.DUMMYFUNCTION("""COMPUTED_VALUE""")," POLEA 5"" 2RB E7/8 C1/4")</f>
        <v>POLEA 5" 2RB E7/8 C1/4</v>
      </c>
      <c r="AS1019" s="71" t="str">
        <f>IFERROR(__xludf.DUMMYFUNCTION("""COMPUTED_VALUE""")," POLEA 5"" 2RB E7/8 C1/4")</f>
        <v>POLEA 5" 2RB E7/8 C1/4</v>
      </c>
      <c r="AT1019" s="71">
        <f>IFERROR(__xludf.DUMMYFUNCTION("""COMPUTED_VALUE"""),22.0)</f>
        <v>22</v>
      </c>
      <c r="AU1019" s="71"/>
      <c r="AV1019" s="71"/>
      <c r="AW1019" s="71"/>
      <c r="AX1019" s="71"/>
      <c r="AY1019" s="71">
        <f>IFERROR(__xludf.DUMMYFUNCTION("""COMPUTED_VALUE"""),299.0)</f>
        <v>299</v>
      </c>
      <c r="AZ1019" s="71">
        <f>IFERROR(__xludf.DUMMYFUNCTION("""COMPUTED_VALUE"""),322.0)</f>
        <v>322</v>
      </c>
      <c r="BA1019" s="71">
        <f>IFERROR(__xludf.DUMMYFUNCTION("""COMPUTED_VALUE"""),347.76000000000005)</f>
        <v>347.76</v>
      </c>
      <c r="BB1019" s="71">
        <f>IFERROR(__xludf.DUMMYFUNCTION("""COMPUTED_VALUE"""),347.76000000000005)</f>
        <v>347.76</v>
      </c>
      <c r="BC1019" s="71">
        <f>IFERROR(__xludf.DUMMYFUNCTION("""COMPUTED_VALUE"""),399.0)</f>
        <v>399</v>
      </c>
      <c r="BD1019" s="71">
        <f>IFERROR(__xludf.DUMMYFUNCTION("""COMPUTED_VALUE"""),419.0)</f>
        <v>419</v>
      </c>
      <c r="BE1019" s="71">
        <f>IFERROR(__xludf.DUMMYFUNCTION("""COMPUTED_VALUE"""),67.04)</f>
        <v>67.04</v>
      </c>
      <c r="BF1019" s="71">
        <f>IFERROR(__xludf.DUMMYFUNCTION("""COMPUTED_VALUE"""),486.04)</f>
        <v>486.04</v>
      </c>
      <c r="BG1019" s="71">
        <f>IFERROR(__xludf.DUMMYFUNCTION("""COMPUTED_VALUE"""),0.05012531328320802)</f>
        <v>0.05012531328</v>
      </c>
      <c r="BH1019" s="71">
        <f>IFERROR(__xludf.DUMMYFUNCTION("""COMPUTED_VALUE"""),398.04999999999995)</f>
        <v>398.05</v>
      </c>
      <c r="BI1019" s="71">
        <f>IFERROR(__xludf.DUMMYFUNCTION("""COMPUTED_VALUE"""),63.687999999999995)</f>
        <v>63.688</v>
      </c>
      <c r="BJ1019" s="71">
        <f>IFERROR(__xludf.DUMMYFUNCTION("""COMPUTED_VALUE"""),461.73799999999994)</f>
        <v>461.738</v>
      </c>
      <c r="BK1019" s="71">
        <f>IFERROR(__xludf.DUMMYFUNCTION("""COMPUTED_VALUE"""),377.1)</f>
        <v>377.1</v>
      </c>
      <c r="BL1019" s="71">
        <f>IFERROR(__xludf.DUMMYFUNCTION("""COMPUTED_VALUE"""),60.336000000000006)</f>
        <v>60.336</v>
      </c>
      <c r="BM1019" s="71">
        <f>IFERROR(__xludf.DUMMYFUNCTION("""COMPUTED_VALUE"""),437.43600000000004)</f>
        <v>437.436</v>
      </c>
      <c r="BN1019" s="71">
        <f>IFERROR(__xludf.DUMMYFUNCTION("""COMPUTED_VALUE"""),356.15)</f>
        <v>356.15</v>
      </c>
      <c r="BO1019" s="71">
        <f>IFERROR(__xludf.DUMMYFUNCTION("""COMPUTED_VALUE"""),56.983999999999995)</f>
        <v>56.984</v>
      </c>
      <c r="BP1019" s="71">
        <f>IFERROR(__xludf.DUMMYFUNCTION("""COMPUTED_VALUE"""),413.13399999999996)</f>
        <v>413.134</v>
      </c>
      <c r="BQ1019" s="71">
        <f>IFERROR(__xludf.DUMMYFUNCTION("""COMPUTED_VALUE"""),347.77)</f>
        <v>347.77</v>
      </c>
      <c r="BR1019" s="71">
        <f>IFERROR(__xludf.DUMMYFUNCTION("""COMPUTED_VALUE"""),55.6432)</f>
        <v>55.6432</v>
      </c>
      <c r="BS1019" s="71">
        <f>IFERROR(__xludf.DUMMYFUNCTION("""COMPUTED_VALUE"""),403.41319999999996)</f>
        <v>403.4132</v>
      </c>
      <c r="BT1019" s="71">
        <f>IFERROR(__xludf.DUMMYFUNCTION("""COMPUTED_VALUE"""),335.20000000000005)</f>
        <v>335.2</v>
      </c>
      <c r="BU1019" s="71">
        <f>IFERROR(__xludf.DUMMYFUNCTION("""COMPUTED_VALUE"""),53.632000000000005)</f>
        <v>53.632</v>
      </c>
      <c r="BV1019" s="71">
        <f>IFERROR(__xludf.DUMMYFUNCTION("""COMPUTED_VALUE"""),388.83200000000005)</f>
        <v>388.832</v>
      </c>
    </row>
    <row r="1020">
      <c r="A1020" s="53"/>
      <c r="B1020" s="53">
        <v>3.0</v>
      </c>
      <c r="C1020" s="53" t="s">
        <v>36</v>
      </c>
      <c r="D1020" s="74" t="s">
        <v>2469</v>
      </c>
      <c r="E1020" s="54" t="s">
        <v>38</v>
      </c>
      <c r="F1020" s="55" t="s">
        <v>61</v>
      </c>
      <c r="G1020" s="81" t="s">
        <v>2470</v>
      </c>
      <c r="H1020" s="55"/>
      <c r="I1020" s="54">
        <f t="shared" si="24"/>
        <v>0</v>
      </c>
      <c r="J1020" s="56"/>
      <c r="K1020" s="57"/>
      <c r="L1020" s="76"/>
      <c r="M1020" s="59"/>
      <c r="N1020" s="60"/>
      <c r="O1020" s="61">
        <v>5560.0</v>
      </c>
      <c r="P1020" s="62">
        <v>6004.8</v>
      </c>
      <c r="Q1020" s="63">
        <v>6004.8</v>
      </c>
      <c r="R1020" s="64">
        <v>6621.0</v>
      </c>
      <c r="S1020" s="107">
        <v>6952.0</v>
      </c>
      <c r="T1020" s="65">
        <f t="shared" si="34"/>
        <v>1112.32</v>
      </c>
      <c r="U1020" s="65">
        <f t="shared" si="35"/>
        <v>8064.32</v>
      </c>
      <c r="V1020" s="66">
        <f t="shared" si="36"/>
        <v>0.04999244827</v>
      </c>
      <c r="W1020" s="67">
        <f t="shared" si="5"/>
        <v>6604.4</v>
      </c>
      <c r="X1020" s="67">
        <f t="shared" si="6"/>
        <v>1056.704</v>
      </c>
      <c r="Y1020" s="67">
        <f t="shared" si="7"/>
        <v>7661.104</v>
      </c>
      <c r="Z1020" s="67">
        <f t="shared" si="8"/>
        <v>6256.8</v>
      </c>
      <c r="AA1020" s="67">
        <f t="shared" si="9"/>
        <v>1001.088</v>
      </c>
      <c r="AB1020" s="67">
        <f t="shared" si="10"/>
        <v>7257.888</v>
      </c>
      <c r="AC1020" s="67">
        <f t="shared" si="11"/>
        <v>6256.8</v>
      </c>
      <c r="AD1020" s="67">
        <f t="shared" si="12"/>
        <v>1001.088</v>
      </c>
      <c r="AE1020" s="67">
        <f t="shared" si="13"/>
        <v>7257.888</v>
      </c>
      <c r="AF1020" s="67">
        <f t="shared" si="33"/>
        <v>6256.8</v>
      </c>
      <c r="AG1020" s="67">
        <f t="shared" si="15"/>
        <v>1001.088</v>
      </c>
      <c r="AH1020" s="67">
        <f t="shared" si="16"/>
        <v>7257.888</v>
      </c>
      <c r="AI1020" s="67">
        <f t="shared" si="17"/>
        <v>6256.8</v>
      </c>
      <c r="AJ1020" s="68">
        <f t="shared" si="31"/>
        <v>1001.088</v>
      </c>
      <c r="AK1020" s="68">
        <f t="shared" si="32"/>
        <v>7257.888</v>
      </c>
      <c r="AL1020" s="70">
        <f>IFERROR(__xludf.DUMMYFUNCTION("""COMPUTED_VALUE"""),1.0)</f>
        <v>1</v>
      </c>
      <c r="AM1020" s="70"/>
      <c r="AN1020" s="71" t="str">
        <f>IFERROR(__xludf.DUMMYFUNCTION("""COMPUTED_VALUE""")," P")</f>
        <v>P</v>
      </c>
      <c r="AO1020" s="71" t="str">
        <f>IFERROR(__xludf.DUMMYFUNCTION("""COMPUTED_VALUE""")," PO17")</f>
        <v>PO17</v>
      </c>
      <c r="AP1020" s="71" t="str">
        <f>IFERROR(__xludf.DUMMYFUNCTION("""COMPUTED_VALUE""")," PZA")</f>
        <v>PZA</v>
      </c>
      <c r="AQ1020" s="71" t="str">
        <f>IFERROR(__xludf.DUMMYFUNCTION("""COMPUTED_VALUE""")," REF")</f>
        <v>REF</v>
      </c>
      <c r="AR1020" s="71" t="str">
        <f>IFERROR(__xludf.DUMMYFUNCTION("""COMPUTED_VALUE""")," POLEA 6-1/2"" 2RB E7/8 C1/4")</f>
        <v>POLEA 6-1/2" 2RB E7/8 C1/4</v>
      </c>
      <c r="AS1020" s="71" t="str">
        <f>IFERROR(__xludf.DUMMYFUNCTION("""COMPUTED_VALUE""")," POLEA 6-1/2"" 2RB E7/8 C1/4")</f>
        <v>POLEA 6-1/2" 2RB E7/8 C1/4</v>
      </c>
      <c r="AT1020" s="71">
        <f>IFERROR(__xludf.DUMMYFUNCTION("""COMPUTED_VALUE"""),26.0)</f>
        <v>26</v>
      </c>
      <c r="AU1020" s="71"/>
      <c r="AV1020" s="71"/>
      <c r="AW1020" s="71"/>
      <c r="AX1020" s="71"/>
      <c r="AY1020" s="71">
        <f>IFERROR(__xludf.DUMMYFUNCTION("""COMPUTED_VALUE"""),421.0)</f>
        <v>421</v>
      </c>
      <c r="AZ1020" s="71">
        <f>IFERROR(__xludf.DUMMYFUNCTION("""COMPUTED_VALUE"""),454.0)</f>
        <v>454</v>
      </c>
      <c r="BA1020" s="71">
        <f>IFERROR(__xludf.DUMMYFUNCTION("""COMPUTED_VALUE"""),490.32000000000005)</f>
        <v>490.32</v>
      </c>
      <c r="BB1020" s="71">
        <f>IFERROR(__xludf.DUMMYFUNCTION("""COMPUTED_VALUE"""),490.32000000000005)</f>
        <v>490.32</v>
      </c>
      <c r="BC1020" s="71">
        <f>IFERROR(__xludf.DUMMYFUNCTION("""COMPUTED_VALUE"""),562.0)</f>
        <v>562</v>
      </c>
      <c r="BD1020" s="71">
        <f>IFERROR(__xludf.DUMMYFUNCTION("""COMPUTED_VALUE"""),590.0)</f>
        <v>590</v>
      </c>
      <c r="BE1020" s="71">
        <f>IFERROR(__xludf.DUMMYFUNCTION("""COMPUTED_VALUE"""),94.4)</f>
        <v>94.4</v>
      </c>
      <c r="BF1020" s="71">
        <f>IFERROR(__xludf.DUMMYFUNCTION("""COMPUTED_VALUE"""),684.4)</f>
        <v>684.4</v>
      </c>
      <c r="BG1020" s="71">
        <f>IFERROR(__xludf.DUMMYFUNCTION("""COMPUTED_VALUE"""),0.0498220640569395)</f>
        <v>0.04982206406</v>
      </c>
      <c r="BH1020" s="71">
        <f>IFERROR(__xludf.DUMMYFUNCTION("""COMPUTED_VALUE"""),560.5)</f>
        <v>560.5</v>
      </c>
      <c r="BI1020" s="71">
        <f>IFERROR(__xludf.DUMMYFUNCTION("""COMPUTED_VALUE"""),89.68)</f>
        <v>89.68</v>
      </c>
      <c r="BJ1020" s="71">
        <f>IFERROR(__xludf.DUMMYFUNCTION("""COMPUTED_VALUE"""),650.1800000000001)</f>
        <v>650.18</v>
      </c>
      <c r="BK1020" s="71">
        <f>IFERROR(__xludf.DUMMYFUNCTION("""COMPUTED_VALUE"""),531.0)</f>
        <v>531</v>
      </c>
      <c r="BL1020" s="71">
        <f>IFERROR(__xludf.DUMMYFUNCTION("""COMPUTED_VALUE"""),84.96000000000001)</f>
        <v>84.96</v>
      </c>
      <c r="BM1020" s="71">
        <f>IFERROR(__xludf.DUMMYFUNCTION("""COMPUTED_VALUE"""),615.96)</f>
        <v>615.96</v>
      </c>
      <c r="BN1020" s="71">
        <f>IFERROR(__xludf.DUMMYFUNCTION("""COMPUTED_VALUE"""),501.5)</f>
        <v>501.5</v>
      </c>
      <c r="BO1020" s="71">
        <f>IFERROR(__xludf.DUMMYFUNCTION("""COMPUTED_VALUE"""),80.24)</f>
        <v>80.24</v>
      </c>
      <c r="BP1020" s="71">
        <f>IFERROR(__xludf.DUMMYFUNCTION("""COMPUTED_VALUE"""),581.74)</f>
        <v>581.74</v>
      </c>
      <c r="BQ1020" s="71">
        <f>IFERROR(__xludf.DUMMYFUNCTION("""COMPUTED_VALUE"""),489.7)</f>
        <v>489.7</v>
      </c>
      <c r="BR1020" s="71">
        <f>IFERROR(__xludf.DUMMYFUNCTION("""COMPUTED_VALUE"""),78.352)</f>
        <v>78.352</v>
      </c>
      <c r="BS1020" s="71">
        <f>IFERROR(__xludf.DUMMYFUNCTION("""COMPUTED_VALUE"""),568.052)</f>
        <v>568.052</v>
      </c>
      <c r="BT1020" s="71">
        <f>IFERROR(__xludf.DUMMYFUNCTION("""COMPUTED_VALUE"""),472.0)</f>
        <v>472</v>
      </c>
      <c r="BU1020" s="71">
        <f>IFERROR(__xludf.DUMMYFUNCTION("""COMPUTED_VALUE"""),75.52)</f>
        <v>75.52</v>
      </c>
      <c r="BV1020" s="71">
        <f>IFERROR(__xludf.DUMMYFUNCTION("""COMPUTED_VALUE"""),547.52)</f>
        <v>547.52</v>
      </c>
    </row>
    <row r="1021">
      <c r="A1021" s="53"/>
      <c r="B1021" s="53"/>
      <c r="C1021" s="73" t="s">
        <v>12</v>
      </c>
      <c r="D1021" s="53" t="s">
        <v>2471</v>
      </c>
      <c r="E1021" s="54" t="s">
        <v>38</v>
      </c>
      <c r="F1021" s="54" t="s">
        <v>42</v>
      </c>
      <c r="G1021" s="55" t="s">
        <v>2472</v>
      </c>
      <c r="H1021" s="55" t="s">
        <v>2472</v>
      </c>
      <c r="I1021" s="54">
        <f t="shared" si="24"/>
        <v>32</v>
      </c>
      <c r="J1021" s="56"/>
      <c r="K1021" s="75"/>
      <c r="L1021" s="76"/>
      <c r="M1021" s="59"/>
      <c r="N1021" s="60"/>
      <c r="O1021" s="90"/>
      <c r="P1021" s="62">
        <v>1546.86</v>
      </c>
      <c r="Q1021" s="63">
        <v>1546.86</v>
      </c>
      <c r="R1021" s="64">
        <v>1625.0</v>
      </c>
      <c r="S1021" s="111">
        <v>1706.0</v>
      </c>
      <c r="T1021" s="65">
        <f t="shared" si="34"/>
        <v>272.96</v>
      </c>
      <c r="U1021" s="65">
        <f t="shared" si="35"/>
        <v>1978.96</v>
      </c>
      <c r="V1021" s="66">
        <f t="shared" si="36"/>
        <v>0.04984615385</v>
      </c>
      <c r="W1021" s="67">
        <f t="shared" si="5"/>
        <v>1620.7</v>
      </c>
      <c r="X1021" s="67">
        <f t="shared" si="6"/>
        <v>259.312</v>
      </c>
      <c r="Y1021" s="67">
        <f t="shared" si="7"/>
        <v>1880.012</v>
      </c>
      <c r="Z1021" s="67">
        <f t="shared" si="8"/>
        <v>1535.4</v>
      </c>
      <c r="AA1021" s="67">
        <f t="shared" si="9"/>
        <v>245.664</v>
      </c>
      <c r="AB1021" s="67">
        <f t="shared" si="10"/>
        <v>1781.064</v>
      </c>
      <c r="AC1021" s="67">
        <f t="shared" si="11"/>
        <v>1450.1</v>
      </c>
      <c r="AD1021" s="67">
        <f t="shared" si="12"/>
        <v>232.016</v>
      </c>
      <c r="AE1021" s="67">
        <f t="shared" si="13"/>
        <v>1682.116</v>
      </c>
      <c r="AF1021" s="67">
        <f t="shared" si="33"/>
        <v>1415.98</v>
      </c>
      <c r="AG1021" s="67">
        <f t="shared" si="15"/>
        <v>226.5568</v>
      </c>
      <c r="AH1021" s="67">
        <f t="shared" si="16"/>
        <v>1642.5368</v>
      </c>
      <c r="AI1021" s="67">
        <f t="shared" si="17"/>
        <v>1364.8</v>
      </c>
      <c r="AJ1021" s="68">
        <f t="shared" si="31"/>
        <v>218.368</v>
      </c>
      <c r="AK1021" s="68">
        <f t="shared" si="32"/>
        <v>1583.168</v>
      </c>
      <c r="AL1021" s="70">
        <f>IFERROR(__xludf.DUMMYFUNCTION("""COMPUTED_VALUE"""),1.0)</f>
        <v>1</v>
      </c>
      <c r="AM1021" s="70"/>
      <c r="AN1021" s="71" t="str">
        <f>IFERROR(__xludf.DUMMYFUNCTION("""COMPUTED_VALUE""")," P")</f>
        <v>P</v>
      </c>
      <c r="AO1021" s="71" t="str">
        <f>IFERROR(__xludf.DUMMYFUNCTION("""COMPUTED_VALUE""")," PO16")</f>
        <v>PO16</v>
      </c>
      <c r="AP1021" s="71" t="str">
        <f>IFERROR(__xludf.DUMMYFUNCTION("""COMPUTED_VALUE""")," PZA")</f>
        <v>PZA</v>
      </c>
      <c r="AQ1021" s="71" t="str">
        <f>IFERROR(__xludf.DUMMYFUNCTION("""COMPUTED_VALUE""")," REF")</f>
        <v>REF</v>
      </c>
      <c r="AR1021" s="71" t="str">
        <f>IFERROR(__xludf.DUMMYFUNCTION("""COMPUTED_VALUE""")," POLEA 6"" 2RB E7/8 C1/4")</f>
        <v>POLEA 6" 2RB E7/8 C1/4</v>
      </c>
      <c r="AS1021" s="71" t="str">
        <f>IFERROR(__xludf.DUMMYFUNCTION("""COMPUTED_VALUE""")," POLEA 6"" 2RB E7/8 C1/4")</f>
        <v>POLEA 6" 2RB E7/8 C1/4</v>
      </c>
      <c r="AT1021" s="71">
        <f>IFERROR(__xludf.DUMMYFUNCTION("""COMPUTED_VALUE"""),22.0)</f>
        <v>22</v>
      </c>
      <c r="AU1021" s="71"/>
      <c r="AV1021" s="71"/>
      <c r="AW1021" s="71"/>
      <c r="AX1021" s="71"/>
      <c r="AY1021" s="71">
        <f>IFERROR(__xludf.DUMMYFUNCTION("""COMPUTED_VALUE"""),351.0)</f>
        <v>351</v>
      </c>
      <c r="AZ1021" s="71">
        <f>IFERROR(__xludf.DUMMYFUNCTION("""COMPUTED_VALUE"""),379.0)</f>
        <v>379</v>
      </c>
      <c r="BA1021" s="71">
        <f>IFERROR(__xludf.DUMMYFUNCTION("""COMPUTED_VALUE"""),409.32000000000005)</f>
        <v>409.32</v>
      </c>
      <c r="BB1021" s="71">
        <f>IFERROR(__xludf.DUMMYFUNCTION("""COMPUTED_VALUE"""),409.32000000000005)</f>
        <v>409.32</v>
      </c>
      <c r="BC1021" s="71">
        <f>IFERROR(__xludf.DUMMYFUNCTION("""COMPUTED_VALUE"""),469.0)</f>
        <v>469</v>
      </c>
      <c r="BD1021" s="71">
        <f>IFERROR(__xludf.DUMMYFUNCTION("""COMPUTED_VALUE"""),492.0)</f>
        <v>492</v>
      </c>
      <c r="BE1021" s="71">
        <f>IFERROR(__xludf.DUMMYFUNCTION("""COMPUTED_VALUE"""),78.72)</f>
        <v>78.72</v>
      </c>
      <c r="BF1021" s="71">
        <f>IFERROR(__xludf.DUMMYFUNCTION("""COMPUTED_VALUE"""),570.72)</f>
        <v>570.72</v>
      </c>
      <c r="BG1021" s="71">
        <f>IFERROR(__xludf.DUMMYFUNCTION("""COMPUTED_VALUE"""),0.04904051172707889)</f>
        <v>0.04904051173</v>
      </c>
      <c r="BH1021" s="71">
        <f>IFERROR(__xludf.DUMMYFUNCTION("""COMPUTED_VALUE"""),467.4)</f>
        <v>467.4</v>
      </c>
      <c r="BI1021" s="71">
        <f>IFERROR(__xludf.DUMMYFUNCTION("""COMPUTED_VALUE"""),74.78399999999999)</f>
        <v>74.784</v>
      </c>
      <c r="BJ1021" s="71">
        <f>IFERROR(__xludf.DUMMYFUNCTION("""COMPUTED_VALUE"""),542.184)</f>
        <v>542.184</v>
      </c>
      <c r="BK1021" s="71">
        <f>IFERROR(__xludf.DUMMYFUNCTION("""COMPUTED_VALUE"""),442.8)</f>
        <v>442.8</v>
      </c>
      <c r="BL1021" s="71">
        <f>IFERROR(__xludf.DUMMYFUNCTION("""COMPUTED_VALUE"""),70.848)</f>
        <v>70.848</v>
      </c>
      <c r="BM1021" s="71">
        <f>IFERROR(__xludf.DUMMYFUNCTION("""COMPUTED_VALUE"""),513.648)</f>
        <v>513.648</v>
      </c>
      <c r="BN1021" s="71">
        <f>IFERROR(__xludf.DUMMYFUNCTION("""COMPUTED_VALUE"""),418.2)</f>
        <v>418.2</v>
      </c>
      <c r="BO1021" s="71">
        <f>IFERROR(__xludf.DUMMYFUNCTION("""COMPUTED_VALUE"""),66.912)</f>
        <v>66.912</v>
      </c>
      <c r="BP1021" s="71">
        <f>IFERROR(__xludf.DUMMYFUNCTION("""COMPUTED_VALUE"""),485.11199999999997)</f>
        <v>485.112</v>
      </c>
      <c r="BQ1021" s="71">
        <f>IFERROR(__xludf.DUMMYFUNCTION("""COMPUTED_VALUE"""),408.35999999999996)</f>
        <v>408.36</v>
      </c>
      <c r="BR1021" s="71">
        <f>IFERROR(__xludf.DUMMYFUNCTION("""COMPUTED_VALUE"""),65.3376)</f>
        <v>65.3376</v>
      </c>
      <c r="BS1021" s="71">
        <f>IFERROR(__xludf.DUMMYFUNCTION("""COMPUTED_VALUE"""),473.69759999999997)</f>
        <v>473.6976</v>
      </c>
      <c r="BT1021" s="71">
        <f>IFERROR(__xludf.DUMMYFUNCTION("""COMPUTED_VALUE"""),393.6)</f>
        <v>393.6</v>
      </c>
      <c r="BU1021" s="71">
        <f>IFERROR(__xludf.DUMMYFUNCTION("""COMPUTED_VALUE"""),62.976000000000006)</f>
        <v>62.976</v>
      </c>
      <c r="BV1021" s="71">
        <f>IFERROR(__xludf.DUMMYFUNCTION("""COMPUTED_VALUE"""),456.576)</f>
        <v>456.576</v>
      </c>
    </row>
    <row r="1022">
      <c r="A1022" s="53"/>
      <c r="B1022" s="53"/>
      <c r="C1022" s="53" t="s">
        <v>53</v>
      </c>
      <c r="D1022" s="53" t="s">
        <v>2473</v>
      </c>
      <c r="E1022" s="54" t="s">
        <v>38</v>
      </c>
      <c r="F1022" s="54" t="s">
        <v>42</v>
      </c>
      <c r="G1022" s="55" t="s">
        <v>2474</v>
      </c>
      <c r="H1022" s="54" t="s">
        <v>2474</v>
      </c>
      <c r="I1022" s="54">
        <f t="shared" si="24"/>
        <v>22</v>
      </c>
      <c r="J1022" s="56"/>
      <c r="K1022" s="75"/>
      <c r="L1022" s="76"/>
      <c r="M1022" s="59"/>
      <c r="N1022" s="79"/>
      <c r="O1022" s="61">
        <v>253.0</v>
      </c>
      <c r="P1022" s="63">
        <v>273.24</v>
      </c>
      <c r="Q1022" s="63">
        <v>273.24</v>
      </c>
      <c r="R1022" s="64">
        <v>287.0</v>
      </c>
      <c r="S1022" s="111">
        <v>301.0</v>
      </c>
      <c r="T1022" s="65">
        <f t="shared" si="34"/>
        <v>48.16</v>
      </c>
      <c r="U1022" s="65">
        <f t="shared" si="35"/>
        <v>349.16</v>
      </c>
      <c r="V1022" s="66">
        <f t="shared" si="36"/>
        <v>0.0487804878</v>
      </c>
      <c r="W1022" s="67">
        <f t="shared" si="5"/>
        <v>285.95</v>
      </c>
      <c r="X1022" s="67">
        <f t="shared" si="6"/>
        <v>45.752</v>
      </c>
      <c r="Y1022" s="67">
        <f t="shared" si="7"/>
        <v>331.702</v>
      </c>
      <c r="Z1022" s="67">
        <f t="shared" si="8"/>
        <v>270.9</v>
      </c>
      <c r="AA1022" s="67">
        <f t="shared" si="9"/>
        <v>43.344</v>
      </c>
      <c r="AB1022" s="67">
        <f t="shared" si="10"/>
        <v>314.244</v>
      </c>
      <c r="AC1022" s="67">
        <f t="shared" si="11"/>
        <v>255.85</v>
      </c>
      <c r="AD1022" s="67">
        <f t="shared" si="12"/>
        <v>40.936</v>
      </c>
      <c r="AE1022" s="67">
        <f t="shared" si="13"/>
        <v>296.786</v>
      </c>
      <c r="AF1022" s="67">
        <f t="shared" si="33"/>
        <v>249.83</v>
      </c>
      <c r="AG1022" s="67">
        <f t="shared" si="15"/>
        <v>39.9728</v>
      </c>
      <c r="AH1022" s="67">
        <f t="shared" si="16"/>
        <v>289.8028</v>
      </c>
      <c r="AI1022" s="67">
        <f t="shared" si="17"/>
        <v>240.8</v>
      </c>
      <c r="AJ1022" s="68">
        <f t="shared" si="31"/>
        <v>38.528</v>
      </c>
      <c r="AK1022" s="68">
        <f t="shared" si="32"/>
        <v>279.328</v>
      </c>
      <c r="AL1022" s="70">
        <f>IFERROR(__xludf.DUMMYFUNCTION("""COMPUTED_VALUE"""),1.0)</f>
        <v>1</v>
      </c>
      <c r="AM1022" s="70"/>
      <c r="AN1022" s="71" t="str">
        <f>IFERROR(__xludf.DUMMYFUNCTION("""COMPUTED_VALUE""")," P")</f>
        <v>P</v>
      </c>
      <c r="AO1022" s="71" t="str">
        <f>IFERROR(__xludf.DUMMYFUNCTION("""COMPUTED_VALUE""")," PO19")</f>
        <v>PO19</v>
      </c>
      <c r="AP1022" s="71" t="str">
        <f>IFERROR(__xludf.DUMMYFUNCTION("""COMPUTED_VALUE""")," PZA")</f>
        <v>PZA</v>
      </c>
      <c r="AQ1022" s="71" t="str">
        <f>IFERROR(__xludf.DUMMYFUNCTION("""COMPUTED_VALUE""")," REF")</f>
        <v>REF</v>
      </c>
      <c r="AR1022" s="71" t="str">
        <f>IFERROR(__xludf.DUMMYFUNCTION("""COMPUTED_VALUE""")," POLEA 7-1/2"" 2RB E7/8 C1/4")</f>
        <v>POLEA 7-1/2" 2RB E7/8 C1/4</v>
      </c>
      <c r="AS1022" s="71" t="str">
        <f>IFERROR(__xludf.DUMMYFUNCTION("""COMPUTED_VALUE""")," POLEA 7-1/2"" 2RB E7/8 C1/4")</f>
        <v>POLEA 7-1/2" 2RB E7/8 C1/4</v>
      </c>
      <c r="AT1022" s="71">
        <f>IFERROR(__xludf.DUMMYFUNCTION("""COMPUTED_VALUE"""),26.0)</f>
        <v>26</v>
      </c>
      <c r="AU1022" s="71"/>
      <c r="AV1022" s="71"/>
      <c r="AW1022" s="71"/>
      <c r="AX1022" s="71"/>
      <c r="AY1022" s="71">
        <f>IFERROR(__xludf.DUMMYFUNCTION("""COMPUTED_VALUE"""),440.0)</f>
        <v>440</v>
      </c>
      <c r="AZ1022" s="71">
        <f>IFERROR(__xludf.DUMMYFUNCTION("""COMPUTED_VALUE"""),475.0)</f>
        <v>475</v>
      </c>
      <c r="BA1022" s="71">
        <f>IFERROR(__xludf.DUMMYFUNCTION("""COMPUTED_VALUE"""),513.0)</f>
        <v>513</v>
      </c>
      <c r="BB1022" s="71">
        <f>IFERROR(__xludf.DUMMYFUNCTION("""COMPUTED_VALUE"""),513.0)</f>
        <v>513</v>
      </c>
      <c r="BC1022" s="71">
        <f>IFERROR(__xludf.DUMMYFUNCTION("""COMPUTED_VALUE"""),588.0)</f>
        <v>588</v>
      </c>
      <c r="BD1022" s="71">
        <f>IFERROR(__xludf.DUMMYFUNCTION("""COMPUTED_VALUE"""),617.0)</f>
        <v>617</v>
      </c>
      <c r="BE1022" s="71">
        <f>IFERROR(__xludf.DUMMYFUNCTION("""COMPUTED_VALUE"""),98.72)</f>
        <v>98.72</v>
      </c>
      <c r="BF1022" s="71">
        <f>IFERROR(__xludf.DUMMYFUNCTION("""COMPUTED_VALUE"""),715.72)</f>
        <v>715.72</v>
      </c>
      <c r="BG1022" s="71">
        <f>IFERROR(__xludf.DUMMYFUNCTION("""COMPUTED_VALUE"""),0.04931972789115646)</f>
        <v>0.04931972789</v>
      </c>
      <c r="BH1022" s="71">
        <f>IFERROR(__xludf.DUMMYFUNCTION("""COMPUTED_VALUE"""),586.15)</f>
        <v>586.15</v>
      </c>
      <c r="BI1022" s="71">
        <f>IFERROR(__xludf.DUMMYFUNCTION("""COMPUTED_VALUE"""),93.78399999999999)</f>
        <v>93.784</v>
      </c>
      <c r="BJ1022" s="71">
        <f>IFERROR(__xludf.DUMMYFUNCTION("""COMPUTED_VALUE"""),679.934)</f>
        <v>679.934</v>
      </c>
      <c r="BK1022" s="71">
        <f>IFERROR(__xludf.DUMMYFUNCTION("""COMPUTED_VALUE"""),555.3000000000001)</f>
        <v>555.3</v>
      </c>
      <c r="BL1022" s="71">
        <f>IFERROR(__xludf.DUMMYFUNCTION("""COMPUTED_VALUE"""),88.84800000000001)</f>
        <v>88.848</v>
      </c>
      <c r="BM1022" s="71">
        <f>IFERROR(__xludf.DUMMYFUNCTION("""COMPUTED_VALUE"""),644.1480000000001)</f>
        <v>644.148</v>
      </c>
      <c r="BN1022" s="71">
        <f>IFERROR(__xludf.DUMMYFUNCTION("""COMPUTED_VALUE"""),524.4499999999999)</f>
        <v>524.45</v>
      </c>
      <c r="BO1022" s="71">
        <f>IFERROR(__xludf.DUMMYFUNCTION("""COMPUTED_VALUE"""),83.91199999999999)</f>
        <v>83.912</v>
      </c>
      <c r="BP1022" s="71">
        <f>IFERROR(__xludf.DUMMYFUNCTION("""COMPUTED_VALUE"""),608.362)</f>
        <v>608.362</v>
      </c>
      <c r="BQ1022" s="71">
        <f>IFERROR(__xludf.DUMMYFUNCTION("""COMPUTED_VALUE"""),512.11)</f>
        <v>512.11</v>
      </c>
      <c r="BR1022" s="71">
        <f>IFERROR(__xludf.DUMMYFUNCTION("""COMPUTED_VALUE"""),81.9376)</f>
        <v>81.9376</v>
      </c>
      <c r="BS1022" s="71">
        <f>IFERROR(__xludf.DUMMYFUNCTION("""COMPUTED_VALUE"""),594.0476)</f>
        <v>594.0476</v>
      </c>
      <c r="BT1022" s="71">
        <f>IFERROR(__xludf.DUMMYFUNCTION("""COMPUTED_VALUE"""),493.6)</f>
        <v>493.6</v>
      </c>
      <c r="BU1022" s="71">
        <f>IFERROR(__xludf.DUMMYFUNCTION("""COMPUTED_VALUE"""),78.976)</f>
        <v>78.976</v>
      </c>
      <c r="BV1022" s="71">
        <f>IFERROR(__xludf.DUMMYFUNCTION("""COMPUTED_VALUE"""),572.576)</f>
        <v>572.576</v>
      </c>
    </row>
    <row r="1023">
      <c r="A1023" s="53"/>
      <c r="B1023" s="53"/>
      <c r="C1023" s="53" t="s">
        <v>53</v>
      </c>
      <c r="D1023" s="53" t="s">
        <v>2475</v>
      </c>
      <c r="E1023" s="54" t="s">
        <v>38</v>
      </c>
      <c r="F1023" s="54" t="s">
        <v>42</v>
      </c>
      <c r="G1023" s="55" t="s">
        <v>2476</v>
      </c>
      <c r="H1023" s="54" t="s">
        <v>2477</v>
      </c>
      <c r="I1023" s="54">
        <f t="shared" si="24"/>
        <v>38</v>
      </c>
      <c r="J1023" s="56"/>
      <c r="K1023" s="57"/>
      <c r="L1023" s="87"/>
      <c r="M1023" s="59"/>
      <c r="N1023" s="79">
        <v>780.0</v>
      </c>
      <c r="O1023" s="61">
        <v>842.0</v>
      </c>
      <c r="P1023" s="63">
        <v>3000.0</v>
      </c>
      <c r="Q1023" s="63">
        <v>3000.0</v>
      </c>
      <c r="R1023" s="64">
        <v>3150.0</v>
      </c>
      <c r="S1023" s="111">
        <v>3308.0</v>
      </c>
      <c r="T1023" s="65">
        <f t="shared" si="34"/>
        <v>529.28</v>
      </c>
      <c r="U1023" s="65">
        <f t="shared" si="35"/>
        <v>3837.28</v>
      </c>
      <c r="V1023" s="66">
        <f t="shared" si="36"/>
        <v>0.05015873016</v>
      </c>
      <c r="W1023" s="67">
        <f t="shared" si="5"/>
        <v>3142.6</v>
      </c>
      <c r="X1023" s="67">
        <f t="shared" si="6"/>
        <v>502.816</v>
      </c>
      <c r="Y1023" s="67">
        <f t="shared" si="7"/>
        <v>3645.416</v>
      </c>
      <c r="Z1023" s="67">
        <f t="shared" si="8"/>
        <v>2977.2</v>
      </c>
      <c r="AA1023" s="67">
        <f t="shared" si="9"/>
        <v>476.352</v>
      </c>
      <c r="AB1023" s="67">
        <f t="shared" si="10"/>
        <v>3453.552</v>
      </c>
      <c r="AC1023" s="67">
        <f t="shared" si="11"/>
        <v>2811.8</v>
      </c>
      <c r="AD1023" s="67">
        <f t="shared" si="12"/>
        <v>449.888</v>
      </c>
      <c r="AE1023" s="67">
        <f t="shared" si="13"/>
        <v>3261.688</v>
      </c>
      <c r="AF1023" s="67">
        <f t="shared" si="33"/>
        <v>2745.64</v>
      </c>
      <c r="AG1023" s="67">
        <f t="shared" si="15"/>
        <v>439.3024</v>
      </c>
      <c r="AH1023" s="67">
        <f t="shared" si="16"/>
        <v>3184.9424</v>
      </c>
      <c r="AI1023" s="67">
        <f t="shared" si="17"/>
        <v>2646.4</v>
      </c>
      <c r="AJ1023" s="68">
        <f t="shared" si="31"/>
        <v>423.424</v>
      </c>
      <c r="AK1023" s="68">
        <f t="shared" si="32"/>
        <v>3069.824</v>
      </c>
      <c r="AL1023" s="70">
        <f>IFERROR(__xludf.DUMMYFUNCTION("""COMPUTED_VALUE"""),1.0)</f>
        <v>1</v>
      </c>
      <c r="AM1023" s="70"/>
      <c r="AN1023" s="71" t="str">
        <f>IFERROR(__xludf.DUMMYFUNCTION("""COMPUTED_VALUE""")," P")</f>
        <v>P</v>
      </c>
      <c r="AO1023" s="71" t="str">
        <f>IFERROR(__xludf.DUMMYFUNCTION("""COMPUTED_VALUE""")," PO18")</f>
        <v>PO18</v>
      </c>
      <c r="AP1023" s="71" t="str">
        <f>IFERROR(__xludf.DUMMYFUNCTION("""COMPUTED_VALUE""")," PZA")</f>
        <v>PZA</v>
      </c>
      <c r="AQ1023" s="71" t="str">
        <f>IFERROR(__xludf.DUMMYFUNCTION("""COMPUTED_VALUE""")," REF")</f>
        <v>REF</v>
      </c>
      <c r="AR1023" s="71" t="str">
        <f>IFERROR(__xludf.DUMMYFUNCTION("""COMPUTED_VALUE""")," POLEA 7"" 2RB E7/8 C1/4")</f>
        <v>POLEA 7" 2RB E7/8 C1/4</v>
      </c>
      <c r="AS1023" s="71" t="str">
        <f>IFERROR(__xludf.DUMMYFUNCTION("""COMPUTED_VALUE""")," POLEA 7"" 2RB E7/8 C1/4")</f>
        <v>POLEA 7" 2RB E7/8 C1/4</v>
      </c>
      <c r="AT1023" s="71">
        <f>IFERROR(__xludf.DUMMYFUNCTION("""COMPUTED_VALUE"""),22.0)</f>
        <v>22</v>
      </c>
      <c r="AU1023" s="71"/>
      <c r="AV1023" s="71"/>
      <c r="AW1023" s="71"/>
      <c r="AX1023" s="71"/>
      <c r="AY1023" s="71">
        <f>IFERROR(__xludf.DUMMYFUNCTION("""COMPUTED_VALUE"""),418.0)</f>
        <v>418</v>
      </c>
      <c r="AZ1023" s="71">
        <f>IFERROR(__xludf.DUMMYFUNCTION("""COMPUTED_VALUE"""),451.0)</f>
        <v>451</v>
      </c>
      <c r="BA1023" s="71">
        <f>IFERROR(__xludf.DUMMYFUNCTION("""COMPUTED_VALUE"""),487.08000000000004)</f>
        <v>487.08</v>
      </c>
      <c r="BB1023" s="71">
        <f>IFERROR(__xludf.DUMMYFUNCTION("""COMPUTED_VALUE"""),487.08000000000004)</f>
        <v>487.08</v>
      </c>
      <c r="BC1023" s="71">
        <f>IFERROR(__xludf.DUMMYFUNCTION("""COMPUTED_VALUE"""),559.0)</f>
        <v>559</v>
      </c>
      <c r="BD1023" s="71">
        <f>IFERROR(__xludf.DUMMYFUNCTION("""COMPUTED_VALUE"""),587.0)</f>
        <v>587</v>
      </c>
      <c r="BE1023" s="71">
        <f>IFERROR(__xludf.DUMMYFUNCTION("""COMPUTED_VALUE"""),93.92)</f>
        <v>93.92</v>
      </c>
      <c r="BF1023" s="71">
        <f>IFERROR(__xludf.DUMMYFUNCTION("""COMPUTED_VALUE"""),680.92)</f>
        <v>680.92</v>
      </c>
      <c r="BG1023" s="71">
        <f>IFERROR(__xludf.DUMMYFUNCTION("""COMPUTED_VALUE"""),0.05008944543828265)</f>
        <v>0.05008944544</v>
      </c>
      <c r="BH1023" s="71">
        <f>IFERROR(__xludf.DUMMYFUNCTION("""COMPUTED_VALUE"""),557.65)</f>
        <v>557.65</v>
      </c>
      <c r="BI1023" s="71">
        <f>IFERROR(__xludf.DUMMYFUNCTION("""COMPUTED_VALUE"""),89.224)</f>
        <v>89.224</v>
      </c>
      <c r="BJ1023" s="71">
        <f>IFERROR(__xludf.DUMMYFUNCTION("""COMPUTED_VALUE"""),646.874)</f>
        <v>646.874</v>
      </c>
      <c r="BK1023" s="71">
        <f>IFERROR(__xludf.DUMMYFUNCTION("""COMPUTED_VALUE"""),528.3000000000001)</f>
        <v>528.3</v>
      </c>
      <c r="BL1023" s="71">
        <f>IFERROR(__xludf.DUMMYFUNCTION("""COMPUTED_VALUE"""),84.528)</f>
        <v>84.528</v>
      </c>
      <c r="BM1023" s="71">
        <f>IFERROR(__xludf.DUMMYFUNCTION("""COMPUTED_VALUE"""),612.8280000000001)</f>
        <v>612.828</v>
      </c>
      <c r="BN1023" s="71">
        <f>IFERROR(__xludf.DUMMYFUNCTION("""COMPUTED_VALUE"""),498.95)</f>
        <v>498.95</v>
      </c>
      <c r="BO1023" s="71">
        <f>IFERROR(__xludf.DUMMYFUNCTION("""COMPUTED_VALUE"""),79.832)</f>
        <v>79.832</v>
      </c>
      <c r="BP1023" s="71">
        <f>IFERROR(__xludf.DUMMYFUNCTION("""COMPUTED_VALUE"""),578.7819999999999)</f>
        <v>578.782</v>
      </c>
      <c r="BQ1023" s="71">
        <f>IFERROR(__xludf.DUMMYFUNCTION("""COMPUTED_VALUE"""),487.21)</f>
        <v>487.21</v>
      </c>
      <c r="BR1023" s="71">
        <f>IFERROR(__xludf.DUMMYFUNCTION("""COMPUTED_VALUE"""),77.9536)</f>
        <v>77.9536</v>
      </c>
      <c r="BS1023" s="71">
        <f>IFERROR(__xludf.DUMMYFUNCTION("""COMPUTED_VALUE"""),565.1636)</f>
        <v>565.1636</v>
      </c>
      <c r="BT1023" s="71">
        <f>IFERROR(__xludf.DUMMYFUNCTION("""COMPUTED_VALUE"""),469.6)</f>
        <v>469.6</v>
      </c>
      <c r="BU1023" s="71">
        <f>IFERROR(__xludf.DUMMYFUNCTION("""COMPUTED_VALUE"""),75.13600000000001)</f>
        <v>75.136</v>
      </c>
      <c r="BV1023" s="71">
        <f>IFERROR(__xludf.DUMMYFUNCTION("""COMPUTED_VALUE"""),544.736)</f>
        <v>544.736</v>
      </c>
    </row>
    <row r="1024">
      <c r="A1024" s="53"/>
      <c r="B1024" s="53"/>
      <c r="C1024" s="53" t="s">
        <v>53</v>
      </c>
      <c r="D1024" s="128" t="s">
        <v>2478</v>
      </c>
      <c r="E1024" s="54" t="s">
        <v>38</v>
      </c>
      <c r="F1024" s="54" t="s">
        <v>42</v>
      </c>
      <c r="G1024" s="55" t="s">
        <v>2479</v>
      </c>
      <c r="H1024" s="54" t="s">
        <v>2480</v>
      </c>
      <c r="I1024" s="54">
        <f t="shared" si="24"/>
        <v>38</v>
      </c>
      <c r="J1024" s="56"/>
      <c r="K1024" s="57"/>
      <c r="L1024" s="87"/>
      <c r="M1024" s="59"/>
      <c r="N1024" s="60"/>
      <c r="O1024" s="129">
        <v>859.0</v>
      </c>
      <c r="P1024" s="62">
        <v>3060.0</v>
      </c>
      <c r="Q1024" s="63">
        <v>3060.0</v>
      </c>
      <c r="R1024" s="64">
        <v>3213.0</v>
      </c>
      <c r="S1024" s="111">
        <v>3374.0</v>
      </c>
      <c r="T1024" s="65">
        <f t="shared" si="34"/>
        <v>539.84</v>
      </c>
      <c r="U1024" s="65">
        <f t="shared" si="35"/>
        <v>3913.84</v>
      </c>
      <c r="V1024" s="66">
        <f t="shared" si="36"/>
        <v>0.05010893246</v>
      </c>
      <c r="W1024" s="67">
        <f t="shared" si="5"/>
        <v>3205.3</v>
      </c>
      <c r="X1024" s="67">
        <f t="shared" si="6"/>
        <v>512.848</v>
      </c>
      <c r="Y1024" s="67">
        <f t="shared" si="7"/>
        <v>3718.148</v>
      </c>
      <c r="Z1024" s="67">
        <f t="shared" si="8"/>
        <v>3036.6</v>
      </c>
      <c r="AA1024" s="67">
        <f t="shared" si="9"/>
        <v>485.856</v>
      </c>
      <c r="AB1024" s="67">
        <f t="shared" si="10"/>
        <v>3522.456</v>
      </c>
      <c r="AC1024" s="67">
        <f t="shared" si="11"/>
        <v>2867.9</v>
      </c>
      <c r="AD1024" s="67">
        <f t="shared" si="12"/>
        <v>458.864</v>
      </c>
      <c r="AE1024" s="67">
        <f t="shared" si="13"/>
        <v>3326.764</v>
      </c>
      <c r="AF1024" s="67">
        <f t="shared" si="33"/>
        <v>2800.42</v>
      </c>
      <c r="AG1024" s="67">
        <f t="shared" si="15"/>
        <v>448.0672</v>
      </c>
      <c r="AH1024" s="67">
        <f t="shared" si="16"/>
        <v>3248.4872</v>
      </c>
      <c r="AI1024" s="67">
        <f t="shared" si="17"/>
        <v>2699.2</v>
      </c>
      <c r="AJ1024" s="68">
        <f t="shared" si="31"/>
        <v>431.872</v>
      </c>
      <c r="AK1024" s="68">
        <f t="shared" si="32"/>
        <v>3131.072</v>
      </c>
      <c r="AL1024" s="70">
        <f>IFERROR(__xludf.DUMMYFUNCTION("""COMPUTED_VALUE"""),1.0)</f>
        <v>1</v>
      </c>
      <c r="AM1024" s="70"/>
      <c r="AN1024" s="71" t="str">
        <f>IFERROR(__xludf.DUMMYFUNCTION("""COMPUTED_VALUE""")," P")</f>
        <v>P</v>
      </c>
      <c r="AO1024" s="71" t="str">
        <f>IFERROR(__xludf.DUMMYFUNCTION("""COMPUTED_VALUE""")," PO29")</f>
        <v>PO29</v>
      </c>
      <c r="AP1024" s="71" t="str">
        <f>IFERROR(__xludf.DUMMYFUNCTION("""COMPUTED_VALUE""")," PZA")</f>
        <v>PZA</v>
      </c>
      <c r="AQ1024" s="71" t="str">
        <f>IFERROR(__xludf.DUMMYFUNCTION("""COMPUTED_VALUE""")," REF")</f>
        <v>REF</v>
      </c>
      <c r="AR1024" s="71" t="str">
        <f>IFERROR(__xludf.DUMMYFUNCTION("""COMPUTED_VALUE""")," POLEA 8"" 1RB E1")</f>
        <v>POLEA 8" 1RB E1</v>
      </c>
      <c r="AS1024" s="71" t="str">
        <f>IFERROR(__xludf.DUMMYFUNCTION("""COMPUTED_VALUE""")," POLEA 8"" 1RB E1")</f>
        <v>POLEA 8" 1RB E1</v>
      </c>
      <c r="AT1024" s="71">
        <f>IFERROR(__xludf.DUMMYFUNCTION("""COMPUTED_VALUE"""),15.0)</f>
        <v>15</v>
      </c>
      <c r="AU1024" s="71"/>
      <c r="AV1024" s="71"/>
      <c r="AW1024" s="71"/>
      <c r="AX1024" s="71"/>
      <c r="AY1024" s="71"/>
      <c r="AZ1024" s="71">
        <f>IFERROR(__xludf.DUMMYFUNCTION("""COMPUTED_VALUE"""),549.0)</f>
        <v>549</v>
      </c>
      <c r="BA1024" s="71">
        <f>IFERROR(__xludf.DUMMYFUNCTION("""COMPUTED_VALUE"""),592.9200000000001)</f>
        <v>592.92</v>
      </c>
      <c r="BB1024" s="71">
        <f>IFERROR(__xludf.DUMMYFUNCTION("""COMPUTED_VALUE"""),592.9200000000001)</f>
        <v>592.92</v>
      </c>
      <c r="BC1024" s="71">
        <f>IFERROR(__xludf.DUMMYFUNCTION("""COMPUTED_VALUE"""),641.0)</f>
        <v>641</v>
      </c>
      <c r="BD1024" s="71">
        <f>IFERROR(__xludf.DUMMYFUNCTION("""COMPUTED_VALUE"""),673.0)</f>
        <v>673</v>
      </c>
      <c r="BE1024" s="71">
        <f>IFERROR(__xludf.DUMMYFUNCTION("""COMPUTED_VALUE"""),107.68)</f>
        <v>107.68</v>
      </c>
      <c r="BF1024" s="71">
        <f>IFERROR(__xludf.DUMMYFUNCTION("""COMPUTED_VALUE"""),780.6800000000001)</f>
        <v>780.68</v>
      </c>
      <c r="BG1024" s="71">
        <f>IFERROR(__xludf.DUMMYFUNCTION("""COMPUTED_VALUE"""),0.0499219968798752)</f>
        <v>0.04992199688</v>
      </c>
      <c r="BH1024" s="71">
        <f>IFERROR(__xludf.DUMMYFUNCTION("""COMPUTED_VALUE"""),639.35)</f>
        <v>639.35</v>
      </c>
      <c r="BI1024" s="71">
        <f>IFERROR(__xludf.DUMMYFUNCTION("""COMPUTED_VALUE"""),102.296)</f>
        <v>102.296</v>
      </c>
      <c r="BJ1024" s="71">
        <f>IFERROR(__xludf.DUMMYFUNCTION("""COMPUTED_VALUE"""),741.6460000000001)</f>
        <v>741.646</v>
      </c>
      <c r="BK1024" s="71">
        <f>IFERROR(__xludf.DUMMYFUNCTION("""COMPUTED_VALUE"""),605.7)</f>
        <v>605.7</v>
      </c>
      <c r="BL1024" s="71">
        <f>IFERROR(__xludf.DUMMYFUNCTION("""COMPUTED_VALUE"""),96.912)</f>
        <v>96.912</v>
      </c>
      <c r="BM1024" s="71">
        <f>IFERROR(__xludf.DUMMYFUNCTION("""COMPUTED_VALUE"""),702.6120000000001)</f>
        <v>702.612</v>
      </c>
      <c r="BN1024" s="71">
        <f>IFERROR(__xludf.DUMMYFUNCTION("""COMPUTED_VALUE"""),572.05)</f>
        <v>572.05</v>
      </c>
      <c r="BO1024" s="71">
        <f>IFERROR(__xludf.DUMMYFUNCTION("""COMPUTED_VALUE"""),91.52799999999999)</f>
        <v>91.528</v>
      </c>
      <c r="BP1024" s="71">
        <f>IFERROR(__xludf.DUMMYFUNCTION("""COMPUTED_VALUE"""),663.578)</f>
        <v>663.578</v>
      </c>
      <c r="BQ1024" s="71">
        <f>IFERROR(__xludf.DUMMYFUNCTION("""COMPUTED_VALUE"""),558.5899999999999)</f>
        <v>558.59</v>
      </c>
      <c r="BR1024" s="71">
        <f>IFERROR(__xludf.DUMMYFUNCTION("""COMPUTED_VALUE"""),89.3744)</f>
        <v>89.3744</v>
      </c>
      <c r="BS1024" s="71">
        <f>IFERROR(__xludf.DUMMYFUNCTION("""COMPUTED_VALUE"""),647.9644)</f>
        <v>647.9644</v>
      </c>
      <c r="BT1024" s="71">
        <f>IFERROR(__xludf.DUMMYFUNCTION("""COMPUTED_VALUE"""),538.4)</f>
        <v>538.4</v>
      </c>
      <c r="BU1024" s="71">
        <f>IFERROR(__xludf.DUMMYFUNCTION("""COMPUTED_VALUE"""),86.14399999999999)</f>
        <v>86.144</v>
      </c>
      <c r="BV1024" s="71">
        <f>IFERROR(__xludf.DUMMYFUNCTION("""COMPUTED_VALUE"""),624.544)</f>
        <v>624.544</v>
      </c>
    </row>
    <row r="1025">
      <c r="A1025" s="53"/>
      <c r="B1025" s="53"/>
      <c r="C1025" s="120" t="s">
        <v>53</v>
      </c>
      <c r="D1025" s="128" t="s">
        <v>2481</v>
      </c>
      <c r="E1025" s="54" t="s">
        <v>38</v>
      </c>
      <c r="F1025" s="54" t="s">
        <v>42</v>
      </c>
      <c r="G1025" s="130" t="s">
        <v>2482</v>
      </c>
      <c r="H1025" s="54" t="s">
        <v>2483</v>
      </c>
      <c r="I1025" s="54">
        <f t="shared" si="24"/>
        <v>28</v>
      </c>
      <c r="J1025" s="56"/>
      <c r="K1025" s="75"/>
      <c r="L1025" s="76"/>
      <c r="M1025" s="59"/>
      <c r="N1025" s="60">
        <v>258.3</v>
      </c>
      <c r="O1025" s="129">
        <v>278.0</v>
      </c>
      <c r="P1025" s="62">
        <v>300.24</v>
      </c>
      <c r="Q1025" s="63">
        <v>300.24</v>
      </c>
      <c r="R1025" s="64">
        <v>315.0</v>
      </c>
      <c r="S1025" s="111">
        <v>331.0</v>
      </c>
      <c r="T1025" s="65">
        <f t="shared" si="34"/>
        <v>52.96</v>
      </c>
      <c r="U1025" s="65">
        <f t="shared" si="35"/>
        <v>383.96</v>
      </c>
      <c r="V1025" s="66">
        <f t="shared" si="36"/>
        <v>0.05079365079</v>
      </c>
      <c r="W1025" s="67">
        <f t="shared" si="5"/>
        <v>314.45</v>
      </c>
      <c r="X1025" s="67">
        <f t="shared" si="6"/>
        <v>50.312</v>
      </c>
      <c r="Y1025" s="67">
        <f t="shared" si="7"/>
        <v>364.762</v>
      </c>
      <c r="Z1025" s="67">
        <f t="shared" si="8"/>
        <v>297.9</v>
      </c>
      <c r="AA1025" s="67">
        <f t="shared" si="9"/>
        <v>47.664</v>
      </c>
      <c r="AB1025" s="67">
        <f t="shared" si="10"/>
        <v>345.564</v>
      </c>
      <c r="AC1025" s="67">
        <f t="shared" si="11"/>
        <v>281.35</v>
      </c>
      <c r="AD1025" s="67">
        <f t="shared" si="12"/>
        <v>45.016</v>
      </c>
      <c r="AE1025" s="67">
        <f t="shared" si="13"/>
        <v>326.366</v>
      </c>
      <c r="AF1025" s="67">
        <f t="shared" si="33"/>
        <v>274.73</v>
      </c>
      <c r="AG1025" s="67">
        <f t="shared" si="15"/>
        <v>43.9568</v>
      </c>
      <c r="AH1025" s="67">
        <f t="shared" si="16"/>
        <v>318.6868</v>
      </c>
      <c r="AI1025" s="67">
        <f t="shared" si="17"/>
        <v>264.8</v>
      </c>
      <c r="AJ1025" s="68">
        <f t="shared" si="31"/>
        <v>42.368</v>
      </c>
      <c r="AK1025" s="68">
        <f t="shared" si="32"/>
        <v>307.168</v>
      </c>
      <c r="AL1025" s="70">
        <f>IFERROR(__xludf.DUMMYFUNCTION("""COMPUTED_VALUE"""),1.0)</f>
        <v>1</v>
      </c>
      <c r="AM1025" s="70"/>
      <c r="AN1025" s="71" t="str">
        <f>IFERROR(__xludf.DUMMYFUNCTION("""COMPUTED_VALUE""")," P")</f>
        <v>P</v>
      </c>
      <c r="AO1025" s="71" t="str">
        <f>IFERROR(__xludf.DUMMYFUNCTION("""COMPUTED_VALUE""")," PO66")</f>
        <v>PO66</v>
      </c>
      <c r="AP1025" s="71" t="str">
        <f>IFERROR(__xludf.DUMMYFUNCTION("""COMPUTED_VALUE""")," PZA")</f>
        <v>PZA</v>
      </c>
      <c r="AQ1025" s="71" t="str">
        <f>IFERROR(__xludf.DUMMYFUNCTION("""COMPUTED_VALUE""")," REF")</f>
        <v>REF</v>
      </c>
      <c r="AR1025" s="71" t="str">
        <f>IFERROR(__xludf.DUMMYFUNCTION("""COMPUTED_VALUE""")," POLEA 8"" 1RB E1 C1/4")</f>
        <v>POLEA 8" 1RB E1 C1/4</v>
      </c>
      <c r="AS1025" s="71" t="str">
        <f>IFERROR(__xludf.DUMMYFUNCTION("""COMPUTED_VALUE""")," POLEA 8"" 1RB E1 C1/4")</f>
        <v>POLEA 8" 1RB E1 C1/4</v>
      </c>
      <c r="AT1025" s="71">
        <f>IFERROR(__xludf.DUMMYFUNCTION("""COMPUTED_VALUE"""),20.0)</f>
        <v>20</v>
      </c>
      <c r="AU1025" s="71"/>
      <c r="AV1025" s="71"/>
      <c r="AW1025" s="71"/>
      <c r="AX1025" s="71"/>
      <c r="AY1025" s="71">
        <f>IFERROR(__xludf.DUMMYFUNCTION("""COMPUTED_VALUE"""),509.25)</f>
        <v>509.25</v>
      </c>
      <c r="AZ1025" s="71">
        <f>IFERROR(__xludf.DUMMYFUNCTION("""COMPUTED_VALUE"""),549.0)</f>
        <v>549</v>
      </c>
      <c r="BA1025" s="71">
        <f>IFERROR(__xludf.DUMMYFUNCTION("""COMPUTED_VALUE"""),592.9200000000001)</f>
        <v>592.92</v>
      </c>
      <c r="BB1025" s="71">
        <f>IFERROR(__xludf.DUMMYFUNCTION("""COMPUTED_VALUE"""),592.9200000000001)</f>
        <v>592.92</v>
      </c>
      <c r="BC1025" s="71">
        <f>IFERROR(__xludf.DUMMYFUNCTION("""COMPUTED_VALUE"""),641.0)</f>
        <v>641</v>
      </c>
      <c r="BD1025" s="71">
        <f>IFERROR(__xludf.DUMMYFUNCTION("""COMPUTED_VALUE"""),673.0)</f>
        <v>673</v>
      </c>
      <c r="BE1025" s="71">
        <f>IFERROR(__xludf.DUMMYFUNCTION("""COMPUTED_VALUE"""),107.68)</f>
        <v>107.68</v>
      </c>
      <c r="BF1025" s="71">
        <f>IFERROR(__xludf.DUMMYFUNCTION("""COMPUTED_VALUE"""),780.6800000000001)</f>
        <v>780.68</v>
      </c>
      <c r="BG1025" s="71">
        <f>IFERROR(__xludf.DUMMYFUNCTION("""COMPUTED_VALUE"""),0.0499219968798752)</f>
        <v>0.04992199688</v>
      </c>
      <c r="BH1025" s="71">
        <f>IFERROR(__xludf.DUMMYFUNCTION("""COMPUTED_VALUE"""),639.35)</f>
        <v>639.35</v>
      </c>
      <c r="BI1025" s="71">
        <f>IFERROR(__xludf.DUMMYFUNCTION("""COMPUTED_VALUE"""),102.296)</f>
        <v>102.296</v>
      </c>
      <c r="BJ1025" s="71">
        <f>IFERROR(__xludf.DUMMYFUNCTION("""COMPUTED_VALUE"""),741.6460000000001)</f>
        <v>741.646</v>
      </c>
      <c r="BK1025" s="71">
        <f>IFERROR(__xludf.DUMMYFUNCTION("""COMPUTED_VALUE"""),605.7)</f>
        <v>605.7</v>
      </c>
      <c r="BL1025" s="71">
        <f>IFERROR(__xludf.DUMMYFUNCTION("""COMPUTED_VALUE"""),96.912)</f>
        <v>96.912</v>
      </c>
      <c r="BM1025" s="71">
        <f>IFERROR(__xludf.DUMMYFUNCTION("""COMPUTED_VALUE"""),702.6120000000001)</f>
        <v>702.612</v>
      </c>
      <c r="BN1025" s="71">
        <f>IFERROR(__xludf.DUMMYFUNCTION("""COMPUTED_VALUE"""),572.05)</f>
        <v>572.05</v>
      </c>
      <c r="BO1025" s="71">
        <f>IFERROR(__xludf.DUMMYFUNCTION("""COMPUTED_VALUE"""),91.52799999999999)</f>
        <v>91.528</v>
      </c>
      <c r="BP1025" s="71">
        <f>IFERROR(__xludf.DUMMYFUNCTION("""COMPUTED_VALUE"""),663.578)</f>
        <v>663.578</v>
      </c>
      <c r="BQ1025" s="71">
        <f>IFERROR(__xludf.DUMMYFUNCTION("""COMPUTED_VALUE"""),558.5899999999999)</f>
        <v>558.59</v>
      </c>
      <c r="BR1025" s="71">
        <f>IFERROR(__xludf.DUMMYFUNCTION("""COMPUTED_VALUE"""),89.3744)</f>
        <v>89.3744</v>
      </c>
      <c r="BS1025" s="71">
        <f>IFERROR(__xludf.DUMMYFUNCTION("""COMPUTED_VALUE"""),647.9644)</f>
        <v>647.9644</v>
      </c>
      <c r="BT1025" s="71">
        <f>IFERROR(__xludf.DUMMYFUNCTION("""COMPUTED_VALUE"""),538.4)</f>
        <v>538.4</v>
      </c>
      <c r="BU1025" s="71">
        <f>IFERROR(__xludf.DUMMYFUNCTION("""COMPUTED_VALUE"""),86.14399999999999)</f>
        <v>86.144</v>
      </c>
      <c r="BV1025" s="71">
        <f>IFERROR(__xludf.DUMMYFUNCTION("""COMPUTED_VALUE"""),624.544)</f>
        <v>624.544</v>
      </c>
    </row>
    <row r="1026">
      <c r="A1026" s="53"/>
      <c r="B1026" s="53"/>
      <c r="C1026" s="120" t="s">
        <v>53</v>
      </c>
      <c r="D1026" s="128" t="s">
        <v>2484</v>
      </c>
      <c r="E1026" s="54" t="s">
        <v>38</v>
      </c>
      <c r="F1026" s="54" t="s">
        <v>42</v>
      </c>
      <c r="G1026" s="130" t="s">
        <v>2485</v>
      </c>
      <c r="H1026" s="54" t="s">
        <v>2486</v>
      </c>
      <c r="I1026" s="54">
        <f t="shared" si="24"/>
        <v>20</v>
      </c>
      <c r="J1026" s="56"/>
      <c r="K1026" s="57"/>
      <c r="L1026" s="76"/>
      <c r="M1026" s="59"/>
      <c r="N1026" s="60">
        <v>263.55</v>
      </c>
      <c r="O1026" s="129">
        <v>284.0</v>
      </c>
      <c r="P1026" s="62">
        <v>306.72</v>
      </c>
      <c r="Q1026" s="63">
        <v>306.72</v>
      </c>
      <c r="R1026" s="64">
        <v>323.0</v>
      </c>
      <c r="S1026" s="111">
        <v>339.0</v>
      </c>
      <c r="T1026" s="65">
        <f t="shared" si="34"/>
        <v>54.24</v>
      </c>
      <c r="U1026" s="65">
        <f t="shared" si="35"/>
        <v>393.24</v>
      </c>
      <c r="V1026" s="66">
        <f t="shared" si="36"/>
        <v>0.04953560372</v>
      </c>
      <c r="W1026" s="67">
        <f t="shared" si="5"/>
        <v>322.05</v>
      </c>
      <c r="X1026" s="67">
        <f t="shared" si="6"/>
        <v>51.528</v>
      </c>
      <c r="Y1026" s="67">
        <f t="shared" si="7"/>
        <v>373.578</v>
      </c>
      <c r="Z1026" s="67">
        <f t="shared" si="8"/>
        <v>305.1</v>
      </c>
      <c r="AA1026" s="67">
        <f t="shared" si="9"/>
        <v>48.816</v>
      </c>
      <c r="AB1026" s="67">
        <f t="shared" si="10"/>
        <v>353.916</v>
      </c>
      <c r="AC1026" s="67">
        <f t="shared" si="11"/>
        <v>288.15</v>
      </c>
      <c r="AD1026" s="67">
        <f t="shared" si="12"/>
        <v>46.104</v>
      </c>
      <c r="AE1026" s="67">
        <f t="shared" si="13"/>
        <v>334.254</v>
      </c>
      <c r="AF1026" s="67">
        <f t="shared" si="33"/>
        <v>281.37</v>
      </c>
      <c r="AG1026" s="67">
        <f t="shared" si="15"/>
        <v>45.0192</v>
      </c>
      <c r="AH1026" s="67">
        <f t="shared" si="16"/>
        <v>326.3892</v>
      </c>
      <c r="AI1026" s="67">
        <f t="shared" si="17"/>
        <v>271.2</v>
      </c>
      <c r="AJ1026" s="68">
        <f t="shared" si="31"/>
        <v>43.392</v>
      </c>
      <c r="AK1026" s="68">
        <f t="shared" si="32"/>
        <v>314.592</v>
      </c>
      <c r="AL1026" s="70">
        <f>IFERROR(__xludf.DUMMYFUNCTION("""COMPUTED_VALUE"""),1.0)</f>
        <v>1</v>
      </c>
      <c r="AM1026" s="70"/>
      <c r="AN1026" s="71" t="str">
        <f>IFERROR(__xludf.DUMMYFUNCTION("""COMPUTED_VALUE""")," P")</f>
        <v>P</v>
      </c>
      <c r="AO1026" s="71" t="str">
        <f>IFERROR(__xludf.DUMMYFUNCTION("""COMPUTED_VALUE""")," POR2")</f>
        <v>POR2</v>
      </c>
      <c r="AP1026" s="71" t="str">
        <f>IFERROR(__xludf.DUMMYFUNCTION("""COMPUTED_VALUE""")," PZA")</f>
        <v>PZA</v>
      </c>
      <c r="AQ1026" s="71" t="str">
        <f>IFERROR(__xludf.DUMMYFUNCTION("""COMPUTED_VALUE""")," REF")</f>
        <v>REF</v>
      </c>
      <c r="AR1026" s="71" t="str">
        <f>IFERROR(__xludf.DUMMYFUNCTION("""COMPUTED_VALUE""")," PORTA RIEL CENTRAL SENC. TIPO B.C.")</f>
        <v>PORTA RIEL CENTRAL SENC. TIPO B.C.</v>
      </c>
      <c r="AS1026" s="71" t="str">
        <f>IFERROR(__xludf.DUMMYFUNCTION("""COMPUTED_VALUE""")," PORTA RIEL CENTRAL SENC BC")</f>
        <v>PORTA RIEL CENTRAL SENC BC</v>
      </c>
      <c r="AT1026" s="71">
        <f>IFERROR(__xludf.DUMMYFUNCTION("""COMPUTED_VALUE"""),26.0)</f>
        <v>26</v>
      </c>
      <c r="AU1026" s="71"/>
      <c r="AV1026" s="71"/>
      <c r="AW1026" s="71"/>
      <c r="AX1026" s="71"/>
      <c r="AY1026" s="71">
        <f>IFERROR(__xludf.DUMMYFUNCTION("""COMPUTED_VALUE"""),2664.0)</f>
        <v>2664</v>
      </c>
      <c r="AZ1026" s="71">
        <f>IFERROR(__xludf.DUMMYFUNCTION("""COMPUTED_VALUE"""),2877.0)</f>
        <v>2877</v>
      </c>
      <c r="BA1026" s="71">
        <f>IFERROR(__xludf.DUMMYFUNCTION("""COMPUTED_VALUE"""),3107.1600000000003)</f>
        <v>3107.16</v>
      </c>
      <c r="BB1026" s="71">
        <f>IFERROR(__xludf.DUMMYFUNCTION("""COMPUTED_VALUE"""),3107.1600000000003)</f>
        <v>3107.16</v>
      </c>
      <c r="BC1026" s="71">
        <f>IFERROR(__xludf.DUMMYFUNCTION("""COMPUTED_VALUE"""),3264.0)</f>
        <v>3264</v>
      </c>
      <c r="BD1026" s="71">
        <f>IFERROR(__xludf.DUMMYFUNCTION("""COMPUTED_VALUE"""),3427.0)</f>
        <v>3427</v>
      </c>
      <c r="BE1026" s="71">
        <f>IFERROR(__xludf.DUMMYFUNCTION("""COMPUTED_VALUE"""),548.32)</f>
        <v>548.32</v>
      </c>
      <c r="BF1026" s="71">
        <f>IFERROR(__xludf.DUMMYFUNCTION("""COMPUTED_VALUE"""),3975.32)</f>
        <v>3975.32</v>
      </c>
      <c r="BG1026" s="71">
        <f>IFERROR(__xludf.DUMMYFUNCTION("""COMPUTED_VALUE"""),0.04993872549019608)</f>
        <v>0.04993872549</v>
      </c>
      <c r="BH1026" s="71">
        <f>IFERROR(__xludf.DUMMYFUNCTION("""COMPUTED_VALUE"""),3255.6499999999996)</f>
        <v>3255.65</v>
      </c>
      <c r="BI1026" s="71">
        <f>IFERROR(__xludf.DUMMYFUNCTION("""COMPUTED_VALUE"""),520.904)</f>
        <v>520.904</v>
      </c>
      <c r="BJ1026" s="71">
        <f>IFERROR(__xludf.DUMMYFUNCTION("""COMPUTED_VALUE"""),3776.5539999999996)</f>
        <v>3776.554</v>
      </c>
      <c r="BK1026" s="71">
        <f>IFERROR(__xludf.DUMMYFUNCTION("""COMPUTED_VALUE"""),3084.3)</f>
        <v>3084.3</v>
      </c>
      <c r="BL1026" s="71">
        <f>IFERROR(__xludf.DUMMYFUNCTION("""COMPUTED_VALUE"""),493.48800000000006)</f>
        <v>493.488</v>
      </c>
      <c r="BM1026" s="71">
        <f>IFERROR(__xludf.DUMMYFUNCTION("""COMPUTED_VALUE"""),3577.7880000000005)</f>
        <v>3577.788</v>
      </c>
      <c r="BN1026" s="71">
        <f>IFERROR(__xludf.DUMMYFUNCTION("""COMPUTED_VALUE"""),2912.95)</f>
        <v>2912.95</v>
      </c>
      <c r="BO1026" s="71">
        <f>IFERROR(__xludf.DUMMYFUNCTION("""COMPUTED_VALUE"""),466.072)</f>
        <v>466.072</v>
      </c>
      <c r="BP1026" s="71">
        <f>IFERROR(__xludf.DUMMYFUNCTION("""COMPUTED_VALUE"""),3379.022)</f>
        <v>3379.022</v>
      </c>
      <c r="BQ1026" s="71">
        <f>IFERROR(__xludf.DUMMYFUNCTION("""COMPUTED_VALUE"""),2844.41)</f>
        <v>2844.41</v>
      </c>
      <c r="BR1026" s="71">
        <f>IFERROR(__xludf.DUMMYFUNCTION("""COMPUTED_VALUE"""),455.1056)</f>
        <v>455.1056</v>
      </c>
      <c r="BS1026" s="71">
        <f>IFERROR(__xludf.DUMMYFUNCTION("""COMPUTED_VALUE"""),3299.5155999999997)</f>
        <v>3299.5156</v>
      </c>
      <c r="BT1026" s="71">
        <f>IFERROR(__xludf.DUMMYFUNCTION("""COMPUTED_VALUE"""),2741.6000000000004)</f>
        <v>2741.6</v>
      </c>
      <c r="BU1026" s="71">
        <f>IFERROR(__xludf.DUMMYFUNCTION("""COMPUTED_VALUE"""),438.65600000000006)</f>
        <v>438.656</v>
      </c>
      <c r="BV1026" s="71">
        <f>IFERROR(__xludf.DUMMYFUNCTION("""COMPUTED_VALUE"""),3180.2560000000003)</f>
        <v>3180.256</v>
      </c>
    </row>
    <row r="1027">
      <c r="A1027" s="53"/>
      <c r="B1027" s="53"/>
      <c r="C1027" s="53" t="s">
        <v>53</v>
      </c>
      <c r="D1027" s="53" t="s">
        <v>2487</v>
      </c>
      <c r="E1027" s="54" t="s">
        <v>38</v>
      </c>
      <c r="F1027" s="54" t="s">
        <v>42</v>
      </c>
      <c r="G1027" s="55" t="s">
        <v>2488</v>
      </c>
      <c r="H1027" s="54" t="s">
        <v>2489</v>
      </c>
      <c r="I1027" s="54">
        <f t="shared" si="24"/>
        <v>38</v>
      </c>
      <c r="J1027" s="56"/>
      <c r="K1027" s="57"/>
      <c r="L1027" s="76"/>
      <c r="M1027" s="59"/>
      <c r="N1027" s="79">
        <v>940.0</v>
      </c>
      <c r="O1027" s="61">
        <v>1015.0</v>
      </c>
      <c r="P1027" s="63">
        <v>1096.2</v>
      </c>
      <c r="Q1027" s="63">
        <v>1096.2</v>
      </c>
      <c r="R1027" s="64">
        <v>1151.0</v>
      </c>
      <c r="S1027" s="111">
        <v>1209.0</v>
      </c>
      <c r="T1027" s="65">
        <f t="shared" si="34"/>
        <v>193.44</v>
      </c>
      <c r="U1027" s="65">
        <f t="shared" si="35"/>
        <v>1402.44</v>
      </c>
      <c r="V1027" s="66">
        <f t="shared" si="36"/>
        <v>0.05039096438</v>
      </c>
      <c r="W1027" s="67">
        <f t="shared" si="5"/>
        <v>1148.55</v>
      </c>
      <c r="X1027" s="67">
        <f t="shared" si="6"/>
        <v>183.768</v>
      </c>
      <c r="Y1027" s="67">
        <f t="shared" si="7"/>
        <v>1332.318</v>
      </c>
      <c r="Z1027" s="67">
        <f t="shared" si="8"/>
        <v>1088.1</v>
      </c>
      <c r="AA1027" s="67">
        <f t="shared" si="9"/>
        <v>174.096</v>
      </c>
      <c r="AB1027" s="67">
        <f t="shared" si="10"/>
        <v>1262.196</v>
      </c>
      <c r="AC1027" s="67">
        <f t="shared" si="11"/>
        <v>1027.65</v>
      </c>
      <c r="AD1027" s="67">
        <f t="shared" si="12"/>
        <v>164.424</v>
      </c>
      <c r="AE1027" s="67">
        <f t="shared" si="13"/>
        <v>1192.074</v>
      </c>
      <c r="AF1027" s="67">
        <f t="shared" si="33"/>
        <v>1003.47</v>
      </c>
      <c r="AG1027" s="67">
        <f t="shared" si="15"/>
        <v>160.5552</v>
      </c>
      <c r="AH1027" s="67">
        <f t="shared" si="16"/>
        <v>1164.0252</v>
      </c>
      <c r="AI1027" s="67">
        <f t="shared" si="17"/>
        <v>967.2</v>
      </c>
      <c r="AJ1027" s="68">
        <f t="shared" si="31"/>
        <v>154.752</v>
      </c>
      <c r="AK1027" s="68">
        <f t="shared" si="32"/>
        <v>1121.952</v>
      </c>
      <c r="AL1027" s="70">
        <f>IFERROR(__xludf.DUMMYFUNCTION("""COMPUTED_VALUE"""),1.0)</f>
        <v>1</v>
      </c>
      <c r="AM1027" s="70"/>
      <c r="AN1027" s="71" t="str">
        <f>IFERROR(__xludf.DUMMYFUNCTION("""COMPUTED_VALUE""")," P")</f>
        <v>P</v>
      </c>
      <c r="AO1027" s="71" t="str">
        <f>IFERROR(__xludf.DUMMYFUNCTION("""COMPUTED_VALUE""")," POR1")</f>
        <v>POR1</v>
      </c>
      <c r="AP1027" s="71" t="str">
        <f>IFERROR(__xludf.DUMMYFUNCTION("""COMPUTED_VALUE""")," PZA")</f>
        <v>PZA</v>
      </c>
      <c r="AQ1027" s="71" t="str">
        <f>IFERROR(__xludf.DUMMYFUNCTION("""COMPUTED_VALUE""")," REF")</f>
        <v>REF</v>
      </c>
      <c r="AR1027" s="71" t="str">
        <f>IFERROR(__xludf.DUMMYFUNCTION("""COMPUTED_VALUE""")," PORTA RIEL INFERIOR SENC. TIPO B.C.")</f>
        <v>PORTA RIEL INFERIOR SENC. TIPO B.C.</v>
      </c>
      <c r="AS1027" s="71" t="str">
        <f>IFERROR(__xludf.DUMMYFUNCTION("""COMPUTED_VALUE""")," PORTA RIEL INFERIOR SENC BC")</f>
        <v>PORTA RIEL INFERIOR SENC BC</v>
      </c>
      <c r="AT1027" s="71">
        <f>IFERROR(__xludf.DUMMYFUNCTION("""COMPUTED_VALUE"""),27.0)</f>
        <v>27</v>
      </c>
      <c r="AU1027" s="71"/>
      <c r="AV1027" s="71"/>
      <c r="AW1027" s="71"/>
      <c r="AX1027" s="71"/>
      <c r="AY1027" s="71">
        <f>IFERROR(__xludf.DUMMYFUNCTION("""COMPUTED_VALUE"""),2336.0)</f>
        <v>2336</v>
      </c>
      <c r="AZ1027" s="71">
        <f>IFERROR(__xludf.DUMMYFUNCTION("""COMPUTED_VALUE"""),2522.0)</f>
        <v>2522</v>
      </c>
      <c r="BA1027" s="71">
        <f>IFERROR(__xludf.DUMMYFUNCTION("""COMPUTED_VALUE"""),2723.76)</f>
        <v>2723.76</v>
      </c>
      <c r="BB1027" s="71">
        <f>IFERROR(__xludf.DUMMYFUNCTION("""COMPUTED_VALUE"""),2723.76)</f>
        <v>2723.76</v>
      </c>
      <c r="BC1027" s="71">
        <f>IFERROR(__xludf.DUMMYFUNCTION("""COMPUTED_VALUE"""),2861.0)</f>
        <v>2861</v>
      </c>
      <c r="BD1027" s="71">
        <f>IFERROR(__xludf.DUMMYFUNCTION("""COMPUTED_VALUE"""),3004.0)</f>
        <v>3004</v>
      </c>
      <c r="BE1027" s="71">
        <f>IFERROR(__xludf.DUMMYFUNCTION("""COMPUTED_VALUE"""),480.64)</f>
        <v>480.64</v>
      </c>
      <c r="BF1027" s="71">
        <f>IFERROR(__xludf.DUMMYFUNCTION("""COMPUTED_VALUE"""),3484.64)</f>
        <v>3484.64</v>
      </c>
      <c r="BG1027" s="71">
        <f>IFERROR(__xludf.DUMMYFUNCTION("""COMPUTED_VALUE"""),0.049982523593149246)</f>
        <v>0.04998252359</v>
      </c>
      <c r="BH1027" s="71">
        <f>IFERROR(__xludf.DUMMYFUNCTION("""COMPUTED_VALUE"""),2853.7999999999997)</f>
        <v>2853.8</v>
      </c>
      <c r="BI1027" s="71">
        <f>IFERROR(__xludf.DUMMYFUNCTION("""COMPUTED_VALUE"""),456.60799999999995)</f>
        <v>456.608</v>
      </c>
      <c r="BJ1027" s="71">
        <f>IFERROR(__xludf.DUMMYFUNCTION("""COMPUTED_VALUE"""),3310.4079999999994)</f>
        <v>3310.408</v>
      </c>
      <c r="BK1027" s="71">
        <f>IFERROR(__xludf.DUMMYFUNCTION("""COMPUTED_VALUE"""),2703.6)</f>
        <v>2703.6</v>
      </c>
      <c r="BL1027" s="71">
        <f>IFERROR(__xludf.DUMMYFUNCTION("""COMPUTED_VALUE"""),432.576)</f>
        <v>432.576</v>
      </c>
      <c r="BM1027" s="71">
        <f>IFERROR(__xludf.DUMMYFUNCTION("""COMPUTED_VALUE"""),3136.176)</f>
        <v>3136.176</v>
      </c>
      <c r="BN1027" s="71">
        <f>IFERROR(__xludf.DUMMYFUNCTION("""COMPUTED_VALUE"""),2553.4)</f>
        <v>2553.4</v>
      </c>
      <c r="BO1027" s="71">
        <f>IFERROR(__xludf.DUMMYFUNCTION("""COMPUTED_VALUE"""),408.54400000000004)</f>
        <v>408.544</v>
      </c>
      <c r="BP1027" s="71">
        <f>IFERROR(__xludf.DUMMYFUNCTION("""COMPUTED_VALUE"""),2961.944)</f>
        <v>2961.944</v>
      </c>
      <c r="BQ1027" s="71">
        <f>IFERROR(__xludf.DUMMYFUNCTION("""COMPUTED_VALUE"""),2493.3199999999997)</f>
        <v>2493.32</v>
      </c>
      <c r="BR1027" s="71">
        <f>IFERROR(__xludf.DUMMYFUNCTION("""COMPUTED_VALUE"""),398.9312)</f>
        <v>398.9312</v>
      </c>
      <c r="BS1027" s="71">
        <f>IFERROR(__xludf.DUMMYFUNCTION("""COMPUTED_VALUE"""),2892.2511999999997)</f>
        <v>2892.2512</v>
      </c>
      <c r="BT1027" s="71">
        <f>IFERROR(__xludf.DUMMYFUNCTION("""COMPUTED_VALUE"""),2403.2000000000003)</f>
        <v>2403.2</v>
      </c>
      <c r="BU1027" s="71">
        <f>IFERROR(__xludf.DUMMYFUNCTION("""COMPUTED_VALUE"""),384.51200000000006)</f>
        <v>384.512</v>
      </c>
      <c r="BV1027" s="71">
        <f>IFERROR(__xludf.DUMMYFUNCTION("""COMPUTED_VALUE"""),2787.7120000000004)</f>
        <v>2787.712</v>
      </c>
    </row>
    <row r="1028">
      <c r="A1028" s="53">
        <v>1.0</v>
      </c>
      <c r="B1028" s="53"/>
      <c r="C1028" s="53" t="s">
        <v>53</v>
      </c>
      <c r="D1028" s="53" t="s">
        <v>2490</v>
      </c>
      <c r="E1028" s="86" t="s">
        <v>38</v>
      </c>
      <c r="F1028" s="91" t="s">
        <v>42</v>
      </c>
      <c r="G1028" s="84" t="s">
        <v>2491</v>
      </c>
      <c r="H1028" s="84" t="s">
        <v>2491</v>
      </c>
      <c r="I1028" s="54">
        <f t="shared" si="24"/>
        <v>22</v>
      </c>
      <c r="J1028" s="56"/>
      <c r="K1028" s="57"/>
      <c r="L1028" s="119"/>
      <c r="M1028" s="59"/>
      <c r="N1028" s="93"/>
      <c r="O1028" s="61"/>
      <c r="P1028" s="90"/>
      <c r="Q1028" s="94"/>
      <c r="R1028" s="95">
        <v>350.0</v>
      </c>
      <c r="S1028" s="111">
        <v>368.0</v>
      </c>
      <c r="T1028" s="65">
        <f t="shared" si="34"/>
        <v>58.88</v>
      </c>
      <c r="U1028" s="65">
        <f t="shared" si="35"/>
        <v>426.88</v>
      </c>
      <c r="V1028" s="66">
        <f t="shared" si="36"/>
        <v>0.05142857143</v>
      </c>
      <c r="W1028" s="67">
        <f t="shared" si="5"/>
        <v>349.6</v>
      </c>
      <c r="X1028" s="67">
        <f t="shared" si="6"/>
        <v>55.936</v>
      </c>
      <c r="Y1028" s="67">
        <f t="shared" si="7"/>
        <v>405.536</v>
      </c>
      <c r="Z1028" s="67">
        <f t="shared" si="8"/>
        <v>331.2</v>
      </c>
      <c r="AA1028" s="67">
        <f t="shared" si="9"/>
        <v>52.992</v>
      </c>
      <c r="AB1028" s="67">
        <f t="shared" si="10"/>
        <v>384.192</v>
      </c>
      <c r="AC1028" s="67">
        <f t="shared" si="11"/>
        <v>312.8</v>
      </c>
      <c r="AD1028" s="67">
        <f t="shared" si="12"/>
        <v>50.048</v>
      </c>
      <c r="AE1028" s="67">
        <f t="shared" si="13"/>
        <v>362.848</v>
      </c>
      <c r="AF1028" s="67">
        <f t="shared" si="33"/>
        <v>305.44</v>
      </c>
      <c r="AG1028" s="67">
        <f t="shared" si="15"/>
        <v>48.8704</v>
      </c>
      <c r="AH1028" s="67">
        <f t="shared" si="16"/>
        <v>354.3104</v>
      </c>
      <c r="AI1028" s="67">
        <f t="shared" si="17"/>
        <v>294.4</v>
      </c>
      <c r="AJ1028" s="96"/>
      <c r="AK1028" s="96"/>
      <c r="AL1028" s="70">
        <f>IFERROR(__xludf.DUMMYFUNCTION("""COMPUTED_VALUE"""),1.0)</f>
        <v>1</v>
      </c>
      <c r="AM1028" s="70"/>
      <c r="AN1028" s="71" t="str">
        <f>IFERROR(__xludf.DUMMYFUNCTION("""COMPUTED_VALUE""")," P")</f>
        <v>P</v>
      </c>
      <c r="AO1028" s="71" t="str">
        <f>IFERROR(__xludf.DUMMYFUNCTION("""COMPUTED_VALUE""")," POR3")</f>
        <v>POR3</v>
      </c>
      <c r="AP1028" s="71" t="str">
        <f>IFERROR(__xludf.DUMMYFUNCTION("""COMPUTED_VALUE""")," PZA")</f>
        <v>PZA</v>
      </c>
      <c r="AQ1028" s="71" t="str">
        <f>IFERROR(__xludf.DUMMYFUNCTION("""COMPUTED_VALUE""")," REF")</f>
        <v>REF</v>
      </c>
      <c r="AR1028" s="71" t="str">
        <f>IFERROR(__xludf.DUMMYFUNCTION("""COMPUTED_VALUE""")," PORTA RIEL SUPERIOR SENC. TIPO B.C.")</f>
        <v>PORTA RIEL SUPERIOR SENC. TIPO B.C.</v>
      </c>
      <c r="AS1028" s="71" t="str">
        <f>IFERROR(__xludf.DUMMYFUNCTION("""COMPUTED_VALUE""")," PORTA RIEL SUPERIOR SENC BC")</f>
        <v>PORTA RIEL SUPERIOR SENC BC</v>
      </c>
      <c r="AT1028" s="71">
        <f>IFERROR(__xludf.DUMMYFUNCTION("""COMPUTED_VALUE"""),27.0)</f>
        <v>27</v>
      </c>
      <c r="AU1028" s="71"/>
      <c r="AV1028" s="71"/>
      <c r="AW1028" s="71"/>
      <c r="AX1028" s="71"/>
      <c r="AY1028" s="71">
        <f>IFERROR(__xludf.DUMMYFUNCTION("""COMPUTED_VALUE"""),2320.0)</f>
        <v>2320</v>
      </c>
      <c r="AZ1028" s="71">
        <f>IFERROR(__xludf.DUMMYFUNCTION("""COMPUTED_VALUE"""),2505.0)</f>
        <v>2505</v>
      </c>
      <c r="BA1028" s="71">
        <f>IFERROR(__xludf.DUMMYFUNCTION("""COMPUTED_VALUE"""),2705.4)</f>
        <v>2705.4</v>
      </c>
      <c r="BB1028" s="71">
        <f>IFERROR(__xludf.DUMMYFUNCTION("""COMPUTED_VALUE"""),2705.4)</f>
        <v>2705.4</v>
      </c>
      <c r="BC1028" s="71">
        <f>IFERROR(__xludf.DUMMYFUNCTION("""COMPUTED_VALUE"""),2842.0)</f>
        <v>2842</v>
      </c>
      <c r="BD1028" s="71">
        <f>IFERROR(__xludf.DUMMYFUNCTION("""COMPUTED_VALUE"""),2984.0)</f>
        <v>2984</v>
      </c>
      <c r="BE1028" s="71">
        <f>IFERROR(__xludf.DUMMYFUNCTION("""COMPUTED_VALUE"""),477.44)</f>
        <v>477.44</v>
      </c>
      <c r="BF1028" s="71">
        <f>IFERROR(__xludf.DUMMYFUNCTION("""COMPUTED_VALUE"""),3461.44)</f>
        <v>3461.44</v>
      </c>
      <c r="BG1028" s="71">
        <f>IFERROR(__xludf.DUMMYFUNCTION("""COMPUTED_VALUE"""),0.04996481351161154)</f>
        <v>0.04996481351</v>
      </c>
      <c r="BH1028" s="71">
        <f>IFERROR(__xludf.DUMMYFUNCTION("""COMPUTED_VALUE"""),2834.7999999999997)</f>
        <v>2834.8</v>
      </c>
      <c r="BI1028" s="71">
        <f>IFERROR(__xludf.DUMMYFUNCTION("""COMPUTED_VALUE"""),453.568)</f>
        <v>453.568</v>
      </c>
      <c r="BJ1028" s="71">
        <f>IFERROR(__xludf.DUMMYFUNCTION("""COMPUTED_VALUE"""),3288.3679999999995)</f>
        <v>3288.368</v>
      </c>
      <c r="BK1028" s="71">
        <f>IFERROR(__xludf.DUMMYFUNCTION("""COMPUTED_VALUE"""),2685.6)</f>
        <v>2685.6</v>
      </c>
      <c r="BL1028" s="71">
        <f>IFERROR(__xludf.DUMMYFUNCTION("""COMPUTED_VALUE"""),429.69599999999997)</f>
        <v>429.696</v>
      </c>
      <c r="BM1028" s="71">
        <f>IFERROR(__xludf.DUMMYFUNCTION("""COMPUTED_VALUE"""),3115.296)</f>
        <v>3115.296</v>
      </c>
      <c r="BN1028" s="71">
        <f>IFERROR(__xludf.DUMMYFUNCTION("""COMPUTED_VALUE"""),2536.4)</f>
        <v>2536.4</v>
      </c>
      <c r="BO1028" s="71">
        <f>IFERROR(__xludf.DUMMYFUNCTION("""COMPUTED_VALUE"""),405.824)</f>
        <v>405.824</v>
      </c>
      <c r="BP1028" s="71">
        <f>IFERROR(__xludf.DUMMYFUNCTION("""COMPUTED_VALUE"""),2942.224)</f>
        <v>2942.224</v>
      </c>
      <c r="BQ1028" s="71">
        <f>IFERROR(__xludf.DUMMYFUNCTION("""COMPUTED_VALUE"""),2476.72)</f>
        <v>2476.72</v>
      </c>
      <c r="BR1028" s="71">
        <f>IFERROR(__xludf.DUMMYFUNCTION("""COMPUTED_VALUE"""),396.2752)</f>
        <v>396.2752</v>
      </c>
      <c r="BS1028" s="71">
        <f>IFERROR(__xludf.DUMMYFUNCTION("""COMPUTED_VALUE"""),2872.9952)</f>
        <v>2872.9952</v>
      </c>
      <c r="BT1028" s="71">
        <f>IFERROR(__xludf.DUMMYFUNCTION("""COMPUTED_VALUE"""),2387.2000000000003)</f>
        <v>2387.2</v>
      </c>
      <c r="BU1028" s="71">
        <f>IFERROR(__xludf.DUMMYFUNCTION("""COMPUTED_VALUE"""),381.95200000000006)</f>
        <v>381.952</v>
      </c>
      <c r="BV1028" s="71">
        <f>IFERROR(__xludf.DUMMYFUNCTION("""COMPUTED_VALUE"""),2769.1520000000005)</f>
        <v>2769.152</v>
      </c>
    </row>
    <row r="1029">
      <c r="A1029" s="53">
        <v>1.0</v>
      </c>
      <c r="B1029" s="72"/>
      <c r="C1029" s="120" t="s">
        <v>53</v>
      </c>
      <c r="D1029" s="74" t="s">
        <v>2492</v>
      </c>
      <c r="E1029" s="54" t="s">
        <v>38</v>
      </c>
      <c r="F1029" s="54" t="s">
        <v>42</v>
      </c>
      <c r="G1029" s="54" t="s">
        <v>2493</v>
      </c>
      <c r="H1029" s="54" t="s">
        <v>2494</v>
      </c>
      <c r="I1029" s="54">
        <f t="shared" si="24"/>
        <v>37</v>
      </c>
      <c r="J1029" s="56"/>
      <c r="K1029" s="75"/>
      <c r="L1029" s="76"/>
      <c r="M1029" s="59"/>
      <c r="N1029" s="60">
        <v>49.0</v>
      </c>
      <c r="O1029" s="61">
        <v>52.0</v>
      </c>
      <c r="P1029" s="62">
        <v>56.160000000000004</v>
      </c>
      <c r="Q1029" s="63">
        <v>56.160000000000004</v>
      </c>
      <c r="R1029" s="64">
        <v>66.0</v>
      </c>
      <c r="S1029" s="111">
        <v>69.0</v>
      </c>
      <c r="T1029" s="65">
        <f t="shared" si="34"/>
        <v>11.04</v>
      </c>
      <c r="U1029" s="65">
        <f t="shared" si="35"/>
        <v>80.04</v>
      </c>
      <c r="V1029" s="66">
        <f t="shared" si="36"/>
        <v>0.04545454545</v>
      </c>
      <c r="W1029" s="67">
        <f t="shared" si="5"/>
        <v>65.55</v>
      </c>
      <c r="X1029" s="67">
        <f t="shared" si="6"/>
        <v>10.488</v>
      </c>
      <c r="Y1029" s="67">
        <f t="shared" si="7"/>
        <v>76.038</v>
      </c>
      <c r="Z1029" s="67">
        <f t="shared" si="8"/>
        <v>62.1</v>
      </c>
      <c r="AA1029" s="67">
        <f t="shared" si="9"/>
        <v>9.936</v>
      </c>
      <c r="AB1029" s="67">
        <f t="shared" si="10"/>
        <v>72.036</v>
      </c>
      <c r="AC1029" s="67">
        <f t="shared" si="11"/>
        <v>58.65</v>
      </c>
      <c r="AD1029" s="67">
        <f t="shared" si="12"/>
        <v>9.384</v>
      </c>
      <c r="AE1029" s="67">
        <f t="shared" si="13"/>
        <v>68.034</v>
      </c>
      <c r="AF1029" s="67">
        <f t="shared" si="33"/>
        <v>57.27</v>
      </c>
      <c r="AG1029" s="67">
        <f t="shared" si="15"/>
        <v>9.1632</v>
      </c>
      <c r="AH1029" s="67">
        <f t="shared" si="16"/>
        <v>66.4332</v>
      </c>
      <c r="AI1029" s="67">
        <f t="shared" si="17"/>
        <v>55.2</v>
      </c>
      <c r="AJ1029" s="68">
        <f t="shared" ref="AJ1029:AJ1214" si="37">AI1029*0.16</f>
        <v>8.832</v>
      </c>
      <c r="AK1029" s="68">
        <f t="shared" ref="AK1029:AK1214" si="38">AI1029+AJ1029</f>
        <v>64.032</v>
      </c>
      <c r="AL1029" s="70">
        <f>IFERROR(__xludf.DUMMYFUNCTION("""COMPUTED_VALUE"""),1.0)</f>
        <v>1</v>
      </c>
      <c r="AM1029" s="70"/>
      <c r="AN1029" s="71" t="str">
        <f>IFERROR(__xludf.DUMMYFUNCTION("""COMPUTED_VALUE""")," P")</f>
        <v>P</v>
      </c>
      <c r="AO1029" s="71" t="str">
        <f>IFERROR(__xludf.DUMMYFUNCTION("""COMPUTED_VALUE""")," PX01")</f>
        <v>PX01</v>
      </c>
      <c r="AP1029" s="71" t="str">
        <f>IFERROR(__xludf.DUMMYFUNCTION("""COMPUTED_VALUE""")," PZA")</f>
        <v>PZA</v>
      </c>
      <c r="AQ1029" s="71" t="str">
        <f>IFERROR(__xludf.DUMMYFUNCTION("""COMPUTED_VALUE""")," REF")</f>
        <v>REF</v>
      </c>
      <c r="AR1029" s="71" t="str">
        <f>IFERROR(__xludf.DUMMYFUNCTION("""COMPUTED_VALUE""")," PORTA RODAJA CORTA")</f>
        <v>PORTA RODAJA CORTA</v>
      </c>
      <c r="AS1029" s="71" t="str">
        <f>IFERROR(__xludf.DUMMYFUNCTION("""COMPUTED_VALUE""")," PORTA RODAJA CORTA")</f>
        <v>PORTA RODAJA CORTA</v>
      </c>
      <c r="AT1029" s="71">
        <f>IFERROR(__xludf.DUMMYFUNCTION("""COMPUTED_VALUE"""),18.0)</f>
        <v>18</v>
      </c>
      <c r="AU1029" s="71"/>
      <c r="AV1029" s="71"/>
      <c r="AW1029" s="71"/>
      <c r="AX1029" s="71"/>
      <c r="AY1029" s="71">
        <f>IFERROR(__xludf.DUMMYFUNCTION("""COMPUTED_VALUE"""),40.0)</f>
        <v>40</v>
      </c>
      <c r="AZ1029" s="71">
        <f>IFERROR(__xludf.DUMMYFUNCTION("""COMPUTED_VALUE"""),43.0)</f>
        <v>43</v>
      </c>
      <c r="BA1029" s="71">
        <f>IFERROR(__xludf.DUMMYFUNCTION("""COMPUTED_VALUE"""),46.440000000000005)</f>
        <v>46.44</v>
      </c>
      <c r="BB1029" s="71">
        <f>IFERROR(__xludf.DUMMYFUNCTION("""COMPUTED_VALUE"""),46.440000000000005)</f>
        <v>46.44</v>
      </c>
      <c r="BC1029" s="71">
        <f>IFERROR(__xludf.DUMMYFUNCTION("""COMPUTED_VALUE"""),53.0)</f>
        <v>53</v>
      </c>
      <c r="BD1029" s="71">
        <f>IFERROR(__xludf.DUMMYFUNCTION("""COMPUTED_VALUE"""),56.0)</f>
        <v>56</v>
      </c>
      <c r="BE1029" s="71">
        <f>IFERROR(__xludf.DUMMYFUNCTION("""COMPUTED_VALUE"""),8.96)</f>
        <v>8.96</v>
      </c>
      <c r="BF1029" s="71">
        <f>IFERROR(__xludf.DUMMYFUNCTION("""COMPUTED_VALUE"""),64.96000000000001)</f>
        <v>64.96</v>
      </c>
      <c r="BG1029" s="71">
        <f>IFERROR(__xludf.DUMMYFUNCTION("""COMPUTED_VALUE"""),0.05660377358490566)</f>
        <v>0.05660377358</v>
      </c>
      <c r="BH1029" s="71">
        <f>IFERROR(__xludf.DUMMYFUNCTION("""COMPUTED_VALUE"""),53.199999999999996)</f>
        <v>53.2</v>
      </c>
      <c r="BI1029" s="71">
        <f>IFERROR(__xludf.DUMMYFUNCTION("""COMPUTED_VALUE"""),8.511999999999999)</f>
        <v>8.512</v>
      </c>
      <c r="BJ1029" s="71">
        <f>IFERROR(__xludf.DUMMYFUNCTION("""COMPUTED_VALUE"""),61.711999999999996)</f>
        <v>61.712</v>
      </c>
      <c r="BK1029" s="71">
        <f>IFERROR(__xludf.DUMMYFUNCTION("""COMPUTED_VALUE"""),50.4)</f>
        <v>50.4</v>
      </c>
      <c r="BL1029" s="71">
        <f>IFERROR(__xludf.DUMMYFUNCTION("""COMPUTED_VALUE"""),8.064)</f>
        <v>8.064</v>
      </c>
      <c r="BM1029" s="71">
        <f>IFERROR(__xludf.DUMMYFUNCTION("""COMPUTED_VALUE"""),58.464)</f>
        <v>58.464</v>
      </c>
      <c r="BN1029" s="71">
        <f>IFERROR(__xludf.DUMMYFUNCTION("""COMPUTED_VALUE"""),47.6)</f>
        <v>47.6</v>
      </c>
      <c r="BO1029" s="71">
        <f>IFERROR(__xludf.DUMMYFUNCTION("""COMPUTED_VALUE"""),7.6160000000000005)</f>
        <v>7.616</v>
      </c>
      <c r="BP1029" s="71">
        <f>IFERROR(__xludf.DUMMYFUNCTION("""COMPUTED_VALUE"""),55.216)</f>
        <v>55.216</v>
      </c>
      <c r="BQ1029" s="71">
        <f>IFERROR(__xludf.DUMMYFUNCTION("""COMPUTED_VALUE"""),46.48)</f>
        <v>46.48</v>
      </c>
      <c r="BR1029" s="71">
        <f>IFERROR(__xludf.DUMMYFUNCTION("""COMPUTED_VALUE"""),7.4368)</f>
        <v>7.4368</v>
      </c>
      <c r="BS1029" s="71">
        <f>IFERROR(__xludf.DUMMYFUNCTION("""COMPUTED_VALUE"""),53.916799999999995)</f>
        <v>53.9168</v>
      </c>
      <c r="BT1029" s="71">
        <f>IFERROR(__xludf.DUMMYFUNCTION("""COMPUTED_VALUE"""),44.800000000000004)</f>
        <v>44.8</v>
      </c>
      <c r="BU1029" s="71">
        <f>IFERROR(__xludf.DUMMYFUNCTION("""COMPUTED_VALUE"""),7.168000000000001)</f>
        <v>7.168</v>
      </c>
      <c r="BV1029" s="71">
        <f>IFERROR(__xludf.DUMMYFUNCTION("""COMPUTED_VALUE"""),51.968)</f>
        <v>51.968</v>
      </c>
    </row>
    <row r="1030">
      <c r="A1030" s="53"/>
      <c r="B1030" s="53"/>
      <c r="C1030" s="73" t="s">
        <v>53</v>
      </c>
      <c r="D1030" s="53" t="s">
        <v>2495</v>
      </c>
      <c r="E1030" s="54" t="s">
        <v>38</v>
      </c>
      <c r="F1030" s="55" t="s">
        <v>309</v>
      </c>
      <c r="G1030" s="54" t="s">
        <v>2496</v>
      </c>
      <c r="H1030" s="54" t="s">
        <v>2497</v>
      </c>
      <c r="I1030" s="54">
        <f t="shared" si="24"/>
        <v>37</v>
      </c>
      <c r="J1030" s="56"/>
      <c r="K1030" s="57"/>
      <c r="L1030" s="76"/>
      <c r="M1030" s="59"/>
      <c r="N1030" s="60"/>
      <c r="O1030" s="90">
        <v>86.0</v>
      </c>
      <c r="P1030" s="62">
        <v>92.88000000000001</v>
      </c>
      <c r="Q1030" s="63">
        <v>92.88000000000001</v>
      </c>
      <c r="R1030" s="64">
        <v>109.0</v>
      </c>
      <c r="S1030" s="111">
        <v>114.0</v>
      </c>
      <c r="T1030" s="65">
        <f t="shared" si="34"/>
        <v>18.24</v>
      </c>
      <c r="U1030" s="65">
        <f t="shared" si="35"/>
        <v>132.24</v>
      </c>
      <c r="V1030" s="66">
        <f t="shared" si="36"/>
        <v>0.04587155963</v>
      </c>
      <c r="W1030" s="67">
        <f t="shared" si="5"/>
        <v>108.3</v>
      </c>
      <c r="X1030" s="67">
        <f t="shared" si="6"/>
        <v>17.328</v>
      </c>
      <c r="Y1030" s="67">
        <f t="shared" si="7"/>
        <v>125.628</v>
      </c>
      <c r="Z1030" s="67">
        <f t="shared" si="8"/>
        <v>102.6</v>
      </c>
      <c r="AA1030" s="67">
        <f t="shared" si="9"/>
        <v>16.416</v>
      </c>
      <c r="AB1030" s="67">
        <f t="shared" si="10"/>
        <v>119.016</v>
      </c>
      <c r="AC1030" s="67">
        <f t="shared" si="11"/>
        <v>96.9</v>
      </c>
      <c r="AD1030" s="67">
        <f t="shared" si="12"/>
        <v>15.504</v>
      </c>
      <c r="AE1030" s="67">
        <f t="shared" si="13"/>
        <v>112.404</v>
      </c>
      <c r="AF1030" s="67">
        <f t="shared" si="33"/>
        <v>94.62</v>
      </c>
      <c r="AG1030" s="67">
        <f t="shared" si="15"/>
        <v>15.1392</v>
      </c>
      <c r="AH1030" s="67">
        <f t="shared" si="16"/>
        <v>109.7592</v>
      </c>
      <c r="AI1030" s="67">
        <f t="shared" si="17"/>
        <v>91.2</v>
      </c>
      <c r="AJ1030" s="68">
        <f t="shared" si="37"/>
        <v>14.592</v>
      </c>
      <c r="AK1030" s="68">
        <f t="shared" si="38"/>
        <v>105.792</v>
      </c>
      <c r="AL1030" s="70">
        <f>IFERROR(__xludf.DUMMYFUNCTION("""COMPUTED_VALUE"""),1.0)</f>
        <v>1</v>
      </c>
      <c r="AM1030" s="70"/>
      <c r="AN1030" s="71" t="str">
        <f>IFERROR(__xludf.DUMMYFUNCTION("""COMPUTED_VALUE""")," P")</f>
        <v>P</v>
      </c>
      <c r="AO1030" s="71" t="str">
        <f>IFERROR(__xludf.DUMMYFUNCTION("""COMPUTED_VALUE""")," PX02")</f>
        <v>PX02</v>
      </c>
      <c r="AP1030" s="71" t="str">
        <f>IFERROR(__xludf.DUMMYFUNCTION("""COMPUTED_VALUE""")," PZA")</f>
        <v>PZA</v>
      </c>
      <c r="AQ1030" s="71" t="str">
        <f>IFERROR(__xludf.DUMMYFUNCTION("""COMPUTED_VALUE""")," REF")</f>
        <v>REF</v>
      </c>
      <c r="AR1030" s="71" t="str">
        <f>IFERROR(__xludf.DUMMYFUNCTION("""COMPUTED_VALUE""")," PORTA RODAJA LARGA")</f>
        <v>PORTA RODAJA LARGA</v>
      </c>
      <c r="AS1030" s="71" t="str">
        <f>IFERROR(__xludf.DUMMYFUNCTION("""COMPUTED_VALUE""")," PORTA RODAJA LARGA")</f>
        <v>PORTA RODAJA LARGA</v>
      </c>
      <c r="AT1030" s="71">
        <f>IFERROR(__xludf.DUMMYFUNCTION("""COMPUTED_VALUE"""),18.0)</f>
        <v>18</v>
      </c>
      <c r="AU1030" s="71"/>
      <c r="AV1030" s="71"/>
      <c r="AW1030" s="71"/>
      <c r="AX1030" s="71"/>
      <c r="AY1030" s="71">
        <f>IFERROR(__xludf.DUMMYFUNCTION("""COMPUTED_VALUE"""),40.0)</f>
        <v>40</v>
      </c>
      <c r="AZ1030" s="71">
        <f>IFERROR(__xludf.DUMMYFUNCTION("""COMPUTED_VALUE"""),43.0)</f>
        <v>43</v>
      </c>
      <c r="BA1030" s="71">
        <f>IFERROR(__xludf.DUMMYFUNCTION("""COMPUTED_VALUE"""),46.440000000000005)</f>
        <v>46.44</v>
      </c>
      <c r="BB1030" s="71">
        <f>IFERROR(__xludf.DUMMYFUNCTION("""COMPUTED_VALUE"""),46.440000000000005)</f>
        <v>46.44</v>
      </c>
      <c r="BC1030" s="71">
        <f>IFERROR(__xludf.DUMMYFUNCTION("""COMPUTED_VALUE"""),53.0)</f>
        <v>53</v>
      </c>
      <c r="BD1030" s="71">
        <f>IFERROR(__xludf.DUMMYFUNCTION("""COMPUTED_VALUE"""),56.0)</f>
        <v>56</v>
      </c>
      <c r="BE1030" s="71">
        <f>IFERROR(__xludf.DUMMYFUNCTION("""COMPUTED_VALUE"""),8.96)</f>
        <v>8.96</v>
      </c>
      <c r="BF1030" s="71">
        <f>IFERROR(__xludf.DUMMYFUNCTION("""COMPUTED_VALUE"""),64.96000000000001)</f>
        <v>64.96</v>
      </c>
      <c r="BG1030" s="71">
        <f>IFERROR(__xludf.DUMMYFUNCTION("""COMPUTED_VALUE"""),0.05660377358490566)</f>
        <v>0.05660377358</v>
      </c>
      <c r="BH1030" s="71">
        <f>IFERROR(__xludf.DUMMYFUNCTION("""COMPUTED_VALUE"""),53.199999999999996)</f>
        <v>53.2</v>
      </c>
      <c r="BI1030" s="71">
        <f>IFERROR(__xludf.DUMMYFUNCTION("""COMPUTED_VALUE"""),8.511999999999999)</f>
        <v>8.512</v>
      </c>
      <c r="BJ1030" s="71">
        <f>IFERROR(__xludf.DUMMYFUNCTION("""COMPUTED_VALUE"""),61.711999999999996)</f>
        <v>61.712</v>
      </c>
      <c r="BK1030" s="71">
        <f>IFERROR(__xludf.DUMMYFUNCTION("""COMPUTED_VALUE"""),50.4)</f>
        <v>50.4</v>
      </c>
      <c r="BL1030" s="71">
        <f>IFERROR(__xludf.DUMMYFUNCTION("""COMPUTED_VALUE"""),8.064)</f>
        <v>8.064</v>
      </c>
      <c r="BM1030" s="71">
        <f>IFERROR(__xludf.DUMMYFUNCTION("""COMPUTED_VALUE"""),58.464)</f>
        <v>58.464</v>
      </c>
      <c r="BN1030" s="71">
        <f>IFERROR(__xludf.DUMMYFUNCTION("""COMPUTED_VALUE"""),47.6)</f>
        <v>47.6</v>
      </c>
      <c r="BO1030" s="71">
        <f>IFERROR(__xludf.DUMMYFUNCTION("""COMPUTED_VALUE"""),7.6160000000000005)</f>
        <v>7.616</v>
      </c>
      <c r="BP1030" s="71">
        <f>IFERROR(__xludf.DUMMYFUNCTION("""COMPUTED_VALUE"""),55.216)</f>
        <v>55.216</v>
      </c>
      <c r="BQ1030" s="71">
        <f>IFERROR(__xludf.DUMMYFUNCTION("""COMPUTED_VALUE"""),46.48)</f>
        <v>46.48</v>
      </c>
      <c r="BR1030" s="71">
        <f>IFERROR(__xludf.DUMMYFUNCTION("""COMPUTED_VALUE"""),7.4368)</f>
        <v>7.4368</v>
      </c>
      <c r="BS1030" s="71">
        <f>IFERROR(__xludf.DUMMYFUNCTION("""COMPUTED_VALUE"""),53.916799999999995)</f>
        <v>53.9168</v>
      </c>
      <c r="BT1030" s="71">
        <f>IFERROR(__xludf.DUMMYFUNCTION("""COMPUTED_VALUE"""),44.800000000000004)</f>
        <v>44.8</v>
      </c>
      <c r="BU1030" s="71">
        <f>IFERROR(__xludf.DUMMYFUNCTION("""COMPUTED_VALUE"""),7.168000000000001)</f>
        <v>7.168</v>
      </c>
      <c r="BV1030" s="71">
        <f>IFERROR(__xludf.DUMMYFUNCTION("""COMPUTED_VALUE"""),51.968)</f>
        <v>51.968</v>
      </c>
    </row>
    <row r="1031">
      <c r="A1031" s="53">
        <v>1.0</v>
      </c>
      <c r="B1031" s="72"/>
      <c r="C1031" s="120" t="s">
        <v>53</v>
      </c>
      <c r="D1031" s="74" t="s">
        <v>2498</v>
      </c>
      <c r="E1031" s="54" t="s">
        <v>38</v>
      </c>
      <c r="F1031" s="54" t="s">
        <v>42</v>
      </c>
      <c r="G1031" s="54" t="s">
        <v>2499</v>
      </c>
      <c r="H1031" s="54" t="s">
        <v>2500</v>
      </c>
      <c r="I1031" s="54">
        <f t="shared" si="24"/>
        <v>37</v>
      </c>
      <c r="J1031" s="56"/>
      <c r="K1031" s="75"/>
      <c r="L1031" s="76"/>
      <c r="M1031" s="59"/>
      <c r="N1031" s="60">
        <v>80.0</v>
      </c>
      <c r="O1031" s="61">
        <v>86.0</v>
      </c>
      <c r="P1031" s="62">
        <v>92.88000000000001</v>
      </c>
      <c r="Q1031" s="63">
        <v>92.88000000000001</v>
      </c>
      <c r="R1031" s="64">
        <v>109.0</v>
      </c>
      <c r="S1031" s="111">
        <v>114.0</v>
      </c>
      <c r="T1031" s="65">
        <f t="shared" si="34"/>
        <v>18.24</v>
      </c>
      <c r="U1031" s="65">
        <f t="shared" si="35"/>
        <v>132.24</v>
      </c>
      <c r="V1031" s="66">
        <f t="shared" si="36"/>
        <v>0.04587155963</v>
      </c>
      <c r="W1031" s="67">
        <f t="shared" si="5"/>
        <v>108.3</v>
      </c>
      <c r="X1031" s="67">
        <f t="shared" si="6"/>
        <v>17.328</v>
      </c>
      <c r="Y1031" s="67">
        <f t="shared" si="7"/>
        <v>125.628</v>
      </c>
      <c r="Z1031" s="67">
        <f t="shared" si="8"/>
        <v>102.6</v>
      </c>
      <c r="AA1031" s="67">
        <f t="shared" si="9"/>
        <v>16.416</v>
      </c>
      <c r="AB1031" s="67">
        <f t="shared" si="10"/>
        <v>119.016</v>
      </c>
      <c r="AC1031" s="67">
        <f t="shared" si="11"/>
        <v>96.9</v>
      </c>
      <c r="AD1031" s="67">
        <f t="shared" si="12"/>
        <v>15.504</v>
      </c>
      <c r="AE1031" s="67">
        <f t="shared" si="13"/>
        <v>112.404</v>
      </c>
      <c r="AF1031" s="67">
        <f t="shared" si="33"/>
        <v>94.62</v>
      </c>
      <c r="AG1031" s="67">
        <f t="shared" si="15"/>
        <v>15.1392</v>
      </c>
      <c r="AH1031" s="67">
        <f t="shared" si="16"/>
        <v>109.7592</v>
      </c>
      <c r="AI1031" s="67">
        <f t="shared" si="17"/>
        <v>91.2</v>
      </c>
      <c r="AJ1031" s="68">
        <f t="shared" si="37"/>
        <v>14.592</v>
      </c>
      <c r="AK1031" s="68">
        <f t="shared" si="38"/>
        <v>105.792</v>
      </c>
      <c r="AL1031" s="70">
        <f>IFERROR(__xludf.DUMMYFUNCTION("""COMPUTED_VALUE"""),1.0)</f>
        <v>1</v>
      </c>
      <c r="AM1031" s="70"/>
      <c r="AN1031" s="71" t="str">
        <f>IFERROR(__xludf.DUMMYFUNCTION("""COMPUTED_VALUE""")," P")</f>
        <v>P</v>
      </c>
      <c r="AO1031" s="71" t="str">
        <f>IFERROR(__xludf.DUMMYFUNCTION("""COMPUTED_VALUE""")," PU01")</f>
        <v>PU01</v>
      </c>
      <c r="AP1031" s="71" t="str">
        <f>IFERROR(__xludf.DUMMYFUNCTION("""COMPUTED_VALUE""")," PZA")</f>
        <v>PZA</v>
      </c>
      <c r="AQ1031" s="71" t="str">
        <f>IFERROR(__xludf.DUMMYFUNCTION("""COMPUTED_VALUE""")," REF")</f>
        <v>REF</v>
      </c>
      <c r="AR1031" s="71" t="str">
        <f>IFERROR(__xludf.DUMMYFUNCTION("""COMPUTED_VALUE""")," PUENTE ADICIONAL DÚPLEX")</f>
        <v>PUENTE ADICIONAL DÚPLEX</v>
      </c>
      <c r="AS1031" s="71" t="str">
        <f>IFERROR(__xludf.DUMMYFUNCTION("""COMPUTED_VALUE""")," PUENTE ADICIONAL DPLX")</f>
        <v>PUENTE ADICIONAL DPLX</v>
      </c>
      <c r="AT1031" s="71">
        <f>IFERROR(__xludf.DUMMYFUNCTION("""COMPUTED_VALUE"""),21.0)</f>
        <v>21</v>
      </c>
      <c r="AU1031" s="71"/>
      <c r="AV1031" s="71"/>
      <c r="AW1031" s="71"/>
      <c r="AX1031" s="71"/>
      <c r="AY1031" s="71">
        <f>IFERROR(__xludf.DUMMYFUNCTION("""COMPUTED_VALUE"""),452.0)</f>
        <v>452</v>
      </c>
      <c r="AZ1031" s="71">
        <f>IFERROR(__xludf.DUMMYFUNCTION("""COMPUTED_VALUE"""),488.0)</f>
        <v>488</v>
      </c>
      <c r="BA1031" s="71">
        <f>IFERROR(__xludf.DUMMYFUNCTION("""COMPUTED_VALUE"""),527.0400000000001)</f>
        <v>527.04</v>
      </c>
      <c r="BB1031" s="71">
        <f>IFERROR(__xludf.DUMMYFUNCTION("""COMPUTED_VALUE"""),527.0400000000001)</f>
        <v>527.04</v>
      </c>
      <c r="BC1031" s="71">
        <f>IFERROR(__xludf.DUMMYFUNCTION("""COMPUTED_VALUE"""),587.0)</f>
        <v>587</v>
      </c>
      <c r="BD1031" s="71">
        <f>IFERROR(__xludf.DUMMYFUNCTION("""COMPUTED_VALUE"""),616.0)</f>
        <v>616</v>
      </c>
      <c r="BE1031" s="71">
        <f>IFERROR(__xludf.DUMMYFUNCTION("""COMPUTED_VALUE"""),98.56)</f>
        <v>98.56</v>
      </c>
      <c r="BF1031" s="71">
        <f>IFERROR(__xludf.DUMMYFUNCTION("""COMPUTED_VALUE"""),714.56)</f>
        <v>714.56</v>
      </c>
      <c r="BG1031" s="71">
        <f>IFERROR(__xludf.DUMMYFUNCTION("""COMPUTED_VALUE"""),0.049403747870528106)</f>
        <v>0.04940374787</v>
      </c>
      <c r="BH1031" s="71">
        <f>IFERROR(__xludf.DUMMYFUNCTION("""COMPUTED_VALUE"""),585.1999999999999)</f>
        <v>585.2</v>
      </c>
      <c r="BI1031" s="71">
        <f>IFERROR(__xludf.DUMMYFUNCTION("""COMPUTED_VALUE"""),93.63199999999999)</f>
        <v>93.632</v>
      </c>
      <c r="BJ1031" s="71">
        <f>IFERROR(__xludf.DUMMYFUNCTION("""COMPUTED_VALUE"""),678.8319999999999)</f>
        <v>678.832</v>
      </c>
      <c r="BK1031" s="71">
        <f>IFERROR(__xludf.DUMMYFUNCTION("""COMPUTED_VALUE"""),554.4)</f>
        <v>554.4</v>
      </c>
      <c r="BL1031" s="71">
        <f>IFERROR(__xludf.DUMMYFUNCTION("""COMPUTED_VALUE"""),88.704)</f>
        <v>88.704</v>
      </c>
      <c r="BM1031" s="71">
        <f>IFERROR(__xludf.DUMMYFUNCTION("""COMPUTED_VALUE"""),643.1039999999999)</f>
        <v>643.104</v>
      </c>
      <c r="BN1031" s="71">
        <f>IFERROR(__xludf.DUMMYFUNCTION("""COMPUTED_VALUE"""),523.6)</f>
        <v>523.6</v>
      </c>
      <c r="BO1031" s="71">
        <f>IFERROR(__xludf.DUMMYFUNCTION("""COMPUTED_VALUE"""),83.77600000000001)</f>
        <v>83.776</v>
      </c>
      <c r="BP1031" s="71">
        <f>IFERROR(__xludf.DUMMYFUNCTION("""COMPUTED_VALUE"""),607.376)</f>
        <v>607.376</v>
      </c>
      <c r="BQ1031" s="71">
        <f>IFERROR(__xludf.DUMMYFUNCTION("""COMPUTED_VALUE"""),511.28)</f>
        <v>511.28</v>
      </c>
      <c r="BR1031" s="71">
        <f>IFERROR(__xludf.DUMMYFUNCTION("""COMPUTED_VALUE"""),81.8048)</f>
        <v>81.8048</v>
      </c>
      <c r="BS1031" s="71">
        <f>IFERROR(__xludf.DUMMYFUNCTION("""COMPUTED_VALUE"""),593.0848)</f>
        <v>593.0848</v>
      </c>
      <c r="BT1031" s="71">
        <f>IFERROR(__xludf.DUMMYFUNCTION("""COMPUTED_VALUE"""),492.8)</f>
        <v>492.8</v>
      </c>
      <c r="BU1031" s="71">
        <f>IFERROR(__xludf.DUMMYFUNCTION("""COMPUTED_VALUE"""),78.848)</f>
        <v>78.848</v>
      </c>
      <c r="BV1031" s="71">
        <f>IFERROR(__xludf.DUMMYFUNCTION("""COMPUTED_VALUE"""),571.648)</f>
        <v>571.648</v>
      </c>
    </row>
    <row r="1032">
      <c r="A1032" s="53">
        <v>1.0</v>
      </c>
      <c r="B1032" s="72"/>
      <c r="C1032" s="120" t="s">
        <v>53</v>
      </c>
      <c r="D1032" s="74" t="s">
        <v>2501</v>
      </c>
      <c r="E1032" s="54" t="s">
        <v>38</v>
      </c>
      <c r="F1032" s="54" t="s">
        <v>42</v>
      </c>
      <c r="G1032" s="55" t="s">
        <v>2502</v>
      </c>
      <c r="H1032" s="54" t="s">
        <v>2503</v>
      </c>
      <c r="I1032" s="54">
        <f t="shared" si="24"/>
        <v>23</v>
      </c>
      <c r="J1032" s="56"/>
      <c r="K1032" s="75"/>
      <c r="L1032" s="76"/>
      <c r="M1032" s="59"/>
      <c r="N1032" s="60">
        <v>126.0</v>
      </c>
      <c r="O1032" s="61">
        <v>136.0</v>
      </c>
      <c r="P1032" s="62">
        <v>146.88</v>
      </c>
      <c r="Q1032" s="63">
        <v>146.88</v>
      </c>
      <c r="R1032" s="64">
        <v>176.0</v>
      </c>
      <c r="S1032" s="111">
        <v>185.0</v>
      </c>
      <c r="T1032" s="65">
        <f t="shared" si="34"/>
        <v>29.6</v>
      </c>
      <c r="U1032" s="65">
        <f t="shared" si="35"/>
        <v>214.6</v>
      </c>
      <c r="V1032" s="66">
        <f t="shared" si="36"/>
        <v>0.05113636364</v>
      </c>
      <c r="W1032" s="67">
        <f t="shared" si="5"/>
        <v>175.75</v>
      </c>
      <c r="X1032" s="67">
        <f t="shared" si="6"/>
        <v>28.12</v>
      </c>
      <c r="Y1032" s="67">
        <f t="shared" si="7"/>
        <v>203.87</v>
      </c>
      <c r="Z1032" s="67">
        <f t="shared" si="8"/>
        <v>166.5</v>
      </c>
      <c r="AA1032" s="67">
        <f t="shared" si="9"/>
        <v>26.64</v>
      </c>
      <c r="AB1032" s="67">
        <f t="shared" si="10"/>
        <v>193.14</v>
      </c>
      <c r="AC1032" s="67">
        <f t="shared" si="11"/>
        <v>157.25</v>
      </c>
      <c r="AD1032" s="67">
        <f t="shared" si="12"/>
        <v>25.16</v>
      </c>
      <c r="AE1032" s="67">
        <f t="shared" si="13"/>
        <v>182.41</v>
      </c>
      <c r="AF1032" s="67">
        <f t="shared" si="33"/>
        <v>153.55</v>
      </c>
      <c r="AG1032" s="67">
        <f t="shared" si="15"/>
        <v>24.568</v>
      </c>
      <c r="AH1032" s="67">
        <f t="shared" si="16"/>
        <v>178.118</v>
      </c>
      <c r="AI1032" s="67">
        <f t="shared" si="17"/>
        <v>148</v>
      </c>
      <c r="AJ1032" s="68">
        <f t="shared" si="37"/>
        <v>23.68</v>
      </c>
      <c r="AK1032" s="68">
        <f t="shared" si="38"/>
        <v>171.68</v>
      </c>
      <c r="AL1032" s="70">
        <f>IFERROR(__xludf.DUMMYFUNCTION("""COMPUTED_VALUE"""),1.0)</f>
        <v>1</v>
      </c>
      <c r="AM1032" s="70"/>
      <c r="AN1032" s="71" t="str">
        <f>IFERROR(__xludf.DUMMYFUNCTION("""COMPUTED_VALUE""")," P")</f>
        <v>P</v>
      </c>
      <c r="AO1032" s="71" t="str">
        <f>IFERROR(__xludf.DUMMYFUNCTION("""COMPUTED_VALUE""")," PU02")</f>
        <v>PU02</v>
      </c>
      <c r="AP1032" s="71" t="str">
        <f>IFERROR(__xludf.DUMMYFUNCTION("""COMPUTED_VALUE""")," PZA")</f>
        <v>PZA</v>
      </c>
      <c r="AQ1032" s="71" t="str">
        <f>IFERROR(__xludf.DUMMYFUNCTION("""COMPUTED_VALUE""")," REF")</f>
        <v>REF</v>
      </c>
      <c r="AR1032" s="71" t="str">
        <f>IFERROR(__xludf.DUMMYFUNCTION("""COMPUTED_VALUE""")," PUENTE ADICIONAL SENCILLO")</f>
        <v>PUENTE ADICIONAL SENCILLO</v>
      </c>
      <c r="AS1032" s="71" t="str">
        <f>IFERROR(__xludf.DUMMYFUNCTION("""COMPUTED_VALUE""")," PUENTE ADICIONAL SENCILLO")</f>
        <v>PUENTE ADICIONAL SENCILLO</v>
      </c>
      <c r="AT1032" s="71">
        <f>IFERROR(__xludf.DUMMYFUNCTION("""COMPUTED_VALUE"""),25.0)</f>
        <v>25</v>
      </c>
      <c r="AU1032" s="71"/>
      <c r="AV1032" s="71"/>
      <c r="AW1032" s="71"/>
      <c r="AX1032" s="71"/>
      <c r="AY1032" s="71">
        <f>IFERROR(__xludf.DUMMYFUNCTION("""COMPUTED_VALUE"""),313.0)</f>
        <v>313</v>
      </c>
      <c r="AZ1032" s="71">
        <f>IFERROR(__xludf.DUMMYFUNCTION("""COMPUTED_VALUE"""),338.0)</f>
        <v>338</v>
      </c>
      <c r="BA1032" s="71">
        <f>IFERROR(__xludf.DUMMYFUNCTION("""COMPUTED_VALUE"""),365.04)</f>
        <v>365.04</v>
      </c>
      <c r="BB1032" s="71">
        <f>IFERROR(__xludf.DUMMYFUNCTION("""COMPUTED_VALUE"""),365.04)</f>
        <v>365.04</v>
      </c>
      <c r="BC1032" s="71">
        <f>IFERROR(__xludf.DUMMYFUNCTION("""COMPUTED_VALUE"""),407.0)</f>
        <v>407</v>
      </c>
      <c r="BD1032" s="71">
        <f>IFERROR(__xludf.DUMMYFUNCTION("""COMPUTED_VALUE"""),427.0)</f>
        <v>427</v>
      </c>
      <c r="BE1032" s="71">
        <f>IFERROR(__xludf.DUMMYFUNCTION("""COMPUTED_VALUE"""),68.32000000000001)</f>
        <v>68.32</v>
      </c>
      <c r="BF1032" s="71">
        <f>IFERROR(__xludf.DUMMYFUNCTION("""COMPUTED_VALUE"""),495.32)</f>
        <v>495.32</v>
      </c>
      <c r="BG1032" s="71">
        <f>IFERROR(__xludf.DUMMYFUNCTION("""COMPUTED_VALUE"""),0.04914004914004914)</f>
        <v>0.04914004914</v>
      </c>
      <c r="BH1032" s="71">
        <f>IFERROR(__xludf.DUMMYFUNCTION("""COMPUTED_VALUE"""),405.65)</f>
        <v>405.65</v>
      </c>
      <c r="BI1032" s="71">
        <f>IFERROR(__xludf.DUMMYFUNCTION("""COMPUTED_VALUE"""),64.904)</f>
        <v>64.904</v>
      </c>
      <c r="BJ1032" s="71">
        <f>IFERROR(__xludf.DUMMYFUNCTION("""COMPUTED_VALUE"""),470.554)</f>
        <v>470.554</v>
      </c>
      <c r="BK1032" s="71">
        <f>IFERROR(__xludf.DUMMYFUNCTION("""COMPUTED_VALUE"""),384.3)</f>
        <v>384.3</v>
      </c>
      <c r="BL1032" s="71">
        <f>IFERROR(__xludf.DUMMYFUNCTION("""COMPUTED_VALUE"""),61.48800000000001)</f>
        <v>61.488</v>
      </c>
      <c r="BM1032" s="71">
        <f>IFERROR(__xludf.DUMMYFUNCTION("""COMPUTED_VALUE"""),445.788)</f>
        <v>445.788</v>
      </c>
      <c r="BN1032" s="71">
        <f>IFERROR(__xludf.DUMMYFUNCTION("""COMPUTED_VALUE"""),362.95)</f>
        <v>362.95</v>
      </c>
      <c r="BO1032" s="71">
        <f>IFERROR(__xludf.DUMMYFUNCTION("""COMPUTED_VALUE"""),58.072)</f>
        <v>58.072</v>
      </c>
      <c r="BP1032" s="71">
        <f>IFERROR(__xludf.DUMMYFUNCTION("""COMPUTED_VALUE"""),421.022)</f>
        <v>421.022</v>
      </c>
      <c r="BQ1032" s="71">
        <f>IFERROR(__xludf.DUMMYFUNCTION("""COMPUTED_VALUE"""),354.40999999999997)</f>
        <v>354.41</v>
      </c>
      <c r="BR1032" s="71">
        <f>IFERROR(__xludf.DUMMYFUNCTION("""COMPUTED_VALUE"""),56.7056)</f>
        <v>56.7056</v>
      </c>
      <c r="BS1032" s="71">
        <f>IFERROR(__xludf.DUMMYFUNCTION("""COMPUTED_VALUE"""),411.1156)</f>
        <v>411.1156</v>
      </c>
      <c r="BT1032" s="71">
        <f>IFERROR(__xludf.DUMMYFUNCTION("""COMPUTED_VALUE"""),341.6)</f>
        <v>341.6</v>
      </c>
      <c r="BU1032" s="71">
        <f>IFERROR(__xludf.DUMMYFUNCTION("""COMPUTED_VALUE"""),54.656000000000006)</f>
        <v>54.656</v>
      </c>
      <c r="BV1032" s="71">
        <f>IFERROR(__xludf.DUMMYFUNCTION("""COMPUTED_VALUE"""),396.25600000000003)</f>
        <v>396.256</v>
      </c>
    </row>
    <row r="1033">
      <c r="A1033" s="53"/>
      <c r="B1033" s="53"/>
      <c r="C1033" s="73" t="s">
        <v>53</v>
      </c>
      <c r="D1033" s="53" t="s">
        <v>2504</v>
      </c>
      <c r="E1033" s="54" t="s">
        <v>38</v>
      </c>
      <c r="F1033" s="55" t="s">
        <v>309</v>
      </c>
      <c r="G1033" s="54" t="s">
        <v>2505</v>
      </c>
      <c r="H1033" s="54" t="s">
        <v>2506</v>
      </c>
      <c r="I1033" s="54">
        <f t="shared" si="24"/>
        <v>27</v>
      </c>
      <c r="J1033" s="56"/>
      <c r="K1033" s="57"/>
      <c r="L1033" s="76"/>
      <c r="M1033" s="59"/>
      <c r="N1033" s="60"/>
      <c r="O1033" s="90">
        <v>136.0</v>
      </c>
      <c r="P1033" s="62">
        <v>146.88</v>
      </c>
      <c r="Q1033" s="63">
        <v>146.88</v>
      </c>
      <c r="R1033" s="64">
        <v>176.0</v>
      </c>
      <c r="S1033" s="111">
        <v>185.0</v>
      </c>
      <c r="T1033" s="65">
        <f t="shared" si="34"/>
        <v>29.6</v>
      </c>
      <c r="U1033" s="65">
        <f t="shared" si="35"/>
        <v>214.6</v>
      </c>
      <c r="V1033" s="66">
        <f t="shared" si="36"/>
        <v>0.05113636364</v>
      </c>
      <c r="W1033" s="67">
        <f t="shared" si="5"/>
        <v>175.75</v>
      </c>
      <c r="X1033" s="67">
        <f t="shared" si="6"/>
        <v>28.12</v>
      </c>
      <c r="Y1033" s="67">
        <f t="shared" si="7"/>
        <v>203.87</v>
      </c>
      <c r="Z1033" s="67">
        <f t="shared" si="8"/>
        <v>166.5</v>
      </c>
      <c r="AA1033" s="67">
        <f t="shared" si="9"/>
        <v>26.64</v>
      </c>
      <c r="AB1033" s="67">
        <f t="shared" si="10"/>
        <v>193.14</v>
      </c>
      <c r="AC1033" s="67">
        <f t="shared" si="11"/>
        <v>157.25</v>
      </c>
      <c r="AD1033" s="67">
        <f t="shared" si="12"/>
        <v>25.16</v>
      </c>
      <c r="AE1033" s="67">
        <f t="shared" si="13"/>
        <v>182.41</v>
      </c>
      <c r="AF1033" s="67">
        <f t="shared" si="33"/>
        <v>153.55</v>
      </c>
      <c r="AG1033" s="67">
        <f t="shared" si="15"/>
        <v>24.568</v>
      </c>
      <c r="AH1033" s="67">
        <f t="shared" si="16"/>
        <v>178.118</v>
      </c>
      <c r="AI1033" s="67">
        <f t="shared" si="17"/>
        <v>148</v>
      </c>
      <c r="AJ1033" s="68">
        <f t="shared" si="37"/>
        <v>23.68</v>
      </c>
      <c r="AK1033" s="68">
        <f t="shared" si="38"/>
        <v>171.68</v>
      </c>
      <c r="AL1033" s="70">
        <f>IFERROR(__xludf.DUMMYFUNCTION("""COMPUTED_VALUE"""),1.0)</f>
        <v>1</v>
      </c>
      <c r="AM1033" s="70"/>
      <c r="AN1033" s="71" t="str">
        <f>IFERROR(__xludf.DUMMYFUNCTION("""COMPUTED_VALUE""")," P")</f>
        <v>P</v>
      </c>
      <c r="AO1033" s="71" t="str">
        <f>IFERROR(__xludf.DUMMYFUNCTION("""COMPUTED_VALUE""")," PU04")</f>
        <v>PU04</v>
      </c>
      <c r="AP1033" s="71" t="str">
        <f>IFERROR(__xludf.DUMMYFUNCTION("""COMPUTED_VALUE""")," PZA")</f>
        <v>PZA</v>
      </c>
      <c r="AQ1033" s="71" t="str">
        <f>IFERROR(__xludf.DUMMYFUNCTION("""COMPUTED_VALUE""")," REF")</f>
        <v>REF</v>
      </c>
      <c r="AR1033" s="71" t="str">
        <f>IFERROR(__xludf.DUMMYFUNCTION("""COMPUTED_VALUE""")," PUENTE PRINCIPAL SENCILLO MODELO ANTERIOR")</f>
        <v>PUENTE PRINCIPAL SENCILLO MODELO ANTERIOR</v>
      </c>
      <c r="AS1033" s="71" t="str">
        <f>IFERROR(__xludf.DUMMYFUNCTION("""COMPUTED_VALUE""")," PUENTE PRINCIPAL SENCILLO MA")</f>
        <v>PUENTE PRINCIPAL SENCILLO MA</v>
      </c>
      <c r="AT1033" s="71">
        <f>IFERROR(__xludf.DUMMYFUNCTION("""COMPUTED_VALUE"""),28.0)</f>
        <v>28</v>
      </c>
      <c r="AU1033" s="71"/>
      <c r="AV1033" s="71"/>
      <c r="AW1033" s="71"/>
      <c r="AX1033" s="71"/>
      <c r="AY1033" s="71">
        <f>IFERROR(__xludf.DUMMYFUNCTION("""COMPUTED_VALUE"""),440.0)</f>
        <v>440</v>
      </c>
      <c r="AZ1033" s="71">
        <f>IFERROR(__xludf.DUMMYFUNCTION("""COMPUTED_VALUE"""),475.0)</f>
        <v>475</v>
      </c>
      <c r="BA1033" s="71">
        <f>IFERROR(__xludf.DUMMYFUNCTION("""COMPUTED_VALUE"""),513.0)</f>
        <v>513</v>
      </c>
      <c r="BB1033" s="71">
        <f>IFERROR(__xludf.DUMMYFUNCTION("""COMPUTED_VALUE"""),513.0)</f>
        <v>513</v>
      </c>
      <c r="BC1033" s="71">
        <f>IFERROR(__xludf.DUMMYFUNCTION("""COMPUTED_VALUE"""),572.0)</f>
        <v>572</v>
      </c>
      <c r="BD1033" s="71">
        <f>IFERROR(__xludf.DUMMYFUNCTION("""COMPUTED_VALUE"""),601.0)</f>
        <v>601</v>
      </c>
      <c r="BE1033" s="71">
        <f>IFERROR(__xludf.DUMMYFUNCTION("""COMPUTED_VALUE"""),96.16)</f>
        <v>96.16</v>
      </c>
      <c r="BF1033" s="71">
        <f>IFERROR(__xludf.DUMMYFUNCTION("""COMPUTED_VALUE"""),697.16)</f>
        <v>697.16</v>
      </c>
      <c r="BG1033" s="71">
        <f>IFERROR(__xludf.DUMMYFUNCTION("""COMPUTED_VALUE"""),0.050699300699300696)</f>
        <v>0.0506993007</v>
      </c>
      <c r="BH1033" s="71">
        <f>IFERROR(__xludf.DUMMYFUNCTION("""COMPUTED_VALUE"""),570.9499999999999)</f>
        <v>570.95</v>
      </c>
      <c r="BI1033" s="71">
        <f>IFERROR(__xludf.DUMMYFUNCTION("""COMPUTED_VALUE"""),91.35199999999999)</f>
        <v>91.352</v>
      </c>
      <c r="BJ1033" s="71">
        <f>IFERROR(__xludf.DUMMYFUNCTION("""COMPUTED_VALUE"""),662.3019999999999)</f>
        <v>662.302</v>
      </c>
      <c r="BK1033" s="71">
        <f>IFERROR(__xludf.DUMMYFUNCTION("""COMPUTED_VALUE"""),540.9)</f>
        <v>540.9</v>
      </c>
      <c r="BL1033" s="71">
        <f>IFERROR(__xludf.DUMMYFUNCTION("""COMPUTED_VALUE"""),86.544)</f>
        <v>86.544</v>
      </c>
      <c r="BM1033" s="71">
        <f>IFERROR(__xludf.DUMMYFUNCTION("""COMPUTED_VALUE"""),627.444)</f>
        <v>627.444</v>
      </c>
      <c r="BN1033" s="71">
        <f>IFERROR(__xludf.DUMMYFUNCTION("""COMPUTED_VALUE"""),510.84999999999997)</f>
        <v>510.85</v>
      </c>
      <c r="BO1033" s="71">
        <f>IFERROR(__xludf.DUMMYFUNCTION("""COMPUTED_VALUE"""),81.73599999999999)</f>
        <v>81.736</v>
      </c>
      <c r="BP1033" s="71">
        <f>IFERROR(__xludf.DUMMYFUNCTION("""COMPUTED_VALUE"""),592.586)</f>
        <v>592.586</v>
      </c>
      <c r="BQ1033" s="71">
        <f>IFERROR(__xludf.DUMMYFUNCTION("""COMPUTED_VALUE"""),498.83)</f>
        <v>498.83</v>
      </c>
      <c r="BR1033" s="71">
        <f>IFERROR(__xludf.DUMMYFUNCTION("""COMPUTED_VALUE"""),79.8128)</f>
        <v>79.8128</v>
      </c>
      <c r="BS1033" s="71">
        <f>IFERROR(__xludf.DUMMYFUNCTION("""COMPUTED_VALUE"""),578.6428)</f>
        <v>578.6428</v>
      </c>
      <c r="BT1033" s="71">
        <f>IFERROR(__xludf.DUMMYFUNCTION("""COMPUTED_VALUE"""),480.8)</f>
        <v>480.8</v>
      </c>
      <c r="BU1033" s="71">
        <f>IFERROR(__xludf.DUMMYFUNCTION("""COMPUTED_VALUE"""),76.928)</f>
        <v>76.928</v>
      </c>
      <c r="BV1033" s="71">
        <f>IFERROR(__xludf.DUMMYFUNCTION("""COMPUTED_VALUE"""),557.7280000000001)</f>
        <v>557.728</v>
      </c>
    </row>
    <row r="1034">
      <c r="A1034" s="53">
        <v>1.0</v>
      </c>
      <c r="B1034" s="72"/>
      <c r="C1034" s="120" t="s">
        <v>53</v>
      </c>
      <c r="D1034" s="74" t="s">
        <v>2507</v>
      </c>
      <c r="E1034" s="54" t="s">
        <v>38</v>
      </c>
      <c r="F1034" s="54" t="s">
        <v>42</v>
      </c>
      <c r="G1034" s="54" t="s">
        <v>2508</v>
      </c>
      <c r="H1034" s="54" t="s">
        <v>2509</v>
      </c>
      <c r="I1034" s="54">
        <f t="shared" si="24"/>
        <v>27</v>
      </c>
      <c r="J1034" s="56"/>
      <c r="K1034" s="75"/>
      <c r="L1034" s="76"/>
      <c r="M1034" s="59"/>
      <c r="N1034" s="60">
        <v>95.0</v>
      </c>
      <c r="O1034" s="61">
        <v>102.0</v>
      </c>
      <c r="P1034" s="62">
        <v>110.16000000000001</v>
      </c>
      <c r="Q1034" s="63">
        <v>110.16000000000001</v>
      </c>
      <c r="R1034" s="64">
        <v>135.0</v>
      </c>
      <c r="S1034" s="111">
        <v>142.0</v>
      </c>
      <c r="T1034" s="65">
        <f t="shared" si="34"/>
        <v>22.72</v>
      </c>
      <c r="U1034" s="65">
        <f t="shared" si="35"/>
        <v>164.72</v>
      </c>
      <c r="V1034" s="66">
        <f t="shared" si="36"/>
        <v>0.05185185185</v>
      </c>
      <c r="W1034" s="67">
        <f t="shared" si="5"/>
        <v>134.9</v>
      </c>
      <c r="X1034" s="67">
        <f t="shared" si="6"/>
        <v>21.584</v>
      </c>
      <c r="Y1034" s="67">
        <f t="shared" si="7"/>
        <v>156.484</v>
      </c>
      <c r="Z1034" s="67">
        <f t="shared" si="8"/>
        <v>127.8</v>
      </c>
      <c r="AA1034" s="67">
        <f t="shared" si="9"/>
        <v>20.448</v>
      </c>
      <c r="AB1034" s="67">
        <f t="shared" si="10"/>
        <v>148.248</v>
      </c>
      <c r="AC1034" s="67">
        <f t="shared" si="11"/>
        <v>120.7</v>
      </c>
      <c r="AD1034" s="67">
        <f t="shared" si="12"/>
        <v>19.312</v>
      </c>
      <c r="AE1034" s="67">
        <f t="shared" si="13"/>
        <v>140.012</v>
      </c>
      <c r="AF1034" s="67">
        <f t="shared" si="33"/>
        <v>117.86</v>
      </c>
      <c r="AG1034" s="67">
        <f t="shared" si="15"/>
        <v>18.8576</v>
      </c>
      <c r="AH1034" s="67">
        <f t="shared" si="16"/>
        <v>136.7176</v>
      </c>
      <c r="AI1034" s="67">
        <f t="shared" si="17"/>
        <v>113.6</v>
      </c>
      <c r="AJ1034" s="68">
        <f t="shared" si="37"/>
        <v>18.176</v>
      </c>
      <c r="AK1034" s="68">
        <f t="shared" si="38"/>
        <v>131.776</v>
      </c>
      <c r="AL1034" s="70">
        <f>IFERROR(__xludf.DUMMYFUNCTION("""COMPUTED_VALUE"""),1.0)</f>
        <v>1</v>
      </c>
      <c r="AM1034" s="70"/>
      <c r="AN1034" s="71" t="str">
        <f>IFERROR(__xludf.DUMMYFUNCTION("""COMPUTED_VALUE""")," P")</f>
        <v>P</v>
      </c>
      <c r="AO1034" s="71" t="str">
        <f>IFERROR(__xludf.DUMMYFUNCTION("""COMPUTED_VALUE""")," PU05")</f>
        <v>PU05</v>
      </c>
      <c r="AP1034" s="71" t="str">
        <f>IFERROR(__xludf.DUMMYFUNCTION("""COMPUTED_VALUE""")," PZA")</f>
        <v>PZA</v>
      </c>
      <c r="AQ1034" s="71" t="str">
        <f>IFERROR(__xludf.DUMMYFUNCTION("""COMPUTED_VALUE""")," REF")</f>
        <v>REF</v>
      </c>
      <c r="AR1034" s="71" t="str">
        <f>IFERROR(__xludf.DUMMYFUNCTION("""COMPUTED_VALUE""")," PUENTE PRINCIPAL SENCILLO MODELO ANTERIOR ABIERTO PARA BALERO 6204
")</f>
        <v>PUENTE PRINCIPAL SENCILLO MODELO ANTERIOR ABIERTO PARA BALERO 6204
</v>
      </c>
      <c r="AS1034" s="71" t="str">
        <f>IFERROR(__xludf.DUMMYFUNCTION("""COMPUTED_VALUE""")," PUENTE PRINCIPAL SENC MA AB/BALERO 6204
")</f>
        <v>PUENTE PRINCIPAL SENC MA AB/BALERO 6204
</v>
      </c>
      <c r="AT1034" s="71">
        <f>IFERROR(__xludf.DUMMYFUNCTION("""COMPUTED_VALUE"""),40.0)</f>
        <v>40</v>
      </c>
      <c r="AU1034" s="71"/>
      <c r="AV1034" s="71"/>
      <c r="AW1034" s="71"/>
      <c r="AX1034" s="71"/>
      <c r="AY1034" s="71">
        <f>IFERROR(__xludf.DUMMYFUNCTION("""COMPUTED_VALUE"""),1655.0)</f>
        <v>1655</v>
      </c>
      <c r="AZ1034" s="71">
        <f>IFERROR(__xludf.DUMMYFUNCTION("""COMPUTED_VALUE"""),1787.0)</f>
        <v>1787</v>
      </c>
      <c r="BA1034" s="71">
        <f>IFERROR(__xludf.DUMMYFUNCTION("""COMPUTED_VALUE"""),1929.96)</f>
        <v>1929.96</v>
      </c>
      <c r="BB1034" s="71">
        <f>IFERROR(__xludf.DUMMYFUNCTION("""COMPUTED_VALUE"""),1929.96)</f>
        <v>1929.96</v>
      </c>
      <c r="BC1034" s="71">
        <f>IFERROR(__xludf.DUMMYFUNCTION("""COMPUTED_VALUE"""),2149.0)</f>
        <v>2149</v>
      </c>
      <c r="BD1034" s="71">
        <f>IFERROR(__xludf.DUMMYFUNCTION("""COMPUTED_VALUE"""),2256.0)</f>
        <v>2256</v>
      </c>
      <c r="BE1034" s="71">
        <f>IFERROR(__xludf.DUMMYFUNCTION("""COMPUTED_VALUE"""),360.96)</f>
        <v>360.96</v>
      </c>
      <c r="BF1034" s="71">
        <f>IFERROR(__xludf.DUMMYFUNCTION("""COMPUTED_VALUE"""),2616.96)</f>
        <v>2616.96</v>
      </c>
      <c r="BG1034" s="71">
        <f>IFERROR(__xludf.DUMMYFUNCTION("""COMPUTED_VALUE"""),0.049790600279199626)</f>
        <v>0.04979060028</v>
      </c>
      <c r="BH1034" s="71">
        <f>IFERROR(__xludf.DUMMYFUNCTION("""COMPUTED_VALUE"""),2143.2)</f>
        <v>2143.2</v>
      </c>
      <c r="BI1034" s="71">
        <f>IFERROR(__xludf.DUMMYFUNCTION("""COMPUTED_VALUE"""),342.912)</f>
        <v>342.912</v>
      </c>
      <c r="BJ1034" s="71">
        <f>IFERROR(__xludf.DUMMYFUNCTION("""COMPUTED_VALUE"""),2486.1119999999996)</f>
        <v>2486.112</v>
      </c>
      <c r="BK1034" s="71">
        <f>IFERROR(__xludf.DUMMYFUNCTION("""COMPUTED_VALUE"""),2030.4)</f>
        <v>2030.4</v>
      </c>
      <c r="BL1034" s="71">
        <f>IFERROR(__xludf.DUMMYFUNCTION("""COMPUTED_VALUE"""),324.86400000000003)</f>
        <v>324.864</v>
      </c>
      <c r="BM1034" s="71">
        <f>IFERROR(__xludf.DUMMYFUNCTION("""COMPUTED_VALUE"""),2355.264)</f>
        <v>2355.264</v>
      </c>
      <c r="BN1034" s="71">
        <f>IFERROR(__xludf.DUMMYFUNCTION("""COMPUTED_VALUE"""),1917.6)</f>
        <v>1917.6</v>
      </c>
      <c r="BO1034" s="71">
        <f>IFERROR(__xludf.DUMMYFUNCTION("""COMPUTED_VALUE"""),306.816)</f>
        <v>306.816</v>
      </c>
      <c r="BP1034" s="71">
        <f>IFERROR(__xludf.DUMMYFUNCTION("""COMPUTED_VALUE"""),2224.4159999999997)</f>
        <v>2224.416</v>
      </c>
      <c r="BQ1034" s="71">
        <f>IFERROR(__xludf.DUMMYFUNCTION("""COMPUTED_VALUE"""),1872.48)</f>
        <v>1872.48</v>
      </c>
      <c r="BR1034" s="71">
        <f>IFERROR(__xludf.DUMMYFUNCTION("""COMPUTED_VALUE"""),299.59680000000003)</f>
        <v>299.5968</v>
      </c>
      <c r="BS1034" s="71">
        <f>IFERROR(__xludf.DUMMYFUNCTION("""COMPUTED_VALUE"""),2172.0768)</f>
        <v>2172.0768</v>
      </c>
      <c r="BT1034" s="71">
        <f>IFERROR(__xludf.DUMMYFUNCTION("""COMPUTED_VALUE"""),1804.8000000000002)</f>
        <v>1804.8</v>
      </c>
      <c r="BU1034" s="71">
        <f>IFERROR(__xludf.DUMMYFUNCTION("""COMPUTED_VALUE"""),288.76800000000003)</f>
        <v>288.768</v>
      </c>
      <c r="BV1034" s="71">
        <f>IFERROR(__xludf.DUMMYFUNCTION("""COMPUTED_VALUE"""),2093.568)</f>
        <v>2093.568</v>
      </c>
    </row>
    <row r="1035">
      <c r="A1035" s="53">
        <v>1.0</v>
      </c>
      <c r="B1035" s="72"/>
      <c r="C1035" s="120" t="s">
        <v>53</v>
      </c>
      <c r="D1035" s="74" t="s">
        <v>2510</v>
      </c>
      <c r="E1035" s="54" t="s">
        <v>38</v>
      </c>
      <c r="F1035" s="54" t="s">
        <v>42</v>
      </c>
      <c r="G1035" s="54" t="s">
        <v>2511</v>
      </c>
      <c r="H1035" s="54" t="s">
        <v>2512</v>
      </c>
      <c r="I1035" s="54">
        <f t="shared" si="24"/>
        <v>33</v>
      </c>
      <c r="J1035" s="56"/>
      <c r="K1035" s="75"/>
      <c r="L1035" s="76"/>
      <c r="M1035" s="59"/>
      <c r="N1035" s="60">
        <v>126.0</v>
      </c>
      <c r="O1035" s="61">
        <v>136.0</v>
      </c>
      <c r="P1035" s="62">
        <v>146.88</v>
      </c>
      <c r="Q1035" s="63">
        <v>146.88</v>
      </c>
      <c r="R1035" s="64">
        <v>189.0</v>
      </c>
      <c r="S1035" s="111">
        <v>198.0</v>
      </c>
      <c r="T1035" s="65">
        <f t="shared" si="34"/>
        <v>31.68</v>
      </c>
      <c r="U1035" s="65">
        <f t="shared" si="35"/>
        <v>229.68</v>
      </c>
      <c r="V1035" s="66">
        <f t="shared" si="36"/>
        <v>0.04761904762</v>
      </c>
      <c r="W1035" s="67">
        <f t="shared" si="5"/>
        <v>188.1</v>
      </c>
      <c r="X1035" s="67">
        <f t="shared" si="6"/>
        <v>30.096</v>
      </c>
      <c r="Y1035" s="67">
        <f t="shared" si="7"/>
        <v>218.196</v>
      </c>
      <c r="Z1035" s="67">
        <f t="shared" si="8"/>
        <v>178.2</v>
      </c>
      <c r="AA1035" s="67">
        <f t="shared" si="9"/>
        <v>28.512</v>
      </c>
      <c r="AB1035" s="67">
        <f t="shared" si="10"/>
        <v>206.712</v>
      </c>
      <c r="AC1035" s="67">
        <f t="shared" si="11"/>
        <v>168.3</v>
      </c>
      <c r="AD1035" s="67">
        <f t="shared" si="12"/>
        <v>26.928</v>
      </c>
      <c r="AE1035" s="67">
        <f t="shared" si="13"/>
        <v>195.228</v>
      </c>
      <c r="AF1035" s="67">
        <f t="shared" si="33"/>
        <v>164.34</v>
      </c>
      <c r="AG1035" s="67">
        <f t="shared" si="15"/>
        <v>26.2944</v>
      </c>
      <c r="AH1035" s="67">
        <f t="shared" si="16"/>
        <v>190.6344</v>
      </c>
      <c r="AI1035" s="67">
        <f t="shared" si="17"/>
        <v>158.4</v>
      </c>
      <c r="AJ1035" s="68">
        <f t="shared" si="37"/>
        <v>25.344</v>
      </c>
      <c r="AK1035" s="68">
        <f t="shared" si="38"/>
        <v>183.744</v>
      </c>
      <c r="AL1035" s="70">
        <f>IFERROR(__xludf.DUMMYFUNCTION("""COMPUTED_VALUE"""),1.0)</f>
        <v>1</v>
      </c>
      <c r="AM1035" s="70"/>
      <c r="AN1035" s="71" t="str">
        <f>IFERROR(__xludf.DUMMYFUNCTION("""COMPUTED_VALUE""")," P")</f>
        <v>P</v>
      </c>
      <c r="AO1035" s="71" t="str">
        <f>IFERROR(__xludf.DUMMYFUNCTION("""COMPUTED_VALUE""")," PU03")</f>
        <v>PU03</v>
      </c>
      <c r="AP1035" s="71" t="str">
        <f>IFERROR(__xludf.DUMMYFUNCTION("""COMPUTED_VALUE""")," PZA")</f>
        <v>PZA</v>
      </c>
      <c r="AQ1035" s="71" t="str">
        <f>IFERROR(__xludf.DUMMYFUNCTION("""COMPUTED_VALUE""")," REF")</f>
        <v>REF</v>
      </c>
      <c r="AR1035" s="71" t="str">
        <f>IFERROR(__xludf.DUMMYFUNCTION("""COMPUTED_VALUE""")," PUENTE PRINCIPAL SENCILLO TV-50 (B.C.)")</f>
        <v>PUENTE PRINCIPAL SENCILLO TV-50 (B.C.)</v>
      </c>
      <c r="AS1035" s="71" t="str">
        <f>IFERROR(__xludf.DUMMYFUNCTION("""COMPUTED_VALUE""")," PUENTE PRINCIPAL SENCILLO TV50 BC")</f>
        <v>PUENTE PRINCIPAL SENCILLO TV50 BC</v>
      </c>
      <c r="AT1035" s="71">
        <f>IFERROR(__xludf.DUMMYFUNCTION("""COMPUTED_VALUE"""),33.0)</f>
        <v>33</v>
      </c>
      <c r="AU1035" s="71"/>
      <c r="AV1035" s="71"/>
      <c r="AW1035" s="71"/>
      <c r="AX1035" s="71"/>
      <c r="AY1035" s="71">
        <f>IFERROR(__xludf.DUMMYFUNCTION("""COMPUTED_VALUE"""),802.0)</f>
        <v>802</v>
      </c>
      <c r="AZ1035" s="71">
        <f>IFERROR(__xludf.DUMMYFUNCTION("""COMPUTED_VALUE"""),866.0)</f>
        <v>866</v>
      </c>
      <c r="BA1035" s="71">
        <f>IFERROR(__xludf.DUMMYFUNCTION("""COMPUTED_VALUE"""),935.2800000000001)</f>
        <v>935.28</v>
      </c>
      <c r="BB1035" s="71">
        <f>IFERROR(__xludf.DUMMYFUNCTION("""COMPUTED_VALUE"""),935.2800000000001)</f>
        <v>935.28</v>
      </c>
      <c r="BC1035" s="71">
        <f>IFERROR(__xludf.DUMMYFUNCTION("""COMPUTED_VALUE"""),1042.0)</f>
        <v>1042</v>
      </c>
      <c r="BD1035" s="71">
        <f>IFERROR(__xludf.DUMMYFUNCTION("""COMPUTED_VALUE"""),1094.0)</f>
        <v>1094</v>
      </c>
      <c r="BE1035" s="71">
        <f>IFERROR(__xludf.DUMMYFUNCTION("""COMPUTED_VALUE"""),175.04)</f>
        <v>175.04</v>
      </c>
      <c r="BF1035" s="71">
        <f>IFERROR(__xludf.DUMMYFUNCTION("""COMPUTED_VALUE"""),1269.04)</f>
        <v>1269.04</v>
      </c>
      <c r="BG1035" s="71">
        <f>IFERROR(__xludf.DUMMYFUNCTION("""COMPUTED_VALUE"""),0.04990403071017274)</f>
        <v>0.04990403071</v>
      </c>
      <c r="BH1035" s="71">
        <f>IFERROR(__xludf.DUMMYFUNCTION("""COMPUTED_VALUE"""),1039.3)</f>
        <v>1039.3</v>
      </c>
      <c r="BI1035" s="71">
        <f>IFERROR(__xludf.DUMMYFUNCTION("""COMPUTED_VALUE"""),166.28799999999998)</f>
        <v>166.288</v>
      </c>
      <c r="BJ1035" s="71">
        <f>IFERROR(__xludf.DUMMYFUNCTION("""COMPUTED_VALUE"""),1205.588)</f>
        <v>1205.588</v>
      </c>
      <c r="BK1035" s="71">
        <f>IFERROR(__xludf.DUMMYFUNCTION("""COMPUTED_VALUE"""),984.6)</f>
        <v>984.6</v>
      </c>
      <c r="BL1035" s="71">
        <f>IFERROR(__xludf.DUMMYFUNCTION("""COMPUTED_VALUE"""),157.536)</f>
        <v>157.536</v>
      </c>
      <c r="BM1035" s="71">
        <f>IFERROR(__xludf.DUMMYFUNCTION("""COMPUTED_VALUE"""),1142.136)</f>
        <v>1142.136</v>
      </c>
      <c r="BN1035" s="71">
        <f>IFERROR(__xludf.DUMMYFUNCTION("""COMPUTED_VALUE"""),929.9)</f>
        <v>929.9</v>
      </c>
      <c r="BO1035" s="71">
        <f>IFERROR(__xludf.DUMMYFUNCTION("""COMPUTED_VALUE"""),148.784)</f>
        <v>148.784</v>
      </c>
      <c r="BP1035" s="71">
        <f>IFERROR(__xludf.DUMMYFUNCTION("""COMPUTED_VALUE"""),1078.684)</f>
        <v>1078.684</v>
      </c>
      <c r="BQ1035" s="71">
        <f>IFERROR(__xludf.DUMMYFUNCTION("""COMPUTED_VALUE"""),908.02)</f>
        <v>908.02</v>
      </c>
      <c r="BR1035" s="71">
        <f>IFERROR(__xludf.DUMMYFUNCTION("""COMPUTED_VALUE"""),145.2832)</f>
        <v>145.2832</v>
      </c>
      <c r="BS1035" s="71">
        <f>IFERROR(__xludf.DUMMYFUNCTION("""COMPUTED_VALUE"""),1053.3032)</f>
        <v>1053.3032</v>
      </c>
      <c r="BT1035" s="71">
        <f>IFERROR(__xludf.DUMMYFUNCTION("""COMPUTED_VALUE"""),875.2)</f>
        <v>875.2</v>
      </c>
      <c r="BU1035" s="71">
        <f>IFERROR(__xludf.DUMMYFUNCTION("""COMPUTED_VALUE"""),140.032)</f>
        <v>140.032</v>
      </c>
      <c r="BV1035" s="71">
        <f>IFERROR(__xludf.DUMMYFUNCTION("""COMPUTED_VALUE"""),1015.2320000000001)</f>
        <v>1015.232</v>
      </c>
    </row>
    <row r="1036">
      <c r="A1036" s="53"/>
      <c r="B1036" s="53"/>
      <c r="C1036" s="73" t="s">
        <v>53</v>
      </c>
      <c r="D1036" s="53" t="s">
        <v>2513</v>
      </c>
      <c r="E1036" s="54" t="s">
        <v>38</v>
      </c>
      <c r="F1036" s="55" t="s">
        <v>309</v>
      </c>
      <c r="G1036" s="54" t="s">
        <v>2514</v>
      </c>
      <c r="H1036" s="54" t="s">
        <v>2515</v>
      </c>
      <c r="I1036" s="54">
        <f t="shared" si="24"/>
        <v>37</v>
      </c>
      <c r="J1036" s="56"/>
      <c r="K1036" s="57"/>
      <c r="L1036" s="76"/>
      <c r="M1036" s="59"/>
      <c r="N1036" s="60"/>
      <c r="O1036" s="90">
        <v>136.0</v>
      </c>
      <c r="P1036" s="62">
        <v>146.88</v>
      </c>
      <c r="Q1036" s="63">
        <v>146.88</v>
      </c>
      <c r="R1036" s="64">
        <v>189.0</v>
      </c>
      <c r="S1036" s="111">
        <v>198.0</v>
      </c>
      <c r="T1036" s="65">
        <f t="shared" si="34"/>
        <v>31.68</v>
      </c>
      <c r="U1036" s="65">
        <f t="shared" si="35"/>
        <v>229.68</v>
      </c>
      <c r="V1036" s="66">
        <f t="shared" si="36"/>
        <v>0.04761904762</v>
      </c>
      <c r="W1036" s="67">
        <f t="shared" si="5"/>
        <v>188.1</v>
      </c>
      <c r="X1036" s="67">
        <f t="shared" si="6"/>
        <v>30.096</v>
      </c>
      <c r="Y1036" s="67">
        <f t="shared" si="7"/>
        <v>218.196</v>
      </c>
      <c r="Z1036" s="67">
        <f t="shared" si="8"/>
        <v>178.2</v>
      </c>
      <c r="AA1036" s="67">
        <f t="shared" si="9"/>
        <v>28.512</v>
      </c>
      <c r="AB1036" s="67">
        <f t="shared" si="10"/>
        <v>206.712</v>
      </c>
      <c r="AC1036" s="67">
        <f t="shared" si="11"/>
        <v>168.3</v>
      </c>
      <c r="AD1036" s="67">
        <f t="shared" si="12"/>
        <v>26.928</v>
      </c>
      <c r="AE1036" s="67">
        <f t="shared" si="13"/>
        <v>195.228</v>
      </c>
      <c r="AF1036" s="67">
        <f t="shared" si="33"/>
        <v>164.34</v>
      </c>
      <c r="AG1036" s="67">
        <f t="shared" si="15"/>
        <v>26.2944</v>
      </c>
      <c r="AH1036" s="67">
        <f t="shared" si="16"/>
        <v>190.6344</v>
      </c>
      <c r="AI1036" s="67">
        <f t="shared" si="17"/>
        <v>158.4</v>
      </c>
      <c r="AJ1036" s="68">
        <f t="shared" si="37"/>
        <v>25.344</v>
      </c>
      <c r="AK1036" s="68">
        <f t="shared" si="38"/>
        <v>183.744</v>
      </c>
      <c r="AL1036" s="70">
        <f>IFERROR(__xludf.DUMMYFUNCTION("""COMPUTED_VALUE"""),1.0)</f>
        <v>1</v>
      </c>
      <c r="AM1036" s="70"/>
      <c r="AN1036" s="71" t="str">
        <f>IFERROR(__xludf.DUMMYFUNCTION("""COMPUTED_VALUE""")," C")</f>
        <v>C</v>
      </c>
      <c r="AO1036" s="71" t="str">
        <f>IFERROR(__xludf.DUMMYFUNCTION("""COMPUTED_VALUE""")," QE03")</f>
        <v>QE03</v>
      </c>
      <c r="AP1036" s="71" t="str">
        <f>IFERROR(__xludf.DUMMYFUNCTION("""COMPUTED_VALUE""")," PZA")</f>
        <v>PZA</v>
      </c>
      <c r="AQ1036" s="71" t="str">
        <f>IFERROR(__xludf.DUMMYFUNCTION("""COMPUTED_VALUE""")," REF")</f>
        <v>REF</v>
      </c>
      <c r="AR1036" s="71" t="str">
        <f>IFERROR(__xludf.DUMMYFUNCTION("""COMPUTED_VALUE""")," QUEMADOR H CON CAMPANA")</f>
        <v>QUEMADOR H CON CAMPANA</v>
      </c>
      <c r="AS1036" s="71" t="str">
        <f>IFERROR(__xludf.DUMMYFUNCTION("""COMPUTED_VALUE""")," QUEMADOR H C/CAMPANA")</f>
        <v>QUEMADOR H C/CAMPANA</v>
      </c>
      <c r="AT1036" s="71">
        <f>IFERROR(__xludf.DUMMYFUNCTION("""COMPUTED_VALUE"""),20.0)</f>
        <v>20</v>
      </c>
      <c r="AU1036" s="71"/>
      <c r="AV1036" s="71"/>
      <c r="AW1036" s="71"/>
      <c r="AX1036" s="71"/>
      <c r="AY1036" s="71">
        <f>IFERROR(__xludf.DUMMYFUNCTION("""COMPUTED_VALUE"""),800.0)</f>
        <v>800</v>
      </c>
      <c r="AZ1036" s="71">
        <f>IFERROR(__xludf.DUMMYFUNCTION("""COMPUTED_VALUE"""),864.0)</f>
        <v>864</v>
      </c>
      <c r="BA1036" s="71">
        <f>IFERROR(__xludf.DUMMYFUNCTION("""COMPUTED_VALUE"""),933.1200000000001)</f>
        <v>933.12</v>
      </c>
      <c r="BB1036" s="71">
        <f>IFERROR(__xludf.DUMMYFUNCTION("""COMPUTED_VALUE"""),933.1200000000001)</f>
        <v>933.12</v>
      </c>
      <c r="BC1036" s="71">
        <f>IFERROR(__xludf.DUMMYFUNCTION("""COMPUTED_VALUE"""),1040.0)</f>
        <v>1040</v>
      </c>
      <c r="BD1036" s="71">
        <f>IFERROR(__xludf.DUMMYFUNCTION("""COMPUTED_VALUE"""),1092.0)</f>
        <v>1092</v>
      </c>
      <c r="BE1036" s="71">
        <f>IFERROR(__xludf.DUMMYFUNCTION("""COMPUTED_VALUE"""),174.72)</f>
        <v>174.72</v>
      </c>
      <c r="BF1036" s="71">
        <f>IFERROR(__xludf.DUMMYFUNCTION("""COMPUTED_VALUE"""),1266.72)</f>
        <v>1266.72</v>
      </c>
      <c r="BG1036" s="71">
        <f>IFERROR(__xludf.DUMMYFUNCTION("""COMPUTED_VALUE"""),0.05)</f>
        <v>0.05</v>
      </c>
      <c r="BH1036" s="71">
        <f>IFERROR(__xludf.DUMMYFUNCTION("""COMPUTED_VALUE"""),1037.3999999999999)</f>
        <v>1037.4</v>
      </c>
      <c r="BI1036" s="71">
        <f>IFERROR(__xludf.DUMMYFUNCTION("""COMPUTED_VALUE"""),165.98399999999998)</f>
        <v>165.984</v>
      </c>
      <c r="BJ1036" s="71">
        <f>IFERROR(__xludf.DUMMYFUNCTION("""COMPUTED_VALUE"""),1203.3839999999998)</f>
        <v>1203.384</v>
      </c>
      <c r="BK1036" s="71">
        <f>IFERROR(__xludf.DUMMYFUNCTION("""COMPUTED_VALUE"""),982.8000000000001)</f>
        <v>982.8</v>
      </c>
      <c r="BL1036" s="71">
        <f>IFERROR(__xludf.DUMMYFUNCTION("""COMPUTED_VALUE"""),157.24800000000002)</f>
        <v>157.248</v>
      </c>
      <c r="BM1036" s="71">
        <f>IFERROR(__xludf.DUMMYFUNCTION("""COMPUTED_VALUE"""),1140.048)</f>
        <v>1140.048</v>
      </c>
      <c r="BN1036" s="71">
        <f>IFERROR(__xludf.DUMMYFUNCTION("""COMPUTED_VALUE"""),928.1999999999999)</f>
        <v>928.2</v>
      </c>
      <c r="BO1036" s="71">
        <f>IFERROR(__xludf.DUMMYFUNCTION("""COMPUTED_VALUE"""),148.512)</f>
        <v>148.512</v>
      </c>
      <c r="BP1036" s="71">
        <f>IFERROR(__xludf.DUMMYFUNCTION("""COMPUTED_VALUE"""),1076.712)</f>
        <v>1076.712</v>
      </c>
      <c r="BQ1036" s="71">
        <f>IFERROR(__xludf.DUMMYFUNCTION("""COMPUTED_VALUE"""),906.3599999999999)</f>
        <v>906.36</v>
      </c>
      <c r="BR1036" s="71">
        <f>IFERROR(__xludf.DUMMYFUNCTION("""COMPUTED_VALUE"""),145.0176)</f>
        <v>145.0176</v>
      </c>
      <c r="BS1036" s="71">
        <f>IFERROR(__xludf.DUMMYFUNCTION("""COMPUTED_VALUE"""),1051.3775999999998)</f>
        <v>1051.3776</v>
      </c>
      <c r="BT1036" s="71">
        <f>IFERROR(__xludf.DUMMYFUNCTION("""COMPUTED_VALUE"""),873.6)</f>
        <v>873.6</v>
      </c>
      <c r="BU1036" s="71">
        <f>IFERROR(__xludf.DUMMYFUNCTION("""COMPUTED_VALUE"""),139.776)</f>
        <v>139.776</v>
      </c>
      <c r="BV1036" s="71">
        <f>IFERROR(__xludf.DUMMYFUNCTION("""COMPUTED_VALUE"""),1013.376)</f>
        <v>1013.376</v>
      </c>
    </row>
    <row r="1037">
      <c r="A1037" s="53"/>
      <c r="B1037" s="53"/>
      <c r="C1037" s="73" t="s">
        <v>53</v>
      </c>
      <c r="D1037" s="53" t="s">
        <v>2516</v>
      </c>
      <c r="E1037" s="54" t="s">
        <v>38</v>
      </c>
      <c r="F1037" s="54" t="s">
        <v>42</v>
      </c>
      <c r="G1037" s="55" t="s">
        <v>2517</v>
      </c>
      <c r="H1037" s="55" t="s">
        <v>2517</v>
      </c>
      <c r="I1037" s="54">
        <f t="shared" si="24"/>
        <v>38</v>
      </c>
      <c r="J1037" s="56"/>
      <c r="K1037" s="75"/>
      <c r="L1037" s="76"/>
      <c r="M1037" s="59"/>
      <c r="N1037" s="60"/>
      <c r="O1037" s="90"/>
      <c r="P1037" s="62">
        <v>218.51</v>
      </c>
      <c r="Q1037" s="63">
        <v>218.51</v>
      </c>
      <c r="R1037" s="64">
        <v>230.0</v>
      </c>
      <c r="S1037" s="111">
        <v>242.0</v>
      </c>
      <c r="T1037" s="65">
        <f t="shared" si="34"/>
        <v>38.72</v>
      </c>
      <c r="U1037" s="65">
        <f t="shared" si="35"/>
        <v>280.72</v>
      </c>
      <c r="V1037" s="66">
        <f t="shared" si="36"/>
        <v>0.05217391304</v>
      </c>
      <c r="W1037" s="67">
        <f t="shared" si="5"/>
        <v>229.9</v>
      </c>
      <c r="X1037" s="67">
        <f t="shared" si="6"/>
        <v>36.784</v>
      </c>
      <c r="Y1037" s="67">
        <f t="shared" si="7"/>
        <v>266.684</v>
      </c>
      <c r="Z1037" s="67">
        <f t="shared" si="8"/>
        <v>217.8</v>
      </c>
      <c r="AA1037" s="67">
        <f t="shared" si="9"/>
        <v>34.848</v>
      </c>
      <c r="AB1037" s="67">
        <f t="shared" si="10"/>
        <v>252.648</v>
      </c>
      <c r="AC1037" s="67">
        <f t="shared" si="11"/>
        <v>205.7</v>
      </c>
      <c r="AD1037" s="67">
        <f t="shared" si="12"/>
        <v>32.912</v>
      </c>
      <c r="AE1037" s="67">
        <f t="shared" si="13"/>
        <v>238.612</v>
      </c>
      <c r="AF1037" s="67">
        <f t="shared" si="33"/>
        <v>200.86</v>
      </c>
      <c r="AG1037" s="67">
        <f t="shared" si="15"/>
        <v>32.1376</v>
      </c>
      <c r="AH1037" s="67">
        <f t="shared" si="16"/>
        <v>232.9976</v>
      </c>
      <c r="AI1037" s="67">
        <f t="shared" si="17"/>
        <v>193.6</v>
      </c>
      <c r="AJ1037" s="68">
        <f t="shared" si="37"/>
        <v>30.976</v>
      </c>
      <c r="AK1037" s="68">
        <f t="shared" si="38"/>
        <v>224.576</v>
      </c>
      <c r="AL1037" s="70">
        <f>IFERROR(__xludf.DUMMYFUNCTION("""COMPUTED_VALUE"""),1.0)</f>
        <v>1</v>
      </c>
      <c r="AM1037" s="70"/>
      <c r="AN1037" s="71" t="str">
        <f>IFERROR(__xludf.DUMMYFUNCTION("""COMPUTED_VALUE""")," P")</f>
        <v>P</v>
      </c>
      <c r="AO1037" s="71" t="str">
        <f>IFERROR(__xludf.DUMMYFUNCTION("""COMPUTED_VALUE""")," QU01")</f>
        <v>QU01</v>
      </c>
      <c r="AP1037" s="71" t="str">
        <f>IFERROR(__xludf.DUMMYFUNCTION("""COMPUTED_VALUE""")," PZA")</f>
        <v>PZA</v>
      </c>
      <c r="AQ1037" s="71" t="str">
        <f>IFERROR(__xludf.DUMMYFUNCTION("""COMPUTED_VALUE""")," REF")</f>
        <v>REF</v>
      </c>
      <c r="AR1037" s="71" t="str">
        <f>IFERROR(__xludf.DUMMYFUNCTION("""COMPUTED_VALUE""")," QUIJADA PARA CLUTCH DÚPLEX (ACERO 9840)")</f>
        <v>QUIJADA PARA CLUTCH DÚPLEX (ACERO 9840)</v>
      </c>
      <c r="AS1037" s="71" t="str">
        <f>IFERROR(__xludf.DUMMYFUNCTION("""COMPUTED_VALUE""")," QUIJADA P/CLUTCH DPLX ACERO 9840")</f>
        <v>QUIJADA P/CLUTCH DPLX ACERO 9840</v>
      </c>
      <c r="AT1037" s="71">
        <f>IFERROR(__xludf.DUMMYFUNCTION("""COMPUTED_VALUE"""),32.0)</f>
        <v>32</v>
      </c>
      <c r="AU1037" s="71"/>
      <c r="AV1037" s="71"/>
      <c r="AW1037" s="71"/>
      <c r="AX1037" s="71"/>
      <c r="AY1037" s="71">
        <f>IFERROR(__xludf.DUMMYFUNCTION("""COMPUTED_VALUE"""),137.0)</f>
        <v>137</v>
      </c>
      <c r="AZ1037" s="71">
        <f>IFERROR(__xludf.DUMMYFUNCTION("""COMPUTED_VALUE"""),147.0)</f>
        <v>147</v>
      </c>
      <c r="BA1037" s="71">
        <f>IFERROR(__xludf.DUMMYFUNCTION("""COMPUTED_VALUE"""),158.76000000000002)</f>
        <v>158.76</v>
      </c>
      <c r="BB1037" s="71">
        <f>IFERROR(__xludf.DUMMYFUNCTION("""COMPUTED_VALUE"""),158.76000000000002)</f>
        <v>158.76</v>
      </c>
      <c r="BC1037" s="71">
        <f>IFERROR(__xludf.DUMMYFUNCTION("""COMPUTED_VALUE"""),184.0)</f>
        <v>184</v>
      </c>
      <c r="BD1037" s="71">
        <f>IFERROR(__xludf.DUMMYFUNCTION("""COMPUTED_VALUE"""),193.0)</f>
        <v>193</v>
      </c>
      <c r="BE1037" s="71">
        <f>IFERROR(__xludf.DUMMYFUNCTION("""COMPUTED_VALUE"""),30.88)</f>
        <v>30.88</v>
      </c>
      <c r="BF1037" s="71">
        <f>IFERROR(__xludf.DUMMYFUNCTION("""COMPUTED_VALUE"""),223.88)</f>
        <v>223.88</v>
      </c>
      <c r="BG1037" s="71">
        <f>IFERROR(__xludf.DUMMYFUNCTION("""COMPUTED_VALUE"""),0.04891304347826087)</f>
        <v>0.04891304348</v>
      </c>
      <c r="BH1037" s="71">
        <f>IFERROR(__xludf.DUMMYFUNCTION("""COMPUTED_VALUE"""),183.35)</f>
        <v>183.35</v>
      </c>
      <c r="BI1037" s="71">
        <f>IFERROR(__xludf.DUMMYFUNCTION("""COMPUTED_VALUE"""),29.336)</f>
        <v>29.336</v>
      </c>
      <c r="BJ1037" s="71">
        <f>IFERROR(__xludf.DUMMYFUNCTION("""COMPUTED_VALUE"""),212.68599999999998)</f>
        <v>212.686</v>
      </c>
      <c r="BK1037" s="71">
        <f>IFERROR(__xludf.DUMMYFUNCTION("""COMPUTED_VALUE"""),173.70000000000002)</f>
        <v>173.7</v>
      </c>
      <c r="BL1037" s="71">
        <f>IFERROR(__xludf.DUMMYFUNCTION("""COMPUTED_VALUE"""),27.792)</f>
        <v>27.792</v>
      </c>
      <c r="BM1037" s="71">
        <f>IFERROR(__xludf.DUMMYFUNCTION("""COMPUTED_VALUE"""),201.49200000000002)</f>
        <v>201.492</v>
      </c>
      <c r="BN1037" s="71">
        <f>IFERROR(__xludf.DUMMYFUNCTION("""COMPUTED_VALUE"""),164.04999999999998)</f>
        <v>164.05</v>
      </c>
      <c r="BO1037" s="71">
        <f>IFERROR(__xludf.DUMMYFUNCTION("""COMPUTED_VALUE"""),26.247999999999998)</f>
        <v>26.248</v>
      </c>
      <c r="BP1037" s="71">
        <f>IFERROR(__xludf.DUMMYFUNCTION("""COMPUTED_VALUE"""),190.29799999999997)</f>
        <v>190.298</v>
      </c>
      <c r="BQ1037" s="71">
        <f>IFERROR(__xludf.DUMMYFUNCTION("""COMPUTED_VALUE"""),160.19)</f>
        <v>160.19</v>
      </c>
      <c r="BR1037" s="71">
        <f>IFERROR(__xludf.DUMMYFUNCTION("""COMPUTED_VALUE"""),25.6304)</f>
        <v>25.6304</v>
      </c>
      <c r="BS1037" s="71">
        <f>IFERROR(__xludf.DUMMYFUNCTION("""COMPUTED_VALUE"""),185.8204)</f>
        <v>185.8204</v>
      </c>
      <c r="BT1037" s="71">
        <f>IFERROR(__xludf.DUMMYFUNCTION("""COMPUTED_VALUE"""),154.4)</f>
        <v>154.4</v>
      </c>
      <c r="BU1037" s="71">
        <f>IFERROR(__xludf.DUMMYFUNCTION("""COMPUTED_VALUE"""),24.704)</f>
        <v>24.704</v>
      </c>
      <c r="BV1037" s="71">
        <f>IFERROR(__xludf.DUMMYFUNCTION("""COMPUTED_VALUE"""),179.104)</f>
        <v>179.104</v>
      </c>
    </row>
    <row r="1038">
      <c r="A1038" s="53">
        <v>1.0</v>
      </c>
      <c r="B1038" s="72"/>
      <c r="C1038" s="120" t="s">
        <v>53</v>
      </c>
      <c r="D1038" s="74" t="s">
        <v>2518</v>
      </c>
      <c r="E1038" s="54" t="s">
        <v>38</v>
      </c>
      <c r="F1038" s="54" t="s">
        <v>42</v>
      </c>
      <c r="G1038" s="55" t="s">
        <v>2519</v>
      </c>
      <c r="H1038" s="54" t="s">
        <v>2520</v>
      </c>
      <c r="I1038" s="54">
        <f t="shared" si="24"/>
        <v>23</v>
      </c>
      <c r="J1038" s="56"/>
      <c r="K1038" s="75"/>
      <c r="L1038" s="76"/>
      <c r="M1038" s="59"/>
      <c r="N1038" s="60">
        <v>175.0</v>
      </c>
      <c r="O1038" s="61">
        <v>189.0</v>
      </c>
      <c r="P1038" s="62">
        <v>204.12</v>
      </c>
      <c r="Q1038" s="63">
        <v>204.12</v>
      </c>
      <c r="R1038" s="64">
        <v>255.0</v>
      </c>
      <c r="S1038" s="111">
        <v>268.0</v>
      </c>
      <c r="T1038" s="65">
        <f t="shared" si="34"/>
        <v>42.88</v>
      </c>
      <c r="U1038" s="65">
        <f t="shared" si="35"/>
        <v>310.88</v>
      </c>
      <c r="V1038" s="66">
        <f t="shared" si="36"/>
        <v>0.05098039216</v>
      </c>
      <c r="W1038" s="67">
        <f t="shared" si="5"/>
        <v>254.6</v>
      </c>
      <c r="X1038" s="67">
        <f t="shared" si="6"/>
        <v>40.736</v>
      </c>
      <c r="Y1038" s="67">
        <f t="shared" si="7"/>
        <v>295.336</v>
      </c>
      <c r="Z1038" s="67">
        <f t="shared" si="8"/>
        <v>241.2</v>
      </c>
      <c r="AA1038" s="67">
        <f t="shared" si="9"/>
        <v>38.592</v>
      </c>
      <c r="AB1038" s="67">
        <f t="shared" si="10"/>
        <v>279.792</v>
      </c>
      <c r="AC1038" s="67">
        <f t="shared" si="11"/>
        <v>227.8</v>
      </c>
      <c r="AD1038" s="67">
        <f t="shared" si="12"/>
        <v>36.448</v>
      </c>
      <c r="AE1038" s="67">
        <f t="shared" si="13"/>
        <v>264.248</v>
      </c>
      <c r="AF1038" s="67">
        <f t="shared" si="33"/>
        <v>222.44</v>
      </c>
      <c r="AG1038" s="67">
        <f t="shared" si="15"/>
        <v>35.5904</v>
      </c>
      <c r="AH1038" s="67">
        <f t="shared" si="16"/>
        <v>258.0304</v>
      </c>
      <c r="AI1038" s="67">
        <f t="shared" si="17"/>
        <v>214.4</v>
      </c>
      <c r="AJ1038" s="68">
        <f t="shared" si="37"/>
        <v>34.304</v>
      </c>
      <c r="AK1038" s="68">
        <f t="shared" si="38"/>
        <v>248.704</v>
      </c>
      <c r="AL1038" s="70">
        <f>IFERROR(__xludf.DUMMYFUNCTION("""COMPUTED_VALUE"""),1.0)</f>
        <v>1</v>
      </c>
      <c r="AM1038" s="70"/>
      <c r="AN1038" s="71" t="str">
        <f>IFERROR(__xludf.DUMMYFUNCTION("""COMPUTED_VALUE""")," P")</f>
        <v>P</v>
      </c>
      <c r="AO1038" s="71" t="str">
        <f>IFERROR(__xludf.DUMMYFUNCTION("""COMPUTED_VALUE""")," QU02")</f>
        <v>QU02</v>
      </c>
      <c r="AP1038" s="71" t="str">
        <f>IFERROR(__xludf.DUMMYFUNCTION("""COMPUTED_VALUE""")," PZA")</f>
        <v>PZA</v>
      </c>
      <c r="AQ1038" s="71" t="str">
        <f>IFERROR(__xludf.DUMMYFUNCTION("""COMPUTED_VALUE""")," REF")</f>
        <v>REF</v>
      </c>
      <c r="AR1038" s="71" t="str">
        <f>IFERROR(__xludf.DUMMYFUNCTION("""COMPUTED_VALUE""")," QUIJADA PARA CLUTCH SENCILLO (ACERO 9840)")</f>
        <v>QUIJADA PARA CLUTCH SENCILLO (ACERO 9840)</v>
      </c>
      <c r="AS1038" s="71" t="str">
        <f>IFERROR(__xludf.DUMMYFUNCTION("""COMPUTED_VALUE""")," QUIJADA P/CLUTCH SENCILLO ACERO 9840")</f>
        <v>QUIJADA P/CLUTCH SENCILLO ACERO 9840</v>
      </c>
      <c r="AT1038" s="71">
        <f>IFERROR(__xludf.DUMMYFUNCTION("""COMPUTED_VALUE"""),36.0)</f>
        <v>36</v>
      </c>
      <c r="AU1038" s="71"/>
      <c r="AV1038" s="71"/>
      <c r="AW1038" s="71"/>
      <c r="AX1038" s="71"/>
      <c r="AY1038" s="71">
        <f>IFERROR(__xludf.DUMMYFUNCTION("""COMPUTED_VALUE"""),130.0)</f>
        <v>130</v>
      </c>
      <c r="AZ1038" s="71">
        <f>IFERROR(__xludf.DUMMYFUNCTION("""COMPUTED_VALUE"""),140.0)</f>
        <v>140</v>
      </c>
      <c r="BA1038" s="71">
        <f>IFERROR(__xludf.DUMMYFUNCTION("""COMPUTED_VALUE"""),151.20000000000002)</f>
        <v>151.2</v>
      </c>
      <c r="BB1038" s="71">
        <f>IFERROR(__xludf.DUMMYFUNCTION("""COMPUTED_VALUE"""),151.20000000000002)</f>
        <v>151.2</v>
      </c>
      <c r="BC1038" s="71">
        <f>IFERROR(__xludf.DUMMYFUNCTION("""COMPUTED_VALUE"""),176.0)</f>
        <v>176</v>
      </c>
      <c r="BD1038" s="71">
        <f>IFERROR(__xludf.DUMMYFUNCTION("""COMPUTED_VALUE"""),185.0)</f>
        <v>185</v>
      </c>
      <c r="BE1038" s="71">
        <f>IFERROR(__xludf.DUMMYFUNCTION("""COMPUTED_VALUE"""),29.6)</f>
        <v>29.6</v>
      </c>
      <c r="BF1038" s="71">
        <f>IFERROR(__xludf.DUMMYFUNCTION("""COMPUTED_VALUE"""),214.6)</f>
        <v>214.6</v>
      </c>
      <c r="BG1038" s="71">
        <f>IFERROR(__xludf.DUMMYFUNCTION("""COMPUTED_VALUE"""),0.05113636363636364)</f>
        <v>0.05113636364</v>
      </c>
      <c r="BH1038" s="71">
        <f>IFERROR(__xludf.DUMMYFUNCTION("""COMPUTED_VALUE"""),175.75)</f>
        <v>175.75</v>
      </c>
      <c r="BI1038" s="71">
        <f>IFERROR(__xludf.DUMMYFUNCTION("""COMPUTED_VALUE"""),28.12)</f>
        <v>28.12</v>
      </c>
      <c r="BJ1038" s="71">
        <f>IFERROR(__xludf.DUMMYFUNCTION("""COMPUTED_VALUE"""),203.87)</f>
        <v>203.87</v>
      </c>
      <c r="BK1038" s="71">
        <f>IFERROR(__xludf.DUMMYFUNCTION("""COMPUTED_VALUE"""),166.5)</f>
        <v>166.5</v>
      </c>
      <c r="BL1038" s="71">
        <f>IFERROR(__xludf.DUMMYFUNCTION("""COMPUTED_VALUE"""),26.64)</f>
        <v>26.64</v>
      </c>
      <c r="BM1038" s="71">
        <f>IFERROR(__xludf.DUMMYFUNCTION("""COMPUTED_VALUE"""),193.14)</f>
        <v>193.14</v>
      </c>
      <c r="BN1038" s="71">
        <f>IFERROR(__xludf.DUMMYFUNCTION("""COMPUTED_VALUE"""),157.25)</f>
        <v>157.25</v>
      </c>
      <c r="BO1038" s="71">
        <f>IFERROR(__xludf.DUMMYFUNCTION("""COMPUTED_VALUE"""),25.16)</f>
        <v>25.16</v>
      </c>
      <c r="BP1038" s="71">
        <f>IFERROR(__xludf.DUMMYFUNCTION("""COMPUTED_VALUE"""),182.41)</f>
        <v>182.41</v>
      </c>
      <c r="BQ1038" s="71">
        <f>IFERROR(__xludf.DUMMYFUNCTION("""COMPUTED_VALUE"""),153.54999999999998)</f>
        <v>153.55</v>
      </c>
      <c r="BR1038" s="71">
        <f>IFERROR(__xludf.DUMMYFUNCTION("""COMPUTED_VALUE"""),24.567999999999998)</f>
        <v>24.568</v>
      </c>
      <c r="BS1038" s="71">
        <f>IFERROR(__xludf.DUMMYFUNCTION("""COMPUTED_VALUE"""),178.118)</f>
        <v>178.118</v>
      </c>
      <c r="BT1038" s="71">
        <f>IFERROR(__xludf.DUMMYFUNCTION("""COMPUTED_VALUE"""),148.0)</f>
        <v>148</v>
      </c>
      <c r="BU1038" s="71">
        <f>IFERROR(__xludf.DUMMYFUNCTION("""COMPUTED_VALUE"""),23.68)</f>
        <v>23.68</v>
      </c>
      <c r="BV1038" s="71">
        <f>IFERROR(__xludf.DUMMYFUNCTION("""COMPUTED_VALUE"""),171.68)</f>
        <v>171.68</v>
      </c>
    </row>
    <row r="1039">
      <c r="A1039" s="53"/>
      <c r="B1039" s="53"/>
      <c r="C1039" s="73" t="s">
        <v>53</v>
      </c>
      <c r="D1039" s="53" t="s">
        <v>2521</v>
      </c>
      <c r="E1039" s="54" t="s">
        <v>38</v>
      </c>
      <c r="F1039" s="55" t="s">
        <v>309</v>
      </c>
      <c r="G1039" s="54" t="s">
        <v>2522</v>
      </c>
      <c r="H1039" s="54" t="s">
        <v>2523</v>
      </c>
      <c r="I1039" s="54">
        <f t="shared" si="24"/>
        <v>27</v>
      </c>
      <c r="J1039" s="56"/>
      <c r="K1039" s="57"/>
      <c r="L1039" s="76"/>
      <c r="M1039" s="59"/>
      <c r="N1039" s="60"/>
      <c r="O1039" s="90">
        <v>189.0</v>
      </c>
      <c r="P1039" s="62">
        <v>204.12</v>
      </c>
      <c r="Q1039" s="63">
        <v>204.12</v>
      </c>
      <c r="R1039" s="64">
        <v>255.0</v>
      </c>
      <c r="S1039" s="111">
        <v>268.0</v>
      </c>
      <c r="T1039" s="65">
        <f t="shared" si="34"/>
        <v>42.88</v>
      </c>
      <c r="U1039" s="65">
        <f t="shared" si="35"/>
        <v>310.88</v>
      </c>
      <c r="V1039" s="66">
        <f t="shared" si="36"/>
        <v>0.05098039216</v>
      </c>
      <c r="W1039" s="67">
        <f t="shared" si="5"/>
        <v>254.6</v>
      </c>
      <c r="X1039" s="67">
        <f t="shared" si="6"/>
        <v>40.736</v>
      </c>
      <c r="Y1039" s="67">
        <f t="shared" si="7"/>
        <v>295.336</v>
      </c>
      <c r="Z1039" s="67">
        <f t="shared" si="8"/>
        <v>241.2</v>
      </c>
      <c r="AA1039" s="67">
        <f t="shared" si="9"/>
        <v>38.592</v>
      </c>
      <c r="AB1039" s="67">
        <f t="shared" si="10"/>
        <v>279.792</v>
      </c>
      <c r="AC1039" s="67">
        <f t="shared" si="11"/>
        <v>227.8</v>
      </c>
      <c r="AD1039" s="67">
        <f t="shared" si="12"/>
        <v>36.448</v>
      </c>
      <c r="AE1039" s="67">
        <f t="shared" si="13"/>
        <v>264.248</v>
      </c>
      <c r="AF1039" s="67">
        <f t="shared" si="33"/>
        <v>222.44</v>
      </c>
      <c r="AG1039" s="67">
        <f t="shared" si="15"/>
        <v>35.5904</v>
      </c>
      <c r="AH1039" s="67">
        <f t="shared" si="16"/>
        <v>258.0304</v>
      </c>
      <c r="AI1039" s="67">
        <f t="shared" si="17"/>
        <v>214.4</v>
      </c>
      <c r="AJ1039" s="68">
        <f t="shared" si="37"/>
        <v>34.304</v>
      </c>
      <c r="AK1039" s="68">
        <f t="shared" si="38"/>
        <v>248.704</v>
      </c>
      <c r="AL1039" s="70">
        <f>IFERROR(__xludf.DUMMYFUNCTION("""COMPUTED_VALUE"""),1.0)</f>
        <v>1</v>
      </c>
      <c r="AM1039" s="70"/>
      <c r="AN1039" s="71" t="str">
        <f>IFERROR(__xludf.DUMMYFUNCTION("""COMPUTED_VALUE""")," C")</f>
        <v>C</v>
      </c>
      <c r="AO1039" s="71" t="str">
        <f>IFERROR(__xludf.DUMMYFUNCTION("""COMPUTED_VALUE""")," RD05")</f>
        <v>RD05</v>
      </c>
      <c r="AP1039" s="71" t="str">
        <f>IFERROR(__xludf.DUMMYFUNCTION("""COMPUTED_VALUE""")," PZA")</f>
        <v>PZA</v>
      </c>
      <c r="AQ1039" s="71" t="str">
        <f>IFERROR(__xludf.DUMMYFUNCTION("""COMPUTED_VALUE""")," REF")</f>
        <v>REF</v>
      </c>
      <c r="AR1039" s="71" t="str">
        <f>IFERROR(__xludf.DUMMYFUNCTION("""COMPUTED_VALUE""")," REDUCTOR 80")</f>
        <v>REDUCTOR 80</v>
      </c>
      <c r="AS1039" s="71" t="str">
        <f>IFERROR(__xludf.DUMMYFUNCTION("""COMPUTED_VALUE""")," REDUCTOR 80")</f>
        <v>REDUCTOR 80</v>
      </c>
      <c r="AT1039" s="71">
        <f>IFERROR(__xludf.DUMMYFUNCTION("""COMPUTED_VALUE"""),11.0)</f>
        <v>11</v>
      </c>
      <c r="AU1039" s="71"/>
      <c r="AV1039" s="71"/>
      <c r="AW1039" s="71"/>
      <c r="AX1039" s="71"/>
      <c r="AY1039" s="71"/>
      <c r="AZ1039" s="71"/>
      <c r="BA1039" s="71">
        <f>IFERROR(__xludf.DUMMYFUNCTION("""COMPUTED_VALUE"""),2380.0)</f>
        <v>2380</v>
      </c>
      <c r="BB1039" s="71">
        <f>IFERROR(__xludf.DUMMYFUNCTION("""COMPUTED_VALUE"""),2380.0)</f>
        <v>2380</v>
      </c>
      <c r="BC1039" s="71">
        <f>IFERROR(__xludf.DUMMYFUNCTION("""COMPUTED_VALUE"""),5357.0)</f>
        <v>5357</v>
      </c>
      <c r="BD1039" s="71">
        <f>IFERROR(__xludf.DUMMYFUNCTION("""COMPUTED_VALUE"""),5625.0)</f>
        <v>5625</v>
      </c>
      <c r="BE1039" s="71">
        <f>IFERROR(__xludf.DUMMYFUNCTION("""COMPUTED_VALUE"""),900.0)</f>
        <v>900</v>
      </c>
      <c r="BF1039" s="71">
        <f>IFERROR(__xludf.DUMMYFUNCTION("""COMPUTED_VALUE"""),6525.0)</f>
        <v>6525</v>
      </c>
      <c r="BG1039" s="71">
        <f>IFERROR(__xludf.DUMMYFUNCTION("""COMPUTED_VALUE"""),0.05002800074668658)</f>
        <v>0.05002800075</v>
      </c>
      <c r="BH1039" s="71">
        <f>IFERROR(__xludf.DUMMYFUNCTION("""COMPUTED_VALUE"""),5343.75)</f>
        <v>5343.75</v>
      </c>
      <c r="BI1039" s="71">
        <f>IFERROR(__xludf.DUMMYFUNCTION("""COMPUTED_VALUE"""),855.0)</f>
        <v>855</v>
      </c>
      <c r="BJ1039" s="71">
        <f>IFERROR(__xludf.DUMMYFUNCTION("""COMPUTED_VALUE"""),6198.75)</f>
        <v>6198.75</v>
      </c>
      <c r="BK1039" s="71">
        <f>IFERROR(__xludf.DUMMYFUNCTION("""COMPUTED_VALUE"""),5062.5)</f>
        <v>5062.5</v>
      </c>
      <c r="BL1039" s="71">
        <f>IFERROR(__xludf.DUMMYFUNCTION("""COMPUTED_VALUE"""),810.0)</f>
        <v>810</v>
      </c>
      <c r="BM1039" s="71">
        <f>IFERROR(__xludf.DUMMYFUNCTION("""COMPUTED_VALUE"""),5872.5)</f>
        <v>5872.5</v>
      </c>
      <c r="BN1039" s="71">
        <f>IFERROR(__xludf.DUMMYFUNCTION("""COMPUTED_VALUE"""),4781.25)</f>
        <v>4781.25</v>
      </c>
      <c r="BO1039" s="71">
        <f>IFERROR(__xludf.DUMMYFUNCTION("""COMPUTED_VALUE"""),765.0)</f>
        <v>765</v>
      </c>
      <c r="BP1039" s="71">
        <f>IFERROR(__xludf.DUMMYFUNCTION("""COMPUTED_VALUE"""),5546.25)</f>
        <v>5546.25</v>
      </c>
      <c r="BQ1039" s="71">
        <f>IFERROR(__xludf.DUMMYFUNCTION("""COMPUTED_VALUE"""),4668.75)</f>
        <v>4668.75</v>
      </c>
      <c r="BR1039" s="71">
        <f>IFERROR(__xludf.DUMMYFUNCTION("""COMPUTED_VALUE"""),747.0)</f>
        <v>747</v>
      </c>
      <c r="BS1039" s="71">
        <f>IFERROR(__xludf.DUMMYFUNCTION("""COMPUTED_VALUE"""),5415.75)</f>
        <v>5415.75</v>
      </c>
      <c r="BT1039" s="71">
        <f>IFERROR(__xludf.DUMMYFUNCTION("""COMPUTED_VALUE"""),4500.0)</f>
        <v>4500</v>
      </c>
      <c r="BU1039" s="71">
        <f>IFERROR(__xludf.DUMMYFUNCTION("""COMPUTED_VALUE"""),720.0)</f>
        <v>720</v>
      </c>
      <c r="BV1039" s="71">
        <f>IFERROR(__xludf.DUMMYFUNCTION("""COMPUTED_VALUE"""),5220.0)</f>
        <v>5220</v>
      </c>
    </row>
    <row r="1040">
      <c r="A1040" s="53">
        <v>1.0</v>
      </c>
      <c r="B1040" s="72"/>
      <c r="C1040" s="120" t="s">
        <v>53</v>
      </c>
      <c r="D1040" s="74" t="s">
        <v>2524</v>
      </c>
      <c r="E1040" s="54" t="s">
        <v>38</v>
      </c>
      <c r="F1040" s="54" t="s">
        <v>42</v>
      </c>
      <c r="G1040" s="54" t="s">
        <v>2525</v>
      </c>
      <c r="H1040" s="54" t="s">
        <v>2526</v>
      </c>
      <c r="I1040" s="54">
        <f t="shared" si="24"/>
        <v>27</v>
      </c>
      <c r="J1040" s="56"/>
      <c r="K1040" s="75"/>
      <c r="L1040" s="76"/>
      <c r="M1040" s="59"/>
      <c r="N1040" s="60">
        <v>137.0</v>
      </c>
      <c r="O1040" s="61">
        <v>147.0</v>
      </c>
      <c r="P1040" s="62">
        <v>158.76000000000002</v>
      </c>
      <c r="Q1040" s="63">
        <v>158.76000000000002</v>
      </c>
      <c r="R1040" s="64">
        <v>184.0</v>
      </c>
      <c r="S1040" s="111">
        <v>193.0</v>
      </c>
      <c r="T1040" s="65">
        <f t="shared" si="34"/>
        <v>30.88</v>
      </c>
      <c r="U1040" s="65">
        <f t="shared" si="35"/>
        <v>223.88</v>
      </c>
      <c r="V1040" s="66">
        <f t="shared" si="36"/>
        <v>0.04891304348</v>
      </c>
      <c r="W1040" s="67">
        <f t="shared" si="5"/>
        <v>183.35</v>
      </c>
      <c r="X1040" s="67">
        <f t="shared" si="6"/>
        <v>29.336</v>
      </c>
      <c r="Y1040" s="67">
        <f t="shared" si="7"/>
        <v>212.686</v>
      </c>
      <c r="Z1040" s="67">
        <f t="shared" si="8"/>
        <v>173.7</v>
      </c>
      <c r="AA1040" s="67">
        <f t="shared" si="9"/>
        <v>27.792</v>
      </c>
      <c r="AB1040" s="67">
        <f t="shared" si="10"/>
        <v>201.492</v>
      </c>
      <c r="AC1040" s="67">
        <f t="shared" si="11"/>
        <v>164.05</v>
      </c>
      <c r="AD1040" s="67">
        <f t="shared" si="12"/>
        <v>26.248</v>
      </c>
      <c r="AE1040" s="67">
        <f t="shared" si="13"/>
        <v>190.298</v>
      </c>
      <c r="AF1040" s="67">
        <f t="shared" si="33"/>
        <v>160.19</v>
      </c>
      <c r="AG1040" s="67">
        <f t="shared" si="15"/>
        <v>25.6304</v>
      </c>
      <c r="AH1040" s="67">
        <f t="shared" si="16"/>
        <v>185.8204</v>
      </c>
      <c r="AI1040" s="67">
        <f t="shared" si="17"/>
        <v>154.4</v>
      </c>
      <c r="AJ1040" s="68">
        <f t="shared" si="37"/>
        <v>24.704</v>
      </c>
      <c r="AK1040" s="68">
        <f t="shared" si="38"/>
        <v>179.104</v>
      </c>
      <c r="AL1040" s="70">
        <f>IFERROR(__xludf.DUMMYFUNCTION("""COMPUTED_VALUE"""),1.0)</f>
        <v>1</v>
      </c>
      <c r="AM1040" s="70"/>
      <c r="AN1040" s="71" t="str">
        <f>IFERROR(__xludf.DUMMYFUNCTION("""COMPUTED_VALUE""")," P")</f>
        <v>P</v>
      </c>
      <c r="AO1040" s="71" t="str">
        <f>IFERROR(__xludf.DUMMYFUNCTION("""COMPUTED_VALUE""")," RD07")</f>
        <v>RD07</v>
      </c>
      <c r="AP1040" s="71" t="str">
        <f>IFERROR(__xludf.DUMMYFUNCTION("""COMPUTED_VALUE""")," PZA")</f>
        <v>PZA</v>
      </c>
      <c r="AQ1040" s="71" t="str">
        <f>IFERROR(__xludf.DUMMYFUNCTION("""COMPUTED_VALUE""")," REF")</f>
        <v>REF</v>
      </c>
      <c r="AR1040" s="71" t="str">
        <f>IFERROR(__xludf.DUMMYFUNCTION("""COMPUTED_VALUE""")," REDUCTOR ARMADO CHICO VERDUZCO")</f>
        <v>REDUCTOR ARMADO CHICO VERDUZCO</v>
      </c>
      <c r="AS1040" s="71" t="str">
        <f>IFERROR(__xludf.DUMMYFUNCTION("""COMPUTED_VALUE""")," REDUCTOR ARMADO CHICO VER")</f>
        <v>REDUCTOR ARMADO CHICO VER</v>
      </c>
      <c r="AT1040" s="71">
        <f>IFERROR(__xludf.DUMMYFUNCTION("""COMPUTED_VALUE"""),25.0)</f>
        <v>25</v>
      </c>
      <c r="AU1040" s="71"/>
      <c r="AV1040" s="71"/>
      <c r="AW1040" s="71"/>
      <c r="AX1040" s="71"/>
      <c r="AY1040" s="71">
        <f>IFERROR(__xludf.DUMMYFUNCTION("""COMPUTED_VALUE"""),3872.0)</f>
        <v>3872</v>
      </c>
      <c r="AZ1040" s="71">
        <f>IFERROR(__xludf.DUMMYFUNCTION("""COMPUTED_VALUE"""),4181.0)</f>
        <v>4181</v>
      </c>
      <c r="BA1040" s="71">
        <f>IFERROR(__xludf.DUMMYFUNCTION("""COMPUTED_VALUE"""),4515.4800000000005)</f>
        <v>4515.48</v>
      </c>
      <c r="BB1040" s="71">
        <f>IFERROR(__xludf.DUMMYFUNCTION("""COMPUTED_VALUE"""),4515.4800000000005)</f>
        <v>4515.48</v>
      </c>
      <c r="BC1040" s="71">
        <f>IFERROR(__xludf.DUMMYFUNCTION("""COMPUTED_VALUE"""),5027.0)</f>
        <v>5027</v>
      </c>
      <c r="BD1040" s="71">
        <f>IFERROR(__xludf.DUMMYFUNCTION("""COMPUTED_VALUE"""),5278.0)</f>
        <v>5278</v>
      </c>
      <c r="BE1040" s="71">
        <f>IFERROR(__xludf.DUMMYFUNCTION("""COMPUTED_VALUE"""),844.48)</f>
        <v>844.48</v>
      </c>
      <c r="BF1040" s="71">
        <f>IFERROR(__xludf.DUMMYFUNCTION("""COMPUTED_VALUE"""),6122.48)</f>
        <v>6122.48</v>
      </c>
      <c r="BG1040" s="71">
        <f>IFERROR(__xludf.DUMMYFUNCTION("""COMPUTED_VALUE"""),0.049930375969763276)</f>
        <v>0.04993037597</v>
      </c>
      <c r="BH1040" s="71">
        <f>IFERROR(__xludf.DUMMYFUNCTION("""COMPUTED_VALUE"""),5014.099999999999)</f>
        <v>5014.1</v>
      </c>
      <c r="BI1040" s="71">
        <f>IFERROR(__xludf.DUMMYFUNCTION("""COMPUTED_VALUE"""),802.256)</f>
        <v>802.256</v>
      </c>
      <c r="BJ1040" s="71">
        <f>IFERROR(__xludf.DUMMYFUNCTION("""COMPUTED_VALUE"""),5816.356)</f>
        <v>5816.356</v>
      </c>
      <c r="BK1040" s="71">
        <f>IFERROR(__xludf.DUMMYFUNCTION("""COMPUTED_VALUE"""),4750.2)</f>
        <v>4750.2</v>
      </c>
      <c r="BL1040" s="71">
        <f>IFERROR(__xludf.DUMMYFUNCTION("""COMPUTED_VALUE"""),760.032)</f>
        <v>760.032</v>
      </c>
      <c r="BM1040" s="71">
        <f>IFERROR(__xludf.DUMMYFUNCTION("""COMPUTED_VALUE"""),5510.232)</f>
        <v>5510.232</v>
      </c>
      <c r="BN1040" s="71">
        <f>IFERROR(__xludf.DUMMYFUNCTION("""COMPUTED_VALUE"""),4486.3)</f>
        <v>4486.3</v>
      </c>
      <c r="BO1040" s="71">
        <f>IFERROR(__xludf.DUMMYFUNCTION("""COMPUTED_VALUE"""),717.808)</f>
        <v>717.808</v>
      </c>
      <c r="BP1040" s="71">
        <f>IFERROR(__xludf.DUMMYFUNCTION("""COMPUTED_VALUE"""),5204.108)</f>
        <v>5204.108</v>
      </c>
      <c r="BQ1040" s="71">
        <f>IFERROR(__xludf.DUMMYFUNCTION("""COMPUTED_VALUE"""),4380.74)</f>
        <v>4380.74</v>
      </c>
      <c r="BR1040" s="71">
        <f>IFERROR(__xludf.DUMMYFUNCTION("""COMPUTED_VALUE"""),700.9184)</f>
        <v>700.9184</v>
      </c>
      <c r="BS1040" s="71">
        <f>IFERROR(__xludf.DUMMYFUNCTION("""COMPUTED_VALUE"""),5081.6584)</f>
        <v>5081.6584</v>
      </c>
      <c r="BT1040" s="71">
        <f>IFERROR(__xludf.DUMMYFUNCTION("""COMPUTED_VALUE"""),4222.400000000001)</f>
        <v>4222.4</v>
      </c>
      <c r="BU1040" s="71">
        <f>IFERROR(__xludf.DUMMYFUNCTION("""COMPUTED_VALUE"""),675.5840000000001)</f>
        <v>675.584</v>
      </c>
      <c r="BV1040" s="71">
        <f>IFERROR(__xludf.DUMMYFUNCTION("""COMPUTED_VALUE"""),4897.984)</f>
        <v>4897.984</v>
      </c>
    </row>
    <row r="1041">
      <c r="A1041" s="53">
        <v>1.0</v>
      </c>
      <c r="B1041" s="72"/>
      <c r="C1041" s="120" t="s">
        <v>53</v>
      </c>
      <c r="D1041" s="74" t="s">
        <v>2527</v>
      </c>
      <c r="E1041" s="54" t="s">
        <v>38</v>
      </c>
      <c r="F1041" s="54" t="s">
        <v>42</v>
      </c>
      <c r="G1041" s="54" t="s">
        <v>2528</v>
      </c>
      <c r="H1041" s="54" t="s">
        <v>2529</v>
      </c>
      <c r="I1041" s="54">
        <f t="shared" si="24"/>
        <v>33</v>
      </c>
      <c r="J1041" s="56"/>
      <c r="K1041" s="75"/>
      <c r="L1041" s="76"/>
      <c r="M1041" s="59"/>
      <c r="N1041" s="60">
        <v>172.0</v>
      </c>
      <c r="O1041" s="61">
        <v>185.0</v>
      </c>
      <c r="P1041" s="62">
        <v>199.8</v>
      </c>
      <c r="Q1041" s="63">
        <v>199.8</v>
      </c>
      <c r="R1041" s="64">
        <v>288.0</v>
      </c>
      <c r="S1041" s="111">
        <v>302.0</v>
      </c>
      <c r="T1041" s="65">
        <f t="shared" si="34"/>
        <v>48.32</v>
      </c>
      <c r="U1041" s="65">
        <f t="shared" si="35"/>
        <v>350.32</v>
      </c>
      <c r="V1041" s="66">
        <f t="shared" si="36"/>
        <v>0.04861111111</v>
      </c>
      <c r="W1041" s="67">
        <f t="shared" si="5"/>
        <v>286.9</v>
      </c>
      <c r="X1041" s="67">
        <f t="shared" si="6"/>
        <v>45.904</v>
      </c>
      <c r="Y1041" s="67">
        <f t="shared" si="7"/>
        <v>332.804</v>
      </c>
      <c r="Z1041" s="67">
        <f t="shared" si="8"/>
        <v>271.8</v>
      </c>
      <c r="AA1041" s="67">
        <f t="shared" si="9"/>
        <v>43.488</v>
      </c>
      <c r="AB1041" s="67">
        <f t="shared" si="10"/>
        <v>315.288</v>
      </c>
      <c r="AC1041" s="67">
        <f t="shared" si="11"/>
        <v>256.7</v>
      </c>
      <c r="AD1041" s="67">
        <f t="shared" si="12"/>
        <v>41.072</v>
      </c>
      <c r="AE1041" s="67">
        <f t="shared" si="13"/>
        <v>297.772</v>
      </c>
      <c r="AF1041" s="67">
        <f t="shared" si="33"/>
        <v>250.66</v>
      </c>
      <c r="AG1041" s="67">
        <f t="shared" si="15"/>
        <v>40.1056</v>
      </c>
      <c r="AH1041" s="67">
        <f t="shared" si="16"/>
        <v>290.7656</v>
      </c>
      <c r="AI1041" s="67">
        <f t="shared" si="17"/>
        <v>241.6</v>
      </c>
      <c r="AJ1041" s="68">
        <f t="shared" si="37"/>
        <v>38.656</v>
      </c>
      <c r="AK1041" s="68">
        <f t="shared" si="38"/>
        <v>280.256</v>
      </c>
      <c r="AL1041" s="70">
        <f>IFERROR(__xludf.DUMMYFUNCTION("""COMPUTED_VALUE"""),1.0)</f>
        <v>1</v>
      </c>
      <c r="AM1041" s="70"/>
      <c r="AN1041" s="71" t="str">
        <f>IFERROR(__xludf.DUMMYFUNCTION("""COMPUTED_VALUE""")," P")</f>
        <v>P</v>
      </c>
      <c r="AO1041" s="71" t="str">
        <f>IFERROR(__xludf.DUMMYFUNCTION("""COMPUTED_VALUE""")," RD01")</f>
        <v>RD01</v>
      </c>
      <c r="AP1041" s="71" t="str">
        <f>IFERROR(__xludf.DUMMYFUNCTION("""COMPUTED_VALUE""")," PZA")</f>
        <v>PZA</v>
      </c>
      <c r="AQ1041" s="71" t="str">
        <f>IFERROR(__xludf.DUMMYFUNCTION("""COMPUTED_VALUE""")," REF")</f>
        <v>REF</v>
      </c>
      <c r="AR1041" s="71" t="str">
        <f>IFERROR(__xludf.DUMMYFUNCTION("""COMPUTED_VALUE""")," REDUCTOR ARMADO DUPLEX VERDUZCO")</f>
        <v>REDUCTOR ARMADO DUPLEX VERDUZCO</v>
      </c>
      <c r="AS1041" s="71" t="str">
        <f>IFERROR(__xludf.DUMMYFUNCTION("""COMPUTED_VALUE""")," REDUCTOR ARMADO DPLX VER")</f>
        <v>REDUCTOR ARMADO DPLX VER</v>
      </c>
      <c r="AT1041" s="71">
        <f>IFERROR(__xludf.DUMMYFUNCTION("""COMPUTED_VALUE"""),24.0)</f>
        <v>24</v>
      </c>
      <c r="AU1041" s="71"/>
      <c r="AV1041" s="71"/>
      <c r="AW1041" s="71"/>
      <c r="AX1041" s="71"/>
      <c r="AY1041" s="71">
        <f>IFERROR(__xludf.DUMMYFUNCTION("""COMPUTED_VALUE"""),7272.0)</f>
        <v>7272</v>
      </c>
      <c r="AZ1041" s="71">
        <f>IFERROR(__xludf.DUMMYFUNCTION("""COMPUTED_VALUE"""),7853.0)</f>
        <v>7853</v>
      </c>
      <c r="BA1041" s="71">
        <f>IFERROR(__xludf.DUMMYFUNCTION("""COMPUTED_VALUE"""),8481.24)</f>
        <v>8481.24</v>
      </c>
      <c r="BB1041" s="71">
        <f>IFERROR(__xludf.DUMMYFUNCTION("""COMPUTED_VALUE"""),8481.24)</f>
        <v>8481.24</v>
      </c>
      <c r="BC1041" s="71">
        <f>IFERROR(__xludf.DUMMYFUNCTION("""COMPUTED_VALUE"""),8906.0)</f>
        <v>8906</v>
      </c>
      <c r="BD1041" s="71">
        <f>IFERROR(__xludf.DUMMYFUNCTION("""COMPUTED_VALUE"""),9351.0)</f>
        <v>9351</v>
      </c>
      <c r="BE1041" s="71">
        <f>IFERROR(__xludf.DUMMYFUNCTION("""COMPUTED_VALUE"""),1496.16)</f>
        <v>1496.16</v>
      </c>
      <c r="BF1041" s="71">
        <f>IFERROR(__xludf.DUMMYFUNCTION("""COMPUTED_VALUE"""),10847.16)</f>
        <v>10847.16</v>
      </c>
      <c r="BG1041" s="71">
        <f>IFERROR(__xludf.DUMMYFUNCTION("""COMPUTED_VALUE"""),0.04996631484392544)</f>
        <v>0.04996631484</v>
      </c>
      <c r="BH1041" s="71">
        <f>IFERROR(__xludf.DUMMYFUNCTION("""COMPUTED_VALUE"""),8883.449999999999)</f>
        <v>8883.45</v>
      </c>
      <c r="BI1041" s="71">
        <f>IFERROR(__xludf.DUMMYFUNCTION("""COMPUTED_VALUE"""),1421.3519999999999)</f>
        <v>1421.352</v>
      </c>
      <c r="BJ1041" s="71">
        <f>IFERROR(__xludf.DUMMYFUNCTION("""COMPUTED_VALUE"""),10304.802)</f>
        <v>10304.802</v>
      </c>
      <c r="BK1041" s="71">
        <f>IFERROR(__xludf.DUMMYFUNCTION("""COMPUTED_VALUE"""),8415.9)</f>
        <v>8415.9</v>
      </c>
      <c r="BL1041" s="71">
        <f>IFERROR(__xludf.DUMMYFUNCTION("""COMPUTED_VALUE"""),1346.5439999999999)</f>
        <v>1346.544</v>
      </c>
      <c r="BM1041" s="71">
        <f>IFERROR(__xludf.DUMMYFUNCTION("""COMPUTED_VALUE"""),9762.444)</f>
        <v>9762.444</v>
      </c>
      <c r="BN1041" s="71">
        <f>IFERROR(__xludf.DUMMYFUNCTION("""COMPUTED_VALUE"""),7948.349999999999)</f>
        <v>7948.35</v>
      </c>
      <c r="BO1041" s="71">
        <f>IFERROR(__xludf.DUMMYFUNCTION("""COMPUTED_VALUE"""),1271.7359999999999)</f>
        <v>1271.736</v>
      </c>
      <c r="BP1041" s="71">
        <f>IFERROR(__xludf.DUMMYFUNCTION("""COMPUTED_VALUE"""),9220.086)</f>
        <v>9220.086</v>
      </c>
      <c r="BQ1041" s="71">
        <f>IFERROR(__xludf.DUMMYFUNCTION("""COMPUTED_VALUE"""),7761.33)</f>
        <v>7761.33</v>
      </c>
      <c r="BR1041" s="71">
        <f>IFERROR(__xludf.DUMMYFUNCTION("""COMPUTED_VALUE"""),1241.8128)</f>
        <v>1241.8128</v>
      </c>
      <c r="BS1041" s="71">
        <f>IFERROR(__xludf.DUMMYFUNCTION("""COMPUTED_VALUE"""),9003.1428)</f>
        <v>9003.1428</v>
      </c>
      <c r="BT1041" s="71">
        <f>IFERROR(__xludf.DUMMYFUNCTION("""COMPUTED_VALUE"""),7480.8)</f>
        <v>7480.8</v>
      </c>
      <c r="BU1041" s="71">
        <f>IFERROR(__xludf.DUMMYFUNCTION("""COMPUTED_VALUE"""),1196.928)</f>
        <v>1196.928</v>
      </c>
      <c r="BV1041" s="71">
        <f>IFERROR(__xludf.DUMMYFUNCTION("""COMPUTED_VALUE"""),8677.728000000001)</f>
        <v>8677.728</v>
      </c>
    </row>
    <row r="1042">
      <c r="A1042" s="53"/>
      <c r="B1042" s="53"/>
      <c r="C1042" s="73" t="s">
        <v>53</v>
      </c>
      <c r="D1042" s="53" t="s">
        <v>2530</v>
      </c>
      <c r="E1042" s="54" t="s">
        <v>38</v>
      </c>
      <c r="F1042" s="55" t="s">
        <v>309</v>
      </c>
      <c r="G1042" s="54" t="s">
        <v>2531</v>
      </c>
      <c r="H1042" s="54" t="s">
        <v>2532</v>
      </c>
      <c r="I1042" s="54">
        <f t="shared" si="24"/>
        <v>37</v>
      </c>
      <c r="J1042" s="56"/>
      <c r="K1042" s="57"/>
      <c r="L1042" s="76"/>
      <c r="M1042" s="59"/>
      <c r="N1042" s="60"/>
      <c r="O1042" s="90">
        <v>185.0</v>
      </c>
      <c r="P1042" s="62">
        <v>199.8</v>
      </c>
      <c r="Q1042" s="63">
        <v>199.8</v>
      </c>
      <c r="R1042" s="64">
        <v>288.0</v>
      </c>
      <c r="S1042" s="111">
        <v>302.0</v>
      </c>
      <c r="T1042" s="65">
        <f t="shared" si="34"/>
        <v>48.32</v>
      </c>
      <c r="U1042" s="65">
        <f t="shared" si="35"/>
        <v>350.32</v>
      </c>
      <c r="V1042" s="66">
        <f t="shared" si="36"/>
        <v>0.04861111111</v>
      </c>
      <c r="W1042" s="67">
        <f t="shared" si="5"/>
        <v>286.9</v>
      </c>
      <c r="X1042" s="67">
        <f t="shared" si="6"/>
        <v>45.904</v>
      </c>
      <c r="Y1042" s="67">
        <f t="shared" si="7"/>
        <v>332.804</v>
      </c>
      <c r="Z1042" s="67">
        <f t="shared" si="8"/>
        <v>271.8</v>
      </c>
      <c r="AA1042" s="67">
        <f t="shared" si="9"/>
        <v>43.488</v>
      </c>
      <c r="AB1042" s="67">
        <f t="shared" si="10"/>
        <v>315.288</v>
      </c>
      <c r="AC1042" s="67">
        <f t="shared" si="11"/>
        <v>256.7</v>
      </c>
      <c r="AD1042" s="67">
        <f t="shared" si="12"/>
        <v>41.072</v>
      </c>
      <c r="AE1042" s="67">
        <f t="shared" si="13"/>
        <v>297.772</v>
      </c>
      <c r="AF1042" s="67">
        <f t="shared" si="33"/>
        <v>250.66</v>
      </c>
      <c r="AG1042" s="67">
        <f t="shared" si="15"/>
        <v>40.1056</v>
      </c>
      <c r="AH1042" s="67">
        <f t="shared" si="16"/>
        <v>290.7656</v>
      </c>
      <c r="AI1042" s="67">
        <f t="shared" si="17"/>
        <v>241.6</v>
      </c>
      <c r="AJ1042" s="68">
        <f t="shared" si="37"/>
        <v>38.656</v>
      </c>
      <c r="AK1042" s="68">
        <f t="shared" si="38"/>
        <v>280.256</v>
      </c>
      <c r="AL1042" s="70">
        <f>IFERROR(__xludf.DUMMYFUNCTION("""COMPUTED_VALUE"""),1.0)</f>
        <v>1</v>
      </c>
      <c r="AM1042" s="70"/>
      <c r="AN1042" s="71" t="str">
        <f>IFERROR(__xludf.DUMMYFUNCTION("""COMPUTED_VALUE""")," P")</f>
        <v>P</v>
      </c>
      <c r="AO1042" s="71" t="str">
        <f>IFERROR(__xludf.DUMMYFUNCTION("""COMPUTED_VALUE""")," RD02")</f>
        <v>RD02</v>
      </c>
      <c r="AP1042" s="71" t="str">
        <f>IFERROR(__xludf.DUMMYFUNCTION("""COMPUTED_VALUE""")," PZA")</f>
        <v>PZA</v>
      </c>
      <c r="AQ1042" s="71" t="str">
        <f>IFERROR(__xludf.DUMMYFUNCTION("""COMPUTED_VALUE""")," REF")</f>
        <v>REF</v>
      </c>
      <c r="AR1042" s="71" t="str">
        <f>IFERROR(__xludf.DUMMYFUNCTION("""COMPUTED_VALUE""")," REDUCTOR ARMADO SENCILLO VERDUZCO")</f>
        <v>REDUCTOR ARMADO SENCILLO VERDUZCO</v>
      </c>
      <c r="AS1042" s="71" t="str">
        <f>IFERROR(__xludf.DUMMYFUNCTION("""COMPUTED_VALUE""")," REDUCTOR ARMADO SENCILLO VER")</f>
        <v>REDUCTOR ARMADO SENCILLO VER</v>
      </c>
      <c r="AT1042" s="71">
        <f>IFERROR(__xludf.DUMMYFUNCTION("""COMPUTED_VALUE"""),28.0)</f>
        <v>28</v>
      </c>
      <c r="AU1042" s="71"/>
      <c r="AV1042" s="71"/>
      <c r="AW1042" s="71"/>
      <c r="AX1042" s="71"/>
      <c r="AY1042" s="71">
        <f>IFERROR(__xludf.DUMMYFUNCTION("""COMPUTED_VALUE"""),7135.0)</f>
        <v>7135</v>
      </c>
      <c r="AZ1042" s="71">
        <f>IFERROR(__xludf.DUMMYFUNCTION("""COMPUTED_VALUE"""),7705.0)</f>
        <v>7705</v>
      </c>
      <c r="BA1042" s="71">
        <f>IFERROR(__xludf.DUMMYFUNCTION("""COMPUTED_VALUE"""),8321.400000000001)</f>
        <v>8321.4</v>
      </c>
      <c r="BB1042" s="71">
        <f>IFERROR(__xludf.DUMMYFUNCTION("""COMPUTED_VALUE"""),8321.400000000001)</f>
        <v>8321.4</v>
      </c>
      <c r="BC1042" s="71">
        <f>IFERROR(__xludf.DUMMYFUNCTION("""COMPUTED_VALUE"""),8739.0)</f>
        <v>8739</v>
      </c>
      <c r="BD1042" s="71">
        <f>IFERROR(__xludf.DUMMYFUNCTION("""COMPUTED_VALUE"""),9176.0)</f>
        <v>9176</v>
      </c>
      <c r="BE1042" s="71">
        <f>IFERROR(__xludf.DUMMYFUNCTION("""COMPUTED_VALUE"""),1468.16)</f>
        <v>1468.16</v>
      </c>
      <c r="BF1042" s="71">
        <f>IFERROR(__xludf.DUMMYFUNCTION("""COMPUTED_VALUE"""),10644.16)</f>
        <v>10644.16</v>
      </c>
      <c r="BG1042" s="71">
        <f>IFERROR(__xludf.DUMMYFUNCTION("""COMPUTED_VALUE"""),0.05000572147843003)</f>
        <v>0.05000572148</v>
      </c>
      <c r="BH1042" s="71">
        <f>IFERROR(__xludf.DUMMYFUNCTION("""COMPUTED_VALUE"""),8717.199999999999)</f>
        <v>8717.2</v>
      </c>
      <c r="BI1042" s="71">
        <f>IFERROR(__xludf.DUMMYFUNCTION("""COMPUTED_VALUE"""),1394.752)</f>
        <v>1394.752</v>
      </c>
      <c r="BJ1042" s="71">
        <f>IFERROR(__xludf.DUMMYFUNCTION("""COMPUTED_VALUE"""),10111.952)</f>
        <v>10111.952</v>
      </c>
      <c r="BK1042" s="71">
        <f>IFERROR(__xludf.DUMMYFUNCTION("""COMPUTED_VALUE"""),8258.4)</f>
        <v>8258.4</v>
      </c>
      <c r="BL1042" s="71">
        <f>IFERROR(__xludf.DUMMYFUNCTION("""COMPUTED_VALUE"""),1321.344)</f>
        <v>1321.344</v>
      </c>
      <c r="BM1042" s="71">
        <f>IFERROR(__xludf.DUMMYFUNCTION("""COMPUTED_VALUE"""),9579.743999999999)</f>
        <v>9579.744</v>
      </c>
      <c r="BN1042" s="71">
        <f>IFERROR(__xludf.DUMMYFUNCTION("""COMPUTED_VALUE"""),7799.599999999999)</f>
        <v>7799.6</v>
      </c>
      <c r="BO1042" s="71">
        <f>IFERROR(__xludf.DUMMYFUNCTION("""COMPUTED_VALUE"""),1247.936)</f>
        <v>1247.936</v>
      </c>
      <c r="BP1042" s="71">
        <f>IFERROR(__xludf.DUMMYFUNCTION("""COMPUTED_VALUE"""),9047.536)</f>
        <v>9047.536</v>
      </c>
      <c r="BQ1042" s="71">
        <f>IFERROR(__xludf.DUMMYFUNCTION("""COMPUTED_VALUE"""),7616.08)</f>
        <v>7616.08</v>
      </c>
      <c r="BR1042" s="71">
        <f>IFERROR(__xludf.DUMMYFUNCTION("""COMPUTED_VALUE"""),1218.5728)</f>
        <v>1218.5728</v>
      </c>
      <c r="BS1042" s="71">
        <f>IFERROR(__xludf.DUMMYFUNCTION("""COMPUTED_VALUE"""),8834.6528)</f>
        <v>8834.6528</v>
      </c>
      <c r="BT1042" s="71">
        <f>IFERROR(__xludf.DUMMYFUNCTION("""COMPUTED_VALUE"""),7340.8)</f>
        <v>7340.8</v>
      </c>
      <c r="BU1042" s="71">
        <f>IFERROR(__xludf.DUMMYFUNCTION("""COMPUTED_VALUE"""),1174.528)</f>
        <v>1174.528</v>
      </c>
      <c r="BV1042" s="71">
        <f>IFERROR(__xludf.DUMMYFUNCTION("""COMPUTED_VALUE"""),8515.328)</f>
        <v>8515.328</v>
      </c>
    </row>
    <row r="1043">
      <c r="A1043" s="53"/>
      <c r="B1043" s="53">
        <v>0.0</v>
      </c>
      <c r="C1043" s="73" t="s">
        <v>53</v>
      </c>
      <c r="D1043" s="53" t="s">
        <v>2533</v>
      </c>
      <c r="E1043" s="54" t="s">
        <v>38</v>
      </c>
      <c r="F1043" s="54" t="s">
        <v>42</v>
      </c>
      <c r="G1043" s="55" t="s">
        <v>2534</v>
      </c>
      <c r="H1043" s="55" t="s">
        <v>2534</v>
      </c>
      <c r="I1043" s="54">
        <f t="shared" si="24"/>
        <v>37</v>
      </c>
      <c r="J1043" s="56"/>
      <c r="K1043" s="75"/>
      <c r="L1043" s="76" t="s">
        <v>1369</v>
      </c>
      <c r="M1043" s="59"/>
      <c r="N1043" s="60"/>
      <c r="O1043" s="90"/>
      <c r="P1043" s="62">
        <v>351.86</v>
      </c>
      <c r="Q1043" s="63">
        <v>351.86</v>
      </c>
      <c r="R1043" s="64">
        <v>370.0</v>
      </c>
      <c r="S1043" s="111">
        <v>389.0</v>
      </c>
      <c r="T1043" s="65">
        <f t="shared" si="34"/>
        <v>62.24</v>
      </c>
      <c r="U1043" s="65">
        <f t="shared" si="35"/>
        <v>451.24</v>
      </c>
      <c r="V1043" s="66">
        <f t="shared" si="36"/>
        <v>0.05135135135</v>
      </c>
      <c r="W1043" s="67" t="b">
        <f t="shared" si="5"/>
        <v>0</v>
      </c>
      <c r="X1043" s="67">
        <f t="shared" si="6"/>
        <v>0</v>
      </c>
      <c r="Y1043" s="67">
        <f t="shared" si="7"/>
        <v>0</v>
      </c>
      <c r="Z1043" s="67" t="b">
        <f t="shared" si="8"/>
        <v>0</v>
      </c>
      <c r="AA1043" s="67">
        <f t="shared" si="9"/>
        <v>0</v>
      </c>
      <c r="AB1043" s="67">
        <f t="shared" si="10"/>
        <v>0</v>
      </c>
      <c r="AC1043" s="67" t="b">
        <f t="shared" si="11"/>
        <v>0</v>
      </c>
      <c r="AD1043" s="67">
        <f t="shared" si="12"/>
        <v>0</v>
      </c>
      <c r="AE1043" s="67">
        <f t="shared" si="13"/>
        <v>0</v>
      </c>
      <c r="AF1043" s="67" t="b">
        <f t="shared" si="33"/>
        <v>0</v>
      </c>
      <c r="AG1043" s="67">
        <f t="shared" si="15"/>
        <v>0</v>
      </c>
      <c r="AH1043" s="67">
        <f t="shared" si="16"/>
        <v>0</v>
      </c>
      <c r="AI1043" s="67" t="b">
        <f t="shared" si="17"/>
        <v>0</v>
      </c>
      <c r="AJ1043" s="68">
        <f t="shared" si="37"/>
        <v>0</v>
      </c>
      <c r="AK1043" s="68">
        <f t="shared" si="38"/>
        <v>0</v>
      </c>
      <c r="AL1043" s="70">
        <f>IFERROR(__xludf.DUMMYFUNCTION("""COMPUTED_VALUE"""),1.0)</f>
        <v>1</v>
      </c>
      <c r="AM1043" s="70"/>
      <c r="AN1043" s="71" t="str">
        <f>IFERROR(__xludf.DUMMYFUNCTION("""COMPUTED_VALUE""")," P")</f>
        <v>P</v>
      </c>
      <c r="AO1043" s="71" t="str">
        <f>IFERROR(__xludf.DUMMYFUNCTION("""COMPUTED_VALUE""")," RD08")</f>
        <v>RD08</v>
      </c>
      <c r="AP1043" s="71" t="str">
        <f>IFERROR(__xludf.DUMMYFUNCTION("""COMPUTED_VALUE""")," PZA")</f>
        <v>PZA</v>
      </c>
      <c r="AQ1043" s="71" t="str">
        <f>IFERROR(__xludf.DUMMYFUNCTION("""COMPUTED_VALUE""")," REF")</f>
        <v>REF</v>
      </c>
      <c r="AR1043" s="71" t="str">
        <f>IFERROR(__xludf.DUMMYFUNCTION("""COMPUTED_VALUE""")," REDUCTOR ARMANDO MEDIANO")</f>
        <v>REDUCTOR ARMANDO MEDIANO</v>
      </c>
      <c r="AS1043" s="71" t="str">
        <f>IFERROR(__xludf.DUMMYFUNCTION("""COMPUTED_VALUE""")," REDUCTOR ARMANDO MEDIANO")</f>
        <v>REDUCTOR ARMANDO MEDIANO</v>
      </c>
      <c r="AT1043" s="71">
        <f>IFERROR(__xludf.DUMMYFUNCTION("""COMPUTED_VALUE"""),24.0)</f>
        <v>24</v>
      </c>
      <c r="AU1043" s="71"/>
      <c r="AV1043" s="71"/>
      <c r="AW1043" s="71"/>
      <c r="AX1043" s="71"/>
      <c r="AY1043" s="71">
        <f>IFERROR(__xludf.DUMMYFUNCTION("""COMPUTED_VALUE"""),4765.0)</f>
        <v>4765</v>
      </c>
      <c r="AZ1043" s="71">
        <f>IFERROR(__xludf.DUMMYFUNCTION("""COMPUTED_VALUE"""),5146.0)</f>
        <v>5146</v>
      </c>
      <c r="BA1043" s="71">
        <f>IFERROR(__xludf.DUMMYFUNCTION("""COMPUTED_VALUE"""),5557.68)</f>
        <v>5557.68</v>
      </c>
      <c r="BB1043" s="71">
        <f>IFERROR(__xludf.DUMMYFUNCTION("""COMPUTED_VALUE"""),5557.68)</f>
        <v>5557.68</v>
      </c>
      <c r="BC1043" s="71">
        <f>IFERROR(__xludf.DUMMYFUNCTION("""COMPUTED_VALUE"""),6187.0)</f>
        <v>6187</v>
      </c>
      <c r="BD1043" s="71">
        <f>IFERROR(__xludf.DUMMYFUNCTION("""COMPUTED_VALUE"""),6496.0)</f>
        <v>6496</v>
      </c>
      <c r="BE1043" s="71">
        <f>IFERROR(__xludf.DUMMYFUNCTION("""COMPUTED_VALUE"""),1039.3600000000001)</f>
        <v>1039.36</v>
      </c>
      <c r="BF1043" s="71">
        <f>IFERROR(__xludf.DUMMYFUNCTION("""COMPUTED_VALUE"""),7535.360000000001)</f>
        <v>7535.36</v>
      </c>
      <c r="BG1043" s="71">
        <f>IFERROR(__xludf.DUMMYFUNCTION("""COMPUTED_VALUE"""),0.049943429772102796)</f>
        <v>0.04994342977</v>
      </c>
      <c r="BH1043" s="71">
        <f>IFERROR(__xludf.DUMMYFUNCTION("""COMPUTED_VALUE"""),6171.2)</f>
        <v>6171.2</v>
      </c>
      <c r="BI1043" s="71">
        <f>IFERROR(__xludf.DUMMYFUNCTION("""COMPUTED_VALUE"""),987.3919999999999)</f>
        <v>987.392</v>
      </c>
      <c r="BJ1043" s="71">
        <f>IFERROR(__xludf.DUMMYFUNCTION("""COMPUTED_VALUE"""),7158.592)</f>
        <v>7158.592</v>
      </c>
      <c r="BK1043" s="71">
        <f>IFERROR(__xludf.DUMMYFUNCTION("""COMPUTED_VALUE"""),5846.400000000001)</f>
        <v>5846.4</v>
      </c>
      <c r="BL1043" s="71">
        <f>IFERROR(__xludf.DUMMYFUNCTION("""COMPUTED_VALUE"""),935.4240000000001)</f>
        <v>935.424</v>
      </c>
      <c r="BM1043" s="71">
        <f>IFERROR(__xludf.DUMMYFUNCTION("""COMPUTED_VALUE"""),6781.8240000000005)</f>
        <v>6781.824</v>
      </c>
      <c r="BN1043" s="71">
        <f>IFERROR(__xludf.DUMMYFUNCTION("""COMPUTED_VALUE"""),5521.599999999999)</f>
        <v>5521.6</v>
      </c>
      <c r="BO1043" s="71">
        <f>IFERROR(__xludf.DUMMYFUNCTION("""COMPUTED_VALUE"""),883.4559999999999)</f>
        <v>883.456</v>
      </c>
      <c r="BP1043" s="71">
        <f>IFERROR(__xludf.DUMMYFUNCTION("""COMPUTED_VALUE"""),6405.056)</f>
        <v>6405.056</v>
      </c>
      <c r="BQ1043" s="71">
        <f>IFERROR(__xludf.DUMMYFUNCTION("""COMPUTED_VALUE"""),5391.679999999999)</f>
        <v>5391.68</v>
      </c>
      <c r="BR1043" s="71">
        <f>IFERROR(__xludf.DUMMYFUNCTION("""COMPUTED_VALUE"""),862.6687999999999)</f>
        <v>862.6688</v>
      </c>
      <c r="BS1043" s="71">
        <f>IFERROR(__xludf.DUMMYFUNCTION("""COMPUTED_VALUE"""),6254.3488)</f>
        <v>6254.3488</v>
      </c>
      <c r="BT1043" s="71">
        <f>IFERROR(__xludf.DUMMYFUNCTION("""COMPUTED_VALUE"""),5196.8)</f>
        <v>5196.8</v>
      </c>
      <c r="BU1043" s="71">
        <f>IFERROR(__xludf.DUMMYFUNCTION("""COMPUTED_VALUE"""),831.488)</f>
        <v>831.488</v>
      </c>
      <c r="BV1043" s="71">
        <f>IFERROR(__xludf.DUMMYFUNCTION("""COMPUTED_VALUE"""),6028.2880000000005)</f>
        <v>6028.288</v>
      </c>
    </row>
    <row r="1044">
      <c r="A1044" s="53"/>
      <c r="B1044" s="53"/>
      <c r="C1044" s="73" t="s">
        <v>53</v>
      </c>
      <c r="D1044" s="53" t="s">
        <v>2535</v>
      </c>
      <c r="E1044" s="54" t="s">
        <v>38</v>
      </c>
      <c r="F1044" s="54" t="s">
        <v>42</v>
      </c>
      <c r="G1044" s="55" t="s">
        <v>2536</v>
      </c>
      <c r="H1044" s="55" t="s">
        <v>2537</v>
      </c>
      <c r="I1044" s="54">
        <f t="shared" si="24"/>
        <v>36</v>
      </c>
      <c r="J1044" s="56"/>
      <c r="K1044" s="75"/>
      <c r="L1044" s="76"/>
      <c r="M1044" s="59"/>
      <c r="N1044" s="60"/>
      <c r="O1044" s="61">
        <v>281.0</v>
      </c>
      <c r="P1044" s="62">
        <v>303.48</v>
      </c>
      <c r="Q1044" s="63">
        <v>303.48</v>
      </c>
      <c r="R1044" s="64">
        <v>319.0</v>
      </c>
      <c r="S1044" s="111">
        <v>335.0</v>
      </c>
      <c r="T1044" s="65">
        <f t="shared" si="34"/>
        <v>53.6</v>
      </c>
      <c r="U1044" s="65">
        <f t="shared" si="35"/>
        <v>388.6</v>
      </c>
      <c r="V1044" s="66">
        <f t="shared" si="36"/>
        <v>0.05015673981</v>
      </c>
      <c r="W1044" s="67">
        <f t="shared" si="5"/>
        <v>318.25</v>
      </c>
      <c r="X1044" s="67">
        <f t="shared" si="6"/>
        <v>50.92</v>
      </c>
      <c r="Y1044" s="67">
        <f t="shared" si="7"/>
        <v>369.17</v>
      </c>
      <c r="Z1044" s="67">
        <f t="shared" si="8"/>
        <v>301.5</v>
      </c>
      <c r="AA1044" s="67">
        <f t="shared" si="9"/>
        <v>48.24</v>
      </c>
      <c r="AB1044" s="67">
        <f t="shared" si="10"/>
        <v>349.74</v>
      </c>
      <c r="AC1044" s="67">
        <f t="shared" si="11"/>
        <v>284.75</v>
      </c>
      <c r="AD1044" s="67">
        <f t="shared" si="12"/>
        <v>45.56</v>
      </c>
      <c r="AE1044" s="67">
        <f t="shared" si="13"/>
        <v>330.31</v>
      </c>
      <c r="AF1044" s="67">
        <f t="shared" si="33"/>
        <v>278.05</v>
      </c>
      <c r="AG1044" s="67">
        <f t="shared" si="15"/>
        <v>44.488</v>
      </c>
      <c r="AH1044" s="67">
        <f t="shared" si="16"/>
        <v>322.538</v>
      </c>
      <c r="AI1044" s="67">
        <f t="shared" si="17"/>
        <v>268</v>
      </c>
      <c r="AJ1044" s="68">
        <f t="shared" si="37"/>
        <v>42.88</v>
      </c>
      <c r="AK1044" s="68">
        <f t="shared" si="38"/>
        <v>310.88</v>
      </c>
      <c r="AL1044" s="70">
        <f>IFERROR(__xludf.DUMMYFUNCTION("""COMPUTED_VALUE"""),1.0)</f>
        <v>1</v>
      </c>
      <c r="AM1044" s="70"/>
      <c r="AN1044" s="71" t="str">
        <f>IFERROR(__xludf.DUMMYFUNCTION("""COMPUTED_VALUE""")," P")</f>
        <v>P</v>
      </c>
      <c r="AO1044" s="71" t="str">
        <f>IFERROR(__xludf.DUMMYFUNCTION("""COMPUTED_VALUE""")," RE04")</f>
        <v>RE04</v>
      </c>
      <c r="AP1044" s="71" t="str">
        <f>IFERROR(__xludf.DUMMYFUNCTION("""COMPUTED_VALUE""")," PZA")</f>
        <v>PZA</v>
      </c>
      <c r="AQ1044" s="71" t="str">
        <f>IFERROR(__xludf.DUMMYFUNCTION("""COMPUTED_VALUE""")," REF")</f>
        <v>REF</v>
      </c>
      <c r="AR1044" s="71" t="str">
        <f>IFERROR(__xludf.DUMMYFUNCTION("""COMPUTED_VALUE""")," REGILLA PARA NIXTAMAL GRANEADOR CHICA")</f>
        <v>REGILLA PARA NIXTAMAL GRANEADOR CHICA</v>
      </c>
      <c r="AS1044" s="71" t="str">
        <f>IFERROR(__xludf.DUMMYFUNCTION("""COMPUTED_VALUE""")," REGILLA PARA NIXTAMAL GRANEADOR CHICA")</f>
        <v>REGILLA PARA NIXTAMAL GRANEADOR CHICA</v>
      </c>
      <c r="AT1044" s="71">
        <f>IFERROR(__xludf.DUMMYFUNCTION("""COMPUTED_VALUE"""),37.0)</f>
        <v>37</v>
      </c>
      <c r="AU1044" s="71"/>
      <c r="AV1044" s="71"/>
      <c r="AW1044" s="71"/>
      <c r="AX1044" s="71"/>
      <c r="AY1044" s="71">
        <f>IFERROR(__xludf.DUMMYFUNCTION("""COMPUTED_VALUE"""),1367.0)</f>
        <v>1367</v>
      </c>
      <c r="AZ1044" s="71">
        <f>IFERROR(__xludf.DUMMYFUNCTION("""COMPUTED_VALUE"""),1476.0)</f>
        <v>1476</v>
      </c>
      <c r="BA1044" s="71">
        <f>IFERROR(__xludf.DUMMYFUNCTION("""COMPUTED_VALUE"""),1594.0800000000002)</f>
        <v>1594.08</v>
      </c>
      <c r="BB1044" s="71">
        <f>IFERROR(__xludf.DUMMYFUNCTION("""COMPUTED_VALUE"""),1594.0800000000002)</f>
        <v>1594.08</v>
      </c>
      <c r="BC1044" s="71">
        <f>IFERROR(__xludf.DUMMYFUNCTION("""COMPUTED_VALUE"""),1775.0)</f>
        <v>1775</v>
      </c>
      <c r="BD1044" s="71">
        <f>IFERROR(__xludf.DUMMYFUNCTION("""COMPUTED_VALUE"""),1864.0)</f>
        <v>1864</v>
      </c>
      <c r="BE1044" s="71">
        <f>IFERROR(__xludf.DUMMYFUNCTION("""COMPUTED_VALUE"""),298.24)</f>
        <v>298.24</v>
      </c>
      <c r="BF1044" s="71">
        <f>IFERROR(__xludf.DUMMYFUNCTION("""COMPUTED_VALUE"""),2162.24)</f>
        <v>2162.24</v>
      </c>
      <c r="BG1044" s="71">
        <f>IFERROR(__xludf.DUMMYFUNCTION("""COMPUTED_VALUE"""),0.05014084507042253)</f>
        <v>0.05014084507</v>
      </c>
      <c r="BH1044" s="71">
        <f>IFERROR(__xludf.DUMMYFUNCTION("""COMPUTED_VALUE"""),1770.8)</f>
        <v>1770.8</v>
      </c>
      <c r="BI1044" s="71">
        <f>IFERROR(__xludf.DUMMYFUNCTION("""COMPUTED_VALUE"""),283.328)</f>
        <v>283.328</v>
      </c>
      <c r="BJ1044" s="71">
        <f>IFERROR(__xludf.DUMMYFUNCTION("""COMPUTED_VALUE"""),2054.1279999999997)</f>
        <v>2054.128</v>
      </c>
      <c r="BK1044" s="71">
        <f>IFERROR(__xludf.DUMMYFUNCTION("""COMPUTED_VALUE"""),1677.6000000000001)</f>
        <v>1677.6</v>
      </c>
      <c r="BL1044" s="71">
        <f>IFERROR(__xludf.DUMMYFUNCTION("""COMPUTED_VALUE"""),268.41600000000005)</f>
        <v>268.416</v>
      </c>
      <c r="BM1044" s="71">
        <f>IFERROR(__xludf.DUMMYFUNCTION("""COMPUTED_VALUE"""),1946.016)</f>
        <v>1946.016</v>
      </c>
      <c r="BN1044" s="71">
        <f>IFERROR(__xludf.DUMMYFUNCTION("""COMPUTED_VALUE"""),1584.3999999999999)</f>
        <v>1584.4</v>
      </c>
      <c r="BO1044" s="71">
        <f>IFERROR(__xludf.DUMMYFUNCTION("""COMPUTED_VALUE"""),253.504)</f>
        <v>253.504</v>
      </c>
      <c r="BP1044" s="71">
        <f>IFERROR(__xludf.DUMMYFUNCTION("""COMPUTED_VALUE"""),1837.9039999999998)</f>
        <v>1837.904</v>
      </c>
      <c r="BQ1044" s="71">
        <f>IFERROR(__xludf.DUMMYFUNCTION("""COMPUTED_VALUE"""),1547.12)</f>
        <v>1547.12</v>
      </c>
      <c r="BR1044" s="71">
        <f>IFERROR(__xludf.DUMMYFUNCTION("""COMPUTED_VALUE"""),247.5392)</f>
        <v>247.5392</v>
      </c>
      <c r="BS1044" s="71">
        <f>IFERROR(__xludf.DUMMYFUNCTION("""COMPUTED_VALUE"""),1794.6591999999998)</f>
        <v>1794.6592</v>
      </c>
      <c r="BT1044" s="71">
        <f>IFERROR(__xludf.DUMMYFUNCTION("""COMPUTED_VALUE"""),1491.2)</f>
        <v>1491.2</v>
      </c>
      <c r="BU1044" s="71">
        <f>IFERROR(__xludf.DUMMYFUNCTION("""COMPUTED_VALUE"""),238.592)</f>
        <v>238.592</v>
      </c>
      <c r="BV1044" s="71">
        <f>IFERROR(__xludf.DUMMYFUNCTION("""COMPUTED_VALUE"""),1729.7920000000001)</f>
        <v>1729.792</v>
      </c>
    </row>
    <row r="1045">
      <c r="A1045" s="53"/>
      <c r="B1045" s="53"/>
      <c r="C1045" s="120" t="s">
        <v>53</v>
      </c>
      <c r="D1045" s="53" t="s">
        <v>2538</v>
      </c>
      <c r="E1045" s="54" t="s">
        <v>38</v>
      </c>
      <c r="F1045" s="54" t="s">
        <v>42</v>
      </c>
      <c r="G1045" s="55" t="s">
        <v>2539</v>
      </c>
      <c r="H1045" s="54" t="s">
        <v>2540</v>
      </c>
      <c r="I1045" s="54">
        <f t="shared" si="24"/>
        <v>25</v>
      </c>
      <c r="J1045" s="56"/>
      <c r="K1045" s="57"/>
      <c r="L1045" s="76"/>
      <c r="M1045" s="59"/>
      <c r="N1045" s="60">
        <v>204.75</v>
      </c>
      <c r="O1045" s="61">
        <v>221.0</v>
      </c>
      <c r="P1045" s="62">
        <v>238.68</v>
      </c>
      <c r="Q1045" s="63">
        <v>238.68</v>
      </c>
      <c r="R1045" s="64">
        <v>251.0</v>
      </c>
      <c r="S1045" s="111">
        <v>264.0</v>
      </c>
      <c r="T1045" s="65">
        <f t="shared" si="34"/>
        <v>42.24</v>
      </c>
      <c r="U1045" s="65">
        <f t="shared" si="35"/>
        <v>306.24</v>
      </c>
      <c r="V1045" s="66">
        <f t="shared" si="36"/>
        <v>0.05179282869</v>
      </c>
      <c r="W1045" s="67">
        <f t="shared" si="5"/>
        <v>250.8</v>
      </c>
      <c r="X1045" s="67">
        <f t="shared" si="6"/>
        <v>40.128</v>
      </c>
      <c r="Y1045" s="67">
        <f t="shared" si="7"/>
        <v>290.928</v>
      </c>
      <c r="Z1045" s="67">
        <f t="shared" si="8"/>
        <v>237.6</v>
      </c>
      <c r="AA1045" s="67">
        <f t="shared" si="9"/>
        <v>38.016</v>
      </c>
      <c r="AB1045" s="67">
        <f t="shared" si="10"/>
        <v>275.616</v>
      </c>
      <c r="AC1045" s="67">
        <f t="shared" si="11"/>
        <v>224.4</v>
      </c>
      <c r="AD1045" s="67">
        <f t="shared" si="12"/>
        <v>35.904</v>
      </c>
      <c r="AE1045" s="67">
        <f t="shared" si="13"/>
        <v>260.304</v>
      </c>
      <c r="AF1045" s="67">
        <f t="shared" si="33"/>
        <v>219.12</v>
      </c>
      <c r="AG1045" s="67">
        <f t="shared" si="15"/>
        <v>35.0592</v>
      </c>
      <c r="AH1045" s="67">
        <f t="shared" si="16"/>
        <v>254.1792</v>
      </c>
      <c r="AI1045" s="67">
        <f t="shared" si="17"/>
        <v>211.2</v>
      </c>
      <c r="AJ1045" s="68">
        <f t="shared" si="37"/>
        <v>33.792</v>
      </c>
      <c r="AK1045" s="68">
        <f t="shared" si="38"/>
        <v>244.992</v>
      </c>
      <c r="AL1045" s="70">
        <f>IFERROR(__xludf.DUMMYFUNCTION("""COMPUTED_VALUE"""),1.0)</f>
        <v>1</v>
      </c>
      <c r="AM1045" s="70"/>
      <c r="AN1045" s="71" t="str">
        <f>IFERROR(__xludf.DUMMYFUNCTION("""COMPUTED_VALUE""")," P")</f>
        <v>P</v>
      </c>
      <c r="AO1045" s="71" t="str">
        <f>IFERROR(__xludf.DUMMYFUNCTION("""COMPUTED_VALUE""")," RE05")</f>
        <v>RE05</v>
      </c>
      <c r="AP1045" s="71" t="str">
        <f>IFERROR(__xludf.DUMMYFUNCTION("""COMPUTED_VALUE""")," PZA")</f>
        <v>PZA</v>
      </c>
      <c r="AQ1045" s="71" t="str">
        <f>IFERROR(__xludf.DUMMYFUNCTION("""COMPUTED_VALUE""")," REF")</f>
        <v>REF</v>
      </c>
      <c r="AR1045" s="71" t="str">
        <f>IFERROR(__xludf.DUMMYFUNCTION("""COMPUTED_VALUE""")," REGILLA PARA NIXTAMAL GRANEADOR GRANDE")</f>
        <v>REGILLA PARA NIXTAMAL GRANEADOR GRANDE</v>
      </c>
      <c r="AS1045" s="71" t="str">
        <f>IFERROR(__xludf.DUMMYFUNCTION("""COMPUTED_VALUE""")," REGILLA PARA NIXTAMAL GRANEADOR GRANDE")</f>
        <v>REGILLA PARA NIXTAMAL GRANEADOR GRANDE</v>
      </c>
      <c r="AT1045" s="71">
        <f>IFERROR(__xludf.DUMMYFUNCTION("""COMPUTED_VALUE"""),38.0)</f>
        <v>38</v>
      </c>
      <c r="AU1045" s="71"/>
      <c r="AV1045" s="71"/>
      <c r="AW1045" s="71"/>
      <c r="AX1045" s="71"/>
      <c r="AY1045" s="71">
        <f>IFERROR(__xludf.DUMMYFUNCTION("""COMPUTED_VALUE"""),5239.0)</f>
        <v>5239</v>
      </c>
      <c r="AZ1045" s="71">
        <f>IFERROR(__xludf.DUMMYFUNCTION("""COMPUTED_VALUE"""),5658.0)</f>
        <v>5658</v>
      </c>
      <c r="BA1045" s="71">
        <f>IFERROR(__xludf.DUMMYFUNCTION("""COMPUTED_VALUE"""),6110.64)</f>
        <v>6110.64</v>
      </c>
      <c r="BB1045" s="71">
        <f>IFERROR(__xludf.DUMMYFUNCTION("""COMPUTED_VALUE"""),6110.64)</f>
        <v>6110.64</v>
      </c>
      <c r="BC1045" s="71">
        <f>IFERROR(__xludf.DUMMYFUNCTION("""COMPUTED_VALUE"""),6802.0)</f>
        <v>6802</v>
      </c>
      <c r="BD1045" s="71">
        <f>IFERROR(__xludf.DUMMYFUNCTION("""COMPUTED_VALUE"""),7142.0)</f>
        <v>7142</v>
      </c>
      <c r="BE1045" s="71">
        <f>IFERROR(__xludf.DUMMYFUNCTION("""COMPUTED_VALUE"""),1142.72)</f>
        <v>1142.72</v>
      </c>
      <c r="BF1045" s="71">
        <f>IFERROR(__xludf.DUMMYFUNCTION("""COMPUTED_VALUE"""),8284.72)</f>
        <v>8284.72</v>
      </c>
      <c r="BG1045" s="71">
        <f>IFERROR(__xludf.DUMMYFUNCTION("""COMPUTED_VALUE"""),0.049985298441634816)</f>
        <v>0.04998529844</v>
      </c>
      <c r="BH1045" s="71">
        <f>IFERROR(__xludf.DUMMYFUNCTION("""COMPUTED_VALUE"""),6784.9)</f>
        <v>6784.9</v>
      </c>
      <c r="BI1045" s="71">
        <f>IFERROR(__xludf.DUMMYFUNCTION("""COMPUTED_VALUE"""),1085.584)</f>
        <v>1085.584</v>
      </c>
      <c r="BJ1045" s="71">
        <f>IFERROR(__xludf.DUMMYFUNCTION("""COMPUTED_VALUE"""),7870.4839999999995)</f>
        <v>7870.484</v>
      </c>
      <c r="BK1045" s="71">
        <f>IFERROR(__xludf.DUMMYFUNCTION("""COMPUTED_VALUE"""),6427.8)</f>
        <v>6427.8</v>
      </c>
      <c r="BL1045" s="71">
        <f>IFERROR(__xludf.DUMMYFUNCTION("""COMPUTED_VALUE"""),1028.448)</f>
        <v>1028.448</v>
      </c>
      <c r="BM1045" s="71">
        <f>IFERROR(__xludf.DUMMYFUNCTION("""COMPUTED_VALUE"""),7456.2480000000005)</f>
        <v>7456.248</v>
      </c>
      <c r="BN1045" s="71">
        <f>IFERROR(__xludf.DUMMYFUNCTION("""COMPUTED_VALUE"""),6070.7)</f>
        <v>6070.7</v>
      </c>
      <c r="BO1045" s="71">
        <f>IFERROR(__xludf.DUMMYFUNCTION("""COMPUTED_VALUE"""),971.312)</f>
        <v>971.312</v>
      </c>
      <c r="BP1045" s="71">
        <f>IFERROR(__xludf.DUMMYFUNCTION("""COMPUTED_VALUE"""),7042.012)</f>
        <v>7042.012</v>
      </c>
      <c r="BQ1045" s="71">
        <f>IFERROR(__xludf.DUMMYFUNCTION("""COMPUTED_VALUE"""),5927.86)</f>
        <v>5927.86</v>
      </c>
      <c r="BR1045" s="71">
        <f>IFERROR(__xludf.DUMMYFUNCTION("""COMPUTED_VALUE"""),948.4576)</f>
        <v>948.4576</v>
      </c>
      <c r="BS1045" s="71">
        <f>IFERROR(__xludf.DUMMYFUNCTION("""COMPUTED_VALUE"""),6876.317599999999)</f>
        <v>6876.3176</v>
      </c>
      <c r="BT1045" s="71">
        <f>IFERROR(__xludf.DUMMYFUNCTION("""COMPUTED_VALUE"""),5713.6)</f>
        <v>5713.6</v>
      </c>
      <c r="BU1045" s="71">
        <f>IFERROR(__xludf.DUMMYFUNCTION("""COMPUTED_VALUE"""),914.176)</f>
        <v>914.176</v>
      </c>
      <c r="BV1045" s="71">
        <f>IFERROR(__xludf.DUMMYFUNCTION("""COMPUTED_VALUE"""),6627.776000000001)</f>
        <v>6627.776</v>
      </c>
    </row>
    <row r="1046">
      <c r="A1046" s="53"/>
      <c r="B1046" s="53"/>
      <c r="C1046" s="120" t="s">
        <v>53</v>
      </c>
      <c r="D1046" s="128" t="s">
        <v>2541</v>
      </c>
      <c r="E1046" s="54" t="s">
        <v>38</v>
      </c>
      <c r="F1046" s="54" t="s">
        <v>42</v>
      </c>
      <c r="G1046" s="130" t="s">
        <v>2542</v>
      </c>
      <c r="H1046" s="54" t="s">
        <v>2543</v>
      </c>
      <c r="I1046" s="54">
        <f t="shared" si="24"/>
        <v>20</v>
      </c>
      <c r="J1046" s="56"/>
      <c r="K1046" s="57"/>
      <c r="L1046" s="76"/>
      <c r="M1046" s="59"/>
      <c r="N1046" s="60">
        <v>904.0500000000001</v>
      </c>
      <c r="O1046" s="129">
        <v>976.0</v>
      </c>
      <c r="P1046" s="62">
        <v>1054.0800000000002</v>
      </c>
      <c r="Q1046" s="63">
        <v>1054.0800000000002</v>
      </c>
      <c r="R1046" s="64">
        <v>1107.0</v>
      </c>
      <c r="S1046" s="111">
        <v>1162.0</v>
      </c>
      <c r="T1046" s="65">
        <f t="shared" si="34"/>
        <v>185.92</v>
      </c>
      <c r="U1046" s="65">
        <f t="shared" si="35"/>
        <v>1347.92</v>
      </c>
      <c r="V1046" s="66">
        <f t="shared" si="36"/>
        <v>0.04968383017</v>
      </c>
      <c r="W1046" s="67">
        <f t="shared" si="5"/>
        <v>1103.9</v>
      </c>
      <c r="X1046" s="67">
        <f t="shared" si="6"/>
        <v>176.624</v>
      </c>
      <c r="Y1046" s="67">
        <f t="shared" si="7"/>
        <v>1280.524</v>
      </c>
      <c r="Z1046" s="67">
        <f t="shared" si="8"/>
        <v>1045.8</v>
      </c>
      <c r="AA1046" s="67">
        <f t="shared" si="9"/>
        <v>167.328</v>
      </c>
      <c r="AB1046" s="67">
        <f t="shared" si="10"/>
        <v>1213.128</v>
      </c>
      <c r="AC1046" s="67">
        <f t="shared" si="11"/>
        <v>987.7</v>
      </c>
      <c r="AD1046" s="67">
        <f t="shared" si="12"/>
        <v>158.032</v>
      </c>
      <c r="AE1046" s="67">
        <f t="shared" si="13"/>
        <v>1145.732</v>
      </c>
      <c r="AF1046" s="67">
        <f t="shared" si="33"/>
        <v>964.46</v>
      </c>
      <c r="AG1046" s="67">
        <f t="shared" si="15"/>
        <v>154.3136</v>
      </c>
      <c r="AH1046" s="67">
        <f t="shared" si="16"/>
        <v>1118.7736</v>
      </c>
      <c r="AI1046" s="67">
        <f t="shared" si="17"/>
        <v>929.6</v>
      </c>
      <c r="AJ1046" s="68">
        <f t="shared" si="37"/>
        <v>148.736</v>
      </c>
      <c r="AK1046" s="68">
        <f t="shared" si="38"/>
        <v>1078.336</v>
      </c>
      <c r="AL1046" s="70">
        <f>IFERROR(__xludf.DUMMYFUNCTION("""COMPUTED_VALUE"""),1.0)</f>
        <v>1</v>
      </c>
      <c r="AM1046" s="70"/>
      <c r="AN1046" s="71" t="str">
        <f>IFERROR(__xludf.DUMMYFUNCTION("""COMPUTED_VALUE""")," C")</f>
        <v>C</v>
      </c>
      <c r="AO1046" s="71" t="str">
        <f>IFERROR(__xludf.DUMMYFUNCTION("""COMPUTED_VALUE""")," RS01")</f>
        <v>RS01</v>
      </c>
      <c r="AP1046" s="71" t="str">
        <f>IFERROR(__xludf.DUMMYFUNCTION("""COMPUTED_VALUE""")," PZA")</f>
        <v>PZA</v>
      </c>
      <c r="AQ1046" s="71" t="str">
        <f>IFERROR(__xludf.DUMMYFUNCTION("""COMPUTED_VALUE""")," REF")</f>
        <v>REF</v>
      </c>
      <c r="AR1046" s="71" t="str">
        <f>IFERROR(__xludf.DUMMYFUNCTION("""COMPUTED_VALUE""")," RESORTE PARA CARRO DÚPLEX (NORMAL)")</f>
        <v>RESORTE PARA CARRO DÚPLEX (NORMAL)</v>
      </c>
      <c r="AS1046" s="71" t="str">
        <f>IFERROR(__xludf.DUMMYFUNCTION("""COMPUTED_VALUE""")," RESORTE PARA CARRO DPLX (NORMAL)")</f>
        <v>RESORTE PARA CARRO DPLX (NORMAL)</v>
      </c>
      <c r="AT1046" s="71">
        <f>IFERROR(__xludf.DUMMYFUNCTION("""COMPUTED_VALUE"""),32.0)</f>
        <v>32</v>
      </c>
      <c r="AU1046" s="71"/>
      <c r="AV1046" s="71"/>
      <c r="AW1046" s="71"/>
      <c r="AX1046" s="71"/>
      <c r="AY1046" s="71">
        <f>IFERROR(__xludf.DUMMYFUNCTION("""COMPUTED_VALUE"""),5.0)</f>
        <v>5</v>
      </c>
      <c r="AZ1046" s="71">
        <f>IFERROR(__xludf.DUMMYFUNCTION("""COMPUTED_VALUE"""),5.0)</f>
        <v>5</v>
      </c>
      <c r="BA1046" s="71">
        <f>IFERROR(__xludf.DUMMYFUNCTION("""COMPUTED_VALUE"""),5.4)</f>
        <v>5.4</v>
      </c>
      <c r="BB1046" s="71">
        <f>IFERROR(__xludf.DUMMYFUNCTION("""COMPUTED_VALUE"""),5.4)</f>
        <v>5.4</v>
      </c>
      <c r="BC1046" s="71">
        <f>IFERROR(__xludf.DUMMYFUNCTION("""COMPUTED_VALUE"""),6.0)</f>
        <v>6</v>
      </c>
      <c r="BD1046" s="71">
        <f>IFERROR(__xludf.DUMMYFUNCTION("""COMPUTED_VALUE"""),6.300000000000001)</f>
        <v>6.3</v>
      </c>
      <c r="BE1046" s="71">
        <f>IFERROR(__xludf.DUMMYFUNCTION("""COMPUTED_VALUE"""),1.0080000000000002)</f>
        <v>1.008</v>
      </c>
      <c r="BF1046" s="71">
        <f>IFERROR(__xludf.DUMMYFUNCTION("""COMPUTED_VALUE"""),7.308000000000001)</f>
        <v>7.308</v>
      </c>
      <c r="BG1046" s="71">
        <f>IFERROR(__xludf.DUMMYFUNCTION("""COMPUTED_VALUE"""),0.05000000000000012)</f>
        <v>0.05</v>
      </c>
      <c r="BH1046" s="71">
        <f>IFERROR(__xludf.DUMMYFUNCTION("""COMPUTED_VALUE"""),5.985)</f>
        <v>5.985</v>
      </c>
      <c r="BI1046" s="71">
        <f>IFERROR(__xludf.DUMMYFUNCTION("""COMPUTED_VALUE"""),0.9576000000000001)</f>
        <v>0.9576</v>
      </c>
      <c r="BJ1046" s="71">
        <f>IFERROR(__xludf.DUMMYFUNCTION("""COMPUTED_VALUE"""),6.9426000000000005)</f>
        <v>6.9426</v>
      </c>
      <c r="BK1046" s="71">
        <f>IFERROR(__xludf.DUMMYFUNCTION("""COMPUTED_VALUE"""),5.670000000000001)</f>
        <v>5.67</v>
      </c>
      <c r="BL1046" s="71">
        <f>IFERROR(__xludf.DUMMYFUNCTION("""COMPUTED_VALUE"""),0.9072000000000001)</f>
        <v>0.9072</v>
      </c>
      <c r="BM1046" s="71">
        <f>IFERROR(__xludf.DUMMYFUNCTION("""COMPUTED_VALUE"""),6.577200000000001)</f>
        <v>6.5772</v>
      </c>
      <c r="BN1046" s="71">
        <f>IFERROR(__xludf.DUMMYFUNCTION("""COMPUTED_VALUE"""),5.355)</f>
        <v>5.355</v>
      </c>
      <c r="BO1046" s="71">
        <f>IFERROR(__xludf.DUMMYFUNCTION("""COMPUTED_VALUE"""),0.8568000000000001)</f>
        <v>0.8568</v>
      </c>
      <c r="BP1046" s="71">
        <f>IFERROR(__xludf.DUMMYFUNCTION("""COMPUTED_VALUE"""),6.2118)</f>
        <v>6.2118</v>
      </c>
      <c r="BQ1046" s="71">
        <f>IFERROR(__xludf.DUMMYFUNCTION("""COMPUTED_VALUE"""),5.229)</f>
        <v>5.229</v>
      </c>
      <c r="BR1046" s="71">
        <f>IFERROR(__xludf.DUMMYFUNCTION("""COMPUTED_VALUE"""),0.83664)</f>
        <v>0.83664</v>
      </c>
      <c r="BS1046" s="71">
        <f>IFERROR(__xludf.DUMMYFUNCTION("""COMPUTED_VALUE"""),6.06564)</f>
        <v>6.06564</v>
      </c>
      <c r="BT1046" s="71">
        <f>IFERROR(__xludf.DUMMYFUNCTION("""COMPUTED_VALUE"""),5.040000000000001)</f>
        <v>5.04</v>
      </c>
      <c r="BU1046" s="71">
        <f>IFERROR(__xludf.DUMMYFUNCTION("""COMPUTED_VALUE"""),0.8064000000000001)</f>
        <v>0.8064</v>
      </c>
      <c r="BV1046" s="71">
        <f>IFERROR(__xludf.DUMMYFUNCTION("""COMPUTED_VALUE"""),5.846400000000001)</f>
        <v>5.8464</v>
      </c>
    </row>
    <row r="1047">
      <c r="A1047" s="53"/>
      <c r="B1047" s="53"/>
      <c r="C1047" s="73" t="s">
        <v>53</v>
      </c>
      <c r="D1047" s="53" t="s">
        <v>2544</v>
      </c>
      <c r="E1047" s="54" t="s">
        <v>38</v>
      </c>
      <c r="F1047" s="54" t="s">
        <v>42</v>
      </c>
      <c r="G1047" s="55" t="s">
        <v>2545</v>
      </c>
      <c r="H1047" s="54" t="s">
        <v>2546</v>
      </c>
      <c r="I1047" s="54">
        <f t="shared" si="24"/>
        <v>38</v>
      </c>
      <c r="J1047" s="56"/>
      <c r="K1047" s="57"/>
      <c r="L1047" s="76"/>
      <c r="M1047" s="59"/>
      <c r="N1047" s="79">
        <v>1550.0</v>
      </c>
      <c r="O1047" s="61">
        <v>1674.0</v>
      </c>
      <c r="P1047" s="62">
        <v>1807.92</v>
      </c>
      <c r="Q1047" s="63">
        <v>1807.92</v>
      </c>
      <c r="R1047" s="64">
        <v>1899.0</v>
      </c>
      <c r="S1047" s="111">
        <v>1994.0</v>
      </c>
      <c r="T1047" s="65">
        <f t="shared" si="34"/>
        <v>319.04</v>
      </c>
      <c r="U1047" s="65">
        <f t="shared" si="35"/>
        <v>2313.04</v>
      </c>
      <c r="V1047" s="66">
        <f t="shared" si="36"/>
        <v>0.05002632965</v>
      </c>
      <c r="W1047" s="67">
        <f t="shared" si="5"/>
        <v>1894.3</v>
      </c>
      <c r="X1047" s="67">
        <f t="shared" si="6"/>
        <v>303.088</v>
      </c>
      <c r="Y1047" s="67">
        <f t="shared" si="7"/>
        <v>2197.388</v>
      </c>
      <c r="Z1047" s="67">
        <f t="shared" si="8"/>
        <v>1794.6</v>
      </c>
      <c r="AA1047" s="67">
        <f t="shared" si="9"/>
        <v>287.136</v>
      </c>
      <c r="AB1047" s="67">
        <f t="shared" si="10"/>
        <v>2081.736</v>
      </c>
      <c r="AC1047" s="67">
        <f t="shared" si="11"/>
        <v>1694.9</v>
      </c>
      <c r="AD1047" s="67">
        <f t="shared" si="12"/>
        <v>271.184</v>
      </c>
      <c r="AE1047" s="67">
        <f t="shared" si="13"/>
        <v>1966.084</v>
      </c>
      <c r="AF1047" s="67">
        <f t="shared" si="33"/>
        <v>1655.02</v>
      </c>
      <c r="AG1047" s="67">
        <f t="shared" si="15"/>
        <v>264.8032</v>
      </c>
      <c r="AH1047" s="67">
        <f t="shared" si="16"/>
        <v>1919.8232</v>
      </c>
      <c r="AI1047" s="67">
        <f t="shared" si="17"/>
        <v>1595.2</v>
      </c>
      <c r="AJ1047" s="68">
        <f t="shared" si="37"/>
        <v>255.232</v>
      </c>
      <c r="AK1047" s="68">
        <f t="shared" si="38"/>
        <v>1850.432</v>
      </c>
      <c r="AL1047" s="70">
        <f>IFERROR(__xludf.DUMMYFUNCTION("""COMPUTED_VALUE"""),1.0)</f>
        <v>1</v>
      </c>
      <c r="AM1047" s="70"/>
      <c r="AN1047" s="71" t="str">
        <f>IFERROR(__xludf.DUMMYFUNCTION("""COMPUTED_VALUE""")," C")</f>
        <v>C</v>
      </c>
      <c r="AO1047" s="71" t="str">
        <f>IFERROR(__xludf.DUMMYFUNCTION("""COMPUTED_VALUE""")," RS02")</f>
        <v>RS02</v>
      </c>
      <c r="AP1047" s="71" t="str">
        <f>IFERROR(__xludf.DUMMYFUNCTION("""COMPUTED_VALUE""")," PZA")</f>
        <v>PZA</v>
      </c>
      <c r="AQ1047" s="71" t="str">
        <f>IFERROR(__xludf.DUMMYFUNCTION("""COMPUTED_VALUE""")," REF")</f>
        <v>REF</v>
      </c>
      <c r="AR1047" s="71" t="str">
        <f>IFERROR(__xludf.DUMMYFUNCTION("""COMPUTED_VALUE""")," RESORTE PARA CARRO SENCILLO (TROPICALIZADO)")</f>
        <v>RESORTE PARA CARRO SENCILLO (TROPICALIZADO)</v>
      </c>
      <c r="AS1047" s="71" t="str">
        <f>IFERROR(__xludf.DUMMYFUNCTION("""COMPUTED_VALUE""")," RESORTE PARA CARRO SENC TROPICALIZADO")</f>
        <v>RESORTE PARA CARRO SENC TROPICALIZADO</v>
      </c>
      <c r="AT1047" s="71">
        <f>IFERROR(__xludf.DUMMYFUNCTION("""COMPUTED_VALUE"""),37.0)</f>
        <v>37</v>
      </c>
      <c r="AU1047" s="71"/>
      <c r="AV1047" s="71"/>
      <c r="AW1047" s="71"/>
      <c r="AX1047" s="71"/>
      <c r="AY1047" s="71">
        <f>IFERROR(__xludf.DUMMYFUNCTION("""COMPUTED_VALUE"""),5.0)</f>
        <v>5</v>
      </c>
      <c r="AZ1047" s="71">
        <f>IFERROR(__xludf.DUMMYFUNCTION("""COMPUTED_VALUE"""),5.0)</f>
        <v>5</v>
      </c>
      <c r="BA1047" s="71">
        <f>IFERROR(__xludf.DUMMYFUNCTION("""COMPUTED_VALUE"""),5.4)</f>
        <v>5.4</v>
      </c>
      <c r="BB1047" s="71">
        <f>IFERROR(__xludf.DUMMYFUNCTION("""COMPUTED_VALUE"""),5.4)</f>
        <v>5.4</v>
      </c>
      <c r="BC1047" s="71">
        <f>IFERROR(__xludf.DUMMYFUNCTION("""COMPUTED_VALUE"""),6.0)</f>
        <v>6</v>
      </c>
      <c r="BD1047" s="71">
        <f>IFERROR(__xludf.DUMMYFUNCTION("""COMPUTED_VALUE"""),6.300000000000001)</f>
        <v>6.3</v>
      </c>
      <c r="BE1047" s="71">
        <f>IFERROR(__xludf.DUMMYFUNCTION("""COMPUTED_VALUE"""),1.0080000000000002)</f>
        <v>1.008</v>
      </c>
      <c r="BF1047" s="71">
        <f>IFERROR(__xludf.DUMMYFUNCTION("""COMPUTED_VALUE"""),7.308000000000001)</f>
        <v>7.308</v>
      </c>
      <c r="BG1047" s="71">
        <f>IFERROR(__xludf.DUMMYFUNCTION("""COMPUTED_VALUE"""),0.05000000000000012)</f>
        <v>0.05</v>
      </c>
      <c r="BH1047" s="71">
        <f>IFERROR(__xludf.DUMMYFUNCTION("""COMPUTED_VALUE"""),5.985)</f>
        <v>5.985</v>
      </c>
      <c r="BI1047" s="71">
        <f>IFERROR(__xludf.DUMMYFUNCTION("""COMPUTED_VALUE"""),0.9576000000000001)</f>
        <v>0.9576</v>
      </c>
      <c r="BJ1047" s="71">
        <f>IFERROR(__xludf.DUMMYFUNCTION("""COMPUTED_VALUE"""),6.9426000000000005)</f>
        <v>6.9426</v>
      </c>
      <c r="BK1047" s="71">
        <f>IFERROR(__xludf.DUMMYFUNCTION("""COMPUTED_VALUE"""),5.670000000000001)</f>
        <v>5.67</v>
      </c>
      <c r="BL1047" s="71">
        <f>IFERROR(__xludf.DUMMYFUNCTION("""COMPUTED_VALUE"""),0.9072000000000001)</f>
        <v>0.9072</v>
      </c>
      <c r="BM1047" s="71">
        <f>IFERROR(__xludf.DUMMYFUNCTION("""COMPUTED_VALUE"""),6.577200000000001)</f>
        <v>6.5772</v>
      </c>
      <c r="BN1047" s="71">
        <f>IFERROR(__xludf.DUMMYFUNCTION("""COMPUTED_VALUE"""),5.355)</f>
        <v>5.355</v>
      </c>
      <c r="BO1047" s="71">
        <f>IFERROR(__xludf.DUMMYFUNCTION("""COMPUTED_VALUE"""),0.8568000000000001)</f>
        <v>0.8568</v>
      </c>
      <c r="BP1047" s="71">
        <f>IFERROR(__xludf.DUMMYFUNCTION("""COMPUTED_VALUE"""),6.2118)</f>
        <v>6.2118</v>
      </c>
      <c r="BQ1047" s="71">
        <f>IFERROR(__xludf.DUMMYFUNCTION("""COMPUTED_VALUE"""),5.229)</f>
        <v>5.229</v>
      </c>
      <c r="BR1047" s="71">
        <f>IFERROR(__xludf.DUMMYFUNCTION("""COMPUTED_VALUE"""),0.83664)</f>
        <v>0.83664</v>
      </c>
      <c r="BS1047" s="71">
        <f>IFERROR(__xludf.DUMMYFUNCTION("""COMPUTED_VALUE"""),6.06564)</f>
        <v>6.06564</v>
      </c>
      <c r="BT1047" s="71">
        <f>IFERROR(__xludf.DUMMYFUNCTION("""COMPUTED_VALUE"""),5.040000000000001)</f>
        <v>5.04</v>
      </c>
      <c r="BU1047" s="71">
        <f>IFERROR(__xludf.DUMMYFUNCTION("""COMPUTED_VALUE"""),0.8064000000000001)</f>
        <v>0.8064</v>
      </c>
      <c r="BV1047" s="71">
        <f>IFERROR(__xludf.DUMMYFUNCTION("""COMPUTED_VALUE"""),5.846400000000001)</f>
        <v>5.8464</v>
      </c>
    </row>
    <row r="1048">
      <c r="A1048" s="53"/>
      <c r="B1048" s="53"/>
      <c r="C1048" s="120" t="s">
        <v>53</v>
      </c>
      <c r="D1048" s="53" t="s">
        <v>2547</v>
      </c>
      <c r="E1048" s="54" t="s">
        <v>38</v>
      </c>
      <c r="F1048" s="54" t="s">
        <v>42</v>
      </c>
      <c r="G1048" s="55" t="s">
        <v>2548</v>
      </c>
      <c r="H1048" s="54" t="s">
        <v>2549</v>
      </c>
      <c r="I1048" s="54">
        <f t="shared" si="24"/>
        <v>40</v>
      </c>
      <c r="J1048" s="56"/>
      <c r="K1048" s="75"/>
      <c r="L1048" s="76"/>
      <c r="M1048" s="59"/>
      <c r="N1048" s="79">
        <v>950.0</v>
      </c>
      <c r="O1048" s="61">
        <v>1026.0</v>
      </c>
      <c r="P1048" s="62">
        <v>1108.0800000000002</v>
      </c>
      <c r="Q1048" s="63">
        <v>1108.0800000000002</v>
      </c>
      <c r="R1048" s="64">
        <v>1164.0</v>
      </c>
      <c r="S1048" s="111">
        <v>1222.0</v>
      </c>
      <c r="T1048" s="65">
        <f t="shared" si="34"/>
        <v>195.52</v>
      </c>
      <c r="U1048" s="65">
        <f t="shared" si="35"/>
        <v>1417.52</v>
      </c>
      <c r="V1048" s="66">
        <f t="shared" si="36"/>
        <v>0.04982817869</v>
      </c>
      <c r="W1048" s="67">
        <f t="shared" si="5"/>
        <v>1160.9</v>
      </c>
      <c r="X1048" s="67">
        <f t="shared" si="6"/>
        <v>185.744</v>
      </c>
      <c r="Y1048" s="67">
        <f t="shared" si="7"/>
        <v>1346.644</v>
      </c>
      <c r="Z1048" s="67">
        <f t="shared" si="8"/>
        <v>1099.8</v>
      </c>
      <c r="AA1048" s="67">
        <f t="shared" si="9"/>
        <v>175.968</v>
      </c>
      <c r="AB1048" s="67">
        <f t="shared" si="10"/>
        <v>1275.768</v>
      </c>
      <c r="AC1048" s="67">
        <f t="shared" si="11"/>
        <v>1038.7</v>
      </c>
      <c r="AD1048" s="67">
        <f t="shared" si="12"/>
        <v>166.192</v>
      </c>
      <c r="AE1048" s="67">
        <f t="shared" si="13"/>
        <v>1204.892</v>
      </c>
      <c r="AF1048" s="67">
        <f t="shared" si="33"/>
        <v>1014.26</v>
      </c>
      <c r="AG1048" s="67">
        <f t="shared" si="15"/>
        <v>162.2816</v>
      </c>
      <c r="AH1048" s="67">
        <f t="shared" si="16"/>
        <v>1176.5416</v>
      </c>
      <c r="AI1048" s="67">
        <f t="shared" si="17"/>
        <v>977.6</v>
      </c>
      <c r="AJ1048" s="68">
        <f t="shared" si="37"/>
        <v>156.416</v>
      </c>
      <c r="AK1048" s="68">
        <f t="shared" si="38"/>
        <v>1134.016</v>
      </c>
      <c r="AL1048" s="70">
        <f>IFERROR(__xludf.DUMMYFUNCTION("""COMPUTED_VALUE"""),1.0)</f>
        <v>1</v>
      </c>
      <c r="AM1048" s="70"/>
      <c r="AN1048" s="71" t="str">
        <f>IFERROR(__xludf.DUMMYFUNCTION("""COMPUTED_VALUE""")," C")</f>
        <v>C</v>
      </c>
      <c r="AO1048" s="71" t="str">
        <f>IFERROR(__xludf.DUMMYFUNCTION("""COMPUTED_VALUE""")," RS03")</f>
        <v>RS03</v>
      </c>
      <c r="AP1048" s="71" t="str">
        <f>IFERROR(__xludf.DUMMYFUNCTION("""COMPUTED_VALUE""")," PZA")</f>
        <v>PZA</v>
      </c>
      <c r="AQ1048" s="71" t="str">
        <f>IFERROR(__xludf.DUMMYFUNCTION("""COMPUTED_VALUE""")," REF")</f>
        <v>REF</v>
      </c>
      <c r="AR1048" s="71" t="str">
        <f>IFERROR(__xludf.DUMMYFUNCTION("""COMPUTED_VALUE""")," RESORTE PARA REGULADOR DE ALTA")</f>
        <v>RESORTE PARA REGULADOR DE ALTA</v>
      </c>
      <c r="AS1048" s="71" t="str">
        <f>IFERROR(__xludf.DUMMYFUNCTION("""COMPUTED_VALUE""")," RESORTE PARA REGULADOR DE ALTA")</f>
        <v>RESORTE PARA REGULADOR DE ALTA</v>
      </c>
      <c r="AT1048" s="71">
        <f>IFERROR(__xludf.DUMMYFUNCTION("""COMPUTED_VALUE"""),30.0)</f>
        <v>30</v>
      </c>
      <c r="AU1048" s="71"/>
      <c r="AV1048" s="71"/>
      <c r="AW1048" s="71"/>
      <c r="AX1048" s="71"/>
      <c r="AY1048" s="71">
        <f>IFERROR(__xludf.DUMMYFUNCTION("""COMPUTED_VALUE"""),52.0)</f>
        <v>52</v>
      </c>
      <c r="AZ1048" s="71">
        <f>IFERROR(__xludf.DUMMYFUNCTION("""COMPUTED_VALUE"""),56.0)</f>
        <v>56</v>
      </c>
      <c r="BA1048" s="71">
        <f>IFERROR(__xludf.DUMMYFUNCTION("""COMPUTED_VALUE"""),60.480000000000004)</f>
        <v>60.48</v>
      </c>
      <c r="BB1048" s="71">
        <f>IFERROR(__xludf.DUMMYFUNCTION("""COMPUTED_VALUE"""),60.480000000000004)</f>
        <v>60.48</v>
      </c>
      <c r="BC1048" s="71">
        <f>IFERROR(__xludf.DUMMYFUNCTION("""COMPUTED_VALUE"""),69.0)</f>
        <v>69</v>
      </c>
      <c r="BD1048" s="71">
        <f>IFERROR(__xludf.DUMMYFUNCTION("""COMPUTED_VALUE"""),72.0)</f>
        <v>72</v>
      </c>
      <c r="BE1048" s="71">
        <f>IFERROR(__xludf.DUMMYFUNCTION("""COMPUTED_VALUE"""),11.52)</f>
        <v>11.52</v>
      </c>
      <c r="BF1048" s="71">
        <f>IFERROR(__xludf.DUMMYFUNCTION("""COMPUTED_VALUE"""),83.52)</f>
        <v>83.52</v>
      </c>
      <c r="BG1048" s="71">
        <f>IFERROR(__xludf.DUMMYFUNCTION("""COMPUTED_VALUE"""),0.043478260869565216)</f>
        <v>0.04347826087</v>
      </c>
      <c r="BH1048" s="71">
        <f>IFERROR(__xludf.DUMMYFUNCTION("""COMPUTED_VALUE"""),68.39999999999999)</f>
        <v>68.4</v>
      </c>
      <c r="BI1048" s="71">
        <f>IFERROR(__xludf.DUMMYFUNCTION("""COMPUTED_VALUE"""),10.943999999999999)</f>
        <v>10.944</v>
      </c>
      <c r="BJ1048" s="71">
        <f>IFERROR(__xludf.DUMMYFUNCTION("""COMPUTED_VALUE"""),79.344)</f>
        <v>79.344</v>
      </c>
      <c r="BK1048" s="71">
        <f>IFERROR(__xludf.DUMMYFUNCTION("""COMPUTED_VALUE"""),64.8)</f>
        <v>64.8</v>
      </c>
      <c r="BL1048" s="71">
        <f>IFERROR(__xludf.DUMMYFUNCTION("""COMPUTED_VALUE"""),10.368)</f>
        <v>10.368</v>
      </c>
      <c r="BM1048" s="71">
        <f>IFERROR(__xludf.DUMMYFUNCTION("""COMPUTED_VALUE"""),75.16799999999999)</f>
        <v>75.168</v>
      </c>
      <c r="BN1048" s="71">
        <f>IFERROR(__xludf.DUMMYFUNCTION("""COMPUTED_VALUE"""),61.199999999999996)</f>
        <v>61.2</v>
      </c>
      <c r="BO1048" s="71">
        <f>IFERROR(__xludf.DUMMYFUNCTION("""COMPUTED_VALUE"""),9.792)</f>
        <v>9.792</v>
      </c>
      <c r="BP1048" s="71">
        <f>IFERROR(__xludf.DUMMYFUNCTION("""COMPUTED_VALUE"""),70.99199999999999)</f>
        <v>70.992</v>
      </c>
      <c r="BQ1048" s="71">
        <f>IFERROR(__xludf.DUMMYFUNCTION("""COMPUTED_VALUE"""),59.76)</f>
        <v>59.76</v>
      </c>
      <c r="BR1048" s="71">
        <f>IFERROR(__xludf.DUMMYFUNCTION("""COMPUTED_VALUE"""),9.5616)</f>
        <v>9.5616</v>
      </c>
      <c r="BS1048" s="71">
        <f>IFERROR(__xludf.DUMMYFUNCTION("""COMPUTED_VALUE"""),69.3216)</f>
        <v>69.3216</v>
      </c>
      <c r="BT1048" s="71">
        <f>IFERROR(__xludf.DUMMYFUNCTION("""COMPUTED_VALUE"""),57.6)</f>
        <v>57.6</v>
      </c>
      <c r="BU1048" s="71">
        <f>IFERROR(__xludf.DUMMYFUNCTION("""COMPUTED_VALUE"""),9.216000000000001)</f>
        <v>9.216</v>
      </c>
      <c r="BV1048" s="71">
        <f>IFERROR(__xludf.DUMMYFUNCTION("""COMPUTED_VALUE"""),66.816)</f>
        <v>66.816</v>
      </c>
    </row>
    <row r="1049">
      <c r="A1049" s="53"/>
      <c r="B1049" s="53"/>
      <c r="C1049" s="73" t="s">
        <v>53</v>
      </c>
      <c r="D1049" s="53" t="s">
        <v>2550</v>
      </c>
      <c r="E1049" s="54" t="s">
        <v>38</v>
      </c>
      <c r="F1049" s="54" t="s">
        <v>42</v>
      </c>
      <c r="G1049" s="55" t="s">
        <v>2551</v>
      </c>
      <c r="H1049" s="54" t="s">
        <v>2552</v>
      </c>
      <c r="I1049" s="54">
        <f t="shared" si="24"/>
        <v>38</v>
      </c>
      <c r="J1049" s="56"/>
      <c r="K1049" s="57"/>
      <c r="L1049" s="76"/>
      <c r="M1049" s="59"/>
      <c r="N1049" s="79">
        <v>414.0</v>
      </c>
      <c r="O1049" s="61">
        <v>447.0</v>
      </c>
      <c r="P1049" s="62">
        <v>482.76000000000005</v>
      </c>
      <c r="Q1049" s="63">
        <v>482.76000000000005</v>
      </c>
      <c r="R1049" s="64">
        <v>508.0</v>
      </c>
      <c r="S1049" s="111">
        <v>533.0</v>
      </c>
      <c r="T1049" s="65">
        <f t="shared" si="34"/>
        <v>85.28</v>
      </c>
      <c r="U1049" s="65">
        <f t="shared" si="35"/>
        <v>618.28</v>
      </c>
      <c r="V1049" s="66">
        <f t="shared" si="36"/>
        <v>0.04921259843</v>
      </c>
      <c r="W1049" s="67">
        <f t="shared" si="5"/>
        <v>506.35</v>
      </c>
      <c r="X1049" s="67">
        <f t="shared" si="6"/>
        <v>81.016</v>
      </c>
      <c r="Y1049" s="67">
        <f t="shared" si="7"/>
        <v>587.366</v>
      </c>
      <c r="Z1049" s="67">
        <f t="shared" si="8"/>
        <v>479.7</v>
      </c>
      <c r="AA1049" s="67">
        <f t="shared" si="9"/>
        <v>76.752</v>
      </c>
      <c r="AB1049" s="67">
        <f t="shared" si="10"/>
        <v>556.452</v>
      </c>
      <c r="AC1049" s="67">
        <f t="shared" si="11"/>
        <v>453.05</v>
      </c>
      <c r="AD1049" s="67">
        <f t="shared" si="12"/>
        <v>72.488</v>
      </c>
      <c r="AE1049" s="67">
        <f t="shared" si="13"/>
        <v>525.538</v>
      </c>
      <c r="AF1049" s="67">
        <f t="shared" si="33"/>
        <v>442.39</v>
      </c>
      <c r="AG1049" s="67">
        <f t="shared" si="15"/>
        <v>70.7824</v>
      </c>
      <c r="AH1049" s="67">
        <f t="shared" si="16"/>
        <v>513.1724</v>
      </c>
      <c r="AI1049" s="67">
        <f t="shared" si="17"/>
        <v>426.4</v>
      </c>
      <c r="AJ1049" s="68">
        <f t="shared" si="37"/>
        <v>68.224</v>
      </c>
      <c r="AK1049" s="68">
        <f t="shared" si="38"/>
        <v>494.624</v>
      </c>
      <c r="AL1049" s="70">
        <f>IFERROR(__xludf.DUMMYFUNCTION("""COMPUTED_VALUE"""),1.0)</f>
        <v>1</v>
      </c>
      <c r="AM1049" s="70"/>
      <c r="AN1049" s="71" t="str">
        <f>IFERROR(__xludf.DUMMYFUNCTION("""COMPUTED_VALUE""")," C")</f>
        <v>C</v>
      </c>
      <c r="AO1049" s="71" t="str">
        <f>IFERROR(__xludf.DUMMYFUNCTION("""COMPUTED_VALUE""")," RS04")</f>
        <v>RS04</v>
      </c>
      <c r="AP1049" s="71" t="str">
        <f>IFERROR(__xludf.DUMMYFUNCTION("""COMPUTED_VALUE""")," PZA")</f>
        <v>PZA</v>
      </c>
      <c r="AQ1049" s="71" t="str">
        <f>IFERROR(__xludf.DUMMYFUNCTION("""COMPUTED_VALUE""")," REF")</f>
        <v>REF</v>
      </c>
      <c r="AR1049" s="71" t="str">
        <f>IFERROR(__xludf.DUMMYFUNCTION("""COMPUTED_VALUE""")," RESORTE PARA REGULADOR DE BAJA")</f>
        <v>RESORTE PARA REGULADOR DE BAJA</v>
      </c>
      <c r="AS1049" s="71" t="str">
        <f>IFERROR(__xludf.DUMMYFUNCTION("""COMPUTED_VALUE""")," RESORTE PARA REGULADOR DE BAJA")</f>
        <v>RESORTE PARA REGULADOR DE BAJA</v>
      </c>
      <c r="AT1049" s="71">
        <f>IFERROR(__xludf.DUMMYFUNCTION("""COMPUTED_VALUE"""),30.0)</f>
        <v>30</v>
      </c>
      <c r="AU1049" s="71"/>
      <c r="AV1049" s="71"/>
      <c r="AW1049" s="71"/>
      <c r="AX1049" s="71"/>
      <c r="AY1049" s="71">
        <f>IFERROR(__xludf.DUMMYFUNCTION("""COMPUTED_VALUE"""),52.0)</f>
        <v>52</v>
      </c>
      <c r="AZ1049" s="71">
        <f>IFERROR(__xludf.DUMMYFUNCTION("""COMPUTED_VALUE"""),56.0)</f>
        <v>56</v>
      </c>
      <c r="BA1049" s="71">
        <f>IFERROR(__xludf.DUMMYFUNCTION("""COMPUTED_VALUE"""),60.480000000000004)</f>
        <v>60.48</v>
      </c>
      <c r="BB1049" s="71">
        <f>IFERROR(__xludf.DUMMYFUNCTION("""COMPUTED_VALUE"""),60.480000000000004)</f>
        <v>60.48</v>
      </c>
      <c r="BC1049" s="71">
        <f>IFERROR(__xludf.DUMMYFUNCTION("""COMPUTED_VALUE"""),69.0)</f>
        <v>69</v>
      </c>
      <c r="BD1049" s="71">
        <f>IFERROR(__xludf.DUMMYFUNCTION("""COMPUTED_VALUE"""),72.0)</f>
        <v>72</v>
      </c>
      <c r="BE1049" s="71">
        <f>IFERROR(__xludf.DUMMYFUNCTION("""COMPUTED_VALUE"""),11.52)</f>
        <v>11.52</v>
      </c>
      <c r="BF1049" s="71">
        <f>IFERROR(__xludf.DUMMYFUNCTION("""COMPUTED_VALUE"""),83.52)</f>
        <v>83.52</v>
      </c>
      <c r="BG1049" s="71">
        <f>IFERROR(__xludf.DUMMYFUNCTION("""COMPUTED_VALUE"""),0.043478260869565216)</f>
        <v>0.04347826087</v>
      </c>
      <c r="BH1049" s="71">
        <f>IFERROR(__xludf.DUMMYFUNCTION("""COMPUTED_VALUE"""),68.39999999999999)</f>
        <v>68.4</v>
      </c>
      <c r="BI1049" s="71">
        <f>IFERROR(__xludf.DUMMYFUNCTION("""COMPUTED_VALUE"""),10.943999999999999)</f>
        <v>10.944</v>
      </c>
      <c r="BJ1049" s="71">
        <f>IFERROR(__xludf.DUMMYFUNCTION("""COMPUTED_VALUE"""),79.344)</f>
        <v>79.344</v>
      </c>
      <c r="BK1049" s="71">
        <f>IFERROR(__xludf.DUMMYFUNCTION("""COMPUTED_VALUE"""),64.8)</f>
        <v>64.8</v>
      </c>
      <c r="BL1049" s="71">
        <f>IFERROR(__xludf.DUMMYFUNCTION("""COMPUTED_VALUE"""),10.368)</f>
        <v>10.368</v>
      </c>
      <c r="BM1049" s="71">
        <f>IFERROR(__xludf.DUMMYFUNCTION("""COMPUTED_VALUE"""),75.16799999999999)</f>
        <v>75.168</v>
      </c>
      <c r="BN1049" s="71">
        <f>IFERROR(__xludf.DUMMYFUNCTION("""COMPUTED_VALUE"""),61.199999999999996)</f>
        <v>61.2</v>
      </c>
      <c r="BO1049" s="71">
        <f>IFERROR(__xludf.DUMMYFUNCTION("""COMPUTED_VALUE"""),9.792)</f>
        <v>9.792</v>
      </c>
      <c r="BP1049" s="71">
        <f>IFERROR(__xludf.DUMMYFUNCTION("""COMPUTED_VALUE"""),70.99199999999999)</f>
        <v>70.992</v>
      </c>
      <c r="BQ1049" s="71">
        <f>IFERROR(__xludf.DUMMYFUNCTION("""COMPUTED_VALUE"""),59.76)</f>
        <v>59.76</v>
      </c>
      <c r="BR1049" s="71">
        <f>IFERROR(__xludf.DUMMYFUNCTION("""COMPUTED_VALUE"""),9.5616)</f>
        <v>9.5616</v>
      </c>
      <c r="BS1049" s="71">
        <f>IFERROR(__xludf.DUMMYFUNCTION("""COMPUTED_VALUE"""),69.3216)</f>
        <v>69.3216</v>
      </c>
      <c r="BT1049" s="71">
        <f>IFERROR(__xludf.DUMMYFUNCTION("""COMPUTED_VALUE"""),57.6)</f>
        <v>57.6</v>
      </c>
      <c r="BU1049" s="71">
        <f>IFERROR(__xludf.DUMMYFUNCTION("""COMPUTED_VALUE"""),9.216000000000001)</f>
        <v>9.216</v>
      </c>
      <c r="BV1049" s="71">
        <f>IFERROR(__xludf.DUMMYFUNCTION("""COMPUTED_VALUE"""),66.816)</f>
        <v>66.816</v>
      </c>
    </row>
    <row r="1050">
      <c r="A1050" s="53"/>
      <c r="B1050" s="53"/>
      <c r="C1050" s="120" t="s">
        <v>53</v>
      </c>
      <c r="D1050" s="53" t="s">
        <v>2553</v>
      </c>
      <c r="E1050" s="54" t="s">
        <v>38</v>
      </c>
      <c r="F1050" s="54" t="s">
        <v>42</v>
      </c>
      <c r="G1050" s="55" t="s">
        <v>2554</v>
      </c>
      <c r="H1050" s="54" t="s">
        <v>2555</v>
      </c>
      <c r="I1050" s="54">
        <f t="shared" si="24"/>
        <v>30</v>
      </c>
      <c r="J1050" s="56"/>
      <c r="K1050" s="75"/>
      <c r="L1050" s="76"/>
      <c r="M1050" s="59"/>
      <c r="N1050" s="60">
        <v>409.5</v>
      </c>
      <c r="O1050" s="61">
        <v>442.0</v>
      </c>
      <c r="P1050" s="62">
        <v>477.36</v>
      </c>
      <c r="Q1050" s="63">
        <v>477.36</v>
      </c>
      <c r="R1050" s="64">
        <v>501.0</v>
      </c>
      <c r="S1050" s="111">
        <v>526.0</v>
      </c>
      <c r="T1050" s="65">
        <f t="shared" si="34"/>
        <v>84.16</v>
      </c>
      <c r="U1050" s="65">
        <f t="shared" si="35"/>
        <v>610.16</v>
      </c>
      <c r="V1050" s="66">
        <f t="shared" si="36"/>
        <v>0.0499001996</v>
      </c>
      <c r="W1050" s="67">
        <f t="shared" si="5"/>
        <v>499.7</v>
      </c>
      <c r="X1050" s="67">
        <f t="shared" si="6"/>
        <v>79.952</v>
      </c>
      <c r="Y1050" s="67">
        <f t="shared" si="7"/>
        <v>579.652</v>
      </c>
      <c r="Z1050" s="67">
        <f t="shared" si="8"/>
        <v>473.4</v>
      </c>
      <c r="AA1050" s="67">
        <f t="shared" si="9"/>
        <v>75.744</v>
      </c>
      <c r="AB1050" s="67">
        <f t="shared" si="10"/>
        <v>549.144</v>
      </c>
      <c r="AC1050" s="67">
        <f t="shared" si="11"/>
        <v>447.1</v>
      </c>
      <c r="AD1050" s="67">
        <f t="shared" si="12"/>
        <v>71.536</v>
      </c>
      <c r="AE1050" s="67">
        <f t="shared" si="13"/>
        <v>518.636</v>
      </c>
      <c r="AF1050" s="67">
        <f t="shared" si="33"/>
        <v>436.58</v>
      </c>
      <c r="AG1050" s="67">
        <f t="shared" si="15"/>
        <v>69.8528</v>
      </c>
      <c r="AH1050" s="67">
        <f t="shared" si="16"/>
        <v>506.4328</v>
      </c>
      <c r="AI1050" s="67">
        <f t="shared" si="17"/>
        <v>420.8</v>
      </c>
      <c r="AJ1050" s="68">
        <f t="shared" si="37"/>
        <v>67.328</v>
      </c>
      <c r="AK1050" s="68">
        <f t="shared" si="38"/>
        <v>488.128</v>
      </c>
      <c r="AL1050" s="70">
        <f>IFERROR(__xludf.DUMMYFUNCTION("""COMPUTED_VALUE"""),1.0)</f>
        <v>1</v>
      </c>
      <c r="AM1050" s="70"/>
      <c r="AN1050" s="71" t="str">
        <f>IFERROR(__xludf.DUMMYFUNCTION("""COMPUTED_VALUE""")," C")</f>
        <v>C</v>
      </c>
      <c r="AO1050" s="71" t="str">
        <f>IFERROR(__xludf.DUMMYFUNCTION("""COMPUTED_VALUE""")," RS05")</f>
        <v>RS05</v>
      </c>
      <c r="AP1050" s="71" t="str">
        <f>IFERROR(__xludf.DUMMYFUNCTION("""COMPUTED_VALUE""")," PZA")</f>
        <v>PZA</v>
      </c>
      <c r="AQ1050" s="71" t="str">
        <f>IFERROR(__xludf.DUMMYFUNCTION("""COMPUTED_VALUE""")," REF")</f>
        <v>REF</v>
      </c>
      <c r="AR1050" s="71" t="str">
        <f>IFERROR(__xludf.DUMMYFUNCTION("""COMPUTED_VALUE""")," RESORTE PARA TRINQUETE")</f>
        <v>RESORTE PARA TRINQUETE</v>
      </c>
      <c r="AS1050" s="71" t="str">
        <f>IFERROR(__xludf.DUMMYFUNCTION("""COMPUTED_VALUE""")," RESORTE PARA TRINQUETE")</f>
        <v>RESORTE PARA TRINQUETE</v>
      </c>
      <c r="AT1050" s="71">
        <f>IFERROR(__xludf.DUMMYFUNCTION("""COMPUTED_VALUE"""),22.0)</f>
        <v>22</v>
      </c>
      <c r="AU1050" s="71"/>
      <c r="AV1050" s="71"/>
      <c r="AW1050" s="71"/>
      <c r="AX1050" s="71"/>
      <c r="AY1050" s="71">
        <f>IFERROR(__xludf.DUMMYFUNCTION("""COMPUTED_VALUE"""),5.0)</f>
        <v>5</v>
      </c>
      <c r="AZ1050" s="71">
        <f>IFERROR(__xludf.DUMMYFUNCTION("""COMPUTED_VALUE"""),5.0)</f>
        <v>5</v>
      </c>
      <c r="BA1050" s="71">
        <f>IFERROR(__xludf.DUMMYFUNCTION("""COMPUTED_VALUE"""),5.4)</f>
        <v>5.4</v>
      </c>
      <c r="BB1050" s="71">
        <f>IFERROR(__xludf.DUMMYFUNCTION("""COMPUTED_VALUE"""),5.4)</f>
        <v>5.4</v>
      </c>
      <c r="BC1050" s="71">
        <f>IFERROR(__xludf.DUMMYFUNCTION("""COMPUTED_VALUE"""),6.0)</f>
        <v>6</v>
      </c>
      <c r="BD1050" s="71">
        <f>IFERROR(__xludf.DUMMYFUNCTION("""COMPUTED_VALUE"""),6.300000000000001)</f>
        <v>6.3</v>
      </c>
      <c r="BE1050" s="71">
        <f>IFERROR(__xludf.DUMMYFUNCTION("""COMPUTED_VALUE"""),1.0080000000000002)</f>
        <v>1.008</v>
      </c>
      <c r="BF1050" s="71">
        <f>IFERROR(__xludf.DUMMYFUNCTION("""COMPUTED_VALUE"""),7.308000000000001)</f>
        <v>7.308</v>
      </c>
      <c r="BG1050" s="71">
        <f>IFERROR(__xludf.DUMMYFUNCTION("""COMPUTED_VALUE"""),0.05000000000000012)</f>
        <v>0.05</v>
      </c>
      <c r="BH1050" s="71">
        <f>IFERROR(__xludf.DUMMYFUNCTION("""COMPUTED_VALUE"""),5.985)</f>
        <v>5.985</v>
      </c>
      <c r="BI1050" s="71">
        <f>IFERROR(__xludf.DUMMYFUNCTION("""COMPUTED_VALUE"""),0.9576000000000001)</f>
        <v>0.9576</v>
      </c>
      <c r="BJ1050" s="71">
        <f>IFERROR(__xludf.DUMMYFUNCTION("""COMPUTED_VALUE"""),6.9426000000000005)</f>
        <v>6.9426</v>
      </c>
      <c r="BK1050" s="71">
        <f>IFERROR(__xludf.DUMMYFUNCTION("""COMPUTED_VALUE"""),5.670000000000001)</f>
        <v>5.67</v>
      </c>
      <c r="BL1050" s="71">
        <f>IFERROR(__xludf.DUMMYFUNCTION("""COMPUTED_VALUE"""),0.9072000000000001)</f>
        <v>0.9072</v>
      </c>
      <c r="BM1050" s="71">
        <f>IFERROR(__xludf.DUMMYFUNCTION("""COMPUTED_VALUE"""),6.577200000000001)</f>
        <v>6.5772</v>
      </c>
      <c r="BN1050" s="71">
        <f>IFERROR(__xludf.DUMMYFUNCTION("""COMPUTED_VALUE"""),5.355)</f>
        <v>5.355</v>
      </c>
      <c r="BO1050" s="71">
        <f>IFERROR(__xludf.DUMMYFUNCTION("""COMPUTED_VALUE"""),0.8568000000000001)</f>
        <v>0.8568</v>
      </c>
      <c r="BP1050" s="71">
        <f>IFERROR(__xludf.DUMMYFUNCTION("""COMPUTED_VALUE"""),6.2118)</f>
        <v>6.2118</v>
      </c>
      <c r="BQ1050" s="71">
        <f>IFERROR(__xludf.DUMMYFUNCTION("""COMPUTED_VALUE"""),5.229)</f>
        <v>5.229</v>
      </c>
      <c r="BR1050" s="71">
        <f>IFERROR(__xludf.DUMMYFUNCTION("""COMPUTED_VALUE"""),0.83664)</f>
        <v>0.83664</v>
      </c>
      <c r="BS1050" s="71">
        <f>IFERROR(__xludf.DUMMYFUNCTION("""COMPUTED_VALUE"""),6.06564)</f>
        <v>6.06564</v>
      </c>
      <c r="BT1050" s="71">
        <f>IFERROR(__xludf.DUMMYFUNCTION("""COMPUTED_VALUE"""),5.040000000000001)</f>
        <v>5.04</v>
      </c>
      <c r="BU1050" s="71">
        <f>IFERROR(__xludf.DUMMYFUNCTION("""COMPUTED_VALUE"""),0.8064000000000001)</f>
        <v>0.8064</v>
      </c>
      <c r="BV1050" s="71">
        <f>IFERROR(__xludf.DUMMYFUNCTION("""COMPUTED_VALUE"""),5.846400000000001)</f>
        <v>5.8464</v>
      </c>
    </row>
    <row r="1051">
      <c r="A1051" s="53"/>
      <c r="B1051" s="53"/>
      <c r="C1051" s="120" t="s">
        <v>53</v>
      </c>
      <c r="D1051" s="53" t="s">
        <v>2556</v>
      </c>
      <c r="E1051" s="54" t="s">
        <v>38</v>
      </c>
      <c r="F1051" s="54" t="s">
        <v>42</v>
      </c>
      <c r="G1051" s="55" t="s">
        <v>2557</v>
      </c>
      <c r="H1051" s="54" t="s">
        <v>2558</v>
      </c>
      <c r="I1051" s="54">
        <f t="shared" si="24"/>
        <v>40</v>
      </c>
      <c r="J1051" s="56"/>
      <c r="K1051" s="75"/>
      <c r="L1051" s="76"/>
      <c r="M1051" s="59"/>
      <c r="N1051" s="79">
        <v>1080.0</v>
      </c>
      <c r="O1051" s="61">
        <v>1166.0</v>
      </c>
      <c r="P1051" s="62">
        <v>1259.28</v>
      </c>
      <c r="Q1051" s="63">
        <v>1259.28</v>
      </c>
      <c r="R1051" s="64">
        <v>1322.0</v>
      </c>
      <c r="S1051" s="111">
        <v>1388.0</v>
      </c>
      <c r="T1051" s="65">
        <f t="shared" si="34"/>
        <v>222.08</v>
      </c>
      <c r="U1051" s="65">
        <f t="shared" si="35"/>
        <v>1610.08</v>
      </c>
      <c r="V1051" s="66">
        <f t="shared" si="36"/>
        <v>0.04992435703</v>
      </c>
      <c r="W1051" s="67">
        <f t="shared" si="5"/>
        <v>1318.6</v>
      </c>
      <c r="X1051" s="67">
        <f t="shared" si="6"/>
        <v>210.976</v>
      </c>
      <c r="Y1051" s="67">
        <f t="shared" si="7"/>
        <v>1529.576</v>
      </c>
      <c r="Z1051" s="67">
        <f t="shared" si="8"/>
        <v>1249.2</v>
      </c>
      <c r="AA1051" s="67">
        <f t="shared" si="9"/>
        <v>199.872</v>
      </c>
      <c r="AB1051" s="67">
        <f t="shared" si="10"/>
        <v>1449.072</v>
      </c>
      <c r="AC1051" s="67">
        <f t="shared" si="11"/>
        <v>1179.8</v>
      </c>
      <c r="AD1051" s="67">
        <f t="shared" si="12"/>
        <v>188.768</v>
      </c>
      <c r="AE1051" s="67">
        <f t="shared" si="13"/>
        <v>1368.568</v>
      </c>
      <c r="AF1051" s="67">
        <f t="shared" si="33"/>
        <v>1152.04</v>
      </c>
      <c r="AG1051" s="67">
        <f t="shared" si="15"/>
        <v>184.3264</v>
      </c>
      <c r="AH1051" s="67">
        <f t="shared" si="16"/>
        <v>1336.3664</v>
      </c>
      <c r="AI1051" s="67">
        <f t="shared" si="17"/>
        <v>1110.4</v>
      </c>
      <c r="AJ1051" s="68">
        <f t="shared" si="37"/>
        <v>177.664</v>
      </c>
      <c r="AK1051" s="68">
        <f t="shared" si="38"/>
        <v>1288.064</v>
      </c>
      <c r="AL1051" s="70">
        <f>IFERROR(__xludf.DUMMYFUNCTION("""COMPUTED_VALUE"""),1.0)</f>
        <v>1</v>
      </c>
      <c r="AM1051" s="70"/>
      <c r="AN1051" s="71" t="str">
        <f>IFERROR(__xludf.DUMMYFUNCTION("""COMPUTED_VALUE""")," C")</f>
        <v>C</v>
      </c>
      <c r="AO1051" s="71" t="str">
        <f>IFERROR(__xludf.DUMMYFUNCTION("""COMPUTED_VALUE""")," RS06")</f>
        <v>RS06</v>
      </c>
      <c r="AP1051" s="71" t="str">
        <f>IFERROR(__xludf.DUMMYFUNCTION("""COMPUTED_VALUE""")," PZA")</f>
        <v>PZA</v>
      </c>
      <c r="AQ1051" s="71" t="str">
        <f>IFERROR(__xludf.DUMMYFUNCTION("""COMPUTED_VALUE""")," REF")</f>
        <v>REF</v>
      </c>
      <c r="AR1051" s="71" t="str">
        <f>IFERROR(__xludf.DUMMYFUNCTION("""COMPUTED_VALUE""")," RESORTE TENSOR PARA COMAL MODELO ANTERIOR")</f>
        <v>RESORTE TENSOR PARA COMAL MODELO ANTERIOR</v>
      </c>
      <c r="AS1051" s="71" t="str">
        <f>IFERROR(__xludf.DUMMYFUNCTION("""COMPUTED_VALUE""")," RESORTE TENSOR PARA COMAL MA")</f>
        <v>RESORTE TENSOR PARA COMAL MA</v>
      </c>
      <c r="AT1051" s="71">
        <f>IFERROR(__xludf.DUMMYFUNCTION("""COMPUTED_VALUE"""),28.0)</f>
        <v>28</v>
      </c>
      <c r="AU1051" s="71"/>
      <c r="AV1051" s="71"/>
      <c r="AW1051" s="71"/>
      <c r="AX1051" s="71"/>
      <c r="AY1051" s="71">
        <f>IFERROR(__xludf.DUMMYFUNCTION("""COMPUTED_VALUE"""),38.0)</f>
        <v>38</v>
      </c>
      <c r="AZ1051" s="71">
        <f>IFERROR(__xludf.DUMMYFUNCTION("""COMPUTED_VALUE"""),41.0)</f>
        <v>41</v>
      </c>
      <c r="BA1051" s="71">
        <f>IFERROR(__xludf.DUMMYFUNCTION("""COMPUTED_VALUE"""),44.28)</f>
        <v>44.28</v>
      </c>
      <c r="BB1051" s="71">
        <f>IFERROR(__xludf.DUMMYFUNCTION("""COMPUTED_VALUE"""),44.28)</f>
        <v>44.28</v>
      </c>
      <c r="BC1051" s="71">
        <f>IFERROR(__xludf.DUMMYFUNCTION("""COMPUTED_VALUE"""),64.0)</f>
        <v>64</v>
      </c>
      <c r="BD1051" s="71">
        <f>IFERROR(__xludf.DUMMYFUNCTION("""COMPUTED_VALUE"""),67.0)</f>
        <v>67</v>
      </c>
      <c r="BE1051" s="71">
        <f>IFERROR(__xludf.DUMMYFUNCTION("""COMPUTED_VALUE"""),10.72)</f>
        <v>10.72</v>
      </c>
      <c r="BF1051" s="71">
        <f>IFERROR(__xludf.DUMMYFUNCTION("""COMPUTED_VALUE"""),77.72)</f>
        <v>77.72</v>
      </c>
      <c r="BG1051" s="71">
        <f>IFERROR(__xludf.DUMMYFUNCTION("""COMPUTED_VALUE"""),0.046875)</f>
        <v>0.046875</v>
      </c>
      <c r="BH1051" s="71">
        <f>IFERROR(__xludf.DUMMYFUNCTION("""COMPUTED_VALUE"""),63.65)</f>
        <v>63.65</v>
      </c>
      <c r="BI1051" s="71">
        <f>IFERROR(__xludf.DUMMYFUNCTION("""COMPUTED_VALUE"""),10.184)</f>
        <v>10.184</v>
      </c>
      <c r="BJ1051" s="71">
        <f>IFERROR(__xludf.DUMMYFUNCTION("""COMPUTED_VALUE"""),73.834)</f>
        <v>73.834</v>
      </c>
      <c r="BK1051" s="71">
        <f>IFERROR(__xludf.DUMMYFUNCTION("""COMPUTED_VALUE"""),60.300000000000004)</f>
        <v>60.3</v>
      </c>
      <c r="BL1051" s="71">
        <f>IFERROR(__xludf.DUMMYFUNCTION("""COMPUTED_VALUE"""),9.648000000000001)</f>
        <v>9.648</v>
      </c>
      <c r="BM1051" s="71">
        <f>IFERROR(__xludf.DUMMYFUNCTION("""COMPUTED_VALUE"""),69.94800000000001)</f>
        <v>69.948</v>
      </c>
      <c r="BN1051" s="71">
        <f>IFERROR(__xludf.DUMMYFUNCTION("""COMPUTED_VALUE"""),56.949999999999996)</f>
        <v>56.95</v>
      </c>
      <c r="BO1051" s="71">
        <f>IFERROR(__xludf.DUMMYFUNCTION("""COMPUTED_VALUE"""),9.112)</f>
        <v>9.112</v>
      </c>
      <c r="BP1051" s="71">
        <f>IFERROR(__xludf.DUMMYFUNCTION("""COMPUTED_VALUE"""),66.062)</f>
        <v>66.062</v>
      </c>
      <c r="BQ1051" s="71">
        <f>IFERROR(__xludf.DUMMYFUNCTION("""COMPUTED_VALUE"""),55.61)</f>
        <v>55.61</v>
      </c>
      <c r="BR1051" s="71">
        <f>IFERROR(__xludf.DUMMYFUNCTION("""COMPUTED_VALUE"""),8.8976)</f>
        <v>8.8976</v>
      </c>
      <c r="BS1051" s="71">
        <f>IFERROR(__xludf.DUMMYFUNCTION("""COMPUTED_VALUE"""),64.5076)</f>
        <v>64.5076</v>
      </c>
      <c r="BT1051" s="71">
        <f>IFERROR(__xludf.DUMMYFUNCTION("""COMPUTED_VALUE"""),53.6)</f>
        <v>53.6</v>
      </c>
      <c r="BU1051" s="71">
        <f>IFERROR(__xludf.DUMMYFUNCTION("""COMPUTED_VALUE"""),8.576)</f>
        <v>8.576</v>
      </c>
      <c r="BV1051" s="71">
        <f>IFERROR(__xludf.DUMMYFUNCTION("""COMPUTED_VALUE"""),62.176)</f>
        <v>62.176</v>
      </c>
    </row>
    <row r="1052">
      <c r="A1052" s="53"/>
      <c r="B1052" s="53"/>
      <c r="C1052" s="73" t="s">
        <v>53</v>
      </c>
      <c r="D1052" s="53" t="s">
        <v>2559</v>
      </c>
      <c r="E1052" s="54" t="s">
        <v>38</v>
      </c>
      <c r="F1052" s="54" t="s">
        <v>42</v>
      </c>
      <c r="G1052" s="55" t="s">
        <v>2560</v>
      </c>
      <c r="H1052" s="54" t="s">
        <v>2561</v>
      </c>
      <c r="I1052" s="54">
        <f t="shared" si="24"/>
        <v>20</v>
      </c>
      <c r="J1052" s="56"/>
      <c r="K1052" s="75"/>
      <c r="L1052" s="76"/>
      <c r="M1052" s="59"/>
      <c r="N1052" s="79">
        <v>1142.0</v>
      </c>
      <c r="O1052" s="61">
        <v>1233.0</v>
      </c>
      <c r="P1052" s="62">
        <v>1331.64</v>
      </c>
      <c r="Q1052" s="63">
        <v>1331.64</v>
      </c>
      <c r="R1052" s="64">
        <v>1399.0</v>
      </c>
      <c r="S1052" s="111">
        <v>1469.0</v>
      </c>
      <c r="T1052" s="65">
        <f t="shared" si="34"/>
        <v>235.04</v>
      </c>
      <c r="U1052" s="65">
        <f t="shared" si="35"/>
        <v>1704.04</v>
      </c>
      <c r="V1052" s="66">
        <f t="shared" si="36"/>
        <v>0.05003573981</v>
      </c>
      <c r="W1052" s="67">
        <f t="shared" si="5"/>
        <v>1395.55</v>
      </c>
      <c r="X1052" s="67">
        <f t="shared" si="6"/>
        <v>223.288</v>
      </c>
      <c r="Y1052" s="67">
        <f t="shared" si="7"/>
        <v>1618.838</v>
      </c>
      <c r="Z1052" s="67">
        <f t="shared" si="8"/>
        <v>1322.1</v>
      </c>
      <c r="AA1052" s="67">
        <f t="shared" si="9"/>
        <v>211.536</v>
      </c>
      <c r="AB1052" s="67">
        <f t="shared" si="10"/>
        <v>1533.636</v>
      </c>
      <c r="AC1052" s="67">
        <f t="shared" si="11"/>
        <v>1248.65</v>
      </c>
      <c r="AD1052" s="67">
        <f t="shared" si="12"/>
        <v>199.784</v>
      </c>
      <c r="AE1052" s="67">
        <f t="shared" si="13"/>
        <v>1448.434</v>
      </c>
      <c r="AF1052" s="67">
        <f t="shared" si="33"/>
        <v>1219.27</v>
      </c>
      <c r="AG1052" s="67">
        <f t="shared" si="15"/>
        <v>195.0832</v>
      </c>
      <c r="AH1052" s="67">
        <f t="shared" si="16"/>
        <v>1414.3532</v>
      </c>
      <c r="AI1052" s="67">
        <f t="shared" si="17"/>
        <v>1175.2</v>
      </c>
      <c r="AJ1052" s="68">
        <f t="shared" si="37"/>
        <v>188.032</v>
      </c>
      <c r="AK1052" s="68">
        <f t="shared" si="38"/>
        <v>1363.232</v>
      </c>
      <c r="AL1052" s="70">
        <f>IFERROR(__xludf.DUMMYFUNCTION("""COMPUTED_VALUE"""),1.0)</f>
        <v>1</v>
      </c>
      <c r="AM1052" s="70"/>
      <c r="AN1052" s="71" t="str">
        <f>IFERROR(__xludf.DUMMYFUNCTION("""COMPUTED_VALUE""")," C")</f>
        <v>C</v>
      </c>
      <c r="AO1052" s="71" t="str">
        <f>IFERROR(__xludf.DUMMYFUNCTION("""COMPUTED_VALUE""")," RN03")</f>
        <v>RN03</v>
      </c>
      <c r="AP1052" s="71" t="str">
        <f>IFERROR(__xludf.DUMMYFUNCTION("""COMPUTED_VALUE""")," PZA")</f>
        <v>PZA</v>
      </c>
      <c r="AQ1052" s="71" t="str">
        <f>IFERROR(__xludf.DUMMYFUNCTION("""COMPUTED_VALUE""")," REF")</f>
        <v>REF</v>
      </c>
      <c r="AR1052" s="71" t="str">
        <f>IFERROR(__xludf.DUMMYFUNCTION("""COMPUTED_VALUE""")," RETEN 13071 GRANDE")</f>
        <v>RETEN 13071 GRANDE</v>
      </c>
      <c r="AS1052" s="71" t="str">
        <f>IFERROR(__xludf.DUMMYFUNCTION("""COMPUTED_VALUE""")," RETEN 13071 GRANDE")</f>
        <v>RETEN 13071 GRANDE</v>
      </c>
      <c r="AT1052" s="71">
        <f>IFERROR(__xludf.DUMMYFUNCTION("""COMPUTED_VALUE"""),18.0)</f>
        <v>18</v>
      </c>
      <c r="AU1052" s="71"/>
      <c r="AV1052" s="71"/>
      <c r="AW1052" s="71"/>
      <c r="AX1052" s="71"/>
      <c r="AY1052" s="71">
        <f>IFERROR(__xludf.DUMMYFUNCTION("""COMPUTED_VALUE"""),60.0)</f>
        <v>60</v>
      </c>
      <c r="AZ1052" s="71">
        <f>IFERROR(__xludf.DUMMYFUNCTION("""COMPUTED_VALUE"""),64.0)</f>
        <v>64</v>
      </c>
      <c r="BA1052" s="71">
        <f>IFERROR(__xludf.DUMMYFUNCTION("""COMPUTED_VALUE"""),69.12)</f>
        <v>69.12</v>
      </c>
      <c r="BB1052" s="71">
        <f>IFERROR(__xludf.DUMMYFUNCTION("""COMPUTED_VALUE"""),69.12)</f>
        <v>69.12</v>
      </c>
      <c r="BC1052" s="71">
        <f>IFERROR(__xludf.DUMMYFUNCTION("""COMPUTED_VALUE"""),78.0)</f>
        <v>78</v>
      </c>
      <c r="BD1052" s="71">
        <f>IFERROR(__xludf.DUMMYFUNCTION("""COMPUTED_VALUE"""),82.0)</f>
        <v>82</v>
      </c>
      <c r="BE1052" s="71">
        <f>IFERROR(__xludf.DUMMYFUNCTION("""COMPUTED_VALUE"""),13.120000000000001)</f>
        <v>13.12</v>
      </c>
      <c r="BF1052" s="71">
        <f>IFERROR(__xludf.DUMMYFUNCTION("""COMPUTED_VALUE"""),95.12)</f>
        <v>95.12</v>
      </c>
      <c r="BG1052" s="71">
        <f>IFERROR(__xludf.DUMMYFUNCTION("""COMPUTED_VALUE"""),0.05128205128205128)</f>
        <v>0.05128205128</v>
      </c>
      <c r="BH1052" s="71">
        <f>IFERROR(__xludf.DUMMYFUNCTION("""COMPUTED_VALUE"""),77.89999999999999)</f>
        <v>77.9</v>
      </c>
      <c r="BI1052" s="71">
        <f>IFERROR(__xludf.DUMMYFUNCTION("""COMPUTED_VALUE"""),12.463999999999999)</f>
        <v>12.464</v>
      </c>
      <c r="BJ1052" s="71">
        <f>IFERROR(__xludf.DUMMYFUNCTION("""COMPUTED_VALUE"""),90.36399999999999)</f>
        <v>90.364</v>
      </c>
      <c r="BK1052" s="71">
        <f>IFERROR(__xludf.DUMMYFUNCTION("""COMPUTED_VALUE"""),73.8)</f>
        <v>73.8</v>
      </c>
      <c r="BL1052" s="71">
        <f>IFERROR(__xludf.DUMMYFUNCTION("""COMPUTED_VALUE"""),11.808)</f>
        <v>11.808</v>
      </c>
      <c r="BM1052" s="71">
        <f>IFERROR(__xludf.DUMMYFUNCTION("""COMPUTED_VALUE"""),85.608)</f>
        <v>85.608</v>
      </c>
      <c r="BN1052" s="71">
        <f>IFERROR(__xludf.DUMMYFUNCTION("""COMPUTED_VALUE"""),69.7)</f>
        <v>69.7</v>
      </c>
      <c r="BO1052" s="71">
        <f>IFERROR(__xludf.DUMMYFUNCTION("""COMPUTED_VALUE"""),11.152000000000001)</f>
        <v>11.152</v>
      </c>
      <c r="BP1052" s="71">
        <f>IFERROR(__xludf.DUMMYFUNCTION("""COMPUTED_VALUE"""),80.852)</f>
        <v>80.852</v>
      </c>
      <c r="BQ1052" s="71">
        <f>IFERROR(__xludf.DUMMYFUNCTION("""COMPUTED_VALUE"""),68.06)</f>
        <v>68.06</v>
      </c>
      <c r="BR1052" s="71">
        <f>IFERROR(__xludf.DUMMYFUNCTION("""COMPUTED_VALUE"""),10.8896)</f>
        <v>10.8896</v>
      </c>
      <c r="BS1052" s="71">
        <f>IFERROR(__xludf.DUMMYFUNCTION("""COMPUTED_VALUE"""),78.9496)</f>
        <v>78.9496</v>
      </c>
      <c r="BT1052" s="71">
        <f>IFERROR(__xludf.DUMMYFUNCTION("""COMPUTED_VALUE"""),65.60000000000001)</f>
        <v>65.6</v>
      </c>
      <c r="BU1052" s="71">
        <f>IFERROR(__xludf.DUMMYFUNCTION("""COMPUTED_VALUE"""),10.496000000000002)</f>
        <v>10.496</v>
      </c>
      <c r="BV1052" s="71">
        <f>IFERROR(__xludf.DUMMYFUNCTION("""COMPUTED_VALUE"""),76.096)</f>
        <v>76.096</v>
      </c>
    </row>
    <row r="1053">
      <c r="A1053" s="53"/>
      <c r="B1053" s="53"/>
      <c r="C1053" s="73" t="s">
        <v>53</v>
      </c>
      <c r="D1053" s="53" t="s">
        <v>2562</v>
      </c>
      <c r="E1053" s="54" t="s">
        <v>38</v>
      </c>
      <c r="F1053" s="54" t="s">
        <v>42</v>
      </c>
      <c r="G1053" s="55" t="s">
        <v>2563</v>
      </c>
      <c r="H1053" s="54" t="s">
        <v>2564</v>
      </c>
      <c r="I1053" s="54">
        <f t="shared" si="24"/>
        <v>30</v>
      </c>
      <c r="J1053" s="56"/>
      <c r="K1053" s="75"/>
      <c r="L1053" s="77"/>
      <c r="M1053" s="59"/>
      <c r="N1053" s="79"/>
      <c r="O1053" s="61">
        <v>476.0</v>
      </c>
      <c r="P1053" s="63">
        <v>514.08</v>
      </c>
      <c r="Q1053" s="63">
        <v>514.08</v>
      </c>
      <c r="R1053" s="64">
        <v>540.0</v>
      </c>
      <c r="S1053" s="111">
        <v>567.0</v>
      </c>
      <c r="T1053" s="65">
        <f t="shared" si="34"/>
        <v>90.72</v>
      </c>
      <c r="U1053" s="65">
        <f t="shared" si="35"/>
        <v>657.72</v>
      </c>
      <c r="V1053" s="66">
        <f t="shared" si="36"/>
        <v>0.05</v>
      </c>
      <c r="W1053" s="67">
        <f t="shared" si="5"/>
        <v>538.65</v>
      </c>
      <c r="X1053" s="67">
        <f t="shared" si="6"/>
        <v>86.184</v>
      </c>
      <c r="Y1053" s="67">
        <f t="shared" si="7"/>
        <v>624.834</v>
      </c>
      <c r="Z1053" s="67">
        <f t="shared" si="8"/>
        <v>510.3</v>
      </c>
      <c r="AA1053" s="67">
        <f t="shared" si="9"/>
        <v>81.648</v>
      </c>
      <c r="AB1053" s="67">
        <f t="shared" si="10"/>
        <v>591.948</v>
      </c>
      <c r="AC1053" s="67">
        <f t="shared" si="11"/>
        <v>481.95</v>
      </c>
      <c r="AD1053" s="67">
        <f t="shared" si="12"/>
        <v>77.112</v>
      </c>
      <c r="AE1053" s="67">
        <f t="shared" si="13"/>
        <v>559.062</v>
      </c>
      <c r="AF1053" s="67">
        <f t="shared" si="33"/>
        <v>470.61</v>
      </c>
      <c r="AG1053" s="67">
        <f t="shared" si="15"/>
        <v>75.2976</v>
      </c>
      <c r="AH1053" s="67">
        <f t="shared" si="16"/>
        <v>545.9076</v>
      </c>
      <c r="AI1053" s="67">
        <f t="shared" si="17"/>
        <v>453.6</v>
      </c>
      <c r="AJ1053" s="68">
        <f t="shared" si="37"/>
        <v>72.576</v>
      </c>
      <c r="AK1053" s="68">
        <f t="shared" si="38"/>
        <v>526.176</v>
      </c>
      <c r="AL1053" s="70">
        <f>IFERROR(__xludf.DUMMYFUNCTION("""COMPUTED_VALUE"""),1.0)</f>
        <v>1</v>
      </c>
      <c r="AM1053" s="70">
        <f>IFERROR(__xludf.DUMMYFUNCTION("""COMPUTED_VALUE"""),3.0)</f>
        <v>3</v>
      </c>
      <c r="AN1053" s="71" t="str">
        <f>IFERROR(__xludf.DUMMYFUNCTION("""COMPUTED_VALUE""")," C")</f>
        <v>C</v>
      </c>
      <c r="AO1053" s="71" t="str">
        <f>IFERROR(__xludf.DUMMYFUNCTION("""COMPUTED_VALUE""")," RN13")</f>
        <v>RN13</v>
      </c>
      <c r="AP1053" s="71" t="str">
        <f>IFERROR(__xludf.DUMMYFUNCTION("""COMPUTED_VALUE""")," PZA")</f>
        <v>PZA</v>
      </c>
      <c r="AQ1053" s="71" t="str">
        <f>IFERROR(__xludf.DUMMYFUNCTION("""COMPUTED_VALUE""")," REF")</f>
        <v>REF</v>
      </c>
      <c r="AR1053" s="71" t="str">
        <f>IFERROR(__xludf.DUMMYFUNCTION("""COMPUTED_VALUE""")," RETEN 13071 GRANDE CR")</f>
        <v>RETEN 13071 GRANDE CR</v>
      </c>
      <c r="AS1053" s="71" t="str">
        <f>IFERROR(__xludf.DUMMYFUNCTION("""COMPUTED_VALUE""")," RETEN 13071 GRANDE CR")</f>
        <v>RETEN 13071 GRANDE CR</v>
      </c>
      <c r="AT1053" s="71">
        <f>IFERROR(__xludf.DUMMYFUNCTION("""COMPUTED_VALUE"""),21.0)</f>
        <v>21</v>
      </c>
      <c r="AU1053" s="71"/>
      <c r="AV1053" s="71"/>
      <c r="AW1053" s="71"/>
      <c r="AX1053" s="71"/>
      <c r="AY1053" s="71"/>
      <c r="AZ1053" s="71">
        <f>IFERROR(__xludf.DUMMYFUNCTION("""COMPUTED_VALUE"""),214.0)</f>
        <v>214</v>
      </c>
      <c r="BA1053" s="71">
        <f>IFERROR(__xludf.DUMMYFUNCTION("""COMPUTED_VALUE"""),231.12)</f>
        <v>231.12</v>
      </c>
      <c r="BB1053" s="71">
        <f>IFERROR(__xludf.DUMMYFUNCTION("""COMPUTED_VALUE"""),231.12)</f>
        <v>231.12</v>
      </c>
      <c r="BC1053" s="71">
        <f>IFERROR(__xludf.DUMMYFUNCTION("""COMPUTED_VALUE"""),243.0)</f>
        <v>243</v>
      </c>
      <c r="BD1053" s="71">
        <f>IFERROR(__xludf.DUMMYFUNCTION("""COMPUTED_VALUE"""),255.0)</f>
        <v>255</v>
      </c>
      <c r="BE1053" s="71">
        <f>IFERROR(__xludf.DUMMYFUNCTION("""COMPUTED_VALUE"""),40.800000000000004)</f>
        <v>40.8</v>
      </c>
      <c r="BF1053" s="71">
        <f>IFERROR(__xludf.DUMMYFUNCTION("""COMPUTED_VALUE"""),295.8)</f>
        <v>295.8</v>
      </c>
      <c r="BG1053" s="71">
        <f>IFERROR(__xludf.DUMMYFUNCTION("""COMPUTED_VALUE"""),0.04938271604938271)</f>
        <v>0.04938271605</v>
      </c>
      <c r="BH1053" s="71">
        <f>IFERROR(__xludf.DUMMYFUNCTION("""COMPUTED_VALUE"""),242.25)</f>
        <v>242.25</v>
      </c>
      <c r="BI1053" s="71">
        <f>IFERROR(__xludf.DUMMYFUNCTION("""COMPUTED_VALUE"""),38.76)</f>
        <v>38.76</v>
      </c>
      <c r="BJ1053" s="71">
        <f>IFERROR(__xludf.DUMMYFUNCTION("""COMPUTED_VALUE"""),281.01)</f>
        <v>281.01</v>
      </c>
      <c r="BK1053" s="71">
        <f>IFERROR(__xludf.DUMMYFUNCTION("""COMPUTED_VALUE"""),229.5)</f>
        <v>229.5</v>
      </c>
      <c r="BL1053" s="71">
        <f>IFERROR(__xludf.DUMMYFUNCTION("""COMPUTED_VALUE"""),36.72)</f>
        <v>36.72</v>
      </c>
      <c r="BM1053" s="71">
        <f>IFERROR(__xludf.DUMMYFUNCTION("""COMPUTED_VALUE"""),266.22)</f>
        <v>266.22</v>
      </c>
      <c r="BN1053" s="71">
        <f>IFERROR(__xludf.DUMMYFUNCTION("""COMPUTED_VALUE"""),229.5)</f>
        <v>229.5</v>
      </c>
      <c r="BO1053" s="71">
        <f>IFERROR(__xludf.DUMMYFUNCTION("""COMPUTED_VALUE"""),36.72)</f>
        <v>36.72</v>
      </c>
      <c r="BP1053" s="71">
        <f>IFERROR(__xludf.DUMMYFUNCTION("""COMPUTED_VALUE"""),266.22)</f>
        <v>266.22</v>
      </c>
      <c r="BQ1053" s="71">
        <f>IFERROR(__xludf.DUMMYFUNCTION("""COMPUTED_VALUE"""),229.5)</f>
        <v>229.5</v>
      </c>
      <c r="BR1053" s="71">
        <f>IFERROR(__xludf.DUMMYFUNCTION("""COMPUTED_VALUE"""),36.72)</f>
        <v>36.72</v>
      </c>
      <c r="BS1053" s="71">
        <f>IFERROR(__xludf.DUMMYFUNCTION("""COMPUTED_VALUE"""),266.22)</f>
        <v>266.22</v>
      </c>
      <c r="BT1053" s="71">
        <f>IFERROR(__xludf.DUMMYFUNCTION("""COMPUTED_VALUE"""),229.5)</f>
        <v>229.5</v>
      </c>
      <c r="BU1053" s="71">
        <f>IFERROR(__xludf.DUMMYFUNCTION("""COMPUTED_VALUE"""),36.72)</f>
        <v>36.72</v>
      </c>
      <c r="BV1053" s="71">
        <f>IFERROR(__xludf.DUMMYFUNCTION("""COMPUTED_VALUE"""),266.22)</f>
        <v>266.22</v>
      </c>
    </row>
    <row r="1054">
      <c r="A1054" s="53"/>
      <c r="B1054" s="53"/>
      <c r="C1054" s="53" t="s">
        <v>53</v>
      </c>
      <c r="D1054" s="53" t="s">
        <v>2565</v>
      </c>
      <c r="E1054" s="54" t="s">
        <v>38</v>
      </c>
      <c r="F1054" s="54" t="s">
        <v>42</v>
      </c>
      <c r="G1054" s="55" t="s">
        <v>2566</v>
      </c>
      <c r="H1054" s="54" t="s">
        <v>2567</v>
      </c>
      <c r="I1054" s="54">
        <f t="shared" si="24"/>
        <v>38</v>
      </c>
      <c r="J1054" s="56"/>
      <c r="K1054" s="75"/>
      <c r="L1054" s="76"/>
      <c r="M1054" s="59"/>
      <c r="N1054" s="79">
        <v>2215.0</v>
      </c>
      <c r="O1054" s="61">
        <v>2392.0</v>
      </c>
      <c r="P1054" s="63">
        <v>2583.36</v>
      </c>
      <c r="Q1054" s="63">
        <v>2583.36</v>
      </c>
      <c r="R1054" s="64">
        <v>2713.0</v>
      </c>
      <c r="S1054" s="111">
        <v>2849.0</v>
      </c>
      <c r="T1054" s="65">
        <f t="shared" si="34"/>
        <v>455.84</v>
      </c>
      <c r="U1054" s="65">
        <f t="shared" si="35"/>
        <v>3304.84</v>
      </c>
      <c r="V1054" s="66">
        <f t="shared" si="36"/>
        <v>0.05012900848</v>
      </c>
      <c r="W1054" s="67">
        <f t="shared" si="5"/>
        <v>2706.55</v>
      </c>
      <c r="X1054" s="67">
        <f t="shared" si="6"/>
        <v>433.048</v>
      </c>
      <c r="Y1054" s="67">
        <f t="shared" si="7"/>
        <v>3139.598</v>
      </c>
      <c r="Z1054" s="67">
        <f t="shared" si="8"/>
        <v>2564.1</v>
      </c>
      <c r="AA1054" s="67">
        <f t="shared" si="9"/>
        <v>410.256</v>
      </c>
      <c r="AB1054" s="67">
        <f t="shared" si="10"/>
        <v>2974.356</v>
      </c>
      <c r="AC1054" s="67">
        <f t="shared" si="11"/>
        <v>2421.65</v>
      </c>
      <c r="AD1054" s="67">
        <f t="shared" si="12"/>
        <v>387.464</v>
      </c>
      <c r="AE1054" s="67">
        <f t="shared" si="13"/>
        <v>2809.114</v>
      </c>
      <c r="AF1054" s="67">
        <f t="shared" si="33"/>
        <v>2364.67</v>
      </c>
      <c r="AG1054" s="67">
        <f t="shared" si="15"/>
        <v>378.3472</v>
      </c>
      <c r="AH1054" s="67">
        <f t="shared" si="16"/>
        <v>2743.0172</v>
      </c>
      <c r="AI1054" s="67">
        <f t="shared" si="17"/>
        <v>2279.2</v>
      </c>
      <c r="AJ1054" s="68">
        <f t="shared" si="37"/>
        <v>364.672</v>
      </c>
      <c r="AK1054" s="68">
        <f t="shared" si="38"/>
        <v>2643.872</v>
      </c>
      <c r="AL1054" s="70">
        <f>IFERROR(__xludf.DUMMYFUNCTION("""COMPUTED_VALUE"""),1.0)</f>
        <v>1</v>
      </c>
      <c r="AM1054" s="70"/>
      <c r="AN1054" s="71" t="str">
        <f>IFERROR(__xludf.DUMMYFUNCTION("""COMPUTED_VALUE""")," C")</f>
        <v>C</v>
      </c>
      <c r="AO1054" s="71" t="str">
        <f>IFERROR(__xludf.DUMMYFUNCTION("""COMPUTED_VALUE""")," RN01")</f>
        <v>RN01</v>
      </c>
      <c r="AP1054" s="71" t="str">
        <f>IFERROR(__xludf.DUMMYFUNCTION("""COMPUTED_VALUE""")," PZA")</f>
        <v>PZA</v>
      </c>
      <c r="AQ1054" s="71" t="str">
        <f>IFERROR(__xludf.DUMMYFUNCTION("""COMPUTED_VALUE""")," REF")</f>
        <v>REF</v>
      </c>
      <c r="AR1054" s="71" t="str">
        <f>IFERROR(__xludf.DUMMYFUNCTION("""COMPUTED_VALUE""")," RETEN 8654 CHICO")</f>
        <v>RETEN 8654 CHICO</v>
      </c>
      <c r="AS1054" s="71" t="str">
        <f>IFERROR(__xludf.DUMMYFUNCTION("""COMPUTED_VALUE""")," RETEN 8654 CHICO")</f>
        <v>RETEN 8654 CHICO</v>
      </c>
      <c r="AT1054" s="71">
        <f>IFERROR(__xludf.DUMMYFUNCTION("""COMPUTED_VALUE"""),16.0)</f>
        <v>16</v>
      </c>
      <c r="AU1054" s="71"/>
      <c r="AV1054" s="71"/>
      <c r="AW1054" s="71"/>
      <c r="AX1054" s="71"/>
      <c r="AY1054" s="71">
        <f>IFERROR(__xludf.DUMMYFUNCTION("""COMPUTED_VALUE"""),42.0)</f>
        <v>42</v>
      </c>
      <c r="AZ1054" s="71">
        <f>IFERROR(__xludf.DUMMYFUNCTION("""COMPUTED_VALUE"""),45.0)</f>
        <v>45</v>
      </c>
      <c r="BA1054" s="71">
        <f>IFERROR(__xludf.DUMMYFUNCTION("""COMPUTED_VALUE"""),48.6)</f>
        <v>48.6</v>
      </c>
      <c r="BB1054" s="71">
        <f>IFERROR(__xludf.DUMMYFUNCTION("""COMPUTED_VALUE"""),48.6)</f>
        <v>48.6</v>
      </c>
      <c r="BC1054" s="71">
        <f>IFERROR(__xludf.DUMMYFUNCTION("""COMPUTED_VALUE"""),55.0)</f>
        <v>55</v>
      </c>
      <c r="BD1054" s="71">
        <f>IFERROR(__xludf.DUMMYFUNCTION("""COMPUTED_VALUE"""),58.0)</f>
        <v>58</v>
      </c>
      <c r="BE1054" s="71">
        <f>IFERROR(__xludf.DUMMYFUNCTION("""COMPUTED_VALUE"""),9.28)</f>
        <v>9.28</v>
      </c>
      <c r="BF1054" s="71">
        <f>IFERROR(__xludf.DUMMYFUNCTION("""COMPUTED_VALUE"""),67.28)</f>
        <v>67.28</v>
      </c>
      <c r="BG1054" s="71">
        <f>IFERROR(__xludf.DUMMYFUNCTION("""COMPUTED_VALUE"""),0.05454545454545454)</f>
        <v>0.05454545455</v>
      </c>
      <c r="BH1054" s="71">
        <f>IFERROR(__xludf.DUMMYFUNCTION("""COMPUTED_VALUE"""),55.099999999999994)</f>
        <v>55.1</v>
      </c>
      <c r="BI1054" s="71">
        <f>IFERROR(__xludf.DUMMYFUNCTION("""COMPUTED_VALUE"""),8.815999999999999)</f>
        <v>8.816</v>
      </c>
      <c r="BJ1054" s="71">
        <f>IFERROR(__xludf.DUMMYFUNCTION("""COMPUTED_VALUE"""),63.916)</f>
        <v>63.916</v>
      </c>
      <c r="BK1054" s="71">
        <f>IFERROR(__xludf.DUMMYFUNCTION("""COMPUTED_VALUE"""),52.2)</f>
        <v>52.2</v>
      </c>
      <c r="BL1054" s="71">
        <f>IFERROR(__xludf.DUMMYFUNCTION("""COMPUTED_VALUE"""),8.352)</f>
        <v>8.352</v>
      </c>
      <c r="BM1054" s="71">
        <f>IFERROR(__xludf.DUMMYFUNCTION("""COMPUTED_VALUE"""),60.55200000000001)</f>
        <v>60.552</v>
      </c>
      <c r="BN1054" s="71">
        <f>IFERROR(__xludf.DUMMYFUNCTION("""COMPUTED_VALUE"""),49.3)</f>
        <v>49.3</v>
      </c>
      <c r="BO1054" s="71">
        <f>IFERROR(__xludf.DUMMYFUNCTION("""COMPUTED_VALUE"""),7.888)</f>
        <v>7.888</v>
      </c>
      <c r="BP1054" s="71">
        <f>IFERROR(__xludf.DUMMYFUNCTION("""COMPUTED_VALUE"""),57.187999999999995)</f>
        <v>57.188</v>
      </c>
      <c r="BQ1054" s="71">
        <f>IFERROR(__xludf.DUMMYFUNCTION("""COMPUTED_VALUE"""),48.14)</f>
        <v>48.14</v>
      </c>
      <c r="BR1054" s="71">
        <f>IFERROR(__xludf.DUMMYFUNCTION("""COMPUTED_VALUE"""),7.7024)</f>
        <v>7.7024</v>
      </c>
      <c r="BS1054" s="71">
        <f>IFERROR(__xludf.DUMMYFUNCTION("""COMPUTED_VALUE"""),55.8424)</f>
        <v>55.8424</v>
      </c>
      <c r="BT1054" s="71">
        <f>IFERROR(__xludf.DUMMYFUNCTION("""COMPUTED_VALUE"""),46.400000000000006)</f>
        <v>46.4</v>
      </c>
      <c r="BU1054" s="71">
        <f>IFERROR(__xludf.DUMMYFUNCTION("""COMPUTED_VALUE"""),7.424000000000001)</f>
        <v>7.424</v>
      </c>
      <c r="BV1054" s="71">
        <f>IFERROR(__xludf.DUMMYFUNCTION("""COMPUTED_VALUE"""),53.824000000000005)</f>
        <v>53.824</v>
      </c>
    </row>
    <row r="1055">
      <c r="A1055" s="53"/>
      <c r="B1055" s="53"/>
      <c r="C1055" s="73" t="s">
        <v>53</v>
      </c>
      <c r="D1055" s="53" t="s">
        <v>2568</v>
      </c>
      <c r="E1055" s="54" t="s">
        <v>38</v>
      </c>
      <c r="F1055" s="54" t="s">
        <v>42</v>
      </c>
      <c r="G1055" s="55" t="s">
        <v>2569</v>
      </c>
      <c r="H1055" s="55" t="s">
        <v>2570</v>
      </c>
      <c r="I1055" s="54">
        <f t="shared" si="24"/>
        <v>39</v>
      </c>
      <c r="J1055" s="56"/>
      <c r="K1055" s="75"/>
      <c r="L1055" s="76"/>
      <c r="M1055" s="59"/>
      <c r="N1055" s="60"/>
      <c r="O1055" s="61"/>
      <c r="P1055" s="62">
        <v>1073.9</v>
      </c>
      <c r="Q1055" s="63">
        <v>1073.9</v>
      </c>
      <c r="R1055" s="64">
        <v>1128.0</v>
      </c>
      <c r="S1055" s="111">
        <v>1184.0</v>
      </c>
      <c r="T1055" s="65">
        <f t="shared" si="34"/>
        <v>189.44</v>
      </c>
      <c r="U1055" s="65">
        <f t="shared" si="35"/>
        <v>1373.44</v>
      </c>
      <c r="V1055" s="66">
        <f t="shared" si="36"/>
        <v>0.04964539007</v>
      </c>
      <c r="W1055" s="67">
        <f t="shared" si="5"/>
        <v>1124.8</v>
      </c>
      <c r="X1055" s="67">
        <f t="shared" si="6"/>
        <v>179.968</v>
      </c>
      <c r="Y1055" s="67">
        <f t="shared" si="7"/>
        <v>1304.768</v>
      </c>
      <c r="Z1055" s="67">
        <f t="shared" si="8"/>
        <v>1065.6</v>
      </c>
      <c r="AA1055" s="67">
        <f t="shared" si="9"/>
        <v>170.496</v>
      </c>
      <c r="AB1055" s="67">
        <f t="shared" si="10"/>
        <v>1236.096</v>
      </c>
      <c r="AC1055" s="67">
        <f t="shared" si="11"/>
        <v>1006.4</v>
      </c>
      <c r="AD1055" s="67">
        <f t="shared" si="12"/>
        <v>161.024</v>
      </c>
      <c r="AE1055" s="67">
        <f t="shared" si="13"/>
        <v>1167.424</v>
      </c>
      <c r="AF1055" s="67">
        <f t="shared" si="33"/>
        <v>982.72</v>
      </c>
      <c r="AG1055" s="67">
        <f t="shared" si="15"/>
        <v>157.2352</v>
      </c>
      <c r="AH1055" s="67">
        <f t="shared" si="16"/>
        <v>1139.9552</v>
      </c>
      <c r="AI1055" s="67">
        <f t="shared" si="17"/>
        <v>947.2</v>
      </c>
      <c r="AJ1055" s="68">
        <f t="shared" si="37"/>
        <v>151.552</v>
      </c>
      <c r="AK1055" s="68">
        <f t="shared" si="38"/>
        <v>1098.752</v>
      </c>
      <c r="AL1055" s="70">
        <f>IFERROR(__xludf.DUMMYFUNCTION("""COMPUTED_VALUE"""),1.0)</f>
        <v>1</v>
      </c>
      <c r="AM1055" s="70">
        <f>IFERROR(__xludf.DUMMYFUNCTION("""COMPUTED_VALUE"""),3.0)</f>
        <v>3</v>
      </c>
      <c r="AN1055" s="71" t="str">
        <f>IFERROR(__xludf.DUMMYFUNCTION("""COMPUTED_VALUE""")," C")</f>
        <v>C</v>
      </c>
      <c r="AO1055" s="71" t="str">
        <f>IFERROR(__xludf.DUMMYFUNCTION("""COMPUTED_VALUE""")," RN14")</f>
        <v>RN14</v>
      </c>
      <c r="AP1055" s="71" t="str">
        <f>IFERROR(__xludf.DUMMYFUNCTION("""COMPUTED_VALUE""")," PZA")</f>
        <v>PZA</v>
      </c>
      <c r="AQ1055" s="71" t="str">
        <f>IFERROR(__xludf.DUMMYFUNCTION("""COMPUTED_VALUE""")," REF")</f>
        <v>REF</v>
      </c>
      <c r="AR1055" s="71" t="str">
        <f>IFERROR(__xludf.DUMMYFUNCTION("""COMPUTED_VALUE""")," RETEN 8654 CHICO CR")</f>
        <v>RETEN 8654 CHICO CR</v>
      </c>
      <c r="AS1055" s="71" t="str">
        <f>IFERROR(__xludf.DUMMYFUNCTION("""COMPUTED_VALUE""")," RETEN 8654 CHICO CR")</f>
        <v>RETEN 8654 CHICO CR</v>
      </c>
      <c r="AT1055" s="71">
        <f>IFERROR(__xludf.DUMMYFUNCTION("""COMPUTED_VALUE"""),19.0)</f>
        <v>19</v>
      </c>
      <c r="AU1055" s="71"/>
      <c r="AV1055" s="71"/>
      <c r="AW1055" s="71"/>
      <c r="AX1055" s="71"/>
      <c r="AY1055" s="71"/>
      <c r="AZ1055" s="71">
        <f>IFERROR(__xludf.DUMMYFUNCTION("""COMPUTED_VALUE"""),138.0)</f>
        <v>138</v>
      </c>
      <c r="BA1055" s="71">
        <f>IFERROR(__xludf.DUMMYFUNCTION("""COMPUTED_VALUE"""),149.04000000000002)</f>
        <v>149.04</v>
      </c>
      <c r="BB1055" s="71">
        <f>IFERROR(__xludf.DUMMYFUNCTION("""COMPUTED_VALUE"""),149.04000000000002)</f>
        <v>149.04</v>
      </c>
      <c r="BC1055" s="71">
        <f>IFERROR(__xludf.DUMMYFUNCTION("""COMPUTED_VALUE"""),157.0)</f>
        <v>157</v>
      </c>
      <c r="BD1055" s="71">
        <f>IFERROR(__xludf.DUMMYFUNCTION("""COMPUTED_VALUE"""),165.0)</f>
        <v>165</v>
      </c>
      <c r="BE1055" s="71">
        <f>IFERROR(__xludf.DUMMYFUNCTION("""COMPUTED_VALUE"""),26.400000000000002)</f>
        <v>26.4</v>
      </c>
      <c r="BF1055" s="71">
        <f>IFERROR(__xludf.DUMMYFUNCTION("""COMPUTED_VALUE"""),191.4)</f>
        <v>191.4</v>
      </c>
      <c r="BG1055" s="71">
        <f>IFERROR(__xludf.DUMMYFUNCTION("""COMPUTED_VALUE"""),0.050955414012738856)</f>
        <v>0.05095541401</v>
      </c>
      <c r="BH1055" s="71">
        <f>IFERROR(__xludf.DUMMYFUNCTION("""COMPUTED_VALUE"""),156.75)</f>
        <v>156.75</v>
      </c>
      <c r="BI1055" s="71">
        <f>IFERROR(__xludf.DUMMYFUNCTION("""COMPUTED_VALUE"""),25.080000000000002)</f>
        <v>25.08</v>
      </c>
      <c r="BJ1055" s="71">
        <f>IFERROR(__xludf.DUMMYFUNCTION("""COMPUTED_VALUE"""),181.83)</f>
        <v>181.83</v>
      </c>
      <c r="BK1055" s="71">
        <f>IFERROR(__xludf.DUMMYFUNCTION("""COMPUTED_VALUE"""),148.5)</f>
        <v>148.5</v>
      </c>
      <c r="BL1055" s="71">
        <f>IFERROR(__xludf.DUMMYFUNCTION("""COMPUTED_VALUE"""),23.76)</f>
        <v>23.76</v>
      </c>
      <c r="BM1055" s="71">
        <f>IFERROR(__xludf.DUMMYFUNCTION("""COMPUTED_VALUE"""),172.26)</f>
        <v>172.26</v>
      </c>
      <c r="BN1055" s="71">
        <f>IFERROR(__xludf.DUMMYFUNCTION("""COMPUTED_VALUE"""),148.5)</f>
        <v>148.5</v>
      </c>
      <c r="BO1055" s="71">
        <f>IFERROR(__xludf.DUMMYFUNCTION("""COMPUTED_VALUE"""),23.76)</f>
        <v>23.76</v>
      </c>
      <c r="BP1055" s="71">
        <f>IFERROR(__xludf.DUMMYFUNCTION("""COMPUTED_VALUE"""),172.26)</f>
        <v>172.26</v>
      </c>
      <c r="BQ1055" s="71">
        <f>IFERROR(__xludf.DUMMYFUNCTION("""COMPUTED_VALUE"""),148.5)</f>
        <v>148.5</v>
      </c>
      <c r="BR1055" s="71">
        <f>IFERROR(__xludf.DUMMYFUNCTION("""COMPUTED_VALUE"""),23.76)</f>
        <v>23.76</v>
      </c>
      <c r="BS1055" s="71">
        <f>IFERROR(__xludf.DUMMYFUNCTION("""COMPUTED_VALUE"""),172.26)</f>
        <v>172.26</v>
      </c>
      <c r="BT1055" s="71">
        <f>IFERROR(__xludf.DUMMYFUNCTION("""COMPUTED_VALUE"""),148.5)</f>
        <v>148.5</v>
      </c>
      <c r="BU1055" s="71">
        <f>IFERROR(__xludf.DUMMYFUNCTION("""COMPUTED_VALUE"""),23.76)</f>
        <v>23.76</v>
      </c>
      <c r="BV1055" s="71">
        <f>IFERROR(__xludf.DUMMYFUNCTION("""COMPUTED_VALUE"""),172.26)</f>
        <v>172.26</v>
      </c>
    </row>
    <row r="1056">
      <c r="A1056" s="53">
        <v>1.0</v>
      </c>
      <c r="B1056" s="72"/>
      <c r="C1056" s="120" t="s">
        <v>53</v>
      </c>
      <c r="D1056" s="74" t="s">
        <v>2571</v>
      </c>
      <c r="E1056" s="54" t="s">
        <v>38</v>
      </c>
      <c r="F1056" s="54" t="s">
        <v>42</v>
      </c>
      <c r="G1056" s="54" t="s">
        <v>2572</v>
      </c>
      <c r="H1056" s="54" t="s">
        <v>2573</v>
      </c>
      <c r="I1056" s="54">
        <f t="shared" si="24"/>
        <v>40</v>
      </c>
      <c r="J1056" s="56"/>
      <c r="K1056" s="75"/>
      <c r="L1056" s="76"/>
      <c r="M1056" s="59"/>
      <c r="N1056" s="60">
        <v>832.0</v>
      </c>
      <c r="O1056" s="61">
        <v>898.0</v>
      </c>
      <c r="P1056" s="62">
        <v>969.84</v>
      </c>
      <c r="Q1056" s="63">
        <v>969.84</v>
      </c>
      <c r="R1056" s="64">
        <v>1176.0</v>
      </c>
      <c r="S1056" s="111">
        <v>1235.0</v>
      </c>
      <c r="T1056" s="65">
        <f t="shared" si="34"/>
        <v>197.6</v>
      </c>
      <c r="U1056" s="65">
        <f t="shared" si="35"/>
        <v>1432.6</v>
      </c>
      <c r="V1056" s="66">
        <f t="shared" si="36"/>
        <v>0.05017006803</v>
      </c>
      <c r="W1056" s="67">
        <f t="shared" si="5"/>
        <v>1173.25</v>
      </c>
      <c r="X1056" s="67">
        <f t="shared" si="6"/>
        <v>187.72</v>
      </c>
      <c r="Y1056" s="67">
        <f t="shared" si="7"/>
        <v>1360.97</v>
      </c>
      <c r="Z1056" s="67">
        <f t="shared" si="8"/>
        <v>1111.5</v>
      </c>
      <c r="AA1056" s="67">
        <f t="shared" si="9"/>
        <v>177.84</v>
      </c>
      <c r="AB1056" s="67">
        <f t="shared" si="10"/>
        <v>1289.34</v>
      </c>
      <c r="AC1056" s="67">
        <f t="shared" si="11"/>
        <v>1049.75</v>
      </c>
      <c r="AD1056" s="67">
        <f t="shared" si="12"/>
        <v>167.96</v>
      </c>
      <c r="AE1056" s="67">
        <f t="shared" si="13"/>
        <v>1217.71</v>
      </c>
      <c r="AF1056" s="67">
        <f t="shared" si="33"/>
        <v>1025.05</v>
      </c>
      <c r="AG1056" s="67">
        <f t="shared" si="15"/>
        <v>164.008</v>
      </c>
      <c r="AH1056" s="67">
        <f t="shared" si="16"/>
        <v>1189.058</v>
      </c>
      <c r="AI1056" s="67">
        <f t="shared" si="17"/>
        <v>988</v>
      </c>
      <c r="AJ1056" s="68">
        <f t="shared" si="37"/>
        <v>158.08</v>
      </c>
      <c r="AK1056" s="68">
        <f t="shared" si="38"/>
        <v>1146.08</v>
      </c>
      <c r="AL1056" s="70">
        <f>IFERROR(__xludf.DUMMYFUNCTION("""COMPUTED_VALUE"""),1.0)</f>
        <v>1</v>
      </c>
      <c r="AM1056" s="70"/>
      <c r="AN1056" s="71" t="str">
        <f>IFERROR(__xludf.DUMMYFUNCTION("""COMPUTED_VALUE""")," C")</f>
        <v>C</v>
      </c>
      <c r="AO1056" s="71" t="str">
        <f>IFERROR(__xludf.DUMMYFUNCTION("""COMPUTED_VALUE""")," RN02")</f>
        <v>RN02</v>
      </c>
      <c r="AP1056" s="71" t="str">
        <f>IFERROR(__xludf.DUMMYFUNCTION("""COMPUTED_VALUE""")," PZA")</f>
        <v>PZA</v>
      </c>
      <c r="AQ1056" s="71" t="str">
        <f>IFERROR(__xludf.DUMMYFUNCTION("""COMPUTED_VALUE""")," REF")</f>
        <v>REF</v>
      </c>
      <c r="AR1056" s="71" t="str">
        <f>IFERROR(__xludf.DUMMYFUNCTION("""COMPUTED_VALUE""")," RETEN 9966 CENTRAL")</f>
        <v>RETEN 9966 CENTRAL</v>
      </c>
      <c r="AS1056" s="71" t="str">
        <f>IFERROR(__xludf.DUMMYFUNCTION("""COMPUTED_VALUE""")," RETEN 9966 CENTRAL")</f>
        <v>RETEN 9966 CENTRAL</v>
      </c>
      <c r="AT1056" s="71">
        <f>IFERROR(__xludf.DUMMYFUNCTION("""COMPUTED_VALUE"""),18.0)</f>
        <v>18</v>
      </c>
      <c r="AU1056" s="71"/>
      <c r="AV1056" s="71"/>
      <c r="AW1056" s="71"/>
      <c r="AX1056" s="71"/>
      <c r="AY1056" s="71">
        <f>IFERROR(__xludf.DUMMYFUNCTION("""COMPUTED_VALUE"""),42.0)</f>
        <v>42</v>
      </c>
      <c r="AZ1056" s="71">
        <f>IFERROR(__xludf.DUMMYFUNCTION("""COMPUTED_VALUE"""),50.0)</f>
        <v>50</v>
      </c>
      <c r="BA1056" s="71">
        <f>IFERROR(__xludf.DUMMYFUNCTION("""COMPUTED_VALUE"""),54.0)</f>
        <v>54</v>
      </c>
      <c r="BB1056" s="71">
        <f>IFERROR(__xludf.DUMMYFUNCTION("""COMPUTED_VALUE"""),54.0)</f>
        <v>54</v>
      </c>
      <c r="BC1056" s="71">
        <f>IFERROR(__xludf.DUMMYFUNCTION("""COMPUTED_VALUE"""),61.0)</f>
        <v>61</v>
      </c>
      <c r="BD1056" s="71">
        <f>IFERROR(__xludf.DUMMYFUNCTION("""COMPUTED_VALUE"""),64.0)</f>
        <v>64</v>
      </c>
      <c r="BE1056" s="71">
        <f>IFERROR(__xludf.DUMMYFUNCTION("""COMPUTED_VALUE"""),10.24)</f>
        <v>10.24</v>
      </c>
      <c r="BF1056" s="71">
        <f>IFERROR(__xludf.DUMMYFUNCTION("""COMPUTED_VALUE"""),74.24)</f>
        <v>74.24</v>
      </c>
      <c r="BG1056" s="71">
        <f>IFERROR(__xludf.DUMMYFUNCTION("""COMPUTED_VALUE"""),0.04918032786885246)</f>
        <v>0.04918032787</v>
      </c>
      <c r="BH1056" s="71">
        <f>IFERROR(__xludf.DUMMYFUNCTION("""COMPUTED_VALUE"""),60.8)</f>
        <v>60.8</v>
      </c>
      <c r="BI1056" s="71">
        <f>IFERROR(__xludf.DUMMYFUNCTION("""COMPUTED_VALUE"""),9.728)</f>
        <v>9.728</v>
      </c>
      <c r="BJ1056" s="71">
        <f>IFERROR(__xludf.DUMMYFUNCTION("""COMPUTED_VALUE"""),70.52799999999999)</f>
        <v>70.528</v>
      </c>
      <c r="BK1056" s="71">
        <f>IFERROR(__xludf.DUMMYFUNCTION("""COMPUTED_VALUE"""),57.6)</f>
        <v>57.6</v>
      </c>
      <c r="BL1056" s="71">
        <f>IFERROR(__xludf.DUMMYFUNCTION("""COMPUTED_VALUE"""),9.216000000000001)</f>
        <v>9.216</v>
      </c>
      <c r="BM1056" s="71">
        <f>IFERROR(__xludf.DUMMYFUNCTION("""COMPUTED_VALUE"""),66.816)</f>
        <v>66.816</v>
      </c>
      <c r="BN1056" s="71">
        <f>IFERROR(__xludf.DUMMYFUNCTION("""COMPUTED_VALUE"""),54.4)</f>
        <v>54.4</v>
      </c>
      <c r="BO1056" s="71">
        <f>IFERROR(__xludf.DUMMYFUNCTION("""COMPUTED_VALUE"""),8.704)</f>
        <v>8.704</v>
      </c>
      <c r="BP1056" s="71">
        <f>IFERROR(__xludf.DUMMYFUNCTION("""COMPUTED_VALUE"""),63.104)</f>
        <v>63.104</v>
      </c>
      <c r="BQ1056" s="71">
        <f>IFERROR(__xludf.DUMMYFUNCTION("""COMPUTED_VALUE"""),53.12)</f>
        <v>53.12</v>
      </c>
      <c r="BR1056" s="71">
        <f>IFERROR(__xludf.DUMMYFUNCTION("""COMPUTED_VALUE"""),8.4992)</f>
        <v>8.4992</v>
      </c>
      <c r="BS1056" s="71">
        <f>IFERROR(__xludf.DUMMYFUNCTION("""COMPUTED_VALUE"""),61.6192)</f>
        <v>61.6192</v>
      </c>
      <c r="BT1056" s="71">
        <f>IFERROR(__xludf.DUMMYFUNCTION("""COMPUTED_VALUE"""),51.2)</f>
        <v>51.2</v>
      </c>
      <c r="BU1056" s="71">
        <f>IFERROR(__xludf.DUMMYFUNCTION("""COMPUTED_VALUE"""),8.192)</f>
        <v>8.192</v>
      </c>
      <c r="BV1056" s="71">
        <f>IFERROR(__xludf.DUMMYFUNCTION("""COMPUTED_VALUE"""),59.392)</f>
        <v>59.392</v>
      </c>
    </row>
    <row r="1057">
      <c r="A1057" s="53"/>
      <c r="B1057" s="53"/>
      <c r="C1057" s="73" t="s">
        <v>53</v>
      </c>
      <c r="D1057" s="53" t="s">
        <v>2574</v>
      </c>
      <c r="E1057" s="54" t="s">
        <v>38</v>
      </c>
      <c r="F1057" s="55" t="s">
        <v>309</v>
      </c>
      <c r="G1057" s="54" t="s">
        <v>2572</v>
      </c>
      <c r="H1057" s="54" t="s">
        <v>2575</v>
      </c>
      <c r="I1057" s="54">
        <f t="shared" si="24"/>
        <v>40</v>
      </c>
      <c r="J1057" s="56"/>
      <c r="K1057" s="57"/>
      <c r="L1057" s="76"/>
      <c r="M1057" s="59"/>
      <c r="N1057" s="60"/>
      <c r="O1057" s="90">
        <v>898.0</v>
      </c>
      <c r="P1057" s="62">
        <v>969.84</v>
      </c>
      <c r="Q1057" s="63">
        <v>969.84</v>
      </c>
      <c r="R1057" s="64">
        <v>1176.0</v>
      </c>
      <c r="S1057" s="111">
        <v>1235.0</v>
      </c>
      <c r="T1057" s="65">
        <f t="shared" si="34"/>
        <v>197.6</v>
      </c>
      <c r="U1057" s="65">
        <f t="shared" si="35"/>
        <v>1432.6</v>
      </c>
      <c r="V1057" s="66">
        <f t="shared" si="36"/>
        <v>0.05017006803</v>
      </c>
      <c r="W1057" s="67">
        <f t="shared" si="5"/>
        <v>1173.25</v>
      </c>
      <c r="X1057" s="67">
        <f t="shared" si="6"/>
        <v>187.72</v>
      </c>
      <c r="Y1057" s="67">
        <f t="shared" si="7"/>
        <v>1360.97</v>
      </c>
      <c r="Z1057" s="67">
        <f t="shared" si="8"/>
        <v>1111.5</v>
      </c>
      <c r="AA1057" s="67">
        <f t="shared" si="9"/>
        <v>177.84</v>
      </c>
      <c r="AB1057" s="67">
        <f t="shared" si="10"/>
        <v>1289.34</v>
      </c>
      <c r="AC1057" s="67">
        <f t="shared" si="11"/>
        <v>1049.75</v>
      </c>
      <c r="AD1057" s="67">
        <f t="shared" si="12"/>
        <v>167.96</v>
      </c>
      <c r="AE1057" s="67">
        <f t="shared" si="13"/>
        <v>1217.71</v>
      </c>
      <c r="AF1057" s="67">
        <f t="shared" si="33"/>
        <v>1025.05</v>
      </c>
      <c r="AG1057" s="67">
        <f t="shared" si="15"/>
        <v>164.008</v>
      </c>
      <c r="AH1057" s="67">
        <f t="shared" si="16"/>
        <v>1189.058</v>
      </c>
      <c r="AI1057" s="67">
        <f t="shared" si="17"/>
        <v>988</v>
      </c>
      <c r="AJ1057" s="68">
        <f t="shared" si="37"/>
        <v>158.08</v>
      </c>
      <c r="AK1057" s="68">
        <f t="shared" si="38"/>
        <v>1146.08</v>
      </c>
      <c r="AL1057" s="70">
        <f>IFERROR(__xludf.DUMMYFUNCTION("""COMPUTED_VALUE"""),1.0)</f>
        <v>1</v>
      </c>
      <c r="AM1057" s="70">
        <f>IFERROR(__xludf.DUMMYFUNCTION("""COMPUTED_VALUE"""),3.0)</f>
        <v>3</v>
      </c>
      <c r="AN1057" s="71" t="str">
        <f>IFERROR(__xludf.DUMMYFUNCTION("""COMPUTED_VALUE""")," C")</f>
        <v>C</v>
      </c>
      <c r="AO1057" s="71" t="str">
        <f>IFERROR(__xludf.DUMMYFUNCTION("""COMPUTED_VALUE""")," RN16")</f>
        <v>RN16</v>
      </c>
      <c r="AP1057" s="71" t="str">
        <f>IFERROR(__xludf.DUMMYFUNCTION("""COMPUTED_VALUE""")," PZA")</f>
        <v>PZA</v>
      </c>
      <c r="AQ1057" s="71" t="str">
        <f>IFERROR(__xludf.DUMMYFUNCTION("""COMPUTED_VALUE""")," REF")</f>
        <v>REF</v>
      </c>
      <c r="AR1057" s="71" t="str">
        <f>IFERROR(__xludf.DUMMYFUNCTION("""COMPUTED_VALUE""")," RETEN 9966 CENTRAL CR")</f>
        <v>RETEN 9966 CENTRAL CR</v>
      </c>
      <c r="AS1057" s="71" t="str">
        <f>IFERROR(__xludf.DUMMYFUNCTION("""COMPUTED_VALUE""")," RETEN 9966 CENTRAL CR")</f>
        <v>RETEN 9966 CENTRAL CR</v>
      </c>
      <c r="AT1057" s="71">
        <f>IFERROR(__xludf.DUMMYFUNCTION("""COMPUTED_VALUE"""),21.0)</f>
        <v>21</v>
      </c>
      <c r="AU1057" s="71"/>
      <c r="AV1057" s="71"/>
      <c r="AW1057" s="71"/>
      <c r="AX1057" s="71"/>
      <c r="AY1057" s="71"/>
      <c r="AZ1057" s="71"/>
      <c r="BA1057" s="71">
        <f>IFERROR(__xludf.DUMMYFUNCTION("""COMPUTED_VALUE"""),149.0)</f>
        <v>149</v>
      </c>
      <c r="BB1057" s="71">
        <f>IFERROR(__xludf.DUMMYFUNCTION("""COMPUTED_VALUE"""),149.0)</f>
        <v>149</v>
      </c>
      <c r="BC1057" s="71">
        <f>IFERROR(__xludf.DUMMYFUNCTION("""COMPUTED_VALUE"""),157.0)</f>
        <v>157</v>
      </c>
      <c r="BD1057" s="71">
        <f>IFERROR(__xludf.DUMMYFUNCTION("""COMPUTED_VALUE"""),165.0)</f>
        <v>165</v>
      </c>
      <c r="BE1057" s="71">
        <f>IFERROR(__xludf.DUMMYFUNCTION("""COMPUTED_VALUE"""),26.400000000000002)</f>
        <v>26.4</v>
      </c>
      <c r="BF1057" s="71">
        <f>IFERROR(__xludf.DUMMYFUNCTION("""COMPUTED_VALUE"""),191.4)</f>
        <v>191.4</v>
      </c>
      <c r="BG1057" s="71">
        <f>IFERROR(__xludf.DUMMYFUNCTION("""COMPUTED_VALUE"""),0.050955414012738856)</f>
        <v>0.05095541401</v>
      </c>
      <c r="BH1057" s="71">
        <f>IFERROR(__xludf.DUMMYFUNCTION("""COMPUTED_VALUE"""),156.75)</f>
        <v>156.75</v>
      </c>
      <c r="BI1057" s="71">
        <f>IFERROR(__xludf.DUMMYFUNCTION("""COMPUTED_VALUE"""),25.080000000000002)</f>
        <v>25.08</v>
      </c>
      <c r="BJ1057" s="71">
        <f>IFERROR(__xludf.DUMMYFUNCTION("""COMPUTED_VALUE"""),181.83)</f>
        <v>181.83</v>
      </c>
      <c r="BK1057" s="71">
        <f>IFERROR(__xludf.DUMMYFUNCTION("""COMPUTED_VALUE"""),148.5)</f>
        <v>148.5</v>
      </c>
      <c r="BL1057" s="71">
        <f>IFERROR(__xludf.DUMMYFUNCTION("""COMPUTED_VALUE"""),23.76)</f>
        <v>23.76</v>
      </c>
      <c r="BM1057" s="71">
        <f>IFERROR(__xludf.DUMMYFUNCTION("""COMPUTED_VALUE"""),172.26)</f>
        <v>172.26</v>
      </c>
      <c r="BN1057" s="71">
        <f>IFERROR(__xludf.DUMMYFUNCTION("""COMPUTED_VALUE"""),148.5)</f>
        <v>148.5</v>
      </c>
      <c r="BO1057" s="71">
        <f>IFERROR(__xludf.DUMMYFUNCTION("""COMPUTED_VALUE"""),23.76)</f>
        <v>23.76</v>
      </c>
      <c r="BP1057" s="71">
        <f>IFERROR(__xludf.DUMMYFUNCTION("""COMPUTED_VALUE"""),172.26)</f>
        <v>172.26</v>
      </c>
      <c r="BQ1057" s="71">
        <f>IFERROR(__xludf.DUMMYFUNCTION("""COMPUTED_VALUE"""),148.5)</f>
        <v>148.5</v>
      </c>
      <c r="BR1057" s="71">
        <f>IFERROR(__xludf.DUMMYFUNCTION("""COMPUTED_VALUE"""),23.76)</f>
        <v>23.76</v>
      </c>
      <c r="BS1057" s="71">
        <f>IFERROR(__xludf.DUMMYFUNCTION("""COMPUTED_VALUE"""),172.26)</f>
        <v>172.26</v>
      </c>
      <c r="BT1057" s="71">
        <f>IFERROR(__xludf.DUMMYFUNCTION("""COMPUTED_VALUE"""),148.5)</f>
        <v>148.5</v>
      </c>
      <c r="BU1057" s="71">
        <f>IFERROR(__xludf.DUMMYFUNCTION("""COMPUTED_VALUE"""),23.76)</f>
        <v>23.76</v>
      </c>
      <c r="BV1057" s="71">
        <f>IFERROR(__xludf.DUMMYFUNCTION("""COMPUTED_VALUE"""),172.26)</f>
        <v>172.26</v>
      </c>
    </row>
    <row r="1058">
      <c r="A1058" s="53">
        <v>1.0</v>
      </c>
      <c r="B1058" s="72"/>
      <c r="C1058" s="120" t="s">
        <v>53</v>
      </c>
      <c r="D1058" s="74" t="s">
        <v>2576</v>
      </c>
      <c r="E1058" s="54" t="s">
        <v>38</v>
      </c>
      <c r="F1058" s="54" t="s">
        <v>42</v>
      </c>
      <c r="G1058" s="54" t="s">
        <v>2577</v>
      </c>
      <c r="H1058" s="54" t="s">
        <v>2578</v>
      </c>
      <c r="I1058" s="54">
        <f t="shared" si="24"/>
        <v>36</v>
      </c>
      <c r="J1058" s="56"/>
      <c r="K1058" s="75"/>
      <c r="L1058" s="76"/>
      <c r="M1058" s="59"/>
      <c r="N1058" s="60">
        <v>744.0</v>
      </c>
      <c r="O1058" s="61">
        <v>803.0</v>
      </c>
      <c r="P1058" s="62">
        <v>867.24</v>
      </c>
      <c r="Q1058" s="63">
        <v>867.24</v>
      </c>
      <c r="R1058" s="64">
        <v>1040.0</v>
      </c>
      <c r="S1058" s="111">
        <v>1092.0</v>
      </c>
      <c r="T1058" s="65">
        <f t="shared" si="34"/>
        <v>174.72</v>
      </c>
      <c r="U1058" s="65">
        <f t="shared" si="35"/>
        <v>1266.72</v>
      </c>
      <c r="V1058" s="66">
        <f t="shared" si="36"/>
        <v>0.05</v>
      </c>
      <c r="W1058" s="67">
        <f t="shared" si="5"/>
        <v>1037.4</v>
      </c>
      <c r="X1058" s="67">
        <f t="shared" si="6"/>
        <v>165.984</v>
      </c>
      <c r="Y1058" s="67">
        <f t="shared" si="7"/>
        <v>1203.384</v>
      </c>
      <c r="Z1058" s="67">
        <f t="shared" si="8"/>
        <v>982.8</v>
      </c>
      <c r="AA1058" s="67">
        <f t="shared" si="9"/>
        <v>157.248</v>
      </c>
      <c r="AB1058" s="67">
        <f t="shared" si="10"/>
        <v>1140.048</v>
      </c>
      <c r="AC1058" s="67">
        <f t="shared" si="11"/>
        <v>928.2</v>
      </c>
      <c r="AD1058" s="67">
        <f t="shared" si="12"/>
        <v>148.512</v>
      </c>
      <c r="AE1058" s="67">
        <f t="shared" si="13"/>
        <v>1076.712</v>
      </c>
      <c r="AF1058" s="67">
        <f t="shared" si="33"/>
        <v>906.36</v>
      </c>
      <c r="AG1058" s="67">
        <f t="shared" si="15"/>
        <v>145.0176</v>
      </c>
      <c r="AH1058" s="67">
        <f t="shared" si="16"/>
        <v>1051.3776</v>
      </c>
      <c r="AI1058" s="67">
        <f t="shared" si="17"/>
        <v>873.6</v>
      </c>
      <c r="AJ1058" s="68">
        <f t="shared" si="37"/>
        <v>139.776</v>
      </c>
      <c r="AK1058" s="68">
        <f t="shared" si="38"/>
        <v>1013.376</v>
      </c>
      <c r="AL1058" s="70">
        <f>IFERROR(__xludf.DUMMYFUNCTION("""COMPUTED_VALUE"""),1.0)</f>
        <v>1</v>
      </c>
      <c r="AM1058" s="70"/>
      <c r="AN1058" s="71" t="str">
        <f>IFERROR(__xludf.DUMMYFUNCTION("""COMPUTED_VALUE""")," P")</f>
        <v>P</v>
      </c>
      <c r="AO1058" s="71" t="str">
        <f>IFERROR(__xludf.DUMMYFUNCTION("""COMPUTED_VALUE""")," RJ02")</f>
        <v>RJ02</v>
      </c>
      <c r="AP1058" s="71" t="str">
        <f>IFERROR(__xludf.DUMMYFUNCTION("""COMPUTED_VALUE""")," PZA")</f>
        <v>PZA</v>
      </c>
      <c r="AQ1058" s="71" t="str">
        <f>IFERROR(__xludf.DUMMYFUNCTION("""COMPUTED_VALUE""")," REF")</f>
        <v>REF</v>
      </c>
      <c r="AR1058" s="71" t="str">
        <f>IFERROR(__xludf.DUMMYFUNCTION("""COMPUTED_VALUE""")," RODAJA DE COLD ROLLED LARGAS TV-50 (B.C.)")</f>
        <v>RODAJA DE COLD ROLLED LARGAS TV-50 (B.C.)</v>
      </c>
      <c r="AS1058" s="71" t="str">
        <f>IFERROR(__xludf.DUMMYFUNCTION("""COMPUTED_VALUE""")," RODAJA DE COLD ROLLED LARGAS TV-50 BC")</f>
        <v>RODAJA DE COLD ROLLED LARGAS TV-50 BC</v>
      </c>
      <c r="AT1058" s="71">
        <f>IFERROR(__xludf.DUMMYFUNCTION("""COMPUTED_VALUE"""),37.0)</f>
        <v>37</v>
      </c>
      <c r="AU1058" s="71"/>
      <c r="AV1058" s="71"/>
      <c r="AW1058" s="71"/>
      <c r="AX1058" s="71"/>
      <c r="AY1058" s="71">
        <f>IFERROR(__xludf.DUMMYFUNCTION("""COMPUTED_VALUE"""),78.0)</f>
        <v>78</v>
      </c>
      <c r="AZ1058" s="71">
        <f>IFERROR(__xludf.DUMMYFUNCTION("""COMPUTED_VALUE"""),84.0)</f>
        <v>84</v>
      </c>
      <c r="BA1058" s="71">
        <f>IFERROR(__xludf.DUMMYFUNCTION("""COMPUTED_VALUE"""),90.72)</f>
        <v>90.72</v>
      </c>
      <c r="BB1058" s="71">
        <f>IFERROR(__xludf.DUMMYFUNCTION("""COMPUTED_VALUE"""),90.72)</f>
        <v>90.72</v>
      </c>
      <c r="BC1058" s="71">
        <f>IFERROR(__xludf.DUMMYFUNCTION("""COMPUTED_VALUE"""),102.0)</f>
        <v>102</v>
      </c>
      <c r="BD1058" s="71">
        <f>IFERROR(__xludf.DUMMYFUNCTION("""COMPUTED_VALUE"""),107.0)</f>
        <v>107</v>
      </c>
      <c r="BE1058" s="71">
        <f>IFERROR(__xludf.DUMMYFUNCTION("""COMPUTED_VALUE"""),17.12)</f>
        <v>17.12</v>
      </c>
      <c r="BF1058" s="71">
        <f>IFERROR(__xludf.DUMMYFUNCTION("""COMPUTED_VALUE"""),124.12)</f>
        <v>124.12</v>
      </c>
      <c r="BG1058" s="71">
        <f>IFERROR(__xludf.DUMMYFUNCTION("""COMPUTED_VALUE"""),0.049019607843137254)</f>
        <v>0.04901960784</v>
      </c>
      <c r="BH1058" s="71">
        <f>IFERROR(__xludf.DUMMYFUNCTION("""COMPUTED_VALUE"""),101.64999999999999)</f>
        <v>101.65</v>
      </c>
      <c r="BI1058" s="71">
        <f>IFERROR(__xludf.DUMMYFUNCTION("""COMPUTED_VALUE"""),16.264)</f>
        <v>16.264</v>
      </c>
      <c r="BJ1058" s="71">
        <f>IFERROR(__xludf.DUMMYFUNCTION("""COMPUTED_VALUE"""),117.91399999999999)</f>
        <v>117.914</v>
      </c>
      <c r="BK1058" s="71">
        <f>IFERROR(__xludf.DUMMYFUNCTION("""COMPUTED_VALUE"""),96.3)</f>
        <v>96.3</v>
      </c>
      <c r="BL1058" s="71">
        <f>IFERROR(__xludf.DUMMYFUNCTION("""COMPUTED_VALUE"""),15.408)</f>
        <v>15.408</v>
      </c>
      <c r="BM1058" s="71">
        <f>IFERROR(__xludf.DUMMYFUNCTION("""COMPUTED_VALUE"""),111.708)</f>
        <v>111.708</v>
      </c>
      <c r="BN1058" s="71">
        <f>IFERROR(__xludf.DUMMYFUNCTION("""COMPUTED_VALUE"""),90.95)</f>
        <v>90.95</v>
      </c>
      <c r="BO1058" s="71">
        <f>IFERROR(__xludf.DUMMYFUNCTION("""COMPUTED_VALUE"""),14.552000000000001)</f>
        <v>14.552</v>
      </c>
      <c r="BP1058" s="71">
        <f>IFERROR(__xludf.DUMMYFUNCTION("""COMPUTED_VALUE"""),105.50200000000001)</f>
        <v>105.502</v>
      </c>
      <c r="BQ1058" s="71">
        <f>IFERROR(__xludf.DUMMYFUNCTION("""COMPUTED_VALUE"""),88.81)</f>
        <v>88.81</v>
      </c>
      <c r="BR1058" s="71">
        <f>IFERROR(__xludf.DUMMYFUNCTION("""COMPUTED_VALUE"""),14.2096)</f>
        <v>14.2096</v>
      </c>
      <c r="BS1058" s="71">
        <f>IFERROR(__xludf.DUMMYFUNCTION("""COMPUTED_VALUE"""),103.0196)</f>
        <v>103.0196</v>
      </c>
      <c r="BT1058" s="71">
        <f>IFERROR(__xludf.DUMMYFUNCTION("""COMPUTED_VALUE"""),85.60000000000001)</f>
        <v>85.6</v>
      </c>
      <c r="BU1058" s="71">
        <f>IFERROR(__xludf.DUMMYFUNCTION("""COMPUTED_VALUE"""),13.696000000000002)</f>
        <v>13.696</v>
      </c>
      <c r="BV1058" s="71">
        <f>IFERROR(__xludf.DUMMYFUNCTION("""COMPUTED_VALUE"""),99.296)</f>
        <v>99.296</v>
      </c>
    </row>
    <row r="1059">
      <c r="A1059" s="53"/>
      <c r="B1059" s="53"/>
      <c r="C1059" s="53" t="s">
        <v>53</v>
      </c>
      <c r="D1059" s="53" t="s">
        <v>2579</v>
      </c>
      <c r="E1059" s="54" t="s">
        <v>38</v>
      </c>
      <c r="F1059" s="54" t="s">
        <v>42</v>
      </c>
      <c r="G1059" s="55" t="s">
        <v>2580</v>
      </c>
      <c r="H1059" s="54" t="s">
        <v>2581</v>
      </c>
      <c r="I1059" s="54">
        <f t="shared" si="24"/>
        <v>24</v>
      </c>
      <c r="J1059" s="56"/>
      <c r="K1059" s="75"/>
      <c r="L1059" s="76"/>
      <c r="M1059" s="59"/>
      <c r="N1059" s="79">
        <v>1513.0</v>
      </c>
      <c r="O1059" s="61">
        <v>1634.0</v>
      </c>
      <c r="P1059" s="63">
        <v>1764.72</v>
      </c>
      <c r="Q1059" s="63">
        <v>1764.72</v>
      </c>
      <c r="R1059" s="64">
        <v>1854.0</v>
      </c>
      <c r="S1059" s="111">
        <v>1947.0</v>
      </c>
      <c r="T1059" s="65">
        <f t="shared" si="34"/>
        <v>311.52</v>
      </c>
      <c r="U1059" s="65">
        <f t="shared" si="35"/>
        <v>2258.52</v>
      </c>
      <c r="V1059" s="66">
        <f t="shared" si="36"/>
        <v>0.0501618123</v>
      </c>
      <c r="W1059" s="67">
        <f t="shared" si="5"/>
        <v>1849.65</v>
      </c>
      <c r="X1059" s="67">
        <f t="shared" si="6"/>
        <v>295.944</v>
      </c>
      <c r="Y1059" s="67">
        <f t="shared" si="7"/>
        <v>2145.594</v>
      </c>
      <c r="Z1059" s="67">
        <f t="shared" si="8"/>
        <v>1752.3</v>
      </c>
      <c r="AA1059" s="67">
        <f t="shared" si="9"/>
        <v>280.368</v>
      </c>
      <c r="AB1059" s="67">
        <f t="shared" si="10"/>
        <v>2032.668</v>
      </c>
      <c r="AC1059" s="67">
        <f t="shared" si="11"/>
        <v>1654.95</v>
      </c>
      <c r="AD1059" s="67">
        <f t="shared" si="12"/>
        <v>264.792</v>
      </c>
      <c r="AE1059" s="67">
        <f t="shared" si="13"/>
        <v>1919.742</v>
      </c>
      <c r="AF1059" s="67">
        <f t="shared" si="33"/>
        <v>1616.01</v>
      </c>
      <c r="AG1059" s="67">
        <f t="shared" si="15"/>
        <v>258.5616</v>
      </c>
      <c r="AH1059" s="67">
        <f t="shared" si="16"/>
        <v>1874.5716</v>
      </c>
      <c r="AI1059" s="67">
        <f t="shared" si="17"/>
        <v>1557.6</v>
      </c>
      <c r="AJ1059" s="68">
        <f t="shared" si="37"/>
        <v>249.216</v>
      </c>
      <c r="AK1059" s="68">
        <f t="shared" si="38"/>
        <v>1806.816</v>
      </c>
      <c r="AL1059" s="70">
        <f>IFERROR(__xludf.DUMMYFUNCTION("""COMPUTED_VALUE"""),1.0)</f>
        <v>1</v>
      </c>
      <c r="AM1059" s="70"/>
      <c r="AN1059" s="71" t="str">
        <f>IFERROR(__xludf.DUMMYFUNCTION("""COMPUTED_VALUE""")," P")</f>
        <v>P</v>
      </c>
      <c r="AO1059" s="71" t="str">
        <f>IFERROR(__xludf.DUMMYFUNCTION("""COMPUTED_VALUE""")," RJ03")</f>
        <v>RJ03</v>
      </c>
      <c r="AP1059" s="71" t="str">
        <f>IFERROR(__xludf.DUMMYFUNCTION("""COMPUTED_VALUE""")," PZA")</f>
        <v>PZA</v>
      </c>
      <c r="AQ1059" s="71" t="str">
        <f>IFERROR(__xludf.DUMMYFUNCTION("""COMPUTED_VALUE""")," REF")</f>
        <v>REF</v>
      </c>
      <c r="AR1059" s="71" t="str">
        <f>IFERROR(__xludf.DUMMYFUNCTION("""COMPUTED_VALUE""")," RODAJA DE COLD ROLLED MODELO ANTERIOR")</f>
        <v>RODAJA DE COLD ROLLED MODELO ANTERIOR</v>
      </c>
      <c r="AS1059" s="71" t="str">
        <f>IFERROR(__xludf.DUMMYFUNCTION("""COMPUTED_VALUE""")," RODAJA DE COLD ROLLED MODELO ANTERIOR")</f>
        <v>RODAJA DE COLD ROLLED MODELO ANTERIOR</v>
      </c>
      <c r="AT1059" s="71">
        <f>IFERROR(__xludf.DUMMYFUNCTION("""COMPUTED_VALUE"""),37.0)</f>
        <v>37</v>
      </c>
      <c r="AU1059" s="71"/>
      <c r="AV1059" s="71"/>
      <c r="AW1059" s="71"/>
      <c r="AX1059" s="71"/>
      <c r="AY1059" s="71">
        <f>IFERROR(__xludf.DUMMYFUNCTION("""COMPUTED_VALUE"""),57.0)</f>
        <v>57</v>
      </c>
      <c r="AZ1059" s="71">
        <f>IFERROR(__xludf.DUMMYFUNCTION("""COMPUTED_VALUE"""),61.0)</f>
        <v>61</v>
      </c>
      <c r="BA1059" s="71">
        <f>IFERROR(__xludf.DUMMYFUNCTION("""COMPUTED_VALUE"""),65.88000000000001)</f>
        <v>65.88</v>
      </c>
      <c r="BB1059" s="71">
        <f>IFERROR(__xludf.DUMMYFUNCTION("""COMPUTED_VALUE"""),65.88000000000001)</f>
        <v>65.88</v>
      </c>
      <c r="BC1059" s="71">
        <f>IFERROR(__xludf.DUMMYFUNCTION("""COMPUTED_VALUE"""),74.0)</f>
        <v>74</v>
      </c>
      <c r="BD1059" s="71">
        <f>IFERROR(__xludf.DUMMYFUNCTION("""COMPUTED_VALUE"""),78.0)</f>
        <v>78</v>
      </c>
      <c r="BE1059" s="71">
        <f>IFERROR(__xludf.DUMMYFUNCTION("""COMPUTED_VALUE"""),12.48)</f>
        <v>12.48</v>
      </c>
      <c r="BF1059" s="71">
        <f>IFERROR(__xludf.DUMMYFUNCTION("""COMPUTED_VALUE"""),90.48)</f>
        <v>90.48</v>
      </c>
      <c r="BG1059" s="71">
        <f>IFERROR(__xludf.DUMMYFUNCTION("""COMPUTED_VALUE"""),0.05405405405405406)</f>
        <v>0.05405405405</v>
      </c>
      <c r="BH1059" s="71">
        <f>IFERROR(__xludf.DUMMYFUNCTION("""COMPUTED_VALUE"""),74.1)</f>
        <v>74.1</v>
      </c>
      <c r="BI1059" s="71">
        <f>IFERROR(__xludf.DUMMYFUNCTION("""COMPUTED_VALUE"""),11.856)</f>
        <v>11.856</v>
      </c>
      <c r="BJ1059" s="71">
        <f>IFERROR(__xludf.DUMMYFUNCTION("""COMPUTED_VALUE"""),85.95599999999999)</f>
        <v>85.956</v>
      </c>
      <c r="BK1059" s="71">
        <f>IFERROR(__xludf.DUMMYFUNCTION("""COMPUTED_VALUE"""),70.2)</f>
        <v>70.2</v>
      </c>
      <c r="BL1059" s="71">
        <f>IFERROR(__xludf.DUMMYFUNCTION("""COMPUTED_VALUE"""),11.232000000000001)</f>
        <v>11.232</v>
      </c>
      <c r="BM1059" s="71">
        <f>IFERROR(__xludf.DUMMYFUNCTION("""COMPUTED_VALUE"""),81.432)</f>
        <v>81.432</v>
      </c>
      <c r="BN1059" s="71">
        <f>IFERROR(__xludf.DUMMYFUNCTION("""COMPUTED_VALUE"""),66.3)</f>
        <v>66.3</v>
      </c>
      <c r="BO1059" s="71">
        <f>IFERROR(__xludf.DUMMYFUNCTION("""COMPUTED_VALUE"""),10.608)</f>
        <v>10.608</v>
      </c>
      <c r="BP1059" s="71">
        <f>IFERROR(__xludf.DUMMYFUNCTION("""COMPUTED_VALUE"""),76.908)</f>
        <v>76.908</v>
      </c>
      <c r="BQ1059" s="71">
        <f>IFERROR(__xludf.DUMMYFUNCTION("""COMPUTED_VALUE"""),64.74)</f>
        <v>64.74</v>
      </c>
      <c r="BR1059" s="71">
        <f>IFERROR(__xludf.DUMMYFUNCTION("""COMPUTED_VALUE"""),10.3584)</f>
        <v>10.3584</v>
      </c>
      <c r="BS1059" s="71">
        <f>IFERROR(__xludf.DUMMYFUNCTION("""COMPUTED_VALUE"""),75.0984)</f>
        <v>75.0984</v>
      </c>
      <c r="BT1059" s="71">
        <f>IFERROR(__xludf.DUMMYFUNCTION("""COMPUTED_VALUE"""),62.400000000000006)</f>
        <v>62.4</v>
      </c>
      <c r="BU1059" s="71">
        <f>IFERROR(__xludf.DUMMYFUNCTION("""COMPUTED_VALUE"""),9.984000000000002)</f>
        <v>9.984</v>
      </c>
      <c r="BV1059" s="71">
        <f>IFERROR(__xludf.DUMMYFUNCTION("""COMPUTED_VALUE"""),72.38400000000001)</f>
        <v>72.384</v>
      </c>
    </row>
    <row r="1060">
      <c r="A1060" s="53">
        <v>1.0</v>
      </c>
      <c r="B1060" s="72"/>
      <c r="C1060" s="120" t="s">
        <v>53</v>
      </c>
      <c r="D1060" s="74" t="s">
        <v>2582</v>
      </c>
      <c r="E1060" s="54" t="s">
        <v>38</v>
      </c>
      <c r="F1060" s="54" t="s">
        <v>42</v>
      </c>
      <c r="G1060" s="54" t="s">
        <v>2583</v>
      </c>
      <c r="H1060" s="54" t="s">
        <v>2584</v>
      </c>
      <c r="I1060" s="54">
        <f t="shared" si="24"/>
        <v>39</v>
      </c>
      <c r="J1060" s="56"/>
      <c r="K1060" s="75"/>
      <c r="L1060" s="76"/>
      <c r="M1060" s="59"/>
      <c r="N1060" s="60">
        <v>356.0</v>
      </c>
      <c r="O1060" s="61">
        <v>384.0</v>
      </c>
      <c r="P1060" s="62">
        <v>414.72</v>
      </c>
      <c r="Q1060" s="63">
        <v>414.72</v>
      </c>
      <c r="R1060" s="64">
        <v>480.0</v>
      </c>
      <c r="S1060" s="111">
        <v>504.0</v>
      </c>
      <c r="T1060" s="65">
        <f t="shared" si="34"/>
        <v>80.64</v>
      </c>
      <c r="U1060" s="65">
        <f t="shared" si="35"/>
        <v>584.64</v>
      </c>
      <c r="V1060" s="66">
        <f t="shared" si="36"/>
        <v>0.05</v>
      </c>
      <c r="W1060" s="67">
        <f t="shared" si="5"/>
        <v>478.8</v>
      </c>
      <c r="X1060" s="67">
        <f t="shared" si="6"/>
        <v>76.608</v>
      </c>
      <c r="Y1060" s="67">
        <f t="shared" si="7"/>
        <v>555.408</v>
      </c>
      <c r="Z1060" s="67">
        <f t="shared" si="8"/>
        <v>453.6</v>
      </c>
      <c r="AA1060" s="67">
        <f t="shared" si="9"/>
        <v>72.576</v>
      </c>
      <c r="AB1060" s="67">
        <f t="shared" si="10"/>
        <v>526.176</v>
      </c>
      <c r="AC1060" s="67">
        <f t="shared" si="11"/>
        <v>428.4</v>
      </c>
      <c r="AD1060" s="67">
        <f t="shared" si="12"/>
        <v>68.544</v>
      </c>
      <c r="AE1060" s="67">
        <f t="shared" si="13"/>
        <v>496.944</v>
      </c>
      <c r="AF1060" s="67">
        <f t="shared" si="33"/>
        <v>418.32</v>
      </c>
      <c r="AG1060" s="67">
        <f t="shared" si="15"/>
        <v>66.9312</v>
      </c>
      <c r="AH1060" s="67">
        <f t="shared" si="16"/>
        <v>485.2512</v>
      </c>
      <c r="AI1060" s="67">
        <f t="shared" si="17"/>
        <v>403.2</v>
      </c>
      <c r="AJ1060" s="68">
        <f t="shared" si="37"/>
        <v>64.512</v>
      </c>
      <c r="AK1060" s="68">
        <f t="shared" si="38"/>
        <v>467.712</v>
      </c>
      <c r="AL1060" s="70">
        <f>IFERROR(__xludf.DUMMYFUNCTION("""COMPUTED_VALUE"""),1.0)</f>
        <v>1</v>
      </c>
      <c r="AM1060" s="70"/>
      <c r="AN1060" s="71" t="str">
        <f>IFERROR(__xludf.DUMMYFUNCTION("""COMPUTED_VALUE""")," P")</f>
        <v>P</v>
      </c>
      <c r="AO1060" s="71" t="str">
        <f>IFERROR(__xludf.DUMMYFUNCTION("""COMPUTED_VALUE""")," RJ01")</f>
        <v>RJ01</v>
      </c>
      <c r="AP1060" s="71" t="str">
        <f>IFERROR(__xludf.DUMMYFUNCTION("""COMPUTED_VALUE""")," PZA")</f>
        <v>PZA</v>
      </c>
      <c r="AQ1060" s="71" t="str">
        <f>IFERROR(__xludf.DUMMYFUNCTION("""COMPUTED_VALUE""")," REF")</f>
        <v>REF</v>
      </c>
      <c r="AR1060" s="71" t="str">
        <f>IFERROR(__xludf.DUMMYFUNCTION("""COMPUTED_VALUE""")," RODAJA DE COLD ROLLED TV-50 (B.C.)")</f>
        <v>RODAJA DE COLD ROLLED TV-50 (B.C.)</v>
      </c>
      <c r="AS1060" s="71" t="str">
        <f>IFERROR(__xludf.DUMMYFUNCTION("""COMPUTED_VALUE""")," RODAJA DE COLD ROLLED TV-50 BC")</f>
        <v>RODAJA DE COLD ROLLED TV-50 BC</v>
      </c>
      <c r="AT1060" s="71">
        <f>IFERROR(__xludf.DUMMYFUNCTION("""COMPUTED_VALUE"""),30.0)</f>
        <v>30</v>
      </c>
      <c r="AU1060" s="71"/>
      <c r="AV1060" s="71"/>
      <c r="AW1060" s="71"/>
      <c r="AX1060" s="71"/>
      <c r="AY1060" s="71">
        <f>IFERROR(__xludf.DUMMYFUNCTION("""COMPUTED_VALUE"""),57.0)</f>
        <v>57</v>
      </c>
      <c r="AZ1060" s="71">
        <f>IFERROR(__xludf.DUMMYFUNCTION("""COMPUTED_VALUE"""),61.0)</f>
        <v>61</v>
      </c>
      <c r="BA1060" s="71">
        <f>IFERROR(__xludf.DUMMYFUNCTION("""COMPUTED_VALUE"""),65.88000000000001)</f>
        <v>65.88</v>
      </c>
      <c r="BB1060" s="71">
        <f>IFERROR(__xludf.DUMMYFUNCTION("""COMPUTED_VALUE"""),65.88000000000001)</f>
        <v>65.88</v>
      </c>
      <c r="BC1060" s="71">
        <f>IFERROR(__xludf.DUMMYFUNCTION("""COMPUTED_VALUE"""),74.0)</f>
        <v>74</v>
      </c>
      <c r="BD1060" s="71">
        <f>IFERROR(__xludf.DUMMYFUNCTION("""COMPUTED_VALUE"""),78.0)</f>
        <v>78</v>
      </c>
      <c r="BE1060" s="71">
        <f>IFERROR(__xludf.DUMMYFUNCTION("""COMPUTED_VALUE"""),12.48)</f>
        <v>12.48</v>
      </c>
      <c r="BF1060" s="71">
        <f>IFERROR(__xludf.DUMMYFUNCTION("""COMPUTED_VALUE"""),90.48)</f>
        <v>90.48</v>
      </c>
      <c r="BG1060" s="71">
        <f>IFERROR(__xludf.DUMMYFUNCTION("""COMPUTED_VALUE"""),0.05405405405405406)</f>
        <v>0.05405405405</v>
      </c>
      <c r="BH1060" s="71">
        <f>IFERROR(__xludf.DUMMYFUNCTION("""COMPUTED_VALUE"""),74.1)</f>
        <v>74.1</v>
      </c>
      <c r="BI1060" s="71">
        <f>IFERROR(__xludf.DUMMYFUNCTION("""COMPUTED_VALUE"""),11.856)</f>
        <v>11.856</v>
      </c>
      <c r="BJ1060" s="71">
        <f>IFERROR(__xludf.DUMMYFUNCTION("""COMPUTED_VALUE"""),85.95599999999999)</f>
        <v>85.956</v>
      </c>
      <c r="BK1060" s="71">
        <f>IFERROR(__xludf.DUMMYFUNCTION("""COMPUTED_VALUE"""),70.2)</f>
        <v>70.2</v>
      </c>
      <c r="BL1060" s="71">
        <f>IFERROR(__xludf.DUMMYFUNCTION("""COMPUTED_VALUE"""),11.232000000000001)</f>
        <v>11.232</v>
      </c>
      <c r="BM1060" s="71">
        <f>IFERROR(__xludf.DUMMYFUNCTION("""COMPUTED_VALUE"""),81.432)</f>
        <v>81.432</v>
      </c>
      <c r="BN1060" s="71">
        <f>IFERROR(__xludf.DUMMYFUNCTION("""COMPUTED_VALUE"""),66.3)</f>
        <v>66.3</v>
      </c>
      <c r="BO1060" s="71">
        <f>IFERROR(__xludf.DUMMYFUNCTION("""COMPUTED_VALUE"""),10.608)</f>
        <v>10.608</v>
      </c>
      <c r="BP1060" s="71">
        <f>IFERROR(__xludf.DUMMYFUNCTION("""COMPUTED_VALUE"""),76.908)</f>
        <v>76.908</v>
      </c>
      <c r="BQ1060" s="71">
        <f>IFERROR(__xludf.DUMMYFUNCTION("""COMPUTED_VALUE"""),64.74)</f>
        <v>64.74</v>
      </c>
      <c r="BR1060" s="71">
        <f>IFERROR(__xludf.DUMMYFUNCTION("""COMPUTED_VALUE"""),10.3584)</f>
        <v>10.3584</v>
      </c>
      <c r="BS1060" s="71">
        <f>IFERROR(__xludf.DUMMYFUNCTION("""COMPUTED_VALUE"""),75.0984)</f>
        <v>75.0984</v>
      </c>
      <c r="BT1060" s="71">
        <f>IFERROR(__xludf.DUMMYFUNCTION("""COMPUTED_VALUE"""),62.400000000000006)</f>
        <v>62.4</v>
      </c>
      <c r="BU1060" s="71">
        <f>IFERROR(__xludf.DUMMYFUNCTION("""COMPUTED_VALUE"""),9.984000000000002)</f>
        <v>9.984</v>
      </c>
      <c r="BV1060" s="71">
        <f>IFERROR(__xludf.DUMMYFUNCTION("""COMPUTED_VALUE"""),72.38400000000001)</f>
        <v>72.384</v>
      </c>
    </row>
    <row r="1061">
      <c r="A1061" s="53">
        <v>1.0</v>
      </c>
      <c r="B1061" s="72"/>
      <c r="C1061" s="120" t="s">
        <v>53</v>
      </c>
      <c r="D1061" s="74" t="s">
        <v>2585</v>
      </c>
      <c r="E1061" s="54" t="s">
        <v>38</v>
      </c>
      <c r="F1061" s="54" t="s">
        <v>42</v>
      </c>
      <c r="G1061" s="54" t="s">
        <v>2586</v>
      </c>
      <c r="H1061" s="54" t="s">
        <v>2587</v>
      </c>
      <c r="I1061" s="54">
        <f t="shared" si="24"/>
        <v>36</v>
      </c>
      <c r="J1061" s="56"/>
      <c r="K1061" s="75"/>
      <c r="L1061" s="76"/>
      <c r="M1061" s="59"/>
      <c r="N1061" s="60">
        <v>410.0</v>
      </c>
      <c r="O1061" s="61">
        <v>442.0</v>
      </c>
      <c r="P1061" s="62">
        <v>477.36</v>
      </c>
      <c r="Q1061" s="63">
        <v>477.36</v>
      </c>
      <c r="R1061" s="64">
        <v>580.0</v>
      </c>
      <c r="S1061" s="111">
        <v>609.0</v>
      </c>
      <c r="T1061" s="65">
        <f t="shared" si="34"/>
        <v>97.44</v>
      </c>
      <c r="U1061" s="65">
        <f t="shared" si="35"/>
        <v>706.44</v>
      </c>
      <c r="V1061" s="66">
        <f t="shared" si="36"/>
        <v>0.05</v>
      </c>
      <c r="W1061" s="67">
        <f t="shared" si="5"/>
        <v>578.55</v>
      </c>
      <c r="X1061" s="67">
        <f t="shared" si="6"/>
        <v>92.568</v>
      </c>
      <c r="Y1061" s="67">
        <f t="shared" si="7"/>
        <v>671.118</v>
      </c>
      <c r="Z1061" s="67">
        <f t="shared" si="8"/>
        <v>548.1</v>
      </c>
      <c r="AA1061" s="67">
        <f t="shared" si="9"/>
        <v>87.696</v>
      </c>
      <c r="AB1061" s="67">
        <f t="shared" si="10"/>
        <v>635.796</v>
      </c>
      <c r="AC1061" s="67">
        <f t="shared" si="11"/>
        <v>517.65</v>
      </c>
      <c r="AD1061" s="67">
        <f t="shared" si="12"/>
        <v>82.824</v>
      </c>
      <c r="AE1061" s="67">
        <f t="shared" si="13"/>
        <v>600.474</v>
      </c>
      <c r="AF1061" s="67">
        <f t="shared" si="33"/>
        <v>505.47</v>
      </c>
      <c r="AG1061" s="67">
        <f t="shared" si="15"/>
        <v>80.8752</v>
      </c>
      <c r="AH1061" s="67">
        <f t="shared" si="16"/>
        <v>586.3452</v>
      </c>
      <c r="AI1061" s="67">
        <f t="shared" si="17"/>
        <v>487.2</v>
      </c>
      <c r="AJ1061" s="68">
        <f t="shared" si="37"/>
        <v>77.952</v>
      </c>
      <c r="AK1061" s="68">
        <f t="shared" si="38"/>
        <v>565.152</v>
      </c>
      <c r="AL1061" s="70">
        <f>IFERROR(__xludf.DUMMYFUNCTION("""COMPUTED_VALUE"""),1.0)</f>
        <v>1</v>
      </c>
      <c r="AM1061" s="70"/>
      <c r="AN1061" s="71" t="str">
        <f>IFERROR(__xludf.DUMMYFUNCTION("""COMPUTED_VALUE""")," P")</f>
        <v>P</v>
      </c>
      <c r="AO1061" s="71" t="str">
        <f>IFERROR(__xludf.DUMMYFUNCTION("""COMPUTED_VALUE""")," RJ04")</f>
        <v>RJ04</v>
      </c>
      <c r="AP1061" s="71" t="str">
        <f>IFERROR(__xludf.DUMMYFUNCTION("""COMPUTED_VALUE""")," PZA")</f>
        <v>PZA</v>
      </c>
      <c r="AQ1061" s="71" t="str">
        <f>IFERROR(__xludf.DUMMYFUNCTION("""COMPUTED_VALUE""")," REF")</f>
        <v>REF</v>
      </c>
      <c r="AR1061" s="71" t="str">
        <f>IFERROR(__xludf.DUMMYFUNCTION("""COMPUTED_VALUE""")," RODAJA DE FIERRO COLADO CHICA PLATO ESPECIAL")</f>
        <v>RODAJA DE FIERRO COLADO CHICA PLATO ESPECIAL</v>
      </c>
      <c r="AS1061" s="71" t="str">
        <f>IFERROR(__xludf.DUMMYFUNCTION("""COMPUTED_VALUE""")," RODAJA FIERRO COLADO CHICA PLATO ESP")</f>
        <v>RODAJA FIERRO COLADO CHICA PLATO ESP</v>
      </c>
      <c r="AT1061" s="71">
        <f>IFERROR(__xludf.DUMMYFUNCTION("""COMPUTED_VALUE"""),36.0)</f>
        <v>36</v>
      </c>
      <c r="AU1061" s="71"/>
      <c r="AV1061" s="71"/>
      <c r="AW1061" s="71"/>
      <c r="AX1061" s="71"/>
      <c r="AY1061" s="71">
        <f>IFERROR(__xludf.DUMMYFUNCTION("""COMPUTED_VALUE"""),68.0)</f>
        <v>68</v>
      </c>
      <c r="AZ1061" s="71">
        <f>IFERROR(__xludf.DUMMYFUNCTION("""COMPUTED_VALUE"""),73.0)</f>
        <v>73</v>
      </c>
      <c r="BA1061" s="71">
        <f>IFERROR(__xludf.DUMMYFUNCTION("""COMPUTED_VALUE"""),78.84)</f>
        <v>78.84</v>
      </c>
      <c r="BB1061" s="71">
        <f>IFERROR(__xludf.DUMMYFUNCTION("""COMPUTED_VALUE"""),78.84)</f>
        <v>78.84</v>
      </c>
      <c r="BC1061" s="71">
        <f>IFERROR(__xludf.DUMMYFUNCTION("""COMPUTED_VALUE"""),89.0)</f>
        <v>89</v>
      </c>
      <c r="BD1061" s="71">
        <f>IFERROR(__xludf.DUMMYFUNCTION("""COMPUTED_VALUE"""),93.0)</f>
        <v>93</v>
      </c>
      <c r="BE1061" s="71">
        <f>IFERROR(__xludf.DUMMYFUNCTION("""COMPUTED_VALUE"""),14.88)</f>
        <v>14.88</v>
      </c>
      <c r="BF1061" s="71">
        <f>IFERROR(__xludf.DUMMYFUNCTION("""COMPUTED_VALUE"""),107.88)</f>
        <v>107.88</v>
      </c>
      <c r="BG1061" s="71">
        <f>IFERROR(__xludf.DUMMYFUNCTION("""COMPUTED_VALUE"""),0.0449438202247191)</f>
        <v>0.04494382022</v>
      </c>
      <c r="BH1061" s="71">
        <f>IFERROR(__xludf.DUMMYFUNCTION("""COMPUTED_VALUE"""),88.35)</f>
        <v>88.35</v>
      </c>
      <c r="BI1061" s="71">
        <f>IFERROR(__xludf.DUMMYFUNCTION("""COMPUTED_VALUE"""),14.136)</f>
        <v>14.136</v>
      </c>
      <c r="BJ1061" s="71">
        <f>IFERROR(__xludf.DUMMYFUNCTION("""COMPUTED_VALUE"""),102.48599999999999)</f>
        <v>102.486</v>
      </c>
      <c r="BK1061" s="71">
        <f>IFERROR(__xludf.DUMMYFUNCTION("""COMPUTED_VALUE"""),83.7)</f>
        <v>83.7</v>
      </c>
      <c r="BL1061" s="71">
        <f>IFERROR(__xludf.DUMMYFUNCTION("""COMPUTED_VALUE"""),13.392000000000001)</f>
        <v>13.392</v>
      </c>
      <c r="BM1061" s="71">
        <f>IFERROR(__xludf.DUMMYFUNCTION("""COMPUTED_VALUE"""),97.092)</f>
        <v>97.092</v>
      </c>
      <c r="BN1061" s="71">
        <f>IFERROR(__xludf.DUMMYFUNCTION("""COMPUTED_VALUE"""),79.05)</f>
        <v>79.05</v>
      </c>
      <c r="BO1061" s="71">
        <f>IFERROR(__xludf.DUMMYFUNCTION("""COMPUTED_VALUE"""),12.648)</f>
        <v>12.648</v>
      </c>
      <c r="BP1061" s="71">
        <f>IFERROR(__xludf.DUMMYFUNCTION("""COMPUTED_VALUE"""),91.698)</f>
        <v>91.698</v>
      </c>
      <c r="BQ1061" s="71">
        <f>IFERROR(__xludf.DUMMYFUNCTION("""COMPUTED_VALUE"""),77.19)</f>
        <v>77.19</v>
      </c>
      <c r="BR1061" s="71">
        <f>IFERROR(__xludf.DUMMYFUNCTION("""COMPUTED_VALUE"""),12.3504)</f>
        <v>12.3504</v>
      </c>
      <c r="BS1061" s="71">
        <f>IFERROR(__xludf.DUMMYFUNCTION("""COMPUTED_VALUE"""),89.5404)</f>
        <v>89.5404</v>
      </c>
      <c r="BT1061" s="71">
        <f>IFERROR(__xludf.DUMMYFUNCTION("""COMPUTED_VALUE"""),74.4)</f>
        <v>74.4</v>
      </c>
      <c r="BU1061" s="71">
        <f>IFERROR(__xludf.DUMMYFUNCTION("""COMPUTED_VALUE"""),11.904000000000002)</f>
        <v>11.904</v>
      </c>
      <c r="BV1061" s="71">
        <f>IFERROR(__xludf.DUMMYFUNCTION("""COMPUTED_VALUE"""),86.304)</f>
        <v>86.304</v>
      </c>
    </row>
    <row r="1062">
      <c r="A1062" s="53"/>
      <c r="B1062" s="53"/>
      <c r="C1062" s="73" t="s">
        <v>53</v>
      </c>
      <c r="D1062" s="53" t="s">
        <v>2588</v>
      </c>
      <c r="E1062" s="54" t="s">
        <v>38</v>
      </c>
      <c r="F1062" s="55" t="s">
        <v>309</v>
      </c>
      <c r="G1062" s="54" t="s">
        <v>2589</v>
      </c>
      <c r="H1062" s="54" t="s">
        <v>2590</v>
      </c>
      <c r="I1062" s="54">
        <f t="shared" si="24"/>
        <v>40</v>
      </c>
      <c r="J1062" s="56"/>
      <c r="K1062" s="57"/>
      <c r="L1062" s="76"/>
      <c r="M1062" s="59"/>
      <c r="N1062" s="60"/>
      <c r="O1062" s="90">
        <v>442.0</v>
      </c>
      <c r="P1062" s="62">
        <v>477.36</v>
      </c>
      <c r="Q1062" s="63">
        <v>477.36</v>
      </c>
      <c r="R1062" s="64">
        <v>580.0</v>
      </c>
      <c r="S1062" s="111">
        <v>609.0</v>
      </c>
      <c r="T1062" s="65">
        <f t="shared" si="34"/>
        <v>97.44</v>
      </c>
      <c r="U1062" s="65">
        <f t="shared" si="35"/>
        <v>706.44</v>
      </c>
      <c r="V1062" s="66">
        <f t="shared" si="36"/>
        <v>0.05</v>
      </c>
      <c r="W1062" s="67">
        <f t="shared" si="5"/>
        <v>578.55</v>
      </c>
      <c r="X1062" s="67">
        <f t="shared" si="6"/>
        <v>92.568</v>
      </c>
      <c r="Y1062" s="67">
        <f t="shared" si="7"/>
        <v>671.118</v>
      </c>
      <c r="Z1062" s="67">
        <f t="shared" si="8"/>
        <v>548.1</v>
      </c>
      <c r="AA1062" s="67">
        <f t="shared" si="9"/>
        <v>87.696</v>
      </c>
      <c r="AB1062" s="67">
        <f t="shared" si="10"/>
        <v>635.796</v>
      </c>
      <c r="AC1062" s="67">
        <f t="shared" si="11"/>
        <v>517.65</v>
      </c>
      <c r="AD1062" s="67">
        <f t="shared" si="12"/>
        <v>82.824</v>
      </c>
      <c r="AE1062" s="67">
        <f t="shared" si="13"/>
        <v>600.474</v>
      </c>
      <c r="AF1062" s="67">
        <f t="shared" si="33"/>
        <v>505.47</v>
      </c>
      <c r="AG1062" s="67">
        <f t="shared" si="15"/>
        <v>80.8752</v>
      </c>
      <c r="AH1062" s="67">
        <f t="shared" si="16"/>
        <v>586.3452</v>
      </c>
      <c r="AI1062" s="67">
        <f t="shared" si="17"/>
        <v>487.2</v>
      </c>
      <c r="AJ1062" s="68">
        <f t="shared" si="37"/>
        <v>77.952</v>
      </c>
      <c r="AK1062" s="68">
        <f t="shared" si="38"/>
        <v>565.152</v>
      </c>
      <c r="AL1062" s="70">
        <f>IFERROR(__xludf.DUMMYFUNCTION("""COMPUTED_VALUE"""),1.0)</f>
        <v>1</v>
      </c>
      <c r="AM1062" s="70"/>
      <c r="AN1062" s="71" t="str">
        <f>IFERROR(__xludf.DUMMYFUNCTION("""COMPUTED_VALUE""")," P")</f>
        <v>P</v>
      </c>
      <c r="AO1062" s="71" t="str">
        <f>IFERROR(__xludf.DUMMYFUNCTION("""COMPUTED_VALUE""")," RJ05")</f>
        <v>RJ05</v>
      </c>
      <c r="AP1062" s="71" t="str">
        <f>IFERROR(__xludf.DUMMYFUNCTION("""COMPUTED_VALUE""")," PZA")</f>
        <v>PZA</v>
      </c>
      <c r="AQ1062" s="71" t="str">
        <f>IFERROR(__xludf.DUMMYFUNCTION("""COMPUTED_VALUE""")," REF")</f>
        <v>REF</v>
      </c>
      <c r="AR1062" s="71" t="str">
        <f>IFERROR(__xludf.DUMMYFUNCTION("""COMPUTED_VALUE""")," RODAJA DE FIERRO COLADO GRANDE PLATO MODELO ANTERIOR")</f>
        <v>RODAJA DE FIERRO COLADO GRANDE PLATO MODELO ANTERIOR</v>
      </c>
      <c r="AS1062" s="71" t="str">
        <f>IFERROR(__xludf.DUMMYFUNCTION("""COMPUTED_VALUE""")," RODAJA FIERRO COLADO GRANDE PLATO MA")</f>
        <v>RODAJA FIERRO COLADO GRANDE PLATO MA</v>
      </c>
      <c r="AT1062" s="71">
        <f>IFERROR(__xludf.DUMMYFUNCTION("""COMPUTED_VALUE"""),36.0)</f>
        <v>36</v>
      </c>
      <c r="AU1062" s="71"/>
      <c r="AV1062" s="71"/>
      <c r="AW1062" s="71"/>
      <c r="AX1062" s="71"/>
      <c r="AY1062" s="71">
        <f>IFERROR(__xludf.DUMMYFUNCTION("""COMPUTED_VALUE"""),96.0)</f>
        <v>96</v>
      </c>
      <c r="AZ1062" s="71">
        <f>IFERROR(__xludf.DUMMYFUNCTION("""COMPUTED_VALUE"""),103.0)</f>
        <v>103</v>
      </c>
      <c r="BA1062" s="71">
        <f>IFERROR(__xludf.DUMMYFUNCTION("""COMPUTED_VALUE"""),111.24000000000001)</f>
        <v>111.24</v>
      </c>
      <c r="BB1062" s="71">
        <f>IFERROR(__xludf.DUMMYFUNCTION("""COMPUTED_VALUE"""),111.24000000000001)</f>
        <v>111.24</v>
      </c>
      <c r="BC1062" s="71">
        <f>IFERROR(__xludf.DUMMYFUNCTION("""COMPUTED_VALUE"""),124.0)</f>
        <v>124</v>
      </c>
      <c r="BD1062" s="71">
        <f>IFERROR(__xludf.DUMMYFUNCTION("""COMPUTED_VALUE"""),130.0)</f>
        <v>130</v>
      </c>
      <c r="BE1062" s="71">
        <f>IFERROR(__xludf.DUMMYFUNCTION("""COMPUTED_VALUE"""),20.8)</f>
        <v>20.8</v>
      </c>
      <c r="BF1062" s="71">
        <f>IFERROR(__xludf.DUMMYFUNCTION("""COMPUTED_VALUE"""),150.8)</f>
        <v>150.8</v>
      </c>
      <c r="BG1062" s="71">
        <f>IFERROR(__xludf.DUMMYFUNCTION("""COMPUTED_VALUE"""),0.04838709677419355)</f>
        <v>0.04838709677</v>
      </c>
      <c r="BH1062" s="71">
        <f>IFERROR(__xludf.DUMMYFUNCTION("""COMPUTED_VALUE"""),123.5)</f>
        <v>123.5</v>
      </c>
      <c r="BI1062" s="71">
        <f>IFERROR(__xludf.DUMMYFUNCTION("""COMPUTED_VALUE"""),19.76)</f>
        <v>19.76</v>
      </c>
      <c r="BJ1062" s="71">
        <f>IFERROR(__xludf.DUMMYFUNCTION("""COMPUTED_VALUE"""),143.26)</f>
        <v>143.26</v>
      </c>
      <c r="BK1062" s="71">
        <f>IFERROR(__xludf.DUMMYFUNCTION("""COMPUTED_VALUE"""),117.0)</f>
        <v>117</v>
      </c>
      <c r="BL1062" s="71">
        <f>IFERROR(__xludf.DUMMYFUNCTION("""COMPUTED_VALUE"""),18.72)</f>
        <v>18.72</v>
      </c>
      <c r="BM1062" s="71">
        <f>IFERROR(__xludf.DUMMYFUNCTION("""COMPUTED_VALUE"""),135.72)</f>
        <v>135.72</v>
      </c>
      <c r="BN1062" s="71">
        <f>IFERROR(__xludf.DUMMYFUNCTION("""COMPUTED_VALUE"""),110.5)</f>
        <v>110.5</v>
      </c>
      <c r="BO1062" s="71">
        <f>IFERROR(__xludf.DUMMYFUNCTION("""COMPUTED_VALUE"""),17.68)</f>
        <v>17.68</v>
      </c>
      <c r="BP1062" s="71">
        <f>IFERROR(__xludf.DUMMYFUNCTION("""COMPUTED_VALUE"""),128.18)</f>
        <v>128.18</v>
      </c>
      <c r="BQ1062" s="71">
        <f>IFERROR(__xludf.DUMMYFUNCTION("""COMPUTED_VALUE"""),107.89999999999999)</f>
        <v>107.9</v>
      </c>
      <c r="BR1062" s="71">
        <f>IFERROR(__xludf.DUMMYFUNCTION("""COMPUTED_VALUE"""),17.264)</f>
        <v>17.264</v>
      </c>
      <c r="BS1062" s="71">
        <f>IFERROR(__xludf.DUMMYFUNCTION("""COMPUTED_VALUE"""),125.16399999999999)</f>
        <v>125.164</v>
      </c>
      <c r="BT1062" s="71">
        <f>IFERROR(__xludf.DUMMYFUNCTION("""COMPUTED_VALUE"""),104.0)</f>
        <v>104</v>
      </c>
      <c r="BU1062" s="71">
        <f>IFERROR(__xludf.DUMMYFUNCTION("""COMPUTED_VALUE"""),16.64)</f>
        <v>16.64</v>
      </c>
      <c r="BV1062" s="71">
        <f>IFERROR(__xludf.DUMMYFUNCTION("""COMPUTED_VALUE"""),120.64)</f>
        <v>120.64</v>
      </c>
    </row>
    <row r="1063">
      <c r="A1063" s="53"/>
      <c r="B1063" s="53"/>
      <c r="C1063" s="53" t="s">
        <v>53</v>
      </c>
      <c r="D1063" s="128" t="s">
        <v>2591</v>
      </c>
      <c r="E1063" s="54" t="s">
        <v>38</v>
      </c>
      <c r="F1063" s="54" t="s">
        <v>42</v>
      </c>
      <c r="G1063" s="130" t="s">
        <v>2592</v>
      </c>
      <c r="H1063" s="54" t="s">
        <v>2592</v>
      </c>
      <c r="I1063" s="54">
        <f t="shared" si="24"/>
        <v>21</v>
      </c>
      <c r="J1063" s="56"/>
      <c r="K1063" s="75"/>
      <c r="L1063" s="76"/>
      <c r="M1063" s="59"/>
      <c r="N1063" s="60"/>
      <c r="O1063" s="129">
        <v>227.0</v>
      </c>
      <c r="P1063" s="62">
        <v>245.16000000000003</v>
      </c>
      <c r="Q1063" s="63">
        <v>245.16000000000003</v>
      </c>
      <c r="R1063" s="64">
        <v>258.0</v>
      </c>
      <c r="S1063" s="111">
        <v>271.0</v>
      </c>
      <c r="T1063" s="65">
        <f t="shared" si="34"/>
        <v>43.36</v>
      </c>
      <c r="U1063" s="65">
        <f t="shared" si="35"/>
        <v>314.36</v>
      </c>
      <c r="V1063" s="66">
        <f t="shared" si="36"/>
        <v>0.0503875969</v>
      </c>
      <c r="W1063" s="67">
        <f t="shared" si="5"/>
        <v>257.45</v>
      </c>
      <c r="X1063" s="67">
        <f t="shared" si="6"/>
        <v>41.192</v>
      </c>
      <c r="Y1063" s="67">
        <f t="shared" si="7"/>
        <v>298.642</v>
      </c>
      <c r="Z1063" s="67">
        <f t="shared" si="8"/>
        <v>243.9</v>
      </c>
      <c r="AA1063" s="67">
        <f t="shared" si="9"/>
        <v>39.024</v>
      </c>
      <c r="AB1063" s="67">
        <f t="shared" si="10"/>
        <v>282.924</v>
      </c>
      <c r="AC1063" s="67">
        <f t="shared" si="11"/>
        <v>230.35</v>
      </c>
      <c r="AD1063" s="67">
        <f t="shared" si="12"/>
        <v>36.856</v>
      </c>
      <c r="AE1063" s="67">
        <f t="shared" si="13"/>
        <v>267.206</v>
      </c>
      <c r="AF1063" s="67">
        <f t="shared" si="33"/>
        <v>224.93</v>
      </c>
      <c r="AG1063" s="67">
        <f t="shared" si="15"/>
        <v>35.9888</v>
      </c>
      <c r="AH1063" s="67">
        <f t="shared" si="16"/>
        <v>260.9188</v>
      </c>
      <c r="AI1063" s="67">
        <f t="shared" si="17"/>
        <v>216.8</v>
      </c>
      <c r="AJ1063" s="68">
        <f t="shared" si="37"/>
        <v>34.688</v>
      </c>
      <c r="AK1063" s="68">
        <f t="shared" si="38"/>
        <v>251.488</v>
      </c>
      <c r="AL1063" s="70">
        <f>IFERROR(__xludf.DUMMYFUNCTION("""COMPUTED_VALUE"""),1.0)</f>
        <v>1</v>
      </c>
      <c r="AM1063" s="70"/>
      <c r="AN1063" s="71" t="str">
        <f>IFERROR(__xludf.DUMMYFUNCTION("""COMPUTED_VALUE""")," P")</f>
        <v>P</v>
      </c>
      <c r="AO1063" s="71" t="str">
        <f>IFERROR(__xludf.DUMMYFUNCTION("""COMPUTED_VALUE""")," RO02")</f>
        <v>RO02</v>
      </c>
      <c r="AP1063" s="71" t="str">
        <f>IFERROR(__xludf.DUMMYFUNCTION("""COMPUTED_VALUE""")," PZA")</f>
        <v>PZA</v>
      </c>
      <c r="AQ1063" s="71" t="str">
        <f>IFERROR(__xludf.DUMMYFUNCTION("""COMPUTED_VALUE""")," REF")</f>
        <v>REF</v>
      </c>
      <c r="AR1063" s="71" t="str">
        <f>IFERROR(__xludf.DUMMYFUNCTION("""COMPUTED_VALUE""")," RODILLO CABEZAL DÚPLEX B.C.")</f>
        <v>RODILLO CABEZAL DÚPLEX B.C.</v>
      </c>
      <c r="AS1063" s="71" t="str">
        <f>IFERROR(__xludf.DUMMYFUNCTION("""COMPUTED_VALUE""")," RODILLO CABEZAL DPLX BC")</f>
        <v>RODILLO CABEZAL DPLX BC</v>
      </c>
      <c r="AT1063" s="71">
        <f>IFERROR(__xludf.DUMMYFUNCTION("""COMPUTED_VALUE"""),23.0)</f>
        <v>23</v>
      </c>
      <c r="AU1063" s="71"/>
      <c r="AV1063" s="71"/>
      <c r="AW1063" s="71"/>
      <c r="AX1063" s="71"/>
      <c r="AY1063" s="71">
        <f>IFERROR(__xludf.DUMMYFUNCTION("""COMPUTED_VALUE"""),726.0)</f>
        <v>726</v>
      </c>
      <c r="AZ1063" s="71">
        <f>IFERROR(__xludf.DUMMYFUNCTION("""COMPUTED_VALUE"""),784.0)</f>
        <v>784</v>
      </c>
      <c r="BA1063" s="71">
        <f>IFERROR(__xludf.DUMMYFUNCTION("""COMPUTED_VALUE"""),846.72)</f>
        <v>846.72</v>
      </c>
      <c r="BB1063" s="71">
        <f>IFERROR(__xludf.DUMMYFUNCTION("""COMPUTED_VALUE"""),846.72)</f>
        <v>846.72</v>
      </c>
      <c r="BC1063" s="71">
        <f>IFERROR(__xludf.DUMMYFUNCTION("""COMPUTED_VALUE"""),943.0)</f>
        <v>943</v>
      </c>
      <c r="BD1063" s="71">
        <f>IFERROR(__xludf.DUMMYFUNCTION("""COMPUTED_VALUE"""),990.0)</f>
        <v>990</v>
      </c>
      <c r="BE1063" s="71">
        <f>IFERROR(__xludf.DUMMYFUNCTION("""COMPUTED_VALUE"""),158.4)</f>
        <v>158.4</v>
      </c>
      <c r="BF1063" s="71">
        <f>IFERROR(__xludf.DUMMYFUNCTION("""COMPUTED_VALUE"""),1148.4)</f>
        <v>1148.4</v>
      </c>
      <c r="BG1063" s="71">
        <f>IFERROR(__xludf.DUMMYFUNCTION("""COMPUTED_VALUE"""),0.04984093319194061)</f>
        <v>0.04984093319</v>
      </c>
      <c r="BH1063" s="71">
        <f>IFERROR(__xludf.DUMMYFUNCTION("""COMPUTED_VALUE"""),940.5)</f>
        <v>940.5</v>
      </c>
      <c r="BI1063" s="71">
        <f>IFERROR(__xludf.DUMMYFUNCTION("""COMPUTED_VALUE"""),150.48)</f>
        <v>150.48</v>
      </c>
      <c r="BJ1063" s="71">
        <f>IFERROR(__xludf.DUMMYFUNCTION("""COMPUTED_VALUE"""),1090.98)</f>
        <v>1090.98</v>
      </c>
      <c r="BK1063" s="71">
        <f>IFERROR(__xludf.DUMMYFUNCTION("""COMPUTED_VALUE"""),891.0)</f>
        <v>891</v>
      </c>
      <c r="BL1063" s="71">
        <f>IFERROR(__xludf.DUMMYFUNCTION("""COMPUTED_VALUE"""),142.56)</f>
        <v>142.56</v>
      </c>
      <c r="BM1063" s="71">
        <f>IFERROR(__xludf.DUMMYFUNCTION("""COMPUTED_VALUE"""),1033.56)</f>
        <v>1033.56</v>
      </c>
      <c r="BN1063" s="71">
        <f>IFERROR(__xludf.DUMMYFUNCTION("""COMPUTED_VALUE"""),841.5)</f>
        <v>841.5</v>
      </c>
      <c r="BO1063" s="71">
        <f>IFERROR(__xludf.DUMMYFUNCTION("""COMPUTED_VALUE"""),134.64000000000001)</f>
        <v>134.64</v>
      </c>
      <c r="BP1063" s="71">
        <f>IFERROR(__xludf.DUMMYFUNCTION("""COMPUTED_VALUE"""),976.14)</f>
        <v>976.14</v>
      </c>
      <c r="BQ1063" s="71">
        <f>IFERROR(__xludf.DUMMYFUNCTION("""COMPUTED_VALUE"""),821.6999999999999)</f>
        <v>821.7</v>
      </c>
      <c r="BR1063" s="71">
        <f>IFERROR(__xludf.DUMMYFUNCTION("""COMPUTED_VALUE"""),131.47199999999998)</f>
        <v>131.472</v>
      </c>
      <c r="BS1063" s="71">
        <f>IFERROR(__xludf.DUMMYFUNCTION("""COMPUTED_VALUE"""),953.1719999999999)</f>
        <v>953.172</v>
      </c>
      <c r="BT1063" s="71">
        <f>IFERROR(__xludf.DUMMYFUNCTION("""COMPUTED_VALUE"""),792.0)</f>
        <v>792</v>
      </c>
      <c r="BU1063" s="71">
        <f>IFERROR(__xludf.DUMMYFUNCTION("""COMPUTED_VALUE"""),126.72)</f>
        <v>126.72</v>
      </c>
      <c r="BV1063" s="71">
        <f>IFERROR(__xludf.DUMMYFUNCTION("""COMPUTED_VALUE"""),918.72)</f>
        <v>918.72</v>
      </c>
    </row>
    <row r="1064">
      <c r="A1064" s="53"/>
      <c r="B1064" s="53"/>
      <c r="C1064" s="120" t="s">
        <v>53</v>
      </c>
      <c r="D1064" s="128" t="s">
        <v>2593</v>
      </c>
      <c r="E1064" s="54" t="s">
        <v>38</v>
      </c>
      <c r="F1064" s="54" t="s">
        <v>42</v>
      </c>
      <c r="G1064" s="130" t="s">
        <v>2594</v>
      </c>
      <c r="H1064" s="54" t="s">
        <v>2595</v>
      </c>
      <c r="I1064" s="54">
        <f t="shared" si="24"/>
        <v>35</v>
      </c>
      <c r="J1064" s="56"/>
      <c r="K1064" s="75"/>
      <c r="L1064" s="76"/>
      <c r="M1064" s="59"/>
      <c r="N1064" s="60">
        <v>1002.75</v>
      </c>
      <c r="O1064" s="129">
        <v>1082.0</v>
      </c>
      <c r="P1064" s="62">
        <v>1168.5600000000002</v>
      </c>
      <c r="Q1064" s="63">
        <v>1168.5600000000002</v>
      </c>
      <c r="R1064" s="64">
        <v>1228.0</v>
      </c>
      <c r="S1064" s="111">
        <v>1289.0</v>
      </c>
      <c r="T1064" s="65">
        <f t="shared" si="34"/>
        <v>206.24</v>
      </c>
      <c r="U1064" s="65">
        <f t="shared" si="35"/>
        <v>1495.24</v>
      </c>
      <c r="V1064" s="66">
        <f t="shared" si="36"/>
        <v>0.0496742671</v>
      </c>
      <c r="W1064" s="67">
        <f t="shared" si="5"/>
        <v>1224.55</v>
      </c>
      <c r="X1064" s="67">
        <f t="shared" si="6"/>
        <v>195.928</v>
      </c>
      <c r="Y1064" s="67">
        <f t="shared" si="7"/>
        <v>1420.478</v>
      </c>
      <c r="Z1064" s="67">
        <f t="shared" si="8"/>
        <v>1160.1</v>
      </c>
      <c r="AA1064" s="67">
        <f t="shared" si="9"/>
        <v>185.616</v>
      </c>
      <c r="AB1064" s="67">
        <f t="shared" si="10"/>
        <v>1345.716</v>
      </c>
      <c r="AC1064" s="67">
        <f t="shared" si="11"/>
        <v>1095.65</v>
      </c>
      <c r="AD1064" s="67">
        <f t="shared" si="12"/>
        <v>175.304</v>
      </c>
      <c r="AE1064" s="67">
        <f t="shared" si="13"/>
        <v>1270.954</v>
      </c>
      <c r="AF1064" s="67">
        <f t="shared" si="33"/>
        <v>1069.87</v>
      </c>
      <c r="AG1064" s="67">
        <f t="shared" si="15"/>
        <v>171.1792</v>
      </c>
      <c r="AH1064" s="67">
        <f t="shared" si="16"/>
        <v>1241.0492</v>
      </c>
      <c r="AI1064" s="67">
        <f t="shared" si="17"/>
        <v>1031.2</v>
      </c>
      <c r="AJ1064" s="68">
        <f t="shared" si="37"/>
        <v>164.992</v>
      </c>
      <c r="AK1064" s="68">
        <f t="shared" si="38"/>
        <v>1196.192</v>
      </c>
      <c r="AL1064" s="70">
        <f>IFERROR(__xludf.DUMMYFUNCTION("""COMPUTED_VALUE"""),1.0)</f>
        <v>1</v>
      </c>
      <c r="AM1064" s="70"/>
      <c r="AN1064" s="71" t="str">
        <f>IFERROR(__xludf.DUMMYFUNCTION("""COMPUTED_VALUE""")," P")</f>
        <v>P</v>
      </c>
      <c r="AO1064" s="71" t="str">
        <f>IFERROR(__xludf.DUMMYFUNCTION("""COMPUTED_VALUE""")," RO03")</f>
        <v>RO03</v>
      </c>
      <c r="AP1064" s="71" t="str">
        <f>IFERROR(__xludf.DUMMYFUNCTION("""COMPUTED_VALUE""")," PZA")</f>
        <v>PZA</v>
      </c>
      <c r="AQ1064" s="71" t="str">
        <f>IFERROR(__xludf.DUMMYFUNCTION("""COMPUTED_VALUE""")," REF")</f>
        <v>REF</v>
      </c>
      <c r="AR1064" s="71" t="str">
        <f>IFERROR(__xludf.DUMMYFUNCTION("""COMPUTED_VALUE""")," RODILLO CABEZAL SENCILLO B.C")</f>
        <v>RODILLO CABEZAL SENCILLO B.C</v>
      </c>
      <c r="AS1064" s="71" t="str">
        <f>IFERROR(__xludf.DUMMYFUNCTION("""COMPUTED_VALUE""")," RODILLO CABEZAL SENCILLO BC")</f>
        <v>RODILLO CABEZAL SENCILLO BC</v>
      </c>
      <c r="AT1064" s="71">
        <f>IFERROR(__xludf.DUMMYFUNCTION("""COMPUTED_VALUE"""),27.0)</f>
        <v>27</v>
      </c>
      <c r="AU1064" s="71"/>
      <c r="AV1064" s="71"/>
      <c r="AW1064" s="71"/>
      <c r="AX1064" s="71"/>
      <c r="AY1064" s="71">
        <f>IFERROR(__xludf.DUMMYFUNCTION("""COMPUTED_VALUE"""),585.0)</f>
        <v>585</v>
      </c>
      <c r="AZ1064" s="71">
        <f>IFERROR(__xludf.DUMMYFUNCTION("""COMPUTED_VALUE"""),631.0)</f>
        <v>631</v>
      </c>
      <c r="BA1064" s="71">
        <f>IFERROR(__xludf.DUMMYFUNCTION("""COMPUTED_VALUE"""),681.48)</f>
        <v>681.48</v>
      </c>
      <c r="BB1064" s="71">
        <f>IFERROR(__xludf.DUMMYFUNCTION("""COMPUTED_VALUE"""),681.48)</f>
        <v>681.48</v>
      </c>
      <c r="BC1064" s="71">
        <f>IFERROR(__xludf.DUMMYFUNCTION("""COMPUTED_VALUE"""),760.0)</f>
        <v>760</v>
      </c>
      <c r="BD1064" s="71">
        <f>IFERROR(__xludf.DUMMYFUNCTION("""COMPUTED_VALUE"""),798.0)</f>
        <v>798</v>
      </c>
      <c r="BE1064" s="71">
        <f>IFERROR(__xludf.DUMMYFUNCTION("""COMPUTED_VALUE"""),127.68)</f>
        <v>127.68</v>
      </c>
      <c r="BF1064" s="71">
        <f>IFERROR(__xludf.DUMMYFUNCTION("""COMPUTED_VALUE"""),925.6800000000001)</f>
        <v>925.68</v>
      </c>
      <c r="BG1064" s="71">
        <f>IFERROR(__xludf.DUMMYFUNCTION("""COMPUTED_VALUE"""),0.05)</f>
        <v>0.05</v>
      </c>
      <c r="BH1064" s="71">
        <f>IFERROR(__xludf.DUMMYFUNCTION("""COMPUTED_VALUE"""),758.0999999999999)</f>
        <v>758.1</v>
      </c>
      <c r="BI1064" s="71">
        <f>IFERROR(__xludf.DUMMYFUNCTION("""COMPUTED_VALUE"""),121.29599999999999)</f>
        <v>121.296</v>
      </c>
      <c r="BJ1064" s="71">
        <f>IFERROR(__xludf.DUMMYFUNCTION("""COMPUTED_VALUE"""),879.396)</f>
        <v>879.396</v>
      </c>
      <c r="BK1064" s="71">
        <f>IFERROR(__xludf.DUMMYFUNCTION("""COMPUTED_VALUE"""),718.2)</f>
        <v>718.2</v>
      </c>
      <c r="BL1064" s="71">
        <f>IFERROR(__xludf.DUMMYFUNCTION("""COMPUTED_VALUE"""),114.912)</f>
        <v>114.912</v>
      </c>
      <c r="BM1064" s="71">
        <f>IFERROR(__xludf.DUMMYFUNCTION("""COMPUTED_VALUE"""),833.1120000000001)</f>
        <v>833.112</v>
      </c>
      <c r="BN1064" s="71">
        <f>IFERROR(__xludf.DUMMYFUNCTION("""COMPUTED_VALUE"""),678.3)</f>
        <v>678.3</v>
      </c>
      <c r="BO1064" s="71">
        <f>IFERROR(__xludf.DUMMYFUNCTION("""COMPUTED_VALUE"""),108.52799999999999)</f>
        <v>108.528</v>
      </c>
      <c r="BP1064" s="71">
        <f>IFERROR(__xludf.DUMMYFUNCTION("""COMPUTED_VALUE"""),786.828)</f>
        <v>786.828</v>
      </c>
      <c r="BQ1064" s="71">
        <f>IFERROR(__xludf.DUMMYFUNCTION("""COMPUTED_VALUE"""),662.3399999999999)</f>
        <v>662.34</v>
      </c>
      <c r="BR1064" s="71">
        <f>IFERROR(__xludf.DUMMYFUNCTION("""COMPUTED_VALUE"""),105.97439999999999)</f>
        <v>105.9744</v>
      </c>
      <c r="BS1064" s="71">
        <f>IFERROR(__xludf.DUMMYFUNCTION("""COMPUTED_VALUE"""),768.3143999999999)</f>
        <v>768.3144</v>
      </c>
      <c r="BT1064" s="71">
        <f>IFERROR(__xludf.DUMMYFUNCTION("""COMPUTED_VALUE"""),638.4000000000001)</f>
        <v>638.4</v>
      </c>
      <c r="BU1064" s="71">
        <f>IFERROR(__xludf.DUMMYFUNCTION("""COMPUTED_VALUE"""),102.14400000000002)</f>
        <v>102.144</v>
      </c>
      <c r="BV1064" s="71">
        <f>IFERROR(__xludf.DUMMYFUNCTION("""COMPUTED_VALUE"""),740.5440000000001)</f>
        <v>740.544</v>
      </c>
    </row>
    <row r="1065">
      <c r="A1065" s="53"/>
      <c r="B1065" s="53"/>
      <c r="C1065" s="53" t="s">
        <v>53</v>
      </c>
      <c r="D1065" s="53" t="s">
        <v>2596</v>
      </c>
      <c r="E1065" s="54" t="s">
        <v>38</v>
      </c>
      <c r="F1065" s="54" t="s">
        <v>42</v>
      </c>
      <c r="G1065" s="55" t="s">
        <v>2597</v>
      </c>
      <c r="H1065" s="54" t="s">
        <v>2598</v>
      </c>
      <c r="I1065" s="54">
        <f t="shared" si="24"/>
        <v>34</v>
      </c>
      <c r="J1065" s="56"/>
      <c r="K1065" s="75"/>
      <c r="L1065" s="76"/>
      <c r="M1065" s="59"/>
      <c r="N1065" s="79">
        <v>1708.0</v>
      </c>
      <c r="O1065" s="61">
        <v>1844.0</v>
      </c>
      <c r="P1065" s="63">
        <v>1991.5200000000002</v>
      </c>
      <c r="Q1065" s="63">
        <v>1991.5200000000002</v>
      </c>
      <c r="R1065" s="64">
        <v>2092.0</v>
      </c>
      <c r="S1065" s="111">
        <v>2197.0</v>
      </c>
      <c r="T1065" s="65">
        <f t="shared" si="34"/>
        <v>351.52</v>
      </c>
      <c r="U1065" s="65">
        <f t="shared" si="35"/>
        <v>2548.52</v>
      </c>
      <c r="V1065" s="66">
        <f t="shared" si="36"/>
        <v>0.05019120459</v>
      </c>
      <c r="W1065" s="67">
        <f t="shared" si="5"/>
        <v>2087.15</v>
      </c>
      <c r="X1065" s="67">
        <f t="shared" si="6"/>
        <v>333.944</v>
      </c>
      <c r="Y1065" s="67">
        <f t="shared" si="7"/>
        <v>2421.094</v>
      </c>
      <c r="Z1065" s="67">
        <f t="shared" si="8"/>
        <v>1977.3</v>
      </c>
      <c r="AA1065" s="67">
        <f t="shared" si="9"/>
        <v>316.368</v>
      </c>
      <c r="AB1065" s="67">
        <f t="shared" si="10"/>
        <v>2293.668</v>
      </c>
      <c r="AC1065" s="67">
        <f t="shared" si="11"/>
        <v>1867.45</v>
      </c>
      <c r="AD1065" s="67">
        <f t="shared" si="12"/>
        <v>298.792</v>
      </c>
      <c r="AE1065" s="67">
        <f t="shared" si="13"/>
        <v>2166.242</v>
      </c>
      <c r="AF1065" s="67">
        <f t="shared" si="33"/>
        <v>1823.51</v>
      </c>
      <c r="AG1065" s="67">
        <f t="shared" si="15"/>
        <v>291.7616</v>
      </c>
      <c r="AH1065" s="67">
        <f t="shared" si="16"/>
        <v>2115.2716</v>
      </c>
      <c r="AI1065" s="67">
        <f t="shared" si="17"/>
        <v>1757.6</v>
      </c>
      <c r="AJ1065" s="68">
        <f t="shared" si="37"/>
        <v>281.216</v>
      </c>
      <c r="AK1065" s="68">
        <f t="shared" si="38"/>
        <v>2038.816</v>
      </c>
      <c r="AL1065" s="70">
        <f>IFERROR(__xludf.DUMMYFUNCTION("""COMPUTED_VALUE"""),1.0)</f>
        <v>1</v>
      </c>
      <c r="AM1065" s="70"/>
      <c r="AN1065" s="71" t="str">
        <f>IFERROR(__xludf.DUMMYFUNCTION("""COMPUTED_VALUE""")," P")</f>
        <v>P</v>
      </c>
      <c r="AO1065" s="71" t="str">
        <f>IFERROR(__xludf.DUMMYFUNCTION("""COMPUTED_VALUE""")," RO04")</f>
        <v>RO04</v>
      </c>
      <c r="AP1065" s="71" t="str">
        <f>IFERROR(__xludf.DUMMYFUNCTION("""COMPUTED_VALUE""")," PZA")</f>
        <v>PZA</v>
      </c>
      <c r="AQ1065" s="71" t="str">
        <f>IFERROR(__xludf.DUMMYFUNCTION("""COMPUTED_VALUE""")," REF")</f>
        <v>REF</v>
      </c>
      <c r="AR1065" s="71" t="str">
        <f>IFERROR(__xludf.DUMMYFUNCTION("""COMPUTED_VALUE""")," RODILLO CABEZAL SENCILLO TIPO B.C. PARA TV-30")</f>
        <v>RODILLO CABEZAL SENCILLO TIPO B.C. PARA TV-30</v>
      </c>
      <c r="AS1065" s="71" t="str">
        <f>IFERROR(__xludf.DUMMYFUNCTION("""COMPUTED_VALUE""")," RODILLO CABEZAL SENCILLO TV30 BC")</f>
        <v>RODILLO CABEZAL SENCILLO TV30 BC</v>
      </c>
      <c r="AT1065" s="71">
        <f>IFERROR(__xludf.DUMMYFUNCTION("""COMPUTED_VALUE"""),32.0)</f>
        <v>32</v>
      </c>
      <c r="AU1065" s="71"/>
      <c r="AV1065" s="71"/>
      <c r="AW1065" s="71"/>
      <c r="AX1065" s="71"/>
      <c r="AY1065" s="71">
        <f>IFERROR(__xludf.DUMMYFUNCTION("""COMPUTED_VALUE"""),585.0)</f>
        <v>585</v>
      </c>
      <c r="AZ1065" s="71">
        <f>IFERROR(__xludf.DUMMYFUNCTION("""COMPUTED_VALUE"""),631.0)</f>
        <v>631</v>
      </c>
      <c r="BA1065" s="71">
        <f>IFERROR(__xludf.DUMMYFUNCTION("""COMPUTED_VALUE"""),681.48)</f>
        <v>681.48</v>
      </c>
      <c r="BB1065" s="71">
        <f>IFERROR(__xludf.DUMMYFUNCTION("""COMPUTED_VALUE"""),681.48)</f>
        <v>681.48</v>
      </c>
      <c r="BC1065" s="71">
        <f>IFERROR(__xludf.DUMMYFUNCTION("""COMPUTED_VALUE"""),760.0)</f>
        <v>760</v>
      </c>
      <c r="BD1065" s="71">
        <f>IFERROR(__xludf.DUMMYFUNCTION("""COMPUTED_VALUE"""),798.0)</f>
        <v>798</v>
      </c>
      <c r="BE1065" s="71">
        <f>IFERROR(__xludf.DUMMYFUNCTION("""COMPUTED_VALUE"""),127.68)</f>
        <v>127.68</v>
      </c>
      <c r="BF1065" s="71">
        <f>IFERROR(__xludf.DUMMYFUNCTION("""COMPUTED_VALUE"""),925.6800000000001)</f>
        <v>925.68</v>
      </c>
      <c r="BG1065" s="71">
        <f>IFERROR(__xludf.DUMMYFUNCTION("""COMPUTED_VALUE"""),0.05)</f>
        <v>0.05</v>
      </c>
      <c r="BH1065" s="71">
        <f>IFERROR(__xludf.DUMMYFUNCTION("""COMPUTED_VALUE"""),758.0999999999999)</f>
        <v>758.1</v>
      </c>
      <c r="BI1065" s="71">
        <f>IFERROR(__xludf.DUMMYFUNCTION("""COMPUTED_VALUE"""),121.29599999999999)</f>
        <v>121.296</v>
      </c>
      <c r="BJ1065" s="71">
        <f>IFERROR(__xludf.DUMMYFUNCTION("""COMPUTED_VALUE"""),879.396)</f>
        <v>879.396</v>
      </c>
      <c r="BK1065" s="71">
        <f>IFERROR(__xludf.DUMMYFUNCTION("""COMPUTED_VALUE"""),718.2)</f>
        <v>718.2</v>
      </c>
      <c r="BL1065" s="71">
        <f>IFERROR(__xludf.DUMMYFUNCTION("""COMPUTED_VALUE"""),114.912)</f>
        <v>114.912</v>
      </c>
      <c r="BM1065" s="71">
        <f>IFERROR(__xludf.DUMMYFUNCTION("""COMPUTED_VALUE"""),833.1120000000001)</f>
        <v>833.112</v>
      </c>
      <c r="BN1065" s="71">
        <f>IFERROR(__xludf.DUMMYFUNCTION("""COMPUTED_VALUE"""),678.3)</f>
        <v>678.3</v>
      </c>
      <c r="BO1065" s="71">
        <f>IFERROR(__xludf.DUMMYFUNCTION("""COMPUTED_VALUE"""),108.52799999999999)</f>
        <v>108.528</v>
      </c>
      <c r="BP1065" s="71">
        <f>IFERROR(__xludf.DUMMYFUNCTION("""COMPUTED_VALUE"""),786.828)</f>
        <v>786.828</v>
      </c>
      <c r="BQ1065" s="71">
        <f>IFERROR(__xludf.DUMMYFUNCTION("""COMPUTED_VALUE"""),662.3399999999999)</f>
        <v>662.34</v>
      </c>
      <c r="BR1065" s="71">
        <f>IFERROR(__xludf.DUMMYFUNCTION("""COMPUTED_VALUE"""),105.97439999999999)</f>
        <v>105.9744</v>
      </c>
      <c r="BS1065" s="71">
        <f>IFERROR(__xludf.DUMMYFUNCTION("""COMPUTED_VALUE"""),768.3143999999999)</f>
        <v>768.3144</v>
      </c>
      <c r="BT1065" s="71">
        <f>IFERROR(__xludf.DUMMYFUNCTION("""COMPUTED_VALUE"""),638.4000000000001)</f>
        <v>638.4</v>
      </c>
      <c r="BU1065" s="71">
        <f>IFERROR(__xludf.DUMMYFUNCTION("""COMPUTED_VALUE"""),102.14400000000002)</f>
        <v>102.144</v>
      </c>
      <c r="BV1065" s="71">
        <f>IFERROR(__xludf.DUMMYFUNCTION("""COMPUTED_VALUE"""),740.5440000000001)</f>
        <v>740.544</v>
      </c>
    </row>
    <row r="1066">
      <c r="A1066" s="53"/>
      <c r="B1066" s="53"/>
      <c r="C1066" s="53" t="s">
        <v>53</v>
      </c>
      <c r="D1066" s="53" t="s">
        <v>2599</v>
      </c>
      <c r="E1066" s="54" t="s">
        <v>38</v>
      </c>
      <c r="F1066" s="54" t="s">
        <v>42</v>
      </c>
      <c r="G1066" s="55" t="s">
        <v>2600</v>
      </c>
      <c r="H1066" s="54" t="s">
        <v>2601</v>
      </c>
      <c r="I1066" s="54">
        <f t="shared" si="24"/>
        <v>29</v>
      </c>
      <c r="J1066" s="56"/>
      <c r="K1066" s="75"/>
      <c r="L1066" s="76"/>
      <c r="M1066" s="59"/>
      <c r="N1066" s="79">
        <v>1313.0</v>
      </c>
      <c r="O1066" s="61">
        <v>1418.0</v>
      </c>
      <c r="P1066" s="63">
        <v>1531.44</v>
      </c>
      <c r="Q1066" s="63">
        <v>1531.44</v>
      </c>
      <c r="R1066" s="64">
        <v>1608.0</v>
      </c>
      <c r="S1066" s="111">
        <v>1688.0</v>
      </c>
      <c r="T1066" s="65">
        <f t="shared" si="34"/>
        <v>270.08</v>
      </c>
      <c r="U1066" s="65">
        <f t="shared" si="35"/>
        <v>1958.08</v>
      </c>
      <c r="V1066" s="66">
        <f t="shared" si="36"/>
        <v>0.04975124378</v>
      </c>
      <c r="W1066" s="67">
        <f t="shared" si="5"/>
        <v>1603.6</v>
      </c>
      <c r="X1066" s="67">
        <f t="shared" si="6"/>
        <v>256.576</v>
      </c>
      <c r="Y1066" s="67">
        <f t="shared" si="7"/>
        <v>1860.176</v>
      </c>
      <c r="Z1066" s="67">
        <f t="shared" si="8"/>
        <v>1519.2</v>
      </c>
      <c r="AA1066" s="67">
        <f t="shared" si="9"/>
        <v>243.072</v>
      </c>
      <c r="AB1066" s="67">
        <f t="shared" si="10"/>
        <v>1762.272</v>
      </c>
      <c r="AC1066" s="67">
        <f t="shared" si="11"/>
        <v>1434.8</v>
      </c>
      <c r="AD1066" s="67">
        <f t="shared" si="12"/>
        <v>229.568</v>
      </c>
      <c r="AE1066" s="67">
        <f t="shared" si="13"/>
        <v>1664.368</v>
      </c>
      <c r="AF1066" s="67">
        <f t="shared" si="33"/>
        <v>1401.04</v>
      </c>
      <c r="AG1066" s="67">
        <f t="shared" si="15"/>
        <v>224.1664</v>
      </c>
      <c r="AH1066" s="67">
        <f t="shared" si="16"/>
        <v>1625.2064</v>
      </c>
      <c r="AI1066" s="67">
        <f t="shared" si="17"/>
        <v>1350.4</v>
      </c>
      <c r="AJ1066" s="68">
        <f t="shared" si="37"/>
        <v>216.064</v>
      </c>
      <c r="AK1066" s="68">
        <f t="shared" si="38"/>
        <v>1566.464</v>
      </c>
      <c r="AL1066" s="70">
        <f>IFERROR(__xludf.DUMMYFUNCTION("""COMPUTED_VALUE"""),1.0)</f>
        <v>1</v>
      </c>
      <c r="AM1066" s="70"/>
      <c r="AN1066" s="71" t="str">
        <f>IFERROR(__xludf.DUMMYFUNCTION("""COMPUTED_VALUE""")," P")</f>
        <v>P</v>
      </c>
      <c r="AO1066" s="71" t="str">
        <f>IFERROR(__xludf.DUMMYFUNCTION("""COMPUTED_VALUE""")," RO01")</f>
        <v>RO01</v>
      </c>
      <c r="AP1066" s="71" t="str">
        <f>IFERROR(__xludf.DUMMYFUNCTION("""COMPUTED_VALUE""")," PZA")</f>
        <v>PZA</v>
      </c>
      <c r="AQ1066" s="71" t="str">
        <f>IFERROR(__xludf.DUMMYFUNCTION("""COMPUTED_VALUE""")," REF")</f>
        <v>REF</v>
      </c>
      <c r="AR1066" s="71" t="str">
        <f>IFERROR(__xludf.DUMMYFUNCTION("""COMPUTED_VALUE""")," RODILLO CABEZAL TIPO TORTEC")</f>
        <v>RODILLO CABEZAL TIPO TORTEC</v>
      </c>
      <c r="AS1066" s="71" t="str">
        <f>IFERROR(__xludf.DUMMYFUNCTION("""COMPUTED_VALUE""")," RODILLO CABEZAL TIPO TORTEC")</f>
        <v>RODILLO CABEZAL TIPO TORTEC</v>
      </c>
      <c r="AT1066" s="71">
        <f>IFERROR(__xludf.DUMMYFUNCTION("""COMPUTED_VALUE"""),27.0)</f>
        <v>27</v>
      </c>
      <c r="AU1066" s="71"/>
      <c r="AV1066" s="71"/>
      <c r="AW1066" s="71"/>
      <c r="AX1066" s="71"/>
      <c r="AY1066" s="71">
        <f>IFERROR(__xludf.DUMMYFUNCTION("""COMPUTED_VALUE"""),832.0)</f>
        <v>832</v>
      </c>
      <c r="AZ1066" s="71">
        <f>IFERROR(__xludf.DUMMYFUNCTION("""COMPUTED_VALUE"""),898.0)</f>
        <v>898</v>
      </c>
      <c r="BA1066" s="71">
        <f>IFERROR(__xludf.DUMMYFUNCTION("""COMPUTED_VALUE"""),969.84)</f>
        <v>969.84</v>
      </c>
      <c r="BB1066" s="71">
        <f>IFERROR(__xludf.DUMMYFUNCTION("""COMPUTED_VALUE"""),969.84)</f>
        <v>969.84</v>
      </c>
      <c r="BC1066" s="71">
        <f>IFERROR(__xludf.DUMMYFUNCTION("""COMPUTED_VALUE"""),1081.0)</f>
        <v>1081</v>
      </c>
      <c r="BD1066" s="71">
        <f>IFERROR(__xludf.DUMMYFUNCTION("""COMPUTED_VALUE"""),1135.0)</f>
        <v>1135</v>
      </c>
      <c r="BE1066" s="71">
        <f>IFERROR(__xludf.DUMMYFUNCTION("""COMPUTED_VALUE"""),181.6)</f>
        <v>181.6</v>
      </c>
      <c r="BF1066" s="71">
        <f>IFERROR(__xludf.DUMMYFUNCTION("""COMPUTED_VALUE"""),1316.6)</f>
        <v>1316.6</v>
      </c>
      <c r="BG1066" s="71">
        <f>IFERROR(__xludf.DUMMYFUNCTION("""COMPUTED_VALUE"""),0.04995374653098982)</f>
        <v>0.04995374653</v>
      </c>
      <c r="BH1066" s="71">
        <f>IFERROR(__xludf.DUMMYFUNCTION("""COMPUTED_VALUE"""),1078.25)</f>
        <v>1078.25</v>
      </c>
      <c r="BI1066" s="71">
        <f>IFERROR(__xludf.DUMMYFUNCTION("""COMPUTED_VALUE"""),172.52)</f>
        <v>172.52</v>
      </c>
      <c r="BJ1066" s="71">
        <f>IFERROR(__xludf.DUMMYFUNCTION("""COMPUTED_VALUE"""),1250.77)</f>
        <v>1250.77</v>
      </c>
      <c r="BK1066" s="71">
        <f>IFERROR(__xludf.DUMMYFUNCTION("""COMPUTED_VALUE"""),1021.5)</f>
        <v>1021.5</v>
      </c>
      <c r="BL1066" s="71">
        <f>IFERROR(__xludf.DUMMYFUNCTION("""COMPUTED_VALUE"""),163.44)</f>
        <v>163.44</v>
      </c>
      <c r="BM1066" s="71">
        <f>IFERROR(__xludf.DUMMYFUNCTION("""COMPUTED_VALUE"""),1184.94)</f>
        <v>1184.94</v>
      </c>
      <c r="BN1066" s="71">
        <f>IFERROR(__xludf.DUMMYFUNCTION("""COMPUTED_VALUE"""),964.75)</f>
        <v>964.75</v>
      </c>
      <c r="BO1066" s="71">
        <f>IFERROR(__xludf.DUMMYFUNCTION("""COMPUTED_VALUE"""),154.36)</f>
        <v>154.36</v>
      </c>
      <c r="BP1066" s="71">
        <f>IFERROR(__xludf.DUMMYFUNCTION("""COMPUTED_VALUE"""),1119.1100000000001)</f>
        <v>1119.11</v>
      </c>
      <c r="BQ1066" s="71">
        <f>IFERROR(__xludf.DUMMYFUNCTION("""COMPUTED_VALUE"""),942.05)</f>
        <v>942.05</v>
      </c>
      <c r="BR1066" s="71">
        <f>IFERROR(__xludf.DUMMYFUNCTION("""COMPUTED_VALUE"""),150.728)</f>
        <v>150.728</v>
      </c>
      <c r="BS1066" s="71">
        <f>IFERROR(__xludf.DUMMYFUNCTION("""COMPUTED_VALUE"""),1092.778)</f>
        <v>1092.778</v>
      </c>
      <c r="BT1066" s="71">
        <f>IFERROR(__xludf.DUMMYFUNCTION("""COMPUTED_VALUE"""),908.0)</f>
        <v>908</v>
      </c>
      <c r="BU1066" s="71">
        <f>IFERROR(__xludf.DUMMYFUNCTION("""COMPUTED_VALUE"""),145.28)</f>
        <v>145.28</v>
      </c>
      <c r="BV1066" s="71">
        <f>IFERROR(__xludf.DUMMYFUNCTION("""COMPUTED_VALUE"""),1053.28)</f>
        <v>1053.28</v>
      </c>
    </row>
    <row r="1067">
      <c r="A1067" s="53"/>
      <c r="B1067" s="53"/>
      <c r="C1067" s="73" t="s">
        <v>53</v>
      </c>
      <c r="D1067" s="53" t="s">
        <v>2602</v>
      </c>
      <c r="E1067" s="54" t="s">
        <v>38</v>
      </c>
      <c r="F1067" s="54" t="s">
        <v>42</v>
      </c>
      <c r="G1067" s="55" t="s">
        <v>2603</v>
      </c>
      <c r="H1067" s="55" t="s">
        <v>2603</v>
      </c>
      <c r="I1067" s="54">
        <f t="shared" si="24"/>
        <v>16</v>
      </c>
      <c r="J1067" s="56"/>
      <c r="K1067" s="75"/>
      <c r="L1067" s="87"/>
      <c r="M1067" s="59"/>
      <c r="N1067" s="60"/>
      <c r="O1067" s="90"/>
      <c r="P1067" s="62">
        <v>1000.0</v>
      </c>
      <c r="Q1067" s="63">
        <v>1000.0</v>
      </c>
      <c r="R1067" s="64">
        <v>1050.0</v>
      </c>
      <c r="S1067" s="111">
        <v>1103.0</v>
      </c>
      <c r="T1067" s="65">
        <f t="shared" si="34"/>
        <v>176.48</v>
      </c>
      <c r="U1067" s="65">
        <f t="shared" si="35"/>
        <v>1279.48</v>
      </c>
      <c r="V1067" s="66">
        <f t="shared" si="36"/>
        <v>0.05047619048</v>
      </c>
      <c r="W1067" s="67">
        <f t="shared" si="5"/>
        <v>1047.85</v>
      </c>
      <c r="X1067" s="67">
        <f t="shared" si="6"/>
        <v>167.656</v>
      </c>
      <c r="Y1067" s="67">
        <f t="shared" si="7"/>
        <v>1215.506</v>
      </c>
      <c r="Z1067" s="67">
        <f t="shared" si="8"/>
        <v>992.7</v>
      </c>
      <c r="AA1067" s="67">
        <f t="shared" si="9"/>
        <v>158.832</v>
      </c>
      <c r="AB1067" s="67">
        <f t="shared" si="10"/>
        <v>1151.532</v>
      </c>
      <c r="AC1067" s="67">
        <f t="shared" si="11"/>
        <v>937.55</v>
      </c>
      <c r="AD1067" s="67">
        <f t="shared" si="12"/>
        <v>150.008</v>
      </c>
      <c r="AE1067" s="67">
        <f t="shared" si="13"/>
        <v>1087.558</v>
      </c>
      <c r="AF1067" s="67">
        <f t="shared" si="33"/>
        <v>915.49</v>
      </c>
      <c r="AG1067" s="67">
        <f t="shared" si="15"/>
        <v>146.4784</v>
      </c>
      <c r="AH1067" s="67">
        <f t="shared" si="16"/>
        <v>1061.9684</v>
      </c>
      <c r="AI1067" s="67">
        <f t="shared" si="17"/>
        <v>882.4</v>
      </c>
      <c r="AJ1067" s="68">
        <f t="shared" si="37"/>
        <v>141.184</v>
      </c>
      <c r="AK1067" s="68">
        <f t="shared" si="38"/>
        <v>1023.584</v>
      </c>
      <c r="AL1067" s="70">
        <f>IFERROR(__xludf.DUMMYFUNCTION("""COMPUTED_VALUE"""),1.0)</f>
        <v>1</v>
      </c>
      <c r="AM1067" s="70"/>
      <c r="AN1067" s="71" t="str">
        <f>IFERROR(__xludf.DUMMYFUNCTION("""COMPUTED_VALUE""")," P")</f>
        <v>P</v>
      </c>
      <c r="AO1067" s="71" t="str">
        <f>IFERROR(__xludf.DUMMYFUNCTION("""COMPUTED_VALUE""")," RO05")</f>
        <v>RO05</v>
      </c>
      <c r="AP1067" s="71" t="str">
        <f>IFERROR(__xludf.DUMMYFUNCTION("""COMPUTED_VALUE""")," PZA")</f>
        <v>PZA</v>
      </c>
      <c r="AQ1067" s="71" t="str">
        <f>IFERROR(__xludf.DUMMYFUNCTION("""COMPUTED_VALUE""")," REF")</f>
        <v>REF</v>
      </c>
      <c r="AR1067" s="71" t="str">
        <f>IFERROR(__xludf.DUMMYFUNCTION("""COMPUTED_VALUE""")," RODILLO CON CUBIERTA DE HULE CHICA PARA MALLA COLUMPIO SENCILLO")</f>
        <v>RODILLO CON CUBIERTA DE HULE CHICA PARA MALLA COLUMPIO SENCILLO</v>
      </c>
      <c r="AS1067" s="71" t="str">
        <f>IFERROR(__xludf.DUMMYFUNCTION("""COMPUTED_VALUE""")," RODILLO C/CUBIERTA HULE CHICA P/MALLA")</f>
        <v>RODILLO C/CUBIERTA HULE CHICA P/MALLA</v>
      </c>
      <c r="AT1067" s="71">
        <f>IFERROR(__xludf.DUMMYFUNCTION("""COMPUTED_VALUE"""),37.0)</f>
        <v>37</v>
      </c>
      <c r="AU1067" s="71"/>
      <c r="AV1067" s="71"/>
      <c r="AW1067" s="71"/>
      <c r="AX1067" s="71"/>
      <c r="AY1067" s="71">
        <f>IFERROR(__xludf.DUMMYFUNCTION("""COMPUTED_VALUE"""),412.0)</f>
        <v>412</v>
      </c>
      <c r="AZ1067" s="71">
        <f>IFERROR(__xludf.DUMMYFUNCTION("""COMPUTED_VALUE"""),444.0)</f>
        <v>444</v>
      </c>
      <c r="BA1067" s="71">
        <f>IFERROR(__xludf.DUMMYFUNCTION("""COMPUTED_VALUE"""),479.52000000000004)</f>
        <v>479.52</v>
      </c>
      <c r="BB1067" s="71">
        <f>IFERROR(__xludf.DUMMYFUNCTION("""COMPUTED_VALUE"""),479.52000000000004)</f>
        <v>479.52</v>
      </c>
      <c r="BC1067" s="71">
        <f>IFERROR(__xludf.DUMMYFUNCTION("""COMPUTED_VALUE"""),535.0)</f>
        <v>535</v>
      </c>
      <c r="BD1067" s="71">
        <f>IFERROR(__xludf.DUMMYFUNCTION("""COMPUTED_VALUE"""),562.0)</f>
        <v>562</v>
      </c>
      <c r="BE1067" s="71">
        <f>IFERROR(__xludf.DUMMYFUNCTION("""COMPUTED_VALUE"""),89.92)</f>
        <v>89.92</v>
      </c>
      <c r="BF1067" s="71">
        <f>IFERROR(__xludf.DUMMYFUNCTION("""COMPUTED_VALUE"""),651.92)</f>
        <v>651.92</v>
      </c>
      <c r="BG1067" s="71">
        <f>IFERROR(__xludf.DUMMYFUNCTION("""COMPUTED_VALUE"""),0.05046728971962617)</f>
        <v>0.05046728972</v>
      </c>
      <c r="BH1067" s="71">
        <f>IFERROR(__xludf.DUMMYFUNCTION("""COMPUTED_VALUE"""),533.9)</f>
        <v>533.9</v>
      </c>
      <c r="BI1067" s="71">
        <f>IFERROR(__xludf.DUMMYFUNCTION("""COMPUTED_VALUE"""),85.42399999999999)</f>
        <v>85.424</v>
      </c>
      <c r="BJ1067" s="71">
        <f>IFERROR(__xludf.DUMMYFUNCTION("""COMPUTED_VALUE"""),619.324)</f>
        <v>619.324</v>
      </c>
      <c r="BK1067" s="71">
        <f>IFERROR(__xludf.DUMMYFUNCTION("""COMPUTED_VALUE"""),505.8)</f>
        <v>505.8</v>
      </c>
      <c r="BL1067" s="71">
        <f>IFERROR(__xludf.DUMMYFUNCTION("""COMPUTED_VALUE"""),80.928)</f>
        <v>80.928</v>
      </c>
      <c r="BM1067" s="71">
        <f>IFERROR(__xludf.DUMMYFUNCTION("""COMPUTED_VALUE"""),586.7280000000001)</f>
        <v>586.728</v>
      </c>
      <c r="BN1067" s="71">
        <f>IFERROR(__xludf.DUMMYFUNCTION("""COMPUTED_VALUE"""),477.7)</f>
        <v>477.7</v>
      </c>
      <c r="BO1067" s="71">
        <f>IFERROR(__xludf.DUMMYFUNCTION("""COMPUTED_VALUE"""),76.432)</f>
        <v>76.432</v>
      </c>
      <c r="BP1067" s="71">
        <f>IFERROR(__xludf.DUMMYFUNCTION("""COMPUTED_VALUE"""),554.132)</f>
        <v>554.132</v>
      </c>
      <c r="BQ1067" s="71">
        <f>IFERROR(__xludf.DUMMYFUNCTION("""COMPUTED_VALUE"""),466.46)</f>
        <v>466.46</v>
      </c>
      <c r="BR1067" s="71">
        <f>IFERROR(__xludf.DUMMYFUNCTION("""COMPUTED_VALUE"""),74.6336)</f>
        <v>74.6336</v>
      </c>
      <c r="BS1067" s="71">
        <f>IFERROR(__xludf.DUMMYFUNCTION("""COMPUTED_VALUE"""),541.0935999999999)</f>
        <v>541.0936</v>
      </c>
      <c r="BT1067" s="71">
        <f>IFERROR(__xludf.DUMMYFUNCTION("""COMPUTED_VALUE"""),449.6)</f>
        <v>449.6</v>
      </c>
      <c r="BU1067" s="71">
        <f>IFERROR(__xludf.DUMMYFUNCTION("""COMPUTED_VALUE"""),71.936)</f>
        <v>71.936</v>
      </c>
      <c r="BV1067" s="71">
        <f>IFERROR(__xludf.DUMMYFUNCTION("""COMPUTED_VALUE"""),521.5360000000001)</f>
        <v>521.536</v>
      </c>
    </row>
    <row r="1068">
      <c r="A1068" s="53"/>
      <c r="B1068" s="53"/>
      <c r="C1068" s="120" t="s">
        <v>53</v>
      </c>
      <c r="D1068" s="53" t="s">
        <v>2604</v>
      </c>
      <c r="E1068" s="54" t="s">
        <v>38</v>
      </c>
      <c r="F1068" s="54" t="s">
        <v>42</v>
      </c>
      <c r="G1068" s="55" t="s">
        <v>2605</v>
      </c>
      <c r="H1068" s="54" t="s">
        <v>2605</v>
      </c>
      <c r="I1068" s="54">
        <f t="shared" si="24"/>
        <v>40</v>
      </c>
      <c r="J1068" s="56"/>
      <c r="K1068" s="75"/>
      <c r="L1068" s="76"/>
      <c r="M1068" s="59"/>
      <c r="N1068" s="60">
        <v>2348.913</v>
      </c>
      <c r="O1068" s="61">
        <v>2536.0</v>
      </c>
      <c r="P1068" s="62">
        <v>2738.88</v>
      </c>
      <c r="Q1068" s="63">
        <v>2738.88</v>
      </c>
      <c r="R1068" s="64">
        <v>2876.0</v>
      </c>
      <c r="S1068" s="111">
        <v>3020.0</v>
      </c>
      <c r="T1068" s="65">
        <f t="shared" si="34"/>
        <v>483.2</v>
      </c>
      <c r="U1068" s="65">
        <f t="shared" si="35"/>
        <v>3503.2</v>
      </c>
      <c r="V1068" s="66">
        <f t="shared" si="36"/>
        <v>0.05006954103</v>
      </c>
      <c r="W1068" s="67">
        <f t="shared" si="5"/>
        <v>2869</v>
      </c>
      <c r="X1068" s="67">
        <f t="shared" si="6"/>
        <v>459.04</v>
      </c>
      <c r="Y1068" s="67">
        <f t="shared" si="7"/>
        <v>3328.04</v>
      </c>
      <c r="Z1068" s="67">
        <f t="shared" si="8"/>
        <v>2718</v>
      </c>
      <c r="AA1068" s="67">
        <f t="shared" si="9"/>
        <v>434.88</v>
      </c>
      <c r="AB1068" s="67">
        <f t="shared" si="10"/>
        <v>3152.88</v>
      </c>
      <c r="AC1068" s="67">
        <f t="shared" si="11"/>
        <v>2567</v>
      </c>
      <c r="AD1068" s="67">
        <f t="shared" si="12"/>
        <v>410.72</v>
      </c>
      <c r="AE1068" s="67">
        <f t="shared" si="13"/>
        <v>2977.72</v>
      </c>
      <c r="AF1068" s="67">
        <f t="shared" si="33"/>
        <v>2506.6</v>
      </c>
      <c r="AG1068" s="67">
        <f t="shared" si="15"/>
        <v>401.056</v>
      </c>
      <c r="AH1068" s="67">
        <f t="shared" si="16"/>
        <v>2907.656</v>
      </c>
      <c r="AI1068" s="67">
        <f t="shared" si="17"/>
        <v>2416</v>
      </c>
      <c r="AJ1068" s="68">
        <f t="shared" si="37"/>
        <v>386.56</v>
      </c>
      <c r="AK1068" s="68">
        <f t="shared" si="38"/>
        <v>2802.56</v>
      </c>
      <c r="AL1068" s="70">
        <f>IFERROR(__xludf.DUMMYFUNCTION("""COMPUTED_VALUE"""),1.0)</f>
        <v>1</v>
      </c>
      <c r="AM1068" s="70"/>
      <c r="AN1068" s="71" t="str">
        <f>IFERROR(__xludf.DUMMYFUNCTION("""COMPUTED_VALUE""")," P")</f>
        <v>P</v>
      </c>
      <c r="AO1068" s="71" t="str">
        <f>IFERROR(__xludf.DUMMYFUNCTION("""COMPUTED_VALUE""")," RO06")</f>
        <v>RO06</v>
      </c>
      <c r="AP1068" s="71" t="str">
        <f>IFERROR(__xludf.DUMMYFUNCTION("""COMPUTED_VALUE""")," PZA")</f>
        <v>PZA</v>
      </c>
      <c r="AQ1068" s="71" t="str">
        <f>IFERROR(__xludf.DUMMYFUNCTION("""COMPUTED_VALUE""")," REF")</f>
        <v>REF</v>
      </c>
      <c r="AR1068" s="71" t="str">
        <f>IFERROR(__xludf.DUMMYFUNCTION("""COMPUTED_VALUE""")," RODILLO CON CUBIERTA DE HULE CHICA RANURADA PARA MALLA COLUMPIO SENCILLO")</f>
        <v>RODILLO CON CUBIERTA DE HULE CHICA RANURADA PARA MALLA COLUMPIO SENCILLO</v>
      </c>
      <c r="AS1068" s="71" t="str">
        <f>IFERROR(__xludf.DUMMYFUNCTION("""COMPUTED_VALUE""")," RODILLO C/CUBIERTA HULE CHICA RANURADA")</f>
        <v>RODILLO C/CUBIERTA HULE CHICA RANURADA</v>
      </c>
      <c r="AT1068" s="71">
        <f>IFERROR(__xludf.DUMMYFUNCTION("""COMPUTED_VALUE"""),38.0)</f>
        <v>38</v>
      </c>
      <c r="AU1068" s="71"/>
      <c r="AV1068" s="71"/>
      <c r="AW1068" s="71"/>
      <c r="AX1068" s="71"/>
      <c r="AY1068" s="71">
        <f>IFERROR(__xludf.DUMMYFUNCTION("""COMPUTED_VALUE"""),423.0)</f>
        <v>423</v>
      </c>
      <c r="AZ1068" s="71">
        <f>IFERROR(__xludf.DUMMYFUNCTION("""COMPUTED_VALUE"""),456.0)</f>
        <v>456</v>
      </c>
      <c r="BA1068" s="71">
        <f>IFERROR(__xludf.DUMMYFUNCTION("""COMPUTED_VALUE"""),492.48)</f>
        <v>492.48</v>
      </c>
      <c r="BB1068" s="71">
        <f>IFERROR(__xludf.DUMMYFUNCTION("""COMPUTED_VALUE"""),492.48)</f>
        <v>492.48</v>
      </c>
      <c r="BC1068" s="71">
        <f>IFERROR(__xludf.DUMMYFUNCTION("""COMPUTED_VALUE"""),550.0)</f>
        <v>550</v>
      </c>
      <c r="BD1068" s="71">
        <f>IFERROR(__xludf.DUMMYFUNCTION("""COMPUTED_VALUE"""),578.0)</f>
        <v>578</v>
      </c>
      <c r="BE1068" s="71">
        <f>IFERROR(__xludf.DUMMYFUNCTION("""COMPUTED_VALUE"""),92.48)</f>
        <v>92.48</v>
      </c>
      <c r="BF1068" s="71">
        <f>IFERROR(__xludf.DUMMYFUNCTION("""COMPUTED_VALUE"""),670.48)</f>
        <v>670.48</v>
      </c>
      <c r="BG1068" s="71">
        <f>IFERROR(__xludf.DUMMYFUNCTION("""COMPUTED_VALUE"""),0.05090909090909091)</f>
        <v>0.05090909091</v>
      </c>
      <c r="BH1068" s="71">
        <f>IFERROR(__xludf.DUMMYFUNCTION("""COMPUTED_VALUE"""),549.1)</f>
        <v>549.1</v>
      </c>
      <c r="BI1068" s="71">
        <f>IFERROR(__xludf.DUMMYFUNCTION("""COMPUTED_VALUE"""),87.85600000000001)</f>
        <v>87.856</v>
      </c>
      <c r="BJ1068" s="71">
        <f>IFERROR(__xludf.DUMMYFUNCTION("""COMPUTED_VALUE"""),636.956)</f>
        <v>636.956</v>
      </c>
      <c r="BK1068" s="71">
        <f>IFERROR(__xludf.DUMMYFUNCTION("""COMPUTED_VALUE"""),520.2)</f>
        <v>520.2</v>
      </c>
      <c r="BL1068" s="71">
        <f>IFERROR(__xludf.DUMMYFUNCTION("""COMPUTED_VALUE"""),83.23200000000001)</f>
        <v>83.232</v>
      </c>
      <c r="BM1068" s="71">
        <f>IFERROR(__xludf.DUMMYFUNCTION("""COMPUTED_VALUE"""),603.432)</f>
        <v>603.432</v>
      </c>
      <c r="BN1068" s="71">
        <f>IFERROR(__xludf.DUMMYFUNCTION("""COMPUTED_VALUE"""),491.3)</f>
        <v>491.3</v>
      </c>
      <c r="BO1068" s="71">
        <f>IFERROR(__xludf.DUMMYFUNCTION("""COMPUTED_VALUE"""),78.608)</f>
        <v>78.608</v>
      </c>
      <c r="BP1068" s="71">
        <f>IFERROR(__xludf.DUMMYFUNCTION("""COMPUTED_VALUE"""),569.908)</f>
        <v>569.908</v>
      </c>
      <c r="BQ1068" s="71">
        <f>IFERROR(__xludf.DUMMYFUNCTION("""COMPUTED_VALUE"""),479.73999999999995)</f>
        <v>479.74</v>
      </c>
      <c r="BR1068" s="71">
        <f>IFERROR(__xludf.DUMMYFUNCTION("""COMPUTED_VALUE"""),76.7584)</f>
        <v>76.7584</v>
      </c>
      <c r="BS1068" s="71">
        <f>IFERROR(__xludf.DUMMYFUNCTION("""COMPUTED_VALUE"""),556.4984)</f>
        <v>556.4984</v>
      </c>
      <c r="BT1068" s="71">
        <f>IFERROR(__xludf.DUMMYFUNCTION("""COMPUTED_VALUE"""),462.40000000000003)</f>
        <v>462.4</v>
      </c>
      <c r="BU1068" s="71">
        <f>IFERROR(__xludf.DUMMYFUNCTION("""COMPUTED_VALUE"""),73.98400000000001)</f>
        <v>73.984</v>
      </c>
      <c r="BV1068" s="71">
        <f>IFERROR(__xludf.DUMMYFUNCTION("""COMPUTED_VALUE"""),536.384)</f>
        <v>536.384</v>
      </c>
    </row>
    <row r="1069">
      <c r="A1069" s="53"/>
      <c r="B1069" s="53">
        <v>0.0</v>
      </c>
      <c r="C1069" s="53" t="s">
        <v>53</v>
      </c>
      <c r="D1069" s="53" t="s">
        <v>2606</v>
      </c>
      <c r="E1069" s="86" t="s">
        <v>38</v>
      </c>
      <c r="F1069" s="91" t="s">
        <v>42</v>
      </c>
      <c r="G1069" s="84" t="s">
        <v>2607</v>
      </c>
      <c r="H1069" s="84" t="s">
        <v>2607</v>
      </c>
      <c r="I1069" s="54">
        <f t="shared" si="24"/>
        <v>32</v>
      </c>
      <c r="J1069" s="56"/>
      <c r="K1069" s="57"/>
      <c r="L1069" s="76" t="s">
        <v>661</v>
      </c>
      <c r="M1069" s="59"/>
      <c r="N1069" s="60"/>
      <c r="O1069" s="90"/>
      <c r="P1069" s="62">
        <v>3450.0</v>
      </c>
      <c r="Q1069" s="63">
        <v>3450.0</v>
      </c>
      <c r="R1069" s="64">
        <v>3623.0</v>
      </c>
      <c r="S1069" s="111">
        <v>3804.0</v>
      </c>
      <c r="T1069" s="65"/>
      <c r="U1069" s="65"/>
      <c r="V1069" s="66"/>
      <c r="W1069" s="67" t="b">
        <f t="shared" si="5"/>
        <v>0</v>
      </c>
      <c r="X1069" s="67">
        <f t="shared" si="6"/>
        <v>0</v>
      </c>
      <c r="Y1069" s="67">
        <f t="shared" si="7"/>
        <v>0</v>
      </c>
      <c r="Z1069" s="67" t="b">
        <f t="shared" si="8"/>
        <v>0</v>
      </c>
      <c r="AA1069" s="67">
        <f t="shared" si="9"/>
        <v>0</v>
      </c>
      <c r="AB1069" s="67">
        <f t="shared" si="10"/>
        <v>0</v>
      </c>
      <c r="AC1069" s="67" t="b">
        <f t="shared" si="11"/>
        <v>0</v>
      </c>
      <c r="AD1069" s="67">
        <f t="shared" si="12"/>
        <v>0</v>
      </c>
      <c r="AE1069" s="67">
        <f t="shared" si="13"/>
        <v>0</v>
      </c>
      <c r="AF1069" s="67" t="b">
        <f t="shared" si="33"/>
        <v>0</v>
      </c>
      <c r="AG1069" s="67">
        <f t="shared" si="15"/>
        <v>0</v>
      </c>
      <c r="AH1069" s="67">
        <f t="shared" si="16"/>
        <v>0</v>
      </c>
      <c r="AI1069" s="67" t="b">
        <f t="shared" si="17"/>
        <v>0</v>
      </c>
      <c r="AJ1069" s="68">
        <f t="shared" si="37"/>
        <v>0</v>
      </c>
      <c r="AK1069" s="68">
        <f t="shared" si="38"/>
        <v>0</v>
      </c>
      <c r="AL1069" s="70">
        <f>IFERROR(__xludf.DUMMYFUNCTION("""COMPUTED_VALUE"""),1.0)</f>
        <v>1</v>
      </c>
      <c r="AM1069" s="70"/>
      <c r="AN1069" s="71" t="str">
        <f>IFERROR(__xludf.DUMMYFUNCTION("""COMPUTED_VALUE""")," P")</f>
        <v>P</v>
      </c>
      <c r="AO1069" s="71" t="str">
        <f>IFERROR(__xludf.DUMMYFUNCTION("""COMPUTED_VALUE""")," RO09")</f>
        <v>RO09</v>
      </c>
      <c r="AP1069" s="71" t="str">
        <f>IFERROR(__xludf.DUMMYFUNCTION("""COMPUTED_VALUE""")," PZA")</f>
        <v>PZA</v>
      </c>
      <c r="AQ1069" s="71" t="str">
        <f>IFERROR(__xludf.DUMMYFUNCTION("""COMPUTED_VALUE""")," REF")</f>
        <v>REF</v>
      </c>
      <c r="AR1069" s="71" t="str">
        <f>IFERROR(__xludf.DUMMYFUNCTION("""COMPUTED_VALUE""")," RODILLO DE 1/2"" DÚPLEX")</f>
        <v>RODILLO DE 1/2" DÚPLEX</v>
      </c>
      <c r="AS1069" s="71" t="str">
        <f>IFERROR(__xludf.DUMMYFUNCTION("""COMPUTED_VALUE""")," RODILLO DE 1/2 DPLX")</f>
        <v>RODILLO DE 1/2 DPLX</v>
      </c>
      <c r="AT1069" s="71">
        <f>IFERROR(__xludf.DUMMYFUNCTION("""COMPUTED_VALUE"""),19.0)</f>
        <v>19</v>
      </c>
      <c r="AU1069" s="71"/>
      <c r="AV1069" s="71"/>
      <c r="AW1069" s="71"/>
      <c r="AX1069" s="71"/>
      <c r="AY1069" s="71">
        <f>IFERROR(__xludf.DUMMYFUNCTION("""COMPUTED_VALUE"""),91.0)</f>
        <v>91</v>
      </c>
      <c r="AZ1069" s="71">
        <f>IFERROR(__xludf.DUMMYFUNCTION("""COMPUTED_VALUE"""),98.0)</f>
        <v>98</v>
      </c>
      <c r="BA1069" s="71">
        <f>IFERROR(__xludf.DUMMYFUNCTION("""COMPUTED_VALUE"""),105.84)</f>
        <v>105.84</v>
      </c>
      <c r="BB1069" s="71">
        <f>IFERROR(__xludf.DUMMYFUNCTION("""COMPUTED_VALUE"""),105.84)</f>
        <v>105.84</v>
      </c>
      <c r="BC1069" s="71">
        <f>IFERROR(__xludf.DUMMYFUNCTION("""COMPUTED_VALUE"""),119.0)</f>
        <v>119</v>
      </c>
      <c r="BD1069" s="71">
        <f>IFERROR(__xludf.DUMMYFUNCTION("""COMPUTED_VALUE"""),125.0)</f>
        <v>125</v>
      </c>
      <c r="BE1069" s="71">
        <f>IFERROR(__xludf.DUMMYFUNCTION("""COMPUTED_VALUE"""),20.0)</f>
        <v>20</v>
      </c>
      <c r="BF1069" s="71">
        <f>IFERROR(__xludf.DUMMYFUNCTION("""COMPUTED_VALUE"""),145.0)</f>
        <v>145</v>
      </c>
      <c r="BG1069" s="71">
        <f>IFERROR(__xludf.DUMMYFUNCTION("""COMPUTED_VALUE"""),0.05042016806722689)</f>
        <v>0.05042016807</v>
      </c>
      <c r="BH1069" s="71">
        <f>IFERROR(__xludf.DUMMYFUNCTION("""COMPUTED_VALUE"""),118.75)</f>
        <v>118.75</v>
      </c>
      <c r="BI1069" s="71">
        <f>IFERROR(__xludf.DUMMYFUNCTION("""COMPUTED_VALUE"""),19.0)</f>
        <v>19</v>
      </c>
      <c r="BJ1069" s="71">
        <f>IFERROR(__xludf.DUMMYFUNCTION("""COMPUTED_VALUE"""),137.75)</f>
        <v>137.75</v>
      </c>
      <c r="BK1069" s="71">
        <f>IFERROR(__xludf.DUMMYFUNCTION("""COMPUTED_VALUE"""),112.5)</f>
        <v>112.5</v>
      </c>
      <c r="BL1069" s="71">
        <f>IFERROR(__xludf.DUMMYFUNCTION("""COMPUTED_VALUE"""),18.0)</f>
        <v>18</v>
      </c>
      <c r="BM1069" s="71">
        <f>IFERROR(__xludf.DUMMYFUNCTION("""COMPUTED_VALUE"""),130.5)</f>
        <v>130.5</v>
      </c>
      <c r="BN1069" s="71">
        <f>IFERROR(__xludf.DUMMYFUNCTION("""COMPUTED_VALUE"""),106.25)</f>
        <v>106.25</v>
      </c>
      <c r="BO1069" s="71">
        <f>IFERROR(__xludf.DUMMYFUNCTION("""COMPUTED_VALUE"""),17.0)</f>
        <v>17</v>
      </c>
      <c r="BP1069" s="71">
        <f>IFERROR(__xludf.DUMMYFUNCTION("""COMPUTED_VALUE"""),123.25)</f>
        <v>123.25</v>
      </c>
      <c r="BQ1069" s="71">
        <f>IFERROR(__xludf.DUMMYFUNCTION("""COMPUTED_VALUE"""),103.75)</f>
        <v>103.75</v>
      </c>
      <c r="BR1069" s="71">
        <f>IFERROR(__xludf.DUMMYFUNCTION("""COMPUTED_VALUE"""),16.6)</f>
        <v>16.6</v>
      </c>
      <c r="BS1069" s="71">
        <f>IFERROR(__xludf.DUMMYFUNCTION("""COMPUTED_VALUE"""),120.35)</f>
        <v>120.35</v>
      </c>
      <c r="BT1069" s="71">
        <f>IFERROR(__xludf.DUMMYFUNCTION("""COMPUTED_VALUE"""),100.0)</f>
        <v>100</v>
      </c>
      <c r="BU1069" s="71">
        <f>IFERROR(__xludf.DUMMYFUNCTION("""COMPUTED_VALUE"""),16.0)</f>
        <v>16</v>
      </c>
      <c r="BV1069" s="71">
        <f>IFERROR(__xludf.DUMMYFUNCTION("""COMPUTED_VALUE"""),116.0)</f>
        <v>116</v>
      </c>
    </row>
    <row r="1070">
      <c r="A1070" s="53"/>
      <c r="B1070" s="53"/>
      <c r="C1070" s="53" t="s">
        <v>36</v>
      </c>
      <c r="D1070" s="85" t="s">
        <v>2608</v>
      </c>
      <c r="E1070" s="54" t="s">
        <v>38</v>
      </c>
      <c r="F1070" s="55" t="s">
        <v>39</v>
      </c>
      <c r="G1070" s="86" t="s">
        <v>2609</v>
      </c>
      <c r="H1070" s="55"/>
      <c r="I1070" s="54">
        <f t="shared" si="24"/>
        <v>0</v>
      </c>
      <c r="J1070" s="56"/>
      <c r="K1070" s="57"/>
      <c r="L1070" s="76"/>
      <c r="M1070" s="59"/>
      <c r="N1070" s="60"/>
      <c r="O1070" s="61">
        <v>1359.6</v>
      </c>
      <c r="P1070" s="62">
        <v>1468.368</v>
      </c>
      <c r="Q1070" s="63">
        <v>1468.368</v>
      </c>
      <c r="R1070" s="64">
        <v>1542.0</v>
      </c>
      <c r="S1070" s="107">
        <v>1619.0</v>
      </c>
      <c r="T1070" s="65">
        <f>S1070*0.16</f>
        <v>259.04</v>
      </c>
      <c r="U1070" s="65">
        <f>S1070+T1070</f>
        <v>1878.04</v>
      </c>
      <c r="V1070" s="66">
        <f>(S1070-R1070)/R1070</f>
        <v>0.04993514916</v>
      </c>
      <c r="W1070" s="67">
        <f t="shared" si="5"/>
        <v>1538.05</v>
      </c>
      <c r="X1070" s="67">
        <f t="shared" si="6"/>
        <v>246.088</v>
      </c>
      <c r="Y1070" s="67">
        <f t="shared" si="7"/>
        <v>1784.138</v>
      </c>
      <c r="Z1070" s="67">
        <f t="shared" si="8"/>
        <v>1457.1</v>
      </c>
      <c r="AA1070" s="67">
        <f t="shared" si="9"/>
        <v>233.136</v>
      </c>
      <c r="AB1070" s="67">
        <f t="shared" si="10"/>
        <v>1690.236</v>
      </c>
      <c r="AC1070" s="67">
        <f t="shared" si="11"/>
        <v>1376.15</v>
      </c>
      <c r="AD1070" s="67">
        <f t="shared" si="12"/>
        <v>220.184</v>
      </c>
      <c r="AE1070" s="67">
        <f t="shared" si="13"/>
        <v>1596.334</v>
      </c>
      <c r="AF1070" s="67">
        <f t="shared" si="33"/>
        <v>1343.77</v>
      </c>
      <c r="AG1070" s="67">
        <f t="shared" si="15"/>
        <v>215.0032</v>
      </c>
      <c r="AH1070" s="67">
        <f t="shared" si="16"/>
        <v>1558.7732</v>
      </c>
      <c r="AI1070" s="67">
        <f t="shared" si="17"/>
        <v>1295.2</v>
      </c>
      <c r="AJ1070" s="68">
        <f t="shared" si="37"/>
        <v>207.232</v>
      </c>
      <c r="AK1070" s="68">
        <f t="shared" si="38"/>
        <v>1502.432</v>
      </c>
      <c r="AL1070" s="70">
        <f>IFERROR(__xludf.DUMMYFUNCTION("""COMPUTED_VALUE"""),1.0)</f>
        <v>1</v>
      </c>
      <c r="AM1070" s="70"/>
      <c r="AN1070" s="71" t="str">
        <f>IFERROR(__xludf.DUMMYFUNCTION("""COMPUTED_VALUE""")," P")</f>
        <v>P</v>
      </c>
      <c r="AO1070" s="71" t="str">
        <f>IFERROR(__xludf.DUMMYFUNCTION("""COMPUTED_VALUE""")," RO10")</f>
        <v>RO10</v>
      </c>
      <c r="AP1070" s="71" t="str">
        <f>IFERROR(__xludf.DUMMYFUNCTION("""COMPUTED_VALUE""")," PZA")</f>
        <v>PZA</v>
      </c>
      <c r="AQ1070" s="71" t="str">
        <f>IFERROR(__xludf.DUMMYFUNCTION("""COMPUTED_VALUE""")," REF")</f>
        <v>REF</v>
      </c>
      <c r="AR1070" s="71" t="str">
        <f>IFERROR(__xludf.DUMMYFUNCTION("""COMPUTED_VALUE""")," RODILLO DE 1/2"" SENCILLO")</f>
        <v>RODILLO DE 1/2" SENCILLO</v>
      </c>
      <c r="AS1070" s="71" t="str">
        <f>IFERROR(__xludf.DUMMYFUNCTION("""COMPUTED_VALUE""")," RODILLO DE 1/2 SENCILLO")</f>
        <v>RODILLO DE 1/2 SENCILLO</v>
      </c>
      <c r="AT1070" s="71">
        <f>IFERROR(__xludf.DUMMYFUNCTION("""COMPUTED_VALUE"""),23.0)</f>
        <v>23</v>
      </c>
      <c r="AU1070" s="71"/>
      <c r="AV1070" s="71"/>
      <c r="AW1070" s="71"/>
      <c r="AX1070" s="71"/>
      <c r="AY1070" s="71">
        <f>IFERROR(__xludf.DUMMYFUNCTION("""COMPUTED_VALUE"""),84.0)</f>
        <v>84</v>
      </c>
      <c r="AZ1070" s="71">
        <f>IFERROR(__xludf.DUMMYFUNCTION("""COMPUTED_VALUE"""),90.0)</f>
        <v>90</v>
      </c>
      <c r="BA1070" s="71">
        <f>IFERROR(__xludf.DUMMYFUNCTION("""COMPUTED_VALUE"""),97.2)</f>
        <v>97.2</v>
      </c>
      <c r="BB1070" s="71">
        <f>IFERROR(__xludf.DUMMYFUNCTION("""COMPUTED_VALUE"""),97.2)</f>
        <v>97.2</v>
      </c>
      <c r="BC1070" s="71">
        <f>IFERROR(__xludf.DUMMYFUNCTION("""COMPUTED_VALUE"""),110.0)</f>
        <v>110</v>
      </c>
      <c r="BD1070" s="71">
        <f>IFERROR(__xludf.DUMMYFUNCTION("""COMPUTED_VALUE"""),116.0)</f>
        <v>116</v>
      </c>
      <c r="BE1070" s="71">
        <f>IFERROR(__xludf.DUMMYFUNCTION("""COMPUTED_VALUE"""),18.56)</f>
        <v>18.56</v>
      </c>
      <c r="BF1070" s="71">
        <f>IFERROR(__xludf.DUMMYFUNCTION("""COMPUTED_VALUE"""),134.56)</f>
        <v>134.56</v>
      </c>
      <c r="BG1070" s="71">
        <f>IFERROR(__xludf.DUMMYFUNCTION("""COMPUTED_VALUE"""),0.05454545454545454)</f>
        <v>0.05454545455</v>
      </c>
      <c r="BH1070" s="71">
        <f>IFERROR(__xludf.DUMMYFUNCTION("""COMPUTED_VALUE"""),110.19999999999999)</f>
        <v>110.2</v>
      </c>
      <c r="BI1070" s="71">
        <f>IFERROR(__xludf.DUMMYFUNCTION("""COMPUTED_VALUE"""),17.631999999999998)</f>
        <v>17.632</v>
      </c>
      <c r="BJ1070" s="71">
        <f>IFERROR(__xludf.DUMMYFUNCTION("""COMPUTED_VALUE"""),127.832)</f>
        <v>127.832</v>
      </c>
      <c r="BK1070" s="71">
        <f>IFERROR(__xludf.DUMMYFUNCTION("""COMPUTED_VALUE"""),104.4)</f>
        <v>104.4</v>
      </c>
      <c r="BL1070" s="71">
        <f>IFERROR(__xludf.DUMMYFUNCTION("""COMPUTED_VALUE"""),16.704)</f>
        <v>16.704</v>
      </c>
      <c r="BM1070" s="71">
        <f>IFERROR(__xludf.DUMMYFUNCTION("""COMPUTED_VALUE"""),121.10400000000001)</f>
        <v>121.104</v>
      </c>
      <c r="BN1070" s="71">
        <f>IFERROR(__xludf.DUMMYFUNCTION("""COMPUTED_VALUE"""),98.6)</f>
        <v>98.6</v>
      </c>
      <c r="BO1070" s="71">
        <f>IFERROR(__xludf.DUMMYFUNCTION("""COMPUTED_VALUE"""),15.776)</f>
        <v>15.776</v>
      </c>
      <c r="BP1070" s="71">
        <f>IFERROR(__xludf.DUMMYFUNCTION("""COMPUTED_VALUE"""),114.37599999999999)</f>
        <v>114.376</v>
      </c>
      <c r="BQ1070" s="71">
        <f>IFERROR(__xludf.DUMMYFUNCTION("""COMPUTED_VALUE"""),96.28)</f>
        <v>96.28</v>
      </c>
      <c r="BR1070" s="71">
        <f>IFERROR(__xludf.DUMMYFUNCTION("""COMPUTED_VALUE"""),15.4048)</f>
        <v>15.4048</v>
      </c>
      <c r="BS1070" s="71">
        <f>IFERROR(__xludf.DUMMYFUNCTION("""COMPUTED_VALUE"""),111.6848)</f>
        <v>111.6848</v>
      </c>
      <c r="BT1070" s="71">
        <f>IFERROR(__xludf.DUMMYFUNCTION("""COMPUTED_VALUE"""),92.80000000000001)</f>
        <v>92.8</v>
      </c>
      <c r="BU1070" s="71">
        <f>IFERROR(__xludf.DUMMYFUNCTION("""COMPUTED_VALUE"""),14.848000000000003)</f>
        <v>14.848</v>
      </c>
      <c r="BV1070" s="71">
        <f>IFERROR(__xludf.DUMMYFUNCTION("""COMPUTED_VALUE"""),107.64800000000001)</f>
        <v>107.648</v>
      </c>
    </row>
    <row r="1071">
      <c r="A1071" s="53"/>
      <c r="B1071" s="53"/>
      <c r="C1071" s="53" t="s">
        <v>53</v>
      </c>
      <c r="D1071" s="53" t="s">
        <v>2610</v>
      </c>
      <c r="E1071" s="86" t="s">
        <v>38</v>
      </c>
      <c r="F1071" s="91" t="s">
        <v>42</v>
      </c>
      <c r="G1071" s="84" t="s">
        <v>2611</v>
      </c>
      <c r="H1071" s="84" t="s">
        <v>2611</v>
      </c>
      <c r="I1071" s="54">
        <f t="shared" si="24"/>
        <v>29</v>
      </c>
      <c r="J1071" s="56"/>
      <c r="K1071" s="57"/>
      <c r="L1071" s="76"/>
      <c r="M1071" s="59"/>
      <c r="N1071" s="60"/>
      <c r="O1071" s="90"/>
      <c r="P1071" s="62">
        <v>409.0</v>
      </c>
      <c r="Q1071" s="63">
        <v>409.0</v>
      </c>
      <c r="R1071" s="64">
        <v>430.0</v>
      </c>
      <c r="S1071" s="111">
        <v>452.0</v>
      </c>
      <c r="T1071" s="65"/>
      <c r="U1071" s="65"/>
      <c r="V1071" s="66"/>
      <c r="W1071" s="67">
        <f t="shared" si="5"/>
        <v>429.4</v>
      </c>
      <c r="X1071" s="67">
        <f t="shared" si="6"/>
        <v>68.704</v>
      </c>
      <c r="Y1071" s="67">
        <f t="shared" si="7"/>
        <v>498.104</v>
      </c>
      <c r="Z1071" s="67">
        <f t="shared" si="8"/>
        <v>406.8</v>
      </c>
      <c r="AA1071" s="67">
        <f t="shared" si="9"/>
        <v>65.088</v>
      </c>
      <c r="AB1071" s="67">
        <f t="shared" si="10"/>
        <v>471.888</v>
      </c>
      <c r="AC1071" s="67">
        <f t="shared" si="11"/>
        <v>384.2</v>
      </c>
      <c r="AD1071" s="67">
        <f t="shared" si="12"/>
        <v>61.472</v>
      </c>
      <c r="AE1071" s="67">
        <f t="shared" si="13"/>
        <v>445.672</v>
      </c>
      <c r="AF1071" s="67">
        <f t="shared" si="33"/>
        <v>375.16</v>
      </c>
      <c r="AG1071" s="67">
        <f t="shared" si="15"/>
        <v>60.0256</v>
      </c>
      <c r="AH1071" s="67">
        <f t="shared" si="16"/>
        <v>435.1856</v>
      </c>
      <c r="AI1071" s="67">
        <f t="shared" si="17"/>
        <v>361.6</v>
      </c>
      <c r="AJ1071" s="68">
        <f t="shared" si="37"/>
        <v>57.856</v>
      </c>
      <c r="AK1071" s="68">
        <f t="shared" si="38"/>
        <v>419.456</v>
      </c>
      <c r="AL1071" s="70">
        <f>IFERROR(__xludf.DUMMYFUNCTION("""COMPUTED_VALUE"""),1.0)</f>
        <v>1</v>
      </c>
      <c r="AM1071" s="70"/>
      <c r="AN1071" s="71" t="str">
        <f>IFERROR(__xludf.DUMMYFUNCTION("""COMPUTED_VALUE""")," P")</f>
        <v>P</v>
      </c>
      <c r="AO1071" s="71" t="str">
        <f>IFERROR(__xludf.DUMMYFUNCTION("""COMPUTED_VALUE""")," RO11")</f>
        <v>RO11</v>
      </c>
      <c r="AP1071" s="71" t="str">
        <f>IFERROR(__xludf.DUMMYFUNCTION("""COMPUTED_VALUE""")," PZA")</f>
        <v>PZA</v>
      </c>
      <c r="AQ1071" s="71" t="str">
        <f>IFERROR(__xludf.DUMMYFUNCTION("""COMPUTED_VALUE""")," REF")</f>
        <v>REF</v>
      </c>
      <c r="AR1071" s="71" t="str">
        <f>IFERROR(__xludf.DUMMYFUNCTION("""COMPUTED_VALUE""")," RODILLO DE ALUMINIO PARA MALLA COLUMPIO DÚPLEX")</f>
        <v>RODILLO DE ALUMINIO PARA MALLA COLUMPIO DÚPLEX</v>
      </c>
      <c r="AS1071" s="71" t="str">
        <f>IFERROR(__xludf.DUMMYFUNCTION("""COMPUTED_VALUE""")," RODILLO ALUMINIO P/MALLA COLUMPIO DPLX")</f>
        <v>RODILLO ALUMINIO P/MALLA COLUMPIO DPLX</v>
      </c>
      <c r="AT1071" s="71">
        <f>IFERROR(__xludf.DUMMYFUNCTION("""COMPUTED_VALUE"""),38.0)</f>
        <v>38</v>
      </c>
      <c r="AU1071" s="71"/>
      <c r="AV1071" s="71"/>
      <c r="AW1071" s="71"/>
      <c r="AX1071" s="71"/>
      <c r="AY1071" s="71">
        <f>IFERROR(__xludf.DUMMYFUNCTION("""COMPUTED_VALUE"""),1061.0)</f>
        <v>1061</v>
      </c>
      <c r="AZ1071" s="71">
        <f>IFERROR(__xludf.DUMMYFUNCTION("""COMPUTED_VALUE"""),1145.0)</f>
        <v>1145</v>
      </c>
      <c r="BA1071" s="71">
        <f>IFERROR(__xludf.DUMMYFUNCTION("""COMPUTED_VALUE"""),1236.6000000000001)</f>
        <v>1236.6</v>
      </c>
      <c r="BB1071" s="71">
        <f>IFERROR(__xludf.DUMMYFUNCTION("""COMPUTED_VALUE"""),1236.6000000000001)</f>
        <v>1236.6</v>
      </c>
      <c r="BC1071" s="71">
        <f>IFERROR(__xludf.DUMMYFUNCTION("""COMPUTED_VALUE"""),1733.0)</f>
        <v>1733</v>
      </c>
      <c r="BD1071" s="71">
        <f>IFERROR(__xludf.DUMMYFUNCTION("""COMPUTED_VALUE"""),1820.0)</f>
        <v>1820</v>
      </c>
      <c r="BE1071" s="71">
        <f>IFERROR(__xludf.DUMMYFUNCTION("""COMPUTED_VALUE"""),291.2)</f>
        <v>291.2</v>
      </c>
      <c r="BF1071" s="71">
        <f>IFERROR(__xludf.DUMMYFUNCTION("""COMPUTED_VALUE"""),2111.2)</f>
        <v>2111.2</v>
      </c>
      <c r="BG1071" s="71">
        <f>IFERROR(__xludf.DUMMYFUNCTION("""COMPUTED_VALUE"""),0.05020196191575303)</f>
        <v>0.05020196192</v>
      </c>
      <c r="BH1071" s="71">
        <f>IFERROR(__xludf.DUMMYFUNCTION("""COMPUTED_VALUE"""),1729.0)</f>
        <v>1729</v>
      </c>
      <c r="BI1071" s="71">
        <f>IFERROR(__xludf.DUMMYFUNCTION("""COMPUTED_VALUE"""),276.64)</f>
        <v>276.64</v>
      </c>
      <c r="BJ1071" s="71">
        <f>IFERROR(__xludf.DUMMYFUNCTION("""COMPUTED_VALUE"""),2005.6399999999999)</f>
        <v>2005.64</v>
      </c>
      <c r="BK1071" s="71">
        <f>IFERROR(__xludf.DUMMYFUNCTION("""COMPUTED_VALUE"""),1638.0)</f>
        <v>1638</v>
      </c>
      <c r="BL1071" s="71">
        <f>IFERROR(__xludf.DUMMYFUNCTION("""COMPUTED_VALUE"""),262.08)</f>
        <v>262.08</v>
      </c>
      <c r="BM1071" s="71">
        <f>IFERROR(__xludf.DUMMYFUNCTION("""COMPUTED_VALUE"""),1900.08)</f>
        <v>1900.08</v>
      </c>
      <c r="BN1071" s="71">
        <f>IFERROR(__xludf.DUMMYFUNCTION("""COMPUTED_VALUE"""),1547.0)</f>
        <v>1547</v>
      </c>
      <c r="BO1071" s="71">
        <f>IFERROR(__xludf.DUMMYFUNCTION("""COMPUTED_VALUE"""),247.52)</f>
        <v>247.52</v>
      </c>
      <c r="BP1071" s="71">
        <f>IFERROR(__xludf.DUMMYFUNCTION("""COMPUTED_VALUE"""),1794.52)</f>
        <v>1794.52</v>
      </c>
      <c r="BQ1071" s="71">
        <f>IFERROR(__xludf.DUMMYFUNCTION("""COMPUTED_VALUE"""),1510.6)</f>
        <v>1510.6</v>
      </c>
      <c r="BR1071" s="71">
        <f>IFERROR(__xludf.DUMMYFUNCTION("""COMPUTED_VALUE"""),241.696)</f>
        <v>241.696</v>
      </c>
      <c r="BS1071" s="71">
        <f>IFERROR(__xludf.DUMMYFUNCTION("""COMPUTED_VALUE"""),1752.2959999999998)</f>
        <v>1752.296</v>
      </c>
      <c r="BT1071" s="71">
        <f>IFERROR(__xludf.DUMMYFUNCTION("""COMPUTED_VALUE"""),1456.0)</f>
        <v>1456</v>
      </c>
      <c r="BU1071" s="71">
        <f>IFERROR(__xludf.DUMMYFUNCTION("""COMPUTED_VALUE"""),232.96)</f>
        <v>232.96</v>
      </c>
      <c r="BV1071" s="71">
        <f>IFERROR(__xludf.DUMMYFUNCTION("""COMPUTED_VALUE"""),1688.96)</f>
        <v>1688.96</v>
      </c>
    </row>
    <row r="1072">
      <c r="A1072" s="53"/>
      <c r="B1072" s="53"/>
      <c r="C1072" s="53" t="s">
        <v>36</v>
      </c>
      <c r="D1072" s="85" t="s">
        <v>2612</v>
      </c>
      <c r="E1072" s="54" t="s">
        <v>38</v>
      </c>
      <c r="F1072" s="55" t="s">
        <v>39</v>
      </c>
      <c r="G1072" s="86" t="s">
        <v>2613</v>
      </c>
      <c r="H1072" s="55"/>
      <c r="I1072" s="54">
        <f t="shared" si="24"/>
        <v>0</v>
      </c>
      <c r="J1072" s="56"/>
      <c r="K1072" s="57"/>
      <c r="L1072" s="87"/>
      <c r="M1072" s="59"/>
      <c r="N1072" s="60"/>
      <c r="O1072" s="61">
        <v>3264.0</v>
      </c>
      <c r="P1072" s="62">
        <v>3420.0</v>
      </c>
      <c r="Q1072" s="63">
        <v>3420.0</v>
      </c>
      <c r="R1072" s="64">
        <v>3591.0</v>
      </c>
      <c r="S1072" s="107">
        <v>3771.0</v>
      </c>
      <c r="T1072" s="65">
        <f t="shared" ref="T1072:T1861" si="39">S1072*0.16</f>
        <v>603.36</v>
      </c>
      <c r="U1072" s="65">
        <f t="shared" ref="U1072:U1861" si="40">S1072+T1072</f>
        <v>4374.36</v>
      </c>
      <c r="V1072" s="66">
        <f t="shared" ref="V1072:V1116" si="41">(S1072-R1072)/R1072</f>
        <v>0.05012531328</v>
      </c>
      <c r="W1072" s="67">
        <f t="shared" si="5"/>
        <v>3582.45</v>
      </c>
      <c r="X1072" s="67">
        <f t="shared" si="6"/>
        <v>573.192</v>
      </c>
      <c r="Y1072" s="67">
        <f t="shared" si="7"/>
        <v>4155.642</v>
      </c>
      <c r="Z1072" s="67">
        <f t="shared" si="8"/>
        <v>3393.9</v>
      </c>
      <c r="AA1072" s="67">
        <f t="shared" si="9"/>
        <v>543.024</v>
      </c>
      <c r="AB1072" s="67">
        <f t="shared" si="10"/>
        <v>3936.924</v>
      </c>
      <c r="AC1072" s="67">
        <f t="shared" si="11"/>
        <v>3205.35</v>
      </c>
      <c r="AD1072" s="67">
        <f t="shared" si="12"/>
        <v>512.856</v>
      </c>
      <c r="AE1072" s="67">
        <f t="shared" si="13"/>
        <v>3718.206</v>
      </c>
      <c r="AF1072" s="67">
        <f t="shared" si="33"/>
        <v>3129.93</v>
      </c>
      <c r="AG1072" s="67">
        <f t="shared" si="15"/>
        <v>500.7888</v>
      </c>
      <c r="AH1072" s="67">
        <f t="shared" si="16"/>
        <v>3630.7188</v>
      </c>
      <c r="AI1072" s="67">
        <f t="shared" si="17"/>
        <v>3016.8</v>
      </c>
      <c r="AJ1072" s="68">
        <f t="shared" si="37"/>
        <v>482.688</v>
      </c>
      <c r="AK1072" s="68">
        <f t="shared" si="38"/>
        <v>3499.488</v>
      </c>
      <c r="AL1072" s="70">
        <f>IFERROR(__xludf.DUMMYFUNCTION("""COMPUTED_VALUE"""),1.0)</f>
        <v>1</v>
      </c>
      <c r="AM1072" s="70"/>
      <c r="AN1072" s="71" t="str">
        <f>IFERROR(__xludf.DUMMYFUNCTION("""COMPUTED_VALUE""")," CP")</f>
        <v>CP</v>
      </c>
      <c r="AO1072" s="71" t="str">
        <f>IFERROR(__xludf.DUMMYFUNCTION("""COMPUTED_VALUE""")," RO93")</f>
        <v>RO93</v>
      </c>
      <c r="AP1072" s="71" t="str">
        <f>IFERROR(__xludf.DUMMYFUNCTION("""COMPUTED_VALUE""")," PZA")</f>
        <v>PZA</v>
      </c>
      <c r="AQ1072" s="71" t="str">
        <f>IFERROR(__xludf.DUMMYFUNCTION("""COMPUTED_VALUE""")," REF")</f>
        <v>REF</v>
      </c>
      <c r="AR1072" s="71" t="str">
        <f>IFERROR(__xludf.DUMMYFUNCTION("""COMPUTED_VALUE""")," RODILLO NEGRO DE POLIGAR HEMBRA PARA CABEZAL RESTAURANTERO CHICO")</f>
        <v>RODILLO NEGRO DE POLIGAR HEMBRA PARA CABEZAL RESTAURANTERO CHICO</v>
      </c>
      <c r="AS1072" s="71" t="str">
        <f>IFERROR(__xludf.DUMMYFUNCTION("""COMPUTED_VALUE""")," RODILLO NEGRO POLIGAR HEMBR CABREST CHIC")</f>
        <v>RODILLO NEGRO POLIGAR HEMBR CABREST CHIC</v>
      </c>
      <c r="AT1072" s="71">
        <f>IFERROR(__xludf.DUMMYFUNCTION("""COMPUTED_VALUE"""),40.0)</f>
        <v>40</v>
      </c>
      <c r="AU1072" s="71"/>
      <c r="AV1072" s="71"/>
      <c r="AW1072" s="71"/>
      <c r="AX1072" s="71"/>
      <c r="AY1072" s="71">
        <f>IFERROR(__xludf.DUMMYFUNCTION("""COMPUTED_VALUE"""),5444.0)</f>
        <v>5444</v>
      </c>
      <c r="AZ1072" s="71">
        <f>IFERROR(__xludf.DUMMYFUNCTION("""COMPUTED_VALUE"""),5879.0)</f>
        <v>5879</v>
      </c>
      <c r="BA1072" s="71">
        <f>IFERROR(__xludf.DUMMYFUNCTION("""COMPUTED_VALUE"""),6349.320000000001)</f>
        <v>6349.32</v>
      </c>
      <c r="BB1072" s="71">
        <f>IFERROR(__xludf.DUMMYFUNCTION("""COMPUTED_VALUE"""),6349.320000000001)</f>
        <v>6349.32</v>
      </c>
      <c r="BC1072" s="71">
        <f>IFERROR(__xludf.DUMMYFUNCTION("""COMPUTED_VALUE"""),7068.0)</f>
        <v>7068</v>
      </c>
      <c r="BD1072" s="71">
        <f>IFERROR(__xludf.DUMMYFUNCTION("""COMPUTED_VALUE"""),7421.0)</f>
        <v>7421</v>
      </c>
      <c r="BE1072" s="71">
        <f>IFERROR(__xludf.DUMMYFUNCTION("""COMPUTED_VALUE"""),1187.3600000000001)</f>
        <v>1187.36</v>
      </c>
      <c r="BF1072" s="71">
        <f>IFERROR(__xludf.DUMMYFUNCTION("""COMPUTED_VALUE"""),8608.36)</f>
        <v>8608.36</v>
      </c>
      <c r="BG1072" s="71">
        <f>IFERROR(__xludf.DUMMYFUNCTION("""COMPUTED_VALUE"""),0.04994340690435767)</f>
        <v>0.0499434069</v>
      </c>
      <c r="BH1072" s="71">
        <f>IFERROR(__xludf.DUMMYFUNCTION("""COMPUTED_VALUE"""),7049.95)</f>
        <v>7049.95</v>
      </c>
      <c r="BI1072" s="71">
        <f>IFERROR(__xludf.DUMMYFUNCTION("""COMPUTED_VALUE"""),1127.992)</f>
        <v>1127.992</v>
      </c>
      <c r="BJ1072" s="71">
        <f>IFERROR(__xludf.DUMMYFUNCTION("""COMPUTED_VALUE"""),8177.942)</f>
        <v>8177.942</v>
      </c>
      <c r="BK1072" s="71">
        <f>IFERROR(__xludf.DUMMYFUNCTION("""COMPUTED_VALUE"""),6678.900000000001)</f>
        <v>6678.9</v>
      </c>
      <c r="BL1072" s="71">
        <f>IFERROR(__xludf.DUMMYFUNCTION("""COMPUTED_VALUE"""),1068.624)</f>
        <v>1068.624</v>
      </c>
      <c r="BM1072" s="71">
        <f>IFERROR(__xludf.DUMMYFUNCTION("""COMPUTED_VALUE"""),7747.524)</f>
        <v>7747.524</v>
      </c>
      <c r="BN1072" s="71">
        <f>IFERROR(__xludf.DUMMYFUNCTION("""COMPUTED_VALUE"""),6307.849999999999)</f>
        <v>6307.85</v>
      </c>
      <c r="BO1072" s="71">
        <f>IFERROR(__xludf.DUMMYFUNCTION("""COMPUTED_VALUE"""),1009.256)</f>
        <v>1009.256</v>
      </c>
      <c r="BP1072" s="71">
        <f>IFERROR(__xludf.DUMMYFUNCTION("""COMPUTED_VALUE"""),7317.106)</f>
        <v>7317.106</v>
      </c>
      <c r="BQ1072" s="71">
        <f>IFERROR(__xludf.DUMMYFUNCTION("""COMPUTED_VALUE"""),6159.429999999999)</f>
        <v>6159.43</v>
      </c>
      <c r="BR1072" s="71">
        <f>IFERROR(__xludf.DUMMYFUNCTION("""COMPUTED_VALUE"""),985.5088)</f>
        <v>985.5088</v>
      </c>
      <c r="BS1072" s="71">
        <f>IFERROR(__xludf.DUMMYFUNCTION("""COMPUTED_VALUE"""),7144.938799999999)</f>
        <v>7144.9388</v>
      </c>
      <c r="BT1072" s="71">
        <f>IFERROR(__xludf.DUMMYFUNCTION("""COMPUTED_VALUE"""),5936.8)</f>
        <v>5936.8</v>
      </c>
      <c r="BU1072" s="71">
        <f>IFERROR(__xludf.DUMMYFUNCTION("""COMPUTED_VALUE"""),949.888)</f>
        <v>949.888</v>
      </c>
      <c r="BV1072" s="71">
        <f>IFERROR(__xludf.DUMMYFUNCTION("""COMPUTED_VALUE"""),6886.688)</f>
        <v>6886.688</v>
      </c>
    </row>
    <row r="1073">
      <c r="A1073" s="53"/>
      <c r="B1073" s="53"/>
      <c r="C1073" s="53" t="s">
        <v>36</v>
      </c>
      <c r="D1073" s="85" t="s">
        <v>2614</v>
      </c>
      <c r="E1073" s="54" t="s">
        <v>38</v>
      </c>
      <c r="F1073" s="55" t="s">
        <v>39</v>
      </c>
      <c r="G1073" s="86" t="s">
        <v>2615</v>
      </c>
      <c r="H1073" s="55"/>
      <c r="I1073" s="54">
        <f t="shared" si="24"/>
        <v>0</v>
      </c>
      <c r="J1073" s="56"/>
      <c r="K1073" s="57"/>
      <c r="L1073" s="87"/>
      <c r="M1073" s="59"/>
      <c r="N1073" s="60"/>
      <c r="O1073" s="61">
        <v>2880.0</v>
      </c>
      <c r="P1073" s="62">
        <v>2520.0</v>
      </c>
      <c r="Q1073" s="63">
        <v>2520.0</v>
      </c>
      <c r="R1073" s="64">
        <v>2646.0</v>
      </c>
      <c r="S1073" s="107">
        <v>2778.0</v>
      </c>
      <c r="T1073" s="65">
        <f t="shared" si="39"/>
        <v>444.48</v>
      </c>
      <c r="U1073" s="65">
        <f t="shared" si="40"/>
        <v>3222.48</v>
      </c>
      <c r="V1073" s="66">
        <f t="shared" si="41"/>
        <v>0.04988662132</v>
      </c>
      <c r="W1073" s="67">
        <f t="shared" si="5"/>
        <v>2639.1</v>
      </c>
      <c r="X1073" s="67">
        <f t="shared" si="6"/>
        <v>422.256</v>
      </c>
      <c r="Y1073" s="67">
        <f t="shared" si="7"/>
        <v>3061.356</v>
      </c>
      <c r="Z1073" s="67">
        <f t="shared" si="8"/>
        <v>2500.2</v>
      </c>
      <c r="AA1073" s="67">
        <f t="shared" si="9"/>
        <v>400.032</v>
      </c>
      <c r="AB1073" s="67">
        <f t="shared" si="10"/>
        <v>2900.232</v>
      </c>
      <c r="AC1073" s="67">
        <f t="shared" si="11"/>
        <v>2361.3</v>
      </c>
      <c r="AD1073" s="67">
        <f t="shared" si="12"/>
        <v>377.808</v>
      </c>
      <c r="AE1073" s="67">
        <f t="shared" si="13"/>
        <v>2739.108</v>
      </c>
      <c r="AF1073" s="67">
        <f t="shared" si="33"/>
        <v>2305.74</v>
      </c>
      <c r="AG1073" s="67">
        <f t="shared" si="15"/>
        <v>368.9184</v>
      </c>
      <c r="AH1073" s="67">
        <f t="shared" si="16"/>
        <v>2674.6584</v>
      </c>
      <c r="AI1073" s="67">
        <f t="shared" si="17"/>
        <v>2222.4</v>
      </c>
      <c r="AJ1073" s="68">
        <f t="shared" si="37"/>
        <v>355.584</v>
      </c>
      <c r="AK1073" s="68">
        <f t="shared" si="38"/>
        <v>2577.984</v>
      </c>
      <c r="AL1073" s="70">
        <f>IFERROR(__xludf.DUMMYFUNCTION("""COMPUTED_VALUE"""),1.0)</f>
        <v>1</v>
      </c>
      <c r="AM1073" s="70"/>
      <c r="AN1073" s="71" t="str">
        <f>IFERROR(__xludf.DUMMYFUNCTION("""COMPUTED_VALUE""")," CP")</f>
        <v>CP</v>
      </c>
      <c r="AO1073" s="71" t="str">
        <f>IFERROR(__xludf.DUMMYFUNCTION("""COMPUTED_VALUE""")," RO91")</f>
        <v>RO91</v>
      </c>
      <c r="AP1073" s="71" t="str">
        <f>IFERROR(__xludf.DUMMYFUNCTION("""COMPUTED_VALUE""")," PZA")</f>
        <v>PZA</v>
      </c>
      <c r="AQ1073" s="71" t="str">
        <f>IFERROR(__xludf.DUMMYFUNCTION("""COMPUTED_VALUE""")," REF")</f>
        <v>REF</v>
      </c>
      <c r="AR1073" s="71" t="str">
        <f>IFERROR(__xludf.DUMMYFUNCTION("""COMPUTED_VALUE""")," RODILLO NEGRO DE POLIGAR HEMBRA PARA PONY")</f>
        <v>RODILLO NEGRO DE POLIGAR HEMBRA PARA PONY</v>
      </c>
      <c r="AS1073" s="71" t="str">
        <f>IFERROR(__xludf.DUMMYFUNCTION("""COMPUTED_VALUE""")," RODILLO NEGRO POLIGAR HEMBRA P/PONY")</f>
        <v>RODILLO NEGRO POLIGAR HEMBRA P/PONY</v>
      </c>
      <c r="AT1073" s="71">
        <f>IFERROR(__xludf.DUMMYFUNCTION("""COMPUTED_VALUE"""),35.0)</f>
        <v>35</v>
      </c>
      <c r="AU1073" s="71"/>
      <c r="AV1073" s="71"/>
      <c r="AW1073" s="71"/>
      <c r="AX1073" s="71"/>
      <c r="AY1073" s="71">
        <f>IFERROR(__xludf.DUMMYFUNCTION("""COMPUTED_VALUE"""),7880.0)</f>
        <v>7880</v>
      </c>
      <c r="AZ1073" s="71">
        <f>IFERROR(__xludf.DUMMYFUNCTION("""COMPUTED_VALUE"""),8510.0)</f>
        <v>8510</v>
      </c>
      <c r="BA1073" s="71">
        <f>IFERROR(__xludf.DUMMYFUNCTION("""COMPUTED_VALUE"""),9190.800000000001)</f>
        <v>9190.8</v>
      </c>
      <c r="BB1073" s="71">
        <f>IFERROR(__xludf.DUMMYFUNCTION("""COMPUTED_VALUE"""),9190.800000000001)</f>
        <v>9190.8</v>
      </c>
      <c r="BC1073" s="71">
        <f>IFERROR(__xludf.DUMMYFUNCTION("""COMPUTED_VALUE"""),10231.0)</f>
        <v>10231</v>
      </c>
      <c r="BD1073" s="71">
        <f>IFERROR(__xludf.DUMMYFUNCTION("""COMPUTED_VALUE"""),10743.0)</f>
        <v>10743</v>
      </c>
      <c r="BE1073" s="71">
        <f>IFERROR(__xludf.DUMMYFUNCTION("""COMPUTED_VALUE"""),1718.88)</f>
        <v>1718.88</v>
      </c>
      <c r="BF1073" s="71">
        <f>IFERROR(__xludf.DUMMYFUNCTION("""COMPUTED_VALUE"""),12461.880000000001)</f>
        <v>12461.88</v>
      </c>
      <c r="BG1073" s="71">
        <f>IFERROR(__xludf.DUMMYFUNCTION("""COMPUTED_VALUE"""),0.050043983970286386)</f>
        <v>0.05004398397</v>
      </c>
      <c r="BH1073" s="71">
        <f>IFERROR(__xludf.DUMMYFUNCTION("""COMPUTED_VALUE"""),10205.85)</f>
        <v>10205.85</v>
      </c>
      <c r="BI1073" s="71">
        <f>IFERROR(__xludf.DUMMYFUNCTION("""COMPUTED_VALUE"""),1632.9360000000001)</f>
        <v>1632.936</v>
      </c>
      <c r="BJ1073" s="71">
        <f>IFERROR(__xludf.DUMMYFUNCTION("""COMPUTED_VALUE"""),11838.786)</f>
        <v>11838.786</v>
      </c>
      <c r="BK1073" s="71">
        <f>IFERROR(__xludf.DUMMYFUNCTION("""COMPUTED_VALUE"""),9668.7)</f>
        <v>9668.7</v>
      </c>
      <c r="BL1073" s="71">
        <f>IFERROR(__xludf.DUMMYFUNCTION("""COMPUTED_VALUE"""),1546.9920000000002)</f>
        <v>1546.992</v>
      </c>
      <c r="BM1073" s="71">
        <f>IFERROR(__xludf.DUMMYFUNCTION("""COMPUTED_VALUE"""),11215.692000000001)</f>
        <v>11215.692</v>
      </c>
      <c r="BN1073" s="71">
        <f>IFERROR(__xludf.DUMMYFUNCTION("""COMPUTED_VALUE"""),9131.55)</f>
        <v>9131.55</v>
      </c>
      <c r="BO1073" s="71">
        <f>IFERROR(__xludf.DUMMYFUNCTION("""COMPUTED_VALUE"""),1461.048)</f>
        <v>1461.048</v>
      </c>
      <c r="BP1073" s="71">
        <f>IFERROR(__xludf.DUMMYFUNCTION("""COMPUTED_VALUE"""),10592.598)</f>
        <v>10592.598</v>
      </c>
      <c r="BQ1073" s="71">
        <f>IFERROR(__xludf.DUMMYFUNCTION("""COMPUTED_VALUE"""),8916.689999999999)</f>
        <v>8916.69</v>
      </c>
      <c r="BR1073" s="71">
        <f>IFERROR(__xludf.DUMMYFUNCTION("""COMPUTED_VALUE"""),1426.6703999999997)</f>
        <v>1426.6704</v>
      </c>
      <c r="BS1073" s="71">
        <f>IFERROR(__xludf.DUMMYFUNCTION("""COMPUTED_VALUE"""),10343.360399999998)</f>
        <v>10343.3604</v>
      </c>
      <c r="BT1073" s="71">
        <f>IFERROR(__xludf.DUMMYFUNCTION("""COMPUTED_VALUE"""),8594.4)</f>
        <v>8594.4</v>
      </c>
      <c r="BU1073" s="71">
        <f>IFERROR(__xludf.DUMMYFUNCTION("""COMPUTED_VALUE"""),1375.104)</f>
        <v>1375.104</v>
      </c>
      <c r="BV1073" s="71">
        <f>IFERROR(__xludf.DUMMYFUNCTION("""COMPUTED_VALUE"""),9969.503999999999)</f>
        <v>9969.504</v>
      </c>
    </row>
    <row r="1074">
      <c r="A1074" s="53"/>
      <c r="B1074" s="53"/>
      <c r="C1074" s="53" t="s">
        <v>53</v>
      </c>
      <c r="D1074" s="53" t="s">
        <v>2616</v>
      </c>
      <c r="E1074" s="54" t="s">
        <v>38</v>
      </c>
      <c r="F1074" s="54" t="s">
        <v>42</v>
      </c>
      <c r="G1074" s="55" t="s">
        <v>2617</v>
      </c>
      <c r="H1074" s="54" t="s">
        <v>2618</v>
      </c>
      <c r="I1074" s="54">
        <f t="shared" si="24"/>
        <v>38</v>
      </c>
      <c r="J1074" s="56"/>
      <c r="K1074" s="75"/>
      <c r="L1074" s="76"/>
      <c r="M1074" s="59"/>
      <c r="N1074" s="79">
        <v>406.0</v>
      </c>
      <c r="O1074" s="61">
        <v>438.0</v>
      </c>
      <c r="P1074" s="63">
        <v>473.04</v>
      </c>
      <c r="Q1074" s="63">
        <v>473.04</v>
      </c>
      <c r="R1074" s="64">
        <v>497.0</v>
      </c>
      <c r="S1074" s="111">
        <v>522.0</v>
      </c>
      <c r="T1074" s="65">
        <f t="shared" si="39"/>
        <v>83.52</v>
      </c>
      <c r="U1074" s="65">
        <f t="shared" si="40"/>
        <v>605.52</v>
      </c>
      <c r="V1074" s="66">
        <f t="shared" si="41"/>
        <v>0.05030181087</v>
      </c>
      <c r="W1074" s="67">
        <f t="shared" si="5"/>
        <v>495.9</v>
      </c>
      <c r="X1074" s="67">
        <f t="shared" si="6"/>
        <v>79.344</v>
      </c>
      <c r="Y1074" s="67">
        <f t="shared" si="7"/>
        <v>575.244</v>
      </c>
      <c r="Z1074" s="67">
        <f t="shared" si="8"/>
        <v>469.8</v>
      </c>
      <c r="AA1074" s="67">
        <f t="shared" si="9"/>
        <v>75.168</v>
      </c>
      <c r="AB1074" s="67">
        <f t="shared" si="10"/>
        <v>544.968</v>
      </c>
      <c r="AC1074" s="67">
        <f t="shared" si="11"/>
        <v>443.7</v>
      </c>
      <c r="AD1074" s="67">
        <f t="shared" si="12"/>
        <v>70.992</v>
      </c>
      <c r="AE1074" s="67">
        <f t="shared" si="13"/>
        <v>514.692</v>
      </c>
      <c r="AF1074" s="67">
        <f t="shared" si="33"/>
        <v>433.26</v>
      </c>
      <c r="AG1074" s="67">
        <f t="shared" si="15"/>
        <v>69.3216</v>
      </c>
      <c r="AH1074" s="67">
        <f t="shared" si="16"/>
        <v>502.5816</v>
      </c>
      <c r="AI1074" s="67">
        <f t="shared" si="17"/>
        <v>417.6</v>
      </c>
      <c r="AJ1074" s="68">
        <f t="shared" si="37"/>
        <v>66.816</v>
      </c>
      <c r="AK1074" s="68">
        <f t="shared" si="38"/>
        <v>484.416</v>
      </c>
      <c r="AL1074" s="70">
        <f>IFERROR(__xludf.DUMMYFUNCTION("""COMPUTED_VALUE"""),1.0)</f>
        <v>1</v>
      </c>
      <c r="AM1074" s="70"/>
      <c r="AN1074" s="71" t="str">
        <f>IFERROR(__xludf.DUMMYFUNCTION("""COMPUTED_VALUE""")," CP")</f>
        <v>CP</v>
      </c>
      <c r="AO1074" s="71" t="str">
        <f>IFERROR(__xludf.DUMMYFUNCTION("""COMPUTED_VALUE""")," RO60")</f>
        <v>RO60</v>
      </c>
      <c r="AP1074" s="71" t="str">
        <f>IFERROR(__xludf.DUMMYFUNCTION("""COMPUTED_VALUE""")," PZA")</f>
        <v>PZA</v>
      </c>
      <c r="AQ1074" s="71" t="str">
        <f>IFERROR(__xludf.DUMMYFUNCTION("""COMPUTED_VALUE""")," REF")</f>
        <v>REF</v>
      </c>
      <c r="AR1074" s="71" t="str">
        <f>IFERROR(__xludf.DUMMYFUNCTION("""COMPUTED_VALUE""")," RODILLO NEGRO DE POLIGAR HEMBRA PARA TVRM")</f>
        <v>RODILLO NEGRO DE POLIGAR HEMBRA PARA TVRM</v>
      </c>
      <c r="AS1074" s="71" t="str">
        <f>IFERROR(__xludf.DUMMYFUNCTION("""COMPUTED_VALUE""")," RODILLO NEGRO POLIGAR HEMBRA TVRM")</f>
        <v>RODILLO NEGRO POLIGAR HEMBRA TVRM</v>
      </c>
      <c r="AT1074" s="71">
        <f>IFERROR(__xludf.DUMMYFUNCTION("""COMPUTED_VALUE"""),33.0)</f>
        <v>33</v>
      </c>
      <c r="AU1074" s="71"/>
      <c r="AV1074" s="71"/>
      <c r="AW1074" s="71"/>
      <c r="AX1074" s="71"/>
      <c r="AY1074" s="71">
        <f>IFERROR(__xludf.DUMMYFUNCTION("""COMPUTED_VALUE"""),13436.0)</f>
        <v>13436</v>
      </c>
      <c r="AZ1074" s="71">
        <f>IFERROR(__xludf.DUMMYFUNCTION("""COMPUTED_VALUE"""),14510.0)</f>
        <v>14510</v>
      </c>
      <c r="BA1074" s="71">
        <f>IFERROR(__xludf.DUMMYFUNCTION("""COMPUTED_VALUE"""),15670.800000000001)</f>
        <v>15670.8</v>
      </c>
      <c r="BB1074" s="71">
        <f>IFERROR(__xludf.DUMMYFUNCTION("""COMPUTED_VALUE"""),15670.800000000001)</f>
        <v>15670.8</v>
      </c>
      <c r="BC1074" s="71">
        <f>IFERROR(__xludf.DUMMYFUNCTION("""COMPUTED_VALUE"""),17443.0)</f>
        <v>17443</v>
      </c>
      <c r="BD1074" s="71">
        <f>IFERROR(__xludf.DUMMYFUNCTION("""COMPUTED_VALUE"""),18315.0)</f>
        <v>18315</v>
      </c>
      <c r="BE1074" s="71">
        <f>IFERROR(__xludf.DUMMYFUNCTION("""COMPUTED_VALUE"""),2930.4)</f>
        <v>2930.4</v>
      </c>
      <c r="BF1074" s="71">
        <f>IFERROR(__xludf.DUMMYFUNCTION("""COMPUTED_VALUE"""),21245.4)</f>
        <v>21245.4</v>
      </c>
      <c r="BG1074" s="71">
        <f>IFERROR(__xludf.DUMMYFUNCTION("""COMPUTED_VALUE"""),0.04999140056182996)</f>
        <v>0.04999140056</v>
      </c>
      <c r="BH1074" s="71">
        <f>IFERROR(__xludf.DUMMYFUNCTION("""COMPUTED_VALUE"""),17399.25)</f>
        <v>17399.25</v>
      </c>
      <c r="BI1074" s="71">
        <f>IFERROR(__xludf.DUMMYFUNCTION("""COMPUTED_VALUE"""),2783.88)</f>
        <v>2783.88</v>
      </c>
      <c r="BJ1074" s="71">
        <f>IFERROR(__xludf.DUMMYFUNCTION("""COMPUTED_VALUE"""),20183.13)</f>
        <v>20183.13</v>
      </c>
      <c r="BK1074" s="71">
        <f>IFERROR(__xludf.DUMMYFUNCTION("""COMPUTED_VALUE"""),16483.5)</f>
        <v>16483.5</v>
      </c>
      <c r="BL1074" s="71">
        <f>IFERROR(__xludf.DUMMYFUNCTION("""COMPUTED_VALUE"""),2637.36)</f>
        <v>2637.36</v>
      </c>
      <c r="BM1074" s="71">
        <f>IFERROR(__xludf.DUMMYFUNCTION("""COMPUTED_VALUE"""),19120.86)</f>
        <v>19120.86</v>
      </c>
      <c r="BN1074" s="71">
        <f>IFERROR(__xludf.DUMMYFUNCTION("""COMPUTED_VALUE"""),15567.75)</f>
        <v>15567.75</v>
      </c>
      <c r="BO1074" s="71">
        <f>IFERROR(__xludf.DUMMYFUNCTION("""COMPUTED_VALUE"""),2490.84)</f>
        <v>2490.84</v>
      </c>
      <c r="BP1074" s="71">
        <f>IFERROR(__xludf.DUMMYFUNCTION("""COMPUTED_VALUE"""),18058.59)</f>
        <v>18058.59</v>
      </c>
      <c r="BQ1074" s="71">
        <f>IFERROR(__xludf.DUMMYFUNCTION("""COMPUTED_VALUE"""),15201.449999999999)</f>
        <v>15201.45</v>
      </c>
      <c r="BR1074" s="71">
        <f>IFERROR(__xludf.DUMMYFUNCTION("""COMPUTED_VALUE"""),2432.232)</f>
        <v>2432.232</v>
      </c>
      <c r="BS1074" s="71">
        <f>IFERROR(__xludf.DUMMYFUNCTION("""COMPUTED_VALUE"""),17633.682)</f>
        <v>17633.682</v>
      </c>
      <c r="BT1074" s="71">
        <f>IFERROR(__xludf.DUMMYFUNCTION("""COMPUTED_VALUE"""),14652.0)</f>
        <v>14652</v>
      </c>
      <c r="BU1074" s="71">
        <f>IFERROR(__xludf.DUMMYFUNCTION("""COMPUTED_VALUE"""),2344.32)</f>
        <v>2344.32</v>
      </c>
      <c r="BV1074" s="71">
        <f>IFERROR(__xludf.DUMMYFUNCTION("""COMPUTED_VALUE"""),16996.32)</f>
        <v>16996.32</v>
      </c>
    </row>
    <row r="1075">
      <c r="A1075" s="53"/>
      <c r="B1075" s="72"/>
      <c r="C1075" s="53" t="s">
        <v>53</v>
      </c>
      <c r="D1075" s="53" t="s">
        <v>2619</v>
      </c>
      <c r="E1075" s="54" t="s">
        <v>38</v>
      </c>
      <c r="F1075" s="54" t="s">
        <v>42</v>
      </c>
      <c r="G1075" s="54" t="s">
        <v>2620</v>
      </c>
      <c r="H1075" s="54" t="s">
        <v>2621</v>
      </c>
      <c r="I1075" s="54">
        <f t="shared" si="24"/>
        <v>40</v>
      </c>
      <c r="J1075" s="56"/>
      <c r="K1075" s="57"/>
      <c r="L1075" s="87"/>
      <c r="M1075" s="59"/>
      <c r="N1075" s="60"/>
      <c r="O1075" s="61">
        <v>1100.0</v>
      </c>
      <c r="P1075" s="62">
        <v>1188.0</v>
      </c>
      <c r="Q1075" s="63">
        <v>1188.0</v>
      </c>
      <c r="R1075" s="64">
        <v>1248.0</v>
      </c>
      <c r="S1075" s="111">
        <v>1310.0</v>
      </c>
      <c r="T1075" s="65">
        <f t="shared" si="39"/>
        <v>209.6</v>
      </c>
      <c r="U1075" s="65">
        <f t="shared" si="40"/>
        <v>1519.6</v>
      </c>
      <c r="V1075" s="66">
        <f t="shared" si="41"/>
        <v>0.04967948718</v>
      </c>
      <c r="W1075" s="67">
        <f t="shared" si="5"/>
        <v>1244.5</v>
      </c>
      <c r="X1075" s="67">
        <f t="shared" si="6"/>
        <v>199.12</v>
      </c>
      <c r="Y1075" s="67">
        <f t="shared" si="7"/>
        <v>1443.62</v>
      </c>
      <c r="Z1075" s="67">
        <f t="shared" si="8"/>
        <v>1179</v>
      </c>
      <c r="AA1075" s="67">
        <f t="shared" si="9"/>
        <v>188.64</v>
      </c>
      <c r="AB1075" s="67">
        <f t="shared" si="10"/>
        <v>1367.64</v>
      </c>
      <c r="AC1075" s="67">
        <f t="shared" si="11"/>
        <v>1113.5</v>
      </c>
      <c r="AD1075" s="67">
        <f t="shared" si="12"/>
        <v>178.16</v>
      </c>
      <c r="AE1075" s="67">
        <f t="shared" si="13"/>
        <v>1291.66</v>
      </c>
      <c r="AF1075" s="67">
        <f t="shared" si="33"/>
        <v>1087.3</v>
      </c>
      <c r="AG1075" s="67">
        <f t="shared" si="15"/>
        <v>173.968</v>
      </c>
      <c r="AH1075" s="67">
        <f t="shared" si="16"/>
        <v>1261.268</v>
      </c>
      <c r="AI1075" s="67">
        <f t="shared" si="17"/>
        <v>1048</v>
      </c>
      <c r="AJ1075" s="68">
        <f t="shared" si="37"/>
        <v>167.68</v>
      </c>
      <c r="AK1075" s="68">
        <f t="shared" si="38"/>
        <v>1215.68</v>
      </c>
      <c r="AL1075" s="70">
        <f>IFERROR(__xludf.DUMMYFUNCTION("""COMPUTED_VALUE"""),1.0)</f>
        <v>1</v>
      </c>
      <c r="AM1075" s="70"/>
      <c r="AN1075" s="71" t="str">
        <f>IFERROR(__xludf.DUMMYFUNCTION("""COMPUTED_VALUE""")," CP")</f>
        <v>CP</v>
      </c>
      <c r="AO1075" s="71" t="str">
        <f>IFERROR(__xludf.DUMMYFUNCTION("""COMPUTED_VALUE""")," RO98")</f>
        <v>RO98</v>
      </c>
      <c r="AP1075" s="71" t="str">
        <f>IFERROR(__xludf.DUMMYFUNCTION("""COMPUTED_VALUE""")," PZA")</f>
        <v>PZA</v>
      </c>
      <c r="AQ1075" s="71" t="str">
        <f>IFERROR(__xludf.DUMMYFUNCTION("""COMPUTED_VALUE""")," REF")</f>
        <v>REF</v>
      </c>
      <c r="AR1075" s="71" t="str">
        <f>IFERROR(__xludf.DUMMYFUNCTION("""COMPUTED_VALUE""")," RODILLO NEGRO DE POLIGAR HEMBRA PARA TVRSENC.")</f>
        <v>RODILLO NEGRO DE POLIGAR HEMBRA PARA TVRSENC.</v>
      </c>
      <c r="AS1075" s="71" t="str">
        <f>IFERROR(__xludf.DUMMYFUNCTION("""COMPUTED_VALUE""")," RODILLO NEGRO POLIGAR HEMBRA TVR")</f>
        <v>RODILLO NEGRO POLIGAR HEMBRA TVR</v>
      </c>
      <c r="AT1075" s="71">
        <f>IFERROR(__xludf.DUMMYFUNCTION("""COMPUTED_VALUE"""),32.0)</f>
        <v>32</v>
      </c>
      <c r="AU1075" s="71"/>
      <c r="AV1075" s="71"/>
      <c r="AW1075" s="71"/>
      <c r="AX1075" s="71"/>
      <c r="AY1075" s="71">
        <f>IFERROR(__xludf.DUMMYFUNCTION("""COMPUTED_VALUE"""),13436.0)</f>
        <v>13436</v>
      </c>
      <c r="AZ1075" s="71">
        <f>IFERROR(__xludf.DUMMYFUNCTION("""COMPUTED_VALUE"""),14510.0)</f>
        <v>14510</v>
      </c>
      <c r="BA1075" s="71">
        <f>IFERROR(__xludf.DUMMYFUNCTION("""COMPUTED_VALUE"""),15670.800000000001)</f>
        <v>15670.8</v>
      </c>
      <c r="BB1075" s="71">
        <f>IFERROR(__xludf.DUMMYFUNCTION("""COMPUTED_VALUE"""),15670.800000000001)</f>
        <v>15670.8</v>
      </c>
      <c r="BC1075" s="71">
        <f>IFERROR(__xludf.DUMMYFUNCTION("""COMPUTED_VALUE"""),17443.0)</f>
        <v>17443</v>
      </c>
      <c r="BD1075" s="71">
        <f>IFERROR(__xludf.DUMMYFUNCTION("""COMPUTED_VALUE"""),18315.0)</f>
        <v>18315</v>
      </c>
      <c r="BE1075" s="71">
        <f>IFERROR(__xludf.DUMMYFUNCTION("""COMPUTED_VALUE"""),2930.4)</f>
        <v>2930.4</v>
      </c>
      <c r="BF1075" s="71">
        <f>IFERROR(__xludf.DUMMYFUNCTION("""COMPUTED_VALUE"""),21245.4)</f>
        <v>21245.4</v>
      </c>
      <c r="BG1075" s="71">
        <f>IFERROR(__xludf.DUMMYFUNCTION("""COMPUTED_VALUE"""),0.04999140056182996)</f>
        <v>0.04999140056</v>
      </c>
      <c r="BH1075" s="71">
        <f>IFERROR(__xludf.DUMMYFUNCTION("""COMPUTED_VALUE"""),17399.25)</f>
        <v>17399.25</v>
      </c>
      <c r="BI1075" s="71">
        <f>IFERROR(__xludf.DUMMYFUNCTION("""COMPUTED_VALUE"""),2783.88)</f>
        <v>2783.88</v>
      </c>
      <c r="BJ1075" s="71">
        <f>IFERROR(__xludf.DUMMYFUNCTION("""COMPUTED_VALUE"""),20183.13)</f>
        <v>20183.13</v>
      </c>
      <c r="BK1075" s="71">
        <f>IFERROR(__xludf.DUMMYFUNCTION("""COMPUTED_VALUE"""),16483.5)</f>
        <v>16483.5</v>
      </c>
      <c r="BL1075" s="71">
        <f>IFERROR(__xludf.DUMMYFUNCTION("""COMPUTED_VALUE"""),2637.36)</f>
        <v>2637.36</v>
      </c>
      <c r="BM1075" s="71">
        <f>IFERROR(__xludf.DUMMYFUNCTION("""COMPUTED_VALUE"""),19120.86)</f>
        <v>19120.86</v>
      </c>
      <c r="BN1075" s="71">
        <f>IFERROR(__xludf.DUMMYFUNCTION("""COMPUTED_VALUE"""),15567.75)</f>
        <v>15567.75</v>
      </c>
      <c r="BO1075" s="71">
        <f>IFERROR(__xludf.DUMMYFUNCTION("""COMPUTED_VALUE"""),2490.84)</f>
        <v>2490.84</v>
      </c>
      <c r="BP1075" s="71">
        <f>IFERROR(__xludf.DUMMYFUNCTION("""COMPUTED_VALUE"""),18058.59)</f>
        <v>18058.59</v>
      </c>
      <c r="BQ1075" s="71">
        <f>IFERROR(__xludf.DUMMYFUNCTION("""COMPUTED_VALUE"""),15201.449999999999)</f>
        <v>15201.45</v>
      </c>
      <c r="BR1075" s="71">
        <f>IFERROR(__xludf.DUMMYFUNCTION("""COMPUTED_VALUE"""),2432.232)</f>
        <v>2432.232</v>
      </c>
      <c r="BS1075" s="71">
        <f>IFERROR(__xludf.DUMMYFUNCTION("""COMPUTED_VALUE"""),17633.682)</f>
        <v>17633.682</v>
      </c>
      <c r="BT1075" s="71">
        <f>IFERROR(__xludf.DUMMYFUNCTION("""COMPUTED_VALUE"""),14652.0)</f>
        <v>14652</v>
      </c>
      <c r="BU1075" s="71">
        <f>IFERROR(__xludf.DUMMYFUNCTION("""COMPUTED_VALUE"""),2344.32)</f>
        <v>2344.32</v>
      </c>
      <c r="BV1075" s="71">
        <f>IFERROR(__xludf.DUMMYFUNCTION("""COMPUTED_VALUE"""),16996.32)</f>
        <v>16996.32</v>
      </c>
    </row>
    <row r="1076">
      <c r="A1076" s="53">
        <v>1.0</v>
      </c>
      <c r="B1076" s="72"/>
      <c r="C1076" s="120" t="s">
        <v>53</v>
      </c>
      <c r="D1076" s="74" t="s">
        <v>2622</v>
      </c>
      <c r="E1076" s="54" t="s">
        <v>38</v>
      </c>
      <c r="F1076" s="54" t="s">
        <v>42</v>
      </c>
      <c r="G1076" s="88" t="s">
        <v>2623</v>
      </c>
      <c r="H1076" s="54" t="s">
        <v>2623</v>
      </c>
      <c r="I1076" s="54">
        <f t="shared" si="24"/>
        <v>20</v>
      </c>
      <c r="J1076" s="56"/>
      <c r="K1076" s="75"/>
      <c r="L1076" s="76"/>
      <c r="M1076" s="59"/>
      <c r="N1076" s="60">
        <v>86.0</v>
      </c>
      <c r="O1076" s="61">
        <v>92.0</v>
      </c>
      <c r="P1076" s="62">
        <v>150.0</v>
      </c>
      <c r="Q1076" s="63">
        <v>150.0</v>
      </c>
      <c r="R1076" s="64">
        <v>158.0</v>
      </c>
      <c r="S1076" s="111">
        <v>166.0</v>
      </c>
      <c r="T1076" s="65">
        <f t="shared" si="39"/>
        <v>26.56</v>
      </c>
      <c r="U1076" s="65">
        <f t="shared" si="40"/>
        <v>192.56</v>
      </c>
      <c r="V1076" s="66">
        <f t="shared" si="41"/>
        <v>0.05063291139</v>
      </c>
      <c r="W1076" s="67">
        <f t="shared" si="5"/>
        <v>157.7</v>
      </c>
      <c r="X1076" s="67">
        <f t="shared" si="6"/>
        <v>25.232</v>
      </c>
      <c r="Y1076" s="67">
        <f t="shared" si="7"/>
        <v>182.932</v>
      </c>
      <c r="Z1076" s="67">
        <f t="shared" si="8"/>
        <v>149.4</v>
      </c>
      <c r="AA1076" s="67">
        <f t="shared" si="9"/>
        <v>23.904</v>
      </c>
      <c r="AB1076" s="67">
        <f t="shared" si="10"/>
        <v>173.304</v>
      </c>
      <c r="AC1076" s="67">
        <f t="shared" si="11"/>
        <v>141.1</v>
      </c>
      <c r="AD1076" s="67">
        <f t="shared" si="12"/>
        <v>22.576</v>
      </c>
      <c r="AE1076" s="67">
        <f t="shared" si="13"/>
        <v>163.676</v>
      </c>
      <c r="AF1076" s="67">
        <f t="shared" si="33"/>
        <v>137.78</v>
      </c>
      <c r="AG1076" s="67">
        <f t="shared" si="15"/>
        <v>22.0448</v>
      </c>
      <c r="AH1076" s="67">
        <f t="shared" si="16"/>
        <v>159.8248</v>
      </c>
      <c r="AI1076" s="67">
        <f t="shared" si="17"/>
        <v>132.8</v>
      </c>
      <c r="AJ1076" s="68">
        <f t="shared" si="37"/>
        <v>21.248</v>
      </c>
      <c r="AK1076" s="68">
        <f t="shared" si="38"/>
        <v>154.048</v>
      </c>
      <c r="AL1076" s="70">
        <f>IFERROR(__xludf.DUMMYFUNCTION("""COMPUTED_VALUE"""),1.0)</f>
        <v>1</v>
      </c>
      <c r="AM1076" s="70"/>
      <c r="AN1076" s="71" t="str">
        <f>IFERROR(__xludf.DUMMYFUNCTION("""COMPUTED_VALUE""")," CP")</f>
        <v>CP</v>
      </c>
      <c r="AO1076" s="71" t="str">
        <f>IFERROR(__xludf.DUMMYFUNCTION("""COMPUTED_VALUE""")," RO62")</f>
        <v>RO62</v>
      </c>
      <c r="AP1076" s="71" t="str">
        <f>IFERROR(__xludf.DUMMYFUNCTION("""COMPUTED_VALUE""")," PZA")</f>
        <v>PZA</v>
      </c>
      <c r="AQ1076" s="71" t="str">
        <f>IFERROR(__xludf.DUMMYFUNCTION("""COMPUTED_VALUE""")," REF")</f>
        <v>REF</v>
      </c>
      <c r="AR1076" s="71" t="str">
        <f>IFERROR(__xludf.DUMMYFUNCTION("""COMPUTED_VALUE""")," RODILLO NEGRO DE POLIGAR HEMBRA TVRD100")</f>
        <v>RODILLO NEGRO DE POLIGAR HEMBRA TVRD100</v>
      </c>
      <c r="AS1076" s="71" t="str">
        <f>IFERROR(__xludf.DUMMYFUNCTION("""COMPUTED_VALUE""")," RODILLO NEGRO POLIGAR HEMBRA TVRD")</f>
        <v>RODILLO NEGRO POLIGAR HEMBRA TVRD</v>
      </c>
      <c r="AT1076" s="71">
        <f>IFERROR(__xludf.DUMMYFUNCTION("""COMPUTED_VALUE"""),33.0)</f>
        <v>33</v>
      </c>
      <c r="AU1076" s="71"/>
      <c r="AV1076" s="71"/>
      <c r="AW1076" s="71"/>
      <c r="AX1076" s="71"/>
      <c r="AY1076" s="71">
        <f>IFERROR(__xludf.DUMMYFUNCTION("""COMPUTED_VALUE"""),15385.0)</f>
        <v>15385</v>
      </c>
      <c r="AZ1076" s="71">
        <f>IFERROR(__xludf.DUMMYFUNCTION("""COMPUTED_VALUE"""),16615.0)</f>
        <v>16615</v>
      </c>
      <c r="BA1076" s="71">
        <f>IFERROR(__xludf.DUMMYFUNCTION("""COMPUTED_VALUE"""),17944.2)</f>
        <v>17944.2</v>
      </c>
      <c r="BB1076" s="71">
        <f>IFERROR(__xludf.DUMMYFUNCTION("""COMPUTED_VALUE"""),17944.2)</f>
        <v>17944.2</v>
      </c>
      <c r="BC1076" s="71">
        <f>IFERROR(__xludf.DUMMYFUNCTION("""COMPUTED_VALUE"""),19973.0)</f>
        <v>19973</v>
      </c>
      <c r="BD1076" s="71">
        <f>IFERROR(__xludf.DUMMYFUNCTION("""COMPUTED_VALUE"""),20972.0)</f>
        <v>20972</v>
      </c>
      <c r="BE1076" s="71">
        <f>IFERROR(__xludf.DUMMYFUNCTION("""COMPUTED_VALUE"""),3355.52)</f>
        <v>3355.52</v>
      </c>
      <c r="BF1076" s="71">
        <f>IFERROR(__xludf.DUMMYFUNCTION("""COMPUTED_VALUE"""),24327.52)</f>
        <v>24327.52</v>
      </c>
      <c r="BG1076" s="71">
        <f>IFERROR(__xludf.DUMMYFUNCTION("""COMPUTED_VALUE"""),0.05001752365693687)</f>
        <v>0.05001752366</v>
      </c>
      <c r="BH1076" s="71">
        <f>IFERROR(__xludf.DUMMYFUNCTION("""COMPUTED_VALUE"""),19923.399999999998)</f>
        <v>19923.4</v>
      </c>
      <c r="BI1076" s="71">
        <f>IFERROR(__xludf.DUMMYFUNCTION("""COMPUTED_VALUE"""),3187.7439999999997)</f>
        <v>3187.744</v>
      </c>
      <c r="BJ1076" s="71">
        <f>IFERROR(__xludf.DUMMYFUNCTION("""COMPUTED_VALUE"""),23111.143999999997)</f>
        <v>23111.144</v>
      </c>
      <c r="BK1076" s="71">
        <f>IFERROR(__xludf.DUMMYFUNCTION("""COMPUTED_VALUE"""),18874.8)</f>
        <v>18874.8</v>
      </c>
      <c r="BL1076" s="71">
        <f>IFERROR(__xludf.DUMMYFUNCTION("""COMPUTED_VALUE"""),3019.968)</f>
        <v>3019.968</v>
      </c>
      <c r="BM1076" s="71">
        <f>IFERROR(__xludf.DUMMYFUNCTION("""COMPUTED_VALUE"""),21894.768)</f>
        <v>21894.768</v>
      </c>
      <c r="BN1076" s="71">
        <f>IFERROR(__xludf.DUMMYFUNCTION("""COMPUTED_VALUE"""),17826.2)</f>
        <v>17826.2</v>
      </c>
      <c r="BO1076" s="71">
        <f>IFERROR(__xludf.DUMMYFUNCTION("""COMPUTED_VALUE"""),2852.192)</f>
        <v>2852.192</v>
      </c>
      <c r="BP1076" s="71">
        <f>IFERROR(__xludf.DUMMYFUNCTION("""COMPUTED_VALUE"""),20678.392)</f>
        <v>20678.392</v>
      </c>
      <c r="BQ1076" s="71">
        <f>IFERROR(__xludf.DUMMYFUNCTION("""COMPUTED_VALUE"""),17406.76)</f>
        <v>17406.76</v>
      </c>
      <c r="BR1076" s="71">
        <f>IFERROR(__xludf.DUMMYFUNCTION("""COMPUTED_VALUE"""),2785.0816)</f>
        <v>2785.0816</v>
      </c>
      <c r="BS1076" s="71">
        <f>IFERROR(__xludf.DUMMYFUNCTION("""COMPUTED_VALUE"""),20191.8416)</f>
        <v>20191.8416</v>
      </c>
      <c r="BT1076" s="71">
        <f>IFERROR(__xludf.DUMMYFUNCTION("""COMPUTED_VALUE"""),16777.600000000002)</f>
        <v>16777.6</v>
      </c>
      <c r="BU1076" s="71">
        <f>IFERROR(__xludf.DUMMYFUNCTION("""COMPUTED_VALUE"""),2684.4160000000006)</f>
        <v>2684.416</v>
      </c>
      <c r="BV1076" s="71">
        <f>IFERROR(__xludf.DUMMYFUNCTION("""COMPUTED_VALUE"""),19462.016000000003)</f>
        <v>19462.016</v>
      </c>
    </row>
    <row r="1077">
      <c r="A1077" s="53"/>
      <c r="B1077" s="53">
        <v>3.0</v>
      </c>
      <c r="C1077" s="53" t="s">
        <v>36</v>
      </c>
      <c r="D1077" s="121" t="s">
        <v>2624</v>
      </c>
      <c r="E1077" s="54" t="s">
        <v>38</v>
      </c>
      <c r="F1077" s="55" t="s">
        <v>1610</v>
      </c>
      <c r="G1077" s="86" t="s">
        <v>2625</v>
      </c>
      <c r="H1077" s="55"/>
      <c r="I1077" s="54">
        <f t="shared" si="24"/>
        <v>0</v>
      </c>
      <c r="J1077" s="56"/>
      <c r="K1077" s="57"/>
      <c r="L1077" s="76"/>
      <c r="M1077" s="59"/>
      <c r="N1077" s="60"/>
      <c r="O1077" s="61">
        <v>48849.0</v>
      </c>
      <c r="P1077" s="62">
        <v>52756.920000000006</v>
      </c>
      <c r="Q1077" s="63">
        <v>52756.920000000006</v>
      </c>
      <c r="R1077" s="64">
        <v>58165.0</v>
      </c>
      <c r="S1077" s="107">
        <v>61073.0</v>
      </c>
      <c r="T1077" s="65">
        <f t="shared" si="39"/>
        <v>9771.68</v>
      </c>
      <c r="U1077" s="65">
        <f t="shared" si="40"/>
        <v>70844.68</v>
      </c>
      <c r="V1077" s="66">
        <f t="shared" si="41"/>
        <v>0.04999570188</v>
      </c>
      <c r="W1077" s="67">
        <f t="shared" si="5"/>
        <v>58019.35</v>
      </c>
      <c r="X1077" s="67">
        <f t="shared" si="6"/>
        <v>9283.096</v>
      </c>
      <c r="Y1077" s="67">
        <f t="shared" si="7"/>
        <v>67302.446</v>
      </c>
      <c r="Z1077" s="67">
        <f t="shared" si="8"/>
        <v>54965.7</v>
      </c>
      <c r="AA1077" s="67">
        <f t="shared" si="9"/>
        <v>8794.512</v>
      </c>
      <c r="AB1077" s="67">
        <f t="shared" si="10"/>
        <v>63760.212</v>
      </c>
      <c r="AC1077" s="67">
        <f t="shared" si="11"/>
        <v>54965.7</v>
      </c>
      <c r="AD1077" s="67">
        <f t="shared" si="12"/>
        <v>8794.512</v>
      </c>
      <c r="AE1077" s="67">
        <f t="shared" si="13"/>
        <v>63760.212</v>
      </c>
      <c r="AF1077" s="67">
        <f t="shared" si="33"/>
        <v>54965.7</v>
      </c>
      <c r="AG1077" s="67">
        <f t="shared" si="15"/>
        <v>8794.512</v>
      </c>
      <c r="AH1077" s="67">
        <f t="shared" si="16"/>
        <v>63760.212</v>
      </c>
      <c r="AI1077" s="67">
        <f t="shared" si="17"/>
        <v>54965.7</v>
      </c>
      <c r="AJ1077" s="68">
        <f t="shared" si="37"/>
        <v>8794.512</v>
      </c>
      <c r="AK1077" s="68">
        <f t="shared" si="38"/>
        <v>63760.212</v>
      </c>
      <c r="AL1077" s="70">
        <f>IFERROR(__xludf.DUMMYFUNCTION("""COMPUTED_VALUE"""),1.0)</f>
        <v>1</v>
      </c>
      <c r="AM1077" s="70"/>
      <c r="AN1077" s="71" t="str">
        <f>IFERROR(__xludf.DUMMYFUNCTION("""COMPUTED_VALUE""")," CP")</f>
        <v>CP</v>
      </c>
      <c r="AO1077" s="71" t="str">
        <f>IFERROR(__xludf.DUMMYFUNCTION("""COMPUTED_VALUE""")," RO94")</f>
        <v>RO94</v>
      </c>
      <c r="AP1077" s="71" t="str">
        <f>IFERROR(__xludf.DUMMYFUNCTION("""COMPUTED_VALUE""")," PZA")</f>
        <v>PZA</v>
      </c>
      <c r="AQ1077" s="71" t="str">
        <f>IFERROR(__xludf.DUMMYFUNCTION("""COMPUTED_VALUE""")," REF")</f>
        <v>REF</v>
      </c>
      <c r="AR1077" s="71" t="str">
        <f>IFERROR(__xludf.DUMMYFUNCTION("""COMPUTED_VALUE""")," RODILLO NEGRO DE POLIGAR MACHO PARA CABEZAL RESTAURANTERO CHICO")</f>
        <v>RODILLO NEGRO DE POLIGAR MACHO PARA CABEZAL RESTAURANTERO CHICO</v>
      </c>
      <c r="AS1077" s="71" t="str">
        <f>IFERROR(__xludf.DUMMYFUNCTION("""COMPUTED_VALUE""")," RODILLO NEGRO POLIGAR MACHO CABREST CHIC")</f>
        <v>RODILLO NEGRO POLIGAR MACHO CABREST CHIC</v>
      </c>
      <c r="AT1077" s="71">
        <f>IFERROR(__xludf.DUMMYFUNCTION("""COMPUTED_VALUE"""),40.0)</f>
        <v>40</v>
      </c>
      <c r="AU1077" s="71"/>
      <c r="AV1077" s="71"/>
      <c r="AW1077" s="71"/>
      <c r="AX1077" s="71"/>
      <c r="AY1077" s="71">
        <f>IFERROR(__xludf.DUMMYFUNCTION("""COMPUTED_VALUE"""),5444.0)</f>
        <v>5444</v>
      </c>
      <c r="AZ1077" s="71">
        <f>IFERROR(__xludf.DUMMYFUNCTION("""COMPUTED_VALUE"""),5879.0)</f>
        <v>5879</v>
      </c>
      <c r="BA1077" s="71">
        <f>IFERROR(__xludf.DUMMYFUNCTION("""COMPUTED_VALUE"""),6349.320000000001)</f>
        <v>6349.32</v>
      </c>
      <c r="BB1077" s="71">
        <f>IFERROR(__xludf.DUMMYFUNCTION("""COMPUTED_VALUE"""),6349.320000000001)</f>
        <v>6349.32</v>
      </c>
      <c r="BC1077" s="71">
        <f>IFERROR(__xludf.DUMMYFUNCTION("""COMPUTED_VALUE"""),7068.0)</f>
        <v>7068</v>
      </c>
      <c r="BD1077" s="71">
        <f>IFERROR(__xludf.DUMMYFUNCTION("""COMPUTED_VALUE"""),7421.0)</f>
        <v>7421</v>
      </c>
      <c r="BE1077" s="71">
        <f>IFERROR(__xludf.DUMMYFUNCTION("""COMPUTED_VALUE"""),1187.3600000000001)</f>
        <v>1187.36</v>
      </c>
      <c r="BF1077" s="71">
        <f>IFERROR(__xludf.DUMMYFUNCTION("""COMPUTED_VALUE"""),8608.36)</f>
        <v>8608.36</v>
      </c>
      <c r="BG1077" s="71">
        <f>IFERROR(__xludf.DUMMYFUNCTION("""COMPUTED_VALUE"""),0.04994340690435767)</f>
        <v>0.0499434069</v>
      </c>
      <c r="BH1077" s="71">
        <f>IFERROR(__xludf.DUMMYFUNCTION("""COMPUTED_VALUE"""),7049.95)</f>
        <v>7049.95</v>
      </c>
      <c r="BI1077" s="71">
        <f>IFERROR(__xludf.DUMMYFUNCTION("""COMPUTED_VALUE"""),1127.992)</f>
        <v>1127.992</v>
      </c>
      <c r="BJ1077" s="71">
        <f>IFERROR(__xludf.DUMMYFUNCTION("""COMPUTED_VALUE"""),8177.942)</f>
        <v>8177.942</v>
      </c>
      <c r="BK1077" s="71">
        <f>IFERROR(__xludf.DUMMYFUNCTION("""COMPUTED_VALUE"""),6678.900000000001)</f>
        <v>6678.9</v>
      </c>
      <c r="BL1077" s="71">
        <f>IFERROR(__xludf.DUMMYFUNCTION("""COMPUTED_VALUE"""),1068.624)</f>
        <v>1068.624</v>
      </c>
      <c r="BM1077" s="71">
        <f>IFERROR(__xludf.DUMMYFUNCTION("""COMPUTED_VALUE"""),7747.524)</f>
        <v>7747.524</v>
      </c>
      <c r="BN1077" s="71">
        <f>IFERROR(__xludf.DUMMYFUNCTION("""COMPUTED_VALUE"""),6307.849999999999)</f>
        <v>6307.85</v>
      </c>
      <c r="BO1077" s="71">
        <f>IFERROR(__xludf.DUMMYFUNCTION("""COMPUTED_VALUE"""),1009.256)</f>
        <v>1009.256</v>
      </c>
      <c r="BP1077" s="71">
        <f>IFERROR(__xludf.DUMMYFUNCTION("""COMPUTED_VALUE"""),7317.106)</f>
        <v>7317.106</v>
      </c>
      <c r="BQ1077" s="71">
        <f>IFERROR(__xludf.DUMMYFUNCTION("""COMPUTED_VALUE"""),6159.429999999999)</f>
        <v>6159.43</v>
      </c>
      <c r="BR1077" s="71">
        <f>IFERROR(__xludf.DUMMYFUNCTION("""COMPUTED_VALUE"""),985.5088)</f>
        <v>985.5088</v>
      </c>
      <c r="BS1077" s="71">
        <f>IFERROR(__xludf.DUMMYFUNCTION("""COMPUTED_VALUE"""),7144.938799999999)</f>
        <v>7144.9388</v>
      </c>
      <c r="BT1077" s="71">
        <f>IFERROR(__xludf.DUMMYFUNCTION("""COMPUTED_VALUE"""),5936.8)</f>
        <v>5936.8</v>
      </c>
      <c r="BU1077" s="71">
        <f>IFERROR(__xludf.DUMMYFUNCTION("""COMPUTED_VALUE"""),949.888)</f>
        <v>949.888</v>
      </c>
      <c r="BV1077" s="71">
        <f>IFERROR(__xludf.DUMMYFUNCTION("""COMPUTED_VALUE"""),6886.688)</f>
        <v>6886.688</v>
      </c>
    </row>
    <row r="1078">
      <c r="A1078" s="53"/>
      <c r="B1078" s="53"/>
      <c r="C1078" s="53"/>
      <c r="D1078" s="53" t="s">
        <v>2626</v>
      </c>
      <c r="E1078" s="55" t="s">
        <v>38</v>
      </c>
      <c r="F1078" s="89"/>
      <c r="G1078" s="84" t="s">
        <v>2627</v>
      </c>
      <c r="H1078" s="55"/>
      <c r="I1078" s="54">
        <f t="shared" si="24"/>
        <v>0</v>
      </c>
      <c r="J1078" s="56"/>
      <c r="K1078" s="57"/>
      <c r="L1078" s="55"/>
      <c r="M1078" s="59"/>
      <c r="N1078" s="60"/>
      <c r="O1078" s="90"/>
      <c r="P1078" s="62">
        <v>195200.0</v>
      </c>
      <c r="Q1078" s="63">
        <v>195200.0</v>
      </c>
      <c r="R1078" s="64">
        <v>215208.0</v>
      </c>
      <c r="S1078" s="111">
        <v>225968.0</v>
      </c>
      <c r="T1078" s="65">
        <f t="shared" si="39"/>
        <v>36154.88</v>
      </c>
      <c r="U1078" s="65">
        <f t="shared" si="40"/>
        <v>262122.88</v>
      </c>
      <c r="V1078" s="66">
        <f t="shared" si="41"/>
        <v>0.04999814133</v>
      </c>
      <c r="W1078" s="67">
        <f t="shared" si="5"/>
        <v>214669.6</v>
      </c>
      <c r="X1078" s="67">
        <f t="shared" si="6"/>
        <v>34347.136</v>
      </c>
      <c r="Y1078" s="67">
        <f t="shared" si="7"/>
        <v>249016.736</v>
      </c>
      <c r="Z1078" s="67">
        <f t="shared" si="8"/>
        <v>203371.2</v>
      </c>
      <c r="AA1078" s="67">
        <f t="shared" si="9"/>
        <v>32539.392</v>
      </c>
      <c r="AB1078" s="67">
        <f t="shared" si="10"/>
        <v>235910.592</v>
      </c>
      <c r="AC1078" s="67">
        <f t="shared" si="11"/>
        <v>192072.8</v>
      </c>
      <c r="AD1078" s="67">
        <f t="shared" si="12"/>
        <v>30731.648</v>
      </c>
      <c r="AE1078" s="67">
        <f t="shared" si="13"/>
        <v>222804.448</v>
      </c>
      <c r="AF1078" s="67">
        <f t="shared" si="33"/>
        <v>187553.44</v>
      </c>
      <c r="AG1078" s="67">
        <f t="shared" si="15"/>
        <v>30008.5504</v>
      </c>
      <c r="AH1078" s="67">
        <f t="shared" si="16"/>
        <v>217561.9904</v>
      </c>
      <c r="AI1078" s="67">
        <f t="shared" si="17"/>
        <v>180774.4</v>
      </c>
      <c r="AJ1078" s="68">
        <f t="shared" si="37"/>
        <v>28923.904</v>
      </c>
      <c r="AK1078" s="68">
        <f t="shared" si="38"/>
        <v>209698.304</v>
      </c>
      <c r="AL1078" s="70">
        <f>IFERROR(__xludf.DUMMYFUNCTION("""COMPUTED_VALUE"""),1.0)</f>
        <v>1</v>
      </c>
      <c r="AM1078" s="70"/>
      <c r="AN1078" s="71" t="str">
        <f>IFERROR(__xludf.DUMMYFUNCTION("""COMPUTED_VALUE""")," CP")</f>
        <v>CP</v>
      </c>
      <c r="AO1078" s="71" t="str">
        <f>IFERROR(__xludf.DUMMYFUNCTION("""COMPUTED_VALUE""")," RO92")</f>
        <v>RO92</v>
      </c>
      <c r="AP1078" s="71" t="str">
        <f>IFERROR(__xludf.DUMMYFUNCTION("""COMPUTED_VALUE""")," PZA")</f>
        <v>PZA</v>
      </c>
      <c r="AQ1078" s="71" t="str">
        <f>IFERROR(__xludf.DUMMYFUNCTION("""COMPUTED_VALUE""")," REF")</f>
        <v>REF</v>
      </c>
      <c r="AR1078" s="71" t="str">
        <f>IFERROR(__xludf.DUMMYFUNCTION("""COMPUTED_VALUE""")," RODILLO NEGRO DE POLIGAR MACHO PARA PONY")</f>
        <v>RODILLO NEGRO DE POLIGAR MACHO PARA PONY</v>
      </c>
      <c r="AS1078" s="71" t="str">
        <f>IFERROR(__xludf.DUMMYFUNCTION("""COMPUTED_VALUE""")," RODILLO NEGRO DE POLIGAR MACHO PARA PONY")</f>
        <v>RODILLO NEGRO DE POLIGAR MACHO PARA PONY</v>
      </c>
      <c r="AT1078" s="71">
        <f>IFERROR(__xludf.DUMMYFUNCTION("""COMPUTED_VALUE"""),40.0)</f>
        <v>40</v>
      </c>
      <c r="AU1078" s="71"/>
      <c r="AV1078" s="71"/>
      <c r="AW1078" s="71"/>
      <c r="AX1078" s="71"/>
      <c r="AY1078" s="71">
        <f>IFERROR(__xludf.DUMMYFUNCTION("""COMPUTED_VALUE"""),7880.0)</f>
        <v>7880</v>
      </c>
      <c r="AZ1078" s="71">
        <f>IFERROR(__xludf.DUMMYFUNCTION("""COMPUTED_VALUE"""),8510.0)</f>
        <v>8510</v>
      </c>
      <c r="BA1078" s="71">
        <f>IFERROR(__xludf.DUMMYFUNCTION("""COMPUTED_VALUE"""),9190.800000000001)</f>
        <v>9190.8</v>
      </c>
      <c r="BB1078" s="71">
        <f>IFERROR(__xludf.DUMMYFUNCTION("""COMPUTED_VALUE"""),9190.800000000001)</f>
        <v>9190.8</v>
      </c>
      <c r="BC1078" s="71">
        <f>IFERROR(__xludf.DUMMYFUNCTION("""COMPUTED_VALUE"""),10231.0)</f>
        <v>10231</v>
      </c>
      <c r="BD1078" s="71">
        <f>IFERROR(__xludf.DUMMYFUNCTION("""COMPUTED_VALUE"""),10743.0)</f>
        <v>10743</v>
      </c>
      <c r="BE1078" s="71">
        <f>IFERROR(__xludf.DUMMYFUNCTION("""COMPUTED_VALUE"""),1718.88)</f>
        <v>1718.88</v>
      </c>
      <c r="BF1078" s="71">
        <f>IFERROR(__xludf.DUMMYFUNCTION("""COMPUTED_VALUE"""),12461.880000000001)</f>
        <v>12461.88</v>
      </c>
      <c r="BG1078" s="71">
        <f>IFERROR(__xludf.DUMMYFUNCTION("""COMPUTED_VALUE"""),0.050043983970286386)</f>
        <v>0.05004398397</v>
      </c>
      <c r="BH1078" s="71">
        <f>IFERROR(__xludf.DUMMYFUNCTION("""COMPUTED_VALUE"""),10205.85)</f>
        <v>10205.85</v>
      </c>
      <c r="BI1078" s="71">
        <f>IFERROR(__xludf.DUMMYFUNCTION("""COMPUTED_VALUE"""),1632.9360000000001)</f>
        <v>1632.936</v>
      </c>
      <c r="BJ1078" s="71">
        <f>IFERROR(__xludf.DUMMYFUNCTION("""COMPUTED_VALUE"""),11838.786)</f>
        <v>11838.786</v>
      </c>
      <c r="BK1078" s="71">
        <f>IFERROR(__xludf.DUMMYFUNCTION("""COMPUTED_VALUE"""),9668.7)</f>
        <v>9668.7</v>
      </c>
      <c r="BL1078" s="71">
        <f>IFERROR(__xludf.DUMMYFUNCTION("""COMPUTED_VALUE"""),1546.9920000000002)</f>
        <v>1546.992</v>
      </c>
      <c r="BM1078" s="71">
        <f>IFERROR(__xludf.DUMMYFUNCTION("""COMPUTED_VALUE"""),11215.692000000001)</f>
        <v>11215.692</v>
      </c>
      <c r="BN1078" s="71">
        <f>IFERROR(__xludf.DUMMYFUNCTION("""COMPUTED_VALUE"""),9131.55)</f>
        <v>9131.55</v>
      </c>
      <c r="BO1078" s="71">
        <f>IFERROR(__xludf.DUMMYFUNCTION("""COMPUTED_VALUE"""),1461.048)</f>
        <v>1461.048</v>
      </c>
      <c r="BP1078" s="71">
        <f>IFERROR(__xludf.DUMMYFUNCTION("""COMPUTED_VALUE"""),10592.598)</f>
        <v>10592.598</v>
      </c>
      <c r="BQ1078" s="71">
        <f>IFERROR(__xludf.DUMMYFUNCTION("""COMPUTED_VALUE"""),8916.689999999999)</f>
        <v>8916.69</v>
      </c>
      <c r="BR1078" s="71">
        <f>IFERROR(__xludf.DUMMYFUNCTION("""COMPUTED_VALUE"""),1426.6703999999997)</f>
        <v>1426.6704</v>
      </c>
      <c r="BS1078" s="71">
        <f>IFERROR(__xludf.DUMMYFUNCTION("""COMPUTED_VALUE"""),10343.360399999998)</f>
        <v>10343.3604</v>
      </c>
      <c r="BT1078" s="71">
        <f>IFERROR(__xludf.DUMMYFUNCTION("""COMPUTED_VALUE"""),8594.4)</f>
        <v>8594.4</v>
      </c>
      <c r="BU1078" s="71">
        <f>IFERROR(__xludf.DUMMYFUNCTION("""COMPUTED_VALUE"""),1375.104)</f>
        <v>1375.104</v>
      </c>
      <c r="BV1078" s="71">
        <f>IFERROR(__xludf.DUMMYFUNCTION("""COMPUTED_VALUE"""),9969.503999999999)</f>
        <v>9969.504</v>
      </c>
    </row>
    <row r="1079">
      <c r="A1079" s="53"/>
      <c r="B1079" s="53">
        <v>3.0</v>
      </c>
      <c r="C1079" s="53" t="s">
        <v>36</v>
      </c>
      <c r="D1079" s="98" t="s">
        <v>2628</v>
      </c>
      <c r="E1079" s="54" t="s">
        <v>38</v>
      </c>
      <c r="F1079" s="55" t="s">
        <v>866</v>
      </c>
      <c r="G1079" s="139" t="s">
        <v>2629</v>
      </c>
      <c r="H1079" s="55"/>
      <c r="I1079" s="54">
        <f t="shared" si="24"/>
        <v>0</v>
      </c>
      <c r="J1079" s="56"/>
      <c r="K1079" s="57"/>
      <c r="L1079" s="76"/>
      <c r="M1079" s="59"/>
      <c r="N1079" s="60"/>
      <c r="O1079" s="61">
        <v>12061.0</v>
      </c>
      <c r="P1079" s="62">
        <v>13025.880000000001</v>
      </c>
      <c r="Q1079" s="63">
        <v>13025.880000000001</v>
      </c>
      <c r="R1079" s="64">
        <v>13678.0</v>
      </c>
      <c r="S1079" s="107">
        <v>14362.0</v>
      </c>
      <c r="T1079" s="65">
        <f t="shared" si="39"/>
        <v>2297.92</v>
      </c>
      <c r="U1079" s="65">
        <f t="shared" si="40"/>
        <v>16659.92</v>
      </c>
      <c r="V1079" s="66">
        <f t="shared" si="41"/>
        <v>0.05000731101</v>
      </c>
      <c r="W1079" s="67">
        <f t="shared" si="5"/>
        <v>13643.9</v>
      </c>
      <c r="X1079" s="67">
        <f t="shared" si="6"/>
        <v>2183.024</v>
      </c>
      <c r="Y1079" s="67">
        <f t="shared" si="7"/>
        <v>15826.924</v>
      </c>
      <c r="Z1079" s="67">
        <f t="shared" si="8"/>
        <v>12925.8</v>
      </c>
      <c r="AA1079" s="67">
        <f t="shared" si="9"/>
        <v>2068.128</v>
      </c>
      <c r="AB1079" s="67">
        <f t="shared" si="10"/>
        <v>14993.928</v>
      </c>
      <c r="AC1079" s="67">
        <f t="shared" si="11"/>
        <v>12925.8</v>
      </c>
      <c r="AD1079" s="67">
        <f t="shared" si="12"/>
        <v>2068.128</v>
      </c>
      <c r="AE1079" s="67">
        <f t="shared" si="13"/>
        <v>14993.928</v>
      </c>
      <c r="AF1079" s="67">
        <f t="shared" si="33"/>
        <v>12925.8</v>
      </c>
      <c r="AG1079" s="67">
        <f t="shared" si="15"/>
        <v>2068.128</v>
      </c>
      <c r="AH1079" s="67">
        <f t="shared" si="16"/>
        <v>14993.928</v>
      </c>
      <c r="AI1079" s="67">
        <f t="shared" si="17"/>
        <v>12925.8</v>
      </c>
      <c r="AJ1079" s="68">
        <f t="shared" si="37"/>
        <v>2068.128</v>
      </c>
      <c r="AK1079" s="68">
        <f t="shared" si="38"/>
        <v>14993.928</v>
      </c>
      <c r="AL1079" s="70">
        <f>IFERROR(__xludf.DUMMYFUNCTION("""COMPUTED_VALUE"""),1.0)</f>
        <v>1</v>
      </c>
      <c r="AM1079" s="70"/>
      <c r="AN1079" s="71" t="str">
        <f>IFERROR(__xludf.DUMMYFUNCTION("""COMPUTED_VALUE""")," CP")</f>
        <v>CP</v>
      </c>
      <c r="AO1079" s="71" t="str">
        <f>IFERROR(__xludf.DUMMYFUNCTION("""COMPUTED_VALUE""")," RO61")</f>
        <v>RO61</v>
      </c>
      <c r="AP1079" s="71" t="str">
        <f>IFERROR(__xludf.DUMMYFUNCTION("""COMPUTED_VALUE""")," PZA")</f>
        <v>PZA</v>
      </c>
      <c r="AQ1079" s="71" t="str">
        <f>IFERROR(__xludf.DUMMYFUNCTION("""COMPUTED_VALUE""")," REF")</f>
        <v>REF</v>
      </c>
      <c r="AR1079" s="71" t="str">
        <f>IFERROR(__xludf.DUMMYFUNCTION("""COMPUTED_VALUE""")," RODILLO NEGRO DE POLIGAR MACHO PARA TVRM")</f>
        <v>RODILLO NEGRO DE POLIGAR MACHO PARA TVRM</v>
      </c>
      <c r="AS1079" s="71" t="str">
        <f>IFERROR(__xludf.DUMMYFUNCTION("""COMPUTED_VALUE""")," RODILLO NEGRO DE POLIGAR MACHO PARA TVRM")</f>
        <v>RODILLO NEGRO DE POLIGAR MACHO PARA TVRM</v>
      </c>
      <c r="AT1079" s="71">
        <f>IFERROR(__xludf.DUMMYFUNCTION("""COMPUTED_VALUE"""),40.0)</f>
        <v>40</v>
      </c>
      <c r="AU1079" s="71"/>
      <c r="AV1079" s="71"/>
      <c r="AW1079" s="71"/>
      <c r="AX1079" s="71"/>
      <c r="AY1079" s="71">
        <f>IFERROR(__xludf.DUMMYFUNCTION("""COMPUTED_VALUE"""),13436.0)</f>
        <v>13436</v>
      </c>
      <c r="AZ1079" s="71">
        <f>IFERROR(__xludf.DUMMYFUNCTION("""COMPUTED_VALUE"""),14510.0)</f>
        <v>14510</v>
      </c>
      <c r="BA1079" s="71">
        <f>IFERROR(__xludf.DUMMYFUNCTION("""COMPUTED_VALUE"""),15670.800000000001)</f>
        <v>15670.8</v>
      </c>
      <c r="BB1079" s="71">
        <f>IFERROR(__xludf.DUMMYFUNCTION("""COMPUTED_VALUE"""),15670.800000000001)</f>
        <v>15670.8</v>
      </c>
      <c r="BC1079" s="71">
        <f>IFERROR(__xludf.DUMMYFUNCTION("""COMPUTED_VALUE"""),17443.0)</f>
        <v>17443</v>
      </c>
      <c r="BD1079" s="71">
        <f>IFERROR(__xludf.DUMMYFUNCTION("""COMPUTED_VALUE"""),18315.0)</f>
        <v>18315</v>
      </c>
      <c r="BE1079" s="71">
        <f>IFERROR(__xludf.DUMMYFUNCTION("""COMPUTED_VALUE"""),2930.4)</f>
        <v>2930.4</v>
      </c>
      <c r="BF1079" s="71">
        <f>IFERROR(__xludf.DUMMYFUNCTION("""COMPUTED_VALUE"""),21245.4)</f>
        <v>21245.4</v>
      </c>
      <c r="BG1079" s="71">
        <f>IFERROR(__xludf.DUMMYFUNCTION("""COMPUTED_VALUE"""),0.04999140056182996)</f>
        <v>0.04999140056</v>
      </c>
      <c r="BH1079" s="71">
        <f>IFERROR(__xludf.DUMMYFUNCTION("""COMPUTED_VALUE"""),17399.25)</f>
        <v>17399.25</v>
      </c>
      <c r="BI1079" s="71">
        <f>IFERROR(__xludf.DUMMYFUNCTION("""COMPUTED_VALUE"""),2783.88)</f>
        <v>2783.88</v>
      </c>
      <c r="BJ1079" s="71">
        <f>IFERROR(__xludf.DUMMYFUNCTION("""COMPUTED_VALUE"""),20183.13)</f>
        <v>20183.13</v>
      </c>
      <c r="BK1079" s="71">
        <f>IFERROR(__xludf.DUMMYFUNCTION("""COMPUTED_VALUE"""),16483.5)</f>
        <v>16483.5</v>
      </c>
      <c r="BL1079" s="71">
        <f>IFERROR(__xludf.DUMMYFUNCTION("""COMPUTED_VALUE"""),2637.36)</f>
        <v>2637.36</v>
      </c>
      <c r="BM1079" s="71">
        <f>IFERROR(__xludf.DUMMYFUNCTION("""COMPUTED_VALUE"""),19120.86)</f>
        <v>19120.86</v>
      </c>
      <c r="BN1079" s="71">
        <f>IFERROR(__xludf.DUMMYFUNCTION("""COMPUTED_VALUE"""),15567.75)</f>
        <v>15567.75</v>
      </c>
      <c r="BO1079" s="71">
        <f>IFERROR(__xludf.DUMMYFUNCTION("""COMPUTED_VALUE"""),2490.84)</f>
        <v>2490.84</v>
      </c>
      <c r="BP1079" s="71">
        <f>IFERROR(__xludf.DUMMYFUNCTION("""COMPUTED_VALUE"""),18058.59)</f>
        <v>18058.59</v>
      </c>
      <c r="BQ1079" s="71">
        <f>IFERROR(__xludf.DUMMYFUNCTION("""COMPUTED_VALUE"""),15201.449999999999)</f>
        <v>15201.45</v>
      </c>
      <c r="BR1079" s="71">
        <f>IFERROR(__xludf.DUMMYFUNCTION("""COMPUTED_VALUE"""),2432.232)</f>
        <v>2432.232</v>
      </c>
      <c r="BS1079" s="71">
        <f>IFERROR(__xludf.DUMMYFUNCTION("""COMPUTED_VALUE"""),17633.682)</f>
        <v>17633.682</v>
      </c>
      <c r="BT1079" s="71">
        <f>IFERROR(__xludf.DUMMYFUNCTION("""COMPUTED_VALUE"""),14652.0)</f>
        <v>14652</v>
      </c>
      <c r="BU1079" s="71">
        <f>IFERROR(__xludf.DUMMYFUNCTION("""COMPUTED_VALUE"""),2344.32)</f>
        <v>2344.32</v>
      </c>
      <c r="BV1079" s="71">
        <f>IFERROR(__xludf.DUMMYFUNCTION("""COMPUTED_VALUE"""),16996.32)</f>
        <v>16996.32</v>
      </c>
    </row>
    <row r="1080">
      <c r="A1080" s="53"/>
      <c r="B1080" s="53">
        <v>3.0</v>
      </c>
      <c r="C1080" s="53" t="s">
        <v>36</v>
      </c>
      <c r="D1080" s="98" t="s">
        <v>2630</v>
      </c>
      <c r="E1080" s="54" t="s">
        <v>38</v>
      </c>
      <c r="F1080" s="55" t="s">
        <v>866</v>
      </c>
      <c r="G1080" s="139" t="s">
        <v>2631</v>
      </c>
      <c r="H1080" s="55"/>
      <c r="I1080" s="54">
        <f t="shared" si="24"/>
        <v>0</v>
      </c>
      <c r="J1080" s="56"/>
      <c r="K1080" s="57"/>
      <c r="L1080" s="76"/>
      <c r="M1080" s="59"/>
      <c r="N1080" s="60"/>
      <c r="O1080" s="61">
        <v>10331.0</v>
      </c>
      <c r="P1080" s="62">
        <v>11157.480000000001</v>
      </c>
      <c r="Q1080" s="63">
        <v>11157.480000000001</v>
      </c>
      <c r="R1080" s="64">
        <v>11715.0</v>
      </c>
      <c r="S1080" s="107">
        <v>12301.0</v>
      </c>
      <c r="T1080" s="65">
        <f t="shared" si="39"/>
        <v>1968.16</v>
      </c>
      <c r="U1080" s="65">
        <f t="shared" si="40"/>
        <v>14269.16</v>
      </c>
      <c r="V1080" s="66">
        <f t="shared" si="41"/>
        <v>0.05002134016</v>
      </c>
      <c r="W1080" s="67">
        <f t="shared" si="5"/>
        <v>11685.95</v>
      </c>
      <c r="X1080" s="67">
        <f t="shared" si="6"/>
        <v>1869.752</v>
      </c>
      <c r="Y1080" s="67">
        <f t="shared" si="7"/>
        <v>13555.702</v>
      </c>
      <c r="Z1080" s="67">
        <f t="shared" si="8"/>
        <v>11070.9</v>
      </c>
      <c r="AA1080" s="67">
        <f t="shared" si="9"/>
        <v>1771.344</v>
      </c>
      <c r="AB1080" s="67">
        <f t="shared" si="10"/>
        <v>12842.244</v>
      </c>
      <c r="AC1080" s="67">
        <f t="shared" si="11"/>
        <v>11070.9</v>
      </c>
      <c r="AD1080" s="67">
        <f t="shared" si="12"/>
        <v>1771.344</v>
      </c>
      <c r="AE1080" s="67">
        <f t="shared" si="13"/>
        <v>12842.244</v>
      </c>
      <c r="AF1080" s="67">
        <f t="shared" si="33"/>
        <v>11070.9</v>
      </c>
      <c r="AG1080" s="67">
        <f t="shared" si="15"/>
        <v>1771.344</v>
      </c>
      <c r="AH1080" s="67">
        <f t="shared" si="16"/>
        <v>12842.244</v>
      </c>
      <c r="AI1080" s="67">
        <f t="shared" si="17"/>
        <v>11070.9</v>
      </c>
      <c r="AJ1080" s="68">
        <f t="shared" si="37"/>
        <v>1771.344</v>
      </c>
      <c r="AK1080" s="68">
        <f t="shared" si="38"/>
        <v>12842.244</v>
      </c>
      <c r="AL1080" s="70">
        <f>IFERROR(__xludf.DUMMYFUNCTION("""COMPUTED_VALUE"""),1.0)</f>
        <v>1</v>
      </c>
      <c r="AM1080" s="70"/>
      <c r="AN1080" s="71" t="str">
        <f>IFERROR(__xludf.DUMMYFUNCTION("""COMPUTED_VALUE""")," CP")</f>
        <v>CP</v>
      </c>
      <c r="AO1080" s="71" t="str">
        <f>IFERROR(__xludf.DUMMYFUNCTION("""COMPUTED_VALUE""")," RO99")</f>
        <v>RO99</v>
      </c>
      <c r="AP1080" s="71" t="str">
        <f>IFERROR(__xludf.DUMMYFUNCTION("""COMPUTED_VALUE""")," PZA")</f>
        <v>PZA</v>
      </c>
      <c r="AQ1080" s="71" t="str">
        <f>IFERROR(__xludf.DUMMYFUNCTION("""COMPUTED_VALUE""")," REF")</f>
        <v>REF</v>
      </c>
      <c r="AR1080" s="71" t="str">
        <f>IFERROR(__xludf.DUMMYFUNCTION("""COMPUTED_VALUE""")," RODILLO NEGRO DE POLIGAR MACHO PARA TVRSENC.")</f>
        <v>RODILLO NEGRO DE POLIGAR MACHO PARA TVRSENC.</v>
      </c>
      <c r="AS1080" s="71" t="str">
        <f>IFERROR(__xludf.DUMMYFUNCTION("""COMPUTED_VALUE""")," RODILLO NEGRO POLIGAR MACHO TVR")</f>
        <v>RODILLO NEGRO POLIGAR MACHO TVR</v>
      </c>
      <c r="AT1080" s="71">
        <f>IFERROR(__xludf.DUMMYFUNCTION("""COMPUTED_VALUE"""),31.0)</f>
        <v>31</v>
      </c>
      <c r="AU1080" s="71"/>
      <c r="AV1080" s="71"/>
      <c r="AW1080" s="71"/>
      <c r="AX1080" s="71"/>
      <c r="AY1080" s="71">
        <f>IFERROR(__xludf.DUMMYFUNCTION("""COMPUTED_VALUE"""),10185.0)</f>
        <v>10185</v>
      </c>
      <c r="AZ1080" s="71">
        <f>IFERROR(__xludf.DUMMYFUNCTION("""COMPUTED_VALUE"""),10999.0)</f>
        <v>10999</v>
      </c>
      <c r="BA1080" s="71">
        <f>IFERROR(__xludf.DUMMYFUNCTION("""COMPUTED_VALUE"""),11878.92)</f>
        <v>11878.92</v>
      </c>
      <c r="BB1080" s="71">
        <f>IFERROR(__xludf.DUMMYFUNCTION("""COMPUTED_VALUE"""),11878.92)</f>
        <v>11878.92</v>
      </c>
      <c r="BC1080" s="71">
        <f>IFERROR(__xludf.DUMMYFUNCTION("""COMPUTED_VALUE"""),13222.0)</f>
        <v>13222</v>
      </c>
      <c r="BD1080" s="71">
        <f>IFERROR(__xludf.DUMMYFUNCTION("""COMPUTED_VALUE"""),13883.0)</f>
        <v>13883</v>
      </c>
      <c r="BE1080" s="71">
        <f>IFERROR(__xludf.DUMMYFUNCTION("""COMPUTED_VALUE"""),2221.28)</f>
        <v>2221.28</v>
      </c>
      <c r="BF1080" s="71">
        <f>IFERROR(__xludf.DUMMYFUNCTION("""COMPUTED_VALUE"""),16104.28)</f>
        <v>16104.28</v>
      </c>
      <c r="BG1080" s="71">
        <f>IFERROR(__xludf.DUMMYFUNCTION("""COMPUTED_VALUE"""),0.04999243684767811)</f>
        <v>0.04999243685</v>
      </c>
      <c r="BH1080" s="71">
        <f>IFERROR(__xludf.DUMMYFUNCTION("""COMPUTED_VALUE"""),13188.849999999999)</f>
        <v>13188.85</v>
      </c>
      <c r="BI1080" s="71">
        <f>IFERROR(__xludf.DUMMYFUNCTION("""COMPUTED_VALUE"""),2110.216)</f>
        <v>2110.216</v>
      </c>
      <c r="BJ1080" s="71">
        <f>IFERROR(__xludf.DUMMYFUNCTION("""COMPUTED_VALUE"""),15299.065999999999)</f>
        <v>15299.066</v>
      </c>
      <c r="BK1080" s="71">
        <f>IFERROR(__xludf.DUMMYFUNCTION("""COMPUTED_VALUE"""),12494.7)</f>
        <v>12494.7</v>
      </c>
      <c r="BL1080" s="71">
        <f>IFERROR(__xludf.DUMMYFUNCTION("""COMPUTED_VALUE"""),1999.1520000000003)</f>
        <v>1999.152</v>
      </c>
      <c r="BM1080" s="71">
        <f>IFERROR(__xludf.DUMMYFUNCTION("""COMPUTED_VALUE"""),14493.852)</f>
        <v>14493.852</v>
      </c>
      <c r="BN1080" s="71">
        <f>IFERROR(__xludf.DUMMYFUNCTION("""COMPUTED_VALUE"""),11800.55)</f>
        <v>11800.55</v>
      </c>
      <c r="BO1080" s="71">
        <f>IFERROR(__xludf.DUMMYFUNCTION("""COMPUTED_VALUE"""),1888.088)</f>
        <v>1888.088</v>
      </c>
      <c r="BP1080" s="71">
        <f>IFERROR(__xludf.DUMMYFUNCTION("""COMPUTED_VALUE"""),13688.637999999999)</f>
        <v>13688.638</v>
      </c>
      <c r="BQ1080" s="71">
        <f>IFERROR(__xludf.DUMMYFUNCTION("""COMPUTED_VALUE"""),11522.89)</f>
        <v>11522.89</v>
      </c>
      <c r="BR1080" s="71">
        <f>IFERROR(__xludf.DUMMYFUNCTION("""COMPUTED_VALUE"""),1843.6624)</f>
        <v>1843.6624</v>
      </c>
      <c r="BS1080" s="71">
        <f>IFERROR(__xludf.DUMMYFUNCTION("""COMPUTED_VALUE"""),13366.552399999999)</f>
        <v>13366.5524</v>
      </c>
      <c r="BT1080" s="71">
        <f>IFERROR(__xludf.DUMMYFUNCTION("""COMPUTED_VALUE"""),11106.400000000001)</f>
        <v>11106.4</v>
      </c>
      <c r="BU1080" s="71">
        <f>IFERROR(__xludf.DUMMYFUNCTION("""COMPUTED_VALUE"""),1777.0240000000003)</f>
        <v>1777.024</v>
      </c>
      <c r="BV1080" s="71">
        <f>IFERROR(__xludf.DUMMYFUNCTION("""COMPUTED_VALUE"""),12883.424000000003)</f>
        <v>12883.424</v>
      </c>
    </row>
    <row r="1081">
      <c r="A1081" s="53"/>
      <c r="B1081" s="53"/>
      <c r="C1081" s="53" t="s">
        <v>36</v>
      </c>
      <c r="D1081" s="85" t="s">
        <v>2632</v>
      </c>
      <c r="E1081" s="54" t="s">
        <v>38</v>
      </c>
      <c r="F1081" s="55" t="s">
        <v>39</v>
      </c>
      <c r="G1081" s="86" t="s">
        <v>2633</v>
      </c>
      <c r="H1081" s="55"/>
      <c r="I1081" s="54">
        <f t="shared" si="24"/>
        <v>0</v>
      </c>
      <c r="J1081" s="56"/>
      <c r="K1081" s="57"/>
      <c r="L1081" s="76"/>
      <c r="M1081" s="59"/>
      <c r="N1081" s="60"/>
      <c r="O1081" s="61">
        <v>79.2</v>
      </c>
      <c r="P1081" s="62">
        <v>85.53600000000002</v>
      </c>
      <c r="Q1081" s="63">
        <v>85.53600000000002</v>
      </c>
      <c r="R1081" s="64">
        <v>91.0</v>
      </c>
      <c r="S1081" s="107">
        <v>96.0</v>
      </c>
      <c r="T1081" s="65">
        <f t="shared" si="39"/>
        <v>15.36</v>
      </c>
      <c r="U1081" s="65">
        <f t="shared" si="40"/>
        <v>111.36</v>
      </c>
      <c r="V1081" s="66">
        <f t="shared" si="41"/>
        <v>0.05494505495</v>
      </c>
      <c r="W1081" s="67">
        <f t="shared" si="5"/>
        <v>91.2</v>
      </c>
      <c r="X1081" s="67">
        <f t="shared" si="6"/>
        <v>14.592</v>
      </c>
      <c r="Y1081" s="67">
        <f t="shared" si="7"/>
        <v>105.792</v>
      </c>
      <c r="Z1081" s="67">
        <f t="shared" si="8"/>
        <v>86.4</v>
      </c>
      <c r="AA1081" s="67">
        <f t="shared" si="9"/>
        <v>13.824</v>
      </c>
      <c r="AB1081" s="67">
        <f t="shared" si="10"/>
        <v>100.224</v>
      </c>
      <c r="AC1081" s="67">
        <f t="shared" si="11"/>
        <v>81.6</v>
      </c>
      <c r="AD1081" s="67">
        <f t="shared" si="12"/>
        <v>13.056</v>
      </c>
      <c r="AE1081" s="67">
        <f t="shared" si="13"/>
        <v>94.656</v>
      </c>
      <c r="AF1081" s="67">
        <f t="shared" si="33"/>
        <v>79.68</v>
      </c>
      <c r="AG1081" s="67">
        <f t="shared" si="15"/>
        <v>12.7488</v>
      </c>
      <c r="AH1081" s="67">
        <f t="shared" si="16"/>
        <v>92.4288</v>
      </c>
      <c r="AI1081" s="67">
        <f t="shared" si="17"/>
        <v>76.8</v>
      </c>
      <c r="AJ1081" s="68">
        <f t="shared" si="37"/>
        <v>12.288</v>
      </c>
      <c r="AK1081" s="68">
        <f t="shared" si="38"/>
        <v>89.088</v>
      </c>
      <c r="AL1081" s="70">
        <f>IFERROR(__xludf.DUMMYFUNCTION("""COMPUTED_VALUE"""),1.0)</f>
        <v>1</v>
      </c>
      <c r="AM1081" s="70"/>
      <c r="AN1081" s="71" t="str">
        <f>IFERROR(__xludf.DUMMYFUNCTION("""COMPUTED_VALUE""")," CP")</f>
        <v>CP</v>
      </c>
      <c r="AO1081" s="71" t="str">
        <f>IFERROR(__xludf.DUMMYFUNCTION("""COMPUTED_VALUE""")," RO63")</f>
        <v>RO63</v>
      </c>
      <c r="AP1081" s="71" t="str">
        <f>IFERROR(__xludf.DUMMYFUNCTION("""COMPUTED_VALUE""")," PZA")</f>
        <v>PZA</v>
      </c>
      <c r="AQ1081" s="71" t="str">
        <f>IFERROR(__xludf.DUMMYFUNCTION("""COMPUTED_VALUE""")," REF")</f>
        <v>REF</v>
      </c>
      <c r="AR1081" s="71" t="str">
        <f>IFERROR(__xludf.DUMMYFUNCTION("""COMPUTED_VALUE""")," RODILLO NEGRO DE POLIGAR MACHO TVRD100")</f>
        <v>RODILLO NEGRO DE POLIGAR MACHO TVRD100</v>
      </c>
      <c r="AS1081" s="71" t="str">
        <f>IFERROR(__xludf.DUMMYFUNCTION("""COMPUTED_VALUE""")," RODILLO NEGRO DE POLIGAR MACHO TVRD100")</f>
        <v>RODILLO NEGRO DE POLIGAR MACHO TVRD100</v>
      </c>
      <c r="AT1081" s="71">
        <f>IFERROR(__xludf.DUMMYFUNCTION("""COMPUTED_VALUE"""),38.0)</f>
        <v>38</v>
      </c>
      <c r="AU1081" s="71"/>
      <c r="AV1081" s="71"/>
      <c r="AW1081" s="71"/>
      <c r="AX1081" s="71"/>
      <c r="AY1081" s="71">
        <f>IFERROR(__xludf.DUMMYFUNCTION("""COMPUTED_VALUE"""),15385.0)</f>
        <v>15385</v>
      </c>
      <c r="AZ1081" s="71">
        <f>IFERROR(__xludf.DUMMYFUNCTION("""COMPUTED_VALUE"""),16615.0)</f>
        <v>16615</v>
      </c>
      <c r="BA1081" s="71">
        <f>IFERROR(__xludf.DUMMYFUNCTION("""COMPUTED_VALUE"""),17944.2)</f>
        <v>17944.2</v>
      </c>
      <c r="BB1081" s="71">
        <f>IFERROR(__xludf.DUMMYFUNCTION("""COMPUTED_VALUE"""),17944.2)</f>
        <v>17944.2</v>
      </c>
      <c r="BC1081" s="71">
        <f>IFERROR(__xludf.DUMMYFUNCTION("""COMPUTED_VALUE"""),19973.0)</f>
        <v>19973</v>
      </c>
      <c r="BD1081" s="71">
        <f>IFERROR(__xludf.DUMMYFUNCTION("""COMPUTED_VALUE"""),20972.0)</f>
        <v>20972</v>
      </c>
      <c r="BE1081" s="71">
        <f>IFERROR(__xludf.DUMMYFUNCTION("""COMPUTED_VALUE"""),3355.52)</f>
        <v>3355.52</v>
      </c>
      <c r="BF1081" s="71">
        <f>IFERROR(__xludf.DUMMYFUNCTION("""COMPUTED_VALUE"""),24327.52)</f>
        <v>24327.52</v>
      </c>
      <c r="BG1081" s="71">
        <f>IFERROR(__xludf.DUMMYFUNCTION("""COMPUTED_VALUE"""),0.05001752365693687)</f>
        <v>0.05001752366</v>
      </c>
      <c r="BH1081" s="71">
        <f>IFERROR(__xludf.DUMMYFUNCTION("""COMPUTED_VALUE"""),19923.399999999998)</f>
        <v>19923.4</v>
      </c>
      <c r="BI1081" s="71">
        <f>IFERROR(__xludf.DUMMYFUNCTION("""COMPUTED_VALUE"""),3187.7439999999997)</f>
        <v>3187.744</v>
      </c>
      <c r="BJ1081" s="71">
        <f>IFERROR(__xludf.DUMMYFUNCTION("""COMPUTED_VALUE"""),23111.143999999997)</f>
        <v>23111.144</v>
      </c>
      <c r="BK1081" s="71">
        <f>IFERROR(__xludf.DUMMYFUNCTION("""COMPUTED_VALUE"""),18874.8)</f>
        <v>18874.8</v>
      </c>
      <c r="BL1081" s="71">
        <f>IFERROR(__xludf.DUMMYFUNCTION("""COMPUTED_VALUE"""),3019.968)</f>
        <v>3019.968</v>
      </c>
      <c r="BM1081" s="71">
        <f>IFERROR(__xludf.DUMMYFUNCTION("""COMPUTED_VALUE"""),21894.768)</f>
        <v>21894.768</v>
      </c>
      <c r="BN1081" s="71">
        <f>IFERROR(__xludf.DUMMYFUNCTION("""COMPUTED_VALUE"""),17826.2)</f>
        <v>17826.2</v>
      </c>
      <c r="BO1081" s="71">
        <f>IFERROR(__xludf.DUMMYFUNCTION("""COMPUTED_VALUE"""),2852.192)</f>
        <v>2852.192</v>
      </c>
      <c r="BP1081" s="71">
        <f>IFERROR(__xludf.DUMMYFUNCTION("""COMPUTED_VALUE"""),20678.392)</f>
        <v>20678.392</v>
      </c>
      <c r="BQ1081" s="71">
        <f>IFERROR(__xludf.DUMMYFUNCTION("""COMPUTED_VALUE"""),17406.76)</f>
        <v>17406.76</v>
      </c>
      <c r="BR1081" s="71">
        <f>IFERROR(__xludf.DUMMYFUNCTION("""COMPUTED_VALUE"""),2785.0816)</f>
        <v>2785.0816</v>
      </c>
      <c r="BS1081" s="71">
        <f>IFERROR(__xludf.DUMMYFUNCTION("""COMPUTED_VALUE"""),20191.8416)</f>
        <v>20191.8416</v>
      </c>
      <c r="BT1081" s="71">
        <f>IFERROR(__xludf.DUMMYFUNCTION("""COMPUTED_VALUE"""),16777.600000000002)</f>
        <v>16777.6</v>
      </c>
      <c r="BU1081" s="71">
        <f>IFERROR(__xludf.DUMMYFUNCTION("""COMPUTED_VALUE"""),2684.4160000000006)</f>
        <v>2684.416</v>
      </c>
      <c r="BV1081" s="71">
        <f>IFERROR(__xludf.DUMMYFUNCTION("""COMPUTED_VALUE"""),19462.016000000003)</f>
        <v>19462.016</v>
      </c>
    </row>
    <row r="1082">
      <c r="A1082" s="53"/>
      <c r="B1082" s="53"/>
      <c r="C1082" s="53" t="s">
        <v>36</v>
      </c>
      <c r="D1082" s="85" t="s">
        <v>2634</v>
      </c>
      <c r="E1082" s="54" t="s">
        <v>38</v>
      </c>
      <c r="F1082" s="55" t="s">
        <v>39</v>
      </c>
      <c r="G1082" s="86" t="s">
        <v>2635</v>
      </c>
      <c r="H1082" s="55"/>
      <c r="I1082" s="54">
        <f t="shared" si="24"/>
        <v>0</v>
      </c>
      <c r="J1082" s="56"/>
      <c r="K1082" s="57"/>
      <c r="L1082" s="76"/>
      <c r="M1082" s="59"/>
      <c r="N1082" s="60"/>
      <c r="O1082" s="61">
        <v>960.0</v>
      </c>
      <c r="P1082" s="62">
        <v>1036.8000000000002</v>
      </c>
      <c r="Q1082" s="63">
        <v>1036.8000000000002</v>
      </c>
      <c r="R1082" s="64">
        <v>1089.0</v>
      </c>
      <c r="S1082" s="107">
        <v>1143.0</v>
      </c>
      <c r="T1082" s="65">
        <f t="shared" si="39"/>
        <v>182.88</v>
      </c>
      <c r="U1082" s="65">
        <f t="shared" si="40"/>
        <v>1325.88</v>
      </c>
      <c r="V1082" s="66">
        <f t="shared" si="41"/>
        <v>0.04958677686</v>
      </c>
      <c r="W1082" s="67">
        <f t="shared" si="5"/>
        <v>1085.85</v>
      </c>
      <c r="X1082" s="67">
        <f t="shared" si="6"/>
        <v>173.736</v>
      </c>
      <c r="Y1082" s="67">
        <f t="shared" si="7"/>
        <v>1259.586</v>
      </c>
      <c r="Z1082" s="67">
        <f t="shared" si="8"/>
        <v>1028.7</v>
      </c>
      <c r="AA1082" s="67">
        <f t="shared" si="9"/>
        <v>164.592</v>
      </c>
      <c r="AB1082" s="67">
        <f t="shared" si="10"/>
        <v>1193.292</v>
      </c>
      <c r="AC1082" s="67">
        <f t="shared" si="11"/>
        <v>971.55</v>
      </c>
      <c r="AD1082" s="67">
        <f t="shared" si="12"/>
        <v>155.448</v>
      </c>
      <c r="AE1082" s="67">
        <f t="shared" si="13"/>
        <v>1126.998</v>
      </c>
      <c r="AF1082" s="67">
        <f t="shared" si="33"/>
        <v>948.69</v>
      </c>
      <c r="AG1082" s="67">
        <f t="shared" si="15"/>
        <v>151.7904</v>
      </c>
      <c r="AH1082" s="67">
        <f t="shared" si="16"/>
        <v>1100.4804</v>
      </c>
      <c r="AI1082" s="67">
        <f t="shared" si="17"/>
        <v>914.4</v>
      </c>
      <c r="AJ1082" s="68">
        <f t="shared" si="37"/>
        <v>146.304</v>
      </c>
      <c r="AK1082" s="68">
        <f t="shared" si="38"/>
        <v>1060.704</v>
      </c>
      <c r="AL1082" s="70">
        <f>IFERROR(__xludf.DUMMYFUNCTION("""COMPUTED_VALUE"""),1.0)</f>
        <v>1</v>
      </c>
      <c r="AM1082" s="70"/>
      <c r="AN1082" s="71" t="str">
        <f>IFERROR(__xludf.DUMMYFUNCTION("""COMPUTED_VALUE""")," P")</f>
        <v>P</v>
      </c>
      <c r="AO1082" s="71" t="str">
        <f>IFERROR(__xludf.DUMMYFUNCTION("""COMPUTED_VALUE""")," RO12")</f>
        <v>RO12</v>
      </c>
      <c r="AP1082" s="71" t="str">
        <f>IFERROR(__xludf.DUMMYFUNCTION("""COMPUTED_VALUE""")," PZA")</f>
        <v>PZA</v>
      </c>
      <c r="AQ1082" s="71" t="str">
        <f>IFERROR(__xludf.DUMMYFUNCTION("""COMPUTED_VALUE""")," REF")</f>
        <v>REF</v>
      </c>
      <c r="AR1082" s="71" t="str">
        <f>IFERROR(__xludf.DUMMYFUNCTION("""COMPUTED_VALUE""")," RODILLO NO.1 SENCILLO MODELO ANTERIOR")</f>
        <v>RODILLO NO.1 SENCILLO MODELO ANTERIOR</v>
      </c>
      <c r="AS1082" s="71" t="str">
        <f>IFERROR(__xludf.DUMMYFUNCTION("""COMPUTED_VALUE""")," RODILLO NO.1 SENCILLO MA")</f>
        <v>RODILLO NO.1 SENCILLO MA</v>
      </c>
      <c r="AT1082" s="71">
        <f>IFERROR(__xludf.DUMMYFUNCTION("""COMPUTED_VALUE"""),24.0)</f>
        <v>24</v>
      </c>
      <c r="AU1082" s="71"/>
      <c r="AV1082" s="71"/>
      <c r="AW1082" s="71"/>
      <c r="AX1082" s="71"/>
      <c r="AY1082" s="71">
        <f>IFERROR(__xludf.DUMMYFUNCTION("""COMPUTED_VALUE"""),524.0)</f>
        <v>524</v>
      </c>
      <c r="AZ1082" s="71">
        <f>IFERROR(__xludf.DUMMYFUNCTION("""COMPUTED_VALUE"""),565.0)</f>
        <v>565</v>
      </c>
      <c r="BA1082" s="71">
        <f>IFERROR(__xludf.DUMMYFUNCTION("""COMPUTED_VALUE"""),610.2)</f>
        <v>610.2</v>
      </c>
      <c r="BB1082" s="71">
        <f>IFERROR(__xludf.DUMMYFUNCTION("""COMPUTED_VALUE"""),610.2)</f>
        <v>610.2</v>
      </c>
      <c r="BC1082" s="71">
        <f>IFERROR(__xludf.DUMMYFUNCTION("""COMPUTED_VALUE"""),680.0)</f>
        <v>680</v>
      </c>
      <c r="BD1082" s="71">
        <f>IFERROR(__xludf.DUMMYFUNCTION("""COMPUTED_VALUE"""),714.0)</f>
        <v>714</v>
      </c>
      <c r="BE1082" s="71">
        <f>IFERROR(__xludf.DUMMYFUNCTION("""COMPUTED_VALUE"""),114.24000000000001)</f>
        <v>114.24</v>
      </c>
      <c r="BF1082" s="71">
        <f>IFERROR(__xludf.DUMMYFUNCTION("""COMPUTED_VALUE"""),828.24)</f>
        <v>828.24</v>
      </c>
      <c r="BG1082" s="71">
        <f>IFERROR(__xludf.DUMMYFUNCTION("""COMPUTED_VALUE"""),0.05)</f>
        <v>0.05</v>
      </c>
      <c r="BH1082" s="71">
        <f>IFERROR(__xludf.DUMMYFUNCTION("""COMPUTED_VALUE"""),678.3)</f>
        <v>678.3</v>
      </c>
      <c r="BI1082" s="71">
        <f>IFERROR(__xludf.DUMMYFUNCTION("""COMPUTED_VALUE"""),108.52799999999999)</f>
        <v>108.528</v>
      </c>
      <c r="BJ1082" s="71">
        <f>IFERROR(__xludf.DUMMYFUNCTION("""COMPUTED_VALUE"""),786.828)</f>
        <v>786.828</v>
      </c>
      <c r="BK1082" s="71">
        <f>IFERROR(__xludf.DUMMYFUNCTION("""COMPUTED_VALUE"""),642.6)</f>
        <v>642.6</v>
      </c>
      <c r="BL1082" s="71">
        <f>IFERROR(__xludf.DUMMYFUNCTION("""COMPUTED_VALUE"""),102.816)</f>
        <v>102.816</v>
      </c>
      <c r="BM1082" s="71">
        <f>IFERROR(__xludf.DUMMYFUNCTION("""COMPUTED_VALUE"""),745.416)</f>
        <v>745.416</v>
      </c>
      <c r="BN1082" s="71">
        <f>IFERROR(__xludf.DUMMYFUNCTION("""COMPUTED_VALUE"""),606.9)</f>
        <v>606.9</v>
      </c>
      <c r="BO1082" s="71">
        <f>IFERROR(__xludf.DUMMYFUNCTION("""COMPUTED_VALUE"""),97.104)</f>
        <v>97.104</v>
      </c>
      <c r="BP1082" s="71">
        <f>IFERROR(__xludf.DUMMYFUNCTION("""COMPUTED_VALUE"""),704.004)</f>
        <v>704.004</v>
      </c>
      <c r="BQ1082" s="71">
        <f>IFERROR(__xludf.DUMMYFUNCTION("""COMPUTED_VALUE"""),592.62)</f>
        <v>592.62</v>
      </c>
      <c r="BR1082" s="71">
        <f>IFERROR(__xludf.DUMMYFUNCTION("""COMPUTED_VALUE"""),94.81920000000001)</f>
        <v>94.8192</v>
      </c>
      <c r="BS1082" s="71">
        <f>IFERROR(__xludf.DUMMYFUNCTION("""COMPUTED_VALUE"""),687.4392)</f>
        <v>687.4392</v>
      </c>
      <c r="BT1082" s="71">
        <f>IFERROR(__xludf.DUMMYFUNCTION("""COMPUTED_VALUE"""),571.2)</f>
        <v>571.2</v>
      </c>
      <c r="BU1082" s="71">
        <f>IFERROR(__xludf.DUMMYFUNCTION("""COMPUTED_VALUE"""),91.39200000000001)</f>
        <v>91.392</v>
      </c>
      <c r="BV1082" s="71">
        <f>IFERROR(__xludf.DUMMYFUNCTION("""COMPUTED_VALUE"""),662.5920000000001)</f>
        <v>662.592</v>
      </c>
    </row>
    <row r="1083">
      <c r="A1083" s="53"/>
      <c r="B1083" s="53"/>
      <c r="C1083" s="53" t="s">
        <v>36</v>
      </c>
      <c r="D1083" s="85" t="s">
        <v>2636</v>
      </c>
      <c r="E1083" s="54" t="s">
        <v>38</v>
      </c>
      <c r="F1083" s="55" t="s">
        <v>39</v>
      </c>
      <c r="G1083" s="86" t="s">
        <v>2637</v>
      </c>
      <c r="H1083" s="55"/>
      <c r="I1083" s="54">
        <f t="shared" si="24"/>
        <v>0</v>
      </c>
      <c r="J1083" s="56"/>
      <c r="K1083" s="57"/>
      <c r="L1083" s="76"/>
      <c r="M1083" s="59"/>
      <c r="N1083" s="60"/>
      <c r="O1083" s="61">
        <v>342.0</v>
      </c>
      <c r="P1083" s="62">
        <v>369.36</v>
      </c>
      <c r="Q1083" s="63">
        <v>369.36</v>
      </c>
      <c r="R1083" s="64">
        <v>388.0</v>
      </c>
      <c r="S1083" s="107">
        <v>407.0</v>
      </c>
      <c r="T1083" s="65">
        <f t="shared" si="39"/>
        <v>65.12</v>
      </c>
      <c r="U1083" s="65">
        <f t="shared" si="40"/>
        <v>472.12</v>
      </c>
      <c r="V1083" s="66">
        <f t="shared" si="41"/>
        <v>0.04896907216</v>
      </c>
      <c r="W1083" s="67">
        <f t="shared" si="5"/>
        <v>386.65</v>
      </c>
      <c r="X1083" s="67">
        <f t="shared" si="6"/>
        <v>61.864</v>
      </c>
      <c r="Y1083" s="67">
        <f t="shared" si="7"/>
        <v>448.514</v>
      </c>
      <c r="Z1083" s="67">
        <f t="shared" si="8"/>
        <v>366.3</v>
      </c>
      <c r="AA1083" s="67">
        <f t="shared" si="9"/>
        <v>58.608</v>
      </c>
      <c r="AB1083" s="67">
        <f t="shared" si="10"/>
        <v>424.908</v>
      </c>
      <c r="AC1083" s="67">
        <f t="shared" si="11"/>
        <v>345.95</v>
      </c>
      <c r="AD1083" s="67">
        <f t="shared" si="12"/>
        <v>55.352</v>
      </c>
      <c r="AE1083" s="67">
        <f t="shared" si="13"/>
        <v>401.302</v>
      </c>
      <c r="AF1083" s="67">
        <f t="shared" si="33"/>
        <v>337.81</v>
      </c>
      <c r="AG1083" s="67">
        <f t="shared" si="15"/>
        <v>54.0496</v>
      </c>
      <c r="AH1083" s="67">
        <f t="shared" si="16"/>
        <v>391.8596</v>
      </c>
      <c r="AI1083" s="67">
        <f t="shared" si="17"/>
        <v>325.6</v>
      </c>
      <c r="AJ1083" s="68">
        <f t="shared" si="37"/>
        <v>52.096</v>
      </c>
      <c r="AK1083" s="68">
        <f t="shared" si="38"/>
        <v>377.696</v>
      </c>
      <c r="AL1083" s="70">
        <f>IFERROR(__xludf.DUMMYFUNCTION("""COMPUTED_VALUE"""),1.0)</f>
        <v>1</v>
      </c>
      <c r="AM1083" s="70"/>
      <c r="AN1083" s="71" t="str">
        <f>IFERROR(__xludf.DUMMYFUNCTION("""COMPUTED_VALUE""")," P")</f>
        <v>P</v>
      </c>
      <c r="AO1083" s="71" t="str">
        <f>IFERROR(__xludf.DUMMYFUNCTION("""COMPUTED_VALUE""")," RO13")</f>
        <v>RO13</v>
      </c>
      <c r="AP1083" s="71" t="str">
        <f>IFERROR(__xludf.DUMMYFUNCTION("""COMPUTED_VALUE""")," PZA")</f>
        <v>PZA</v>
      </c>
      <c r="AQ1083" s="71" t="str">
        <f>IFERROR(__xludf.DUMMYFUNCTION("""COMPUTED_VALUE""")," REF")</f>
        <v>REF</v>
      </c>
      <c r="AR1083" s="71" t="str">
        <f>IFERROR(__xludf.DUMMYFUNCTION("""COMPUTED_VALUE""")," RODILLO NO.2 TABLETA CHICA DÚPLEX MODELO ANTERIOR")</f>
        <v>RODILLO NO.2 TABLETA CHICA DÚPLEX MODELO ANTERIOR</v>
      </c>
      <c r="AS1083" s="71" t="str">
        <f>IFERROR(__xludf.DUMMYFUNCTION("""COMPUTED_VALUE""")," RODILLO NO.2 TABLETA CHICA DPLX MA")</f>
        <v>RODILLO NO.2 TABLETA CHICA DPLX MA</v>
      </c>
      <c r="AT1083" s="71">
        <f>IFERROR(__xludf.DUMMYFUNCTION("""COMPUTED_VALUE"""),34.0)</f>
        <v>34</v>
      </c>
      <c r="AU1083" s="71"/>
      <c r="AV1083" s="71"/>
      <c r="AW1083" s="71"/>
      <c r="AX1083" s="71"/>
      <c r="AY1083" s="71">
        <f>IFERROR(__xludf.DUMMYFUNCTION("""COMPUTED_VALUE"""),806.0)</f>
        <v>806</v>
      </c>
      <c r="AZ1083" s="71">
        <f>IFERROR(__xludf.DUMMYFUNCTION("""COMPUTED_VALUE"""),870.0)</f>
        <v>870</v>
      </c>
      <c r="BA1083" s="71">
        <f>IFERROR(__xludf.DUMMYFUNCTION("""COMPUTED_VALUE"""),939.6)</f>
        <v>939.6</v>
      </c>
      <c r="BB1083" s="71">
        <f>IFERROR(__xludf.DUMMYFUNCTION("""COMPUTED_VALUE"""),939.6)</f>
        <v>939.6</v>
      </c>
      <c r="BC1083" s="71">
        <f>IFERROR(__xludf.DUMMYFUNCTION("""COMPUTED_VALUE"""),1046.0)</f>
        <v>1046</v>
      </c>
      <c r="BD1083" s="71">
        <f>IFERROR(__xludf.DUMMYFUNCTION("""COMPUTED_VALUE"""),1098.0)</f>
        <v>1098</v>
      </c>
      <c r="BE1083" s="71">
        <f>IFERROR(__xludf.DUMMYFUNCTION("""COMPUTED_VALUE"""),175.68)</f>
        <v>175.68</v>
      </c>
      <c r="BF1083" s="71">
        <f>IFERROR(__xludf.DUMMYFUNCTION("""COMPUTED_VALUE"""),1273.68)</f>
        <v>1273.68</v>
      </c>
      <c r="BG1083" s="71">
        <f>IFERROR(__xludf.DUMMYFUNCTION("""COMPUTED_VALUE"""),0.0497131931166348)</f>
        <v>0.04971319312</v>
      </c>
      <c r="BH1083" s="71">
        <f>IFERROR(__xludf.DUMMYFUNCTION("""COMPUTED_VALUE"""),1043.1)</f>
        <v>1043.1</v>
      </c>
      <c r="BI1083" s="71">
        <f>IFERROR(__xludf.DUMMYFUNCTION("""COMPUTED_VALUE"""),166.896)</f>
        <v>166.896</v>
      </c>
      <c r="BJ1083" s="71">
        <f>IFERROR(__xludf.DUMMYFUNCTION("""COMPUTED_VALUE"""),1209.9959999999999)</f>
        <v>1209.996</v>
      </c>
      <c r="BK1083" s="71">
        <f>IFERROR(__xludf.DUMMYFUNCTION("""COMPUTED_VALUE"""),988.2)</f>
        <v>988.2</v>
      </c>
      <c r="BL1083" s="71">
        <f>IFERROR(__xludf.DUMMYFUNCTION("""COMPUTED_VALUE"""),158.11200000000002)</f>
        <v>158.112</v>
      </c>
      <c r="BM1083" s="71">
        <f>IFERROR(__xludf.DUMMYFUNCTION("""COMPUTED_VALUE"""),1146.3120000000001)</f>
        <v>1146.312</v>
      </c>
      <c r="BN1083" s="71">
        <f>IFERROR(__xludf.DUMMYFUNCTION("""COMPUTED_VALUE"""),933.3)</f>
        <v>933.3</v>
      </c>
      <c r="BO1083" s="71">
        <f>IFERROR(__xludf.DUMMYFUNCTION("""COMPUTED_VALUE"""),149.328)</f>
        <v>149.328</v>
      </c>
      <c r="BP1083" s="71">
        <f>IFERROR(__xludf.DUMMYFUNCTION("""COMPUTED_VALUE"""),1082.628)</f>
        <v>1082.628</v>
      </c>
      <c r="BQ1083" s="71">
        <f>IFERROR(__xludf.DUMMYFUNCTION("""COMPUTED_VALUE"""),911.3399999999999)</f>
        <v>911.34</v>
      </c>
      <c r="BR1083" s="71">
        <f>IFERROR(__xludf.DUMMYFUNCTION("""COMPUTED_VALUE"""),145.81439999999998)</f>
        <v>145.8144</v>
      </c>
      <c r="BS1083" s="71">
        <f>IFERROR(__xludf.DUMMYFUNCTION("""COMPUTED_VALUE"""),1057.1544)</f>
        <v>1057.1544</v>
      </c>
      <c r="BT1083" s="71">
        <f>IFERROR(__xludf.DUMMYFUNCTION("""COMPUTED_VALUE"""),878.4000000000001)</f>
        <v>878.4</v>
      </c>
      <c r="BU1083" s="71">
        <f>IFERROR(__xludf.DUMMYFUNCTION("""COMPUTED_VALUE"""),140.544)</f>
        <v>140.544</v>
      </c>
      <c r="BV1083" s="71">
        <f>IFERROR(__xludf.DUMMYFUNCTION("""COMPUTED_VALUE"""),1018.9440000000001)</f>
        <v>1018.944</v>
      </c>
    </row>
    <row r="1084">
      <c r="A1084" s="53"/>
      <c r="B1084" s="53"/>
      <c r="C1084" s="53" t="s">
        <v>36</v>
      </c>
      <c r="D1084" s="85" t="s">
        <v>2638</v>
      </c>
      <c r="E1084" s="54" t="s">
        <v>38</v>
      </c>
      <c r="F1084" s="55" t="s">
        <v>39</v>
      </c>
      <c r="G1084" s="86" t="s">
        <v>2639</v>
      </c>
      <c r="H1084" s="55"/>
      <c r="I1084" s="54">
        <f t="shared" si="24"/>
        <v>0</v>
      </c>
      <c r="J1084" s="56"/>
      <c r="K1084" s="57"/>
      <c r="L1084" s="76"/>
      <c r="M1084" s="59"/>
      <c r="N1084" s="60"/>
      <c r="O1084" s="61">
        <v>144.0</v>
      </c>
      <c r="P1084" s="62">
        <v>155.52</v>
      </c>
      <c r="Q1084" s="63">
        <v>155.52</v>
      </c>
      <c r="R1084" s="64">
        <v>164.0</v>
      </c>
      <c r="S1084" s="107">
        <v>172.0</v>
      </c>
      <c r="T1084" s="65">
        <f t="shared" si="39"/>
        <v>27.52</v>
      </c>
      <c r="U1084" s="65">
        <f t="shared" si="40"/>
        <v>199.52</v>
      </c>
      <c r="V1084" s="66">
        <f t="shared" si="41"/>
        <v>0.0487804878</v>
      </c>
      <c r="W1084" s="67">
        <f t="shared" si="5"/>
        <v>163.4</v>
      </c>
      <c r="X1084" s="67">
        <f t="shared" si="6"/>
        <v>26.144</v>
      </c>
      <c r="Y1084" s="67">
        <f t="shared" si="7"/>
        <v>189.544</v>
      </c>
      <c r="Z1084" s="67">
        <f t="shared" si="8"/>
        <v>154.8</v>
      </c>
      <c r="AA1084" s="67">
        <f t="shared" si="9"/>
        <v>24.768</v>
      </c>
      <c r="AB1084" s="67">
        <f t="shared" si="10"/>
        <v>179.568</v>
      </c>
      <c r="AC1084" s="67">
        <f t="shared" si="11"/>
        <v>146.2</v>
      </c>
      <c r="AD1084" s="67">
        <f t="shared" si="12"/>
        <v>23.392</v>
      </c>
      <c r="AE1084" s="67">
        <f t="shared" si="13"/>
        <v>169.592</v>
      </c>
      <c r="AF1084" s="67">
        <f t="shared" si="33"/>
        <v>142.76</v>
      </c>
      <c r="AG1084" s="67">
        <f t="shared" si="15"/>
        <v>22.8416</v>
      </c>
      <c r="AH1084" s="67">
        <f t="shared" si="16"/>
        <v>165.6016</v>
      </c>
      <c r="AI1084" s="67">
        <f t="shared" si="17"/>
        <v>137.6</v>
      </c>
      <c r="AJ1084" s="68">
        <f t="shared" si="37"/>
        <v>22.016</v>
      </c>
      <c r="AK1084" s="68">
        <f t="shared" si="38"/>
        <v>159.616</v>
      </c>
      <c r="AL1084" s="70">
        <f>IFERROR(__xludf.DUMMYFUNCTION("""COMPUTED_VALUE"""),1.0)</f>
        <v>1</v>
      </c>
      <c r="AM1084" s="70"/>
      <c r="AN1084" s="71" t="str">
        <f>IFERROR(__xludf.DUMMYFUNCTION("""COMPUTED_VALUE""")," P")</f>
        <v>P</v>
      </c>
      <c r="AO1084" s="71" t="str">
        <f>IFERROR(__xludf.DUMMYFUNCTION("""COMPUTED_VALUE""")," RO14")</f>
        <v>RO14</v>
      </c>
      <c r="AP1084" s="71" t="str">
        <f>IFERROR(__xludf.DUMMYFUNCTION("""COMPUTED_VALUE""")," PZA")</f>
        <v>PZA</v>
      </c>
      <c r="AQ1084" s="71" t="str">
        <f>IFERROR(__xludf.DUMMYFUNCTION("""COMPUTED_VALUE""")," REF")</f>
        <v>REF</v>
      </c>
      <c r="AR1084" s="71" t="str">
        <f>IFERROR(__xludf.DUMMYFUNCTION("""COMPUTED_VALUE""")," RODILLO NO.2 TABLETA CHICA SENCILLO MODELO ANTERIOR")</f>
        <v>RODILLO NO.2 TABLETA CHICA SENCILLO MODELO ANTERIOR</v>
      </c>
      <c r="AS1084" s="71" t="str">
        <f>IFERROR(__xludf.DUMMYFUNCTION("""COMPUTED_VALUE""")," RODILLO NO.2 TABLETA CHICA SENCILLO MA")</f>
        <v>RODILLO NO.2 TABLETA CHICA SENCILLO MA</v>
      </c>
      <c r="AT1084" s="71">
        <f>IFERROR(__xludf.DUMMYFUNCTION("""COMPUTED_VALUE"""),38.0)</f>
        <v>38</v>
      </c>
      <c r="AU1084" s="71"/>
      <c r="AV1084" s="71"/>
      <c r="AW1084" s="71"/>
      <c r="AX1084" s="71"/>
      <c r="AY1084" s="71">
        <f>IFERROR(__xludf.DUMMYFUNCTION("""COMPUTED_VALUE"""),739.0)</f>
        <v>739</v>
      </c>
      <c r="AZ1084" s="71">
        <f>IFERROR(__xludf.DUMMYFUNCTION("""COMPUTED_VALUE"""),798.0)</f>
        <v>798</v>
      </c>
      <c r="BA1084" s="71">
        <f>IFERROR(__xludf.DUMMYFUNCTION("""COMPUTED_VALUE"""),861.84)</f>
        <v>861.84</v>
      </c>
      <c r="BB1084" s="71">
        <f>IFERROR(__xludf.DUMMYFUNCTION("""COMPUTED_VALUE"""),861.84)</f>
        <v>861.84</v>
      </c>
      <c r="BC1084" s="71">
        <f>IFERROR(__xludf.DUMMYFUNCTION("""COMPUTED_VALUE"""),960.0)</f>
        <v>960</v>
      </c>
      <c r="BD1084" s="71">
        <f>IFERROR(__xludf.DUMMYFUNCTION("""COMPUTED_VALUE"""),1008.0)</f>
        <v>1008</v>
      </c>
      <c r="BE1084" s="71">
        <f>IFERROR(__xludf.DUMMYFUNCTION("""COMPUTED_VALUE"""),161.28)</f>
        <v>161.28</v>
      </c>
      <c r="BF1084" s="71">
        <f>IFERROR(__xludf.DUMMYFUNCTION("""COMPUTED_VALUE"""),1169.28)</f>
        <v>1169.28</v>
      </c>
      <c r="BG1084" s="71">
        <f>IFERROR(__xludf.DUMMYFUNCTION("""COMPUTED_VALUE"""),0.05)</f>
        <v>0.05</v>
      </c>
      <c r="BH1084" s="71">
        <f>IFERROR(__xludf.DUMMYFUNCTION("""COMPUTED_VALUE"""),957.5999999999999)</f>
        <v>957.6</v>
      </c>
      <c r="BI1084" s="71">
        <f>IFERROR(__xludf.DUMMYFUNCTION("""COMPUTED_VALUE"""),153.21599999999998)</f>
        <v>153.216</v>
      </c>
      <c r="BJ1084" s="71">
        <f>IFERROR(__xludf.DUMMYFUNCTION("""COMPUTED_VALUE"""),1110.8159999999998)</f>
        <v>1110.816</v>
      </c>
      <c r="BK1084" s="71">
        <f>IFERROR(__xludf.DUMMYFUNCTION("""COMPUTED_VALUE"""),907.2)</f>
        <v>907.2</v>
      </c>
      <c r="BL1084" s="71">
        <f>IFERROR(__xludf.DUMMYFUNCTION("""COMPUTED_VALUE"""),145.15200000000002)</f>
        <v>145.152</v>
      </c>
      <c r="BM1084" s="71">
        <f>IFERROR(__xludf.DUMMYFUNCTION("""COMPUTED_VALUE"""),1052.352)</f>
        <v>1052.352</v>
      </c>
      <c r="BN1084" s="71">
        <f>IFERROR(__xludf.DUMMYFUNCTION("""COMPUTED_VALUE"""),856.8)</f>
        <v>856.8</v>
      </c>
      <c r="BO1084" s="71">
        <f>IFERROR(__xludf.DUMMYFUNCTION("""COMPUTED_VALUE"""),137.088)</f>
        <v>137.088</v>
      </c>
      <c r="BP1084" s="71">
        <f>IFERROR(__xludf.DUMMYFUNCTION("""COMPUTED_VALUE"""),993.8879999999999)</f>
        <v>993.888</v>
      </c>
      <c r="BQ1084" s="71">
        <f>IFERROR(__xludf.DUMMYFUNCTION("""COMPUTED_VALUE"""),836.64)</f>
        <v>836.64</v>
      </c>
      <c r="BR1084" s="71">
        <f>IFERROR(__xludf.DUMMYFUNCTION("""COMPUTED_VALUE"""),133.8624)</f>
        <v>133.8624</v>
      </c>
      <c r="BS1084" s="71">
        <f>IFERROR(__xludf.DUMMYFUNCTION("""COMPUTED_VALUE"""),970.5024)</f>
        <v>970.5024</v>
      </c>
      <c r="BT1084" s="71">
        <f>IFERROR(__xludf.DUMMYFUNCTION("""COMPUTED_VALUE"""),806.4000000000001)</f>
        <v>806.4</v>
      </c>
      <c r="BU1084" s="71">
        <f>IFERROR(__xludf.DUMMYFUNCTION("""COMPUTED_VALUE"""),129.02400000000003)</f>
        <v>129.024</v>
      </c>
      <c r="BV1084" s="71">
        <f>IFERROR(__xludf.DUMMYFUNCTION("""COMPUTED_VALUE"""),935.4240000000001)</f>
        <v>935.424</v>
      </c>
    </row>
    <row r="1085">
      <c r="A1085" s="53"/>
      <c r="B1085" s="53"/>
      <c r="C1085" s="53" t="s">
        <v>53</v>
      </c>
      <c r="D1085" s="53" t="s">
        <v>2640</v>
      </c>
      <c r="E1085" s="54" t="s">
        <v>38</v>
      </c>
      <c r="F1085" s="54" t="s">
        <v>42</v>
      </c>
      <c r="G1085" s="55" t="s">
        <v>2641</v>
      </c>
      <c r="H1085" s="55" t="s">
        <v>2641</v>
      </c>
      <c r="I1085" s="54">
        <f t="shared" si="24"/>
        <v>39</v>
      </c>
      <c r="J1085" s="56"/>
      <c r="K1085" s="57"/>
      <c r="L1085" s="76"/>
      <c r="M1085" s="59"/>
      <c r="N1085" s="60"/>
      <c r="O1085" s="61">
        <v>108.0</v>
      </c>
      <c r="P1085" s="62">
        <v>116.64000000000001</v>
      </c>
      <c r="Q1085" s="63">
        <v>116.64000000000001</v>
      </c>
      <c r="R1085" s="64">
        <v>123.0</v>
      </c>
      <c r="S1085" s="111">
        <v>129.0</v>
      </c>
      <c r="T1085" s="65">
        <f t="shared" si="39"/>
        <v>20.64</v>
      </c>
      <c r="U1085" s="65">
        <f t="shared" si="40"/>
        <v>149.64</v>
      </c>
      <c r="V1085" s="66">
        <f t="shared" si="41"/>
        <v>0.0487804878</v>
      </c>
      <c r="W1085" s="67">
        <f t="shared" si="5"/>
        <v>122.55</v>
      </c>
      <c r="X1085" s="67">
        <f t="shared" si="6"/>
        <v>19.608</v>
      </c>
      <c r="Y1085" s="67">
        <f t="shared" si="7"/>
        <v>142.158</v>
      </c>
      <c r="Z1085" s="67">
        <f t="shared" si="8"/>
        <v>116.1</v>
      </c>
      <c r="AA1085" s="67">
        <f t="shared" si="9"/>
        <v>18.576</v>
      </c>
      <c r="AB1085" s="67">
        <f t="shared" si="10"/>
        <v>134.676</v>
      </c>
      <c r="AC1085" s="67">
        <f t="shared" si="11"/>
        <v>109.65</v>
      </c>
      <c r="AD1085" s="67">
        <f t="shared" si="12"/>
        <v>17.544</v>
      </c>
      <c r="AE1085" s="67">
        <f t="shared" si="13"/>
        <v>127.194</v>
      </c>
      <c r="AF1085" s="67">
        <f t="shared" si="33"/>
        <v>107.07</v>
      </c>
      <c r="AG1085" s="67">
        <f t="shared" si="15"/>
        <v>17.1312</v>
      </c>
      <c r="AH1085" s="67">
        <f t="shared" si="16"/>
        <v>124.2012</v>
      </c>
      <c r="AI1085" s="67">
        <f t="shared" si="17"/>
        <v>103.2</v>
      </c>
      <c r="AJ1085" s="68">
        <f t="shared" si="37"/>
        <v>16.512</v>
      </c>
      <c r="AK1085" s="68">
        <f t="shared" si="38"/>
        <v>119.712</v>
      </c>
      <c r="AL1085" s="70">
        <f>IFERROR(__xludf.DUMMYFUNCTION("""COMPUTED_VALUE"""),1.0)</f>
        <v>1</v>
      </c>
      <c r="AM1085" s="70"/>
      <c r="AN1085" s="71" t="str">
        <f>IFERROR(__xludf.DUMMYFUNCTION("""COMPUTED_VALUE""")," P")</f>
        <v>P</v>
      </c>
      <c r="AO1085" s="71" t="str">
        <f>IFERROR(__xludf.DUMMYFUNCTION("""COMPUTED_VALUE""")," RO15")</f>
        <v>RO15</v>
      </c>
      <c r="AP1085" s="71" t="str">
        <f>IFERROR(__xludf.DUMMYFUNCTION("""COMPUTED_VALUE""")," PZA")</f>
        <v>PZA</v>
      </c>
      <c r="AQ1085" s="71" t="str">
        <f>IFERROR(__xludf.DUMMYFUNCTION("""COMPUTED_VALUE""")," REF")</f>
        <v>REF</v>
      </c>
      <c r="AR1085" s="71" t="str">
        <f>IFERROR(__xludf.DUMMYFUNCTION("""COMPUTED_VALUE""")," RODILLO NO.2 TABLETA GRANDE DÚPLEX MODELO ANTERIOR")</f>
        <v>RODILLO NO.2 TABLETA GRANDE DÚPLEX MODELO ANTERIOR</v>
      </c>
      <c r="AS1085" s="71" t="str">
        <f>IFERROR(__xludf.DUMMYFUNCTION("""COMPUTED_VALUE""")," RODILLO NO.2 TABLETA GRANDE DPLX MA")</f>
        <v>RODILLO NO.2 TABLETA GRANDE DPLX MA</v>
      </c>
      <c r="AT1085" s="71">
        <f>IFERROR(__xludf.DUMMYFUNCTION("""COMPUTED_VALUE"""),35.0)</f>
        <v>35</v>
      </c>
      <c r="AU1085" s="71"/>
      <c r="AV1085" s="71"/>
      <c r="AW1085" s="71"/>
      <c r="AX1085" s="71"/>
      <c r="AY1085" s="71">
        <f>IFERROR(__xludf.DUMMYFUNCTION("""COMPUTED_VALUE"""),825.0)</f>
        <v>825</v>
      </c>
      <c r="AZ1085" s="71">
        <f>IFERROR(__xludf.DUMMYFUNCTION("""COMPUTED_VALUE"""),891.0)</f>
        <v>891</v>
      </c>
      <c r="BA1085" s="71">
        <f>IFERROR(__xludf.DUMMYFUNCTION("""COMPUTED_VALUE"""),962.2800000000001)</f>
        <v>962.28</v>
      </c>
      <c r="BB1085" s="71">
        <f>IFERROR(__xludf.DUMMYFUNCTION("""COMPUTED_VALUE"""),962.2800000000001)</f>
        <v>962.28</v>
      </c>
      <c r="BC1085" s="71">
        <f>IFERROR(__xludf.DUMMYFUNCTION("""COMPUTED_VALUE"""),1073.0)</f>
        <v>1073</v>
      </c>
      <c r="BD1085" s="71">
        <f>IFERROR(__xludf.DUMMYFUNCTION("""COMPUTED_VALUE"""),1127.0)</f>
        <v>1127</v>
      </c>
      <c r="BE1085" s="71">
        <f>IFERROR(__xludf.DUMMYFUNCTION("""COMPUTED_VALUE"""),180.32)</f>
        <v>180.32</v>
      </c>
      <c r="BF1085" s="71">
        <f>IFERROR(__xludf.DUMMYFUNCTION("""COMPUTED_VALUE"""),1307.32)</f>
        <v>1307.32</v>
      </c>
      <c r="BG1085" s="71">
        <f>IFERROR(__xludf.DUMMYFUNCTION("""COMPUTED_VALUE"""),0.05032618825722274)</f>
        <v>0.05032618826</v>
      </c>
      <c r="BH1085" s="71">
        <f>IFERROR(__xludf.DUMMYFUNCTION("""COMPUTED_VALUE"""),1070.6499999999999)</f>
        <v>1070.65</v>
      </c>
      <c r="BI1085" s="71">
        <f>IFERROR(__xludf.DUMMYFUNCTION("""COMPUTED_VALUE"""),171.30399999999997)</f>
        <v>171.304</v>
      </c>
      <c r="BJ1085" s="71">
        <f>IFERROR(__xludf.DUMMYFUNCTION("""COMPUTED_VALUE"""),1241.9539999999997)</f>
        <v>1241.954</v>
      </c>
      <c r="BK1085" s="71">
        <f>IFERROR(__xludf.DUMMYFUNCTION("""COMPUTED_VALUE"""),1014.3000000000001)</f>
        <v>1014.3</v>
      </c>
      <c r="BL1085" s="71">
        <f>IFERROR(__xludf.DUMMYFUNCTION("""COMPUTED_VALUE"""),162.288)</f>
        <v>162.288</v>
      </c>
      <c r="BM1085" s="71">
        <f>IFERROR(__xludf.DUMMYFUNCTION("""COMPUTED_VALUE"""),1176.5880000000002)</f>
        <v>1176.588</v>
      </c>
      <c r="BN1085" s="71">
        <f>IFERROR(__xludf.DUMMYFUNCTION("""COMPUTED_VALUE"""),957.9499999999999)</f>
        <v>957.95</v>
      </c>
      <c r="BO1085" s="71">
        <f>IFERROR(__xludf.DUMMYFUNCTION("""COMPUTED_VALUE"""),153.272)</f>
        <v>153.272</v>
      </c>
      <c r="BP1085" s="71">
        <f>IFERROR(__xludf.DUMMYFUNCTION("""COMPUTED_VALUE"""),1111.222)</f>
        <v>1111.222</v>
      </c>
      <c r="BQ1085" s="71">
        <f>IFERROR(__xludf.DUMMYFUNCTION("""COMPUTED_VALUE"""),935.41)</f>
        <v>935.41</v>
      </c>
      <c r="BR1085" s="71">
        <f>IFERROR(__xludf.DUMMYFUNCTION("""COMPUTED_VALUE"""),149.6656)</f>
        <v>149.6656</v>
      </c>
      <c r="BS1085" s="71">
        <f>IFERROR(__xludf.DUMMYFUNCTION("""COMPUTED_VALUE"""),1085.0756)</f>
        <v>1085.0756</v>
      </c>
      <c r="BT1085" s="71">
        <f>IFERROR(__xludf.DUMMYFUNCTION("""COMPUTED_VALUE"""),901.6)</f>
        <v>901.6</v>
      </c>
      <c r="BU1085" s="71">
        <f>IFERROR(__xludf.DUMMYFUNCTION("""COMPUTED_VALUE"""),144.256)</f>
        <v>144.256</v>
      </c>
      <c r="BV1085" s="71">
        <f>IFERROR(__xludf.DUMMYFUNCTION("""COMPUTED_VALUE"""),1045.856)</f>
        <v>1045.856</v>
      </c>
    </row>
    <row r="1086">
      <c r="A1086" s="53"/>
      <c r="B1086" s="53"/>
      <c r="C1086" s="53" t="s">
        <v>53</v>
      </c>
      <c r="D1086" s="53" t="s">
        <v>2642</v>
      </c>
      <c r="E1086" s="54" t="s">
        <v>38</v>
      </c>
      <c r="F1086" s="54" t="s">
        <v>42</v>
      </c>
      <c r="G1086" s="55" t="s">
        <v>2643</v>
      </c>
      <c r="H1086" s="55" t="s">
        <v>2643</v>
      </c>
      <c r="I1086" s="54">
        <f t="shared" si="24"/>
        <v>39</v>
      </c>
      <c r="J1086" s="56"/>
      <c r="K1086" s="57"/>
      <c r="L1086" s="76"/>
      <c r="M1086" s="59"/>
      <c r="N1086" s="60"/>
      <c r="O1086" s="61">
        <v>156.0</v>
      </c>
      <c r="P1086" s="62">
        <v>168.48000000000002</v>
      </c>
      <c r="Q1086" s="63">
        <v>168.48000000000002</v>
      </c>
      <c r="R1086" s="64">
        <v>177.0</v>
      </c>
      <c r="S1086" s="111">
        <v>186.0</v>
      </c>
      <c r="T1086" s="65">
        <f t="shared" si="39"/>
        <v>29.76</v>
      </c>
      <c r="U1086" s="65">
        <f t="shared" si="40"/>
        <v>215.76</v>
      </c>
      <c r="V1086" s="66">
        <f t="shared" si="41"/>
        <v>0.05084745763</v>
      </c>
      <c r="W1086" s="67">
        <f t="shared" si="5"/>
        <v>176.7</v>
      </c>
      <c r="X1086" s="67">
        <f t="shared" si="6"/>
        <v>28.272</v>
      </c>
      <c r="Y1086" s="67">
        <f t="shared" si="7"/>
        <v>204.972</v>
      </c>
      <c r="Z1086" s="67">
        <f t="shared" si="8"/>
        <v>167.4</v>
      </c>
      <c r="AA1086" s="67">
        <f t="shared" si="9"/>
        <v>26.784</v>
      </c>
      <c r="AB1086" s="67">
        <f t="shared" si="10"/>
        <v>194.184</v>
      </c>
      <c r="AC1086" s="67">
        <f t="shared" si="11"/>
        <v>158.1</v>
      </c>
      <c r="AD1086" s="67">
        <f t="shared" si="12"/>
        <v>25.296</v>
      </c>
      <c r="AE1086" s="67">
        <f t="shared" si="13"/>
        <v>183.396</v>
      </c>
      <c r="AF1086" s="67">
        <f t="shared" si="33"/>
        <v>154.38</v>
      </c>
      <c r="AG1086" s="67">
        <f t="shared" si="15"/>
        <v>24.7008</v>
      </c>
      <c r="AH1086" s="67">
        <f t="shared" si="16"/>
        <v>179.0808</v>
      </c>
      <c r="AI1086" s="67">
        <f t="shared" si="17"/>
        <v>148.8</v>
      </c>
      <c r="AJ1086" s="68">
        <f t="shared" si="37"/>
        <v>23.808</v>
      </c>
      <c r="AK1086" s="68">
        <f t="shared" si="38"/>
        <v>172.608</v>
      </c>
      <c r="AL1086" s="70">
        <f>IFERROR(__xludf.DUMMYFUNCTION("""COMPUTED_VALUE"""),1.0)</f>
        <v>1</v>
      </c>
      <c r="AM1086" s="70"/>
      <c r="AN1086" s="71" t="str">
        <f>IFERROR(__xludf.DUMMYFUNCTION("""COMPUTED_VALUE""")," P")</f>
        <v>P</v>
      </c>
      <c r="AO1086" s="71" t="str">
        <f>IFERROR(__xludf.DUMMYFUNCTION("""COMPUTED_VALUE""")," RO16")</f>
        <v>RO16</v>
      </c>
      <c r="AP1086" s="71" t="str">
        <f>IFERROR(__xludf.DUMMYFUNCTION("""COMPUTED_VALUE""")," PZA")</f>
        <v>PZA</v>
      </c>
      <c r="AQ1086" s="71" t="str">
        <f>IFERROR(__xludf.DUMMYFUNCTION("""COMPUTED_VALUE""")," REF")</f>
        <v>REF</v>
      </c>
      <c r="AR1086" s="71" t="str">
        <f>IFERROR(__xludf.DUMMYFUNCTION("""COMPUTED_VALUE""")," RODILLO NO.2 TABLETA GRANDE SENCILLO MODELO ANTERIOR")</f>
        <v>RODILLO NO.2 TABLETA GRANDE SENCILLO MODELO ANTERIOR</v>
      </c>
      <c r="AS1086" s="71" t="str">
        <f>IFERROR(__xludf.DUMMYFUNCTION("""COMPUTED_VALUE""")," RODILLO NO.2 TABLETA GRANDE SENCILLO MA")</f>
        <v>RODILLO NO.2 TABLETA GRANDE SENCILLO MA</v>
      </c>
      <c r="AT1086" s="71">
        <f>IFERROR(__xludf.DUMMYFUNCTION("""COMPUTED_VALUE"""),39.0)</f>
        <v>39</v>
      </c>
      <c r="AU1086" s="71"/>
      <c r="AV1086" s="71"/>
      <c r="AW1086" s="71"/>
      <c r="AX1086" s="71"/>
      <c r="AY1086" s="71">
        <f>IFERROR(__xludf.DUMMYFUNCTION("""COMPUTED_VALUE"""),746.0)</f>
        <v>746</v>
      </c>
      <c r="AZ1086" s="71">
        <f>IFERROR(__xludf.DUMMYFUNCTION("""COMPUTED_VALUE"""),805.0)</f>
        <v>805</v>
      </c>
      <c r="BA1086" s="71">
        <f>IFERROR(__xludf.DUMMYFUNCTION("""COMPUTED_VALUE"""),869.4000000000001)</f>
        <v>869.4</v>
      </c>
      <c r="BB1086" s="71">
        <f>IFERROR(__xludf.DUMMYFUNCTION("""COMPUTED_VALUE"""),869.4000000000001)</f>
        <v>869.4</v>
      </c>
      <c r="BC1086" s="71">
        <f>IFERROR(__xludf.DUMMYFUNCTION("""COMPUTED_VALUE"""),969.0)</f>
        <v>969</v>
      </c>
      <c r="BD1086" s="71">
        <f>IFERROR(__xludf.DUMMYFUNCTION("""COMPUTED_VALUE"""),1017.0)</f>
        <v>1017</v>
      </c>
      <c r="BE1086" s="71">
        <f>IFERROR(__xludf.DUMMYFUNCTION("""COMPUTED_VALUE"""),162.72)</f>
        <v>162.72</v>
      </c>
      <c r="BF1086" s="71">
        <f>IFERROR(__xludf.DUMMYFUNCTION("""COMPUTED_VALUE"""),1179.72)</f>
        <v>1179.72</v>
      </c>
      <c r="BG1086" s="71">
        <f>IFERROR(__xludf.DUMMYFUNCTION("""COMPUTED_VALUE"""),0.04953560371517028)</f>
        <v>0.04953560372</v>
      </c>
      <c r="BH1086" s="71">
        <f>IFERROR(__xludf.DUMMYFUNCTION("""COMPUTED_VALUE"""),966.15)</f>
        <v>966.15</v>
      </c>
      <c r="BI1086" s="71">
        <f>IFERROR(__xludf.DUMMYFUNCTION("""COMPUTED_VALUE"""),154.584)</f>
        <v>154.584</v>
      </c>
      <c r="BJ1086" s="71">
        <f>IFERROR(__xludf.DUMMYFUNCTION("""COMPUTED_VALUE"""),1120.734)</f>
        <v>1120.734</v>
      </c>
      <c r="BK1086" s="71">
        <f>IFERROR(__xludf.DUMMYFUNCTION("""COMPUTED_VALUE"""),915.3000000000001)</f>
        <v>915.3</v>
      </c>
      <c r="BL1086" s="71">
        <f>IFERROR(__xludf.DUMMYFUNCTION("""COMPUTED_VALUE"""),146.448)</f>
        <v>146.448</v>
      </c>
      <c r="BM1086" s="71">
        <f>IFERROR(__xludf.DUMMYFUNCTION("""COMPUTED_VALUE"""),1061.748)</f>
        <v>1061.748</v>
      </c>
      <c r="BN1086" s="71">
        <f>IFERROR(__xludf.DUMMYFUNCTION("""COMPUTED_VALUE"""),864.4499999999999)</f>
        <v>864.45</v>
      </c>
      <c r="BO1086" s="71">
        <f>IFERROR(__xludf.DUMMYFUNCTION("""COMPUTED_VALUE"""),138.31199999999998)</f>
        <v>138.312</v>
      </c>
      <c r="BP1086" s="71">
        <f>IFERROR(__xludf.DUMMYFUNCTION("""COMPUTED_VALUE"""),1002.762)</f>
        <v>1002.762</v>
      </c>
      <c r="BQ1086" s="71">
        <f>IFERROR(__xludf.DUMMYFUNCTION("""COMPUTED_VALUE"""),844.11)</f>
        <v>844.11</v>
      </c>
      <c r="BR1086" s="71">
        <f>IFERROR(__xludf.DUMMYFUNCTION("""COMPUTED_VALUE"""),135.0576)</f>
        <v>135.0576</v>
      </c>
      <c r="BS1086" s="71">
        <f>IFERROR(__xludf.DUMMYFUNCTION("""COMPUTED_VALUE"""),979.1676)</f>
        <v>979.1676</v>
      </c>
      <c r="BT1086" s="71">
        <f>IFERROR(__xludf.DUMMYFUNCTION("""COMPUTED_VALUE"""),813.6)</f>
        <v>813.6</v>
      </c>
      <c r="BU1086" s="71">
        <f>IFERROR(__xludf.DUMMYFUNCTION("""COMPUTED_VALUE"""),130.17600000000002)</f>
        <v>130.176</v>
      </c>
      <c r="BV1086" s="71">
        <f>IFERROR(__xludf.DUMMYFUNCTION("""COMPUTED_VALUE"""),943.7760000000001)</f>
        <v>943.776</v>
      </c>
    </row>
    <row r="1087">
      <c r="A1087" s="53"/>
      <c r="B1087" s="53">
        <v>3.0</v>
      </c>
      <c r="C1087" s="53" t="s">
        <v>36</v>
      </c>
      <c r="D1087" s="98" t="s">
        <v>2644</v>
      </c>
      <c r="E1087" s="54" t="s">
        <v>38</v>
      </c>
      <c r="F1087" s="55" t="s">
        <v>187</v>
      </c>
      <c r="G1087" s="117" t="s">
        <v>2645</v>
      </c>
      <c r="H1087" s="55"/>
      <c r="I1087" s="54">
        <f t="shared" si="24"/>
        <v>0</v>
      </c>
      <c r="J1087" s="56"/>
      <c r="K1087" s="57"/>
      <c r="L1087" s="76"/>
      <c r="M1087" s="59"/>
      <c r="N1087" s="60"/>
      <c r="O1087" s="61">
        <v>6340.0</v>
      </c>
      <c r="P1087" s="62">
        <v>6847.200000000001</v>
      </c>
      <c r="Q1087" s="63">
        <v>6847.200000000001</v>
      </c>
      <c r="R1087" s="64">
        <v>7549.0</v>
      </c>
      <c r="S1087" s="107">
        <v>7926.0</v>
      </c>
      <c r="T1087" s="65">
        <f t="shared" si="39"/>
        <v>1268.16</v>
      </c>
      <c r="U1087" s="65">
        <f t="shared" si="40"/>
        <v>9194.16</v>
      </c>
      <c r="V1087" s="66">
        <f t="shared" si="41"/>
        <v>0.04994038946</v>
      </c>
      <c r="W1087" s="67">
        <f t="shared" si="5"/>
        <v>7529.7</v>
      </c>
      <c r="X1087" s="67">
        <f t="shared" si="6"/>
        <v>1204.752</v>
      </c>
      <c r="Y1087" s="67">
        <f t="shared" si="7"/>
        <v>8734.452</v>
      </c>
      <c r="Z1087" s="67">
        <f t="shared" si="8"/>
        <v>7133.4</v>
      </c>
      <c r="AA1087" s="67">
        <f t="shared" si="9"/>
        <v>1141.344</v>
      </c>
      <c r="AB1087" s="67">
        <f t="shared" si="10"/>
        <v>8274.744</v>
      </c>
      <c r="AC1087" s="67">
        <f t="shared" si="11"/>
        <v>7133.4</v>
      </c>
      <c r="AD1087" s="67">
        <f t="shared" si="12"/>
        <v>1141.344</v>
      </c>
      <c r="AE1087" s="67">
        <f t="shared" si="13"/>
        <v>8274.744</v>
      </c>
      <c r="AF1087" s="67">
        <f t="shared" si="33"/>
        <v>7133.4</v>
      </c>
      <c r="AG1087" s="67">
        <f t="shared" si="15"/>
        <v>1141.344</v>
      </c>
      <c r="AH1087" s="67">
        <f t="shared" si="16"/>
        <v>8274.744</v>
      </c>
      <c r="AI1087" s="67">
        <f t="shared" si="17"/>
        <v>7133.4</v>
      </c>
      <c r="AJ1087" s="68">
        <f t="shared" si="37"/>
        <v>1141.344</v>
      </c>
      <c r="AK1087" s="68">
        <f t="shared" si="38"/>
        <v>8274.744</v>
      </c>
      <c r="AL1087" s="70">
        <f>IFERROR(__xludf.DUMMYFUNCTION("""COMPUTED_VALUE"""),1.0)</f>
        <v>1</v>
      </c>
      <c r="AM1087" s="70"/>
      <c r="AN1087" s="71" t="str">
        <f>IFERROR(__xludf.DUMMYFUNCTION("""COMPUTED_VALUE""")," P")</f>
        <v>P</v>
      </c>
      <c r="AO1087" s="71" t="str">
        <f>IFERROR(__xludf.DUMMYFUNCTION("""COMPUTED_VALUE""")," RO17")</f>
        <v>RO17</v>
      </c>
      <c r="AP1087" s="71" t="str">
        <f>IFERROR(__xludf.DUMMYFUNCTION("""COMPUTED_VALUE""")," PZA")</f>
        <v>PZA</v>
      </c>
      <c r="AQ1087" s="71" t="str">
        <f>IFERROR(__xludf.DUMMYFUNCTION("""COMPUTED_VALUE""")," REF")</f>
        <v>REF</v>
      </c>
      <c r="AR1087" s="71" t="str">
        <f>IFERROR(__xludf.DUMMYFUNCTION("""COMPUTED_VALUE""")," RODILLO NO.3 ESCALONADO DÚPLEX MODELO ANTERIOR")</f>
        <v>RODILLO NO.3 ESCALONADO DÚPLEX MODELO ANTERIOR</v>
      </c>
      <c r="AS1087" s="71" t="str">
        <f>IFERROR(__xludf.DUMMYFUNCTION("""COMPUTED_VALUE""")," RODILLO NO.3 ESCALONADO DPLX MA")</f>
        <v>RODILLO NO.3 ESCALONADO DPLX MA</v>
      </c>
      <c r="AT1087" s="71">
        <f>IFERROR(__xludf.DUMMYFUNCTION("""COMPUTED_VALUE"""),31.0)</f>
        <v>31</v>
      </c>
      <c r="AU1087" s="71"/>
      <c r="AV1087" s="71"/>
      <c r="AW1087" s="71"/>
      <c r="AX1087" s="71"/>
      <c r="AY1087" s="71">
        <f>IFERROR(__xludf.DUMMYFUNCTION("""COMPUTED_VALUE"""),1004.0)</f>
        <v>1004</v>
      </c>
      <c r="AZ1087" s="71">
        <f>IFERROR(__xludf.DUMMYFUNCTION("""COMPUTED_VALUE"""),1084.0)</f>
        <v>1084</v>
      </c>
      <c r="BA1087" s="71">
        <f>IFERROR(__xludf.DUMMYFUNCTION("""COMPUTED_VALUE"""),1170.72)</f>
        <v>1170.72</v>
      </c>
      <c r="BB1087" s="71">
        <f>IFERROR(__xludf.DUMMYFUNCTION("""COMPUTED_VALUE"""),1170.72)</f>
        <v>1170.72</v>
      </c>
      <c r="BC1087" s="71">
        <f>IFERROR(__xludf.DUMMYFUNCTION("""COMPUTED_VALUE"""),1304.0)</f>
        <v>1304</v>
      </c>
      <c r="BD1087" s="71">
        <f>IFERROR(__xludf.DUMMYFUNCTION("""COMPUTED_VALUE"""),1369.0)</f>
        <v>1369</v>
      </c>
      <c r="BE1087" s="71">
        <f>IFERROR(__xludf.DUMMYFUNCTION("""COMPUTED_VALUE"""),219.04)</f>
        <v>219.04</v>
      </c>
      <c r="BF1087" s="71">
        <f>IFERROR(__xludf.DUMMYFUNCTION("""COMPUTED_VALUE"""),1588.04)</f>
        <v>1588.04</v>
      </c>
      <c r="BG1087" s="71">
        <f>IFERROR(__xludf.DUMMYFUNCTION("""COMPUTED_VALUE"""),0.04984662576687116)</f>
        <v>0.04984662577</v>
      </c>
      <c r="BH1087" s="71">
        <f>IFERROR(__xludf.DUMMYFUNCTION("""COMPUTED_VALUE"""),1300.55)</f>
        <v>1300.55</v>
      </c>
      <c r="BI1087" s="71">
        <f>IFERROR(__xludf.DUMMYFUNCTION("""COMPUTED_VALUE"""),208.088)</f>
        <v>208.088</v>
      </c>
      <c r="BJ1087" s="71">
        <f>IFERROR(__xludf.DUMMYFUNCTION("""COMPUTED_VALUE"""),1508.638)</f>
        <v>1508.638</v>
      </c>
      <c r="BK1087" s="71">
        <f>IFERROR(__xludf.DUMMYFUNCTION("""COMPUTED_VALUE"""),1232.1000000000001)</f>
        <v>1232.1</v>
      </c>
      <c r="BL1087" s="71">
        <f>IFERROR(__xludf.DUMMYFUNCTION("""COMPUTED_VALUE"""),197.13600000000002)</f>
        <v>197.136</v>
      </c>
      <c r="BM1087" s="71">
        <f>IFERROR(__xludf.DUMMYFUNCTION("""COMPUTED_VALUE"""),1429.236)</f>
        <v>1429.236</v>
      </c>
      <c r="BN1087" s="71">
        <f>IFERROR(__xludf.DUMMYFUNCTION("""COMPUTED_VALUE"""),1163.6499999999999)</f>
        <v>1163.65</v>
      </c>
      <c r="BO1087" s="71">
        <f>IFERROR(__xludf.DUMMYFUNCTION("""COMPUTED_VALUE"""),186.18399999999997)</f>
        <v>186.184</v>
      </c>
      <c r="BP1087" s="71">
        <f>IFERROR(__xludf.DUMMYFUNCTION("""COMPUTED_VALUE"""),1349.8339999999998)</f>
        <v>1349.834</v>
      </c>
      <c r="BQ1087" s="71">
        <f>IFERROR(__xludf.DUMMYFUNCTION("""COMPUTED_VALUE"""),1136.27)</f>
        <v>1136.27</v>
      </c>
      <c r="BR1087" s="71">
        <f>IFERROR(__xludf.DUMMYFUNCTION("""COMPUTED_VALUE"""),181.8032)</f>
        <v>181.8032</v>
      </c>
      <c r="BS1087" s="71">
        <f>IFERROR(__xludf.DUMMYFUNCTION("""COMPUTED_VALUE"""),1318.0732)</f>
        <v>1318.0732</v>
      </c>
      <c r="BT1087" s="71">
        <f>IFERROR(__xludf.DUMMYFUNCTION("""COMPUTED_VALUE"""),1095.2)</f>
        <v>1095.2</v>
      </c>
      <c r="BU1087" s="71">
        <f>IFERROR(__xludf.DUMMYFUNCTION("""COMPUTED_VALUE"""),175.232)</f>
        <v>175.232</v>
      </c>
      <c r="BV1087" s="71">
        <f>IFERROR(__xludf.DUMMYFUNCTION("""COMPUTED_VALUE"""),1270.432)</f>
        <v>1270.432</v>
      </c>
    </row>
    <row r="1088">
      <c r="A1088" s="53"/>
      <c r="B1088" s="53">
        <v>3.0</v>
      </c>
      <c r="C1088" s="53" t="s">
        <v>36</v>
      </c>
      <c r="D1088" s="73" t="s">
        <v>2646</v>
      </c>
      <c r="E1088" s="54" t="s">
        <v>38</v>
      </c>
      <c r="F1088" s="55" t="s">
        <v>187</v>
      </c>
      <c r="G1088" s="117" t="s">
        <v>2647</v>
      </c>
      <c r="H1088" s="55"/>
      <c r="I1088" s="54">
        <f t="shared" si="24"/>
        <v>0</v>
      </c>
      <c r="J1088" s="56"/>
      <c r="K1088" s="57"/>
      <c r="L1088" s="76"/>
      <c r="M1088" s="59"/>
      <c r="N1088" s="60"/>
      <c r="O1088" s="61">
        <v>8876.0</v>
      </c>
      <c r="P1088" s="62">
        <v>9586.08</v>
      </c>
      <c r="Q1088" s="63">
        <v>9586.08</v>
      </c>
      <c r="R1088" s="64">
        <v>10569.0</v>
      </c>
      <c r="S1088" s="107">
        <v>11097.0</v>
      </c>
      <c r="T1088" s="65">
        <f t="shared" si="39"/>
        <v>1775.52</v>
      </c>
      <c r="U1088" s="65">
        <f t="shared" si="40"/>
        <v>12872.52</v>
      </c>
      <c r="V1088" s="66">
        <f t="shared" si="41"/>
        <v>0.04995742265</v>
      </c>
      <c r="W1088" s="67">
        <f t="shared" si="5"/>
        <v>10542.15</v>
      </c>
      <c r="X1088" s="67">
        <f t="shared" si="6"/>
        <v>1686.744</v>
      </c>
      <c r="Y1088" s="67">
        <f t="shared" si="7"/>
        <v>12228.894</v>
      </c>
      <c r="Z1088" s="67">
        <f t="shared" si="8"/>
        <v>9987.3</v>
      </c>
      <c r="AA1088" s="67">
        <f t="shared" si="9"/>
        <v>1597.968</v>
      </c>
      <c r="AB1088" s="67">
        <f t="shared" si="10"/>
        <v>11585.268</v>
      </c>
      <c r="AC1088" s="67">
        <f t="shared" si="11"/>
        <v>9987.3</v>
      </c>
      <c r="AD1088" s="67">
        <f t="shared" si="12"/>
        <v>1597.968</v>
      </c>
      <c r="AE1088" s="67">
        <f t="shared" si="13"/>
        <v>11585.268</v>
      </c>
      <c r="AF1088" s="67">
        <f t="shared" si="33"/>
        <v>9987.3</v>
      </c>
      <c r="AG1088" s="67">
        <f t="shared" si="15"/>
        <v>1597.968</v>
      </c>
      <c r="AH1088" s="67">
        <f t="shared" si="16"/>
        <v>11585.268</v>
      </c>
      <c r="AI1088" s="67">
        <f t="shared" si="17"/>
        <v>9987.3</v>
      </c>
      <c r="AJ1088" s="68">
        <f t="shared" si="37"/>
        <v>1597.968</v>
      </c>
      <c r="AK1088" s="68">
        <f t="shared" si="38"/>
        <v>11585.268</v>
      </c>
      <c r="AL1088" s="70">
        <f>IFERROR(__xludf.DUMMYFUNCTION("""COMPUTED_VALUE"""),1.0)</f>
        <v>1</v>
      </c>
      <c r="AM1088" s="70"/>
      <c r="AN1088" s="71" t="str">
        <f>IFERROR(__xludf.DUMMYFUNCTION("""COMPUTED_VALUE""")," P")</f>
        <v>P</v>
      </c>
      <c r="AO1088" s="71" t="str">
        <f>IFERROR(__xludf.DUMMYFUNCTION("""COMPUTED_VALUE""")," RO18")</f>
        <v>RO18</v>
      </c>
      <c r="AP1088" s="71" t="str">
        <f>IFERROR(__xludf.DUMMYFUNCTION("""COMPUTED_VALUE""")," PZA")</f>
        <v>PZA</v>
      </c>
      <c r="AQ1088" s="71" t="str">
        <f>IFERROR(__xludf.DUMMYFUNCTION("""COMPUTED_VALUE""")," REF")</f>
        <v>REF</v>
      </c>
      <c r="AR1088" s="71" t="str">
        <f>IFERROR(__xludf.DUMMYFUNCTION("""COMPUTED_VALUE""")," RODILLO NO.3 ESCALONADO SENCILLO MODELO ANTERIOR")</f>
        <v>RODILLO NO.3 ESCALONADO SENCILLO MODELO ANTERIOR</v>
      </c>
      <c r="AS1088" s="71" t="str">
        <f>IFERROR(__xludf.DUMMYFUNCTION("""COMPUTED_VALUE""")," RODILLO NO.3 ESCALONADO SENCILLO MA")</f>
        <v>RODILLO NO.3 ESCALONADO SENCILLO MA</v>
      </c>
      <c r="AT1088" s="71">
        <f>IFERROR(__xludf.DUMMYFUNCTION("""COMPUTED_VALUE"""),35.0)</f>
        <v>35</v>
      </c>
      <c r="AU1088" s="71"/>
      <c r="AV1088" s="71"/>
      <c r="AW1088" s="71"/>
      <c r="AX1088" s="71"/>
      <c r="AY1088" s="71">
        <f>IFERROR(__xludf.DUMMYFUNCTION("""COMPUTED_VALUE"""),961.0)</f>
        <v>961</v>
      </c>
      <c r="AZ1088" s="71">
        <f>IFERROR(__xludf.DUMMYFUNCTION("""COMPUTED_VALUE"""),1037.0)</f>
        <v>1037</v>
      </c>
      <c r="BA1088" s="71">
        <f>IFERROR(__xludf.DUMMYFUNCTION("""COMPUTED_VALUE"""),1119.96)</f>
        <v>1119.96</v>
      </c>
      <c r="BB1088" s="71">
        <f>IFERROR(__xludf.DUMMYFUNCTION("""COMPUTED_VALUE"""),1119.96)</f>
        <v>1119.96</v>
      </c>
      <c r="BC1088" s="71">
        <f>IFERROR(__xludf.DUMMYFUNCTION("""COMPUTED_VALUE"""),1248.0)</f>
        <v>1248</v>
      </c>
      <c r="BD1088" s="71">
        <f>IFERROR(__xludf.DUMMYFUNCTION("""COMPUTED_VALUE"""),1310.0)</f>
        <v>1310</v>
      </c>
      <c r="BE1088" s="71">
        <f>IFERROR(__xludf.DUMMYFUNCTION("""COMPUTED_VALUE"""),209.6)</f>
        <v>209.6</v>
      </c>
      <c r="BF1088" s="71">
        <f>IFERROR(__xludf.DUMMYFUNCTION("""COMPUTED_VALUE"""),1519.6)</f>
        <v>1519.6</v>
      </c>
      <c r="BG1088" s="71">
        <f>IFERROR(__xludf.DUMMYFUNCTION("""COMPUTED_VALUE"""),0.049679487179487176)</f>
        <v>0.04967948718</v>
      </c>
      <c r="BH1088" s="71">
        <f>IFERROR(__xludf.DUMMYFUNCTION("""COMPUTED_VALUE"""),1244.5)</f>
        <v>1244.5</v>
      </c>
      <c r="BI1088" s="71">
        <f>IFERROR(__xludf.DUMMYFUNCTION("""COMPUTED_VALUE"""),199.12)</f>
        <v>199.12</v>
      </c>
      <c r="BJ1088" s="71">
        <f>IFERROR(__xludf.DUMMYFUNCTION("""COMPUTED_VALUE"""),1443.62)</f>
        <v>1443.62</v>
      </c>
      <c r="BK1088" s="71">
        <f>IFERROR(__xludf.DUMMYFUNCTION("""COMPUTED_VALUE"""),1179.0)</f>
        <v>1179</v>
      </c>
      <c r="BL1088" s="71">
        <f>IFERROR(__xludf.DUMMYFUNCTION("""COMPUTED_VALUE"""),188.64000000000001)</f>
        <v>188.64</v>
      </c>
      <c r="BM1088" s="71">
        <f>IFERROR(__xludf.DUMMYFUNCTION("""COMPUTED_VALUE"""),1367.64)</f>
        <v>1367.64</v>
      </c>
      <c r="BN1088" s="71">
        <f>IFERROR(__xludf.DUMMYFUNCTION("""COMPUTED_VALUE"""),1113.5)</f>
        <v>1113.5</v>
      </c>
      <c r="BO1088" s="71">
        <f>IFERROR(__xludf.DUMMYFUNCTION("""COMPUTED_VALUE"""),178.16)</f>
        <v>178.16</v>
      </c>
      <c r="BP1088" s="71">
        <f>IFERROR(__xludf.DUMMYFUNCTION("""COMPUTED_VALUE"""),1291.66)</f>
        <v>1291.66</v>
      </c>
      <c r="BQ1088" s="71">
        <f>IFERROR(__xludf.DUMMYFUNCTION("""COMPUTED_VALUE"""),1087.3)</f>
        <v>1087.3</v>
      </c>
      <c r="BR1088" s="71">
        <f>IFERROR(__xludf.DUMMYFUNCTION("""COMPUTED_VALUE"""),173.968)</f>
        <v>173.968</v>
      </c>
      <c r="BS1088" s="71">
        <f>IFERROR(__xludf.DUMMYFUNCTION("""COMPUTED_VALUE"""),1261.268)</f>
        <v>1261.268</v>
      </c>
      <c r="BT1088" s="71">
        <f>IFERROR(__xludf.DUMMYFUNCTION("""COMPUTED_VALUE"""),1048.0)</f>
        <v>1048</v>
      </c>
      <c r="BU1088" s="71">
        <f>IFERROR(__xludf.DUMMYFUNCTION("""COMPUTED_VALUE"""),167.68)</f>
        <v>167.68</v>
      </c>
      <c r="BV1088" s="71">
        <f>IFERROR(__xludf.DUMMYFUNCTION("""COMPUTED_VALUE"""),1215.68)</f>
        <v>1215.68</v>
      </c>
    </row>
    <row r="1089">
      <c r="A1089" s="53"/>
      <c r="B1089" s="53"/>
      <c r="C1089" s="53" t="s">
        <v>53</v>
      </c>
      <c r="D1089" s="53" t="s">
        <v>2648</v>
      </c>
      <c r="E1089" s="54" t="s">
        <v>38</v>
      </c>
      <c r="F1089" s="54" t="s">
        <v>42</v>
      </c>
      <c r="G1089" s="55" t="s">
        <v>2649</v>
      </c>
      <c r="H1089" s="54" t="s">
        <v>2649</v>
      </c>
      <c r="I1089" s="54">
        <f t="shared" si="24"/>
        <v>18</v>
      </c>
      <c r="J1089" s="56"/>
      <c r="K1089" s="75"/>
      <c r="L1089" s="76"/>
      <c r="M1089" s="59"/>
      <c r="N1089" s="79"/>
      <c r="O1089" s="61">
        <v>540.0</v>
      </c>
      <c r="P1089" s="63">
        <v>583.2</v>
      </c>
      <c r="Q1089" s="63">
        <v>583.2</v>
      </c>
      <c r="R1089" s="64">
        <v>613.0</v>
      </c>
      <c r="S1089" s="111">
        <v>644.0</v>
      </c>
      <c r="T1089" s="65">
        <f t="shared" si="39"/>
        <v>103.04</v>
      </c>
      <c r="U1089" s="65">
        <f t="shared" si="40"/>
        <v>747.04</v>
      </c>
      <c r="V1089" s="66">
        <f t="shared" si="41"/>
        <v>0.05057096248</v>
      </c>
      <c r="W1089" s="67">
        <f t="shared" si="5"/>
        <v>611.8</v>
      </c>
      <c r="X1089" s="67">
        <f t="shared" si="6"/>
        <v>97.888</v>
      </c>
      <c r="Y1089" s="67">
        <f t="shared" si="7"/>
        <v>709.688</v>
      </c>
      <c r="Z1089" s="67">
        <f t="shared" si="8"/>
        <v>579.6</v>
      </c>
      <c r="AA1089" s="67">
        <f t="shared" si="9"/>
        <v>92.736</v>
      </c>
      <c r="AB1089" s="67">
        <f t="shared" si="10"/>
        <v>672.336</v>
      </c>
      <c r="AC1089" s="67">
        <f t="shared" si="11"/>
        <v>547.4</v>
      </c>
      <c r="AD1089" s="67">
        <f t="shared" si="12"/>
        <v>87.584</v>
      </c>
      <c r="AE1089" s="67">
        <f t="shared" si="13"/>
        <v>634.984</v>
      </c>
      <c r="AF1089" s="67">
        <f t="shared" si="33"/>
        <v>534.52</v>
      </c>
      <c r="AG1089" s="67">
        <f t="shared" si="15"/>
        <v>85.5232</v>
      </c>
      <c r="AH1089" s="67">
        <f t="shared" si="16"/>
        <v>620.0432</v>
      </c>
      <c r="AI1089" s="67">
        <f t="shared" si="17"/>
        <v>515.2</v>
      </c>
      <c r="AJ1089" s="68">
        <f t="shared" si="37"/>
        <v>82.432</v>
      </c>
      <c r="AK1089" s="68">
        <f t="shared" si="38"/>
        <v>597.632</v>
      </c>
      <c r="AL1089" s="70">
        <f>IFERROR(__xludf.DUMMYFUNCTION("""COMPUTED_VALUE"""),1.0)</f>
        <v>1</v>
      </c>
      <c r="AM1089" s="70"/>
      <c r="AN1089" s="71" t="str">
        <f>IFERROR(__xludf.DUMMYFUNCTION("""COMPUTED_VALUE""")," P")</f>
        <v>P</v>
      </c>
      <c r="AO1089" s="71" t="str">
        <f>IFERROR(__xludf.DUMMYFUNCTION("""COMPUTED_VALUE""")," RO45")</f>
        <v>RO45</v>
      </c>
      <c r="AP1089" s="71" t="str">
        <f>IFERROR(__xludf.DUMMYFUNCTION("""COMPUTED_VALUE""")," PZA")</f>
        <v>PZA</v>
      </c>
      <c r="AQ1089" s="71" t="str">
        <f>IFERROR(__xludf.DUMMYFUNCTION("""COMPUTED_VALUE""")," REF")</f>
        <v>REF</v>
      </c>
      <c r="AR1089" s="71" t="str">
        <f>IFERROR(__xludf.DUMMYFUNCTION("""COMPUTED_VALUE""")," RODILLO P/COLUM DE 1/2 X 34 CM P/CABEZAL REST 4"" INOX")</f>
        <v>RODILLO P/COLUM DE 1/2 X 34 CM P/CABEZAL REST 4" INOX</v>
      </c>
      <c r="AS1089" s="71" t="str">
        <f>IFERROR(__xludf.DUMMYFUNCTION("""COMPUTED_VALUE""")," RODILLO P/COLUM 1/2"" P/CAB REST 4"" INOX")</f>
        <v>RODILLO P/COLUM 1/2" P/CAB REST 4" INOX</v>
      </c>
      <c r="AT1089" s="71">
        <f>IFERROR(__xludf.DUMMYFUNCTION("""COMPUTED_VALUE"""),39.0)</f>
        <v>39</v>
      </c>
      <c r="AU1089" s="71"/>
      <c r="AV1089" s="71"/>
      <c r="AW1089" s="71"/>
      <c r="AX1089" s="71"/>
      <c r="AY1089" s="71"/>
      <c r="AZ1089" s="71"/>
      <c r="BA1089" s="71"/>
      <c r="BB1089" s="71"/>
      <c r="BC1089" s="71">
        <f>IFERROR(__xludf.DUMMYFUNCTION("""COMPUTED_VALUE"""),419.0)</f>
        <v>419</v>
      </c>
      <c r="BD1089" s="71">
        <f>IFERROR(__xludf.DUMMYFUNCTION("""COMPUTED_VALUE"""),440.0)</f>
        <v>440</v>
      </c>
      <c r="BE1089" s="71">
        <f>IFERROR(__xludf.DUMMYFUNCTION("""COMPUTED_VALUE"""),70.4)</f>
        <v>70.4</v>
      </c>
      <c r="BF1089" s="71">
        <f>IFERROR(__xludf.DUMMYFUNCTION("""COMPUTED_VALUE"""),510.4)</f>
        <v>510.4</v>
      </c>
      <c r="BG1089" s="71">
        <f>IFERROR(__xludf.DUMMYFUNCTION("""COMPUTED_VALUE"""),0.050119331742243436)</f>
        <v>0.05011933174</v>
      </c>
      <c r="BH1089" s="71">
        <f>IFERROR(__xludf.DUMMYFUNCTION("""COMPUTED_VALUE"""),418.0)</f>
        <v>418</v>
      </c>
      <c r="BI1089" s="71">
        <f>IFERROR(__xludf.DUMMYFUNCTION("""COMPUTED_VALUE"""),66.88)</f>
        <v>66.88</v>
      </c>
      <c r="BJ1089" s="71">
        <f>IFERROR(__xludf.DUMMYFUNCTION("""COMPUTED_VALUE"""),484.88)</f>
        <v>484.88</v>
      </c>
      <c r="BK1089" s="71">
        <f>IFERROR(__xludf.DUMMYFUNCTION("""COMPUTED_VALUE"""),396.0)</f>
        <v>396</v>
      </c>
      <c r="BL1089" s="71">
        <f>IFERROR(__xludf.DUMMYFUNCTION("""COMPUTED_VALUE"""),63.36)</f>
        <v>63.36</v>
      </c>
      <c r="BM1089" s="71">
        <f>IFERROR(__xludf.DUMMYFUNCTION("""COMPUTED_VALUE"""),459.36)</f>
        <v>459.36</v>
      </c>
      <c r="BN1089" s="71">
        <f>IFERROR(__xludf.DUMMYFUNCTION("""COMPUTED_VALUE"""),374.0)</f>
        <v>374</v>
      </c>
      <c r="BO1089" s="71">
        <f>IFERROR(__xludf.DUMMYFUNCTION("""COMPUTED_VALUE"""),59.84)</f>
        <v>59.84</v>
      </c>
      <c r="BP1089" s="71">
        <f>IFERROR(__xludf.DUMMYFUNCTION("""COMPUTED_VALUE"""),433.84000000000003)</f>
        <v>433.84</v>
      </c>
      <c r="BQ1089" s="71">
        <f>IFERROR(__xludf.DUMMYFUNCTION("""COMPUTED_VALUE"""),365.2)</f>
        <v>365.2</v>
      </c>
      <c r="BR1089" s="71">
        <f>IFERROR(__xludf.DUMMYFUNCTION("""COMPUTED_VALUE"""),58.432)</f>
        <v>58.432</v>
      </c>
      <c r="BS1089" s="71">
        <f>IFERROR(__xludf.DUMMYFUNCTION("""COMPUTED_VALUE"""),423.632)</f>
        <v>423.632</v>
      </c>
      <c r="BT1089" s="71">
        <f>IFERROR(__xludf.DUMMYFUNCTION("""COMPUTED_VALUE"""),352.0)</f>
        <v>352</v>
      </c>
      <c r="BU1089" s="71">
        <f>IFERROR(__xludf.DUMMYFUNCTION("""COMPUTED_VALUE"""),56.32)</f>
        <v>56.32</v>
      </c>
      <c r="BV1089" s="71">
        <f>IFERROR(__xludf.DUMMYFUNCTION("""COMPUTED_VALUE"""),408.32)</f>
        <v>408.32</v>
      </c>
    </row>
    <row r="1090">
      <c r="A1090" s="53"/>
      <c r="B1090" s="53"/>
      <c r="C1090" s="53" t="s">
        <v>36</v>
      </c>
      <c r="D1090" s="85" t="s">
        <v>2650</v>
      </c>
      <c r="E1090" s="54" t="s">
        <v>38</v>
      </c>
      <c r="F1090" s="55" t="s">
        <v>39</v>
      </c>
      <c r="G1090" s="86" t="s">
        <v>2651</v>
      </c>
      <c r="H1090" s="55"/>
      <c r="I1090" s="54">
        <f t="shared" si="24"/>
        <v>0</v>
      </c>
      <c r="J1090" s="56"/>
      <c r="K1090" s="57"/>
      <c r="L1090" s="76"/>
      <c r="M1090" s="59"/>
      <c r="N1090" s="60"/>
      <c r="O1090" s="61">
        <v>37.85</v>
      </c>
      <c r="P1090" s="62">
        <v>40.87800000000001</v>
      </c>
      <c r="Q1090" s="63">
        <v>40.87800000000001</v>
      </c>
      <c r="R1090" s="64">
        <v>44.0</v>
      </c>
      <c r="S1090" s="107">
        <v>46.0</v>
      </c>
      <c r="T1090" s="65">
        <f t="shared" si="39"/>
        <v>7.36</v>
      </c>
      <c r="U1090" s="65">
        <f t="shared" si="40"/>
        <v>53.36</v>
      </c>
      <c r="V1090" s="66">
        <f t="shared" si="41"/>
        <v>0.04545454545</v>
      </c>
      <c r="W1090" s="67">
        <f t="shared" si="5"/>
        <v>43.7</v>
      </c>
      <c r="X1090" s="67">
        <f t="shared" si="6"/>
        <v>6.992</v>
      </c>
      <c r="Y1090" s="67">
        <f t="shared" si="7"/>
        <v>50.692</v>
      </c>
      <c r="Z1090" s="67">
        <f t="shared" si="8"/>
        <v>41.4</v>
      </c>
      <c r="AA1090" s="67">
        <f t="shared" si="9"/>
        <v>6.624</v>
      </c>
      <c r="AB1090" s="67">
        <f t="shared" si="10"/>
        <v>48.024</v>
      </c>
      <c r="AC1090" s="67">
        <f t="shared" si="11"/>
        <v>39.1</v>
      </c>
      <c r="AD1090" s="67">
        <f t="shared" si="12"/>
        <v>6.256</v>
      </c>
      <c r="AE1090" s="67">
        <f t="shared" si="13"/>
        <v>45.356</v>
      </c>
      <c r="AF1090" s="67">
        <f t="shared" si="33"/>
        <v>38.18</v>
      </c>
      <c r="AG1090" s="67">
        <f t="shared" si="15"/>
        <v>6.1088</v>
      </c>
      <c r="AH1090" s="67">
        <f t="shared" si="16"/>
        <v>44.2888</v>
      </c>
      <c r="AI1090" s="67">
        <f t="shared" si="17"/>
        <v>36.8</v>
      </c>
      <c r="AJ1090" s="68">
        <f t="shared" si="37"/>
        <v>5.888</v>
      </c>
      <c r="AK1090" s="68">
        <f t="shared" si="38"/>
        <v>42.688</v>
      </c>
      <c r="AL1090" s="70">
        <f>IFERROR(__xludf.DUMMYFUNCTION("""COMPUTED_VALUE"""),1.0)</f>
        <v>1</v>
      </c>
      <c r="AM1090" s="70"/>
      <c r="AN1090" s="71" t="str">
        <f>IFERROR(__xludf.DUMMYFUNCTION("""COMPUTED_VALUE""")," P")</f>
        <v>P</v>
      </c>
      <c r="AO1090" s="71" t="str">
        <f>IFERROR(__xludf.DUMMYFUNCTION("""COMPUTED_VALUE""")," RO19")</f>
        <v>RO19</v>
      </c>
      <c r="AP1090" s="71" t="str">
        <f>IFERROR(__xludf.DUMMYFUNCTION("""COMPUTED_VALUE""")," PZA")</f>
        <v>PZA</v>
      </c>
      <c r="AQ1090" s="71" t="str">
        <f>IFERROR(__xludf.DUMMYFUNCTION("""COMPUTED_VALUE""")," REF")</f>
        <v>REF</v>
      </c>
      <c r="AR1090" s="71" t="str">
        <f>IFERROR(__xludf.DUMMYFUNCTION("""COMPUTED_VALUE""")," RODILLO PARA DESLIZADOR MECÁNICO CON PERNO DÚPLEX")</f>
        <v>RODILLO PARA DESLIZADOR MECÁNICO CON PERNO DÚPLEX</v>
      </c>
      <c r="AS1090" s="71" t="str">
        <f>IFERROR(__xludf.DUMMYFUNCTION("""COMPUTED_VALUE""")," RODILLO P/DESLIZADOR MECAN C/PERNO DPLX")</f>
        <v>RODILLO P/DESLIZADOR MECAN C/PERNO DPLX</v>
      </c>
      <c r="AT1090" s="71">
        <f>IFERROR(__xludf.DUMMYFUNCTION("""COMPUTED_VALUE"""),39.0)</f>
        <v>39</v>
      </c>
      <c r="AU1090" s="71"/>
      <c r="AV1090" s="71"/>
      <c r="AW1090" s="71"/>
      <c r="AX1090" s="71"/>
      <c r="AY1090" s="71">
        <f>IFERROR(__xludf.DUMMYFUNCTION("""COMPUTED_VALUE"""),298.0)</f>
        <v>298</v>
      </c>
      <c r="AZ1090" s="71">
        <f>IFERROR(__xludf.DUMMYFUNCTION("""COMPUTED_VALUE"""),321.0)</f>
        <v>321</v>
      </c>
      <c r="BA1090" s="71">
        <f>IFERROR(__xludf.DUMMYFUNCTION("""COMPUTED_VALUE"""),346.68)</f>
        <v>346.68</v>
      </c>
      <c r="BB1090" s="71">
        <f>IFERROR(__xludf.DUMMYFUNCTION("""COMPUTED_VALUE"""),346.68)</f>
        <v>346.68</v>
      </c>
      <c r="BC1090" s="71">
        <f>IFERROR(__xludf.DUMMYFUNCTION("""COMPUTED_VALUE"""),387.0)</f>
        <v>387</v>
      </c>
      <c r="BD1090" s="71">
        <f>IFERROR(__xludf.DUMMYFUNCTION("""COMPUTED_VALUE"""),406.0)</f>
        <v>406</v>
      </c>
      <c r="BE1090" s="71">
        <f>IFERROR(__xludf.DUMMYFUNCTION("""COMPUTED_VALUE"""),64.96000000000001)</f>
        <v>64.96</v>
      </c>
      <c r="BF1090" s="71">
        <f>IFERROR(__xludf.DUMMYFUNCTION("""COMPUTED_VALUE"""),470.96000000000004)</f>
        <v>470.96</v>
      </c>
      <c r="BG1090" s="71">
        <f>IFERROR(__xludf.DUMMYFUNCTION("""COMPUTED_VALUE"""),0.04909560723514212)</f>
        <v>0.04909560724</v>
      </c>
      <c r="BH1090" s="71">
        <f>IFERROR(__xludf.DUMMYFUNCTION("""COMPUTED_VALUE"""),385.7)</f>
        <v>385.7</v>
      </c>
      <c r="BI1090" s="71">
        <f>IFERROR(__xludf.DUMMYFUNCTION("""COMPUTED_VALUE"""),61.711999999999996)</f>
        <v>61.712</v>
      </c>
      <c r="BJ1090" s="71">
        <f>IFERROR(__xludf.DUMMYFUNCTION("""COMPUTED_VALUE"""),447.412)</f>
        <v>447.412</v>
      </c>
      <c r="BK1090" s="71">
        <f>IFERROR(__xludf.DUMMYFUNCTION("""COMPUTED_VALUE"""),365.40000000000003)</f>
        <v>365.4</v>
      </c>
      <c r="BL1090" s="71">
        <f>IFERROR(__xludf.DUMMYFUNCTION("""COMPUTED_VALUE"""),58.464000000000006)</f>
        <v>58.464</v>
      </c>
      <c r="BM1090" s="71">
        <f>IFERROR(__xludf.DUMMYFUNCTION("""COMPUTED_VALUE"""),423.86400000000003)</f>
        <v>423.864</v>
      </c>
      <c r="BN1090" s="71">
        <f>IFERROR(__xludf.DUMMYFUNCTION("""COMPUTED_VALUE"""),345.09999999999997)</f>
        <v>345.1</v>
      </c>
      <c r="BO1090" s="71">
        <f>IFERROR(__xludf.DUMMYFUNCTION("""COMPUTED_VALUE"""),55.215999999999994)</f>
        <v>55.216</v>
      </c>
      <c r="BP1090" s="71">
        <f>IFERROR(__xludf.DUMMYFUNCTION("""COMPUTED_VALUE"""),400.316)</f>
        <v>400.316</v>
      </c>
      <c r="BQ1090" s="71">
        <f>IFERROR(__xludf.DUMMYFUNCTION("""COMPUTED_VALUE"""),336.97999999999996)</f>
        <v>336.98</v>
      </c>
      <c r="BR1090" s="71">
        <f>IFERROR(__xludf.DUMMYFUNCTION("""COMPUTED_VALUE"""),53.916799999999995)</f>
        <v>53.9168</v>
      </c>
      <c r="BS1090" s="71">
        <f>IFERROR(__xludf.DUMMYFUNCTION("""COMPUTED_VALUE"""),390.8968)</f>
        <v>390.8968</v>
      </c>
      <c r="BT1090" s="71">
        <f>IFERROR(__xludf.DUMMYFUNCTION("""COMPUTED_VALUE"""),324.8)</f>
        <v>324.8</v>
      </c>
      <c r="BU1090" s="71">
        <f>IFERROR(__xludf.DUMMYFUNCTION("""COMPUTED_VALUE"""),51.968)</f>
        <v>51.968</v>
      </c>
      <c r="BV1090" s="71">
        <f>IFERROR(__xludf.DUMMYFUNCTION("""COMPUTED_VALUE"""),376.76800000000003)</f>
        <v>376.768</v>
      </c>
    </row>
    <row r="1091">
      <c r="A1091" s="53">
        <v>1.0</v>
      </c>
      <c r="B1091" s="72"/>
      <c r="C1091" s="120" t="s">
        <v>53</v>
      </c>
      <c r="D1091" s="74" t="s">
        <v>2652</v>
      </c>
      <c r="E1091" s="54" t="s">
        <v>38</v>
      </c>
      <c r="F1091" s="54" t="s">
        <v>42</v>
      </c>
      <c r="G1091" s="88" t="s">
        <v>2653</v>
      </c>
      <c r="H1091" s="54" t="s">
        <v>2654</v>
      </c>
      <c r="I1091" s="54">
        <f t="shared" si="24"/>
        <v>27</v>
      </c>
      <c r="J1091" s="56"/>
      <c r="K1091" s="75"/>
      <c r="L1091" s="76"/>
      <c r="M1091" s="59"/>
      <c r="N1091" s="60">
        <v>95.0</v>
      </c>
      <c r="O1091" s="61">
        <v>102.0</v>
      </c>
      <c r="P1091" s="62">
        <v>110.16000000000001</v>
      </c>
      <c r="Q1091" s="63">
        <v>110.16000000000001</v>
      </c>
      <c r="R1091" s="64">
        <v>123.0</v>
      </c>
      <c r="S1091" s="111">
        <v>129.0</v>
      </c>
      <c r="T1091" s="65">
        <f t="shared" si="39"/>
        <v>20.64</v>
      </c>
      <c r="U1091" s="65">
        <f t="shared" si="40"/>
        <v>149.64</v>
      </c>
      <c r="V1091" s="66">
        <f t="shared" si="41"/>
        <v>0.0487804878</v>
      </c>
      <c r="W1091" s="67">
        <f t="shared" si="5"/>
        <v>122.55</v>
      </c>
      <c r="X1091" s="67">
        <f t="shared" si="6"/>
        <v>19.608</v>
      </c>
      <c r="Y1091" s="67">
        <f t="shared" si="7"/>
        <v>142.158</v>
      </c>
      <c r="Z1091" s="67">
        <f t="shared" si="8"/>
        <v>116.1</v>
      </c>
      <c r="AA1091" s="67">
        <f t="shared" si="9"/>
        <v>18.576</v>
      </c>
      <c r="AB1091" s="67">
        <f t="shared" si="10"/>
        <v>134.676</v>
      </c>
      <c r="AC1091" s="67">
        <f t="shared" si="11"/>
        <v>109.65</v>
      </c>
      <c r="AD1091" s="67">
        <f t="shared" si="12"/>
        <v>17.544</v>
      </c>
      <c r="AE1091" s="67">
        <f t="shared" si="13"/>
        <v>127.194</v>
      </c>
      <c r="AF1091" s="67">
        <f t="shared" si="33"/>
        <v>107.07</v>
      </c>
      <c r="AG1091" s="67">
        <f t="shared" si="15"/>
        <v>17.1312</v>
      </c>
      <c r="AH1091" s="67">
        <f t="shared" si="16"/>
        <v>124.2012</v>
      </c>
      <c r="AI1091" s="67">
        <f t="shared" si="17"/>
        <v>103.2</v>
      </c>
      <c r="AJ1091" s="68">
        <f t="shared" si="37"/>
        <v>16.512</v>
      </c>
      <c r="AK1091" s="68">
        <f t="shared" si="38"/>
        <v>119.712</v>
      </c>
      <c r="AL1091" s="70">
        <f>IFERROR(__xludf.DUMMYFUNCTION("""COMPUTED_VALUE"""),1.0)</f>
        <v>1</v>
      </c>
      <c r="AM1091" s="70"/>
      <c r="AN1091" s="71" t="str">
        <f>IFERROR(__xludf.DUMMYFUNCTION("""COMPUTED_VALUE""")," P")</f>
        <v>P</v>
      </c>
      <c r="AO1091" s="71" t="str">
        <f>IFERROR(__xludf.DUMMYFUNCTION("""COMPUTED_VALUE""")," RO20")</f>
        <v>RO20</v>
      </c>
      <c r="AP1091" s="71" t="str">
        <f>IFERROR(__xludf.DUMMYFUNCTION("""COMPUTED_VALUE""")," PZA")</f>
        <v>PZA</v>
      </c>
      <c r="AQ1091" s="71" t="str">
        <f>IFERROR(__xludf.DUMMYFUNCTION("""COMPUTED_VALUE""")," REF")</f>
        <v>REF</v>
      </c>
      <c r="AR1091" s="71" t="str">
        <f>IFERROR(__xludf.DUMMYFUNCTION("""COMPUTED_VALUE""")," RODILLO PARA DESLIZADOR MECÁNICO CON PERNO SENCILLO")</f>
        <v>RODILLO PARA DESLIZADOR MECÁNICO CON PERNO SENCILLO</v>
      </c>
      <c r="AS1091" s="71" t="str">
        <f>IFERROR(__xludf.DUMMYFUNCTION("""COMPUTED_VALUE""")," RODILLO P/DESLIZADOR MECAN C/PERNO SENC")</f>
        <v>RODILLO P/DESLIZADOR MECAN C/PERNO SENC</v>
      </c>
      <c r="AT1091" s="71">
        <f>IFERROR(__xludf.DUMMYFUNCTION("""COMPUTED_VALUE"""),39.0)</f>
        <v>39</v>
      </c>
      <c r="AU1091" s="71"/>
      <c r="AV1091" s="71"/>
      <c r="AW1091" s="71"/>
      <c r="AX1091" s="71"/>
      <c r="AY1091" s="71">
        <f>IFERROR(__xludf.DUMMYFUNCTION("""COMPUTED_VALUE"""),257.0)</f>
        <v>257</v>
      </c>
      <c r="AZ1091" s="71">
        <f>IFERROR(__xludf.DUMMYFUNCTION("""COMPUTED_VALUE"""),277.0)</f>
        <v>277</v>
      </c>
      <c r="BA1091" s="71">
        <f>IFERROR(__xludf.DUMMYFUNCTION("""COMPUTED_VALUE"""),299.16)</f>
        <v>299.16</v>
      </c>
      <c r="BB1091" s="71">
        <f>IFERROR(__xludf.DUMMYFUNCTION("""COMPUTED_VALUE"""),299.16)</f>
        <v>299.16</v>
      </c>
      <c r="BC1091" s="71">
        <f>IFERROR(__xludf.DUMMYFUNCTION("""COMPUTED_VALUE"""),334.0)</f>
        <v>334</v>
      </c>
      <c r="BD1091" s="71">
        <f>IFERROR(__xludf.DUMMYFUNCTION("""COMPUTED_VALUE"""),351.0)</f>
        <v>351</v>
      </c>
      <c r="BE1091" s="71">
        <f>IFERROR(__xludf.DUMMYFUNCTION("""COMPUTED_VALUE"""),56.160000000000004)</f>
        <v>56.16</v>
      </c>
      <c r="BF1091" s="71">
        <f>IFERROR(__xludf.DUMMYFUNCTION("""COMPUTED_VALUE"""),407.16)</f>
        <v>407.16</v>
      </c>
      <c r="BG1091" s="71">
        <f>IFERROR(__xludf.DUMMYFUNCTION("""COMPUTED_VALUE"""),0.05089820359281437)</f>
        <v>0.05089820359</v>
      </c>
      <c r="BH1091" s="71">
        <f>IFERROR(__xludf.DUMMYFUNCTION("""COMPUTED_VALUE"""),333.45)</f>
        <v>333.45</v>
      </c>
      <c r="BI1091" s="71">
        <f>IFERROR(__xludf.DUMMYFUNCTION("""COMPUTED_VALUE"""),53.352)</f>
        <v>53.352</v>
      </c>
      <c r="BJ1091" s="71">
        <f>IFERROR(__xludf.DUMMYFUNCTION("""COMPUTED_VALUE"""),386.80199999999996)</f>
        <v>386.802</v>
      </c>
      <c r="BK1091" s="71">
        <f>IFERROR(__xludf.DUMMYFUNCTION("""COMPUTED_VALUE"""),315.90000000000003)</f>
        <v>315.9</v>
      </c>
      <c r="BL1091" s="71">
        <f>IFERROR(__xludf.DUMMYFUNCTION("""COMPUTED_VALUE"""),50.544000000000004)</f>
        <v>50.544</v>
      </c>
      <c r="BM1091" s="71">
        <f>IFERROR(__xludf.DUMMYFUNCTION("""COMPUTED_VALUE"""),366.444)</f>
        <v>366.444</v>
      </c>
      <c r="BN1091" s="71">
        <f>IFERROR(__xludf.DUMMYFUNCTION("""COMPUTED_VALUE"""),298.34999999999997)</f>
        <v>298.35</v>
      </c>
      <c r="BO1091" s="71">
        <f>IFERROR(__xludf.DUMMYFUNCTION("""COMPUTED_VALUE"""),47.736)</f>
        <v>47.736</v>
      </c>
      <c r="BP1091" s="71">
        <f>IFERROR(__xludf.DUMMYFUNCTION("""COMPUTED_VALUE"""),346.08599999999996)</f>
        <v>346.086</v>
      </c>
      <c r="BQ1091" s="71">
        <f>IFERROR(__xludf.DUMMYFUNCTION("""COMPUTED_VALUE"""),291.33)</f>
        <v>291.33</v>
      </c>
      <c r="BR1091" s="71">
        <f>IFERROR(__xludf.DUMMYFUNCTION("""COMPUTED_VALUE"""),46.6128)</f>
        <v>46.6128</v>
      </c>
      <c r="BS1091" s="71">
        <f>IFERROR(__xludf.DUMMYFUNCTION("""COMPUTED_VALUE"""),337.9428)</f>
        <v>337.9428</v>
      </c>
      <c r="BT1091" s="71">
        <f>IFERROR(__xludf.DUMMYFUNCTION("""COMPUTED_VALUE"""),280.8)</f>
        <v>280.8</v>
      </c>
      <c r="BU1091" s="71">
        <f>IFERROR(__xludf.DUMMYFUNCTION("""COMPUTED_VALUE"""),44.928000000000004)</f>
        <v>44.928</v>
      </c>
      <c r="BV1091" s="71">
        <f>IFERROR(__xludf.DUMMYFUNCTION("""COMPUTED_VALUE"""),325.728)</f>
        <v>325.728</v>
      </c>
    </row>
    <row r="1092">
      <c r="A1092" s="53">
        <v>1.0</v>
      </c>
      <c r="B1092" s="72"/>
      <c r="C1092" s="120" t="s">
        <v>53</v>
      </c>
      <c r="D1092" s="74" t="s">
        <v>2655</v>
      </c>
      <c r="E1092" s="54" t="s">
        <v>38</v>
      </c>
      <c r="F1092" s="54" t="s">
        <v>42</v>
      </c>
      <c r="G1092" s="88" t="s">
        <v>2656</v>
      </c>
      <c r="H1092" s="54" t="s">
        <v>2657</v>
      </c>
      <c r="I1092" s="54">
        <f t="shared" si="24"/>
        <v>31</v>
      </c>
      <c r="J1092" s="56"/>
      <c r="K1092" s="75"/>
      <c r="L1092" s="76"/>
      <c r="M1092" s="59"/>
      <c r="N1092" s="60">
        <v>91.0</v>
      </c>
      <c r="O1092" s="61">
        <v>98.0</v>
      </c>
      <c r="P1092" s="62">
        <v>105.84</v>
      </c>
      <c r="Q1092" s="63">
        <v>105.84</v>
      </c>
      <c r="R1092" s="64">
        <v>119.0</v>
      </c>
      <c r="S1092" s="111">
        <v>125.0</v>
      </c>
      <c r="T1092" s="65">
        <f t="shared" si="39"/>
        <v>20</v>
      </c>
      <c r="U1092" s="65">
        <f t="shared" si="40"/>
        <v>145</v>
      </c>
      <c r="V1092" s="66">
        <f t="shared" si="41"/>
        <v>0.05042016807</v>
      </c>
      <c r="W1092" s="67">
        <f t="shared" si="5"/>
        <v>118.75</v>
      </c>
      <c r="X1092" s="67">
        <f t="shared" si="6"/>
        <v>19</v>
      </c>
      <c r="Y1092" s="67">
        <f t="shared" si="7"/>
        <v>137.75</v>
      </c>
      <c r="Z1092" s="67">
        <f t="shared" si="8"/>
        <v>112.5</v>
      </c>
      <c r="AA1092" s="67">
        <f t="shared" si="9"/>
        <v>18</v>
      </c>
      <c r="AB1092" s="67">
        <f t="shared" si="10"/>
        <v>130.5</v>
      </c>
      <c r="AC1092" s="67">
        <f t="shared" si="11"/>
        <v>106.25</v>
      </c>
      <c r="AD1092" s="67">
        <f t="shared" si="12"/>
        <v>17</v>
      </c>
      <c r="AE1092" s="67">
        <f t="shared" si="13"/>
        <v>123.25</v>
      </c>
      <c r="AF1092" s="67">
        <f t="shared" si="33"/>
        <v>103.75</v>
      </c>
      <c r="AG1092" s="67">
        <f t="shared" si="15"/>
        <v>16.6</v>
      </c>
      <c r="AH1092" s="67">
        <f t="shared" si="16"/>
        <v>120.35</v>
      </c>
      <c r="AI1092" s="67">
        <f t="shared" si="17"/>
        <v>100</v>
      </c>
      <c r="AJ1092" s="68">
        <f t="shared" si="37"/>
        <v>16</v>
      </c>
      <c r="AK1092" s="68">
        <f t="shared" si="38"/>
        <v>116</v>
      </c>
      <c r="AL1092" s="70">
        <f>IFERROR(__xludf.DUMMYFUNCTION("""COMPUTED_VALUE"""),1.0)</f>
        <v>1</v>
      </c>
      <c r="AM1092" s="70"/>
      <c r="AN1092" s="71" t="str">
        <f>IFERROR(__xludf.DUMMYFUNCTION("""COMPUTED_VALUE""")," P")</f>
        <v>P</v>
      </c>
      <c r="AO1092" s="71" t="str">
        <f>IFERROR(__xludf.DUMMYFUNCTION("""COMPUTED_VALUE""")," RO21")</f>
        <v>RO21</v>
      </c>
      <c r="AP1092" s="71" t="str">
        <f>IFERROR(__xludf.DUMMYFUNCTION("""COMPUTED_VALUE""")," PZA")</f>
        <v>PZA</v>
      </c>
      <c r="AQ1092" s="71" t="str">
        <f>IFERROR(__xludf.DUMMYFUNCTION("""COMPUTED_VALUE""")," REF")</f>
        <v>REF</v>
      </c>
      <c r="AR1092" s="71" t="str">
        <f>IFERROR(__xludf.DUMMYFUNCTION("""COMPUTED_VALUE""")," RODILLO PARA ENFRIADOR CON PERNO DÚPLEX")</f>
        <v>RODILLO PARA ENFRIADOR CON PERNO DÚPLEX</v>
      </c>
      <c r="AS1092" s="71" t="str">
        <f>IFERROR(__xludf.DUMMYFUNCTION("""COMPUTED_VALUE""")," RODILLO P/ENFRIADOR C/PERNO DPLX")</f>
        <v>RODILLO P/ENFRIADOR C/PERNO DPLX</v>
      </c>
      <c r="AT1092" s="71">
        <f>IFERROR(__xludf.DUMMYFUNCTION("""COMPUTED_VALUE"""),32.0)</f>
        <v>32</v>
      </c>
      <c r="AU1092" s="71"/>
      <c r="AV1092" s="71"/>
      <c r="AW1092" s="71"/>
      <c r="AX1092" s="71"/>
      <c r="AY1092" s="71">
        <f>IFERROR(__xludf.DUMMYFUNCTION("""COMPUTED_VALUE"""),370.0)</f>
        <v>370</v>
      </c>
      <c r="AZ1092" s="71">
        <f>IFERROR(__xludf.DUMMYFUNCTION("""COMPUTED_VALUE"""),399.0)</f>
        <v>399</v>
      </c>
      <c r="BA1092" s="71">
        <f>IFERROR(__xludf.DUMMYFUNCTION("""COMPUTED_VALUE"""),430.92)</f>
        <v>430.92</v>
      </c>
      <c r="BB1092" s="71">
        <f>IFERROR(__xludf.DUMMYFUNCTION("""COMPUTED_VALUE"""),430.92)</f>
        <v>430.92</v>
      </c>
      <c r="BC1092" s="71">
        <f>IFERROR(__xludf.DUMMYFUNCTION("""COMPUTED_VALUE"""),480.0)</f>
        <v>480</v>
      </c>
      <c r="BD1092" s="71">
        <f>IFERROR(__xludf.DUMMYFUNCTION("""COMPUTED_VALUE"""),504.0)</f>
        <v>504</v>
      </c>
      <c r="BE1092" s="71">
        <f>IFERROR(__xludf.DUMMYFUNCTION("""COMPUTED_VALUE"""),80.64)</f>
        <v>80.64</v>
      </c>
      <c r="BF1092" s="71">
        <f>IFERROR(__xludf.DUMMYFUNCTION("""COMPUTED_VALUE"""),584.64)</f>
        <v>584.64</v>
      </c>
      <c r="BG1092" s="71">
        <f>IFERROR(__xludf.DUMMYFUNCTION("""COMPUTED_VALUE"""),0.05)</f>
        <v>0.05</v>
      </c>
      <c r="BH1092" s="71">
        <f>IFERROR(__xludf.DUMMYFUNCTION("""COMPUTED_VALUE"""),478.79999999999995)</f>
        <v>478.8</v>
      </c>
      <c r="BI1092" s="71">
        <f>IFERROR(__xludf.DUMMYFUNCTION("""COMPUTED_VALUE"""),76.60799999999999)</f>
        <v>76.608</v>
      </c>
      <c r="BJ1092" s="71">
        <f>IFERROR(__xludf.DUMMYFUNCTION("""COMPUTED_VALUE"""),555.4079999999999)</f>
        <v>555.408</v>
      </c>
      <c r="BK1092" s="71">
        <f>IFERROR(__xludf.DUMMYFUNCTION("""COMPUTED_VALUE"""),453.6)</f>
        <v>453.6</v>
      </c>
      <c r="BL1092" s="71">
        <f>IFERROR(__xludf.DUMMYFUNCTION("""COMPUTED_VALUE"""),72.57600000000001)</f>
        <v>72.576</v>
      </c>
      <c r="BM1092" s="71">
        <f>IFERROR(__xludf.DUMMYFUNCTION("""COMPUTED_VALUE"""),526.176)</f>
        <v>526.176</v>
      </c>
      <c r="BN1092" s="71">
        <f>IFERROR(__xludf.DUMMYFUNCTION("""COMPUTED_VALUE"""),428.4)</f>
        <v>428.4</v>
      </c>
      <c r="BO1092" s="71">
        <f>IFERROR(__xludf.DUMMYFUNCTION("""COMPUTED_VALUE"""),68.544)</f>
        <v>68.544</v>
      </c>
      <c r="BP1092" s="71">
        <f>IFERROR(__xludf.DUMMYFUNCTION("""COMPUTED_VALUE"""),496.94399999999996)</f>
        <v>496.944</v>
      </c>
      <c r="BQ1092" s="71">
        <f>IFERROR(__xludf.DUMMYFUNCTION("""COMPUTED_VALUE"""),418.32)</f>
        <v>418.32</v>
      </c>
      <c r="BR1092" s="71">
        <f>IFERROR(__xludf.DUMMYFUNCTION("""COMPUTED_VALUE"""),66.9312)</f>
        <v>66.9312</v>
      </c>
      <c r="BS1092" s="71">
        <f>IFERROR(__xludf.DUMMYFUNCTION("""COMPUTED_VALUE"""),485.2512)</f>
        <v>485.2512</v>
      </c>
      <c r="BT1092" s="71">
        <f>IFERROR(__xludf.DUMMYFUNCTION("""COMPUTED_VALUE"""),403.20000000000005)</f>
        <v>403.2</v>
      </c>
      <c r="BU1092" s="71">
        <f>IFERROR(__xludf.DUMMYFUNCTION("""COMPUTED_VALUE"""),64.51200000000001)</f>
        <v>64.512</v>
      </c>
      <c r="BV1092" s="71">
        <f>IFERROR(__xludf.DUMMYFUNCTION("""COMPUTED_VALUE"""),467.71200000000005)</f>
        <v>467.712</v>
      </c>
    </row>
    <row r="1093">
      <c r="A1093" s="53"/>
      <c r="B1093" s="53">
        <v>3.0</v>
      </c>
      <c r="C1093" s="53" t="s">
        <v>36</v>
      </c>
      <c r="D1093" s="98" t="s">
        <v>2658</v>
      </c>
      <c r="E1093" s="54" t="s">
        <v>38</v>
      </c>
      <c r="F1093" s="55" t="s">
        <v>187</v>
      </c>
      <c r="G1093" s="117" t="s">
        <v>2659</v>
      </c>
      <c r="H1093" s="55"/>
      <c r="I1093" s="54">
        <f t="shared" si="24"/>
        <v>0</v>
      </c>
      <c r="J1093" s="56"/>
      <c r="K1093" s="57"/>
      <c r="L1093" s="76"/>
      <c r="M1093" s="59"/>
      <c r="N1093" s="60"/>
      <c r="O1093" s="61">
        <v>24698.0</v>
      </c>
      <c r="P1093" s="62">
        <v>26673.84</v>
      </c>
      <c r="Q1093" s="63">
        <v>26673.84</v>
      </c>
      <c r="R1093" s="64">
        <v>29409.0</v>
      </c>
      <c r="S1093" s="107">
        <v>30879.0</v>
      </c>
      <c r="T1093" s="65">
        <f t="shared" si="39"/>
        <v>4940.64</v>
      </c>
      <c r="U1093" s="65">
        <f t="shared" si="40"/>
        <v>35819.64</v>
      </c>
      <c r="V1093" s="66">
        <f t="shared" si="41"/>
        <v>0.04998469856</v>
      </c>
      <c r="W1093" s="67">
        <f t="shared" si="5"/>
        <v>29335.05</v>
      </c>
      <c r="X1093" s="67">
        <f t="shared" si="6"/>
        <v>4693.608</v>
      </c>
      <c r="Y1093" s="67">
        <f t="shared" si="7"/>
        <v>34028.658</v>
      </c>
      <c r="Z1093" s="67">
        <f t="shared" si="8"/>
        <v>27791.1</v>
      </c>
      <c r="AA1093" s="67">
        <f t="shared" si="9"/>
        <v>4446.576</v>
      </c>
      <c r="AB1093" s="67">
        <f t="shared" si="10"/>
        <v>32237.676</v>
      </c>
      <c r="AC1093" s="67">
        <f t="shared" si="11"/>
        <v>27791.1</v>
      </c>
      <c r="AD1093" s="67">
        <f t="shared" si="12"/>
        <v>4446.576</v>
      </c>
      <c r="AE1093" s="67">
        <f t="shared" si="13"/>
        <v>32237.676</v>
      </c>
      <c r="AF1093" s="67">
        <f t="shared" si="33"/>
        <v>27791.1</v>
      </c>
      <c r="AG1093" s="67">
        <f t="shared" si="15"/>
        <v>4446.576</v>
      </c>
      <c r="AH1093" s="67">
        <f t="shared" si="16"/>
        <v>32237.676</v>
      </c>
      <c r="AI1093" s="67">
        <f t="shared" si="17"/>
        <v>27791.1</v>
      </c>
      <c r="AJ1093" s="68">
        <f t="shared" si="37"/>
        <v>4446.576</v>
      </c>
      <c r="AK1093" s="68">
        <f t="shared" si="38"/>
        <v>32237.676</v>
      </c>
      <c r="AL1093" s="70">
        <f>IFERROR(__xludf.DUMMYFUNCTION("""COMPUTED_VALUE"""),1.0)</f>
        <v>1</v>
      </c>
      <c r="AM1093" s="70"/>
      <c r="AN1093" s="71" t="str">
        <f>IFERROR(__xludf.DUMMYFUNCTION("""COMPUTED_VALUE""")," P")</f>
        <v>P</v>
      </c>
      <c r="AO1093" s="71" t="str">
        <f>IFERROR(__xludf.DUMMYFUNCTION("""COMPUTED_VALUE""")," RO22")</f>
        <v>RO22</v>
      </c>
      <c r="AP1093" s="71" t="str">
        <f>IFERROR(__xludf.DUMMYFUNCTION("""COMPUTED_VALUE""")," PZA")</f>
        <v>PZA</v>
      </c>
      <c r="AQ1093" s="71" t="str">
        <f>IFERROR(__xludf.DUMMYFUNCTION("""COMPUTED_VALUE""")," REF")</f>
        <v>REF</v>
      </c>
      <c r="AR1093" s="71" t="str">
        <f>IFERROR(__xludf.DUMMYFUNCTION("""COMPUTED_VALUE""")," RODILLO PARA ENFRIADOR CON PERNO SENCILLO")</f>
        <v>RODILLO PARA ENFRIADOR CON PERNO SENCILLO</v>
      </c>
      <c r="AS1093" s="71" t="str">
        <f>IFERROR(__xludf.DUMMYFUNCTION("""COMPUTED_VALUE""")," RODILLO P/ENFRIADOR C/PERNO SENC")</f>
        <v>RODILLO P/ENFRIADOR C/PERNO SENC</v>
      </c>
      <c r="AT1093" s="71">
        <f>IFERROR(__xludf.DUMMYFUNCTION("""COMPUTED_VALUE"""),32.0)</f>
        <v>32</v>
      </c>
      <c r="AU1093" s="71"/>
      <c r="AV1093" s="71"/>
      <c r="AW1093" s="71"/>
      <c r="AX1093" s="71"/>
      <c r="AY1093" s="71">
        <f>IFERROR(__xludf.DUMMYFUNCTION("""COMPUTED_VALUE"""),243.0)</f>
        <v>243</v>
      </c>
      <c r="AZ1093" s="71">
        <f>IFERROR(__xludf.DUMMYFUNCTION("""COMPUTED_VALUE"""),262.0)</f>
        <v>262</v>
      </c>
      <c r="BA1093" s="71">
        <f>IFERROR(__xludf.DUMMYFUNCTION("""COMPUTED_VALUE"""),282.96000000000004)</f>
        <v>282.96</v>
      </c>
      <c r="BB1093" s="71">
        <f>IFERROR(__xludf.DUMMYFUNCTION("""COMPUTED_VALUE"""),282.96000000000004)</f>
        <v>282.96</v>
      </c>
      <c r="BC1093" s="71">
        <f>IFERROR(__xludf.DUMMYFUNCTION("""COMPUTED_VALUE"""),315.0)</f>
        <v>315</v>
      </c>
      <c r="BD1093" s="71">
        <f>IFERROR(__xludf.DUMMYFUNCTION("""COMPUTED_VALUE"""),331.0)</f>
        <v>331</v>
      </c>
      <c r="BE1093" s="71">
        <f>IFERROR(__xludf.DUMMYFUNCTION("""COMPUTED_VALUE"""),52.96)</f>
        <v>52.96</v>
      </c>
      <c r="BF1093" s="71">
        <f>IFERROR(__xludf.DUMMYFUNCTION("""COMPUTED_VALUE"""),383.96)</f>
        <v>383.96</v>
      </c>
      <c r="BG1093" s="71">
        <f>IFERROR(__xludf.DUMMYFUNCTION("""COMPUTED_VALUE"""),0.050793650793650794)</f>
        <v>0.05079365079</v>
      </c>
      <c r="BH1093" s="71">
        <f>IFERROR(__xludf.DUMMYFUNCTION("""COMPUTED_VALUE"""),314.45)</f>
        <v>314.45</v>
      </c>
      <c r="BI1093" s="71">
        <f>IFERROR(__xludf.DUMMYFUNCTION("""COMPUTED_VALUE"""),50.312)</f>
        <v>50.312</v>
      </c>
      <c r="BJ1093" s="71">
        <f>IFERROR(__xludf.DUMMYFUNCTION("""COMPUTED_VALUE"""),364.762)</f>
        <v>364.762</v>
      </c>
      <c r="BK1093" s="71">
        <f>IFERROR(__xludf.DUMMYFUNCTION("""COMPUTED_VALUE"""),297.90000000000003)</f>
        <v>297.9</v>
      </c>
      <c r="BL1093" s="71">
        <f>IFERROR(__xludf.DUMMYFUNCTION("""COMPUTED_VALUE"""),47.66400000000001)</f>
        <v>47.664</v>
      </c>
      <c r="BM1093" s="71">
        <f>IFERROR(__xludf.DUMMYFUNCTION("""COMPUTED_VALUE"""),345.564)</f>
        <v>345.564</v>
      </c>
      <c r="BN1093" s="71">
        <f>IFERROR(__xludf.DUMMYFUNCTION("""COMPUTED_VALUE"""),281.34999999999997)</f>
        <v>281.35</v>
      </c>
      <c r="BO1093" s="71">
        <f>IFERROR(__xludf.DUMMYFUNCTION("""COMPUTED_VALUE"""),45.016)</f>
        <v>45.016</v>
      </c>
      <c r="BP1093" s="71">
        <f>IFERROR(__xludf.DUMMYFUNCTION("""COMPUTED_VALUE"""),326.366)</f>
        <v>326.366</v>
      </c>
      <c r="BQ1093" s="71">
        <f>IFERROR(__xludf.DUMMYFUNCTION("""COMPUTED_VALUE"""),274.72999999999996)</f>
        <v>274.73</v>
      </c>
      <c r="BR1093" s="71">
        <f>IFERROR(__xludf.DUMMYFUNCTION("""COMPUTED_VALUE"""),43.956799999999994)</f>
        <v>43.9568</v>
      </c>
      <c r="BS1093" s="71">
        <f>IFERROR(__xludf.DUMMYFUNCTION("""COMPUTED_VALUE"""),318.68679999999995)</f>
        <v>318.6868</v>
      </c>
      <c r="BT1093" s="71">
        <f>IFERROR(__xludf.DUMMYFUNCTION("""COMPUTED_VALUE"""),264.8)</f>
        <v>264.8</v>
      </c>
      <c r="BU1093" s="71">
        <f>IFERROR(__xludf.DUMMYFUNCTION("""COMPUTED_VALUE"""),42.368)</f>
        <v>42.368</v>
      </c>
      <c r="BV1093" s="71">
        <f>IFERROR(__xludf.DUMMYFUNCTION("""COMPUTED_VALUE"""),307.168)</f>
        <v>307.168</v>
      </c>
    </row>
    <row r="1094">
      <c r="A1094" s="53"/>
      <c r="B1094" s="53"/>
      <c r="C1094" s="53"/>
      <c r="D1094" s="53" t="s">
        <v>2660</v>
      </c>
      <c r="E1094" s="55" t="s">
        <v>38</v>
      </c>
      <c r="F1094" s="89"/>
      <c r="G1094" s="84" t="s">
        <v>2661</v>
      </c>
      <c r="H1094" s="55"/>
      <c r="I1094" s="54">
        <f t="shared" si="24"/>
        <v>0</v>
      </c>
      <c r="J1094" s="56"/>
      <c r="K1094" s="57"/>
      <c r="L1094" s="55"/>
      <c r="M1094" s="59"/>
      <c r="N1094" s="60"/>
      <c r="O1094" s="90"/>
      <c r="P1094" s="62">
        <v>22197.0</v>
      </c>
      <c r="Q1094" s="63">
        <v>22197.0</v>
      </c>
      <c r="R1094" s="64">
        <v>24473.0</v>
      </c>
      <c r="S1094" s="111">
        <v>25697.0</v>
      </c>
      <c r="T1094" s="65">
        <f t="shared" si="39"/>
        <v>4111.52</v>
      </c>
      <c r="U1094" s="65">
        <f t="shared" si="40"/>
        <v>29808.52</v>
      </c>
      <c r="V1094" s="66">
        <f t="shared" si="41"/>
        <v>0.05001430148</v>
      </c>
      <c r="W1094" s="67">
        <f t="shared" si="5"/>
        <v>24412.15</v>
      </c>
      <c r="X1094" s="67">
        <f t="shared" si="6"/>
        <v>3905.944</v>
      </c>
      <c r="Y1094" s="67">
        <f t="shared" si="7"/>
        <v>28318.094</v>
      </c>
      <c r="Z1094" s="67">
        <f t="shared" si="8"/>
        <v>23127.3</v>
      </c>
      <c r="AA1094" s="67">
        <f t="shared" si="9"/>
        <v>3700.368</v>
      </c>
      <c r="AB1094" s="67">
        <f t="shared" si="10"/>
        <v>26827.668</v>
      </c>
      <c r="AC1094" s="67">
        <f t="shared" si="11"/>
        <v>21842.45</v>
      </c>
      <c r="AD1094" s="67">
        <f t="shared" si="12"/>
        <v>3494.792</v>
      </c>
      <c r="AE1094" s="67">
        <f t="shared" si="13"/>
        <v>25337.242</v>
      </c>
      <c r="AF1094" s="67">
        <f t="shared" si="33"/>
        <v>21328.51</v>
      </c>
      <c r="AG1094" s="67">
        <f t="shared" si="15"/>
        <v>3412.5616</v>
      </c>
      <c r="AH1094" s="67">
        <f t="shared" si="16"/>
        <v>24741.0716</v>
      </c>
      <c r="AI1094" s="67">
        <f t="shared" si="17"/>
        <v>20557.6</v>
      </c>
      <c r="AJ1094" s="68">
        <f t="shared" si="37"/>
        <v>3289.216</v>
      </c>
      <c r="AK1094" s="68">
        <f t="shared" si="38"/>
        <v>23846.816</v>
      </c>
      <c r="AL1094" s="70">
        <f>IFERROR(__xludf.DUMMYFUNCTION("""COMPUTED_VALUE"""),1.0)</f>
        <v>1</v>
      </c>
      <c r="AM1094" s="70"/>
      <c r="AN1094" s="71" t="str">
        <f>IFERROR(__xludf.DUMMYFUNCTION("""COMPUTED_VALUE""")," P")</f>
        <v>P</v>
      </c>
      <c r="AO1094" s="71" t="str">
        <f>IFERROR(__xludf.DUMMYFUNCTION("""COMPUTED_VALUE""")," RO23")</f>
        <v>RO23</v>
      </c>
      <c r="AP1094" s="71" t="str">
        <f>IFERROR(__xludf.DUMMYFUNCTION("""COMPUTED_VALUE""")," PZA")</f>
        <v>PZA</v>
      </c>
      <c r="AQ1094" s="71" t="str">
        <f>IFERROR(__xludf.DUMMYFUNCTION("""COMPUTED_VALUE""")," REF")</f>
        <v>REF</v>
      </c>
      <c r="AR1094" s="71" t="str">
        <f>IFERROR(__xludf.DUMMYFUNCTION("""COMPUTED_VALUE""")," RODILLO PARA ENFRIADOR SIN PERNO DÚPLEX")</f>
        <v>RODILLO PARA ENFRIADOR SIN PERNO DÚPLEX</v>
      </c>
      <c r="AS1094" s="71" t="str">
        <f>IFERROR(__xludf.DUMMYFUNCTION("""COMPUTED_VALUE""")," RODILLO P/ENFRIADOR S/PERNO DPLX")</f>
        <v>RODILLO P/ENFRIADOR S/PERNO DPLX</v>
      </c>
      <c r="AT1094" s="71">
        <f>IFERROR(__xludf.DUMMYFUNCTION("""COMPUTED_VALUE"""),32.0)</f>
        <v>32</v>
      </c>
      <c r="AU1094" s="71"/>
      <c r="AV1094" s="71"/>
      <c r="AW1094" s="71"/>
      <c r="AX1094" s="71"/>
      <c r="AY1094" s="71">
        <f>IFERROR(__xludf.DUMMYFUNCTION("""COMPUTED_VALUE"""),355.0)</f>
        <v>355</v>
      </c>
      <c r="AZ1094" s="71">
        <f>IFERROR(__xludf.DUMMYFUNCTION("""COMPUTED_VALUE"""),383.0)</f>
        <v>383</v>
      </c>
      <c r="BA1094" s="71">
        <f>IFERROR(__xludf.DUMMYFUNCTION("""COMPUTED_VALUE"""),413.64000000000004)</f>
        <v>413.64</v>
      </c>
      <c r="BB1094" s="71">
        <f>IFERROR(__xludf.DUMMYFUNCTION("""COMPUTED_VALUE"""),413.64000000000004)</f>
        <v>413.64</v>
      </c>
      <c r="BC1094" s="71">
        <f>IFERROR(__xludf.DUMMYFUNCTION("""COMPUTED_VALUE"""),461.0)</f>
        <v>461</v>
      </c>
      <c r="BD1094" s="71">
        <f>IFERROR(__xludf.DUMMYFUNCTION("""COMPUTED_VALUE"""),484.0)</f>
        <v>484</v>
      </c>
      <c r="BE1094" s="71">
        <f>IFERROR(__xludf.DUMMYFUNCTION("""COMPUTED_VALUE"""),77.44)</f>
        <v>77.44</v>
      </c>
      <c r="BF1094" s="71">
        <f>IFERROR(__xludf.DUMMYFUNCTION("""COMPUTED_VALUE"""),561.44)</f>
        <v>561.44</v>
      </c>
      <c r="BG1094" s="71">
        <f>IFERROR(__xludf.DUMMYFUNCTION("""COMPUTED_VALUE"""),0.049891540130151846)</f>
        <v>0.04989154013</v>
      </c>
      <c r="BH1094" s="71">
        <f>IFERROR(__xludf.DUMMYFUNCTION("""COMPUTED_VALUE"""),459.79999999999995)</f>
        <v>459.8</v>
      </c>
      <c r="BI1094" s="71">
        <f>IFERROR(__xludf.DUMMYFUNCTION("""COMPUTED_VALUE"""),73.568)</f>
        <v>73.568</v>
      </c>
      <c r="BJ1094" s="71">
        <f>IFERROR(__xludf.DUMMYFUNCTION("""COMPUTED_VALUE"""),533.3679999999999)</f>
        <v>533.368</v>
      </c>
      <c r="BK1094" s="71">
        <f>IFERROR(__xludf.DUMMYFUNCTION("""COMPUTED_VALUE"""),435.6)</f>
        <v>435.6</v>
      </c>
      <c r="BL1094" s="71">
        <f>IFERROR(__xludf.DUMMYFUNCTION("""COMPUTED_VALUE"""),69.69600000000001)</f>
        <v>69.696</v>
      </c>
      <c r="BM1094" s="71">
        <f>IFERROR(__xludf.DUMMYFUNCTION("""COMPUTED_VALUE"""),505.29600000000005)</f>
        <v>505.296</v>
      </c>
      <c r="BN1094" s="71">
        <f>IFERROR(__xludf.DUMMYFUNCTION("""COMPUTED_VALUE"""),411.4)</f>
        <v>411.4</v>
      </c>
      <c r="BO1094" s="71">
        <f>IFERROR(__xludf.DUMMYFUNCTION("""COMPUTED_VALUE"""),65.824)</f>
        <v>65.824</v>
      </c>
      <c r="BP1094" s="71">
        <f>IFERROR(__xludf.DUMMYFUNCTION("""COMPUTED_VALUE"""),477.224)</f>
        <v>477.224</v>
      </c>
      <c r="BQ1094" s="71">
        <f>IFERROR(__xludf.DUMMYFUNCTION("""COMPUTED_VALUE"""),401.71999999999997)</f>
        <v>401.72</v>
      </c>
      <c r="BR1094" s="71">
        <f>IFERROR(__xludf.DUMMYFUNCTION("""COMPUTED_VALUE"""),64.2752)</f>
        <v>64.2752</v>
      </c>
      <c r="BS1094" s="71">
        <f>IFERROR(__xludf.DUMMYFUNCTION("""COMPUTED_VALUE"""),465.99519999999995)</f>
        <v>465.9952</v>
      </c>
      <c r="BT1094" s="71">
        <f>IFERROR(__xludf.DUMMYFUNCTION("""COMPUTED_VALUE"""),387.20000000000005)</f>
        <v>387.2</v>
      </c>
      <c r="BU1094" s="71">
        <f>IFERROR(__xludf.DUMMYFUNCTION("""COMPUTED_VALUE"""),61.952000000000005)</f>
        <v>61.952</v>
      </c>
      <c r="BV1094" s="71">
        <f>IFERROR(__xludf.DUMMYFUNCTION("""COMPUTED_VALUE"""),449.15200000000004)</f>
        <v>449.152</v>
      </c>
    </row>
    <row r="1095">
      <c r="A1095" s="53"/>
      <c r="B1095" s="53"/>
      <c r="C1095" s="73" t="s">
        <v>12</v>
      </c>
      <c r="D1095" s="128" t="s">
        <v>2662</v>
      </c>
      <c r="E1095" s="54" t="s">
        <v>38</v>
      </c>
      <c r="F1095" s="54" t="s">
        <v>42</v>
      </c>
      <c r="G1095" s="130" t="s">
        <v>2663</v>
      </c>
      <c r="H1095" s="130" t="s">
        <v>2663</v>
      </c>
      <c r="I1095" s="54">
        <f t="shared" si="24"/>
        <v>36</v>
      </c>
      <c r="J1095" s="56"/>
      <c r="K1095" s="57"/>
      <c r="L1095" s="76"/>
      <c r="M1095" s="59"/>
      <c r="N1095" s="60">
        <v>3383.1000000000004</v>
      </c>
      <c r="O1095" s="129">
        <v>3653.0</v>
      </c>
      <c r="P1095" s="62">
        <v>5611.0</v>
      </c>
      <c r="Q1095" s="63">
        <v>5611.0</v>
      </c>
      <c r="R1095" s="64">
        <v>6640.0</v>
      </c>
      <c r="S1095" s="111">
        <v>6972.0</v>
      </c>
      <c r="T1095" s="65">
        <f t="shared" si="39"/>
        <v>1115.52</v>
      </c>
      <c r="U1095" s="65">
        <f t="shared" si="40"/>
        <v>8087.52</v>
      </c>
      <c r="V1095" s="66">
        <f t="shared" si="41"/>
        <v>0.05</v>
      </c>
      <c r="W1095" s="67">
        <f t="shared" si="5"/>
        <v>6623.4</v>
      </c>
      <c r="X1095" s="67">
        <f t="shared" si="6"/>
        <v>1059.744</v>
      </c>
      <c r="Y1095" s="67">
        <f t="shared" si="7"/>
        <v>7683.144</v>
      </c>
      <c r="Z1095" s="67">
        <f t="shared" si="8"/>
        <v>6274.8</v>
      </c>
      <c r="AA1095" s="67">
        <f t="shared" si="9"/>
        <v>1003.968</v>
      </c>
      <c r="AB1095" s="67">
        <f t="shared" si="10"/>
        <v>7278.768</v>
      </c>
      <c r="AC1095" s="67">
        <f t="shared" si="11"/>
        <v>5926.2</v>
      </c>
      <c r="AD1095" s="67">
        <f t="shared" si="12"/>
        <v>948.192</v>
      </c>
      <c r="AE1095" s="67">
        <f t="shared" si="13"/>
        <v>6874.392</v>
      </c>
      <c r="AF1095" s="67">
        <f t="shared" si="33"/>
        <v>5786.76</v>
      </c>
      <c r="AG1095" s="67">
        <f t="shared" si="15"/>
        <v>925.8816</v>
      </c>
      <c r="AH1095" s="67">
        <f t="shared" si="16"/>
        <v>6712.6416</v>
      </c>
      <c r="AI1095" s="67">
        <f t="shared" si="17"/>
        <v>5577.6</v>
      </c>
      <c r="AJ1095" s="68">
        <f t="shared" si="37"/>
        <v>892.416</v>
      </c>
      <c r="AK1095" s="68">
        <f t="shared" si="38"/>
        <v>6470.016</v>
      </c>
      <c r="AL1095" s="70">
        <f>IFERROR(__xludf.DUMMYFUNCTION("""COMPUTED_VALUE"""),1.0)</f>
        <v>1</v>
      </c>
      <c r="AM1095" s="70"/>
      <c r="AN1095" s="71" t="str">
        <f>IFERROR(__xludf.DUMMYFUNCTION("""COMPUTED_VALUE""")," P")</f>
        <v>P</v>
      </c>
      <c r="AO1095" s="71" t="str">
        <f>IFERROR(__xludf.DUMMYFUNCTION("""COMPUTED_VALUE""")," RO24")</f>
        <v>RO24</v>
      </c>
      <c r="AP1095" s="71" t="str">
        <f>IFERROR(__xludf.DUMMYFUNCTION("""COMPUTED_VALUE""")," PZA")</f>
        <v>PZA</v>
      </c>
      <c r="AQ1095" s="71" t="str">
        <f>IFERROR(__xludf.DUMMYFUNCTION("""COMPUTED_VALUE""")," REF")</f>
        <v>REF</v>
      </c>
      <c r="AR1095" s="71" t="str">
        <f>IFERROR(__xludf.DUMMYFUNCTION("""COMPUTED_VALUE""")," RODILLO PARA ENFRIADOR SIN PERNO SENCILLO")</f>
        <v>RODILLO PARA ENFRIADOR SIN PERNO SENCILLO</v>
      </c>
      <c r="AS1095" s="71" t="str">
        <f>IFERROR(__xludf.DUMMYFUNCTION("""COMPUTED_VALUE""")," RODILLO P/ENFRIADOR S/PERNO SENC")</f>
        <v>RODILLO P/ENFRIADOR S/PERNO SENC</v>
      </c>
      <c r="AT1095" s="71">
        <f>IFERROR(__xludf.DUMMYFUNCTION("""COMPUTED_VALUE"""),32.0)</f>
        <v>32</v>
      </c>
      <c r="AU1095" s="71"/>
      <c r="AV1095" s="71"/>
      <c r="AW1095" s="71"/>
      <c r="AX1095" s="71"/>
      <c r="AY1095" s="71">
        <f>IFERROR(__xludf.DUMMYFUNCTION("""COMPUTED_VALUE"""),231.0)</f>
        <v>231</v>
      </c>
      <c r="AZ1095" s="71">
        <f>IFERROR(__xludf.DUMMYFUNCTION("""COMPUTED_VALUE"""),249.0)</f>
        <v>249</v>
      </c>
      <c r="BA1095" s="71">
        <f>IFERROR(__xludf.DUMMYFUNCTION("""COMPUTED_VALUE"""),268.92)</f>
        <v>268.92</v>
      </c>
      <c r="BB1095" s="71">
        <f>IFERROR(__xludf.DUMMYFUNCTION("""COMPUTED_VALUE"""),268.92)</f>
        <v>268.92</v>
      </c>
      <c r="BC1095" s="71">
        <f>IFERROR(__xludf.DUMMYFUNCTION("""COMPUTED_VALUE"""),301.0)</f>
        <v>301</v>
      </c>
      <c r="BD1095" s="71">
        <f>IFERROR(__xludf.DUMMYFUNCTION("""COMPUTED_VALUE"""),316.0)</f>
        <v>316</v>
      </c>
      <c r="BE1095" s="71">
        <f>IFERROR(__xludf.DUMMYFUNCTION("""COMPUTED_VALUE"""),50.56)</f>
        <v>50.56</v>
      </c>
      <c r="BF1095" s="71">
        <f>IFERROR(__xludf.DUMMYFUNCTION("""COMPUTED_VALUE"""),366.56)</f>
        <v>366.56</v>
      </c>
      <c r="BG1095" s="71">
        <f>IFERROR(__xludf.DUMMYFUNCTION("""COMPUTED_VALUE"""),0.04983388704318937)</f>
        <v>0.04983388704</v>
      </c>
      <c r="BH1095" s="71">
        <f>IFERROR(__xludf.DUMMYFUNCTION("""COMPUTED_VALUE"""),300.2)</f>
        <v>300.2</v>
      </c>
      <c r="BI1095" s="71">
        <f>IFERROR(__xludf.DUMMYFUNCTION("""COMPUTED_VALUE"""),48.032)</f>
        <v>48.032</v>
      </c>
      <c r="BJ1095" s="71">
        <f>IFERROR(__xludf.DUMMYFUNCTION("""COMPUTED_VALUE"""),348.23199999999997)</f>
        <v>348.232</v>
      </c>
      <c r="BK1095" s="71">
        <f>IFERROR(__xludf.DUMMYFUNCTION("""COMPUTED_VALUE"""),284.40000000000003)</f>
        <v>284.4</v>
      </c>
      <c r="BL1095" s="71">
        <f>IFERROR(__xludf.DUMMYFUNCTION("""COMPUTED_VALUE"""),45.504000000000005)</f>
        <v>45.504</v>
      </c>
      <c r="BM1095" s="71">
        <f>IFERROR(__xludf.DUMMYFUNCTION("""COMPUTED_VALUE"""),329.90400000000005)</f>
        <v>329.904</v>
      </c>
      <c r="BN1095" s="71">
        <f>IFERROR(__xludf.DUMMYFUNCTION("""COMPUTED_VALUE"""),268.59999999999997)</f>
        <v>268.6</v>
      </c>
      <c r="BO1095" s="71">
        <f>IFERROR(__xludf.DUMMYFUNCTION("""COMPUTED_VALUE"""),42.97599999999999)</f>
        <v>42.976</v>
      </c>
      <c r="BP1095" s="71">
        <f>IFERROR(__xludf.DUMMYFUNCTION("""COMPUTED_VALUE"""),311.57599999999996)</f>
        <v>311.576</v>
      </c>
      <c r="BQ1095" s="71">
        <f>IFERROR(__xludf.DUMMYFUNCTION("""COMPUTED_VALUE"""),262.28)</f>
        <v>262.28</v>
      </c>
      <c r="BR1095" s="71">
        <f>IFERROR(__xludf.DUMMYFUNCTION("""COMPUTED_VALUE"""),41.9648)</f>
        <v>41.9648</v>
      </c>
      <c r="BS1095" s="71">
        <f>IFERROR(__xludf.DUMMYFUNCTION("""COMPUTED_VALUE"""),304.24479999999994)</f>
        <v>304.2448</v>
      </c>
      <c r="BT1095" s="71">
        <f>IFERROR(__xludf.DUMMYFUNCTION("""COMPUTED_VALUE"""),252.8)</f>
        <v>252.8</v>
      </c>
      <c r="BU1095" s="71">
        <f>IFERROR(__xludf.DUMMYFUNCTION("""COMPUTED_VALUE"""),40.448)</f>
        <v>40.448</v>
      </c>
      <c r="BV1095" s="71">
        <f>IFERROR(__xludf.DUMMYFUNCTION("""COMPUTED_VALUE"""),293.248)</f>
        <v>293.248</v>
      </c>
    </row>
    <row r="1096">
      <c r="A1096" s="53"/>
      <c r="B1096" s="53"/>
      <c r="C1096" s="53" t="s">
        <v>53</v>
      </c>
      <c r="D1096" s="53" t="s">
        <v>2664</v>
      </c>
      <c r="E1096" s="54" t="s">
        <v>38</v>
      </c>
      <c r="F1096" s="54" t="s">
        <v>42</v>
      </c>
      <c r="G1096" s="55" t="s">
        <v>2665</v>
      </c>
      <c r="H1096" s="54" t="s">
        <v>2665</v>
      </c>
      <c r="I1096" s="54">
        <f t="shared" si="24"/>
        <v>24</v>
      </c>
      <c r="J1096" s="56"/>
      <c r="K1096" s="57"/>
      <c r="L1096" s="76"/>
      <c r="M1096" s="59"/>
      <c r="N1096" s="79">
        <v>513.0</v>
      </c>
      <c r="O1096" s="61">
        <v>554.0</v>
      </c>
      <c r="P1096" s="63">
        <v>598.32</v>
      </c>
      <c r="Q1096" s="63">
        <v>598.32</v>
      </c>
      <c r="R1096" s="64">
        <v>628.0</v>
      </c>
      <c r="S1096" s="111">
        <v>659.0</v>
      </c>
      <c r="T1096" s="65">
        <f t="shared" si="39"/>
        <v>105.44</v>
      </c>
      <c r="U1096" s="65">
        <f t="shared" si="40"/>
        <v>764.44</v>
      </c>
      <c r="V1096" s="66">
        <f t="shared" si="41"/>
        <v>0.04936305732</v>
      </c>
      <c r="W1096" s="67">
        <f t="shared" si="5"/>
        <v>626.05</v>
      </c>
      <c r="X1096" s="67">
        <f t="shared" si="6"/>
        <v>100.168</v>
      </c>
      <c r="Y1096" s="67">
        <f t="shared" si="7"/>
        <v>726.218</v>
      </c>
      <c r="Z1096" s="67">
        <f t="shared" si="8"/>
        <v>593.1</v>
      </c>
      <c r="AA1096" s="67">
        <f t="shared" si="9"/>
        <v>94.896</v>
      </c>
      <c r="AB1096" s="67">
        <f t="shared" si="10"/>
        <v>687.996</v>
      </c>
      <c r="AC1096" s="67">
        <f t="shared" si="11"/>
        <v>560.15</v>
      </c>
      <c r="AD1096" s="67">
        <f t="shared" si="12"/>
        <v>89.624</v>
      </c>
      <c r="AE1096" s="67">
        <f t="shared" si="13"/>
        <v>649.774</v>
      </c>
      <c r="AF1096" s="67">
        <f t="shared" si="33"/>
        <v>546.97</v>
      </c>
      <c r="AG1096" s="67">
        <f t="shared" si="15"/>
        <v>87.5152</v>
      </c>
      <c r="AH1096" s="67">
        <f t="shared" si="16"/>
        <v>634.4852</v>
      </c>
      <c r="AI1096" s="67">
        <f t="shared" si="17"/>
        <v>527.2</v>
      </c>
      <c r="AJ1096" s="68">
        <f t="shared" si="37"/>
        <v>84.352</v>
      </c>
      <c r="AK1096" s="68">
        <f t="shared" si="38"/>
        <v>611.552</v>
      </c>
      <c r="AL1096" s="70">
        <f>IFERROR(__xludf.DUMMYFUNCTION("""COMPUTED_VALUE"""),1.0)</f>
        <v>1</v>
      </c>
      <c r="AM1096" s="70"/>
      <c r="AN1096" s="71" t="str">
        <f>IFERROR(__xludf.DUMMYFUNCTION("""COMPUTED_VALUE""")," P")</f>
        <v>P</v>
      </c>
      <c r="AO1096" s="71" t="str">
        <f>IFERROR(__xludf.DUMMYFUNCTION("""COMPUTED_VALUE""")," RO25")</f>
        <v>RO25</v>
      </c>
      <c r="AP1096" s="71" t="str">
        <f>IFERROR(__xludf.DUMMYFUNCTION("""COMPUTED_VALUE""")," PZA")</f>
        <v>PZA</v>
      </c>
      <c r="AQ1096" s="71" t="str">
        <f>IFERROR(__xludf.DUMMYFUNCTION("""COMPUTED_VALUE""")," REF")</f>
        <v>REF</v>
      </c>
      <c r="AR1096" s="71" t="str">
        <f>IFERROR(__xludf.DUMMYFUNCTION("""COMPUTED_VALUE""")," RODILLO PARA TRANSPORTADOR CON PERNO SENCILLO")</f>
        <v>RODILLO PARA TRANSPORTADOR CON PERNO SENCILLO</v>
      </c>
      <c r="AS1096" s="71" t="str">
        <f>IFERROR(__xludf.DUMMYFUNCTION("""COMPUTED_VALUE""")," RODILLO P/TRANSPORTADOR C/PERNO SENC")</f>
        <v>RODILLO P/TRANSPORTADOR C/PERNO SENC</v>
      </c>
      <c r="AT1096" s="71">
        <f>IFERROR(__xludf.DUMMYFUNCTION("""COMPUTED_VALUE"""),36.0)</f>
        <v>36</v>
      </c>
      <c r="AU1096" s="71"/>
      <c r="AV1096" s="71"/>
      <c r="AW1096" s="71"/>
      <c r="AX1096" s="71"/>
      <c r="AY1096" s="71">
        <f>IFERROR(__xludf.DUMMYFUNCTION("""COMPUTED_VALUE"""),297.0)</f>
        <v>297</v>
      </c>
      <c r="AZ1096" s="71">
        <f>IFERROR(__xludf.DUMMYFUNCTION("""COMPUTED_VALUE"""),320.0)</f>
        <v>320</v>
      </c>
      <c r="BA1096" s="71">
        <f>IFERROR(__xludf.DUMMYFUNCTION("""COMPUTED_VALUE"""),345.6)</f>
        <v>345.6</v>
      </c>
      <c r="BB1096" s="71">
        <f>IFERROR(__xludf.DUMMYFUNCTION("""COMPUTED_VALUE"""),345.6)</f>
        <v>345.6</v>
      </c>
      <c r="BC1096" s="71">
        <f>IFERROR(__xludf.DUMMYFUNCTION("""COMPUTED_VALUE"""),386.0)</f>
        <v>386</v>
      </c>
      <c r="BD1096" s="71">
        <f>IFERROR(__xludf.DUMMYFUNCTION("""COMPUTED_VALUE"""),405.0)</f>
        <v>405</v>
      </c>
      <c r="BE1096" s="71">
        <f>IFERROR(__xludf.DUMMYFUNCTION("""COMPUTED_VALUE"""),64.8)</f>
        <v>64.8</v>
      </c>
      <c r="BF1096" s="71">
        <f>IFERROR(__xludf.DUMMYFUNCTION("""COMPUTED_VALUE"""),469.8)</f>
        <v>469.8</v>
      </c>
      <c r="BG1096" s="71">
        <f>IFERROR(__xludf.DUMMYFUNCTION("""COMPUTED_VALUE"""),0.04922279792746114)</f>
        <v>0.04922279793</v>
      </c>
      <c r="BH1096" s="71">
        <f>IFERROR(__xludf.DUMMYFUNCTION("""COMPUTED_VALUE"""),384.75)</f>
        <v>384.75</v>
      </c>
      <c r="BI1096" s="71">
        <f>IFERROR(__xludf.DUMMYFUNCTION("""COMPUTED_VALUE"""),61.56)</f>
        <v>61.56</v>
      </c>
      <c r="BJ1096" s="71">
        <f>IFERROR(__xludf.DUMMYFUNCTION("""COMPUTED_VALUE"""),446.31)</f>
        <v>446.31</v>
      </c>
      <c r="BK1096" s="71">
        <f>IFERROR(__xludf.DUMMYFUNCTION("""COMPUTED_VALUE"""),364.5)</f>
        <v>364.5</v>
      </c>
      <c r="BL1096" s="71">
        <f>IFERROR(__xludf.DUMMYFUNCTION("""COMPUTED_VALUE"""),58.32)</f>
        <v>58.32</v>
      </c>
      <c r="BM1096" s="71">
        <f>IFERROR(__xludf.DUMMYFUNCTION("""COMPUTED_VALUE"""),422.82)</f>
        <v>422.82</v>
      </c>
      <c r="BN1096" s="71">
        <f>IFERROR(__xludf.DUMMYFUNCTION("""COMPUTED_VALUE"""),344.25)</f>
        <v>344.25</v>
      </c>
      <c r="BO1096" s="71">
        <f>IFERROR(__xludf.DUMMYFUNCTION("""COMPUTED_VALUE"""),55.08)</f>
        <v>55.08</v>
      </c>
      <c r="BP1096" s="71">
        <f>IFERROR(__xludf.DUMMYFUNCTION("""COMPUTED_VALUE"""),399.33)</f>
        <v>399.33</v>
      </c>
      <c r="BQ1096" s="71">
        <f>IFERROR(__xludf.DUMMYFUNCTION("""COMPUTED_VALUE"""),336.15)</f>
        <v>336.15</v>
      </c>
      <c r="BR1096" s="71">
        <f>IFERROR(__xludf.DUMMYFUNCTION("""COMPUTED_VALUE"""),53.784)</f>
        <v>53.784</v>
      </c>
      <c r="BS1096" s="71">
        <f>IFERROR(__xludf.DUMMYFUNCTION("""COMPUTED_VALUE"""),389.93399999999997)</f>
        <v>389.934</v>
      </c>
      <c r="BT1096" s="71">
        <f>IFERROR(__xludf.DUMMYFUNCTION("""COMPUTED_VALUE"""),324.0)</f>
        <v>324</v>
      </c>
      <c r="BU1096" s="71">
        <f>IFERROR(__xludf.DUMMYFUNCTION("""COMPUTED_VALUE"""),51.84)</f>
        <v>51.84</v>
      </c>
      <c r="BV1096" s="71">
        <f>IFERROR(__xludf.DUMMYFUNCTION("""COMPUTED_VALUE"""),375.84000000000003)</f>
        <v>375.84</v>
      </c>
    </row>
    <row r="1097">
      <c r="A1097" s="53"/>
      <c r="B1097" s="53"/>
      <c r="C1097" s="53" t="s">
        <v>36</v>
      </c>
      <c r="D1097" s="85" t="s">
        <v>2666</v>
      </c>
      <c r="E1097" s="54" t="s">
        <v>38</v>
      </c>
      <c r="F1097" s="55" t="s">
        <v>39</v>
      </c>
      <c r="G1097" s="86" t="s">
        <v>2667</v>
      </c>
      <c r="H1097" s="55"/>
      <c r="I1097" s="54">
        <f t="shared" si="24"/>
        <v>0</v>
      </c>
      <c r="J1097" s="56"/>
      <c r="K1097" s="57"/>
      <c r="L1097" s="76"/>
      <c r="M1097" s="59"/>
      <c r="N1097" s="60"/>
      <c r="O1097" s="61">
        <v>2150.4</v>
      </c>
      <c r="P1097" s="62">
        <v>2322.4320000000002</v>
      </c>
      <c r="Q1097" s="63">
        <v>2322.4320000000002</v>
      </c>
      <c r="R1097" s="64">
        <v>2439.0</v>
      </c>
      <c r="S1097" s="107">
        <v>2561.0</v>
      </c>
      <c r="T1097" s="65">
        <f t="shared" si="39"/>
        <v>409.76</v>
      </c>
      <c r="U1097" s="65">
        <f t="shared" si="40"/>
        <v>2970.76</v>
      </c>
      <c r="V1097" s="66">
        <f t="shared" si="41"/>
        <v>0.05002050021</v>
      </c>
      <c r="W1097" s="67">
        <f t="shared" si="5"/>
        <v>2432.95</v>
      </c>
      <c r="X1097" s="67">
        <f t="shared" si="6"/>
        <v>389.272</v>
      </c>
      <c r="Y1097" s="67">
        <f t="shared" si="7"/>
        <v>2822.222</v>
      </c>
      <c r="Z1097" s="67">
        <f t="shared" si="8"/>
        <v>2304.9</v>
      </c>
      <c r="AA1097" s="67">
        <f t="shared" si="9"/>
        <v>368.784</v>
      </c>
      <c r="AB1097" s="67">
        <f t="shared" si="10"/>
        <v>2673.684</v>
      </c>
      <c r="AC1097" s="67">
        <f t="shared" si="11"/>
        <v>2176.85</v>
      </c>
      <c r="AD1097" s="67">
        <f t="shared" si="12"/>
        <v>348.296</v>
      </c>
      <c r="AE1097" s="67">
        <f t="shared" si="13"/>
        <v>2525.146</v>
      </c>
      <c r="AF1097" s="67">
        <f t="shared" si="33"/>
        <v>2125.63</v>
      </c>
      <c r="AG1097" s="67">
        <f t="shared" si="15"/>
        <v>340.1008</v>
      </c>
      <c r="AH1097" s="67">
        <f t="shared" si="16"/>
        <v>2465.7308</v>
      </c>
      <c r="AI1097" s="67">
        <f t="shared" si="17"/>
        <v>2048.8</v>
      </c>
      <c r="AJ1097" s="68">
        <f t="shared" si="37"/>
        <v>327.808</v>
      </c>
      <c r="AK1097" s="68">
        <f t="shared" si="38"/>
        <v>2376.608</v>
      </c>
      <c r="AL1097" s="70">
        <f>IFERROR(__xludf.DUMMYFUNCTION("""COMPUTED_VALUE"""),1.0)</f>
        <v>1</v>
      </c>
      <c r="AM1097" s="70"/>
      <c r="AN1097" s="71" t="str">
        <f>IFERROR(__xludf.DUMMYFUNCTION("""COMPUTED_VALUE""")," P")</f>
        <v>P</v>
      </c>
      <c r="AO1097" s="71" t="str">
        <f>IFERROR(__xludf.DUMMYFUNCTION("""COMPUTED_VALUE""")," RO26")</f>
        <v>RO26</v>
      </c>
      <c r="AP1097" s="71" t="str">
        <f>IFERROR(__xludf.DUMMYFUNCTION("""COMPUTED_VALUE""")," PZA")</f>
        <v>PZA</v>
      </c>
      <c r="AQ1097" s="71" t="str">
        <f>IFERROR(__xludf.DUMMYFUNCTION("""COMPUTED_VALUE""")," REF")</f>
        <v>REF</v>
      </c>
      <c r="AR1097" s="71" t="str">
        <f>IFERROR(__xludf.DUMMYFUNCTION("""COMPUTED_VALUE""")," RODILLO PARA TRANSPORTADOR SIN PERNO SENCILLO")</f>
        <v>RODILLO PARA TRANSPORTADOR SIN PERNO SENCILLO</v>
      </c>
      <c r="AS1097" s="71" t="str">
        <f>IFERROR(__xludf.DUMMYFUNCTION("""COMPUTED_VALUE""")," RODILLO P/TRANSPORTADOR S/PERNO SENC")</f>
        <v>RODILLO P/TRANSPORTADOR S/PERNO SENC</v>
      </c>
      <c r="AT1097" s="71">
        <f>IFERROR(__xludf.DUMMYFUNCTION("""COMPUTED_VALUE"""),36.0)</f>
        <v>36</v>
      </c>
      <c r="AU1097" s="71"/>
      <c r="AV1097" s="71"/>
      <c r="AW1097" s="71"/>
      <c r="AX1097" s="71"/>
      <c r="AY1097" s="71">
        <f>IFERROR(__xludf.DUMMYFUNCTION("""COMPUTED_VALUE"""),297.0)</f>
        <v>297</v>
      </c>
      <c r="AZ1097" s="71">
        <f>IFERROR(__xludf.DUMMYFUNCTION("""COMPUTED_VALUE"""),320.0)</f>
        <v>320</v>
      </c>
      <c r="BA1097" s="71">
        <f>IFERROR(__xludf.DUMMYFUNCTION("""COMPUTED_VALUE"""),345.6)</f>
        <v>345.6</v>
      </c>
      <c r="BB1097" s="71">
        <f>IFERROR(__xludf.DUMMYFUNCTION("""COMPUTED_VALUE"""),345.6)</f>
        <v>345.6</v>
      </c>
      <c r="BC1097" s="71">
        <f>IFERROR(__xludf.DUMMYFUNCTION("""COMPUTED_VALUE"""),386.0)</f>
        <v>386</v>
      </c>
      <c r="BD1097" s="71">
        <f>IFERROR(__xludf.DUMMYFUNCTION("""COMPUTED_VALUE"""),405.0)</f>
        <v>405</v>
      </c>
      <c r="BE1097" s="71">
        <f>IFERROR(__xludf.DUMMYFUNCTION("""COMPUTED_VALUE"""),64.8)</f>
        <v>64.8</v>
      </c>
      <c r="BF1097" s="71">
        <f>IFERROR(__xludf.DUMMYFUNCTION("""COMPUTED_VALUE"""),469.8)</f>
        <v>469.8</v>
      </c>
      <c r="BG1097" s="71">
        <f>IFERROR(__xludf.DUMMYFUNCTION("""COMPUTED_VALUE"""),0.04922279792746114)</f>
        <v>0.04922279793</v>
      </c>
      <c r="BH1097" s="71">
        <f>IFERROR(__xludf.DUMMYFUNCTION("""COMPUTED_VALUE"""),384.75)</f>
        <v>384.75</v>
      </c>
      <c r="BI1097" s="71">
        <f>IFERROR(__xludf.DUMMYFUNCTION("""COMPUTED_VALUE"""),61.56)</f>
        <v>61.56</v>
      </c>
      <c r="BJ1097" s="71">
        <f>IFERROR(__xludf.DUMMYFUNCTION("""COMPUTED_VALUE"""),446.31)</f>
        <v>446.31</v>
      </c>
      <c r="BK1097" s="71">
        <f>IFERROR(__xludf.DUMMYFUNCTION("""COMPUTED_VALUE"""),364.5)</f>
        <v>364.5</v>
      </c>
      <c r="BL1097" s="71">
        <f>IFERROR(__xludf.DUMMYFUNCTION("""COMPUTED_VALUE"""),58.32)</f>
        <v>58.32</v>
      </c>
      <c r="BM1097" s="71">
        <f>IFERROR(__xludf.DUMMYFUNCTION("""COMPUTED_VALUE"""),422.82)</f>
        <v>422.82</v>
      </c>
      <c r="BN1097" s="71">
        <f>IFERROR(__xludf.DUMMYFUNCTION("""COMPUTED_VALUE"""),344.25)</f>
        <v>344.25</v>
      </c>
      <c r="BO1097" s="71">
        <f>IFERROR(__xludf.DUMMYFUNCTION("""COMPUTED_VALUE"""),55.08)</f>
        <v>55.08</v>
      </c>
      <c r="BP1097" s="71">
        <f>IFERROR(__xludf.DUMMYFUNCTION("""COMPUTED_VALUE"""),399.33)</f>
        <v>399.33</v>
      </c>
      <c r="BQ1097" s="71">
        <f>IFERROR(__xludf.DUMMYFUNCTION("""COMPUTED_VALUE"""),336.15)</f>
        <v>336.15</v>
      </c>
      <c r="BR1097" s="71">
        <f>IFERROR(__xludf.DUMMYFUNCTION("""COMPUTED_VALUE"""),53.784)</f>
        <v>53.784</v>
      </c>
      <c r="BS1097" s="71">
        <f>IFERROR(__xludf.DUMMYFUNCTION("""COMPUTED_VALUE"""),389.93399999999997)</f>
        <v>389.934</v>
      </c>
      <c r="BT1097" s="71">
        <f>IFERROR(__xludf.DUMMYFUNCTION("""COMPUTED_VALUE"""),324.0)</f>
        <v>324</v>
      </c>
      <c r="BU1097" s="71">
        <f>IFERROR(__xludf.DUMMYFUNCTION("""COMPUTED_VALUE"""),51.84)</f>
        <v>51.84</v>
      </c>
      <c r="BV1097" s="71">
        <f>IFERROR(__xludf.DUMMYFUNCTION("""COMPUTED_VALUE"""),375.84000000000003)</f>
        <v>375.84</v>
      </c>
    </row>
    <row r="1098">
      <c r="A1098" s="53"/>
      <c r="B1098" s="53"/>
      <c r="C1098" s="53"/>
      <c r="D1098" s="53" t="s">
        <v>2668</v>
      </c>
      <c r="E1098" s="55" t="s">
        <v>38</v>
      </c>
      <c r="F1098" s="89"/>
      <c r="G1098" s="84" t="s">
        <v>2669</v>
      </c>
      <c r="H1098" s="55"/>
      <c r="I1098" s="54">
        <f t="shared" si="24"/>
        <v>0</v>
      </c>
      <c r="J1098" s="56"/>
      <c r="K1098" s="57"/>
      <c r="L1098" s="55"/>
      <c r="M1098" s="59"/>
      <c r="N1098" s="60"/>
      <c r="O1098" s="90"/>
      <c r="P1098" s="62">
        <v>2856.0</v>
      </c>
      <c r="Q1098" s="63">
        <v>2856.0</v>
      </c>
      <c r="R1098" s="64">
        <v>3149.0</v>
      </c>
      <c r="S1098" s="111">
        <v>3306.0</v>
      </c>
      <c r="T1098" s="65">
        <f t="shared" si="39"/>
        <v>528.96</v>
      </c>
      <c r="U1098" s="65">
        <f t="shared" si="40"/>
        <v>3834.96</v>
      </c>
      <c r="V1098" s="66">
        <f t="shared" si="41"/>
        <v>0.04985709749</v>
      </c>
      <c r="W1098" s="67">
        <f t="shared" si="5"/>
        <v>3140.7</v>
      </c>
      <c r="X1098" s="67">
        <f t="shared" si="6"/>
        <v>502.512</v>
      </c>
      <c r="Y1098" s="67">
        <f t="shared" si="7"/>
        <v>3643.212</v>
      </c>
      <c r="Z1098" s="67">
        <f t="shared" si="8"/>
        <v>2975.4</v>
      </c>
      <c r="AA1098" s="67">
        <f t="shared" si="9"/>
        <v>476.064</v>
      </c>
      <c r="AB1098" s="67">
        <f t="shared" si="10"/>
        <v>3451.464</v>
      </c>
      <c r="AC1098" s="67">
        <f t="shared" si="11"/>
        <v>2810.1</v>
      </c>
      <c r="AD1098" s="67">
        <f t="shared" si="12"/>
        <v>449.616</v>
      </c>
      <c r="AE1098" s="67">
        <f t="shared" si="13"/>
        <v>3259.716</v>
      </c>
      <c r="AF1098" s="67">
        <f t="shared" si="33"/>
        <v>2743.98</v>
      </c>
      <c r="AG1098" s="67">
        <f t="shared" si="15"/>
        <v>439.0368</v>
      </c>
      <c r="AH1098" s="67">
        <f t="shared" si="16"/>
        <v>3183.0168</v>
      </c>
      <c r="AI1098" s="67">
        <f t="shared" si="17"/>
        <v>2644.8</v>
      </c>
      <c r="AJ1098" s="68">
        <f t="shared" si="37"/>
        <v>423.168</v>
      </c>
      <c r="AK1098" s="68">
        <f t="shared" si="38"/>
        <v>3067.968</v>
      </c>
      <c r="AL1098" s="70">
        <f>IFERROR(__xludf.DUMMYFUNCTION("""COMPUTED_VALUE"""),1.0)</f>
        <v>1</v>
      </c>
      <c r="AM1098" s="70"/>
      <c r="AN1098" s="71" t="str">
        <f>IFERROR(__xludf.DUMMYFUNCTION("""COMPUTED_VALUE""")," P")</f>
        <v>P</v>
      </c>
      <c r="AO1098" s="71" t="str">
        <f>IFERROR(__xludf.DUMMYFUNCTION("""COMPUTED_VALUE""")," RO27")</f>
        <v>RO27</v>
      </c>
      <c r="AP1098" s="71" t="str">
        <f>IFERROR(__xludf.DUMMYFUNCTION("""COMPUTED_VALUE""")," PZA")</f>
        <v>PZA</v>
      </c>
      <c r="AQ1098" s="71" t="str">
        <f>IFERROR(__xludf.DUMMYFUNCTION("""COMPUTED_VALUE""")," REF")</f>
        <v>REF</v>
      </c>
      <c r="AR1098" s="71" t="str">
        <f>IFERROR(__xludf.DUMMYFUNCTION("""COMPUTED_VALUE""")," RODILLO SIN CUBIERTA DE HULE PARA MALLA COLUMPIO SENCILLO")</f>
        <v>RODILLO SIN CUBIERTA DE HULE PARA MALLA COLUMPIO SENCILLO</v>
      </c>
      <c r="AS1098" s="71" t="str">
        <f>IFERROR(__xludf.DUMMYFUNCTION("""COMPUTED_VALUE""")," RODILLO S/CUBIERTA HULE P/MALLA COL SENC")</f>
        <v>RODILLO S/CUBIERTA HULE P/MALLA COL SENC</v>
      </c>
      <c r="AT1098" s="71">
        <f>IFERROR(__xludf.DUMMYFUNCTION("""COMPUTED_VALUE"""),40.0)</f>
        <v>40</v>
      </c>
      <c r="AU1098" s="71"/>
      <c r="AV1098" s="71"/>
      <c r="AW1098" s="71"/>
      <c r="AX1098" s="71"/>
      <c r="AY1098" s="71">
        <f>IFERROR(__xludf.DUMMYFUNCTION("""COMPUTED_VALUE"""),351.0)</f>
        <v>351</v>
      </c>
      <c r="AZ1098" s="71">
        <f>IFERROR(__xludf.DUMMYFUNCTION("""COMPUTED_VALUE"""),379.0)</f>
        <v>379</v>
      </c>
      <c r="BA1098" s="71">
        <f>IFERROR(__xludf.DUMMYFUNCTION("""COMPUTED_VALUE"""),409.32000000000005)</f>
        <v>409.32</v>
      </c>
      <c r="BB1098" s="71">
        <f>IFERROR(__xludf.DUMMYFUNCTION("""COMPUTED_VALUE"""),409.32000000000005)</f>
        <v>409.32</v>
      </c>
      <c r="BC1098" s="71">
        <f>IFERROR(__xludf.DUMMYFUNCTION("""COMPUTED_VALUE"""),456.0)</f>
        <v>456</v>
      </c>
      <c r="BD1098" s="71">
        <f>IFERROR(__xludf.DUMMYFUNCTION("""COMPUTED_VALUE"""),479.0)</f>
        <v>479</v>
      </c>
      <c r="BE1098" s="71">
        <f>IFERROR(__xludf.DUMMYFUNCTION("""COMPUTED_VALUE"""),76.64)</f>
        <v>76.64</v>
      </c>
      <c r="BF1098" s="71">
        <f>IFERROR(__xludf.DUMMYFUNCTION("""COMPUTED_VALUE"""),555.64)</f>
        <v>555.64</v>
      </c>
      <c r="BG1098" s="71">
        <f>IFERROR(__xludf.DUMMYFUNCTION("""COMPUTED_VALUE"""),0.05043859649122807)</f>
        <v>0.05043859649</v>
      </c>
      <c r="BH1098" s="71">
        <f>IFERROR(__xludf.DUMMYFUNCTION("""COMPUTED_VALUE"""),455.04999999999995)</f>
        <v>455.05</v>
      </c>
      <c r="BI1098" s="71">
        <f>IFERROR(__xludf.DUMMYFUNCTION("""COMPUTED_VALUE"""),72.80799999999999)</f>
        <v>72.808</v>
      </c>
      <c r="BJ1098" s="71">
        <f>IFERROR(__xludf.DUMMYFUNCTION("""COMPUTED_VALUE"""),527.858)</f>
        <v>527.858</v>
      </c>
      <c r="BK1098" s="71">
        <f>IFERROR(__xludf.DUMMYFUNCTION("""COMPUTED_VALUE"""),431.1)</f>
        <v>431.1</v>
      </c>
      <c r="BL1098" s="71">
        <f>IFERROR(__xludf.DUMMYFUNCTION("""COMPUTED_VALUE"""),68.976)</f>
        <v>68.976</v>
      </c>
      <c r="BM1098" s="71">
        <f>IFERROR(__xludf.DUMMYFUNCTION("""COMPUTED_VALUE"""),500.076)</f>
        <v>500.076</v>
      </c>
      <c r="BN1098" s="71">
        <f>IFERROR(__xludf.DUMMYFUNCTION("""COMPUTED_VALUE"""),407.15)</f>
        <v>407.15</v>
      </c>
      <c r="BO1098" s="71">
        <f>IFERROR(__xludf.DUMMYFUNCTION("""COMPUTED_VALUE"""),65.14399999999999)</f>
        <v>65.144</v>
      </c>
      <c r="BP1098" s="71">
        <f>IFERROR(__xludf.DUMMYFUNCTION("""COMPUTED_VALUE"""),472.294)</f>
        <v>472.294</v>
      </c>
      <c r="BQ1098" s="71">
        <f>IFERROR(__xludf.DUMMYFUNCTION("""COMPUTED_VALUE"""),397.57)</f>
        <v>397.57</v>
      </c>
      <c r="BR1098" s="71">
        <f>IFERROR(__xludf.DUMMYFUNCTION("""COMPUTED_VALUE"""),63.611200000000004)</f>
        <v>63.6112</v>
      </c>
      <c r="BS1098" s="71">
        <f>IFERROR(__xludf.DUMMYFUNCTION("""COMPUTED_VALUE"""),461.1812)</f>
        <v>461.1812</v>
      </c>
      <c r="BT1098" s="71">
        <f>IFERROR(__xludf.DUMMYFUNCTION("""COMPUTED_VALUE"""),383.20000000000005)</f>
        <v>383.2</v>
      </c>
      <c r="BU1098" s="71">
        <f>IFERROR(__xludf.DUMMYFUNCTION("""COMPUTED_VALUE"""),61.31200000000001)</f>
        <v>61.312</v>
      </c>
      <c r="BV1098" s="71">
        <f>IFERROR(__xludf.DUMMYFUNCTION("""COMPUTED_VALUE"""),444.51200000000006)</f>
        <v>444.512</v>
      </c>
    </row>
    <row r="1099">
      <c r="A1099" s="53"/>
      <c r="B1099" s="53"/>
      <c r="C1099" s="53" t="s">
        <v>53</v>
      </c>
      <c r="D1099" s="53" t="s">
        <v>2670</v>
      </c>
      <c r="E1099" s="54" t="s">
        <v>38</v>
      </c>
      <c r="F1099" s="54" t="s">
        <v>42</v>
      </c>
      <c r="G1099" s="55" t="s">
        <v>2671</v>
      </c>
      <c r="H1099" s="55" t="s">
        <v>2671</v>
      </c>
      <c r="I1099" s="54">
        <f t="shared" si="24"/>
        <v>37</v>
      </c>
      <c r="J1099" s="56"/>
      <c r="K1099" s="75"/>
      <c r="L1099" s="76"/>
      <c r="M1099" s="59"/>
      <c r="N1099" s="60"/>
      <c r="O1099" s="61">
        <v>2070.0</v>
      </c>
      <c r="P1099" s="62">
        <v>2235.6000000000004</v>
      </c>
      <c r="Q1099" s="63">
        <v>2235.6000000000004</v>
      </c>
      <c r="R1099" s="64">
        <v>2348.0</v>
      </c>
      <c r="S1099" s="111">
        <v>2465.0</v>
      </c>
      <c r="T1099" s="65">
        <f t="shared" si="39"/>
        <v>394.4</v>
      </c>
      <c r="U1099" s="65">
        <f t="shared" si="40"/>
        <v>2859.4</v>
      </c>
      <c r="V1099" s="66">
        <f t="shared" si="41"/>
        <v>0.04982964225</v>
      </c>
      <c r="W1099" s="67">
        <f t="shared" si="5"/>
        <v>2341.75</v>
      </c>
      <c r="X1099" s="67">
        <f t="shared" si="6"/>
        <v>374.68</v>
      </c>
      <c r="Y1099" s="67">
        <f t="shared" si="7"/>
        <v>2716.43</v>
      </c>
      <c r="Z1099" s="67">
        <f t="shared" si="8"/>
        <v>2218.5</v>
      </c>
      <c r="AA1099" s="67">
        <f t="shared" si="9"/>
        <v>354.96</v>
      </c>
      <c r="AB1099" s="67">
        <f t="shared" si="10"/>
        <v>2573.46</v>
      </c>
      <c r="AC1099" s="67">
        <f t="shared" si="11"/>
        <v>2095.25</v>
      </c>
      <c r="AD1099" s="67">
        <f t="shared" si="12"/>
        <v>335.24</v>
      </c>
      <c r="AE1099" s="67">
        <f t="shared" si="13"/>
        <v>2430.49</v>
      </c>
      <c r="AF1099" s="67">
        <f t="shared" si="33"/>
        <v>2045.95</v>
      </c>
      <c r="AG1099" s="67">
        <f t="shared" si="15"/>
        <v>327.352</v>
      </c>
      <c r="AH1099" s="67">
        <f t="shared" si="16"/>
        <v>2373.302</v>
      </c>
      <c r="AI1099" s="67">
        <f t="shared" si="17"/>
        <v>1972</v>
      </c>
      <c r="AJ1099" s="68">
        <f t="shared" si="37"/>
        <v>315.52</v>
      </c>
      <c r="AK1099" s="68">
        <f t="shared" si="38"/>
        <v>2287.52</v>
      </c>
      <c r="AL1099" s="70">
        <f>IFERROR(__xludf.DUMMYFUNCTION("""COMPUTED_VALUE"""),1.0)</f>
        <v>1</v>
      </c>
      <c r="AM1099" s="70"/>
      <c r="AN1099" s="71" t="str">
        <f>IFERROR(__xludf.DUMMYFUNCTION("""COMPUTED_VALUE""")," C")</f>
        <v>C</v>
      </c>
      <c r="AO1099" s="71" t="str">
        <f>IFERROR(__xludf.DUMMYFUNCTION("""COMPUTED_VALUE""")," RL01")</f>
        <v>RL01</v>
      </c>
      <c r="AP1099" s="71" t="str">
        <f>IFERROR(__xludf.DUMMYFUNCTION("""COMPUTED_VALUE""")," PZA")</f>
        <v>PZA</v>
      </c>
      <c r="AQ1099" s="71" t="str">
        <f>IFERROR(__xludf.DUMMYFUNCTION("""COMPUTED_VALUE""")," REF")</f>
        <v>REF</v>
      </c>
      <c r="AR1099" s="71" t="str">
        <f>IFERROR(__xludf.DUMMYFUNCTION("""COMPUTED_VALUE""")," ROLLO DE ALAMBRE PARA MÁQUINAS DE RODILLOS")</f>
        <v>ROLLO DE ALAMBRE PARA MÁQUINAS DE RODILLOS</v>
      </c>
      <c r="AS1099" s="71" t="str">
        <f>IFERROR(__xludf.DUMMYFUNCTION("""COMPUTED_VALUE""")," ROLLO ALAMBRE P/MAQ RODILLOS")</f>
        <v>ROLLO ALAMBRE P/MAQ RODILLOS</v>
      </c>
      <c r="AT1099" s="71">
        <f>IFERROR(__xludf.DUMMYFUNCTION("""COMPUTED_VALUE"""),28.0)</f>
        <v>28</v>
      </c>
      <c r="AU1099" s="71"/>
      <c r="AV1099" s="71"/>
      <c r="AW1099" s="71"/>
      <c r="AX1099" s="71"/>
      <c r="AY1099" s="71">
        <f>IFERROR(__xludf.DUMMYFUNCTION("""COMPUTED_VALUE"""),49.0)</f>
        <v>49</v>
      </c>
      <c r="AZ1099" s="71">
        <f>IFERROR(__xludf.DUMMYFUNCTION("""COMPUTED_VALUE"""),52.0)</f>
        <v>52</v>
      </c>
      <c r="BA1099" s="71">
        <f>IFERROR(__xludf.DUMMYFUNCTION("""COMPUTED_VALUE"""),56.160000000000004)</f>
        <v>56.16</v>
      </c>
      <c r="BB1099" s="71">
        <f>IFERROR(__xludf.DUMMYFUNCTION("""COMPUTED_VALUE"""),56.160000000000004)</f>
        <v>56.16</v>
      </c>
      <c r="BC1099" s="71">
        <f>IFERROR(__xludf.DUMMYFUNCTION("""COMPUTED_VALUE"""),63.0)</f>
        <v>63</v>
      </c>
      <c r="BD1099" s="71">
        <f>IFERROR(__xludf.DUMMYFUNCTION("""COMPUTED_VALUE"""),66.0)</f>
        <v>66</v>
      </c>
      <c r="BE1099" s="71">
        <f>IFERROR(__xludf.DUMMYFUNCTION("""COMPUTED_VALUE"""),10.56)</f>
        <v>10.56</v>
      </c>
      <c r="BF1099" s="71">
        <f>IFERROR(__xludf.DUMMYFUNCTION("""COMPUTED_VALUE"""),76.56)</f>
        <v>76.56</v>
      </c>
      <c r="BG1099" s="71">
        <f>IFERROR(__xludf.DUMMYFUNCTION("""COMPUTED_VALUE"""),0.047619047619047616)</f>
        <v>0.04761904762</v>
      </c>
      <c r="BH1099" s="71">
        <f>IFERROR(__xludf.DUMMYFUNCTION("""COMPUTED_VALUE"""),62.699999999999996)</f>
        <v>62.7</v>
      </c>
      <c r="BI1099" s="71">
        <f>IFERROR(__xludf.DUMMYFUNCTION("""COMPUTED_VALUE"""),10.032)</f>
        <v>10.032</v>
      </c>
      <c r="BJ1099" s="71">
        <f>IFERROR(__xludf.DUMMYFUNCTION("""COMPUTED_VALUE"""),72.732)</f>
        <v>72.732</v>
      </c>
      <c r="BK1099" s="71">
        <f>IFERROR(__xludf.DUMMYFUNCTION("""COMPUTED_VALUE"""),59.4)</f>
        <v>59.4</v>
      </c>
      <c r="BL1099" s="71">
        <f>IFERROR(__xludf.DUMMYFUNCTION("""COMPUTED_VALUE"""),9.504)</f>
        <v>9.504</v>
      </c>
      <c r="BM1099" s="71">
        <f>IFERROR(__xludf.DUMMYFUNCTION("""COMPUTED_VALUE"""),68.904)</f>
        <v>68.904</v>
      </c>
      <c r="BN1099" s="71">
        <f>IFERROR(__xludf.DUMMYFUNCTION("""COMPUTED_VALUE"""),56.1)</f>
        <v>56.1</v>
      </c>
      <c r="BO1099" s="71">
        <f>IFERROR(__xludf.DUMMYFUNCTION("""COMPUTED_VALUE"""),8.976)</f>
        <v>8.976</v>
      </c>
      <c r="BP1099" s="71">
        <f>IFERROR(__xludf.DUMMYFUNCTION("""COMPUTED_VALUE"""),65.07600000000001)</f>
        <v>65.076</v>
      </c>
      <c r="BQ1099" s="71">
        <f>IFERROR(__xludf.DUMMYFUNCTION("""COMPUTED_VALUE"""),54.779999999999994)</f>
        <v>54.78</v>
      </c>
      <c r="BR1099" s="71">
        <f>IFERROR(__xludf.DUMMYFUNCTION("""COMPUTED_VALUE"""),8.7648)</f>
        <v>8.7648</v>
      </c>
      <c r="BS1099" s="71">
        <f>IFERROR(__xludf.DUMMYFUNCTION("""COMPUTED_VALUE"""),63.544799999999995)</f>
        <v>63.5448</v>
      </c>
      <c r="BT1099" s="71">
        <f>IFERROR(__xludf.DUMMYFUNCTION("""COMPUTED_VALUE"""),52.800000000000004)</f>
        <v>52.8</v>
      </c>
      <c r="BU1099" s="71">
        <f>IFERROR(__xludf.DUMMYFUNCTION("""COMPUTED_VALUE"""),8.448)</f>
        <v>8.448</v>
      </c>
      <c r="BV1099" s="71">
        <f>IFERROR(__xludf.DUMMYFUNCTION("""COMPUTED_VALUE"""),61.248000000000005)</f>
        <v>61.248</v>
      </c>
    </row>
    <row r="1100">
      <c r="A1100" s="53"/>
      <c r="B1100" s="53"/>
      <c r="C1100" s="53" t="s">
        <v>53</v>
      </c>
      <c r="D1100" s="53" t="s">
        <v>2672</v>
      </c>
      <c r="E1100" s="54" t="s">
        <v>38</v>
      </c>
      <c r="F1100" s="54" t="s">
        <v>42</v>
      </c>
      <c r="G1100" s="55" t="s">
        <v>2673</v>
      </c>
      <c r="H1100" s="55" t="s">
        <v>2673</v>
      </c>
      <c r="I1100" s="54">
        <f t="shared" si="24"/>
        <v>37</v>
      </c>
      <c r="J1100" s="56"/>
      <c r="K1100" s="75"/>
      <c r="L1100" s="76"/>
      <c r="M1100" s="59"/>
      <c r="N1100" s="60"/>
      <c r="O1100" s="61">
        <v>1020.0</v>
      </c>
      <c r="P1100" s="62">
        <v>1101.6000000000001</v>
      </c>
      <c r="Q1100" s="63">
        <v>1101.6000000000001</v>
      </c>
      <c r="R1100" s="64">
        <v>1158.0</v>
      </c>
      <c r="S1100" s="111">
        <v>1216.0</v>
      </c>
      <c r="T1100" s="65">
        <f t="shared" si="39"/>
        <v>194.56</v>
      </c>
      <c r="U1100" s="65">
        <f t="shared" si="40"/>
        <v>1410.56</v>
      </c>
      <c r="V1100" s="66">
        <f t="shared" si="41"/>
        <v>0.05008635579</v>
      </c>
      <c r="W1100" s="67">
        <f t="shared" si="5"/>
        <v>1155.2</v>
      </c>
      <c r="X1100" s="67">
        <f t="shared" si="6"/>
        <v>184.832</v>
      </c>
      <c r="Y1100" s="67">
        <f t="shared" si="7"/>
        <v>1340.032</v>
      </c>
      <c r="Z1100" s="67">
        <f t="shared" si="8"/>
        <v>1094.4</v>
      </c>
      <c r="AA1100" s="67">
        <f t="shared" si="9"/>
        <v>175.104</v>
      </c>
      <c r="AB1100" s="67">
        <f t="shared" si="10"/>
        <v>1269.504</v>
      </c>
      <c r="AC1100" s="67">
        <f t="shared" si="11"/>
        <v>1033.6</v>
      </c>
      <c r="AD1100" s="67">
        <f t="shared" si="12"/>
        <v>165.376</v>
      </c>
      <c r="AE1100" s="67">
        <f t="shared" si="13"/>
        <v>1198.976</v>
      </c>
      <c r="AF1100" s="67">
        <f t="shared" si="33"/>
        <v>1009.28</v>
      </c>
      <c r="AG1100" s="67">
        <f t="shared" si="15"/>
        <v>161.4848</v>
      </c>
      <c r="AH1100" s="67">
        <f t="shared" si="16"/>
        <v>1170.7648</v>
      </c>
      <c r="AI1100" s="67">
        <f t="shared" si="17"/>
        <v>972.8</v>
      </c>
      <c r="AJ1100" s="68">
        <f t="shared" si="37"/>
        <v>155.648</v>
      </c>
      <c r="AK1100" s="68">
        <f t="shared" si="38"/>
        <v>1128.448</v>
      </c>
      <c r="AL1100" s="70">
        <f>IFERROR(__xludf.DUMMYFUNCTION("""COMPUTED_VALUE"""),1.0)</f>
        <v>1</v>
      </c>
      <c r="AM1100" s="70"/>
      <c r="AN1100" s="71" t="str">
        <f>IFERROR(__xludf.DUMMYFUNCTION("""COMPUTED_VALUE""")," P")</f>
        <v>P</v>
      </c>
      <c r="AO1100" s="71" t="str">
        <f>IFERROR(__xludf.DUMMYFUNCTION("""COMPUTED_VALUE""")," RA01")</f>
        <v>RA01</v>
      </c>
      <c r="AP1100" s="71" t="str">
        <f>IFERROR(__xludf.DUMMYFUNCTION("""COMPUTED_VALUE""")," PZA")</f>
        <v>PZA</v>
      </c>
      <c r="AQ1100" s="71" t="str">
        <f>IFERROR(__xludf.DUMMYFUNCTION("""COMPUTED_VALUE""")," REF")</f>
        <v>REF</v>
      </c>
      <c r="AR1100" s="71" t="str">
        <f>IFERROR(__xludf.DUMMYFUNCTION("""COMPUTED_VALUE""")," RONDANA PARA CORONA DÚPLEX")</f>
        <v>RONDANA PARA CORONA DÚPLEX</v>
      </c>
      <c r="AS1100" s="71" t="str">
        <f>IFERROR(__xludf.DUMMYFUNCTION("""COMPUTED_VALUE""")," RONDANA PARA CORONA DPLX")</f>
        <v>RONDANA PARA CORONA DPLX</v>
      </c>
      <c r="AT1100" s="71">
        <f>IFERROR(__xludf.DUMMYFUNCTION("""COMPUTED_VALUE"""),24.0)</f>
        <v>24</v>
      </c>
      <c r="AU1100" s="71"/>
      <c r="AV1100" s="71"/>
      <c r="AW1100" s="71"/>
      <c r="AX1100" s="71"/>
      <c r="AY1100" s="71">
        <f>IFERROR(__xludf.DUMMYFUNCTION("""COMPUTED_VALUE"""),31.0)</f>
        <v>31</v>
      </c>
      <c r="AZ1100" s="71">
        <f>IFERROR(__xludf.DUMMYFUNCTION("""COMPUTED_VALUE"""),33.0)</f>
        <v>33</v>
      </c>
      <c r="BA1100" s="71">
        <f>IFERROR(__xludf.DUMMYFUNCTION("""COMPUTED_VALUE"""),35.64)</f>
        <v>35.64</v>
      </c>
      <c r="BB1100" s="71">
        <f>IFERROR(__xludf.DUMMYFUNCTION("""COMPUTED_VALUE"""),35.64)</f>
        <v>35.64</v>
      </c>
      <c r="BC1100" s="71">
        <f>IFERROR(__xludf.DUMMYFUNCTION("""COMPUTED_VALUE"""),40.0)</f>
        <v>40</v>
      </c>
      <c r="BD1100" s="71">
        <f>IFERROR(__xludf.DUMMYFUNCTION("""COMPUTED_VALUE"""),42.0)</f>
        <v>42</v>
      </c>
      <c r="BE1100" s="71">
        <f>IFERROR(__xludf.DUMMYFUNCTION("""COMPUTED_VALUE"""),6.72)</f>
        <v>6.72</v>
      </c>
      <c r="BF1100" s="71">
        <f>IFERROR(__xludf.DUMMYFUNCTION("""COMPUTED_VALUE"""),48.72)</f>
        <v>48.72</v>
      </c>
      <c r="BG1100" s="71">
        <f>IFERROR(__xludf.DUMMYFUNCTION("""COMPUTED_VALUE"""),0.05)</f>
        <v>0.05</v>
      </c>
      <c r="BH1100" s="71">
        <f>IFERROR(__xludf.DUMMYFUNCTION("""COMPUTED_VALUE"""),39.9)</f>
        <v>39.9</v>
      </c>
      <c r="BI1100" s="71">
        <f>IFERROR(__xludf.DUMMYFUNCTION("""COMPUTED_VALUE"""),6.384)</f>
        <v>6.384</v>
      </c>
      <c r="BJ1100" s="71">
        <f>IFERROR(__xludf.DUMMYFUNCTION("""COMPUTED_VALUE"""),46.284)</f>
        <v>46.284</v>
      </c>
      <c r="BK1100" s="71">
        <f>IFERROR(__xludf.DUMMYFUNCTION("""COMPUTED_VALUE"""),37.800000000000004)</f>
        <v>37.8</v>
      </c>
      <c r="BL1100" s="71">
        <f>IFERROR(__xludf.DUMMYFUNCTION("""COMPUTED_VALUE"""),6.048000000000001)</f>
        <v>6.048</v>
      </c>
      <c r="BM1100" s="71">
        <f>IFERROR(__xludf.DUMMYFUNCTION("""COMPUTED_VALUE"""),43.848000000000006)</f>
        <v>43.848</v>
      </c>
      <c r="BN1100" s="71">
        <f>IFERROR(__xludf.DUMMYFUNCTION("""COMPUTED_VALUE"""),35.699999999999996)</f>
        <v>35.7</v>
      </c>
      <c r="BO1100" s="71">
        <f>IFERROR(__xludf.DUMMYFUNCTION("""COMPUTED_VALUE"""),5.712)</f>
        <v>5.712</v>
      </c>
      <c r="BP1100" s="71">
        <f>IFERROR(__xludf.DUMMYFUNCTION("""COMPUTED_VALUE"""),41.41199999999999)</f>
        <v>41.412</v>
      </c>
      <c r="BQ1100" s="71">
        <f>IFERROR(__xludf.DUMMYFUNCTION("""COMPUTED_VALUE"""),34.86)</f>
        <v>34.86</v>
      </c>
      <c r="BR1100" s="71">
        <f>IFERROR(__xludf.DUMMYFUNCTION("""COMPUTED_VALUE"""),5.5776)</f>
        <v>5.5776</v>
      </c>
      <c r="BS1100" s="71">
        <f>IFERROR(__xludf.DUMMYFUNCTION("""COMPUTED_VALUE"""),40.4376)</f>
        <v>40.4376</v>
      </c>
      <c r="BT1100" s="71">
        <f>IFERROR(__xludf.DUMMYFUNCTION("""COMPUTED_VALUE"""),33.6)</f>
        <v>33.6</v>
      </c>
      <c r="BU1100" s="71">
        <f>IFERROR(__xludf.DUMMYFUNCTION("""COMPUTED_VALUE"""),5.376)</f>
        <v>5.376</v>
      </c>
      <c r="BV1100" s="71">
        <f>IFERROR(__xludf.DUMMYFUNCTION("""COMPUTED_VALUE"""),38.976)</f>
        <v>38.976</v>
      </c>
    </row>
    <row r="1101">
      <c r="A1101" s="53"/>
      <c r="B1101" s="53"/>
      <c r="C1101" s="53" t="s">
        <v>53</v>
      </c>
      <c r="D1101" s="53" t="s">
        <v>2674</v>
      </c>
      <c r="E1101" s="54" t="s">
        <v>38</v>
      </c>
      <c r="F1101" s="54" t="s">
        <v>42</v>
      </c>
      <c r="G1101" s="55" t="s">
        <v>2675</v>
      </c>
      <c r="H1101" s="55" t="s">
        <v>2675</v>
      </c>
      <c r="I1101" s="54">
        <f t="shared" si="24"/>
        <v>37</v>
      </c>
      <c r="J1101" s="56"/>
      <c r="K1101" s="75"/>
      <c r="L1101" s="76"/>
      <c r="M1101" s="59"/>
      <c r="N1101" s="60"/>
      <c r="O1101" s="61">
        <v>1137.0</v>
      </c>
      <c r="P1101" s="62">
        <v>1227.96</v>
      </c>
      <c r="Q1101" s="63">
        <v>1227.96</v>
      </c>
      <c r="R1101" s="64">
        <v>1290.0</v>
      </c>
      <c r="S1101" s="111">
        <v>1355.0</v>
      </c>
      <c r="T1101" s="65">
        <f t="shared" si="39"/>
        <v>216.8</v>
      </c>
      <c r="U1101" s="65">
        <f t="shared" si="40"/>
        <v>1571.8</v>
      </c>
      <c r="V1101" s="66">
        <f t="shared" si="41"/>
        <v>0.0503875969</v>
      </c>
      <c r="W1101" s="67">
        <f t="shared" si="5"/>
        <v>1287.25</v>
      </c>
      <c r="X1101" s="67">
        <f t="shared" si="6"/>
        <v>205.96</v>
      </c>
      <c r="Y1101" s="67">
        <f t="shared" si="7"/>
        <v>1493.21</v>
      </c>
      <c r="Z1101" s="67">
        <f t="shared" si="8"/>
        <v>1219.5</v>
      </c>
      <c r="AA1101" s="67">
        <f t="shared" si="9"/>
        <v>195.12</v>
      </c>
      <c r="AB1101" s="67">
        <f t="shared" si="10"/>
        <v>1414.62</v>
      </c>
      <c r="AC1101" s="67">
        <f t="shared" si="11"/>
        <v>1151.75</v>
      </c>
      <c r="AD1101" s="67">
        <f t="shared" si="12"/>
        <v>184.28</v>
      </c>
      <c r="AE1101" s="67">
        <f t="shared" si="13"/>
        <v>1336.03</v>
      </c>
      <c r="AF1101" s="67">
        <f t="shared" si="33"/>
        <v>1124.65</v>
      </c>
      <c r="AG1101" s="67">
        <f t="shared" si="15"/>
        <v>179.944</v>
      </c>
      <c r="AH1101" s="67">
        <f t="shared" si="16"/>
        <v>1304.594</v>
      </c>
      <c r="AI1101" s="67">
        <f t="shared" si="17"/>
        <v>1084</v>
      </c>
      <c r="AJ1101" s="68">
        <f t="shared" si="37"/>
        <v>173.44</v>
      </c>
      <c r="AK1101" s="68">
        <f t="shared" si="38"/>
        <v>1257.44</v>
      </c>
      <c r="AL1101" s="70">
        <f>IFERROR(__xludf.DUMMYFUNCTION("""COMPUTED_VALUE"""),1.0)</f>
        <v>1</v>
      </c>
      <c r="AM1101" s="70"/>
      <c r="AN1101" s="71" t="str">
        <f>IFERROR(__xludf.DUMMYFUNCTION("""COMPUTED_VALUE""")," P")</f>
        <v>P</v>
      </c>
      <c r="AO1101" s="71" t="str">
        <f>IFERROR(__xludf.DUMMYFUNCTION("""COMPUTED_VALUE""")," RA02")</f>
        <v>RA02</v>
      </c>
      <c r="AP1101" s="71" t="str">
        <f>IFERROR(__xludf.DUMMYFUNCTION("""COMPUTED_VALUE""")," PZA")</f>
        <v>PZA</v>
      </c>
      <c r="AQ1101" s="71" t="str">
        <f>IFERROR(__xludf.DUMMYFUNCTION("""COMPUTED_VALUE""")," REF")</f>
        <v>REF</v>
      </c>
      <c r="AR1101" s="71" t="str">
        <f>IFERROR(__xludf.DUMMYFUNCTION("""COMPUTED_VALUE""")," RONDANA PARA CORONA SENCILLA")</f>
        <v>RONDANA PARA CORONA SENCILLA</v>
      </c>
      <c r="AS1101" s="71" t="str">
        <f>IFERROR(__xludf.DUMMYFUNCTION("""COMPUTED_VALUE""")," RONDANA PARA CORONA SENCILLA")</f>
        <v>RONDANA PARA CORONA SENCILLA</v>
      </c>
      <c r="AT1101" s="71">
        <f>IFERROR(__xludf.DUMMYFUNCTION("""COMPUTED_VALUE"""),28.0)</f>
        <v>28</v>
      </c>
      <c r="AU1101" s="71"/>
      <c r="AV1101" s="71"/>
      <c r="AW1101" s="71"/>
      <c r="AX1101" s="71"/>
      <c r="AY1101" s="71">
        <f>IFERROR(__xludf.DUMMYFUNCTION("""COMPUTED_VALUE"""),24.0)</f>
        <v>24</v>
      </c>
      <c r="AZ1101" s="71">
        <f>IFERROR(__xludf.DUMMYFUNCTION("""COMPUTED_VALUE"""),25.0)</f>
        <v>25</v>
      </c>
      <c r="BA1101" s="71">
        <f>IFERROR(__xludf.DUMMYFUNCTION("""COMPUTED_VALUE"""),27.0)</f>
        <v>27</v>
      </c>
      <c r="BB1101" s="71">
        <f>IFERROR(__xludf.DUMMYFUNCTION("""COMPUTED_VALUE"""),27.0)</f>
        <v>27</v>
      </c>
      <c r="BC1101" s="71">
        <f>IFERROR(__xludf.DUMMYFUNCTION("""COMPUTED_VALUE"""),31.0)</f>
        <v>31</v>
      </c>
      <c r="BD1101" s="71">
        <f>IFERROR(__xludf.DUMMYFUNCTION("""COMPUTED_VALUE"""),33.0)</f>
        <v>33</v>
      </c>
      <c r="BE1101" s="71">
        <f>IFERROR(__xludf.DUMMYFUNCTION("""COMPUTED_VALUE"""),5.28)</f>
        <v>5.28</v>
      </c>
      <c r="BF1101" s="71">
        <f>IFERROR(__xludf.DUMMYFUNCTION("""COMPUTED_VALUE"""),38.28)</f>
        <v>38.28</v>
      </c>
      <c r="BG1101" s="71">
        <f>IFERROR(__xludf.DUMMYFUNCTION("""COMPUTED_VALUE"""),0.06451612903225806)</f>
        <v>0.06451612903</v>
      </c>
      <c r="BH1101" s="71">
        <f>IFERROR(__xludf.DUMMYFUNCTION("""COMPUTED_VALUE"""),31.349999999999998)</f>
        <v>31.35</v>
      </c>
      <c r="BI1101" s="71">
        <f>IFERROR(__xludf.DUMMYFUNCTION("""COMPUTED_VALUE"""),5.016)</f>
        <v>5.016</v>
      </c>
      <c r="BJ1101" s="71">
        <f>IFERROR(__xludf.DUMMYFUNCTION("""COMPUTED_VALUE"""),36.366)</f>
        <v>36.366</v>
      </c>
      <c r="BK1101" s="71">
        <f>IFERROR(__xludf.DUMMYFUNCTION("""COMPUTED_VALUE"""),29.7)</f>
        <v>29.7</v>
      </c>
      <c r="BL1101" s="71">
        <f>IFERROR(__xludf.DUMMYFUNCTION("""COMPUTED_VALUE"""),4.752)</f>
        <v>4.752</v>
      </c>
      <c r="BM1101" s="71">
        <f>IFERROR(__xludf.DUMMYFUNCTION("""COMPUTED_VALUE"""),34.452)</f>
        <v>34.452</v>
      </c>
      <c r="BN1101" s="71">
        <f>IFERROR(__xludf.DUMMYFUNCTION("""COMPUTED_VALUE"""),28.05)</f>
        <v>28.05</v>
      </c>
      <c r="BO1101" s="71">
        <f>IFERROR(__xludf.DUMMYFUNCTION("""COMPUTED_VALUE"""),4.488)</f>
        <v>4.488</v>
      </c>
      <c r="BP1101" s="71">
        <f>IFERROR(__xludf.DUMMYFUNCTION("""COMPUTED_VALUE"""),32.538000000000004)</f>
        <v>32.538</v>
      </c>
      <c r="BQ1101" s="71">
        <f>IFERROR(__xludf.DUMMYFUNCTION("""COMPUTED_VALUE"""),27.389999999999997)</f>
        <v>27.39</v>
      </c>
      <c r="BR1101" s="71">
        <f>IFERROR(__xludf.DUMMYFUNCTION("""COMPUTED_VALUE"""),4.3824)</f>
        <v>4.3824</v>
      </c>
      <c r="BS1101" s="71">
        <f>IFERROR(__xludf.DUMMYFUNCTION("""COMPUTED_VALUE"""),31.772399999999998)</f>
        <v>31.7724</v>
      </c>
      <c r="BT1101" s="71">
        <f>IFERROR(__xludf.DUMMYFUNCTION("""COMPUTED_VALUE"""),26.400000000000002)</f>
        <v>26.4</v>
      </c>
      <c r="BU1101" s="71">
        <f>IFERROR(__xludf.DUMMYFUNCTION("""COMPUTED_VALUE"""),4.224)</f>
        <v>4.224</v>
      </c>
      <c r="BV1101" s="71">
        <f>IFERROR(__xludf.DUMMYFUNCTION("""COMPUTED_VALUE"""),30.624000000000002)</f>
        <v>30.624</v>
      </c>
    </row>
    <row r="1102">
      <c r="A1102" s="53">
        <v>1.0</v>
      </c>
      <c r="B1102" s="72"/>
      <c r="C1102" s="120" t="s">
        <v>53</v>
      </c>
      <c r="D1102" s="74" t="s">
        <v>2676</v>
      </c>
      <c r="E1102" s="54" t="s">
        <v>38</v>
      </c>
      <c r="F1102" s="54" t="s">
        <v>42</v>
      </c>
      <c r="G1102" s="55" t="s">
        <v>2677</v>
      </c>
      <c r="H1102" s="54" t="s">
        <v>2677</v>
      </c>
      <c r="I1102" s="54">
        <f t="shared" si="24"/>
        <v>37</v>
      </c>
      <c r="J1102" s="56"/>
      <c r="K1102" s="75"/>
      <c r="L1102" s="76"/>
      <c r="M1102" s="59"/>
      <c r="N1102" s="60">
        <v>1845.0</v>
      </c>
      <c r="O1102" s="61">
        <v>1992.0</v>
      </c>
      <c r="P1102" s="62">
        <v>2151.36</v>
      </c>
      <c r="Q1102" s="63">
        <v>2151.36</v>
      </c>
      <c r="R1102" s="64">
        <v>2396.0</v>
      </c>
      <c r="S1102" s="111">
        <v>2516.0</v>
      </c>
      <c r="T1102" s="65">
        <f t="shared" si="39"/>
        <v>402.56</v>
      </c>
      <c r="U1102" s="65">
        <f t="shared" si="40"/>
        <v>2918.56</v>
      </c>
      <c r="V1102" s="66">
        <f t="shared" si="41"/>
        <v>0.05008347245</v>
      </c>
      <c r="W1102" s="67">
        <f t="shared" si="5"/>
        <v>2390.2</v>
      </c>
      <c r="X1102" s="67">
        <f t="shared" si="6"/>
        <v>382.432</v>
      </c>
      <c r="Y1102" s="67">
        <f t="shared" si="7"/>
        <v>2772.632</v>
      </c>
      <c r="Z1102" s="67">
        <f t="shared" si="8"/>
        <v>2264.4</v>
      </c>
      <c r="AA1102" s="67">
        <f t="shared" si="9"/>
        <v>362.304</v>
      </c>
      <c r="AB1102" s="67">
        <f t="shared" si="10"/>
        <v>2626.704</v>
      </c>
      <c r="AC1102" s="67">
        <f t="shared" si="11"/>
        <v>2138.6</v>
      </c>
      <c r="AD1102" s="67">
        <f t="shared" si="12"/>
        <v>342.176</v>
      </c>
      <c r="AE1102" s="67">
        <f t="shared" si="13"/>
        <v>2480.776</v>
      </c>
      <c r="AF1102" s="67">
        <f t="shared" si="33"/>
        <v>2088.28</v>
      </c>
      <c r="AG1102" s="67">
        <f t="shared" si="15"/>
        <v>334.1248</v>
      </c>
      <c r="AH1102" s="67">
        <f t="shared" si="16"/>
        <v>2422.4048</v>
      </c>
      <c r="AI1102" s="67">
        <f t="shared" si="17"/>
        <v>2012.8</v>
      </c>
      <c r="AJ1102" s="68">
        <f t="shared" si="37"/>
        <v>322.048</v>
      </c>
      <c r="AK1102" s="68">
        <f t="shared" si="38"/>
        <v>2334.848</v>
      </c>
      <c r="AL1102" s="70">
        <f>IFERROR(__xludf.DUMMYFUNCTION("""COMPUTED_VALUE"""),1.0)</f>
        <v>1</v>
      </c>
      <c r="AM1102" s="70"/>
      <c r="AN1102" s="71" t="str">
        <f>IFERROR(__xludf.DUMMYFUNCTION("""COMPUTED_VALUE""")," C")</f>
        <v>C</v>
      </c>
      <c r="AO1102" s="71" t="str">
        <f>IFERROR(__xludf.DUMMYFUNCTION("""COMPUTED_VALUE""")," RA99")</f>
        <v>RA99</v>
      </c>
      <c r="AP1102" s="71" t="str">
        <f>IFERROR(__xludf.DUMMYFUNCTION("""COMPUTED_VALUE""")," PZA")</f>
        <v>PZA</v>
      </c>
      <c r="AQ1102" s="71" t="str">
        <f>IFERROR(__xludf.DUMMYFUNCTION("""COMPUTED_VALUE""")," REF")</f>
        <v>REF</v>
      </c>
      <c r="AR1102" s="71" t="str">
        <f>IFERROR(__xludf.DUMMYFUNCTION("""COMPUTED_VALUE""")," RONDANA PLANA 1/4"" EN ACERO INOX. T-304 GRADO ALIMENTICIO PARA VARILLA DE TRAVESAÑO")</f>
        <v>RONDANA PLANA 1/4" EN ACERO INOX. T-304 GRADO ALIMENTICIO PARA VARILLA DE TRAVESAÑO</v>
      </c>
      <c r="AS1102" s="71" t="str">
        <f>IFERROR(__xludf.DUMMYFUNCTION("""COMPUTED_VALUE""")," RONDANA PLANA 1/4 INOX P/VARILLA TRAVESA")</f>
        <v>RONDANA PLANA 1/4 INOX P/VARILLA TRAVESA</v>
      </c>
      <c r="AT1102" s="71">
        <f>IFERROR(__xludf.DUMMYFUNCTION("""COMPUTED_VALUE"""),40.0)</f>
        <v>40</v>
      </c>
      <c r="AU1102" s="71"/>
      <c r="AV1102" s="71"/>
      <c r="AW1102" s="71"/>
      <c r="AX1102" s="71"/>
      <c r="AY1102" s="71">
        <f>IFERROR(__xludf.DUMMYFUNCTION("""COMPUTED_VALUE"""),3.0)</f>
        <v>3</v>
      </c>
      <c r="AZ1102" s="71">
        <f>IFERROR(__xludf.DUMMYFUNCTION("""COMPUTED_VALUE"""),3.0)</f>
        <v>3</v>
      </c>
      <c r="BA1102" s="71">
        <f>IFERROR(__xludf.DUMMYFUNCTION("""COMPUTED_VALUE"""),3.24)</f>
        <v>3.24</v>
      </c>
      <c r="BB1102" s="71">
        <f>IFERROR(__xludf.DUMMYFUNCTION("""COMPUTED_VALUE"""),3.24)</f>
        <v>3.24</v>
      </c>
      <c r="BC1102" s="71">
        <f>IFERROR(__xludf.DUMMYFUNCTION("""COMPUTED_VALUE"""),4.0)</f>
        <v>4</v>
      </c>
      <c r="BD1102" s="71">
        <f>IFERROR(__xludf.DUMMYFUNCTION("""COMPUTED_VALUE"""),4.2)</f>
        <v>4.2</v>
      </c>
      <c r="BE1102" s="71">
        <f>IFERROR(__xludf.DUMMYFUNCTION("""COMPUTED_VALUE"""),0.672)</f>
        <v>0.672</v>
      </c>
      <c r="BF1102" s="71">
        <f>IFERROR(__xludf.DUMMYFUNCTION("""COMPUTED_VALUE"""),4.872)</f>
        <v>4.872</v>
      </c>
      <c r="BG1102" s="71">
        <f>IFERROR(__xludf.DUMMYFUNCTION("""COMPUTED_VALUE"""),0.050000000000000044)</f>
        <v>0.05</v>
      </c>
      <c r="BH1102" s="71">
        <f>IFERROR(__xludf.DUMMYFUNCTION("""COMPUTED_VALUE"""),3.9899999999999998)</f>
        <v>3.99</v>
      </c>
      <c r="BI1102" s="71">
        <f>IFERROR(__xludf.DUMMYFUNCTION("""COMPUTED_VALUE"""),0.6384)</f>
        <v>0.6384</v>
      </c>
      <c r="BJ1102" s="71">
        <f>IFERROR(__xludf.DUMMYFUNCTION("""COMPUTED_VALUE"""),4.6284)</f>
        <v>4.6284</v>
      </c>
      <c r="BK1102" s="71">
        <f>IFERROR(__xludf.DUMMYFUNCTION("""COMPUTED_VALUE"""),3.7800000000000002)</f>
        <v>3.78</v>
      </c>
      <c r="BL1102" s="71">
        <f>IFERROR(__xludf.DUMMYFUNCTION("""COMPUTED_VALUE"""),0.6048)</f>
        <v>0.6048</v>
      </c>
      <c r="BM1102" s="71">
        <f>IFERROR(__xludf.DUMMYFUNCTION("""COMPUTED_VALUE"""),4.3848)</f>
        <v>4.3848</v>
      </c>
      <c r="BN1102" s="71">
        <f>IFERROR(__xludf.DUMMYFUNCTION("""COMPUTED_VALUE"""),3.57)</f>
        <v>3.57</v>
      </c>
      <c r="BO1102" s="71">
        <f>IFERROR(__xludf.DUMMYFUNCTION("""COMPUTED_VALUE"""),0.5712)</f>
        <v>0.5712</v>
      </c>
      <c r="BP1102" s="71">
        <f>IFERROR(__xludf.DUMMYFUNCTION("""COMPUTED_VALUE"""),4.1411999999999995)</f>
        <v>4.1412</v>
      </c>
      <c r="BQ1102" s="71">
        <f>IFERROR(__xludf.DUMMYFUNCTION("""COMPUTED_VALUE"""),3.4859999999999998)</f>
        <v>3.486</v>
      </c>
      <c r="BR1102" s="71">
        <f>IFERROR(__xludf.DUMMYFUNCTION("""COMPUTED_VALUE"""),0.5577599999999999)</f>
        <v>0.55776</v>
      </c>
      <c r="BS1102" s="71">
        <f>IFERROR(__xludf.DUMMYFUNCTION("""COMPUTED_VALUE"""),4.04376)</f>
        <v>4.04376</v>
      </c>
      <c r="BT1102" s="71">
        <f>IFERROR(__xludf.DUMMYFUNCTION("""COMPUTED_VALUE"""),3.3600000000000003)</f>
        <v>3.36</v>
      </c>
      <c r="BU1102" s="71">
        <f>IFERROR(__xludf.DUMMYFUNCTION("""COMPUTED_VALUE"""),0.5376000000000001)</f>
        <v>0.5376</v>
      </c>
      <c r="BV1102" s="71">
        <f>IFERROR(__xludf.DUMMYFUNCTION("""COMPUTED_VALUE"""),3.8976000000000006)</f>
        <v>3.8976</v>
      </c>
    </row>
    <row r="1103">
      <c r="A1103" s="53"/>
      <c r="B1103" s="53"/>
      <c r="C1103" s="53" t="s">
        <v>53</v>
      </c>
      <c r="D1103" s="53" t="s">
        <v>2678</v>
      </c>
      <c r="E1103" s="54" t="s">
        <v>38</v>
      </c>
      <c r="F1103" s="54" t="s">
        <v>42</v>
      </c>
      <c r="G1103" s="55" t="s">
        <v>2679</v>
      </c>
      <c r="H1103" s="55" t="s">
        <v>2679</v>
      </c>
      <c r="I1103" s="54">
        <f t="shared" si="24"/>
        <v>38</v>
      </c>
      <c r="J1103" s="56"/>
      <c r="K1103" s="75"/>
      <c r="L1103" s="76"/>
      <c r="M1103" s="59"/>
      <c r="N1103" s="60"/>
      <c r="O1103" s="61">
        <v>855.0</v>
      </c>
      <c r="P1103" s="62">
        <v>923.4000000000001</v>
      </c>
      <c r="Q1103" s="63">
        <v>923.4000000000001</v>
      </c>
      <c r="R1103" s="64">
        <v>970.0</v>
      </c>
      <c r="S1103" s="111">
        <v>1019.0</v>
      </c>
      <c r="T1103" s="65">
        <f t="shared" si="39"/>
        <v>163.04</v>
      </c>
      <c r="U1103" s="65">
        <f t="shared" si="40"/>
        <v>1182.04</v>
      </c>
      <c r="V1103" s="66">
        <f t="shared" si="41"/>
        <v>0.05051546392</v>
      </c>
      <c r="W1103" s="67">
        <f t="shared" si="5"/>
        <v>968.05</v>
      </c>
      <c r="X1103" s="67">
        <f t="shared" si="6"/>
        <v>154.888</v>
      </c>
      <c r="Y1103" s="67">
        <f t="shared" si="7"/>
        <v>1122.938</v>
      </c>
      <c r="Z1103" s="67">
        <f t="shared" si="8"/>
        <v>917.1</v>
      </c>
      <c r="AA1103" s="67">
        <f t="shared" si="9"/>
        <v>146.736</v>
      </c>
      <c r="AB1103" s="67">
        <f t="shared" si="10"/>
        <v>1063.836</v>
      </c>
      <c r="AC1103" s="67">
        <f t="shared" si="11"/>
        <v>866.15</v>
      </c>
      <c r="AD1103" s="67">
        <f t="shared" si="12"/>
        <v>138.584</v>
      </c>
      <c r="AE1103" s="67">
        <f t="shared" si="13"/>
        <v>1004.734</v>
      </c>
      <c r="AF1103" s="67">
        <f t="shared" si="33"/>
        <v>845.77</v>
      </c>
      <c r="AG1103" s="67">
        <f t="shared" si="15"/>
        <v>135.3232</v>
      </c>
      <c r="AH1103" s="67">
        <f t="shared" si="16"/>
        <v>981.0932</v>
      </c>
      <c r="AI1103" s="67">
        <f t="shared" si="17"/>
        <v>815.2</v>
      </c>
      <c r="AJ1103" s="68">
        <f t="shared" si="37"/>
        <v>130.432</v>
      </c>
      <c r="AK1103" s="68">
        <f t="shared" si="38"/>
        <v>945.632</v>
      </c>
      <c r="AL1103" s="70">
        <f>IFERROR(__xludf.DUMMYFUNCTION("""COMPUTED_VALUE"""),1.0)</f>
        <v>1</v>
      </c>
      <c r="AM1103" s="70"/>
      <c r="AN1103" s="71" t="str">
        <f>IFERROR(__xludf.DUMMYFUNCTION("""COMPUTED_VALUE""")," C")</f>
        <v>C</v>
      </c>
      <c r="AO1103" s="71" t="str">
        <f>IFERROR(__xludf.DUMMYFUNCTION("""COMPUTED_VALUE""")," RA03")</f>
        <v>RA03</v>
      </c>
      <c r="AP1103" s="71" t="str">
        <f>IFERROR(__xludf.DUMMYFUNCTION("""COMPUTED_VALUE""")," PZA")</f>
        <v>PZA</v>
      </c>
      <c r="AQ1103" s="71" t="str">
        <f>IFERROR(__xludf.DUMMYFUNCTION("""COMPUTED_VALUE""")," REF")</f>
        <v>REF</v>
      </c>
      <c r="AR1103" s="71" t="str">
        <f>IFERROR(__xludf.DUMMYFUNCTION("""COMPUTED_VALUE""")," RONDANA PLANA 1/4"" NORMAL PARA VARILLA DE TRAVESAÑO")</f>
        <v>RONDANA PLANA 1/4" NORMAL PARA VARILLA DE TRAVESAÑO</v>
      </c>
      <c r="AS1103" s="71" t="str">
        <f>IFERROR(__xludf.DUMMYFUNCTION("""COMPUTED_VALUE""")," RONDANA PLANA 1/4 NORM P/VARILLA TRAVESA")</f>
        <v>RONDANA PLANA 1/4 NORM P/VARILLA TRAVESA</v>
      </c>
      <c r="AT1103" s="71">
        <f>IFERROR(__xludf.DUMMYFUNCTION("""COMPUTED_VALUE"""),40.0)</f>
        <v>40</v>
      </c>
      <c r="AU1103" s="71"/>
      <c r="AV1103" s="71"/>
      <c r="AW1103" s="71"/>
      <c r="AX1103" s="71"/>
      <c r="AY1103" s="71">
        <f>IFERROR(__xludf.DUMMYFUNCTION("""COMPUTED_VALUE"""),3.0)</f>
        <v>3</v>
      </c>
      <c r="AZ1103" s="71">
        <f>IFERROR(__xludf.DUMMYFUNCTION("""COMPUTED_VALUE"""),3.0)</f>
        <v>3</v>
      </c>
      <c r="BA1103" s="71">
        <f>IFERROR(__xludf.DUMMYFUNCTION("""COMPUTED_VALUE"""),3.24)</f>
        <v>3.24</v>
      </c>
      <c r="BB1103" s="71">
        <f>IFERROR(__xludf.DUMMYFUNCTION("""COMPUTED_VALUE"""),3.24)</f>
        <v>3.24</v>
      </c>
      <c r="BC1103" s="71">
        <f>IFERROR(__xludf.DUMMYFUNCTION("""COMPUTED_VALUE"""),4.0)</f>
        <v>4</v>
      </c>
      <c r="BD1103" s="71">
        <f>IFERROR(__xludf.DUMMYFUNCTION("""COMPUTED_VALUE"""),4.2)</f>
        <v>4.2</v>
      </c>
      <c r="BE1103" s="71">
        <f>IFERROR(__xludf.DUMMYFUNCTION("""COMPUTED_VALUE"""),0.672)</f>
        <v>0.672</v>
      </c>
      <c r="BF1103" s="71">
        <f>IFERROR(__xludf.DUMMYFUNCTION("""COMPUTED_VALUE"""),4.872)</f>
        <v>4.872</v>
      </c>
      <c r="BG1103" s="71">
        <f>IFERROR(__xludf.DUMMYFUNCTION("""COMPUTED_VALUE"""),0.050000000000000044)</f>
        <v>0.05</v>
      </c>
      <c r="BH1103" s="71">
        <f>IFERROR(__xludf.DUMMYFUNCTION("""COMPUTED_VALUE"""),3.9899999999999998)</f>
        <v>3.99</v>
      </c>
      <c r="BI1103" s="71">
        <f>IFERROR(__xludf.DUMMYFUNCTION("""COMPUTED_VALUE"""),0.6384)</f>
        <v>0.6384</v>
      </c>
      <c r="BJ1103" s="71">
        <f>IFERROR(__xludf.DUMMYFUNCTION("""COMPUTED_VALUE"""),4.6284)</f>
        <v>4.6284</v>
      </c>
      <c r="BK1103" s="71">
        <f>IFERROR(__xludf.DUMMYFUNCTION("""COMPUTED_VALUE"""),3.7800000000000002)</f>
        <v>3.78</v>
      </c>
      <c r="BL1103" s="71">
        <f>IFERROR(__xludf.DUMMYFUNCTION("""COMPUTED_VALUE"""),0.6048)</f>
        <v>0.6048</v>
      </c>
      <c r="BM1103" s="71">
        <f>IFERROR(__xludf.DUMMYFUNCTION("""COMPUTED_VALUE"""),4.3848)</f>
        <v>4.3848</v>
      </c>
      <c r="BN1103" s="71">
        <f>IFERROR(__xludf.DUMMYFUNCTION("""COMPUTED_VALUE"""),3.57)</f>
        <v>3.57</v>
      </c>
      <c r="BO1103" s="71">
        <f>IFERROR(__xludf.DUMMYFUNCTION("""COMPUTED_VALUE"""),0.5712)</f>
        <v>0.5712</v>
      </c>
      <c r="BP1103" s="71">
        <f>IFERROR(__xludf.DUMMYFUNCTION("""COMPUTED_VALUE"""),4.1411999999999995)</f>
        <v>4.1412</v>
      </c>
      <c r="BQ1103" s="71">
        <f>IFERROR(__xludf.DUMMYFUNCTION("""COMPUTED_VALUE"""),3.4859999999999998)</f>
        <v>3.486</v>
      </c>
      <c r="BR1103" s="71">
        <f>IFERROR(__xludf.DUMMYFUNCTION("""COMPUTED_VALUE"""),0.5577599999999999)</f>
        <v>0.55776</v>
      </c>
      <c r="BS1103" s="71">
        <f>IFERROR(__xludf.DUMMYFUNCTION("""COMPUTED_VALUE"""),4.04376)</f>
        <v>4.04376</v>
      </c>
      <c r="BT1103" s="71">
        <f>IFERROR(__xludf.DUMMYFUNCTION("""COMPUTED_VALUE"""),3.3600000000000003)</f>
        <v>3.36</v>
      </c>
      <c r="BU1103" s="71">
        <f>IFERROR(__xludf.DUMMYFUNCTION("""COMPUTED_VALUE"""),0.5376000000000001)</f>
        <v>0.5376</v>
      </c>
      <c r="BV1103" s="71">
        <f>IFERROR(__xludf.DUMMYFUNCTION("""COMPUTED_VALUE"""),3.8976000000000006)</f>
        <v>3.8976</v>
      </c>
    </row>
    <row r="1104">
      <c r="A1104" s="53"/>
      <c r="B1104" s="53"/>
      <c r="C1104" s="53" t="s">
        <v>53</v>
      </c>
      <c r="D1104" s="53" t="s">
        <v>2680</v>
      </c>
      <c r="E1104" s="54" t="s">
        <v>38</v>
      </c>
      <c r="F1104" s="54" t="s">
        <v>42</v>
      </c>
      <c r="G1104" s="55" t="s">
        <v>2681</v>
      </c>
      <c r="H1104" s="55" t="s">
        <v>2681</v>
      </c>
      <c r="I1104" s="54">
        <f t="shared" si="24"/>
        <v>38</v>
      </c>
      <c r="J1104" s="56"/>
      <c r="K1104" s="75"/>
      <c r="L1104" s="76"/>
      <c r="M1104" s="59"/>
      <c r="N1104" s="60"/>
      <c r="O1104" s="61">
        <v>1710.0</v>
      </c>
      <c r="P1104" s="62">
        <v>1846.8000000000002</v>
      </c>
      <c r="Q1104" s="63">
        <v>1846.8000000000002</v>
      </c>
      <c r="R1104" s="64">
        <v>1940.0</v>
      </c>
      <c r="S1104" s="111">
        <v>2037.0</v>
      </c>
      <c r="T1104" s="65">
        <f t="shared" si="39"/>
        <v>325.92</v>
      </c>
      <c r="U1104" s="65">
        <f t="shared" si="40"/>
        <v>2362.92</v>
      </c>
      <c r="V1104" s="66">
        <f t="shared" si="41"/>
        <v>0.05</v>
      </c>
      <c r="W1104" s="67">
        <f t="shared" si="5"/>
        <v>1935.15</v>
      </c>
      <c r="X1104" s="67">
        <f t="shared" si="6"/>
        <v>309.624</v>
      </c>
      <c r="Y1104" s="67">
        <f t="shared" si="7"/>
        <v>2244.774</v>
      </c>
      <c r="Z1104" s="67">
        <f t="shared" si="8"/>
        <v>1833.3</v>
      </c>
      <c r="AA1104" s="67">
        <f t="shared" si="9"/>
        <v>293.328</v>
      </c>
      <c r="AB1104" s="67">
        <f t="shared" si="10"/>
        <v>2126.628</v>
      </c>
      <c r="AC1104" s="67">
        <f t="shared" si="11"/>
        <v>1731.45</v>
      </c>
      <c r="AD1104" s="67">
        <f t="shared" si="12"/>
        <v>277.032</v>
      </c>
      <c r="AE1104" s="67">
        <f t="shared" si="13"/>
        <v>2008.482</v>
      </c>
      <c r="AF1104" s="67">
        <f t="shared" si="33"/>
        <v>1690.71</v>
      </c>
      <c r="AG1104" s="67">
        <f t="shared" si="15"/>
        <v>270.5136</v>
      </c>
      <c r="AH1104" s="67">
        <f t="shared" si="16"/>
        <v>1961.2236</v>
      </c>
      <c r="AI1104" s="67">
        <f t="shared" si="17"/>
        <v>1629.6</v>
      </c>
      <c r="AJ1104" s="68">
        <f t="shared" si="37"/>
        <v>260.736</v>
      </c>
      <c r="AK1104" s="68">
        <f t="shared" si="38"/>
        <v>1890.336</v>
      </c>
      <c r="AL1104" s="70">
        <f>IFERROR(__xludf.DUMMYFUNCTION("""COMPUTED_VALUE"""),1.0)</f>
        <v>1</v>
      </c>
      <c r="AM1104" s="70"/>
      <c r="AN1104" s="71" t="str">
        <f>IFERROR(__xludf.DUMMYFUNCTION("""COMPUTED_VALUE""")," P")</f>
        <v>P</v>
      </c>
      <c r="AO1104" s="71" t="str">
        <f>IFERROR(__xludf.DUMMYFUNCTION("""COMPUTED_VALUE""")," RT02")</f>
        <v>RT02</v>
      </c>
      <c r="AP1104" s="71" t="str">
        <f>IFERROR(__xludf.DUMMYFUNCTION("""COMPUTED_VALUE""")," PZA")</f>
        <v>PZA</v>
      </c>
      <c r="AQ1104" s="71" t="str">
        <f>IFERROR(__xludf.DUMMYFUNCTION("""COMPUTED_VALUE""")," REF")</f>
        <v>REF</v>
      </c>
      <c r="AR1104" s="71" t="str">
        <f>IFERROR(__xludf.DUMMYFUNCTION("""COMPUTED_VALUE""")," RÓTULA DE ESTÉREO CARBÓN")</f>
        <v>RÓTULA DE ESTÉREO CARBÓN</v>
      </c>
      <c r="AS1104" s="71" t="str">
        <f>IFERROR(__xludf.DUMMYFUNCTION("""COMPUTED_VALUE""")," ROTULA DE ESTEREO CARBON")</f>
        <v>ROTULA DE ESTEREO CARBON</v>
      </c>
      <c r="AT1104" s="71">
        <f>IFERROR(__xludf.DUMMYFUNCTION("""COMPUTED_VALUE"""),24.0)</f>
        <v>24</v>
      </c>
      <c r="AU1104" s="71"/>
      <c r="AV1104" s="71"/>
      <c r="AW1104" s="71"/>
      <c r="AX1104" s="71"/>
      <c r="AY1104" s="71">
        <f>IFERROR(__xludf.DUMMYFUNCTION("""COMPUTED_VALUE"""),272.0)</f>
        <v>272</v>
      </c>
      <c r="AZ1104" s="71">
        <f>IFERROR(__xludf.DUMMYFUNCTION("""COMPUTED_VALUE"""),293.0)</f>
        <v>293</v>
      </c>
      <c r="BA1104" s="71">
        <f>IFERROR(__xludf.DUMMYFUNCTION("""COMPUTED_VALUE"""),316.44)</f>
        <v>316.44</v>
      </c>
      <c r="BB1104" s="71">
        <f>IFERROR(__xludf.DUMMYFUNCTION("""COMPUTED_VALUE"""),316.44)</f>
        <v>316.44</v>
      </c>
      <c r="BC1104" s="71">
        <f>IFERROR(__xludf.DUMMYFUNCTION("""COMPUTED_VALUE"""),353.0)</f>
        <v>353</v>
      </c>
      <c r="BD1104" s="71">
        <f>IFERROR(__xludf.DUMMYFUNCTION("""COMPUTED_VALUE"""),296.8)</f>
        <v>296.8</v>
      </c>
      <c r="BE1104" s="71">
        <f>IFERROR(__xludf.DUMMYFUNCTION("""COMPUTED_VALUE"""),47.488)</f>
        <v>47.488</v>
      </c>
      <c r="BF1104" s="71">
        <f>IFERROR(__xludf.DUMMYFUNCTION("""COMPUTED_VALUE"""),344.288)</f>
        <v>344.288</v>
      </c>
      <c r="BG1104" s="71">
        <f>IFERROR(__xludf.DUMMYFUNCTION("""COMPUTED_VALUE"""),-0.1592067988668555)</f>
        <v>-0.1592067989</v>
      </c>
      <c r="BH1104" s="71">
        <f>IFERROR(__xludf.DUMMYFUNCTION("""COMPUTED_VALUE"""),281.96)</f>
        <v>281.96</v>
      </c>
      <c r="BI1104" s="71">
        <f>IFERROR(__xludf.DUMMYFUNCTION("""COMPUTED_VALUE"""),45.1136)</f>
        <v>45.1136</v>
      </c>
      <c r="BJ1104" s="71">
        <f>IFERROR(__xludf.DUMMYFUNCTION("""COMPUTED_VALUE"""),327.0736)</f>
        <v>327.0736</v>
      </c>
      <c r="BK1104" s="71">
        <f>IFERROR(__xludf.DUMMYFUNCTION("""COMPUTED_VALUE"""),267.12)</f>
        <v>267.12</v>
      </c>
      <c r="BL1104" s="71">
        <f>IFERROR(__xludf.DUMMYFUNCTION("""COMPUTED_VALUE"""),42.739200000000004)</f>
        <v>42.7392</v>
      </c>
      <c r="BM1104" s="71">
        <f>IFERROR(__xludf.DUMMYFUNCTION("""COMPUTED_VALUE"""),309.8592)</f>
        <v>309.8592</v>
      </c>
      <c r="BN1104" s="71">
        <f>IFERROR(__xludf.DUMMYFUNCTION("""COMPUTED_VALUE"""),252.28)</f>
        <v>252.28</v>
      </c>
      <c r="BO1104" s="71">
        <f>IFERROR(__xludf.DUMMYFUNCTION("""COMPUTED_VALUE"""),40.3648)</f>
        <v>40.3648</v>
      </c>
      <c r="BP1104" s="71">
        <f>IFERROR(__xludf.DUMMYFUNCTION("""COMPUTED_VALUE"""),292.64480000000003)</f>
        <v>292.6448</v>
      </c>
      <c r="BQ1104" s="71">
        <f>IFERROR(__xludf.DUMMYFUNCTION("""COMPUTED_VALUE"""),246.344)</f>
        <v>246.344</v>
      </c>
      <c r="BR1104" s="71">
        <f>IFERROR(__xludf.DUMMYFUNCTION("""COMPUTED_VALUE"""),39.41504)</f>
        <v>39.41504</v>
      </c>
      <c r="BS1104" s="71">
        <f>IFERROR(__xludf.DUMMYFUNCTION("""COMPUTED_VALUE"""),285.75903999999997)</f>
        <v>285.75904</v>
      </c>
      <c r="BT1104" s="71">
        <f>IFERROR(__xludf.DUMMYFUNCTION("""COMPUTED_VALUE"""),237.44000000000003)</f>
        <v>237.44</v>
      </c>
      <c r="BU1104" s="71">
        <f>IFERROR(__xludf.DUMMYFUNCTION("""COMPUTED_VALUE"""),37.99040000000001)</f>
        <v>37.9904</v>
      </c>
      <c r="BV1104" s="71">
        <f>IFERROR(__xludf.DUMMYFUNCTION("""COMPUTED_VALUE"""),275.4304)</f>
        <v>275.4304</v>
      </c>
    </row>
    <row r="1105">
      <c r="A1105" s="53"/>
      <c r="B1105" s="53"/>
      <c r="C1105" s="120" t="s">
        <v>53</v>
      </c>
      <c r="D1105" s="128" t="s">
        <v>2682</v>
      </c>
      <c r="E1105" s="54" t="s">
        <v>38</v>
      </c>
      <c r="F1105" s="54" t="s">
        <v>42</v>
      </c>
      <c r="G1105" s="55" t="s">
        <v>2683</v>
      </c>
      <c r="H1105" s="54" t="s">
        <v>2684</v>
      </c>
      <c r="I1105" s="54">
        <f t="shared" si="24"/>
        <v>40</v>
      </c>
      <c r="J1105" s="56"/>
      <c r="K1105" s="57"/>
      <c r="L1105" s="76"/>
      <c r="M1105" s="59"/>
      <c r="N1105" s="60">
        <v>262.5</v>
      </c>
      <c r="O1105" s="129">
        <v>283.0</v>
      </c>
      <c r="P1105" s="62">
        <v>305.64000000000004</v>
      </c>
      <c r="Q1105" s="63">
        <v>305.64000000000004</v>
      </c>
      <c r="R1105" s="64">
        <v>322.0</v>
      </c>
      <c r="S1105" s="111">
        <v>338.0</v>
      </c>
      <c r="T1105" s="65">
        <f t="shared" si="39"/>
        <v>54.08</v>
      </c>
      <c r="U1105" s="65">
        <f t="shared" si="40"/>
        <v>392.08</v>
      </c>
      <c r="V1105" s="66">
        <f t="shared" si="41"/>
        <v>0.04968944099</v>
      </c>
      <c r="W1105" s="67">
        <f t="shared" si="5"/>
        <v>321.1</v>
      </c>
      <c r="X1105" s="67">
        <f t="shared" si="6"/>
        <v>51.376</v>
      </c>
      <c r="Y1105" s="67">
        <f t="shared" si="7"/>
        <v>372.476</v>
      </c>
      <c r="Z1105" s="67">
        <f t="shared" si="8"/>
        <v>304.2</v>
      </c>
      <c r="AA1105" s="67">
        <f t="shared" si="9"/>
        <v>48.672</v>
      </c>
      <c r="AB1105" s="67">
        <f t="shared" si="10"/>
        <v>352.872</v>
      </c>
      <c r="AC1105" s="67">
        <f t="shared" si="11"/>
        <v>287.3</v>
      </c>
      <c r="AD1105" s="67">
        <f t="shared" si="12"/>
        <v>45.968</v>
      </c>
      <c r="AE1105" s="67">
        <f t="shared" si="13"/>
        <v>333.268</v>
      </c>
      <c r="AF1105" s="67">
        <f t="shared" si="33"/>
        <v>280.54</v>
      </c>
      <c r="AG1105" s="67">
        <f t="shared" si="15"/>
        <v>44.8864</v>
      </c>
      <c r="AH1105" s="67">
        <f t="shared" si="16"/>
        <v>325.4264</v>
      </c>
      <c r="AI1105" s="67">
        <f t="shared" si="17"/>
        <v>270.4</v>
      </c>
      <c r="AJ1105" s="68">
        <f t="shared" si="37"/>
        <v>43.264</v>
      </c>
      <c r="AK1105" s="68">
        <f t="shared" si="38"/>
        <v>313.664</v>
      </c>
      <c r="AL1105" s="70">
        <f>IFERROR(__xludf.DUMMYFUNCTION("""COMPUTED_VALUE"""),1.0)</f>
        <v>1</v>
      </c>
      <c r="AM1105" s="70"/>
      <c r="AN1105" s="71" t="str">
        <f>IFERROR(__xludf.DUMMYFUNCTION("""COMPUTED_VALUE""")," P")</f>
        <v>P</v>
      </c>
      <c r="AO1105" s="71" t="str">
        <f>IFERROR(__xludf.DUMMYFUNCTION("""COMPUTED_VALUE""")," RT03")</f>
        <v>RT03</v>
      </c>
      <c r="AP1105" s="71" t="str">
        <f>IFERROR(__xludf.DUMMYFUNCTION("""COMPUTED_VALUE""")," PZA")</f>
        <v>PZA</v>
      </c>
      <c r="AQ1105" s="71" t="str">
        <f>IFERROR(__xludf.DUMMYFUNCTION("""COMPUTED_VALUE""")," REF")</f>
        <v>REF</v>
      </c>
      <c r="AR1105" s="71" t="str">
        <f>IFERROR(__xludf.DUMMYFUNCTION("""COMPUTED_VALUE""")," RÓTULA DE FIERRO")</f>
        <v>RÓTULA DE FIERRO</v>
      </c>
      <c r="AS1105" s="71" t="str">
        <f>IFERROR(__xludf.DUMMYFUNCTION("""COMPUTED_VALUE""")," ROTULA DE FIERRO")</f>
        <v>ROTULA DE FIERRO</v>
      </c>
      <c r="AT1105" s="71">
        <f>IFERROR(__xludf.DUMMYFUNCTION("""COMPUTED_VALUE"""),16.0)</f>
        <v>16</v>
      </c>
      <c r="AU1105" s="71"/>
      <c r="AV1105" s="71"/>
      <c r="AW1105" s="71"/>
      <c r="AX1105" s="71"/>
      <c r="AY1105" s="71">
        <f>IFERROR(__xludf.DUMMYFUNCTION("""COMPUTED_VALUE"""),116.0)</f>
        <v>116</v>
      </c>
      <c r="AZ1105" s="71">
        <f>IFERROR(__xludf.DUMMYFUNCTION("""COMPUTED_VALUE"""),125.0)</f>
        <v>125</v>
      </c>
      <c r="BA1105" s="71">
        <f>IFERROR(__xludf.DUMMYFUNCTION("""COMPUTED_VALUE"""),135.0)</f>
        <v>135</v>
      </c>
      <c r="BB1105" s="71">
        <f>IFERROR(__xludf.DUMMYFUNCTION("""COMPUTED_VALUE"""),135.0)</f>
        <v>135</v>
      </c>
      <c r="BC1105" s="71">
        <f>IFERROR(__xludf.DUMMYFUNCTION("""COMPUTED_VALUE"""),152.0)</f>
        <v>152</v>
      </c>
      <c r="BD1105" s="71">
        <f>IFERROR(__xludf.DUMMYFUNCTION("""COMPUTED_VALUE"""),160.0)</f>
        <v>160</v>
      </c>
      <c r="BE1105" s="71">
        <f>IFERROR(__xludf.DUMMYFUNCTION("""COMPUTED_VALUE"""),25.6)</f>
        <v>25.6</v>
      </c>
      <c r="BF1105" s="71">
        <f>IFERROR(__xludf.DUMMYFUNCTION("""COMPUTED_VALUE"""),185.6)</f>
        <v>185.6</v>
      </c>
      <c r="BG1105" s="71">
        <f>IFERROR(__xludf.DUMMYFUNCTION("""COMPUTED_VALUE"""),0.05263157894736842)</f>
        <v>0.05263157895</v>
      </c>
      <c r="BH1105" s="71">
        <f>IFERROR(__xludf.DUMMYFUNCTION("""COMPUTED_VALUE"""),152.0)</f>
        <v>152</v>
      </c>
      <c r="BI1105" s="71">
        <f>IFERROR(__xludf.DUMMYFUNCTION("""COMPUTED_VALUE"""),24.32)</f>
        <v>24.32</v>
      </c>
      <c r="BJ1105" s="71">
        <f>IFERROR(__xludf.DUMMYFUNCTION("""COMPUTED_VALUE"""),176.32)</f>
        <v>176.32</v>
      </c>
      <c r="BK1105" s="71">
        <f>IFERROR(__xludf.DUMMYFUNCTION("""COMPUTED_VALUE"""),144.0)</f>
        <v>144</v>
      </c>
      <c r="BL1105" s="71">
        <f>IFERROR(__xludf.DUMMYFUNCTION("""COMPUTED_VALUE"""),23.04)</f>
        <v>23.04</v>
      </c>
      <c r="BM1105" s="71">
        <f>IFERROR(__xludf.DUMMYFUNCTION("""COMPUTED_VALUE"""),167.04)</f>
        <v>167.04</v>
      </c>
      <c r="BN1105" s="71">
        <f>IFERROR(__xludf.DUMMYFUNCTION("""COMPUTED_VALUE"""),136.0)</f>
        <v>136</v>
      </c>
      <c r="BO1105" s="71">
        <f>IFERROR(__xludf.DUMMYFUNCTION("""COMPUTED_VALUE"""),21.76)</f>
        <v>21.76</v>
      </c>
      <c r="BP1105" s="71">
        <f>IFERROR(__xludf.DUMMYFUNCTION("""COMPUTED_VALUE"""),157.76)</f>
        <v>157.76</v>
      </c>
      <c r="BQ1105" s="71">
        <f>IFERROR(__xludf.DUMMYFUNCTION("""COMPUTED_VALUE"""),132.79999999999998)</f>
        <v>132.8</v>
      </c>
      <c r="BR1105" s="71">
        <f>IFERROR(__xludf.DUMMYFUNCTION("""COMPUTED_VALUE"""),21.247999999999998)</f>
        <v>21.248</v>
      </c>
      <c r="BS1105" s="71">
        <f>IFERROR(__xludf.DUMMYFUNCTION("""COMPUTED_VALUE"""),154.04799999999997)</f>
        <v>154.048</v>
      </c>
      <c r="BT1105" s="71">
        <f>IFERROR(__xludf.DUMMYFUNCTION("""COMPUTED_VALUE"""),128.0)</f>
        <v>128</v>
      </c>
      <c r="BU1105" s="71">
        <f>IFERROR(__xludf.DUMMYFUNCTION("""COMPUTED_VALUE"""),20.48)</f>
        <v>20.48</v>
      </c>
      <c r="BV1105" s="71">
        <f>IFERROR(__xludf.DUMMYFUNCTION("""COMPUTED_VALUE"""),148.48)</f>
        <v>148.48</v>
      </c>
    </row>
    <row r="1106">
      <c r="A1106" s="53"/>
      <c r="B1106" s="53"/>
      <c r="C1106" s="120" t="s">
        <v>53</v>
      </c>
      <c r="D1106" s="128" t="s">
        <v>2685</v>
      </c>
      <c r="E1106" s="54" t="s">
        <v>38</v>
      </c>
      <c r="F1106" s="54" t="s">
        <v>42</v>
      </c>
      <c r="G1106" s="130" t="s">
        <v>2686</v>
      </c>
      <c r="H1106" s="54" t="s">
        <v>2686</v>
      </c>
      <c r="I1106" s="54">
        <f t="shared" si="24"/>
        <v>24</v>
      </c>
      <c r="J1106" s="56"/>
      <c r="K1106" s="75"/>
      <c r="L1106" s="76"/>
      <c r="M1106" s="59"/>
      <c r="N1106" s="79">
        <v>166.0</v>
      </c>
      <c r="O1106" s="129">
        <v>179.0</v>
      </c>
      <c r="P1106" s="62">
        <v>193.32000000000002</v>
      </c>
      <c r="Q1106" s="63">
        <v>193.32000000000002</v>
      </c>
      <c r="R1106" s="64">
        <v>203.0</v>
      </c>
      <c r="S1106" s="111">
        <v>213.0</v>
      </c>
      <c r="T1106" s="65">
        <f t="shared" si="39"/>
        <v>34.08</v>
      </c>
      <c r="U1106" s="65">
        <f t="shared" si="40"/>
        <v>247.08</v>
      </c>
      <c r="V1106" s="66">
        <f t="shared" si="41"/>
        <v>0.04926108374</v>
      </c>
      <c r="W1106" s="67">
        <f t="shared" si="5"/>
        <v>202.35</v>
      </c>
      <c r="X1106" s="67">
        <f t="shared" si="6"/>
        <v>32.376</v>
      </c>
      <c r="Y1106" s="67">
        <f t="shared" si="7"/>
        <v>234.726</v>
      </c>
      <c r="Z1106" s="67">
        <f t="shared" si="8"/>
        <v>191.7</v>
      </c>
      <c r="AA1106" s="67">
        <f t="shared" si="9"/>
        <v>30.672</v>
      </c>
      <c r="AB1106" s="67">
        <f t="shared" si="10"/>
        <v>222.372</v>
      </c>
      <c r="AC1106" s="67">
        <f t="shared" si="11"/>
        <v>181.05</v>
      </c>
      <c r="AD1106" s="67">
        <f t="shared" si="12"/>
        <v>28.968</v>
      </c>
      <c r="AE1106" s="67">
        <f t="shared" si="13"/>
        <v>210.018</v>
      </c>
      <c r="AF1106" s="67">
        <f t="shared" si="33"/>
        <v>176.79</v>
      </c>
      <c r="AG1106" s="67">
        <f t="shared" si="15"/>
        <v>28.2864</v>
      </c>
      <c r="AH1106" s="67">
        <f t="shared" si="16"/>
        <v>205.0764</v>
      </c>
      <c r="AI1106" s="67">
        <f t="shared" si="17"/>
        <v>170.4</v>
      </c>
      <c r="AJ1106" s="68">
        <f t="shared" si="37"/>
        <v>27.264</v>
      </c>
      <c r="AK1106" s="68">
        <f t="shared" si="38"/>
        <v>197.664</v>
      </c>
      <c r="AL1106" s="70">
        <f>IFERROR(__xludf.DUMMYFUNCTION("""COMPUTED_VALUE"""),1.0)</f>
        <v>1</v>
      </c>
      <c r="AM1106" s="70"/>
      <c r="AN1106" s="71" t="str">
        <f>IFERROR(__xludf.DUMMYFUNCTION("""COMPUTED_VALUE""")," P")</f>
        <v>P</v>
      </c>
      <c r="AO1106" s="71" t="str">
        <f>IFERROR(__xludf.DUMMYFUNCTION("""COMPUTED_VALUE""")," RT01")</f>
        <v>RT01</v>
      </c>
      <c r="AP1106" s="71" t="str">
        <f>IFERROR(__xludf.DUMMYFUNCTION("""COMPUTED_VALUE""")," PZA")</f>
        <v>PZA</v>
      </c>
      <c r="AQ1106" s="71" t="str">
        <f>IFERROR(__xludf.DUMMYFUNCTION("""COMPUTED_VALUE""")," REF")</f>
        <v>REF</v>
      </c>
      <c r="AR1106" s="71" t="str">
        <f>IFERROR(__xludf.DUMMYFUNCTION("""COMPUTED_VALUE""")," RÓTULAS DE FIERRO CON UN BUJE DE BRONCE")</f>
        <v>RÓTULAS DE FIERRO CON UN BUJE DE BRONCE</v>
      </c>
      <c r="AS1106" s="71" t="str">
        <f>IFERROR(__xludf.DUMMYFUNCTION("""COMPUTED_VALUE""")," ROTULAS DE FIERRO CON UN BUJE DE BRONCE")</f>
        <v>ROTULAS DE FIERRO CON UN BUJE DE BRONCE</v>
      </c>
      <c r="AT1106" s="71">
        <f>IFERROR(__xludf.DUMMYFUNCTION("""COMPUTED_VALUE"""),39.0)</f>
        <v>39</v>
      </c>
      <c r="AU1106" s="71"/>
      <c r="AV1106" s="71"/>
      <c r="AW1106" s="71"/>
      <c r="AX1106" s="71"/>
      <c r="AY1106" s="71">
        <f>IFERROR(__xludf.DUMMYFUNCTION("""COMPUTED_VALUE"""),259.0)</f>
        <v>259</v>
      </c>
      <c r="AZ1106" s="71">
        <f>IFERROR(__xludf.DUMMYFUNCTION("""COMPUTED_VALUE"""),279.0)</f>
        <v>279</v>
      </c>
      <c r="BA1106" s="71">
        <f>IFERROR(__xludf.DUMMYFUNCTION("""COMPUTED_VALUE"""),301.32)</f>
        <v>301.32</v>
      </c>
      <c r="BB1106" s="71">
        <f>IFERROR(__xludf.DUMMYFUNCTION("""COMPUTED_VALUE"""),301.32)</f>
        <v>301.32</v>
      </c>
      <c r="BC1106" s="71">
        <f>IFERROR(__xludf.DUMMYFUNCTION("""COMPUTED_VALUE"""),336.0)</f>
        <v>336</v>
      </c>
      <c r="BD1106" s="71">
        <f>IFERROR(__xludf.DUMMYFUNCTION("""COMPUTED_VALUE"""),353.0)</f>
        <v>353</v>
      </c>
      <c r="BE1106" s="71">
        <f>IFERROR(__xludf.DUMMYFUNCTION("""COMPUTED_VALUE"""),56.480000000000004)</f>
        <v>56.48</v>
      </c>
      <c r="BF1106" s="71">
        <f>IFERROR(__xludf.DUMMYFUNCTION("""COMPUTED_VALUE"""),409.48)</f>
        <v>409.48</v>
      </c>
      <c r="BG1106" s="71">
        <f>IFERROR(__xludf.DUMMYFUNCTION("""COMPUTED_VALUE"""),0.050595238095238096)</f>
        <v>0.0505952381</v>
      </c>
      <c r="BH1106" s="71">
        <f>IFERROR(__xludf.DUMMYFUNCTION("""COMPUTED_VALUE"""),335.34999999999997)</f>
        <v>335.35</v>
      </c>
      <c r="BI1106" s="71">
        <f>IFERROR(__xludf.DUMMYFUNCTION("""COMPUTED_VALUE"""),53.656)</f>
        <v>53.656</v>
      </c>
      <c r="BJ1106" s="71">
        <f>IFERROR(__xludf.DUMMYFUNCTION("""COMPUTED_VALUE"""),389.006)</f>
        <v>389.006</v>
      </c>
      <c r="BK1106" s="71">
        <f>IFERROR(__xludf.DUMMYFUNCTION("""COMPUTED_VALUE"""),317.7)</f>
        <v>317.7</v>
      </c>
      <c r="BL1106" s="71">
        <f>IFERROR(__xludf.DUMMYFUNCTION("""COMPUTED_VALUE"""),50.832)</f>
        <v>50.832</v>
      </c>
      <c r="BM1106" s="71">
        <f>IFERROR(__xludf.DUMMYFUNCTION("""COMPUTED_VALUE"""),368.532)</f>
        <v>368.532</v>
      </c>
      <c r="BN1106" s="71">
        <f>IFERROR(__xludf.DUMMYFUNCTION("""COMPUTED_VALUE"""),300.05)</f>
        <v>300.05</v>
      </c>
      <c r="BO1106" s="71">
        <f>IFERROR(__xludf.DUMMYFUNCTION("""COMPUTED_VALUE"""),48.008)</f>
        <v>48.008</v>
      </c>
      <c r="BP1106" s="71">
        <f>IFERROR(__xludf.DUMMYFUNCTION("""COMPUTED_VALUE"""),348.058)</f>
        <v>348.058</v>
      </c>
      <c r="BQ1106" s="71">
        <f>IFERROR(__xludf.DUMMYFUNCTION("""COMPUTED_VALUE"""),292.99)</f>
        <v>292.99</v>
      </c>
      <c r="BR1106" s="71">
        <f>IFERROR(__xludf.DUMMYFUNCTION("""COMPUTED_VALUE"""),46.8784)</f>
        <v>46.8784</v>
      </c>
      <c r="BS1106" s="71">
        <f>IFERROR(__xludf.DUMMYFUNCTION("""COMPUTED_VALUE"""),339.8684)</f>
        <v>339.8684</v>
      </c>
      <c r="BT1106" s="71">
        <f>IFERROR(__xludf.DUMMYFUNCTION("""COMPUTED_VALUE"""),282.40000000000003)</f>
        <v>282.4</v>
      </c>
      <c r="BU1106" s="71">
        <f>IFERROR(__xludf.DUMMYFUNCTION("""COMPUTED_VALUE"""),45.184000000000005)</f>
        <v>45.184</v>
      </c>
      <c r="BV1106" s="71">
        <f>IFERROR(__xludf.DUMMYFUNCTION("""COMPUTED_VALUE"""),327.58400000000006)</f>
        <v>327.584</v>
      </c>
    </row>
    <row r="1107">
      <c r="A1107" s="53"/>
      <c r="B1107" s="53"/>
      <c r="C1107" s="53" t="s">
        <v>53</v>
      </c>
      <c r="D1107" s="53" t="s">
        <v>2687</v>
      </c>
      <c r="E1107" s="54" t="s">
        <v>38</v>
      </c>
      <c r="F1107" s="54" t="s">
        <v>42</v>
      </c>
      <c r="G1107" s="55" t="s">
        <v>2688</v>
      </c>
      <c r="H1107" s="54" t="s">
        <v>2689</v>
      </c>
      <c r="I1107" s="54">
        <f t="shared" si="24"/>
        <v>30</v>
      </c>
      <c r="J1107" s="56"/>
      <c r="K1107" s="75"/>
      <c r="L1107" s="76"/>
      <c r="M1107" s="59"/>
      <c r="N1107" s="79">
        <v>485.0</v>
      </c>
      <c r="O1107" s="61">
        <v>523.0</v>
      </c>
      <c r="P1107" s="63">
        <v>564.84</v>
      </c>
      <c r="Q1107" s="63">
        <v>564.84</v>
      </c>
      <c r="R1107" s="64">
        <v>594.0</v>
      </c>
      <c r="S1107" s="111">
        <v>624.0</v>
      </c>
      <c r="T1107" s="65">
        <f t="shared" si="39"/>
        <v>99.84</v>
      </c>
      <c r="U1107" s="65">
        <f t="shared" si="40"/>
        <v>723.84</v>
      </c>
      <c r="V1107" s="66">
        <f t="shared" si="41"/>
        <v>0.05050505051</v>
      </c>
      <c r="W1107" s="67">
        <f t="shared" si="5"/>
        <v>592.8</v>
      </c>
      <c r="X1107" s="67">
        <f t="shared" si="6"/>
        <v>94.848</v>
      </c>
      <c r="Y1107" s="67">
        <f t="shared" si="7"/>
        <v>687.648</v>
      </c>
      <c r="Z1107" s="67">
        <f t="shared" si="8"/>
        <v>561.6</v>
      </c>
      <c r="AA1107" s="67">
        <f t="shared" si="9"/>
        <v>89.856</v>
      </c>
      <c r="AB1107" s="67">
        <f t="shared" si="10"/>
        <v>651.456</v>
      </c>
      <c r="AC1107" s="67">
        <f t="shared" si="11"/>
        <v>530.4</v>
      </c>
      <c r="AD1107" s="67">
        <f t="shared" si="12"/>
        <v>84.864</v>
      </c>
      <c r="AE1107" s="67">
        <f t="shared" si="13"/>
        <v>615.264</v>
      </c>
      <c r="AF1107" s="67">
        <f t="shared" si="33"/>
        <v>517.92</v>
      </c>
      <c r="AG1107" s="67">
        <f t="shared" si="15"/>
        <v>82.8672</v>
      </c>
      <c r="AH1107" s="67">
        <f t="shared" si="16"/>
        <v>600.7872</v>
      </c>
      <c r="AI1107" s="67">
        <f t="shared" si="17"/>
        <v>499.2</v>
      </c>
      <c r="AJ1107" s="68">
        <f t="shared" si="37"/>
        <v>79.872</v>
      </c>
      <c r="AK1107" s="68">
        <f t="shared" si="38"/>
        <v>579.072</v>
      </c>
      <c r="AL1107" s="70">
        <f>IFERROR(__xludf.DUMMYFUNCTION("""COMPUTED_VALUE"""),1.0)</f>
        <v>1</v>
      </c>
      <c r="AM1107" s="70"/>
      <c r="AN1107" s="71" t="str">
        <f>IFERROR(__xludf.DUMMYFUNCTION("""COMPUTED_VALUE""")," P")</f>
        <v>P</v>
      </c>
      <c r="AO1107" s="71" t="str">
        <f>IFERROR(__xludf.DUMMYFUNCTION("""COMPUTED_VALUE""")," SE01")</f>
        <v>SE01</v>
      </c>
      <c r="AP1107" s="71" t="str">
        <f>IFERROR(__xludf.DUMMYFUNCTION("""COMPUTED_VALUE""")," PZA")</f>
        <v>PZA</v>
      </c>
      <c r="AQ1107" s="71" t="str">
        <f>IFERROR(__xludf.DUMMYFUNCTION("""COMPUTED_VALUE""")," REF")</f>
        <v>REF</v>
      </c>
      <c r="AR1107" s="71" t="str">
        <f>IFERROR(__xludf.DUMMYFUNCTION("""COMPUTED_VALUE""")," SEGUIDOR REFORZADO")</f>
        <v>SEGUIDOR REFORZADO</v>
      </c>
      <c r="AS1107" s="71" t="str">
        <f>IFERROR(__xludf.DUMMYFUNCTION("""COMPUTED_VALUE""")," SEGUIDOR REFORZADO")</f>
        <v>SEGUIDOR REFORZADO</v>
      </c>
      <c r="AT1107" s="71">
        <f>IFERROR(__xludf.DUMMYFUNCTION("""COMPUTED_VALUE"""),18.0)</f>
        <v>18</v>
      </c>
      <c r="AU1107" s="71"/>
      <c r="AV1107" s="71"/>
      <c r="AW1107" s="71"/>
      <c r="AX1107" s="71"/>
      <c r="AY1107" s="71">
        <f>IFERROR(__xludf.DUMMYFUNCTION("""COMPUTED_VALUE"""),318.0)</f>
        <v>318</v>
      </c>
      <c r="AZ1107" s="71">
        <f>IFERROR(__xludf.DUMMYFUNCTION("""COMPUTED_VALUE"""),343.0)</f>
        <v>343</v>
      </c>
      <c r="BA1107" s="71">
        <f>IFERROR(__xludf.DUMMYFUNCTION("""COMPUTED_VALUE"""),370.44)</f>
        <v>370.44</v>
      </c>
      <c r="BB1107" s="71">
        <f>IFERROR(__xludf.DUMMYFUNCTION("""COMPUTED_VALUE"""),370.44)</f>
        <v>370.44</v>
      </c>
      <c r="BC1107" s="71">
        <f>IFERROR(__xludf.DUMMYFUNCTION("""COMPUTED_VALUE"""),413.0)</f>
        <v>413</v>
      </c>
      <c r="BD1107" s="71">
        <f>IFERROR(__xludf.DUMMYFUNCTION("""COMPUTED_VALUE"""),434.0)</f>
        <v>434</v>
      </c>
      <c r="BE1107" s="71">
        <f>IFERROR(__xludf.DUMMYFUNCTION("""COMPUTED_VALUE"""),69.44)</f>
        <v>69.44</v>
      </c>
      <c r="BF1107" s="71">
        <f>IFERROR(__xludf.DUMMYFUNCTION("""COMPUTED_VALUE"""),503.44)</f>
        <v>503.44</v>
      </c>
      <c r="BG1107" s="71">
        <f>IFERROR(__xludf.DUMMYFUNCTION("""COMPUTED_VALUE"""),0.05084745762711865)</f>
        <v>0.05084745763</v>
      </c>
      <c r="BH1107" s="71">
        <f>IFERROR(__xludf.DUMMYFUNCTION("""COMPUTED_VALUE"""),412.29999999999995)</f>
        <v>412.3</v>
      </c>
      <c r="BI1107" s="71">
        <f>IFERROR(__xludf.DUMMYFUNCTION("""COMPUTED_VALUE"""),65.96799999999999)</f>
        <v>65.968</v>
      </c>
      <c r="BJ1107" s="71">
        <f>IFERROR(__xludf.DUMMYFUNCTION("""COMPUTED_VALUE"""),478.2679999999999)</f>
        <v>478.268</v>
      </c>
      <c r="BK1107" s="71">
        <f>IFERROR(__xludf.DUMMYFUNCTION("""COMPUTED_VALUE"""),390.6)</f>
        <v>390.6</v>
      </c>
      <c r="BL1107" s="71">
        <f>IFERROR(__xludf.DUMMYFUNCTION("""COMPUTED_VALUE"""),62.496)</f>
        <v>62.496</v>
      </c>
      <c r="BM1107" s="71">
        <f>IFERROR(__xludf.DUMMYFUNCTION("""COMPUTED_VALUE"""),453.096)</f>
        <v>453.096</v>
      </c>
      <c r="BN1107" s="71">
        <f>IFERROR(__xludf.DUMMYFUNCTION("""COMPUTED_VALUE"""),368.9)</f>
        <v>368.9</v>
      </c>
      <c r="BO1107" s="71">
        <f>IFERROR(__xludf.DUMMYFUNCTION("""COMPUTED_VALUE"""),59.024)</f>
        <v>59.024</v>
      </c>
      <c r="BP1107" s="71">
        <f>IFERROR(__xludf.DUMMYFUNCTION("""COMPUTED_VALUE"""),427.924)</f>
        <v>427.924</v>
      </c>
      <c r="BQ1107" s="71">
        <f>IFERROR(__xludf.DUMMYFUNCTION("""COMPUTED_VALUE"""),360.21999999999997)</f>
        <v>360.22</v>
      </c>
      <c r="BR1107" s="71">
        <f>IFERROR(__xludf.DUMMYFUNCTION("""COMPUTED_VALUE"""),57.6352)</f>
        <v>57.6352</v>
      </c>
      <c r="BS1107" s="71">
        <f>IFERROR(__xludf.DUMMYFUNCTION("""COMPUTED_VALUE"""),417.85519999999997)</f>
        <v>417.8552</v>
      </c>
      <c r="BT1107" s="71">
        <f>IFERROR(__xludf.DUMMYFUNCTION("""COMPUTED_VALUE"""),347.20000000000005)</f>
        <v>347.2</v>
      </c>
      <c r="BU1107" s="71">
        <f>IFERROR(__xludf.DUMMYFUNCTION("""COMPUTED_VALUE"""),55.55200000000001)</f>
        <v>55.552</v>
      </c>
      <c r="BV1107" s="71">
        <f>IFERROR(__xludf.DUMMYFUNCTION("""COMPUTED_VALUE"""),402.75200000000007)</f>
        <v>402.752</v>
      </c>
    </row>
    <row r="1108">
      <c r="A1108" s="53"/>
      <c r="B1108" s="53"/>
      <c r="C1108" s="120" t="s">
        <v>53</v>
      </c>
      <c r="D1108" s="128" t="s">
        <v>2690</v>
      </c>
      <c r="E1108" s="54" t="s">
        <v>38</v>
      </c>
      <c r="F1108" s="54" t="s">
        <v>42</v>
      </c>
      <c r="G1108" s="130" t="s">
        <v>2691</v>
      </c>
      <c r="H1108" s="54" t="s">
        <v>2692</v>
      </c>
      <c r="I1108" s="54">
        <f t="shared" si="24"/>
        <v>40</v>
      </c>
      <c r="J1108" s="56"/>
      <c r="K1108" s="57"/>
      <c r="L1108" s="76"/>
      <c r="M1108" s="59"/>
      <c r="N1108" s="60">
        <v>2032.8000000000002</v>
      </c>
      <c r="O1108" s="129">
        <v>2195.0</v>
      </c>
      <c r="P1108" s="62">
        <v>2370.6000000000004</v>
      </c>
      <c r="Q1108" s="63">
        <v>2370.6000000000004</v>
      </c>
      <c r="R1108" s="64">
        <v>2490.0</v>
      </c>
      <c r="S1108" s="111">
        <v>2615.0</v>
      </c>
      <c r="T1108" s="65">
        <f t="shared" si="39"/>
        <v>418.4</v>
      </c>
      <c r="U1108" s="65">
        <f t="shared" si="40"/>
        <v>3033.4</v>
      </c>
      <c r="V1108" s="66">
        <f t="shared" si="41"/>
        <v>0.05020080321</v>
      </c>
      <c r="W1108" s="67">
        <f t="shared" si="5"/>
        <v>2484.25</v>
      </c>
      <c r="X1108" s="67">
        <f t="shared" si="6"/>
        <v>397.48</v>
      </c>
      <c r="Y1108" s="67">
        <f t="shared" si="7"/>
        <v>2881.73</v>
      </c>
      <c r="Z1108" s="67">
        <f t="shared" si="8"/>
        <v>2353.5</v>
      </c>
      <c r="AA1108" s="67">
        <f t="shared" si="9"/>
        <v>376.56</v>
      </c>
      <c r="AB1108" s="67">
        <f t="shared" si="10"/>
        <v>2730.06</v>
      </c>
      <c r="AC1108" s="67">
        <f t="shared" si="11"/>
        <v>2222.75</v>
      </c>
      <c r="AD1108" s="67">
        <f t="shared" si="12"/>
        <v>355.64</v>
      </c>
      <c r="AE1108" s="67">
        <f t="shared" si="13"/>
        <v>2578.39</v>
      </c>
      <c r="AF1108" s="67">
        <f t="shared" si="33"/>
        <v>2170.45</v>
      </c>
      <c r="AG1108" s="67">
        <f t="shared" si="15"/>
        <v>347.272</v>
      </c>
      <c r="AH1108" s="67">
        <f t="shared" si="16"/>
        <v>2517.722</v>
      </c>
      <c r="AI1108" s="67">
        <f t="shared" si="17"/>
        <v>2092</v>
      </c>
      <c r="AJ1108" s="68">
        <f t="shared" si="37"/>
        <v>334.72</v>
      </c>
      <c r="AK1108" s="68">
        <f t="shared" si="38"/>
        <v>2426.72</v>
      </c>
      <c r="AL1108" s="70">
        <f>IFERROR(__xludf.DUMMYFUNCTION("""COMPUTED_VALUE"""),1.0)</f>
        <v>1</v>
      </c>
      <c r="AM1108" s="70"/>
      <c r="AN1108" s="71" t="str">
        <f>IFERROR(__xludf.DUMMYFUNCTION("""COMPUTED_VALUE""")," P")</f>
        <v>P</v>
      </c>
      <c r="AO1108" s="71" t="str">
        <f>IFERROR(__xludf.DUMMYFUNCTION("""COMPUTED_VALUE""")," SE02")</f>
        <v>SE02</v>
      </c>
      <c r="AP1108" s="71" t="str">
        <f>IFERROR(__xludf.DUMMYFUNCTION("""COMPUTED_VALUE""")," PZA")</f>
        <v>PZA</v>
      </c>
      <c r="AQ1108" s="71" t="str">
        <f>IFERROR(__xludf.DUMMYFUNCTION("""COMPUTED_VALUE""")," REF")</f>
        <v>REF</v>
      </c>
      <c r="AR1108" s="71" t="str">
        <f>IFERROR(__xludf.DUMMYFUNCTION("""COMPUTED_VALUE""")," SEGUIDOR TIPO PUEBLA")</f>
        <v>SEGUIDOR TIPO PUEBLA</v>
      </c>
      <c r="AS1108" s="71" t="str">
        <f>IFERROR(__xludf.DUMMYFUNCTION("""COMPUTED_VALUE""")," SEGUIDOR TIPO PUEBLA")</f>
        <v>SEGUIDOR TIPO PUEBLA</v>
      </c>
      <c r="AT1108" s="71">
        <f>IFERROR(__xludf.DUMMYFUNCTION("""COMPUTED_VALUE"""),20.0)</f>
        <v>20</v>
      </c>
      <c r="AU1108" s="71"/>
      <c r="AV1108" s="71"/>
      <c r="AW1108" s="71"/>
      <c r="AX1108" s="71"/>
      <c r="AY1108" s="71">
        <f>IFERROR(__xludf.DUMMYFUNCTION("""COMPUTED_VALUE"""),326.0)</f>
        <v>326</v>
      </c>
      <c r="AZ1108" s="71">
        <f>IFERROR(__xludf.DUMMYFUNCTION("""COMPUTED_VALUE"""),352.0)</f>
        <v>352</v>
      </c>
      <c r="BA1108" s="71">
        <f>IFERROR(__xludf.DUMMYFUNCTION("""COMPUTED_VALUE"""),380.16)</f>
        <v>380.16</v>
      </c>
      <c r="BB1108" s="71">
        <f>IFERROR(__xludf.DUMMYFUNCTION("""COMPUTED_VALUE"""),380.16)</f>
        <v>380.16</v>
      </c>
      <c r="BC1108" s="71">
        <f>IFERROR(__xludf.DUMMYFUNCTION("""COMPUTED_VALUE"""),424.0)</f>
        <v>424</v>
      </c>
      <c r="BD1108" s="71">
        <f>IFERROR(__xludf.DUMMYFUNCTION("""COMPUTED_VALUE"""),445.0)</f>
        <v>445</v>
      </c>
      <c r="BE1108" s="71">
        <f>IFERROR(__xludf.DUMMYFUNCTION("""COMPUTED_VALUE"""),71.2)</f>
        <v>71.2</v>
      </c>
      <c r="BF1108" s="71">
        <f>IFERROR(__xludf.DUMMYFUNCTION("""COMPUTED_VALUE"""),516.2)</f>
        <v>516.2</v>
      </c>
      <c r="BG1108" s="71">
        <f>IFERROR(__xludf.DUMMYFUNCTION("""COMPUTED_VALUE"""),0.049528301886792456)</f>
        <v>0.04952830189</v>
      </c>
      <c r="BH1108" s="71">
        <f>IFERROR(__xludf.DUMMYFUNCTION("""COMPUTED_VALUE"""),422.75)</f>
        <v>422.75</v>
      </c>
      <c r="BI1108" s="71">
        <f>IFERROR(__xludf.DUMMYFUNCTION("""COMPUTED_VALUE"""),67.64)</f>
        <v>67.64</v>
      </c>
      <c r="BJ1108" s="71">
        <f>IFERROR(__xludf.DUMMYFUNCTION("""COMPUTED_VALUE"""),490.39)</f>
        <v>490.39</v>
      </c>
      <c r="BK1108" s="71">
        <f>IFERROR(__xludf.DUMMYFUNCTION("""COMPUTED_VALUE"""),400.5)</f>
        <v>400.5</v>
      </c>
      <c r="BL1108" s="71">
        <f>IFERROR(__xludf.DUMMYFUNCTION("""COMPUTED_VALUE"""),64.08)</f>
        <v>64.08</v>
      </c>
      <c r="BM1108" s="71">
        <f>IFERROR(__xludf.DUMMYFUNCTION("""COMPUTED_VALUE"""),464.58)</f>
        <v>464.58</v>
      </c>
      <c r="BN1108" s="71">
        <f>IFERROR(__xludf.DUMMYFUNCTION("""COMPUTED_VALUE"""),378.25)</f>
        <v>378.25</v>
      </c>
      <c r="BO1108" s="71">
        <f>IFERROR(__xludf.DUMMYFUNCTION("""COMPUTED_VALUE"""),60.52)</f>
        <v>60.52</v>
      </c>
      <c r="BP1108" s="71">
        <f>IFERROR(__xludf.DUMMYFUNCTION("""COMPUTED_VALUE"""),438.77)</f>
        <v>438.77</v>
      </c>
      <c r="BQ1108" s="71">
        <f>IFERROR(__xludf.DUMMYFUNCTION("""COMPUTED_VALUE"""),369.34999999999997)</f>
        <v>369.35</v>
      </c>
      <c r="BR1108" s="71">
        <f>IFERROR(__xludf.DUMMYFUNCTION("""COMPUTED_VALUE"""),59.096)</f>
        <v>59.096</v>
      </c>
      <c r="BS1108" s="71">
        <f>IFERROR(__xludf.DUMMYFUNCTION("""COMPUTED_VALUE"""),428.44599999999997)</f>
        <v>428.446</v>
      </c>
      <c r="BT1108" s="71">
        <f>IFERROR(__xludf.DUMMYFUNCTION("""COMPUTED_VALUE"""),356.0)</f>
        <v>356</v>
      </c>
      <c r="BU1108" s="71">
        <f>IFERROR(__xludf.DUMMYFUNCTION("""COMPUTED_VALUE"""),56.96)</f>
        <v>56.96</v>
      </c>
      <c r="BV1108" s="71">
        <f>IFERROR(__xludf.DUMMYFUNCTION("""COMPUTED_VALUE"""),412.96)</f>
        <v>412.96</v>
      </c>
    </row>
    <row r="1109">
      <c r="A1109" s="53"/>
      <c r="B1109" s="72"/>
      <c r="C1109" s="120" t="s">
        <v>53</v>
      </c>
      <c r="D1109" s="53" t="s">
        <v>2693</v>
      </c>
      <c r="E1109" s="54" t="s">
        <v>38</v>
      </c>
      <c r="F1109" s="54" t="s">
        <v>42</v>
      </c>
      <c r="G1109" s="54" t="s">
        <v>2694</v>
      </c>
      <c r="H1109" s="54" t="s">
        <v>2694</v>
      </c>
      <c r="I1109" s="54">
        <f t="shared" si="24"/>
        <v>40</v>
      </c>
      <c r="J1109" s="56"/>
      <c r="K1109" s="75"/>
      <c r="L1109" s="76"/>
      <c r="M1109" s="59"/>
      <c r="N1109" s="60"/>
      <c r="O1109" s="61">
        <v>238.0</v>
      </c>
      <c r="P1109" s="62">
        <v>257.04</v>
      </c>
      <c r="Q1109" s="63">
        <v>257.04</v>
      </c>
      <c r="R1109" s="64">
        <v>270.0</v>
      </c>
      <c r="S1109" s="111">
        <v>284.0</v>
      </c>
      <c r="T1109" s="65">
        <f t="shared" si="39"/>
        <v>45.44</v>
      </c>
      <c r="U1109" s="65">
        <f t="shared" si="40"/>
        <v>329.44</v>
      </c>
      <c r="V1109" s="66">
        <f t="shared" si="41"/>
        <v>0.05185185185</v>
      </c>
      <c r="W1109" s="67">
        <f t="shared" si="5"/>
        <v>269.8</v>
      </c>
      <c r="X1109" s="67">
        <f t="shared" si="6"/>
        <v>43.168</v>
      </c>
      <c r="Y1109" s="67">
        <f t="shared" si="7"/>
        <v>312.968</v>
      </c>
      <c r="Z1109" s="67">
        <f t="shared" si="8"/>
        <v>255.6</v>
      </c>
      <c r="AA1109" s="67">
        <f t="shared" si="9"/>
        <v>40.896</v>
      </c>
      <c r="AB1109" s="67">
        <f t="shared" si="10"/>
        <v>296.496</v>
      </c>
      <c r="AC1109" s="67">
        <f t="shared" si="11"/>
        <v>241.4</v>
      </c>
      <c r="AD1109" s="67">
        <f t="shared" si="12"/>
        <v>38.624</v>
      </c>
      <c r="AE1109" s="67">
        <f t="shared" si="13"/>
        <v>280.024</v>
      </c>
      <c r="AF1109" s="67">
        <f t="shared" si="33"/>
        <v>235.72</v>
      </c>
      <c r="AG1109" s="67">
        <f t="shared" si="15"/>
        <v>37.7152</v>
      </c>
      <c r="AH1109" s="67">
        <f t="shared" si="16"/>
        <v>273.4352</v>
      </c>
      <c r="AI1109" s="67">
        <f t="shared" si="17"/>
        <v>227.2</v>
      </c>
      <c r="AJ1109" s="68">
        <f t="shared" si="37"/>
        <v>36.352</v>
      </c>
      <c r="AK1109" s="68">
        <f t="shared" si="38"/>
        <v>263.552</v>
      </c>
      <c r="AL1109" s="70">
        <f>IFERROR(__xludf.DUMMYFUNCTION("""COMPUTED_VALUE"""),1.0)</f>
        <v>1</v>
      </c>
      <c r="AM1109" s="70"/>
      <c r="AN1109" s="71" t="str">
        <f>IFERROR(__xludf.DUMMYFUNCTION("""COMPUTED_VALUE""")," P")</f>
        <v>P</v>
      </c>
      <c r="AO1109" s="71" t="str">
        <f>IFERROR(__xludf.DUMMYFUNCTION("""COMPUTED_VALUE""")," SG05")</f>
        <v>SG05</v>
      </c>
      <c r="AP1109" s="71" t="str">
        <f>IFERROR(__xludf.DUMMYFUNCTION("""COMPUTED_VALUE""")," PZA")</f>
        <v>PZA</v>
      </c>
      <c r="AQ1109" s="71" t="str">
        <f>IFERROR(__xludf.DUMMYFUNCTION("""COMPUTED_VALUE""")," REF")</f>
        <v>REF</v>
      </c>
      <c r="AR1109" s="71" t="str">
        <f>IFERROR(__xludf.DUMMYFUNCTION("""COMPUTED_VALUE""")," SEGURO O BRAZO DE ALUMINIO PARA VÁLVULA")</f>
        <v>SEGURO O BRAZO DE ALUMINIO PARA VÁLVULA</v>
      </c>
      <c r="AS1109" s="71" t="str">
        <f>IFERROR(__xludf.DUMMYFUNCTION("""COMPUTED_VALUE""")," SEGURO O BRAZO DE ALUMINIO PARA VALVULA")</f>
        <v>SEGURO O BRAZO DE ALUMINIO PARA VALVULA</v>
      </c>
      <c r="AT1109" s="71">
        <f>IFERROR(__xludf.DUMMYFUNCTION("""COMPUTED_VALUE"""),39.0)</f>
        <v>39</v>
      </c>
      <c r="AU1109" s="71"/>
      <c r="AV1109" s="71"/>
      <c r="AW1109" s="71"/>
      <c r="AX1109" s="71"/>
      <c r="AY1109" s="71"/>
      <c r="AZ1109" s="71">
        <f>IFERROR(__xludf.DUMMYFUNCTION("""COMPUTED_VALUE"""),111.0)</f>
        <v>111</v>
      </c>
      <c r="BA1109" s="71">
        <f>IFERROR(__xludf.DUMMYFUNCTION("""COMPUTED_VALUE"""),119.88000000000001)</f>
        <v>119.88</v>
      </c>
      <c r="BB1109" s="71">
        <f>IFERROR(__xludf.DUMMYFUNCTION("""COMPUTED_VALUE"""),119.88000000000001)</f>
        <v>119.88</v>
      </c>
      <c r="BC1109" s="71">
        <f>IFERROR(__xludf.DUMMYFUNCTION("""COMPUTED_VALUE"""),126.0)</f>
        <v>126</v>
      </c>
      <c r="BD1109" s="71">
        <f>IFERROR(__xludf.DUMMYFUNCTION("""COMPUTED_VALUE"""),132.0)</f>
        <v>132</v>
      </c>
      <c r="BE1109" s="71">
        <f>IFERROR(__xludf.DUMMYFUNCTION("""COMPUTED_VALUE"""),21.12)</f>
        <v>21.12</v>
      </c>
      <c r="BF1109" s="71">
        <f>IFERROR(__xludf.DUMMYFUNCTION("""COMPUTED_VALUE"""),153.12)</f>
        <v>153.12</v>
      </c>
      <c r="BG1109" s="71">
        <f>IFERROR(__xludf.DUMMYFUNCTION("""COMPUTED_VALUE"""),0.047619047619047616)</f>
        <v>0.04761904762</v>
      </c>
      <c r="BH1109" s="71">
        <f>IFERROR(__xludf.DUMMYFUNCTION("""COMPUTED_VALUE"""),125.39999999999999)</f>
        <v>125.4</v>
      </c>
      <c r="BI1109" s="71">
        <f>IFERROR(__xludf.DUMMYFUNCTION("""COMPUTED_VALUE"""),20.064)</f>
        <v>20.064</v>
      </c>
      <c r="BJ1109" s="71">
        <f>IFERROR(__xludf.DUMMYFUNCTION("""COMPUTED_VALUE"""),145.464)</f>
        <v>145.464</v>
      </c>
      <c r="BK1109" s="71">
        <f>IFERROR(__xludf.DUMMYFUNCTION("""COMPUTED_VALUE"""),118.8)</f>
        <v>118.8</v>
      </c>
      <c r="BL1109" s="71">
        <f>IFERROR(__xludf.DUMMYFUNCTION("""COMPUTED_VALUE"""),19.008)</f>
        <v>19.008</v>
      </c>
      <c r="BM1109" s="71">
        <f>IFERROR(__xludf.DUMMYFUNCTION("""COMPUTED_VALUE"""),137.808)</f>
        <v>137.808</v>
      </c>
      <c r="BN1109" s="71">
        <f>IFERROR(__xludf.DUMMYFUNCTION("""COMPUTED_VALUE"""),112.2)</f>
        <v>112.2</v>
      </c>
      <c r="BO1109" s="71">
        <f>IFERROR(__xludf.DUMMYFUNCTION("""COMPUTED_VALUE"""),17.952)</f>
        <v>17.952</v>
      </c>
      <c r="BP1109" s="71">
        <f>IFERROR(__xludf.DUMMYFUNCTION("""COMPUTED_VALUE"""),130.15200000000002)</f>
        <v>130.152</v>
      </c>
      <c r="BQ1109" s="71">
        <f>IFERROR(__xludf.DUMMYFUNCTION("""COMPUTED_VALUE"""),109.55999999999999)</f>
        <v>109.56</v>
      </c>
      <c r="BR1109" s="71">
        <f>IFERROR(__xludf.DUMMYFUNCTION("""COMPUTED_VALUE"""),17.5296)</f>
        <v>17.5296</v>
      </c>
      <c r="BS1109" s="71">
        <f>IFERROR(__xludf.DUMMYFUNCTION("""COMPUTED_VALUE"""),127.08959999999999)</f>
        <v>127.0896</v>
      </c>
      <c r="BT1109" s="71">
        <f>IFERROR(__xludf.DUMMYFUNCTION("""COMPUTED_VALUE"""),105.60000000000001)</f>
        <v>105.6</v>
      </c>
      <c r="BU1109" s="71">
        <f>IFERROR(__xludf.DUMMYFUNCTION("""COMPUTED_VALUE"""),16.896)</f>
        <v>16.896</v>
      </c>
      <c r="BV1109" s="71">
        <f>IFERROR(__xludf.DUMMYFUNCTION("""COMPUTED_VALUE"""),122.49600000000001)</f>
        <v>122.496</v>
      </c>
    </row>
    <row r="1110">
      <c r="A1110" s="53">
        <v>1.0</v>
      </c>
      <c r="B1110" s="72"/>
      <c r="C1110" s="120" t="s">
        <v>53</v>
      </c>
      <c r="D1110" s="74" t="s">
        <v>2695</v>
      </c>
      <c r="E1110" s="54" t="s">
        <v>38</v>
      </c>
      <c r="F1110" s="54" t="s">
        <v>42</v>
      </c>
      <c r="G1110" s="88" t="s">
        <v>2696</v>
      </c>
      <c r="H1110" s="54" t="s">
        <v>2696</v>
      </c>
      <c r="I1110" s="54">
        <f t="shared" si="24"/>
        <v>40</v>
      </c>
      <c r="J1110" s="56"/>
      <c r="K1110" s="75"/>
      <c r="L1110" s="76"/>
      <c r="M1110" s="59"/>
      <c r="N1110" s="60">
        <v>46.0</v>
      </c>
      <c r="O1110" s="61">
        <v>49.0</v>
      </c>
      <c r="P1110" s="62">
        <v>52.92</v>
      </c>
      <c r="Q1110" s="63">
        <v>52.92</v>
      </c>
      <c r="R1110" s="64">
        <v>59.0</v>
      </c>
      <c r="S1110" s="111">
        <v>62.0</v>
      </c>
      <c r="T1110" s="65">
        <f t="shared" si="39"/>
        <v>9.92</v>
      </c>
      <c r="U1110" s="65">
        <f t="shared" si="40"/>
        <v>71.92</v>
      </c>
      <c r="V1110" s="66">
        <f t="shared" si="41"/>
        <v>0.05084745763</v>
      </c>
      <c r="W1110" s="67">
        <f t="shared" si="5"/>
        <v>58.9</v>
      </c>
      <c r="X1110" s="67">
        <f t="shared" si="6"/>
        <v>9.424</v>
      </c>
      <c r="Y1110" s="67">
        <f t="shared" si="7"/>
        <v>68.324</v>
      </c>
      <c r="Z1110" s="67">
        <f t="shared" si="8"/>
        <v>55.8</v>
      </c>
      <c r="AA1110" s="67">
        <f t="shared" si="9"/>
        <v>8.928</v>
      </c>
      <c r="AB1110" s="67">
        <f t="shared" si="10"/>
        <v>64.728</v>
      </c>
      <c r="AC1110" s="67">
        <f t="shared" si="11"/>
        <v>52.7</v>
      </c>
      <c r="AD1110" s="67">
        <f t="shared" si="12"/>
        <v>8.432</v>
      </c>
      <c r="AE1110" s="67">
        <f t="shared" si="13"/>
        <v>61.132</v>
      </c>
      <c r="AF1110" s="67">
        <f t="shared" si="33"/>
        <v>51.46</v>
      </c>
      <c r="AG1110" s="67">
        <f t="shared" si="15"/>
        <v>8.2336</v>
      </c>
      <c r="AH1110" s="67">
        <f t="shared" si="16"/>
        <v>59.6936</v>
      </c>
      <c r="AI1110" s="67">
        <f t="shared" si="17"/>
        <v>49.6</v>
      </c>
      <c r="AJ1110" s="68">
        <f t="shared" si="37"/>
        <v>7.936</v>
      </c>
      <c r="AK1110" s="68">
        <f t="shared" si="38"/>
        <v>57.536</v>
      </c>
      <c r="AL1110" s="70">
        <f>IFERROR(__xludf.DUMMYFUNCTION("""COMPUTED_VALUE"""),1.0)</f>
        <v>1</v>
      </c>
      <c r="AM1110" s="70"/>
      <c r="AN1110" s="71" t="str">
        <f>IFERROR(__xludf.DUMMYFUNCTION("""COMPUTED_VALUE""")," P")</f>
        <v>P</v>
      </c>
      <c r="AO1110" s="71" t="str">
        <f>IFERROR(__xludf.DUMMYFUNCTION("""COMPUTED_VALUE""")," SG01")</f>
        <v>SG01</v>
      </c>
      <c r="AP1110" s="71" t="str">
        <f>IFERROR(__xludf.DUMMYFUNCTION("""COMPUTED_VALUE""")," PZA")</f>
        <v>PZA</v>
      </c>
      <c r="AQ1110" s="71" t="str">
        <f>IFERROR(__xludf.DUMMYFUNCTION("""COMPUTED_VALUE""")," REF")</f>
        <v>REF</v>
      </c>
      <c r="AR1110" s="71" t="str">
        <f>IFERROR(__xludf.DUMMYFUNCTION("""COMPUTED_VALUE""")," SEGURO O BRAZO DE BRONCE PARA VÁLVULA")</f>
        <v>SEGURO O BRAZO DE BRONCE PARA VÁLVULA</v>
      </c>
      <c r="AS1110" s="71" t="str">
        <f>IFERROR(__xludf.DUMMYFUNCTION("""COMPUTED_VALUE""")," SEGURO O BRAZO DE BRONCE PARA VALVULA")</f>
        <v>SEGURO O BRAZO DE BRONCE PARA VALVULA</v>
      </c>
      <c r="AT1110" s="71">
        <f>IFERROR(__xludf.DUMMYFUNCTION("""COMPUTED_VALUE"""),37.0)</f>
        <v>37</v>
      </c>
      <c r="AU1110" s="71"/>
      <c r="AV1110" s="71"/>
      <c r="AW1110" s="71"/>
      <c r="AX1110" s="71"/>
      <c r="AY1110" s="71">
        <f>IFERROR(__xludf.DUMMYFUNCTION("""COMPUTED_VALUE"""),103.0)</f>
        <v>103</v>
      </c>
      <c r="AZ1110" s="71">
        <f>IFERROR(__xludf.DUMMYFUNCTION("""COMPUTED_VALUE"""),235.0)</f>
        <v>235</v>
      </c>
      <c r="BA1110" s="71">
        <f>IFERROR(__xludf.DUMMYFUNCTION("""COMPUTED_VALUE"""),253.8)</f>
        <v>253.8</v>
      </c>
      <c r="BB1110" s="71">
        <f>IFERROR(__xludf.DUMMYFUNCTION("""COMPUTED_VALUE"""),253.8)</f>
        <v>253.8</v>
      </c>
      <c r="BC1110" s="71">
        <f>IFERROR(__xludf.DUMMYFUNCTION("""COMPUTED_VALUE"""),267.0)</f>
        <v>267</v>
      </c>
      <c r="BD1110" s="71">
        <f>IFERROR(__xludf.DUMMYFUNCTION("""COMPUTED_VALUE"""),280.0)</f>
        <v>280</v>
      </c>
      <c r="BE1110" s="71">
        <f>IFERROR(__xludf.DUMMYFUNCTION("""COMPUTED_VALUE"""),44.800000000000004)</f>
        <v>44.8</v>
      </c>
      <c r="BF1110" s="71">
        <f>IFERROR(__xludf.DUMMYFUNCTION("""COMPUTED_VALUE"""),324.8)</f>
        <v>324.8</v>
      </c>
      <c r="BG1110" s="71">
        <f>IFERROR(__xludf.DUMMYFUNCTION("""COMPUTED_VALUE"""),0.04868913857677903)</f>
        <v>0.04868913858</v>
      </c>
      <c r="BH1110" s="71">
        <f>IFERROR(__xludf.DUMMYFUNCTION("""COMPUTED_VALUE"""),266.0)</f>
        <v>266</v>
      </c>
      <c r="BI1110" s="71">
        <f>IFERROR(__xludf.DUMMYFUNCTION("""COMPUTED_VALUE"""),42.56)</f>
        <v>42.56</v>
      </c>
      <c r="BJ1110" s="71">
        <f>IFERROR(__xludf.DUMMYFUNCTION("""COMPUTED_VALUE"""),308.56)</f>
        <v>308.56</v>
      </c>
      <c r="BK1110" s="71">
        <f>IFERROR(__xludf.DUMMYFUNCTION("""COMPUTED_VALUE"""),252.0)</f>
        <v>252</v>
      </c>
      <c r="BL1110" s="71">
        <f>IFERROR(__xludf.DUMMYFUNCTION("""COMPUTED_VALUE"""),40.32)</f>
        <v>40.32</v>
      </c>
      <c r="BM1110" s="71">
        <f>IFERROR(__xludf.DUMMYFUNCTION("""COMPUTED_VALUE"""),292.32)</f>
        <v>292.32</v>
      </c>
      <c r="BN1110" s="71">
        <f>IFERROR(__xludf.DUMMYFUNCTION("""COMPUTED_VALUE"""),238.0)</f>
        <v>238</v>
      </c>
      <c r="BO1110" s="71">
        <f>IFERROR(__xludf.DUMMYFUNCTION("""COMPUTED_VALUE"""),38.08)</f>
        <v>38.08</v>
      </c>
      <c r="BP1110" s="71">
        <f>IFERROR(__xludf.DUMMYFUNCTION("""COMPUTED_VALUE"""),276.08)</f>
        <v>276.08</v>
      </c>
      <c r="BQ1110" s="71">
        <f>IFERROR(__xludf.DUMMYFUNCTION("""COMPUTED_VALUE"""),232.39999999999998)</f>
        <v>232.4</v>
      </c>
      <c r="BR1110" s="71">
        <f>IFERROR(__xludf.DUMMYFUNCTION("""COMPUTED_VALUE"""),37.184)</f>
        <v>37.184</v>
      </c>
      <c r="BS1110" s="71">
        <f>IFERROR(__xludf.DUMMYFUNCTION("""COMPUTED_VALUE"""),269.58399999999995)</f>
        <v>269.584</v>
      </c>
      <c r="BT1110" s="71">
        <f>IFERROR(__xludf.DUMMYFUNCTION("""COMPUTED_VALUE"""),224.0)</f>
        <v>224</v>
      </c>
      <c r="BU1110" s="71">
        <f>IFERROR(__xludf.DUMMYFUNCTION("""COMPUTED_VALUE"""),35.84)</f>
        <v>35.84</v>
      </c>
      <c r="BV1110" s="71">
        <f>IFERROR(__xludf.DUMMYFUNCTION("""COMPUTED_VALUE"""),259.84000000000003)</f>
        <v>259.84</v>
      </c>
    </row>
    <row r="1111">
      <c r="A1111" s="53">
        <v>1.0</v>
      </c>
      <c r="B1111" s="72"/>
      <c r="C1111" s="120" t="s">
        <v>53</v>
      </c>
      <c r="D1111" s="74" t="s">
        <v>2697</v>
      </c>
      <c r="E1111" s="54" t="s">
        <v>38</v>
      </c>
      <c r="F1111" s="54" t="s">
        <v>42</v>
      </c>
      <c r="G1111" s="88" t="s">
        <v>2698</v>
      </c>
      <c r="H1111" s="54" t="s">
        <v>2698</v>
      </c>
      <c r="I1111" s="54">
        <f t="shared" si="24"/>
        <v>40</v>
      </c>
      <c r="J1111" s="56"/>
      <c r="K1111" s="75"/>
      <c r="L1111" s="76"/>
      <c r="M1111" s="59"/>
      <c r="N1111" s="60">
        <v>51.0</v>
      </c>
      <c r="O1111" s="61">
        <v>55.0</v>
      </c>
      <c r="P1111" s="62">
        <v>59.400000000000006</v>
      </c>
      <c r="Q1111" s="63">
        <v>59.400000000000006</v>
      </c>
      <c r="R1111" s="64">
        <v>67.0</v>
      </c>
      <c r="S1111" s="111">
        <v>70.0</v>
      </c>
      <c r="T1111" s="65">
        <f t="shared" si="39"/>
        <v>11.2</v>
      </c>
      <c r="U1111" s="65">
        <f t="shared" si="40"/>
        <v>81.2</v>
      </c>
      <c r="V1111" s="66">
        <f t="shared" si="41"/>
        <v>0.0447761194</v>
      </c>
      <c r="W1111" s="67">
        <f t="shared" si="5"/>
        <v>66.5</v>
      </c>
      <c r="X1111" s="67">
        <f t="shared" si="6"/>
        <v>10.64</v>
      </c>
      <c r="Y1111" s="67">
        <f t="shared" si="7"/>
        <v>77.14</v>
      </c>
      <c r="Z1111" s="67">
        <f t="shared" si="8"/>
        <v>63</v>
      </c>
      <c r="AA1111" s="67">
        <f t="shared" si="9"/>
        <v>10.08</v>
      </c>
      <c r="AB1111" s="67">
        <f t="shared" si="10"/>
        <v>73.08</v>
      </c>
      <c r="AC1111" s="67">
        <f t="shared" si="11"/>
        <v>59.5</v>
      </c>
      <c r="AD1111" s="67">
        <f t="shared" si="12"/>
        <v>9.52</v>
      </c>
      <c r="AE1111" s="67">
        <f t="shared" si="13"/>
        <v>69.02</v>
      </c>
      <c r="AF1111" s="67">
        <f t="shared" si="33"/>
        <v>58.1</v>
      </c>
      <c r="AG1111" s="67">
        <f t="shared" si="15"/>
        <v>9.296</v>
      </c>
      <c r="AH1111" s="67">
        <f t="shared" si="16"/>
        <v>67.396</v>
      </c>
      <c r="AI1111" s="67">
        <f t="shared" si="17"/>
        <v>56</v>
      </c>
      <c r="AJ1111" s="68">
        <f t="shared" si="37"/>
        <v>8.96</v>
      </c>
      <c r="AK1111" s="68">
        <f t="shared" si="38"/>
        <v>64.96</v>
      </c>
      <c r="AL1111" s="70">
        <f>IFERROR(__xludf.DUMMYFUNCTION("""COMPUTED_VALUE"""),1.0)</f>
        <v>1</v>
      </c>
      <c r="AM1111" s="70"/>
      <c r="AN1111" s="71" t="str">
        <f>IFERROR(__xludf.DUMMYFUNCTION("""COMPUTED_VALUE""")," P")</f>
        <v>P</v>
      </c>
      <c r="AO1111" s="71" t="str">
        <f>IFERROR(__xludf.DUMMYFUNCTION("""COMPUTED_VALUE""")," SG02")</f>
        <v>SG02</v>
      </c>
      <c r="AP1111" s="71" t="str">
        <f>IFERROR(__xludf.DUMMYFUNCTION("""COMPUTED_VALUE""")," PZA")</f>
        <v>PZA</v>
      </c>
      <c r="AQ1111" s="71" t="str">
        <f>IFERROR(__xludf.DUMMYFUNCTION("""COMPUTED_VALUE""")," REF")</f>
        <v>REF</v>
      </c>
      <c r="AR1111" s="71" t="str">
        <f>IFERROR(__xludf.DUMMYFUNCTION("""COMPUTED_VALUE""")," SEGURO PARA CORONA DÚPLEX")</f>
        <v>SEGURO PARA CORONA DÚPLEX</v>
      </c>
      <c r="AS1111" s="71" t="str">
        <f>IFERROR(__xludf.DUMMYFUNCTION("""COMPUTED_VALUE""")," SEGURO PARA CORONA DPLX")</f>
        <v>SEGURO PARA CORONA DPLX</v>
      </c>
      <c r="AT1111" s="71">
        <f>IFERROR(__xludf.DUMMYFUNCTION("""COMPUTED_VALUE"""),23.0)</f>
        <v>23</v>
      </c>
      <c r="AU1111" s="71"/>
      <c r="AV1111" s="71"/>
      <c r="AW1111" s="71"/>
      <c r="AX1111" s="71"/>
      <c r="AY1111" s="71">
        <f>IFERROR(__xludf.DUMMYFUNCTION("""COMPUTED_VALUE"""),19.0)</f>
        <v>19</v>
      </c>
      <c r="AZ1111" s="71">
        <f>IFERROR(__xludf.DUMMYFUNCTION("""COMPUTED_VALUE"""),20.0)</f>
        <v>20</v>
      </c>
      <c r="BA1111" s="71">
        <f>IFERROR(__xludf.DUMMYFUNCTION("""COMPUTED_VALUE"""),21.6)</f>
        <v>21.6</v>
      </c>
      <c r="BB1111" s="71">
        <f>IFERROR(__xludf.DUMMYFUNCTION("""COMPUTED_VALUE"""),21.6)</f>
        <v>21.6</v>
      </c>
      <c r="BC1111" s="71">
        <f>IFERROR(__xludf.DUMMYFUNCTION("""COMPUTED_VALUE"""),25.0)</f>
        <v>25</v>
      </c>
      <c r="BD1111" s="71">
        <f>IFERROR(__xludf.DUMMYFUNCTION("""COMPUTED_VALUE"""),26.0)</f>
        <v>26</v>
      </c>
      <c r="BE1111" s="71">
        <f>IFERROR(__xludf.DUMMYFUNCTION("""COMPUTED_VALUE"""),4.16)</f>
        <v>4.16</v>
      </c>
      <c r="BF1111" s="71">
        <f>IFERROR(__xludf.DUMMYFUNCTION("""COMPUTED_VALUE"""),30.16)</f>
        <v>30.16</v>
      </c>
      <c r="BG1111" s="71">
        <f>IFERROR(__xludf.DUMMYFUNCTION("""COMPUTED_VALUE"""),0.04)</f>
        <v>0.04</v>
      </c>
      <c r="BH1111" s="71">
        <f>IFERROR(__xludf.DUMMYFUNCTION("""COMPUTED_VALUE"""),24.7)</f>
        <v>24.7</v>
      </c>
      <c r="BI1111" s="71">
        <f>IFERROR(__xludf.DUMMYFUNCTION("""COMPUTED_VALUE"""),3.952)</f>
        <v>3.952</v>
      </c>
      <c r="BJ1111" s="71">
        <f>IFERROR(__xludf.DUMMYFUNCTION("""COMPUTED_VALUE"""),28.652)</f>
        <v>28.652</v>
      </c>
      <c r="BK1111" s="71">
        <f>IFERROR(__xludf.DUMMYFUNCTION("""COMPUTED_VALUE"""),23.400000000000002)</f>
        <v>23.4</v>
      </c>
      <c r="BL1111" s="71">
        <f>IFERROR(__xludf.DUMMYFUNCTION("""COMPUTED_VALUE"""),3.744)</f>
        <v>3.744</v>
      </c>
      <c r="BM1111" s="71">
        <f>IFERROR(__xludf.DUMMYFUNCTION("""COMPUTED_VALUE"""),27.144000000000002)</f>
        <v>27.144</v>
      </c>
      <c r="BN1111" s="71">
        <f>IFERROR(__xludf.DUMMYFUNCTION("""COMPUTED_VALUE"""),22.099999999999998)</f>
        <v>22.1</v>
      </c>
      <c r="BO1111" s="71">
        <f>IFERROR(__xludf.DUMMYFUNCTION("""COMPUTED_VALUE"""),3.5359999999999996)</f>
        <v>3.536</v>
      </c>
      <c r="BP1111" s="71">
        <f>IFERROR(__xludf.DUMMYFUNCTION("""COMPUTED_VALUE"""),25.635999999999996)</f>
        <v>25.636</v>
      </c>
      <c r="BQ1111" s="71">
        <f>IFERROR(__xludf.DUMMYFUNCTION("""COMPUTED_VALUE"""),21.58)</f>
        <v>21.58</v>
      </c>
      <c r="BR1111" s="71">
        <f>IFERROR(__xludf.DUMMYFUNCTION("""COMPUTED_VALUE"""),3.4528)</f>
        <v>3.4528</v>
      </c>
      <c r="BS1111" s="71">
        <f>IFERROR(__xludf.DUMMYFUNCTION("""COMPUTED_VALUE"""),25.032799999999998)</f>
        <v>25.0328</v>
      </c>
      <c r="BT1111" s="71">
        <f>IFERROR(__xludf.DUMMYFUNCTION("""COMPUTED_VALUE"""),20.8)</f>
        <v>20.8</v>
      </c>
      <c r="BU1111" s="71">
        <f>IFERROR(__xludf.DUMMYFUNCTION("""COMPUTED_VALUE"""),3.3280000000000003)</f>
        <v>3.328</v>
      </c>
      <c r="BV1111" s="71">
        <f>IFERROR(__xludf.DUMMYFUNCTION("""COMPUTED_VALUE"""),24.128)</f>
        <v>24.128</v>
      </c>
    </row>
    <row r="1112">
      <c r="A1112" s="53">
        <v>1.0</v>
      </c>
      <c r="B1112" s="72"/>
      <c r="C1112" s="120" t="s">
        <v>53</v>
      </c>
      <c r="D1112" s="74" t="s">
        <v>2699</v>
      </c>
      <c r="E1112" s="54" t="s">
        <v>38</v>
      </c>
      <c r="F1112" s="54" t="s">
        <v>42</v>
      </c>
      <c r="G1112" s="88" t="s">
        <v>2700</v>
      </c>
      <c r="H1112" s="54" t="s">
        <v>2700</v>
      </c>
      <c r="I1112" s="54">
        <f t="shared" si="24"/>
        <v>37</v>
      </c>
      <c r="J1112" s="56"/>
      <c r="K1112" s="75"/>
      <c r="L1112" s="76"/>
      <c r="M1112" s="59"/>
      <c r="N1112" s="60">
        <v>51.0</v>
      </c>
      <c r="O1112" s="61">
        <v>55.0</v>
      </c>
      <c r="P1112" s="62">
        <v>59.400000000000006</v>
      </c>
      <c r="Q1112" s="63">
        <v>59.400000000000006</v>
      </c>
      <c r="R1112" s="64">
        <v>67.0</v>
      </c>
      <c r="S1112" s="111">
        <v>70.0</v>
      </c>
      <c r="T1112" s="65">
        <f t="shared" si="39"/>
        <v>11.2</v>
      </c>
      <c r="U1112" s="65">
        <f t="shared" si="40"/>
        <v>81.2</v>
      </c>
      <c r="V1112" s="66">
        <f t="shared" si="41"/>
        <v>0.0447761194</v>
      </c>
      <c r="W1112" s="67">
        <f t="shared" si="5"/>
        <v>66.5</v>
      </c>
      <c r="X1112" s="67">
        <f t="shared" si="6"/>
        <v>10.64</v>
      </c>
      <c r="Y1112" s="67">
        <f t="shared" si="7"/>
        <v>77.14</v>
      </c>
      <c r="Z1112" s="67">
        <f t="shared" si="8"/>
        <v>63</v>
      </c>
      <c r="AA1112" s="67">
        <f t="shared" si="9"/>
        <v>10.08</v>
      </c>
      <c r="AB1112" s="67">
        <f t="shared" si="10"/>
        <v>73.08</v>
      </c>
      <c r="AC1112" s="67">
        <f t="shared" si="11"/>
        <v>59.5</v>
      </c>
      <c r="AD1112" s="67">
        <f t="shared" si="12"/>
        <v>9.52</v>
      </c>
      <c r="AE1112" s="67">
        <f t="shared" si="13"/>
        <v>69.02</v>
      </c>
      <c r="AF1112" s="67">
        <f t="shared" si="33"/>
        <v>58.1</v>
      </c>
      <c r="AG1112" s="67">
        <f t="shared" si="15"/>
        <v>9.296</v>
      </c>
      <c r="AH1112" s="67">
        <f t="shared" si="16"/>
        <v>67.396</v>
      </c>
      <c r="AI1112" s="67">
        <f t="shared" si="17"/>
        <v>56</v>
      </c>
      <c r="AJ1112" s="68">
        <f t="shared" si="37"/>
        <v>8.96</v>
      </c>
      <c r="AK1112" s="68">
        <f t="shared" si="38"/>
        <v>64.96</v>
      </c>
      <c r="AL1112" s="70">
        <f>IFERROR(__xludf.DUMMYFUNCTION("""COMPUTED_VALUE"""),1.0)</f>
        <v>1</v>
      </c>
      <c r="AM1112" s="70"/>
      <c r="AN1112" s="71" t="str">
        <f>IFERROR(__xludf.DUMMYFUNCTION("""COMPUTED_VALUE""")," P")</f>
        <v>P</v>
      </c>
      <c r="AO1112" s="71" t="str">
        <f>IFERROR(__xludf.DUMMYFUNCTION("""COMPUTED_VALUE""")," SG03")</f>
        <v>SG03</v>
      </c>
      <c r="AP1112" s="71" t="str">
        <f>IFERROR(__xludf.DUMMYFUNCTION("""COMPUTED_VALUE""")," PZA")</f>
        <v>PZA</v>
      </c>
      <c r="AQ1112" s="71" t="str">
        <f>IFERROR(__xludf.DUMMYFUNCTION("""COMPUTED_VALUE""")," REF")</f>
        <v>REF</v>
      </c>
      <c r="AR1112" s="71" t="str">
        <f>IFERROR(__xludf.DUMMYFUNCTION("""COMPUTED_VALUE""")," SEGURO PARA CORONA SENCILLA")</f>
        <v>SEGURO PARA CORONA SENCILLA</v>
      </c>
      <c r="AS1112" s="71" t="str">
        <f>IFERROR(__xludf.DUMMYFUNCTION("""COMPUTED_VALUE""")," SEGURO PARA CORONA SENCILLA")</f>
        <v>SEGURO PARA CORONA SENCILLA</v>
      </c>
      <c r="AT1112" s="71">
        <f>IFERROR(__xludf.DUMMYFUNCTION("""COMPUTED_VALUE"""),27.0)</f>
        <v>27</v>
      </c>
      <c r="AU1112" s="71"/>
      <c r="AV1112" s="71"/>
      <c r="AW1112" s="71"/>
      <c r="AX1112" s="71"/>
      <c r="AY1112" s="71">
        <f>IFERROR(__xludf.DUMMYFUNCTION("""COMPUTED_VALUE"""),14.0)</f>
        <v>14</v>
      </c>
      <c r="AZ1112" s="71">
        <f>IFERROR(__xludf.DUMMYFUNCTION("""COMPUTED_VALUE"""),15.0)</f>
        <v>15</v>
      </c>
      <c r="BA1112" s="71">
        <f>IFERROR(__xludf.DUMMYFUNCTION("""COMPUTED_VALUE"""),16.200000000000003)</f>
        <v>16.2</v>
      </c>
      <c r="BB1112" s="71">
        <f>IFERROR(__xludf.DUMMYFUNCTION("""COMPUTED_VALUE"""),16.200000000000003)</f>
        <v>16.2</v>
      </c>
      <c r="BC1112" s="71">
        <f>IFERROR(__xludf.DUMMYFUNCTION("""COMPUTED_VALUE"""),19.0)</f>
        <v>19</v>
      </c>
      <c r="BD1112" s="71">
        <f>IFERROR(__xludf.DUMMYFUNCTION("""COMPUTED_VALUE"""),19.95)</f>
        <v>19.95</v>
      </c>
      <c r="BE1112" s="71">
        <f>IFERROR(__xludf.DUMMYFUNCTION("""COMPUTED_VALUE"""),3.192)</f>
        <v>3.192</v>
      </c>
      <c r="BF1112" s="71">
        <f>IFERROR(__xludf.DUMMYFUNCTION("""COMPUTED_VALUE"""),23.142)</f>
        <v>23.142</v>
      </c>
      <c r="BG1112" s="71">
        <f>IFERROR(__xludf.DUMMYFUNCTION("""COMPUTED_VALUE"""),0.04999999999999996)</f>
        <v>0.05</v>
      </c>
      <c r="BH1112" s="71">
        <f>IFERROR(__xludf.DUMMYFUNCTION("""COMPUTED_VALUE"""),18.952499999999997)</f>
        <v>18.9525</v>
      </c>
      <c r="BI1112" s="71">
        <f>IFERROR(__xludf.DUMMYFUNCTION("""COMPUTED_VALUE"""),3.0323999999999995)</f>
        <v>3.0324</v>
      </c>
      <c r="BJ1112" s="71">
        <f>IFERROR(__xludf.DUMMYFUNCTION("""COMPUTED_VALUE"""),21.984899999999996)</f>
        <v>21.9849</v>
      </c>
      <c r="BK1112" s="71">
        <f>IFERROR(__xludf.DUMMYFUNCTION("""COMPUTED_VALUE"""),17.955)</f>
        <v>17.955</v>
      </c>
      <c r="BL1112" s="71">
        <f>IFERROR(__xludf.DUMMYFUNCTION("""COMPUTED_VALUE"""),2.8728)</f>
        <v>2.8728</v>
      </c>
      <c r="BM1112" s="71">
        <f>IFERROR(__xludf.DUMMYFUNCTION("""COMPUTED_VALUE"""),20.827799999999996)</f>
        <v>20.8278</v>
      </c>
      <c r="BN1112" s="71">
        <f>IFERROR(__xludf.DUMMYFUNCTION("""COMPUTED_VALUE"""),16.9575)</f>
        <v>16.9575</v>
      </c>
      <c r="BO1112" s="71">
        <f>IFERROR(__xludf.DUMMYFUNCTION("""COMPUTED_VALUE"""),2.7132)</f>
        <v>2.7132</v>
      </c>
      <c r="BP1112" s="71">
        <f>IFERROR(__xludf.DUMMYFUNCTION("""COMPUTED_VALUE"""),19.6707)</f>
        <v>19.6707</v>
      </c>
      <c r="BQ1112" s="71">
        <f>IFERROR(__xludf.DUMMYFUNCTION("""COMPUTED_VALUE"""),16.5585)</f>
        <v>16.5585</v>
      </c>
      <c r="BR1112" s="71">
        <f>IFERROR(__xludf.DUMMYFUNCTION("""COMPUTED_VALUE"""),2.6493599999999997)</f>
        <v>2.64936</v>
      </c>
      <c r="BS1112" s="71">
        <f>IFERROR(__xludf.DUMMYFUNCTION("""COMPUTED_VALUE"""),19.207859999999997)</f>
        <v>19.20786</v>
      </c>
      <c r="BT1112" s="71">
        <f>IFERROR(__xludf.DUMMYFUNCTION("""COMPUTED_VALUE"""),15.96)</f>
        <v>15.96</v>
      </c>
      <c r="BU1112" s="71">
        <f>IFERROR(__xludf.DUMMYFUNCTION("""COMPUTED_VALUE"""),2.5536000000000003)</f>
        <v>2.5536</v>
      </c>
      <c r="BV1112" s="71">
        <f>IFERROR(__xludf.DUMMYFUNCTION("""COMPUTED_VALUE"""),18.5136)</f>
        <v>18.5136</v>
      </c>
    </row>
    <row r="1113">
      <c r="A1113" s="53"/>
      <c r="B1113" s="72"/>
      <c r="C1113" s="120" t="s">
        <v>53</v>
      </c>
      <c r="D1113" s="53" t="s">
        <v>2701</v>
      </c>
      <c r="E1113" s="54" t="s">
        <v>38</v>
      </c>
      <c r="F1113" s="54" t="s">
        <v>42</v>
      </c>
      <c r="G1113" s="54" t="s">
        <v>2702</v>
      </c>
      <c r="H1113" s="54" t="s">
        <v>2703</v>
      </c>
      <c r="I1113" s="54">
        <f t="shared" si="24"/>
        <v>40</v>
      </c>
      <c r="J1113" s="56"/>
      <c r="K1113" s="75"/>
      <c r="L1113" s="76"/>
      <c r="M1113" s="59"/>
      <c r="N1113" s="60"/>
      <c r="O1113" s="61">
        <v>287.0</v>
      </c>
      <c r="P1113" s="62">
        <v>309.96000000000004</v>
      </c>
      <c r="Q1113" s="63">
        <v>309.96000000000004</v>
      </c>
      <c r="R1113" s="64">
        <v>326.0</v>
      </c>
      <c r="S1113" s="111">
        <v>342.0</v>
      </c>
      <c r="T1113" s="65">
        <f t="shared" si="39"/>
        <v>54.72</v>
      </c>
      <c r="U1113" s="65">
        <f t="shared" si="40"/>
        <v>396.72</v>
      </c>
      <c r="V1113" s="66">
        <f t="shared" si="41"/>
        <v>0.0490797546</v>
      </c>
      <c r="W1113" s="67">
        <f t="shared" si="5"/>
        <v>324.9</v>
      </c>
      <c r="X1113" s="67">
        <f t="shared" si="6"/>
        <v>51.984</v>
      </c>
      <c r="Y1113" s="67">
        <f t="shared" si="7"/>
        <v>376.884</v>
      </c>
      <c r="Z1113" s="67">
        <f t="shared" si="8"/>
        <v>307.8</v>
      </c>
      <c r="AA1113" s="67">
        <f t="shared" si="9"/>
        <v>49.248</v>
      </c>
      <c r="AB1113" s="67">
        <f t="shared" si="10"/>
        <v>357.048</v>
      </c>
      <c r="AC1113" s="67">
        <f t="shared" si="11"/>
        <v>290.7</v>
      </c>
      <c r="AD1113" s="67">
        <f t="shared" si="12"/>
        <v>46.512</v>
      </c>
      <c r="AE1113" s="67">
        <f t="shared" si="13"/>
        <v>337.212</v>
      </c>
      <c r="AF1113" s="67">
        <f t="shared" si="33"/>
        <v>283.86</v>
      </c>
      <c r="AG1113" s="67">
        <f t="shared" si="15"/>
        <v>45.4176</v>
      </c>
      <c r="AH1113" s="67">
        <f t="shared" si="16"/>
        <v>329.2776</v>
      </c>
      <c r="AI1113" s="67">
        <f t="shared" si="17"/>
        <v>273.6</v>
      </c>
      <c r="AJ1113" s="68">
        <f t="shared" si="37"/>
        <v>43.776</v>
      </c>
      <c r="AK1113" s="68">
        <f t="shared" si="38"/>
        <v>317.376</v>
      </c>
      <c r="AL1113" s="70">
        <f>IFERROR(__xludf.DUMMYFUNCTION("""COMPUTED_VALUE"""),1.0)</f>
        <v>1</v>
      </c>
      <c r="AM1113" s="70"/>
      <c r="AN1113" s="71" t="str">
        <f>IFERROR(__xludf.DUMMYFUNCTION("""COMPUTED_VALUE""")," C")</f>
        <v>C</v>
      </c>
      <c r="AO1113" s="71" t="str">
        <f>IFERROR(__xludf.DUMMYFUNCTION("""COMPUTED_VALUE""")," SL99")</f>
        <v>SL99</v>
      </c>
      <c r="AP1113" s="71" t="str">
        <f>IFERROR(__xludf.DUMMYFUNCTION("""COMPUTED_VALUE""")," PZA")</f>
        <v>PZA</v>
      </c>
      <c r="AQ1113" s="71" t="str">
        <f>IFERROR(__xludf.DUMMYFUNCTION("""COMPUTED_VALUE""")," REF")</f>
        <v>REF</v>
      </c>
      <c r="AR1113" s="71" t="str">
        <f>IFERROR(__xludf.DUMMYFUNCTION("""COMPUTED_VALUE""")," SELLO DE HULE GRADO ALIMENTICIO")</f>
        <v>SELLO DE HULE GRADO ALIMENTICIO</v>
      </c>
      <c r="AS1113" s="71" t="str">
        <f>IFERROR(__xludf.DUMMYFUNCTION("""COMPUTED_VALUE""")," SELLO DE HULE GRADO ALIMENTICIO")</f>
        <v>SELLO DE HULE GRADO ALIMENTICIO</v>
      </c>
      <c r="AT1113" s="71">
        <f>IFERROR(__xludf.DUMMYFUNCTION("""COMPUTED_VALUE"""),31.0)</f>
        <v>31</v>
      </c>
      <c r="AU1113" s="71"/>
      <c r="AV1113" s="71"/>
      <c r="AW1113" s="71"/>
      <c r="AX1113" s="71"/>
      <c r="AY1113" s="71">
        <f>IFERROR(__xludf.DUMMYFUNCTION("""COMPUTED_VALUE"""),52.0)</f>
        <v>52</v>
      </c>
      <c r="AZ1113" s="71">
        <f>IFERROR(__xludf.DUMMYFUNCTION("""COMPUTED_VALUE"""),56.0)</f>
        <v>56</v>
      </c>
      <c r="BA1113" s="71">
        <f>IFERROR(__xludf.DUMMYFUNCTION("""COMPUTED_VALUE"""),60.480000000000004)</f>
        <v>60.48</v>
      </c>
      <c r="BB1113" s="71">
        <f>IFERROR(__xludf.DUMMYFUNCTION("""COMPUTED_VALUE"""),60.480000000000004)</f>
        <v>60.48</v>
      </c>
      <c r="BC1113" s="71">
        <f>IFERROR(__xludf.DUMMYFUNCTION("""COMPUTED_VALUE"""),69.0)</f>
        <v>69</v>
      </c>
      <c r="BD1113" s="71">
        <f>IFERROR(__xludf.DUMMYFUNCTION("""COMPUTED_VALUE"""),72.0)</f>
        <v>72</v>
      </c>
      <c r="BE1113" s="71">
        <f>IFERROR(__xludf.DUMMYFUNCTION("""COMPUTED_VALUE"""),11.52)</f>
        <v>11.52</v>
      </c>
      <c r="BF1113" s="71">
        <f>IFERROR(__xludf.DUMMYFUNCTION("""COMPUTED_VALUE"""),83.52)</f>
        <v>83.52</v>
      </c>
      <c r="BG1113" s="71">
        <f>IFERROR(__xludf.DUMMYFUNCTION("""COMPUTED_VALUE"""),0.043478260869565216)</f>
        <v>0.04347826087</v>
      </c>
      <c r="BH1113" s="71">
        <f>IFERROR(__xludf.DUMMYFUNCTION("""COMPUTED_VALUE"""),68.39999999999999)</f>
        <v>68.4</v>
      </c>
      <c r="BI1113" s="71">
        <f>IFERROR(__xludf.DUMMYFUNCTION("""COMPUTED_VALUE"""),10.943999999999999)</f>
        <v>10.944</v>
      </c>
      <c r="BJ1113" s="71">
        <f>IFERROR(__xludf.DUMMYFUNCTION("""COMPUTED_VALUE"""),79.344)</f>
        <v>79.344</v>
      </c>
      <c r="BK1113" s="71">
        <f>IFERROR(__xludf.DUMMYFUNCTION("""COMPUTED_VALUE"""),64.8)</f>
        <v>64.8</v>
      </c>
      <c r="BL1113" s="71">
        <f>IFERROR(__xludf.DUMMYFUNCTION("""COMPUTED_VALUE"""),10.368)</f>
        <v>10.368</v>
      </c>
      <c r="BM1113" s="71">
        <f>IFERROR(__xludf.DUMMYFUNCTION("""COMPUTED_VALUE"""),75.16799999999999)</f>
        <v>75.168</v>
      </c>
      <c r="BN1113" s="71">
        <f>IFERROR(__xludf.DUMMYFUNCTION("""COMPUTED_VALUE"""),61.199999999999996)</f>
        <v>61.2</v>
      </c>
      <c r="BO1113" s="71">
        <f>IFERROR(__xludf.DUMMYFUNCTION("""COMPUTED_VALUE"""),9.792)</f>
        <v>9.792</v>
      </c>
      <c r="BP1113" s="71">
        <f>IFERROR(__xludf.DUMMYFUNCTION("""COMPUTED_VALUE"""),70.99199999999999)</f>
        <v>70.992</v>
      </c>
      <c r="BQ1113" s="71">
        <f>IFERROR(__xludf.DUMMYFUNCTION("""COMPUTED_VALUE"""),59.76)</f>
        <v>59.76</v>
      </c>
      <c r="BR1113" s="71">
        <f>IFERROR(__xludf.DUMMYFUNCTION("""COMPUTED_VALUE"""),9.5616)</f>
        <v>9.5616</v>
      </c>
      <c r="BS1113" s="71">
        <f>IFERROR(__xludf.DUMMYFUNCTION("""COMPUTED_VALUE"""),69.3216)</f>
        <v>69.3216</v>
      </c>
      <c r="BT1113" s="71">
        <f>IFERROR(__xludf.DUMMYFUNCTION("""COMPUTED_VALUE"""),57.6)</f>
        <v>57.6</v>
      </c>
      <c r="BU1113" s="71">
        <f>IFERROR(__xludf.DUMMYFUNCTION("""COMPUTED_VALUE"""),9.216000000000001)</f>
        <v>9.216</v>
      </c>
      <c r="BV1113" s="71">
        <f>IFERROR(__xludf.DUMMYFUNCTION("""COMPUTED_VALUE"""),66.816)</f>
        <v>66.816</v>
      </c>
    </row>
    <row r="1114">
      <c r="A1114" s="53">
        <v>1.0</v>
      </c>
      <c r="B1114" s="72"/>
      <c r="C1114" s="120" t="s">
        <v>53</v>
      </c>
      <c r="D1114" s="74" t="s">
        <v>2704</v>
      </c>
      <c r="E1114" s="54" t="s">
        <v>38</v>
      </c>
      <c r="F1114" s="54" t="s">
        <v>42</v>
      </c>
      <c r="G1114" s="88" t="s">
        <v>2705</v>
      </c>
      <c r="H1114" s="54" t="s">
        <v>2706</v>
      </c>
      <c r="I1114" s="54">
        <f t="shared" si="24"/>
        <v>22</v>
      </c>
      <c r="J1114" s="56"/>
      <c r="K1114" s="75"/>
      <c r="L1114" s="76"/>
      <c r="M1114" s="59"/>
      <c r="N1114" s="60">
        <v>201.0</v>
      </c>
      <c r="O1114" s="61">
        <v>217.0</v>
      </c>
      <c r="P1114" s="62">
        <v>274.0</v>
      </c>
      <c r="Q1114" s="63">
        <v>274.0</v>
      </c>
      <c r="R1114" s="64">
        <v>303.0</v>
      </c>
      <c r="S1114" s="111">
        <v>318.0</v>
      </c>
      <c r="T1114" s="65">
        <f t="shared" si="39"/>
        <v>50.88</v>
      </c>
      <c r="U1114" s="65">
        <f t="shared" si="40"/>
        <v>368.88</v>
      </c>
      <c r="V1114" s="66">
        <f t="shared" si="41"/>
        <v>0.0495049505</v>
      </c>
      <c r="W1114" s="67">
        <f t="shared" si="5"/>
        <v>302.1</v>
      </c>
      <c r="X1114" s="67">
        <f t="shared" si="6"/>
        <v>48.336</v>
      </c>
      <c r="Y1114" s="67">
        <f t="shared" si="7"/>
        <v>350.436</v>
      </c>
      <c r="Z1114" s="67">
        <f t="shared" si="8"/>
        <v>286.2</v>
      </c>
      <c r="AA1114" s="67">
        <f t="shared" si="9"/>
        <v>45.792</v>
      </c>
      <c r="AB1114" s="67">
        <f t="shared" si="10"/>
        <v>331.992</v>
      </c>
      <c r="AC1114" s="67">
        <f t="shared" si="11"/>
        <v>270.3</v>
      </c>
      <c r="AD1114" s="67">
        <f t="shared" si="12"/>
        <v>43.248</v>
      </c>
      <c r="AE1114" s="67">
        <f t="shared" si="13"/>
        <v>313.548</v>
      </c>
      <c r="AF1114" s="67">
        <f t="shared" si="33"/>
        <v>263.94</v>
      </c>
      <c r="AG1114" s="67">
        <f t="shared" si="15"/>
        <v>42.2304</v>
      </c>
      <c r="AH1114" s="67">
        <f t="shared" si="16"/>
        <v>306.1704</v>
      </c>
      <c r="AI1114" s="67">
        <f t="shared" si="17"/>
        <v>254.4</v>
      </c>
      <c r="AJ1114" s="68">
        <f t="shared" si="37"/>
        <v>40.704</v>
      </c>
      <c r="AK1114" s="68">
        <f t="shared" si="38"/>
        <v>295.104</v>
      </c>
      <c r="AL1114" s="70">
        <f>IFERROR(__xludf.DUMMYFUNCTION("""COMPUTED_VALUE"""),1.0)</f>
        <v>1</v>
      </c>
      <c r="AM1114" s="70"/>
      <c r="AN1114" s="71" t="str">
        <f>IFERROR(__xludf.DUMMYFUNCTION("""COMPUTED_VALUE""")," C")</f>
        <v>C</v>
      </c>
      <c r="AO1114" s="71" t="str">
        <f>IFERROR(__xludf.DUMMYFUNCTION("""COMPUTED_VALUE""")," SL01")</f>
        <v>SL01</v>
      </c>
      <c r="AP1114" s="71" t="str">
        <f>IFERROR(__xludf.DUMMYFUNCTION("""COMPUTED_VALUE""")," PZA")</f>
        <v>PZA</v>
      </c>
      <c r="AQ1114" s="71" t="str">
        <f>IFERROR(__xludf.DUMMYFUNCTION("""COMPUTED_VALUE""")," REF")</f>
        <v>REF</v>
      </c>
      <c r="AR1114" s="71" t="str">
        <f>IFERROR(__xludf.DUMMYFUNCTION("""COMPUTED_VALUE""")," SELLO ESPONJA")</f>
        <v>SELLO ESPONJA</v>
      </c>
      <c r="AS1114" s="71" t="str">
        <f>IFERROR(__xludf.DUMMYFUNCTION("""COMPUTED_VALUE""")," SELLO ESPONJA")</f>
        <v>SELLO ESPONJA</v>
      </c>
      <c r="AT1114" s="71">
        <f>IFERROR(__xludf.DUMMYFUNCTION("""COMPUTED_VALUE"""),13.0)</f>
        <v>13</v>
      </c>
      <c r="AU1114" s="71"/>
      <c r="AV1114" s="71"/>
      <c r="AW1114" s="71"/>
      <c r="AX1114" s="71"/>
      <c r="AY1114" s="71">
        <f>IFERROR(__xludf.DUMMYFUNCTION("""COMPUTED_VALUE"""),23.0)</f>
        <v>23</v>
      </c>
      <c r="AZ1114" s="71">
        <f>IFERROR(__xludf.DUMMYFUNCTION("""COMPUTED_VALUE"""),24.0)</f>
        <v>24</v>
      </c>
      <c r="BA1114" s="71">
        <f>IFERROR(__xludf.DUMMYFUNCTION("""COMPUTED_VALUE"""),18.4)</f>
        <v>18.4</v>
      </c>
      <c r="BB1114" s="71">
        <f>IFERROR(__xludf.DUMMYFUNCTION("""COMPUTED_VALUE"""),18.4)</f>
        <v>18.4</v>
      </c>
      <c r="BC1114" s="71">
        <f>IFERROR(__xludf.DUMMYFUNCTION("""COMPUTED_VALUE"""),21.0)</f>
        <v>21</v>
      </c>
      <c r="BD1114" s="71">
        <f>IFERROR(__xludf.DUMMYFUNCTION("""COMPUTED_VALUE"""),22.0)</f>
        <v>22</v>
      </c>
      <c r="BE1114" s="71">
        <f>IFERROR(__xludf.DUMMYFUNCTION("""COMPUTED_VALUE"""),3.52)</f>
        <v>3.52</v>
      </c>
      <c r="BF1114" s="71">
        <f>IFERROR(__xludf.DUMMYFUNCTION("""COMPUTED_VALUE"""),25.52)</f>
        <v>25.52</v>
      </c>
      <c r="BG1114" s="71">
        <f>IFERROR(__xludf.DUMMYFUNCTION("""COMPUTED_VALUE"""),0.047619047619047616)</f>
        <v>0.04761904762</v>
      </c>
      <c r="BH1114" s="71">
        <f>IFERROR(__xludf.DUMMYFUNCTION("""COMPUTED_VALUE"""),20.9)</f>
        <v>20.9</v>
      </c>
      <c r="BI1114" s="71">
        <f>IFERROR(__xludf.DUMMYFUNCTION("""COMPUTED_VALUE"""),3.344)</f>
        <v>3.344</v>
      </c>
      <c r="BJ1114" s="71">
        <f>IFERROR(__xludf.DUMMYFUNCTION("""COMPUTED_VALUE"""),24.244)</f>
        <v>24.244</v>
      </c>
      <c r="BK1114" s="71">
        <f>IFERROR(__xludf.DUMMYFUNCTION("""COMPUTED_VALUE"""),19.8)</f>
        <v>19.8</v>
      </c>
      <c r="BL1114" s="71">
        <f>IFERROR(__xludf.DUMMYFUNCTION("""COMPUTED_VALUE"""),3.168)</f>
        <v>3.168</v>
      </c>
      <c r="BM1114" s="71">
        <f>IFERROR(__xludf.DUMMYFUNCTION("""COMPUTED_VALUE"""),22.968)</f>
        <v>22.968</v>
      </c>
      <c r="BN1114" s="71">
        <f>IFERROR(__xludf.DUMMYFUNCTION("""COMPUTED_VALUE"""),18.7)</f>
        <v>18.7</v>
      </c>
      <c r="BO1114" s="71">
        <f>IFERROR(__xludf.DUMMYFUNCTION("""COMPUTED_VALUE"""),2.992)</f>
        <v>2.992</v>
      </c>
      <c r="BP1114" s="71">
        <f>IFERROR(__xludf.DUMMYFUNCTION("""COMPUTED_VALUE"""),21.692)</f>
        <v>21.692</v>
      </c>
      <c r="BQ1114" s="71">
        <f>IFERROR(__xludf.DUMMYFUNCTION("""COMPUTED_VALUE"""),18.259999999999998)</f>
        <v>18.26</v>
      </c>
      <c r="BR1114" s="71">
        <f>IFERROR(__xludf.DUMMYFUNCTION("""COMPUTED_VALUE"""),2.9215999999999998)</f>
        <v>2.9216</v>
      </c>
      <c r="BS1114" s="71">
        <f>IFERROR(__xludf.DUMMYFUNCTION("""COMPUTED_VALUE"""),21.181599999999996)</f>
        <v>21.1816</v>
      </c>
      <c r="BT1114" s="71">
        <f>IFERROR(__xludf.DUMMYFUNCTION("""COMPUTED_VALUE"""),17.6)</f>
        <v>17.6</v>
      </c>
      <c r="BU1114" s="71">
        <f>IFERROR(__xludf.DUMMYFUNCTION("""COMPUTED_VALUE"""),2.8160000000000003)</f>
        <v>2.816</v>
      </c>
      <c r="BV1114" s="71">
        <f>IFERROR(__xludf.DUMMYFUNCTION("""COMPUTED_VALUE"""),20.416)</f>
        <v>20.416</v>
      </c>
    </row>
    <row r="1115">
      <c r="A1115" s="53"/>
      <c r="B1115" s="53"/>
      <c r="C1115" s="53" t="s">
        <v>53</v>
      </c>
      <c r="D1115" s="53" t="s">
        <v>2707</v>
      </c>
      <c r="E1115" s="86" t="s">
        <v>38</v>
      </c>
      <c r="F1115" s="91" t="s">
        <v>42</v>
      </c>
      <c r="G1115" s="84" t="s">
        <v>2708</v>
      </c>
      <c r="H1115" s="84" t="s">
        <v>2709</v>
      </c>
      <c r="I1115" s="54">
        <f t="shared" si="24"/>
        <v>34</v>
      </c>
      <c r="J1115" s="56"/>
      <c r="K1115" s="75"/>
      <c r="L1115" s="76"/>
      <c r="M1115" s="59"/>
      <c r="N1115" s="60"/>
      <c r="O1115" s="90"/>
      <c r="P1115" s="62">
        <v>274.0</v>
      </c>
      <c r="Q1115" s="63">
        <v>274.0</v>
      </c>
      <c r="R1115" s="64">
        <v>288.0</v>
      </c>
      <c r="S1115" s="111">
        <v>302.0</v>
      </c>
      <c r="T1115" s="65">
        <f t="shared" si="39"/>
        <v>48.32</v>
      </c>
      <c r="U1115" s="65">
        <f t="shared" si="40"/>
        <v>350.32</v>
      </c>
      <c r="V1115" s="66">
        <f t="shared" si="41"/>
        <v>0.04861111111</v>
      </c>
      <c r="W1115" s="67">
        <f t="shared" si="5"/>
        <v>286.9</v>
      </c>
      <c r="X1115" s="67">
        <f t="shared" si="6"/>
        <v>45.904</v>
      </c>
      <c r="Y1115" s="67">
        <f t="shared" si="7"/>
        <v>332.804</v>
      </c>
      <c r="Z1115" s="67">
        <f t="shared" si="8"/>
        <v>271.8</v>
      </c>
      <c r="AA1115" s="67">
        <f t="shared" si="9"/>
        <v>43.488</v>
      </c>
      <c r="AB1115" s="67">
        <f t="shared" si="10"/>
        <v>315.288</v>
      </c>
      <c r="AC1115" s="67">
        <f t="shared" si="11"/>
        <v>256.7</v>
      </c>
      <c r="AD1115" s="67">
        <f t="shared" si="12"/>
        <v>41.072</v>
      </c>
      <c r="AE1115" s="67">
        <f t="shared" si="13"/>
        <v>297.772</v>
      </c>
      <c r="AF1115" s="67">
        <f t="shared" si="33"/>
        <v>250.66</v>
      </c>
      <c r="AG1115" s="67">
        <f t="shared" si="15"/>
        <v>40.1056</v>
      </c>
      <c r="AH1115" s="67">
        <f t="shared" si="16"/>
        <v>290.7656</v>
      </c>
      <c r="AI1115" s="67">
        <f t="shared" si="17"/>
        <v>241.6</v>
      </c>
      <c r="AJ1115" s="68">
        <f t="shared" si="37"/>
        <v>38.656</v>
      </c>
      <c r="AK1115" s="68">
        <f t="shared" si="38"/>
        <v>280.256</v>
      </c>
      <c r="AL1115" s="70">
        <f>IFERROR(__xludf.DUMMYFUNCTION("""COMPUTED_VALUE"""),1.0)</f>
        <v>1</v>
      </c>
      <c r="AM1115" s="70"/>
      <c r="AN1115" s="71" t="str">
        <f>IFERROR(__xludf.DUMMYFUNCTION("""COMPUTED_VALUE""")," P")</f>
        <v>P</v>
      </c>
      <c r="AO1115" s="71" t="str">
        <f>IFERROR(__xludf.DUMMYFUNCTION("""COMPUTED_VALUE""")," SD01")</f>
        <v>SD01</v>
      </c>
      <c r="AP1115" s="71" t="str">
        <f>IFERROR(__xludf.DUMMYFUNCTION("""COMPUTED_VALUE""")," PZA")</f>
        <v>PZA</v>
      </c>
      <c r="AQ1115" s="71" t="str">
        <f>IFERROR(__xludf.DUMMYFUNCTION("""COMPUTED_VALUE""")," REF")</f>
        <v>REF</v>
      </c>
      <c r="AR1115" s="71" t="str">
        <f>IFERROR(__xludf.DUMMYFUNCTION("""COMPUTED_VALUE""")," SEPARADOR DE BALERO PARA PUENTE PRINCIPAL MODELO ANTERIOR")</f>
        <v>SEPARADOR DE BALERO PARA PUENTE PRINCIPAL MODELO ANTERIOR</v>
      </c>
      <c r="AS1115" s="71" t="str">
        <f>IFERROR(__xludf.DUMMYFUNCTION("""COMPUTED_VALUE""")," SEPARADOR BALERO P/PUENTE PPAL MA")</f>
        <v>SEPARADOR BALERO P/PUENTE PPAL MA</v>
      </c>
      <c r="AT1115" s="71">
        <f>IFERROR(__xludf.DUMMYFUNCTION("""COMPUTED_VALUE"""),33.0)</f>
        <v>33</v>
      </c>
      <c r="AU1115" s="71"/>
      <c r="AV1115" s="71"/>
      <c r="AW1115" s="71"/>
      <c r="AX1115" s="71"/>
      <c r="AY1115" s="71">
        <f>IFERROR(__xludf.DUMMYFUNCTION("""COMPUTED_VALUE"""),20.0)</f>
        <v>20</v>
      </c>
      <c r="AZ1115" s="71">
        <f>IFERROR(__xludf.DUMMYFUNCTION("""COMPUTED_VALUE"""),21.0)</f>
        <v>21</v>
      </c>
      <c r="BA1115" s="71">
        <f>IFERROR(__xludf.DUMMYFUNCTION("""COMPUTED_VALUE"""),22.68)</f>
        <v>22.68</v>
      </c>
      <c r="BB1115" s="71">
        <f>IFERROR(__xludf.DUMMYFUNCTION("""COMPUTED_VALUE"""),22.68)</f>
        <v>22.68</v>
      </c>
      <c r="BC1115" s="71">
        <f>IFERROR(__xludf.DUMMYFUNCTION("""COMPUTED_VALUE"""),27.0)</f>
        <v>27</v>
      </c>
      <c r="BD1115" s="71">
        <f>IFERROR(__xludf.DUMMYFUNCTION("""COMPUTED_VALUE"""),28.0)</f>
        <v>28</v>
      </c>
      <c r="BE1115" s="71">
        <f>IFERROR(__xludf.DUMMYFUNCTION("""COMPUTED_VALUE"""),4.48)</f>
        <v>4.48</v>
      </c>
      <c r="BF1115" s="71">
        <f>IFERROR(__xludf.DUMMYFUNCTION("""COMPUTED_VALUE"""),32.480000000000004)</f>
        <v>32.48</v>
      </c>
      <c r="BG1115" s="71">
        <f>IFERROR(__xludf.DUMMYFUNCTION("""COMPUTED_VALUE"""),0.037037037037037035)</f>
        <v>0.03703703704</v>
      </c>
      <c r="BH1115" s="71">
        <f>IFERROR(__xludf.DUMMYFUNCTION("""COMPUTED_VALUE"""),26.599999999999998)</f>
        <v>26.6</v>
      </c>
      <c r="BI1115" s="71">
        <f>IFERROR(__xludf.DUMMYFUNCTION("""COMPUTED_VALUE"""),4.255999999999999)</f>
        <v>4.256</v>
      </c>
      <c r="BJ1115" s="71">
        <f>IFERROR(__xludf.DUMMYFUNCTION("""COMPUTED_VALUE"""),30.855999999999998)</f>
        <v>30.856</v>
      </c>
      <c r="BK1115" s="71">
        <f>IFERROR(__xludf.DUMMYFUNCTION("""COMPUTED_VALUE"""),25.2)</f>
        <v>25.2</v>
      </c>
      <c r="BL1115" s="71">
        <f>IFERROR(__xludf.DUMMYFUNCTION("""COMPUTED_VALUE"""),4.032)</f>
        <v>4.032</v>
      </c>
      <c r="BM1115" s="71">
        <f>IFERROR(__xludf.DUMMYFUNCTION("""COMPUTED_VALUE"""),29.232)</f>
        <v>29.232</v>
      </c>
      <c r="BN1115" s="71">
        <f>IFERROR(__xludf.DUMMYFUNCTION("""COMPUTED_VALUE"""),23.8)</f>
        <v>23.8</v>
      </c>
      <c r="BO1115" s="71">
        <f>IFERROR(__xludf.DUMMYFUNCTION("""COMPUTED_VALUE"""),3.8080000000000003)</f>
        <v>3.808</v>
      </c>
      <c r="BP1115" s="71">
        <f>IFERROR(__xludf.DUMMYFUNCTION("""COMPUTED_VALUE"""),27.608)</f>
        <v>27.608</v>
      </c>
      <c r="BQ1115" s="71">
        <f>IFERROR(__xludf.DUMMYFUNCTION("""COMPUTED_VALUE"""),23.24)</f>
        <v>23.24</v>
      </c>
      <c r="BR1115" s="71">
        <f>IFERROR(__xludf.DUMMYFUNCTION("""COMPUTED_VALUE"""),3.7184)</f>
        <v>3.7184</v>
      </c>
      <c r="BS1115" s="71">
        <f>IFERROR(__xludf.DUMMYFUNCTION("""COMPUTED_VALUE"""),26.958399999999997)</f>
        <v>26.9584</v>
      </c>
      <c r="BT1115" s="71">
        <f>IFERROR(__xludf.DUMMYFUNCTION("""COMPUTED_VALUE"""),22.400000000000002)</f>
        <v>22.4</v>
      </c>
      <c r="BU1115" s="71">
        <f>IFERROR(__xludf.DUMMYFUNCTION("""COMPUTED_VALUE"""),3.5840000000000005)</f>
        <v>3.584</v>
      </c>
      <c r="BV1115" s="71">
        <f>IFERROR(__xludf.DUMMYFUNCTION("""COMPUTED_VALUE"""),25.984)</f>
        <v>25.984</v>
      </c>
    </row>
    <row r="1116">
      <c r="A1116" s="53">
        <v>1.0</v>
      </c>
      <c r="B1116" s="72"/>
      <c r="C1116" s="120" t="s">
        <v>53</v>
      </c>
      <c r="D1116" s="74" t="s">
        <v>2710</v>
      </c>
      <c r="E1116" s="54" t="s">
        <v>38</v>
      </c>
      <c r="F1116" s="54" t="s">
        <v>42</v>
      </c>
      <c r="G1116" s="88" t="s">
        <v>2711</v>
      </c>
      <c r="H1116" s="54" t="s">
        <v>2712</v>
      </c>
      <c r="I1116" s="54">
        <f t="shared" si="24"/>
        <v>26</v>
      </c>
      <c r="J1116" s="56"/>
      <c r="K1116" s="75"/>
      <c r="L1116" s="76"/>
      <c r="M1116" s="59"/>
      <c r="N1116" s="60">
        <v>149.0</v>
      </c>
      <c r="O1116" s="61">
        <v>160.0</v>
      </c>
      <c r="P1116" s="62">
        <v>199.0</v>
      </c>
      <c r="Q1116" s="63">
        <v>199.0</v>
      </c>
      <c r="R1116" s="64">
        <v>220.0</v>
      </c>
      <c r="S1116" s="65">
        <v>184.8</v>
      </c>
      <c r="T1116" s="65">
        <f t="shared" si="39"/>
        <v>29.568</v>
      </c>
      <c r="U1116" s="65">
        <f t="shared" si="40"/>
        <v>214.368</v>
      </c>
      <c r="V1116" s="66">
        <f t="shared" si="41"/>
        <v>-0.16</v>
      </c>
      <c r="W1116" s="67">
        <f t="shared" si="5"/>
        <v>175.56</v>
      </c>
      <c r="X1116" s="67">
        <f t="shared" si="6"/>
        <v>28.0896</v>
      </c>
      <c r="Y1116" s="67">
        <f t="shared" si="7"/>
        <v>203.6496</v>
      </c>
      <c r="Z1116" s="67">
        <f t="shared" si="8"/>
        <v>166.32</v>
      </c>
      <c r="AA1116" s="67">
        <f t="shared" si="9"/>
        <v>26.6112</v>
      </c>
      <c r="AB1116" s="67">
        <f t="shared" si="10"/>
        <v>192.9312</v>
      </c>
      <c r="AC1116" s="67">
        <f t="shared" si="11"/>
        <v>157.08</v>
      </c>
      <c r="AD1116" s="67">
        <f t="shared" si="12"/>
        <v>25.1328</v>
      </c>
      <c r="AE1116" s="67">
        <f t="shared" si="13"/>
        <v>182.2128</v>
      </c>
      <c r="AF1116" s="67">
        <f t="shared" si="33"/>
        <v>153.384</v>
      </c>
      <c r="AG1116" s="67">
        <f t="shared" si="15"/>
        <v>24.54144</v>
      </c>
      <c r="AH1116" s="67">
        <f t="shared" si="16"/>
        <v>177.92544</v>
      </c>
      <c r="AI1116" s="67">
        <f t="shared" si="17"/>
        <v>147.84</v>
      </c>
      <c r="AJ1116" s="68">
        <f t="shared" si="37"/>
        <v>23.6544</v>
      </c>
      <c r="AK1116" s="68">
        <f t="shared" si="38"/>
        <v>171.4944</v>
      </c>
      <c r="AL1116" s="70">
        <f>IFERROR(__xludf.DUMMYFUNCTION("""COMPUTED_VALUE"""),1.0)</f>
        <v>1</v>
      </c>
      <c r="AM1116" s="70"/>
      <c r="AN1116" s="71" t="str">
        <f>IFERROR(__xludf.DUMMYFUNCTION("""COMPUTED_VALUE""")," P")</f>
        <v>P</v>
      </c>
      <c r="AO1116" s="71" t="str">
        <f>IFERROR(__xludf.DUMMYFUNCTION("""COMPUTED_VALUE""")," SD02")</f>
        <v>SD02</v>
      </c>
      <c r="AP1116" s="71" t="str">
        <f>IFERROR(__xludf.DUMMYFUNCTION("""COMPUTED_VALUE""")," PZA")</f>
        <v>PZA</v>
      </c>
      <c r="AQ1116" s="71" t="str">
        <f>IFERROR(__xludf.DUMMYFUNCTION("""COMPUTED_VALUE""")," REF")</f>
        <v>REF</v>
      </c>
      <c r="AR1116" s="71" t="str">
        <f>IFERROR(__xludf.DUMMYFUNCTION("""COMPUTED_VALUE""")," SEPARADOR PARA CHUMACERA EXCÉNTRICA")</f>
        <v>SEPARADOR PARA CHUMACERA EXCÉNTRICA</v>
      </c>
      <c r="AS1116" s="71" t="str">
        <f>IFERROR(__xludf.DUMMYFUNCTION("""COMPUTED_VALUE""")," SEPARADOR CHUMACERA EXCENTRICA")</f>
        <v>SEPARADOR CHUMACERA EXCENTRICA</v>
      </c>
      <c r="AT1116" s="71">
        <f>IFERROR(__xludf.DUMMYFUNCTION("""COMPUTED_VALUE"""),30.0)</f>
        <v>30</v>
      </c>
      <c r="AU1116" s="71"/>
      <c r="AV1116" s="71"/>
      <c r="AW1116" s="71"/>
      <c r="AX1116" s="71"/>
      <c r="AY1116" s="71">
        <f>IFERROR(__xludf.DUMMYFUNCTION("""COMPUTED_VALUE"""),14.0)</f>
        <v>14</v>
      </c>
      <c r="AZ1116" s="71">
        <f>IFERROR(__xludf.DUMMYFUNCTION("""COMPUTED_VALUE"""),15.0)</f>
        <v>15</v>
      </c>
      <c r="BA1116" s="71">
        <f>IFERROR(__xludf.DUMMYFUNCTION("""COMPUTED_VALUE"""),16.200000000000003)</f>
        <v>16.2</v>
      </c>
      <c r="BB1116" s="71">
        <f>IFERROR(__xludf.DUMMYFUNCTION("""COMPUTED_VALUE"""),16.200000000000003)</f>
        <v>16.2</v>
      </c>
      <c r="BC1116" s="71">
        <f>IFERROR(__xludf.DUMMYFUNCTION("""COMPUTED_VALUE"""),19.0)</f>
        <v>19</v>
      </c>
      <c r="BD1116" s="71">
        <f>IFERROR(__xludf.DUMMYFUNCTION("""COMPUTED_VALUE"""),19.95)</f>
        <v>19.95</v>
      </c>
      <c r="BE1116" s="71">
        <f>IFERROR(__xludf.DUMMYFUNCTION("""COMPUTED_VALUE"""),3.192)</f>
        <v>3.192</v>
      </c>
      <c r="BF1116" s="71">
        <f>IFERROR(__xludf.DUMMYFUNCTION("""COMPUTED_VALUE"""),23.142)</f>
        <v>23.142</v>
      </c>
      <c r="BG1116" s="71">
        <f>IFERROR(__xludf.DUMMYFUNCTION("""COMPUTED_VALUE"""),0.04999999999999996)</f>
        <v>0.05</v>
      </c>
      <c r="BH1116" s="71">
        <f>IFERROR(__xludf.DUMMYFUNCTION("""COMPUTED_VALUE"""),18.952499999999997)</f>
        <v>18.9525</v>
      </c>
      <c r="BI1116" s="71">
        <f>IFERROR(__xludf.DUMMYFUNCTION("""COMPUTED_VALUE"""),3.0323999999999995)</f>
        <v>3.0324</v>
      </c>
      <c r="BJ1116" s="71">
        <f>IFERROR(__xludf.DUMMYFUNCTION("""COMPUTED_VALUE"""),21.984899999999996)</f>
        <v>21.9849</v>
      </c>
      <c r="BK1116" s="71">
        <f>IFERROR(__xludf.DUMMYFUNCTION("""COMPUTED_VALUE"""),17.955)</f>
        <v>17.955</v>
      </c>
      <c r="BL1116" s="71">
        <f>IFERROR(__xludf.DUMMYFUNCTION("""COMPUTED_VALUE"""),2.8728)</f>
        <v>2.8728</v>
      </c>
      <c r="BM1116" s="71">
        <f>IFERROR(__xludf.DUMMYFUNCTION("""COMPUTED_VALUE"""),20.827799999999996)</f>
        <v>20.8278</v>
      </c>
      <c r="BN1116" s="71">
        <f>IFERROR(__xludf.DUMMYFUNCTION("""COMPUTED_VALUE"""),16.9575)</f>
        <v>16.9575</v>
      </c>
      <c r="BO1116" s="71">
        <f>IFERROR(__xludf.DUMMYFUNCTION("""COMPUTED_VALUE"""),2.7132)</f>
        <v>2.7132</v>
      </c>
      <c r="BP1116" s="71">
        <f>IFERROR(__xludf.DUMMYFUNCTION("""COMPUTED_VALUE"""),19.6707)</f>
        <v>19.6707</v>
      </c>
      <c r="BQ1116" s="71">
        <f>IFERROR(__xludf.DUMMYFUNCTION("""COMPUTED_VALUE"""),16.5585)</f>
        <v>16.5585</v>
      </c>
      <c r="BR1116" s="71">
        <f>IFERROR(__xludf.DUMMYFUNCTION("""COMPUTED_VALUE"""),2.6493599999999997)</f>
        <v>2.64936</v>
      </c>
      <c r="BS1116" s="71">
        <f>IFERROR(__xludf.DUMMYFUNCTION("""COMPUTED_VALUE"""),19.207859999999997)</f>
        <v>19.20786</v>
      </c>
      <c r="BT1116" s="71">
        <f>IFERROR(__xludf.DUMMYFUNCTION("""COMPUTED_VALUE"""),15.96)</f>
        <v>15.96</v>
      </c>
      <c r="BU1116" s="71">
        <f>IFERROR(__xludf.DUMMYFUNCTION("""COMPUTED_VALUE"""),2.5536000000000003)</f>
        <v>2.5536</v>
      </c>
      <c r="BV1116" s="71">
        <f>IFERROR(__xludf.DUMMYFUNCTION("""COMPUTED_VALUE"""),18.5136)</f>
        <v>18.5136</v>
      </c>
    </row>
    <row r="1117">
      <c r="A1117" s="53">
        <v>1.0</v>
      </c>
      <c r="B1117" s="53"/>
      <c r="C1117" s="53"/>
      <c r="D1117" s="53" t="s">
        <v>2713</v>
      </c>
      <c r="E1117" s="86" t="s">
        <v>38</v>
      </c>
      <c r="F1117" s="91" t="s">
        <v>42</v>
      </c>
      <c r="G1117" s="84" t="s">
        <v>2714</v>
      </c>
      <c r="H1117" s="84" t="s">
        <v>2715</v>
      </c>
      <c r="I1117" s="54">
        <f t="shared" si="24"/>
        <v>40</v>
      </c>
      <c r="J1117" s="56"/>
      <c r="K1117" s="75"/>
      <c r="L1117" s="76"/>
      <c r="M1117" s="59"/>
      <c r="N1117" s="60"/>
      <c r="O1117" s="90"/>
      <c r="P1117" s="62">
        <v>480.0</v>
      </c>
      <c r="Q1117" s="63">
        <v>480.0</v>
      </c>
      <c r="R1117" s="64">
        <v>504.0</v>
      </c>
      <c r="S1117" s="111">
        <v>529.0</v>
      </c>
      <c r="T1117" s="65">
        <f t="shared" si="39"/>
        <v>84.64</v>
      </c>
      <c r="U1117" s="65">
        <f t="shared" si="40"/>
        <v>613.64</v>
      </c>
      <c r="V1117" s="66"/>
      <c r="W1117" s="67">
        <f t="shared" si="5"/>
        <v>502.55</v>
      </c>
      <c r="X1117" s="67"/>
      <c r="Y1117" s="67"/>
      <c r="Z1117" s="67">
        <f t="shared" si="8"/>
        <v>476.1</v>
      </c>
      <c r="AA1117" s="67"/>
      <c r="AB1117" s="67"/>
      <c r="AC1117" s="67">
        <f t="shared" si="11"/>
        <v>449.65</v>
      </c>
      <c r="AD1117" s="67">
        <f t="shared" si="12"/>
        <v>71.944</v>
      </c>
      <c r="AE1117" s="67">
        <f t="shared" si="13"/>
        <v>521.594</v>
      </c>
      <c r="AF1117" s="67">
        <f t="shared" si="33"/>
        <v>439.07</v>
      </c>
      <c r="AG1117" s="67">
        <f t="shared" si="15"/>
        <v>70.2512</v>
      </c>
      <c r="AH1117" s="67">
        <f t="shared" si="16"/>
        <v>509.3212</v>
      </c>
      <c r="AI1117" s="67">
        <f t="shared" si="17"/>
        <v>423.2</v>
      </c>
      <c r="AJ1117" s="68">
        <f t="shared" si="37"/>
        <v>67.712</v>
      </c>
      <c r="AK1117" s="68">
        <f t="shared" si="38"/>
        <v>490.912</v>
      </c>
      <c r="AL1117" s="70">
        <f>IFERROR(__xludf.DUMMYFUNCTION("""COMPUTED_VALUE"""),1.0)</f>
        <v>1</v>
      </c>
      <c r="AM1117" s="70"/>
      <c r="AN1117" s="71" t="str">
        <f>IFERROR(__xludf.DUMMYFUNCTION("""COMPUTED_VALUE""")," P")</f>
        <v>P</v>
      </c>
      <c r="AO1117" s="71" t="str">
        <f>IFERROR(__xludf.DUMMYFUNCTION("""COMPUTED_VALUE""")," SD03")</f>
        <v>SD03</v>
      </c>
      <c r="AP1117" s="71" t="str">
        <f>IFERROR(__xludf.DUMMYFUNCTION("""COMPUTED_VALUE""")," PZA")</f>
        <v>PZA</v>
      </c>
      <c r="AQ1117" s="71" t="str">
        <f>IFERROR(__xludf.DUMMYFUNCTION("""COMPUTED_VALUE""")," REF")</f>
        <v>REF</v>
      </c>
      <c r="AR1117" s="71" t="str">
        <f>IFERROR(__xludf.DUMMYFUNCTION("""COMPUTED_VALUE""")," SEPARADOR PARA COLUMPIO")</f>
        <v>SEPARADOR PARA COLUMPIO</v>
      </c>
      <c r="AS1117" s="71" t="str">
        <f>IFERROR(__xludf.DUMMYFUNCTION("""COMPUTED_VALUE""")," SEPARADOR COLUMPIO")</f>
        <v>SEPARADOR COLUMPIO</v>
      </c>
      <c r="AT1117" s="71">
        <f>IFERROR(__xludf.DUMMYFUNCTION("""COMPUTED_VALUE"""),18.0)</f>
        <v>18</v>
      </c>
      <c r="AU1117" s="71"/>
      <c r="AV1117" s="71"/>
      <c r="AW1117" s="71"/>
      <c r="AX1117" s="71"/>
      <c r="AY1117" s="71">
        <f>IFERROR(__xludf.DUMMYFUNCTION("""COMPUTED_VALUE"""),14.0)</f>
        <v>14</v>
      </c>
      <c r="AZ1117" s="71">
        <f>IFERROR(__xludf.DUMMYFUNCTION("""COMPUTED_VALUE"""),15.0)</f>
        <v>15</v>
      </c>
      <c r="BA1117" s="71">
        <f>IFERROR(__xludf.DUMMYFUNCTION("""COMPUTED_VALUE"""),16.200000000000003)</f>
        <v>16.2</v>
      </c>
      <c r="BB1117" s="71">
        <f>IFERROR(__xludf.DUMMYFUNCTION("""COMPUTED_VALUE"""),16.200000000000003)</f>
        <v>16.2</v>
      </c>
      <c r="BC1117" s="71">
        <f>IFERROR(__xludf.DUMMYFUNCTION("""COMPUTED_VALUE"""),19.0)</f>
        <v>19</v>
      </c>
      <c r="BD1117" s="71">
        <f>IFERROR(__xludf.DUMMYFUNCTION("""COMPUTED_VALUE"""),19.95)</f>
        <v>19.95</v>
      </c>
      <c r="BE1117" s="71">
        <f>IFERROR(__xludf.DUMMYFUNCTION("""COMPUTED_VALUE"""),3.192)</f>
        <v>3.192</v>
      </c>
      <c r="BF1117" s="71">
        <f>IFERROR(__xludf.DUMMYFUNCTION("""COMPUTED_VALUE"""),23.142)</f>
        <v>23.142</v>
      </c>
      <c r="BG1117" s="71">
        <f>IFERROR(__xludf.DUMMYFUNCTION("""COMPUTED_VALUE"""),0.04999999999999996)</f>
        <v>0.05</v>
      </c>
      <c r="BH1117" s="71">
        <f>IFERROR(__xludf.DUMMYFUNCTION("""COMPUTED_VALUE"""),18.952499999999997)</f>
        <v>18.9525</v>
      </c>
      <c r="BI1117" s="71">
        <f>IFERROR(__xludf.DUMMYFUNCTION("""COMPUTED_VALUE"""),3.0323999999999995)</f>
        <v>3.0324</v>
      </c>
      <c r="BJ1117" s="71">
        <f>IFERROR(__xludf.DUMMYFUNCTION("""COMPUTED_VALUE"""),21.984899999999996)</f>
        <v>21.9849</v>
      </c>
      <c r="BK1117" s="71">
        <f>IFERROR(__xludf.DUMMYFUNCTION("""COMPUTED_VALUE"""),17.955)</f>
        <v>17.955</v>
      </c>
      <c r="BL1117" s="71">
        <f>IFERROR(__xludf.DUMMYFUNCTION("""COMPUTED_VALUE"""),2.8728)</f>
        <v>2.8728</v>
      </c>
      <c r="BM1117" s="71">
        <f>IFERROR(__xludf.DUMMYFUNCTION("""COMPUTED_VALUE"""),20.827799999999996)</f>
        <v>20.8278</v>
      </c>
      <c r="BN1117" s="71">
        <f>IFERROR(__xludf.DUMMYFUNCTION("""COMPUTED_VALUE"""),16.9575)</f>
        <v>16.9575</v>
      </c>
      <c r="BO1117" s="71">
        <f>IFERROR(__xludf.DUMMYFUNCTION("""COMPUTED_VALUE"""),2.7132)</f>
        <v>2.7132</v>
      </c>
      <c r="BP1117" s="71">
        <f>IFERROR(__xludf.DUMMYFUNCTION("""COMPUTED_VALUE"""),19.6707)</f>
        <v>19.6707</v>
      </c>
      <c r="BQ1117" s="71">
        <f>IFERROR(__xludf.DUMMYFUNCTION("""COMPUTED_VALUE"""),16.5585)</f>
        <v>16.5585</v>
      </c>
      <c r="BR1117" s="71">
        <f>IFERROR(__xludf.DUMMYFUNCTION("""COMPUTED_VALUE"""),2.6493599999999997)</f>
        <v>2.64936</v>
      </c>
      <c r="BS1117" s="71">
        <f>IFERROR(__xludf.DUMMYFUNCTION("""COMPUTED_VALUE"""),19.207859999999997)</f>
        <v>19.20786</v>
      </c>
      <c r="BT1117" s="71">
        <f>IFERROR(__xludf.DUMMYFUNCTION("""COMPUTED_VALUE"""),15.96)</f>
        <v>15.96</v>
      </c>
      <c r="BU1117" s="71">
        <f>IFERROR(__xludf.DUMMYFUNCTION("""COMPUTED_VALUE"""),2.5536000000000003)</f>
        <v>2.5536</v>
      </c>
      <c r="BV1117" s="71">
        <f>IFERROR(__xludf.DUMMYFUNCTION("""COMPUTED_VALUE"""),18.5136)</f>
        <v>18.5136</v>
      </c>
    </row>
    <row r="1118">
      <c r="A1118" s="53"/>
      <c r="B1118" s="53"/>
      <c r="C1118" s="53" t="s">
        <v>36</v>
      </c>
      <c r="D1118" s="85" t="s">
        <v>2716</v>
      </c>
      <c r="E1118" s="54" t="s">
        <v>38</v>
      </c>
      <c r="F1118" s="55" t="s">
        <v>39</v>
      </c>
      <c r="G1118" s="86" t="s">
        <v>2717</v>
      </c>
      <c r="H1118" s="55"/>
      <c r="I1118" s="54">
        <f t="shared" si="24"/>
        <v>0</v>
      </c>
      <c r="J1118" s="56"/>
      <c r="K1118" s="57"/>
      <c r="L1118" s="76"/>
      <c r="M1118" s="59"/>
      <c r="N1118" s="60"/>
      <c r="O1118" s="61">
        <v>806.4</v>
      </c>
      <c r="P1118" s="62">
        <v>870.912</v>
      </c>
      <c r="Q1118" s="63">
        <v>870.912</v>
      </c>
      <c r="R1118" s="64">
        <v>915.0</v>
      </c>
      <c r="S1118" s="107">
        <v>961.0</v>
      </c>
      <c r="T1118" s="65">
        <f t="shared" si="39"/>
        <v>153.76</v>
      </c>
      <c r="U1118" s="65">
        <f t="shared" si="40"/>
        <v>1114.76</v>
      </c>
      <c r="V1118" s="66">
        <f t="shared" ref="V1118:V1483" si="42">(S1118-R1118)/R1118</f>
        <v>0.05027322404</v>
      </c>
      <c r="W1118" s="67">
        <f t="shared" si="5"/>
        <v>912.95</v>
      </c>
      <c r="X1118" s="67">
        <f t="shared" ref="X1118:X1486" si="43">W1118*0.16</f>
        <v>146.072</v>
      </c>
      <c r="Y1118" s="67">
        <f t="shared" ref="Y1118:Y1486" si="44">W1118+X1118</f>
        <v>1059.022</v>
      </c>
      <c r="Z1118" s="67">
        <f t="shared" si="8"/>
        <v>864.9</v>
      </c>
      <c r="AA1118" s="67">
        <f t="shared" ref="AA1118:AA1486" si="45">Z1118*0.16</f>
        <v>138.384</v>
      </c>
      <c r="AB1118" s="67">
        <f t="shared" ref="AB1118:AB1486" si="46">Z1118+AA1118</f>
        <v>1003.284</v>
      </c>
      <c r="AC1118" s="67">
        <f t="shared" si="11"/>
        <v>816.85</v>
      </c>
      <c r="AD1118" s="67">
        <f t="shared" si="12"/>
        <v>130.696</v>
      </c>
      <c r="AE1118" s="67">
        <f t="shared" si="13"/>
        <v>947.546</v>
      </c>
      <c r="AF1118" s="67">
        <f t="shared" si="33"/>
        <v>797.63</v>
      </c>
      <c r="AG1118" s="67">
        <f t="shared" si="15"/>
        <v>127.6208</v>
      </c>
      <c r="AH1118" s="67">
        <f t="shared" si="16"/>
        <v>925.2508</v>
      </c>
      <c r="AI1118" s="67">
        <f t="shared" si="17"/>
        <v>768.8</v>
      </c>
      <c r="AJ1118" s="68">
        <f t="shared" si="37"/>
        <v>123.008</v>
      </c>
      <c r="AK1118" s="68">
        <f t="shared" si="38"/>
        <v>891.808</v>
      </c>
      <c r="AL1118" s="70">
        <f>IFERROR(__xludf.DUMMYFUNCTION("""COMPUTED_VALUE"""),1.0)</f>
        <v>1</v>
      </c>
      <c r="AM1118" s="70"/>
      <c r="AN1118" s="71" t="str">
        <f>IFERROR(__xludf.DUMMYFUNCTION("""COMPUTED_VALUE""")," P")</f>
        <v>P</v>
      </c>
      <c r="AO1118" s="71" t="str">
        <f>IFERROR(__xludf.DUMMYFUNCTION("""COMPUTED_VALUE""")," SD04")</f>
        <v>SD04</v>
      </c>
      <c r="AP1118" s="71" t="str">
        <f>IFERROR(__xludf.DUMMYFUNCTION("""COMPUTED_VALUE""")," PZA")</f>
        <v>PZA</v>
      </c>
      <c r="AQ1118" s="71" t="str">
        <f>IFERROR(__xludf.DUMMYFUNCTION("""COMPUTED_VALUE""")," REF")</f>
        <v>REF</v>
      </c>
      <c r="AR1118" s="71" t="str">
        <f>IFERROR(__xludf.DUMMYFUNCTION("""COMPUTED_VALUE""")," SEPARADOR PARA CREMALLERA (TRINQUETE)")</f>
        <v>SEPARADOR PARA CREMALLERA (TRINQUETE)</v>
      </c>
      <c r="AS1118" s="71" t="str">
        <f>IFERROR(__xludf.DUMMYFUNCTION("""COMPUTED_VALUE""")," SEPARADOR CREMALLERA (TRINQUETE)")</f>
        <v>SEPARADOR CREMALLERA (TRINQUETE)</v>
      </c>
      <c r="AT1118" s="71">
        <f>IFERROR(__xludf.DUMMYFUNCTION("""COMPUTED_VALUE"""),32.0)</f>
        <v>32</v>
      </c>
      <c r="AU1118" s="71"/>
      <c r="AV1118" s="71"/>
      <c r="AW1118" s="71"/>
      <c r="AX1118" s="71"/>
      <c r="AY1118" s="71">
        <f>IFERROR(__xludf.DUMMYFUNCTION("""COMPUTED_VALUE"""),14.0)</f>
        <v>14</v>
      </c>
      <c r="AZ1118" s="71">
        <f>IFERROR(__xludf.DUMMYFUNCTION("""COMPUTED_VALUE"""),15.0)</f>
        <v>15</v>
      </c>
      <c r="BA1118" s="71">
        <f>IFERROR(__xludf.DUMMYFUNCTION("""COMPUTED_VALUE"""),16.200000000000003)</f>
        <v>16.2</v>
      </c>
      <c r="BB1118" s="71">
        <f>IFERROR(__xludf.DUMMYFUNCTION("""COMPUTED_VALUE"""),16.200000000000003)</f>
        <v>16.2</v>
      </c>
      <c r="BC1118" s="71">
        <f>IFERROR(__xludf.DUMMYFUNCTION("""COMPUTED_VALUE"""),19.0)</f>
        <v>19</v>
      </c>
      <c r="BD1118" s="71">
        <f>IFERROR(__xludf.DUMMYFUNCTION("""COMPUTED_VALUE"""),19.95)</f>
        <v>19.95</v>
      </c>
      <c r="BE1118" s="71">
        <f>IFERROR(__xludf.DUMMYFUNCTION("""COMPUTED_VALUE"""),3.192)</f>
        <v>3.192</v>
      </c>
      <c r="BF1118" s="71">
        <f>IFERROR(__xludf.DUMMYFUNCTION("""COMPUTED_VALUE"""),23.142)</f>
        <v>23.142</v>
      </c>
      <c r="BG1118" s="71">
        <f>IFERROR(__xludf.DUMMYFUNCTION("""COMPUTED_VALUE"""),0.04999999999999996)</f>
        <v>0.05</v>
      </c>
      <c r="BH1118" s="71">
        <f>IFERROR(__xludf.DUMMYFUNCTION("""COMPUTED_VALUE"""),18.952499999999997)</f>
        <v>18.9525</v>
      </c>
      <c r="BI1118" s="71">
        <f>IFERROR(__xludf.DUMMYFUNCTION("""COMPUTED_VALUE"""),3.0323999999999995)</f>
        <v>3.0324</v>
      </c>
      <c r="BJ1118" s="71">
        <f>IFERROR(__xludf.DUMMYFUNCTION("""COMPUTED_VALUE"""),21.984899999999996)</f>
        <v>21.9849</v>
      </c>
      <c r="BK1118" s="71">
        <f>IFERROR(__xludf.DUMMYFUNCTION("""COMPUTED_VALUE"""),17.955)</f>
        <v>17.955</v>
      </c>
      <c r="BL1118" s="71">
        <f>IFERROR(__xludf.DUMMYFUNCTION("""COMPUTED_VALUE"""),2.8728)</f>
        <v>2.8728</v>
      </c>
      <c r="BM1118" s="71">
        <f>IFERROR(__xludf.DUMMYFUNCTION("""COMPUTED_VALUE"""),20.827799999999996)</f>
        <v>20.8278</v>
      </c>
      <c r="BN1118" s="71">
        <f>IFERROR(__xludf.DUMMYFUNCTION("""COMPUTED_VALUE"""),16.9575)</f>
        <v>16.9575</v>
      </c>
      <c r="BO1118" s="71">
        <f>IFERROR(__xludf.DUMMYFUNCTION("""COMPUTED_VALUE"""),2.7132)</f>
        <v>2.7132</v>
      </c>
      <c r="BP1118" s="71">
        <f>IFERROR(__xludf.DUMMYFUNCTION("""COMPUTED_VALUE"""),19.6707)</f>
        <v>19.6707</v>
      </c>
      <c r="BQ1118" s="71">
        <f>IFERROR(__xludf.DUMMYFUNCTION("""COMPUTED_VALUE"""),16.5585)</f>
        <v>16.5585</v>
      </c>
      <c r="BR1118" s="71">
        <f>IFERROR(__xludf.DUMMYFUNCTION("""COMPUTED_VALUE"""),2.6493599999999997)</f>
        <v>2.64936</v>
      </c>
      <c r="BS1118" s="71">
        <f>IFERROR(__xludf.DUMMYFUNCTION("""COMPUTED_VALUE"""),19.207859999999997)</f>
        <v>19.20786</v>
      </c>
      <c r="BT1118" s="71">
        <f>IFERROR(__xludf.DUMMYFUNCTION("""COMPUTED_VALUE"""),15.96)</f>
        <v>15.96</v>
      </c>
      <c r="BU1118" s="71">
        <f>IFERROR(__xludf.DUMMYFUNCTION("""COMPUTED_VALUE"""),2.5536000000000003)</f>
        <v>2.5536</v>
      </c>
      <c r="BV1118" s="71">
        <f>IFERROR(__xludf.DUMMYFUNCTION("""COMPUTED_VALUE"""),18.5136)</f>
        <v>18.5136</v>
      </c>
    </row>
    <row r="1119">
      <c r="A1119" s="53"/>
      <c r="B1119" s="53"/>
      <c r="C1119" s="120" t="s">
        <v>53</v>
      </c>
      <c r="D1119" s="128" t="s">
        <v>2718</v>
      </c>
      <c r="E1119" s="54" t="s">
        <v>38</v>
      </c>
      <c r="F1119" s="54" t="s">
        <v>42</v>
      </c>
      <c r="G1119" s="130" t="s">
        <v>2719</v>
      </c>
      <c r="H1119" s="54" t="s">
        <v>2720</v>
      </c>
      <c r="I1119" s="54">
        <f t="shared" si="24"/>
        <v>40</v>
      </c>
      <c r="J1119" s="56"/>
      <c r="K1119" s="75"/>
      <c r="L1119" s="76"/>
      <c r="M1119" s="59"/>
      <c r="N1119" s="79">
        <v>183.0</v>
      </c>
      <c r="O1119" s="129">
        <v>580.0</v>
      </c>
      <c r="P1119" s="62">
        <v>626.4000000000001</v>
      </c>
      <c r="Q1119" s="63">
        <v>626.4000000000001</v>
      </c>
      <c r="R1119" s="64">
        <v>658.0</v>
      </c>
      <c r="S1119" s="111">
        <v>691.0</v>
      </c>
      <c r="T1119" s="65">
        <f t="shared" si="39"/>
        <v>110.56</v>
      </c>
      <c r="U1119" s="65">
        <f t="shared" si="40"/>
        <v>801.56</v>
      </c>
      <c r="V1119" s="66">
        <f t="shared" si="42"/>
        <v>0.05015197568</v>
      </c>
      <c r="W1119" s="67">
        <f t="shared" si="5"/>
        <v>656.45</v>
      </c>
      <c r="X1119" s="67">
        <f t="shared" si="43"/>
        <v>105.032</v>
      </c>
      <c r="Y1119" s="67">
        <f t="shared" si="44"/>
        <v>761.482</v>
      </c>
      <c r="Z1119" s="67">
        <f t="shared" si="8"/>
        <v>621.9</v>
      </c>
      <c r="AA1119" s="67">
        <f t="shared" si="45"/>
        <v>99.504</v>
      </c>
      <c r="AB1119" s="67">
        <f t="shared" si="46"/>
        <v>721.404</v>
      </c>
      <c r="AC1119" s="67">
        <f t="shared" si="11"/>
        <v>587.35</v>
      </c>
      <c r="AD1119" s="67">
        <f t="shared" si="12"/>
        <v>93.976</v>
      </c>
      <c r="AE1119" s="67">
        <f t="shared" si="13"/>
        <v>681.326</v>
      </c>
      <c r="AF1119" s="67">
        <f t="shared" si="33"/>
        <v>573.53</v>
      </c>
      <c r="AG1119" s="67">
        <f t="shared" si="15"/>
        <v>91.7648</v>
      </c>
      <c r="AH1119" s="67">
        <f t="shared" si="16"/>
        <v>665.2948</v>
      </c>
      <c r="AI1119" s="67">
        <f t="shared" si="17"/>
        <v>552.8</v>
      </c>
      <c r="AJ1119" s="68">
        <f t="shared" si="37"/>
        <v>88.448</v>
      </c>
      <c r="AK1119" s="68">
        <f t="shared" si="38"/>
        <v>641.248</v>
      </c>
      <c r="AL1119" s="70">
        <f>IFERROR(__xludf.DUMMYFUNCTION("""COMPUTED_VALUE"""),1.0)</f>
        <v>1</v>
      </c>
      <c r="AM1119" s="70"/>
      <c r="AN1119" s="71" t="str">
        <f>IFERROR(__xludf.DUMMYFUNCTION("""COMPUTED_VALUE""")," P")</f>
        <v>P</v>
      </c>
      <c r="AO1119" s="71" t="str">
        <f>IFERROR(__xludf.DUMMYFUNCTION("""COMPUTED_VALUE""")," SD05")</f>
        <v>SD05</v>
      </c>
      <c r="AP1119" s="71" t="str">
        <f>IFERROR(__xludf.DUMMYFUNCTION("""COMPUTED_VALUE""")," PZA")</f>
        <v>PZA</v>
      </c>
      <c r="AQ1119" s="71" t="str">
        <f>IFERROR(__xludf.DUMMYFUNCTION("""COMPUTED_VALUE""")," REF")</f>
        <v>REF</v>
      </c>
      <c r="AR1119" s="71" t="str">
        <f>IFERROR(__xludf.DUMMYFUNCTION("""COMPUTED_VALUE""")," SEPARADOR PARA LATERAL SENCILLO")</f>
        <v>SEPARADOR PARA LATERAL SENCILLO</v>
      </c>
      <c r="AS1119" s="71" t="str">
        <f>IFERROR(__xludf.DUMMYFUNCTION("""COMPUTED_VALUE""")," SEPARADOR LATERAL SENCILLO")</f>
        <v>SEPARADOR LATERAL SENCILLO</v>
      </c>
      <c r="AT1119" s="71">
        <f>IFERROR(__xludf.DUMMYFUNCTION("""COMPUTED_VALUE"""),26.0)</f>
        <v>26</v>
      </c>
      <c r="AU1119" s="71"/>
      <c r="AV1119" s="71"/>
      <c r="AW1119" s="71"/>
      <c r="AX1119" s="71"/>
      <c r="AY1119" s="71">
        <f>IFERROR(__xludf.DUMMYFUNCTION("""COMPUTED_VALUE"""),90.0)</f>
        <v>90</v>
      </c>
      <c r="AZ1119" s="71">
        <f>IFERROR(__xludf.DUMMYFUNCTION("""COMPUTED_VALUE"""),97.0)</f>
        <v>97</v>
      </c>
      <c r="BA1119" s="71">
        <f>IFERROR(__xludf.DUMMYFUNCTION("""COMPUTED_VALUE"""),104.76)</f>
        <v>104.76</v>
      </c>
      <c r="BB1119" s="71">
        <f>IFERROR(__xludf.DUMMYFUNCTION("""COMPUTED_VALUE"""),104.76)</f>
        <v>104.76</v>
      </c>
      <c r="BC1119" s="71">
        <f>IFERROR(__xludf.DUMMYFUNCTION("""COMPUTED_VALUE"""),118.0)</f>
        <v>118</v>
      </c>
      <c r="BD1119" s="71">
        <f>IFERROR(__xludf.DUMMYFUNCTION("""COMPUTED_VALUE"""),124.0)</f>
        <v>124</v>
      </c>
      <c r="BE1119" s="71">
        <f>IFERROR(__xludf.DUMMYFUNCTION("""COMPUTED_VALUE"""),19.84)</f>
        <v>19.84</v>
      </c>
      <c r="BF1119" s="71">
        <f>IFERROR(__xludf.DUMMYFUNCTION("""COMPUTED_VALUE"""),143.84)</f>
        <v>143.84</v>
      </c>
      <c r="BG1119" s="71">
        <f>IFERROR(__xludf.DUMMYFUNCTION("""COMPUTED_VALUE"""),0.05084745762711865)</f>
        <v>0.05084745763</v>
      </c>
      <c r="BH1119" s="71">
        <f>IFERROR(__xludf.DUMMYFUNCTION("""COMPUTED_VALUE"""),117.8)</f>
        <v>117.8</v>
      </c>
      <c r="BI1119" s="71">
        <f>IFERROR(__xludf.DUMMYFUNCTION("""COMPUTED_VALUE"""),18.848)</f>
        <v>18.848</v>
      </c>
      <c r="BJ1119" s="71">
        <f>IFERROR(__xludf.DUMMYFUNCTION("""COMPUTED_VALUE"""),136.648)</f>
        <v>136.648</v>
      </c>
      <c r="BK1119" s="71">
        <f>IFERROR(__xludf.DUMMYFUNCTION("""COMPUTED_VALUE"""),111.60000000000001)</f>
        <v>111.6</v>
      </c>
      <c r="BL1119" s="71">
        <f>IFERROR(__xludf.DUMMYFUNCTION("""COMPUTED_VALUE"""),17.856)</f>
        <v>17.856</v>
      </c>
      <c r="BM1119" s="71">
        <f>IFERROR(__xludf.DUMMYFUNCTION("""COMPUTED_VALUE"""),129.45600000000002)</f>
        <v>129.456</v>
      </c>
      <c r="BN1119" s="71">
        <f>IFERROR(__xludf.DUMMYFUNCTION("""COMPUTED_VALUE"""),105.39999999999999)</f>
        <v>105.4</v>
      </c>
      <c r="BO1119" s="71">
        <f>IFERROR(__xludf.DUMMYFUNCTION("""COMPUTED_VALUE"""),16.863999999999997)</f>
        <v>16.864</v>
      </c>
      <c r="BP1119" s="71">
        <f>IFERROR(__xludf.DUMMYFUNCTION("""COMPUTED_VALUE"""),122.26399999999998)</f>
        <v>122.264</v>
      </c>
      <c r="BQ1119" s="71">
        <f>IFERROR(__xludf.DUMMYFUNCTION("""COMPUTED_VALUE"""),102.92)</f>
        <v>102.92</v>
      </c>
      <c r="BR1119" s="71">
        <f>IFERROR(__xludf.DUMMYFUNCTION("""COMPUTED_VALUE"""),16.467200000000002)</f>
        <v>16.4672</v>
      </c>
      <c r="BS1119" s="71">
        <f>IFERROR(__xludf.DUMMYFUNCTION("""COMPUTED_VALUE"""),119.3872)</f>
        <v>119.3872</v>
      </c>
      <c r="BT1119" s="71">
        <f>IFERROR(__xludf.DUMMYFUNCTION("""COMPUTED_VALUE"""),99.2)</f>
        <v>99.2</v>
      </c>
      <c r="BU1119" s="71">
        <f>IFERROR(__xludf.DUMMYFUNCTION("""COMPUTED_VALUE"""),15.872000000000002)</f>
        <v>15.872</v>
      </c>
      <c r="BV1119" s="71">
        <f>IFERROR(__xludf.DUMMYFUNCTION("""COMPUTED_VALUE"""),115.072)</f>
        <v>115.072</v>
      </c>
    </row>
    <row r="1120">
      <c r="A1120" s="53">
        <v>1.0</v>
      </c>
      <c r="B1120" s="53"/>
      <c r="C1120" s="53" t="s">
        <v>12</v>
      </c>
      <c r="D1120" s="53" t="s">
        <v>2721</v>
      </c>
      <c r="E1120" s="86" t="s">
        <v>38</v>
      </c>
      <c r="F1120" s="91" t="s">
        <v>42</v>
      </c>
      <c r="G1120" s="84" t="s">
        <v>2722</v>
      </c>
      <c r="H1120" s="84" t="s">
        <v>2722</v>
      </c>
      <c r="I1120" s="54">
        <f t="shared" si="24"/>
        <v>21</v>
      </c>
      <c r="J1120" s="56"/>
      <c r="K1120" s="57"/>
      <c r="L1120" s="76"/>
      <c r="M1120" s="59"/>
      <c r="N1120" s="60"/>
      <c r="O1120" s="90"/>
      <c r="P1120" s="62">
        <v>155.0</v>
      </c>
      <c r="Q1120" s="63">
        <v>155.0</v>
      </c>
      <c r="R1120" s="64">
        <v>335.0</v>
      </c>
      <c r="S1120" s="111">
        <v>352.0</v>
      </c>
      <c r="T1120" s="65">
        <f t="shared" si="39"/>
        <v>56.32</v>
      </c>
      <c r="U1120" s="65">
        <f t="shared" si="40"/>
        <v>408.32</v>
      </c>
      <c r="V1120" s="66">
        <f t="shared" si="42"/>
        <v>0.05074626866</v>
      </c>
      <c r="W1120" s="67">
        <f t="shared" si="5"/>
        <v>334.4</v>
      </c>
      <c r="X1120" s="67">
        <f t="shared" si="43"/>
        <v>53.504</v>
      </c>
      <c r="Y1120" s="67">
        <f t="shared" si="44"/>
        <v>387.904</v>
      </c>
      <c r="Z1120" s="67">
        <f t="shared" si="8"/>
        <v>316.8</v>
      </c>
      <c r="AA1120" s="67">
        <f t="shared" si="45"/>
        <v>50.688</v>
      </c>
      <c r="AB1120" s="67">
        <f t="shared" si="46"/>
        <v>367.488</v>
      </c>
      <c r="AC1120" s="67">
        <f t="shared" si="11"/>
        <v>299.2</v>
      </c>
      <c r="AD1120" s="67">
        <f t="shared" si="12"/>
        <v>47.872</v>
      </c>
      <c r="AE1120" s="67">
        <f t="shared" si="13"/>
        <v>347.072</v>
      </c>
      <c r="AF1120" s="67">
        <f t="shared" si="33"/>
        <v>292.16</v>
      </c>
      <c r="AG1120" s="67">
        <f t="shared" si="15"/>
        <v>46.7456</v>
      </c>
      <c r="AH1120" s="67">
        <f t="shared" si="16"/>
        <v>338.9056</v>
      </c>
      <c r="AI1120" s="67">
        <f t="shared" si="17"/>
        <v>281.6</v>
      </c>
      <c r="AJ1120" s="68">
        <f t="shared" si="37"/>
        <v>45.056</v>
      </c>
      <c r="AK1120" s="68">
        <f t="shared" si="38"/>
        <v>326.656</v>
      </c>
      <c r="AL1120" s="70">
        <f>IFERROR(__xludf.DUMMYFUNCTION("""COMPUTED_VALUE"""),1.0)</f>
        <v>1</v>
      </c>
      <c r="AM1120" s="70"/>
      <c r="AN1120" s="71" t="str">
        <f>IFERROR(__xludf.DUMMYFUNCTION("""COMPUTED_VALUE""")," P")</f>
        <v>P</v>
      </c>
      <c r="AO1120" s="71" t="str">
        <f>IFERROR(__xludf.DUMMYFUNCTION("""COMPUTED_VALUE""")," SD06")</f>
        <v>SD06</v>
      </c>
      <c r="AP1120" s="71" t="str">
        <f>IFERROR(__xludf.DUMMYFUNCTION("""COMPUTED_VALUE""")," PZA")</f>
        <v>PZA</v>
      </c>
      <c r="AQ1120" s="71" t="str">
        <f>IFERROR(__xludf.DUMMYFUNCTION("""COMPUTED_VALUE""")," REF")</f>
        <v>REF</v>
      </c>
      <c r="AR1120" s="71" t="str">
        <f>IFERROR(__xludf.DUMMYFUNCTION("""COMPUTED_VALUE""")," SEPARADOR PARA PUENTE ADICIONAL MODELO ANTERIOR")</f>
        <v>SEPARADOR PARA PUENTE ADICIONAL MODELO ANTERIOR</v>
      </c>
      <c r="AS1120" s="71" t="str">
        <f>IFERROR(__xludf.DUMMYFUNCTION("""COMPUTED_VALUE""")," SEPARADOR PUENTE ADICIONAL MA")</f>
        <v>SEPARADOR PUENTE ADICIONAL MA</v>
      </c>
      <c r="AT1120" s="71">
        <f>IFERROR(__xludf.DUMMYFUNCTION("""COMPUTED_VALUE"""),29.0)</f>
        <v>29</v>
      </c>
      <c r="AU1120" s="71"/>
      <c r="AV1120" s="71"/>
      <c r="AW1120" s="71"/>
      <c r="AX1120" s="71"/>
      <c r="AY1120" s="71">
        <f>IFERROR(__xludf.DUMMYFUNCTION("""COMPUTED_VALUE"""),16.0)</f>
        <v>16</v>
      </c>
      <c r="AZ1120" s="71">
        <f>IFERROR(__xludf.DUMMYFUNCTION("""COMPUTED_VALUE"""),17.0)</f>
        <v>17</v>
      </c>
      <c r="BA1120" s="71">
        <f>IFERROR(__xludf.DUMMYFUNCTION("""COMPUTED_VALUE"""),18.36)</f>
        <v>18.36</v>
      </c>
      <c r="BB1120" s="71">
        <f>IFERROR(__xludf.DUMMYFUNCTION("""COMPUTED_VALUE"""),18.36)</f>
        <v>18.36</v>
      </c>
      <c r="BC1120" s="71">
        <f>IFERROR(__xludf.DUMMYFUNCTION("""COMPUTED_VALUE"""),21.0)</f>
        <v>21</v>
      </c>
      <c r="BD1120" s="71">
        <f>IFERROR(__xludf.DUMMYFUNCTION("""COMPUTED_VALUE"""),22.0)</f>
        <v>22</v>
      </c>
      <c r="BE1120" s="71">
        <f>IFERROR(__xludf.DUMMYFUNCTION("""COMPUTED_VALUE"""),3.52)</f>
        <v>3.52</v>
      </c>
      <c r="BF1120" s="71">
        <f>IFERROR(__xludf.DUMMYFUNCTION("""COMPUTED_VALUE"""),25.52)</f>
        <v>25.52</v>
      </c>
      <c r="BG1120" s="71">
        <f>IFERROR(__xludf.DUMMYFUNCTION("""COMPUTED_VALUE"""),0.047619047619047616)</f>
        <v>0.04761904762</v>
      </c>
      <c r="BH1120" s="71">
        <f>IFERROR(__xludf.DUMMYFUNCTION("""COMPUTED_VALUE"""),20.9)</f>
        <v>20.9</v>
      </c>
      <c r="BI1120" s="71">
        <f>IFERROR(__xludf.DUMMYFUNCTION("""COMPUTED_VALUE"""),3.344)</f>
        <v>3.344</v>
      </c>
      <c r="BJ1120" s="71">
        <f>IFERROR(__xludf.DUMMYFUNCTION("""COMPUTED_VALUE"""),24.244)</f>
        <v>24.244</v>
      </c>
      <c r="BK1120" s="71">
        <f>IFERROR(__xludf.DUMMYFUNCTION("""COMPUTED_VALUE"""),19.8)</f>
        <v>19.8</v>
      </c>
      <c r="BL1120" s="71">
        <f>IFERROR(__xludf.DUMMYFUNCTION("""COMPUTED_VALUE"""),3.168)</f>
        <v>3.168</v>
      </c>
      <c r="BM1120" s="71">
        <f>IFERROR(__xludf.DUMMYFUNCTION("""COMPUTED_VALUE"""),22.968)</f>
        <v>22.968</v>
      </c>
      <c r="BN1120" s="71">
        <f>IFERROR(__xludf.DUMMYFUNCTION("""COMPUTED_VALUE"""),18.7)</f>
        <v>18.7</v>
      </c>
      <c r="BO1120" s="71">
        <f>IFERROR(__xludf.DUMMYFUNCTION("""COMPUTED_VALUE"""),2.992)</f>
        <v>2.992</v>
      </c>
      <c r="BP1120" s="71">
        <f>IFERROR(__xludf.DUMMYFUNCTION("""COMPUTED_VALUE"""),21.692)</f>
        <v>21.692</v>
      </c>
      <c r="BQ1120" s="71">
        <f>IFERROR(__xludf.DUMMYFUNCTION("""COMPUTED_VALUE"""),18.259999999999998)</f>
        <v>18.26</v>
      </c>
      <c r="BR1120" s="71">
        <f>IFERROR(__xludf.DUMMYFUNCTION("""COMPUTED_VALUE"""),2.9215999999999998)</f>
        <v>2.9216</v>
      </c>
      <c r="BS1120" s="71">
        <f>IFERROR(__xludf.DUMMYFUNCTION("""COMPUTED_VALUE"""),21.181599999999996)</f>
        <v>21.1816</v>
      </c>
      <c r="BT1120" s="71">
        <f>IFERROR(__xludf.DUMMYFUNCTION("""COMPUTED_VALUE"""),17.6)</f>
        <v>17.6</v>
      </c>
      <c r="BU1120" s="71">
        <f>IFERROR(__xludf.DUMMYFUNCTION("""COMPUTED_VALUE"""),2.8160000000000003)</f>
        <v>2.816</v>
      </c>
      <c r="BV1120" s="71">
        <f>IFERROR(__xludf.DUMMYFUNCTION("""COMPUTED_VALUE"""),20.416)</f>
        <v>20.416</v>
      </c>
    </row>
    <row r="1121">
      <c r="A1121" s="53"/>
      <c r="B1121" s="53"/>
      <c r="C1121" s="53" t="s">
        <v>36</v>
      </c>
      <c r="D1121" s="85" t="s">
        <v>2723</v>
      </c>
      <c r="E1121" s="54" t="s">
        <v>38</v>
      </c>
      <c r="F1121" s="55" t="s">
        <v>39</v>
      </c>
      <c r="G1121" s="86" t="s">
        <v>2724</v>
      </c>
      <c r="H1121" s="55"/>
      <c r="I1121" s="54">
        <f t="shared" si="24"/>
        <v>0</v>
      </c>
      <c r="J1121" s="56"/>
      <c r="K1121" s="57"/>
      <c r="L1121" s="76"/>
      <c r="M1121" s="59"/>
      <c r="N1121" s="60"/>
      <c r="O1121" s="61">
        <v>672.0</v>
      </c>
      <c r="P1121" s="62">
        <v>725.76</v>
      </c>
      <c r="Q1121" s="63">
        <v>725.76</v>
      </c>
      <c r="R1121" s="64">
        <v>763.0</v>
      </c>
      <c r="S1121" s="107">
        <v>801.0</v>
      </c>
      <c r="T1121" s="65">
        <f t="shared" si="39"/>
        <v>128.16</v>
      </c>
      <c r="U1121" s="65">
        <f t="shared" si="40"/>
        <v>929.16</v>
      </c>
      <c r="V1121" s="66">
        <f t="shared" si="42"/>
        <v>0.0498034076</v>
      </c>
      <c r="W1121" s="67">
        <f t="shared" si="5"/>
        <v>760.95</v>
      </c>
      <c r="X1121" s="67">
        <f t="shared" si="43"/>
        <v>121.752</v>
      </c>
      <c r="Y1121" s="67">
        <f t="shared" si="44"/>
        <v>882.702</v>
      </c>
      <c r="Z1121" s="67">
        <f t="shared" si="8"/>
        <v>720.9</v>
      </c>
      <c r="AA1121" s="67">
        <f t="shared" si="45"/>
        <v>115.344</v>
      </c>
      <c r="AB1121" s="67">
        <f t="shared" si="46"/>
        <v>836.244</v>
      </c>
      <c r="AC1121" s="67">
        <f t="shared" si="11"/>
        <v>680.85</v>
      </c>
      <c r="AD1121" s="67">
        <f t="shared" si="12"/>
        <v>108.936</v>
      </c>
      <c r="AE1121" s="67">
        <f t="shared" si="13"/>
        <v>789.786</v>
      </c>
      <c r="AF1121" s="67">
        <f t="shared" si="33"/>
        <v>664.83</v>
      </c>
      <c r="AG1121" s="67">
        <f t="shared" si="15"/>
        <v>106.3728</v>
      </c>
      <c r="AH1121" s="67">
        <f t="shared" si="16"/>
        <v>771.2028</v>
      </c>
      <c r="AI1121" s="67">
        <f t="shared" si="17"/>
        <v>640.8</v>
      </c>
      <c r="AJ1121" s="68">
        <f t="shared" si="37"/>
        <v>102.528</v>
      </c>
      <c r="AK1121" s="68">
        <f t="shared" si="38"/>
        <v>743.328</v>
      </c>
      <c r="AL1121" s="70">
        <f>IFERROR(__xludf.DUMMYFUNCTION("""COMPUTED_VALUE"""),1.0)</f>
        <v>1</v>
      </c>
      <c r="AM1121" s="70"/>
      <c r="AN1121" s="71" t="str">
        <f>IFERROR(__xludf.DUMMYFUNCTION("""COMPUTED_VALUE""")," P")</f>
        <v>P</v>
      </c>
      <c r="AO1121" s="71" t="str">
        <f>IFERROR(__xludf.DUMMYFUNCTION("""COMPUTED_VALUE""")," SD07")</f>
        <v>SD07</v>
      </c>
      <c r="AP1121" s="71" t="str">
        <f>IFERROR(__xludf.DUMMYFUNCTION("""COMPUTED_VALUE""")," PZA")</f>
        <v>PZA</v>
      </c>
      <c r="AQ1121" s="71" t="str">
        <f>IFERROR(__xludf.DUMMYFUNCTION("""COMPUTED_VALUE""")," REF")</f>
        <v>REF</v>
      </c>
      <c r="AR1121" s="71" t="str">
        <f>IFERROR(__xludf.DUMMYFUNCTION("""COMPUTED_VALUE""")," SEPARADOR PARA PUENTE ADICIONAL TV-50 (B.C.)")</f>
        <v>SEPARADOR PARA PUENTE ADICIONAL TV-50 (B.C.)</v>
      </c>
      <c r="AS1121" s="71" t="str">
        <f>IFERROR(__xludf.DUMMYFUNCTION("""COMPUTED_VALUE""")," SEPARADOR PUENTE ADICIONAL TV50 BC")</f>
        <v>SEPARADOR PUENTE ADICIONAL TV50 BC</v>
      </c>
      <c r="AT1121" s="71">
        <f>IFERROR(__xludf.DUMMYFUNCTION("""COMPUTED_VALUE"""),34.0)</f>
        <v>34</v>
      </c>
      <c r="AU1121" s="71"/>
      <c r="AV1121" s="71"/>
      <c r="AW1121" s="71"/>
      <c r="AX1121" s="71"/>
      <c r="AY1121" s="71">
        <f>IFERROR(__xludf.DUMMYFUNCTION("""COMPUTED_VALUE"""),33.0)</f>
        <v>33</v>
      </c>
      <c r="AZ1121" s="71">
        <f>IFERROR(__xludf.DUMMYFUNCTION("""COMPUTED_VALUE"""),35.0)</f>
        <v>35</v>
      </c>
      <c r="BA1121" s="71">
        <f>IFERROR(__xludf.DUMMYFUNCTION("""COMPUTED_VALUE"""),37.800000000000004)</f>
        <v>37.8</v>
      </c>
      <c r="BB1121" s="71">
        <f>IFERROR(__xludf.DUMMYFUNCTION("""COMPUTED_VALUE"""),37.800000000000004)</f>
        <v>37.8</v>
      </c>
      <c r="BC1121" s="71">
        <f>IFERROR(__xludf.DUMMYFUNCTION("""COMPUTED_VALUE"""),44.0)</f>
        <v>44</v>
      </c>
      <c r="BD1121" s="71">
        <f>IFERROR(__xludf.DUMMYFUNCTION("""COMPUTED_VALUE"""),46.0)</f>
        <v>46</v>
      </c>
      <c r="BE1121" s="71">
        <f>IFERROR(__xludf.DUMMYFUNCTION("""COMPUTED_VALUE"""),7.36)</f>
        <v>7.36</v>
      </c>
      <c r="BF1121" s="71">
        <f>IFERROR(__xludf.DUMMYFUNCTION("""COMPUTED_VALUE"""),53.36)</f>
        <v>53.36</v>
      </c>
      <c r="BG1121" s="71">
        <f>IFERROR(__xludf.DUMMYFUNCTION("""COMPUTED_VALUE"""),0.045454545454545456)</f>
        <v>0.04545454545</v>
      </c>
      <c r="BH1121" s="71">
        <f>IFERROR(__xludf.DUMMYFUNCTION("""COMPUTED_VALUE"""),43.699999999999996)</f>
        <v>43.7</v>
      </c>
      <c r="BI1121" s="71">
        <f>IFERROR(__xludf.DUMMYFUNCTION("""COMPUTED_VALUE"""),6.991999999999999)</f>
        <v>6.992</v>
      </c>
      <c r="BJ1121" s="71">
        <f>IFERROR(__xludf.DUMMYFUNCTION("""COMPUTED_VALUE"""),50.69199999999999)</f>
        <v>50.692</v>
      </c>
      <c r="BK1121" s="71">
        <f>IFERROR(__xludf.DUMMYFUNCTION("""COMPUTED_VALUE"""),41.4)</f>
        <v>41.4</v>
      </c>
      <c r="BL1121" s="71">
        <f>IFERROR(__xludf.DUMMYFUNCTION("""COMPUTED_VALUE"""),6.624)</f>
        <v>6.624</v>
      </c>
      <c r="BM1121" s="71">
        <f>IFERROR(__xludf.DUMMYFUNCTION("""COMPUTED_VALUE"""),48.024)</f>
        <v>48.024</v>
      </c>
      <c r="BN1121" s="71">
        <f>IFERROR(__xludf.DUMMYFUNCTION("""COMPUTED_VALUE"""),39.1)</f>
        <v>39.1</v>
      </c>
      <c r="BO1121" s="71">
        <f>IFERROR(__xludf.DUMMYFUNCTION("""COMPUTED_VALUE"""),6.256)</f>
        <v>6.256</v>
      </c>
      <c r="BP1121" s="71">
        <f>IFERROR(__xludf.DUMMYFUNCTION("""COMPUTED_VALUE"""),45.356)</f>
        <v>45.356</v>
      </c>
      <c r="BQ1121" s="71">
        <f>IFERROR(__xludf.DUMMYFUNCTION("""COMPUTED_VALUE"""),38.18)</f>
        <v>38.18</v>
      </c>
      <c r="BR1121" s="71">
        <f>IFERROR(__xludf.DUMMYFUNCTION("""COMPUTED_VALUE"""),6.1088000000000005)</f>
        <v>6.1088</v>
      </c>
      <c r="BS1121" s="71">
        <f>IFERROR(__xludf.DUMMYFUNCTION("""COMPUTED_VALUE"""),44.2888)</f>
        <v>44.2888</v>
      </c>
      <c r="BT1121" s="71">
        <f>IFERROR(__xludf.DUMMYFUNCTION("""COMPUTED_VALUE"""),36.800000000000004)</f>
        <v>36.8</v>
      </c>
      <c r="BU1121" s="71">
        <f>IFERROR(__xludf.DUMMYFUNCTION("""COMPUTED_VALUE"""),5.888000000000001)</f>
        <v>5.888</v>
      </c>
      <c r="BV1121" s="71">
        <f>IFERROR(__xludf.DUMMYFUNCTION("""COMPUTED_VALUE"""),42.688)</f>
        <v>42.688</v>
      </c>
    </row>
    <row r="1122">
      <c r="A1122" s="53"/>
      <c r="B1122" s="53"/>
      <c r="C1122" s="53" t="s">
        <v>53</v>
      </c>
      <c r="D1122" s="53" t="s">
        <v>2725</v>
      </c>
      <c r="E1122" s="54" t="s">
        <v>38</v>
      </c>
      <c r="F1122" s="55" t="s">
        <v>39</v>
      </c>
      <c r="G1122" s="55" t="s">
        <v>2726</v>
      </c>
      <c r="H1122" s="55" t="s">
        <v>2724</v>
      </c>
      <c r="I1122" s="54">
        <f t="shared" si="24"/>
        <v>37</v>
      </c>
      <c r="J1122" s="56"/>
      <c r="K1122" s="57"/>
      <c r="L1122" s="76"/>
      <c r="M1122" s="59"/>
      <c r="N1122" s="60"/>
      <c r="O1122" s="61">
        <v>864.0</v>
      </c>
      <c r="P1122" s="62">
        <v>933.1200000000001</v>
      </c>
      <c r="Q1122" s="63">
        <v>933.1200000000001</v>
      </c>
      <c r="R1122" s="64">
        <v>980.0</v>
      </c>
      <c r="S1122" s="111">
        <v>1029.0</v>
      </c>
      <c r="T1122" s="65">
        <f t="shared" si="39"/>
        <v>164.64</v>
      </c>
      <c r="U1122" s="65">
        <f t="shared" si="40"/>
        <v>1193.64</v>
      </c>
      <c r="V1122" s="66">
        <f t="shared" si="42"/>
        <v>0.05</v>
      </c>
      <c r="W1122" s="67">
        <f t="shared" si="5"/>
        <v>977.55</v>
      </c>
      <c r="X1122" s="67">
        <f t="shared" si="43"/>
        <v>156.408</v>
      </c>
      <c r="Y1122" s="67">
        <f t="shared" si="44"/>
        <v>1133.958</v>
      </c>
      <c r="Z1122" s="67">
        <f t="shared" si="8"/>
        <v>926.1</v>
      </c>
      <c r="AA1122" s="67">
        <f t="shared" si="45"/>
        <v>148.176</v>
      </c>
      <c r="AB1122" s="67">
        <f t="shared" si="46"/>
        <v>1074.276</v>
      </c>
      <c r="AC1122" s="67">
        <f t="shared" si="11"/>
        <v>874.65</v>
      </c>
      <c r="AD1122" s="67">
        <f t="shared" si="12"/>
        <v>139.944</v>
      </c>
      <c r="AE1122" s="67">
        <f t="shared" si="13"/>
        <v>1014.594</v>
      </c>
      <c r="AF1122" s="67">
        <f t="shared" si="33"/>
        <v>854.07</v>
      </c>
      <c r="AG1122" s="67">
        <f t="shared" si="15"/>
        <v>136.6512</v>
      </c>
      <c r="AH1122" s="67">
        <f t="shared" si="16"/>
        <v>990.7212</v>
      </c>
      <c r="AI1122" s="67">
        <f t="shared" si="17"/>
        <v>823.2</v>
      </c>
      <c r="AJ1122" s="68">
        <f t="shared" si="37"/>
        <v>131.712</v>
      </c>
      <c r="AK1122" s="68">
        <f t="shared" si="38"/>
        <v>954.912</v>
      </c>
      <c r="AL1122" s="70">
        <f>IFERROR(__xludf.DUMMYFUNCTION("""COMPUTED_VALUE"""),1.0)</f>
        <v>1</v>
      </c>
      <c r="AM1122" s="70"/>
      <c r="AN1122" s="71" t="str">
        <f>IFERROR(__xludf.DUMMYFUNCTION("""COMPUTED_VALUE""")," P")</f>
        <v>P</v>
      </c>
      <c r="AO1122" s="71" t="str">
        <f>IFERROR(__xludf.DUMMYFUNCTION("""COMPUTED_VALUE""")," SD08")</f>
        <v>SD08</v>
      </c>
      <c r="AP1122" s="71" t="str">
        <f>IFERROR(__xludf.DUMMYFUNCTION("""COMPUTED_VALUE""")," PZA")</f>
        <v>PZA</v>
      </c>
      <c r="AQ1122" s="71" t="str">
        <f>IFERROR(__xludf.DUMMYFUNCTION("""COMPUTED_VALUE""")," REF")</f>
        <v>REF</v>
      </c>
      <c r="AR1122" s="71" t="str">
        <f>IFERROR(__xludf.DUMMYFUNCTION("""COMPUTED_VALUE""")," SEPARADOR PARA REDUCTOR DÚPLEX (1""5/32)")</f>
        <v>SEPARADOR PARA REDUCTOR DÚPLEX (1"5/32)</v>
      </c>
      <c r="AS1122" s="71" t="str">
        <f>IFERROR(__xludf.DUMMYFUNCTION("""COMPUTED_VALUE""")," SEPARADOR REDUCTOR DPLX 1 5/32")</f>
        <v>SEPARADOR REDUCTOR DPLX 1 5/32</v>
      </c>
      <c r="AT1122" s="71">
        <f>IFERROR(__xludf.DUMMYFUNCTION("""COMPUTED_VALUE"""),30.0)</f>
        <v>30</v>
      </c>
      <c r="AU1122" s="71"/>
      <c r="AV1122" s="71"/>
      <c r="AW1122" s="71"/>
      <c r="AX1122" s="71"/>
      <c r="AY1122" s="71">
        <f>IFERROR(__xludf.DUMMYFUNCTION("""COMPUTED_VALUE"""),60.0)</f>
        <v>60</v>
      </c>
      <c r="AZ1122" s="71">
        <f>IFERROR(__xludf.DUMMYFUNCTION("""COMPUTED_VALUE"""),64.0)</f>
        <v>64</v>
      </c>
      <c r="BA1122" s="71">
        <f>IFERROR(__xludf.DUMMYFUNCTION("""COMPUTED_VALUE"""),69.12)</f>
        <v>69.12</v>
      </c>
      <c r="BB1122" s="71">
        <f>IFERROR(__xludf.DUMMYFUNCTION("""COMPUTED_VALUE"""),69.12)</f>
        <v>69.12</v>
      </c>
      <c r="BC1122" s="71">
        <f>IFERROR(__xludf.DUMMYFUNCTION("""COMPUTED_VALUE"""),78.0)</f>
        <v>78</v>
      </c>
      <c r="BD1122" s="71">
        <f>IFERROR(__xludf.DUMMYFUNCTION("""COMPUTED_VALUE"""),82.0)</f>
        <v>82</v>
      </c>
      <c r="BE1122" s="71">
        <f>IFERROR(__xludf.DUMMYFUNCTION("""COMPUTED_VALUE"""),13.120000000000001)</f>
        <v>13.12</v>
      </c>
      <c r="BF1122" s="71">
        <f>IFERROR(__xludf.DUMMYFUNCTION("""COMPUTED_VALUE"""),95.12)</f>
        <v>95.12</v>
      </c>
      <c r="BG1122" s="71">
        <f>IFERROR(__xludf.DUMMYFUNCTION("""COMPUTED_VALUE"""),0.05128205128205128)</f>
        <v>0.05128205128</v>
      </c>
      <c r="BH1122" s="71">
        <f>IFERROR(__xludf.DUMMYFUNCTION("""COMPUTED_VALUE"""),77.89999999999999)</f>
        <v>77.9</v>
      </c>
      <c r="BI1122" s="71">
        <f>IFERROR(__xludf.DUMMYFUNCTION("""COMPUTED_VALUE"""),12.463999999999999)</f>
        <v>12.464</v>
      </c>
      <c r="BJ1122" s="71">
        <f>IFERROR(__xludf.DUMMYFUNCTION("""COMPUTED_VALUE"""),90.36399999999999)</f>
        <v>90.364</v>
      </c>
      <c r="BK1122" s="71">
        <f>IFERROR(__xludf.DUMMYFUNCTION("""COMPUTED_VALUE"""),73.8)</f>
        <v>73.8</v>
      </c>
      <c r="BL1122" s="71">
        <f>IFERROR(__xludf.DUMMYFUNCTION("""COMPUTED_VALUE"""),11.808)</f>
        <v>11.808</v>
      </c>
      <c r="BM1122" s="71">
        <f>IFERROR(__xludf.DUMMYFUNCTION("""COMPUTED_VALUE"""),85.608)</f>
        <v>85.608</v>
      </c>
      <c r="BN1122" s="71">
        <f>IFERROR(__xludf.DUMMYFUNCTION("""COMPUTED_VALUE"""),69.7)</f>
        <v>69.7</v>
      </c>
      <c r="BO1122" s="71">
        <f>IFERROR(__xludf.DUMMYFUNCTION("""COMPUTED_VALUE"""),11.152000000000001)</f>
        <v>11.152</v>
      </c>
      <c r="BP1122" s="71">
        <f>IFERROR(__xludf.DUMMYFUNCTION("""COMPUTED_VALUE"""),80.852)</f>
        <v>80.852</v>
      </c>
      <c r="BQ1122" s="71">
        <f>IFERROR(__xludf.DUMMYFUNCTION("""COMPUTED_VALUE"""),68.06)</f>
        <v>68.06</v>
      </c>
      <c r="BR1122" s="71">
        <f>IFERROR(__xludf.DUMMYFUNCTION("""COMPUTED_VALUE"""),10.8896)</f>
        <v>10.8896</v>
      </c>
      <c r="BS1122" s="71">
        <f>IFERROR(__xludf.DUMMYFUNCTION("""COMPUTED_VALUE"""),78.9496)</f>
        <v>78.9496</v>
      </c>
      <c r="BT1122" s="71">
        <f>IFERROR(__xludf.DUMMYFUNCTION("""COMPUTED_VALUE"""),65.60000000000001)</f>
        <v>65.6</v>
      </c>
      <c r="BU1122" s="71">
        <f>IFERROR(__xludf.DUMMYFUNCTION("""COMPUTED_VALUE"""),10.496000000000002)</f>
        <v>10.496</v>
      </c>
      <c r="BV1122" s="71">
        <f>IFERROR(__xludf.DUMMYFUNCTION("""COMPUTED_VALUE"""),76.096)</f>
        <v>76.096</v>
      </c>
    </row>
    <row r="1123">
      <c r="A1123" s="53"/>
      <c r="B1123" s="53"/>
      <c r="C1123" s="53" t="s">
        <v>36</v>
      </c>
      <c r="D1123" s="85" t="s">
        <v>2727</v>
      </c>
      <c r="E1123" s="54" t="s">
        <v>38</v>
      </c>
      <c r="F1123" s="55" t="s">
        <v>39</v>
      </c>
      <c r="G1123" s="86" t="s">
        <v>2728</v>
      </c>
      <c r="H1123" s="55"/>
      <c r="I1123" s="54">
        <f t="shared" si="24"/>
        <v>0</v>
      </c>
      <c r="J1123" s="56"/>
      <c r="K1123" s="57"/>
      <c r="L1123" s="76"/>
      <c r="M1123" s="59"/>
      <c r="N1123" s="60"/>
      <c r="O1123" s="61">
        <v>864.0</v>
      </c>
      <c r="P1123" s="62">
        <v>933.1200000000001</v>
      </c>
      <c r="Q1123" s="63">
        <v>933.1200000000001</v>
      </c>
      <c r="R1123" s="64">
        <v>980.0</v>
      </c>
      <c r="S1123" s="107">
        <v>1029.0</v>
      </c>
      <c r="T1123" s="65">
        <f t="shared" si="39"/>
        <v>164.64</v>
      </c>
      <c r="U1123" s="65">
        <f t="shared" si="40"/>
        <v>1193.64</v>
      </c>
      <c r="V1123" s="66">
        <f t="shared" si="42"/>
        <v>0.05</v>
      </c>
      <c r="W1123" s="67">
        <f t="shared" si="5"/>
        <v>977.55</v>
      </c>
      <c r="X1123" s="67">
        <f t="shared" si="43"/>
        <v>156.408</v>
      </c>
      <c r="Y1123" s="67">
        <f t="shared" si="44"/>
        <v>1133.958</v>
      </c>
      <c r="Z1123" s="67">
        <f t="shared" si="8"/>
        <v>926.1</v>
      </c>
      <c r="AA1123" s="67">
        <f t="shared" si="45"/>
        <v>148.176</v>
      </c>
      <c r="AB1123" s="67">
        <f t="shared" si="46"/>
        <v>1074.276</v>
      </c>
      <c r="AC1123" s="67">
        <f t="shared" si="11"/>
        <v>874.65</v>
      </c>
      <c r="AD1123" s="67">
        <f t="shared" si="12"/>
        <v>139.944</v>
      </c>
      <c r="AE1123" s="67">
        <f t="shared" si="13"/>
        <v>1014.594</v>
      </c>
      <c r="AF1123" s="67">
        <f t="shared" si="33"/>
        <v>854.07</v>
      </c>
      <c r="AG1123" s="67">
        <f t="shared" si="15"/>
        <v>136.6512</v>
      </c>
      <c r="AH1123" s="67">
        <f t="shared" si="16"/>
        <v>990.7212</v>
      </c>
      <c r="AI1123" s="67">
        <f t="shared" si="17"/>
        <v>823.2</v>
      </c>
      <c r="AJ1123" s="68">
        <f t="shared" si="37"/>
        <v>131.712</v>
      </c>
      <c r="AK1123" s="68">
        <f t="shared" si="38"/>
        <v>954.912</v>
      </c>
      <c r="AL1123" s="70">
        <f>IFERROR(__xludf.DUMMYFUNCTION("""COMPUTED_VALUE"""),1.0)</f>
        <v>1</v>
      </c>
      <c r="AM1123" s="70"/>
      <c r="AN1123" s="71" t="str">
        <f>IFERROR(__xludf.DUMMYFUNCTION("""COMPUTED_VALUE""")," P")</f>
        <v>P</v>
      </c>
      <c r="AO1123" s="71" t="str">
        <f>IFERROR(__xludf.DUMMYFUNCTION("""COMPUTED_VALUE""")," SD09")</f>
        <v>SD09</v>
      </c>
      <c r="AP1123" s="71" t="str">
        <f>IFERROR(__xludf.DUMMYFUNCTION("""COMPUTED_VALUE""")," PZA")</f>
        <v>PZA</v>
      </c>
      <c r="AQ1123" s="71" t="str">
        <f>IFERROR(__xludf.DUMMYFUNCTION("""COMPUTED_VALUE""")," REF")</f>
        <v>REF</v>
      </c>
      <c r="AR1123" s="71" t="str">
        <f>IFERROR(__xludf.DUMMYFUNCTION("""COMPUTED_VALUE""")," SEPARADOR PARA REDUCTOR ESTÁNDAR")</f>
        <v>SEPARADOR PARA REDUCTOR ESTÁNDAR</v>
      </c>
      <c r="AS1123" s="71" t="str">
        <f>IFERROR(__xludf.DUMMYFUNCTION("""COMPUTED_VALUE""")," SEPARADOR REDUCTOR ESTANDAR")</f>
        <v>SEPARADOR REDUCTOR ESTANDAR</v>
      </c>
      <c r="AT1123" s="71">
        <f>IFERROR(__xludf.DUMMYFUNCTION("""COMPUTED_VALUE"""),27.0)</f>
        <v>27</v>
      </c>
      <c r="AU1123" s="71"/>
      <c r="AV1123" s="71"/>
      <c r="AW1123" s="71"/>
      <c r="AX1123" s="71"/>
      <c r="AY1123" s="71">
        <f>IFERROR(__xludf.DUMMYFUNCTION("""COMPUTED_VALUE"""),72.0)</f>
        <v>72</v>
      </c>
      <c r="AZ1123" s="71">
        <f>IFERROR(__xludf.DUMMYFUNCTION("""COMPUTED_VALUE"""),77.0)</f>
        <v>77</v>
      </c>
      <c r="BA1123" s="71">
        <f>IFERROR(__xludf.DUMMYFUNCTION("""COMPUTED_VALUE"""),83.16000000000001)</f>
        <v>83.16</v>
      </c>
      <c r="BB1123" s="71">
        <f>IFERROR(__xludf.DUMMYFUNCTION("""COMPUTED_VALUE"""),83.16000000000001)</f>
        <v>83.16</v>
      </c>
      <c r="BC1123" s="71">
        <f>IFERROR(__xludf.DUMMYFUNCTION("""COMPUTED_VALUE"""),94.0)</f>
        <v>94</v>
      </c>
      <c r="BD1123" s="71">
        <f>IFERROR(__xludf.DUMMYFUNCTION("""COMPUTED_VALUE"""),99.0)</f>
        <v>99</v>
      </c>
      <c r="BE1123" s="71">
        <f>IFERROR(__xludf.DUMMYFUNCTION("""COMPUTED_VALUE"""),15.84)</f>
        <v>15.84</v>
      </c>
      <c r="BF1123" s="71">
        <f>IFERROR(__xludf.DUMMYFUNCTION("""COMPUTED_VALUE"""),114.84)</f>
        <v>114.84</v>
      </c>
      <c r="BG1123" s="71">
        <f>IFERROR(__xludf.DUMMYFUNCTION("""COMPUTED_VALUE"""),0.05319148936170213)</f>
        <v>0.05319148936</v>
      </c>
      <c r="BH1123" s="71">
        <f>IFERROR(__xludf.DUMMYFUNCTION("""COMPUTED_VALUE"""),94.05)</f>
        <v>94.05</v>
      </c>
      <c r="BI1123" s="71">
        <f>IFERROR(__xludf.DUMMYFUNCTION("""COMPUTED_VALUE"""),15.048)</f>
        <v>15.048</v>
      </c>
      <c r="BJ1123" s="71">
        <f>IFERROR(__xludf.DUMMYFUNCTION("""COMPUTED_VALUE"""),109.098)</f>
        <v>109.098</v>
      </c>
      <c r="BK1123" s="71">
        <f>IFERROR(__xludf.DUMMYFUNCTION("""COMPUTED_VALUE"""),89.10000000000001)</f>
        <v>89.1</v>
      </c>
      <c r="BL1123" s="71">
        <f>IFERROR(__xludf.DUMMYFUNCTION("""COMPUTED_VALUE"""),14.256000000000002)</f>
        <v>14.256</v>
      </c>
      <c r="BM1123" s="71">
        <f>IFERROR(__xludf.DUMMYFUNCTION("""COMPUTED_VALUE"""),103.35600000000001)</f>
        <v>103.356</v>
      </c>
      <c r="BN1123" s="71">
        <f>IFERROR(__xludf.DUMMYFUNCTION("""COMPUTED_VALUE"""),84.14999999999999)</f>
        <v>84.15</v>
      </c>
      <c r="BO1123" s="71">
        <f>IFERROR(__xludf.DUMMYFUNCTION("""COMPUTED_VALUE"""),13.463999999999999)</f>
        <v>13.464</v>
      </c>
      <c r="BP1123" s="71">
        <f>IFERROR(__xludf.DUMMYFUNCTION("""COMPUTED_VALUE"""),97.61399999999999)</f>
        <v>97.614</v>
      </c>
      <c r="BQ1123" s="71">
        <f>IFERROR(__xludf.DUMMYFUNCTION("""COMPUTED_VALUE"""),82.17)</f>
        <v>82.17</v>
      </c>
      <c r="BR1123" s="71">
        <f>IFERROR(__xludf.DUMMYFUNCTION("""COMPUTED_VALUE"""),13.1472)</f>
        <v>13.1472</v>
      </c>
      <c r="BS1123" s="71">
        <f>IFERROR(__xludf.DUMMYFUNCTION("""COMPUTED_VALUE"""),95.3172)</f>
        <v>95.3172</v>
      </c>
      <c r="BT1123" s="71">
        <f>IFERROR(__xludf.DUMMYFUNCTION("""COMPUTED_VALUE"""),79.2)</f>
        <v>79.2</v>
      </c>
      <c r="BU1123" s="71">
        <f>IFERROR(__xludf.DUMMYFUNCTION("""COMPUTED_VALUE"""),12.672)</f>
        <v>12.672</v>
      </c>
      <c r="BV1123" s="71">
        <f>IFERROR(__xludf.DUMMYFUNCTION("""COMPUTED_VALUE"""),91.872)</f>
        <v>91.872</v>
      </c>
    </row>
    <row r="1124">
      <c r="A1124" s="53"/>
      <c r="B1124" s="53"/>
      <c r="C1124" s="53" t="s">
        <v>53</v>
      </c>
      <c r="D1124" s="53" t="s">
        <v>2729</v>
      </c>
      <c r="E1124" s="54" t="s">
        <v>38</v>
      </c>
      <c r="F1124" s="55" t="s">
        <v>39</v>
      </c>
      <c r="G1124" s="55" t="s">
        <v>2730</v>
      </c>
      <c r="H1124" s="55" t="s">
        <v>2728</v>
      </c>
      <c r="I1124" s="54">
        <f t="shared" si="24"/>
        <v>36</v>
      </c>
      <c r="J1124" s="56"/>
      <c r="K1124" s="57"/>
      <c r="L1124" s="76"/>
      <c r="M1124" s="59"/>
      <c r="N1124" s="60"/>
      <c r="O1124" s="61">
        <v>672.0</v>
      </c>
      <c r="P1124" s="62">
        <v>725.76</v>
      </c>
      <c r="Q1124" s="63">
        <v>725.76</v>
      </c>
      <c r="R1124" s="64">
        <v>763.0</v>
      </c>
      <c r="S1124" s="111">
        <v>801.0</v>
      </c>
      <c r="T1124" s="65">
        <f t="shared" si="39"/>
        <v>128.16</v>
      </c>
      <c r="U1124" s="65">
        <f t="shared" si="40"/>
        <v>929.16</v>
      </c>
      <c r="V1124" s="66">
        <f t="shared" si="42"/>
        <v>0.0498034076</v>
      </c>
      <c r="W1124" s="67">
        <f t="shared" si="5"/>
        <v>760.95</v>
      </c>
      <c r="X1124" s="67">
        <f t="shared" si="43"/>
        <v>121.752</v>
      </c>
      <c r="Y1124" s="67">
        <f t="shared" si="44"/>
        <v>882.702</v>
      </c>
      <c r="Z1124" s="67">
        <f t="shared" si="8"/>
        <v>720.9</v>
      </c>
      <c r="AA1124" s="67">
        <f t="shared" si="45"/>
        <v>115.344</v>
      </c>
      <c r="AB1124" s="67">
        <f t="shared" si="46"/>
        <v>836.244</v>
      </c>
      <c r="AC1124" s="67">
        <f t="shared" si="11"/>
        <v>680.85</v>
      </c>
      <c r="AD1124" s="67">
        <f t="shared" si="12"/>
        <v>108.936</v>
      </c>
      <c r="AE1124" s="67">
        <f t="shared" si="13"/>
        <v>789.786</v>
      </c>
      <c r="AF1124" s="67">
        <f t="shared" si="33"/>
        <v>664.83</v>
      </c>
      <c r="AG1124" s="67">
        <f t="shared" si="15"/>
        <v>106.3728</v>
      </c>
      <c r="AH1124" s="67">
        <f t="shared" si="16"/>
        <v>771.2028</v>
      </c>
      <c r="AI1124" s="67">
        <f t="shared" si="17"/>
        <v>640.8</v>
      </c>
      <c r="AJ1124" s="68">
        <f t="shared" si="37"/>
        <v>102.528</v>
      </c>
      <c r="AK1124" s="68">
        <f t="shared" si="38"/>
        <v>743.328</v>
      </c>
      <c r="AL1124" s="70">
        <f>IFERROR(__xludf.DUMMYFUNCTION("""COMPUTED_VALUE"""),1.0)</f>
        <v>1</v>
      </c>
      <c r="AM1124" s="70"/>
      <c r="AN1124" s="71" t="str">
        <f>IFERROR(__xludf.DUMMYFUNCTION("""COMPUTED_VALUE""")," P")</f>
        <v>P</v>
      </c>
      <c r="AO1124" s="71" t="str">
        <f>IFERROR(__xludf.DUMMYFUNCTION("""COMPUTED_VALUE""")," SD10")</f>
        <v>SD10</v>
      </c>
      <c r="AP1124" s="71" t="str">
        <f>IFERROR(__xludf.DUMMYFUNCTION("""COMPUTED_VALUE""")," PZA")</f>
        <v>PZA</v>
      </c>
      <c r="AQ1124" s="71" t="str">
        <f>IFERROR(__xludf.DUMMYFUNCTION("""COMPUTED_VALUE""")," REF")</f>
        <v>REF</v>
      </c>
      <c r="AR1124" s="71" t="str">
        <f>IFERROR(__xludf.DUMMYFUNCTION("""COMPUTED_VALUE""")," SEPARADOR PARA REDUCTOR SENCILLO (1""15/16)")</f>
        <v>SEPARADOR PARA REDUCTOR SENCILLO (1"15/16)</v>
      </c>
      <c r="AS1124" s="71" t="str">
        <f>IFERROR(__xludf.DUMMYFUNCTION("""COMPUTED_VALUE""")," SEPARADOR REDUCTOR SENCILLO 1 15/16")</f>
        <v>SEPARADOR REDUCTOR SENCILLO 1 15/16</v>
      </c>
      <c r="AT1124" s="71">
        <f>IFERROR(__xludf.DUMMYFUNCTION("""COMPUTED_VALUE"""),35.0)</f>
        <v>35</v>
      </c>
      <c r="AU1124" s="71"/>
      <c r="AV1124" s="71"/>
      <c r="AW1124" s="71"/>
      <c r="AX1124" s="71"/>
      <c r="AY1124" s="71">
        <f>IFERROR(__xludf.DUMMYFUNCTION("""COMPUTED_VALUE"""),60.0)</f>
        <v>60</v>
      </c>
      <c r="AZ1124" s="71">
        <f>IFERROR(__xludf.DUMMYFUNCTION("""COMPUTED_VALUE"""),64.0)</f>
        <v>64</v>
      </c>
      <c r="BA1124" s="71">
        <f>IFERROR(__xludf.DUMMYFUNCTION("""COMPUTED_VALUE"""),69.12)</f>
        <v>69.12</v>
      </c>
      <c r="BB1124" s="71">
        <f>IFERROR(__xludf.DUMMYFUNCTION("""COMPUTED_VALUE"""),69.12)</f>
        <v>69.12</v>
      </c>
      <c r="BC1124" s="71">
        <f>IFERROR(__xludf.DUMMYFUNCTION("""COMPUTED_VALUE"""),78.0)</f>
        <v>78</v>
      </c>
      <c r="BD1124" s="71">
        <f>IFERROR(__xludf.DUMMYFUNCTION("""COMPUTED_VALUE"""),82.0)</f>
        <v>82</v>
      </c>
      <c r="BE1124" s="71">
        <f>IFERROR(__xludf.DUMMYFUNCTION("""COMPUTED_VALUE"""),13.120000000000001)</f>
        <v>13.12</v>
      </c>
      <c r="BF1124" s="71">
        <f>IFERROR(__xludf.DUMMYFUNCTION("""COMPUTED_VALUE"""),95.12)</f>
        <v>95.12</v>
      </c>
      <c r="BG1124" s="71">
        <f>IFERROR(__xludf.DUMMYFUNCTION("""COMPUTED_VALUE"""),0.05128205128205128)</f>
        <v>0.05128205128</v>
      </c>
      <c r="BH1124" s="71">
        <f>IFERROR(__xludf.DUMMYFUNCTION("""COMPUTED_VALUE"""),77.89999999999999)</f>
        <v>77.9</v>
      </c>
      <c r="BI1124" s="71">
        <f>IFERROR(__xludf.DUMMYFUNCTION("""COMPUTED_VALUE"""),12.463999999999999)</f>
        <v>12.464</v>
      </c>
      <c r="BJ1124" s="71">
        <f>IFERROR(__xludf.DUMMYFUNCTION("""COMPUTED_VALUE"""),90.36399999999999)</f>
        <v>90.364</v>
      </c>
      <c r="BK1124" s="71">
        <f>IFERROR(__xludf.DUMMYFUNCTION("""COMPUTED_VALUE"""),73.8)</f>
        <v>73.8</v>
      </c>
      <c r="BL1124" s="71">
        <f>IFERROR(__xludf.DUMMYFUNCTION("""COMPUTED_VALUE"""),11.808)</f>
        <v>11.808</v>
      </c>
      <c r="BM1124" s="71">
        <f>IFERROR(__xludf.DUMMYFUNCTION("""COMPUTED_VALUE"""),85.608)</f>
        <v>85.608</v>
      </c>
      <c r="BN1124" s="71">
        <f>IFERROR(__xludf.DUMMYFUNCTION("""COMPUTED_VALUE"""),69.7)</f>
        <v>69.7</v>
      </c>
      <c r="BO1124" s="71">
        <f>IFERROR(__xludf.DUMMYFUNCTION("""COMPUTED_VALUE"""),11.152000000000001)</f>
        <v>11.152</v>
      </c>
      <c r="BP1124" s="71">
        <f>IFERROR(__xludf.DUMMYFUNCTION("""COMPUTED_VALUE"""),80.852)</f>
        <v>80.852</v>
      </c>
      <c r="BQ1124" s="71">
        <f>IFERROR(__xludf.DUMMYFUNCTION("""COMPUTED_VALUE"""),68.06)</f>
        <v>68.06</v>
      </c>
      <c r="BR1124" s="71">
        <f>IFERROR(__xludf.DUMMYFUNCTION("""COMPUTED_VALUE"""),10.8896)</f>
        <v>10.8896</v>
      </c>
      <c r="BS1124" s="71">
        <f>IFERROR(__xludf.DUMMYFUNCTION("""COMPUTED_VALUE"""),78.9496)</f>
        <v>78.9496</v>
      </c>
      <c r="BT1124" s="71">
        <f>IFERROR(__xludf.DUMMYFUNCTION("""COMPUTED_VALUE"""),65.60000000000001)</f>
        <v>65.6</v>
      </c>
      <c r="BU1124" s="71">
        <f>IFERROR(__xludf.DUMMYFUNCTION("""COMPUTED_VALUE"""),10.496000000000002)</f>
        <v>10.496</v>
      </c>
      <c r="BV1124" s="71">
        <f>IFERROR(__xludf.DUMMYFUNCTION("""COMPUTED_VALUE"""),76.096)</f>
        <v>76.096</v>
      </c>
    </row>
    <row r="1125">
      <c r="A1125" s="53"/>
      <c r="B1125" s="53"/>
      <c r="C1125" s="120" t="s">
        <v>53</v>
      </c>
      <c r="D1125" s="128" t="s">
        <v>2731</v>
      </c>
      <c r="E1125" s="54" t="s">
        <v>38</v>
      </c>
      <c r="F1125" s="54" t="s">
        <v>42</v>
      </c>
      <c r="G1125" s="130" t="s">
        <v>2732</v>
      </c>
      <c r="H1125" s="54" t="s">
        <v>2733</v>
      </c>
      <c r="I1125" s="54">
        <f t="shared" si="24"/>
        <v>40</v>
      </c>
      <c r="J1125" s="56"/>
      <c r="K1125" s="57"/>
      <c r="L1125" s="76"/>
      <c r="M1125" s="59"/>
      <c r="N1125" s="60">
        <v>262.5</v>
      </c>
      <c r="O1125" s="129">
        <v>283.0</v>
      </c>
      <c r="P1125" s="62">
        <v>305.64000000000004</v>
      </c>
      <c r="Q1125" s="63">
        <v>305.64000000000004</v>
      </c>
      <c r="R1125" s="64">
        <v>322.0</v>
      </c>
      <c r="S1125" s="111">
        <v>338.0</v>
      </c>
      <c r="T1125" s="65">
        <f t="shared" si="39"/>
        <v>54.08</v>
      </c>
      <c r="U1125" s="65">
        <f t="shared" si="40"/>
        <v>392.08</v>
      </c>
      <c r="V1125" s="66">
        <f t="shared" si="42"/>
        <v>0.04968944099</v>
      </c>
      <c r="W1125" s="67">
        <f t="shared" si="5"/>
        <v>321.1</v>
      </c>
      <c r="X1125" s="67">
        <f t="shared" si="43"/>
        <v>51.376</v>
      </c>
      <c r="Y1125" s="67">
        <f t="shared" si="44"/>
        <v>372.476</v>
      </c>
      <c r="Z1125" s="67">
        <f t="shared" si="8"/>
        <v>304.2</v>
      </c>
      <c r="AA1125" s="67">
        <f t="shared" si="45"/>
        <v>48.672</v>
      </c>
      <c r="AB1125" s="67">
        <f t="shared" si="46"/>
        <v>352.872</v>
      </c>
      <c r="AC1125" s="67">
        <f t="shared" si="11"/>
        <v>287.3</v>
      </c>
      <c r="AD1125" s="67">
        <f t="shared" si="12"/>
        <v>45.968</v>
      </c>
      <c r="AE1125" s="67">
        <f t="shared" si="13"/>
        <v>333.268</v>
      </c>
      <c r="AF1125" s="67">
        <f t="shared" si="33"/>
        <v>280.54</v>
      </c>
      <c r="AG1125" s="67">
        <f t="shared" si="15"/>
        <v>44.8864</v>
      </c>
      <c r="AH1125" s="67">
        <f t="shared" si="16"/>
        <v>325.4264</v>
      </c>
      <c r="AI1125" s="67">
        <f t="shared" si="17"/>
        <v>270.4</v>
      </c>
      <c r="AJ1125" s="68">
        <f t="shared" si="37"/>
        <v>43.264</v>
      </c>
      <c r="AK1125" s="68">
        <f t="shared" si="38"/>
        <v>313.664</v>
      </c>
      <c r="AL1125" s="70">
        <f>IFERROR(__xludf.DUMMYFUNCTION("""COMPUTED_VALUE"""),1.0)</f>
        <v>1</v>
      </c>
      <c r="AM1125" s="70"/>
      <c r="AN1125" s="71" t="str">
        <f>IFERROR(__xludf.DUMMYFUNCTION("""COMPUTED_VALUE""")," P")</f>
        <v>P</v>
      </c>
      <c r="AO1125" s="71" t="str">
        <f>IFERROR(__xludf.DUMMYFUNCTION("""COMPUTED_VALUE""")," SF13")</f>
        <v>SF13</v>
      </c>
      <c r="AP1125" s="71" t="str">
        <f>IFERROR(__xludf.DUMMYFUNCTION("""COMPUTED_VALUE""")," PZA")</f>
        <v>PZA</v>
      </c>
      <c r="AQ1125" s="71" t="str">
        <f>IFERROR(__xludf.DUMMYFUNCTION("""COMPUTED_VALUE""")," REF")</f>
        <v>REF</v>
      </c>
      <c r="AR1125" s="71" t="str">
        <f>IFERROR(__xludf.DUMMYFUNCTION("""COMPUTED_VALUE""")," SINFÍN CORTO DERECHO")</f>
        <v>SINFÍN CORTO DERECHO</v>
      </c>
      <c r="AS1125" s="71" t="str">
        <f>IFERROR(__xludf.DUMMYFUNCTION("""COMPUTED_VALUE""")," SINFIN CORTO DERECHO")</f>
        <v>SINFIN CORTO DERECHO</v>
      </c>
      <c r="AT1125" s="71">
        <f>IFERROR(__xludf.DUMMYFUNCTION("""COMPUTED_VALUE"""),20.0)</f>
        <v>20</v>
      </c>
      <c r="AU1125" s="71"/>
      <c r="AV1125" s="71"/>
      <c r="AW1125" s="71"/>
      <c r="AX1125" s="71"/>
      <c r="AY1125" s="71">
        <f>IFERROR(__xludf.DUMMYFUNCTION("""COMPUTED_VALUE"""),86.0)</f>
        <v>86</v>
      </c>
      <c r="AZ1125" s="71">
        <f>IFERROR(__xludf.DUMMYFUNCTION("""COMPUTED_VALUE"""),92.0)</f>
        <v>92</v>
      </c>
      <c r="BA1125" s="71">
        <f>IFERROR(__xludf.DUMMYFUNCTION("""COMPUTED_VALUE"""),99.36000000000001)</f>
        <v>99.36</v>
      </c>
      <c r="BB1125" s="71">
        <f>IFERROR(__xludf.DUMMYFUNCTION("""COMPUTED_VALUE"""),99.36000000000001)</f>
        <v>99.36</v>
      </c>
      <c r="BC1125" s="71">
        <f>IFERROR(__xludf.DUMMYFUNCTION("""COMPUTED_VALUE"""),126.0)</f>
        <v>126</v>
      </c>
      <c r="BD1125" s="71">
        <f>IFERROR(__xludf.DUMMYFUNCTION("""COMPUTED_VALUE"""),132.0)</f>
        <v>132</v>
      </c>
      <c r="BE1125" s="71">
        <f>IFERROR(__xludf.DUMMYFUNCTION("""COMPUTED_VALUE"""),21.12)</f>
        <v>21.12</v>
      </c>
      <c r="BF1125" s="71">
        <f>IFERROR(__xludf.DUMMYFUNCTION("""COMPUTED_VALUE"""),153.12)</f>
        <v>153.12</v>
      </c>
      <c r="BG1125" s="71">
        <f>IFERROR(__xludf.DUMMYFUNCTION("""COMPUTED_VALUE"""),0.047619047619047616)</f>
        <v>0.04761904762</v>
      </c>
      <c r="BH1125" s="71">
        <f>IFERROR(__xludf.DUMMYFUNCTION("""COMPUTED_VALUE"""),125.39999999999999)</f>
        <v>125.4</v>
      </c>
      <c r="BI1125" s="71">
        <f>IFERROR(__xludf.DUMMYFUNCTION("""COMPUTED_VALUE"""),20.064)</f>
        <v>20.064</v>
      </c>
      <c r="BJ1125" s="71">
        <f>IFERROR(__xludf.DUMMYFUNCTION("""COMPUTED_VALUE"""),145.464)</f>
        <v>145.464</v>
      </c>
      <c r="BK1125" s="71">
        <f>IFERROR(__xludf.DUMMYFUNCTION("""COMPUTED_VALUE"""),118.8)</f>
        <v>118.8</v>
      </c>
      <c r="BL1125" s="71">
        <f>IFERROR(__xludf.DUMMYFUNCTION("""COMPUTED_VALUE"""),19.008)</f>
        <v>19.008</v>
      </c>
      <c r="BM1125" s="71">
        <f>IFERROR(__xludf.DUMMYFUNCTION("""COMPUTED_VALUE"""),137.808)</f>
        <v>137.808</v>
      </c>
      <c r="BN1125" s="71">
        <f>IFERROR(__xludf.DUMMYFUNCTION("""COMPUTED_VALUE"""),112.2)</f>
        <v>112.2</v>
      </c>
      <c r="BO1125" s="71">
        <f>IFERROR(__xludf.DUMMYFUNCTION("""COMPUTED_VALUE"""),17.952)</f>
        <v>17.952</v>
      </c>
      <c r="BP1125" s="71">
        <f>IFERROR(__xludf.DUMMYFUNCTION("""COMPUTED_VALUE"""),130.15200000000002)</f>
        <v>130.152</v>
      </c>
      <c r="BQ1125" s="71">
        <f>IFERROR(__xludf.DUMMYFUNCTION("""COMPUTED_VALUE"""),109.55999999999999)</f>
        <v>109.56</v>
      </c>
      <c r="BR1125" s="71">
        <f>IFERROR(__xludf.DUMMYFUNCTION("""COMPUTED_VALUE"""),17.5296)</f>
        <v>17.5296</v>
      </c>
      <c r="BS1125" s="71">
        <f>IFERROR(__xludf.DUMMYFUNCTION("""COMPUTED_VALUE"""),127.08959999999999)</f>
        <v>127.0896</v>
      </c>
      <c r="BT1125" s="71">
        <f>IFERROR(__xludf.DUMMYFUNCTION("""COMPUTED_VALUE"""),105.60000000000001)</f>
        <v>105.6</v>
      </c>
      <c r="BU1125" s="71">
        <f>IFERROR(__xludf.DUMMYFUNCTION("""COMPUTED_VALUE"""),16.896)</f>
        <v>16.896</v>
      </c>
      <c r="BV1125" s="71">
        <f>IFERROR(__xludf.DUMMYFUNCTION("""COMPUTED_VALUE"""),122.49600000000001)</f>
        <v>122.496</v>
      </c>
    </row>
    <row r="1126">
      <c r="A1126" s="53"/>
      <c r="B1126" s="53"/>
      <c r="C1126" s="53" t="s">
        <v>53</v>
      </c>
      <c r="D1126" s="53" t="s">
        <v>2734</v>
      </c>
      <c r="E1126" s="54" t="s">
        <v>38</v>
      </c>
      <c r="F1126" s="54" t="s">
        <v>42</v>
      </c>
      <c r="G1126" s="55" t="s">
        <v>2735</v>
      </c>
      <c r="H1126" s="54" t="s">
        <v>2736</v>
      </c>
      <c r="I1126" s="54">
        <f t="shared" si="24"/>
        <v>40</v>
      </c>
      <c r="J1126" s="56"/>
      <c r="K1126" s="75"/>
      <c r="L1126" s="76"/>
      <c r="M1126" s="59"/>
      <c r="N1126" s="79">
        <v>630.0</v>
      </c>
      <c r="O1126" s="61">
        <v>680.0</v>
      </c>
      <c r="P1126" s="63">
        <v>734.4000000000001</v>
      </c>
      <c r="Q1126" s="63">
        <v>734.4000000000001</v>
      </c>
      <c r="R1126" s="64">
        <v>771.0</v>
      </c>
      <c r="S1126" s="111">
        <v>810.0</v>
      </c>
      <c r="T1126" s="65">
        <f t="shared" si="39"/>
        <v>129.6</v>
      </c>
      <c r="U1126" s="65">
        <f t="shared" si="40"/>
        <v>939.6</v>
      </c>
      <c r="V1126" s="66">
        <f t="shared" si="42"/>
        <v>0.05058365759</v>
      </c>
      <c r="W1126" s="67">
        <f t="shared" si="5"/>
        <v>769.5</v>
      </c>
      <c r="X1126" s="67">
        <f t="shared" si="43"/>
        <v>123.12</v>
      </c>
      <c r="Y1126" s="67">
        <f t="shared" si="44"/>
        <v>892.62</v>
      </c>
      <c r="Z1126" s="67">
        <f t="shared" si="8"/>
        <v>729</v>
      </c>
      <c r="AA1126" s="67">
        <f t="shared" si="45"/>
        <v>116.64</v>
      </c>
      <c r="AB1126" s="67">
        <f t="shared" si="46"/>
        <v>845.64</v>
      </c>
      <c r="AC1126" s="67">
        <f t="shared" si="11"/>
        <v>688.5</v>
      </c>
      <c r="AD1126" s="67">
        <f t="shared" si="12"/>
        <v>110.16</v>
      </c>
      <c r="AE1126" s="67">
        <f t="shared" si="13"/>
        <v>798.66</v>
      </c>
      <c r="AF1126" s="67">
        <f t="shared" si="33"/>
        <v>672.3</v>
      </c>
      <c r="AG1126" s="67">
        <f t="shared" si="15"/>
        <v>107.568</v>
      </c>
      <c r="AH1126" s="67">
        <f t="shared" si="16"/>
        <v>779.868</v>
      </c>
      <c r="AI1126" s="67">
        <f t="shared" si="17"/>
        <v>648</v>
      </c>
      <c r="AJ1126" s="68">
        <f t="shared" si="37"/>
        <v>103.68</v>
      </c>
      <c r="AK1126" s="68">
        <f t="shared" si="38"/>
        <v>751.68</v>
      </c>
      <c r="AL1126" s="70">
        <f>IFERROR(__xludf.DUMMYFUNCTION("""COMPUTED_VALUE"""),1.0)</f>
        <v>1</v>
      </c>
      <c r="AM1126" s="70"/>
      <c r="AN1126" s="71" t="str">
        <f>IFERROR(__xludf.DUMMYFUNCTION("""COMPUTED_VALUE""")," P")</f>
        <v>P</v>
      </c>
      <c r="AO1126" s="71" t="str">
        <f>IFERROR(__xludf.DUMMYFUNCTION("""COMPUTED_VALUE""")," SF96")</f>
        <v>SF96</v>
      </c>
      <c r="AP1126" s="71" t="str">
        <f>IFERROR(__xludf.DUMMYFUNCTION("""COMPUTED_VALUE""")," PZA")</f>
        <v>PZA</v>
      </c>
      <c r="AQ1126" s="71" t="str">
        <f>IFERROR(__xludf.DUMMYFUNCTION("""COMPUTED_VALUE""")," REF")</f>
        <v>REF</v>
      </c>
      <c r="AR1126" s="71" t="str">
        <f>IFERROR(__xludf.DUMMYFUNCTION("""COMPUTED_VALUE""")," SINFÍN CORTO DERECHO EN ACERO INOX. T-304 GRADO ALIMENTICIO")</f>
        <v>SINFÍN CORTO DERECHO EN ACERO INOX. T-304 GRADO ALIMENTICIO</v>
      </c>
      <c r="AS1126" s="71" t="str">
        <f>IFERROR(__xludf.DUMMYFUNCTION("""COMPUTED_VALUE""")," SINFIN CORTO DERECHO INOX")</f>
        <v>SINFIN CORTO DERECHO INOX</v>
      </c>
      <c r="AT1126" s="71">
        <f>IFERROR(__xludf.DUMMYFUNCTION("""COMPUTED_VALUE"""),25.0)</f>
        <v>25</v>
      </c>
      <c r="AU1126" s="71"/>
      <c r="AV1126" s="71"/>
      <c r="AW1126" s="71"/>
      <c r="AX1126" s="71"/>
      <c r="AY1126" s="71">
        <f>IFERROR(__xludf.DUMMYFUNCTION("""COMPUTED_VALUE"""),283.0)</f>
        <v>283</v>
      </c>
      <c r="AZ1126" s="71">
        <f>IFERROR(__xludf.DUMMYFUNCTION("""COMPUTED_VALUE"""),305.0)</f>
        <v>305</v>
      </c>
      <c r="BA1126" s="71">
        <f>IFERROR(__xludf.DUMMYFUNCTION("""COMPUTED_VALUE"""),350.0)</f>
        <v>350</v>
      </c>
      <c r="BB1126" s="71">
        <f>IFERROR(__xludf.DUMMYFUNCTION("""COMPUTED_VALUE"""),350.0)</f>
        <v>350</v>
      </c>
      <c r="BC1126" s="71">
        <f>IFERROR(__xludf.DUMMYFUNCTION("""COMPUTED_VALUE"""),412.0)</f>
        <v>412</v>
      </c>
      <c r="BD1126" s="71">
        <f>IFERROR(__xludf.DUMMYFUNCTION("""COMPUTED_VALUE"""),433.0)</f>
        <v>433</v>
      </c>
      <c r="BE1126" s="71">
        <f>IFERROR(__xludf.DUMMYFUNCTION("""COMPUTED_VALUE"""),69.28)</f>
        <v>69.28</v>
      </c>
      <c r="BF1126" s="71">
        <f>IFERROR(__xludf.DUMMYFUNCTION("""COMPUTED_VALUE"""),502.28)</f>
        <v>502.28</v>
      </c>
      <c r="BG1126" s="71">
        <f>IFERROR(__xludf.DUMMYFUNCTION("""COMPUTED_VALUE"""),0.050970873786407765)</f>
        <v>0.05097087379</v>
      </c>
      <c r="BH1126" s="71">
        <f>IFERROR(__xludf.DUMMYFUNCTION("""COMPUTED_VALUE"""),411.34999999999997)</f>
        <v>411.35</v>
      </c>
      <c r="BI1126" s="71">
        <f>IFERROR(__xludf.DUMMYFUNCTION("""COMPUTED_VALUE"""),65.816)</f>
        <v>65.816</v>
      </c>
      <c r="BJ1126" s="71">
        <f>IFERROR(__xludf.DUMMYFUNCTION("""COMPUTED_VALUE"""),477.16599999999994)</f>
        <v>477.166</v>
      </c>
      <c r="BK1126" s="71">
        <f>IFERROR(__xludf.DUMMYFUNCTION("""COMPUTED_VALUE"""),389.7)</f>
        <v>389.7</v>
      </c>
      <c r="BL1126" s="71">
        <f>IFERROR(__xludf.DUMMYFUNCTION("""COMPUTED_VALUE"""),62.352)</f>
        <v>62.352</v>
      </c>
      <c r="BM1126" s="71">
        <f>IFERROR(__xludf.DUMMYFUNCTION("""COMPUTED_VALUE"""),452.05199999999996)</f>
        <v>452.052</v>
      </c>
      <c r="BN1126" s="71">
        <f>IFERROR(__xludf.DUMMYFUNCTION("""COMPUTED_VALUE"""),368.05)</f>
        <v>368.05</v>
      </c>
      <c r="BO1126" s="71">
        <f>IFERROR(__xludf.DUMMYFUNCTION("""COMPUTED_VALUE"""),58.888000000000005)</f>
        <v>58.888</v>
      </c>
      <c r="BP1126" s="71">
        <f>IFERROR(__xludf.DUMMYFUNCTION("""COMPUTED_VALUE"""),426.938)</f>
        <v>426.938</v>
      </c>
      <c r="BQ1126" s="71">
        <f>IFERROR(__xludf.DUMMYFUNCTION("""COMPUTED_VALUE"""),359.39)</f>
        <v>359.39</v>
      </c>
      <c r="BR1126" s="71">
        <f>IFERROR(__xludf.DUMMYFUNCTION("""COMPUTED_VALUE"""),57.5024)</f>
        <v>57.5024</v>
      </c>
      <c r="BS1126" s="71">
        <f>IFERROR(__xludf.DUMMYFUNCTION("""COMPUTED_VALUE"""),416.8924)</f>
        <v>416.8924</v>
      </c>
      <c r="BT1126" s="71">
        <f>IFERROR(__xludf.DUMMYFUNCTION("""COMPUTED_VALUE"""),346.40000000000003)</f>
        <v>346.4</v>
      </c>
      <c r="BU1126" s="71">
        <f>IFERROR(__xludf.DUMMYFUNCTION("""COMPUTED_VALUE"""),55.42400000000001)</f>
        <v>55.424</v>
      </c>
      <c r="BV1126" s="71">
        <f>IFERROR(__xludf.DUMMYFUNCTION("""COMPUTED_VALUE"""),401.82400000000007)</f>
        <v>401.824</v>
      </c>
    </row>
    <row r="1127">
      <c r="A1127" s="53"/>
      <c r="B1127" s="53"/>
      <c r="C1127" s="73" t="s">
        <v>12</v>
      </c>
      <c r="D1127" s="53" t="s">
        <v>2737</v>
      </c>
      <c r="E1127" s="54" t="s">
        <v>38</v>
      </c>
      <c r="F1127" s="54" t="s">
        <v>42</v>
      </c>
      <c r="G1127" s="55" t="s">
        <v>2738</v>
      </c>
      <c r="H1127" s="55" t="s">
        <v>2739</v>
      </c>
      <c r="I1127" s="54">
        <f t="shared" si="24"/>
        <v>40</v>
      </c>
      <c r="J1127" s="56"/>
      <c r="K1127" s="75"/>
      <c r="L1127" s="77"/>
      <c r="M1127" s="59"/>
      <c r="N1127" s="60"/>
      <c r="O1127" s="90"/>
      <c r="P1127" s="62">
        <v>502.64</v>
      </c>
      <c r="Q1127" s="63">
        <v>502.64</v>
      </c>
      <c r="R1127" s="64">
        <v>529.0</v>
      </c>
      <c r="S1127" s="111">
        <v>555.0</v>
      </c>
      <c r="T1127" s="65">
        <f t="shared" si="39"/>
        <v>88.8</v>
      </c>
      <c r="U1127" s="65">
        <f t="shared" si="40"/>
        <v>643.8</v>
      </c>
      <c r="V1127" s="66">
        <f t="shared" si="42"/>
        <v>0.04914933837</v>
      </c>
      <c r="W1127" s="67">
        <f t="shared" si="5"/>
        <v>527.25</v>
      </c>
      <c r="X1127" s="67">
        <f t="shared" si="43"/>
        <v>84.36</v>
      </c>
      <c r="Y1127" s="67">
        <f t="shared" si="44"/>
        <v>611.61</v>
      </c>
      <c r="Z1127" s="67">
        <f t="shared" si="8"/>
        <v>499.5</v>
      </c>
      <c r="AA1127" s="67">
        <f t="shared" si="45"/>
        <v>79.92</v>
      </c>
      <c r="AB1127" s="67">
        <f t="shared" si="46"/>
        <v>579.42</v>
      </c>
      <c r="AC1127" s="67">
        <f t="shared" si="11"/>
        <v>471.75</v>
      </c>
      <c r="AD1127" s="67">
        <f t="shared" si="12"/>
        <v>75.48</v>
      </c>
      <c r="AE1127" s="67">
        <f t="shared" si="13"/>
        <v>547.23</v>
      </c>
      <c r="AF1127" s="67">
        <f t="shared" si="33"/>
        <v>460.65</v>
      </c>
      <c r="AG1127" s="67">
        <f t="shared" si="15"/>
        <v>73.704</v>
      </c>
      <c r="AH1127" s="67">
        <f t="shared" si="16"/>
        <v>534.354</v>
      </c>
      <c r="AI1127" s="67">
        <f t="shared" si="17"/>
        <v>444</v>
      </c>
      <c r="AJ1127" s="68">
        <f t="shared" si="37"/>
        <v>71.04</v>
      </c>
      <c r="AK1127" s="68">
        <f t="shared" si="38"/>
        <v>515.04</v>
      </c>
      <c r="AL1127" s="70">
        <f>IFERROR(__xludf.DUMMYFUNCTION("""COMPUTED_VALUE"""),1.0)</f>
        <v>1</v>
      </c>
      <c r="AM1127" s="70"/>
      <c r="AN1127" s="71" t="str">
        <f>IFERROR(__xludf.DUMMYFUNCTION("""COMPUTED_VALUE""")," P")</f>
        <v>P</v>
      </c>
      <c r="AO1127" s="71" t="str">
        <f>IFERROR(__xludf.DUMMYFUNCTION("""COMPUTED_VALUE""")," SF100")</f>
        <v>SF100</v>
      </c>
      <c r="AP1127" s="71" t="str">
        <f>IFERROR(__xludf.DUMMYFUNCTION("""COMPUTED_VALUE""")," PZA")</f>
        <v>PZA</v>
      </c>
      <c r="AQ1127" s="71" t="str">
        <f>IFERROR(__xludf.DUMMYFUNCTION("""COMPUTED_VALUE""")," REF")</f>
        <v>REF</v>
      </c>
      <c r="AR1127" s="71" t="str">
        <f>IFERROR(__xludf.DUMMYFUNCTION("""COMPUTED_VALUE""")," SINFÍN CORTO DERECHO EN POLIGAR GRADO ALIMENTICIO")</f>
        <v>SINFÍN CORTO DERECHO EN POLIGAR GRADO ALIMENTICIO</v>
      </c>
      <c r="AS1127" s="71" t="str">
        <f>IFERROR(__xludf.DUMMYFUNCTION("""COMPUTED_VALUE""")," SINFIN CORTO DERECHO POLIGAR")</f>
        <v>SINFIN CORTO DERECHO POLIGAR</v>
      </c>
      <c r="AT1127" s="71">
        <f>IFERROR(__xludf.DUMMYFUNCTION("""COMPUTED_VALUE"""),28.0)</f>
        <v>28</v>
      </c>
      <c r="AU1127" s="71"/>
      <c r="AV1127" s="71"/>
      <c r="AW1127" s="71"/>
      <c r="AX1127" s="71"/>
      <c r="AY1127" s="71">
        <f>IFERROR(__xludf.DUMMYFUNCTION("""COMPUTED_VALUE"""),242.0)</f>
        <v>242</v>
      </c>
      <c r="AZ1127" s="71">
        <f>IFERROR(__xludf.DUMMYFUNCTION("""COMPUTED_VALUE"""),261.0)</f>
        <v>261</v>
      </c>
      <c r="BA1127" s="71">
        <f>IFERROR(__xludf.DUMMYFUNCTION("""COMPUTED_VALUE"""),281.88)</f>
        <v>281.88</v>
      </c>
      <c r="BB1127" s="71">
        <f>IFERROR(__xludf.DUMMYFUNCTION("""COMPUTED_VALUE"""),281.88)</f>
        <v>281.88</v>
      </c>
      <c r="BC1127" s="71">
        <f>IFERROR(__xludf.DUMMYFUNCTION("""COMPUTED_VALUE"""),314.0)</f>
        <v>314</v>
      </c>
      <c r="BD1127" s="71">
        <f>IFERROR(__xludf.DUMMYFUNCTION("""COMPUTED_VALUE"""),330.0)</f>
        <v>330</v>
      </c>
      <c r="BE1127" s="71">
        <f>IFERROR(__xludf.DUMMYFUNCTION("""COMPUTED_VALUE"""),52.800000000000004)</f>
        <v>52.8</v>
      </c>
      <c r="BF1127" s="71">
        <f>IFERROR(__xludf.DUMMYFUNCTION("""COMPUTED_VALUE"""),382.8)</f>
        <v>382.8</v>
      </c>
      <c r="BG1127" s="71">
        <f>IFERROR(__xludf.DUMMYFUNCTION("""COMPUTED_VALUE"""),0.050955414012738856)</f>
        <v>0.05095541401</v>
      </c>
      <c r="BH1127" s="71">
        <f>IFERROR(__xludf.DUMMYFUNCTION("""COMPUTED_VALUE"""),313.5)</f>
        <v>313.5</v>
      </c>
      <c r="BI1127" s="71">
        <f>IFERROR(__xludf.DUMMYFUNCTION("""COMPUTED_VALUE"""),50.160000000000004)</f>
        <v>50.16</v>
      </c>
      <c r="BJ1127" s="71">
        <f>IFERROR(__xludf.DUMMYFUNCTION("""COMPUTED_VALUE"""),363.66)</f>
        <v>363.66</v>
      </c>
      <c r="BK1127" s="71">
        <f>IFERROR(__xludf.DUMMYFUNCTION("""COMPUTED_VALUE"""),297.0)</f>
        <v>297</v>
      </c>
      <c r="BL1127" s="71">
        <f>IFERROR(__xludf.DUMMYFUNCTION("""COMPUTED_VALUE"""),47.52)</f>
        <v>47.52</v>
      </c>
      <c r="BM1127" s="71">
        <f>IFERROR(__xludf.DUMMYFUNCTION("""COMPUTED_VALUE"""),344.52)</f>
        <v>344.52</v>
      </c>
      <c r="BN1127" s="71">
        <f>IFERROR(__xludf.DUMMYFUNCTION("""COMPUTED_VALUE"""),280.5)</f>
        <v>280.5</v>
      </c>
      <c r="BO1127" s="71">
        <f>IFERROR(__xludf.DUMMYFUNCTION("""COMPUTED_VALUE"""),44.88)</f>
        <v>44.88</v>
      </c>
      <c r="BP1127" s="71">
        <f>IFERROR(__xludf.DUMMYFUNCTION("""COMPUTED_VALUE"""),325.38)</f>
        <v>325.38</v>
      </c>
      <c r="BQ1127" s="71">
        <f>IFERROR(__xludf.DUMMYFUNCTION("""COMPUTED_VALUE"""),273.9)</f>
        <v>273.9</v>
      </c>
      <c r="BR1127" s="71">
        <f>IFERROR(__xludf.DUMMYFUNCTION("""COMPUTED_VALUE"""),43.824)</f>
        <v>43.824</v>
      </c>
      <c r="BS1127" s="71">
        <f>IFERROR(__xludf.DUMMYFUNCTION("""COMPUTED_VALUE"""),317.724)</f>
        <v>317.724</v>
      </c>
      <c r="BT1127" s="71">
        <f>IFERROR(__xludf.DUMMYFUNCTION("""COMPUTED_VALUE"""),264.0)</f>
        <v>264</v>
      </c>
      <c r="BU1127" s="71">
        <f>IFERROR(__xludf.DUMMYFUNCTION("""COMPUTED_VALUE"""),42.24)</f>
        <v>42.24</v>
      </c>
      <c r="BV1127" s="71">
        <f>IFERROR(__xludf.DUMMYFUNCTION("""COMPUTED_VALUE"""),306.24)</f>
        <v>306.24</v>
      </c>
    </row>
    <row r="1128">
      <c r="A1128" s="53"/>
      <c r="B1128" s="53"/>
      <c r="C1128" s="53" t="s">
        <v>53</v>
      </c>
      <c r="D1128" s="53" t="s">
        <v>2740</v>
      </c>
      <c r="E1128" s="54" t="s">
        <v>38</v>
      </c>
      <c r="F1128" s="54" t="s">
        <v>42</v>
      </c>
      <c r="G1128" s="55" t="s">
        <v>2741</v>
      </c>
      <c r="H1128" s="55" t="s">
        <v>2742</v>
      </c>
      <c r="I1128" s="54">
        <f t="shared" si="24"/>
        <v>40</v>
      </c>
      <c r="J1128" s="56"/>
      <c r="K1128" s="75"/>
      <c r="L1128" s="76"/>
      <c r="M1128" s="59"/>
      <c r="N1128" s="79"/>
      <c r="O1128" s="61">
        <v>885.0</v>
      </c>
      <c r="P1128" s="62">
        <v>955.8000000000001</v>
      </c>
      <c r="Q1128" s="63">
        <v>955.8000000000001</v>
      </c>
      <c r="R1128" s="64">
        <v>1004.0</v>
      </c>
      <c r="S1128" s="111">
        <v>1054.0</v>
      </c>
      <c r="T1128" s="65">
        <f t="shared" si="39"/>
        <v>168.64</v>
      </c>
      <c r="U1128" s="65">
        <f t="shared" si="40"/>
        <v>1222.64</v>
      </c>
      <c r="V1128" s="66">
        <f t="shared" si="42"/>
        <v>0.04980079681</v>
      </c>
      <c r="W1128" s="67">
        <f t="shared" si="5"/>
        <v>1001.3</v>
      </c>
      <c r="X1128" s="67">
        <f t="shared" si="43"/>
        <v>160.208</v>
      </c>
      <c r="Y1128" s="67">
        <f t="shared" si="44"/>
        <v>1161.508</v>
      </c>
      <c r="Z1128" s="67">
        <f t="shared" si="8"/>
        <v>948.6</v>
      </c>
      <c r="AA1128" s="67">
        <f t="shared" si="45"/>
        <v>151.776</v>
      </c>
      <c r="AB1128" s="67">
        <f t="shared" si="46"/>
        <v>1100.376</v>
      </c>
      <c r="AC1128" s="67">
        <f t="shared" si="11"/>
        <v>895.9</v>
      </c>
      <c r="AD1128" s="67">
        <f t="shared" si="12"/>
        <v>143.344</v>
      </c>
      <c r="AE1128" s="67">
        <f t="shared" si="13"/>
        <v>1039.244</v>
      </c>
      <c r="AF1128" s="67">
        <f t="shared" si="33"/>
        <v>874.82</v>
      </c>
      <c r="AG1128" s="67">
        <f t="shared" si="15"/>
        <v>139.9712</v>
      </c>
      <c r="AH1128" s="67">
        <f t="shared" si="16"/>
        <v>1014.7912</v>
      </c>
      <c r="AI1128" s="67">
        <f t="shared" si="17"/>
        <v>843.2</v>
      </c>
      <c r="AJ1128" s="68">
        <f t="shared" si="37"/>
        <v>134.912</v>
      </c>
      <c r="AK1128" s="68">
        <f t="shared" si="38"/>
        <v>978.112</v>
      </c>
      <c r="AL1128" s="70">
        <f>IFERROR(__xludf.DUMMYFUNCTION("""COMPUTED_VALUE"""),1.0)</f>
        <v>1</v>
      </c>
      <c r="AM1128" s="70"/>
      <c r="AN1128" s="71" t="str">
        <f>IFERROR(__xludf.DUMMYFUNCTION("""COMPUTED_VALUE""")," P")</f>
        <v>P</v>
      </c>
      <c r="AO1128" s="71" t="str">
        <f>IFERROR(__xludf.DUMMYFUNCTION("""COMPUTED_VALUE""")," SF12")</f>
        <v>SF12</v>
      </c>
      <c r="AP1128" s="71" t="str">
        <f>IFERROR(__xludf.DUMMYFUNCTION("""COMPUTED_VALUE""")," PZA")</f>
        <v>PZA</v>
      </c>
      <c r="AQ1128" s="71" t="str">
        <f>IFERROR(__xludf.DUMMYFUNCTION("""COMPUTED_VALUE""")," REF")</f>
        <v>REF</v>
      </c>
      <c r="AR1128" s="71" t="str">
        <f>IFERROR(__xludf.DUMMYFUNCTION("""COMPUTED_VALUE""")," SINFÍN CORTO IZQUIERDO")</f>
        <v>SINFÍN CORTO IZQUIERDO</v>
      </c>
      <c r="AS1128" s="71" t="str">
        <f>IFERROR(__xludf.DUMMYFUNCTION("""COMPUTED_VALUE""")," SINFIN CORTO IZQUIERDO")</f>
        <v>SINFIN CORTO IZQUIERDO</v>
      </c>
      <c r="AT1128" s="71">
        <f>IFERROR(__xludf.DUMMYFUNCTION("""COMPUTED_VALUE"""),22.0)</f>
        <v>22</v>
      </c>
      <c r="AU1128" s="71"/>
      <c r="AV1128" s="71"/>
      <c r="AW1128" s="71"/>
      <c r="AX1128" s="71"/>
      <c r="AY1128" s="71">
        <f>IFERROR(__xludf.DUMMYFUNCTION("""COMPUTED_VALUE"""),86.0)</f>
        <v>86</v>
      </c>
      <c r="AZ1128" s="71">
        <f>IFERROR(__xludf.DUMMYFUNCTION("""COMPUTED_VALUE"""),92.0)</f>
        <v>92</v>
      </c>
      <c r="BA1128" s="71">
        <f>IFERROR(__xludf.DUMMYFUNCTION("""COMPUTED_VALUE"""),99.36000000000001)</f>
        <v>99.36</v>
      </c>
      <c r="BB1128" s="71">
        <f>IFERROR(__xludf.DUMMYFUNCTION("""COMPUTED_VALUE"""),99.36000000000001)</f>
        <v>99.36</v>
      </c>
      <c r="BC1128" s="71">
        <f>IFERROR(__xludf.DUMMYFUNCTION("""COMPUTED_VALUE"""),126.0)</f>
        <v>126</v>
      </c>
      <c r="BD1128" s="71">
        <f>IFERROR(__xludf.DUMMYFUNCTION("""COMPUTED_VALUE"""),132.0)</f>
        <v>132</v>
      </c>
      <c r="BE1128" s="71">
        <f>IFERROR(__xludf.DUMMYFUNCTION("""COMPUTED_VALUE"""),21.12)</f>
        <v>21.12</v>
      </c>
      <c r="BF1128" s="71">
        <f>IFERROR(__xludf.DUMMYFUNCTION("""COMPUTED_VALUE"""),153.12)</f>
        <v>153.12</v>
      </c>
      <c r="BG1128" s="71">
        <f>IFERROR(__xludf.DUMMYFUNCTION("""COMPUTED_VALUE"""),0.047619047619047616)</f>
        <v>0.04761904762</v>
      </c>
      <c r="BH1128" s="71">
        <f>IFERROR(__xludf.DUMMYFUNCTION("""COMPUTED_VALUE"""),125.39999999999999)</f>
        <v>125.4</v>
      </c>
      <c r="BI1128" s="71">
        <f>IFERROR(__xludf.DUMMYFUNCTION("""COMPUTED_VALUE"""),20.064)</f>
        <v>20.064</v>
      </c>
      <c r="BJ1128" s="71">
        <f>IFERROR(__xludf.DUMMYFUNCTION("""COMPUTED_VALUE"""),145.464)</f>
        <v>145.464</v>
      </c>
      <c r="BK1128" s="71">
        <f>IFERROR(__xludf.DUMMYFUNCTION("""COMPUTED_VALUE"""),118.8)</f>
        <v>118.8</v>
      </c>
      <c r="BL1128" s="71">
        <f>IFERROR(__xludf.DUMMYFUNCTION("""COMPUTED_VALUE"""),19.008)</f>
        <v>19.008</v>
      </c>
      <c r="BM1128" s="71">
        <f>IFERROR(__xludf.DUMMYFUNCTION("""COMPUTED_VALUE"""),137.808)</f>
        <v>137.808</v>
      </c>
      <c r="BN1128" s="71">
        <f>IFERROR(__xludf.DUMMYFUNCTION("""COMPUTED_VALUE"""),112.2)</f>
        <v>112.2</v>
      </c>
      <c r="BO1128" s="71">
        <f>IFERROR(__xludf.DUMMYFUNCTION("""COMPUTED_VALUE"""),17.952)</f>
        <v>17.952</v>
      </c>
      <c r="BP1128" s="71">
        <f>IFERROR(__xludf.DUMMYFUNCTION("""COMPUTED_VALUE"""),130.15200000000002)</f>
        <v>130.152</v>
      </c>
      <c r="BQ1128" s="71">
        <f>IFERROR(__xludf.DUMMYFUNCTION("""COMPUTED_VALUE"""),109.55999999999999)</f>
        <v>109.56</v>
      </c>
      <c r="BR1128" s="71">
        <f>IFERROR(__xludf.DUMMYFUNCTION("""COMPUTED_VALUE"""),17.5296)</f>
        <v>17.5296</v>
      </c>
      <c r="BS1128" s="71">
        <f>IFERROR(__xludf.DUMMYFUNCTION("""COMPUTED_VALUE"""),127.08959999999999)</f>
        <v>127.0896</v>
      </c>
      <c r="BT1128" s="71">
        <f>IFERROR(__xludf.DUMMYFUNCTION("""COMPUTED_VALUE"""),105.60000000000001)</f>
        <v>105.6</v>
      </c>
      <c r="BU1128" s="71">
        <f>IFERROR(__xludf.DUMMYFUNCTION("""COMPUTED_VALUE"""),16.896)</f>
        <v>16.896</v>
      </c>
      <c r="BV1128" s="71">
        <f>IFERROR(__xludf.DUMMYFUNCTION("""COMPUTED_VALUE"""),122.49600000000001)</f>
        <v>122.496</v>
      </c>
    </row>
    <row r="1129">
      <c r="A1129" s="53"/>
      <c r="B1129" s="53"/>
      <c r="C1129" s="73" t="s">
        <v>53</v>
      </c>
      <c r="D1129" s="53" t="s">
        <v>2743</v>
      </c>
      <c r="E1129" s="54" t="s">
        <v>38</v>
      </c>
      <c r="F1129" s="54" t="s">
        <v>42</v>
      </c>
      <c r="G1129" s="55" t="s">
        <v>2744</v>
      </c>
      <c r="H1129" s="54" t="s">
        <v>2744</v>
      </c>
      <c r="I1129" s="54">
        <f t="shared" si="24"/>
        <v>30</v>
      </c>
      <c r="J1129" s="56"/>
      <c r="K1129" s="57"/>
      <c r="L1129" s="76"/>
      <c r="M1129" s="59"/>
      <c r="N1129" s="79"/>
      <c r="O1129" s="61">
        <v>255.0</v>
      </c>
      <c r="P1129" s="62">
        <v>275.40000000000003</v>
      </c>
      <c r="Q1129" s="63">
        <v>275.40000000000003</v>
      </c>
      <c r="R1129" s="64">
        <v>289.0</v>
      </c>
      <c r="S1129" s="111">
        <v>303.0</v>
      </c>
      <c r="T1129" s="65">
        <f t="shared" si="39"/>
        <v>48.48</v>
      </c>
      <c r="U1129" s="65">
        <f t="shared" si="40"/>
        <v>351.48</v>
      </c>
      <c r="V1129" s="66">
        <f t="shared" si="42"/>
        <v>0.04844290657</v>
      </c>
      <c r="W1129" s="67">
        <f t="shared" si="5"/>
        <v>287.85</v>
      </c>
      <c r="X1129" s="67">
        <f t="shared" si="43"/>
        <v>46.056</v>
      </c>
      <c r="Y1129" s="67">
        <f t="shared" si="44"/>
        <v>333.906</v>
      </c>
      <c r="Z1129" s="67">
        <f t="shared" si="8"/>
        <v>272.7</v>
      </c>
      <c r="AA1129" s="67">
        <f t="shared" si="45"/>
        <v>43.632</v>
      </c>
      <c r="AB1129" s="67">
        <f t="shared" si="46"/>
        <v>316.332</v>
      </c>
      <c r="AC1129" s="67">
        <f t="shared" si="11"/>
        <v>257.55</v>
      </c>
      <c r="AD1129" s="67">
        <f t="shared" si="12"/>
        <v>41.208</v>
      </c>
      <c r="AE1129" s="67">
        <f t="shared" si="13"/>
        <v>298.758</v>
      </c>
      <c r="AF1129" s="67">
        <f t="shared" si="33"/>
        <v>251.49</v>
      </c>
      <c r="AG1129" s="67">
        <f t="shared" si="15"/>
        <v>40.2384</v>
      </c>
      <c r="AH1129" s="67">
        <f t="shared" si="16"/>
        <v>291.7284</v>
      </c>
      <c r="AI1129" s="67">
        <f t="shared" si="17"/>
        <v>242.4</v>
      </c>
      <c r="AJ1129" s="68">
        <f t="shared" si="37"/>
        <v>38.784</v>
      </c>
      <c r="AK1129" s="68">
        <f t="shared" si="38"/>
        <v>281.184</v>
      </c>
      <c r="AL1129" s="70">
        <f>IFERROR(__xludf.DUMMYFUNCTION("""COMPUTED_VALUE"""),1.0)</f>
        <v>1</v>
      </c>
      <c r="AM1129" s="70"/>
      <c r="AN1129" s="71" t="str">
        <f>IFERROR(__xludf.DUMMYFUNCTION("""COMPUTED_VALUE""")," P")</f>
        <v>P</v>
      </c>
      <c r="AO1129" s="71" t="str">
        <f>IFERROR(__xludf.DUMMYFUNCTION("""COMPUTED_VALUE""")," SF97")</f>
        <v>SF97</v>
      </c>
      <c r="AP1129" s="71" t="str">
        <f>IFERROR(__xludf.DUMMYFUNCTION("""COMPUTED_VALUE""")," PZA")</f>
        <v>PZA</v>
      </c>
      <c r="AQ1129" s="71" t="str">
        <f>IFERROR(__xludf.DUMMYFUNCTION("""COMPUTED_VALUE""")," REF")</f>
        <v>REF</v>
      </c>
      <c r="AR1129" s="71" t="str">
        <f>IFERROR(__xludf.DUMMYFUNCTION("""COMPUTED_VALUE""")," SINFÍN CORTO IZQUIERDO EN ACERO INOX. T-304 GRADO ALIMENTICIO")</f>
        <v>SINFÍN CORTO IZQUIERDO EN ACERO INOX. T-304 GRADO ALIMENTICIO</v>
      </c>
      <c r="AS1129" s="71" t="str">
        <f>IFERROR(__xludf.DUMMYFUNCTION("""COMPUTED_VALUE""")," SINFIN CORTO IZQUIERDO INOX")</f>
        <v>SINFIN CORTO IZQUIERDO INOX</v>
      </c>
      <c r="AT1129" s="71">
        <f>IFERROR(__xludf.DUMMYFUNCTION("""COMPUTED_VALUE"""),27.0)</f>
        <v>27</v>
      </c>
      <c r="AU1129" s="71"/>
      <c r="AV1129" s="71"/>
      <c r="AW1129" s="71"/>
      <c r="AX1129" s="71"/>
      <c r="AY1129" s="71">
        <f>IFERROR(__xludf.DUMMYFUNCTION("""COMPUTED_VALUE"""),283.0)</f>
        <v>283</v>
      </c>
      <c r="AZ1129" s="71">
        <f>IFERROR(__xludf.DUMMYFUNCTION("""COMPUTED_VALUE"""),305.0)</f>
        <v>305</v>
      </c>
      <c r="BA1129" s="71">
        <f>IFERROR(__xludf.DUMMYFUNCTION("""COMPUTED_VALUE"""),350.0)</f>
        <v>350</v>
      </c>
      <c r="BB1129" s="71">
        <f>IFERROR(__xludf.DUMMYFUNCTION("""COMPUTED_VALUE"""),350.0)</f>
        <v>350</v>
      </c>
      <c r="BC1129" s="71">
        <f>IFERROR(__xludf.DUMMYFUNCTION("""COMPUTED_VALUE"""),412.0)</f>
        <v>412</v>
      </c>
      <c r="BD1129" s="71">
        <f>IFERROR(__xludf.DUMMYFUNCTION("""COMPUTED_VALUE"""),433.0)</f>
        <v>433</v>
      </c>
      <c r="BE1129" s="71">
        <f>IFERROR(__xludf.DUMMYFUNCTION("""COMPUTED_VALUE"""),69.28)</f>
        <v>69.28</v>
      </c>
      <c r="BF1129" s="71">
        <f>IFERROR(__xludf.DUMMYFUNCTION("""COMPUTED_VALUE"""),502.28)</f>
        <v>502.28</v>
      </c>
      <c r="BG1129" s="71">
        <f>IFERROR(__xludf.DUMMYFUNCTION("""COMPUTED_VALUE"""),0.050970873786407765)</f>
        <v>0.05097087379</v>
      </c>
      <c r="BH1129" s="71">
        <f>IFERROR(__xludf.DUMMYFUNCTION("""COMPUTED_VALUE"""),411.34999999999997)</f>
        <v>411.35</v>
      </c>
      <c r="BI1129" s="71">
        <f>IFERROR(__xludf.DUMMYFUNCTION("""COMPUTED_VALUE"""),65.816)</f>
        <v>65.816</v>
      </c>
      <c r="BJ1129" s="71">
        <f>IFERROR(__xludf.DUMMYFUNCTION("""COMPUTED_VALUE"""),477.16599999999994)</f>
        <v>477.166</v>
      </c>
      <c r="BK1129" s="71">
        <f>IFERROR(__xludf.DUMMYFUNCTION("""COMPUTED_VALUE"""),389.7)</f>
        <v>389.7</v>
      </c>
      <c r="BL1129" s="71">
        <f>IFERROR(__xludf.DUMMYFUNCTION("""COMPUTED_VALUE"""),62.352)</f>
        <v>62.352</v>
      </c>
      <c r="BM1129" s="71">
        <f>IFERROR(__xludf.DUMMYFUNCTION("""COMPUTED_VALUE"""),452.05199999999996)</f>
        <v>452.052</v>
      </c>
      <c r="BN1129" s="71">
        <f>IFERROR(__xludf.DUMMYFUNCTION("""COMPUTED_VALUE"""),368.05)</f>
        <v>368.05</v>
      </c>
      <c r="BO1129" s="71">
        <f>IFERROR(__xludf.DUMMYFUNCTION("""COMPUTED_VALUE"""),58.888000000000005)</f>
        <v>58.888</v>
      </c>
      <c r="BP1129" s="71">
        <f>IFERROR(__xludf.DUMMYFUNCTION("""COMPUTED_VALUE"""),426.938)</f>
        <v>426.938</v>
      </c>
      <c r="BQ1129" s="71">
        <f>IFERROR(__xludf.DUMMYFUNCTION("""COMPUTED_VALUE"""),359.39)</f>
        <v>359.39</v>
      </c>
      <c r="BR1129" s="71">
        <f>IFERROR(__xludf.DUMMYFUNCTION("""COMPUTED_VALUE"""),57.5024)</f>
        <v>57.5024</v>
      </c>
      <c r="BS1129" s="71">
        <f>IFERROR(__xludf.DUMMYFUNCTION("""COMPUTED_VALUE"""),416.8924)</f>
        <v>416.8924</v>
      </c>
      <c r="BT1129" s="71">
        <f>IFERROR(__xludf.DUMMYFUNCTION("""COMPUTED_VALUE"""),346.40000000000003)</f>
        <v>346.4</v>
      </c>
      <c r="BU1129" s="71">
        <f>IFERROR(__xludf.DUMMYFUNCTION("""COMPUTED_VALUE"""),55.42400000000001)</f>
        <v>55.424</v>
      </c>
      <c r="BV1129" s="71">
        <f>IFERROR(__xludf.DUMMYFUNCTION("""COMPUTED_VALUE"""),401.82400000000007)</f>
        <v>401.824</v>
      </c>
    </row>
    <row r="1130">
      <c r="A1130" s="53"/>
      <c r="B1130" s="53"/>
      <c r="C1130" s="53" t="s">
        <v>36</v>
      </c>
      <c r="D1130" s="85" t="s">
        <v>2745</v>
      </c>
      <c r="E1130" s="54" t="s">
        <v>38</v>
      </c>
      <c r="F1130" s="55" t="s">
        <v>39</v>
      </c>
      <c r="G1130" s="86" t="s">
        <v>2746</v>
      </c>
      <c r="H1130" s="55"/>
      <c r="I1130" s="54">
        <f t="shared" si="24"/>
        <v>0</v>
      </c>
      <c r="J1130" s="56"/>
      <c r="K1130" s="57"/>
      <c r="L1130" s="76"/>
      <c r="M1130" s="59"/>
      <c r="N1130" s="60"/>
      <c r="O1130" s="61">
        <v>180.0</v>
      </c>
      <c r="P1130" s="62">
        <v>194.4</v>
      </c>
      <c r="Q1130" s="63">
        <v>194.4</v>
      </c>
      <c r="R1130" s="64">
        <v>204.0</v>
      </c>
      <c r="S1130" s="107">
        <v>214.0</v>
      </c>
      <c r="T1130" s="65">
        <f t="shared" si="39"/>
        <v>34.24</v>
      </c>
      <c r="U1130" s="65">
        <f t="shared" si="40"/>
        <v>248.24</v>
      </c>
      <c r="V1130" s="66">
        <f t="shared" si="42"/>
        <v>0.04901960784</v>
      </c>
      <c r="W1130" s="67">
        <f t="shared" si="5"/>
        <v>203.3</v>
      </c>
      <c r="X1130" s="67">
        <f t="shared" si="43"/>
        <v>32.528</v>
      </c>
      <c r="Y1130" s="67">
        <f t="shared" si="44"/>
        <v>235.828</v>
      </c>
      <c r="Z1130" s="67">
        <f t="shared" si="8"/>
        <v>192.6</v>
      </c>
      <c r="AA1130" s="67">
        <f t="shared" si="45"/>
        <v>30.816</v>
      </c>
      <c r="AB1130" s="67">
        <f t="shared" si="46"/>
        <v>223.416</v>
      </c>
      <c r="AC1130" s="67">
        <f t="shared" si="11"/>
        <v>181.9</v>
      </c>
      <c r="AD1130" s="67">
        <f t="shared" si="12"/>
        <v>29.104</v>
      </c>
      <c r="AE1130" s="67">
        <f t="shared" si="13"/>
        <v>211.004</v>
      </c>
      <c r="AF1130" s="67">
        <f t="shared" si="33"/>
        <v>177.62</v>
      </c>
      <c r="AG1130" s="67">
        <f t="shared" si="15"/>
        <v>28.4192</v>
      </c>
      <c r="AH1130" s="67">
        <f t="shared" si="16"/>
        <v>206.0392</v>
      </c>
      <c r="AI1130" s="67">
        <f t="shared" si="17"/>
        <v>171.2</v>
      </c>
      <c r="AJ1130" s="68">
        <f t="shared" si="37"/>
        <v>27.392</v>
      </c>
      <c r="AK1130" s="68">
        <f t="shared" si="38"/>
        <v>198.592</v>
      </c>
      <c r="AL1130" s="70">
        <f>IFERROR(__xludf.DUMMYFUNCTION("""COMPUTED_VALUE"""),1.0)</f>
        <v>1</v>
      </c>
      <c r="AM1130" s="70"/>
      <c r="AN1130" s="71" t="str">
        <f>IFERROR(__xludf.DUMMYFUNCTION("""COMPUTED_VALUE""")," P")</f>
        <v>P</v>
      </c>
      <c r="AO1130" s="71" t="str">
        <f>IFERROR(__xludf.DUMMYFUNCTION("""COMPUTED_VALUE""")," SF101")</f>
        <v>SF101</v>
      </c>
      <c r="AP1130" s="71" t="str">
        <f>IFERROR(__xludf.DUMMYFUNCTION("""COMPUTED_VALUE""")," PZA")</f>
        <v>PZA</v>
      </c>
      <c r="AQ1130" s="71" t="str">
        <f>IFERROR(__xludf.DUMMYFUNCTION("""COMPUTED_VALUE""")," REF")</f>
        <v>REF</v>
      </c>
      <c r="AR1130" s="71" t="str">
        <f>IFERROR(__xludf.DUMMYFUNCTION("""COMPUTED_VALUE""")," SINFÍN CORTO IZQUIERDO EN POLIGAR GRADO ALIMENTICIO")</f>
        <v>SINFÍN CORTO IZQUIERDO EN POLIGAR GRADO ALIMENTICIO</v>
      </c>
      <c r="AS1130" s="71" t="str">
        <f>IFERROR(__xludf.DUMMYFUNCTION("""COMPUTED_VALUE""")," SINFIN CORTO IZQUIERDO POLIGAR")</f>
        <v>SINFIN CORTO IZQUIERDO POLIGAR</v>
      </c>
      <c r="AT1130" s="71">
        <f>IFERROR(__xludf.DUMMYFUNCTION("""COMPUTED_VALUE"""),30.0)</f>
        <v>30</v>
      </c>
      <c r="AU1130" s="71"/>
      <c r="AV1130" s="71"/>
      <c r="AW1130" s="71"/>
      <c r="AX1130" s="71"/>
      <c r="AY1130" s="71">
        <f>IFERROR(__xludf.DUMMYFUNCTION("""COMPUTED_VALUE"""),242.0)</f>
        <v>242</v>
      </c>
      <c r="AZ1130" s="71">
        <f>IFERROR(__xludf.DUMMYFUNCTION("""COMPUTED_VALUE"""),261.0)</f>
        <v>261</v>
      </c>
      <c r="BA1130" s="71">
        <f>IFERROR(__xludf.DUMMYFUNCTION("""COMPUTED_VALUE"""),281.88)</f>
        <v>281.88</v>
      </c>
      <c r="BB1130" s="71">
        <f>IFERROR(__xludf.DUMMYFUNCTION("""COMPUTED_VALUE"""),281.88)</f>
        <v>281.88</v>
      </c>
      <c r="BC1130" s="71">
        <f>IFERROR(__xludf.DUMMYFUNCTION("""COMPUTED_VALUE"""),314.0)</f>
        <v>314</v>
      </c>
      <c r="BD1130" s="71">
        <f>IFERROR(__xludf.DUMMYFUNCTION("""COMPUTED_VALUE"""),330.0)</f>
        <v>330</v>
      </c>
      <c r="BE1130" s="71">
        <f>IFERROR(__xludf.DUMMYFUNCTION("""COMPUTED_VALUE"""),52.800000000000004)</f>
        <v>52.8</v>
      </c>
      <c r="BF1130" s="71">
        <f>IFERROR(__xludf.DUMMYFUNCTION("""COMPUTED_VALUE"""),382.8)</f>
        <v>382.8</v>
      </c>
      <c r="BG1130" s="71">
        <f>IFERROR(__xludf.DUMMYFUNCTION("""COMPUTED_VALUE"""),0.050955414012738856)</f>
        <v>0.05095541401</v>
      </c>
      <c r="BH1130" s="71">
        <f>IFERROR(__xludf.DUMMYFUNCTION("""COMPUTED_VALUE"""),313.5)</f>
        <v>313.5</v>
      </c>
      <c r="BI1130" s="71">
        <f>IFERROR(__xludf.DUMMYFUNCTION("""COMPUTED_VALUE"""),50.160000000000004)</f>
        <v>50.16</v>
      </c>
      <c r="BJ1130" s="71">
        <f>IFERROR(__xludf.DUMMYFUNCTION("""COMPUTED_VALUE"""),363.66)</f>
        <v>363.66</v>
      </c>
      <c r="BK1130" s="71">
        <f>IFERROR(__xludf.DUMMYFUNCTION("""COMPUTED_VALUE"""),297.0)</f>
        <v>297</v>
      </c>
      <c r="BL1130" s="71">
        <f>IFERROR(__xludf.DUMMYFUNCTION("""COMPUTED_VALUE"""),47.52)</f>
        <v>47.52</v>
      </c>
      <c r="BM1130" s="71">
        <f>IFERROR(__xludf.DUMMYFUNCTION("""COMPUTED_VALUE"""),344.52)</f>
        <v>344.52</v>
      </c>
      <c r="BN1130" s="71">
        <f>IFERROR(__xludf.DUMMYFUNCTION("""COMPUTED_VALUE"""),280.5)</f>
        <v>280.5</v>
      </c>
      <c r="BO1130" s="71">
        <f>IFERROR(__xludf.DUMMYFUNCTION("""COMPUTED_VALUE"""),44.88)</f>
        <v>44.88</v>
      </c>
      <c r="BP1130" s="71">
        <f>IFERROR(__xludf.DUMMYFUNCTION("""COMPUTED_VALUE"""),325.38)</f>
        <v>325.38</v>
      </c>
      <c r="BQ1130" s="71">
        <f>IFERROR(__xludf.DUMMYFUNCTION("""COMPUTED_VALUE"""),273.9)</f>
        <v>273.9</v>
      </c>
      <c r="BR1130" s="71">
        <f>IFERROR(__xludf.DUMMYFUNCTION("""COMPUTED_VALUE"""),43.824)</f>
        <v>43.824</v>
      </c>
      <c r="BS1130" s="71">
        <f>IFERROR(__xludf.DUMMYFUNCTION("""COMPUTED_VALUE"""),317.724)</f>
        <v>317.724</v>
      </c>
      <c r="BT1130" s="71">
        <f>IFERROR(__xludf.DUMMYFUNCTION("""COMPUTED_VALUE"""),264.0)</f>
        <v>264</v>
      </c>
      <c r="BU1130" s="71">
        <f>IFERROR(__xludf.DUMMYFUNCTION("""COMPUTED_VALUE"""),42.24)</f>
        <v>42.24</v>
      </c>
      <c r="BV1130" s="71">
        <f>IFERROR(__xludf.DUMMYFUNCTION("""COMPUTED_VALUE"""),306.24)</f>
        <v>306.24</v>
      </c>
    </row>
    <row r="1131">
      <c r="A1131" s="53"/>
      <c r="B1131" s="53"/>
      <c r="C1131" s="53" t="s">
        <v>53</v>
      </c>
      <c r="D1131" s="53" t="s">
        <v>2747</v>
      </c>
      <c r="E1131" s="54" t="s">
        <v>38</v>
      </c>
      <c r="F1131" s="54" t="s">
        <v>42</v>
      </c>
      <c r="G1131" s="55" t="s">
        <v>2748</v>
      </c>
      <c r="H1131" s="55" t="s">
        <v>2748</v>
      </c>
      <c r="I1131" s="54">
        <f t="shared" si="24"/>
        <v>39</v>
      </c>
      <c r="J1131" s="56"/>
      <c r="K1131" s="75"/>
      <c r="L1131" s="76"/>
      <c r="M1131" s="59"/>
      <c r="N1131" s="60"/>
      <c r="O1131" s="61">
        <v>384.0</v>
      </c>
      <c r="P1131" s="62">
        <v>414.72</v>
      </c>
      <c r="Q1131" s="63">
        <v>414.72</v>
      </c>
      <c r="R1131" s="64">
        <v>436.0</v>
      </c>
      <c r="S1131" s="111">
        <v>458.0</v>
      </c>
      <c r="T1131" s="65">
        <f t="shared" si="39"/>
        <v>73.28</v>
      </c>
      <c r="U1131" s="65">
        <f t="shared" si="40"/>
        <v>531.28</v>
      </c>
      <c r="V1131" s="66">
        <f t="shared" si="42"/>
        <v>0.0504587156</v>
      </c>
      <c r="W1131" s="67">
        <f t="shared" si="5"/>
        <v>435.1</v>
      </c>
      <c r="X1131" s="67">
        <f t="shared" si="43"/>
        <v>69.616</v>
      </c>
      <c r="Y1131" s="67">
        <f t="shared" si="44"/>
        <v>504.716</v>
      </c>
      <c r="Z1131" s="67">
        <f t="shared" si="8"/>
        <v>412.2</v>
      </c>
      <c r="AA1131" s="67">
        <f t="shared" si="45"/>
        <v>65.952</v>
      </c>
      <c r="AB1131" s="67">
        <f t="shared" si="46"/>
        <v>478.152</v>
      </c>
      <c r="AC1131" s="67">
        <f t="shared" si="11"/>
        <v>389.3</v>
      </c>
      <c r="AD1131" s="67">
        <f t="shared" si="12"/>
        <v>62.288</v>
      </c>
      <c r="AE1131" s="67">
        <f t="shared" si="13"/>
        <v>451.588</v>
      </c>
      <c r="AF1131" s="67">
        <f t="shared" si="33"/>
        <v>380.14</v>
      </c>
      <c r="AG1131" s="67">
        <f t="shared" si="15"/>
        <v>60.8224</v>
      </c>
      <c r="AH1131" s="67">
        <f t="shared" si="16"/>
        <v>440.9624</v>
      </c>
      <c r="AI1131" s="67">
        <f t="shared" si="17"/>
        <v>366.4</v>
      </c>
      <c r="AJ1131" s="68">
        <f t="shared" si="37"/>
        <v>58.624</v>
      </c>
      <c r="AK1131" s="68">
        <f t="shared" si="38"/>
        <v>425.024</v>
      </c>
      <c r="AL1131" s="70">
        <f>IFERROR(__xludf.DUMMYFUNCTION("""COMPUTED_VALUE"""),1.0)</f>
        <v>1</v>
      </c>
      <c r="AM1131" s="70"/>
      <c r="AN1131" s="71" t="str">
        <f>IFERROR(__xludf.DUMMYFUNCTION("""COMPUTED_VALUE""")," P")</f>
        <v>P</v>
      </c>
      <c r="AO1131" s="71" t="str">
        <f>IFERROR(__xludf.DUMMYFUNCTION("""COMPUTED_VALUE""")," SF01")</f>
        <v>SF01</v>
      </c>
      <c r="AP1131" s="71" t="str">
        <f>IFERROR(__xludf.DUMMYFUNCTION("""COMPUTED_VALUE""")," PZA")</f>
        <v>PZA</v>
      </c>
      <c r="AQ1131" s="71" t="str">
        <f>IFERROR(__xludf.DUMMYFUNCTION("""COMPUTED_VALUE""")," REF")</f>
        <v>REF</v>
      </c>
      <c r="AR1131" s="71" t="str">
        <f>IFERROR(__xludf.DUMMYFUNCTION("""COMPUTED_VALUE""")," SINFÍN DE ALUMINIO ARMADO DÚPLEX")</f>
        <v>SINFÍN DE ALUMINIO ARMADO DÚPLEX</v>
      </c>
      <c r="AS1131" s="71" t="str">
        <f>IFERROR(__xludf.DUMMYFUNCTION("""COMPUTED_VALUE""")," SINFIN DE ALUMINIO ARMADO DPLX")</f>
        <v>SINFIN DE ALUMINIO ARMADO DPLX</v>
      </c>
      <c r="AT1131" s="71">
        <f>IFERROR(__xludf.DUMMYFUNCTION("""COMPUTED_VALUE"""),30.0)</f>
        <v>30</v>
      </c>
      <c r="AU1131" s="71"/>
      <c r="AV1131" s="71"/>
      <c r="AW1131" s="71"/>
      <c r="AX1131" s="71"/>
      <c r="AY1131" s="71">
        <f>IFERROR(__xludf.DUMMYFUNCTION("""COMPUTED_VALUE"""),1927.0)</f>
        <v>1927</v>
      </c>
      <c r="AZ1131" s="71">
        <f>IFERROR(__xludf.DUMMYFUNCTION("""COMPUTED_VALUE"""),2081.0)</f>
        <v>2081</v>
      </c>
      <c r="BA1131" s="71">
        <f>IFERROR(__xludf.DUMMYFUNCTION("""COMPUTED_VALUE"""),2247.48)</f>
        <v>2247.48</v>
      </c>
      <c r="BB1131" s="71">
        <f>IFERROR(__xludf.DUMMYFUNCTION("""COMPUTED_VALUE"""),2247.48)</f>
        <v>2247.48</v>
      </c>
      <c r="BC1131" s="71">
        <f>IFERROR(__xludf.DUMMYFUNCTION("""COMPUTED_VALUE"""),2503.0)</f>
        <v>2503</v>
      </c>
      <c r="BD1131" s="71">
        <f>IFERROR(__xludf.DUMMYFUNCTION("""COMPUTED_VALUE"""),2628.0)</f>
        <v>2628</v>
      </c>
      <c r="BE1131" s="71">
        <f>IFERROR(__xludf.DUMMYFUNCTION("""COMPUTED_VALUE"""),420.48)</f>
        <v>420.48</v>
      </c>
      <c r="BF1131" s="71">
        <f>IFERROR(__xludf.DUMMYFUNCTION("""COMPUTED_VALUE"""),3048.48)</f>
        <v>3048.48</v>
      </c>
      <c r="BG1131" s="71">
        <f>IFERROR(__xludf.DUMMYFUNCTION("""COMPUTED_VALUE"""),0.04994007191370355)</f>
        <v>0.04994007191</v>
      </c>
      <c r="BH1131" s="71">
        <f>IFERROR(__xludf.DUMMYFUNCTION("""COMPUTED_VALUE"""),2496.6)</f>
        <v>2496.6</v>
      </c>
      <c r="BI1131" s="71">
        <f>IFERROR(__xludf.DUMMYFUNCTION("""COMPUTED_VALUE"""),399.456)</f>
        <v>399.456</v>
      </c>
      <c r="BJ1131" s="71">
        <f>IFERROR(__xludf.DUMMYFUNCTION("""COMPUTED_VALUE"""),2896.056)</f>
        <v>2896.056</v>
      </c>
      <c r="BK1131" s="71">
        <f>IFERROR(__xludf.DUMMYFUNCTION("""COMPUTED_VALUE"""),2365.2000000000003)</f>
        <v>2365.2</v>
      </c>
      <c r="BL1131" s="71">
        <f>IFERROR(__xludf.DUMMYFUNCTION("""COMPUTED_VALUE"""),378.4320000000001)</f>
        <v>378.432</v>
      </c>
      <c r="BM1131" s="71">
        <f>IFERROR(__xludf.DUMMYFUNCTION("""COMPUTED_VALUE"""),2743.6320000000005)</f>
        <v>2743.632</v>
      </c>
      <c r="BN1131" s="71">
        <f>IFERROR(__xludf.DUMMYFUNCTION("""COMPUTED_VALUE"""),2233.7999999999997)</f>
        <v>2233.8</v>
      </c>
      <c r="BO1131" s="71">
        <f>IFERROR(__xludf.DUMMYFUNCTION("""COMPUTED_VALUE"""),357.40799999999996)</f>
        <v>357.408</v>
      </c>
      <c r="BP1131" s="71">
        <f>IFERROR(__xludf.DUMMYFUNCTION("""COMPUTED_VALUE"""),2591.2079999999996)</f>
        <v>2591.208</v>
      </c>
      <c r="BQ1131" s="71">
        <f>IFERROR(__xludf.DUMMYFUNCTION("""COMPUTED_VALUE"""),2181.24)</f>
        <v>2181.24</v>
      </c>
      <c r="BR1131" s="71">
        <f>IFERROR(__xludf.DUMMYFUNCTION("""COMPUTED_VALUE"""),348.99839999999995)</f>
        <v>348.9984</v>
      </c>
      <c r="BS1131" s="71">
        <f>IFERROR(__xludf.DUMMYFUNCTION("""COMPUTED_VALUE"""),2530.2383999999997)</f>
        <v>2530.2384</v>
      </c>
      <c r="BT1131" s="71">
        <f>IFERROR(__xludf.DUMMYFUNCTION("""COMPUTED_VALUE"""),2102.4)</f>
        <v>2102.4</v>
      </c>
      <c r="BU1131" s="71">
        <f>IFERROR(__xludf.DUMMYFUNCTION("""COMPUTED_VALUE"""),336.384)</f>
        <v>336.384</v>
      </c>
      <c r="BV1131" s="71">
        <f>IFERROR(__xludf.DUMMYFUNCTION("""COMPUTED_VALUE"""),2438.784)</f>
        <v>2438.784</v>
      </c>
    </row>
    <row r="1132">
      <c r="A1132" s="53"/>
      <c r="B1132" s="53"/>
      <c r="C1132" s="73" t="s">
        <v>53</v>
      </c>
      <c r="D1132" s="53" t="s">
        <v>2749</v>
      </c>
      <c r="E1132" s="54" t="s">
        <v>38</v>
      </c>
      <c r="F1132" s="54" t="s">
        <v>42</v>
      </c>
      <c r="G1132" s="55" t="s">
        <v>2750</v>
      </c>
      <c r="H1132" s="54" t="s">
        <v>2750</v>
      </c>
      <c r="I1132" s="54">
        <f t="shared" si="24"/>
        <v>18</v>
      </c>
      <c r="J1132" s="56"/>
      <c r="K1132" s="57"/>
      <c r="L1132" s="76"/>
      <c r="M1132" s="59"/>
      <c r="N1132" s="79">
        <v>312.0</v>
      </c>
      <c r="O1132" s="61">
        <v>336.0</v>
      </c>
      <c r="P1132" s="62">
        <v>362.88</v>
      </c>
      <c r="Q1132" s="63">
        <v>362.88</v>
      </c>
      <c r="R1132" s="64">
        <v>382.0</v>
      </c>
      <c r="S1132" s="111">
        <v>401.0</v>
      </c>
      <c r="T1132" s="65">
        <f t="shared" si="39"/>
        <v>64.16</v>
      </c>
      <c r="U1132" s="65">
        <f t="shared" si="40"/>
        <v>465.16</v>
      </c>
      <c r="V1132" s="66">
        <f t="shared" si="42"/>
        <v>0.0497382199</v>
      </c>
      <c r="W1132" s="67">
        <f t="shared" si="5"/>
        <v>380.95</v>
      </c>
      <c r="X1132" s="67">
        <f t="shared" si="43"/>
        <v>60.952</v>
      </c>
      <c r="Y1132" s="67">
        <f t="shared" si="44"/>
        <v>441.902</v>
      </c>
      <c r="Z1132" s="67">
        <f t="shared" si="8"/>
        <v>360.9</v>
      </c>
      <c r="AA1132" s="67">
        <f t="shared" si="45"/>
        <v>57.744</v>
      </c>
      <c r="AB1132" s="67">
        <f t="shared" si="46"/>
        <v>418.644</v>
      </c>
      <c r="AC1132" s="67">
        <f t="shared" si="11"/>
        <v>340.85</v>
      </c>
      <c r="AD1132" s="67">
        <f t="shared" si="12"/>
        <v>54.536</v>
      </c>
      <c r="AE1132" s="67">
        <f t="shared" si="13"/>
        <v>395.386</v>
      </c>
      <c r="AF1132" s="67">
        <f t="shared" si="33"/>
        <v>332.83</v>
      </c>
      <c r="AG1132" s="67">
        <f t="shared" si="15"/>
        <v>53.2528</v>
      </c>
      <c r="AH1132" s="67">
        <f t="shared" si="16"/>
        <v>386.0828</v>
      </c>
      <c r="AI1132" s="67">
        <f t="shared" si="17"/>
        <v>320.8</v>
      </c>
      <c r="AJ1132" s="68">
        <f t="shared" si="37"/>
        <v>51.328</v>
      </c>
      <c r="AK1132" s="68">
        <f t="shared" si="38"/>
        <v>372.128</v>
      </c>
      <c r="AL1132" s="70">
        <f>IFERROR(__xludf.DUMMYFUNCTION("""COMPUTED_VALUE"""),1.0)</f>
        <v>1</v>
      </c>
      <c r="AM1132" s="70"/>
      <c r="AN1132" s="71" t="str">
        <f>IFERROR(__xludf.DUMMYFUNCTION("""COMPUTED_VALUE""")," P")</f>
        <v>P</v>
      </c>
      <c r="AO1132" s="71" t="str">
        <f>IFERROR(__xludf.DUMMYFUNCTION("""COMPUTED_VALUE""")," SF02")</f>
        <v>SF02</v>
      </c>
      <c r="AP1132" s="71" t="str">
        <f>IFERROR(__xludf.DUMMYFUNCTION("""COMPUTED_VALUE""")," PZA")</f>
        <v>PZA</v>
      </c>
      <c r="AQ1132" s="71" t="str">
        <f>IFERROR(__xludf.DUMMYFUNCTION("""COMPUTED_VALUE""")," REF")</f>
        <v>REF</v>
      </c>
      <c r="AR1132" s="71" t="str">
        <f>IFERROR(__xludf.DUMMYFUNCTION("""COMPUTED_VALUE""")," SINFÍN DE ALUMINIO ARMADO ESPECIAL CHICO")</f>
        <v>SINFÍN DE ALUMINIO ARMADO ESPECIAL CHICO</v>
      </c>
      <c r="AS1132" s="71" t="str">
        <f>IFERROR(__xludf.DUMMYFUNCTION("""COMPUTED_VALUE""")," SINFIN DE ALUMINIO ARMADO ESPECIAL CHICO")</f>
        <v>SINFIN DE ALUMINIO ARMADO ESPECIAL CHICO</v>
      </c>
      <c r="AT1132" s="71">
        <f>IFERROR(__xludf.DUMMYFUNCTION("""COMPUTED_VALUE"""),40.0)</f>
        <v>40</v>
      </c>
      <c r="AU1132" s="71"/>
      <c r="AV1132" s="71"/>
      <c r="AW1132" s="71"/>
      <c r="AX1132" s="71"/>
      <c r="AY1132" s="71">
        <f>IFERROR(__xludf.DUMMYFUNCTION("""COMPUTED_VALUE"""),1192.0)</f>
        <v>1192</v>
      </c>
      <c r="AZ1132" s="71">
        <f>IFERROR(__xludf.DUMMYFUNCTION("""COMPUTED_VALUE"""),1287.0)</f>
        <v>1287</v>
      </c>
      <c r="BA1132" s="71">
        <f>IFERROR(__xludf.DUMMYFUNCTION("""COMPUTED_VALUE"""),1389.96)</f>
        <v>1389.96</v>
      </c>
      <c r="BB1132" s="71">
        <f>IFERROR(__xludf.DUMMYFUNCTION("""COMPUTED_VALUE"""),1389.96)</f>
        <v>1389.96</v>
      </c>
      <c r="BC1132" s="71">
        <f>IFERROR(__xludf.DUMMYFUNCTION("""COMPUTED_VALUE"""),1548.0)</f>
        <v>1548</v>
      </c>
      <c r="BD1132" s="71">
        <f>IFERROR(__xludf.DUMMYFUNCTION("""COMPUTED_VALUE"""),1625.0)</f>
        <v>1625</v>
      </c>
      <c r="BE1132" s="71">
        <f>IFERROR(__xludf.DUMMYFUNCTION("""COMPUTED_VALUE"""),260.0)</f>
        <v>260</v>
      </c>
      <c r="BF1132" s="71">
        <f>IFERROR(__xludf.DUMMYFUNCTION("""COMPUTED_VALUE"""),1885.0)</f>
        <v>1885</v>
      </c>
      <c r="BG1132" s="71">
        <f>IFERROR(__xludf.DUMMYFUNCTION("""COMPUTED_VALUE"""),0.04974160206718346)</f>
        <v>0.04974160207</v>
      </c>
      <c r="BH1132" s="71">
        <f>IFERROR(__xludf.DUMMYFUNCTION("""COMPUTED_VALUE"""),1543.75)</f>
        <v>1543.75</v>
      </c>
      <c r="BI1132" s="71">
        <f>IFERROR(__xludf.DUMMYFUNCTION("""COMPUTED_VALUE"""),247.0)</f>
        <v>247</v>
      </c>
      <c r="BJ1132" s="71">
        <f>IFERROR(__xludf.DUMMYFUNCTION("""COMPUTED_VALUE"""),1790.75)</f>
        <v>1790.75</v>
      </c>
      <c r="BK1132" s="71">
        <f>IFERROR(__xludf.DUMMYFUNCTION("""COMPUTED_VALUE"""),1462.5)</f>
        <v>1462.5</v>
      </c>
      <c r="BL1132" s="71">
        <f>IFERROR(__xludf.DUMMYFUNCTION("""COMPUTED_VALUE"""),234.0)</f>
        <v>234</v>
      </c>
      <c r="BM1132" s="71">
        <f>IFERROR(__xludf.DUMMYFUNCTION("""COMPUTED_VALUE"""),1696.5)</f>
        <v>1696.5</v>
      </c>
      <c r="BN1132" s="71">
        <f>IFERROR(__xludf.DUMMYFUNCTION("""COMPUTED_VALUE"""),1381.25)</f>
        <v>1381.25</v>
      </c>
      <c r="BO1132" s="71">
        <f>IFERROR(__xludf.DUMMYFUNCTION("""COMPUTED_VALUE"""),221.0)</f>
        <v>221</v>
      </c>
      <c r="BP1132" s="71">
        <f>IFERROR(__xludf.DUMMYFUNCTION("""COMPUTED_VALUE"""),1602.25)</f>
        <v>1602.25</v>
      </c>
      <c r="BQ1132" s="71">
        <f>IFERROR(__xludf.DUMMYFUNCTION("""COMPUTED_VALUE"""),1348.75)</f>
        <v>1348.75</v>
      </c>
      <c r="BR1132" s="71">
        <f>IFERROR(__xludf.DUMMYFUNCTION("""COMPUTED_VALUE"""),215.8)</f>
        <v>215.8</v>
      </c>
      <c r="BS1132" s="71">
        <f>IFERROR(__xludf.DUMMYFUNCTION("""COMPUTED_VALUE"""),1564.55)</f>
        <v>1564.55</v>
      </c>
      <c r="BT1132" s="71">
        <f>IFERROR(__xludf.DUMMYFUNCTION("""COMPUTED_VALUE"""),1300.0)</f>
        <v>1300</v>
      </c>
      <c r="BU1132" s="71">
        <f>IFERROR(__xludf.DUMMYFUNCTION("""COMPUTED_VALUE"""),208.0)</f>
        <v>208</v>
      </c>
      <c r="BV1132" s="71">
        <f>IFERROR(__xludf.DUMMYFUNCTION("""COMPUTED_VALUE"""),1508.0)</f>
        <v>1508</v>
      </c>
    </row>
    <row r="1133">
      <c r="A1133" s="53">
        <v>1.0</v>
      </c>
      <c r="B1133" s="72"/>
      <c r="C1133" s="120" t="s">
        <v>53</v>
      </c>
      <c r="D1133" s="74" t="s">
        <v>2751</v>
      </c>
      <c r="E1133" s="54" t="s">
        <v>38</v>
      </c>
      <c r="F1133" s="54" t="s">
        <v>42</v>
      </c>
      <c r="G1133" s="88" t="s">
        <v>2752</v>
      </c>
      <c r="H1133" s="54" t="s">
        <v>2752</v>
      </c>
      <c r="I1133" s="54">
        <f t="shared" si="24"/>
        <v>32</v>
      </c>
      <c r="J1133" s="56"/>
      <c r="K1133" s="57"/>
      <c r="L1133" s="87"/>
      <c r="M1133" s="59"/>
      <c r="N1133" s="60">
        <v>311.0</v>
      </c>
      <c r="O1133" s="61">
        <v>335.0</v>
      </c>
      <c r="P1133" s="62">
        <v>361.8</v>
      </c>
      <c r="Q1133" s="63">
        <v>361.8</v>
      </c>
      <c r="R1133" s="64">
        <v>404.0</v>
      </c>
      <c r="S1133" s="111">
        <v>424.0</v>
      </c>
      <c r="T1133" s="65">
        <f t="shared" si="39"/>
        <v>67.84</v>
      </c>
      <c r="U1133" s="65">
        <f t="shared" si="40"/>
        <v>491.84</v>
      </c>
      <c r="V1133" s="66">
        <f t="shared" si="42"/>
        <v>0.0495049505</v>
      </c>
      <c r="W1133" s="67">
        <f t="shared" si="5"/>
        <v>402.8</v>
      </c>
      <c r="X1133" s="67">
        <f t="shared" si="43"/>
        <v>64.448</v>
      </c>
      <c r="Y1133" s="67">
        <f t="shared" si="44"/>
        <v>467.248</v>
      </c>
      <c r="Z1133" s="67">
        <f t="shared" si="8"/>
        <v>381.6</v>
      </c>
      <c r="AA1133" s="67">
        <f t="shared" si="45"/>
        <v>61.056</v>
      </c>
      <c r="AB1133" s="67">
        <f t="shared" si="46"/>
        <v>442.656</v>
      </c>
      <c r="AC1133" s="67">
        <f t="shared" si="11"/>
        <v>360.4</v>
      </c>
      <c r="AD1133" s="67">
        <f t="shared" si="12"/>
        <v>57.664</v>
      </c>
      <c r="AE1133" s="67">
        <f t="shared" si="13"/>
        <v>418.064</v>
      </c>
      <c r="AF1133" s="67">
        <f t="shared" si="33"/>
        <v>351.92</v>
      </c>
      <c r="AG1133" s="67">
        <f t="shared" si="15"/>
        <v>56.3072</v>
      </c>
      <c r="AH1133" s="67">
        <f t="shared" si="16"/>
        <v>408.2272</v>
      </c>
      <c r="AI1133" s="67">
        <f t="shared" si="17"/>
        <v>339.2</v>
      </c>
      <c r="AJ1133" s="68">
        <f t="shared" si="37"/>
        <v>54.272</v>
      </c>
      <c r="AK1133" s="68">
        <f t="shared" si="38"/>
        <v>393.472</v>
      </c>
      <c r="AL1133" s="70">
        <f>IFERROR(__xludf.DUMMYFUNCTION("""COMPUTED_VALUE"""),1.0)</f>
        <v>1</v>
      </c>
      <c r="AM1133" s="70"/>
      <c r="AN1133" s="71" t="str">
        <f>IFERROR(__xludf.DUMMYFUNCTION("""COMPUTED_VALUE""")," P")</f>
        <v>P</v>
      </c>
      <c r="AO1133" s="71" t="str">
        <f>IFERROR(__xludf.DUMMYFUNCTION("""COMPUTED_VALUE""")," SF03")</f>
        <v>SF03</v>
      </c>
      <c r="AP1133" s="71" t="str">
        <f>IFERROR(__xludf.DUMMYFUNCTION("""COMPUTED_VALUE""")," PZA")</f>
        <v>PZA</v>
      </c>
      <c r="AQ1133" s="71" t="str">
        <f>IFERROR(__xludf.DUMMYFUNCTION("""COMPUTED_VALUE""")," REF")</f>
        <v>REF</v>
      </c>
      <c r="AR1133" s="71" t="str">
        <f>IFERROR(__xludf.DUMMYFUNCTION("""COMPUTED_VALUE""")," SINFÍN DE ALUMINIO ARMADO SENCILLO")</f>
        <v>SINFÍN DE ALUMINIO ARMADO SENCILLO</v>
      </c>
      <c r="AS1133" s="71" t="str">
        <f>IFERROR(__xludf.DUMMYFUNCTION("""COMPUTED_VALUE""")," SINFIN DE ALUMINIO ARMADO SENCILLO")</f>
        <v>SINFIN DE ALUMINIO ARMADO SENCILLO</v>
      </c>
      <c r="AT1133" s="71">
        <f>IFERROR(__xludf.DUMMYFUNCTION("""COMPUTED_VALUE"""),34.0)</f>
        <v>34</v>
      </c>
      <c r="AU1133" s="71"/>
      <c r="AV1133" s="71"/>
      <c r="AW1133" s="71"/>
      <c r="AX1133" s="71"/>
      <c r="AY1133" s="71">
        <f>IFERROR(__xludf.DUMMYFUNCTION("""COMPUTED_VALUE"""),1464.0)</f>
        <v>1464</v>
      </c>
      <c r="AZ1133" s="71">
        <f>IFERROR(__xludf.DUMMYFUNCTION("""COMPUTED_VALUE"""),1581.0)</f>
        <v>1581</v>
      </c>
      <c r="BA1133" s="71">
        <f>IFERROR(__xludf.DUMMYFUNCTION("""COMPUTED_VALUE"""),1707.48)</f>
        <v>1707.48</v>
      </c>
      <c r="BB1133" s="71">
        <f>IFERROR(__xludf.DUMMYFUNCTION("""COMPUTED_VALUE"""),1707.48)</f>
        <v>1707.48</v>
      </c>
      <c r="BC1133" s="71">
        <f>IFERROR(__xludf.DUMMYFUNCTION("""COMPUTED_VALUE"""),1901.0)</f>
        <v>1901</v>
      </c>
      <c r="BD1133" s="71">
        <f>IFERROR(__xludf.DUMMYFUNCTION("""COMPUTED_VALUE"""),1996.0)</f>
        <v>1996</v>
      </c>
      <c r="BE1133" s="71">
        <f>IFERROR(__xludf.DUMMYFUNCTION("""COMPUTED_VALUE"""),319.36)</f>
        <v>319.36</v>
      </c>
      <c r="BF1133" s="71">
        <f>IFERROR(__xludf.DUMMYFUNCTION("""COMPUTED_VALUE"""),2315.36)</f>
        <v>2315.36</v>
      </c>
      <c r="BG1133" s="71">
        <f>IFERROR(__xludf.DUMMYFUNCTION("""COMPUTED_VALUE"""),0.04997369805365597)</f>
        <v>0.04997369805</v>
      </c>
      <c r="BH1133" s="71">
        <f>IFERROR(__xludf.DUMMYFUNCTION("""COMPUTED_VALUE"""),1896.1999999999998)</f>
        <v>1896.2</v>
      </c>
      <c r="BI1133" s="71">
        <f>IFERROR(__xludf.DUMMYFUNCTION("""COMPUTED_VALUE"""),303.392)</f>
        <v>303.392</v>
      </c>
      <c r="BJ1133" s="71">
        <f>IFERROR(__xludf.DUMMYFUNCTION("""COMPUTED_VALUE"""),2199.5919999999996)</f>
        <v>2199.592</v>
      </c>
      <c r="BK1133" s="71">
        <f>IFERROR(__xludf.DUMMYFUNCTION("""COMPUTED_VALUE"""),1796.4)</f>
        <v>1796.4</v>
      </c>
      <c r="BL1133" s="71">
        <f>IFERROR(__xludf.DUMMYFUNCTION("""COMPUTED_VALUE"""),287.42400000000004)</f>
        <v>287.424</v>
      </c>
      <c r="BM1133" s="71">
        <f>IFERROR(__xludf.DUMMYFUNCTION("""COMPUTED_VALUE"""),2083.824)</f>
        <v>2083.824</v>
      </c>
      <c r="BN1133" s="71">
        <f>IFERROR(__xludf.DUMMYFUNCTION("""COMPUTED_VALUE"""),1696.6)</f>
        <v>1696.6</v>
      </c>
      <c r="BO1133" s="71">
        <f>IFERROR(__xludf.DUMMYFUNCTION("""COMPUTED_VALUE"""),271.456)</f>
        <v>271.456</v>
      </c>
      <c r="BP1133" s="71">
        <f>IFERROR(__xludf.DUMMYFUNCTION("""COMPUTED_VALUE"""),1968.056)</f>
        <v>1968.056</v>
      </c>
      <c r="BQ1133" s="71">
        <f>IFERROR(__xludf.DUMMYFUNCTION("""COMPUTED_VALUE"""),1656.6799999999998)</f>
        <v>1656.68</v>
      </c>
      <c r="BR1133" s="71">
        <f>IFERROR(__xludf.DUMMYFUNCTION("""COMPUTED_VALUE"""),265.06879999999995)</f>
        <v>265.0688</v>
      </c>
      <c r="BS1133" s="71">
        <f>IFERROR(__xludf.DUMMYFUNCTION("""COMPUTED_VALUE"""),1921.7487999999998)</f>
        <v>1921.7488</v>
      </c>
      <c r="BT1133" s="71">
        <f>IFERROR(__xludf.DUMMYFUNCTION("""COMPUTED_VALUE"""),1596.8000000000002)</f>
        <v>1596.8</v>
      </c>
      <c r="BU1133" s="71">
        <f>IFERROR(__xludf.DUMMYFUNCTION("""COMPUTED_VALUE"""),255.48800000000003)</f>
        <v>255.488</v>
      </c>
      <c r="BV1133" s="71">
        <f>IFERROR(__xludf.DUMMYFUNCTION("""COMPUTED_VALUE"""),1852.2880000000002)</f>
        <v>1852.288</v>
      </c>
    </row>
    <row r="1134">
      <c r="A1134" s="53">
        <v>1.0</v>
      </c>
      <c r="B1134" s="72"/>
      <c r="C1134" s="120" t="s">
        <v>53</v>
      </c>
      <c r="D1134" s="74" t="s">
        <v>2753</v>
      </c>
      <c r="E1134" s="54" t="s">
        <v>38</v>
      </c>
      <c r="F1134" s="54" t="s">
        <v>42</v>
      </c>
      <c r="G1134" s="88" t="s">
        <v>2754</v>
      </c>
      <c r="H1134" s="54" t="s">
        <v>2754</v>
      </c>
      <c r="I1134" s="54">
        <f t="shared" si="24"/>
        <v>29</v>
      </c>
      <c r="J1134" s="56"/>
      <c r="K1134" s="75"/>
      <c r="L1134" s="76"/>
      <c r="M1134" s="59"/>
      <c r="N1134" s="60">
        <v>311.0</v>
      </c>
      <c r="O1134" s="61">
        <v>335.0</v>
      </c>
      <c r="P1134" s="62">
        <v>361.8</v>
      </c>
      <c r="Q1134" s="63">
        <v>361.8</v>
      </c>
      <c r="R1134" s="64">
        <v>404.0</v>
      </c>
      <c r="S1134" s="111">
        <v>424.0</v>
      </c>
      <c r="T1134" s="65">
        <f t="shared" si="39"/>
        <v>67.84</v>
      </c>
      <c r="U1134" s="65">
        <f t="shared" si="40"/>
        <v>491.84</v>
      </c>
      <c r="V1134" s="66">
        <f t="shared" si="42"/>
        <v>0.0495049505</v>
      </c>
      <c r="W1134" s="67">
        <f t="shared" si="5"/>
        <v>402.8</v>
      </c>
      <c r="X1134" s="67">
        <f t="shared" si="43"/>
        <v>64.448</v>
      </c>
      <c r="Y1134" s="67">
        <f t="shared" si="44"/>
        <v>467.248</v>
      </c>
      <c r="Z1134" s="67">
        <f t="shared" si="8"/>
        <v>381.6</v>
      </c>
      <c r="AA1134" s="67">
        <f t="shared" si="45"/>
        <v>61.056</v>
      </c>
      <c r="AB1134" s="67">
        <f t="shared" si="46"/>
        <v>442.656</v>
      </c>
      <c r="AC1134" s="67">
        <f t="shared" si="11"/>
        <v>360.4</v>
      </c>
      <c r="AD1134" s="67">
        <f t="shared" si="12"/>
        <v>57.664</v>
      </c>
      <c r="AE1134" s="67">
        <f t="shared" si="13"/>
        <v>418.064</v>
      </c>
      <c r="AF1134" s="67">
        <f t="shared" si="33"/>
        <v>351.92</v>
      </c>
      <c r="AG1134" s="67">
        <f t="shared" si="15"/>
        <v>56.3072</v>
      </c>
      <c r="AH1134" s="67">
        <f t="shared" si="16"/>
        <v>408.2272</v>
      </c>
      <c r="AI1134" s="67">
        <f t="shared" si="17"/>
        <v>339.2</v>
      </c>
      <c r="AJ1134" s="68">
        <f t="shared" si="37"/>
        <v>54.272</v>
      </c>
      <c r="AK1134" s="68">
        <f t="shared" si="38"/>
        <v>393.472</v>
      </c>
      <c r="AL1134" s="70">
        <f>IFERROR(__xludf.DUMMYFUNCTION("""COMPUTED_VALUE"""),1.0)</f>
        <v>1</v>
      </c>
      <c r="AM1134" s="70"/>
      <c r="AN1134" s="71" t="str">
        <f>IFERROR(__xludf.DUMMYFUNCTION("""COMPUTED_VALUE""")," C")</f>
        <v>C</v>
      </c>
      <c r="AO1134" s="71" t="str">
        <f>IFERROR(__xludf.DUMMYFUNCTION("""COMPUTED_VALUE""")," SF42")</f>
        <v>SF42</v>
      </c>
      <c r="AP1134" s="71" t="str">
        <f>IFERROR(__xludf.DUMMYFUNCTION("""COMPUTED_VALUE""")," PZA")</f>
        <v>PZA</v>
      </c>
      <c r="AQ1134" s="71" t="str">
        <f>IFERROR(__xludf.DUMMYFUNCTION("""COMPUTED_VALUE""")," REF")</f>
        <v>REF</v>
      </c>
      <c r="AR1134" s="71" t="str">
        <f>IFERROR(__xludf.DUMMYFUNCTION("""COMPUTED_VALUE""")," SINFIN DER NYLAMID MAQUINADOS")</f>
        <v>SINFIN DER NYLAMID MAQUINADOS</v>
      </c>
      <c r="AS1134" s="71" t="str">
        <f>IFERROR(__xludf.DUMMYFUNCTION("""COMPUTED_VALUE""")," SINFIN DER NYLAMID MAQUINADOS")</f>
        <v>SINFIN DER NYLAMID MAQUINADOS</v>
      </c>
      <c r="AT1134" s="71">
        <f>IFERROR(__xludf.DUMMYFUNCTION("""COMPUTED_VALUE"""),29.0)</f>
        <v>29</v>
      </c>
      <c r="AU1134" s="71"/>
      <c r="AV1134" s="71"/>
      <c r="AW1134" s="71"/>
      <c r="AX1134" s="71"/>
      <c r="AY1134" s="71">
        <f>IFERROR(__xludf.DUMMYFUNCTION("""COMPUTED_VALUE"""),300.0)</f>
        <v>300</v>
      </c>
      <c r="AZ1134" s="71">
        <f>IFERROR(__xludf.DUMMYFUNCTION("""COMPUTED_VALUE"""),324.0)</f>
        <v>324</v>
      </c>
      <c r="BA1134" s="71">
        <f>IFERROR(__xludf.DUMMYFUNCTION("""COMPUTED_VALUE"""),412.5)</f>
        <v>412.5</v>
      </c>
      <c r="BB1134" s="71">
        <f>IFERROR(__xludf.DUMMYFUNCTION("""COMPUTED_VALUE"""),412.5)</f>
        <v>412.5</v>
      </c>
      <c r="BC1134" s="71">
        <f>IFERROR(__xludf.DUMMYFUNCTION("""COMPUTED_VALUE"""),400.0)</f>
        <v>400</v>
      </c>
      <c r="BD1134" s="71">
        <f>IFERROR(__xludf.DUMMYFUNCTION("""COMPUTED_VALUE"""),420.0)</f>
        <v>420</v>
      </c>
      <c r="BE1134" s="71">
        <f>IFERROR(__xludf.DUMMYFUNCTION("""COMPUTED_VALUE"""),67.2)</f>
        <v>67.2</v>
      </c>
      <c r="BF1134" s="71">
        <f>IFERROR(__xludf.DUMMYFUNCTION("""COMPUTED_VALUE"""),487.2)</f>
        <v>487.2</v>
      </c>
      <c r="BG1134" s="71">
        <f>IFERROR(__xludf.DUMMYFUNCTION("""COMPUTED_VALUE"""),0.05)</f>
        <v>0.05</v>
      </c>
      <c r="BH1134" s="71">
        <f>IFERROR(__xludf.DUMMYFUNCTION("""COMPUTED_VALUE"""),399.0)</f>
        <v>399</v>
      </c>
      <c r="BI1134" s="71">
        <f>IFERROR(__xludf.DUMMYFUNCTION("""COMPUTED_VALUE"""),63.84)</f>
        <v>63.84</v>
      </c>
      <c r="BJ1134" s="71">
        <f>IFERROR(__xludf.DUMMYFUNCTION("""COMPUTED_VALUE"""),462.84000000000003)</f>
        <v>462.84</v>
      </c>
      <c r="BK1134" s="71">
        <f>IFERROR(__xludf.DUMMYFUNCTION("""COMPUTED_VALUE"""),378.0)</f>
        <v>378</v>
      </c>
      <c r="BL1134" s="71">
        <f>IFERROR(__xludf.DUMMYFUNCTION("""COMPUTED_VALUE"""),60.480000000000004)</f>
        <v>60.48</v>
      </c>
      <c r="BM1134" s="71">
        <f>IFERROR(__xludf.DUMMYFUNCTION("""COMPUTED_VALUE"""),438.48)</f>
        <v>438.48</v>
      </c>
      <c r="BN1134" s="71">
        <f>IFERROR(__xludf.DUMMYFUNCTION("""COMPUTED_VALUE"""),357.0)</f>
        <v>357</v>
      </c>
      <c r="BO1134" s="71">
        <f>IFERROR(__xludf.DUMMYFUNCTION("""COMPUTED_VALUE"""),57.120000000000005)</f>
        <v>57.12</v>
      </c>
      <c r="BP1134" s="71">
        <f>IFERROR(__xludf.DUMMYFUNCTION("""COMPUTED_VALUE"""),414.12)</f>
        <v>414.12</v>
      </c>
      <c r="BQ1134" s="71">
        <f>IFERROR(__xludf.DUMMYFUNCTION("""COMPUTED_VALUE"""),348.59999999999997)</f>
        <v>348.6</v>
      </c>
      <c r="BR1134" s="71">
        <f>IFERROR(__xludf.DUMMYFUNCTION("""COMPUTED_VALUE"""),55.775999999999996)</f>
        <v>55.776</v>
      </c>
      <c r="BS1134" s="71">
        <f>IFERROR(__xludf.DUMMYFUNCTION("""COMPUTED_VALUE"""),404.376)</f>
        <v>404.376</v>
      </c>
      <c r="BT1134" s="71">
        <f>IFERROR(__xludf.DUMMYFUNCTION("""COMPUTED_VALUE"""),336.0)</f>
        <v>336</v>
      </c>
      <c r="BU1134" s="71">
        <f>IFERROR(__xludf.DUMMYFUNCTION("""COMPUTED_VALUE"""),53.76)</f>
        <v>53.76</v>
      </c>
      <c r="BV1134" s="71">
        <f>IFERROR(__xludf.DUMMYFUNCTION("""COMPUTED_VALUE"""),389.76)</f>
        <v>389.76</v>
      </c>
    </row>
    <row r="1135">
      <c r="A1135" s="53">
        <v>1.0</v>
      </c>
      <c r="B1135" s="72"/>
      <c r="C1135" s="120" t="s">
        <v>53</v>
      </c>
      <c r="D1135" s="74" t="s">
        <v>2755</v>
      </c>
      <c r="E1135" s="54" t="s">
        <v>38</v>
      </c>
      <c r="F1135" s="54" t="s">
        <v>42</v>
      </c>
      <c r="G1135" s="88" t="s">
        <v>2756</v>
      </c>
      <c r="H1135" s="54" t="s">
        <v>2756</v>
      </c>
      <c r="I1135" s="54">
        <f t="shared" si="24"/>
        <v>21</v>
      </c>
      <c r="J1135" s="56"/>
      <c r="K1135" s="75"/>
      <c r="L1135" s="76"/>
      <c r="M1135" s="59"/>
      <c r="N1135" s="60">
        <v>90.0</v>
      </c>
      <c r="O1135" s="61">
        <v>97.0</v>
      </c>
      <c r="P1135" s="62">
        <v>104.76</v>
      </c>
      <c r="Q1135" s="63">
        <v>104.76</v>
      </c>
      <c r="R1135" s="64">
        <v>118.0</v>
      </c>
      <c r="S1135" s="111">
        <v>124.0</v>
      </c>
      <c r="T1135" s="65">
        <f t="shared" si="39"/>
        <v>19.84</v>
      </c>
      <c r="U1135" s="65">
        <f t="shared" si="40"/>
        <v>143.84</v>
      </c>
      <c r="V1135" s="66">
        <f t="shared" si="42"/>
        <v>0.05084745763</v>
      </c>
      <c r="W1135" s="67">
        <f t="shared" si="5"/>
        <v>117.8</v>
      </c>
      <c r="X1135" s="67">
        <f t="shared" si="43"/>
        <v>18.848</v>
      </c>
      <c r="Y1135" s="67">
        <f t="shared" si="44"/>
        <v>136.648</v>
      </c>
      <c r="Z1135" s="67">
        <f t="shared" si="8"/>
        <v>111.6</v>
      </c>
      <c r="AA1135" s="67">
        <f t="shared" si="45"/>
        <v>17.856</v>
      </c>
      <c r="AB1135" s="67">
        <f t="shared" si="46"/>
        <v>129.456</v>
      </c>
      <c r="AC1135" s="67">
        <f t="shared" si="11"/>
        <v>105.4</v>
      </c>
      <c r="AD1135" s="67">
        <f t="shared" si="12"/>
        <v>16.864</v>
      </c>
      <c r="AE1135" s="67">
        <f t="shared" si="13"/>
        <v>122.264</v>
      </c>
      <c r="AF1135" s="67">
        <f t="shared" si="33"/>
        <v>102.92</v>
      </c>
      <c r="AG1135" s="67">
        <f t="shared" si="15"/>
        <v>16.4672</v>
      </c>
      <c r="AH1135" s="67">
        <f t="shared" si="16"/>
        <v>119.3872</v>
      </c>
      <c r="AI1135" s="67">
        <f t="shared" si="17"/>
        <v>99.2</v>
      </c>
      <c r="AJ1135" s="68">
        <f t="shared" si="37"/>
        <v>15.872</v>
      </c>
      <c r="AK1135" s="68">
        <f t="shared" si="38"/>
        <v>115.072</v>
      </c>
      <c r="AL1135" s="70">
        <f>IFERROR(__xludf.DUMMYFUNCTION("""COMPUTED_VALUE"""),1.0)</f>
        <v>1</v>
      </c>
      <c r="AM1135" s="70"/>
      <c r="AN1135" s="71" t="str">
        <f>IFERROR(__xludf.DUMMYFUNCTION("""COMPUTED_VALUE""")," P")</f>
        <v>P</v>
      </c>
      <c r="AO1135" s="71" t="str">
        <f>IFERROR(__xludf.DUMMYFUNCTION("""COMPUTED_VALUE""")," SF95")</f>
        <v>SF95</v>
      </c>
      <c r="AP1135" s="71" t="str">
        <f>IFERROR(__xludf.DUMMYFUNCTION("""COMPUTED_VALUE""")," PZA")</f>
        <v>PZA</v>
      </c>
      <c r="AQ1135" s="71" t="str">
        <f>IFERROR(__xludf.DUMMYFUNCTION("""COMPUTED_VALUE""")," REF")</f>
        <v>REF</v>
      </c>
      <c r="AR1135" s="71" t="str">
        <f>IFERROR(__xludf.DUMMYFUNCTION("""COMPUTED_VALUE""")," SINFÍN EN ACERO INOXIDABLE T-304-L GRADO ALIMENTICIO ARMADO SENCILLO")</f>
        <v>SINFÍN EN ACERO INOXIDABLE T-304-L GRADO ALIMENTICIO ARMADO SENCILLO</v>
      </c>
      <c r="AS1135" s="71" t="str">
        <f>IFERROR(__xludf.DUMMYFUNCTION("""COMPUTED_VALUE""")," SINFIN INOX ARMADO SENCILLO")</f>
        <v>SINFIN INOX ARMADO SENCILLO</v>
      </c>
      <c r="AT1135" s="71">
        <f>IFERROR(__xludf.DUMMYFUNCTION("""COMPUTED_VALUE"""),27.0)</f>
        <v>27</v>
      </c>
      <c r="AU1135" s="71"/>
      <c r="AV1135" s="71"/>
      <c r="AW1135" s="71"/>
      <c r="AX1135" s="71"/>
      <c r="AY1135" s="71">
        <f>IFERROR(__xludf.DUMMYFUNCTION("""COMPUTED_VALUE"""),9117.0)</f>
        <v>9117</v>
      </c>
      <c r="AZ1135" s="71">
        <f>IFERROR(__xludf.DUMMYFUNCTION("""COMPUTED_VALUE"""),9846.0)</f>
        <v>9846</v>
      </c>
      <c r="BA1135" s="71">
        <f>IFERROR(__xludf.DUMMYFUNCTION("""COMPUTED_VALUE"""),10633.68)</f>
        <v>10633.68</v>
      </c>
      <c r="BB1135" s="71">
        <f>IFERROR(__xludf.DUMMYFUNCTION("""COMPUTED_VALUE"""),10633.68)</f>
        <v>10633.68</v>
      </c>
      <c r="BC1135" s="71">
        <f>IFERROR(__xludf.DUMMYFUNCTION("""COMPUTED_VALUE"""),11836.0)</f>
        <v>11836</v>
      </c>
      <c r="BD1135" s="71">
        <f>IFERROR(__xludf.DUMMYFUNCTION("""COMPUTED_VALUE"""),12428.0)</f>
        <v>12428</v>
      </c>
      <c r="BE1135" s="71">
        <f>IFERROR(__xludf.DUMMYFUNCTION("""COMPUTED_VALUE"""),1988.48)</f>
        <v>1988.48</v>
      </c>
      <c r="BF1135" s="71">
        <f>IFERROR(__xludf.DUMMYFUNCTION("""COMPUTED_VALUE"""),14416.48)</f>
        <v>14416.48</v>
      </c>
      <c r="BG1135" s="71">
        <f>IFERROR(__xludf.DUMMYFUNCTION("""COMPUTED_VALUE"""),0.050016897600540726)</f>
        <v>0.0500168976</v>
      </c>
      <c r="BH1135" s="71">
        <f>IFERROR(__xludf.DUMMYFUNCTION("""COMPUTED_VALUE"""),11806.599999999999)</f>
        <v>11806.6</v>
      </c>
      <c r="BI1135" s="71">
        <f>IFERROR(__xludf.DUMMYFUNCTION("""COMPUTED_VALUE"""),1889.0559999999998)</f>
        <v>1889.056</v>
      </c>
      <c r="BJ1135" s="71">
        <f>IFERROR(__xludf.DUMMYFUNCTION("""COMPUTED_VALUE"""),13695.655999999999)</f>
        <v>13695.656</v>
      </c>
      <c r="BK1135" s="71">
        <f>IFERROR(__xludf.DUMMYFUNCTION("""COMPUTED_VALUE"""),11185.2)</f>
        <v>11185.2</v>
      </c>
      <c r="BL1135" s="71">
        <f>IFERROR(__xludf.DUMMYFUNCTION("""COMPUTED_VALUE"""),1789.632)</f>
        <v>1789.632</v>
      </c>
      <c r="BM1135" s="71">
        <f>IFERROR(__xludf.DUMMYFUNCTION("""COMPUTED_VALUE"""),12974.832)</f>
        <v>12974.832</v>
      </c>
      <c r="BN1135" s="71">
        <f>IFERROR(__xludf.DUMMYFUNCTION("""COMPUTED_VALUE"""),10563.8)</f>
        <v>10563.8</v>
      </c>
      <c r="BO1135" s="71">
        <f>IFERROR(__xludf.DUMMYFUNCTION("""COMPUTED_VALUE"""),1690.2079999999999)</f>
        <v>1690.208</v>
      </c>
      <c r="BP1135" s="71">
        <f>IFERROR(__xludf.DUMMYFUNCTION("""COMPUTED_VALUE"""),12254.008)</f>
        <v>12254.008</v>
      </c>
      <c r="BQ1135" s="71">
        <f>IFERROR(__xludf.DUMMYFUNCTION("""COMPUTED_VALUE"""),10315.24)</f>
        <v>10315.24</v>
      </c>
      <c r="BR1135" s="71">
        <f>IFERROR(__xludf.DUMMYFUNCTION("""COMPUTED_VALUE"""),1650.4384)</f>
        <v>1650.4384</v>
      </c>
      <c r="BS1135" s="71">
        <f>IFERROR(__xludf.DUMMYFUNCTION("""COMPUTED_VALUE"""),11965.6784)</f>
        <v>11965.6784</v>
      </c>
      <c r="BT1135" s="71">
        <f>IFERROR(__xludf.DUMMYFUNCTION("""COMPUTED_VALUE"""),9942.400000000001)</f>
        <v>9942.4</v>
      </c>
      <c r="BU1135" s="71">
        <f>IFERROR(__xludf.DUMMYFUNCTION("""COMPUTED_VALUE"""),1590.7840000000003)</f>
        <v>1590.784</v>
      </c>
      <c r="BV1135" s="71">
        <f>IFERROR(__xludf.DUMMYFUNCTION("""COMPUTED_VALUE"""),11533.184000000001)</f>
        <v>11533.184</v>
      </c>
    </row>
    <row r="1136">
      <c r="A1136" s="53">
        <v>1.0</v>
      </c>
      <c r="B1136" s="72"/>
      <c r="C1136" s="120" t="s">
        <v>53</v>
      </c>
      <c r="D1136" s="74" t="s">
        <v>2757</v>
      </c>
      <c r="E1136" s="54" t="s">
        <v>38</v>
      </c>
      <c r="F1136" s="54" t="s">
        <v>42</v>
      </c>
      <c r="G1136" s="88" t="s">
        <v>2758</v>
      </c>
      <c r="H1136" s="54" t="s">
        <v>2759</v>
      </c>
      <c r="I1136" s="54">
        <f t="shared" si="24"/>
        <v>21</v>
      </c>
      <c r="J1136" s="56"/>
      <c r="K1136" s="75"/>
      <c r="L1136" s="76"/>
      <c r="M1136" s="59"/>
      <c r="N1136" s="60">
        <v>170.0</v>
      </c>
      <c r="O1136" s="61">
        <v>183.0</v>
      </c>
      <c r="P1136" s="62">
        <v>197.64000000000001</v>
      </c>
      <c r="Q1136" s="63">
        <v>197.64000000000001</v>
      </c>
      <c r="R1136" s="64">
        <v>221.0</v>
      </c>
      <c r="S1136" s="111">
        <v>232.0</v>
      </c>
      <c r="T1136" s="65">
        <f t="shared" si="39"/>
        <v>37.12</v>
      </c>
      <c r="U1136" s="65">
        <f t="shared" si="40"/>
        <v>269.12</v>
      </c>
      <c r="V1136" s="66">
        <f t="shared" si="42"/>
        <v>0.04977375566</v>
      </c>
      <c r="W1136" s="67">
        <f t="shared" si="5"/>
        <v>220.4</v>
      </c>
      <c r="X1136" s="67">
        <f t="shared" si="43"/>
        <v>35.264</v>
      </c>
      <c r="Y1136" s="67">
        <f t="shared" si="44"/>
        <v>255.664</v>
      </c>
      <c r="Z1136" s="67">
        <f t="shared" si="8"/>
        <v>208.8</v>
      </c>
      <c r="AA1136" s="67">
        <f t="shared" si="45"/>
        <v>33.408</v>
      </c>
      <c r="AB1136" s="67">
        <f t="shared" si="46"/>
        <v>242.208</v>
      </c>
      <c r="AC1136" s="67">
        <f t="shared" si="11"/>
        <v>197.2</v>
      </c>
      <c r="AD1136" s="67">
        <f t="shared" si="12"/>
        <v>31.552</v>
      </c>
      <c r="AE1136" s="67">
        <f t="shared" si="13"/>
        <v>228.752</v>
      </c>
      <c r="AF1136" s="67">
        <f t="shared" si="33"/>
        <v>192.56</v>
      </c>
      <c r="AG1136" s="67">
        <f t="shared" si="15"/>
        <v>30.8096</v>
      </c>
      <c r="AH1136" s="67">
        <f t="shared" si="16"/>
        <v>223.3696</v>
      </c>
      <c r="AI1136" s="67">
        <f t="shared" si="17"/>
        <v>185.6</v>
      </c>
      <c r="AJ1136" s="68">
        <f t="shared" si="37"/>
        <v>29.696</v>
      </c>
      <c r="AK1136" s="68">
        <f t="shared" si="38"/>
        <v>215.296</v>
      </c>
      <c r="AL1136" s="70">
        <f>IFERROR(__xludf.DUMMYFUNCTION("""COMPUTED_VALUE"""),1.0)</f>
        <v>1</v>
      </c>
      <c r="AM1136" s="70"/>
      <c r="AN1136" s="71" t="str">
        <f>IFERROR(__xludf.DUMMYFUNCTION("""COMPUTED_VALUE""")," P")</f>
        <v>P</v>
      </c>
      <c r="AO1136" s="71" t="str">
        <f>IFERROR(__xludf.DUMMYFUNCTION("""COMPUTED_VALUE""")," SF06")</f>
        <v>SF06</v>
      </c>
      <c r="AP1136" s="71" t="str">
        <f>IFERROR(__xludf.DUMMYFUNCTION("""COMPUTED_VALUE""")," PZA")</f>
        <v>PZA</v>
      </c>
      <c r="AQ1136" s="71" t="str">
        <f>IFERROR(__xludf.DUMMYFUNCTION("""COMPUTED_VALUE""")," REF")</f>
        <v>REF</v>
      </c>
      <c r="AR1136" s="71" t="str">
        <f>IFERROR(__xludf.DUMMYFUNCTION("""COMPUTED_VALUE""")," SINFÍN GRANDE DE ALUMINIO DÚPLEX")</f>
        <v>SINFÍN GRANDE DE ALUMINIO DÚPLEX</v>
      </c>
      <c r="AS1136" s="71" t="str">
        <f>IFERROR(__xludf.DUMMYFUNCTION("""COMPUTED_VALUE""")," SINFIN GRANDE DE ALUMINIO DPLX")</f>
        <v>SINFIN GRANDE DE ALUMINIO DPLX</v>
      </c>
      <c r="AT1136" s="71">
        <f>IFERROR(__xludf.DUMMYFUNCTION("""COMPUTED_VALUE"""),30.0)</f>
        <v>30</v>
      </c>
      <c r="AU1136" s="71"/>
      <c r="AV1136" s="71"/>
      <c r="AW1136" s="71"/>
      <c r="AX1136" s="71"/>
      <c r="AY1136" s="71">
        <f>IFERROR(__xludf.DUMMYFUNCTION("""COMPUTED_VALUE"""),549.0)</f>
        <v>549</v>
      </c>
      <c r="AZ1136" s="71">
        <f>IFERROR(__xludf.DUMMYFUNCTION("""COMPUTED_VALUE"""),592.0)</f>
        <v>592</v>
      </c>
      <c r="BA1136" s="71">
        <f>IFERROR(__xludf.DUMMYFUNCTION("""COMPUTED_VALUE"""),639.36)</f>
        <v>639.36</v>
      </c>
      <c r="BB1136" s="71">
        <f>IFERROR(__xludf.DUMMYFUNCTION("""COMPUTED_VALUE"""),639.36)</f>
        <v>639.36</v>
      </c>
      <c r="BC1136" s="71">
        <f>IFERROR(__xludf.DUMMYFUNCTION("""COMPUTED_VALUE"""),712.0)</f>
        <v>712</v>
      </c>
      <c r="BD1136" s="71">
        <f>IFERROR(__xludf.DUMMYFUNCTION("""COMPUTED_VALUE"""),748.0)</f>
        <v>748</v>
      </c>
      <c r="BE1136" s="71">
        <f>IFERROR(__xludf.DUMMYFUNCTION("""COMPUTED_VALUE"""),119.68)</f>
        <v>119.68</v>
      </c>
      <c r="BF1136" s="71">
        <f>IFERROR(__xludf.DUMMYFUNCTION("""COMPUTED_VALUE"""),867.6800000000001)</f>
        <v>867.68</v>
      </c>
      <c r="BG1136" s="71">
        <f>IFERROR(__xludf.DUMMYFUNCTION("""COMPUTED_VALUE"""),0.05056179775280899)</f>
        <v>0.05056179775</v>
      </c>
      <c r="BH1136" s="71">
        <f>IFERROR(__xludf.DUMMYFUNCTION("""COMPUTED_VALUE"""),710.6)</f>
        <v>710.6</v>
      </c>
      <c r="BI1136" s="71">
        <f>IFERROR(__xludf.DUMMYFUNCTION("""COMPUTED_VALUE"""),113.69600000000001)</f>
        <v>113.696</v>
      </c>
      <c r="BJ1136" s="71">
        <f>IFERROR(__xludf.DUMMYFUNCTION("""COMPUTED_VALUE"""),824.296)</f>
        <v>824.296</v>
      </c>
      <c r="BK1136" s="71">
        <f>IFERROR(__xludf.DUMMYFUNCTION("""COMPUTED_VALUE"""),673.2)</f>
        <v>673.2</v>
      </c>
      <c r="BL1136" s="71">
        <f>IFERROR(__xludf.DUMMYFUNCTION("""COMPUTED_VALUE"""),107.712)</f>
        <v>107.712</v>
      </c>
      <c r="BM1136" s="71">
        <f>IFERROR(__xludf.DUMMYFUNCTION("""COMPUTED_VALUE"""),780.912)</f>
        <v>780.912</v>
      </c>
      <c r="BN1136" s="71">
        <f>IFERROR(__xludf.DUMMYFUNCTION("""COMPUTED_VALUE"""),635.8)</f>
        <v>635.8</v>
      </c>
      <c r="BO1136" s="71">
        <f>IFERROR(__xludf.DUMMYFUNCTION("""COMPUTED_VALUE"""),101.728)</f>
        <v>101.728</v>
      </c>
      <c r="BP1136" s="71">
        <f>IFERROR(__xludf.DUMMYFUNCTION("""COMPUTED_VALUE"""),737.5279999999999)</f>
        <v>737.528</v>
      </c>
      <c r="BQ1136" s="71">
        <f>IFERROR(__xludf.DUMMYFUNCTION("""COMPUTED_VALUE"""),620.8399999999999)</f>
        <v>620.84</v>
      </c>
      <c r="BR1136" s="71">
        <f>IFERROR(__xludf.DUMMYFUNCTION("""COMPUTED_VALUE"""),99.33439999999999)</f>
        <v>99.3344</v>
      </c>
      <c r="BS1136" s="71">
        <f>IFERROR(__xludf.DUMMYFUNCTION("""COMPUTED_VALUE"""),720.1743999999999)</f>
        <v>720.1744</v>
      </c>
      <c r="BT1136" s="71">
        <f>IFERROR(__xludf.DUMMYFUNCTION("""COMPUTED_VALUE"""),598.4)</f>
        <v>598.4</v>
      </c>
      <c r="BU1136" s="71">
        <f>IFERROR(__xludf.DUMMYFUNCTION("""COMPUTED_VALUE"""),95.744)</f>
        <v>95.744</v>
      </c>
      <c r="BV1136" s="71">
        <f>IFERROR(__xludf.DUMMYFUNCTION("""COMPUTED_VALUE"""),694.144)</f>
        <v>694.144</v>
      </c>
    </row>
    <row r="1137">
      <c r="A1137" s="53">
        <v>1.0</v>
      </c>
      <c r="B1137" s="72"/>
      <c r="C1137" s="120" t="s">
        <v>53</v>
      </c>
      <c r="D1137" s="74" t="s">
        <v>2760</v>
      </c>
      <c r="E1137" s="54" t="s">
        <v>38</v>
      </c>
      <c r="F1137" s="54" t="s">
        <v>42</v>
      </c>
      <c r="G1137" s="88" t="s">
        <v>2761</v>
      </c>
      <c r="H1137" s="54" t="s">
        <v>2762</v>
      </c>
      <c r="I1137" s="54">
        <f t="shared" si="24"/>
        <v>34</v>
      </c>
      <c r="J1137" s="56"/>
      <c r="K1137" s="75"/>
      <c r="L1137" s="76"/>
      <c r="M1137" s="59"/>
      <c r="N1137" s="60">
        <v>93.0</v>
      </c>
      <c r="O1137" s="61">
        <v>100.0</v>
      </c>
      <c r="P1137" s="62">
        <v>108.0</v>
      </c>
      <c r="Q1137" s="63">
        <v>108.0</v>
      </c>
      <c r="R1137" s="64">
        <v>121.0</v>
      </c>
      <c r="S1137" s="111">
        <v>127.0</v>
      </c>
      <c r="T1137" s="65">
        <f t="shared" si="39"/>
        <v>20.32</v>
      </c>
      <c r="U1137" s="65">
        <f t="shared" si="40"/>
        <v>147.32</v>
      </c>
      <c r="V1137" s="66">
        <f t="shared" si="42"/>
        <v>0.04958677686</v>
      </c>
      <c r="W1137" s="67">
        <f t="shared" si="5"/>
        <v>120.65</v>
      </c>
      <c r="X1137" s="67">
        <f t="shared" si="43"/>
        <v>19.304</v>
      </c>
      <c r="Y1137" s="67">
        <f t="shared" si="44"/>
        <v>139.954</v>
      </c>
      <c r="Z1137" s="67">
        <f t="shared" si="8"/>
        <v>114.3</v>
      </c>
      <c r="AA1137" s="67">
        <f t="shared" si="45"/>
        <v>18.288</v>
      </c>
      <c r="AB1137" s="67">
        <f t="shared" si="46"/>
        <v>132.588</v>
      </c>
      <c r="AC1137" s="67">
        <f t="shared" si="11"/>
        <v>107.95</v>
      </c>
      <c r="AD1137" s="67">
        <f t="shared" si="12"/>
        <v>17.272</v>
      </c>
      <c r="AE1137" s="67">
        <f t="shared" si="13"/>
        <v>125.222</v>
      </c>
      <c r="AF1137" s="67">
        <f t="shared" si="33"/>
        <v>105.41</v>
      </c>
      <c r="AG1137" s="67">
        <f t="shared" si="15"/>
        <v>16.8656</v>
      </c>
      <c r="AH1137" s="67">
        <f t="shared" si="16"/>
        <v>122.2756</v>
      </c>
      <c r="AI1137" s="67">
        <f t="shared" si="17"/>
        <v>101.6</v>
      </c>
      <c r="AJ1137" s="68">
        <f t="shared" si="37"/>
        <v>16.256</v>
      </c>
      <c r="AK1137" s="68">
        <f t="shared" si="38"/>
        <v>117.856</v>
      </c>
      <c r="AL1137" s="70">
        <f>IFERROR(__xludf.DUMMYFUNCTION("""COMPUTED_VALUE"""),1.0)</f>
        <v>1</v>
      </c>
      <c r="AM1137" s="70"/>
      <c r="AN1137" s="71" t="str">
        <f>IFERROR(__xludf.DUMMYFUNCTION("""COMPUTED_VALUE""")," P")</f>
        <v>P</v>
      </c>
      <c r="AO1137" s="71" t="str">
        <f>IFERROR(__xludf.DUMMYFUNCTION("""COMPUTED_VALUE""")," SF07")</f>
        <v>SF07</v>
      </c>
      <c r="AP1137" s="71" t="str">
        <f>IFERROR(__xludf.DUMMYFUNCTION("""COMPUTED_VALUE""")," PZA")</f>
        <v>PZA</v>
      </c>
      <c r="AQ1137" s="71" t="str">
        <f>IFERROR(__xludf.DUMMYFUNCTION("""COMPUTED_VALUE""")," REF")</f>
        <v>REF</v>
      </c>
      <c r="AR1137" s="71" t="str">
        <f>IFERROR(__xludf.DUMMYFUNCTION("""COMPUTED_VALUE""")," SINFÍN GRANDE DE ALUMINIO SENCILLO")</f>
        <v>SINFÍN GRANDE DE ALUMINIO SENCILLO</v>
      </c>
      <c r="AS1137" s="71" t="str">
        <f>IFERROR(__xludf.DUMMYFUNCTION("""COMPUTED_VALUE""")," SINFIN GRANDE DE ALUMINIO SENCILLO")</f>
        <v>SINFIN GRANDE DE ALUMINIO SENCILLO</v>
      </c>
      <c r="AT1137" s="71">
        <f>IFERROR(__xludf.DUMMYFUNCTION("""COMPUTED_VALUE"""),34.0)</f>
        <v>34</v>
      </c>
      <c r="AU1137" s="71"/>
      <c r="AV1137" s="71"/>
      <c r="AW1137" s="71"/>
      <c r="AX1137" s="71"/>
      <c r="AY1137" s="71">
        <f>IFERROR(__xludf.DUMMYFUNCTION("""COMPUTED_VALUE"""),535.0)</f>
        <v>535</v>
      </c>
      <c r="AZ1137" s="71">
        <f>IFERROR(__xludf.DUMMYFUNCTION("""COMPUTED_VALUE"""),577.0)</f>
        <v>577</v>
      </c>
      <c r="BA1137" s="71">
        <f>IFERROR(__xludf.DUMMYFUNCTION("""COMPUTED_VALUE"""),623.1600000000001)</f>
        <v>623.16</v>
      </c>
      <c r="BB1137" s="71">
        <f>IFERROR(__xludf.DUMMYFUNCTION("""COMPUTED_VALUE"""),623.1600000000001)</f>
        <v>623.16</v>
      </c>
      <c r="BC1137" s="71">
        <f>IFERROR(__xludf.DUMMYFUNCTION("""COMPUTED_VALUE"""),695.0)</f>
        <v>695</v>
      </c>
      <c r="BD1137" s="71">
        <f>IFERROR(__xludf.DUMMYFUNCTION("""COMPUTED_VALUE"""),730.0)</f>
        <v>730</v>
      </c>
      <c r="BE1137" s="71">
        <f>IFERROR(__xludf.DUMMYFUNCTION("""COMPUTED_VALUE"""),116.8)</f>
        <v>116.8</v>
      </c>
      <c r="BF1137" s="71">
        <f>IFERROR(__xludf.DUMMYFUNCTION("""COMPUTED_VALUE"""),846.8)</f>
        <v>846.8</v>
      </c>
      <c r="BG1137" s="71">
        <f>IFERROR(__xludf.DUMMYFUNCTION("""COMPUTED_VALUE"""),0.050359712230215826)</f>
        <v>0.05035971223</v>
      </c>
      <c r="BH1137" s="71">
        <f>IFERROR(__xludf.DUMMYFUNCTION("""COMPUTED_VALUE"""),693.5)</f>
        <v>693.5</v>
      </c>
      <c r="BI1137" s="71">
        <f>IFERROR(__xludf.DUMMYFUNCTION("""COMPUTED_VALUE"""),110.96000000000001)</f>
        <v>110.96</v>
      </c>
      <c r="BJ1137" s="71">
        <f>IFERROR(__xludf.DUMMYFUNCTION("""COMPUTED_VALUE"""),804.46)</f>
        <v>804.46</v>
      </c>
      <c r="BK1137" s="71">
        <f>IFERROR(__xludf.DUMMYFUNCTION("""COMPUTED_VALUE"""),657.0)</f>
        <v>657</v>
      </c>
      <c r="BL1137" s="71">
        <f>IFERROR(__xludf.DUMMYFUNCTION("""COMPUTED_VALUE"""),105.12)</f>
        <v>105.12</v>
      </c>
      <c r="BM1137" s="71">
        <f>IFERROR(__xludf.DUMMYFUNCTION("""COMPUTED_VALUE"""),762.12)</f>
        <v>762.12</v>
      </c>
      <c r="BN1137" s="71">
        <f>IFERROR(__xludf.DUMMYFUNCTION("""COMPUTED_VALUE"""),620.5)</f>
        <v>620.5</v>
      </c>
      <c r="BO1137" s="71">
        <f>IFERROR(__xludf.DUMMYFUNCTION("""COMPUTED_VALUE"""),99.28)</f>
        <v>99.28</v>
      </c>
      <c r="BP1137" s="71">
        <f>IFERROR(__xludf.DUMMYFUNCTION("""COMPUTED_VALUE"""),719.78)</f>
        <v>719.78</v>
      </c>
      <c r="BQ1137" s="71">
        <f>IFERROR(__xludf.DUMMYFUNCTION("""COMPUTED_VALUE"""),605.9)</f>
        <v>605.9</v>
      </c>
      <c r="BR1137" s="71">
        <f>IFERROR(__xludf.DUMMYFUNCTION("""COMPUTED_VALUE"""),96.944)</f>
        <v>96.944</v>
      </c>
      <c r="BS1137" s="71">
        <f>IFERROR(__xludf.DUMMYFUNCTION("""COMPUTED_VALUE"""),702.8439999999999)</f>
        <v>702.844</v>
      </c>
      <c r="BT1137" s="71">
        <f>IFERROR(__xludf.DUMMYFUNCTION("""COMPUTED_VALUE"""),584.0)</f>
        <v>584</v>
      </c>
      <c r="BU1137" s="71">
        <f>IFERROR(__xludf.DUMMYFUNCTION("""COMPUTED_VALUE"""),93.44)</f>
        <v>93.44</v>
      </c>
      <c r="BV1137" s="71">
        <f>IFERROR(__xludf.DUMMYFUNCTION("""COMPUTED_VALUE"""),677.44)</f>
        <v>677.44</v>
      </c>
    </row>
    <row r="1138">
      <c r="A1138" s="53">
        <v>1.0</v>
      </c>
      <c r="B1138" s="72"/>
      <c r="C1138" s="120" t="s">
        <v>53</v>
      </c>
      <c r="D1138" s="74" t="s">
        <v>2763</v>
      </c>
      <c r="E1138" s="54" t="s">
        <v>38</v>
      </c>
      <c r="F1138" s="54" t="s">
        <v>42</v>
      </c>
      <c r="G1138" s="88" t="s">
        <v>2764</v>
      </c>
      <c r="H1138" s="54" t="s">
        <v>2765</v>
      </c>
      <c r="I1138" s="54">
        <f t="shared" si="24"/>
        <v>34</v>
      </c>
      <c r="J1138" s="56"/>
      <c r="K1138" s="75"/>
      <c r="L1138" s="76"/>
      <c r="M1138" s="59"/>
      <c r="N1138" s="60">
        <v>128.0</v>
      </c>
      <c r="O1138" s="61">
        <v>138.0</v>
      </c>
      <c r="P1138" s="62">
        <v>149.04000000000002</v>
      </c>
      <c r="Q1138" s="63">
        <v>149.04000000000002</v>
      </c>
      <c r="R1138" s="64">
        <v>166.0</v>
      </c>
      <c r="S1138" s="111">
        <v>174.0</v>
      </c>
      <c r="T1138" s="65">
        <f t="shared" si="39"/>
        <v>27.84</v>
      </c>
      <c r="U1138" s="65">
        <f t="shared" si="40"/>
        <v>201.84</v>
      </c>
      <c r="V1138" s="66">
        <f t="shared" si="42"/>
        <v>0.04819277108</v>
      </c>
      <c r="W1138" s="67">
        <f t="shared" si="5"/>
        <v>165.3</v>
      </c>
      <c r="X1138" s="67">
        <f t="shared" si="43"/>
        <v>26.448</v>
      </c>
      <c r="Y1138" s="67">
        <f t="shared" si="44"/>
        <v>191.748</v>
      </c>
      <c r="Z1138" s="67">
        <f t="shared" si="8"/>
        <v>156.6</v>
      </c>
      <c r="AA1138" s="67">
        <f t="shared" si="45"/>
        <v>25.056</v>
      </c>
      <c r="AB1138" s="67">
        <f t="shared" si="46"/>
        <v>181.656</v>
      </c>
      <c r="AC1138" s="67">
        <f t="shared" si="11"/>
        <v>147.9</v>
      </c>
      <c r="AD1138" s="67">
        <f t="shared" si="12"/>
        <v>23.664</v>
      </c>
      <c r="AE1138" s="67">
        <f t="shared" si="13"/>
        <v>171.564</v>
      </c>
      <c r="AF1138" s="67">
        <f t="shared" si="33"/>
        <v>144.42</v>
      </c>
      <c r="AG1138" s="67">
        <f t="shared" si="15"/>
        <v>23.1072</v>
      </c>
      <c r="AH1138" s="67">
        <f t="shared" si="16"/>
        <v>167.5272</v>
      </c>
      <c r="AI1138" s="67">
        <f t="shared" si="17"/>
        <v>139.2</v>
      </c>
      <c r="AJ1138" s="68">
        <f t="shared" si="37"/>
        <v>22.272</v>
      </c>
      <c r="AK1138" s="68">
        <f t="shared" si="38"/>
        <v>161.472</v>
      </c>
      <c r="AL1138" s="70">
        <f>IFERROR(__xludf.DUMMYFUNCTION("""COMPUTED_VALUE"""),1.0)</f>
        <v>1</v>
      </c>
      <c r="AM1138" s="70"/>
      <c r="AN1138" s="71" t="str">
        <f>IFERROR(__xludf.DUMMYFUNCTION("""COMPUTED_VALUE""")," P")</f>
        <v>P</v>
      </c>
      <c r="AO1138" s="71" t="str">
        <f>IFERROR(__xludf.DUMMYFUNCTION("""COMPUTED_VALUE""")," SF16")</f>
        <v>SF16</v>
      </c>
      <c r="AP1138" s="71" t="str">
        <f>IFERROR(__xludf.DUMMYFUNCTION("""COMPUTED_VALUE""")," PZA")</f>
        <v>PZA</v>
      </c>
      <c r="AQ1138" s="71" t="str">
        <f>IFERROR(__xludf.DUMMYFUNCTION("""COMPUTED_VALUE""")," REF")</f>
        <v>REF</v>
      </c>
      <c r="AR1138" s="71" t="str">
        <f>IFERROR(__xludf.DUMMYFUNCTION("""COMPUTED_VALUE""")," SINFÍN GRANEADOR EN ACERO INOXIDABLE MOLINO TORTIMEX # 1")</f>
        <v>SINFÍN GRANEADOR EN ACERO INOXIDABLE MOLINO TORTIMEX # 1</v>
      </c>
      <c r="AS1138" s="71" t="str">
        <f>IFERROR(__xludf.DUMMYFUNCTION("""COMPUTED_VALUE""")," SINFIN GRANEADOR INOX MOL TORTIMEX1")</f>
        <v>SINFIN GRANEADOR INOX MOL TORTIMEX1</v>
      </c>
      <c r="AT1138" s="71">
        <f>IFERROR(__xludf.DUMMYFUNCTION("""COMPUTED_VALUE"""),35.0)</f>
        <v>35</v>
      </c>
      <c r="AU1138" s="71"/>
      <c r="AV1138" s="71"/>
      <c r="AW1138" s="71"/>
      <c r="AX1138" s="71"/>
      <c r="AY1138" s="71">
        <f>IFERROR(__xludf.DUMMYFUNCTION("""COMPUTED_VALUE"""),1698.0)</f>
        <v>1698</v>
      </c>
      <c r="AZ1138" s="71">
        <f>IFERROR(__xludf.DUMMYFUNCTION("""COMPUTED_VALUE"""),1833.0)</f>
        <v>1833</v>
      </c>
      <c r="BA1138" s="71">
        <f>IFERROR(__xludf.DUMMYFUNCTION("""COMPUTED_VALUE"""),1979.64)</f>
        <v>1979.64</v>
      </c>
      <c r="BB1138" s="71">
        <f>IFERROR(__xludf.DUMMYFUNCTION("""COMPUTED_VALUE"""),1979.64)</f>
        <v>1979.64</v>
      </c>
      <c r="BC1138" s="71">
        <f>IFERROR(__xludf.DUMMYFUNCTION("""COMPUTED_VALUE"""),2204.0)</f>
        <v>2204</v>
      </c>
      <c r="BD1138" s="71">
        <f>IFERROR(__xludf.DUMMYFUNCTION("""COMPUTED_VALUE"""),2314.0)</f>
        <v>2314</v>
      </c>
      <c r="BE1138" s="71">
        <f>IFERROR(__xludf.DUMMYFUNCTION("""COMPUTED_VALUE"""),370.24)</f>
        <v>370.24</v>
      </c>
      <c r="BF1138" s="71">
        <f>IFERROR(__xludf.DUMMYFUNCTION("""COMPUTED_VALUE"""),2684.24)</f>
        <v>2684.24</v>
      </c>
      <c r="BG1138" s="71">
        <f>IFERROR(__xludf.DUMMYFUNCTION("""COMPUTED_VALUE"""),0.0499092558983666)</f>
        <v>0.0499092559</v>
      </c>
      <c r="BH1138" s="71">
        <f>IFERROR(__xludf.DUMMYFUNCTION("""COMPUTED_VALUE"""),2198.2999999999997)</f>
        <v>2198.3</v>
      </c>
      <c r="BI1138" s="71">
        <f>IFERROR(__xludf.DUMMYFUNCTION("""COMPUTED_VALUE"""),351.72799999999995)</f>
        <v>351.728</v>
      </c>
      <c r="BJ1138" s="71">
        <f>IFERROR(__xludf.DUMMYFUNCTION("""COMPUTED_VALUE"""),2550.028)</f>
        <v>2550.028</v>
      </c>
      <c r="BK1138" s="71">
        <f>IFERROR(__xludf.DUMMYFUNCTION("""COMPUTED_VALUE"""),2082.6)</f>
        <v>2082.6</v>
      </c>
      <c r="BL1138" s="71">
        <f>IFERROR(__xludf.DUMMYFUNCTION("""COMPUTED_VALUE"""),333.216)</f>
        <v>333.216</v>
      </c>
      <c r="BM1138" s="71">
        <f>IFERROR(__xludf.DUMMYFUNCTION("""COMPUTED_VALUE"""),2415.816)</f>
        <v>2415.816</v>
      </c>
      <c r="BN1138" s="71">
        <f>IFERROR(__xludf.DUMMYFUNCTION("""COMPUTED_VALUE"""),1966.8999999999999)</f>
        <v>1966.9</v>
      </c>
      <c r="BO1138" s="71">
        <f>IFERROR(__xludf.DUMMYFUNCTION("""COMPUTED_VALUE"""),314.704)</f>
        <v>314.704</v>
      </c>
      <c r="BP1138" s="71">
        <f>IFERROR(__xludf.DUMMYFUNCTION("""COMPUTED_VALUE"""),2281.604)</f>
        <v>2281.604</v>
      </c>
      <c r="BQ1138" s="71">
        <f>IFERROR(__xludf.DUMMYFUNCTION("""COMPUTED_VALUE"""),1920.62)</f>
        <v>1920.62</v>
      </c>
      <c r="BR1138" s="71">
        <f>IFERROR(__xludf.DUMMYFUNCTION("""COMPUTED_VALUE"""),307.2992)</f>
        <v>307.2992</v>
      </c>
      <c r="BS1138" s="71">
        <f>IFERROR(__xludf.DUMMYFUNCTION("""COMPUTED_VALUE"""),2227.9192)</f>
        <v>2227.9192</v>
      </c>
      <c r="BT1138" s="71">
        <f>IFERROR(__xludf.DUMMYFUNCTION("""COMPUTED_VALUE"""),1851.2)</f>
        <v>1851.2</v>
      </c>
      <c r="BU1138" s="71">
        <f>IFERROR(__xludf.DUMMYFUNCTION("""COMPUTED_VALUE"""),296.192)</f>
        <v>296.192</v>
      </c>
      <c r="BV1138" s="71">
        <f>IFERROR(__xludf.DUMMYFUNCTION("""COMPUTED_VALUE"""),2147.392)</f>
        <v>2147.392</v>
      </c>
    </row>
    <row r="1139">
      <c r="A1139" s="53"/>
      <c r="B1139" s="53"/>
      <c r="C1139" s="120" t="s">
        <v>53</v>
      </c>
      <c r="D1139" s="53" t="s">
        <v>2766</v>
      </c>
      <c r="E1139" s="54" t="s">
        <v>38</v>
      </c>
      <c r="F1139" s="54" t="s">
        <v>42</v>
      </c>
      <c r="G1139" s="55" t="s">
        <v>2767</v>
      </c>
      <c r="H1139" s="54" t="s">
        <v>2767</v>
      </c>
      <c r="I1139" s="54">
        <f t="shared" si="24"/>
        <v>38</v>
      </c>
      <c r="J1139" s="56"/>
      <c r="K1139" s="57"/>
      <c r="L1139" s="76"/>
      <c r="M1139" s="59"/>
      <c r="N1139" s="79"/>
      <c r="O1139" s="61">
        <v>247.0</v>
      </c>
      <c r="P1139" s="63">
        <v>266.76</v>
      </c>
      <c r="Q1139" s="63">
        <v>266.76</v>
      </c>
      <c r="R1139" s="64">
        <v>281.0</v>
      </c>
      <c r="S1139" s="111">
        <v>295.0</v>
      </c>
      <c r="T1139" s="65">
        <f t="shared" si="39"/>
        <v>47.2</v>
      </c>
      <c r="U1139" s="65">
        <f t="shared" si="40"/>
        <v>342.2</v>
      </c>
      <c r="V1139" s="66">
        <f t="shared" si="42"/>
        <v>0.04982206406</v>
      </c>
      <c r="W1139" s="67">
        <f t="shared" si="5"/>
        <v>280.25</v>
      </c>
      <c r="X1139" s="67">
        <f t="shared" si="43"/>
        <v>44.84</v>
      </c>
      <c r="Y1139" s="67">
        <f t="shared" si="44"/>
        <v>325.09</v>
      </c>
      <c r="Z1139" s="67">
        <f t="shared" si="8"/>
        <v>265.5</v>
      </c>
      <c r="AA1139" s="67">
        <f t="shared" si="45"/>
        <v>42.48</v>
      </c>
      <c r="AB1139" s="67">
        <f t="shared" si="46"/>
        <v>307.98</v>
      </c>
      <c r="AC1139" s="67">
        <f t="shared" si="11"/>
        <v>250.75</v>
      </c>
      <c r="AD1139" s="67">
        <f t="shared" si="12"/>
        <v>40.12</v>
      </c>
      <c r="AE1139" s="67">
        <f t="shared" si="13"/>
        <v>290.87</v>
      </c>
      <c r="AF1139" s="67">
        <f t="shared" si="33"/>
        <v>244.85</v>
      </c>
      <c r="AG1139" s="67">
        <f t="shared" si="15"/>
        <v>39.176</v>
      </c>
      <c r="AH1139" s="67">
        <f t="shared" si="16"/>
        <v>284.026</v>
      </c>
      <c r="AI1139" s="67">
        <f t="shared" si="17"/>
        <v>236</v>
      </c>
      <c r="AJ1139" s="68">
        <f t="shared" si="37"/>
        <v>37.76</v>
      </c>
      <c r="AK1139" s="68">
        <f t="shared" si="38"/>
        <v>273.76</v>
      </c>
      <c r="AL1139" s="70">
        <f>IFERROR(__xludf.DUMMYFUNCTION("""COMPUTED_VALUE"""),1.0)</f>
        <v>1</v>
      </c>
      <c r="AM1139" s="70"/>
      <c r="AN1139" s="71" t="str">
        <f>IFERROR(__xludf.DUMMYFUNCTION("""COMPUTED_VALUE""")," C")</f>
        <v>C</v>
      </c>
      <c r="AO1139" s="71" t="str">
        <f>IFERROR(__xludf.DUMMYFUNCTION("""COMPUTED_VALUE""")," SF43")</f>
        <v>SF43</v>
      </c>
      <c r="AP1139" s="71" t="str">
        <f>IFERROR(__xludf.DUMMYFUNCTION("""COMPUTED_VALUE""")," PZA")</f>
        <v>PZA</v>
      </c>
      <c r="AQ1139" s="71" t="str">
        <f>IFERROR(__xludf.DUMMYFUNCTION("""COMPUTED_VALUE""")," REF")</f>
        <v>REF</v>
      </c>
      <c r="AR1139" s="71" t="str">
        <f>IFERROR(__xludf.DUMMYFUNCTION("""COMPUTED_VALUE""")," SINFIN IZQ NYLAMID MAQUINADOS")</f>
        <v>SINFIN IZQ NYLAMID MAQUINADOS</v>
      </c>
      <c r="AS1139" s="71" t="str">
        <f>IFERROR(__xludf.DUMMYFUNCTION("""COMPUTED_VALUE""")," SINFIN IZQ NYLAMID MAQUINADOS")</f>
        <v>SINFIN IZQ NYLAMID MAQUINADOS</v>
      </c>
      <c r="AT1139" s="71">
        <f>IFERROR(__xludf.DUMMYFUNCTION("""COMPUTED_VALUE"""),29.0)</f>
        <v>29</v>
      </c>
      <c r="AU1139" s="71"/>
      <c r="AV1139" s="71"/>
      <c r="AW1139" s="71"/>
      <c r="AX1139" s="71"/>
      <c r="AY1139" s="71">
        <f>IFERROR(__xludf.DUMMYFUNCTION("""COMPUTED_VALUE"""),300.0)</f>
        <v>300</v>
      </c>
      <c r="AZ1139" s="71">
        <f>IFERROR(__xludf.DUMMYFUNCTION("""COMPUTED_VALUE"""),324.0)</f>
        <v>324</v>
      </c>
      <c r="BA1139" s="71">
        <f>IFERROR(__xludf.DUMMYFUNCTION("""COMPUTED_VALUE"""),412.5)</f>
        <v>412.5</v>
      </c>
      <c r="BB1139" s="71">
        <f>IFERROR(__xludf.DUMMYFUNCTION("""COMPUTED_VALUE"""),412.5)</f>
        <v>412.5</v>
      </c>
      <c r="BC1139" s="71">
        <f>IFERROR(__xludf.DUMMYFUNCTION("""COMPUTED_VALUE"""),400.0)</f>
        <v>400</v>
      </c>
      <c r="BD1139" s="71">
        <f>IFERROR(__xludf.DUMMYFUNCTION("""COMPUTED_VALUE"""),420.0)</f>
        <v>420</v>
      </c>
      <c r="BE1139" s="71">
        <f>IFERROR(__xludf.DUMMYFUNCTION("""COMPUTED_VALUE"""),67.2)</f>
        <v>67.2</v>
      </c>
      <c r="BF1139" s="71">
        <f>IFERROR(__xludf.DUMMYFUNCTION("""COMPUTED_VALUE"""),487.2)</f>
        <v>487.2</v>
      </c>
      <c r="BG1139" s="71">
        <f>IFERROR(__xludf.DUMMYFUNCTION("""COMPUTED_VALUE"""),0.05)</f>
        <v>0.05</v>
      </c>
      <c r="BH1139" s="71">
        <f>IFERROR(__xludf.DUMMYFUNCTION("""COMPUTED_VALUE"""),399.0)</f>
        <v>399</v>
      </c>
      <c r="BI1139" s="71">
        <f>IFERROR(__xludf.DUMMYFUNCTION("""COMPUTED_VALUE"""),63.84)</f>
        <v>63.84</v>
      </c>
      <c r="BJ1139" s="71">
        <f>IFERROR(__xludf.DUMMYFUNCTION("""COMPUTED_VALUE"""),462.84000000000003)</f>
        <v>462.84</v>
      </c>
      <c r="BK1139" s="71">
        <f>IFERROR(__xludf.DUMMYFUNCTION("""COMPUTED_VALUE"""),378.0)</f>
        <v>378</v>
      </c>
      <c r="BL1139" s="71">
        <f>IFERROR(__xludf.DUMMYFUNCTION("""COMPUTED_VALUE"""),60.480000000000004)</f>
        <v>60.48</v>
      </c>
      <c r="BM1139" s="71">
        <f>IFERROR(__xludf.DUMMYFUNCTION("""COMPUTED_VALUE"""),438.48)</f>
        <v>438.48</v>
      </c>
      <c r="BN1139" s="71">
        <f>IFERROR(__xludf.DUMMYFUNCTION("""COMPUTED_VALUE"""),357.0)</f>
        <v>357</v>
      </c>
      <c r="BO1139" s="71">
        <f>IFERROR(__xludf.DUMMYFUNCTION("""COMPUTED_VALUE"""),57.120000000000005)</f>
        <v>57.12</v>
      </c>
      <c r="BP1139" s="71">
        <f>IFERROR(__xludf.DUMMYFUNCTION("""COMPUTED_VALUE"""),414.12)</f>
        <v>414.12</v>
      </c>
      <c r="BQ1139" s="71">
        <f>IFERROR(__xludf.DUMMYFUNCTION("""COMPUTED_VALUE"""),348.59999999999997)</f>
        <v>348.6</v>
      </c>
      <c r="BR1139" s="71">
        <f>IFERROR(__xludf.DUMMYFUNCTION("""COMPUTED_VALUE"""),55.775999999999996)</f>
        <v>55.776</v>
      </c>
      <c r="BS1139" s="71">
        <f>IFERROR(__xludf.DUMMYFUNCTION("""COMPUTED_VALUE"""),404.376)</f>
        <v>404.376</v>
      </c>
      <c r="BT1139" s="71">
        <f>IFERROR(__xludf.DUMMYFUNCTION("""COMPUTED_VALUE"""),336.0)</f>
        <v>336</v>
      </c>
      <c r="BU1139" s="71">
        <f>IFERROR(__xludf.DUMMYFUNCTION("""COMPUTED_VALUE"""),53.76)</f>
        <v>53.76</v>
      </c>
      <c r="BV1139" s="71">
        <f>IFERROR(__xludf.DUMMYFUNCTION("""COMPUTED_VALUE"""),389.76)</f>
        <v>389.76</v>
      </c>
    </row>
    <row r="1140">
      <c r="A1140" s="53"/>
      <c r="B1140" s="53"/>
      <c r="C1140" s="120" t="s">
        <v>53</v>
      </c>
      <c r="D1140" s="53" t="s">
        <v>2768</v>
      </c>
      <c r="E1140" s="54" t="s">
        <v>38</v>
      </c>
      <c r="F1140" s="54" t="s">
        <v>42</v>
      </c>
      <c r="G1140" s="55" t="s">
        <v>2769</v>
      </c>
      <c r="H1140" s="54" t="s">
        <v>2769</v>
      </c>
      <c r="I1140" s="54">
        <f t="shared" si="24"/>
        <v>38</v>
      </c>
      <c r="J1140" s="56"/>
      <c r="K1140" s="57"/>
      <c r="L1140" s="76"/>
      <c r="M1140" s="59"/>
      <c r="N1140" s="79"/>
      <c r="O1140" s="61">
        <v>289.0</v>
      </c>
      <c r="P1140" s="63">
        <v>312.12</v>
      </c>
      <c r="Q1140" s="63">
        <v>312.12</v>
      </c>
      <c r="R1140" s="64">
        <v>328.0</v>
      </c>
      <c r="S1140" s="111">
        <v>344.0</v>
      </c>
      <c r="T1140" s="65">
        <f t="shared" si="39"/>
        <v>55.04</v>
      </c>
      <c r="U1140" s="65">
        <f t="shared" si="40"/>
        <v>399.04</v>
      </c>
      <c r="V1140" s="66">
        <f t="shared" si="42"/>
        <v>0.0487804878</v>
      </c>
      <c r="W1140" s="67">
        <f t="shared" si="5"/>
        <v>326.8</v>
      </c>
      <c r="X1140" s="67">
        <f t="shared" si="43"/>
        <v>52.288</v>
      </c>
      <c r="Y1140" s="67">
        <f t="shared" si="44"/>
        <v>379.088</v>
      </c>
      <c r="Z1140" s="67">
        <f t="shared" si="8"/>
        <v>309.6</v>
      </c>
      <c r="AA1140" s="67">
        <f t="shared" si="45"/>
        <v>49.536</v>
      </c>
      <c r="AB1140" s="67">
        <f t="shared" si="46"/>
        <v>359.136</v>
      </c>
      <c r="AC1140" s="67">
        <f t="shared" si="11"/>
        <v>292.4</v>
      </c>
      <c r="AD1140" s="67">
        <f t="shared" si="12"/>
        <v>46.784</v>
      </c>
      <c r="AE1140" s="67">
        <f t="shared" si="13"/>
        <v>339.184</v>
      </c>
      <c r="AF1140" s="67">
        <f t="shared" si="33"/>
        <v>285.52</v>
      </c>
      <c r="AG1140" s="67">
        <f t="shared" si="15"/>
        <v>45.6832</v>
      </c>
      <c r="AH1140" s="67">
        <f t="shared" si="16"/>
        <v>331.2032</v>
      </c>
      <c r="AI1140" s="67">
        <f t="shared" si="17"/>
        <v>275.2</v>
      </c>
      <c r="AJ1140" s="68">
        <f t="shared" si="37"/>
        <v>44.032</v>
      </c>
      <c r="AK1140" s="68">
        <f t="shared" si="38"/>
        <v>319.232</v>
      </c>
      <c r="AL1140" s="70">
        <f>IFERROR(__xludf.DUMMYFUNCTION("""COMPUTED_VALUE"""),1.0)</f>
        <v>1</v>
      </c>
      <c r="AM1140" s="70"/>
      <c r="AN1140" s="71" t="str">
        <f>IFERROR(__xludf.DUMMYFUNCTION("""COMPUTED_VALUE""")," P")</f>
        <v>P</v>
      </c>
      <c r="AO1140" s="71" t="str">
        <f>IFERROR(__xludf.DUMMYFUNCTION("""COMPUTED_VALUE""")," SF15")</f>
        <v>SF15</v>
      </c>
      <c r="AP1140" s="71" t="str">
        <f>IFERROR(__xludf.DUMMYFUNCTION("""COMPUTED_VALUE""")," PZA")</f>
        <v>PZA</v>
      </c>
      <c r="AQ1140" s="71" t="str">
        <f>IFERROR(__xludf.DUMMYFUNCTION("""COMPUTED_VALUE""")," REF")</f>
        <v>REF</v>
      </c>
      <c r="AR1140" s="71" t="str">
        <f>IFERROR(__xludf.DUMMYFUNCTION("""COMPUTED_VALUE""")," SINFÍN LARGO DERECHO")</f>
        <v>SINFÍN LARGO DERECHO</v>
      </c>
      <c r="AS1140" s="71" t="str">
        <f>IFERROR(__xludf.DUMMYFUNCTION("""COMPUTED_VALUE""")," SINFI LARGO DERECHO")</f>
        <v>SINFI LARGO DERECHO</v>
      </c>
      <c r="AT1140" s="71">
        <f>IFERROR(__xludf.DUMMYFUNCTION("""COMPUTED_VALUE"""),19.0)</f>
        <v>19</v>
      </c>
      <c r="AU1140" s="71"/>
      <c r="AV1140" s="71"/>
      <c r="AW1140" s="71"/>
      <c r="AX1140" s="71"/>
      <c r="AY1140" s="71">
        <f>IFERROR(__xludf.DUMMYFUNCTION("""COMPUTED_VALUE"""),87.0)</f>
        <v>87</v>
      </c>
      <c r="AZ1140" s="71">
        <f>IFERROR(__xludf.DUMMYFUNCTION("""COMPUTED_VALUE"""),94.0)</f>
        <v>94</v>
      </c>
      <c r="BA1140" s="71">
        <f>IFERROR(__xludf.DUMMYFUNCTION("""COMPUTED_VALUE"""),101.52000000000001)</f>
        <v>101.52</v>
      </c>
      <c r="BB1140" s="71">
        <f>IFERROR(__xludf.DUMMYFUNCTION("""COMPUTED_VALUE"""),101.52000000000001)</f>
        <v>101.52</v>
      </c>
      <c r="BC1140" s="71">
        <f>IFERROR(__xludf.DUMMYFUNCTION("""COMPUTED_VALUE"""),130.0)</f>
        <v>130</v>
      </c>
      <c r="BD1140" s="71">
        <f>IFERROR(__xludf.DUMMYFUNCTION("""COMPUTED_VALUE"""),137.0)</f>
        <v>137</v>
      </c>
      <c r="BE1140" s="71">
        <f>IFERROR(__xludf.DUMMYFUNCTION("""COMPUTED_VALUE"""),21.92)</f>
        <v>21.92</v>
      </c>
      <c r="BF1140" s="71">
        <f>IFERROR(__xludf.DUMMYFUNCTION("""COMPUTED_VALUE"""),158.92000000000002)</f>
        <v>158.92</v>
      </c>
      <c r="BG1140" s="71">
        <f>IFERROR(__xludf.DUMMYFUNCTION("""COMPUTED_VALUE"""),0.05384615384615385)</f>
        <v>0.05384615385</v>
      </c>
      <c r="BH1140" s="71">
        <f>IFERROR(__xludf.DUMMYFUNCTION("""COMPUTED_VALUE"""),130.15)</f>
        <v>130.15</v>
      </c>
      <c r="BI1140" s="71">
        <f>IFERROR(__xludf.DUMMYFUNCTION("""COMPUTED_VALUE"""),20.824)</f>
        <v>20.824</v>
      </c>
      <c r="BJ1140" s="71">
        <f>IFERROR(__xludf.DUMMYFUNCTION("""COMPUTED_VALUE"""),150.97400000000002)</f>
        <v>150.974</v>
      </c>
      <c r="BK1140" s="71">
        <f>IFERROR(__xludf.DUMMYFUNCTION("""COMPUTED_VALUE"""),123.3)</f>
        <v>123.3</v>
      </c>
      <c r="BL1140" s="71">
        <f>IFERROR(__xludf.DUMMYFUNCTION("""COMPUTED_VALUE"""),19.728)</f>
        <v>19.728</v>
      </c>
      <c r="BM1140" s="71">
        <f>IFERROR(__xludf.DUMMYFUNCTION("""COMPUTED_VALUE"""),143.028)</f>
        <v>143.028</v>
      </c>
      <c r="BN1140" s="71">
        <f>IFERROR(__xludf.DUMMYFUNCTION("""COMPUTED_VALUE"""),116.45)</f>
        <v>116.45</v>
      </c>
      <c r="BO1140" s="71">
        <f>IFERROR(__xludf.DUMMYFUNCTION("""COMPUTED_VALUE"""),18.632)</f>
        <v>18.632</v>
      </c>
      <c r="BP1140" s="71">
        <f>IFERROR(__xludf.DUMMYFUNCTION("""COMPUTED_VALUE"""),135.082)</f>
        <v>135.082</v>
      </c>
      <c r="BQ1140" s="71">
        <f>IFERROR(__xludf.DUMMYFUNCTION("""COMPUTED_VALUE"""),113.71)</f>
        <v>113.71</v>
      </c>
      <c r="BR1140" s="71">
        <f>IFERROR(__xludf.DUMMYFUNCTION("""COMPUTED_VALUE"""),18.1936)</f>
        <v>18.1936</v>
      </c>
      <c r="BS1140" s="71">
        <f>IFERROR(__xludf.DUMMYFUNCTION("""COMPUTED_VALUE"""),131.90359999999998)</f>
        <v>131.9036</v>
      </c>
      <c r="BT1140" s="71">
        <f>IFERROR(__xludf.DUMMYFUNCTION("""COMPUTED_VALUE"""),109.60000000000001)</f>
        <v>109.6</v>
      </c>
      <c r="BU1140" s="71">
        <f>IFERROR(__xludf.DUMMYFUNCTION("""COMPUTED_VALUE"""),17.536)</f>
        <v>17.536</v>
      </c>
      <c r="BV1140" s="71">
        <f>IFERROR(__xludf.DUMMYFUNCTION("""COMPUTED_VALUE"""),127.13600000000001)</f>
        <v>127.136</v>
      </c>
    </row>
    <row r="1141">
      <c r="A1141" s="53"/>
      <c r="B1141" s="53"/>
      <c r="C1141" s="120" t="s">
        <v>53</v>
      </c>
      <c r="D1141" s="53" t="s">
        <v>2770</v>
      </c>
      <c r="E1141" s="54" t="s">
        <v>38</v>
      </c>
      <c r="F1141" s="54" t="s">
        <v>42</v>
      </c>
      <c r="G1141" s="55" t="s">
        <v>2771</v>
      </c>
      <c r="H1141" s="54" t="s">
        <v>2772</v>
      </c>
      <c r="I1141" s="54">
        <f t="shared" si="24"/>
        <v>32</v>
      </c>
      <c r="J1141" s="56"/>
      <c r="K1141" s="57"/>
      <c r="L1141" s="76"/>
      <c r="M1141" s="59"/>
      <c r="N1141" s="79"/>
      <c r="O1141" s="61">
        <v>857.0</v>
      </c>
      <c r="P1141" s="63">
        <v>925.5600000000001</v>
      </c>
      <c r="Q1141" s="63">
        <v>925.5600000000001</v>
      </c>
      <c r="R1141" s="64">
        <v>973.0</v>
      </c>
      <c r="S1141" s="111">
        <v>1022.0</v>
      </c>
      <c r="T1141" s="65">
        <f t="shared" si="39"/>
        <v>163.52</v>
      </c>
      <c r="U1141" s="65">
        <f t="shared" si="40"/>
        <v>1185.52</v>
      </c>
      <c r="V1141" s="66">
        <f t="shared" si="42"/>
        <v>0.05035971223</v>
      </c>
      <c r="W1141" s="67">
        <f t="shared" si="5"/>
        <v>970.9</v>
      </c>
      <c r="X1141" s="67">
        <f t="shared" si="43"/>
        <v>155.344</v>
      </c>
      <c r="Y1141" s="67">
        <f t="shared" si="44"/>
        <v>1126.244</v>
      </c>
      <c r="Z1141" s="67">
        <f t="shared" si="8"/>
        <v>919.8</v>
      </c>
      <c r="AA1141" s="67">
        <f t="shared" si="45"/>
        <v>147.168</v>
      </c>
      <c r="AB1141" s="67">
        <f t="shared" si="46"/>
        <v>1066.968</v>
      </c>
      <c r="AC1141" s="67">
        <f t="shared" si="11"/>
        <v>868.7</v>
      </c>
      <c r="AD1141" s="67">
        <f t="shared" si="12"/>
        <v>138.992</v>
      </c>
      <c r="AE1141" s="67">
        <f t="shared" si="13"/>
        <v>1007.692</v>
      </c>
      <c r="AF1141" s="67">
        <f t="shared" si="33"/>
        <v>848.26</v>
      </c>
      <c r="AG1141" s="67">
        <f t="shared" si="15"/>
        <v>135.7216</v>
      </c>
      <c r="AH1141" s="67">
        <f t="shared" si="16"/>
        <v>983.9816</v>
      </c>
      <c r="AI1141" s="67">
        <f t="shared" si="17"/>
        <v>817.6</v>
      </c>
      <c r="AJ1141" s="68">
        <f t="shared" si="37"/>
        <v>130.816</v>
      </c>
      <c r="AK1141" s="68">
        <f t="shared" si="38"/>
        <v>948.416</v>
      </c>
      <c r="AL1141" s="70">
        <f>IFERROR(__xludf.DUMMYFUNCTION("""COMPUTED_VALUE"""),1.0)</f>
        <v>1</v>
      </c>
      <c r="AM1141" s="70"/>
      <c r="AN1141" s="71" t="str">
        <f>IFERROR(__xludf.DUMMYFUNCTION("""COMPUTED_VALUE""")," P")</f>
        <v>P</v>
      </c>
      <c r="AO1141" s="71" t="str">
        <f>IFERROR(__xludf.DUMMYFUNCTION("""COMPUTED_VALUE""")," SF98")</f>
        <v>SF98</v>
      </c>
      <c r="AP1141" s="71" t="str">
        <f>IFERROR(__xludf.DUMMYFUNCTION("""COMPUTED_VALUE""")," PZA")</f>
        <v>PZA</v>
      </c>
      <c r="AQ1141" s="71" t="str">
        <f>IFERROR(__xludf.DUMMYFUNCTION("""COMPUTED_VALUE""")," REF")</f>
        <v>REF</v>
      </c>
      <c r="AR1141" s="71" t="str">
        <f>IFERROR(__xludf.DUMMYFUNCTION("""COMPUTED_VALUE""")," SINFÍN LARGO DERECHO EN ACERO INOX. T-304 GRADO ALIMENTICIO")</f>
        <v>SINFÍN LARGO DERECHO EN ACERO INOX. T-304 GRADO ALIMENTICIO</v>
      </c>
      <c r="AS1141" s="71" t="str">
        <f>IFERROR(__xludf.DUMMYFUNCTION("""COMPUTED_VALUE""")," SINFIN LARGO DER INOX")</f>
        <v>SINFIN LARGO DER INOX</v>
      </c>
      <c r="AT1141" s="71">
        <f>IFERROR(__xludf.DUMMYFUNCTION("""COMPUTED_VALUE"""),21.0)</f>
        <v>21</v>
      </c>
      <c r="AU1141" s="71"/>
      <c r="AV1141" s="71"/>
      <c r="AW1141" s="71"/>
      <c r="AX1141" s="71"/>
      <c r="AY1141" s="71">
        <f>IFERROR(__xludf.DUMMYFUNCTION("""COMPUTED_VALUE"""),283.0)</f>
        <v>283</v>
      </c>
      <c r="AZ1141" s="71">
        <f>IFERROR(__xludf.DUMMYFUNCTION("""COMPUTED_VALUE"""),305.0)</f>
        <v>305</v>
      </c>
      <c r="BA1141" s="71">
        <f>IFERROR(__xludf.DUMMYFUNCTION("""COMPUTED_VALUE"""),350.0)</f>
        <v>350</v>
      </c>
      <c r="BB1141" s="71">
        <f>IFERROR(__xludf.DUMMYFUNCTION("""COMPUTED_VALUE"""),350.0)</f>
        <v>350</v>
      </c>
      <c r="BC1141" s="71">
        <f>IFERROR(__xludf.DUMMYFUNCTION("""COMPUTED_VALUE"""),412.0)</f>
        <v>412</v>
      </c>
      <c r="BD1141" s="71">
        <f>IFERROR(__xludf.DUMMYFUNCTION("""COMPUTED_VALUE"""),433.0)</f>
        <v>433</v>
      </c>
      <c r="BE1141" s="71">
        <f>IFERROR(__xludf.DUMMYFUNCTION("""COMPUTED_VALUE"""),69.28)</f>
        <v>69.28</v>
      </c>
      <c r="BF1141" s="71">
        <f>IFERROR(__xludf.DUMMYFUNCTION("""COMPUTED_VALUE"""),502.28)</f>
        <v>502.28</v>
      </c>
      <c r="BG1141" s="71">
        <f>IFERROR(__xludf.DUMMYFUNCTION("""COMPUTED_VALUE"""),0.050970873786407765)</f>
        <v>0.05097087379</v>
      </c>
      <c r="BH1141" s="71">
        <f>IFERROR(__xludf.DUMMYFUNCTION("""COMPUTED_VALUE"""),411.34999999999997)</f>
        <v>411.35</v>
      </c>
      <c r="BI1141" s="71">
        <f>IFERROR(__xludf.DUMMYFUNCTION("""COMPUTED_VALUE"""),65.816)</f>
        <v>65.816</v>
      </c>
      <c r="BJ1141" s="71">
        <f>IFERROR(__xludf.DUMMYFUNCTION("""COMPUTED_VALUE"""),477.16599999999994)</f>
        <v>477.166</v>
      </c>
      <c r="BK1141" s="71">
        <f>IFERROR(__xludf.DUMMYFUNCTION("""COMPUTED_VALUE"""),389.7)</f>
        <v>389.7</v>
      </c>
      <c r="BL1141" s="71">
        <f>IFERROR(__xludf.DUMMYFUNCTION("""COMPUTED_VALUE"""),62.352)</f>
        <v>62.352</v>
      </c>
      <c r="BM1141" s="71">
        <f>IFERROR(__xludf.DUMMYFUNCTION("""COMPUTED_VALUE"""),452.05199999999996)</f>
        <v>452.052</v>
      </c>
      <c r="BN1141" s="71">
        <f>IFERROR(__xludf.DUMMYFUNCTION("""COMPUTED_VALUE"""),368.05)</f>
        <v>368.05</v>
      </c>
      <c r="BO1141" s="71">
        <f>IFERROR(__xludf.DUMMYFUNCTION("""COMPUTED_VALUE"""),58.888000000000005)</f>
        <v>58.888</v>
      </c>
      <c r="BP1141" s="71">
        <f>IFERROR(__xludf.DUMMYFUNCTION("""COMPUTED_VALUE"""),426.938)</f>
        <v>426.938</v>
      </c>
      <c r="BQ1141" s="71">
        <f>IFERROR(__xludf.DUMMYFUNCTION("""COMPUTED_VALUE"""),359.39)</f>
        <v>359.39</v>
      </c>
      <c r="BR1141" s="71">
        <f>IFERROR(__xludf.DUMMYFUNCTION("""COMPUTED_VALUE"""),57.5024)</f>
        <v>57.5024</v>
      </c>
      <c r="BS1141" s="71">
        <f>IFERROR(__xludf.DUMMYFUNCTION("""COMPUTED_VALUE"""),416.8924)</f>
        <v>416.8924</v>
      </c>
      <c r="BT1141" s="71">
        <f>IFERROR(__xludf.DUMMYFUNCTION("""COMPUTED_VALUE"""),346.40000000000003)</f>
        <v>346.4</v>
      </c>
      <c r="BU1141" s="71">
        <f>IFERROR(__xludf.DUMMYFUNCTION("""COMPUTED_VALUE"""),55.42400000000001)</f>
        <v>55.424</v>
      </c>
      <c r="BV1141" s="71">
        <f>IFERROR(__xludf.DUMMYFUNCTION("""COMPUTED_VALUE"""),401.82400000000007)</f>
        <v>401.824</v>
      </c>
    </row>
    <row r="1142">
      <c r="A1142" s="53"/>
      <c r="B1142" s="53"/>
      <c r="C1142" s="53" t="s">
        <v>53</v>
      </c>
      <c r="D1142" s="53" t="s">
        <v>2773</v>
      </c>
      <c r="E1142" s="54" t="s">
        <v>38</v>
      </c>
      <c r="F1142" s="54" t="s">
        <v>42</v>
      </c>
      <c r="G1142" s="55" t="s">
        <v>2774</v>
      </c>
      <c r="H1142" s="54" t="s">
        <v>2775</v>
      </c>
      <c r="I1142" s="54">
        <f t="shared" si="24"/>
        <v>40</v>
      </c>
      <c r="J1142" s="56"/>
      <c r="K1142" s="75"/>
      <c r="L1142" s="76"/>
      <c r="M1142" s="59"/>
      <c r="N1142" s="79">
        <v>672.0</v>
      </c>
      <c r="O1142" s="61">
        <v>725.0</v>
      </c>
      <c r="P1142" s="63">
        <v>783.0</v>
      </c>
      <c r="Q1142" s="63">
        <v>783.0</v>
      </c>
      <c r="R1142" s="64">
        <v>823.0</v>
      </c>
      <c r="S1142" s="111">
        <v>864.0</v>
      </c>
      <c r="T1142" s="65">
        <f t="shared" si="39"/>
        <v>138.24</v>
      </c>
      <c r="U1142" s="65">
        <f t="shared" si="40"/>
        <v>1002.24</v>
      </c>
      <c r="V1142" s="66">
        <f t="shared" si="42"/>
        <v>0.04981773998</v>
      </c>
      <c r="W1142" s="67">
        <f t="shared" si="5"/>
        <v>820.8</v>
      </c>
      <c r="X1142" s="67">
        <f t="shared" si="43"/>
        <v>131.328</v>
      </c>
      <c r="Y1142" s="67">
        <f t="shared" si="44"/>
        <v>952.128</v>
      </c>
      <c r="Z1142" s="67">
        <f t="shared" si="8"/>
        <v>777.6</v>
      </c>
      <c r="AA1142" s="67">
        <f t="shared" si="45"/>
        <v>124.416</v>
      </c>
      <c r="AB1142" s="67">
        <f t="shared" si="46"/>
        <v>902.016</v>
      </c>
      <c r="AC1142" s="67">
        <f t="shared" si="11"/>
        <v>734.4</v>
      </c>
      <c r="AD1142" s="67">
        <f t="shared" si="12"/>
        <v>117.504</v>
      </c>
      <c r="AE1142" s="67">
        <f t="shared" si="13"/>
        <v>851.904</v>
      </c>
      <c r="AF1142" s="67">
        <f t="shared" si="33"/>
        <v>717.12</v>
      </c>
      <c r="AG1142" s="67">
        <f t="shared" si="15"/>
        <v>114.7392</v>
      </c>
      <c r="AH1142" s="67">
        <f t="shared" si="16"/>
        <v>831.8592</v>
      </c>
      <c r="AI1142" s="67">
        <f t="shared" si="17"/>
        <v>691.2</v>
      </c>
      <c r="AJ1142" s="68">
        <f t="shared" si="37"/>
        <v>110.592</v>
      </c>
      <c r="AK1142" s="68">
        <f t="shared" si="38"/>
        <v>801.792</v>
      </c>
      <c r="AL1142" s="70">
        <f>IFERROR(__xludf.DUMMYFUNCTION("""COMPUTED_VALUE"""),1.0)</f>
        <v>1</v>
      </c>
      <c r="AM1142" s="70"/>
      <c r="AN1142" s="71" t="str">
        <f>IFERROR(__xludf.DUMMYFUNCTION("""COMPUTED_VALUE""")," P")</f>
        <v>P</v>
      </c>
      <c r="AO1142" s="71" t="str">
        <f>IFERROR(__xludf.DUMMYFUNCTION("""COMPUTED_VALUE""")," SF102")</f>
        <v>SF102</v>
      </c>
      <c r="AP1142" s="71" t="str">
        <f>IFERROR(__xludf.DUMMYFUNCTION("""COMPUTED_VALUE""")," PZA")</f>
        <v>PZA</v>
      </c>
      <c r="AQ1142" s="71" t="str">
        <f>IFERROR(__xludf.DUMMYFUNCTION("""COMPUTED_VALUE""")," REF")</f>
        <v>REF</v>
      </c>
      <c r="AR1142" s="71" t="str">
        <f>IFERROR(__xludf.DUMMYFUNCTION("""COMPUTED_VALUE""")," SINFÍN LARGO DERECHO EN POLIGAR GRADO ALIMENTICIO")</f>
        <v>SINFÍN LARGO DERECHO EN POLIGAR GRADO ALIMENTICIO</v>
      </c>
      <c r="AS1142" s="71" t="str">
        <f>IFERROR(__xludf.DUMMYFUNCTION("""COMPUTED_VALUE""")," SINFIN LARGO DERECHO POLIGAR")</f>
        <v>SINFIN LARGO DERECHO POLIGAR</v>
      </c>
      <c r="AT1142" s="71">
        <f>IFERROR(__xludf.DUMMYFUNCTION("""COMPUTED_VALUE"""),28.0)</f>
        <v>28</v>
      </c>
      <c r="AU1142" s="71"/>
      <c r="AV1142" s="71"/>
      <c r="AW1142" s="71"/>
      <c r="AX1142" s="71"/>
      <c r="AY1142" s="71">
        <f>IFERROR(__xludf.DUMMYFUNCTION("""COMPUTED_VALUE"""),242.0)</f>
        <v>242</v>
      </c>
      <c r="AZ1142" s="71">
        <f>IFERROR(__xludf.DUMMYFUNCTION("""COMPUTED_VALUE"""),261.0)</f>
        <v>261</v>
      </c>
      <c r="BA1142" s="71">
        <f>IFERROR(__xludf.DUMMYFUNCTION("""COMPUTED_VALUE"""),281.88)</f>
        <v>281.88</v>
      </c>
      <c r="BB1142" s="71">
        <f>IFERROR(__xludf.DUMMYFUNCTION("""COMPUTED_VALUE"""),281.88)</f>
        <v>281.88</v>
      </c>
      <c r="BC1142" s="71">
        <f>IFERROR(__xludf.DUMMYFUNCTION("""COMPUTED_VALUE"""),314.0)</f>
        <v>314</v>
      </c>
      <c r="BD1142" s="71">
        <f>IFERROR(__xludf.DUMMYFUNCTION("""COMPUTED_VALUE"""),330.0)</f>
        <v>330</v>
      </c>
      <c r="BE1142" s="71">
        <f>IFERROR(__xludf.DUMMYFUNCTION("""COMPUTED_VALUE"""),52.800000000000004)</f>
        <v>52.8</v>
      </c>
      <c r="BF1142" s="71">
        <f>IFERROR(__xludf.DUMMYFUNCTION("""COMPUTED_VALUE"""),382.8)</f>
        <v>382.8</v>
      </c>
      <c r="BG1142" s="71">
        <f>IFERROR(__xludf.DUMMYFUNCTION("""COMPUTED_VALUE"""),0.050955414012738856)</f>
        <v>0.05095541401</v>
      </c>
      <c r="BH1142" s="71">
        <f>IFERROR(__xludf.DUMMYFUNCTION("""COMPUTED_VALUE"""),313.5)</f>
        <v>313.5</v>
      </c>
      <c r="BI1142" s="71">
        <f>IFERROR(__xludf.DUMMYFUNCTION("""COMPUTED_VALUE"""),50.160000000000004)</f>
        <v>50.16</v>
      </c>
      <c r="BJ1142" s="71">
        <f>IFERROR(__xludf.DUMMYFUNCTION("""COMPUTED_VALUE"""),363.66)</f>
        <v>363.66</v>
      </c>
      <c r="BK1142" s="71">
        <f>IFERROR(__xludf.DUMMYFUNCTION("""COMPUTED_VALUE"""),297.0)</f>
        <v>297</v>
      </c>
      <c r="BL1142" s="71">
        <f>IFERROR(__xludf.DUMMYFUNCTION("""COMPUTED_VALUE"""),47.52)</f>
        <v>47.52</v>
      </c>
      <c r="BM1142" s="71">
        <f>IFERROR(__xludf.DUMMYFUNCTION("""COMPUTED_VALUE"""),344.52)</f>
        <v>344.52</v>
      </c>
      <c r="BN1142" s="71">
        <f>IFERROR(__xludf.DUMMYFUNCTION("""COMPUTED_VALUE"""),280.5)</f>
        <v>280.5</v>
      </c>
      <c r="BO1142" s="71">
        <f>IFERROR(__xludf.DUMMYFUNCTION("""COMPUTED_VALUE"""),44.88)</f>
        <v>44.88</v>
      </c>
      <c r="BP1142" s="71">
        <f>IFERROR(__xludf.DUMMYFUNCTION("""COMPUTED_VALUE"""),325.38)</f>
        <v>325.38</v>
      </c>
      <c r="BQ1142" s="71">
        <f>IFERROR(__xludf.DUMMYFUNCTION("""COMPUTED_VALUE"""),273.9)</f>
        <v>273.9</v>
      </c>
      <c r="BR1142" s="71">
        <f>IFERROR(__xludf.DUMMYFUNCTION("""COMPUTED_VALUE"""),43.824)</f>
        <v>43.824</v>
      </c>
      <c r="BS1142" s="71">
        <f>IFERROR(__xludf.DUMMYFUNCTION("""COMPUTED_VALUE"""),317.724)</f>
        <v>317.724</v>
      </c>
      <c r="BT1142" s="71">
        <f>IFERROR(__xludf.DUMMYFUNCTION("""COMPUTED_VALUE"""),264.0)</f>
        <v>264</v>
      </c>
      <c r="BU1142" s="71">
        <f>IFERROR(__xludf.DUMMYFUNCTION("""COMPUTED_VALUE"""),42.24)</f>
        <v>42.24</v>
      </c>
      <c r="BV1142" s="71">
        <f>IFERROR(__xludf.DUMMYFUNCTION("""COMPUTED_VALUE"""),306.24)</f>
        <v>306.24</v>
      </c>
    </row>
    <row r="1143">
      <c r="A1143" s="53">
        <v>1.0</v>
      </c>
      <c r="B1143" s="53"/>
      <c r="C1143" s="120" t="s">
        <v>53</v>
      </c>
      <c r="D1143" s="74" t="s">
        <v>2776</v>
      </c>
      <c r="E1143" s="54" t="s">
        <v>38</v>
      </c>
      <c r="F1143" s="54" t="s">
        <v>42</v>
      </c>
      <c r="G1143" s="55" t="s">
        <v>2777</v>
      </c>
      <c r="H1143" s="54" t="s">
        <v>2778</v>
      </c>
      <c r="I1143" s="54">
        <f t="shared" si="24"/>
        <v>40</v>
      </c>
      <c r="J1143" s="56"/>
      <c r="K1143" s="75"/>
      <c r="L1143" s="76"/>
      <c r="M1143" s="59"/>
      <c r="N1143" s="60">
        <v>1651.0</v>
      </c>
      <c r="O1143" s="61">
        <v>1783.0</v>
      </c>
      <c r="P1143" s="62">
        <v>1925.64</v>
      </c>
      <c r="Q1143" s="63">
        <v>1925.64</v>
      </c>
      <c r="R1143" s="64">
        <v>2145.0</v>
      </c>
      <c r="S1143" s="111">
        <v>2252.0</v>
      </c>
      <c r="T1143" s="65">
        <f t="shared" si="39"/>
        <v>360.32</v>
      </c>
      <c r="U1143" s="65">
        <f t="shared" si="40"/>
        <v>2612.32</v>
      </c>
      <c r="V1143" s="66">
        <f t="shared" si="42"/>
        <v>0.04988344988</v>
      </c>
      <c r="W1143" s="67">
        <f t="shared" si="5"/>
        <v>2139.4</v>
      </c>
      <c r="X1143" s="67">
        <f t="shared" si="43"/>
        <v>342.304</v>
      </c>
      <c r="Y1143" s="67">
        <f t="shared" si="44"/>
        <v>2481.704</v>
      </c>
      <c r="Z1143" s="67">
        <f t="shared" si="8"/>
        <v>2026.8</v>
      </c>
      <c r="AA1143" s="67">
        <f t="shared" si="45"/>
        <v>324.288</v>
      </c>
      <c r="AB1143" s="67">
        <f t="shared" si="46"/>
        <v>2351.088</v>
      </c>
      <c r="AC1143" s="67">
        <f t="shared" si="11"/>
        <v>1914.2</v>
      </c>
      <c r="AD1143" s="67">
        <f t="shared" si="12"/>
        <v>306.272</v>
      </c>
      <c r="AE1143" s="67">
        <f t="shared" si="13"/>
        <v>2220.472</v>
      </c>
      <c r="AF1143" s="67">
        <f t="shared" si="33"/>
        <v>1869.16</v>
      </c>
      <c r="AG1143" s="67">
        <f t="shared" si="15"/>
        <v>299.0656</v>
      </c>
      <c r="AH1143" s="67">
        <f t="shared" si="16"/>
        <v>2168.2256</v>
      </c>
      <c r="AI1143" s="67">
        <f t="shared" si="17"/>
        <v>1801.6</v>
      </c>
      <c r="AJ1143" s="68">
        <f t="shared" si="37"/>
        <v>288.256</v>
      </c>
      <c r="AK1143" s="68">
        <f t="shared" si="38"/>
        <v>2089.856</v>
      </c>
      <c r="AL1143" s="70">
        <f>IFERROR(__xludf.DUMMYFUNCTION("""COMPUTED_VALUE"""),1.0)</f>
        <v>1</v>
      </c>
      <c r="AM1143" s="70"/>
      <c r="AN1143" s="71" t="str">
        <f>IFERROR(__xludf.DUMMYFUNCTION("""COMPUTED_VALUE""")," C")</f>
        <v>C</v>
      </c>
      <c r="AO1143" s="71" t="str">
        <f>IFERROR(__xludf.DUMMYFUNCTION("""COMPUTED_VALUE""")," SF88")</f>
        <v>SF88</v>
      </c>
      <c r="AP1143" s="71" t="str">
        <f>IFERROR(__xludf.DUMMYFUNCTION("""COMPUTED_VALUE""")," PZA")</f>
        <v>PZA</v>
      </c>
      <c r="AQ1143" s="71" t="str">
        <f>IFERROR(__xludf.DUMMYFUNCTION("""COMPUTED_VALUE""")," REF")</f>
        <v>REF</v>
      </c>
      <c r="AR1143" s="71" t="str">
        <f>IFERROR(__xludf.DUMMYFUNCTION("""COMPUTED_VALUE""")," SINFIN LARGO DERECHO MAQUINADO NAYLAMID")</f>
        <v>SINFIN LARGO DERECHO MAQUINADO NAYLAMID</v>
      </c>
      <c r="AS1143" s="71" t="str">
        <f>IFERROR(__xludf.DUMMYFUNCTION("""COMPUTED_VALUE""")," SINFIN LARGO DERECHO MAQUINADO NAYLAMID")</f>
        <v>SINFIN LARGO DERECHO MAQUINADO NAYLAMID</v>
      </c>
      <c r="AT1143" s="71">
        <f>IFERROR(__xludf.DUMMYFUNCTION("""COMPUTED_VALUE"""),39.0)</f>
        <v>39</v>
      </c>
      <c r="AU1143" s="71"/>
      <c r="AV1143" s="71"/>
      <c r="AW1143" s="71"/>
      <c r="AX1143" s="71"/>
      <c r="AY1143" s="71"/>
      <c r="AZ1143" s="71"/>
      <c r="BA1143" s="71"/>
      <c r="BB1143" s="71"/>
      <c r="BC1143" s="71">
        <f>IFERROR(__xludf.DUMMYFUNCTION("""COMPUTED_VALUE"""),380.0)</f>
        <v>380</v>
      </c>
      <c r="BD1143" s="71">
        <f>IFERROR(__xludf.DUMMYFUNCTION("""COMPUTED_VALUE"""),399.0)</f>
        <v>399</v>
      </c>
      <c r="BE1143" s="71">
        <f>IFERROR(__xludf.DUMMYFUNCTION("""COMPUTED_VALUE"""),63.84)</f>
        <v>63.84</v>
      </c>
      <c r="BF1143" s="71">
        <f>IFERROR(__xludf.DUMMYFUNCTION("""COMPUTED_VALUE"""),462.84000000000003)</f>
        <v>462.84</v>
      </c>
      <c r="BG1143" s="71">
        <f>IFERROR(__xludf.DUMMYFUNCTION("""COMPUTED_VALUE"""),0.05)</f>
        <v>0.05</v>
      </c>
      <c r="BH1143" s="71">
        <f>IFERROR(__xludf.DUMMYFUNCTION("""COMPUTED_VALUE"""),379.04999999999995)</f>
        <v>379.05</v>
      </c>
      <c r="BI1143" s="71">
        <f>IFERROR(__xludf.DUMMYFUNCTION("""COMPUTED_VALUE"""),60.647999999999996)</f>
        <v>60.648</v>
      </c>
      <c r="BJ1143" s="71">
        <f>IFERROR(__xludf.DUMMYFUNCTION("""COMPUTED_VALUE"""),439.698)</f>
        <v>439.698</v>
      </c>
      <c r="BK1143" s="71">
        <f>IFERROR(__xludf.DUMMYFUNCTION("""COMPUTED_VALUE"""),359.1)</f>
        <v>359.1</v>
      </c>
      <c r="BL1143" s="71">
        <f>IFERROR(__xludf.DUMMYFUNCTION("""COMPUTED_VALUE"""),57.456)</f>
        <v>57.456</v>
      </c>
      <c r="BM1143" s="71">
        <f>IFERROR(__xludf.DUMMYFUNCTION("""COMPUTED_VALUE"""),416.55600000000004)</f>
        <v>416.556</v>
      </c>
      <c r="BN1143" s="71">
        <f>IFERROR(__xludf.DUMMYFUNCTION("""COMPUTED_VALUE"""),339.15)</f>
        <v>339.15</v>
      </c>
      <c r="BO1143" s="71">
        <f>IFERROR(__xludf.DUMMYFUNCTION("""COMPUTED_VALUE"""),54.263999999999996)</f>
        <v>54.264</v>
      </c>
      <c r="BP1143" s="71">
        <f>IFERROR(__xludf.DUMMYFUNCTION("""COMPUTED_VALUE"""),393.414)</f>
        <v>393.414</v>
      </c>
      <c r="BQ1143" s="71">
        <f>IFERROR(__xludf.DUMMYFUNCTION("""COMPUTED_VALUE"""),331.16999999999996)</f>
        <v>331.17</v>
      </c>
      <c r="BR1143" s="71">
        <f>IFERROR(__xludf.DUMMYFUNCTION("""COMPUTED_VALUE"""),52.987199999999994)</f>
        <v>52.9872</v>
      </c>
      <c r="BS1143" s="71">
        <f>IFERROR(__xludf.DUMMYFUNCTION("""COMPUTED_VALUE"""),384.15719999999993)</f>
        <v>384.1572</v>
      </c>
      <c r="BT1143" s="71">
        <f>IFERROR(__xludf.DUMMYFUNCTION("""COMPUTED_VALUE"""),319.20000000000005)</f>
        <v>319.2</v>
      </c>
      <c r="BU1143" s="71"/>
      <c r="BV1143" s="71"/>
    </row>
    <row r="1144">
      <c r="A1144" s="53">
        <v>1.0</v>
      </c>
      <c r="B1144" s="72"/>
      <c r="C1144" s="120" t="s">
        <v>53</v>
      </c>
      <c r="D1144" s="74" t="s">
        <v>2779</v>
      </c>
      <c r="E1144" s="54" t="s">
        <v>38</v>
      </c>
      <c r="F1144" s="54" t="s">
        <v>42</v>
      </c>
      <c r="G1144" s="88" t="s">
        <v>2780</v>
      </c>
      <c r="H1144" s="54" t="s">
        <v>2781</v>
      </c>
      <c r="I1144" s="54">
        <f t="shared" si="24"/>
        <v>39</v>
      </c>
      <c r="J1144" s="56"/>
      <c r="K1144" s="75"/>
      <c r="L1144" s="76"/>
      <c r="M1144" s="59"/>
      <c r="N1144" s="60">
        <v>592.0</v>
      </c>
      <c r="O1144" s="61">
        <v>639.0</v>
      </c>
      <c r="P1144" s="62">
        <v>690.12</v>
      </c>
      <c r="Q1144" s="63">
        <v>690.12</v>
      </c>
      <c r="R1144" s="64">
        <v>769.0</v>
      </c>
      <c r="S1144" s="111">
        <v>807.0</v>
      </c>
      <c r="T1144" s="65">
        <f t="shared" si="39"/>
        <v>129.12</v>
      </c>
      <c r="U1144" s="65">
        <f t="shared" si="40"/>
        <v>936.12</v>
      </c>
      <c r="V1144" s="66">
        <f t="shared" si="42"/>
        <v>0.04941482445</v>
      </c>
      <c r="W1144" s="67">
        <f t="shared" si="5"/>
        <v>766.65</v>
      </c>
      <c r="X1144" s="67">
        <f t="shared" si="43"/>
        <v>122.664</v>
      </c>
      <c r="Y1144" s="67">
        <f t="shared" si="44"/>
        <v>889.314</v>
      </c>
      <c r="Z1144" s="67">
        <f t="shared" si="8"/>
        <v>726.3</v>
      </c>
      <c r="AA1144" s="67">
        <f t="shared" si="45"/>
        <v>116.208</v>
      </c>
      <c r="AB1144" s="67">
        <f t="shared" si="46"/>
        <v>842.508</v>
      </c>
      <c r="AC1144" s="67">
        <f t="shared" si="11"/>
        <v>685.95</v>
      </c>
      <c r="AD1144" s="67">
        <f t="shared" si="12"/>
        <v>109.752</v>
      </c>
      <c r="AE1144" s="67">
        <f t="shared" si="13"/>
        <v>795.702</v>
      </c>
      <c r="AF1144" s="67">
        <f t="shared" si="33"/>
        <v>669.81</v>
      </c>
      <c r="AG1144" s="67">
        <f t="shared" si="15"/>
        <v>107.1696</v>
      </c>
      <c r="AH1144" s="67">
        <f t="shared" si="16"/>
        <v>776.9796</v>
      </c>
      <c r="AI1144" s="67">
        <f t="shared" si="17"/>
        <v>645.6</v>
      </c>
      <c r="AJ1144" s="68">
        <f t="shared" si="37"/>
        <v>103.296</v>
      </c>
      <c r="AK1144" s="68">
        <f t="shared" si="38"/>
        <v>748.896</v>
      </c>
      <c r="AL1144" s="70">
        <f>IFERROR(__xludf.DUMMYFUNCTION("""COMPUTED_VALUE"""),1.0)</f>
        <v>1</v>
      </c>
      <c r="AM1144" s="70"/>
      <c r="AN1144" s="71" t="str">
        <f>IFERROR(__xludf.DUMMYFUNCTION("""COMPUTED_VALUE""")," C")</f>
        <v>C</v>
      </c>
      <c r="AO1144" s="71" t="str">
        <f>IFERROR(__xludf.DUMMYFUNCTION("""COMPUTED_VALUE""")," SF89")</f>
        <v>SF89</v>
      </c>
      <c r="AP1144" s="71" t="str">
        <f>IFERROR(__xludf.DUMMYFUNCTION("""COMPUTED_VALUE""")," PZA")</f>
        <v>PZA</v>
      </c>
      <c r="AQ1144" s="71" t="str">
        <f>IFERROR(__xludf.DUMMYFUNCTION("""COMPUTED_VALUE""")," REF")</f>
        <v>REF</v>
      </c>
      <c r="AR1144" s="71" t="str">
        <f>IFERROR(__xludf.DUMMYFUNCTION("""COMPUTED_VALUE""")," SINFIN LARGO IZQUIERD MAQUINADO NAYLAMID")</f>
        <v>SINFIN LARGO IZQUIERD MAQUINADO NAYLAMID</v>
      </c>
      <c r="AS1144" s="71" t="str">
        <f>IFERROR(__xludf.DUMMYFUNCTION("""COMPUTED_VALUE""")," SINFIN LARGO IZQUIERD MAQUINADO NAYLAMID")</f>
        <v>SINFIN LARGO IZQUIERD MAQUINADO NAYLAMID</v>
      </c>
      <c r="AT1144" s="71">
        <f>IFERROR(__xludf.DUMMYFUNCTION("""COMPUTED_VALUE"""),40.0)</f>
        <v>40</v>
      </c>
      <c r="AU1144" s="71"/>
      <c r="AV1144" s="71"/>
      <c r="AW1144" s="71"/>
      <c r="AX1144" s="71"/>
      <c r="AY1144" s="71"/>
      <c r="AZ1144" s="71"/>
      <c r="BA1144" s="71"/>
      <c r="BB1144" s="71"/>
      <c r="BC1144" s="71">
        <f>IFERROR(__xludf.DUMMYFUNCTION("""COMPUTED_VALUE"""),380.0)</f>
        <v>380</v>
      </c>
      <c r="BD1144" s="71">
        <f>IFERROR(__xludf.DUMMYFUNCTION("""COMPUTED_VALUE"""),399.0)</f>
        <v>399</v>
      </c>
      <c r="BE1144" s="71">
        <f>IFERROR(__xludf.DUMMYFUNCTION("""COMPUTED_VALUE"""),63.84)</f>
        <v>63.84</v>
      </c>
      <c r="BF1144" s="71">
        <f>IFERROR(__xludf.DUMMYFUNCTION("""COMPUTED_VALUE"""),462.84000000000003)</f>
        <v>462.84</v>
      </c>
      <c r="BG1144" s="71">
        <f>IFERROR(__xludf.DUMMYFUNCTION("""COMPUTED_VALUE"""),0.05)</f>
        <v>0.05</v>
      </c>
      <c r="BH1144" s="71">
        <f>IFERROR(__xludf.DUMMYFUNCTION("""COMPUTED_VALUE"""),379.04999999999995)</f>
        <v>379.05</v>
      </c>
      <c r="BI1144" s="71">
        <f>IFERROR(__xludf.DUMMYFUNCTION("""COMPUTED_VALUE"""),60.647999999999996)</f>
        <v>60.648</v>
      </c>
      <c r="BJ1144" s="71">
        <f>IFERROR(__xludf.DUMMYFUNCTION("""COMPUTED_VALUE"""),439.698)</f>
        <v>439.698</v>
      </c>
      <c r="BK1144" s="71">
        <f>IFERROR(__xludf.DUMMYFUNCTION("""COMPUTED_VALUE"""),359.1)</f>
        <v>359.1</v>
      </c>
      <c r="BL1144" s="71">
        <f>IFERROR(__xludf.DUMMYFUNCTION("""COMPUTED_VALUE"""),57.456)</f>
        <v>57.456</v>
      </c>
      <c r="BM1144" s="71">
        <f>IFERROR(__xludf.DUMMYFUNCTION("""COMPUTED_VALUE"""),416.55600000000004)</f>
        <v>416.556</v>
      </c>
      <c r="BN1144" s="71">
        <f>IFERROR(__xludf.DUMMYFUNCTION("""COMPUTED_VALUE"""),339.15)</f>
        <v>339.15</v>
      </c>
      <c r="BO1144" s="71">
        <f>IFERROR(__xludf.DUMMYFUNCTION("""COMPUTED_VALUE"""),54.263999999999996)</f>
        <v>54.264</v>
      </c>
      <c r="BP1144" s="71">
        <f>IFERROR(__xludf.DUMMYFUNCTION("""COMPUTED_VALUE"""),393.414)</f>
        <v>393.414</v>
      </c>
      <c r="BQ1144" s="71">
        <f>IFERROR(__xludf.DUMMYFUNCTION("""COMPUTED_VALUE"""),331.16999999999996)</f>
        <v>331.17</v>
      </c>
      <c r="BR1144" s="71">
        <f>IFERROR(__xludf.DUMMYFUNCTION("""COMPUTED_VALUE"""),52.987199999999994)</f>
        <v>52.9872</v>
      </c>
      <c r="BS1144" s="71">
        <f>IFERROR(__xludf.DUMMYFUNCTION("""COMPUTED_VALUE"""),384.15719999999993)</f>
        <v>384.1572</v>
      </c>
      <c r="BT1144" s="71">
        <f>IFERROR(__xludf.DUMMYFUNCTION("""COMPUTED_VALUE"""),319.20000000000005)</f>
        <v>319.2</v>
      </c>
      <c r="BU1144" s="71"/>
      <c r="BV1144" s="71"/>
    </row>
    <row r="1145">
      <c r="A1145" s="53">
        <v>1.0</v>
      </c>
      <c r="B1145" s="53"/>
      <c r="C1145" s="120" t="s">
        <v>53</v>
      </c>
      <c r="D1145" s="74" t="s">
        <v>2782</v>
      </c>
      <c r="E1145" s="54" t="s">
        <v>38</v>
      </c>
      <c r="F1145" s="54" t="s">
        <v>42</v>
      </c>
      <c r="G1145" s="55" t="s">
        <v>2783</v>
      </c>
      <c r="H1145" s="54" t="s">
        <v>2784</v>
      </c>
      <c r="I1145" s="54">
        <f t="shared" si="24"/>
        <v>40</v>
      </c>
      <c r="J1145" s="56"/>
      <c r="K1145" s="75"/>
      <c r="L1145" s="76"/>
      <c r="M1145" s="59"/>
      <c r="N1145" s="60">
        <v>1488.0</v>
      </c>
      <c r="O1145" s="61">
        <v>1607.0</v>
      </c>
      <c r="P1145" s="62">
        <v>1735.5600000000002</v>
      </c>
      <c r="Q1145" s="63">
        <v>1735.5600000000002</v>
      </c>
      <c r="R1145" s="64">
        <v>1932.0</v>
      </c>
      <c r="S1145" s="111">
        <v>2029.0</v>
      </c>
      <c r="T1145" s="65">
        <f t="shared" si="39"/>
        <v>324.64</v>
      </c>
      <c r="U1145" s="65">
        <f t="shared" si="40"/>
        <v>2353.64</v>
      </c>
      <c r="V1145" s="66">
        <f t="shared" si="42"/>
        <v>0.05020703934</v>
      </c>
      <c r="W1145" s="67">
        <f t="shared" si="5"/>
        <v>1927.55</v>
      </c>
      <c r="X1145" s="67">
        <f t="shared" si="43"/>
        <v>308.408</v>
      </c>
      <c r="Y1145" s="67">
        <f t="shared" si="44"/>
        <v>2235.958</v>
      </c>
      <c r="Z1145" s="67">
        <f t="shared" si="8"/>
        <v>1826.1</v>
      </c>
      <c r="AA1145" s="67">
        <f t="shared" si="45"/>
        <v>292.176</v>
      </c>
      <c r="AB1145" s="67">
        <f t="shared" si="46"/>
        <v>2118.276</v>
      </c>
      <c r="AC1145" s="67">
        <f t="shared" si="11"/>
        <v>1724.65</v>
      </c>
      <c r="AD1145" s="67">
        <f t="shared" si="12"/>
        <v>275.944</v>
      </c>
      <c r="AE1145" s="67">
        <f t="shared" si="13"/>
        <v>2000.594</v>
      </c>
      <c r="AF1145" s="67">
        <f t="shared" si="33"/>
        <v>1684.07</v>
      </c>
      <c r="AG1145" s="67">
        <f t="shared" si="15"/>
        <v>269.4512</v>
      </c>
      <c r="AH1145" s="67">
        <f t="shared" si="16"/>
        <v>1953.5212</v>
      </c>
      <c r="AI1145" s="67">
        <f t="shared" si="17"/>
        <v>1623.2</v>
      </c>
      <c r="AJ1145" s="68">
        <f t="shared" si="37"/>
        <v>259.712</v>
      </c>
      <c r="AK1145" s="68">
        <f t="shared" si="38"/>
        <v>1882.912</v>
      </c>
      <c r="AL1145" s="70">
        <f>IFERROR(__xludf.DUMMYFUNCTION("""COMPUTED_VALUE"""),1.0)</f>
        <v>1</v>
      </c>
      <c r="AM1145" s="70"/>
      <c r="AN1145" s="71" t="str">
        <f>IFERROR(__xludf.DUMMYFUNCTION("""COMPUTED_VALUE""")," P")</f>
        <v>P</v>
      </c>
      <c r="AO1145" s="71" t="str">
        <f>IFERROR(__xludf.DUMMYFUNCTION("""COMPUTED_VALUE""")," SF14")</f>
        <v>SF14</v>
      </c>
      <c r="AP1145" s="71" t="str">
        <f>IFERROR(__xludf.DUMMYFUNCTION("""COMPUTED_VALUE""")," PZA")</f>
        <v>PZA</v>
      </c>
      <c r="AQ1145" s="71" t="str">
        <f>IFERROR(__xludf.DUMMYFUNCTION("""COMPUTED_VALUE""")," REF")</f>
        <v>REF</v>
      </c>
      <c r="AR1145" s="71" t="str">
        <f>IFERROR(__xludf.DUMMYFUNCTION("""COMPUTED_VALUE""")," SINFÍN LARGO IZQUIERDO")</f>
        <v>SINFÍN LARGO IZQUIERDO</v>
      </c>
      <c r="AS1145" s="71" t="str">
        <f>IFERROR(__xludf.DUMMYFUNCTION("""COMPUTED_VALUE""")," SINFIN LARGO IZQUIERDO")</f>
        <v>SINFIN LARGO IZQUIERDO</v>
      </c>
      <c r="AT1145" s="71">
        <f>IFERROR(__xludf.DUMMYFUNCTION("""COMPUTED_VALUE"""),22.0)</f>
        <v>22</v>
      </c>
      <c r="AU1145" s="71"/>
      <c r="AV1145" s="71"/>
      <c r="AW1145" s="71"/>
      <c r="AX1145" s="71"/>
      <c r="AY1145" s="71">
        <f>IFERROR(__xludf.DUMMYFUNCTION("""COMPUTED_VALUE"""),87.0)</f>
        <v>87</v>
      </c>
      <c r="AZ1145" s="71">
        <f>IFERROR(__xludf.DUMMYFUNCTION("""COMPUTED_VALUE"""),94.0)</f>
        <v>94</v>
      </c>
      <c r="BA1145" s="71">
        <f>IFERROR(__xludf.DUMMYFUNCTION("""COMPUTED_VALUE"""),101.52000000000001)</f>
        <v>101.52</v>
      </c>
      <c r="BB1145" s="71">
        <f>IFERROR(__xludf.DUMMYFUNCTION("""COMPUTED_VALUE"""),101.52000000000001)</f>
        <v>101.52</v>
      </c>
      <c r="BC1145" s="71">
        <f>IFERROR(__xludf.DUMMYFUNCTION("""COMPUTED_VALUE"""),130.0)</f>
        <v>130</v>
      </c>
      <c r="BD1145" s="71">
        <f>IFERROR(__xludf.DUMMYFUNCTION("""COMPUTED_VALUE"""),137.0)</f>
        <v>137</v>
      </c>
      <c r="BE1145" s="71">
        <f>IFERROR(__xludf.DUMMYFUNCTION("""COMPUTED_VALUE"""),21.92)</f>
        <v>21.92</v>
      </c>
      <c r="BF1145" s="71">
        <f>IFERROR(__xludf.DUMMYFUNCTION("""COMPUTED_VALUE"""),158.92000000000002)</f>
        <v>158.92</v>
      </c>
      <c r="BG1145" s="71">
        <f>IFERROR(__xludf.DUMMYFUNCTION("""COMPUTED_VALUE"""),0.05384615384615385)</f>
        <v>0.05384615385</v>
      </c>
      <c r="BH1145" s="71">
        <f>IFERROR(__xludf.DUMMYFUNCTION("""COMPUTED_VALUE"""),130.15)</f>
        <v>130.15</v>
      </c>
      <c r="BI1145" s="71">
        <f>IFERROR(__xludf.DUMMYFUNCTION("""COMPUTED_VALUE"""),20.824)</f>
        <v>20.824</v>
      </c>
      <c r="BJ1145" s="71">
        <f>IFERROR(__xludf.DUMMYFUNCTION("""COMPUTED_VALUE"""),150.97400000000002)</f>
        <v>150.974</v>
      </c>
      <c r="BK1145" s="71">
        <f>IFERROR(__xludf.DUMMYFUNCTION("""COMPUTED_VALUE"""),123.3)</f>
        <v>123.3</v>
      </c>
      <c r="BL1145" s="71">
        <f>IFERROR(__xludf.DUMMYFUNCTION("""COMPUTED_VALUE"""),19.728)</f>
        <v>19.728</v>
      </c>
      <c r="BM1145" s="71">
        <f>IFERROR(__xludf.DUMMYFUNCTION("""COMPUTED_VALUE"""),143.028)</f>
        <v>143.028</v>
      </c>
      <c r="BN1145" s="71">
        <f>IFERROR(__xludf.DUMMYFUNCTION("""COMPUTED_VALUE"""),116.45)</f>
        <v>116.45</v>
      </c>
      <c r="BO1145" s="71">
        <f>IFERROR(__xludf.DUMMYFUNCTION("""COMPUTED_VALUE"""),18.632)</f>
        <v>18.632</v>
      </c>
      <c r="BP1145" s="71">
        <f>IFERROR(__xludf.DUMMYFUNCTION("""COMPUTED_VALUE"""),135.082)</f>
        <v>135.082</v>
      </c>
      <c r="BQ1145" s="71">
        <f>IFERROR(__xludf.DUMMYFUNCTION("""COMPUTED_VALUE"""),113.71)</f>
        <v>113.71</v>
      </c>
      <c r="BR1145" s="71">
        <f>IFERROR(__xludf.DUMMYFUNCTION("""COMPUTED_VALUE"""),18.1936)</f>
        <v>18.1936</v>
      </c>
      <c r="BS1145" s="71">
        <f>IFERROR(__xludf.DUMMYFUNCTION("""COMPUTED_VALUE"""),131.90359999999998)</f>
        <v>131.9036</v>
      </c>
      <c r="BT1145" s="71">
        <f>IFERROR(__xludf.DUMMYFUNCTION("""COMPUTED_VALUE"""),109.60000000000001)</f>
        <v>109.6</v>
      </c>
      <c r="BU1145" s="71">
        <f>IFERROR(__xludf.DUMMYFUNCTION("""COMPUTED_VALUE"""),17.536)</f>
        <v>17.536</v>
      </c>
      <c r="BV1145" s="71">
        <f>IFERROR(__xludf.DUMMYFUNCTION("""COMPUTED_VALUE"""),127.13600000000001)</f>
        <v>127.136</v>
      </c>
    </row>
    <row r="1146">
      <c r="A1146" s="53">
        <v>1.0</v>
      </c>
      <c r="B1146" s="72"/>
      <c r="C1146" s="120" t="s">
        <v>53</v>
      </c>
      <c r="D1146" s="74" t="s">
        <v>2785</v>
      </c>
      <c r="E1146" s="54" t="s">
        <v>38</v>
      </c>
      <c r="F1146" s="54" t="s">
        <v>42</v>
      </c>
      <c r="G1146" s="55" t="s">
        <v>2786</v>
      </c>
      <c r="H1146" s="54" t="s">
        <v>2787</v>
      </c>
      <c r="I1146" s="54">
        <f t="shared" si="24"/>
        <v>39</v>
      </c>
      <c r="J1146" s="56"/>
      <c r="K1146" s="75"/>
      <c r="L1146" s="76"/>
      <c r="M1146" s="59"/>
      <c r="N1146" s="60">
        <v>267.0</v>
      </c>
      <c r="O1146" s="61">
        <v>288.0</v>
      </c>
      <c r="P1146" s="62">
        <v>311.04</v>
      </c>
      <c r="Q1146" s="63">
        <v>311.04</v>
      </c>
      <c r="R1146" s="64">
        <v>347.0</v>
      </c>
      <c r="S1146" s="111">
        <v>364.0</v>
      </c>
      <c r="T1146" s="65">
        <f t="shared" si="39"/>
        <v>58.24</v>
      </c>
      <c r="U1146" s="65">
        <f t="shared" si="40"/>
        <v>422.24</v>
      </c>
      <c r="V1146" s="66">
        <f t="shared" si="42"/>
        <v>0.04899135447</v>
      </c>
      <c r="W1146" s="67">
        <f t="shared" si="5"/>
        <v>345.8</v>
      </c>
      <c r="X1146" s="67">
        <f t="shared" si="43"/>
        <v>55.328</v>
      </c>
      <c r="Y1146" s="67">
        <f t="shared" si="44"/>
        <v>401.128</v>
      </c>
      <c r="Z1146" s="67">
        <f t="shared" si="8"/>
        <v>327.6</v>
      </c>
      <c r="AA1146" s="67">
        <f t="shared" si="45"/>
        <v>52.416</v>
      </c>
      <c r="AB1146" s="67">
        <f t="shared" si="46"/>
        <v>380.016</v>
      </c>
      <c r="AC1146" s="67">
        <f t="shared" si="11"/>
        <v>309.4</v>
      </c>
      <c r="AD1146" s="67">
        <f t="shared" si="12"/>
        <v>49.504</v>
      </c>
      <c r="AE1146" s="67">
        <f t="shared" si="13"/>
        <v>358.904</v>
      </c>
      <c r="AF1146" s="67">
        <f t="shared" si="33"/>
        <v>302.12</v>
      </c>
      <c r="AG1146" s="67">
        <f t="shared" si="15"/>
        <v>48.3392</v>
      </c>
      <c r="AH1146" s="67">
        <f t="shared" si="16"/>
        <v>350.4592</v>
      </c>
      <c r="AI1146" s="67">
        <f t="shared" si="17"/>
        <v>291.2</v>
      </c>
      <c r="AJ1146" s="68">
        <f t="shared" si="37"/>
        <v>46.592</v>
      </c>
      <c r="AK1146" s="68">
        <f t="shared" si="38"/>
        <v>337.792</v>
      </c>
      <c r="AL1146" s="70">
        <f>IFERROR(__xludf.DUMMYFUNCTION("""COMPUTED_VALUE"""),1.0)</f>
        <v>1</v>
      </c>
      <c r="AM1146" s="70"/>
      <c r="AN1146" s="71" t="str">
        <f>IFERROR(__xludf.DUMMYFUNCTION("""COMPUTED_VALUE""")," P")</f>
        <v>P</v>
      </c>
      <c r="AO1146" s="71" t="str">
        <f>IFERROR(__xludf.DUMMYFUNCTION("""COMPUTED_VALUE""")," SF99")</f>
        <v>SF99</v>
      </c>
      <c r="AP1146" s="71" t="str">
        <f>IFERROR(__xludf.DUMMYFUNCTION("""COMPUTED_VALUE""")," PZA")</f>
        <v>PZA</v>
      </c>
      <c r="AQ1146" s="71" t="str">
        <f>IFERROR(__xludf.DUMMYFUNCTION("""COMPUTED_VALUE""")," REF")</f>
        <v>REF</v>
      </c>
      <c r="AR1146" s="71" t="str">
        <f>IFERROR(__xludf.DUMMYFUNCTION("""COMPUTED_VALUE""")," SINFÍN LARGO IZQUIERDO EN ACERO INOX. T-304 GRADO ALIMENTICIO")</f>
        <v>SINFÍN LARGO IZQUIERDO EN ACERO INOX. T-304 GRADO ALIMENTICIO</v>
      </c>
      <c r="AS1146" s="71" t="str">
        <f>IFERROR(__xludf.DUMMYFUNCTION("""COMPUTED_VALUE""")," SINFIN LARGO IZQUIERDO INOX")</f>
        <v>SINFIN LARGO IZQUIERDO INOX</v>
      </c>
      <c r="AT1146" s="71">
        <f>IFERROR(__xludf.DUMMYFUNCTION("""COMPUTED_VALUE"""),27.0)</f>
        <v>27</v>
      </c>
      <c r="AU1146" s="71"/>
      <c r="AV1146" s="71"/>
      <c r="AW1146" s="71"/>
      <c r="AX1146" s="71"/>
      <c r="AY1146" s="71">
        <f>IFERROR(__xludf.DUMMYFUNCTION("""COMPUTED_VALUE"""),283.0)</f>
        <v>283</v>
      </c>
      <c r="AZ1146" s="71">
        <f>IFERROR(__xludf.DUMMYFUNCTION("""COMPUTED_VALUE"""),305.0)</f>
        <v>305</v>
      </c>
      <c r="BA1146" s="71">
        <f>IFERROR(__xludf.DUMMYFUNCTION("""COMPUTED_VALUE"""),350.0)</f>
        <v>350</v>
      </c>
      <c r="BB1146" s="71">
        <f>IFERROR(__xludf.DUMMYFUNCTION("""COMPUTED_VALUE"""),350.0)</f>
        <v>350</v>
      </c>
      <c r="BC1146" s="71">
        <f>IFERROR(__xludf.DUMMYFUNCTION("""COMPUTED_VALUE"""),412.0)</f>
        <v>412</v>
      </c>
      <c r="BD1146" s="71">
        <f>IFERROR(__xludf.DUMMYFUNCTION("""COMPUTED_VALUE"""),433.0)</f>
        <v>433</v>
      </c>
      <c r="BE1146" s="71">
        <f>IFERROR(__xludf.DUMMYFUNCTION("""COMPUTED_VALUE"""),69.28)</f>
        <v>69.28</v>
      </c>
      <c r="BF1146" s="71">
        <f>IFERROR(__xludf.DUMMYFUNCTION("""COMPUTED_VALUE"""),502.28)</f>
        <v>502.28</v>
      </c>
      <c r="BG1146" s="71">
        <f>IFERROR(__xludf.DUMMYFUNCTION("""COMPUTED_VALUE"""),0.050970873786407765)</f>
        <v>0.05097087379</v>
      </c>
      <c r="BH1146" s="71">
        <f>IFERROR(__xludf.DUMMYFUNCTION("""COMPUTED_VALUE"""),411.34999999999997)</f>
        <v>411.35</v>
      </c>
      <c r="BI1146" s="71">
        <f>IFERROR(__xludf.DUMMYFUNCTION("""COMPUTED_VALUE"""),65.816)</f>
        <v>65.816</v>
      </c>
      <c r="BJ1146" s="71">
        <f>IFERROR(__xludf.DUMMYFUNCTION("""COMPUTED_VALUE"""),477.16599999999994)</f>
        <v>477.166</v>
      </c>
      <c r="BK1146" s="71">
        <f>IFERROR(__xludf.DUMMYFUNCTION("""COMPUTED_VALUE"""),389.7)</f>
        <v>389.7</v>
      </c>
      <c r="BL1146" s="71">
        <f>IFERROR(__xludf.DUMMYFUNCTION("""COMPUTED_VALUE"""),62.352)</f>
        <v>62.352</v>
      </c>
      <c r="BM1146" s="71">
        <f>IFERROR(__xludf.DUMMYFUNCTION("""COMPUTED_VALUE"""),452.05199999999996)</f>
        <v>452.052</v>
      </c>
      <c r="BN1146" s="71">
        <f>IFERROR(__xludf.DUMMYFUNCTION("""COMPUTED_VALUE"""),368.05)</f>
        <v>368.05</v>
      </c>
      <c r="BO1146" s="71">
        <f>IFERROR(__xludf.DUMMYFUNCTION("""COMPUTED_VALUE"""),58.888000000000005)</f>
        <v>58.888</v>
      </c>
      <c r="BP1146" s="71">
        <f>IFERROR(__xludf.DUMMYFUNCTION("""COMPUTED_VALUE"""),426.938)</f>
        <v>426.938</v>
      </c>
      <c r="BQ1146" s="71">
        <f>IFERROR(__xludf.DUMMYFUNCTION("""COMPUTED_VALUE"""),359.39)</f>
        <v>359.39</v>
      </c>
      <c r="BR1146" s="71">
        <f>IFERROR(__xludf.DUMMYFUNCTION("""COMPUTED_VALUE"""),57.5024)</f>
        <v>57.5024</v>
      </c>
      <c r="BS1146" s="71">
        <f>IFERROR(__xludf.DUMMYFUNCTION("""COMPUTED_VALUE"""),416.8924)</f>
        <v>416.8924</v>
      </c>
      <c r="BT1146" s="71">
        <f>IFERROR(__xludf.DUMMYFUNCTION("""COMPUTED_VALUE"""),346.40000000000003)</f>
        <v>346.4</v>
      </c>
      <c r="BU1146" s="71">
        <f>IFERROR(__xludf.DUMMYFUNCTION("""COMPUTED_VALUE"""),55.42400000000001)</f>
        <v>55.424</v>
      </c>
      <c r="BV1146" s="71">
        <f>IFERROR(__xludf.DUMMYFUNCTION("""COMPUTED_VALUE"""),401.82400000000007)</f>
        <v>401.824</v>
      </c>
    </row>
    <row r="1147">
      <c r="A1147" s="53">
        <v>1.0</v>
      </c>
      <c r="B1147" s="53"/>
      <c r="C1147" s="120" t="s">
        <v>53</v>
      </c>
      <c r="D1147" s="74" t="s">
        <v>2788</v>
      </c>
      <c r="E1147" s="54" t="s">
        <v>38</v>
      </c>
      <c r="F1147" s="54" t="s">
        <v>42</v>
      </c>
      <c r="G1147" s="55" t="s">
        <v>2789</v>
      </c>
      <c r="H1147" s="54" t="s">
        <v>2790</v>
      </c>
      <c r="I1147" s="54">
        <f t="shared" si="24"/>
        <v>40</v>
      </c>
      <c r="J1147" s="56"/>
      <c r="K1147" s="75"/>
      <c r="L1147" s="76"/>
      <c r="M1147" s="59"/>
      <c r="N1147" s="60">
        <v>1569.0</v>
      </c>
      <c r="O1147" s="61">
        <v>1694.0</v>
      </c>
      <c r="P1147" s="62">
        <v>1829.5200000000002</v>
      </c>
      <c r="Q1147" s="63">
        <v>1829.5200000000002</v>
      </c>
      <c r="R1147" s="64">
        <v>2037.0</v>
      </c>
      <c r="S1147" s="111">
        <v>2139.0</v>
      </c>
      <c r="T1147" s="65">
        <f t="shared" si="39"/>
        <v>342.24</v>
      </c>
      <c r="U1147" s="65">
        <f t="shared" si="40"/>
        <v>2481.24</v>
      </c>
      <c r="V1147" s="66">
        <f t="shared" si="42"/>
        <v>0.0500736377</v>
      </c>
      <c r="W1147" s="67">
        <f t="shared" si="5"/>
        <v>2032.05</v>
      </c>
      <c r="X1147" s="67">
        <f t="shared" si="43"/>
        <v>325.128</v>
      </c>
      <c r="Y1147" s="67">
        <f t="shared" si="44"/>
        <v>2357.178</v>
      </c>
      <c r="Z1147" s="67">
        <f t="shared" si="8"/>
        <v>1925.1</v>
      </c>
      <c r="AA1147" s="67">
        <f t="shared" si="45"/>
        <v>308.016</v>
      </c>
      <c r="AB1147" s="67">
        <f t="shared" si="46"/>
        <v>2233.116</v>
      </c>
      <c r="AC1147" s="67">
        <f t="shared" si="11"/>
        <v>1818.15</v>
      </c>
      <c r="AD1147" s="67">
        <f t="shared" si="12"/>
        <v>290.904</v>
      </c>
      <c r="AE1147" s="67">
        <f t="shared" si="13"/>
        <v>2109.054</v>
      </c>
      <c r="AF1147" s="67">
        <f t="shared" si="33"/>
        <v>1775.37</v>
      </c>
      <c r="AG1147" s="67">
        <f t="shared" si="15"/>
        <v>284.0592</v>
      </c>
      <c r="AH1147" s="67">
        <f t="shared" si="16"/>
        <v>2059.4292</v>
      </c>
      <c r="AI1147" s="67">
        <f t="shared" si="17"/>
        <v>1711.2</v>
      </c>
      <c r="AJ1147" s="68">
        <f t="shared" si="37"/>
        <v>273.792</v>
      </c>
      <c r="AK1147" s="68">
        <f t="shared" si="38"/>
        <v>1984.992</v>
      </c>
      <c r="AL1147" s="70">
        <f>IFERROR(__xludf.DUMMYFUNCTION("""COMPUTED_VALUE"""),1.0)</f>
        <v>1</v>
      </c>
      <c r="AM1147" s="70"/>
      <c r="AN1147" s="71" t="str">
        <f>IFERROR(__xludf.DUMMYFUNCTION("""COMPUTED_VALUE""")," P")</f>
        <v>P</v>
      </c>
      <c r="AO1147" s="71" t="str">
        <f>IFERROR(__xludf.DUMMYFUNCTION("""COMPUTED_VALUE""")," SF103")</f>
        <v>SF103</v>
      </c>
      <c r="AP1147" s="71" t="str">
        <f>IFERROR(__xludf.DUMMYFUNCTION("""COMPUTED_VALUE""")," PZA")</f>
        <v>PZA</v>
      </c>
      <c r="AQ1147" s="71" t="str">
        <f>IFERROR(__xludf.DUMMYFUNCTION("""COMPUTED_VALUE""")," REF")</f>
        <v>REF</v>
      </c>
      <c r="AR1147" s="71" t="str">
        <f>IFERROR(__xludf.DUMMYFUNCTION("""COMPUTED_VALUE""")," SINFÍN LARGO IZQUIERDO EN POLIGAR GRADO ALIMENTICIO")</f>
        <v>SINFÍN LARGO IZQUIERDO EN POLIGAR GRADO ALIMENTICIO</v>
      </c>
      <c r="AS1147" s="71" t="str">
        <f>IFERROR(__xludf.DUMMYFUNCTION("""COMPUTED_VALUE""")," SINFIN LARGO IZQUIERDO POLIGAR")</f>
        <v>SINFIN LARGO IZQUIERDO POLIGAR</v>
      </c>
      <c r="AT1147" s="71">
        <f>IFERROR(__xludf.DUMMYFUNCTION("""COMPUTED_VALUE"""),30.0)</f>
        <v>30</v>
      </c>
      <c r="AU1147" s="71"/>
      <c r="AV1147" s="71"/>
      <c r="AW1147" s="71"/>
      <c r="AX1147" s="71"/>
      <c r="AY1147" s="71">
        <f>IFERROR(__xludf.DUMMYFUNCTION("""COMPUTED_VALUE"""),242.0)</f>
        <v>242</v>
      </c>
      <c r="AZ1147" s="71">
        <f>IFERROR(__xludf.DUMMYFUNCTION("""COMPUTED_VALUE"""),261.0)</f>
        <v>261</v>
      </c>
      <c r="BA1147" s="71">
        <f>IFERROR(__xludf.DUMMYFUNCTION("""COMPUTED_VALUE"""),281.88)</f>
        <v>281.88</v>
      </c>
      <c r="BB1147" s="71">
        <f>IFERROR(__xludf.DUMMYFUNCTION("""COMPUTED_VALUE"""),281.88)</f>
        <v>281.88</v>
      </c>
      <c r="BC1147" s="71">
        <f>IFERROR(__xludf.DUMMYFUNCTION("""COMPUTED_VALUE"""),314.0)</f>
        <v>314</v>
      </c>
      <c r="BD1147" s="71">
        <f>IFERROR(__xludf.DUMMYFUNCTION("""COMPUTED_VALUE"""),330.0)</f>
        <v>330</v>
      </c>
      <c r="BE1147" s="71">
        <f>IFERROR(__xludf.DUMMYFUNCTION("""COMPUTED_VALUE"""),52.800000000000004)</f>
        <v>52.8</v>
      </c>
      <c r="BF1147" s="71">
        <f>IFERROR(__xludf.DUMMYFUNCTION("""COMPUTED_VALUE"""),382.8)</f>
        <v>382.8</v>
      </c>
      <c r="BG1147" s="71">
        <f>IFERROR(__xludf.DUMMYFUNCTION("""COMPUTED_VALUE"""),0.050955414012738856)</f>
        <v>0.05095541401</v>
      </c>
      <c r="BH1147" s="71">
        <f>IFERROR(__xludf.DUMMYFUNCTION("""COMPUTED_VALUE"""),313.5)</f>
        <v>313.5</v>
      </c>
      <c r="BI1147" s="71">
        <f>IFERROR(__xludf.DUMMYFUNCTION("""COMPUTED_VALUE"""),50.160000000000004)</f>
        <v>50.16</v>
      </c>
      <c r="BJ1147" s="71">
        <f>IFERROR(__xludf.DUMMYFUNCTION("""COMPUTED_VALUE"""),363.66)</f>
        <v>363.66</v>
      </c>
      <c r="BK1147" s="71">
        <f>IFERROR(__xludf.DUMMYFUNCTION("""COMPUTED_VALUE"""),297.0)</f>
        <v>297</v>
      </c>
      <c r="BL1147" s="71">
        <f>IFERROR(__xludf.DUMMYFUNCTION("""COMPUTED_VALUE"""),47.52)</f>
        <v>47.52</v>
      </c>
      <c r="BM1147" s="71">
        <f>IFERROR(__xludf.DUMMYFUNCTION("""COMPUTED_VALUE"""),344.52)</f>
        <v>344.52</v>
      </c>
      <c r="BN1147" s="71">
        <f>IFERROR(__xludf.DUMMYFUNCTION("""COMPUTED_VALUE"""),280.5)</f>
        <v>280.5</v>
      </c>
      <c r="BO1147" s="71">
        <f>IFERROR(__xludf.DUMMYFUNCTION("""COMPUTED_VALUE"""),44.88)</f>
        <v>44.88</v>
      </c>
      <c r="BP1147" s="71">
        <f>IFERROR(__xludf.DUMMYFUNCTION("""COMPUTED_VALUE"""),325.38)</f>
        <v>325.38</v>
      </c>
      <c r="BQ1147" s="71">
        <f>IFERROR(__xludf.DUMMYFUNCTION("""COMPUTED_VALUE"""),273.9)</f>
        <v>273.9</v>
      </c>
      <c r="BR1147" s="71">
        <f>IFERROR(__xludf.DUMMYFUNCTION("""COMPUTED_VALUE"""),43.824)</f>
        <v>43.824</v>
      </c>
      <c r="BS1147" s="71">
        <f>IFERROR(__xludf.DUMMYFUNCTION("""COMPUTED_VALUE"""),317.724)</f>
        <v>317.724</v>
      </c>
      <c r="BT1147" s="71">
        <f>IFERROR(__xludf.DUMMYFUNCTION("""COMPUTED_VALUE"""),264.0)</f>
        <v>264</v>
      </c>
      <c r="BU1147" s="71">
        <f>IFERROR(__xludf.DUMMYFUNCTION("""COMPUTED_VALUE"""),42.24)</f>
        <v>42.24</v>
      </c>
      <c r="BV1147" s="71">
        <f>IFERROR(__xludf.DUMMYFUNCTION("""COMPUTED_VALUE"""),306.24)</f>
        <v>306.24</v>
      </c>
    </row>
    <row r="1148">
      <c r="A1148" s="53"/>
      <c r="B1148" s="72"/>
      <c r="C1148" s="120" t="s">
        <v>53</v>
      </c>
      <c r="D1148" s="53" t="s">
        <v>2791</v>
      </c>
      <c r="E1148" s="54" t="s">
        <v>38</v>
      </c>
      <c r="F1148" s="54" t="s">
        <v>42</v>
      </c>
      <c r="G1148" s="55" t="s">
        <v>2792</v>
      </c>
      <c r="H1148" s="54" t="s">
        <v>2793</v>
      </c>
      <c r="I1148" s="54">
        <f t="shared" si="24"/>
        <v>40</v>
      </c>
      <c r="J1148" s="56"/>
      <c r="K1148" s="75"/>
      <c r="L1148" s="76"/>
      <c r="M1148" s="59"/>
      <c r="N1148" s="60"/>
      <c r="O1148" s="61">
        <v>437.0</v>
      </c>
      <c r="P1148" s="62">
        <v>471.96000000000004</v>
      </c>
      <c r="Q1148" s="63">
        <v>471.96000000000004</v>
      </c>
      <c r="R1148" s="64">
        <v>496.0</v>
      </c>
      <c r="S1148" s="111">
        <v>521.0</v>
      </c>
      <c r="T1148" s="65">
        <f t="shared" si="39"/>
        <v>83.36</v>
      </c>
      <c r="U1148" s="65">
        <f t="shared" si="40"/>
        <v>604.36</v>
      </c>
      <c r="V1148" s="66">
        <f t="shared" si="42"/>
        <v>0.05040322581</v>
      </c>
      <c r="W1148" s="67">
        <f t="shared" si="5"/>
        <v>494.95</v>
      </c>
      <c r="X1148" s="67">
        <f t="shared" si="43"/>
        <v>79.192</v>
      </c>
      <c r="Y1148" s="67">
        <f t="shared" si="44"/>
        <v>574.142</v>
      </c>
      <c r="Z1148" s="67">
        <f t="shared" si="8"/>
        <v>468.9</v>
      </c>
      <c r="AA1148" s="67">
        <f t="shared" si="45"/>
        <v>75.024</v>
      </c>
      <c r="AB1148" s="67">
        <f t="shared" si="46"/>
        <v>543.924</v>
      </c>
      <c r="AC1148" s="67">
        <f t="shared" si="11"/>
        <v>442.85</v>
      </c>
      <c r="AD1148" s="67">
        <f t="shared" si="12"/>
        <v>70.856</v>
      </c>
      <c r="AE1148" s="67">
        <f t="shared" si="13"/>
        <v>513.706</v>
      </c>
      <c r="AF1148" s="67">
        <f t="shared" si="33"/>
        <v>432.43</v>
      </c>
      <c r="AG1148" s="67">
        <f t="shared" si="15"/>
        <v>69.1888</v>
      </c>
      <c r="AH1148" s="67">
        <f t="shared" si="16"/>
        <v>501.6188</v>
      </c>
      <c r="AI1148" s="67">
        <f t="shared" si="17"/>
        <v>416.8</v>
      </c>
      <c r="AJ1148" s="68">
        <f t="shared" si="37"/>
        <v>66.688</v>
      </c>
      <c r="AK1148" s="68">
        <f t="shared" si="38"/>
        <v>483.488</v>
      </c>
      <c r="AL1148" s="70">
        <f>IFERROR(__xludf.DUMMYFUNCTION("""COMPUTED_VALUE"""),1.0)</f>
        <v>1</v>
      </c>
      <c r="AM1148" s="70"/>
      <c r="AN1148" s="71" t="str">
        <f>IFERROR(__xludf.DUMMYFUNCTION("""COMPUTED_VALUE""")," C")</f>
        <v>C</v>
      </c>
      <c r="AO1148" s="71" t="str">
        <f>IFERROR(__xludf.DUMMYFUNCTION("""COMPUTED_VALUE""")," SF17")</f>
        <v>SF17</v>
      </c>
      <c r="AP1148" s="71" t="str">
        <f>IFERROR(__xludf.DUMMYFUNCTION("""COMPUTED_VALUE""")," PZA")</f>
        <v>PZA</v>
      </c>
      <c r="AQ1148" s="71" t="str">
        <f>IFERROR(__xludf.DUMMYFUNCTION("""COMPUTED_VALUE""")," REF")</f>
        <v>REF</v>
      </c>
      <c r="AR1148" s="71" t="str">
        <f>IFERROR(__xludf.DUMMYFUNCTION("""COMPUTED_VALUE""")," SINFIN P/ REDUCTOR 80")</f>
        <v>SINFIN P/ REDUCTOR 80</v>
      </c>
      <c r="AS1148" s="71" t="str">
        <f>IFERROR(__xludf.DUMMYFUNCTION("""COMPUTED_VALUE""")," SINFIN P/REDUCTOR 80")</f>
        <v>SINFIN P/REDUCTOR 80</v>
      </c>
      <c r="AT1148" s="71">
        <f>IFERROR(__xludf.DUMMYFUNCTION("""COMPUTED_VALUE"""),20.0)</f>
        <v>20</v>
      </c>
      <c r="AU1148" s="71"/>
      <c r="AV1148" s="71"/>
      <c r="AW1148" s="71"/>
      <c r="AX1148" s="71"/>
      <c r="AY1148" s="71"/>
      <c r="AZ1148" s="71"/>
      <c r="BA1148" s="71">
        <f>IFERROR(__xludf.DUMMYFUNCTION("""COMPUTED_VALUE"""),260.0)</f>
        <v>260</v>
      </c>
      <c r="BB1148" s="71">
        <f>IFERROR(__xludf.DUMMYFUNCTION("""COMPUTED_VALUE"""),260.0)</f>
        <v>260</v>
      </c>
      <c r="BC1148" s="71">
        <f>IFERROR(__xludf.DUMMYFUNCTION("""COMPUTED_VALUE"""),562.0)</f>
        <v>562</v>
      </c>
      <c r="BD1148" s="71">
        <f>IFERROR(__xludf.DUMMYFUNCTION("""COMPUTED_VALUE"""),590.0)</f>
        <v>590</v>
      </c>
      <c r="BE1148" s="71">
        <f>IFERROR(__xludf.DUMMYFUNCTION("""COMPUTED_VALUE"""),94.4)</f>
        <v>94.4</v>
      </c>
      <c r="BF1148" s="71">
        <f>IFERROR(__xludf.DUMMYFUNCTION("""COMPUTED_VALUE"""),684.4)</f>
        <v>684.4</v>
      </c>
      <c r="BG1148" s="71">
        <f>IFERROR(__xludf.DUMMYFUNCTION("""COMPUTED_VALUE"""),0.0498220640569395)</f>
        <v>0.04982206406</v>
      </c>
      <c r="BH1148" s="71">
        <f>IFERROR(__xludf.DUMMYFUNCTION("""COMPUTED_VALUE"""),560.5)</f>
        <v>560.5</v>
      </c>
      <c r="BI1148" s="71">
        <f>IFERROR(__xludf.DUMMYFUNCTION("""COMPUTED_VALUE"""),89.68)</f>
        <v>89.68</v>
      </c>
      <c r="BJ1148" s="71">
        <f>IFERROR(__xludf.DUMMYFUNCTION("""COMPUTED_VALUE"""),650.1800000000001)</f>
        <v>650.18</v>
      </c>
      <c r="BK1148" s="71">
        <f>IFERROR(__xludf.DUMMYFUNCTION("""COMPUTED_VALUE"""),531.0)</f>
        <v>531</v>
      </c>
      <c r="BL1148" s="71">
        <f>IFERROR(__xludf.DUMMYFUNCTION("""COMPUTED_VALUE"""),84.96000000000001)</f>
        <v>84.96</v>
      </c>
      <c r="BM1148" s="71">
        <f>IFERROR(__xludf.DUMMYFUNCTION("""COMPUTED_VALUE"""),615.96)</f>
        <v>615.96</v>
      </c>
      <c r="BN1148" s="71">
        <f>IFERROR(__xludf.DUMMYFUNCTION("""COMPUTED_VALUE"""),501.5)</f>
        <v>501.5</v>
      </c>
      <c r="BO1148" s="71">
        <f>IFERROR(__xludf.DUMMYFUNCTION("""COMPUTED_VALUE"""),80.24)</f>
        <v>80.24</v>
      </c>
      <c r="BP1148" s="71">
        <f>IFERROR(__xludf.DUMMYFUNCTION("""COMPUTED_VALUE"""),581.74)</f>
        <v>581.74</v>
      </c>
      <c r="BQ1148" s="71">
        <f>IFERROR(__xludf.DUMMYFUNCTION("""COMPUTED_VALUE"""),489.7)</f>
        <v>489.7</v>
      </c>
      <c r="BR1148" s="71">
        <f>IFERROR(__xludf.DUMMYFUNCTION("""COMPUTED_VALUE"""),78.352)</f>
        <v>78.352</v>
      </c>
      <c r="BS1148" s="71">
        <f>IFERROR(__xludf.DUMMYFUNCTION("""COMPUTED_VALUE"""),568.052)</f>
        <v>568.052</v>
      </c>
      <c r="BT1148" s="71">
        <f>IFERROR(__xludf.DUMMYFUNCTION("""COMPUTED_VALUE"""),472.0)</f>
        <v>472</v>
      </c>
      <c r="BU1148" s="71">
        <f>IFERROR(__xludf.DUMMYFUNCTION("""COMPUTED_VALUE"""),75.52)</f>
        <v>75.52</v>
      </c>
      <c r="BV1148" s="71">
        <f>IFERROR(__xludf.DUMMYFUNCTION("""COMPUTED_VALUE"""),547.52)</f>
        <v>547.52</v>
      </c>
    </row>
    <row r="1149">
      <c r="A1149" s="53"/>
      <c r="B1149" s="53"/>
      <c r="C1149" s="73" t="s">
        <v>53</v>
      </c>
      <c r="D1149" s="53" t="s">
        <v>2794</v>
      </c>
      <c r="E1149" s="54" t="s">
        <v>38</v>
      </c>
      <c r="F1149" s="54" t="s">
        <v>42</v>
      </c>
      <c r="G1149" s="55" t="s">
        <v>2795</v>
      </c>
      <c r="H1149" s="55" t="s">
        <v>2796</v>
      </c>
      <c r="I1149" s="54">
        <f t="shared" si="24"/>
        <v>39</v>
      </c>
      <c r="J1149" s="56"/>
      <c r="K1149" s="75"/>
      <c r="L1149" s="76"/>
      <c r="M1149" s="59"/>
      <c r="N1149" s="60"/>
      <c r="O1149" s="90"/>
      <c r="P1149" s="62">
        <v>99.0</v>
      </c>
      <c r="Q1149" s="63">
        <v>99.0</v>
      </c>
      <c r="R1149" s="64">
        <v>104.0</v>
      </c>
      <c r="S1149" s="111">
        <v>109.0</v>
      </c>
      <c r="T1149" s="65">
        <f t="shared" si="39"/>
        <v>17.44</v>
      </c>
      <c r="U1149" s="65">
        <f t="shared" si="40"/>
        <v>126.44</v>
      </c>
      <c r="V1149" s="66">
        <f t="shared" si="42"/>
        <v>0.04807692308</v>
      </c>
      <c r="W1149" s="67">
        <f t="shared" si="5"/>
        <v>103.55</v>
      </c>
      <c r="X1149" s="67">
        <f t="shared" si="43"/>
        <v>16.568</v>
      </c>
      <c r="Y1149" s="67">
        <f t="shared" si="44"/>
        <v>120.118</v>
      </c>
      <c r="Z1149" s="67">
        <f t="shared" si="8"/>
        <v>98.1</v>
      </c>
      <c r="AA1149" s="67">
        <f t="shared" si="45"/>
        <v>15.696</v>
      </c>
      <c r="AB1149" s="67">
        <f t="shared" si="46"/>
        <v>113.796</v>
      </c>
      <c r="AC1149" s="67">
        <f t="shared" si="11"/>
        <v>92.65</v>
      </c>
      <c r="AD1149" s="67">
        <f t="shared" si="12"/>
        <v>14.824</v>
      </c>
      <c r="AE1149" s="67">
        <f t="shared" si="13"/>
        <v>107.474</v>
      </c>
      <c r="AF1149" s="67">
        <f t="shared" si="33"/>
        <v>90.47</v>
      </c>
      <c r="AG1149" s="67">
        <f t="shared" si="15"/>
        <v>14.4752</v>
      </c>
      <c r="AH1149" s="67">
        <f t="shared" si="16"/>
        <v>104.9452</v>
      </c>
      <c r="AI1149" s="67">
        <f t="shared" si="17"/>
        <v>87.2</v>
      </c>
      <c r="AJ1149" s="68">
        <f t="shared" si="37"/>
        <v>13.952</v>
      </c>
      <c r="AK1149" s="68">
        <f t="shared" si="38"/>
        <v>101.152</v>
      </c>
      <c r="AL1149" s="70">
        <f>IFERROR(__xludf.DUMMYFUNCTION("""COMPUTED_VALUE"""),1.0)</f>
        <v>1</v>
      </c>
      <c r="AM1149" s="70"/>
      <c r="AN1149" s="71" t="str">
        <f>IFERROR(__xludf.DUMMYFUNCTION("""COMPUTED_VALUE""")," P")</f>
        <v>P</v>
      </c>
      <c r="AO1149" s="71" t="str">
        <f>IFERROR(__xludf.DUMMYFUNCTION("""COMPUTED_VALUE""")," SF24")</f>
        <v>SF24</v>
      </c>
      <c r="AP1149" s="71" t="str">
        <f>IFERROR(__xludf.DUMMYFUNCTION("""COMPUTED_VALUE""")," PZA")</f>
        <v>PZA</v>
      </c>
      <c r="AQ1149" s="71" t="str">
        <f>IFERROR(__xludf.DUMMYFUNCTION("""COMPUTED_VALUE""")," REF")</f>
        <v>REF</v>
      </c>
      <c r="AR1149" s="71" t="str">
        <f>IFERROR(__xludf.DUMMYFUNCTION("""COMPUTED_VALUE""")," SINFIN PARA MOLINO TORTIMEX NO. 2")</f>
        <v>SINFIN PARA MOLINO TORTIMEX NO. 2</v>
      </c>
      <c r="AS1149" s="71" t="str">
        <f>IFERROR(__xludf.DUMMYFUNCTION("""COMPUTED_VALUE""")," SINFIN P/MOLINO TORTIMEX2")</f>
        <v>SINFIN P/MOLINO TORTIMEX2</v>
      </c>
      <c r="AT1149" s="71">
        <f>IFERROR(__xludf.DUMMYFUNCTION("""COMPUTED_VALUE"""),25.0)</f>
        <v>25</v>
      </c>
      <c r="AU1149" s="71"/>
      <c r="AV1149" s="71"/>
      <c r="AW1149" s="71"/>
      <c r="AX1149" s="71"/>
      <c r="AY1149" s="71">
        <f>IFERROR(__xludf.DUMMYFUNCTION("""COMPUTED_VALUE"""),2234.0)</f>
        <v>2234</v>
      </c>
      <c r="AZ1149" s="71">
        <f>IFERROR(__xludf.DUMMYFUNCTION("""COMPUTED_VALUE"""),2412.0)</f>
        <v>2412</v>
      </c>
      <c r="BA1149" s="71">
        <f>IFERROR(__xludf.DUMMYFUNCTION("""COMPUTED_VALUE"""),2604.96)</f>
        <v>2604.96</v>
      </c>
      <c r="BB1149" s="71">
        <f>IFERROR(__xludf.DUMMYFUNCTION("""COMPUTED_VALUE"""),2604.96)</f>
        <v>2604.96</v>
      </c>
      <c r="BC1149" s="71">
        <f>IFERROR(__xludf.DUMMYFUNCTION("""COMPUTED_VALUE"""),2901.0)</f>
        <v>2901</v>
      </c>
      <c r="BD1149" s="71">
        <f>IFERROR(__xludf.DUMMYFUNCTION("""COMPUTED_VALUE"""),3046.0)</f>
        <v>3046</v>
      </c>
      <c r="BE1149" s="71">
        <f>IFERROR(__xludf.DUMMYFUNCTION("""COMPUTED_VALUE"""),487.36)</f>
        <v>487.36</v>
      </c>
      <c r="BF1149" s="71">
        <f>IFERROR(__xludf.DUMMYFUNCTION("""COMPUTED_VALUE"""),3533.36)</f>
        <v>3533.36</v>
      </c>
      <c r="BG1149" s="71">
        <f>IFERROR(__xludf.DUMMYFUNCTION("""COMPUTED_VALUE"""),0.04998276456394347)</f>
        <v>0.04998276456</v>
      </c>
      <c r="BH1149" s="71">
        <f>IFERROR(__xludf.DUMMYFUNCTION("""COMPUTED_VALUE"""),2893.7)</f>
        <v>2893.7</v>
      </c>
      <c r="BI1149" s="71">
        <f>IFERROR(__xludf.DUMMYFUNCTION("""COMPUTED_VALUE"""),462.99199999999996)</f>
        <v>462.992</v>
      </c>
      <c r="BJ1149" s="71">
        <f>IFERROR(__xludf.DUMMYFUNCTION("""COMPUTED_VALUE"""),3356.692)</f>
        <v>3356.692</v>
      </c>
      <c r="BK1149" s="71">
        <f>IFERROR(__xludf.DUMMYFUNCTION("""COMPUTED_VALUE"""),2741.4)</f>
        <v>2741.4</v>
      </c>
      <c r="BL1149" s="71">
        <f>IFERROR(__xludf.DUMMYFUNCTION("""COMPUTED_VALUE"""),438.624)</f>
        <v>438.624</v>
      </c>
      <c r="BM1149" s="71">
        <f>IFERROR(__xludf.DUMMYFUNCTION("""COMPUTED_VALUE"""),3180.0240000000003)</f>
        <v>3180.024</v>
      </c>
      <c r="BN1149" s="71">
        <f>IFERROR(__xludf.DUMMYFUNCTION("""COMPUTED_VALUE"""),2589.1)</f>
        <v>2589.1</v>
      </c>
      <c r="BO1149" s="71">
        <f>IFERROR(__xludf.DUMMYFUNCTION("""COMPUTED_VALUE"""),414.256)</f>
        <v>414.256</v>
      </c>
      <c r="BP1149" s="71">
        <f>IFERROR(__xludf.DUMMYFUNCTION("""COMPUTED_VALUE"""),3003.3559999999998)</f>
        <v>3003.356</v>
      </c>
      <c r="BQ1149" s="71">
        <f>IFERROR(__xludf.DUMMYFUNCTION("""COMPUTED_VALUE"""),2528.18)</f>
        <v>2528.18</v>
      </c>
      <c r="BR1149" s="71">
        <f>IFERROR(__xludf.DUMMYFUNCTION("""COMPUTED_VALUE"""),404.5088)</f>
        <v>404.5088</v>
      </c>
      <c r="BS1149" s="71">
        <f>IFERROR(__xludf.DUMMYFUNCTION("""COMPUTED_VALUE"""),2932.6888)</f>
        <v>2932.6888</v>
      </c>
      <c r="BT1149" s="71">
        <f>IFERROR(__xludf.DUMMYFUNCTION("""COMPUTED_VALUE"""),2436.8)</f>
        <v>2436.8</v>
      </c>
      <c r="BU1149" s="71">
        <f>IFERROR(__xludf.DUMMYFUNCTION("""COMPUTED_VALUE"""),389.88800000000003)</f>
        <v>389.888</v>
      </c>
      <c r="BV1149" s="71">
        <f>IFERROR(__xludf.DUMMYFUNCTION("""COMPUTED_VALUE"""),2826.688)</f>
        <v>2826.688</v>
      </c>
    </row>
    <row r="1150">
      <c r="A1150" s="53"/>
      <c r="B1150" s="53"/>
      <c r="C1150" s="73" t="s">
        <v>53</v>
      </c>
      <c r="D1150" s="53" t="s">
        <v>2797</v>
      </c>
      <c r="E1150" s="54" t="s">
        <v>38</v>
      </c>
      <c r="F1150" s="54" t="s">
        <v>42</v>
      </c>
      <c r="G1150" s="55" t="s">
        <v>2798</v>
      </c>
      <c r="H1150" s="55" t="s">
        <v>2799</v>
      </c>
      <c r="I1150" s="54">
        <f t="shared" si="24"/>
        <v>39</v>
      </c>
      <c r="J1150" s="56"/>
      <c r="K1150" s="75"/>
      <c r="L1150" s="76"/>
      <c r="M1150" s="59"/>
      <c r="N1150" s="60"/>
      <c r="O1150" s="90"/>
      <c r="P1150" s="62">
        <v>138.0</v>
      </c>
      <c r="Q1150" s="63">
        <v>138.0</v>
      </c>
      <c r="R1150" s="64">
        <v>145.0</v>
      </c>
      <c r="S1150" s="111">
        <v>152.0</v>
      </c>
      <c r="T1150" s="65">
        <f t="shared" si="39"/>
        <v>24.32</v>
      </c>
      <c r="U1150" s="65">
        <f t="shared" si="40"/>
        <v>176.32</v>
      </c>
      <c r="V1150" s="66">
        <f t="shared" si="42"/>
        <v>0.04827586207</v>
      </c>
      <c r="W1150" s="67">
        <f t="shared" si="5"/>
        <v>144.4</v>
      </c>
      <c r="X1150" s="67">
        <f t="shared" si="43"/>
        <v>23.104</v>
      </c>
      <c r="Y1150" s="67">
        <f t="shared" si="44"/>
        <v>167.504</v>
      </c>
      <c r="Z1150" s="67">
        <f t="shared" si="8"/>
        <v>136.8</v>
      </c>
      <c r="AA1150" s="67">
        <f t="shared" si="45"/>
        <v>21.888</v>
      </c>
      <c r="AB1150" s="67">
        <f t="shared" si="46"/>
        <v>158.688</v>
      </c>
      <c r="AC1150" s="67">
        <f t="shared" si="11"/>
        <v>129.2</v>
      </c>
      <c r="AD1150" s="67">
        <f t="shared" si="12"/>
        <v>20.672</v>
      </c>
      <c r="AE1150" s="67">
        <f t="shared" si="13"/>
        <v>149.872</v>
      </c>
      <c r="AF1150" s="67">
        <f t="shared" si="33"/>
        <v>126.16</v>
      </c>
      <c r="AG1150" s="67">
        <f t="shared" si="15"/>
        <v>20.1856</v>
      </c>
      <c r="AH1150" s="67">
        <f t="shared" si="16"/>
        <v>146.3456</v>
      </c>
      <c r="AI1150" s="67">
        <f t="shared" si="17"/>
        <v>121.6</v>
      </c>
      <c r="AJ1150" s="68">
        <f t="shared" si="37"/>
        <v>19.456</v>
      </c>
      <c r="AK1150" s="68">
        <f t="shared" si="38"/>
        <v>141.056</v>
      </c>
      <c r="AL1150" s="70">
        <f>IFERROR(__xludf.DUMMYFUNCTION("""COMPUTED_VALUE"""),1.0)</f>
        <v>1</v>
      </c>
      <c r="AM1150" s="70"/>
      <c r="AN1150" s="71" t="str">
        <f>IFERROR(__xludf.DUMMYFUNCTION("""COMPUTED_VALUE""")," P")</f>
        <v>P</v>
      </c>
      <c r="AO1150" s="71" t="str">
        <f>IFERROR(__xludf.DUMMYFUNCTION("""COMPUTED_VALUE""")," SF08")</f>
        <v>SF08</v>
      </c>
      <c r="AP1150" s="71" t="str">
        <f>IFERROR(__xludf.DUMMYFUNCTION("""COMPUTED_VALUE""")," PZA")</f>
        <v>PZA</v>
      </c>
      <c r="AQ1150" s="71" t="str">
        <f>IFERROR(__xludf.DUMMYFUNCTION("""COMPUTED_VALUE""")," REF")</f>
        <v>REF</v>
      </c>
      <c r="AR1150" s="71" t="str">
        <f>IFERROR(__xludf.DUMMYFUNCTION("""COMPUTED_VALUE""")," SINFÍN PARA REDUCTOR GRANDE (CUERDA CORTA)")</f>
        <v>SINFÍN PARA REDUCTOR GRANDE (CUERDA CORTA)</v>
      </c>
      <c r="AS1150" s="71" t="str">
        <f>IFERROR(__xludf.DUMMYFUNCTION("""COMPUTED_VALUE""")," SINFIN P/REDUCTOR GRANDE CUERDA CORTA")</f>
        <v>SINFIN P/REDUCTOR GRANDE CUERDA CORTA</v>
      </c>
      <c r="AT1150" s="71">
        <f>IFERROR(__xludf.DUMMYFUNCTION("""COMPUTED_VALUE"""),37.0)</f>
        <v>37</v>
      </c>
      <c r="AU1150" s="71"/>
      <c r="AV1150" s="71"/>
      <c r="AW1150" s="71"/>
      <c r="AX1150" s="71"/>
      <c r="AY1150" s="71">
        <f>IFERROR(__xludf.DUMMYFUNCTION("""COMPUTED_VALUE"""),508.0)</f>
        <v>508</v>
      </c>
      <c r="AZ1150" s="71">
        <f>IFERROR(__xludf.DUMMYFUNCTION("""COMPUTED_VALUE"""),548.0)</f>
        <v>548</v>
      </c>
      <c r="BA1150" s="71">
        <f>IFERROR(__xludf.DUMMYFUNCTION("""COMPUTED_VALUE"""),591.84)</f>
        <v>591.84</v>
      </c>
      <c r="BB1150" s="71">
        <f>IFERROR(__xludf.DUMMYFUNCTION("""COMPUTED_VALUE"""),591.84)</f>
        <v>591.84</v>
      </c>
      <c r="BC1150" s="71">
        <f>IFERROR(__xludf.DUMMYFUNCTION("""COMPUTED_VALUE"""),685.0)</f>
        <v>685</v>
      </c>
      <c r="BD1150" s="71">
        <f>IFERROR(__xludf.DUMMYFUNCTION("""COMPUTED_VALUE"""),719.0)</f>
        <v>719</v>
      </c>
      <c r="BE1150" s="71">
        <f>IFERROR(__xludf.DUMMYFUNCTION("""COMPUTED_VALUE"""),115.04)</f>
        <v>115.04</v>
      </c>
      <c r="BF1150" s="71">
        <f>IFERROR(__xludf.DUMMYFUNCTION("""COMPUTED_VALUE"""),834.04)</f>
        <v>834.04</v>
      </c>
      <c r="BG1150" s="71">
        <f>IFERROR(__xludf.DUMMYFUNCTION("""COMPUTED_VALUE"""),0.049635036496350364)</f>
        <v>0.0496350365</v>
      </c>
      <c r="BH1150" s="71">
        <f>IFERROR(__xludf.DUMMYFUNCTION("""COMPUTED_VALUE"""),683.05)</f>
        <v>683.05</v>
      </c>
      <c r="BI1150" s="71">
        <f>IFERROR(__xludf.DUMMYFUNCTION("""COMPUTED_VALUE"""),109.288)</f>
        <v>109.288</v>
      </c>
      <c r="BJ1150" s="71">
        <f>IFERROR(__xludf.DUMMYFUNCTION("""COMPUTED_VALUE"""),792.338)</f>
        <v>792.338</v>
      </c>
      <c r="BK1150" s="71">
        <f>IFERROR(__xludf.DUMMYFUNCTION("""COMPUTED_VALUE"""),647.1)</f>
        <v>647.1</v>
      </c>
      <c r="BL1150" s="71">
        <f>IFERROR(__xludf.DUMMYFUNCTION("""COMPUTED_VALUE"""),103.536)</f>
        <v>103.536</v>
      </c>
      <c r="BM1150" s="71">
        <f>IFERROR(__xludf.DUMMYFUNCTION("""COMPUTED_VALUE"""),750.636)</f>
        <v>750.636</v>
      </c>
      <c r="BN1150" s="71">
        <f>IFERROR(__xludf.DUMMYFUNCTION("""COMPUTED_VALUE"""),611.15)</f>
        <v>611.15</v>
      </c>
      <c r="BO1150" s="71">
        <f>IFERROR(__xludf.DUMMYFUNCTION("""COMPUTED_VALUE"""),97.78399999999999)</f>
        <v>97.784</v>
      </c>
      <c r="BP1150" s="71">
        <f>IFERROR(__xludf.DUMMYFUNCTION("""COMPUTED_VALUE"""),708.934)</f>
        <v>708.934</v>
      </c>
      <c r="BQ1150" s="71">
        <f>IFERROR(__xludf.DUMMYFUNCTION("""COMPUTED_VALUE"""),596.77)</f>
        <v>596.77</v>
      </c>
      <c r="BR1150" s="71">
        <f>IFERROR(__xludf.DUMMYFUNCTION("""COMPUTED_VALUE"""),95.4832)</f>
        <v>95.4832</v>
      </c>
      <c r="BS1150" s="71">
        <f>IFERROR(__xludf.DUMMYFUNCTION("""COMPUTED_VALUE"""),692.2532)</f>
        <v>692.2532</v>
      </c>
      <c r="BT1150" s="71">
        <f>IFERROR(__xludf.DUMMYFUNCTION("""COMPUTED_VALUE"""),575.2)</f>
        <v>575.2</v>
      </c>
      <c r="BU1150" s="71">
        <f>IFERROR(__xludf.DUMMYFUNCTION("""COMPUTED_VALUE"""),92.03200000000001)</f>
        <v>92.032</v>
      </c>
      <c r="BV1150" s="71">
        <f>IFERROR(__xludf.DUMMYFUNCTION("""COMPUTED_VALUE"""),667.2320000000001)</f>
        <v>667.232</v>
      </c>
    </row>
    <row r="1151">
      <c r="A1151" s="53"/>
      <c r="B1151" s="53"/>
      <c r="C1151" s="73" t="s">
        <v>53</v>
      </c>
      <c r="D1151" s="53" t="s">
        <v>2800</v>
      </c>
      <c r="E1151" s="54" t="s">
        <v>38</v>
      </c>
      <c r="F1151" s="54" t="s">
        <v>42</v>
      </c>
      <c r="G1151" s="55" t="s">
        <v>2801</v>
      </c>
      <c r="H1151" s="55" t="s">
        <v>2802</v>
      </c>
      <c r="I1151" s="54">
        <f t="shared" si="24"/>
        <v>39</v>
      </c>
      <c r="J1151" s="56"/>
      <c r="K1151" s="75"/>
      <c r="L1151" s="76"/>
      <c r="M1151" s="59"/>
      <c r="N1151" s="60"/>
      <c r="O1151" s="90"/>
      <c r="P1151" s="62">
        <v>177.0</v>
      </c>
      <c r="Q1151" s="63">
        <v>177.0</v>
      </c>
      <c r="R1151" s="64">
        <v>186.0</v>
      </c>
      <c r="S1151" s="111">
        <v>195.0</v>
      </c>
      <c r="T1151" s="65">
        <f t="shared" si="39"/>
        <v>31.2</v>
      </c>
      <c r="U1151" s="65">
        <f t="shared" si="40"/>
        <v>226.2</v>
      </c>
      <c r="V1151" s="66">
        <f t="shared" si="42"/>
        <v>0.04838709677</v>
      </c>
      <c r="W1151" s="67">
        <f t="shared" si="5"/>
        <v>185.25</v>
      </c>
      <c r="X1151" s="67">
        <f t="shared" si="43"/>
        <v>29.64</v>
      </c>
      <c r="Y1151" s="67">
        <f t="shared" si="44"/>
        <v>214.89</v>
      </c>
      <c r="Z1151" s="67">
        <f t="shared" si="8"/>
        <v>175.5</v>
      </c>
      <c r="AA1151" s="67">
        <f t="shared" si="45"/>
        <v>28.08</v>
      </c>
      <c r="AB1151" s="67">
        <f t="shared" si="46"/>
        <v>203.58</v>
      </c>
      <c r="AC1151" s="67">
        <f t="shared" si="11"/>
        <v>165.75</v>
      </c>
      <c r="AD1151" s="67">
        <f t="shared" si="12"/>
        <v>26.52</v>
      </c>
      <c r="AE1151" s="67">
        <f t="shared" si="13"/>
        <v>192.27</v>
      </c>
      <c r="AF1151" s="67">
        <f t="shared" si="33"/>
        <v>161.85</v>
      </c>
      <c r="AG1151" s="67">
        <f t="shared" si="15"/>
        <v>25.896</v>
      </c>
      <c r="AH1151" s="67">
        <f t="shared" si="16"/>
        <v>187.746</v>
      </c>
      <c r="AI1151" s="67">
        <f t="shared" si="17"/>
        <v>156</v>
      </c>
      <c r="AJ1151" s="68">
        <f t="shared" si="37"/>
        <v>24.96</v>
      </c>
      <c r="AK1151" s="68">
        <f t="shared" si="38"/>
        <v>180.96</v>
      </c>
      <c r="AL1151" s="70">
        <f>IFERROR(__xludf.DUMMYFUNCTION("""COMPUTED_VALUE"""),1.0)</f>
        <v>1</v>
      </c>
      <c r="AM1151" s="70"/>
      <c r="AN1151" s="71" t="str">
        <f>IFERROR(__xludf.DUMMYFUNCTION("""COMPUTED_VALUE""")," P")</f>
        <v>P</v>
      </c>
      <c r="AO1151" s="71" t="str">
        <f>IFERROR(__xludf.DUMMYFUNCTION("""COMPUTED_VALUE""")," SF09")</f>
        <v>SF09</v>
      </c>
      <c r="AP1151" s="71" t="str">
        <f>IFERROR(__xludf.DUMMYFUNCTION("""COMPUTED_VALUE""")," PZA")</f>
        <v>PZA</v>
      </c>
      <c r="AQ1151" s="71" t="str">
        <f>IFERROR(__xludf.DUMMYFUNCTION("""COMPUTED_VALUE""")," REF")</f>
        <v>REF</v>
      </c>
      <c r="AR1151" s="71" t="str">
        <f>IFERROR(__xludf.DUMMYFUNCTION("""COMPUTED_VALUE""")," SINFÍN PARA REDUCTOR GRANDE (CUERDA LARGA)")</f>
        <v>SINFÍN PARA REDUCTOR GRANDE (CUERDA LARGA)</v>
      </c>
      <c r="AS1151" s="71" t="str">
        <f>IFERROR(__xludf.DUMMYFUNCTION("""COMPUTED_VALUE""")," SINFIN P/REDUCTOR GRANDE CUERDA LARGA")</f>
        <v>SINFIN P/REDUCTOR GRANDE CUERDA LARGA</v>
      </c>
      <c r="AT1151" s="71">
        <f>IFERROR(__xludf.DUMMYFUNCTION("""COMPUTED_VALUE"""),37.0)</f>
        <v>37</v>
      </c>
      <c r="AU1151" s="71"/>
      <c r="AV1151" s="71"/>
      <c r="AW1151" s="71"/>
      <c r="AX1151" s="71"/>
      <c r="AY1151" s="71">
        <f>IFERROR(__xludf.DUMMYFUNCTION("""COMPUTED_VALUE"""),536.0)</f>
        <v>536</v>
      </c>
      <c r="AZ1151" s="71">
        <f>IFERROR(__xludf.DUMMYFUNCTION("""COMPUTED_VALUE"""),578.0)</f>
        <v>578</v>
      </c>
      <c r="BA1151" s="71">
        <f>IFERROR(__xludf.DUMMYFUNCTION("""COMPUTED_VALUE"""),624.24)</f>
        <v>624.24</v>
      </c>
      <c r="BB1151" s="71">
        <f>IFERROR(__xludf.DUMMYFUNCTION("""COMPUTED_VALUE"""),624.24)</f>
        <v>624.24</v>
      </c>
      <c r="BC1151" s="71">
        <f>IFERROR(__xludf.DUMMYFUNCTION("""COMPUTED_VALUE"""),722.0)</f>
        <v>722</v>
      </c>
      <c r="BD1151" s="71">
        <f>IFERROR(__xludf.DUMMYFUNCTION("""COMPUTED_VALUE"""),758.0)</f>
        <v>758</v>
      </c>
      <c r="BE1151" s="71">
        <f>IFERROR(__xludf.DUMMYFUNCTION("""COMPUTED_VALUE"""),121.28)</f>
        <v>121.28</v>
      </c>
      <c r="BF1151" s="71">
        <f>IFERROR(__xludf.DUMMYFUNCTION("""COMPUTED_VALUE"""),879.28)</f>
        <v>879.28</v>
      </c>
      <c r="BG1151" s="71">
        <f>IFERROR(__xludf.DUMMYFUNCTION("""COMPUTED_VALUE"""),0.04986149584487535)</f>
        <v>0.04986149584</v>
      </c>
      <c r="BH1151" s="71">
        <f>IFERROR(__xludf.DUMMYFUNCTION("""COMPUTED_VALUE"""),720.1)</f>
        <v>720.1</v>
      </c>
      <c r="BI1151" s="71">
        <f>IFERROR(__xludf.DUMMYFUNCTION("""COMPUTED_VALUE"""),115.21600000000001)</f>
        <v>115.216</v>
      </c>
      <c r="BJ1151" s="71">
        <f>IFERROR(__xludf.DUMMYFUNCTION("""COMPUTED_VALUE"""),835.316)</f>
        <v>835.316</v>
      </c>
      <c r="BK1151" s="71">
        <f>IFERROR(__xludf.DUMMYFUNCTION("""COMPUTED_VALUE"""),682.2)</f>
        <v>682.2</v>
      </c>
      <c r="BL1151" s="71">
        <f>IFERROR(__xludf.DUMMYFUNCTION("""COMPUTED_VALUE"""),109.15200000000002)</f>
        <v>109.152</v>
      </c>
      <c r="BM1151" s="71">
        <f>IFERROR(__xludf.DUMMYFUNCTION("""COMPUTED_VALUE"""),791.3520000000001)</f>
        <v>791.352</v>
      </c>
      <c r="BN1151" s="71">
        <f>IFERROR(__xludf.DUMMYFUNCTION("""COMPUTED_VALUE"""),644.3)</f>
        <v>644.3</v>
      </c>
      <c r="BO1151" s="71">
        <f>IFERROR(__xludf.DUMMYFUNCTION("""COMPUTED_VALUE"""),103.088)</f>
        <v>103.088</v>
      </c>
      <c r="BP1151" s="71">
        <f>IFERROR(__xludf.DUMMYFUNCTION("""COMPUTED_VALUE"""),747.3879999999999)</f>
        <v>747.388</v>
      </c>
      <c r="BQ1151" s="71">
        <f>IFERROR(__xludf.DUMMYFUNCTION("""COMPUTED_VALUE"""),629.14)</f>
        <v>629.14</v>
      </c>
      <c r="BR1151" s="71">
        <f>IFERROR(__xludf.DUMMYFUNCTION("""COMPUTED_VALUE"""),100.6624)</f>
        <v>100.6624</v>
      </c>
      <c r="BS1151" s="71">
        <f>IFERROR(__xludf.DUMMYFUNCTION("""COMPUTED_VALUE"""),729.8024)</f>
        <v>729.8024</v>
      </c>
      <c r="BT1151" s="71">
        <f>IFERROR(__xludf.DUMMYFUNCTION("""COMPUTED_VALUE"""),606.4)</f>
        <v>606.4</v>
      </c>
      <c r="BU1151" s="71">
        <f>IFERROR(__xludf.DUMMYFUNCTION("""COMPUTED_VALUE"""),97.024)</f>
        <v>97.024</v>
      </c>
      <c r="BV1151" s="71">
        <f>IFERROR(__xludf.DUMMYFUNCTION("""COMPUTED_VALUE"""),703.424)</f>
        <v>703.424</v>
      </c>
    </row>
    <row r="1152">
      <c r="A1152" s="53">
        <v>1.0</v>
      </c>
      <c r="B1152" s="72"/>
      <c r="C1152" s="120" t="s">
        <v>53</v>
      </c>
      <c r="D1152" s="74" t="s">
        <v>2803</v>
      </c>
      <c r="E1152" s="54" t="s">
        <v>38</v>
      </c>
      <c r="F1152" s="54" t="s">
        <v>42</v>
      </c>
      <c r="G1152" s="55" t="s">
        <v>2804</v>
      </c>
      <c r="H1152" s="54" t="s">
        <v>2805</v>
      </c>
      <c r="I1152" s="54">
        <f t="shared" si="24"/>
        <v>39</v>
      </c>
      <c r="J1152" s="56"/>
      <c r="K1152" s="75"/>
      <c r="L1152" s="76"/>
      <c r="M1152" s="59"/>
      <c r="N1152" s="60">
        <v>359.0</v>
      </c>
      <c r="O1152" s="61">
        <v>387.0</v>
      </c>
      <c r="P1152" s="62">
        <v>417.96000000000004</v>
      </c>
      <c r="Q1152" s="63">
        <v>417.96000000000004</v>
      </c>
      <c r="R1152" s="64">
        <v>467.0</v>
      </c>
      <c r="S1152" s="111">
        <v>490.0</v>
      </c>
      <c r="T1152" s="65">
        <f t="shared" si="39"/>
        <v>78.4</v>
      </c>
      <c r="U1152" s="65">
        <f t="shared" si="40"/>
        <v>568.4</v>
      </c>
      <c r="V1152" s="66">
        <f t="shared" si="42"/>
        <v>0.04925053533</v>
      </c>
      <c r="W1152" s="67">
        <f t="shared" si="5"/>
        <v>465.5</v>
      </c>
      <c r="X1152" s="67">
        <f t="shared" si="43"/>
        <v>74.48</v>
      </c>
      <c r="Y1152" s="67">
        <f t="shared" si="44"/>
        <v>539.98</v>
      </c>
      <c r="Z1152" s="67">
        <f t="shared" si="8"/>
        <v>441</v>
      </c>
      <c r="AA1152" s="67">
        <f t="shared" si="45"/>
        <v>70.56</v>
      </c>
      <c r="AB1152" s="67">
        <f t="shared" si="46"/>
        <v>511.56</v>
      </c>
      <c r="AC1152" s="67">
        <f t="shared" si="11"/>
        <v>416.5</v>
      </c>
      <c r="AD1152" s="67">
        <f t="shared" si="12"/>
        <v>66.64</v>
      </c>
      <c r="AE1152" s="67">
        <f t="shared" si="13"/>
        <v>483.14</v>
      </c>
      <c r="AF1152" s="67">
        <f t="shared" si="33"/>
        <v>406.7</v>
      </c>
      <c r="AG1152" s="67">
        <f t="shared" si="15"/>
        <v>65.072</v>
      </c>
      <c r="AH1152" s="67">
        <f t="shared" si="16"/>
        <v>471.772</v>
      </c>
      <c r="AI1152" s="67">
        <f t="shared" si="17"/>
        <v>392</v>
      </c>
      <c r="AJ1152" s="68">
        <f t="shared" si="37"/>
        <v>62.72</v>
      </c>
      <c r="AK1152" s="68">
        <f t="shared" si="38"/>
        <v>454.72</v>
      </c>
      <c r="AL1152" s="70">
        <f>IFERROR(__xludf.DUMMYFUNCTION("""COMPUTED_VALUE"""),1.0)</f>
        <v>1</v>
      </c>
      <c r="AM1152" s="70"/>
      <c r="AN1152" s="71" t="str">
        <f>IFERROR(__xludf.DUMMYFUNCTION("""COMPUTED_VALUE""")," P")</f>
        <v>P</v>
      </c>
      <c r="AO1152" s="71" t="str">
        <f>IFERROR(__xludf.DUMMYFUNCTION("""COMPUTED_VALUE""")," SF10")</f>
        <v>SF10</v>
      </c>
      <c r="AP1152" s="71" t="str">
        <f>IFERROR(__xludf.DUMMYFUNCTION("""COMPUTED_VALUE""")," PZA")</f>
        <v>PZA</v>
      </c>
      <c r="AQ1152" s="71" t="str">
        <f>IFERROR(__xludf.DUMMYFUNCTION("""COMPUTED_VALUE""")," REF")</f>
        <v>REF</v>
      </c>
      <c r="AR1152" s="71" t="str">
        <f>IFERROR(__xludf.DUMMYFUNCTION("""COMPUTED_VALUE""")," SINFÍN PARA REDUCTOR GRANDE TEMPLADO (CUERDA CORTA)")</f>
        <v>SINFÍN PARA REDUCTOR GRANDE TEMPLADO (CUERDA CORTA)</v>
      </c>
      <c r="AS1152" s="71" t="str">
        <f>IFERROR(__xludf.DUMMYFUNCTION("""COMPUTED_VALUE""")," SINFIN P/REDUCTOR GDE TEMP CUERDA CORTA")</f>
        <v>SINFIN P/REDUCTOR GDE TEMP CUERDA CORTA</v>
      </c>
      <c r="AT1152" s="71">
        <f>IFERROR(__xludf.DUMMYFUNCTION("""COMPUTED_VALUE"""),39.0)</f>
        <v>39</v>
      </c>
      <c r="AU1152" s="71"/>
      <c r="AV1152" s="71"/>
      <c r="AW1152" s="71"/>
      <c r="AX1152" s="71"/>
      <c r="AY1152" s="71">
        <f>IFERROR(__xludf.DUMMYFUNCTION("""COMPUTED_VALUE"""),508.0)</f>
        <v>508</v>
      </c>
      <c r="AZ1152" s="71">
        <f>IFERROR(__xludf.DUMMYFUNCTION("""COMPUTED_VALUE"""),548.0)</f>
        <v>548</v>
      </c>
      <c r="BA1152" s="71">
        <f>IFERROR(__xludf.DUMMYFUNCTION("""COMPUTED_VALUE"""),591.84)</f>
        <v>591.84</v>
      </c>
      <c r="BB1152" s="71">
        <f>IFERROR(__xludf.DUMMYFUNCTION("""COMPUTED_VALUE"""),591.84)</f>
        <v>591.84</v>
      </c>
      <c r="BC1152" s="71">
        <f>IFERROR(__xludf.DUMMYFUNCTION("""COMPUTED_VALUE"""),685.0)</f>
        <v>685</v>
      </c>
      <c r="BD1152" s="71">
        <f>IFERROR(__xludf.DUMMYFUNCTION("""COMPUTED_VALUE"""),719.0)</f>
        <v>719</v>
      </c>
      <c r="BE1152" s="71">
        <f>IFERROR(__xludf.DUMMYFUNCTION("""COMPUTED_VALUE"""),115.04)</f>
        <v>115.04</v>
      </c>
      <c r="BF1152" s="71">
        <f>IFERROR(__xludf.DUMMYFUNCTION("""COMPUTED_VALUE"""),834.04)</f>
        <v>834.04</v>
      </c>
      <c r="BG1152" s="71">
        <f>IFERROR(__xludf.DUMMYFUNCTION("""COMPUTED_VALUE"""),0.049635036496350364)</f>
        <v>0.0496350365</v>
      </c>
      <c r="BH1152" s="71">
        <f>IFERROR(__xludf.DUMMYFUNCTION("""COMPUTED_VALUE"""),683.05)</f>
        <v>683.05</v>
      </c>
      <c r="BI1152" s="71">
        <f>IFERROR(__xludf.DUMMYFUNCTION("""COMPUTED_VALUE"""),109.288)</f>
        <v>109.288</v>
      </c>
      <c r="BJ1152" s="71">
        <f>IFERROR(__xludf.DUMMYFUNCTION("""COMPUTED_VALUE"""),792.338)</f>
        <v>792.338</v>
      </c>
      <c r="BK1152" s="71">
        <f>IFERROR(__xludf.DUMMYFUNCTION("""COMPUTED_VALUE"""),647.1)</f>
        <v>647.1</v>
      </c>
      <c r="BL1152" s="71">
        <f>IFERROR(__xludf.DUMMYFUNCTION("""COMPUTED_VALUE"""),103.536)</f>
        <v>103.536</v>
      </c>
      <c r="BM1152" s="71">
        <f>IFERROR(__xludf.DUMMYFUNCTION("""COMPUTED_VALUE"""),750.636)</f>
        <v>750.636</v>
      </c>
      <c r="BN1152" s="71">
        <f>IFERROR(__xludf.DUMMYFUNCTION("""COMPUTED_VALUE"""),611.15)</f>
        <v>611.15</v>
      </c>
      <c r="BO1152" s="71">
        <f>IFERROR(__xludf.DUMMYFUNCTION("""COMPUTED_VALUE"""),97.78399999999999)</f>
        <v>97.784</v>
      </c>
      <c r="BP1152" s="71">
        <f>IFERROR(__xludf.DUMMYFUNCTION("""COMPUTED_VALUE"""),708.934)</f>
        <v>708.934</v>
      </c>
      <c r="BQ1152" s="71">
        <f>IFERROR(__xludf.DUMMYFUNCTION("""COMPUTED_VALUE"""),596.77)</f>
        <v>596.77</v>
      </c>
      <c r="BR1152" s="71">
        <f>IFERROR(__xludf.DUMMYFUNCTION("""COMPUTED_VALUE"""),95.4832)</f>
        <v>95.4832</v>
      </c>
      <c r="BS1152" s="71">
        <f>IFERROR(__xludf.DUMMYFUNCTION("""COMPUTED_VALUE"""),692.2532)</f>
        <v>692.2532</v>
      </c>
      <c r="BT1152" s="71">
        <f>IFERROR(__xludf.DUMMYFUNCTION("""COMPUTED_VALUE"""),575.2)</f>
        <v>575.2</v>
      </c>
      <c r="BU1152" s="71">
        <f>IFERROR(__xludf.DUMMYFUNCTION("""COMPUTED_VALUE"""),92.03200000000001)</f>
        <v>92.032</v>
      </c>
      <c r="BV1152" s="71">
        <f>IFERROR(__xludf.DUMMYFUNCTION("""COMPUTED_VALUE"""),667.2320000000001)</f>
        <v>667.232</v>
      </c>
    </row>
    <row r="1153">
      <c r="A1153" s="53"/>
      <c r="B1153" s="72"/>
      <c r="C1153" s="120" t="s">
        <v>53</v>
      </c>
      <c r="D1153" s="53" t="s">
        <v>2806</v>
      </c>
      <c r="E1153" s="54" t="s">
        <v>38</v>
      </c>
      <c r="F1153" s="54" t="s">
        <v>42</v>
      </c>
      <c r="G1153" s="54" t="s">
        <v>2807</v>
      </c>
      <c r="H1153" s="54" t="s">
        <v>2808</v>
      </c>
      <c r="I1153" s="54">
        <f t="shared" si="24"/>
        <v>40</v>
      </c>
      <c r="J1153" s="56"/>
      <c r="K1153" s="75"/>
      <c r="L1153" s="76"/>
      <c r="M1153" s="59"/>
      <c r="N1153" s="60"/>
      <c r="O1153" s="61">
        <v>725.0</v>
      </c>
      <c r="P1153" s="62">
        <v>783.0</v>
      </c>
      <c r="Q1153" s="63">
        <v>783.0</v>
      </c>
      <c r="R1153" s="64">
        <v>823.0</v>
      </c>
      <c r="S1153" s="111">
        <v>864.0</v>
      </c>
      <c r="T1153" s="65">
        <f t="shared" si="39"/>
        <v>138.24</v>
      </c>
      <c r="U1153" s="65">
        <f t="shared" si="40"/>
        <v>1002.24</v>
      </c>
      <c r="V1153" s="66">
        <f t="shared" si="42"/>
        <v>0.04981773998</v>
      </c>
      <c r="W1153" s="67">
        <f t="shared" si="5"/>
        <v>820.8</v>
      </c>
      <c r="X1153" s="67">
        <f t="shared" si="43"/>
        <v>131.328</v>
      </c>
      <c r="Y1153" s="67">
        <f t="shared" si="44"/>
        <v>952.128</v>
      </c>
      <c r="Z1153" s="67">
        <f t="shared" si="8"/>
        <v>777.6</v>
      </c>
      <c r="AA1153" s="67">
        <f t="shared" si="45"/>
        <v>124.416</v>
      </c>
      <c r="AB1153" s="67">
        <f t="shared" si="46"/>
        <v>902.016</v>
      </c>
      <c r="AC1153" s="67">
        <f t="shared" si="11"/>
        <v>734.4</v>
      </c>
      <c r="AD1153" s="67">
        <f t="shared" si="12"/>
        <v>117.504</v>
      </c>
      <c r="AE1153" s="67">
        <f t="shared" si="13"/>
        <v>851.904</v>
      </c>
      <c r="AF1153" s="67">
        <f t="shared" si="33"/>
        <v>717.12</v>
      </c>
      <c r="AG1153" s="67">
        <f t="shared" si="15"/>
        <v>114.7392</v>
      </c>
      <c r="AH1153" s="67">
        <f t="shared" si="16"/>
        <v>831.8592</v>
      </c>
      <c r="AI1153" s="67">
        <f t="shared" si="17"/>
        <v>691.2</v>
      </c>
      <c r="AJ1153" s="68">
        <f t="shared" si="37"/>
        <v>110.592</v>
      </c>
      <c r="AK1153" s="68">
        <f t="shared" si="38"/>
        <v>801.792</v>
      </c>
      <c r="AL1153" s="70">
        <f>IFERROR(__xludf.DUMMYFUNCTION("""COMPUTED_VALUE"""),1.0)</f>
        <v>1</v>
      </c>
      <c r="AM1153" s="70"/>
      <c r="AN1153" s="71" t="str">
        <f>IFERROR(__xludf.DUMMYFUNCTION("""COMPUTED_VALUE""")," P")</f>
        <v>P</v>
      </c>
      <c r="AO1153" s="71" t="str">
        <f>IFERROR(__xludf.DUMMYFUNCTION("""COMPUTED_VALUE""")," SF11")</f>
        <v>SF11</v>
      </c>
      <c r="AP1153" s="71" t="str">
        <f>IFERROR(__xludf.DUMMYFUNCTION("""COMPUTED_VALUE""")," PZA")</f>
        <v>PZA</v>
      </c>
      <c r="AQ1153" s="71" t="str">
        <f>IFERROR(__xludf.DUMMYFUNCTION("""COMPUTED_VALUE""")," REF")</f>
        <v>REF</v>
      </c>
      <c r="AR1153" s="71" t="str">
        <f>IFERROR(__xludf.DUMMYFUNCTION("""COMPUTED_VALUE""")," SINFÍN PARA REDUCTOR GRANDE TEMPLADO (CUERDA LARGA)")</f>
        <v>SINFÍN PARA REDUCTOR GRANDE TEMPLADO (CUERDA LARGA)</v>
      </c>
      <c r="AS1153" s="71" t="str">
        <f>IFERROR(__xludf.DUMMYFUNCTION("""COMPUTED_VALUE""")," INFIN P/REDUCTOR GDE TEMP CUERDA LARGA")</f>
        <v>INFIN P/REDUCTOR GDE TEMP CUERDA LARGA</v>
      </c>
      <c r="AT1153" s="71">
        <f>IFERROR(__xludf.DUMMYFUNCTION("""COMPUTED_VALUE"""),38.0)</f>
        <v>38</v>
      </c>
      <c r="AU1153" s="71"/>
      <c r="AV1153" s="71"/>
      <c r="AW1153" s="71"/>
      <c r="AX1153" s="71"/>
      <c r="AY1153" s="71">
        <f>IFERROR(__xludf.DUMMYFUNCTION("""COMPUTED_VALUE"""),585.0)</f>
        <v>585</v>
      </c>
      <c r="AZ1153" s="71">
        <f>IFERROR(__xludf.DUMMYFUNCTION("""COMPUTED_VALUE"""),631.0)</f>
        <v>631</v>
      </c>
      <c r="BA1153" s="71">
        <f>IFERROR(__xludf.DUMMYFUNCTION("""COMPUTED_VALUE"""),681.48)</f>
        <v>681.48</v>
      </c>
      <c r="BB1153" s="71">
        <f>IFERROR(__xludf.DUMMYFUNCTION("""COMPUTED_VALUE"""),681.48)</f>
        <v>681.48</v>
      </c>
      <c r="BC1153" s="71">
        <f>IFERROR(__xludf.DUMMYFUNCTION("""COMPUTED_VALUE"""),788.0)</f>
        <v>788</v>
      </c>
      <c r="BD1153" s="71">
        <f>IFERROR(__xludf.DUMMYFUNCTION("""COMPUTED_VALUE"""),827.0)</f>
        <v>827</v>
      </c>
      <c r="BE1153" s="71">
        <f>IFERROR(__xludf.DUMMYFUNCTION("""COMPUTED_VALUE"""),132.32)</f>
        <v>132.32</v>
      </c>
      <c r="BF1153" s="71">
        <f>IFERROR(__xludf.DUMMYFUNCTION("""COMPUTED_VALUE"""),959.3199999999999)</f>
        <v>959.32</v>
      </c>
      <c r="BG1153" s="71">
        <f>IFERROR(__xludf.DUMMYFUNCTION("""COMPUTED_VALUE"""),0.04949238578680203)</f>
        <v>0.04949238579</v>
      </c>
      <c r="BH1153" s="71">
        <f>IFERROR(__xludf.DUMMYFUNCTION("""COMPUTED_VALUE"""),785.65)</f>
        <v>785.65</v>
      </c>
      <c r="BI1153" s="71">
        <f>IFERROR(__xludf.DUMMYFUNCTION("""COMPUTED_VALUE"""),125.704)</f>
        <v>125.704</v>
      </c>
      <c r="BJ1153" s="71">
        <f>IFERROR(__xludf.DUMMYFUNCTION("""COMPUTED_VALUE"""),911.3539999999999)</f>
        <v>911.354</v>
      </c>
      <c r="BK1153" s="71">
        <f>IFERROR(__xludf.DUMMYFUNCTION("""COMPUTED_VALUE"""),744.3000000000001)</f>
        <v>744.3</v>
      </c>
      <c r="BL1153" s="71">
        <f>IFERROR(__xludf.DUMMYFUNCTION("""COMPUTED_VALUE"""),119.08800000000001)</f>
        <v>119.088</v>
      </c>
      <c r="BM1153" s="71">
        <f>IFERROR(__xludf.DUMMYFUNCTION("""COMPUTED_VALUE"""),863.388)</f>
        <v>863.388</v>
      </c>
      <c r="BN1153" s="71">
        <f>IFERROR(__xludf.DUMMYFUNCTION("""COMPUTED_VALUE"""),702.9499999999999)</f>
        <v>702.95</v>
      </c>
      <c r="BO1153" s="71">
        <f>IFERROR(__xludf.DUMMYFUNCTION("""COMPUTED_VALUE"""),112.472)</f>
        <v>112.472</v>
      </c>
      <c r="BP1153" s="71">
        <f>IFERROR(__xludf.DUMMYFUNCTION("""COMPUTED_VALUE"""),815.4219999999999)</f>
        <v>815.422</v>
      </c>
      <c r="BQ1153" s="71">
        <f>IFERROR(__xludf.DUMMYFUNCTION("""COMPUTED_VALUE"""),686.41)</f>
        <v>686.41</v>
      </c>
      <c r="BR1153" s="71">
        <f>IFERROR(__xludf.DUMMYFUNCTION("""COMPUTED_VALUE"""),109.8256)</f>
        <v>109.8256</v>
      </c>
      <c r="BS1153" s="71">
        <f>IFERROR(__xludf.DUMMYFUNCTION("""COMPUTED_VALUE"""),796.2356)</f>
        <v>796.2356</v>
      </c>
      <c r="BT1153" s="71">
        <f>IFERROR(__xludf.DUMMYFUNCTION("""COMPUTED_VALUE"""),661.6)</f>
        <v>661.6</v>
      </c>
      <c r="BU1153" s="71">
        <f>IFERROR(__xludf.DUMMYFUNCTION("""COMPUTED_VALUE"""),105.85600000000001)</f>
        <v>105.856</v>
      </c>
      <c r="BV1153" s="71">
        <f>IFERROR(__xludf.DUMMYFUNCTION("""COMPUTED_VALUE"""),767.456)</f>
        <v>767.456</v>
      </c>
    </row>
    <row r="1154">
      <c r="A1154" s="53">
        <v>1.0</v>
      </c>
      <c r="B1154" s="72"/>
      <c r="C1154" s="120" t="s">
        <v>53</v>
      </c>
      <c r="D1154" s="74" t="s">
        <v>2809</v>
      </c>
      <c r="E1154" s="54" t="s">
        <v>38</v>
      </c>
      <c r="F1154" s="54" t="s">
        <v>42</v>
      </c>
      <c r="G1154" s="88" t="s">
        <v>2810</v>
      </c>
      <c r="H1154" s="54" t="s">
        <v>2811</v>
      </c>
      <c r="I1154" s="54">
        <f t="shared" si="24"/>
        <v>25</v>
      </c>
      <c r="J1154" s="56"/>
      <c r="K1154" s="75"/>
      <c r="L1154" s="76"/>
      <c r="M1154" s="59"/>
      <c r="N1154" s="60">
        <v>318.0</v>
      </c>
      <c r="O1154" s="61">
        <v>343.0</v>
      </c>
      <c r="P1154" s="62">
        <v>370.44</v>
      </c>
      <c r="Q1154" s="63">
        <v>370.44</v>
      </c>
      <c r="R1154" s="64">
        <v>413.0</v>
      </c>
      <c r="S1154" s="65">
        <v>347.2</v>
      </c>
      <c r="T1154" s="65">
        <f t="shared" si="39"/>
        <v>55.552</v>
      </c>
      <c r="U1154" s="65">
        <f t="shared" si="40"/>
        <v>402.752</v>
      </c>
      <c r="V1154" s="66">
        <f t="shared" si="42"/>
        <v>-0.1593220339</v>
      </c>
      <c r="W1154" s="67">
        <f t="shared" si="5"/>
        <v>329.84</v>
      </c>
      <c r="X1154" s="67">
        <f t="shared" si="43"/>
        <v>52.7744</v>
      </c>
      <c r="Y1154" s="67">
        <f t="shared" si="44"/>
        <v>382.6144</v>
      </c>
      <c r="Z1154" s="67">
        <f t="shared" si="8"/>
        <v>312.48</v>
      </c>
      <c r="AA1154" s="67">
        <f t="shared" si="45"/>
        <v>49.9968</v>
      </c>
      <c r="AB1154" s="67">
        <f t="shared" si="46"/>
        <v>362.4768</v>
      </c>
      <c r="AC1154" s="67">
        <f t="shared" si="11"/>
        <v>295.12</v>
      </c>
      <c r="AD1154" s="67">
        <f t="shared" si="12"/>
        <v>47.2192</v>
      </c>
      <c r="AE1154" s="67">
        <f t="shared" si="13"/>
        <v>342.3392</v>
      </c>
      <c r="AF1154" s="67">
        <f t="shared" si="33"/>
        <v>288.176</v>
      </c>
      <c r="AG1154" s="67">
        <f t="shared" si="15"/>
        <v>46.10816</v>
      </c>
      <c r="AH1154" s="67">
        <f t="shared" si="16"/>
        <v>334.28416</v>
      </c>
      <c r="AI1154" s="67">
        <f t="shared" si="17"/>
        <v>277.76</v>
      </c>
      <c r="AJ1154" s="68">
        <f t="shared" si="37"/>
        <v>44.4416</v>
      </c>
      <c r="AK1154" s="68">
        <f t="shared" si="38"/>
        <v>322.2016</v>
      </c>
      <c r="AL1154" s="70">
        <f>IFERROR(__xludf.DUMMYFUNCTION("""COMPUTED_VALUE"""),1.0)</f>
        <v>1</v>
      </c>
      <c r="AM1154" s="70"/>
      <c r="AN1154" s="71" t="str">
        <f>IFERROR(__xludf.DUMMYFUNCTION("""COMPUTED_VALUE""")," P")</f>
        <v>P</v>
      </c>
      <c r="AO1154" s="71" t="str">
        <f>IFERROR(__xludf.DUMMYFUNCTION("""COMPUTED_VALUE""")," SF05")</f>
        <v>SF05</v>
      </c>
      <c r="AP1154" s="71" t="str">
        <f>IFERROR(__xludf.DUMMYFUNCTION("""COMPUTED_VALUE""")," PZA")</f>
        <v>PZA</v>
      </c>
      <c r="AQ1154" s="71" t="str">
        <f>IFERROR(__xludf.DUMMYFUNCTION("""COMPUTED_VALUE""")," REF")</f>
        <v>REF</v>
      </c>
      <c r="AR1154" s="71" t="str">
        <f>IFERROR(__xludf.DUMMYFUNCTION("""COMPUTED_VALUE""")," SINFÍN PARA TOLVA ARMADO MODELO ANTERIOR ESPECIAL CHICO (HÉLICE-FLECHA EN ACERO INOXIDABLE)")</f>
        <v>SINFÍN PARA TOLVA ARMADO MODELO ANTERIOR ESPECIAL CHICO (HÉLICE-FLECHA EN ACERO INOXIDABLE)</v>
      </c>
      <c r="AS1154" s="71" t="str">
        <f>IFERROR(__xludf.DUMMYFUNCTION("""COMPUTED_VALUE""")," SINFN P/TOLV ARM MA ESP CHI HEL-FLE INOX")</f>
        <v>SINFN P/TOLV ARM MA ESP CHI HEL-FLE INOX</v>
      </c>
      <c r="AT1154" s="71">
        <f>IFERROR(__xludf.DUMMYFUNCTION("""COMPUTED_VALUE"""),40.0)</f>
        <v>40</v>
      </c>
      <c r="AU1154" s="71"/>
      <c r="AV1154" s="71"/>
      <c r="AW1154" s="71"/>
      <c r="AX1154" s="71"/>
      <c r="AY1154" s="71">
        <f>IFERROR(__xludf.DUMMYFUNCTION("""COMPUTED_VALUE"""),1985.0)</f>
        <v>1985</v>
      </c>
      <c r="AZ1154" s="71">
        <f>IFERROR(__xludf.DUMMYFUNCTION("""COMPUTED_VALUE"""),2143.0)</f>
        <v>2143</v>
      </c>
      <c r="BA1154" s="71">
        <f>IFERROR(__xludf.DUMMYFUNCTION("""COMPUTED_VALUE"""),2314.44)</f>
        <v>2314.44</v>
      </c>
      <c r="BB1154" s="71">
        <f>IFERROR(__xludf.DUMMYFUNCTION("""COMPUTED_VALUE"""),2314.44)</f>
        <v>2314.44</v>
      </c>
      <c r="BC1154" s="71">
        <f>IFERROR(__xludf.DUMMYFUNCTION("""COMPUTED_VALUE"""),2577.0)</f>
        <v>2577</v>
      </c>
      <c r="BD1154" s="71">
        <f>IFERROR(__xludf.DUMMYFUNCTION("""COMPUTED_VALUE"""),2706.0)</f>
        <v>2706</v>
      </c>
      <c r="BE1154" s="71">
        <f>IFERROR(__xludf.DUMMYFUNCTION("""COMPUTED_VALUE"""),432.96000000000004)</f>
        <v>432.96</v>
      </c>
      <c r="BF1154" s="71">
        <f>IFERROR(__xludf.DUMMYFUNCTION("""COMPUTED_VALUE"""),3138.96)</f>
        <v>3138.96</v>
      </c>
      <c r="BG1154" s="71">
        <f>IFERROR(__xludf.DUMMYFUNCTION("""COMPUTED_VALUE"""),0.050058207217694994)</f>
        <v>0.05005820722</v>
      </c>
      <c r="BH1154" s="71">
        <f>IFERROR(__xludf.DUMMYFUNCTION("""COMPUTED_VALUE"""),2570.7)</f>
        <v>2570.7</v>
      </c>
      <c r="BI1154" s="71">
        <f>IFERROR(__xludf.DUMMYFUNCTION("""COMPUTED_VALUE"""),411.31199999999995)</f>
        <v>411.312</v>
      </c>
      <c r="BJ1154" s="71">
        <f>IFERROR(__xludf.DUMMYFUNCTION("""COMPUTED_VALUE"""),2982.0119999999997)</f>
        <v>2982.012</v>
      </c>
      <c r="BK1154" s="71">
        <f>IFERROR(__xludf.DUMMYFUNCTION("""COMPUTED_VALUE"""),2435.4)</f>
        <v>2435.4</v>
      </c>
      <c r="BL1154" s="71">
        <f>IFERROR(__xludf.DUMMYFUNCTION("""COMPUTED_VALUE"""),389.66400000000004)</f>
        <v>389.664</v>
      </c>
      <c r="BM1154" s="71">
        <f>IFERROR(__xludf.DUMMYFUNCTION("""COMPUTED_VALUE"""),2825.0640000000003)</f>
        <v>2825.064</v>
      </c>
      <c r="BN1154" s="71">
        <f>IFERROR(__xludf.DUMMYFUNCTION("""COMPUTED_VALUE"""),2300.1)</f>
        <v>2300.1</v>
      </c>
      <c r="BO1154" s="71">
        <f>IFERROR(__xludf.DUMMYFUNCTION("""COMPUTED_VALUE"""),368.016)</f>
        <v>368.016</v>
      </c>
      <c r="BP1154" s="71">
        <f>IFERROR(__xludf.DUMMYFUNCTION("""COMPUTED_VALUE"""),2668.116)</f>
        <v>2668.116</v>
      </c>
      <c r="BQ1154" s="71">
        <f>IFERROR(__xludf.DUMMYFUNCTION("""COMPUTED_VALUE"""),2245.98)</f>
        <v>2245.98</v>
      </c>
      <c r="BR1154" s="71">
        <f>IFERROR(__xludf.DUMMYFUNCTION("""COMPUTED_VALUE"""),359.3568)</f>
        <v>359.3568</v>
      </c>
      <c r="BS1154" s="71">
        <f>IFERROR(__xludf.DUMMYFUNCTION("""COMPUTED_VALUE"""),2605.3368)</f>
        <v>2605.3368</v>
      </c>
      <c r="BT1154" s="71">
        <f>IFERROR(__xludf.DUMMYFUNCTION("""COMPUTED_VALUE"""),2164.8)</f>
        <v>2164.8</v>
      </c>
      <c r="BU1154" s="71">
        <f>IFERROR(__xludf.DUMMYFUNCTION("""COMPUTED_VALUE"""),346.36800000000005)</f>
        <v>346.368</v>
      </c>
      <c r="BV1154" s="71">
        <f>IFERROR(__xludf.DUMMYFUNCTION("""COMPUTED_VALUE"""),2511.168)</f>
        <v>2511.168</v>
      </c>
    </row>
    <row r="1155">
      <c r="A1155" s="53">
        <v>1.0</v>
      </c>
      <c r="B1155" s="72"/>
      <c r="C1155" s="120" t="s">
        <v>53</v>
      </c>
      <c r="D1155" s="74" t="s">
        <v>2812</v>
      </c>
      <c r="E1155" s="54" t="s">
        <v>38</v>
      </c>
      <c r="F1155" s="54" t="s">
        <v>42</v>
      </c>
      <c r="G1155" s="88" t="s">
        <v>2813</v>
      </c>
      <c r="H1155" s="54" t="s">
        <v>2813</v>
      </c>
      <c r="I1155" s="54">
        <f t="shared" si="24"/>
        <v>29</v>
      </c>
      <c r="J1155" s="56"/>
      <c r="K1155" s="75"/>
      <c r="L1155" s="76"/>
      <c r="M1155" s="59"/>
      <c r="N1155" s="60">
        <v>318.0</v>
      </c>
      <c r="O1155" s="61">
        <v>343.0</v>
      </c>
      <c r="P1155" s="62">
        <v>370.44</v>
      </c>
      <c r="Q1155" s="63">
        <v>370.44</v>
      </c>
      <c r="R1155" s="64">
        <v>413.0</v>
      </c>
      <c r="S1155" s="65">
        <v>347.2</v>
      </c>
      <c r="T1155" s="65">
        <f t="shared" si="39"/>
        <v>55.552</v>
      </c>
      <c r="U1155" s="65">
        <f t="shared" si="40"/>
        <v>402.752</v>
      </c>
      <c r="V1155" s="66">
        <f t="shared" si="42"/>
        <v>-0.1593220339</v>
      </c>
      <c r="W1155" s="67">
        <f t="shared" si="5"/>
        <v>329.84</v>
      </c>
      <c r="X1155" s="67">
        <f t="shared" si="43"/>
        <v>52.7744</v>
      </c>
      <c r="Y1155" s="67">
        <f t="shared" si="44"/>
        <v>382.6144</v>
      </c>
      <c r="Z1155" s="67">
        <f t="shared" si="8"/>
        <v>312.48</v>
      </c>
      <c r="AA1155" s="67">
        <f t="shared" si="45"/>
        <v>49.9968</v>
      </c>
      <c r="AB1155" s="67">
        <f t="shared" si="46"/>
        <v>362.4768</v>
      </c>
      <c r="AC1155" s="67">
        <f t="shared" si="11"/>
        <v>295.12</v>
      </c>
      <c r="AD1155" s="67">
        <f t="shared" si="12"/>
        <v>47.2192</v>
      </c>
      <c r="AE1155" s="67">
        <f t="shared" si="13"/>
        <v>342.3392</v>
      </c>
      <c r="AF1155" s="67">
        <f t="shared" si="33"/>
        <v>288.176</v>
      </c>
      <c r="AG1155" s="67">
        <f t="shared" si="15"/>
        <v>46.10816</v>
      </c>
      <c r="AH1155" s="67">
        <f t="shared" si="16"/>
        <v>334.28416</v>
      </c>
      <c r="AI1155" s="67">
        <f t="shared" si="17"/>
        <v>277.76</v>
      </c>
      <c r="AJ1155" s="68">
        <f t="shared" si="37"/>
        <v>44.4416</v>
      </c>
      <c r="AK1155" s="68">
        <f t="shared" si="38"/>
        <v>322.2016</v>
      </c>
      <c r="AL1155" s="70">
        <f>IFERROR(__xludf.DUMMYFUNCTION("""COMPUTED_VALUE"""),1.0)</f>
        <v>1</v>
      </c>
      <c r="AM1155" s="70"/>
      <c r="AN1155" s="71" t="str">
        <f>IFERROR(__xludf.DUMMYFUNCTION("""COMPUTED_VALUE""")," P")</f>
        <v>P</v>
      </c>
      <c r="AO1155" s="71" t="str">
        <f>IFERROR(__xludf.DUMMYFUNCTION("""COMPUTED_VALUE""")," SF04")</f>
        <v>SF04</v>
      </c>
      <c r="AP1155" s="71" t="str">
        <f>IFERROR(__xludf.DUMMYFUNCTION("""COMPUTED_VALUE""")," PZA")</f>
        <v>PZA</v>
      </c>
      <c r="AQ1155" s="71" t="str">
        <f>IFERROR(__xludf.DUMMYFUNCTION("""COMPUTED_VALUE""")," REF")</f>
        <v>REF</v>
      </c>
      <c r="AR1155" s="71" t="str">
        <f>IFERROR(__xludf.DUMMYFUNCTION("""COMPUTED_VALUE""")," SINFÍN PARA TOLVA ARMADO SENCILLO (HÉLICE-FLECHA EN ACERO INOXIDABLE)")</f>
        <v>SINFÍN PARA TOLVA ARMADO SENCILLO (HÉLICE-FLECHA EN ACERO INOXIDABLE)</v>
      </c>
      <c r="AS1155" s="71" t="str">
        <f>IFERROR(__xludf.DUMMYFUNCTION("""COMPUTED_VALUE""")," SINFIN P/TOLV ARM SENC HEL-FLE INOX")</f>
        <v>SINFIN P/TOLV ARM SENC HEL-FLE INOX</v>
      </c>
      <c r="AT1155" s="71">
        <f>IFERROR(__xludf.DUMMYFUNCTION("""COMPUTED_VALUE"""),35.0)</f>
        <v>35</v>
      </c>
      <c r="AU1155" s="71"/>
      <c r="AV1155" s="71"/>
      <c r="AW1155" s="71"/>
      <c r="AX1155" s="71"/>
      <c r="AY1155" s="71">
        <f>IFERROR(__xludf.DUMMYFUNCTION("""COMPUTED_VALUE"""),2576.0)</f>
        <v>2576</v>
      </c>
      <c r="AZ1155" s="71">
        <f>IFERROR(__xludf.DUMMYFUNCTION("""COMPUTED_VALUE"""),2782.0)</f>
        <v>2782</v>
      </c>
      <c r="BA1155" s="71">
        <f>IFERROR(__xludf.DUMMYFUNCTION("""COMPUTED_VALUE"""),3004.5600000000004)</f>
        <v>3004.56</v>
      </c>
      <c r="BB1155" s="71">
        <f>IFERROR(__xludf.DUMMYFUNCTION("""COMPUTED_VALUE"""),3004.5600000000004)</f>
        <v>3004.56</v>
      </c>
      <c r="BC1155" s="71">
        <f>IFERROR(__xludf.DUMMYFUNCTION("""COMPUTED_VALUE"""),3345.0)</f>
        <v>3345</v>
      </c>
      <c r="BD1155" s="71">
        <f>IFERROR(__xludf.DUMMYFUNCTION("""COMPUTED_VALUE"""),3512.0)</f>
        <v>3512</v>
      </c>
      <c r="BE1155" s="71">
        <f>IFERROR(__xludf.DUMMYFUNCTION("""COMPUTED_VALUE"""),561.92)</f>
        <v>561.92</v>
      </c>
      <c r="BF1155" s="71">
        <f>IFERROR(__xludf.DUMMYFUNCTION("""COMPUTED_VALUE"""),4073.92)</f>
        <v>4073.92</v>
      </c>
      <c r="BG1155" s="71">
        <f>IFERROR(__xludf.DUMMYFUNCTION("""COMPUTED_VALUE"""),0.04992526158445441)</f>
        <v>0.04992526158</v>
      </c>
      <c r="BH1155" s="71">
        <f>IFERROR(__xludf.DUMMYFUNCTION("""COMPUTED_VALUE"""),3336.3999999999996)</f>
        <v>3336.4</v>
      </c>
      <c r="BI1155" s="71">
        <f>IFERROR(__xludf.DUMMYFUNCTION("""COMPUTED_VALUE"""),533.824)</f>
        <v>533.824</v>
      </c>
      <c r="BJ1155" s="71">
        <f>IFERROR(__xludf.DUMMYFUNCTION("""COMPUTED_VALUE"""),3870.2239999999997)</f>
        <v>3870.224</v>
      </c>
      <c r="BK1155" s="71">
        <f>IFERROR(__xludf.DUMMYFUNCTION("""COMPUTED_VALUE"""),3160.8)</f>
        <v>3160.8</v>
      </c>
      <c r="BL1155" s="71">
        <f>IFERROR(__xludf.DUMMYFUNCTION("""COMPUTED_VALUE"""),505.72800000000007)</f>
        <v>505.728</v>
      </c>
      <c r="BM1155" s="71">
        <f>IFERROR(__xludf.DUMMYFUNCTION("""COMPUTED_VALUE"""),3666.5280000000002)</f>
        <v>3666.528</v>
      </c>
      <c r="BN1155" s="71">
        <f>IFERROR(__xludf.DUMMYFUNCTION("""COMPUTED_VALUE"""),2985.2)</f>
        <v>2985.2</v>
      </c>
      <c r="BO1155" s="71">
        <f>IFERROR(__xludf.DUMMYFUNCTION("""COMPUTED_VALUE"""),477.632)</f>
        <v>477.632</v>
      </c>
      <c r="BP1155" s="71">
        <f>IFERROR(__xludf.DUMMYFUNCTION("""COMPUTED_VALUE"""),3462.832)</f>
        <v>3462.832</v>
      </c>
      <c r="BQ1155" s="71">
        <f>IFERROR(__xludf.DUMMYFUNCTION("""COMPUTED_VALUE"""),2914.96)</f>
        <v>2914.96</v>
      </c>
      <c r="BR1155" s="71">
        <f>IFERROR(__xludf.DUMMYFUNCTION("""COMPUTED_VALUE"""),466.3936)</f>
        <v>466.3936</v>
      </c>
      <c r="BS1155" s="71">
        <f>IFERROR(__xludf.DUMMYFUNCTION("""COMPUTED_VALUE"""),3381.3536)</f>
        <v>3381.3536</v>
      </c>
      <c r="BT1155" s="71">
        <f>IFERROR(__xludf.DUMMYFUNCTION("""COMPUTED_VALUE"""),2809.6000000000004)</f>
        <v>2809.6</v>
      </c>
      <c r="BU1155" s="71">
        <f>IFERROR(__xludf.DUMMYFUNCTION("""COMPUTED_VALUE"""),449.53600000000006)</f>
        <v>449.536</v>
      </c>
      <c r="BV1155" s="71">
        <f>IFERROR(__xludf.DUMMYFUNCTION("""COMPUTED_VALUE"""),3259.1360000000004)</f>
        <v>3259.136</v>
      </c>
    </row>
    <row r="1156">
      <c r="A1156" s="53"/>
      <c r="B1156" s="53"/>
      <c r="C1156" s="53" t="s">
        <v>36</v>
      </c>
      <c r="D1156" s="85" t="s">
        <v>2814</v>
      </c>
      <c r="E1156" s="54" t="s">
        <v>38</v>
      </c>
      <c r="F1156" s="55" t="s">
        <v>39</v>
      </c>
      <c r="G1156" s="86" t="s">
        <v>2815</v>
      </c>
      <c r="H1156" s="55"/>
      <c r="I1156" s="54">
        <f t="shared" si="24"/>
        <v>0</v>
      </c>
      <c r="J1156" s="56"/>
      <c r="K1156" s="57"/>
      <c r="L1156" s="76"/>
      <c r="M1156" s="59"/>
      <c r="N1156" s="60"/>
      <c r="O1156" s="61">
        <v>979.2</v>
      </c>
      <c r="P1156" s="62">
        <v>1057.536</v>
      </c>
      <c r="Q1156" s="63">
        <v>1057.536</v>
      </c>
      <c r="R1156" s="64">
        <v>1111.0</v>
      </c>
      <c r="S1156" s="107">
        <v>1167.0</v>
      </c>
      <c r="T1156" s="65">
        <f t="shared" si="39"/>
        <v>186.72</v>
      </c>
      <c r="U1156" s="65">
        <f t="shared" si="40"/>
        <v>1353.72</v>
      </c>
      <c r="V1156" s="66">
        <f t="shared" si="42"/>
        <v>0.0504050405</v>
      </c>
      <c r="W1156" s="67">
        <f t="shared" si="5"/>
        <v>1108.65</v>
      </c>
      <c r="X1156" s="67">
        <f t="shared" si="43"/>
        <v>177.384</v>
      </c>
      <c r="Y1156" s="67">
        <f t="shared" si="44"/>
        <v>1286.034</v>
      </c>
      <c r="Z1156" s="67">
        <f t="shared" si="8"/>
        <v>1050.3</v>
      </c>
      <c r="AA1156" s="67">
        <f t="shared" si="45"/>
        <v>168.048</v>
      </c>
      <c r="AB1156" s="67">
        <f t="shared" si="46"/>
        <v>1218.348</v>
      </c>
      <c r="AC1156" s="67">
        <f t="shared" si="11"/>
        <v>991.95</v>
      </c>
      <c r="AD1156" s="67">
        <f t="shared" si="12"/>
        <v>158.712</v>
      </c>
      <c r="AE1156" s="67">
        <f t="shared" si="13"/>
        <v>1150.662</v>
      </c>
      <c r="AF1156" s="67">
        <f t="shared" si="33"/>
        <v>968.61</v>
      </c>
      <c r="AG1156" s="67">
        <f t="shared" si="15"/>
        <v>154.9776</v>
      </c>
      <c r="AH1156" s="67">
        <f t="shared" si="16"/>
        <v>1123.5876</v>
      </c>
      <c r="AI1156" s="67">
        <f t="shared" si="17"/>
        <v>933.6</v>
      </c>
      <c r="AJ1156" s="68">
        <f t="shared" si="37"/>
        <v>149.376</v>
      </c>
      <c r="AK1156" s="68">
        <f t="shared" si="38"/>
        <v>1082.976</v>
      </c>
      <c r="AL1156" s="70">
        <f>IFERROR(__xludf.DUMMYFUNCTION("""COMPUTED_VALUE"""),1.0)</f>
        <v>1</v>
      </c>
      <c r="AM1156" s="70"/>
      <c r="AN1156" s="71" t="str">
        <f>IFERROR(__xludf.DUMMYFUNCTION("""COMPUTED_VALUE""")," P")</f>
        <v>P</v>
      </c>
      <c r="AO1156" s="71" t="str">
        <f>IFERROR(__xludf.DUMMYFUNCTION("""COMPUTED_VALUE""")," SR01")</f>
        <v>SR01</v>
      </c>
      <c r="AP1156" s="71" t="str">
        <f>IFERROR(__xludf.DUMMYFUNCTION("""COMPUTED_VALUE""")," PZA")</f>
        <v>PZA</v>
      </c>
      <c r="AQ1156" s="71" t="str">
        <f>IFERROR(__xludf.DUMMYFUNCTION("""COMPUTED_VALUE""")," REF")</f>
        <v>REF</v>
      </c>
      <c r="AR1156" s="71" t="str">
        <f>IFERROR(__xludf.DUMMYFUNCTION("""COMPUTED_VALUE""")," SOLERA DE ELEVACIÓN DÚPLEX")</f>
        <v>SOLERA DE ELEVACIÓN DÚPLEX</v>
      </c>
      <c r="AS1156" s="71" t="str">
        <f>IFERROR(__xludf.DUMMYFUNCTION("""COMPUTED_VALUE""")," SOLERA DE ELEVACION DPLX")</f>
        <v>SOLERA DE ELEVACION DPLX</v>
      </c>
      <c r="AT1156" s="71">
        <f>IFERROR(__xludf.DUMMYFUNCTION("""COMPUTED_VALUE"""),24.0)</f>
        <v>24</v>
      </c>
      <c r="AU1156" s="71"/>
      <c r="AV1156" s="71"/>
      <c r="AW1156" s="71"/>
      <c r="AX1156" s="71"/>
      <c r="AY1156" s="71">
        <f>IFERROR(__xludf.DUMMYFUNCTION("""COMPUTED_VALUE"""),112.0)</f>
        <v>112</v>
      </c>
      <c r="AZ1156" s="71">
        <f>IFERROR(__xludf.DUMMYFUNCTION("""COMPUTED_VALUE"""),120.0)</f>
        <v>120</v>
      </c>
      <c r="BA1156" s="71">
        <f>IFERROR(__xludf.DUMMYFUNCTION("""COMPUTED_VALUE"""),129.60000000000002)</f>
        <v>129.6</v>
      </c>
      <c r="BB1156" s="71">
        <f>IFERROR(__xludf.DUMMYFUNCTION("""COMPUTED_VALUE"""),129.60000000000002)</f>
        <v>129.6</v>
      </c>
      <c r="BC1156" s="71">
        <f>IFERROR(__xludf.DUMMYFUNCTION("""COMPUTED_VALUE"""),144.0)</f>
        <v>144</v>
      </c>
      <c r="BD1156" s="71">
        <f>IFERROR(__xludf.DUMMYFUNCTION("""COMPUTED_VALUE"""),151.0)</f>
        <v>151</v>
      </c>
      <c r="BE1156" s="71">
        <f>IFERROR(__xludf.DUMMYFUNCTION("""COMPUTED_VALUE"""),24.16)</f>
        <v>24.16</v>
      </c>
      <c r="BF1156" s="71">
        <f>IFERROR(__xludf.DUMMYFUNCTION("""COMPUTED_VALUE"""),175.16)</f>
        <v>175.16</v>
      </c>
      <c r="BG1156" s="71">
        <f>IFERROR(__xludf.DUMMYFUNCTION("""COMPUTED_VALUE"""),0.04861111111111111)</f>
        <v>0.04861111111</v>
      </c>
      <c r="BH1156" s="71">
        <f>IFERROR(__xludf.DUMMYFUNCTION("""COMPUTED_VALUE"""),143.45)</f>
        <v>143.45</v>
      </c>
      <c r="BI1156" s="71">
        <f>IFERROR(__xludf.DUMMYFUNCTION("""COMPUTED_VALUE"""),22.951999999999998)</f>
        <v>22.952</v>
      </c>
      <c r="BJ1156" s="71">
        <f>IFERROR(__xludf.DUMMYFUNCTION("""COMPUTED_VALUE"""),166.402)</f>
        <v>166.402</v>
      </c>
      <c r="BK1156" s="71">
        <f>IFERROR(__xludf.DUMMYFUNCTION("""COMPUTED_VALUE"""),135.9)</f>
        <v>135.9</v>
      </c>
      <c r="BL1156" s="71">
        <f>IFERROR(__xludf.DUMMYFUNCTION("""COMPUTED_VALUE"""),21.744)</f>
        <v>21.744</v>
      </c>
      <c r="BM1156" s="71">
        <f>IFERROR(__xludf.DUMMYFUNCTION("""COMPUTED_VALUE"""),157.644)</f>
        <v>157.644</v>
      </c>
      <c r="BN1156" s="71">
        <f>IFERROR(__xludf.DUMMYFUNCTION("""COMPUTED_VALUE"""),128.35)</f>
        <v>128.35</v>
      </c>
      <c r="BO1156" s="71">
        <f>IFERROR(__xludf.DUMMYFUNCTION("""COMPUTED_VALUE"""),20.535999999999998)</f>
        <v>20.536</v>
      </c>
      <c r="BP1156" s="71">
        <f>IFERROR(__xludf.DUMMYFUNCTION("""COMPUTED_VALUE"""),148.886)</f>
        <v>148.886</v>
      </c>
      <c r="BQ1156" s="71">
        <f>IFERROR(__xludf.DUMMYFUNCTION("""COMPUTED_VALUE"""),125.33)</f>
        <v>125.33</v>
      </c>
      <c r="BR1156" s="71">
        <f>IFERROR(__xludf.DUMMYFUNCTION("""COMPUTED_VALUE"""),20.0528)</f>
        <v>20.0528</v>
      </c>
      <c r="BS1156" s="71">
        <f>IFERROR(__xludf.DUMMYFUNCTION("""COMPUTED_VALUE"""),145.3828)</f>
        <v>145.3828</v>
      </c>
      <c r="BT1156" s="71">
        <f>IFERROR(__xludf.DUMMYFUNCTION("""COMPUTED_VALUE"""),120.80000000000001)</f>
        <v>120.8</v>
      </c>
      <c r="BU1156" s="71">
        <f>IFERROR(__xludf.DUMMYFUNCTION("""COMPUTED_VALUE"""),19.328000000000003)</f>
        <v>19.328</v>
      </c>
      <c r="BV1156" s="71">
        <f>IFERROR(__xludf.DUMMYFUNCTION("""COMPUTED_VALUE"""),140.12800000000001)</f>
        <v>140.128</v>
      </c>
    </row>
    <row r="1157">
      <c r="A1157" s="53">
        <v>1.0</v>
      </c>
      <c r="B1157" s="72"/>
      <c r="C1157" s="120" t="s">
        <v>53</v>
      </c>
      <c r="D1157" s="74" t="s">
        <v>2816</v>
      </c>
      <c r="E1157" s="54" t="s">
        <v>38</v>
      </c>
      <c r="F1157" s="54" t="s">
        <v>42</v>
      </c>
      <c r="G1157" s="88" t="s">
        <v>2817</v>
      </c>
      <c r="H1157" s="54" t="s">
        <v>2818</v>
      </c>
      <c r="I1157" s="54">
        <f t="shared" si="24"/>
        <v>28</v>
      </c>
      <c r="J1157" s="56"/>
      <c r="K1157" s="75"/>
      <c r="L1157" s="76"/>
      <c r="M1157" s="59"/>
      <c r="N1157" s="60">
        <v>133.0</v>
      </c>
      <c r="O1157" s="61">
        <v>143.0</v>
      </c>
      <c r="P1157" s="62">
        <v>154.44</v>
      </c>
      <c r="Q1157" s="63">
        <v>154.44</v>
      </c>
      <c r="R1157" s="64">
        <v>173.0</v>
      </c>
      <c r="S1157" s="111">
        <v>182.0</v>
      </c>
      <c r="T1157" s="65">
        <f t="shared" si="39"/>
        <v>29.12</v>
      </c>
      <c r="U1157" s="65">
        <f t="shared" si="40"/>
        <v>211.12</v>
      </c>
      <c r="V1157" s="66">
        <f t="shared" si="42"/>
        <v>0.05202312139</v>
      </c>
      <c r="W1157" s="67">
        <f t="shared" si="5"/>
        <v>172.9</v>
      </c>
      <c r="X1157" s="67">
        <f t="shared" si="43"/>
        <v>27.664</v>
      </c>
      <c r="Y1157" s="67">
        <f t="shared" si="44"/>
        <v>200.564</v>
      </c>
      <c r="Z1157" s="67">
        <f t="shared" si="8"/>
        <v>163.8</v>
      </c>
      <c r="AA1157" s="67">
        <f t="shared" si="45"/>
        <v>26.208</v>
      </c>
      <c r="AB1157" s="67">
        <f t="shared" si="46"/>
        <v>190.008</v>
      </c>
      <c r="AC1157" s="67">
        <f t="shared" si="11"/>
        <v>154.7</v>
      </c>
      <c r="AD1157" s="67">
        <f t="shared" si="12"/>
        <v>24.752</v>
      </c>
      <c r="AE1157" s="67">
        <f t="shared" si="13"/>
        <v>179.452</v>
      </c>
      <c r="AF1157" s="67">
        <f t="shared" si="33"/>
        <v>151.06</v>
      </c>
      <c r="AG1157" s="67">
        <f t="shared" si="15"/>
        <v>24.1696</v>
      </c>
      <c r="AH1157" s="67">
        <f t="shared" si="16"/>
        <v>175.2296</v>
      </c>
      <c r="AI1157" s="67">
        <f t="shared" si="17"/>
        <v>145.6</v>
      </c>
      <c r="AJ1157" s="68">
        <f t="shared" si="37"/>
        <v>23.296</v>
      </c>
      <c r="AK1157" s="68">
        <f t="shared" si="38"/>
        <v>168.896</v>
      </c>
      <c r="AL1157" s="70">
        <f>IFERROR(__xludf.DUMMYFUNCTION("""COMPUTED_VALUE"""),1.0)</f>
        <v>1</v>
      </c>
      <c r="AM1157" s="70"/>
      <c r="AN1157" s="71" t="str">
        <f>IFERROR(__xludf.DUMMYFUNCTION("""COMPUTED_VALUE""")," P")</f>
        <v>P</v>
      </c>
      <c r="AO1157" s="71" t="str">
        <f>IFERROR(__xludf.DUMMYFUNCTION("""COMPUTED_VALUE""")," SR02")</f>
        <v>SR02</v>
      </c>
      <c r="AP1157" s="71" t="str">
        <f>IFERROR(__xludf.DUMMYFUNCTION("""COMPUTED_VALUE""")," PZA")</f>
        <v>PZA</v>
      </c>
      <c r="AQ1157" s="71" t="str">
        <f>IFERROR(__xludf.DUMMYFUNCTION("""COMPUTED_VALUE""")," REF")</f>
        <v>REF</v>
      </c>
      <c r="AR1157" s="71" t="str">
        <f>IFERROR(__xludf.DUMMYFUNCTION("""COMPUTED_VALUE""")," SOLERA DE ELEVACIÓN SENCILLA")</f>
        <v>SOLERA DE ELEVACIÓN SENCILLA</v>
      </c>
      <c r="AS1157" s="71" t="str">
        <f>IFERROR(__xludf.DUMMYFUNCTION("""COMPUTED_VALUE""")," SOLERA DE ELEVACION SENCILLA")</f>
        <v>SOLERA DE ELEVACION SENCILLA</v>
      </c>
      <c r="AT1157" s="71">
        <f>IFERROR(__xludf.DUMMYFUNCTION("""COMPUTED_VALUE"""),28.0)</f>
        <v>28</v>
      </c>
      <c r="AU1157" s="71"/>
      <c r="AV1157" s="71"/>
      <c r="AW1157" s="71"/>
      <c r="AX1157" s="71"/>
      <c r="AY1157" s="71">
        <f>IFERROR(__xludf.DUMMYFUNCTION("""COMPUTED_VALUE"""),97.0)</f>
        <v>97</v>
      </c>
      <c r="AZ1157" s="71">
        <f>IFERROR(__xludf.DUMMYFUNCTION("""COMPUTED_VALUE"""),104.0)</f>
        <v>104</v>
      </c>
      <c r="BA1157" s="71">
        <f>IFERROR(__xludf.DUMMYFUNCTION("""COMPUTED_VALUE"""),112.32000000000001)</f>
        <v>112.32</v>
      </c>
      <c r="BB1157" s="71">
        <f>IFERROR(__xludf.DUMMYFUNCTION("""COMPUTED_VALUE"""),112.32000000000001)</f>
        <v>112.32</v>
      </c>
      <c r="BC1157" s="71">
        <f>IFERROR(__xludf.DUMMYFUNCTION("""COMPUTED_VALUE"""),119.0)</f>
        <v>119</v>
      </c>
      <c r="BD1157" s="71">
        <f>IFERROR(__xludf.DUMMYFUNCTION("""COMPUTED_VALUE"""),148.0)</f>
        <v>148</v>
      </c>
      <c r="BE1157" s="71">
        <f>IFERROR(__xludf.DUMMYFUNCTION("""COMPUTED_VALUE"""),23.68)</f>
        <v>23.68</v>
      </c>
      <c r="BF1157" s="71">
        <f>IFERROR(__xludf.DUMMYFUNCTION("""COMPUTED_VALUE"""),171.68)</f>
        <v>171.68</v>
      </c>
      <c r="BG1157" s="71">
        <f>IFERROR(__xludf.DUMMYFUNCTION("""COMPUTED_VALUE"""),0.24369747899159663)</f>
        <v>0.243697479</v>
      </c>
      <c r="BH1157" s="71">
        <f>IFERROR(__xludf.DUMMYFUNCTION("""COMPUTED_VALUE"""),140.6)</f>
        <v>140.6</v>
      </c>
      <c r="BI1157" s="71">
        <f>IFERROR(__xludf.DUMMYFUNCTION("""COMPUTED_VALUE"""),22.496)</f>
        <v>22.496</v>
      </c>
      <c r="BJ1157" s="71">
        <f>IFERROR(__xludf.DUMMYFUNCTION("""COMPUTED_VALUE"""),163.096)</f>
        <v>163.096</v>
      </c>
      <c r="BK1157" s="71">
        <f>IFERROR(__xludf.DUMMYFUNCTION("""COMPUTED_VALUE"""),133.20000000000002)</f>
        <v>133.2</v>
      </c>
      <c r="BL1157" s="71">
        <f>IFERROR(__xludf.DUMMYFUNCTION("""COMPUTED_VALUE"""),21.312000000000005)</f>
        <v>21.312</v>
      </c>
      <c r="BM1157" s="71">
        <f>IFERROR(__xludf.DUMMYFUNCTION("""COMPUTED_VALUE"""),154.51200000000003)</f>
        <v>154.512</v>
      </c>
      <c r="BN1157" s="71">
        <f>IFERROR(__xludf.DUMMYFUNCTION("""COMPUTED_VALUE"""),125.8)</f>
        <v>125.8</v>
      </c>
      <c r="BO1157" s="71">
        <f>IFERROR(__xludf.DUMMYFUNCTION("""COMPUTED_VALUE"""),20.128)</f>
        <v>20.128</v>
      </c>
      <c r="BP1157" s="71">
        <f>IFERROR(__xludf.DUMMYFUNCTION("""COMPUTED_VALUE"""),145.928)</f>
        <v>145.928</v>
      </c>
      <c r="BQ1157" s="71">
        <f>IFERROR(__xludf.DUMMYFUNCTION("""COMPUTED_VALUE"""),122.83999999999999)</f>
        <v>122.84</v>
      </c>
      <c r="BR1157" s="71">
        <f>IFERROR(__xludf.DUMMYFUNCTION("""COMPUTED_VALUE"""),19.6544)</f>
        <v>19.6544</v>
      </c>
      <c r="BS1157" s="71">
        <f>IFERROR(__xludf.DUMMYFUNCTION("""COMPUTED_VALUE"""),142.49439999999998)</f>
        <v>142.4944</v>
      </c>
      <c r="BT1157" s="71">
        <f>IFERROR(__xludf.DUMMYFUNCTION("""COMPUTED_VALUE"""),118.4)</f>
        <v>118.4</v>
      </c>
      <c r="BU1157" s="71">
        <f>IFERROR(__xludf.DUMMYFUNCTION("""COMPUTED_VALUE"""),18.944000000000003)</f>
        <v>18.944</v>
      </c>
      <c r="BV1157" s="71">
        <f>IFERROR(__xludf.DUMMYFUNCTION("""COMPUTED_VALUE"""),137.344)</f>
        <v>137.344</v>
      </c>
    </row>
    <row r="1158">
      <c r="A1158" s="53">
        <v>1.0</v>
      </c>
      <c r="B1158" s="53"/>
      <c r="C1158" s="120" t="s">
        <v>53</v>
      </c>
      <c r="D1158" s="74" t="s">
        <v>2819</v>
      </c>
      <c r="E1158" s="54" t="s">
        <v>38</v>
      </c>
      <c r="F1158" s="54" t="s">
        <v>42</v>
      </c>
      <c r="G1158" s="55" t="s">
        <v>2820</v>
      </c>
      <c r="H1158" s="54" t="s">
        <v>2821</v>
      </c>
      <c r="I1158" s="54">
        <f t="shared" si="24"/>
        <v>31</v>
      </c>
      <c r="J1158" s="56"/>
      <c r="K1158" s="75"/>
      <c r="L1158" s="76"/>
      <c r="M1158" s="59"/>
      <c r="N1158" s="60">
        <v>545.0</v>
      </c>
      <c r="O1158" s="61">
        <v>588.0</v>
      </c>
      <c r="P1158" s="62">
        <v>635.0400000000001</v>
      </c>
      <c r="Q1158" s="63">
        <v>635.0400000000001</v>
      </c>
      <c r="R1158" s="64">
        <v>708.0</v>
      </c>
      <c r="S1158" s="111">
        <v>743.0</v>
      </c>
      <c r="T1158" s="65">
        <f t="shared" si="39"/>
        <v>118.88</v>
      </c>
      <c r="U1158" s="65">
        <f t="shared" si="40"/>
        <v>861.88</v>
      </c>
      <c r="V1158" s="66">
        <f t="shared" si="42"/>
        <v>0.04943502825</v>
      </c>
      <c r="W1158" s="67">
        <f t="shared" si="5"/>
        <v>705.85</v>
      </c>
      <c r="X1158" s="67">
        <f t="shared" si="43"/>
        <v>112.936</v>
      </c>
      <c r="Y1158" s="67">
        <f t="shared" si="44"/>
        <v>818.786</v>
      </c>
      <c r="Z1158" s="67">
        <f t="shared" si="8"/>
        <v>668.7</v>
      </c>
      <c r="AA1158" s="67">
        <f t="shared" si="45"/>
        <v>106.992</v>
      </c>
      <c r="AB1158" s="67">
        <f t="shared" si="46"/>
        <v>775.692</v>
      </c>
      <c r="AC1158" s="67">
        <f t="shared" si="11"/>
        <v>631.55</v>
      </c>
      <c r="AD1158" s="67">
        <f t="shared" si="12"/>
        <v>101.048</v>
      </c>
      <c r="AE1158" s="67">
        <f t="shared" si="13"/>
        <v>732.598</v>
      </c>
      <c r="AF1158" s="67">
        <f t="shared" si="33"/>
        <v>616.69</v>
      </c>
      <c r="AG1158" s="67">
        <f t="shared" si="15"/>
        <v>98.6704</v>
      </c>
      <c r="AH1158" s="67">
        <f t="shared" si="16"/>
        <v>715.3604</v>
      </c>
      <c r="AI1158" s="67">
        <f t="shared" si="17"/>
        <v>594.4</v>
      </c>
      <c r="AJ1158" s="68">
        <f t="shared" si="37"/>
        <v>95.104</v>
      </c>
      <c r="AK1158" s="68">
        <f t="shared" si="38"/>
        <v>689.504</v>
      </c>
      <c r="AL1158" s="70">
        <f>IFERROR(__xludf.DUMMYFUNCTION("""COMPUTED_VALUE"""),1.0)</f>
        <v>1</v>
      </c>
      <c r="AM1158" s="70"/>
      <c r="AN1158" s="71" t="str">
        <f>IFERROR(__xludf.DUMMYFUNCTION("""COMPUTED_VALUE""")," P")</f>
        <v>P</v>
      </c>
      <c r="AO1158" s="71" t="str">
        <f>IFERROR(__xludf.DUMMYFUNCTION("""COMPUTED_VALUE""")," SP01")</f>
        <v>SP01</v>
      </c>
      <c r="AP1158" s="71" t="str">
        <f>IFERROR(__xludf.DUMMYFUNCTION("""COMPUTED_VALUE""")," PZA")</f>
        <v>PZA</v>
      </c>
      <c r="AQ1158" s="71" t="str">
        <f>IFERROR(__xludf.DUMMYFUNCTION("""COMPUTED_VALUE""")," REF")</f>
        <v>REF</v>
      </c>
      <c r="AR1158" s="71" t="str">
        <f>IFERROR(__xludf.DUMMYFUNCTION("""COMPUTED_VALUE""")," SOPORTE CENTRAL DÚPLEX")</f>
        <v>SOPORTE CENTRAL DÚPLEX</v>
      </c>
      <c r="AS1158" s="71" t="str">
        <f>IFERROR(__xludf.DUMMYFUNCTION("""COMPUTED_VALUE""")," SOPORTE CENTRAL DPLX")</f>
        <v>SOPORTE CENTRAL DPLX</v>
      </c>
      <c r="AT1158" s="71">
        <f>IFERROR(__xludf.DUMMYFUNCTION("""COMPUTED_VALUE"""),20.0)</f>
        <v>20</v>
      </c>
      <c r="AU1158" s="71"/>
      <c r="AV1158" s="71"/>
      <c r="AW1158" s="71"/>
      <c r="AX1158" s="71"/>
      <c r="AY1158" s="71">
        <f>IFERROR(__xludf.DUMMYFUNCTION("""COMPUTED_VALUE"""),331.0)</f>
        <v>331</v>
      </c>
      <c r="AZ1158" s="71">
        <f>IFERROR(__xludf.DUMMYFUNCTION("""COMPUTED_VALUE"""),357.0)</f>
        <v>357</v>
      </c>
      <c r="BA1158" s="71">
        <f>IFERROR(__xludf.DUMMYFUNCTION("""COMPUTED_VALUE"""),385.56)</f>
        <v>385.56</v>
      </c>
      <c r="BB1158" s="71">
        <f>IFERROR(__xludf.DUMMYFUNCTION("""COMPUTED_VALUE"""),385.56)</f>
        <v>385.56</v>
      </c>
      <c r="BC1158" s="71">
        <f>IFERROR(__xludf.DUMMYFUNCTION("""COMPUTED_VALUE"""),430.0)</f>
        <v>430</v>
      </c>
      <c r="BD1158" s="71">
        <f>IFERROR(__xludf.DUMMYFUNCTION("""COMPUTED_VALUE"""),452.0)</f>
        <v>452</v>
      </c>
      <c r="BE1158" s="71">
        <f>IFERROR(__xludf.DUMMYFUNCTION("""COMPUTED_VALUE"""),72.32000000000001)</f>
        <v>72.32</v>
      </c>
      <c r="BF1158" s="71">
        <f>IFERROR(__xludf.DUMMYFUNCTION("""COMPUTED_VALUE"""),524.32)</f>
        <v>524.32</v>
      </c>
      <c r="BG1158" s="71">
        <f>IFERROR(__xludf.DUMMYFUNCTION("""COMPUTED_VALUE"""),0.05116279069767442)</f>
        <v>0.0511627907</v>
      </c>
      <c r="BH1158" s="71">
        <f>IFERROR(__xludf.DUMMYFUNCTION("""COMPUTED_VALUE"""),429.4)</f>
        <v>429.4</v>
      </c>
      <c r="BI1158" s="71">
        <f>IFERROR(__xludf.DUMMYFUNCTION("""COMPUTED_VALUE"""),68.704)</f>
        <v>68.704</v>
      </c>
      <c r="BJ1158" s="71">
        <f>IFERROR(__xludf.DUMMYFUNCTION("""COMPUTED_VALUE"""),498.104)</f>
        <v>498.104</v>
      </c>
      <c r="BK1158" s="71">
        <f>IFERROR(__xludf.DUMMYFUNCTION("""COMPUTED_VALUE"""),406.8)</f>
        <v>406.8</v>
      </c>
      <c r="BL1158" s="71">
        <f>IFERROR(__xludf.DUMMYFUNCTION("""COMPUTED_VALUE"""),65.08800000000001)</f>
        <v>65.088</v>
      </c>
      <c r="BM1158" s="71">
        <f>IFERROR(__xludf.DUMMYFUNCTION("""COMPUTED_VALUE"""),471.88800000000003)</f>
        <v>471.888</v>
      </c>
      <c r="BN1158" s="71">
        <f>IFERROR(__xludf.DUMMYFUNCTION("""COMPUTED_VALUE"""),384.2)</f>
        <v>384.2</v>
      </c>
      <c r="BO1158" s="71">
        <f>IFERROR(__xludf.DUMMYFUNCTION("""COMPUTED_VALUE"""),61.472)</f>
        <v>61.472</v>
      </c>
      <c r="BP1158" s="71">
        <f>IFERROR(__xludf.DUMMYFUNCTION("""COMPUTED_VALUE"""),445.67199999999997)</f>
        <v>445.672</v>
      </c>
      <c r="BQ1158" s="71">
        <f>IFERROR(__xludf.DUMMYFUNCTION("""COMPUTED_VALUE"""),375.15999999999997)</f>
        <v>375.16</v>
      </c>
      <c r="BR1158" s="71">
        <f>IFERROR(__xludf.DUMMYFUNCTION("""COMPUTED_VALUE"""),60.0256)</f>
        <v>60.0256</v>
      </c>
      <c r="BS1158" s="71">
        <f>IFERROR(__xludf.DUMMYFUNCTION("""COMPUTED_VALUE"""),435.18559999999997)</f>
        <v>435.1856</v>
      </c>
      <c r="BT1158" s="71">
        <f>IFERROR(__xludf.DUMMYFUNCTION("""COMPUTED_VALUE"""),361.6)</f>
        <v>361.6</v>
      </c>
      <c r="BU1158" s="71">
        <f>IFERROR(__xludf.DUMMYFUNCTION("""COMPUTED_VALUE"""),57.856)</f>
        <v>57.856</v>
      </c>
      <c r="BV1158" s="71">
        <f>IFERROR(__xludf.DUMMYFUNCTION("""COMPUTED_VALUE"""),419.456)</f>
        <v>419.456</v>
      </c>
    </row>
    <row r="1159">
      <c r="A1159" s="53">
        <v>1.0</v>
      </c>
      <c r="B1159" s="72"/>
      <c r="C1159" s="120" t="s">
        <v>53</v>
      </c>
      <c r="D1159" s="74" t="s">
        <v>2822</v>
      </c>
      <c r="E1159" s="54" t="s">
        <v>38</v>
      </c>
      <c r="F1159" s="54" t="s">
        <v>42</v>
      </c>
      <c r="G1159" s="88" t="s">
        <v>2823</v>
      </c>
      <c r="H1159" s="54" t="s">
        <v>2824</v>
      </c>
      <c r="I1159" s="54">
        <f t="shared" si="24"/>
        <v>33</v>
      </c>
      <c r="J1159" s="56"/>
      <c r="K1159" s="75"/>
      <c r="L1159" s="76"/>
      <c r="M1159" s="59"/>
      <c r="N1159" s="60">
        <v>67.0</v>
      </c>
      <c r="O1159" s="61">
        <v>72.0</v>
      </c>
      <c r="P1159" s="62">
        <v>77.76</v>
      </c>
      <c r="Q1159" s="63">
        <v>77.76</v>
      </c>
      <c r="R1159" s="64">
        <v>88.0</v>
      </c>
      <c r="S1159" s="111">
        <v>92.0</v>
      </c>
      <c r="T1159" s="65">
        <f t="shared" si="39"/>
        <v>14.72</v>
      </c>
      <c r="U1159" s="65">
        <f t="shared" si="40"/>
        <v>106.72</v>
      </c>
      <c r="V1159" s="66">
        <f t="shared" si="42"/>
        <v>0.04545454545</v>
      </c>
      <c r="W1159" s="67">
        <f t="shared" si="5"/>
        <v>87.4</v>
      </c>
      <c r="X1159" s="67">
        <f t="shared" si="43"/>
        <v>13.984</v>
      </c>
      <c r="Y1159" s="67">
        <f t="shared" si="44"/>
        <v>101.384</v>
      </c>
      <c r="Z1159" s="67">
        <f t="shared" si="8"/>
        <v>82.8</v>
      </c>
      <c r="AA1159" s="67">
        <f t="shared" si="45"/>
        <v>13.248</v>
      </c>
      <c r="AB1159" s="67">
        <f t="shared" si="46"/>
        <v>96.048</v>
      </c>
      <c r="AC1159" s="67">
        <f t="shared" si="11"/>
        <v>78.2</v>
      </c>
      <c r="AD1159" s="67">
        <f t="shared" si="12"/>
        <v>12.512</v>
      </c>
      <c r="AE1159" s="67">
        <f t="shared" si="13"/>
        <v>90.712</v>
      </c>
      <c r="AF1159" s="67">
        <f t="shared" si="33"/>
        <v>76.36</v>
      </c>
      <c r="AG1159" s="67">
        <f t="shared" si="15"/>
        <v>12.2176</v>
      </c>
      <c r="AH1159" s="67">
        <f t="shared" si="16"/>
        <v>88.5776</v>
      </c>
      <c r="AI1159" s="67">
        <f t="shared" si="17"/>
        <v>73.6</v>
      </c>
      <c r="AJ1159" s="68">
        <f t="shared" si="37"/>
        <v>11.776</v>
      </c>
      <c r="AK1159" s="68">
        <f t="shared" si="38"/>
        <v>85.376</v>
      </c>
      <c r="AL1159" s="70">
        <f>IFERROR(__xludf.DUMMYFUNCTION("""COMPUTED_VALUE"""),1.0)</f>
        <v>1</v>
      </c>
      <c r="AM1159" s="70"/>
      <c r="AN1159" s="71" t="str">
        <f>IFERROR(__xludf.DUMMYFUNCTION("""COMPUTED_VALUE""")," P")</f>
        <v>P</v>
      </c>
      <c r="AO1159" s="71" t="str">
        <f>IFERROR(__xludf.DUMMYFUNCTION("""COMPUTED_VALUE""")," SP99")</f>
        <v>SP99</v>
      </c>
      <c r="AP1159" s="71" t="str">
        <f>IFERROR(__xludf.DUMMYFUNCTION("""COMPUTED_VALUE""")," PZA")</f>
        <v>PZA</v>
      </c>
      <c r="AQ1159" s="71" t="str">
        <f>IFERROR(__xludf.DUMMYFUNCTION("""COMPUTED_VALUE""")," REF")</f>
        <v>REF</v>
      </c>
      <c r="AR1159" s="71" t="str">
        <f>IFERROR(__xludf.DUMMYFUNCTION("""COMPUTED_VALUE""")," SOPORTE CENTRAL DÚPLEX EN ACERO INOX. T-304 GRADO ALIMENTICIO")</f>
        <v>SOPORTE CENTRAL DÚPLEX EN ACERO INOX. T-304 GRADO ALIMENTICIO</v>
      </c>
      <c r="AS1159" s="71" t="str">
        <f>IFERROR(__xludf.DUMMYFUNCTION("""COMPUTED_VALUE""")," SOPORTE CENTRAL DPLX INOX")</f>
        <v>SOPORTE CENTRAL DPLX INOX</v>
      </c>
      <c r="AT1159" s="71">
        <f>IFERROR(__xludf.DUMMYFUNCTION("""COMPUTED_VALUE"""),25.0)</f>
        <v>25</v>
      </c>
      <c r="AU1159" s="71"/>
      <c r="AV1159" s="71"/>
      <c r="AW1159" s="71"/>
      <c r="AX1159" s="71"/>
      <c r="AY1159" s="71">
        <f>IFERROR(__xludf.DUMMYFUNCTION("""COMPUTED_VALUE"""),561.0)</f>
        <v>561</v>
      </c>
      <c r="AZ1159" s="71">
        <f>IFERROR(__xludf.DUMMYFUNCTION("""COMPUTED_VALUE"""),605.0)</f>
        <v>605</v>
      </c>
      <c r="BA1159" s="71">
        <f>IFERROR(__xludf.DUMMYFUNCTION("""COMPUTED_VALUE"""),653.4000000000001)</f>
        <v>653.4</v>
      </c>
      <c r="BB1159" s="71">
        <f>IFERROR(__xludf.DUMMYFUNCTION("""COMPUTED_VALUE"""),653.4000000000001)</f>
        <v>653.4</v>
      </c>
      <c r="BC1159" s="71">
        <f>IFERROR(__xludf.DUMMYFUNCTION("""COMPUTED_VALUE"""),728.0)</f>
        <v>728</v>
      </c>
      <c r="BD1159" s="71">
        <f>IFERROR(__xludf.DUMMYFUNCTION("""COMPUTED_VALUE"""),764.0)</f>
        <v>764</v>
      </c>
      <c r="BE1159" s="71">
        <f>IFERROR(__xludf.DUMMYFUNCTION("""COMPUTED_VALUE"""),122.24000000000001)</f>
        <v>122.24</v>
      </c>
      <c r="BF1159" s="71">
        <f>IFERROR(__xludf.DUMMYFUNCTION("""COMPUTED_VALUE"""),886.24)</f>
        <v>886.24</v>
      </c>
      <c r="BG1159" s="71">
        <f>IFERROR(__xludf.DUMMYFUNCTION("""COMPUTED_VALUE"""),0.04945054945054945)</f>
        <v>0.04945054945</v>
      </c>
      <c r="BH1159" s="71">
        <f>IFERROR(__xludf.DUMMYFUNCTION("""COMPUTED_VALUE"""),725.8)</f>
        <v>725.8</v>
      </c>
      <c r="BI1159" s="71">
        <f>IFERROR(__xludf.DUMMYFUNCTION("""COMPUTED_VALUE"""),116.128)</f>
        <v>116.128</v>
      </c>
      <c r="BJ1159" s="71">
        <f>IFERROR(__xludf.DUMMYFUNCTION("""COMPUTED_VALUE"""),841.928)</f>
        <v>841.928</v>
      </c>
      <c r="BK1159" s="71">
        <f>IFERROR(__xludf.DUMMYFUNCTION("""COMPUTED_VALUE"""),687.6)</f>
        <v>687.6</v>
      </c>
      <c r="BL1159" s="71">
        <f>IFERROR(__xludf.DUMMYFUNCTION("""COMPUTED_VALUE"""),110.016)</f>
        <v>110.016</v>
      </c>
      <c r="BM1159" s="71">
        <f>IFERROR(__xludf.DUMMYFUNCTION("""COMPUTED_VALUE"""),797.616)</f>
        <v>797.616</v>
      </c>
      <c r="BN1159" s="71">
        <f>IFERROR(__xludf.DUMMYFUNCTION("""COMPUTED_VALUE"""),649.4)</f>
        <v>649.4</v>
      </c>
      <c r="BO1159" s="71">
        <f>IFERROR(__xludf.DUMMYFUNCTION("""COMPUTED_VALUE"""),103.904)</f>
        <v>103.904</v>
      </c>
      <c r="BP1159" s="71">
        <f>IFERROR(__xludf.DUMMYFUNCTION("""COMPUTED_VALUE"""),753.304)</f>
        <v>753.304</v>
      </c>
      <c r="BQ1159" s="71">
        <f>IFERROR(__xludf.DUMMYFUNCTION("""COMPUTED_VALUE"""),634.12)</f>
        <v>634.12</v>
      </c>
      <c r="BR1159" s="71">
        <f>IFERROR(__xludf.DUMMYFUNCTION("""COMPUTED_VALUE"""),101.45920000000001)</f>
        <v>101.4592</v>
      </c>
      <c r="BS1159" s="71">
        <f>IFERROR(__xludf.DUMMYFUNCTION("""COMPUTED_VALUE"""),735.5792)</f>
        <v>735.5792</v>
      </c>
      <c r="BT1159" s="71">
        <f>IFERROR(__xludf.DUMMYFUNCTION("""COMPUTED_VALUE"""),611.2)</f>
        <v>611.2</v>
      </c>
      <c r="BU1159" s="71">
        <f>IFERROR(__xludf.DUMMYFUNCTION("""COMPUTED_VALUE"""),97.79200000000002)</f>
        <v>97.792</v>
      </c>
      <c r="BV1159" s="71">
        <f>IFERROR(__xludf.DUMMYFUNCTION("""COMPUTED_VALUE"""),708.9920000000001)</f>
        <v>708.992</v>
      </c>
    </row>
    <row r="1160">
      <c r="A1160" s="53">
        <v>1.0</v>
      </c>
      <c r="B1160" s="53"/>
      <c r="C1160" s="120" t="s">
        <v>53</v>
      </c>
      <c r="D1160" s="74" t="s">
        <v>2825</v>
      </c>
      <c r="E1160" s="54" t="s">
        <v>38</v>
      </c>
      <c r="F1160" s="54" t="s">
        <v>42</v>
      </c>
      <c r="G1160" s="55" t="s">
        <v>2826</v>
      </c>
      <c r="H1160" s="54" t="s">
        <v>2827</v>
      </c>
      <c r="I1160" s="54">
        <f t="shared" si="24"/>
        <v>40</v>
      </c>
      <c r="J1160" s="56"/>
      <c r="K1160" s="75"/>
      <c r="L1160" s="76"/>
      <c r="M1160" s="59"/>
      <c r="N1160" s="60">
        <v>217.0</v>
      </c>
      <c r="O1160" s="61">
        <v>234.0</v>
      </c>
      <c r="P1160" s="62">
        <v>252.72000000000003</v>
      </c>
      <c r="Q1160" s="63">
        <v>252.72000000000003</v>
      </c>
      <c r="R1160" s="64">
        <v>282.0</v>
      </c>
      <c r="S1160" s="111">
        <v>296.0</v>
      </c>
      <c r="T1160" s="65">
        <f t="shared" si="39"/>
        <v>47.36</v>
      </c>
      <c r="U1160" s="65">
        <f t="shared" si="40"/>
        <v>343.36</v>
      </c>
      <c r="V1160" s="66">
        <f t="shared" si="42"/>
        <v>0.04964539007</v>
      </c>
      <c r="W1160" s="67">
        <f t="shared" si="5"/>
        <v>281.2</v>
      </c>
      <c r="X1160" s="67">
        <f t="shared" si="43"/>
        <v>44.992</v>
      </c>
      <c r="Y1160" s="67">
        <f t="shared" si="44"/>
        <v>326.192</v>
      </c>
      <c r="Z1160" s="67">
        <f t="shared" si="8"/>
        <v>266.4</v>
      </c>
      <c r="AA1160" s="67">
        <f t="shared" si="45"/>
        <v>42.624</v>
      </c>
      <c r="AB1160" s="67">
        <f t="shared" si="46"/>
        <v>309.024</v>
      </c>
      <c r="AC1160" s="67">
        <f t="shared" si="11"/>
        <v>251.6</v>
      </c>
      <c r="AD1160" s="67">
        <f t="shared" si="12"/>
        <v>40.256</v>
      </c>
      <c r="AE1160" s="67">
        <f t="shared" si="13"/>
        <v>291.856</v>
      </c>
      <c r="AF1160" s="67">
        <f t="shared" si="33"/>
        <v>245.68</v>
      </c>
      <c r="AG1160" s="67">
        <f t="shared" si="15"/>
        <v>39.3088</v>
      </c>
      <c r="AH1160" s="67">
        <f t="shared" si="16"/>
        <v>284.9888</v>
      </c>
      <c r="AI1160" s="67">
        <f t="shared" si="17"/>
        <v>236.8</v>
      </c>
      <c r="AJ1160" s="68">
        <f t="shared" si="37"/>
        <v>37.888</v>
      </c>
      <c r="AK1160" s="68">
        <f t="shared" si="38"/>
        <v>274.688</v>
      </c>
      <c r="AL1160" s="70">
        <f>IFERROR(__xludf.DUMMYFUNCTION("""COMPUTED_VALUE"""),1.0)</f>
        <v>1</v>
      </c>
      <c r="AM1160" s="70"/>
      <c r="AN1160" s="71" t="str">
        <f>IFERROR(__xludf.DUMMYFUNCTION("""COMPUTED_VALUE""")," P")</f>
        <v>P</v>
      </c>
      <c r="AO1160" s="71" t="str">
        <f>IFERROR(__xludf.DUMMYFUNCTION("""COMPUTED_VALUE""")," SP02")</f>
        <v>SP02</v>
      </c>
      <c r="AP1160" s="71" t="str">
        <f>IFERROR(__xludf.DUMMYFUNCTION("""COMPUTED_VALUE""")," PZA")</f>
        <v>PZA</v>
      </c>
      <c r="AQ1160" s="71" t="str">
        <f>IFERROR(__xludf.DUMMYFUNCTION("""COMPUTED_VALUE""")," REF")</f>
        <v>REF</v>
      </c>
      <c r="AR1160" s="71" t="str">
        <f>IFERROR(__xludf.DUMMYFUNCTION("""COMPUTED_VALUE""")," SOPORTE CENTRAL SENCILLO")</f>
        <v>SOPORTE CENTRAL SENCILLO</v>
      </c>
      <c r="AS1160" s="71" t="str">
        <f>IFERROR(__xludf.DUMMYFUNCTION("""COMPUTED_VALUE""")," SOPORTE CENTRAL SENCILLO")</f>
        <v>SOPORTE CENTRAL SENCILLO</v>
      </c>
      <c r="AT1160" s="71">
        <f>IFERROR(__xludf.DUMMYFUNCTION("""COMPUTED_VALUE"""),24.0)</f>
        <v>24</v>
      </c>
      <c r="AU1160" s="71"/>
      <c r="AV1160" s="71"/>
      <c r="AW1160" s="71"/>
      <c r="AX1160" s="71"/>
      <c r="AY1160" s="71">
        <f>IFERROR(__xludf.DUMMYFUNCTION("""COMPUTED_VALUE"""),277.0)</f>
        <v>277</v>
      </c>
      <c r="AZ1160" s="71">
        <f>IFERROR(__xludf.DUMMYFUNCTION("""COMPUTED_VALUE"""),299.0)</f>
        <v>299</v>
      </c>
      <c r="BA1160" s="71">
        <f>IFERROR(__xludf.DUMMYFUNCTION("""COMPUTED_VALUE"""),322.92)</f>
        <v>322.92</v>
      </c>
      <c r="BB1160" s="71">
        <f>IFERROR(__xludf.DUMMYFUNCTION("""COMPUTED_VALUE"""),322.92)</f>
        <v>322.92</v>
      </c>
      <c r="BC1160" s="71">
        <f>IFERROR(__xludf.DUMMYFUNCTION("""COMPUTED_VALUE"""),361.0)</f>
        <v>361</v>
      </c>
      <c r="BD1160" s="71">
        <f>IFERROR(__xludf.DUMMYFUNCTION("""COMPUTED_VALUE"""),379.0)</f>
        <v>379</v>
      </c>
      <c r="BE1160" s="71">
        <f>IFERROR(__xludf.DUMMYFUNCTION("""COMPUTED_VALUE"""),60.64)</f>
        <v>60.64</v>
      </c>
      <c r="BF1160" s="71">
        <f>IFERROR(__xludf.DUMMYFUNCTION("""COMPUTED_VALUE"""),439.64)</f>
        <v>439.64</v>
      </c>
      <c r="BG1160" s="71">
        <f>IFERROR(__xludf.DUMMYFUNCTION("""COMPUTED_VALUE"""),0.04986149584487535)</f>
        <v>0.04986149584</v>
      </c>
      <c r="BH1160" s="71">
        <f>IFERROR(__xludf.DUMMYFUNCTION("""COMPUTED_VALUE"""),360.05)</f>
        <v>360.05</v>
      </c>
      <c r="BI1160" s="71">
        <f>IFERROR(__xludf.DUMMYFUNCTION("""COMPUTED_VALUE"""),57.608000000000004)</f>
        <v>57.608</v>
      </c>
      <c r="BJ1160" s="71">
        <f>IFERROR(__xludf.DUMMYFUNCTION("""COMPUTED_VALUE"""),417.658)</f>
        <v>417.658</v>
      </c>
      <c r="BK1160" s="71">
        <f>IFERROR(__xludf.DUMMYFUNCTION("""COMPUTED_VALUE"""),341.1)</f>
        <v>341.1</v>
      </c>
      <c r="BL1160" s="71">
        <f>IFERROR(__xludf.DUMMYFUNCTION("""COMPUTED_VALUE"""),54.57600000000001)</f>
        <v>54.576</v>
      </c>
      <c r="BM1160" s="71">
        <f>IFERROR(__xludf.DUMMYFUNCTION("""COMPUTED_VALUE"""),395.67600000000004)</f>
        <v>395.676</v>
      </c>
      <c r="BN1160" s="71">
        <f>IFERROR(__xludf.DUMMYFUNCTION("""COMPUTED_VALUE"""),322.15)</f>
        <v>322.15</v>
      </c>
      <c r="BO1160" s="71">
        <f>IFERROR(__xludf.DUMMYFUNCTION("""COMPUTED_VALUE"""),51.544)</f>
        <v>51.544</v>
      </c>
      <c r="BP1160" s="71">
        <f>IFERROR(__xludf.DUMMYFUNCTION("""COMPUTED_VALUE"""),373.69399999999996)</f>
        <v>373.694</v>
      </c>
      <c r="BQ1160" s="71">
        <f>IFERROR(__xludf.DUMMYFUNCTION("""COMPUTED_VALUE"""),314.57)</f>
        <v>314.57</v>
      </c>
      <c r="BR1160" s="71">
        <f>IFERROR(__xludf.DUMMYFUNCTION("""COMPUTED_VALUE"""),50.3312)</f>
        <v>50.3312</v>
      </c>
      <c r="BS1160" s="71">
        <f>IFERROR(__xludf.DUMMYFUNCTION("""COMPUTED_VALUE"""),364.9012)</f>
        <v>364.9012</v>
      </c>
      <c r="BT1160" s="71">
        <f>IFERROR(__xludf.DUMMYFUNCTION("""COMPUTED_VALUE"""),303.2)</f>
        <v>303.2</v>
      </c>
      <c r="BU1160" s="71">
        <f>IFERROR(__xludf.DUMMYFUNCTION("""COMPUTED_VALUE"""),48.512)</f>
        <v>48.512</v>
      </c>
      <c r="BV1160" s="71">
        <f>IFERROR(__xludf.DUMMYFUNCTION("""COMPUTED_VALUE"""),351.712)</f>
        <v>351.712</v>
      </c>
    </row>
    <row r="1161">
      <c r="A1161" s="53">
        <v>1.0</v>
      </c>
      <c r="B1161" s="72"/>
      <c r="C1161" s="120" t="s">
        <v>53</v>
      </c>
      <c r="D1161" s="74" t="s">
        <v>2828</v>
      </c>
      <c r="E1161" s="54" t="s">
        <v>38</v>
      </c>
      <c r="F1161" s="54" t="s">
        <v>42</v>
      </c>
      <c r="G1161" s="88" t="s">
        <v>2829</v>
      </c>
      <c r="H1161" s="54" t="s">
        <v>2830</v>
      </c>
      <c r="I1161" s="54">
        <f t="shared" si="24"/>
        <v>32</v>
      </c>
      <c r="J1161" s="56"/>
      <c r="K1161" s="75"/>
      <c r="L1161" s="76"/>
      <c r="M1161" s="59"/>
      <c r="N1161" s="60">
        <v>91.0</v>
      </c>
      <c r="O1161" s="61">
        <v>98.0</v>
      </c>
      <c r="P1161" s="62">
        <v>105.84</v>
      </c>
      <c r="Q1161" s="63">
        <v>105.84</v>
      </c>
      <c r="R1161" s="64">
        <v>119.0</v>
      </c>
      <c r="S1161" s="111">
        <v>125.0</v>
      </c>
      <c r="T1161" s="65">
        <f t="shared" si="39"/>
        <v>20</v>
      </c>
      <c r="U1161" s="65">
        <f t="shared" si="40"/>
        <v>145</v>
      </c>
      <c r="V1161" s="66">
        <f t="shared" si="42"/>
        <v>0.05042016807</v>
      </c>
      <c r="W1161" s="67">
        <f t="shared" si="5"/>
        <v>118.75</v>
      </c>
      <c r="X1161" s="67">
        <f t="shared" si="43"/>
        <v>19</v>
      </c>
      <c r="Y1161" s="67">
        <f t="shared" si="44"/>
        <v>137.75</v>
      </c>
      <c r="Z1161" s="67">
        <f t="shared" si="8"/>
        <v>112.5</v>
      </c>
      <c r="AA1161" s="67">
        <f t="shared" si="45"/>
        <v>18</v>
      </c>
      <c r="AB1161" s="67">
        <f t="shared" si="46"/>
        <v>130.5</v>
      </c>
      <c r="AC1161" s="67">
        <f t="shared" si="11"/>
        <v>106.25</v>
      </c>
      <c r="AD1161" s="67">
        <f t="shared" si="12"/>
        <v>17</v>
      </c>
      <c r="AE1161" s="67">
        <f t="shared" si="13"/>
        <v>123.25</v>
      </c>
      <c r="AF1161" s="67">
        <f t="shared" si="33"/>
        <v>103.75</v>
      </c>
      <c r="AG1161" s="67">
        <f t="shared" si="15"/>
        <v>16.6</v>
      </c>
      <c r="AH1161" s="67">
        <f t="shared" si="16"/>
        <v>120.35</v>
      </c>
      <c r="AI1161" s="67">
        <f t="shared" si="17"/>
        <v>100</v>
      </c>
      <c r="AJ1161" s="68">
        <f t="shared" si="37"/>
        <v>16</v>
      </c>
      <c r="AK1161" s="68">
        <f t="shared" si="38"/>
        <v>116</v>
      </c>
      <c r="AL1161" s="70">
        <f>IFERROR(__xludf.DUMMYFUNCTION("""COMPUTED_VALUE"""),1.0)</f>
        <v>1</v>
      </c>
      <c r="AM1161" s="70"/>
      <c r="AN1161" s="71" t="str">
        <f>IFERROR(__xludf.DUMMYFUNCTION("""COMPUTED_VALUE""")," P")</f>
        <v>P</v>
      </c>
      <c r="AO1161" s="71" t="str">
        <f>IFERROR(__xludf.DUMMYFUNCTION("""COMPUTED_VALUE""")," SP98")</f>
        <v>SP98</v>
      </c>
      <c r="AP1161" s="71" t="str">
        <f>IFERROR(__xludf.DUMMYFUNCTION("""COMPUTED_VALUE""")," PZA")</f>
        <v>PZA</v>
      </c>
      <c r="AQ1161" s="71" t="str">
        <f>IFERROR(__xludf.DUMMYFUNCTION("""COMPUTED_VALUE""")," REF")</f>
        <v>REF</v>
      </c>
      <c r="AR1161" s="71" t="str">
        <f>IFERROR(__xludf.DUMMYFUNCTION("""COMPUTED_VALUE""")," SOPORTE CENTRAL SENCILLO EN ACERO INOX. T-304 GRADO ALIMENTICIO")</f>
        <v>SOPORTE CENTRAL SENCILLO EN ACERO INOX. T-304 GRADO ALIMENTICIO</v>
      </c>
      <c r="AS1161" s="71" t="str">
        <f>IFERROR(__xludf.DUMMYFUNCTION("""COMPUTED_VALUE""")," SOPORTE CENTRAL SENCILLO INOX")</f>
        <v>SOPORTE CENTRAL SENCILLO INOX</v>
      </c>
      <c r="AT1161" s="71">
        <f>IFERROR(__xludf.DUMMYFUNCTION("""COMPUTED_VALUE"""),29.0)</f>
        <v>29</v>
      </c>
      <c r="AU1161" s="71"/>
      <c r="AV1161" s="71"/>
      <c r="AW1161" s="71"/>
      <c r="AX1161" s="71"/>
      <c r="AY1161" s="71">
        <f>IFERROR(__xludf.DUMMYFUNCTION("""COMPUTED_VALUE"""),494.0)</f>
        <v>494</v>
      </c>
      <c r="AZ1161" s="71">
        <f>IFERROR(__xludf.DUMMYFUNCTION("""COMPUTED_VALUE"""),533.0)</f>
        <v>533</v>
      </c>
      <c r="BA1161" s="71">
        <f>IFERROR(__xludf.DUMMYFUNCTION("""COMPUTED_VALUE"""),575.64)</f>
        <v>575.64</v>
      </c>
      <c r="BB1161" s="71">
        <f>IFERROR(__xludf.DUMMYFUNCTION("""COMPUTED_VALUE"""),575.64)</f>
        <v>575.64</v>
      </c>
      <c r="BC1161" s="71">
        <f>IFERROR(__xludf.DUMMYFUNCTION("""COMPUTED_VALUE"""),642.0)</f>
        <v>642</v>
      </c>
      <c r="BD1161" s="71">
        <f>IFERROR(__xludf.DUMMYFUNCTION("""COMPUTED_VALUE"""),674.0)</f>
        <v>674</v>
      </c>
      <c r="BE1161" s="71">
        <f>IFERROR(__xludf.DUMMYFUNCTION("""COMPUTED_VALUE"""),107.84)</f>
        <v>107.84</v>
      </c>
      <c r="BF1161" s="71">
        <f>IFERROR(__xludf.DUMMYFUNCTION("""COMPUTED_VALUE"""),781.84)</f>
        <v>781.84</v>
      </c>
      <c r="BG1161" s="71">
        <f>IFERROR(__xludf.DUMMYFUNCTION("""COMPUTED_VALUE"""),0.04984423676012461)</f>
        <v>0.04984423676</v>
      </c>
      <c r="BH1161" s="71">
        <f>IFERROR(__xludf.DUMMYFUNCTION("""COMPUTED_VALUE"""),640.3)</f>
        <v>640.3</v>
      </c>
      <c r="BI1161" s="71">
        <f>IFERROR(__xludf.DUMMYFUNCTION("""COMPUTED_VALUE"""),102.448)</f>
        <v>102.448</v>
      </c>
      <c r="BJ1161" s="71">
        <f>IFERROR(__xludf.DUMMYFUNCTION("""COMPUTED_VALUE"""),742.7479999999999)</f>
        <v>742.748</v>
      </c>
      <c r="BK1161" s="71">
        <f>IFERROR(__xludf.DUMMYFUNCTION("""COMPUTED_VALUE"""),606.6)</f>
        <v>606.6</v>
      </c>
      <c r="BL1161" s="71">
        <f>IFERROR(__xludf.DUMMYFUNCTION("""COMPUTED_VALUE"""),97.05600000000001)</f>
        <v>97.056</v>
      </c>
      <c r="BM1161" s="71">
        <f>IFERROR(__xludf.DUMMYFUNCTION("""COMPUTED_VALUE"""),703.6560000000001)</f>
        <v>703.656</v>
      </c>
      <c r="BN1161" s="71">
        <f>IFERROR(__xludf.DUMMYFUNCTION("""COMPUTED_VALUE"""),572.9)</f>
        <v>572.9</v>
      </c>
      <c r="BO1161" s="71">
        <f>IFERROR(__xludf.DUMMYFUNCTION("""COMPUTED_VALUE"""),91.664)</f>
        <v>91.664</v>
      </c>
      <c r="BP1161" s="71">
        <f>IFERROR(__xludf.DUMMYFUNCTION("""COMPUTED_VALUE"""),664.564)</f>
        <v>664.564</v>
      </c>
      <c r="BQ1161" s="71">
        <f>IFERROR(__xludf.DUMMYFUNCTION("""COMPUTED_VALUE"""),559.42)</f>
        <v>559.42</v>
      </c>
      <c r="BR1161" s="71">
        <f>IFERROR(__xludf.DUMMYFUNCTION("""COMPUTED_VALUE"""),89.5072)</f>
        <v>89.5072</v>
      </c>
      <c r="BS1161" s="71">
        <f>IFERROR(__xludf.DUMMYFUNCTION("""COMPUTED_VALUE"""),648.9272)</f>
        <v>648.9272</v>
      </c>
      <c r="BT1161" s="71">
        <f>IFERROR(__xludf.DUMMYFUNCTION("""COMPUTED_VALUE"""),539.2)</f>
        <v>539.2</v>
      </c>
      <c r="BU1161" s="71">
        <f>IFERROR(__xludf.DUMMYFUNCTION("""COMPUTED_VALUE"""),86.272)</f>
        <v>86.272</v>
      </c>
      <c r="BV1161" s="71">
        <f>IFERROR(__xludf.DUMMYFUNCTION("""COMPUTED_VALUE"""),625.4720000000001)</f>
        <v>625.472</v>
      </c>
    </row>
    <row r="1162">
      <c r="A1162" s="53">
        <v>1.0</v>
      </c>
      <c r="B1162" s="53"/>
      <c r="C1162" s="120" t="s">
        <v>53</v>
      </c>
      <c r="D1162" s="74" t="s">
        <v>2831</v>
      </c>
      <c r="E1162" s="54" t="s">
        <v>38</v>
      </c>
      <c r="F1162" s="54" t="s">
        <v>42</v>
      </c>
      <c r="G1162" s="54" t="s">
        <v>2832</v>
      </c>
      <c r="H1162" s="54" t="s">
        <v>2833</v>
      </c>
      <c r="I1162" s="54">
        <f t="shared" si="24"/>
        <v>40</v>
      </c>
      <c r="J1162" s="56"/>
      <c r="K1162" s="75"/>
      <c r="L1162" s="76"/>
      <c r="M1162" s="59"/>
      <c r="N1162" s="60">
        <v>356.0</v>
      </c>
      <c r="O1162" s="61">
        <v>384.0</v>
      </c>
      <c r="P1162" s="62">
        <v>414.72</v>
      </c>
      <c r="Q1162" s="63">
        <v>414.72</v>
      </c>
      <c r="R1162" s="64">
        <v>462.0</v>
      </c>
      <c r="S1162" s="111">
        <v>485.0</v>
      </c>
      <c r="T1162" s="65">
        <f t="shared" si="39"/>
        <v>77.6</v>
      </c>
      <c r="U1162" s="65">
        <f t="shared" si="40"/>
        <v>562.6</v>
      </c>
      <c r="V1162" s="66">
        <f t="shared" si="42"/>
        <v>0.04978354978</v>
      </c>
      <c r="W1162" s="67">
        <f t="shared" si="5"/>
        <v>460.75</v>
      </c>
      <c r="X1162" s="67">
        <f t="shared" si="43"/>
        <v>73.72</v>
      </c>
      <c r="Y1162" s="67">
        <f t="shared" si="44"/>
        <v>534.47</v>
      </c>
      <c r="Z1162" s="67">
        <f t="shared" si="8"/>
        <v>436.5</v>
      </c>
      <c r="AA1162" s="67">
        <f t="shared" si="45"/>
        <v>69.84</v>
      </c>
      <c r="AB1162" s="67">
        <f t="shared" si="46"/>
        <v>506.34</v>
      </c>
      <c r="AC1162" s="67">
        <f t="shared" si="11"/>
        <v>412.25</v>
      </c>
      <c r="AD1162" s="67">
        <f t="shared" si="12"/>
        <v>65.96</v>
      </c>
      <c r="AE1162" s="67">
        <f t="shared" si="13"/>
        <v>478.21</v>
      </c>
      <c r="AF1162" s="67">
        <f t="shared" si="33"/>
        <v>402.55</v>
      </c>
      <c r="AG1162" s="67">
        <f t="shared" si="15"/>
        <v>64.408</v>
      </c>
      <c r="AH1162" s="67">
        <f t="shared" si="16"/>
        <v>466.958</v>
      </c>
      <c r="AI1162" s="67">
        <f t="shared" si="17"/>
        <v>388</v>
      </c>
      <c r="AJ1162" s="68">
        <f t="shared" si="37"/>
        <v>62.08</v>
      </c>
      <c r="AK1162" s="68">
        <f t="shared" si="38"/>
        <v>450.08</v>
      </c>
      <c r="AL1162" s="70">
        <f>IFERROR(__xludf.DUMMYFUNCTION("""COMPUTED_VALUE"""),1.0)</f>
        <v>1</v>
      </c>
      <c r="AM1162" s="70"/>
      <c r="AN1162" s="71" t="str">
        <f>IFERROR(__xludf.DUMMYFUNCTION("""COMPUTED_VALUE""")," P")</f>
        <v>P</v>
      </c>
      <c r="AO1162" s="71" t="str">
        <f>IFERROR(__xludf.DUMMYFUNCTION("""COMPUTED_VALUE""")," SP03")</f>
        <v>SP03</v>
      </c>
      <c r="AP1162" s="71" t="str">
        <f>IFERROR(__xludf.DUMMYFUNCTION("""COMPUTED_VALUE""")," PZA")</f>
        <v>PZA</v>
      </c>
      <c r="AQ1162" s="71" t="str">
        <f>IFERROR(__xludf.DUMMYFUNCTION("""COMPUTED_VALUE""")," REF")</f>
        <v>REF</v>
      </c>
      <c r="AR1162" s="71" t="str">
        <f>IFERROR(__xludf.DUMMYFUNCTION("""COMPUTED_VALUE""")," SOPORTE DE BRONCE PARA FLECHA DÚPLEX")</f>
        <v>SOPORTE DE BRONCE PARA FLECHA DÚPLEX</v>
      </c>
      <c r="AS1162" s="71" t="str">
        <f>IFERROR(__xludf.DUMMYFUNCTION("""COMPUTED_VALUE""")," SOPORTE BRONCE P/FLECHA DPLX")</f>
        <v>SOPORTE BRONCE P/FLECHA DPLX</v>
      </c>
      <c r="AT1162" s="71">
        <f>IFERROR(__xludf.DUMMYFUNCTION("""COMPUTED_VALUE"""),28.0)</f>
        <v>28</v>
      </c>
      <c r="AU1162" s="71"/>
      <c r="AV1162" s="71"/>
      <c r="AW1162" s="71"/>
      <c r="AX1162" s="71"/>
      <c r="AY1162" s="71">
        <f>IFERROR(__xludf.DUMMYFUNCTION("""COMPUTED_VALUE"""),294.0)</f>
        <v>294</v>
      </c>
      <c r="AZ1162" s="71">
        <f>IFERROR(__xludf.DUMMYFUNCTION("""COMPUTED_VALUE"""),317.0)</f>
        <v>317</v>
      </c>
      <c r="BA1162" s="71">
        <f>IFERROR(__xludf.DUMMYFUNCTION("""COMPUTED_VALUE"""),342.36)</f>
        <v>342.36</v>
      </c>
      <c r="BB1162" s="71">
        <f>IFERROR(__xludf.DUMMYFUNCTION("""COMPUTED_VALUE"""),342.36)</f>
        <v>342.36</v>
      </c>
      <c r="BC1162" s="71">
        <f>IFERROR(__xludf.DUMMYFUNCTION("""COMPUTED_VALUE"""),382.0)</f>
        <v>382</v>
      </c>
      <c r="BD1162" s="71">
        <f>IFERROR(__xludf.DUMMYFUNCTION("""COMPUTED_VALUE"""),401.0)</f>
        <v>401</v>
      </c>
      <c r="BE1162" s="71">
        <f>IFERROR(__xludf.DUMMYFUNCTION("""COMPUTED_VALUE"""),64.16)</f>
        <v>64.16</v>
      </c>
      <c r="BF1162" s="71">
        <f>IFERROR(__xludf.DUMMYFUNCTION("""COMPUTED_VALUE"""),465.15999999999997)</f>
        <v>465.16</v>
      </c>
      <c r="BG1162" s="71">
        <f>IFERROR(__xludf.DUMMYFUNCTION("""COMPUTED_VALUE"""),0.049738219895287955)</f>
        <v>0.0497382199</v>
      </c>
      <c r="BH1162" s="71">
        <f>IFERROR(__xludf.DUMMYFUNCTION("""COMPUTED_VALUE"""),380.95)</f>
        <v>380.95</v>
      </c>
      <c r="BI1162" s="71">
        <f>IFERROR(__xludf.DUMMYFUNCTION("""COMPUTED_VALUE"""),60.952)</f>
        <v>60.952</v>
      </c>
      <c r="BJ1162" s="71">
        <f>IFERROR(__xludf.DUMMYFUNCTION("""COMPUTED_VALUE"""),441.902)</f>
        <v>441.902</v>
      </c>
      <c r="BK1162" s="71">
        <f>IFERROR(__xludf.DUMMYFUNCTION("""COMPUTED_VALUE"""),360.90000000000003)</f>
        <v>360.9</v>
      </c>
      <c r="BL1162" s="71">
        <f>IFERROR(__xludf.DUMMYFUNCTION("""COMPUTED_VALUE"""),57.74400000000001)</f>
        <v>57.744</v>
      </c>
      <c r="BM1162" s="71">
        <f>IFERROR(__xludf.DUMMYFUNCTION("""COMPUTED_VALUE"""),418.64400000000006)</f>
        <v>418.644</v>
      </c>
      <c r="BN1162" s="71">
        <f>IFERROR(__xludf.DUMMYFUNCTION("""COMPUTED_VALUE"""),340.84999999999997)</f>
        <v>340.85</v>
      </c>
      <c r="BO1162" s="71">
        <f>IFERROR(__xludf.DUMMYFUNCTION("""COMPUTED_VALUE"""),54.535999999999994)</f>
        <v>54.536</v>
      </c>
      <c r="BP1162" s="71">
        <f>IFERROR(__xludf.DUMMYFUNCTION("""COMPUTED_VALUE"""),395.38599999999997)</f>
        <v>395.386</v>
      </c>
      <c r="BQ1162" s="71">
        <f>IFERROR(__xludf.DUMMYFUNCTION("""COMPUTED_VALUE"""),332.83)</f>
        <v>332.83</v>
      </c>
      <c r="BR1162" s="71">
        <f>IFERROR(__xludf.DUMMYFUNCTION("""COMPUTED_VALUE"""),53.2528)</f>
        <v>53.2528</v>
      </c>
      <c r="BS1162" s="71">
        <f>IFERROR(__xludf.DUMMYFUNCTION("""COMPUTED_VALUE"""),386.08279999999996)</f>
        <v>386.0828</v>
      </c>
      <c r="BT1162" s="71">
        <f>IFERROR(__xludf.DUMMYFUNCTION("""COMPUTED_VALUE"""),320.8)</f>
        <v>320.8</v>
      </c>
      <c r="BU1162" s="71">
        <f>IFERROR(__xludf.DUMMYFUNCTION("""COMPUTED_VALUE"""),51.328)</f>
        <v>51.328</v>
      </c>
      <c r="BV1162" s="71">
        <f>IFERROR(__xludf.DUMMYFUNCTION("""COMPUTED_VALUE"""),372.12800000000004)</f>
        <v>372.128</v>
      </c>
    </row>
    <row r="1163">
      <c r="A1163" s="53"/>
      <c r="B1163" s="53"/>
      <c r="C1163" s="73" t="s">
        <v>53</v>
      </c>
      <c r="D1163" s="53" t="s">
        <v>2834</v>
      </c>
      <c r="E1163" s="54" t="s">
        <v>38</v>
      </c>
      <c r="F1163" s="54" t="s">
        <v>42</v>
      </c>
      <c r="G1163" s="55" t="s">
        <v>2835</v>
      </c>
      <c r="H1163" s="54" t="s">
        <v>2836</v>
      </c>
      <c r="I1163" s="54">
        <f t="shared" si="24"/>
        <v>39</v>
      </c>
      <c r="J1163" s="56"/>
      <c r="K1163" s="75"/>
      <c r="L1163" s="76"/>
      <c r="M1163" s="59"/>
      <c r="N1163" s="79">
        <v>300.0</v>
      </c>
      <c r="O1163" s="61">
        <v>324.0</v>
      </c>
      <c r="P1163" s="62">
        <v>349.92</v>
      </c>
      <c r="Q1163" s="63">
        <v>349.92</v>
      </c>
      <c r="R1163" s="64">
        <v>368.0</v>
      </c>
      <c r="S1163" s="111">
        <v>386.0</v>
      </c>
      <c r="T1163" s="65">
        <f t="shared" si="39"/>
        <v>61.76</v>
      </c>
      <c r="U1163" s="65">
        <f t="shared" si="40"/>
        <v>447.76</v>
      </c>
      <c r="V1163" s="66">
        <f t="shared" si="42"/>
        <v>0.04891304348</v>
      </c>
      <c r="W1163" s="67">
        <f t="shared" si="5"/>
        <v>366.7</v>
      </c>
      <c r="X1163" s="67">
        <f t="shared" si="43"/>
        <v>58.672</v>
      </c>
      <c r="Y1163" s="67">
        <f t="shared" si="44"/>
        <v>425.372</v>
      </c>
      <c r="Z1163" s="67">
        <f t="shared" si="8"/>
        <v>347.4</v>
      </c>
      <c r="AA1163" s="67">
        <f t="shared" si="45"/>
        <v>55.584</v>
      </c>
      <c r="AB1163" s="67">
        <f t="shared" si="46"/>
        <v>402.984</v>
      </c>
      <c r="AC1163" s="67">
        <f t="shared" si="11"/>
        <v>328.1</v>
      </c>
      <c r="AD1163" s="67">
        <f t="shared" si="12"/>
        <v>52.496</v>
      </c>
      <c r="AE1163" s="67">
        <f t="shared" si="13"/>
        <v>380.596</v>
      </c>
      <c r="AF1163" s="67">
        <f t="shared" si="33"/>
        <v>320.38</v>
      </c>
      <c r="AG1163" s="67">
        <f t="shared" si="15"/>
        <v>51.2608</v>
      </c>
      <c r="AH1163" s="67">
        <f t="shared" si="16"/>
        <v>371.6408</v>
      </c>
      <c r="AI1163" s="67">
        <f t="shared" si="17"/>
        <v>308.8</v>
      </c>
      <c r="AJ1163" s="68">
        <f t="shared" si="37"/>
        <v>49.408</v>
      </c>
      <c r="AK1163" s="68">
        <f t="shared" si="38"/>
        <v>358.208</v>
      </c>
      <c r="AL1163" s="70">
        <f>IFERROR(__xludf.DUMMYFUNCTION("""COMPUTED_VALUE"""),1.0)</f>
        <v>1</v>
      </c>
      <c r="AM1163" s="70"/>
      <c r="AN1163" s="71" t="str">
        <f>IFERROR(__xludf.DUMMYFUNCTION("""COMPUTED_VALUE""")," P")</f>
        <v>P</v>
      </c>
      <c r="AO1163" s="71" t="str">
        <f>IFERROR(__xludf.DUMMYFUNCTION("""COMPUTED_VALUE""")," SP04")</f>
        <v>SP04</v>
      </c>
      <c r="AP1163" s="71" t="str">
        <f>IFERROR(__xludf.DUMMYFUNCTION("""COMPUTED_VALUE""")," PZA")</f>
        <v>PZA</v>
      </c>
      <c r="AQ1163" s="71" t="str">
        <f>IFERROR(__xludf.DUMMYFUNCTION("""COMPUTED_VALUE""")," REF")</f>
        <v>REF</v>
      </c>
      <c r="AR1163" s="71" t="str">
        <f>IFERROR(__xludf.DUMMYFUNCTION("""COMPUTED_VALUE""")," SOPORTE DE BRONCE PARA FLECHA SENCILLA")</f>
        <v>SOPORTE DE BRONCE PARA FLECHA SENCILLA</v>
      </c>
      <c r="AS1163" s="71" t="str">
        <f>IFERROR(__xludf.DUMMYFUNCTION("""COMPUTED_VALUE""")," SOPORTE BRONCE P/FLECHA SENCILLA")</f>
        <v>SOPORTE BRONCE P/FLECHA SENCILLA</v>
      </c>
      <c r="AT1163" s="71">
        <f>IFERROR(__xludf.DUMMYFUNCTION("""COMPUTED_VALUE"""),32.0)</f>
        <v>32</v>
      </c>
      <c r="AU1163" s="71"/>
      <c r="AV1163" s="71"/>
      <c r="AW1163" s="71"/>
      <c r="AX1163" s="71"/>
      <c r="AY1163" s="71">
        <f>IFERROR(__xludf.DUMMYFUNCTION("""COMPUTED_VALUE"""),209.0)</f>
        <v>209</v>
      </c>
      <c r="AZ1163" s="71">
        <f>IFERROR(__xludf.DUMMYFUNCTION("""COMPUTED_VALUE"""),225.0)</f>
        <v>225</v>
      </c>
      <c r="BA1163" s="71">
        <f>IFERROR(__xludf.DUMMYFUNCTION("""COMPUTED_VALUE"""),243.00000000000003)</f>
        <v>243</v>
      </c>
      <c r="BB1163" s="71">
        <f>IFERROR(__xludf.DUMMYFUNCTION("""COMPUTED_VALUE"""),243.00000000000003)</f>
        <v>243</v>
      </c>
      <c r="BC1163" s="71">
        <f>IFERROR(__xludf.DUMMYFUNCTION("""COMPUTED_VALUE"""),271.0)</f>
        <v>271</v>
      </c>
      <c r="BD1163" s="71">
        <f>IFERROR(__xludf.DUMMYFUNCTION("""COMPUTED_VALUE"""),285.0)</f>
        <v>285</v>
      </c>
      <c r="BE1163" s="71">
        <f>IFERROR(__xludf.DUMMYFUNCTION("""COMPUTED_VALUE"""),45.6)</f>
        <v>45.6</v>
      </c>
      <c r="BF1163" s="71">
        <f>IFERROR(__xludf.DUMMYFUNCTION("""COMPUTED_VALUE"""),330.6)</f>
        <v>330.6</v>
      </c>
      <c r="BG1163" s="71">
        <f>IFERROR(__xludf.DUMMYFUNCTION("""COMPUTED_VALUE"""),0.05166051660516605)</f>
        <v>0.05166051661</v>
      </c>
      <c r="BH1163" s="71">
        <f>IFERROR(__xludf.DUMMYFUNCTION("""COMPUTED_VALUE"""),270.75)</f>
        <v>270.75</v>
      </c>
      <c r="BI1163" s="71">
        <f>IFERROR(__xludf.DUMMYFUNCTION("""COMPUTED_VALUE"""),43.32)</f>
        <v>43.32</v>
      </c>
      <c r="BJ1163" s="71">
        <f>IFERROR(__xludf.DUMMYFUNCTION("""COMPUTED_VALUE"""),314.07)</f>
        <v>314.07</v>
      </c>
      <c r="BK1163" s="71">
        <f>IFERROR(__xludf.DUMMYFUNCTION("""COMPUTED_VALUE"""),256.5)</f>
        <v>256.5</v>
      </c>
      <c r="BL1163" s="71">
        <f>IFERROR(__xludf.DUMMYFUNCTION("""COMPUTED_VALUE"""),41.04)</f>
        <v>41.04</v>
      </c>
      <c r="BM1163" s="71">
        <f>IFERROR(__xludf.DUMMYFUNCTION("""COMPUTED_VALUE"""),297.54)</f>
        <v>297.54</v>
      </c>
      <c r="BN1163" s="71">
        <f>IFERROR(__xludf.DUMMYFUNCTION("""COMPUTED_VALUE"""),242.25)</f>
        <v>242.25</v>
      </c>
      <c r="BO1163" s="71">
        <f>IFERROR(__xludf.DUMMYFUNCTION("""COMPUTED_VALUE"""),38.76)</f>
        <v>38.76</v>
      </c>
      <c r="BP1163" s="71">
        <f>IFERROR(__xludf.DUMMYFUNCTION("""COMPUTED_VALUE"""),281.01)</f>
        <v>281.01</v>
      </c>
      <c r="BQ1163" s="71">
        <f>IFERROR(__xludf.DUMMYFUNCTION("""COMPUTED_VALUE"""),236.54999999999998)</f>
        <v>236.55</v>
      </c>
      <c r="BR1163" s="71">
        <f>IFERROR(__xludf.DUMMYFUNCTION("""COMPUTED_VALUE"""),37.848)</f>
        <v>37.848</v>
      </c>
      <c r="BS1163" s="71">
        <f>IFERROR(__xludf.DUMMYFUNCTION("""COMPUTED_VALUE"""),274.39799999999997)</f>
        <v>274.398</v>
      </c>
      <c r="BT1163" s="71">
        <f>IFERROR(__xludf.DUMMYFUNCTION("""COMPUTED_VALUE"""),228.0)</f>
        <v>228</v>
      </c>
      <c r="BU1163" s="71">
        <f>IFERROR(__xludf.DUMMYFUNCTION("""COMPUTED_VALUE"""),36.480000000000004)</f>
        <v>36.48</v>
      </c>
      <c r="BV1163" s="71">
        <f>IFERROR(__xludf.DUMMYFUNCTION("""COMPUTED_VALUE"""),264.48)</f>
        <v>264.48</v>
      </c>
    </row>
    <row r="1164">
      <c r="A1164" s="53">
        <v>1.0</v>
      </c>
      <c r="B1164" s="72"/>
      <c r="C1164" s="120" t="s">
        <v>53</v>
      </c>
      <c r="D1164" s="74" t="s">
        <v>2837</v>
      </c>
      <c r="E1164" s="54" t="s">
        <v>38</v>
      </c>
      <c r="F1164" s="54" t="s">
        <v>42</v>
      </c>
      <c r="G1164" s="88" t="s">
        <v>2838</v>
      </c>
      <c r="H1164" s="54" t="s">
        <v>2839</v>
      </c>
      <c r="I1164" s="54">
        <f t="shared" si="24"/>
        <v>39</v>
      </c>
      <c r="J1164" s="56"/>
      <c r="K1164" s="75"/>
      <c r="L1164" s="76"/>
      <c r="M1164" s="59"/>
      <c r="N1164" s="60">
        <v>359.0</v>
      </c>
      <c r="O1164" s="61">
        <v>387.0</v>
      </c>
      <c r="P1164" s="62">
        <v>417.96000000000004</v>
      </c>
      <c r="Q1164" s="63">
        <v>417.96000000000004</v>
      </c>
      <c r="R1164" s="64">
        <v>467.0</v>
      </c>
      <c r="S1164" s="111">
        <v>490.0</v>
      </c>
      <c r="T1164" s="65">
        <f t="shared" si="39"/>
        <v>78.4</v>
      </c>
      <c r="U1164" s="65">
        <f t="shared" si="40"/>
        <v>568.4</v>
      </c>
      <c r="V1164" s="66">
        <f t="shared" si="42"/>
        <v>0.04925053533</v>
      </c>
      <c r="W1164" s="67">
        <f t="shared" si="5"/>
        <v>465.5</v>
      </c>
      <c r="X1164" s="67">
        <f t="shared" si="43"/>
        <v>74.48</v>
      </c>
      <c r="Y1164" s="67">
        <f t="shared" si="44"/>
        <v>539.98</v>
      </c>
      <c r="Z1164" s="67">
        <f t="shared" si="8"/>
        <v>441</v>
      </c>
      <c r="AA1164" s="67">
        <f t="shared" si="45"/>
        <v>70.56</v>
      </c>
      <c r="AB1164" s="67">
        <f t="shared" si="46"/>
        <v>511.56</v>
      </c>
      <c r="AC1164" s="67">
        <f t="shared" si="11"/>
        <v>416.5</v>
      </c>
      <c r="AD1164" s="67">
        <f t="shared" si="12"/>
        <v>66.64</v>
      </c>
      <c r="AE1164" s="67">
        <f t="shared" si="13"/>
        <v>483.14</v>
      </c>
      <c r="AF1164" s="67">
        <f t="shared" si="33"/>
        <v>406.7</v>
      </c>
      <c r="AG1164" s="67">
        <f t="shared" si="15"/>
        <v>65.072</v>
      </c>
      <c r="AH1164" s="67">
        <f t="shared" si="16"/>
        <v>471.772</v>
      </c>
      <c r="AI1164" s="67">
        <f t="shared" si="17"/>
        <v>392</v>
      </c>
      <c r="AJ1164" s="68">
        <f t="shared" si="37"/>
        <v>62.72</v>
      </c>
      <c r="AK1164" s="68">
        <f t="shared" si="38"/>
        <v>454.72</v>
      </c>
      <c r="AL1164" s="70">
        <f>IFERROR(__xludf.DUMMYFUNCTION("""COMPUTED_VALUE"""),1.0)</f>
        <v>1</v>
      </c>
      <c r="AM1164" s="70"/>
      <c r="AN1164" s="71" t="str">
        <f>IFERROR(__xludf.DUMMYFUNCTION("""COMPUTED_VALUE""")," P")</f>
        <v>P</v>
      </c>
      <c r="AO1164" s="71" t="str">
        <f>IFERROR(__xludf.DUMMYFUNCTION("""COMPUTED_VALUE""")," SP05")</f>
        <v>SP05</v>
      </c>
      <c r="AP1164" s="71" t="str">
        <f>IFERROR(__xludf.DUMMYFUNCTION("""COMPUTED_VALUE""")," PZA")</f>
        <v>PZA</v>
      </c>
      <c r="AQ1164" s="71" t="str">
        <f>IFERROR(__xludf.DUMMYFUNCTION("""COMPUTED_VALUE""")," REF")</f>
        <v>REF</v>
      </c>
      <c r="AR1164" s="71" t="str">
        <f>IFERROR(__xludf.DUMMYFUNCTION("""COMPUTED_VALUE""")," SOPORTE PARA CLUTCH DÚPLEX")</f>
        <v>SOPORTE PARA CLUTCH DÚPLEX</v>
      </c>
      <c r="AS1164" s="71" t="str">
        <f>IFERROR(__xludf.DUMMYFUNCTION("""COMPUTED_VALUE""")," SOPORTE P/CLUTCH DPLX")</f>
        <v>SOPORTE P/CLUTCH DPLX</v>
      </c>
      <c r="AT1164" s="71">
        <f>IFERROR(__xludf.DUMMYFUNCTION("""COMPUTED_VALUE"""),21.0)</f>
        <v>21</v>
      </c>
      <c r="AU1164" s="71"/>
      <c r="AV1164" s="71"/>
      <c r="AW1164" s="71"/>
      <c r="AX1164" s="71"/>
      <c r="AY1164" s="71">
        <f>IFERROR(__xludf.DUMMYFUNCTION("""COMPUTED_VALUE"""),368.0)</f>
        <v>368</v>
      </c>
      <c r="AZ1164" s="71">
        <f>IFERROR(__xludf.DUMMYFUNCTION("""COMPUTED_VALUE"""),397.0)</f>
        <v>397</v>
      </c>
      <c r="BA1164" s="71">
        <f>IFERROR(__xludf.DUMMYFUNCTION("""COMPUTED_VALUE"""),428.76000000000005)</f>
        <v>428.76</v>
      </c>
      <c r="BB1164" s="71">
        <f>IFERROR(__xludf.DUMMYFUNCTION("""COMPUTED_VALUE"""),428.76000000000005)</f>
        <v>428.76</v>
      </c>
      <c r="BC1164" s="71">
        <f>IFERROR(__xludf.DUMMYFUNCTION("""COMPUTED_VALUE"""),478.0)</f>
        <v>478</v>
      </c>
      <c r="BD1164" s="71">
        <f>IFERROR(__xludf.DUMMYFUNCTION("""COMPUTED_VALUE"""),502.0)</f>
        <v>502</v>
      </c>
      <c r="BE1164" s="71">
        <f>IFERROR(__xludf.DUMMYFUNCTION("""COMPUTED_VALUE"""),80.32000000000001)</f>
        <v>80.32</v>
      </c>
      <c r="BF1164" s="71">
        <f>IFERROR(__xludf.DUMMYFUNCTION("""COMPUTED_VALUE"""),582.32)</f>
        <v>582.32</v>
      </c>
      <c r="BG1164" s="71">
        <f>IFERROR(__xludf.DUMMYFUNCTION("""COMPUTED_VALUE"""),0.0502092050209205)</f>
        <v>0.05020920502</v>
      </c>
      <c r="BH1164" s="71">
        <f>IFERROR(__xludf.DUMMYFUNCTION("""COMPUTED_VALUE"""),476.9)</f>
        <v>476.9</v>
      </c>
      <c r="BI1164" s="71">
        <f>IFERROR(__xludf.DUMMYFUNCTION("""COMPUTED_VALUE"""),76.304)</f>
        <v>76.304</v>
      </c>
      <c r="BJ1164" s="71">
        <f>IFERROR(__xludf.DUMMYFUNCTION("""COMPUTED_VALUE"""),553.204)</f>
        <v>553.204</v>
      </c>
      <c r="BK1164" s="71">
        <f>IFERROR(__xludf.DUMMYFUNCTION("""COMPUTED_VALUE"""),451.8)</f>
        <v>451.8</v>
      </c>
      <c r="BL1164" s="71">
        <f>IFERROR(__xludf.DUMMYFUNCTION("""COMPUTED_VALUE"""),72.288)</f>
        <v>72.288</v>
      </c>
      <c r="BM1164" s="71">
        <f>IFERROR(__xludf.DUMMYFUNCTION("""COMPUTED_VALUE"""),524.088)</f>
        <v>524.088</v>
      </c>
      <c r="BN1164" s="71">
        <f>IFERROR(__xludf.DUMMYFUNCTION("""COMPUTED_VALUE"""),426.7)</f>
        <v>426.7</v>
      </c>
      <c r="BO1164" s="71">
        <f>IFERROR(__xludf.DUMMYFUNCTION("""COMPUTED_VALUE"""),68.272)</f>
        <v>68.272</v>
      </c>
      <c r="BP1164" s="71">
        <f>IFERROR(__xludf.DUMMYFUNCTION("""COMPUTED_VALUE"""),494.972)</f>
        <v>494.972</v>
      </c>
      <c r="BQ1164" s="71">
        <f>IFERROR(__xludf.DUMMYFUNCTION("""COMPUTED_VALUE"""),416.65999999999997)</f>
        <v>416.66</v>
      </c>
      <c r="BR1164" s="71">
        <f>IFERROR(__xludf.DUMMYFUNCTION("""COMPUTED_VALUE"""),66.6656)</f>
        <v>66.6656</v>
      </c>
      <c r="BS1164" s="71">
        <f>IFERROR(__xludf.DUMMYFUNCTION("""COMPUTED_VALUE"""),483.32559999999995)</f>
        <v>483.3256</v>
      </c>
      <c r="BT1164" s="71">
        <f>IFERROR(__xludf.DUMMYFUNCTION("""COMPUTED_VALUE"""),401.6)</f>
        <v>401.6</v>
      </c>
      <c r="BU1164" s="71">
        <f>IFERROR(__xludf.DUMMYFUNCTION("""COMPUTED_VALUE"""),64.256)</f>
        <v>64.256</v>
      </c>
      <c r="BV1164" s="71">
        <f>IFERROR(__xludf.DUMMYFUNCTION("""COMPUTED_VALUE"""),465.856)</f>
        <v>465.856</v>
      </c>
    </row>
    <row r="1165">
      <c r="A1165" s="53">
        <v>1.0</v>
      </c>
      <c r="B1165" s="53"/>
      <c r="C1165" s="120" t="s">
        <v>53</v>
      </c>
      <c r="D1165" s="53" t="s">
        <v>2840</v>
      </c>
      <c r="E1165" s="54" t="s">
        <v>38</v>
      </c>
      <c r="F1165" s="54" t="s">
        <v>42</v>
      </c>
      <c r="G1165" s="152" t="s">
        <v>2841</v>
      </c>
      <c r="H1165" s="54" t="s">
        <v>2842</v>
      </c>
      <c r="I1165" s="54">
        <f t="shared" si="24"/>
        <v>40</v>
      </c>
      <c r="J1165" s="56"/>
      <c r="K1165" s="75"/>
      <c r="L1165" s="76"/>
      <c r="M1165" s="59"/>
      <c r="N1165" s="60">
        <v>1775.0</v>
      </c>
      <c r="O1165" s="61">
        <v>1917.0</v>
      </c>
      <c r="P1165" s="62">
        <v>2070.36</v>
      </c>
      <c r="Q1165" s="63">
        <v>2070.36</v>
      </c>
      <c r="R1165" s="64">
        <v>2305.0</v>
      </c>
      <c r="S1165" s="111">
        <v>2420.0</v>
      </c>
      <c r="T1165" s="65">
        <f t="shared" si="39"/>
        <v>387.2</v>
      </c>
      <c r="U1165" s="65">
        <f t="shared" si="40"/>
        <v>2807.2</v>
      </c>
      <c r="V1165" s="66">
        <f t="shared" si="42"/>
        <v>0.04989154013</v>
      </c>
      <c r="W1165" s="67">
        <f t="shared" si="5"/>
        <v>2299</v>
      </c>
      <c r="X1165" s="67">
        <f t="shared" si="43"/>
        <v>367.84</v>
      </c>
      <c r="Y1165" s="67">
        <f t="shared" si="44"/>
        <v>2666.84</v>
      </c>
      <c r="Z1165" s="67">
        <f t="shared" si="8"/>
        <v>2178</v>
      </c>
      <c r="AA1165" s="67">
        <f t="shared" si="45"/>
        <v>348.48</v>
      </c>
      <c r="AB1165" s="67">
        <f t="shared" si="46"/>
        <v>2526.48</v>
      </c>
      <c r="AC1165" s="67">
        <f t="shared" si="11"/>
        <v>2057</v>
      </c>
      <c r="AD1165" s="67">
        <f t="shared" si="12"/>
        <v>329.12</v>
      </c>
      <c r="AE1165" s="67">
        <f t="shared" si="13"/>
        <v>2386.12</v>
      </c>
      <c r="AF1165" s="67">
        <f t="shared" si="33"/>
        <v>2008.6</v>
      </c>
      <c r="AG1165" s="67">
        <f t="shared" si="15"/>
        <v>321.376</v>
      </c>
      <c r="AH1165" s="67">
        <f t="shared" si="16"/>
        <v>2329.976</v>
      </c>
      <c r="AI1165" s="67">
        <f t="shared" si="17"/>
        <v>1936</v>
      </c>
      <c r="AJ1165" s="68">
        <f t="shared" si="37"/>
        <v>309.76</v>
      </c>
      <c r="AK1165" s="68">
        <f t="shared" si="38"/>
        <v>2245.76</v>
      </c>
      <c r="AL1165" s="70">
        <f>IFERROR(__xludf.DUMMYFUNCTION("""COMPUTED_VALUE"""),1.0)</f>
        <v>1</v>
      </c>
      <c r="AM1165" s="70"/>
      <c r="AN1165" s="71" t="str">
        <f>IFERROR(__xludf.DUMMYFUNCTION("""COMPUTED_VALUE""")," P")</f>
        <v>P</v>
      </c>
      <c r="AO1165" s="71" t="str">
        <f>IFERROR(__xludf.DUMMYFUNCTION("""COMPUTED_VALUE""")," SP06")</f>
        <v>SP06</v>
      </c>
      <c r="AP1165" s="71" t="str">
        <f>IFERROR(__xludf.DUMMYFUNCTION("""COMPUTED_VALUE""")," PZA")</f>
        <v>PZA</v>
      </c>
      <c r="AQ1165" s="71" t="str">
        <f>IFERROR(__xludf.DUMMYFUNCTION("""COMPUTED_VALUE""")," REF")</f>
        <v>REF</v>
      </c>
      <c r="AR1165" s="71" t="str">
        <f>IFERROR(__xludf.DUMMYFUNCTION("""COMPUTED_VALUE""")," SOPORTE PARA CLUTCH SENCILLO")</f>
        <v>SOPORTE PARA CLUTCH SENCILLO</v>
      </c>
      <c r="AS1165" s="71" t="str">
        <f>IFERROR(__xludf.DUMMYFUNCTION("""COMPUTED_VALUE""")," SOPORTE P/CLUTCH SENCILLO")</f>
        <v>SOPORTE P/CLUTCH SENCILLO</v>
      </c>
      <c r="AT1165" s="71">
        <f>IFERROR(__xludf.DUMMYFUNCTION("""COMPUTED_VALUE"""),25.0)</f>
        <v>25</v>
      </c>
      <c r="AU1165" s="71"/>
      <c r="AV1165" s="71"/>
      <c r="AW1165" s="71"/>
      <c r="AX1165" s="71"/>
      <c r="AY1165" s="71">
        <f>IFERROR(__xludf.DUMMYFUNCTION("""COMPUTED_VALUE"""),307.0)</f>
        <v>307</v>
      </c>
      <c r="AZ1165" s="71">
        <f>IFERROR(__xludf.DUMMYFUNCTION("""COMPUTED_VALUE"""),342.0)</f>
        <v>342</v>
      </c>
      <c r="BA1165" s="71">
        <f>IFERROR(__xludf.DUMMYFUNCTION("""COMPUTED_VALUE"""),369.36)</f>
        <v>369.36</v>
      </c>
      <c r="BB1165" s="71">
        <f>IFERROR(__xludf.DUMMYFUNCTION("""COMPUTED_VALUE"""),369.36)</f>
        <v>369.36</v>
      </c>
      <c r="BC1165" s="71">
        <f>IFERROR(__xludf.DUMMYFUNCTION("""COMPUTED_VALUE"""),412.0)</f>
        <v>412</v>
      </c>
      <c r="BD1165" s="71">
        <f>IFERROR(__xludf.DUMMYFUNCTION("""COMPUTED_VALUE"""),433.0)</f>
        <v>433</v>
      </c>
      <c r="BE1165" s="71">
        <f>IFERROR(__xludf.DUMMYFUNCTION("""COMPUTED_VALUE"""),69.28)</f>
        <v>69.28</v>
      </c>
      <c r="BF1165" s="71">
        <f>IFERROR(__xludf.DUMMYFUNCTION("""COMPUTED_VALUE"""),502.28)</f>
        <v>502.28</v>
      </c>
      <c r="BG1165" s="71">
        <f>IFERROR(__xludf.DUMMYFUNCTION("""COMPUTED_VALUE"""),0.050970873786407765)</f>
        <v>0.05097087379</v>
      </c>
      <c r="BH1165" s="71">
        <f>IFERROR(__xludf.DUMMYFUNCTION("""COMPUTED_VALUE"""),411.34999999999997)</f>
        <v>411.35</v>
      </c>
      <c r="BI1165" s="71">
        <f>IFERROR(__xludf.DUMMYFUNCTION("""COMPUTED_VALUE"""),65.816)</f>
        <v>65.816</v>
      </c>
      <c r="BJ1165" s="71">
        <f>IFERROR(__xludf.DUMMYFUNCTION("""COMPUTED_VALUE"""),477.16599999999994)</f>
        <v>477.166</v>
      </c>
      <c r="BK1165" s="71">
        <f>IFERROR(__xludf.DUMMYFUNCTION("""COMPUTED_VALUE"""),389.7)</f>
        <v>389.7</v>
      </c>
      <c r="BL1165" s="71">
        <f>IFERROR(__xludf.DUMMYFUNCTION("""COMPUTED_VALUE"""),62.352)</f>
        <v>62.352</v>
      </c>
      <c r="BM1165" s="71">
        <f>IFERROR(__xludf.DUMMYFUNCTION("""COMPUTED_VALUE"""),452.05199999999996)</f>
        <v>452.052</v>
      </c>
      <c r="BN1165" s="71">
        <f>IFERROR(__xludf.DUMMYFUNCTION("""COMPUTED_VALUE"""),368.05)</f>
        <v>368.05</v>
      </c>
      <c r="BO1165" s="71">
        <f>IFERROR(__xludf.DUMMYFUNCTION("""COMPUTED_VALUE"""),58.888000000000005)</f>
        <v>58.888</v>
      </c>
      <c r="BP1165" s="71">
        <f>IFERROR(__xludf.DUMMYFUNCTION("""COMPUTED_VALUE"""),426.938)</f>
        <v>426.938</v>
      </c>
      <c r="BQ1165" s="71">
        <f>IFERROR(__xludf.DUMMYFUNCTION("""COMPUTED_VALUE"""),359.39)</f>
        <v>359.39</v>
      </c>
      <c r="BR1165" s="71">
        <f>IFERROR(__xludf.DUMMYFUNCTION("""COMPUTED_VALUE"""),57.5024)</f>
        <v>57.5024</v>
      </c>
      <c r="BS1165" s="71">
        <f>IFERROR(__xludf.DUMMYFUNCTION("""COMPUTED_VALUE"""),416.8924)</f>
        <v>416.8924</v>
      </c>
      <c r="BT1165" s="71">
        <f>IFERROR(__xludf.DUMMYFUNCTION("""COMPUTED_VALUE"""),346.40000000000003)</f>
        <v>346.4</v>
      </c>
      <c r="BU1165" s="71">
        <f>IFERROR(__xludf.DUMMYFUNCTION("""COMPUTED_VALUE"""),55.42400000000001)</f>
        <v>55.424</v>
      </c>
      <c r="BV1165" s="71">
        <f>IFERROR(__xludf.DUMMYFUNCTION("""COMPUTED_VALUE"""),401.82400000000007)</f>
        <v>401.824</v>
      </c>
    </row>
    <row r="1166">
      <c r="A1166" s="53"/>
      <c r="B1166" s="72"/>
      <c r="C1166" s="120" t="s">
        <v>53</v>
      </c>
      <c r="D1166" s="53" t="s">
        <v>2843</v>
      </c>
      <c r="E1166" s="54" t="s">
        <v>38</v>
      </c>
      <c r="F1166" s="54" t="s">
        <v>42</v>
      </c>
      <c r="G1166" s="55" t="s">
        <v>2844</v>
      </c>
      <c r="H1166" s="54" t="s">
        <v>2845</v>
      </c>
      <c r="I1166" s="54">
        <f t="shared" si="24"/>
        <v>39</v>
      </c>
      <c r="J1166" s="56"/>
      <c r="K1166" s="75"/>
      <c r="L1166" s="76"/>
      <c r="M1166" s="59"/>
      <c r="N1166" s="60"/>
      <c r="O1166" s="61">
        <v>418.0</v>
      </c>
      <c r="P1166" s="62">
        <v>451.44000000000005</v>
      </c>
      <c r="Q1166" s="63">
        <v>451.44000000000005</v>
      </c>
      <c r="R1166" s="64">
        <v>474.0</v>
      </c>
      <c r="S1166" s="111">
        <v>498.0</v>
      </c>
      <c r="T1166" s="65">
        <f t="shared" si="39"/>
        <v>79.68</v>
      </c>
      <c r="U1166" s="65">
        <f t="shared" si="40"/>
        <v>577.68</v>
      </c>
      <c r="V1166" s="66">
        <f t="shared" si="42"/>
        <v>0.05063291139</v>
      </c>
      <c r="W1166" s="67">
        <f t="shared" si="5"/>
        <v>473.1</v>
      </c>
      <c r="X1166" s="67">
        <f t="shared" si="43"/>
        <v>75.696</v>
      </c>
      <c r="Y1166" s="67">
        <f t="shared" si="44"/>
        <v>548.796</v>
      </c>
      <c r="Z1166" s="67">
        <f t="shared" si="8"/>
        <v>448.2</v>
      </c>
      <c r="AA1166" s="67">
        <f t="shared" si="45"/>
        <v>71.712</v>
      </c>
      <c r="AB1166" s="67">
        <f t="shared" si="46"/>
        <v>519.912</v>
      </c>
      <c r="AC1166" s="67">
        <f t="shared" si="11"/>
        <v>423.3</v>
      </c>
      <c r="AD1166" s="67">
        <f t="shared" si="12"/>
        <v>67.728</v>
      </c>
      <c r="AE1166" s="67">
        <f t="shared" si="13"/>
        <v>491.028</v>
      </c>
      <c r="AF1166" s="67">
        <f t="shared" si="33"/>
        <v>413.34</v>
      </c>
      <c r="AG1166" s="67">
        <f t="shared" si="15"/>
        <v>66.1344</v>
      </c>
      <c r="AH1166" s="67">
        <f t="shared" si="16"/>
        <v>479.4744</v>
      </c>
      <c r="AI1166" s="67">
        <f t="shared" si="17"/>
        <v>398.4</v>
      </c>
      <c r="AJ1166" s="68">
        <f t="shared" si="37"/>
        <v>63.744</v>
      </c>
      <c r="AK1166" s="68">
        <f t="shared" si="38"/>
        <v>462.144</v>
      </c>
      <c r="AL1166" s="70">
        <f>IFERROR(__xludf.DUMMYFUNCTION("""COMPUTED_VALUE"""),1.0)</f>
        <v>1</v>
      </c>
      <c r="AM1166" s="70"/>
      <c r="AN1166" s="71" t="str">
        <f>IFERROR(__xludf.DUMMYFUNCTION("""COMPUTED_VALUE""")," P")</f>
        <v>P</v>
      </c>
      <c r="AO1166" s="71" t="str">
        <f>IFERROR(__xludf.DUMMYFUNCTION("""COMPUTED_VALUE""")," SP07")</f>
        <v>SP07</v>
      </c>
      <c r="AP1166" s="71" t="str">
        <f>IFERROR(__xludf.DUMMYFUNCTION("""COMPUTED_VALUE""")," PZA")</f>
        <v>PZA</v>
      </c>
      <c r="AQ1166" s="71" t="str">
        <f>IFERROR(__xludf.DUMMYFUNCTION("""COMPUTED_VALUE""")," REF")</f>
        <v>REF</v>
      </c>
      <c r="AR1166" s="71" t="str">
        <f>IFERROR(__xludf.DUMMYFUNCTION("""COMPUTED_VALUE""")," SOPORTE PARA FECHA PRINCIPAL SENCILLO")</f>
        <v>SOPORTE PARA FECHA PRINCIPAL SENCILLO</v>
      </c>
      <c r="AS1166" s="71" t="str">
        <f>IFERROR(__xludf.DUMMYFUNCTION("""COMPUTED_VALUE""")," SOPORTE P/FECHA PRINCIPAL SENCILLO")</f>
        <v>SOPORTE P/FECHA PRINCIPAL SENCILLO</v>
      </c>
      <c r="AT1166" s="71">
        <f>IFERROR(__xludf.DUMMYFUNCTION("""COMPUTED_VALUE"""),34.0)</f>
        <v>34</v>
      </c>
      <c r="AU1166" s="71"/>
      <c r="AV1166" s="71"/>
      <c r="AW1166" s="71"/>
      <c r="AX1166" s="71"/>
      <c r="AY1166" s="71">
        <f>IFERROR(__xludf.DUMMYFUNCTION("""COMPUTED_VALUE"""),315.0)</f>
        <v>315</v>
      </c>
      <c r="AZ1166" s="71">
        <f>IFERROR(__xludf.DUMMYFUNCTION("""COMPUTED_VALUE"""),340.0)</f>
        <v>340</v>
      </c>
      <c r="BA1166" s="71">
        <f>IFERROR(__xludf.DUMMYFUNCTION("""COMPUTED_VALUE"""),367.20000000000005)</f>
        <v>367.2</v>
      </c>
      <c r="BB1166" s="71">
        <f>IFERROR(__xludf.DUMMYFUNCTION("""COMPUTED_VALUE"""),367.20000000000005)</f>
        <v>367.2</v>
      </c>
      <c r="BC1166" s="71">
        <f>IFERROR(__xludf.DUMMYFUNCTION("""COMPUTED_VALUE"""),410.0)</f>
        <v>410</v>
      </c>
      <c r="BD1166" s="71">
        <f>IFERROR(__xludf.DUMMYFUNCTION("""COMPUTED_VALUE"""),431.0)</f>
        <v>431</v>
      </c>
      <c r="BE1166" s="71">
        <f>IFERROR(__xludf.DUMMYFUNCTION("""COMPUTED_VALUE"""),68.96000000000001)</f>
        <v>68.96</v>
      </c>
      <c r="BF1166" s="71">
        <f>IFERROR(__xludf.DUMMYFUNCTION("""COMPUTED_VALUE"""),499.96000000000004)</f>
        <v>499.96</v>
      </c>
      <c r="BG1166" s="71">
        <f>IFERROR(__xludf.DUMMYFUNCTION("""COMPUTED_VALUE"""),0.05121951219512195)</f>
        <v>0.0512195122</v>
      </c>
      <c r="BH1166" s="71">
        <f>IFERROR(__xludf.DUMMYFUNCTION("""COMPUTED_VALUE"""),409.45)</f>
        <v>409.45</v>
      </c>
      <c r="BI1166" s="71">
        <f>IFERROR(__xludf.DUMMYFUNCTION("""COMPUTED_VALUE"""),65.512)</f>
        <v>65.512</v>
      </c>
      <c r="BJ1166" s="71">
        <f>IFERROR(__xludf.DUMMYFUNCTION("""COMPUTED_VALUE"""),474.962)</f>
        <v>474.962</v>
      </c>
      <c r="BK1166" s="71">
        <f>IFERROR(__xludf.DUMMYFUNCTION("""COMPUTED_VALUE"""),387.90000000000003)</f>
        <v>387.9</v>
      </c>
      <c r="BL1166" s="71">
        <f>IFERROR(__xludf.DUMMYFUNCTION("""COMPUTED_VALUE"""),62.06400000000001)</f>
        <v>62.064</v>
      </c>
      <c r="BM1166" s="71">
        <f>IFERROR(__xludf.DUMMYFUNCTION("""COMPUTED_VALUE"""),449.96400000000006)</f>
        <v>449.964</v>
      </c>
      <c r="BN1166" s="71">
        <f>IFERROR(__xludf.DUMMYFUNCTION("""COMPUTED_VALUE"""),366.34999999999997)</f>
        <v>366.35</v>
      </c>
      <c r="BO1166" s="71">
        <f>IFERROR(__xludf.DUMMYFUNCTION("""COMPUTED_VALUE"""),58.61599999999999)</f>
        <v>58.616</v>
      </c>
      <c r="BP1166" s="71">
        <f>IFERROR(__xludf.DUMMYFUNCTION("""COMPUTED_VALUE"""),424.96599999999995)</f>
        <v>424.966</v>
      </c>
      <c r="BQ1166" s="71">
        <f>IFERROR(__xludf.DUMMYFUNCTION("""COMPUTED_VALUE"""),357.72999999999996)</f>
        <v>357.73</v>
      </c>
      <c r="BR1166" s="71">
        <f>IFERROR(__xludf.DUMMYFUNCTION("""COMPUTED_VALUE"""),57.236799999999995)</f>
        <v>57.2368</v>
      </c>
      <c r="BS1166" s="71">
        <f>IFERROR(__xludf.DUMMYFUNCTION("""COMPUTED_VALUE"""),414.9668)</f>
        <v>414.9668</v>
      </c>
      <c r="BT1166" s="71">
        <f>IFERROR(__xludf.DUMMYFUNCTION("""COMPUTED_VALUE"""),344.8)</f>
        <v>344.8</v>
      </c>
      <c r="BU1166" s="71">
        <f>IFERROR(__xludf.DUMMYFUNCTION("""COMPUTED_VALUE"""),55.168000000000006)</f>
        <v>55.168</v>
      </c>
      <c r="BV1166" s="71">
        <f>IFERROR(__xludf.DUMMYFUNCTION("""COMPUTED_VALUE"""),399.968)</f>
        <v>399.968</v>
      </c>
    </row>
    <row r="1167">
      <c r="A1167" s="53"/>
      <c r="B1167" s="72"/>
      <c r="C1167" s="120" t="s">
        <v>53</v>
      </c>
      <c r="D1167" s="53" t="s">
        <v>2846</v>
      </c>
      <c r="E1167" s="54" t="s">
        <v>38</v>
      </c>
      <c r="F1167" s="54" t="s">
        <v>42</v>
      </c>
      <c r="G1167" s="55" t="s">
        <v>2847</v>
      </c>
      <c r="H1167" s="54" t="s">
        <v>2848</v>
      </c>
      <c r="I1167" s="54">
        <f t="shared" si="24"/>
        <v>39</v>
      </c>
      <c r="J1167" s="56"/>
      <c r="K1167" s="75"/>
      <c r="L1167" s="76"/>
      <c r="M1167" s="59"/>
      <c r="N1167" s="60"/>
      <c r="O1167" s="61">
        <v>437.0</v>
      </c>
      <c r="P1167" s="62">
        <v>471.96000000000004</v>
      </c>
      <c r="Q1167" s="63">
        <v>471.96000000000004</v>
      </c>
      <c r="R1167" s="64">
        <v>496.0</v>
      </c>
      <c r="S1167" s="111">
        <v>521.0</v>
      </c>
      <c r="T1167" s="65">
        <f t="shared" si="39"/>
        <v>83.36</v>
      </c>
      <c r="U1167" s="65">
        <f t="shared" si="40"/>
        <v>604.36</v>
      </c>
      <c r="V1167" s="66">
        <f t="shared" si="42"/>
        <v>0.05040322581</v>
      </c>
      <c r="W1167" s="67">
        <f t="shared" si="5"/>
        <v>494.95</v>
      </c>
      <c r="X1167" s="67">
        <f t="shared" si="43"/>
        <v>79.192</v>
      </c>
      <c r="Y1167" s="67">
        <f t="shared" si="44"/>
        <v>574.142</v>
      </c>
      <c r="Z1167" s="67">
        <f t="shared" si="8"/>
        <v>468.9</v>
      </c>
      <c r="AA1167" s="67">
        <f t="shared" si="45"/>
        <v>75.024</v>
      </c>
      <c r="AB1167" s="67">
        <f t="shared" si="46"/>
        <v>543.924</v>
      </c>
      <c r="AC1167" s="67">
        <f t="shared" si="11"/>
        <v>442.85</v>
      </c>
      <c r="AD1167" s="67">
        <f t="shared" si="12"/>
        <v>70.856</v>
      </c>
      <c r="AE1167" s="67">
        <f t="shared" si="13"/>
        <v>513.706</v>
      </c>
      <c r="AF1167" s="67">
        <f t="shared" si="33"/>
        <v>432.43</v>
      </c>
      <c r="AG1167" s="67">
        <f t="shared" si="15"/>
        <v>69.1888</v>
      </c>
      <c r="AH1167" s="67">
        <f t="shared" si="16"/>
        <v>501.6188</v>
      </c>
      <c r="AI1167" s="67">
        <f t="shared" si="17"/>
        <v>416.8</v>
      </c>
      <c r="AJ1167" s="68">
        <f t="shared" si="37"/>
        <v>66.688</v>
      </c>
      <c r="AK1167" s="68">
        <f t="shared" si="38"/>
        <v>483.488</v>
      </c>
      <c r="AL1167" s="70">
        <f>IFERROR(__xludf.DUMMYFUNCTION("""COMPUTED_VALUE"""),1.0)</f>
        <v>1</v>
      </c>
      <c r="AM1167" s="70"/>
      <c r="AN1167" s="71" t="str">
        <f>IFERROR(__xludf.DUMMYFUNCTION("""COMPUTED_VALUE""")," R")</f>
        <v>R</v>
      </c>
      <c r="AO1167" s="71" t="str">
        <f>IFERROR(__xludf.DUMMYFUNCTION("""COMPUTED_VALUE""")," SP11")</f>
        <v>SP11</v>
      </c>
      <c r="AP1167" s="71" t="str">
        <f>IFERROR(__xludf.DUMMYFUNCTION("""COMPUTED_VALUE""")," PZA")</f>
        <v>PZA</v>
      </c>
      <c r="AQ1167" s="71" t="str">
        <f>IFERROR(__xludf.DUMMYFUNCTION("""COMPUTED_VALUE""")," REF")</f>
        <v>REF</v>
      </c>
      <c r="AR1167" s="71" t="str">
        <f>IFERROR(__xludf.DUMMYFUNCTION("""COMPUTED_VALUE""")," SOPORTE PARA PULIDOR DE RAYADORA SEMIAUTOMATICA")</f>
        <v>SOPORTE PARA PULIDOR DE RAYADORA SEMIAUTOMATICA</v>
      </c>
      <c r="AS1167" s="71" t="str">
        <f>IFERROR(__xludf.DUMMYFUNCTION("""COMPUTED_VALUE""")," SOPORTE P/PULIDOR D/RAYADORA SEMIAUTOMAT")</f>
        <v>SOPORTE P/PULIDOR D/RAYADORA SEMIAUTOMAT</v>
      </c>
      <c r="AT1167" s="71">
        <f>IFERROR(__xludf.DUMMYFUNCTION("""COMPUTED_VALUE"""),40.0)</f>
        <v>40</v>
      </c>
      <c r="AU1167" s="71"/>
      <c r="AV1167" s="71"/>
      <c r="AW1167" s="71"/>
      <c r="AX1167" s="71"/>
      <c r="AY1167" s="71"/>
      <c r="AZ1167" s="71"/>
      <c r="BA1167" s="71"/>
      <c r="BB1167" s="71"/>
      <c r="BC1167" s="71"/>
      <c r="BD1167" s="71">
        <f>IFERROR(__xludf.DUMMYFUNCTION("""COMPUTED_VALUE"""),750.0)</f>
        <v>750</v>
      </c>
      <c r="BE1167" s="71">
        <f>IFERROR(__xludf.DUMMYFUNCTION("""COMPUTED_VALUE"""),120.0)</f>
        <v>120</v>
      </c>
      <c r="BF1167" s="71">
        <f>IFERROR(__xludf.DUMMYFUNCTION("""COMPUTED_VALUE"""),870.0)</f>
        <v>870</v>
      </c>
      <c r="BG1167" s="71" t="str">
        <f>IFERROR(__xludf.DUMMYFUNCTION("""COMPUTED_VALUE"""),"#DIV/0!")</f>
        <v>#DIV/0!</v>
      </c>
      <c r="BH1167" s="71">
        <f>IFERROR(__xludf.DUMMYFUNCTION("""COMPUTED_VALUE"""),712.5)</f>
        <v>712.5</v>
      </c>
      <c r="BI1167" s="71">
        <f>IFERROR(__xludf.DUMMYFUNCTION("""COMPUTED_VALUE"""),114.0)</f>
        <v>114</v>
      </c>
      <c r="BJ1167" s="71">
        <f>IFERROR(__xludf.DUMMYFUNCTION("""COMPUTED_VALUE"""),826.5)</f>
        <v>826.5</v>
      </c>
      <c r="BK1167" s="71">
        <f>IFERROR(__xludf.DUMMYFUNCTION("""COMPUTED_VALUE"""),675.0)</f>
        <v>675</v>
      </c>
      <c r="BL1167" s="71">
        <f>IFERROR(__xludf.DUMMYFUNCTION("""COMPUTED_VALUE"""),108.0)</f>
        <v>108</v>
      </c>
      <c r="BM1167" s="71">
        <f>IFERROR(__xludf.DUMMYFUNCTION("""COMPUTED_VALUE"""),783.0)</f>
        <v>783</v>
      </c>
      <c r="BN1167" s="71">
        <f>IFERROR(__xludf.DUMMYFUNCTION("""COMPUTED_VALUE"""),637.5)</f>
        <v>637.5</v>
      </c>
      <c r="BO1167" s="71">
        <f>IFERROR(__xludf.DUMMYFUNCTION("""COMPUTED_VALUE"""),102.0)</f>
        <v>102</v>
      </c>
      <c r="BP1167" s="71">
        <f>IFERROR(__xludf.DUMMYFUNCTION("""COMPUTED_VALUE"""),739.5)</f>
        <v>739.5</v>
      </c>
      <c r="BQ1167" s="71">
        <f>IFERROR(__xludf.DUMMYFUNCTION("""COMPUTED_VALUE"""),622.5)</f>
        <v>622.5</v>
      </c>
      <c r="BR1167" s="71">
        <f>IFERROR(__xludf.DUMMYFUNCTION("""COMPUTED_VALUE"""),99.60000000000001)</f>
        <v>99.6</v>
      </c>
      <c r="BS1167" s="71">
        <f>IFERROR(__xludf.DUMMYFUNCTION("""COMPUTED_VALUE"""),722.1)</f>
        <v>722.1</v>
      </c>
      <c r="BT1167" s="71">
        <f>IFERROR(__xludf.DUMMYFUNCTION("""COMPUTED_VALUE"""),600.0)</f>
        <v>600</v>
      </c>
      <c r="BU1167" s="71">
        <f>IFERROR(__xludf.DUMMYFUNCTION("""COMPUTED_VALUE"""),96.0)</f>
        <v>96</v>
      </c>
      <c r="BV1167" s="71">
        <f>IFERROR(__xludf.DUMMYFUNCTION("""COMPUTED_VALUE"""),696.0)</f>
        <v>696</v>
      </c>
    </row>
    <row r="1168">
      <c r="A1168" s="53">
        <v>1.0</v>
      </c>
      <c r="B1168" s="72"/>
      <c r="C1168" s="120" t="s">
        <v>53</v>
      </c>
      <c r="D1168" s="74" t="s">
        <v>2849</v>
      </c>
      <c r="E1168" s="54" t="s">
        <v>38</v>
      </c>
      <c r="F1168" s="54" t="s">
        <v>42</v>
      </c>
      <c r="G1168" s="55" t="s">
        <v>2850</v>
      </c>
      <c r="H1168" s="54" t="s">
        <v>2851</v>
      </c>
      <c r="I1168" s="54">
        <f t="shared" si="24"/>
        <v>40</v>
      </c>
      <c r="J1168" s="56"/>
      <c r="K1168" s="75"/>
      <c r="L1168" s="76"/>
      <c r="M1168" s="59"/>
      <c r="N1168" s="60">
        <v>298.0</v>
      </c>
      <c r="O1168" s="61">
        <v>321.0</v>
      </c>
      <c r="P1168" s="62">
        <v>346.68</v>
      </c>
      <c r="Q1168" s="63">
        <v>346.68</v>
      </c>
      <c r="R1168" s="64">
        <v>387.0</v>
      </c>
      <c r="S1168" s="111">
        <v>406.0</v>
      </c>
      <c r="T1168" s="65">
        <f t="shared" si="39"/>
        <v>64.96</v>
      </c>
      <c r="U1168" s="65">
        <f t="shared" si="40"/>
        <v>470.96</v>
      </c>
      <c r="V1168" s="66">
        <f t="shared" si="42"/>
        <v>0.04909560724</v>
      </c>
      <c r="W1168" s="67">
        <f t="shared" si="5"/>
        <v>385.7</v>
      </c>
      <c r="X1168" s="67">
        <f t="shared" si="43"/>
        <v>61.712</v>
      </c>
      <c r="Y1168" s="67">
        <f t="shared" si="44"/>
        <v>447.412</v>
      </c>
      <c r="Z1168" s="67">
        <f t="shared" si="8"/>
        <v>365.4</v>
      </c>
      <c r="AA1168" s="67">
        <f t="shared" si="45"/>
        <v>58.464</v>
      </c>
      <c r="AB1168" s="67">
        <f t="shared" si="46"/>
        <v>423.864</v>
      </c>
      <c r="AC1168" s="67">
        <f t="shared" si="11"/>
        <v>345.1</v>
      </c>
      <c r="AD1168" s="67">
        <f t="shared" si="12"/>
        <v>55.216</v>
      </c>
      <c r="AE1168" s="67">
        <f t="shared" si="13"/>
        <v>400.316</v>
      </c>
      <c r="AF1168" s="67">
        <f t="shared" si="33"/>
        <v>336.98</v>
      </c>
      <c r="AG1168" s="67">
        <f t="shared" si="15"/>
        <v>53.9168</v>
      </c>
      <c r="AH1168" s="67">
        <f t="shared" si="16"/>
        <v>390.8968</v>
      </c>
      <c r="AI1168" s="67">
        <f t="shared" si="17"/>
        <v>324.8</v>
      </c>
      <c r="AJ1168" s="68">
        <f t="shared" si="37"/>
        <v>51.968</v>
      </c>
      <c r="AK1168" s="68">
        <f t="shared" si="38"/>
        <v>376.768</v>
      </c>
      <c r="AL1168" s="70">
        <f>IFERROR(__xludf.DUMMYFUNCTION("""COMPUTED_VALUE"""),1.0)</f>
        <v>1</v>
      </c>
      <c r="AM1168" s="70"/>
      <c r="AN1168" s="71" t="str">
        <f>IFERROR(__xludf.DUMMYFUNCTION("""COMPUTED_VALUE""")," C")</f>
        <v>C</v>
      </c>
      <c r="AO1168" s="71">
        <f>IFERROR(__xludf.DUMMYFUNCTION("""COMPUTED_VALUE"""),7783.0)</f>
        <v>7783</v>
      </c>
      <c r="AP1168" s="71" t="str">
        <f>IFERROR(__xludf.DUMMYFUNCTION("""COMPUTED_VALUE""")," PZA")</f>
        <v>PZA</v>
      </c>
      <c r="AQ1168" s="71" t="str">
        <f>IFERROR(__xludf.DUMMYFUNCTION("""COMPUTED_VALUE""")," REF")</f>
        <v>REF</v>
      </c>
      <c r="AR1168" s="71" t="str">
        <f>IFERROR(__xludf.DUMMYFUNCTION("""COMPUTED_VALUE""")," SPROCKET PLASTICO PARA MALLA ENFRIDOR")</f>
        <v>SPROCKET PLASTICO PARA MALLA ENFRIDOR</v>
      </c>
      <c r="AS1168" s="71" t="str">
        <f>IFERROR(__xludf.DUMMYFUNCTION("""COMPUTED_VALUE""")," SPROCKET PLASTICO PARA MALLA ENFRIDOR")</f>
        <v>SPROCKET PLASTICO PARA MALLA ENFRIDOR</v>
      </c>
      <c r="AT1168" s="71">
        <f>IFERROR(__xludf.DUMMYFUNCTION("""COMPUTED_VALUE"""),37.0)</f>
        <v>37</v>
      </c>
      <c r="AU1168" s="71"/>
      <c r="AV1168" s="71"/>
      <c r="AW1168" s="71"/>
      <c r="AX1168" s="71"/>
      <c r="AY1168" s="71"/>
      <c r="AZ1168" s="71"/>
      <c r="BA1168" s="71">
        <f>IFERROR(__xludf.DUMMYFUNCTION("""COMPUTED_VALUE"""),85.0)</f>
        <v>85</v>
      </c>
      <c r="BB1168" s="71">
        <f>IFERROR(__xludf.DUMMYFUNCTION("""COMPUTED_VALUE"""),85.0)</f>
        <v>85</v>
      </c>
      <c r="BC1168" s="71">
        <f>IFERROR(__xludf.DUMMYFUNCTION("""COMPUTED_VALUE"""),90.0)</f>
        <v>90</v>
      </c>
      <c r="BD1168" s="71">
        <f>IFERROR(__xludf.DUMMYFUNCTION("""COMPUTED_VALUE"""),95.0)</f>
        <v>95</v>
      </c>
      <c r="BE1168" s="71">
        <f>IFERROR(__xludf.DUMMYFUNCTION("""COMPUTED_VALUE"""),15.200000000000001)</f>
        <v>15.2</v>
      </c>
      <c r="BF1168" s="71">
        <f>IFERROR(__xludf.DUMMYFUNCTION("""COMPUTED_VALUE"""),110.2)</f>
        <v>110.2</v>
      </c>
      <c r="BG1168" s="71"/>
      <c r="BH1168" s="71">
        <f>IFERROR(__xludf.DUMMYFUNCTION("""COMPUTED_VALUE"""),90.25)</f>
        <v>90.25</v>
      </c>
      <c r="BI1168" s="71"/>
      <c r="BJ1168" s="71"/>
      <c r="BK1168" s="71">
        <f>IFERROR(__xludf.DUMMYFUNCTION("""COMPUTED_VALUE"""),85.5)</f>
        <v>85.5</v>
      </c>
      <c r="BL1168" s="71">
        <f>IFERROR(__xludf.DUMMYFUNCTION("""COMPUTED_VALUE"""),13.68)</f>
        <v>13.68</v>
      </c>
      <c r="BM1168" s="71">
        <f>IFERROR(__xludf.DUMMYFUNCTION("""COMPUTED_VALUE"""),99.18)</f>
        <v>99.18</v>
      </c>
      <c r="BN1168" s="71">
        <f>IFERROR(__xludf.DUMMYFUNCTION("""COMPUTED_VALUE"""),80.75)</f>
        <v>80.75</v>
      </c>
      <c r="BO1168" s="71">
        <f>IFERROR(__xludf.DUMMYFUNCTION("""COMPUTED_VALUE"""),12.92)</f>
        <v>12.92</v>
      </c>
      <c r="BP1168" s="71">
        <f>IFERROR(__xludf.DUMMYFUNCTION("""COMPUTED_VALUE"""),93.67)</f>
        <v>93.67</v>
      </c>
      <c r="BQ1168" s="71">
        <f>IFERROR(__xludf.DUMMYFUNCTION("""COMPUTED_VALUE"""),78.85)</f>
        <v>78.85</v>
      </c>
      <c r="BR1168" s="71">
        <f>IFERROR(__xludf.DUMMYFUNCTION("""COMPUTED_VALUE"""),12.616)</f>
        <v>12.616</v>
      </c>
      <c r="BS1168" s="71">
        <f>IFERROR(__xludf.DUMMYFUNCTION("""COMPUTED_VALUE"""),91.466)</f>
        <v>91.466</v>
      </c>
      <c r="BT1168" s="71">
        <f>IFERROR(__xludf.DUMMYFUNCTION("""COMPUTED_VALUE"""),76.0)</f>
        <v>76</v>
      </c>
      <c r="BU1168" s="71">
        <f>IFERROR(__xludf.DUMMYFUNCTION("""COMPUTED_VALUE"""),12.16)</f>
        <v>12.16</v>
      </c>
      <c r="BV1168" s="71">
        <f>IFERROR(__xludf.DUMMYFUNCTION("""COMPUTED_VALUE"""),88.16)</f>
        <v>88.16</v>
      </c>
    </row>
    <row r="1169">
      <c r="A1169" s="53">
        <v>1.0</v>
      </c>
      <c r="B1169" s="72"/>
      <c r="C1169" s="120" t="s">
        <v>53</v>
      </c>
      <c r="D1169" s="74" t="s">
        <v>2852</v>
      </c>
      <c r="E1169" s="54" t="s">
        <v>38</v>
      </c>
      <c r="F1169" s="54" t="s">
        <v>42</v>
      </c>
      <c r="G1169" s="55" t="s">
        <v>2853</v>
      </c>
      <c r="H1169" s="54" t="s">
        <v>2854</v>
      </c>
      <c r="I1169" s="54">
        <f t="shared" si="24"/>
        <v>39</v>
      </c>
      <c r="J1169" s="56"/>
      <c r="K1169" s="75"/>
      <c r="L1169" s="76"/>
      <c r="M1169" s="59"/>
      <c r="N1169" s="60">
        <v>321.0</v>
      </c>
      <c r="O1169" s="61">
        <v>346.0</v>
      </c>
      <c r="P1169" s="62">
        <v>373.68</v>
      </c>
      <c r="Q1169" s="63">
        <v>373.68</v>
      </c>
      <c r="R1169" s="64">
        <v>417.0</v>
      </c>
      <c r="S1169" s="111">
        <v>438.0</v>
      </c>
      <c r="T1169" s="65">
        <f t="shared" si="39"/>
        <v>70.08</v>
      </c>
      <c r="U1169" s="65">
        <f t="shared" si="40"/>
        <v>508.08</v>
      </c>
      <c r="V1169" s="66">
        <f t="shared" si="42"/>
        <v>0.05035971223</v>
      </c>
      <c r="W1169" s="67">
        <f t="shared" si="5"/>
        <v>416.1</v>
      </c>
      <c r="X1169" s="67">
        <f t="shared" si="43"/>
        <v>66.576</v>
      </c>
      <c r="Y1169" s="67">
        <f t="shared" si="44"/>
        <v>482.676</v>
      </c>
      <c r="Z1169" s="67">
        <f t="shared" si="8"/>
        <v>394.2</v>
      </c>
      <c r="AA1169" s="67">
        <f t="shared" si="45"/>
        <v>63.072</v>
      </c>
      <c r="AB1169" s="67">
        <f t="shared" si="46"/>
        <v>457.272</v>
      </c>
      <c r="AC1169" s="67">
        <f t="shared" si="11"/>
        <v>372.3</v>
      </c>
      <c r="AD1169" s="67">
        <f t="shared" si="12"/>
        <v>59.568</v>
      </c>
      <c r="AE1169" s="67">
        <f t="shared" si="13"/>
        <v>431.868</v>
      </c>
      <c r="AF1169" s="67">
        <f t="shared" si="33"/>
        <v>363.54</v>
      </c>
      <c r="AG1169" s="67">
        <f t="shared" si="15"/>
        <v>58.1664</v>
      </c>
      <c r="AH1169" s="67">
        <f t="shared" si="16"/>
        <v>421.7064</v>
      </c>
      <c r="AI1169" s="67">
        <f t="shared" si="17"/>
        <v>350.4</v>
      </c>
      <c r="AJ1169" s="68">
        <f t="shared" si="37"/>
        <v>56.064</v>
      </c>
      <c r="AK1169" s="68">
        <f t="shared" si="38"/>
        <v>406.464</v>
      </c>
      <c r="AL1169" s="70">
        <f>IFERROR(__xludf.DUMMYFUNCTION("""COMPUTED_VALUE"""),1.0)</f>
        <v>1</v>
      </c>
      <c r="AM1169" s="70"/>
      <c r="AN1169" s="71" t="str">
        <f>IFERROR(__xludf.DUMMYFUNCTION("""COMPUTED_VALUE""")," CP")</f>
        <v>CP</v>
      </c>
      <c r="AO1169" s="71" t="str">
        <f>IFERROR(__xludf.DUMMYFUNCTION("""COMPUTED_VALUE""")," TB01")</f>
        <v>TB01</v>
      </c>
      <c r="AP1169" s="71" t="str">
        <f>IFERROR(__xludf.DUMMYFUNCTION("""COMPUTED_VALUE""")," PZA")</f>
        <v>PZA</v>
      </c>
      <c r="AQ1169" s="71" t="str">
        <f>IFERROR(__xludf.DUMMYFUNCTION("""COMPUTED_VALUE""")," REF")</f>
        <v>REF</v>
      </c>
      <c r="AR1169" s="71" t="str">
        <f>IFERROR(__xludf.DUMMYFUNCTION("""COMPUTED_VALUE""")," TABLETA DÚPLEX (B.C.)")</f>
        <v>TABLETA DÚPLEX (B.C.)</v>
      </c>
      <c r="AS1169" s="71" t="str">
        <f>IFERROR(__xludf.DUMMYFUNCTION("""COMPUTED_VALUE""")," TABLETA DPLX BC")</f>
        <v>TABLETA DPLX BC</v>
      </c>
      <c r="AT1169" s="71">
        <f>IFERROR(__xludf.DUMMYFUNCTION("""COMPUTED_VALUE"""),15.0)</f>
        <v>15</v>
      </c>
      <c r="AU1169" s="71"/>
      <c r="AV1169" s="71"/>
      <c r="AW1169" s="71"/>
      <c r="AX1169" s="71"/>
      <c r="AY1169" s="71">
        <f>IFERROR(__xludf.DUMMYFUNCTION("""COMPUTED_VALUE"""),39.0)</f>
        <v>39</v>
      </c>
      <c r="AZ1169" s="71">
        <f>IFERROR(__xludf.DUMMYFUNCTION("""COMPUTED_VALUE"""),42.0)</f>
        <v>42</v>
      </c>
      <c r="BA1169" s="71">
        <f>IFERROR(__xludf.DUMMYFUNCTION("""COMPUTED_VALUE"""),45.36)</f>
        <v>45.36</v>
      </c>
      <c r="BB1169" s="71">
        <f>IFERROR(__xludf.DUMMYFUNCTION("""COMPUTED_VALUE"""),45.36)</f>
        <v>45.36</v>
      </c>
      <c r="BC1169" s="71">
        <f>IFERROR(__xludf.DUMMYFUNCTION("""COMPUTED_VALUE"""),52.0)</f>
        <v>52</v>
      </c>
      <c r="BD1169" s="71">
        <f>IFERROR(__xludf.DUMMYFUNCTION("""COMPUTED_VALUE"""),55.0)</f>
        <v>55</v>
      </c>
      <c r="BE1169" s="71">
        <f>IFERROR(__xludf.DUMMYFUNCTION("""COMPUTED_VALUE"""),8.8)</f>
        <v>8.8</v>
      </c>
      <c r="BF1169" s="71">
        <f>IFERROR(__xludf.DUMMYFUNCTION("""COMPUTED_VALUE"""),63.8)</f>
        <v>63.8</v>
      </c>
      <c r="BG1169" s="71">
        <f>IFERROR(__xludf.DUMMYFUNCTION("""COMPUTED_VALUE"""),0.057692307692307696)</f>
        <v>0.05769230769</v>
      </c>
      <c r="BH1169" s="71">
        <f>IFERROR(__xludf.DUMMYFUNCTION("""COMPUTED_VALUE"""),52.25)</f>
        <v>52.25</v>
      </c>
      <c r="BI1169" s="71">
        <f>IFERROR(__xludf.DUMMYFUNCTION("""COMPUTED_VALUE"""),8.36)</f>
        <v>8.36</v>
      </c>
      <c r="BJ1169" s="71">
        <f>IFERROR(__xludf.DUMMYFUNCTION("""COMPUTED_VALUE"""),60.61)</f>
        <v>60.61</v>
      </c>
      <c r="BK1169" s="71">
        <f>IFERROR(__xludf.DUMMYFUNCTION("""COMPUTED_VALUE"""),49.5)</f>
        <v>49.5</v>
      </c>
      <c r="BL1169" s="71">
        <f>IFERROR(__xludf.DUMMYFUNCTION("""COMPUTED_VALUE"""),7.92)</f>
        <v>7.92</v>
      </c>
      <c r="BM1169" s="71">
        <f>IFERROR(__xludf.DUMMYFUNCTION("""COMPUTED_VALUE"""),57.42)</f>
        <v>57.42</v>
      </c>
      <c r="BN1169" s="71">
        <f>IFERROR(__xludf.DUMMYFUNCTION("""COMPUTED_VALUE"""),46.75)</f>
        <v>46.75</v>
      </c>
      <c r="BO1169" s="71">
        <f>IFERROR(__xludf.DUMMYFUNCTION("""COMPUTED_VALUE"""),7.48)</f>
        <v>7.48</v>
      </c>
      <c r="BP1169" s="71">
        <f>IFERROR(__xludf.DUMMYFUNCTION("""COMPUTED_VALUE"""),54.230000000000004)</f>
        <v>54.23</v>
      </c>
      <c r="BQ1169" s="71">
        <f>IFERROR(__xludf.DUMMYFUNCTION("""COMPUTED_VALUE"""),45.65)</f>
        <v>45.65</v>
      </c>
      <c r="BR1169" s="71">
        <f>IFERROR(__xludf.DUMMYFUNCTION("""COMPUTED_VALUE"""),7.304)</f>
        <v>7.304</v>
      </c>
      <c r="BS1169" s="71">
        <f>IFERROR(__xludf.DUMMYFUNCTION("""COMPUTED_VALUE"""),52.954)</f>
        <v>52.954</v>
      </c>
      <c r="BT1169" s="71">
        <f>IFERROR(__xludf.DUMMYFUNCTION("""COMPUTED_VALUE"""),44.0)</f>
        <v>44</v>
      </c>
      <c r="BU1169" s="71">
        <f>IFERROR(__xludf.DUMMYFUNCTION("""COMPUTED_VALUE"""),7.04)</f>
        <v>7.04</v>
      </c>
      <c r="BV1169" s="71">
        <f>IFERROR(__xludf.DUMMYFUNCTION("""COMPUTED_VALUE"""),51.04)</f>
        <v>51.04</v>
      </c>
    </row>
    <row r="1170">
      <c r="A1170" s="53">
        <v>1.0</v>
      </c>
      <c r="B1170" s="53"/>
      <c r="C1170" s="120" t="s">
        <v>53</v>
      </c>
      <c r="D1170" s="53" t="s">
        <v>2855</v>
      </c>
      <c r="E1170" s="54" t="s">
        <v>38</v>
      </c>
      <c r="F1170" s="54" t="s">
        <v>42</v>
      </c>
      <c r="G1170" s="152" t="s">
        <v>2856</v>
      </c>
      <c r="H1170" s="54" t="s">
        <v>2857</v>
      </c>
      <c r="I1170" s="54">
        <f t="shared" si="24"/>
        <v>40</v>
      </c>
      <c r="J1170" s="56"/>
      <c r="K1170" s="75"/>
      <c r="L1170" s="76"/>
      <c r="M1170" s="59"/>
      <c r="N1170" s="60">
        <v>1635.0</v>
      </c>
      <c r="O1170" s="61">
        <v>1765.0</v>
      </c>
      <c r="P1170" s="62">
        <v>1906.2</v>
      </c>
      <c r="Q1170" s="63">
        <v>1906.2</v>
      </c>
      <c r="R1170" s="64">
        <v>2002.0</v>
      </c>
      <c r="S1170" s="111">
        <v>2102.0</v>
      </c>
      <c r="T1170" s="65">
        <f t="shared" si="39"/>
        <v>336.32</v>
      </c>
      <c r="U1170" s="65">
        <f t="shared" si="40"/>
        <v>2438.32</v>
      </c>
      <c r="V1170" s="66">
        <f t="shared" si="42"/>
        <v>0.04995004995</v>
      </c>
      <c r="W1170" s="67">
        <f t="shared" si="5"/>
        <v>1996.9</v>
      </c>
      <c r="X1170" s="67">
        <f t="shared" si="43"/>
        <v>319.504</v>
      </c>
      <c r="Y1170" s="67">
        <f t="shared" si="44"/>
        <v>2316.404</v>
      </c>
      <c r="Z1170" s="67">
        <f t="shared" si="8"/>
        <v>1891.8</v>
      </c>
      <c r="AA1170" s="67">
        <f t="shared" si="45"/>
        <v>302.688</v>
      </c>
      <c r="AB1170" s="67">
        <f t="shared" si="46"/>
        <v>2194.488</v>
      </c>
      <c r="AC1170" s="67">
        <f t="shared" si="11"/>
        <v>1786.7</v>
      </c>
      <c r="AD1170" s="67">
        <f t="shared" si="12"/>
        <v>285.872</v>
      </c>
      <c r="AE1170" s="67">
        <f t="shared" si="13"/>
        <v>2072.572</v>
      </c>
      <c r="AF1170" s="67">
        <f t="shared" si="33"/>
        <v>1744.66</v>
      </c>
      <c r="AG1170" s="67">
        <f t="shared" si="15"/>
        <v>279.1456</v>
      </c>
      <c r="AH1170" s="67">
        <f t="shared" si="16"/>
        <v>2023.8056</v>
      </c>
      <c r="AI1170" s="67">
        <f t="shared" si="17"/>
        <v>1681.6</v>
      </c>
      <c r="AJ1170" s="68">
        <f t="shared" si="37"/>
        <v>269.056</v>
      </c>
      <c r="AK1170" s="68">
        <f t="shared" si="38"/>
        <v>1950.656</v>
      </c>
      <c r="AL1170" s="70">
        <f>IFERROR(__xludf.DUMMYFUNCTION("""COMPUTED_VALUE"""),1.0)</f>
        <v>1</v>
      </c>
      <c r="AM1170" s="70"/>
      <c r="AN1170" s="71" t="str">
        <f>IFERROR(__xludf.DUMMYFUNCTION("""COMPUTED_VALUE""")," CP")</f>
        <v>CP</v>
      </c>
      <c r="AO1170" s="71" t="str">
        <f>IFERROR(__xludf.DUMMYFUNCTION("""COMPUTED_VALUE""")," TB03")</f>
        <v>TB03</v>
      </c>
      <c r="AP1170" s="71" t="str">
        <f>IFERROR(__xludf.DUMMYFUNCTION("""COMPUTED_VALUE""")," PZA")</f>
        <v>PZA</v>
      </c>
      <c r="AQ1170" s="71" t="str">
        <f>IFERROR(__xludf.DUMMYFUNCTION("""COMPUTED_VALUE""")," REF")</f>
        <v>REF</v>
      </c>
      <c r="AR1170" s="71" t="str">
        <f>IFERROR(__xludf.DUMMYFUNCTION("""COMPUTED_VALUE""")," TABLETA DÚPLEX MODELO ANTERIOR CHICA")</f>
        <v>TABLETA DÚPLEX MODELO ANTERIOR CHICA</v>
      </c>
      <c r="AS1170" s="71" t="str">
        <f>IFERROR(__xludf.DUMMYFUNCTION("""COMPUTED_VALUE""")," TABLETA DPLX MA CHICA")</f>
        <v>TABLETA DPLX MA CHICA</v>
      </c>
      <c r="AT1170" s="71">
        <f>IFERROR(__xludf.DUMMYFUNCTION("""COMPUTED_VALUE"""),21.0)</f>
        <v>21</v>
      </c>
      <c r="AU1170" s="71"/>
      <c r="AV1170" s="71"/>
      <c r="AW1170" s="71"/>
      <c r="AX1170" s="71"/>
      <c r="AY1170" s="71">
        <f>IFERROR(__xludf.DUMMYFUNCTION("""COMPUTED_VALUE"""),33.0)</f>
        <v>33</v>
      </c>
      <c r="AZ1170" s="71">
        <f>IFERROR(__xludf.DUMMYFUNCTION("""COMPUTED_VALUE"""),35.0)</f>
        <v>35</v>
      </c>
      <c r="BA1170" s="71">
        <f>IFERROR(__xludf.DUMMYFUNCTION("""COMPUTED_VALUE"""),37.800000000000004)</f>
        <v>37.8</v>
      </c>
      <c r="BB1170" s="71">
        <f>IFERROR(__xludf.DUMMYFUNCTION("""COMPUTED_VALUE"""),37.800000000000004)</f>
        <v>37.8</v>
      </c>
      <c r="BC1170" s="71">
        <f>IFERROR(__xludf.DUMMYFUNCTION("""COMPUTED_VALUE"""),42.0)</f>
        <v>42</v>
      </c>
      <c r="BD1170" s="71">
        <f>IFERROR(__xludf.DUMMYFUNCTION("""COMPUTED_VALUE"""),44.0)</f>
        <v>44</v>
      </c>
      <c r="BE1170" s="71">
        <f>IFERROR(__xludf.DUMMYFUNCTION("""COMPUTED_VALUE"""),7.04)</f>
        <v>7.04</v>
      </c>
      <c r="BF1170" s="71">
        <f>IFERROR(__xludf.DUMMYFUNCTION("""COMPUTED_VALUE"""),51.04)</f>
        <v>51.04</v>
      </c>
      <c r="BG1170" s="71">
        <f>IFERROR(__xludf.DUMMYFUNCTION("""COMPUTED_VALUE"""),0.047619047619047616)</f>
        <v>0.04761904762</v>
      </c>
      <c r="BH1170" s="71">
        <f>IFERROR(__xludf.DUMMYFUNCTION("""COMPUTED_VALUE"""),41.8)</f>
        <v>41.8</v>
      </c>
      <c r="BI1170" s="71">
        <f>IFERROR(__xludf.DUMMYFUNCTION("""COMPUTED_VALUE"""),6.688)</f>
        <v>6.688</v>
      </c>
      <c r="BJ1170" s="71">
        <f>IFERROR(__xludf.DUMMYFUNCTION("""COMPUTED_VALUE"""),48.488)</f>
        <v>48.488</v>
      </c>
      <c r="BK1170" s="71">
        <f>IFERROR(__xludf.DUMMYFUNCTION("""COMPUTED_VALUE"""),39.6)</f>
        <v>39.6</v>
      </c>
      <c r="BL1170" s="71">
        <f>IFERROR(__xludf.DUMMYFUNCTION("""COMPUTED_VALUE"""),6.336)</f>
        <v>6.336</v>
      </c>
      <c r="BM1170" s="71">
        <f>IFERROR(__xludf.DUMMYFUNCTION("""COMPUTED_VALUE"""),45.936)</f>
        <v>45.936</v>
      </c>
      <c r="BN1170" s="71">
        <f>IFERROR(__xludf.DUMMYFUNCTION("""COMPUTED_VALUE"""),37.4)</f>
        <v>37.4</v>
      </c>
      <c r="BO1170" s="71">
        <f>IFERROR(__xludf.DUMMYFUNCTION("""COMPUTED_VALUE"""),5.984)</f>
        <v>5.984</v>
      </c>
      <c r="BP1170" s="71">
        <f>IFERROR(__xludf.DUMMYFUNCTION("""COMPUTED_VALUE"""),43.384)</f>
        <v>43.384</v>
      </c>
      <c r="BQ1170" s="71">
        <f>IFERROR(__xludf.DUMMYFUNCTION("""COMPUTED_VALUE"""),36.519999999999996)</f>
        <v>36.52</v>
      </c>
      <c r="BR1170" s="71">
        <f>IFERROR(__xludf.DUMMYFUNCTION("""COMPUTED_VALUE"""),5.8431999999999995)</f>
        <v>5.8432</v>
      </c>
      <c r="BS1170" s="71">
        <f>IFERROR(__xludf.DUMMYFUNCTION("""COMPUTED_VALUE"""),42.36319999999999)</f>
        <v>42.3632</v>
      </c>
      <c r="BT1170" s="71">
        <f>IFERROR(__xludf.DUMMYFUNCTION("""COMPUTED_VALUE"""),35.2)</f>
        <v>35.2</v>
      </c>
      <c r="BU1170" s="71">
        <f>IFERROR(__xludf.DUMMYFUNCTION("""COMPUTED_VALUE"""),5.632000000000001)</f>
        <v>5.632</v>
      </c>
      <c r="BV1170" s="71">
        <f>IFERROR(__xludf.DUMMYFUNCTION("""COMPUTED_VALUE"""),40.832)</f>
        <v>40.832</v>
      </c>
    </row>
    <row r="1171">
      <c r="A1171" s="53"/>
      <c r="B1171" s="53"/>
      <c r="C1171" s="120" t="s">
        <v>53</v>
      </c>
      <c r="D1171" s="128" t="s">
        <v>2858</v>
      </c>
      <c r="E1171" s="54" t="s">
        <v>38</v>
      </c>
      <c r="F1171" s="54" t="s">
        <v>42</v>
      </c>
      <c r="G1171" s="130" t="s">
        <v>2859</v>
      </c>
      <c r="H1171" s="54" t="s">
        <v>2860</v>
      </c>
      <c r="I1171" s="54">
        <f t="shared" si="24"/>
        <v>34</v>
      </c>
      <c r="J1171" s="56"/>
      <c r="K1171" s="75"/>
      <c r="L1171" s="76"/>
      <c r="M1171" s="59"/>
      <c r="N1171" s="60">
        <v>262.5</v>
      </c>
      <c r="O1171" s="129">
        <v>283.0</v>
      </c>
      <c r="P1171" s="62">
        <v>305.64000000000004</v>
      </c>
      <c r="Q1171" s="63">
        <v>305.64000000000004</v>
      </c>
      <c r="R1171" s="64">
        <v>322.0</v>
      </c>
      <c r="S1171" s="111">
        <v>338.0</v>
      </c>
      <c r="T1171" s="65">
        <f t="shared" si="39"/>
        <v>54.08</v>
      </c>
      <c r="U1171" s="65">
        <f t="shared" si="40"/>
        <v>392.08</v>
      </c>
      <c r="V1171" s="66">
        <f t="shared" si="42"/>
        <v>0.04968944099</v>
      </c>
      <c r="W1171" s="67">
        <f t="shared" si="5"/>
        <v>321.1</v>
      </c>
      <c r="X1171" s="67">
        <f t="shared" si="43"/>
        <v>51.376</v>
      </c>
      <c r="Y1171" s="67">
        <f t="shared" si="44"/>
        <v>372.476</v>
      </c>
      <c r="Z1171" s="67">
        <f t="shared" si="8"/>
        <v>304.2</v>
      </c>
      <c r="AA1171" s="67">
        <f t="shared" si="45"/>
        <v>48.672</v>
      </c>
      <c r="AB1171" s="67">
        <f t="shared" si="46"/>
        <v>352.872</v>
      </c>
      <c r="AC1171" s="67">
        <f t="shared" si="11"/>
        <v>287.3</v>
      </c>
      <c r="AD1171" s="67">
        <f t="shared" si="12"/>
        <v>45.968</v>
      </c>
      <c r="AE1171" s="67">
        <f t="shared" si="13"/>
        <v>333.268</v>
      </c>
      <c r="AF1171" s="67">
        <f t="shared" si="33"/>
        <v>280.54</v>
      </c>
      <c r="AG1171" s="67">
        <f t="shared" si="15"/>
        <v>44.8864</v>
      </c>
      <c r="AH1171" s="67">
        <f t="shared" si="16"/>
        <v>325.4264</v>
      </c>
      <c r="AI1171" s="67">
        <f t="shared" si="17"/>
        <v>270.4</v>
      </c>
      <c r="AJ1171" s="68">
        <f t="shared" si="37"/>
        <v>43.264</v>
      </c>
      <c r="AK1171" s="68">
        <f t="shared" si="38"/>
        <v>313.664</v>
      </c>
      <c r="AL1171" s="70">
        <f>IFERROR(__xludf.DUMMYFUNCTION("""COMPUTED_VALUE"""),1.0)</f>
        <v>1</v>
      </c>
      <c r="AM1171" s="70"/>
      <c r="AN1171" s="71" t="str">
        <f>IFERROR(__xludf.DUMMYFUNCTION("""COMPUTED_VALUE""")," CP")</f>
        <v>CP</v>
      </c>
      <c r="AO1171" s="71" t="str">
        <f>IFERROR(__xludf.DUMMYFUNCTION("""COMPUTED_VALUE""")," TB04")</f>
        <v>TB04</v>
      </c>
      <c r="AP1171" s="71" t="str">
        <f>IFERROR(__xludf.DUMMYFUNCTION("""COMPUTED_VALUE""")," PZA")</f>
        <v>PZA</v>
      </c>
      <c r="AQ1171" s="71" t="str">
        <f>IFERROR(__xludf.DUMMYFUNCTION("""COMPUTED_VALUE""")," REF")</f>
        <v>REF</v>
      </c>
      <c r="AR1171" s="71" t="str">
        <f>IFERROR(__xludf.DUMMYFUNCTION("""COMPUTED_VALUE""")," TABLETA DÚPLEX MODELO ANTERIOR GRANDE")</f>
        <v>TABLETA DÚPLEX MODELO ANTERIOR GRANDE</v>
      </c>
      <c r="AS1171" s="71" t="str">
        <f>IFERROR(__xludf.DUMMYFUNCTION("""COMPUTED_VALUE""")," TABLETA DPLX MA GRANDE")</f>
        <v>TABLETA DPLX MA GRANDE</v>
      </c>
      <c r="AT1171" s="71">
        <f>IFERROR(__xludf.DUMMYFUNCTION("""COMPUTED_VALUE"""),22.0)</f>
        <v>22</v>
      </c>
      <c r="AU1171" s="71"/>
      <c r="AV1171" s="71"/>
      <c r="AW1171" s="71"/>
      <c r="AX1171" s="71"/>
      <c r="AY1171" s="71">
        <f>IFERROR(__xludf.DUMMYFUNCTION("""COMPUTED_VALUE"""),31.0)</f>
        <v>31</v>
      </c>
      <c r="AZ1171" s="71">
        <f>IFERROR(__xludf.DUMMYFUNCTION("""COMPUTED_VALUE"""),33.0)</f>
        <v>33</v>
      </c>
      <c r="BA1171" s="71">
        <f>IFERROR(__xludf.DUMMYFUNCTION("""COMPUTED_VALUE"""),35.64)</f>
        <v>35.64</v>
      </c>
      <c r="BB1171" s="71">
        <f>IFERROR(__xludf.DUMMYFUNCTION("""COMPUTED_VALUE"""),35.64)</f>
        <v>35.64</v>
      </c>
      <c r="BC1171" s="71">
        <f>IFERROR(__xludf.DUMMYFUNCTION("""COMPUTED_VALUE"""),40.0)</f>
        <v>40</v>
      </c>
      <c r="BD1171" s="71">
        <f>IFERROR(__xludf.DUMMYFUNCTION("""COMPUTED_VALUE"""),42.0)</f>
        <v>42</v>
      </c>
      <c r="BE1171" s="71">
        <f>IFERROR(__xludf.DUMMYFUNCTION("""COMPUTED_VALUE"""),6.72)</f>
        <v>6.72</v>
      </c>
      <c r="BF1171" s="71">
        <f>IFERROR(__xludf.DUMMYFUNCTION("""COMPUTED_VALUE"""),48.72)</f>
        <v>48.72</v>
      </c>
      <c r="BG1171" s="71">
        <f>IFERROR(__xludf.DUMMYFUNCTION("""COMPUTED_VALUE"""),0.05)</f>
        <v>0.05</v>
      </c>
      <c r="BH1171" s="71">
        <f>IFERROR(__xludf.DUMMYFUNCTION("""COMPUTED_VALUE"""),39.9)</f>
        <v>39.9</v>
      </c>
      <c r="BI1171" s="71">
        <f>IFERROR(__xludf.DUMMYFUNCTION("""COMPUTED_VALUE"""),6.384)</f>
        <v>6.384</v>
      </c>
      <c r="BJ1171" s="71">
        <f>IFERROR(__xludf.DUMMYFUNCTION("""COMPUTED_VALUE"""),46.284)</f>
        <v>46.284</v>
      </c>
      <c r="BK1171" s="71">
        <f>IFERROR(__xludf.DUMMYFUNCTION("""COMPUTED_VALUE"""),37.800000000000004)</f>
        <v>37.8</v>
      </c>
      <c r="BL1171" s="71">
        <f>IFERROR(__xludf.DUMMYFUNCTION("""COMPUTED_VALUE"""),6.048000000000001)</f>
        <v>6.048</v>
      </c>
      <c r="BM1171" s="71">
        <f>IFERROR(__xludf.DUMMYFUNCTION("""COMPUTED_VALUE"""),43.848000000000006)</f>
        <v>43.848</v>
      </c>
      <c r="BN1171" s="71">
        <f>IFERROR(__xludf.DUMMYFUNCTION("""COMPUTED_VALUE"""),35.699999999999996)</f>
        <v>35.7</v>
      </c>
      <c r="BO1171" s="71">
        <f>IFERROR(__xludf.DUMMYFUNCTION("""COMPUTED_VALUE"""),5.712)</f>
        <v>5.712</v>
      </c>
      <c r="BP1171" s="71">
        <f>IFERROR(__xludf.DUMMYFUNCTION("""COMPUTED_VALUE"""),41.41199999999999)</f>
        <v>41.412</v>
      </c>
      <c r="BQ1171" s="71">
        <f>IFERROR(__xludf.DUMMYFUNCTION("""COMPUTED_VALUE"""),34.86)</f>
        <v>34.86</v>
      </c>
      <c r="BR1171" s="71">
        <f>IFERROR(__xludf.DUMMYFUNCTION("""COMPUTED_VALUE"""),5.5776)</f>
        <v>5.5776</v>
      </c>
      <c r="BS1171" s="71">
        <f>IFERROR(__xludf.DUMMYFUNCTION("""COMPUTED_VALUE"""),40.4376)</f>
        <v>40.4376</v>
      </c>
      <c r="BT1171" s="71">
        <f>IFERROR(__xludf.DUMMYFUNCTION("""COMPUTED_VALUE"""),33.6)</f>
        <v>33.6</v>
      </c>
      <c r="BU1171" s="71">
        <f>IFERROR(__xludf.DUMMYFUNCTION("""COMPUTED_VALUE"""),5.376)</f>
        <v>5.376</v>
      </c>
      <c r="BV1171" s="71">
        <f>IFERROR(__xludf.DUMMYFUNCTION("""COMPUTED_VALUE"""),38.976)</f>
        <v>38.976</v>
      </c>
    </row>
    <row r="1172">
      <c r="A1172" s="53"/>
      <c r="B1172" s="53"/>
      <c r="C1172" s="53" t="s">
        <v>36</v>
      </c>
      <c r="D1172" s="85" t="s">
        <v>2861</v>
      </c>
      <c r="E1172" s="54" t="s">
        <v>38</v>
      </c>
      <c r="F1172" s="55" t="s">
        <v>39</v>
      </c>
      <c r="G1172" s="86" t="s">
        <v>2862</v>
      </c>
      <c r="H1172" s="55"/>
      <c r="I1172" s="54">
        <f t="shared" si="24"/>
        <v>0</v>
      </c>
      <c r="J1172" s="56"/>
      <c r="K1172" s="57"/>
      <c r="L1172" s="76"/>
      <c r="M1172" s="59"/>
      <c r="N1172" s="60"/>
      <c r="O1172" s="61">
        <v>825.6</v>
      </c>
      <c r="P1172" s="62">
        <v>891.6480000000001</v>
      </c>
      <c r="Q1172" s="63">
        <v>891.6480000000001</v>
      </c>
      <c r="R1172" s="64">
        <v>937.0</v>
      </c>
      <c r="S1172" s="107">
        <v>984.0</v>
      </c>
      <c r="T1172" s="65">
        <f t="shared" si="39"/>
        <v>157.44</v>
      </c>
      <c r="U1172" s="65">
        <f t="shared" si="40"/>
        <v>1141.44</v>
      </c>
      <c r="V1172" s="66">
        <f t="shared" si="42"/>
        <v>0.05016008538</v>
      </c>
      <c r="W1172" s="67">
        <f t="shared" si="5"/>
        <v>934.8</v>
      </c>
      <c r="X1172" s="67">
        <f t="shared" si="43"/>
        <v>149.568</v>
      </c>
      <c r="Y1172" s="67">
        <f t="shared" si="44"/>
        <v>1084.368</v>
      </c>
      <c r="Z1172" s="67">
        <f t="shared" si="8"/>
        <v>885.6</v>
      </c>
      <c r="AA1172" s="67">
        <f t="shared" si="45"/>
        <v>141.696</v>
      </c>
      <c r="AB1172" s="67">
        <f t="shared" si="46"/>
        <v>1027.296</v>
      </c>
      <c r="AC1172" s="67">
        <f t="shared" si="11"/>
        <v>836.4</v>
      </c>
      <c r="AD1172" s="67">
        <f t="shared" si="12"/>
        <v>133.824</v>
      </c>
      <c r="AE1172" s="67">
        <f t="shared" si="13"/>
        <v>970.224</v>
      </c>
      <c r="AF1172" s="67">
        <f t="shared" si="33"/>
        <v>816.72</v>
      </c>
      <c r="AG1172" s="67">
        <f t="shared" si="15"/>
        <v>130.6752</v>
      </c>
      <c r="AH1172" s="67">
        <f t="shared" si="16"/>
        <v>947.3952</v>
      </c>
      <c r="AI1172" s="67">
        <f t="shared" si="17"/>
        <v>787.2</v>
      </c>
      <c r="AJ1172" s="68">
        <f t="shared" si="37"/>
        <v>125.952</v>
      </c>
      <c r="AK1172" s="68">
        <f t="shared" si="38"/>
        <v>913.152</v>
      </c>
      <c r="AL1172" s="70">
        <f>IFERROR(__xludf.DUMMYFUNCTION("""COMPUTED_VALUE"""),1.0)</f>
        <v>1</v>
      </c>
      <c r="AM1172" s="70"/>
      <c r="AN1172" s="71" t="str">
        <f>IFERROR(__xludf.DUMMYFUNCTION("""COMPUTED_VALUE""")," CP")</f>
        <v>CP</v>
      </c>
      <c r="AO1172" s="71" t="str">
        <f>IFERROR(__xludf.DUMMYFUNCTION("""COMPUTED_VALUE""")," TB05")</f>
        <v>TB05</v>
      </c>
      <c r="AP1172" s="71" t="str">
        <f>IFERROR(__xludf.DUMMYFUNCTION("""COMPUTED_VALUE""")," PZA")</f>
        <v>PZA</v>
      </c>
      <c r="AQ1172" s="71" t="str">
        <f>IFERROR(__xludf.DUMMYFUNCTION("""COMPUTED_VALUE""")," REF")</f>
        <v>REF</v>
      </c>
      <c r="AR1172" s="71" t="str">
        <f>IFERROR(__xludf.DUMMYFUNCTION("""COMPUTED_VALUE""")," TABLETA SENCILLA MODELO ANTERIOR CHICA")</f>
        <v>TABLETA SENCILLA MODELO ANTERIOR CHICA</v>
      </c>
      <c r="AS1172" s="71" t="str">
        <f>IFERROR(__xludf.DUMMYFUNCTION("""COMPUTED_VALUE""")," TABLETA SENCILLA MODELO ANTERIOR CHICA")</f>
        <v>TABLETA SENCILLA MODELO ANTERIOR CHICA</v>
      </c>
      <c r="AT1172" s="71">
        <f>IFERROR(__xludf.DUMMYFUNCTION("""COMPUTED_VALUE"""),38.0)</f>
        <v>38</v>
      </c>
      <c r="AU1172" s="71"/>
      <c r="AV1172" s="71"/>
      <c r="AW1172" s="71"/>
      <c r="AX1172" s="71"/>
      <c r="AY1172" s="71">
        <f>IFERROR(__xludf.DUMMYFUNCTION("""COMPUTED_VALUE"""),31.0)</f>
        <v>31</v>
      </c>
      <c r="AZ1172" s="71">
        <f>IFERROR(__xludf.DUMMYFUNCTION("""COMPUTED_VALUE"""),33.0)</f>
        <v>33</v>
      </c>
      <c r="BA1172" s="71">
        <f>IFERROR(__xludf.DUMMYFUNCTION("""COMPUTED_VALUE"""),35.64)</f>
        <v>35.64</v>
      </c>
      <c r="BB1172" s="71">
        <f>IFERROR(__xludf.DUMMYFUNCTION("""COMPUTED_VALUE"""),35.64)</f>
        <v>35.64</v>
      </c>
      <c r="BC1172" s="71">
        <f>IFERROR(__xludf.DUMMYFUNCTION("""COMPUTED_VALUE"""),40.0)</f>
        <v>40</v>
      </c>
      <c r="BD1172" s="71">
        <f>IFERROR(__xludf.DUMMYFUNCTION("""COMPUTED_VALUE"""),42.0)</f>
        <v>42</v>
      </c>
      <c r="BE1172" s="71">
        <f>IFERROR(__xludf.DUMMYFUNCTION("""COMPUTED_VALUE"""),6.72)</f>
        <v>6.72</v>
      </c>
      <c r="BF1172" s="71">
        <f>IFERROR(__xludf.DUMMYFUNCTION("""COMPUTED_VALUE"""),48.72)</f>
        <v>48.72</v>
      </c>
      <c r="BG1172" s="71">
        <f>IFERROR(__xludf.DUMMYFUNCTION("""COMPUTED_VALUE"""),0.05)</f>
        <v>0.05</v>
      </c>
      <c r="BH1172" s="71">
        <f>IFERROR(__xludf.DUMMYFUNCTION("""COMPUTED_VALUE"""),39.9)</f>
        <v>39.9</v>
      </c>
      <c r="BI1172" s="71">
        <f>IFERROR(__xludf.DUMMYFUNCTION("""COMPUTED_VALUE"""),6.384)</f>
        <v>6.384</v>
      </c>
      <c r="BJ1172" s="71">
        <f>IFERROR(__xludf.DUMMYFUNCTION("""COMPUTED_VALUE"""),46.284)</f>
        <v>46.284</v>
      </c>
      <c r="BK1172" s="71">
        <f>IFERROR(__xludf.DUMMYFUNCTION("""COMPUTED_VALUE"""),37.800000000000004)</f>
        <v>37.8</v>
      </c>
      <c r="BL1172" s="71">
        <f>IFERROR(__xludf.DUMMYFUNCTION("""COMPUTED_VALUE"""),6.048000000000001)</f>
        <v>6.048</v>
      </c>
      <c r="BM1172" s="71">
        <f>IFERROR(__xludf.DUMMYFUNCTION("""COMPUTED_VALUE"""),43.848000000000006)</f>
        <v>43.848</v>
      </c>
      <c r="BN1172" s="71">
        <f>IFERROR(__xludf.DUMMYFUNCTION("""COMPUTED_VALUE"""),35.699999999999996)</f>
        <v>35.7</v>
      </c>
      <c r="BO1172" s="71">
        <f>IFERROR(__xludf.DUMMYFUNCTION("""COMPUTED_VALUE"""),5.712)</f>
        <v>5.712</v>
      </c>
      <c r="BP1172" s="71">
        <f>IFERROR(__xludf.DUMMYFUNCTION("""COMPUTED_VALUE"""),41.41199999999999)</f>
        <v>41.412</v>
      </c>
      <c r="BQ1172" s="71">
        <f>IFERROR(__xludf.DUMMYFUNCTION("""COMPUTED_VALUE"""),34.86)</f>
        <v>34.86</v>
      </c>
      <c r="BR1172" s="71">
        <f>IFERROR(__xludf.DUMMYFUNCTION("""COMPUTED_VALUE"""),5.5776)</f>
        <v>5.5776</v>
      </c>
      <c r="BS1172" s="71">
        <f>IFERROR(__xludf.DUMMYFUNCTION("""COMPUTED_VALUE"""),40.4376)</f>
        <v>40.4376</v>
      </c>
      <c r="BT1172" s="71">
        <f>IFERROR(__xludf.DUMMYFUNCTION("""COMPUTED_VALUE"""),33.6)</f>
        <v>33.6</v>
      </c>
      <c r="BU1172" s="71">
        <f>IFERROR(__xludf.DUMMYFUNCTION("""COMPUTED_VALUE"""),5.376)</f>
        <v>5.376</v>
      </c>
      <c r="BV1172" s="71">
        <f>IFERROR(__xludf.DUMMYFUNCTION("""COMPUTED_VALUE"""),38.976)</f>
        <v>38.976</v>
      </c>
    </row>
    <row r="1173">
      <c r="A1173" s="53">
        <v>1.0</v>
      </c>
      <c r="B1173" s="72"/>
      <c r="C1173" s="120" t="s">
        <v>53</v>
      </c>
      <c r="D1173" s="74" t="s">
        <v>2863</v>
      </c>
      <c r="E1173" s="54" t="s">
        <v>38</v>
      </c>
      <c r="F1173" s="54" t="s">
        <v>42</v>
      </c>
      <c r="G1173" s="88" t="s">
        <v>2864</v>
      </c>
      <c r="H1173" s="54" t="s">
        <v>2865</v>
      </c>
      <c r="I1173" s="54">
        <f t="shared" si="24"/>
        <v>38</v>
      </c>
      <c r="J1173" s="56"/>
      <c r="K1173" s="75"/>
      <c r="L1173" s="76"/>
      <c r="M1173" s="59"/>
      <c r="N1173" s="60">
        <v>561.0</v>
      </c>
      <c r="O1173" s="61">
        <v>605.0</v>
      </c>
      <c r="P1173" s="62">
        <v>653.4000000000001</v>
      </c>
      <c r="Q1173" s="63">
        <v>653.4000000000001</v>
      </c>
      <c r="R1173" s="64">
        <v>728.0</v>
      </c>
      <c r="S1173" s="111">
        <v>764.0</v>
      </c>
      <c r="T1173" s="65">
        <f t="shared" si="39"/>
        <v>122.24</v>
      </c>
      <c r="U1173" s="65">
        <f t="shared" si="40"/>
        <v>886.24</v>
      </c>
      <c r="V1173" s="66">
        <f t="shared" si="42"/>
        <v>0.04945054945</v>
      </c>
      <c r="W1173" s="67">
        <f t="shared" si="5"/>
        <v>725.8</v>
      </c>
      <c r="X1173" s="67">
        <f t="shared" si="43"/>
        <v>116.128</v>
      </c>
      <c r="Y1173" s="67">
        <f t="shared" si="44"/>
        <v>841.928</v>
      </c>
      <c r="Z1173" s="67">
        <f t="shared" si="8"/>
        <v>687.6</v>
      </c>
      <c r="AA1173" s="67">
        <f t="shared" si="45"/>
        <v>110.016</v>
      </c>
      <c r="AB1173" s="67">
        <f t="shared" si="46"/>
        <v>797.616</v>
      </c>
      <c r="AC1173" s="67">
        <f t="shared" si="11"/>
        <v>649.4</v>
      </c>
      <c r="AD1173" s="67">
        <f t="shared" si="12"/>
        <v>103.904</v>
      </c>
      <c r="AE1173" s="67">
        <f t="shared" si="13"/>
        <v>753.304</v>
      </c>
      <c r="AF1173" s="67">
        <f t="shared" si="33"/>
        <v>634.12</v>
      </c>
      <c r="AG1173" s="67">
        <f t="shared" si="15"/>
        <v>101.4592</v>
      </c>
      <c r="AH1173" s="67">
        <f t="shared" si="16"/>
        <v>735.5792</v>
      </c>
      <c r="AI1173" s="67">
        <f t="shared" si="17"/>
        <v>611.2</v>
      </c>
      <c r="AJ1173" s="68">
        <f t="shared" si="37"/>
        <v>97.792</v>
      </c>
      <c r="AK1173" s="68">
        <f t="shared" si="38"/>
        <v>708.992</v>
      </c>
      <c r="AL1173" s="70">
        <f>IFERROR(__xludf.DUMMYFUNCTION("""COMPUTED_VALUE"""),1.0)</f>
        <v>1</v>
      </c>
      <c r="AM1173" s="70"/>
      <c r="AN1173" s="71" t="str">
        <f>IFERROR(__xludf.DUMMYFUNCTION("""COMPUTED_VALUE""")," CP")</f>
        <v>CP</v>
      </c>
      <c r="AO1173" s="71" t="str">
        <f>IFERROR(__xludf.DUMMYFUNCTION("""COMPUTED_VALUE""")," TB07")</f>
        <v>TB07</v>
      </c>
      <c r="AP1173" s="71" t="str">
        <f>IFERROR(__xludf.DUMMYFUNCTION("""COMPUTED_VALUE""")," PZA")</f>
        <v>PZA</v>
      </c>
      <c r="AQ1173" s="71" t="str">
        <f>IFERROR(__xludf.DUMMYFUNCTION("""COMPUTED_VALUE""")," REF")</f>
        <v>REF</v>
      </c>
      <c r="AR1173" s="71" t="str">
        <f>IFERROR(__xludf.DUMMYFUNCTION("""COMPUTED_VALUE""")," TABLETA SENCILLA MODELO ANTERIOR ESPECIAL PARA COMAL DE 100 TABLETAS")</f>
        <v>TABLETA SENCILLA MODELO ANTERIOR ESPECIAL PARA COMAL DE 100 TABLETAS</v>
      </c>
      <c r="AS1173" s="71" t="str">
        <f>IFERROR(__xludf.DUMMYFUNCTION("""COMPUTED_VALUE""")," TABLETA SENCILLA MA ESP")</f>
        <v>TABLETA SENCILLA MA ESP</v>
      </c>
      <c r="AT1173" s="71">
        <f>IFERROR(__xludf.DUMMYFUNCTION("""COMPUTED_VALUE"""),23.0)</f>
        <v>23</v>
      </c>
      <c r="AU1173" s="71"/>
      <c r="AV1173" s="71"/>
      <c r="AW1173" s="71"/>
      <c r="AX1173" s="71"/>
      <c r="AY1173" s="71">
        <f>IFERROR(__xludf.DUMMYFUNCTION("""COMPUTED_VALUE"""),33.0)</f>
        <v>33</v>
      </c>
      <c r="AZ1173" s="71">
        <f>IFERROR(__xludf.DUMMYFUNCTION("""COMPUTED_VALUE"""),35.0)</f>
        <v>35</v>
      </c>
      <c r="BA1173" s="71">
        <f>IFERROR(__xludf.DUMMYFUNCTION("""COMPUTED_VALUE"""),37.800000000000004)</f>
        <v>37.8</v>
      </c>
      <c r="BB1173" s="71">
        <f>IFERROR(__xludf.DUMMYFUNCTION("""COMPUTED_VALUE"""),37.800000000000004)</f>
        <v>37.8</v>
      </c>
      <c r="BC1173" s="71">
        <f>IFERROR(__xludf.DUMMYFUNCTION("""COMPUTED_VALUE"""),44.0)</f>
        <v>44</v>
      </c>
      <c r="BD1173" s="71">
        <f>IFERROR(__xludf.DUMMYFUNCTION("""COMPUTED_VALUE"""),46.0)</f>
        <v>46</v>
      </c>
      <c r="BE1173" s="71">
        <f>IFERROR(__xludf.DUMMYFUNCTION("""COMPUTED_VALUE"""),7.36)</f>
        <v>7.36</v>
      </c>
      <c r="BF1173" s="71">
        <f>IFERROR(__xludf.DUMMYFUNCTION("""COMPUTED_VALUE"""),53.36)</f>
        <v>53.36</v>
      </c>
      <c r="BG1173" s="71">
        <f>IFERROR(__xludf.DUMMYFUNCTION("""COMPUTED_VALUE"""),0.045454545454545456)</f>
        <v>0.04545454545</v>
      </c>
      <c r="BH1173" s="71">
        <f>IFERROR(__xludf.DUMMYFUNCTION("""COMPUTED_VALUE"""),43.699999999999996)</f>
        <v>43.7</v>
      </c>
      <c r="BI1173" s="71">
        <f>IFERROR(__xludf.DUMMYFUNCTION("""COMPUTED_VALUE"""),6.991999999999999)</f>
        <v>6.992</v>
      </c>
      <c r="BJ1173" s="71">
        <f>IFERROR(__xludf.DUMMYFUNCTION("""COMPUTED_VALUE"""),50.69199999999999)</f>
        <v>50.692</v>
      </c>
      <c r="BK1173" s="71">
        <f>IFERROR(__xludf.DUMMYFUNCTION("""COMPUTED_VALUE"""),41.4)</f>
        <v>41.4</v>
      </c>
      <c r="BL1173" s="71">
        <f>IFERROR(__xludf.DUMMYFUNCTION("""COMPUTED_VALUE"""),6.624)</f>
        <v>6.624</v>
      </c>
      <c r="BM1173" s="71">
        <f>IFERROR(__xludf.DUMMYFUNCTION("""COMPUTED_VALUE"""),48.024)</f>
        <v>48.024</v>
      </c>
      <c r="BN1173" s="71">
        <f>IFERROR(__xludf.DUMMYFUNCTION("""COMPUTED_VALUE"""),39.1)</f>
        <v>39.1</v>
      </c>
      <c r="BO1173" s="71">
        <f>IFERROR(__xludf.DUMMYFUNCTION("""COMPUTED_VALUE"""),6.256)</f>
        <v>6.256</v>
      </c>
      <c r="BP1173" s="71">
        <f>IFERROR(__xludf.DUMMYFUNCTION("""COMPUTED_VALUE"""),45.356)</f>
        <v>45.356</v>
      </c>
      <c r="BQ1173" s="71">
        <f>IFERROR(__xludf.DUMMYFUNCTION("""COMPUTED_VALUE"""),38.18)</f>
        <v>38.18</v>
      </c>
      <c r="BR1173" s="71">
        <f>IFERROR(__xludf.DUMMYFUNCTION("""COMPUTED_VALUE"""),6.1088000000000005)</f>
        <v>6.1088</v>
      </c>
      <c r="BS1173" s="71">
        <f>IFERROR(__xludf.DUMMYFUNCTION("""COMPUTED_VALUE"""),44.2888)</f>
        <v>44.2888</v>
      </c>
      <c r="BT1173" s="71">
        <f>IFERROR(__xludf.DUMMYFUNCTION("""COMPUTED_VALUE"""),36.800000000000004)</f>
        <v>36.8</v>
      </c>
      <c r="BU1173" s="71">
        <f>IFERROR(__xludf.DUMMYFUNCTION("""COMPUTED_VALUE"""),5.888000000000001)</f>
        <v>5.888</v>
      </c>
      <c r="BV1173" s="71">
        <f>IFERROR(__xludf.DUMMYFUNCTION("""COMPUTED_VALUE"""),42.688)</f>
        <v>42.688</v>
      </c>
    </row>
    <row r="1174">
      <c r="A1174" s="53"/>
      <c r="B1174" s="53"/>
      <c r="C1174" s="53" t="s">
        <v>395</v>
      </c>
      <c r="D1174" s="53" t="s">
        <v>2866</v>
      </c>
      <c r="E1174" s="86" t="s">
        <v>38</v>
      </c>
      <c r="F1174" s="91" t="s">
        <v>39</v>
      </c>
      <c r="G1174" s="84" t="s">
        <v>2867</v>
      </c>
      <c r="H1174" s="55" t="s">
        <v>2868</v>
      </c>
      <c r="I1174" s="54">
        <f t="shared" si="24"/>
        <v>40</v>
      </c>
      <c r="J1174" s="56"/>
      <c r="K1174" s="57"/>
      <c r="L1174" s="119"/>
      <c r="M1174" s="59"/>
      <c r="N1174" s="93"/>
      <c r="O1174" s="61"/>
      <c r="P1174" s="90"/>
      <c r="Q1174" s="94"/>
      <c r="R1174" s="95"/>
      <c r="S1174" s="65">
        <v>490.0</v>
      </c>
      <c r="T1174" s="65">
        <f t="shared" si="39"/>
        <v>78.4</v>
      </c>
      <c r="U1174" s="65">
        <f t="shared" si="40"/>
        <v>568.4</v>
      </c>
      <c r="V1174" s="66" t="str">
        <f t="shared" si="42"/>
        <v>#DIV/0!</v>
      </c>
      <c r="W1174" s="67">
        <f t="shared" si="5"/>
        <v>465.5</v>
      </c>
      <c r="X1174" s="67">
        <f t="shared" si="43"/>
        <v>74.48</v>
      </c>
      <c r="Y1174" s="67">
        <f t="shared" si="44"/>
        <v>539.98</v>
      </c>
      <c r="Z1174" s="67">
        <f t="shared" si="8"/>
        <v>441</v>
      </c>
      <c r="AA1174" s="67">
        <f t="shared" si="45"/>
        <v>70.56</v>
      </c>
      <c r="AB1174" s="67">
        <f t="shared" si="46"/>
        <v>511.56</v>
      </c>
      <c r="AC1174" s="67">
        <f t="shared" si="11"/>
        <v>416.5</v>
      </c>
      <c r="AD1174" s="67">
        <f t="shared" si="12"/>
        <v>66.64</v>
      </c>
      <c r="AE1174" s="67">
        <f t="shared" si="13"/>
        <v>483.14</v>
      </c>
      <c r="AF1174" s="67">
        <f t="shared" si="33"/>
        <v>406.7</v>
      </c>
      <c r="AG1174" s="67">
        <f t="shared" si="15"/>
        <v>65.072</v>
      </c>
      <c r="AH1174" s="67">
        <f t="shared" si="16"/>
        <v>471.772</v>
      </c>
      <c r="AI1174" s="67">
        <f t="shared" si="17"/>
        <v>392</v>
      </c>
      <c r="AJ1174" s="68">
        <f t="shared" si="37"/>
        <v>62.72</v>
      </c>
      <c r="AK1174" s="68">
        <f t="shared" si="38"/>
        <v>454.72</v>
      </c>
      <c r="AL1174" s="70">
        <f>IFERROR(__xludf.DUMMYFUNCTION("""COMPUTED_VALUE"""),1.0)</f>
        <v>1</v>
      </c>
      <c r="AM1174" s="70"/>
      <c r="AN1174" s="71" t="str">
        <f>IFERROR(__xludf.DUMMYFUNCTION("""COMPUTED_VALUE""")," CP")</f>
        <v>CP</v>
      </c>
      <c r="AO1174" s="71" t="str">
        <f>IFERROR(__xludf.DUMMYFUNCTION("""COMPUTED_VALUE""")," TB08")</f>
        <v>TB08</v>
      </c>
      <c r="AP1174" s="71" t="str">
        <f>IFERROR(__xludf.DUMMYFUNCTION("""COMPUTED_VALUE""")," PZA")</f>
        <v>PZA</v>
      </c>
      <c r="AQ1174" s="71" t="str">
        <f>IFERROR(__xludf.DUMMYFUNCTION("""COMPUTED_VALUE""")," REF")</f>
        <v>REF</v>
      </c>
      <c r="AR1174" s="71" t="str">
        <f>IFERROR(__xludf.DUMMYFUNCTION("""COMPUTED_VALUE""")," TABLETA SENCILLA MODELO ANTERIOR ESPECIAL PARA COMAL DE 92 TABLETAS")</f>
        <v>TABLETA SENCILLA MODELO ANTERIOR ESPECIAL PARA COMAL DE 92 TABLETAS</v>
      </c>
      <c r="AS1174" s="71" t="str">
        <f>IFERROR(__xludf.DUMMYFUNCTION("""COMPUTED_VALUE""")," TABLETA SENCILLA MA ESP")</f>
        <v>TABLETA SENCILLA MA ESP</v>
      </c>
      <c r="AT1174" s="71">
        <f>IFERROR(__xludf.DUMMYFUNCTION("""COMPUTED_VALUE"""),23.0)</f>
        <v>23</v>
      </c>
      <c r="AU1174" s="71"/>
      <c r="AV1174" s="71"/>
      <c r="AW1174" s="71"/>
      <c r="AX1174" s="71"/>
      <c r="AY1174" s="71">
        <f>IFERROR(__xludf.DUMMYFUNCTION("""COMPUTED_VALUE"""),33.0)</f>
        <v>33</v>
      </c>
      <c r="AZ1174" s="71">
        <f>IFERROR(__xludf.DUMMYFUNCTION("""COMPUTED_VALUE"""),35.0)</f>
        <v>35</v>
      </c>
      <c r="BA1174" s="71">
        <f>IFERROR(__xludf.DUMMYFUNCTION("""COMPUTED_VALUE"""),37.800000000000004)</f>
        <v>37.8</v>
      </c>
      <c r="BB1174" s="71">
        <f>IFERROR(__xludf.DUMMYFUNCTION("""COMPUTED_VALUE"""),37.800000000000004)</f>
        <v>37.8</v>
      </c>
      <c r="BC1174" s="71">
        <f>IFERROR(__xludf.DUMMYFUNCTION("""COMPUTED_VALUE"""),44.0)</f>
        <v>44</v>
      </c>
      <c r="BD1174" s="71">
        <f>IFERROR(__xludf.DUMMYFUNCTION("""COMPUTED_VALUE"""),46.0)</f>
        <v>46</v>
      </c>
      <c r="BE1174" s="71">
        <f>IFERROR(__xludf.DUMMYFUNCTION("""COMPUTED_VALUE"""),7.36)</f>
        <v>7.36</v>
      </c>
      <c r="BF1174" s="71">
        <f>IFERROR(__xludf.DUMMYFUNCTION("""COMPUTED_VALUE"""),53.36)</f>
        <v>53.36</v>
      </c>
      <c r="BG1174" s="71">
        <f>IFERROR(__xludf.DUMMYFUNCTION("""COMPUTED_VALUE"""),0.045454545454545456)</f>
        <v>0.04545454545</v>
      </c>
      <c r="BH1174" s="71">
        <f>IFERROR(__xludf.DUMMYFUNCTION("""COMPUTED_VALUE"""),43.699999999999996)</f>
        <v>43.7</v>
      </c>
      <c r="BI1174" s="71">
        <f>IFERROR(__xludf.DUMMYFUNCTION("""COMPUTED_VALUE"""),6.991999999999999)</f>
        <v>6.992</v>
      </c>
      <c r="BJ1174" s="71">
        <f>IFERROR(__xludf.DUMMYFUNCTION("""COMPUTED_VALUE"""),50.69199999999999)</f>
        <v>50.692</v>
      </c>
      <c r="BK1174" s="71">
        <f>IFERROR(__xludf.DUMMYFUNCTION("""COMPUTED_VALUE"""),41.4)</f>
        <v>41.4</v>
      </c>
      <c r="BL1174" s="71">
        <f>IFERROR(__xludf.DUMMYFUNCTION("""COMPUTED_VALUE"""),6.624)</f>
        <v>6.624</v>
      </c>
      <c r="BM1174" s="71">
        <f>IFERROR(__xludf.DUMMYFUNCTION("""COMPUTED_VALUE"""),48.024)</f>
        <v>48.024</v>
      </c>
      <c r="BN1174" s="71">
        <f>IFERROR(__xludf.DUMMYFUNCTION("""COMPUTED_VALUE"""),39.1)</f>
        <v>39.1</v>
      </c>
      <c r="BO1174" s="71">
        <f>IFERROR(__xludf.DUMMYFUNCTION("""COMPUTED_VALUE"""),6.256)</f>
        <v>6.256</v>
      </c>
      <c r="BP1174" s="71">
        <f>IFERROR(__xludf.DUMMYFUNCTION("""COMPUTED_VALUE"""),45.356)</f>
        <v>45.356</v>
      </c>
      <c r="BQ1174" s="71">
        <f>IFERROR(__xludf.DUMMYFUNCTION("""COMPUTED_VALUE"""),38.18)</f>
        <v>38.18</v>
      </c>
      <c r="BR1174" s="71">
        <f>IFERROR(__xludf.DUMMYFUNCTION("""COMPUTED_VALUE"""),6.1088000000000005)</f>
        <v>6.1088</v>
      </c>
      <c r="BS1174" s="71">
        <f>IFERROR(__xludf.DUMMYFUNCTION("""COMPUTED_VALUE"""),44.2888)</f>
        <v>44.2888</v>
      </c>
      <c r="BT1174" s="71">
        <f>IFERROR(__xludf.DUMMYFUNCTION("""COMPUTED_VALUE"""),36.800000000000004)</f>
        <v>36.8</v>
      </c>
      <c r="BU1174" s="71">
        <f>IFERROR(__xludf.DUMMYFUNCTION("""COMPUTED_VALUE"""),5.888000000000001)</f>
        <v>5.888</v>
      </c>
      <c r="BV1174" s="71">
        <f>IFERROR(__xludf.DUMMYFUNCTION("""COMPUTED_VALUE"""),42.688)</f>
        <v>42.688</v>
      </c>
    </row>
    <row r="1175">
      <c r="A1175" s="53"/>
      <c r="B1175" s="53"/>
      <c r="C1175" s="120" t="s">
        <v>53</v>
      </c>
      <c r="D1175" s="128" t="s">
        <v>2869</v>
      </c>
      <c r="E1175" s="54" t="s">
        <v>38</v>
      </c>
      <c r="F1175" s="54" t="s">
        <v>42</v>
      </c>
      <c r="G1175" s="130" t="s">
        <v>2870</v>
      </c>
      <c r="H1175" s="54" t="s">
        <v>2871</v>
      </c>
      <c r="I1175" s="54">
        <f t="shared" si="24"/>
        <v>28</v>
      </c>
      <c r="J1175" s="56"/>
      <c r="K1175" s="57"/>
      <c r="L1175" s="76"/>
      <c r="M1175" s="59"/>
      <c r="N1175" s="60">
        <v>560.7</v>
      </c>
      <c r="O1175" s="129">
        <v>605.0</v>
      </c>
      <c r="P1175" s="62">
        <v>653.4000000000001</v>
      </c>
      <c r="Q1175" s="63">
        <v>653.4000000000001</v>
      </c>
      <c r="R1175" s="64">
        <v>686.0</v>
      </c>
      <c r="S1175" s="111">
        <v>720.0</v>
      </c>
      <c r="T1175" s="65">
        <f t="shared" si="39"/>
        <v>115.2</v>
      </c>
      <c r="U1175" s="65">
        <f t="shared" si="40"/>
        <v>835.2</v>
      </c>
      <c r="V1175" s="66">
        <f t="shared" si="42"/>
        <v>0.04956268222</v>
      </c>
      <c r="W1175" s="67">
        <f t="shared" si="5"/>
        <v>684</v>
      </c>
      <c r="X1175" s="67">
        <f t="shared" si="43"/>
        <v>109.44</v>
      </c>
      <c r="Y1175" s="67">
        <f t="shared" si="44"/>
        <v>793.44</v>
      </c>
      <c r="Z1175" s="67">
        <f t="shared" si="8"/>
        <v>648</v>
      </c>
      <c r="AA1175" s="67">
        <f t="shared" si="45"/>
        <v>103.68</v>
      </c>
      <c r="AB1175" s="67">
        <f t="shared" si="46"/>
        <v>751.68</v>
      </c>
      <c r="AC1175" s="67">
        <f t="shared" si="11"/>
        <v>612</v>
      </c>
      <c r="AD1175" s="67">
        <f t="shared" si="12"/>
        <v>97.92</v>
      </c>
      <c r="AE1175" s="67">
        <f t="shared" si="13"/>
        <v>709.92</v>
      </c>
      <c r="AF1175" s="67">
        <f t="shared" si="33"/>
        <v>597.6</v>
      </c>
      <c r="AG1175" s="67">
        <f t="shared" si="15"/>
        <v>95.616</v>
      </c>
      <c r="AH1175" s="67">
        <f t="shared" si="16"/>
        <v>693.216</v>
      </c>
      <c r="AI1175" s="67">
        <f t="shared" si="17"/>
        <v>576</v>
      </c>
      <c r="AJ1175" s="68">
        <f t="shared" si="37"/>
        <v>92.16</v>
      </c>
      <c r="AK1175" s="68">
        <f t="shared" si="38"/>
        <v>668.16</v>
      </c>
      <c r="AL1175" s="70">
        <f>IFERROR(__xludf.DUMMYFUNCTION("""COMPUTED_VALUE"""),1.0)</f>
        <v>1</v>
      </c>
      <c r="AM1175" s="70"/>
      <c r="AN1175" s="71" t="str">
        <f>IFERROR(__xludf.DUMMYFUNCTION("""COMPUTED_VALUE""")," CP")</f>
        <v>CP</v>
      </c>
      <c r="AO1175" s="71" t="str">
        <f>IFERROR(__xludf.DUMMYFUNCTION("""COMPUTED_VALUE""")," TB06")</f>
        <v>TB06</v>
      </c>
      <c r="AP1175" s="71" t="str">
        <f>IFERROR(__xludf.DUMMYFUNCTION("""COMPUTED_VALUE""")," PZA")</f>
        <v>PZA</v>
      </c>
      <c r="AQ1175" s="71" t="str">
        <f>IFERROR(__xludf.DUMMYFUNCTION("""COMPUTED_VALUE""")," REF")</f>
        <v>REF</v>
      </c>
      <c r="AR1175" s="71" t="str">
        <f>IFERROR(__xludf.DUMMYFUNCTION("""COMPUTED_VALUE""")," TABLETA SENCILLA MODELO ANTERIOR GRANDE")</f>
        <v>TABLETA SENCILLA MODELO ANTERIOR GRANDE</v>
      </c>
      <c r="AS1175" s="71" t="str">
        <f>IFERROR(__xludf.DUMMYFUNCTION("""COMPUTED_VALUE""")," TABLETA SENCILLA MODELO ANTERIOR GRANDE")</f>
        <v>TABLETA SENCILLA MODELO ANTERIOR GRANDE</v>
      </c>
      <c r="AT1175" s="71">
        <f>IFERROR(__xludf.DUMMYFUNCTION("""COMPUTED_VALUE"""),39.0)</f>
        <v>39</v>
      </c>
      <c r="AU1175" s="71"/>
      <c r="AV1175" s="71"/>
      <c r="AW1175" s="71"/>
      <c r="AX1175" s="71"/>
      <c r="AY1175" s="71">
        <f>IFERROR(__xludf.DUMMYFUNCTION("""COMPUTED_VALUE"""),31.0)</f>
        <v>31</v>
      </c>
      <c r="AZ1175" s="71">
        <f>IFERROR(__xludf.DUMMYFUNCTION("""COMPUTED_VALUE"""),33.0)</f>
        <v>33</v>
      </c>
      <c r="BA1175" s="71">
        <f>IFERROR(__xludf.DUMMYFUNCTION("""COMPUTED_VALUE"""),35.64)</f>
        <v>35.64</v>
      </c>
      <c r="BB1175" s="71">
        <f>IFERROR(__xludf.DUMMYFUNCTION("""COMPUTED_VALUE"""),35.64)</f>
        <v>35.64</v>
      </c>
      <c r="BC1175" s="71">
        <f>IFERROR(__xludf.DUMMYFUNCTION("""COMPUTED_VALUE"""),40.0)</f>
        <v>40</v>
      </c>
      <c r="BD1175" s="71">
        <f>IFERROR(__xludf.DUMMYFUNCTION("""COMPUTED_VALUE"""),42.0)</f>
        <v>42</v>
      </c>
      <c r="BE1175" s="71">
        <f>IFERROR(__xludf.DUMMYFUNCTION("""COMPUTED_VALUE"""),6.72)</f>
        <v>6.72</v>
      </c>
      <c r="BF1175" s="71">
        <f>IFERROR(__xludf.DUMMYFUNCTION("""COMPUTED_VALUE"""),48.72)</f>
        <v>48.72</v>
      </c>
      <c r="BG1175" s="71">
        <f>IFERROR(__xludf.DUMMYFUNCTION("""COMPUTED_VALUE"""),0.05)</f>
        <v>0.05</v>
      </c>
      <c r="BH1175" s="71">
        <f>IFERROR(__xludf.DUMMYFUNCTION("""COMPUTED_VALUE"""),39.9)</f>
        <v>39.9</v>
      </c>
      <c r="BI1175" s="71">
        <f>IFERROR(__xludf.DUMMYFUNCTION("""COMPUTED_VALUE"""),6.384)</f>
        <v>6.384</v>
      </c>
      <c r="BJ1175" s="71">
        <f>IFERROR(__xludf.DUMMYFUNCTION("""COMPUTED_VALUE"""),46.284)</f>
        <v>46.284</v>
      </c>
      <c r="BK1175" s="71">
        <f>IFERROR(__xludf.DUMMYFUNCTION("""COMPUTED_VALUE"""),37.800000000000004)</f>
        <v>37.8</v>
      </c>
      <c r="BL1175" s="71">
        <f>IFERROR(__xludf.DUMMYFUNCTION("""COMPUTED_VALUE"""),6.048000000000001)</f>
        <v>6.048</v>
      </c>
      <c r="BM1175" s="71">
        <f>IFERROR(__xludf.DUMMYFUNCTION("""COMPUTED_VALUE"""),43.848000000000006)</f>
        <v>43.848</v>
      </c>
      <c r="BN1175" s="71">
        <f>IFERROR(__xludf.DUMMYFUNCTION("""COMPUTED_VALUE"""),35.699999999999996)</f>
        <v>35.7</v>
      </c>
      <c r="BO1175" s="71">
        <f>IFERROR(__xludf.DUMMYFUNCTION("""COMPUTED_VALUE"""),5.712)</f>
        <v>5.712</v>
      </c>
      <c r="BP1175" s="71">
        <f>IFERROR(__xludf.DUMMYFUNCTION("""COMPUTED_VALUE"""),41.41199999999999)</f>
        <v>41.412</v>
      </c>
      <c r="BQ1175" s="71">
        <f>IFERROR(__xludf.DUMMYFUNCTION("""COMPUTED_VALUE"""),34.86)</f>
        <v>34.86</v>
      </c>
      <c r="BR1175" s="71">
        <f>IFERROR(__xludf.DUMMYFUNCTION("""COMPUTED_VALUE"""),5.5776)</f>
        <v>5.5776</v>
      </c>
      <c r="BS1175" s="71">
        <f>IFERROR(__xludf.DUMMYFUNCTION("""COMPUTED_VALUE"""),40.4376)</f>
        <v>40.4376</v>
      </c>
      <c r="BT1175" s="71">
        <f>IFERROR(__xludf.DUMMYFUNCTION("""COMPUTED_VALUE"""),33.6)</f>
        <v>33.6</v>
      </c>
      <c r="BU1175" s="71">
        <f>IFERROR(__xludf.DUMMYFUNCTION("""COMPUTED_VALUE"""),5.376)</f>
        <v>5.376</v>
      </c>
      <c r="BV1175" s="71">
        <f>IFERROR(__xludf.DUMMYFUNCTION("""COMPUTED_VALUE"""),38.976)</f>
        <v>38.976</v>
      </c>
    </row>
    <row r="1176">
      <c r="A1176" s="53"/>
      <c r="B1176" s="53"/>
      <c r="C1176" s="73" t="s">
        <v>53</v>
      </c>
      <c r="D1176" s="53" t="s">
        <v>2872</v>
      </c>
      <c r="E1176" s="54" t="s">
        <v>38</v>
      </c>
      <c r="F1176" s="54" t="s">
        <v>42</v>
      </c>
      <c r="G1176" s="55" t="s">
        <v>2873</v>
      </c>
      <c r="H1176" s="54" t="s">
        <v>2874</v>
      </c>
      <c r="I1176" s="54">
        <f t="shared" si="24"/>
        <v>31</v>
      </c>
      <c r="J1176" s="56"/>
      <c r="K1176" s="75"/>
      <c r="L1176" s="76"/>
      <c r="M1176" s="59"/>
      <c r="N1176" s="79">
        <v>801.0</v>
      </c>
      <c r="O1176" s="61">
        <v>865.0</v>
      </c>
      <c r="P1176" s="62">
        <v>1488.0</v>
      </c>
      <c r="Q1176" s="63">
        <v>1488.0</v>
      </c>
      <c r="R1176" s="64">
        <v>1563.0</v>
      </c>
      <c r="S1176" s="111">
        <v>1641.0</v>
      </c>
      <c r="T1176" s="65">
        <f t="shared" si="39"/>
        <v>262.56</v>
      </c>
      <c r="U1176" s="65">
        <f t="shared" si="40"/>
        <v>1903.56</v>
      </c>
      <c r="V1176" s="66">
        <f t="shared" si="42"/>
        <v>0.04990403071</v>
      </c>
      <c r="W1176" s="67">
        <f t="shared" si="5"/>
        <v>1558.95</v>
      </c>
      <c r="X1176" s="67">
        <f t="shared" si="43"/>
        <v>249.432</v>
      </c>
      <c r="Y1176" s="67">
        <f t="shared" si="44"/>
        <v>1808.382</v>
      </c>
      <c r="Z1176" s="67">
        <f t="shared" si="8"/>
        <v>1476.9</v>
      </c>
      <c r="AA1176" s="67">
        <f t="shared" si="45"/>
        <v>236.304</v>
      </c>
      <c r="AB1176" s="67">
        <f t="shared" si="46"/>
        <v>1713.204</v>
      </c>
      <c r="AC1176" s="67">
        <f t="shared" si="11"/>
        <v>1394.85</v>
      </c>
      <c r="AD1176" s="67">
        <f t="shared" si="12"/>
        <v>223.176</v>
      </c>
      <c r="AE1176" s="67">
        <f t="shared" si="13"/>
        <v>1618.026</v>
      </c>
      <c r="AF1176" s="67">
        <f t="shared" si="33"/>
        <v>1362.03</v>
      </c>
      <c r="AG1176" s="67">
        <f t="shared" si="15"/>
        <v>217.9248</v>
      </c>
      <c r="AH1176" s="67">
        <f t="shared" si="16"/>
        <v>1579.9548</v>
      </c>
      <c r="AI1176" s="67">
        <f t="shared" si="17"/>
        <v>1312.8</v>
      </c>
      <c r="AJ1176" s="68">
        <f t="shared" si="37"/>
        <v>210.048</v>
      </c>
      <c r="AK1176" s="68">
        <f t="shared" si="38"/>
        <v>1522.848</v>
      </c>
      <c r="AL1176" s="70">
        <f>IFERROR(__xludf.DUMMYFUNCTION("""COMPUTED_VALUE"""),1.0)</f>
        <v>1</v>
      </c>
      <c r="AM1176" s="70"/>
      <c r="AN1176" s="71" t="str">
        <f>IFERROR(__xludf.DUMMYFUNCTION("""COMPUTED_VALUE""")," CP")</f>
        <v>CP</v>
      </c>
      <c r="AO1176" s="71" t="str">
        <f>IFERROR(__xludf.DUMMYFUNCTION("""COMPUTED_VALUE""")," TB02")</f>
        <v>TB02</v>
      </c>
      <c r="AP1176" s="71" t="str">
        <f>IFERROR(__xludf.DUMMYFUNCTION("""COMPUTED_VALUE""")," PZA")</f>
        <v>PZA</v>
      </c>
      <c r="AQ1176" s="71" t="str">
        <f>IFERROR(__xludf.DUMMYFUNCTION("""COMPUTED_VALUE""")," REF")</f>
        <v>REF</v>
      </c>
      <c r="AR1176" s="71" t="str">
        <f>IFERROR(__xludf.DUMMYFUNCTION("""COMPUTED_VALUE""")," TABLETA SENCILLA TV-50 (B.C.)")</f>
        <v>TABLETA SENCILLA TV-50 (B.C.)</v>
      </c>
      <c r="AS1176" s="71" t="str">
        <f>IFERROR(__xludf.DUMMYFUNCTION("""COMPUTED_VALUE""")," TABLETA SENCILLA TV50 BC")</f>
        <v>TABLETA SENCILLA TV50 BC</v>
      </c>
      <c r="AT1176" s="71">
        <f>IFERROR(__xludf.DUMMYFUNCTION("""COMPUTED_VALUE"""),24.0)</f>
        <v>24</v>
      </c>
      <c r="AU1176" s="71"/>
      <c r="AV1176" s="71"/>
      <c r="AW1176" s="71"/>
      <c r="AX1176" s="71"/>
      <c r="AY1176" s="71">
        <f>IFERROR(__xludf.DUMMYFUNCTION("""COMPUTED_VALUE"""),31.0)</f>
        <v>31</v>
      </c>
      <c r="AZ1176" s="71">
        <f>IFERROR(__xludf.DUMMYFUNCTION("""COMPUTED_VALUE"""),33.0)</f>
        <v>33</v>
      </c>
      <c r="BA1176" s="71">
        <f>IFERROR(__xludf.DUMMYFUNCTION("""COMPUTED_VALUE"""),35.64)</f>
        <v>35.64</v>
      </c>
      <c r="BB1176" s="71">
        <f>IFERROR(__xludf.DUMMYFUNCTION("""COMPUTED_VALUE"""),35.64)</f>
        <v>35.64</v>
      </c>
      <c r="BC1176" s="71">
        <f>IFERROR(__xludf.DUMMYFUNCTION("""COMPUTED_VALUE"""),40.0)</f>
        <v>40</v>
      </c>
      <c r="BD1176" s="71">
        <f>IFERROR(__xludf.DUMMYFUNCTION("""COMPUTED_VALUE"""),42.0)</f>
        <v>42</v>
      </c>
      <c r="BE1176" s="71">
        <f>IFERROR(__xludf.DUMMYFUNCTION("""COMPUTED_VALUE"""),6.72)</f>
        <v>6.72</v>
      </c>
      <c r="BF1176" s="71">
        <f>IFERROR(__xludf.DUMMYFUNCTION("""COMPUTED_VALUE"""),48.72)</f>
        <v>48.72</v>
      </c>
      <c r="BG1176" s="71">
        <f>IFERROR(__xludf.DUMMYFUNCTION("""COMPUTED_VALUE"""),0.05)</f>
        <v>0.05</v>
      </c>
      <c r="BH1176" s="71">
        <f>IFERROR(__xludf.DUMMYFUNCTION("""COMPUTED_VALUE"""),39.9)</f>
        <v>39.9</v>
      </c>
      <c r="BI1176" s="71">
        <f>IFERROR(__xludf.DUMMYFUNCTION("""COMPUTED_VALUE"""),6.384)</f>
        <v>6.384</v>
      </c>
      <c r="BJ1176" s="71">
        <f>IFERROR(__xludf.DUMMYFUNCTION("""COMPUTED_VALUE"""),46.284)</f>
        <v>46.284</v>
      </c>
      <c r="BK1176" s="71">
        <f>IFERROR(__xludf.DUMMYFUNCTION("""COMPUTED_VALUE"""),37.800000000000004)</f>
        <v>37.8</v>
      </c>
      <c r="BL1176" s="71">
        <f>IFERROR(__xludf.DUMMYFUNCTION("""COMPUTED_VALUE"""),6.048000000000001)</f>
        <v>6.048</v>
      </c>
      <c r="BM1176" s="71">
        <f>IFERROR(__xludf.DUMMYFUNCTION("""COMPUTED_VALUE"""),43.848000000000006)</f>
        <v>43.848</v>
      </c>
      <c r="BN1176" s="71">
        <f>IFERROR(__xludf.DUMMYFUNCTION("""COMPUTED_VALUE"""),35.699999999999996)</f>
        <v>35.7</v>
      </c>
      <c r="BO1176" s="71">
        <f>IFERROR(__xludf.DUMMYFUNCTION("""COMPUTED_VALUE"""),5.712)</f>
        <v>5.712</v>
      </c>
      <c r="BP1176" s="71">
        <f>IFERROR(__xludf.DUMMYFUNCTION("""COMPUTED_VALUE"""),41.41199999999999)</f>
        <v>41.412</v>
      </c>
      <c r="BQ1176" s="71">
        <f>IFERROR(__xludf.DUMMYFUNCTION("""COMPUTED_VALUE"""),34.86)</f>
        <v>34.86</v>
      </c>
      <c r="BR1176" s="71">
        <f>IFERROR(__xludf.DUMMYFUNCTION("""COMPUTED_VALUE"""),5.5776)</f>
        <v>5.5776</v>
      </c>
      <c r="BS1176" s="71">
        <f>IFERROR(__xludf.DUMMYFUNCTION("""COMPUTED_VALUE"""),40.4376)</f>
        <v>40.4376</v>
      </c>
      <c r="BT1176" s="71">
        <f>IFERROR(__xludf.DUMMYFUNCTION("""COMPUTED_VALUE"""),33.6)</f>
        <v>33.6</v>
      </c>
      <c r="BU1176" s="71">
        <f>IFERROR(__xludf.DUMMYFUNCTION("""COMPUTED_VALUE"""),5.376)</f>
        <v>5.376</v>
      </c>
      <c r="BV1176" s="71">
        <f>IFERROR(__xludf.DUMMYFUNCTION("""COMPUTED_VALUE"""),38.976)</f>
        <v>38.976</v>
      </c>
    </row>
    <row r="1177">
      <c r="A1177" s="53">
        <v>1.0</v>
      </c>
      <c r="B1177" s="53"/>
      <c r="C1177" s="120" t="s">
        <v>53</v>
      </c>
      <c r="D1177" s="53" t="s">
        <v>2875</v>
      </c>
      <c r="E1177" s="54" t="s">
        <v>38</v>
      </c>
      <c r="F1177" s="54" t="s">
        <v>42</v>
      </c>
      <c r="G1177" s="144" t="s">
        <v>2876</v>
      </c>
      <c r="H1177" s="54" t="s">
        <v>2877</v>
      </c>
      <c r="I1177" s="54">
        <f t="shared" si="24"/>
        <v>37</v>
      </c>
      <c r="J1177" s="56"/>
      <c r="K1177" s="57"/>
      <c r="L1177" s="87"/>
      <c r="M1177" s="59"/>
      <c r="N1177" s="60">
        <v>1676.0</v>
      </c>
      <c r="O1177" s="61">
        <v>1810.0</v>
      </c>
      <c r="P1177" s="62">
        <v>1954.8000000000002</v>
      </c>
      <c r="Q1177" s="63">
        <v>1954.8000000000002</v>
      </c>
      <c r="R1177" s="64">
        <v>2177.0</v>
      </c>
      <c r="S1177" s="111">
        <v>2286.0</v>
      </c>
      <c r="T1177" s="65">
        <f t="shared" si="39"/>
        <v>365.76</v>
      </c>
      <c r="U1177" s="65">
        <f t="shared" si="40"/>
        <v>2651.76</v>
      </c>
      <c r="V1177" s="66">
        <f t="shared" si="42"/>
        <v>0.05006890216</v>
      </c>
      <c r="W1177" s="67">
        <f t="shared" si="5"/>
        <v>2171.7</v>
      </c>
      <c r="X1177" s="67">
        <f t="shared" si="43"/>
        <v>347.472</v>
      </c>
      <c r="Y1177" s="67">
        <f t="shared" si="44"/>
        <v>2519.172</v>
      </c>
      <c r="Z1177" s="67">
        <f t="shared" si="8"/>
        <v>2057.4</v>
      </c>
      <c r="AA1177" s="67">
        <f t="shared" si="45"/>
        <v>329.184</v>
      </c>
      <c r="AB1177" s="67">
        <f t="shared" si="46"/>
        <v>2386.584</v>
      </c>
      <c r="AC1177" s="67">
        <f t="shared" si="11"/>
        <v>1943.1</v>
      </c>
      <c r="AD1177" s="67">
        <f t="shared" si="12"/>
        <v>310.896</v>
      </c>
      <c r="AE1177" s="67">
        <f t="shared" si="13"/>
        <v>2253.996</v>
      </c>
      <c r="AF1177" s="67">
        <f t="shared" si="33"/>
        <v>1897.38</v>
      </c>
      <c r="AG1177" s="67">
        <f t="shared" si="15"/>
        <v>303.5808</v>
      </c>
      <c r="AH1177" s="67">
        <f t="shared" si="16"/>
        <v>2200.9608</v>
      </c>
      <c r="AI1177" s="67">
        <f t="shared" si="17"/>
        <v>1828.8</v>
      </c>
      <c r="AJ1177" s="68">
        <f t="shared" si="37"/>
        <v>292.608</v>
      </c>
      <c r="AK1177" s="68">
        <f t="shared" si="38"/>
        <v>2121.408</v>
      </c>
      <c r="AL1177" s="70">
        <f>IFERROR(__xludf.DUMMYFUNCTION("""COMPUTED_VALUE"""),1.0)</f>
        <v>1</v>
      </c>
      <c r="AM1177" s="70"/>
      <c r="AN1177" s="71" t="str">
        <f>IFERROR(__xludf.DUMMYFUNCTION("""COMPUTED_VALUE""")," P")</f>
        <v>P</v>
      </c>
      <c r="AO1177" s="71" t="str">
        <f>IFERROR(__xludf.DUMMYFUNCTION("""COMPUTED_VALUE""")," TP01")</f>
        <v>TP01</v>
      </c>
      <c r="AP1177" s="71" t="str">
        <f>IFERROR(__xludf.DUMMYFUNCTION("""COMPUTED_VALUE""")," PZA")</f>
        <v>PZA</v>
      </c>
      <c r="AQ1177" s="71" t="str">
        <f>IFERROR(__xludf.DUMMYFUNCTION("""COMPUTED_VALUE""")," REF")</f>
        <v>REF</v>
      </c>
      <c r="AR1177" s="71" t="str">
        <f>IFERROR(__xludf.DUMMYFUNCTION("""COMPUTED_VALUE""")," TAPA ÁGUILA CUBRE CADENA DE FIERRO")</f>
        <v>TAPA ÁGUILA CUBRE CADENA DE FIERRO</v>
      </c>
      <c r="AS1177" s="71" t="str">
        <f>IFERROR(__xludf.DUMMYFUNCTION("""COMPUTED_VALUE""")," TAPA AGUILA CUBRE CADENA DE FIERRO")</f>
        <v>TAPA AGUILA CUBRE CADENA DE FIERRO</v>
      </c>
      <c r="AT1177" s="71">
        <f>IFERROR(__xludf.DUMMYFUNCTION("""COMPUTED_VALUE"""),34.0)</f>
        <v>34</v>
      </c>
      <c r="AU1177" s="71"/>
      <c r="AV1177" s="71"/>
      <c r="AW1177" s="71"/>
      <c r="AX1177" s="71"/>
      <c r="AY1177" s="71">
        <f>IFERROR(__xludf.DUMMYFUNCTION("""COMPUTED_VALUE"""),131.0)</f>
        <v>131</v>
      </c>
      <c r="AZ1177" s="71">
        <f>IFERROR(__xludf.DUMMYFUNCTION("""COMPUTED_VALUE"""),141.0)</f>
        <v>141</v>
      </c>
      <c r="BA1177" s="71">
        <f>IFERROR(__xludf.DUMMYFUNCTION("""COMPUTED_VALUE"""),152.28)</f>
        <v>152.28</v>
      </c>
      <c r="BB1177" s="71">
        <f>IFERROR(__xludf.DUMMYFUNCTION("""COMPUTED_VALUE"""),152.28)</f>
        <v>152.28</v>
      </c>
      <c r="BC1177" s="71">
        <f>IFERROR(__xludf.DUMMYFUNCTION("""COMPUTED_VALUE"""),171.0)</f>
        <v>171</v>
      </c>
      <c r="BD1177" s="71">
        <f>IFERROR(__xludf.DUMMYFUNCTION("""COMPUTED_VALUE"""),180.0)</f>
        <v>180</v>
      </c>
      <c r="BE1177" s="71">
        <f>IFERROR(__xludf.DUMMYFUNCTION("""COMPUTED_VALUE"""),28.8)</f>
        <v>28.8</v>
      </c>
      <c r="BF1177" s="71">
        <f>IFERROR(__xludf.DUMMYFUNCTION("""COMPUTED_VALUE"""),208.8)</f>
        <v>208.8</v>
      </c>
      <c r="BG1177" s="71">
        <f>IFERROR(__xludf.DUMMYFUNCTION("""COMPUTED_VALUE"""),0.05263157894736842)</f>
        <v>0.05263157895</v>
      </c>
      <c r="BH1177" s="71">
        <f>IFERROR(__xludf.DUMMYFUNCTION("""COMPUTED_VALUE"""),171.0)</f>
        <v>171</v>
      </c>
      <c r="BI1177" s="71">
        <f>IFERROR(__xludf.DUMMYFUNCTION("""COMPUTED_VALUE"""),27.36)</f>
        <v>27.36</v>
      </c>
      <c r="BJ1177" s="71">
        <f>IFERROR(__xludf.DUMMYFUNCTION("""COMPUTED_VALUE"""),198.36)</f>
        <v>198.36</v>
      </c>
      <c r="BK1177" s="71">
        <f>IFERROR(__xludf.DUMMYFUNCTION("""COMPUTED_VALUE"""),162.0)</f>
        <v>162</v>
      </c>
      <c r="BL1177" s="71">
        <f>IFERROR(__xludf.DUMMYFUNCTION("""COMPUTED_VALUE"""),25.92)</f>
        <v>25.92</v>
      </c>
      <c r="BM1177" s="71">
        <f>IFERROR(__xludf.DUMMYFUNCTION("""COMPUTED_VALUE"""),187.92000000000002)</f>
        <v>187.92</v>
      </c>
      <c r="BN1177" s="71">
        <f>IFERROR(__xludf.DUMMYFUNCTION("""COMPUTED_VALUE"""),153.0)</f>
        <v>153</v>
      </c>
      <c r="BO1177" s="71">
        <f>IFERROR(__xludf.DUMMYFUNCTION("""COMPUTED_VALUE"""),24.48)</f>
        <v>24.48</v>
      </c>
      <c r="BP1177" s="71">
        <f>IFERROR(__xludf.DUMMYFUNCTION("""COMPUTED_VALUE"""),177.48)</f>
        <v>177.48</v>
      </c>
      <c r="BQ1177" s="71">
        <f>IFERROR(__xludf.DUMMYFUNCTION("""COMPUTED_VALUE"""),149.4)</f>
        <v>149.4</v>
      </c>
      <c r="BR1177" s="71">
        <f>IFERROR(__xludf.DUMMYFUNCTION("""COMPUTED_VALUE"""),23.904)</f>
        <v>23.904</v>
      </c>
      <c r="BS1177" s="71">
        <f>IFERROR(__xludf.DUMMYFUNCTION("""COMPUTED_VALUE"""),173.304)</f>
        <v>173.304</v>
      </c>
      <c r="BT1177" s="71">
        <f>IFERROR(__xludf.DUMMYFUNCTION("""COMPUTED_VALUE"""),144.0)</f>
        <v>144</v>
      </c>
      <c r="BU1177" s="71">
        <f>IFERROR(__xludf.DUMMYFUNCTION("""COMPUTED_VALUE"""),23.04)</f>
        <v>23.04</v>
      </c>
      <c r="BV1177" s="71">
        <f>IFERROR(__xludf.DUMMYFUNCTION("""COMPUTED_VALUE"""),167.04)</f>
        <v>167.04</v>
      </c>
    </row>
    <row r="1178">
      <c r="A1178" s="53">
        <v>1.0</v>
      </c>
      <c r="B1178" s="72"/>
      <c r="C1178" s="120" t="s">
        <v>53</v>
      </c>
      <c r="D1178" s="53" t="s">
        <v>2878</v>
      </c>
      <c r="E1178" s="54" t="s">
        <v>38</v>
      </c>
      <c r="F1178" s="54" t="s">
        <v>42</v>
      </c>
      <c r="G1178" s="54" t="s">
        <v>2879</v>
      </c>
      <c r="H1178" s="54" t="s">
        <v>2880</v>
      </c>
      <c r="I1178" s="54">
        <f t="shared" si="24"/>
        <v>37</v>
      </c>
      <c r="J1178" s="56"/>
      <c r="K1178" s="57"/>
      <c r="L1178" s="87"/>
      <c r="M1178" s="59"/>
      <c r="N1178" s="60">
        <v>2097.0</v>
      </c>
      <c r="O1178" s="61">
        <v>2264.0</v>
      </c>
      <c r="P1178" s="62">
        <v>2445.1200000000003</v>
      </c>
      <c r="Q1178" s="63">
        <v>2445.1200000000003</v>
      </c>
      <c r="R1178" s="64">
        <v>2722.0</v>
      </c>
      <c r="S1178" s="111">
        <v>2858.0</v>
      </c>
      <c r="T1178" s="65">
        <f t="shared" si="39"/>
        <v>457.28</v>
      </c>
      <c r="U1178" s="65">
        <f t="shared" si="40"/>
        <v>3315.28</v>
      </c>
      <c r="V1178" s="66">
        <f t="shared" si="42"/>
        <v>0.04996326231</v>
      </c>
      <c r="W1178" s="67">
        <f t="shared" si="5"/>
        <v>2715.1</v>
      </c>
      <c r="X1178" s="67">
        <f t="shared" si="43"/>
        <v>434.416</v>
      </c>
      <c r="Y1178" s="67">
        <f t="shared" si="44"/>
        <v>3149.516</v>
      </c>
      <c r="Z1178" s="67">
        <f t="shared" si="8"/>
        <v>2572.2</v>
      </c>
      <c r="AA1178" s="67">
        <f t="shared" si="45"/>
        <v>411.552</v>
      </c>
      <c r="AB1178" s="67">
        <f t="shared" si="46"/>
        <v>2983.752</v>
      </c>
      <c r="AC1178" s="67">
        <f t="shared" si="11"/>
        <v>2429.3</v>
      </c>
      <c r="AD1178" s="67">
        <f t="shared" si="12"/>
        <v>388.688</v>
      </c>
      <c r="AE1178" s="67">
        <f t="shared" si="13"/>
        <v>2817.988</v>
      </c>
      <c r="AF1178" s="67">
        <f t="shared" si="33"/>
        <v>2372.14</v>
      </c>
      <c r="AG1178" s="67">
        <f t="shared" si="15"/>
        <v>379.5424</v>
      </c>
      <c r="AH1178" s="67">
        <f t="shared" si="16"/>
        <v>2751.6824</v>
      </c>
      <c r="AI1178" s="67">
        <f t="shared" si="17"/>
        <v>2286.4</v>
      </c>
      <c r="AJ1178" s="68">
        <f t="shared" si="37"/>
        <v>365.824</v>
      </c>
      <c r="AK1178" s="68">
        <f t="shared" si="38"/>
        <v>2652.224</v>
      </c>
      <c r="AL1178" s="70">
        <f>IFERROR(__xludf.DUMMYFUNCTION("""COMPUTED_VALUE"""),1.0)</f>
        <v>1</v>
      </c>
      <c r="AM1178" s="70"/>
      <c r="AN1178" s="71" t="str">
        <f>IFERROR(__xludf.DUMMYFUNCTION("""COMPUTED_VALUE""")," P")</f>
        <v>P</v>
      </c>
      <c r="AO1178" s="71" t="str">
        <f>IFERROR(__xludf.DUMMYFUNCTION("""COMPUTED_VALUE""")," TP02")</f>
        <v>TP02</v>
      </c>
      <c r="AP1178" s="71" t="str">
        <f>IFERROR(__xludf.DUMMYFUNCTION("""COMPUTED_VALUE""")," PZA")</f>
        <v>PZA</v>
      </c>
      <c r="AQ1178" s="71" t="str">
        <f>IFERROR(__xludf.DUMMYFUNCTION("""COMPUTED_VALUE""")," REF")</f>
        <v>REF</v>
      </c>
      <c r="AR1178" s="71" t="str">
        <f>IFERROR(__xludf.DUMMYFUNCTION("""COMPUTED_VALUE""")," TAPA ÁGUILA CUBRE CADENA EN ACERO INOXIDABLE")</f>
        <v>TAPA ÁGUILA CUBRE CADENA EN ACERO INOXIDABLE</v>
      </c>
      <c r="AS1178" s="71" t="str">
        <f>IFERROR(__xludf.DUMMYFUNCTION("""COMPUTED_VALUE""")," TAPA AGUILA CUBRE CADENA INOX")</f>
        <v>TAPA AGUILA CUBRE CADENA INOX</v>
      </c>
      <c r="AT1178" s="71">
        <f>IFERROR(__xludf.DUMMYFUNCTION("""COMPUTED_VALUE"""),29.0)</f>
        <v>29</v>
      </c>
      <c r="AU1178" s="71"/>
      <c r="AV1178" s="71"/>
      <c r="AW1178" s="71"/>
      <c r="AX1178" s="71"/>
      <c r="AY1178" s="71">
        <f>IFERROR(__xludf.DUMMYFUNCTION("""COMPUTED_VALUE"""),611.0)</f>
        <v>611</v>
      </c>
      <c r="AZ1178" s="71">
        <f>IFERROR(__xludf.DUMMYFUNCTION("""COMPUTED_VALUE"""),659.0)</f>
        <v>659</v>
      </c>
      <c r="BA1178" s="71">
        <f>IFERROR(__xludf.DUMMYFUNCTION("""COMPUTED_VALUE"""),711.72)</f>
        <v>711.72</v>
      </c>
      <c r="BB1178" s="71">
        <f>IFERROR(__xludf.DUMMYFUNCTION("""COMPUTED_VALUE"""),711.72)</f>
        <v>711.72</v>
      </c>
      <c r="BC1178" s="71">
        <f>IFERROR(__xludf.DUMMYFUNCTION("""COMPUTED_VALUE"""),786.0)</f>
        <v>786</v>
      </c>
      <c r="BD1178" s="71">
        <f>IFERROR(__xludf.DUMMYFUNCTION("""COMPUTED_VALUE"""),825.0)</f>
        <v>825</v>
      </c>
      <c r="BE1178" s="71">
        <f>IFERROR(__xludf.DUMMYFUNCTION("""COMPUTED_VALUE"""),132.0)</f>
        <v>132</v>
      </c>
      <c r="BF1178" s="71">
        <f>IFERROR(__xludf.DUMMYFUNCTION("""COMPUTED_VALUE"""),957.0)</f>
        <v>957</v>
      </c>
      <c r="BG1178" s="71">
        <f>IFERROR(__xludf.DUMMYFUNCTION("""COMPUTED_VALUE"""),0.04961832061068702)</f>
        <v>0.04961832061</v>
      </c>
      <c r="BH1178" s="71">
        <f>IFERROR(__xludf.DUMMYFUNCTION("""COMPUTED_VALUE"""),783.75)</f>
        <v>783.75</v>
      </c>
      <c r="BI1178" s="71">
        <f>IFERROR(__xludf.DUMMYFUNCTION("""COMPUTED_VALUE"""),125.4)</f>
        <v>125.4</v>
      </c>
      <c r="BJ1178" s="71">
        <f>IFERROR(__xludf.DUMMYFUNCTION("""COMPUTED_VALUE"""),909.15)</f>
        <v>909.15</v>
      </c>
      <c r="BK1178" s="71">
        <f>IFERROR(__xludf.DUMMYFUNCTION("""COMPUTED_VALUE"""),742.5)</f>
        <v>742.5</v>
      </c>
      <c r="BL1178" s="71">
        <f>IFERROR(__xludf.DUMMYFUNCTION("""COMPUTED_VALUE"""),118.8)</f>
        <v>118.8</v>
      </c>
      <c r="BM1178" s="71">
        <f>IFERROR(__xludf.DUMMYFUNCTION("""COMPUTED_VALUE"""),861.3)</f>
        <v>861.3</v>
      </c>
      <c r="BN1178" s="71">
        <f>IFERROR(__xludf.DUMMYFUNCTION("""COMPUTED_VALUE"""),701.25)</f>
        <v>701.25</v>
      </c>
      <c r="BO1178" s="71">
        <f>IFERROR(__xludf.DUMMYFUNCTION("""COMPUTED_VALUE"""),112.2)</f>
        <v>112.2</v>
      </c>
      <c r="BP1178" s="71">
        <f>IFERROR(__xludf.DUMMYFUNCTION("""COMPUTED_VALUE"""),813.45)</f>
        <v>813.45</v>
      </c>
      <c r="BQ1178" s="71">
        <f>IFERROR(__xludf.DUMMYFUNCTION("""COMPUTED_VALUE"""),684.75)</f>
        <v>684.75</v>
      </c>
      <c r="BR1178" s="71">
        <f>IFERROR(__xludf.DUMMYFUNCTION("""COMPUTED_VALUE"""),109.56)</f>
        <v>109.56</v>
      </c>
      <c r="BS1178" s="71">
        <f>IFERROR(__xludf.DUMMYFUNCTION("""COMPUTED_VALUE"""),794.31)</f>
        <v>794.31</v>
      </c>
      <c r="BT1178" s="71">
        <f>IFERROR(__xludf.DUMMYFUNCTION("""COMPUTED_VALUE"""),660.0)</f>
        <v>660</v>
      </c>
      <c r="BU1178" s="71">
        <f>IFERROR(__xludf.DUMMYFUNCTION("""COMPUTED_VALUE"""),105.60000000000001)</f>
        <v>105.6</v>
      </c>
      <c r="BV1178" s="71">
        <f>IFERROR(__xludf.DUMMYFUNCTION("""COMPUTED_VALUE"""),765.6)</f>
        <v>765.6</v>
      </c>
    </row>
    <row r="1179">
      <c r="A1179" s="53">
        <v>1.0</v>
      </c>
      <c r="B1179" s="72"/>
      <c r="C1179" s="120" t="s">
        <v>53</v>
      </c>
      <c r="D1179" s="74" t="s">
        <v>2881</v>
      </c>
      <c r="E1179" s="54" t="s">
        <v>38</v>
      </c>
      <c r="F1179" s="54" t="s">
        <v>42</v>
      </c>
      <c r="G1179" s="88" t="s">
        <v>2882</v>
      </c>
      <c r="H1179" s="54" t="s">
        <v>2883</v>
      </c>
      <c r="I1179" s="54">
        <f t="shared" si="24"/>
        <v>37</v>
      </c>
      <c r="J1179" s="56"/>
      <c r="K1179" s="75"/>
      <c r="L1179" s="76"/>
      <c r="M1179" s="59"/>
      <c r="N1179" s="60">
        <v>425.0</v>
      </c>
      <c r="O1179" s="61">
        <v>459.0</v>
      </c>
      <c r="P1179" s="62">
        <v>495.72</v>
      </c>
      <c r="Q1179" s="63">
        <v>495.72</v>
      </c>
      <c r="R1179" s="64">
        <v>553.0</v>
      </c>
      <c r="S1179" s="111">
        <v>581.0</v>
      </c>
      <c r="T1179" s="65">
        <f t="shared" si="39"/>
        <v>92.96</v>
      </c>
      <c r="U1179" s="65">
        <f t="shared" si="40"/>
        <v>673.96</v>
      </c>
      <c r="V1179" s="66">
        <f t="shared" si="42"/>
        <v>0.05063291139</v>
      </c>
      <c r="W1179" s="67">
        <f t="shared" si="5"/>
        <v>551.95</v>
      </c>
      <c r="X1179" s="67">
        <f t="shared" si="43"/>
        <v>88.312</v>
      </c>
      <c r="Y1179" s="67">
        <f t="shared" si="44"/>
        <v>640.262</v>
      </c>
      <c r="Z1179" s="67">
        <f t="shared" si="8"/>
        <v>522.9</v>
      </c>
      <c r="AA1179" s="67">
        <f t="shared" si="45"/>
        <v>83.664</v>
      </c>
      <c r="AB1179" s="67">
        <f t="shared" si="46"/>
        <v>606.564</v>
      </c>
      <c r="AC1179" s="67">
        <f t="shared" si="11"/>
        <v>493.85</v>
      </c>
      <c r="AD1179" s="67">
        <f t="shared" si="12"/>
        <v>79.016</v>
      </c>
      <c r="AE1179" s="67">
        <f t="shared" si="13"/>
        <v>572.866</v>
      </c>
      <c r="AF1179" s="67">
        <f t="shared" si="33"/>
        <v>482.23</v>
      </c>
      <c r="AG1179" s="67">
        <f t="shared" si="15"/>
        <v>77.1568</v>
      </c>
      <c r="AH1179" s="67">
        <f t="shared" si="16"/>
        <v>559.3868</v>
      </c>
      <c r="AI1179" s="67">
        <f t="shared" si="17"/>
        <v>464.8</v>
      </c>
      <c r="AJ1179" s="68">
        <f t="shared" si="37"/>
        <v>74.368</v>
      </c>
      <c r="AK1179" s="68">
        <f t="shared" si="38"/>
        <v>539.168</v>
      </c>
      <c r="AL1179" s="70">
        <f>IFERROR(__xludf.DUMMYFUNCTION("""COMPUTED_VALUE"""),1.0)</f>
        <v>1</v>
      </c>
      <c r="AM1179" s="70"/>
      <c r="AN1179" s="71" t="str">
        <f>IFERROR(__xludf.DUMMYFUNCTION("""COMPUTED_VALUE""")," P")</f>
        <v>P</v>
      </c>
      <c r="AO1179" s="71" t="str">
        <f>IFERROR(__xludf.DUMMYFUNCTION("""COMPUTED_VALUE""")," TP18")</f>
        <v>TP18</v>
      </c>
      <c r="AP1179" s="71" t="str">
        <f>IFERROR(__xludf.DUMMYFUNCTION("""COMPUTED_VALUE""")," PZA")</f>
        <v>PZA</v>
      </c>
      <c r="AQ1179" s="71" t="str">
        <f>IFERROR(__xludf.DUMMYFUNCTION("""COMPUTED_VALUE""")," REF")</f>
        <v>REF</v>
      </c>
      <c r="AR1179" s="71" t="str">
        <f>IFERROR(__xludf.DUMMYFUNCTION("""COMPUTED_VALUE""")," TAPA LATERAL PARA AMASADORA DE 100 KG. ACERO INOXIDABLE 430")</f>
        <v>TAPA LATERAL PARA AMASADORA DE 100 KG. ACERO INOXIDABLE 430</v>
      </c>
      <c r="AS1179" s="71" t="str">
        <f>IFERROR(__xludf.DUMMYFUNCTION("""COMPUTED_VALUE""")," TAPA LATERAL AMASADORA 100KG INOX430")</f>
        <v>TAPA LATERAL AMASADORA 100KG INOX430</v>
      </c>
      <c r="AT1179" s="71">
        <f>IFERROR(__xludf.DUMMYFUNCTION("""COMPUTED_VALUE"""),36.0)</f>
        <v>36</v>
      </c>
      <c r="AU1179" s="71"/>
      <c r="AV1179" s="71"/>
      <c r="AW1179" s="71"/>
      <c r="AX1179" s="71"/>
      <c r="AY1179" s="71">
        <f>IFERROR(__xludf.DUMMYFUNCTION("""COMPUTED_VALUE"""),1708.0)</f>
        <v>1708</v>
      </c>
      <c r="AZ1179" s="71">
        <f>IFERROR(__xludf.DUMMYFUNCTION("""COMPUTED_VALUE"""),1844.0)</f>
        <v>1844</v>
      </c>
      <c r="BA1179" s="71">
        <f>IFERROR(__xludf.DUMMYFUNCTION("""COMPUTED_VALUE"""),1991.5200000000002)</f>
        <v>1991.52</v>
      </c>
      <c r="BB1179" s="71">
        <f>IFERROR(__xludf.DUMMYFUNCTION("""COMPUTED_VALUE"""),1991.5200000000002)</f>
        <v>1991.52</v>
      </c>
      <c r="BC1179" s="71">
        <f>IFERROR(__xludf.DUMMYFUNCTION("""COMPUTED_VALUE"""),2218.0)</f>
        <v>2218</v>
      </c>
      <c r="BD1179" s="71">
        <f>IFERROR(__xludf.DUMMYFUNCTION("""COMPUTED_VALUE"""),2329.0)</f>
        <v>2329</v>
      </c>
      <c r="BE1179" s="71">
        <f>IFERROR(__xludf.DUMMYFUNCTION("""COMPUTED_VALUE"""),372.64)</f>
        <v>372.64</v>
      </c>
      <c r="BF1179" s="71">
        <f>IFERROR(__xludf.DUMMYFUNCTION("""COMPUTED_VALUE"""),2701.64)</f>
        <v>2701.64</v>
      </c>
      <c r="BG1179" s="71">
        <f>IFERROR(__xludf.DUMMYFUNCTION("""COMPUTED_VALUE"""),0.05004508566275924)</f>
        <v>0.05004508566</v>
      </c>
      <c r="BH1179" s="71">
        <f>IFERROR(__xludf.DUMMYFUNCTION("""COMPUTED_VALUE"""),2212.5499999999997)</f>
        <v>2212.55</v>
      </c>
      <c r="BI1179" s="71">
        <f>IFERROR(__xludf.DUMMYFUNCTION("""COMPUTED_VALUE"""),354.008)</f>
        <v>354.008</v>
      </c>
      <c r="BJ1179" s="71">
        <f>IFERROR(__xludf.DUMMYFUNCTION("""COMPUTED_VALUE"""),2566.5579999999995)</f>
        <v>2566.558</v>
      </c>
      <c r="BK1179" s="71">
        <f>IFERROR(__xludf.DUMMYFUNCTION("""COMPUTED_VALUE"""),2096.1)</f>
        <v>2096.1</v>
      </c>
      <c r="BL1179" s="71">
        <f>IFERROR(__xludf.DUMMYFUNCTION("""COMPUTED_VALUE"""),335.376)</f>
        <v>335.376</v>
      </c>
      <c r="BM1179" s="71">
        <f>IFERROR(__xludf.DUMMYFUNCTION("""COMPUTED_VALUE"""),2431.4759999999997)</f>
        <v>2431.476</v>
      </c>
      <c r="BN1179" s="71">
        <f>IFERROR(__xludf.DUMMYFUNCTION("""COMPUTED_VALUE"""),1979.6499999999999)</f>
        <v>1979.65</v>
      </c>
      <c r="BO1179" s="71">
        <f>IFERROR(__xludf.DUMMYFUNCTION("""COMPUTED_VALUE"""),316.74399999999997)</f>
        <v>316.744</v>
      </c>
      <c r="BP1179" s="71">
        <f>IFERROR(__xludf.DUMMYFUNCTION("""COMPUTED_VALUE"""),2296.394)</f>
        <v>2296.394</v>
      </c>
      <c r="BQ1179" s="71">
        <f>IFERROR(__xludf.DUMMYFUNCTION("""COMPUTED_VALUE"""),1933.07)</f>
        <v>1933.07</v>
      </c>
      <c r="BR1179" s="71">
        <f>IFERROR(__xludf.DUMMYFUNCTION("""COMPUTED_VALUE"""),309.2912)</f>
        <v>309.2912</v>
      </c>
      <c r="BS1179" s="71">
        <f>IFERROR(__xludf.DUMMYFUNCTION("""COMPUTED_VALUE"""),2242.3612)</f>
        <v>2242.3612</v>
      </c>
      <c r="BT1179" s="71">
        <f>IFERROR(__xludf.DUMMYFUNCTION("""COMPUTED_VALUE"""),1863.2)</f>
        <v>1863.2</v>
      </c>
      <c r="BU1179" s="71">
        <f>IFERROR(__xludf.DUMMYFUNCTION("""COMPUTED_VALUE"""),298.112)</f>
        <v>298.112</v>
      </c>
      <c r="BV1179" s="71">
        <f>IFERROR(__xludf.DUMMYFUNCTION("""COMPUTED_VALUE"""),2161.312)</f>
        <v>2161.312</v>
      </c>
    </row>
    <row r="1180">
      <c r="A1180" s="53"/>
      <c r="B1180" s="53"/>
      <c r="C1180" s="120" t="s">
        <v>53</v>
      </c>
      <c r="D1180" s="53" t="s">
        <v>2884</v>
      </c>
      <c r="E1180" s="54" t="s">
        <v>38</v>
      </c>
      <c r="F1180" s="54" t="s">
        <v>42</v>
      </c>
      <c r="G1180" s="55" t="s">
        <v>2885</v>
      </c>
      <c r="H1180" s="54" t="s">
        <v>2886</v>
      </c>
      <c r="I1180" s="54">
        <f t="shared" si="24"/>
        <v>39</v>
      </c>
      <c r="J1180" s="56"/>
      <c r="K1180" s="75"/>
      <c r="L1180" s="76"/>
      <c r="M1180" s="59"/>
      <c r="N1180" s="60">
        <v>424.20000000000005</v>
      </c>
      <c r="O1180" s="61">
        <v>458.0</v>
      </c>
      <c r="P1180" s="62">
        <v>494.64000000000004</v>
      </c>
      <c r="Q1180" s="63">
        <v>494.64000000000004</v>
      </c>
      <c r="R1180" s="64">
        <v>520.0</v>
      </c>
      <c r="S1180" s="111">
        <v>546.0</v>
      </c>
      <c r="T1180" s="65">
        <f t="shared" si="39"/>
        <v>87.36</v>
      </c>
      <c r="U1180" s="65">
        <f t="shared" si="40"/>
        <v>633.36</v>
      </c>
      <c r="V1180" s="66">
        <f t="shared" si="42"/>
        <v>0.05</v>
      </c>
      <c r="W1180" s="67">
        <f t="shared" si="5"/>
        <v>518.7</v>
      </c>
      <c r="X1180" s="67">
        <f t="shared" si="43"/>
        <v>82.992</v>
      </c>
      <c r="Y1180" s="67">
        <f t="shared" si="44"/>
        <v>601.692</v>
      </c>
      <c r="Z1180" s="67">
        <f t="shared" si="8"/>
        <v>491.4</v>
      </c>
      <c r="AA1180" s="67">
        <f t="shared" si="45"/>
        <v>78.624</v>
      </c>
      <c r="AB1180" s="67">
        <f t="shared" si="46"/>
        <v>570.024</v>
      </c>
      <c r="AC1180" s="67">
        <f t="shared" si="11"/>
        <v>464.1</v>
      </c>
      <c r="AD1180" s="67">
        <f t="shared" si="12"/>
        <v>74.256</v>
      </c>
      <c r="AE1180" s="67">
        <f t="shared" si="13"/>
        <v>538.356</v>
      </c>
      <c r="AF1180" s="67">
        <f t="shared" si="33"/>
        <v>453.18</v>
      </c>
      <c r="AG1180" s="67">
        <f t="shared" si="15"/>
        <v>72.5088</v>
      </c>
      <c r="AH1180" s="67">
        <f t="shared" si="16"/>
        <v>525.6888</v>
      </c>
      <c r="AI1180" s="67">
        <f t="shared" si="17"/>
        <v>436.8</v>
      </c>
      <c r="AJ1180" s="68">
        <f t="shared" si="37"/>
        <v>69.888</v>
      </c>
      <c r="AK1180" s="68">
        <f t="shared" si="38"/>
        <v>506.688</v>
      </c>
      <c r="AL1180" s="70">
        <f>IFERROR(__xludf.DUMMYFUNCTION("""COMPUTED_VALUE"""),1.0)</f>
        <v>1</v>
      </c>
      <c r="AM1180" s="70"/>
      <c r="AN1180" s="71" t="str">
        <f>IFERROR(__xludf.DUMMYFUNCTION("""COMPUTED_VALUE""")," P")</f>
        <v>P</v>
      </c>
      <c r="AO1180" s="71" t="str">
        <f>IFERROR(__xludf.DUMMYFUNCTION("""COMPUTED_VALUE""")," TP26")</f>
        <v>TP26</v>
      </c>
      <c r="AP1180" s="71" t="str">
        <f>IFERROR(__xludf.DUMMYFUNCTION("""COMPUTED_VALUE""")," PZA")</f>
        <v>PZA</v>
      </c>
      <c r="AQ1180" s="71" t="str">
        <f>IFERROR(__xludf.DUMMYFUNCTION("""COMPUTED_VALUE""")," REF")</f>
        <v>REF</v>
      </c>
      <c r="AR1180" s="71" t="str">
        <f>IFERROR(__xludf.DUMMYFUNCTION("""COMPUTED_VALUE""")," TAPA LATERAL PARA AMASADORA DE 25 KG. ACERO INOXIDABLE 430")</f>
        <v>TAPA LATERAL PARA AMASADORA DE 25 KG. ACERO INOXIDABLE 430</v>
      </c>
      <c r="AS1180" s="71" t="str">
        <f>IFERROR(__xludf.DUMMYFUNCTION("""COMPUTED_VALUE""")," TAPA LATERAL AMASADORA 25KG INOX430")</f>
        <v>TAPA LATERAL AMASADORA 25KG INOX430</v>
      </c>
      <c r="AT1180" s="71">
        <f>IFERROR(__xludf.DUMMYFUNCTION("""COMPUTED_VALUE"""),35.0)</f>
        <v>35</v>
      </c>
      <c r="AU1180" s="71"/>
      <c r="AV1180" s="71"/>
      <c r="AW1180" s="71"/>
      <c r="AX1180" s="71"/>
      <c r="AY1180" s="71">
        <f>IFERROR(__xludf.DUMMYFUNCTION("""COMPUTED_VALUE"""),1233.0)</f>
        <v>1233</v>
      </c>
      <c r="AZ1180" s="71">
        <f>IFERROR(__xludf.DUMMYFUNCTION("""COMPUTED_VALUE"""),1331.0)</f>
        <v>1331</v>
      </c>
      <c r="BA1180" s="71">
        <f>IFERROR(__xludf.DUMMYFUNCTION("""COMPUTED_VALUE"""),1437.48)</f>
        <v>1437.48</v>
      </c>
      <c r="BB1180" s="71">
        <f>IFERROR(__xludf.DUMMYFUNCTION("""COMPUTED_VALUE"""),1437.48)</f>
        <v>1437.48</v>
      </c>
      <c r="BC1180" s="71">
        <f>IFERROR(__xludf.DUMMYFUNCTION("""COMPUTED_VALUE"""),1601.0)</f>
        <v>1601</v>
      </c>
      <c r="BD1180" s="71">
        <f>IFERROR(__xludf.DUMMYFUNCTION("""COMPUTED_VALUE"""),1681.0)</f>
        <v>1681</v>
      </c>
      <c r="BE1180" s="71">
        <f>IFERROR(__xludf.DUMMYFUNCTION("""COMPUTED_VALUE"""),268.96)</f>
        <v>268.96</v>
      </c>
      <c r="BF1180" s="71">
        <f>IFERROR(__xludf.DUMMYFUNCTION("""COMPUTED_VALUE"""),1949.96)</f>
        <v>1949.96</v>
      </c>
      <c r="BG1180" s="71">
        <f>IFERROR(__xludf.DUMMYFUNCTION("""COMPUTED_VALUE"""),0.04996876951905059)</f>
        <v>0.04996876952</v>
      </c>
      <c r="BH1180" s="71">
        <f>IFERROR(__xludf.DUMMYFUNCTION("""COMPUTED_VALUE"""),1596.9499999999998)</f>
        <v>1596.95</v>
      </c>
      <c r="BI1180" s="71">
        <f>IFERROR(__xludf.DUMMYFUNCTION("""COMPUTED_VALUE"""),255.51199999999997)</f>
        <v>255.512</v>
      </c>
      <c r="BJ1180" s="71">
        <f>IFERROR(__xludf.DUMMYFUNCTION("""COMPUTED_VALUE"""),1852.4619999999998)</f>
        <v>1852.462</v>
      </c>
      <c r="BK1180" s="71">
        <f>IFERROR(__xludf.DUMMYFUNCTION("""COMPUTED_VALUE"""),1512.9)</f>
        <v>1512.9</v>
      </c>
      <c r="BL1180" s="71">
        <f>IFERROR(__xludf.DUMMYFUNCTION("""COMPUTED_VALUE"""),242.06400000000002)</f>
        <v>242.064</v>
      </c>
      <c r="BM1180" s="71">
        <f>IFERROR(__xludf.DUMMYFUNCTION("""COMPUTED_VALUE"""),1754.9640000000002)</f>
        <v>1754.964</v>
      </c>
      <c r="BN1180" s="71">
        <f>IFERROR(__xludf.DUMMYFUNCTION("""COMPUTED_VALUE"""),1428.85)</f>
        <v>1428.85</v>
      </c>
      <c r="BO1180" s="71">
        <f>IFERROR(__xludf.DUMMYFUNCTION("""COMPUTED_VALUE"""),228.61599999999999)</f>
        <v>228.616</v>
      </c>
      <c r="BP1180" s="71">
        <f>IFERROR(__xludf.DUMMYFUNCTION("""COMPUTED_VALUE"""),1657.466)</f>
        <v>1657.466</v>
      </c>
      <c r="BQ1180" s="71">
        <f>IFERROR(__xludf.DUMMYFUNCTION("""COMPUTED_VALUE"""),1395.23)</f>
        <v>1395.23</v>
      </c>
      <c r="BR1180" s="71">
        <f>IFERROR(__xludf.DUMMYFUNCTION("""COMPUTED_VALUE"""),223.23680000000002)</f>
        <v>223.2368</v>
      </c>
      <c r="BS1180" s="71">
        <f>IFERROR(__xludf.DUMMYFUNCTION("""COMPUTED_VALUE"""),1618.4668000000001)</f>
        <v>1618.4668</v>
      </c>
      <c r="BT1180" s="71">
        <f>IFERROR(__xludf.DUMMYFUNCTION("""COMPUTED_VALUE"""),1344.8000000000002)</f>
        <v>1344.8</v>
      </c>
      <c r="BU1180" s="71">
        <f>IFERROR(__xludf.DUMMYFUNCTION("""COMPUTED_VALUE"""),215.16800000000003)</f>
        <v>215.168</v>
      </c>
      <c r="BV1180" s="71">
        <f>IFERROR(__xludf.DUMMYFUNCTION("""COMPUTED_VALUE"""),1559.9680000000003)</f>
        <v>1559.968</v>
      </c>
    </row>
    <row r="1181">
      <c r="A1181" s="53">
        <v>1.0</v>
      </c>
      <c r="B1181" s="72"/>
      <c r="C1181" s="120" t="s">
        <v>53</v>
      </c>
      <c r="D1181" s="74" t="s">
        <v>2887</v>
      </c>
      <c r="E1181" s="54" t="s">
        <v>38</v>
      </c>
      <c r="F1181" s="54" t="s">
        <v>42</v>
      </c>
      <c r="G1181" s="88" t="s">
        <v>2888</v>
      </c>
      <c r="H1181" s="54" t="s">
        <v>2889</v>
      </c>
      <c r="I1181" s="54">
        <f t="shared" si="24"/>
        <v>39</v>
      </c>
      <c r="J1181" s="56"/>
      <c r="K1181" s="75"/>
      <c r="L1181" s="76"/>
      <c r="M1181" s="59"/>
      <c r="N1181" s="60">
        <v>413.0</v>
      </c>
      <c r="O1181" s="61">
        <v>446.0</v>
      </c>
      <c r="P1181" s="62">
        <v>481.68</v>
      </c>
      <c r="Q1181" s="63">
        <v>481.68</v>
      </c>
      <c r="R1181" s="64">
        <v>537.0</v>
      </c>
      <c r="S1181" s="111">
        <v>564.0</v>
      </c>
      <c r="T1181" s="65">
        <f t="shared" si="39"/>
        <v>90.24</v>
      </c>
      <c r="U1181" s="65">
        <f t="shared" si="40"/>
        <v>654.24</v>
      </c>
      <c r="V1181" s="66">
        <f t="shared" si="42"/>
        <v>0.05027932961</v>
      </c>
      <c r="W1181" s="67">
        <f t="shared" si="5"/>
        <v>535.8</v>
      </c>
      <c r="X1181" s="67">
        <f t="shared" si="43"/>
        <v>85.728</v>
      </c>
      <c r="Y1181" s="67">
        <f t="shared" si="44"/>
        <v>621.528</v>
      </c>
      <c r="Z1181" s="67">
        <f t="shared" si="8"/>
        <v>507.6</v>
      </c>
      <c r="AA1181" s="67">
        <f t="shared" si="45"/>
        <v>81.216</v>
      </c>
      <c r="AB1181" s="67">
        <f t="shared" si="46"/>
        <v>588.816</v>
      </c>
      <c r="AC1181" s="67">
        <f t="shared" si="11"/>
        <v>479.4</v>
      </c>
      <c r="AD1181" s="67">
        <f t="shared" si="12"/>
        <v>76.704</v>
      </c>
      <c r="AE1181" s="67">
        <f t="shared" si="13"/>
        <v>556.104</v>
      </c>
      <c r="AF1181" s="67">
        <f t="shared" si="33"/>
        <v>468.12</v>
      </c>
      <c r="AG1181" s="67">
        <f t="shared" si="15"/>
        <v>74.8992</v>
      </c>
      <c r="AH1181" s="67">
        <f t="shared" si="16"/>
        <v>543.0192</v>
      </c>
      <c r="AI1181" s="67">
        <f t="shared" si="17"/>
        <v>451.2</v>
      </c>
      <c r="AJ1181" s="68">
        <f t="shared" si="37"/>
        <v>72.192</v>
      </c>
      <c r="AK1181" s="68">
        <f t="shared" si="38"/>
        <v>523.392</v>
      </c>
      <c r="AL1181" s="70">
        <f>IFERROR(__xludf.DUMMYFUNCTION("""COMPUTED_VALUE"""),1.0)</f>
        <v>1</v>
      </c>
      <c r="AM1181" s="70"/>
      <c r="AN1181" s="71" t="str">
        <f>IFERROR(__xludf.DUMMYFUNCTION("""COMPUTED_VALUE""")," P")</f>
        <v>P</v>
      </c>
      <c r="AO1181" s="71" t="str">
        <f>IFERROR(__xludf.DUMMYFUNCTION("""COMPUTED_VALUE""")," TP27")</f>
        <v>TP27</v>
      </c>
      <c r="AP1181" s="71" t="str">
        <f>IFERROR(__xludf.DUMMYFUNCTION("""COMPUTED_VALUE""")," PZA")</f>
        <v>PZA</v>
      </c>
      <c r="AQ1181" s="71" t="str">
        <f>IFERROR(__xludf.DUMMYFUNCTION("""COMPUTED_VALUE""")," REF")</f>
        <v>REF</v>
      </c>
      <c r="AR1181" s="71" t="str">
        <f>IFERROR(__xludf.DUMMYFUNCTION("""COMPUTED_VALUE""")," TAPA LATERAL PARA AMASADORA DE 50 KG. ACERO INOXIDABLE 430")</f>
        <v>TAPA LATERAL PARA AMASADORA DE 50 KG. ACERO INOXIDABLE 430</v>
      </c>
      <c r="AS1181" s="71" t="str">
        <f>IFERROR(__xludf.DUMMYFUNCTION("""COMPUTED_VALUE""")," TAPA LATERAL AMASADORA 50KG INOX430")</f>
        <v>TAPA LATERAL AMASADORA 50KG INOX430</v>
      </c>
      <c r="AT1181" s="71">
        <f>IFERROR(__xludf.DUMMYFUNCTION("""COMPUTED_VALUE"""),35.0)</f>
        <v>35</v>
      </c>
      <c r="AU1181" s="71"/>
      <c r="AV1181" s="71"/>
      <c r="AW1181" s="71"/>
      <c r="AX1181" s="71"/>
      <c r="AY1181" s="71">
        <f>IFERROR(__xludf.DUMMYFUNCTION("""COMPUTED_VALUE"""),1452.0)</f>
        <v>1452</v>
      </c>
      <c r="AZ1181" s="71">
        <f>IFERROR(__xludf.DUMMYFUNCTION("""COMPUTED_VALUE"""),1568.0)</f>
        <v>1568</v>
      </c>
      <c r="BA1181" s="71">
        <f>IFERROR(__xludf.DUMMYFUNCTION("""COMPUTED_VALUE"""),1693.44)</f>
        <v>1693.44</v>
      </c>
      <c r="BB1181" s="71">
        <f>IFERROR(__xludf.DUMMYFUNCTION("""COMPUTED_VALUE"""),1693.44)</f>
        <v>1693.44</v>
      </c>
      <c r="BC1181" s="71">
        <f>IFERROR(__xludf.DUMMYFUNCTION("""COMPUTED_VALUE"""),1886.0)</f>
        <v>1886</v>
      </c>
      <c r="BD1181" s="71">
        <f>IFERROR(__xludf.DUMMYFUNCTION("""COMPUTED_VALUE"""),1980.0)</f>
        <v>1980</v>
      </c>
      <c r="BE1181" s="71">
        <f>IFERROR(__xludf.DUMMYFUNCTION("""COMPUTED_VALUE"""),316.8)</f>
        <v>316.8</v>
      </c>
      <c r="BF1181" s="71">
        <f>IFERROR(__xludf.DUMMYFUNCTION("""COMPUTED_VALUE"""),2296.8)</f>
        <v>2296.8</v>
      </c>
      <c r="BG1181" s="71">
        <f>IFERROR(__xludf.DUMMYFUNCTION("""COMPUTED_VALUE"""),0.04984093319194061)</f>
        <v>0.04984093319</v>
      </c>
      <c r="BH1181" s="71">
        <f>IFERROR(__xludf.DUMMYFUNCTION("""COMPUTED_VALUE"""),1881.0)</f>
        <v>1881</v>
      </c>
      <c r="BI1181" s="71">
        <f>IFERROR(__xludf.DUMMYFUNCTION("""COMPUTED_VALUE"""),300.96)</f>
        <v>300.96</v>
      </c>
      <c r="BJ1181" s="71">
        <f>IFERROR(__xludf.DUMMYFUNCTION("""COMPUTED_VALUE"""),2181.96)</f>
        <v>2181.96</v>
      </c>
      <c r="BK1181" s="71">
        <f>IFERROR(__xludf.DUMMYFUNCTION("""COMPUTED_VALUE"""),1782.0)</f>
        <v>1782</v>
      </c>
      <c r="BL1181" s="71">
        <f>IFERROR(__xludf.DUMMYFUNCTION("""COMPUTED_VALUE"""),285.12)</f>
        <v>285.12</v>
      </c>
      <c r="BM1181" s="71">
        <f>IFERROR(__xludf.DUMMYFUNCTION("""COMPUTED_VALUE"""),2067.12)</f>
        <v>2067.12</v>
      </c>
      <c r="BN1181" s="71">
        <f>IFERROR(__xludf.DUMMYFUNCTION("""COMPUTED_VALUE"""),1683.0)</f>
        <v>1683</v>
      </c>
      <c r="BO1181" s="71">
        <f>IFERROR(__xludf.DUMMYFUNCTION("""COMPUTED_VALUE"""),269.28000000000003)</f>
        <v>269.28</v>
      </c>
      <c r="BP1181" s="71">
        <f>IFERROR(__xludf.DUMMYFUNCTION("""COMPUTED_VALUE"""),1952.28)</f>
        <v>1952.28</v>
      </c>
      <c r="BQ1181" s="71">
        <f>IFERROR(__xludf.DUMMYFUNCTION("""COMPUTED_VALUE"""),1643.3999999999999)</f>
        <v>1643.4</v>
      </c>
      <c r="BR1181" s="71">
        <f>IFERROR(__xludf.DUMMYFUNCTION("""COMPUTED_VALUE"""),262.94399999999996)</f>
        <v>262.944</v>
      </c>
      <c r="BS1181" s="71">
        <f>IFERROR(__xludf.DUMMYFUNCTION("""COMPUTED_VALUE"""),1906.3439999999998)</f>
        <v>1906.344</v>
      </c>
      <c r="BT1181" s="71">
        <f>IFERROR(__xludf.DUMMYFUNCTION("""COMPUTED_VALUE"""),1584.0)</f>
        <v>1584</v>
      </c>
      <c r="BU1181" s="71">
        <f>IFERROR(__xludf.DUMMYFUNCTION("""COMPUTED_VALUE"""),253.44)</f>
        <v>253.44</v>
      </c>
      <c r="BV1181" s="71">
        <f>IFERROR(__xludf.DUMMYFUNCTION("""COMPUTED_VALUE"""),1837.44)</f>
        <v>1837.44</v>
      </c>
    </row>
    <row r="1182">
      <c r="A1182" s="53">
        <v>1.0</v>
      </c>
      <c r="B1182" s="72"/>
      <c r="C1182" s="120" t="s">
        <v>53</v>
      </c>
      <c r="D1182" s="74" t="s">
        <v>2890</v>
      </c>
      <c r="E1182" s="54" t="s">
        <v>38</v>
      </c>
      <c r="F1182" s="54" t="s">
        <v>42</v>
      </c>
      <c r="G1182" s="88" t="s">
        <v>2891</v>
      </c>
      <c r="H1182" s="54" t="s">
        <v>2891</v>
      </c>
      <c r="I1182" s="54">
        <f t="shared" si="24"/>
        <v>35</v>
      </c>
      <c r="J1182" s="56"/>
      <c r="K1182" s="75"/>
      <c r="L1182" s="76"/>
      <c r="M1182" s="59"/>
      <c r="N1182" s="60">
        <v>413.0</v>
      </c>
      <c r="O1182" s="61">
        <v>446.0</v>
      </c>
      <c r="P1182" s="62">
        <v>481.68</v>
      </c>
      <c r="Q1182" s="63">
        <v>481.68</v>
      </c>
      <c r="R1182" s="64">
        <v>537.0</v>
      </c>
      <c r="S1182" s="111">
        <v>564.0</v>
      </c>
      <c r="T1182" s="65">
        <f t="shared" si="39"/>
        <v>90.24</v>
      </c>
      <c r="U1182" s="65">
        <f t="shared" si="40"/>
        <v>654.24</v>
      </c>
      <c r="V1182" s="66">
        <f t="shared" si="42"/>
        <v>0.05027932961</v>
      </c>
      <c r="W1182" s="67">
        <f t="shared" si="5"/>
        <v>535.8</v>
      </c>
      <c r="X1182" s="67">
        <f t="shared" si="43"/>
        <v>85.728</v>
      </c>
      <c r="Y1182" s="67">
        <f t="shared" si="44"/>
        <v>621.528</v>
      </c>
      <c r="Z1182" s="67">
        <f t="shared" si="8"/>
        <v>507.6</v>
      </c>
      <c r="AA1182" s="67">
        <f t="shared" si="45"/>
        <v>81.216</v>
      </c>
      <c r="AB1182" s="67">
        <f t="shared" si="46"/>
        <v>588.816</v>
      </c>
      <c r="AC1182" s="67">
        <f t="shared" si="11"/>
        <v>479.4</v>
      </c>
      <c r="AD1182" s="67">
        <f t="shared" si="12"/>
        <v>76.704</v>
      </c>
      <c r="AE1182" s="67">
        <f t="shared" si="13"/>
        <v>556.104</v>
      </c>
      <c r="AF1182" s="67">
        <f t="shared" si="33"/>
        <v>468.12</v>
      </c>
      <c r="AG1182" s="67">
        <f t="shared" si="15"/>
        <v>74.8992</v>
      </c>
      <c r="AH1182" s="67">
        <f t="shared" si="16"/>
        <v>543.0192</v>
      </c>
      <c r="AI1182" s="67">
        <f t="shared" si="17"/>
        <v>451.2</v>
      </c>
      <c r="AJ1182" s="68">
        <f t="shared" si="37"/>
        <v>72.192</v>
      </c>
      <c r="AK1182" s="68">
        <f t="shared" si="38"/>
        <v>523.392</v>
      </c>
      <c r="AL1182" s="70">
        <f>IFERROR(__xludf.DUMMYFUNCTION("""COMPUTED_VALUE"""),1.0)</f>
        <v>1</v>
      </c>
      <c r="AM1182" s="70"/>
      <c r="AN1182" s="71" t="str">
        <f>IFERROR(__xludf.DUMMYFUNCTION("""COMPUTED_VALUE""")," P")</f>
        <v>P</v>
      </c>
      <c r="AO1182" s="71" t="str">
        <f>IFERROR(__xludf.DUMMYFUNCTION("""COMPUTED_VALUE""")," TP05")</f>
        <v>TP05</v>
      </c>
      <c r="AP1182" s="71" t="str">
        <f>IFERROR(__xludf.DUMMYFUNCTION("""COMPUTED_VALUE""")," PZA")</f>
        <v>PZA</v>
      </c>
      <c r="AQ1182" s="71" t="str">
        <f>IFERROR(__xludf.DUMMYFUNCTION("""COMPUTED_VALUE""")," REF")</f>
        <v>REF</v>
      </c>
      <c r="AR1182" s="71" t="str">
        <f>IFERROR(__xludf.DUMMYFUNCTION("""COMPUTED_VALUE""")," TAPA P/MESA ENFRIAD LAT INOX 56.5X25 CM")</f>
        <v>TAPA P/MESA ENFRIAD LAT INOX 56.5X25 CM</v>
      </c>
      <c r="AS1182" s="71" t="str">
        <f>IFERROR(__xludf.DUMMYFUNCTION("""COMPUTED_VALUE""")," TAPA P/MESA ENFRIAD LAT INOX 56.5X25 CM")</f>
        <v>TAPA P/MESA ENFRIAD LAT INOX 56.5X25 CM</v>
      </c>
      <c r="AT1182" s="71">
        <f>IFERROR(__xludf.DUMMYFUNCTION("""COMPUTED_VALUE"""),39.0)</f>
        <v>39</v>
      </c>
      <c r="AU1182" s="71"/>
      <c r="AV1182" s="71"/>
      <c r="AW1182" s="71"/>
      <c r="AX1182" s="71"/>
      <c r="AY1182" s="71">
        <f>IFERROR(__xludf.DUMMYFUNCTION("""COMPUTED_VALUE"""),283.0)</f>
        <v>283</v>
      </c>
      <c r="AZ1182" s="71">
        <f>IFERROR(__xludf.DUMMYFUNCTION("""COMPUTED_VALUE"""),305.0)</f>
        <v>305</v>
      </c>
      <c r="BA1182" s="71">
        <f>IFERROR(__xludf.DUMMYFUNCTION("""COMPUTED_VALUE"""),329.40000000000003)</f>
        <v>329.4</v>
      </c>
      <c r="BB1182" s="71">
        <f>IFERROR(__xludf.DUMMYFUNCTION("""COMPUTED_VALUE"""),329.40000000000003)</f>
        <v>329.4</v>
      </c>
      <c r="BC1182" s="71">
        <f>IFERROR(__xludf.DUMMYFUNCTION("""COMPUTED_VALUE"""),368.0)</f>
        <v>368</v>
      </c>
      <c r="BD1182" s="71">
        <f>IFERROR(__xludf.DUMMYFUNCTION("""COMPUTED_VALUE"""),386.0)</f>
        <v>386</v>
      </c>
      <c r="BE1182" s="71">
        <f>IFERROR(__xludf.DUMMYFUNCTION("""COMPUTED_VALUE"""),61.76)</f>
        <v>61.76</v>
      </c>
      <c r="BF1182" s="71">
        <f>IFERROR(__xludf.DUMMYFUNCTION("""COMPUTED_VALUE"""),447.76)</f>
        <v>447.76</v>
      </c>
      <c r="BG1182" s="71">
        <f>IFERROR(__xludf.DUMMYFUNCTION("""COMPUTED_VALUE"""),0.04891304347826087)</f>
        <v>0.04891304348</v>
      </c>
      <c r="BH1182" s="71">
        <f>IFERROR(__xludf.DUMMYFUNCTION("""COMPUTED_VALUE"""),366.7)</f>
        <v>366.7</v>
      </c>
      <c r="BI1182" s="71">
        <f>IFERROR(__xludf.DUMMYFUNCTION("""COMPUTED_VALUE"""),58.672)</f>
        <v>58.672</v>
      </c>
      <c r="BJ1182" s="71">
        <f>IFERROR(__xludf.DUMMYFUNCTION("""COMPUTED_VALUE"""),425.37199999999996)</f>
        <v>425.372</v>
      </c>
      <c r="BK1182" s="71">
        <f>IFERROR(__xludf.DUMMYFUNCTION("""COMPUTED_VALUE"""),347.40000000000003)</f>
        <v>347.4</v>
      </c>
      <c r="BL1182" s="71">
        <f>IFERROR(__xludf.DUMMYFUNCTION("""COMPUTED_VALUE"""),55.584)</f>
        <v>55.584</v>
      </c>
      <c r="BM1182" s="71">
        <f>IFERROR(__xludf.DUMMYFUNCTION("""COMPUTED_VALUE"""),402.98400000000004)</f>
        <v>402.984</v>
      </c>
      <c r="BN1182" s="71">
        <f>IFERROR(__xludf.DUMMYFUNCTION("""COMPUTED_VALUE"""),328.09999999999997)</f>
        <v>328.1</v>
      </c>
      <c r="BO1182" s="71">
        <f>IFERROR(__xludf.DUMMYFUNCTION("""COMPUTED_VALUE"""),52.495999999999995)</f>
        <v>52.496</v>
      </c>
      <c r="BP1182" s="71">
        <f>IFERROR(__xludf.DUMMYFUNCTION("""COMPUTED_VALUE"""),380.59599999999995)</f>
        <v>380.596</v>
      </c>
      <c r="BQ1182" s="71">
        <f>IFERROR(__xludf.DUMMYFUNCTION("""COMPUTED_VALUE"""),320.38)</f>
        <v>320.38</v>
      </c>
      <c r="BR1182" s="71">
        <f>IFERROR(__xludf.DUMMYFUNCTION("""COMPUTED_VALUE"""),51.2608)</f>
        <v>51.2608</v>
      </c>
      <c r="BS1182" s="71">
        <f>IFERROR(__xludf.DUMMYFUNCTION("""COMPUTED_VALUE"""),371.6408)</f>
        <v>371.6408</v>
      </c>
      <c r="BT1182" s="71">
        <f>IFERROR(__xludf.DUMMYFUNCTION("""COMPUTED_VALUE"""),308.8)</f>
        <v>308.8</v>
      </c>
      <c r="BU1182" s="71">
        <f>IFERROR(__xludf.DUMMYFUNCTION("""COMPUTED_VALUE"""),49.408)</f>
        <v>49.408</v>
      </c>
      <c r="BV1182" s="71">
        <f>IFERROR(__xludf.DUMMYFUNCTION("""COMPUTED_VALUE"""),358.208)</f>
        <v>358.208</v>
      </c>
    </row>
    <row r="1183">
      <c r="A1183" s="53">
        <v>1.0</v>
      </c>
      <c r="B1183" s="72"/>
      <c r="C1183" s="120" t="s">
        <v>53</v>
      </c>
      <c r="D1183" s="74" t="s">
        <v>2892</v>
      </c>
      <c r="E1183" s="54" t="s">
        <v>38</v>
      </c>
      <c r="F1183" s="54" t="s">
        <v>42</v>
      </c>
      <c r="G1183" s="88" t="s">
        <v>2893</v>
      </c>
      <c r="H1183" s="54" t="s">
        <v>2893</v>
      </c>
      <c r="I1183" s="54">
        <f t="shared" si="24"/>
        <v>37</v>
      </c>
      <c r="J1183" s="56"/>
      <c r="K1183" s="75"/>
      <c r="L1183" s="76"/>
      <c r="M1183" s="59"/>
      <c r="N1183" s="60">
        <v>393.0</v>
      </c>
      <c r="O1183" s="61">
        <v>424.0</v>
      </c>
      <c r="P1183" s="62">
        <v>457.92</v>
      </c>
      <c r="Q1183" s="63">
        <v>457.92</v>
      </c>
      <c r="R1183" s="64">
        <v>511.0</v>
      </c>
      <c r="S1183" s="111">
        <v>537.0</v>
      </c>
      <c r="T1183" s="65">
        <f t="shared" si="39"/>
        <v>85.92</v>
      </c>
      <c r="U1183" s="65">
        <f t="shared" si="40"/>
        <v>622.92</v>
      </c>
      <c r="V1183" s="66">
        <f t="shared" si="42"/>
        <v>0.05088062622</v>
      </c>
      <c r="W1183" s="67">
        <f t="shared" si="5"/>
        <v>510.15</v>
      </c>
      <c r="X1183" s="67">
        <f t="shared" si="43"/>
        <v>81.624</v>
      </c>
      <c r="Y1183" s="67">
        <f t="shared" si="44"/>
        <v>591.774</v>
      </c>
      <c r="Z1183" s="67">
        <f t="shared" si="8"/>
        <v>483.3</v>
      </c>
      <c r="AA1183" s="67">
        <f t="shared" si="45"/>
        <v>77.328</v>
      </c>
      <c r="AB1183" s="67">
        <f t="shared" si="46"/>
        <v>560.628</v>
      </c>
      <c r="AC1183" s="67">
        <f t="shared" si="11"/>
        <v>456.45</v>
      </c>
      <c r="AD1183" s="67">
        <f t="shared" si="12"/>
        <v>73.032</v>
      </c>
      <c r="AE1183" s="67">
        <f t="shared" si="13"/>
        <v>529.482</v>
      </c>
      <c r="AF1183" s="67">
        <f t="shared" si="33"/>
        <v>445.71</v>
      </c>
      <c r="AG1183" s="67">
        <f t="shared" si="15"/>
        <v>71.3136</v>
      </c>
      <c r="AH1183" s="67">
        <f t="shared" si="16"/>
        <v>517.0236</v>
      </c>
      <c r="AI1183" s="67">
        <f t="shared" si="17"/>
        <v>429.6</v>
      </c>
      <c r="AJ1183" s="68">
        <f t="shared" si="37"/>
        <v>68.736</v>
      </c>
      <c r="AK1183" s="68">
        <f t="shared" si="38"/>
        <v>498.336</v>
      </c>
      <c r="AL1183" s="70">
        <f>IFERROR(__xludf.DUMMYFUNCTION("""COMPUTED_VALUE"""),1.0)</f>
        <v>1</v>
      </c>
      <c r="AM1183" s="70"/>
      <c r="AN1183" s="71" t="str">
        <f>IFERROR(__xludf.DUMMYFUNCTION("""COMPUTED_VALUE""")," P")</f>
        <v>P</v>
      </c>
      <c r="AO1183" s="71" t="str">
        <f>IFERROR(__xludf.DUMMYFUNCTION("""COMPUTED_VALUE""")," TP03")</f>
        <v>TP03</v>
      </c>
      <c r="AP1183" s="71" t="str">
        <f>IFERROR(__xludf.DUMMYFUNCTION("""COMPUTED_VALUE""")," PZA")</f>
        <v>PZA</v>
      </c>
      <c r="AQ1183" s="71" t="str">
        <f>IFERROR(__xludf.DUMMYFUNCTION("""COMPUTED_VALUE""")," REF")</f>
        <v>REF</v>
      </c>
      <c r="AR1183" s="71" t="str">
        <f>IFERROR(__xludf.DUMMYFUNCTION("""COMPUTED_VALUE""")," TAPA PARA CENTRO DE VENTILADOR 6202")</f>
        <v>TAPA PARA CENTRO DE VENTILADOR 6202</v>
      </c>
      <c r="AS1183" s="71" t="str">
        <f>IFERROR(__xludf.DUMMYFUNCTION("""COMPUTED_VALUE""")," TAPA PARA CENTRO DE VENTILADOR 6202")</f>
        <v>TAPA PARA CENTRO DE VENTILADOR 6202</v>
      </c>
      <c r="AT1183" s="71">
        <f>IFERROR(__xludf.DUMMYFUNCTION("""COMPUTED_VALUE"""),35.0)</f>
        <v>35</v>
      </c>
      <c r="AU1183" s="71"/>
      <c r="AV1183" s="71"/>
      <c r="AW1183" s="71"/>
      <c r="AX1183" s="71"/>
      <c r="AY1183" s="71">
        <f>IFERROR(__xludf.DUMMYFUNCTION("""COMPUTED_VALUE"""),20.0)</f>
        <v>20</v>
      </c>
      <c r="AZ1183" s="71">
        <f>IFERROR(__xludf.DUMMYFUNCTION("""COMPUTED_VALUE"""),21.0)</f>
        <v>21</v>
      </c>
      <c r="BA1183" s="71">
        <f>IFERROR(__xludf.DUMMYFUNCTION("""COMPUTED_VALUE"""),22.68)</f>
        <v>22.68</v>
      </c>
      <c r="BB1183" s="71">
        <f>IFERROR(__xludf.DUMMYFUNCTION("""COMPUTED_VALUE"""),22.68)</f>
        <v>22.68</v>
      </c>
      <c r="BC1183" s="71">
        <f>IFERROR(__xludf.DUMMYFUNCTION("""COMPUTED_VALUE"""),27.0)</f>
        <v>27</v>
      </c>
      <c r="BD1183" s="71">
        <f>IFERROR(__xludf.DUMMYFUNCTION("""COMPUTED_VALUE"""),28.0)</f>
        <v>28</v>
      </c>
      <c r="BE1183" s="71">
        <f>IFERROR(__xludf.DUMMYFUNCTION("""COMPUTED_VALUE"""),4.48)</f>
        <v>4.48</v>
      </c>
      <c r="BF1183" s="71">
        <f>IFERROR(__xludf.DUMMYFUNCTION("""COMPUTED_VALUE"""),32.480000000000004)</f>
        <v>32.48</v>
      </c>
      <c r="BG1183" s="71">
        <f>IFERROR(__xludf.DUMMYFUNCTION("""COMPUTED_VALUE"""),0.037037037037037035)</f>
        <v>0.03703703704</v>
      </c>
      <c r="BH1183" s="71">
        <f>IFERROR(__xludf.DUMMYFUNCTION("""COMPUTED_VALUE"""),26.599999999999998)</f>
        <v>26.6</v>
      </c>
      <c r="BI1183" s="71">
        <f>IFERROR(__xludf.DUMMYFUNCTION("""COMPUTED_VALUE"""),4.255999999999999)</f>
        <v>4.256</v>
      </c>
      <c r="BJ1183" s="71">
        <f>IFERROR(__xludf.DUMMYFUNCTION("""COMPUTED_VALUE"""),30.855999999999998)</f>
        <v>30.856</v>
      </c>
      <c r="BK1183" s="71">
        <f>IFERROR(__xludf.DUMMYFUNCTION("""COMPUTED_VALUE"""),25.2)</f>
        <v>25.2</v>
      </c>
      <c r="BL1183" s="71">
        <f>IFERROR(__xludf.DUMMYFUNCTION("""COMPUTED_VALUE"""),4.032)</f>
        <v>4.032</v>
      </c>
      <c r="BM1183" s="71">
        <f>IFERROR(__xludf.DUMMYFUNCTION("""COMPUTED_VALUE"""),29.232)</f>
        <v>29.232</v>
      </c>
      <c r="BN1183" s="71">
        <f>IFERROR(__xludf.DUMMYFUNCTION("""COMPUTED_VALUE"""),23.8)</f>
        <v>23.8</v>
      </c>
      <c r="BO1183" s="71">
        <f>IFERROR(__xludf.DUMMYFUNCTION("""COMPUTED_VALUE"""),3.8080000000000003)</f>
        <v>3.808</v>
      </c>
      <c r="BP1183" s="71">
        <f>IFERROR(__xludf.DUMMYFUNCTION("""COMPUTED_VALUE"""),27.608)</f>
        <v>27.608</v>
      </c>
      <c r="BQ1183" s="71">
        <f>IFERROR(__xludf.DUMMYFUNCTION("""COMPUTED_VALUE"""),23.24)</f>
        <v>23.24</v>
      </c>
      <c r="BR1183" s="71">
        <f>IFERROR(__xludf.DUMMYFUNCTION("""COMPUTED_VALUE"""),3.7184)</f>
        <v>3.7184</v>
      </c>
      <c r="BS1183" s="71">
        <f>IFERROR(__xludf.DUMMYFUNCTION("""COMPUTED_VALUE"""),26.958399999999997)</f>
        <v>26.9584</v>
      </c>
      <c r="BT1183" s="71">
        <f>IFERROR(__xludf.DUMMYFUNCTION("""COMPUTED_VALUE"""),22.400000000000002)</f>
        <v>22.4</v>
      </c>
      <c r="BU1183" s="71">
        <f>IFERROR(__xludf.DUMMYFUNCTION("""COMPUTED_VALUE"""),3.5840000000000005)</f>
        <v>3.584</v>
      </c>
      <c r="BV1183" s="71">
        <f>IFERROR(__xludf.DUMMYFUNCTION("""COMPUTED_VALUE"""),25.984)</f>
        <v>25.984</v>
      </c>
    </row>
    <row r="1184">
      <c r="A1184" s="53"/>
      <c r="B1184" s="53"/>
      <c r="C1184" s="73" t="s">
        <v>53</v>
      </c>
      <c r="D1184" s="53" t="s">
        <v>2894</v>
      </c>
      <c r="E1184" s="54" t="s">
        <v>38</v>
      </c>
      <c r="F1184" s="55" t="s">
        <v>309</v>
      </c>
      <c r="G1184" s="54" t="s">
        <v>2893</v>
      </c>
      <c r="H1184" s="55"/>
      <c r="I1184" s="54">
        <f t="shared" si="24"/>
        <v>0</v>
      </c>
      <c r="J1184" s="56"/>
      <c r="K1184" s="57"/>
      <c r="L1184" s="76"/>
      <c r="M1184" s="59"/>
      <c r="N1184" s="60"/>
      <c r="O1184" s="90">
        <v>424.0</v>
      </c>
      <c r="P1184" s="62">
        <v>457.92</v>
      </c>
      <c r="Q1184" s="63">
        <v>457.92</v>
      </c>
      <c r="R1184" s="64">
        <v>511.0</v>
      </c>
      <c r="S1184" s="111">
        <v>537.0</v>
      </c>
      <c r="T1184" s="65">
        <f t="shared" si="39"/>
        <v>85.92</v>
      </c>
      <c r="U1184" s="65">
        <f t="shared" si="40"/>
        <v>622.92</v>
      </c>
      <c r="V1184" s="66">
        <f t="shared" si="42"/>
        <v>0.05088062622</v>
      </c>
      <c r="W1184" s="67">
        <f t="shared" si="5"/>
        <v>510.15</v>
      </c>
      <c r="X1184" s="67">
        <f t="shared" si="43"/>
        <v>81.624</v>
      </c>
      <c r="Y1184" s="67">
        <f t="shared" si="44"/>
        <v>591.774</v>
      </c>
      <c r="Z1184" s="67">
        <f t="shared" si="8"/>
        <v>483.3</v>
      </c>
      <c r="AA1184" s="67">
        <f t="shared" si="45"/>
        <v>77.328</v>
      </c>
      <c r="AB1184" s="67">
        <f t="shared" si="46"/>
        <v>560.628</v>
      </c>
      <c r="AC1184" s="67">
        <f t="shared" si="11"/>
        <v>456.45</v>
      </c>
      <c r="AD1184" s="67">
        <f t="shared" si="12"/>
        <v>73.032</v>
      </c>
      <c r="AE1184" s="67">
        <f t="shared" si="13"/>
        <v>529.482</v>
      </c>
      <c r="AF1184" s="67">
        <f t="shared" si="33"/>
        <v>445.71</v>
      </c>
      <c r="AG1184" s="67">
        <f t="shared" si="15"/>
        <v>71.3136</v>
      </c>
      <c r="AH1184" s="67">
        <f t="shared" si="16"/>
        <v>517.0236</v>
      </c>
      <c r="AI1184" s="67">
        <f t="shared" si="17"/>
        <v>429.6</v>
      </c>
      <c r="AJ1184" s="68">
        <f t="shared" si="37"/>
        <v>68.736</v>
      </c>
      <c r="AK1184" s="68">
        <f t="shared" si="38"/>
        <v>498.336</v>
      </c>
      <c r="AL1184" s="70">
        <f>IFERROR(__xludf.DUMMYFUNCTION("""COMPUTED_VALUE"""),1.0)</f>
        <v>1</v>
      </c>
      <c r="AM1184" s="70"/>
      <c r="AN1184" s="71" t="str">
        <f>IFERROR(__xludf.DUMMYFUNCTION("""COMPUTED_VALUE""")," P")</f>
        <v>P</v>
      </c>
      <c r="AO1184" s="71" t="str">
        <f>IFERROR(__xludf.DUMMYFUNCTION("""COMPUTED_VALUE""")," TP04")</f>
        <v>TP04</v>
      </c>
      <c r="AP1184" s="71" t="str">
        <f>IFERROR(__xludf.DUMMYFUNCTION("""COMPUTED_VALUE""")," PZA")</f>
        <v>PZA</v>
      </c>
      <c r="AQ1184" s="71" t="str">
        <f>IFERROR(__xludf.DUMMYFUNCTION("""COMPUTED_VALUE""")," REF")</f>
        <v>REF</v>
      </c>
      <c r="AR1184" s="71" t="str">
        <f>IFERROR(__xludf.DUMMYFUNCTION("""COMPUTED_VALUE""")," TAPA PARA CENTRO DE VENTILADOR 6303")</f>
        <v>TAPA PARA CENTRO DE VENTILADOR 6303</v>
      </c>
      <c r="AS1184" s="71" t="str">
        <f>IFERROR(__xludf.DUMMYFUNCTION("""COMPUTED_VALUE""")," TAPA PARA CENTRO DE VENTILADOR 6303")</f>
        <v>TAPA PARA CENTRO DE VENTILADOR 6303</v>
      </c>
      <c r="AT1184" s="71">
        <f>IFERROR(__xludf.DUMMYFUNCTION("""COMPUTED_VALUE"""),35.0)</f>
        <v>35</v>
      </c>
      <c r="AU1184" s="71"/>
      <c r="AV1184" s="71"/>
      <c r="AW1184" s="71"/>
      <c r="AX1184" s="71"/>
      <c r="AY1184" s="71">
        <f>IFERROR(__xludf.DUMMYFUNCTION("""COMPUTED_VALUE"""),26.0)</f>
        <v>26</v>
      </c>
      <c r="AZ1184" s="71">
        <f>IFERROR(__xludf.DUMMYFUNCTION("""COMPUTED_VALUE"""),28.0)</f>
        <v>28</v>
      </c>
      <c r="BA1184" s="71">
        <f>IFERROR(__xludf.DUMMYFUNCTION("""COMPUTED_VALUE"""),30.240000000000002)</f>
        <v>30.24</v>
      </c>
      <c r="BB1184" s="71">
        <f>IFERROR(__xludf.DUMMYFUNCTION("""COMPUTED_VALUE"""),30.240000000000002)</f>
        <v>30.24</v>
      </c>
      <c r="BC1184" s="71">
        <f>IFERROR(__xludf.DUMMYFUNCTION("""COMPUTED_VALUE"""),35.0)</f>
        <v>35</v>
      </c>
      <c r="BD1184" s="71">
        <f>IFERROR(__xludf.DUMMYFUNCTION("""COMPUTED_VALUE"""),37.0)</f>
        <v>37</v>
      </c>
      <c r="BE1184" s="71">
        <f>IFERROR(__xludf.DUMMYFUNCTION("""COMPUTED_VALUE"""),5.92)</f>
        <v>5.92</v>
      </c>
      <c r="BF1184" s="71">
        <f>IFERROR(__xludf.DUMMYFUNCTION("""COMPUTED_VALUE"""),42.92)</f>
        <v>42.92</v>
      </c>
      <c r="BG1184" s="71">
        <f>IFERROR(__xludf.DUMMYFUNCTION("""COMPUTED_VALUE"""),0.05714285714285714)</f>
        <v>0.05714285714</v>
      </c>
      <c r="BH1184" s="71">
        <f>IFERROR(__xludf.DUMMYFUNCTION("""COMPUTED_VALUE"""),35.15)</f>
        <v>35.15</v>
      </c>
      <c r="BI1184" s="71">
        <f>IFERROR(__xludf.DUMMYFUNCTION("""COMPUTED_VALUE"""),5.624)</f>
        <v>5.624</v>
      </c>
      <c r="BJ1184" s="71">
        <f>IFERROR(__xludf.DUMMYFUNCTION("""COMPUTED_VALUE"""),40.774)</f>
        <v>40.774</v>
      </c>
      <c r="BK1184" s="71">
        <f>IFERROR(__xludf.DUMMYFUNCTION("""COMPUTED_VALUE"""),33.300000000000004)</f>
        <v>33.3</v>
      </c>
      <c r="BL1184" s="71">
        <f>IFERROR(__xludf.DUMMYFUNCTION("""COMPUTED_VALUE"""),5.328000000000001)</f>
        <v>5.328</v>
      </c>
      <c r="BM1184" s="71">
        <f>IFERROR(__xludf.DUMMYFUNCTION("""COMPUTED_VALUE"""),38.62800000000001)</f>
        <v>38.628</v>
      </c>
      <c r="BN1184" s="71">
        <f>IFERROR(__xludf.DUMMYFUNCTION("""COMPUTED_VALUE"""),31.45)</f>
        <v>31.45</v>
      </c>
      <c r="BO1184" s="71">
        <f>IFERROR(__xludf.DUMMYFUNCTION("""COMPUTED_VALUE"""),5.032)</f>
        <v>5.032</v>
      </c>
      <c r="BP1184" s="71">
        <f>IFERROR(__xludf.DUMMYFUNCTION("""COMPUTED_VALUE"""),36.482)</f>
        <v>36.482</v>
      </c>
      <c r="BQ1184" s="71">
        <f>IFERROR(__xludf.DUMMYFUNCTION("""COMPUTED_VALUE"""),30.709999999999997)</f>
        <v>30.71</v>
      </c>
      <c r="BR1184" s="71">
        <f>IFERROR(__xludf.DUMMYFUNCTION("""COMPUTED_VALUE"""),4.9136)</f>
        <v>4.9136</v>
      </c>
      <c r="BS1184" s="71">
        <f>IFERROR(__xludf.DUMMYFUNCTION("""COMPUTED_VALUE"""),35.623599999999996)</f>
        <v>35.6236</v>
      </c>
      <c r="BT1184" s="71">
        <f>IFERROR(__xludf.DUMMYFUNCTION("""COMPUTED_VALUE"""),29.6)</f>
        <v>29.6</v>
      </c>
      <c r="BU1184" s="71">
        <f>IFERROR(__xludf.DUMMYFUNCTION("""COMPUTED_VALUE"""),4.736000000000001)</f>
        <v>4.736</v>
      </c>
      <c r="BV1184" s="71">
        <f>IFERROR(__xludf.DUMMYFUNCTION("""COMPUTED_VALUE"""),34.336)</f>
        <v>34.336</v>
      </c>
    </row>
    <row r="1185">
      <c r="A1185" s="53">
        <v>1.0</v>
      </c>
      <c r="B1185" s="72"/>
      <c r="C1185" s="120" t="s">
        <v>53</v>
      </c>
      <c r="D1185" s="74" t="s">
        <v>2895</v>
      </c>
      <c r="E1185" s="54" t="s">
        <v>38</v>
      </c>
      <c r="F1185" s="54" t="s">
        <v>42</v>
      </c>
      <c r="G1185" s="88" t="s">
        <v>2896</v>
      </c>
      <c r="H1185" s="54" t="s">
        <v>2897</v>
      </c>
      <c r="I1185" s="54">
        <f t="shared" si="24"/>
        <v>28</v>
      </c>
      <c r="J1185" s="56"/>
      <c r="K1185" s="75"/>
      <c r="L1185" s="76"/>
      <c r="M1185" s="59"/>
      <c r="N1185" s="60">
        <v>31.0</v>
      </c>
      <c r="O1185" s="61">
        <v>33.0</v>
      </c>
      <c r="P1185" s="62">
        <v>35.64</v>
      </c>
      <c r="Q1185" s="63">
        <v>35.64</v>
      </c>
      <c r="R1185" s="64">
        <v>40.0</v>
      </c>
      <c r="S1185" s="111">
        <v>42.0</v>
      </c>
      <c r="T1185" s="65">
        <f t="shared" si="39"/>
        <v>6.72</v>
      </c>
      <c r="U1185" s="65">
        <f t="shared" si="40"/>
        <v>48.72</v>
      </c>
      <c r="V1185" s="66">
        <f t="shared" si="42"/>
        <v>0.05</v>
      </c>
      <c r="W1185" s="67">
        <f t="shared" si="5"/>
        <v>39.9</v>
      </c>
      <c r="X1185" s="67">
        <f t="shared" si="43"/>
        <v>6.384</v>
      </c>
      <c r="Y1185" s="67">
        <f t="shared" si="44"/>
        <v>46.284</v>
      </c>
      <c r="Z1185" s="67">
        <f t="shared" si="8"/>
        <v>37.8</v>
      </c>
      <c r="AA1185" s="67">
        <f t="shared" si="45"/>
        <v>6.048</v>
      </c>
      <c r="AB1185" s="67">
        <f t="shared" si="46"/>
        <v>43.848</v>
      </c>
      <c r="AC1185" s="67">
        <f t="shared" si="11"/>
        <v>35.7</v>
      </c>
      <c r="AD1185" s="67">
        <f t="shared" si="12"/>
        <v>5.712</v>
      </c>
      <c r="AE1185" s="67">
        <f t="shared" si="13"/>
        <v>41.412</v>
      </c>
      <c r="AF1185" s="67">
        <f t="shared" si="33"/>
        <v>34.86</v>
      </c>
      <c r="AG1185" s="67">
        <f t="shared" si="15"/>
        <v>5.5776</v>
      </c>
      <c r="AH1185" s="67">
        <f t="shared" si="16"/>
        <v>40.4376</v>
      </c>
      <c r="AI1185" s="67">
        <f t="shared" si="17"/>
        <v>33.6</v>
      </c>
      <c r="AJ1185" s="68">
        <f t="shared" si="37"/>
        <v>5.376</v>
      </c>
      <c r="AK1185" s="68">
        <f t="shared" si="38"/>
        <v>38.976</v>
      </c>
      <c r="AL1185" s="70">
        <f>IFERROR(__xludf.DUMMYFUNCTION("""COMPUTED_VALUE"""),1.0)</f>
        <v>1</v>
      </c>
      <c r="AM1185" s="70"/>
      <c r="AN1185" s="71" t="str">
        <f>IFERROR(__xludf.DUMMYFUNCTION("""COMPUTED_VALUE""")," P")</f>
        <v>P</v>
      </c>
      <c r="AO1185" s="71" t="str">
        <f>IFERROR(__xludf.DUMMYFUNCTION("""COMPUTED_VALUE""")," TP07")</f>
        <v>TP07</v>
      </c>
      <c r="AP1185" s="71" t="str">
        <f>IFERROR(__xludf.DUMMYFUNCTION("""COMPUTED_VALUE""")," PZA")</f>
        <v>PZA</v>
      </c>
      <c r="AQ1185" s="71" t="str">
        <f>IFERROR(__xludf.DUMMYFUNCTION("""COMPUTED_VALUE""")," REF")</f>
        <v>REF</v>
      </c>
      <c r="AR1185" s="71" t="str">
        <f>IFERROR(__xludf.DUMMYFUNCTION("""COMPUTED_VALUE""")," TAPA PARA REDUCTOR CHICA CON BARRENO SUPERIOR")</f>
        <v>TAPA PARA REDUCTOR CHICA CON BARRENO SUPERIOR</v>
      </c>
      <c r="AS1185" s="71" t="str">
        <f>IFERROR(__xludf.DUMMYFUNCTION("""COMPUTED_VALUE""")," TAPA P/REDUCTOR CHICA C/BARRENO SUPERIOR")</f>
        <v>TAPA P/REDUCTOR CHICA C/BARRENO SUPERIOR</v>
      </c>
      <c r="AT1185" s="71">
        <f>IFERROR(__xludf.DUMMYFUNCTION("""COMPUTED_VALUE"""),40.0)</f>
        <v>40</v>
      </c>
      <c r="AU1185" s="71"/>
      <c r="AV1185" s="71"/>
      <c r="AW1185" s="71"/>
      <c r="AX1185" s="71"/>
      <c r="AY1185" s="71">
        <f>IFERROR(__xludf.DUMMYFUNCTION("""COMPUTED_VALUE"""),98.0)</f>
        <v>98</v>
      </c>
      <c r="AZ1185" s="71">
        <f>IFERROR(__xludf.DUMMYFUNCTION("""COMPUTED_VALUE"""),105.0)</f>
        <v>105</v>
      </c>
      <c r="BA1185" s="71">
        <f>IFERROR(__xludf.DUMMYFUNCTION("""COMPUTED_VALUE"""),113.4)</f>
        <v>113.4</v>
      </c>
      <c r="BB1185" s="71">
        <f>IFERROR(__xludf.DUMMYFUNCTION("""COMPUTED_VALUE"""),113.4)</f>
        <v>113.4</v>
      </c>
      <c r="BC1185" s="71">
        <f>IFERROR(__xludf.DUMMYFUNCTION("""COMPUTED_VALUE"""),128.0)</f>
        <v>128</v>
      </c>
      <c r="BD1185" s="71">
        <f>IFERROR(__xludf.DUMMYFUNCTION("""COMPUTED_VALUE"""),134.0)</f>
        <v>134</v>
      </c>
      <c r="BE1185" s="71">
        <f>IFERROR(__xludf.DUMMYFUNCTION("""COMPUTED_VALUE"""),21.44)</f>
        <v>21.44</v>
      </c>
      <c r="BF1185" s="71">
        <f>IFERROR(__xludf.DUMMYFUNCTION("""COMPUTED_VALUE"""),155.44)</f>
        <v>155.44</v>
      </c>
      <c r="BG1185" s="71">
        <f>IFERROR(__xludf.DUMMYFUNCTION("""COMPUTED_VALUE"""),0.046875)</f>
        <v>0.046875</v>
      </c>
      <c r="BH1185" s="71">
        <f>IFERROR(__xludf.DUMMYFUNCTION("""COMPUTED_VALUE"""),127.3)</f>
        <v>127.3</v>
      </c>
      <c r="BI1185" s="71">
        <f>IFERROR(__xludf.DUMMYFUNCTION("""COMPUTED_VALUE"""),20.368)</f>
        <v>20.368</v>
      </c>
      <c r="BJ1185" s="71">
        <f>IFERROR(__xludf.DUMMYFUNCTION("""COMPUTED_VALUE"""),147.668)</f>
        <v>147.668</v>
      </c>
      <c r="BK1185" s="71">
        <f>IFERROR(__xludf.DUMMYFUNCTION("""COMPUTED_VALUE"""),120.60000000000001)</f>
        <v>120.6</v>
      </c>
      <c r="BL1185" s="71">
        <f>IFERROR(__xludf.DUMMYFUNCTION("""COMPUTED_VALUE"""),19.296000000000003)</f>
        <v>19.296</v>
      </c>
      <c r="BM1185" s="71">
        <f>IFERROR(__xludf.DUMMYFUNCTION("""COMPUTED_VALUE"""),139.89600000000002)</f>
        <v>139.896</v>
      </c>
      <c r="BN1185" s="71">
        <f>IFERROR(__xludf.DUMMYFUNCTION("""COMPUTED_VALUE"""),113.89999999999999)</f>
        <v>113.9</v>
      </c>
      <c r="BO1185" s="71">
        <f>IFERROR(__xludf.DUMMYFUNCTION("""COMPUTED_VALUE"""),18.224)</f>
        <v>18.224</v>
      </c>
      <c r="BP1185" s="71">
        <f>IFERROR(__xludf.DUMMYFUNCTION("""COMPUTED_VALUE"""),132.124)</f>
        <v>132.124</v>
      </c>
      <c r="BQ1185" s="71">
        <f>IFERROR(__xludf.DUMMYFUNCTION("""COMPUTED_VALUE"""),111.22)</f>
        <v>111.22</v>
      </c>
      <c r="BR1185" s="71">
        <f>IFERROR(__xludf.DUMMYFUNCTION("""COMPUTED_VALUE"""),17.7952)</f>
        <v>17.7952</v>
      </c>
      <c r="BS1185" s="71">
        <f>IFERROR(__xludf.DUMMYFUNCTION("""COMPUTED_VALUE"""),129.0152)</f>
        <v>129.0152</v>
      </c>
      <c r="BT1185" s="71">
        <f>IFERROR(__xludf.DUMMYFUNCTION("""COMPUTED_VALUE"""),107.2)</f>
        <v>107.2</v>
      </c>
      <c r="BU1185" s="71">
        <f>IFERROR(__xludf.DUMMYFUNCTION("""COMPUTED_VALUE"""),17.152)</f>
        <v>17.152</v>
      </c>
      <c r="BV1185" s="71">
        <f>IFERROR(__xludf.DUMMYFUNCTION("""COMPUTED_VALUE"""),124.352)</f>
        <v>124.352</v>
      </c>
    </row>
    <row r="1186">
      <c r="A1186" s="53"/>
      <c r="B1186" s="53"/>
      <c r="C1186" s="53" t="s">
        <v>36</v>
      </c>
      <c r="D1186" s="85" t="s">
        <v>2898</v>
      </c>
      <c r="E1186" s="54" t="s">
        <v>38</v>
      </c>
      <c r="F1186" s="55" t="s">
        <v>39</v>
      </c>
      <c r="G1186" s="86" t="s">
        <v>2899</v>
      </c>
      <c r="H1186" s="55"/>
      <c r="I1186" s="54">
        <f t="shared" si="24"/>
        <v>0</v>
      </c>
      <c r="J1186" s="56"/>
      <c r="K1186" s="57"/>
      <c r="L1186" s="76"/>
      <c r="M1186" s="59"/>
      <c r="N1186" s="60"/>
      <c r="O1186" s="61">
        <v>595.2</v>
      </c>
      <c r="P1186" s="62">
        <v>642.8160000000001</v>
      </c>
      <c r="Q1186" s="63">
        <v>642.8160000000001</v>
      </c>
      <c r="R1186" s="64">
        <v>676.0</v>
      </c>
      <c r="S1186" s="107">
        <v>710.0</v>
      </c>
      <c r="T1186" s="65">
        <f t="shared" si="39"/>
        <v>113.6</v>
      </c>
      <c r="U1186" s="65">
        <f t="shared" si="40"/>
        <v>823.6</v>
      </c>
      <c r="V1186" s="66">
        <f t="shared" si="42"/>
        <v>0.05029585799</v>
      </c>
      <c r="W1186" s="67">
        <f t="shared" si="5"/>
        <v>674.5</v>
      </c>
      <c r="X1186" s="67">
        <f t="shared" si="43"/>
        <v>107.92</v>
      </c>
      <c r="Y1186" s="67">
        <f t="shared" si="44"/>
        <v>782.42</v>
      </c>
      <c r="Z1186" s="67">
        <f t="shared" si="8"/>
        <v>639</v>
      </c>
      <c r="AA1186" s="67">
        <f t="shared" si="45"/>
        <v>102.24</v>
      </c>
      <c r="AB1186" s="67">
        <f t="shared" si="46"/>
        <v>741.24</v>
      </c>
      <c r="AC1186" s="67">
        <f t="shared" si="11"/>
        <v>603.5</v>
      </c>
      <c r="AD1186" s="67">
        <f t="shared" si="12"/>
        <v>96.56</v>
      </c>
      <c r="AE1186" s="67">
        <f t="shared" si="13"/>
        <v>700.06</v>
      </c>
      <c r="AF1186" s="67">
        <f t="shared" si="33"/>
        <v>589.3</v>
      </c>
      <c r="AG1186" s="67">
        <f t="shared" si="15"/>
        <v>94.288</v>
      </c>
      <c r="AH1186" s="67">
        <f t="shared" si="16"/>
        <v>683.588</v>
      </c>
      <c r="AI1186" s="67">
        <f t="shared" si="17"/>
        <v>568</v>
      </c>
      <c r="AJ1186" s="68">
        <f t="shared" si="37"/>
        <v>90.88</v>
      </c>
      <c r="AK1186" s="68">
        <f t="shared" si="38"/>
        <v>658.88</v>
      </c>
      <c r="AL1186" s="70">
        <f>IFERROR(__xludf.DUMMYFUNCTION("""COMPUTED_VALUE"""),1.0)</f>
        <v>1</v>
      </c>
      <c r="AM1186" s="70"/>
      <c r="AN1186" s="71" t="str">
        <f>IFERROR(__xludf.DUMMYFUNCTION("""COMPUTED_VALUE""")," P")</f>
        <v>P</v>
      </c>
      <c r="AO1186" s="71" t="str">
        <f>IFERROR(__xludf.DUMMYFUNCTION("""COMPUTED_VALUE""")," TP08")</f>
        <v>TP08</v>
      </c>
      <c r="AP1186" s="71" t="str">
        <f>IFERROR(__xludf.DUMMYFUNCTION("""COMPUTED_VALUE""")," PZA")</f>
        <v>PZA</v>
      </c>
      <c r="AQ1186" s="71" t="str">
        <f>IFERROR(__xludf.DUMMYFUNCTION("""COMPUTED_VALUE""")," REF")</f>
        <v>REF</v>
      </c>
      <c r="AR1186" s="71" t="str">
        <f>IFERROR(__xludf.DUMMYFUNCTION("""COMPUTED_VALUE""")," TAPA PARA REDUCTOR CHICA SIN BARRENO SUPERIOR")</f>
        <v>TAPA PARA REDUCTOR CHICA SIN BARRENO SUPERIOR</v>
      </c>
      <c r="AS1186" s="71" t="str">
        <f>IFERROR(__xludf.DUMMYFUNCTION("""COMPUTED_VALUE""")," TAPA P/REDUCTOR CHICA S/BARRENO SUPERIOR")</f>
        <v>TAPA P/REDUCTOR CHICA S/BARRENO SUPERIOR</v>
      </c>
      <c r="AT1186" s="71">
        <f>IFERROR(__xludf.DUMMYFUNCTION("""COMPUTED_VALUE"""),40.0)</f>
        <v>40</v>
      </c>
      <c r="AU1186" s="71"/>
      <c r="AV1186" s="71"/>
      <c r="AW1186" s="71"/>
      <c r="AX1186" s="71"/>
      <c r="AY1186" s="71">
        <f>IFERROR(__xludf.DUMMYFUNCTION("""COMPUTED_VALUE"""),90.0)</f>
        <v>90</v>
      </c>
      <c r="AZ1186" s="71">
        <f>IFERROR(__xludf.DUMMYFUNCTION("""COMPUTED_VALUE"""),97.0)</f>
        <v>97</v>
      </c>
      <c r="BA1186" s="71">
        <f>IFERROR(__xludf.DUMMYFUNCTION("""COMPUTED_VALUE"""),104.76)</f>
        <v>104.76</v>
      </c>
      <c r="BB1186" s="71">
        <f>IFERROR(__xludf.DUMMYFUNCTION("""COMPUTED_VALUE"""),104.76)</f>
        <v>104.76</v>
      </c>
      <c r="BC1186" s="71">
        <f>IFERROR(__xludf.DUMMYFUNCTION("""COMPUTED_VALUE"""),118.0)</f>
        <v>118</v>
      </c>
      <c r="BD1186" s="71">
        <f>IFERROR(__xludf.DUMMYFUNCTION("""COMPUTED_VALUE"""),124.0)</f>
        <v>124</v>
      </c>
      <c r="BE1186" s="71">
        <f>IFERROR(__xludf.DUMMYFUNCTION("""COMPUTED_VALUE"""),19.84)</f>
        <v>19.84</v>
      </c>
      <c r="BF1186" s="71">
        <f>IFERROR(__xludf.DUMMYFUNCTION("""COMPUTED_VALUE"""),143.84)</f>
        <v>143.84</v>
      </c>
      <c r="BG1186" s="71">
        <f>IFERROR(__xludf.DUMMYFUNCTION("""COMPUTED_VALUE"""),0.05084745762711865)</f>
        <v>0.05084745763</v>
      </c>
      <c r="BH1186" s="71">
        <f>IFERROR(__xludf.DUMMYFUNCTION("""COMPUTED_VALUE"""),117.8)</f>
        <v>117.8</v>
      </c>
      <c r="BI1186" s="71">
        <f>IFERROR(__xludf.DUMMYFUNCTION("""COMPUTED_VALUE"""),18.848)</f>
        <v>18.848</v>
      </c>
      <c r="BJ1186" s="71">
        <f>IFERROR(__xludf.DUMMYFUNCTION("""COMPUTED_VALUE"""),136.648)</f>
        <v>136.648</v>
      </c>
      <c r="BK1186" s="71">
        <f>IFERROR(__xludf.DUMMYFUNCTION("""COMPUTED_VALUE"""),111.60000000000001)</f>
        <v>111.6</v>
      </c>
      <c r="BL1186" s="71">
        <f>IFERROR(__xludf.DUMMYFUNCTION("""COMPUTED_VALUE"""),17.856)</f>
        <v>17.856</v>
      </c>
      <c r="BM1186" s="71">
        <f>IFERROR(__xludf.DUMMYFUNCTION("""COMPUTED_VALUE"""),129.45600000000002)</f>
        <v>129.456</v>
      </c>
      <c r="BN1186" s="71">
        <f>IFERROR(__xludf.DUMMYFUNCTION("""COMPUTED_VALUE"""),105.39999999999999)</f>
        <v>105.4</v>
      </c>
      <c r="BO1186" s="71">
        <f>IFERROR(__xludf.DUMMYFUNCTION("""COMPUTED_VALUE"""),16.863999999999997)</f>
        <v>16.864</v>
      </c>
      <c r="BP1186" s="71">
        <f>IFERROR(__xludf.DUMMYFUNCTION("""COMPUTED_VALUE"""),122.26399999999998)</f>
        <v>122.264</v>
      </c>
      <c r="BQ1186" s="71">
        <f>IFERROR(__xludf.DUMMYFUNCTION("""COMPUTED_VALUE"""),102.92)</f>
        <v>102.92</v>
      </c>
      <c r="BR1186" s="71">
        <f>IFERROR(__xludf.DUMMYFUNCTION("""COMPUTED_VALUE"""),16.467200000000002)</f>
        <v>16.4672</v>
      </c>
      <c r="BS1186" s="71">
        <f>IFERROR(__xludf.DUMMYFUNCTION("""COMPUTED_VALUE"""),119.3872)</f>
        <v>119.3872</v>
      </c>
      <c r="BT1186" s="71">
        <f>IFERROR(__xludf.DUMMYFUNCTION("""COMPUTED_VALUE"""),99.2)</f>
        <v>99.2</v>
      </c>
      <c r="BU1186" s="71">
        <f>IFERROR(__xludf.DUMMYFUNCTION("""COMPUTED_VALUE"""),15.872000000000002)</f>
        <v>15.872</v>
      </c>
      <c r="BV1186" s="71">
        <f>IFERROR(__xludf.DUMMYFUNCTION("""COMPUTED_VALUE"""),115.072)</f>
        <v>115.072</v>
      </c>
    </row>
    <row r="1187">
      <c r="A1187" s="53"/>
      <c r="B1187" s="53"/>
      <c r="C1187" s="53" t="s">
        <v>53</v>
      </c>
      <c r="D1187" s="53" t="s">
        <v>2900</v>
      </c>
      <c r="E1187" s="54" t="s">
        <v>38</v>
      </c>
      <c r="F1187" s="54" t="s">
        <v>42</v>
      </c>
      <c r="G1187" s="55" t="s">
        <v>2901</v>
      </c>
      <c r="H1187" s="54" t="s">
        <v>2901</v>
      </c>
      <c r="I1187" s="54">
        <f t="shared" si="24"/>
        <v>35</v>
      </c>
      <c r="J1187" s="56"/>
      <c r="K1187" s="57"/>
      <c r="L1187" s="76"/>
      <c r="M1187" s="59"/>
      <c r="N1187" s="79">
        <v>59.0</v>
      </c>
      <c r="O1187" s="61">
        <v>63.0</v>
      </c>
      <c r="P1187" s="63">
        <v>68.04</v>
      </c>
      <c r="Q1187" s="63">
        <v>68.04</v>
      </c>
      <c r="R1187" s="64">
        <v>72.0</v>
      </c>
      <c r="S1187" s="111">
        <v>76.0</v>
      </c>
      <c r="T1187" s="65">
        <f t="shared" si="39"/>
        <v>12.16</v>
      </c>
      <c r="U1187" s="65">
        <f t="shared" si="40"/>
        <v>88.16</v>
      </c>
      <c r="V1187" s="66">
        <f t="shared" si="42"/>
        <v>0.05555555556</v>
      </c>
      <c r="W1187" s="67">
        <f t="shared" si="5"/>
        <v>72.2</v>
      </c>
      <c r="X1187" s="67">
        <f t="shared" si="43"/>
        <v>11.552</v>
      </c>
      <c r="Y1187" s="67">
        <f t="shared" si="44"/>
        <v>83.752</v>
      </c>
      <c r="Z1187" s="67">
        <f t="shared" si="8"/>
        <v>68.4</v>
      </c>
      <c r="AA1187" s="67">
        <f t="shared" si="45"/>
        <v>10.944</v>
      </c>
      <c r="AB1187" s="67">
        <f t="shared" si="46"/>
        <v>79.344</v>
      </c>
      <c r="AC1187" s="67">
        <f t="shared" si="11"/>
        <v>64.6</v>
      </c>
      <c r="AD1187" s="67">
        <f t="shared" si="12"/>
        <v>10.336</v>
      </c>
      <c r="AE1187" s="67">
        <f t="shared" si="13"/>
        <v>74.936</v>
      </c>
      <c r="AF1187" s="67">
        <f t="shared" si="33"/>
        <v>63.08</v>
      </c>
      <c r="AG1187" s="67">
        <f t="shared" si="15"/>
        <v>10.0928</v>
      </c>
      <c r="AH1187" s="67">
        <f t="shared" si="16"/>
        <v>73.1728</v>
      </c>
      <c r="AI1187" s="67">
        <f t="shared" si="17"/>
        <v>60.8</v>
      </c>
      <c r="AJ1187" s="68">
        <f t="shared" si="37"/>
        <v>9.728</v>
      </c>
      <c r="AK1187" s="68">
        <f t="shared" si="38"/>
        <v>70.528</v>
      </c>
      <c r="AL1187" s="70">
        <f>IFERROR(__xludf.DUMMYFUNCTION("""COMPUTED_VALUE"""),1.0)</f>
        <v>1</v>
      </c>
      <c r="AM1187" s="70"/>
      <c r="AN1187" s="71" t="str">
        <f>IFERROR(__xludf.DUMMYFUNCTION("""COMPUTED_VALUE""")," P")</f>
        <v>P</v>
      </c>
      <c r="AO1187" s="71" t="str">
        <f>IFERROR(__xludf.DUMMYFUNCTION("""COMPUTED_VALUE""")," TP09")</f>
        <v>TP09</v>
      </c>
      <c r="AP1187" s="71" t="str">
        <f>IFERROR(__xludf.DUMMYFUNCTION("""COMPUTED_VALUE""")," PZA")</f>
        <v>PZA</v>
      </c>
      <c r="AQ1187" s="71" t="str">
        <f>IFERROR(__xludf.DUMMYFUNCTION("""COMPUTED_VALUE""")," REF")</f>
        <v>REF</v>
      </c>
      <c r="AR1187" s="71" t="str">
        <f>IFERROR(__xludf.DUMMYFUNCTION("""COMPUTED_VALUE""")," TAPA PARA REDUCTOR GRANDE DÚPLEX")</f>
        <v>TAPA PARA REDUCTOR GRANDE DÚPLEX</v>
      </c>
      <c r="AS1187" s="71" t="str">
        <f>IFERROR(__xludf.DUMMYFUNCTION("""COMPUTED_VALUE""")," TAPA P/REDUCTOR GRANDE DPLX")</f>
        <v>TAPA P/REDUCTOR GRANDE DPLX</v>
      </c>
      <c r="AT1187" s="71">
        <f>IFERROR(__xludf.DUMMYFUNCTION("""COMPUTED_VALUE"""),27.0)</f>
        <v>27</v>
      </c>
      <c r="AU1187" s="71"/>
      <c r="AV1187" s="71"/>
      <c r="AW1187" s="71"/>
      <c r="AX1187" s="71"/>
      <c r="AY1187" s="71">
        <f>IFERROR(__xludf.DUMMYFUNCTION("""COMPUTED_VALUE"""),252.0)</f>
        <v>252</v>
      </c>
      <c r="AZ1187" s="71">
        <f>IFERROR(__xludf.DUMMYFUNCTION("""COMPUTED_VALUE"""),272.0)</f>
        <v>272</v>
      </c>
      <c r="BA1187" s="71">
        <f>IFERROR(__xludf.DUMMYFUNCTION("""COMPUTED_VALUE"""),293.76)</f>
        <v>293.76</v>
      </c>
      <c r="BB1187" s="71">
        <f>IFERROR(__xludf.DUMMYFUNCTION("""COMPUTED_VALUE"""),293.76)</f>
        <v>293.76</v>
      </c>
      <c r="BC1187" s="71">
        <f>IFERROR(__xludf.DUMMYFUNCTION("""COMPUTED_VALUE"""),328.0)</f>
        <v>328</v>
      </c>
      <c r="BD1187" s="71">
        <f>IFERROR(__xludf.DUMMYFUNCTION("""COMPUTED_VALUE"""),344.0)</f>
        <v>344</v>
      </c>
      <c r="BE1187" s="71">
        <f>IFERROR(__xludf.DUMMYFUNCTION("""COMPUTED_VALUE"""),55.04)</f>
        <v>55.04</v>
      </c>
      <c r="BF1187" s="71">
        <f>IFERROR(__xludf.DUMMYFUNCTION("""COMPUTED_VALUE"""),399.04)</f>
        <v>399.04</v>
      </c>
      <c r="BG1187" s="71">
        <f>IFERROR(__xludf.DUMMYFUNCTION("""COMPUTED_VALUE"""),0.04878048780487805)</f>
        <v>0.0487804878</v>
      </c>
      <c r="BH1187" s="71">
        <f>IFERROR(__xludf.DUMMYFUNCTION("""COMPUTED_VALUE"""),326.8)</f>
        <v>326.8</v>
      </c>
      <c r="BI1187" s="71">
        <f>IFERROR(__xludf.DUMMYFUNCTION("""COMPUTED_VALUE"""),52.288000000000004)</f>
        <v>52.288</v>
      </c>
      <c r="BJ1187" s="71">
        <f>IFERROR(__xludf.DUMMYFUNCTION("""COMPUTED_VALUE"""),379.088)</f>
        <v>379.088</v>
      </c>
      <c r="BK1187" s="71">
        <f>IFERROR(__xludf.DUMMYFUNCTION("""COMPUTED_VALUE"""),309.6)</f>
        <v>309.6</v>
      </c>
      <c r="BL1187" s="71">
        <f>IFERROR(__xludf.DUMMYFUNCTION("""COMPUTED_VALUE"""),49.536)</f>
        <v>49.536</v>
      </c>
      <c r="BM1187" s="71">
        <f>IFERROR(__xludf.DUMMYFUNCTION("""COMPUTED_VALUE"""),359.136)</f>
        <v>359.136</v>
      </c>
      <c r="BN1187" s="71">
        <f>IFERROR(__xludf.DUMMYFUNCTION("""COMPUTED_VALUE"""),292.4)</f>
        <v>292.4</v>
      </c>
      <c r="BO1187" s="71">
        <f>IFERROR(__xludf.DUMMYFUNCTION("""COMPUTED_VALUE"""),46.784)</f>
        <v>46.784</v>
      </c>
      <c r="BP1187" s="71">
        <f>IFERROR(__xludf.DUMMYFUNCTION("""COMPUTED_VALUE"""),339.18399999999997)</f>
        <v>339.184</v>
      </c>
      <c r="BQ1187" s="71">
        <f>IFERROR(__xludf.DUMMYFUNCTION("""COMPUTED_VALUE"""),285.52)</f>
        <v>285.52</v>
      </c>
      <c r="BR1187" s="71">
        <f>IFERROR(__xludf.DUMMYFUNCTION("""COMPUTED_VALUE"""),45.6832)</f>
        <v>45.6832</v>
      </c>
      <c r="BS1187" s="71">
        <f>IFERROR(__xludf.DUMMYFUNCTION("""COMPUTED_VALUE"""),331.2032)</f>
        <v>331.2032</v>
      </c>
      <c r="BT1187" s="71">
        <f>IFERROR(__xludf.DUMMYFUNCTION("""COMPUTED_VALUE"""),275.2)</f>
        <v>275.2</v>
      </c>
      <c r="BU1187" s="71">
        <f>IFERROR(__xludf.DUMMYFUNCTION("""COMPUTED_VALUE"""),44.032)</f>
        <v>44.032</v>
      </c>
      <c r="BV1187" s="71">
        <f>IFERROR(__xludf.DUMMYFUNCTION("""COMPUTED_VALUE"""),319.23199999999997)</f>
        <v>319.232</v>
      </c>
    </row>
    <row r="1188">
      <c r="A1188" s="53"/>
      <c r="B1188" s="53"/>
      <c r="C1188" s="53" t="s">
        <v>53</v>
      </c>
      <c r="D1188" s="53" t="s">
        <v>2902</v>
      </c>
      <c r="E1188" s="54" t="s">
        <v>38</v>
      </c>
      <c r="F1188" s="54" t="s">
        <v>42</v>
      </c>
      <c r="G1188" s="55" t="s">
        <v>2903</v>
      </c>
      <c r="H1188" s="54" t="s">
        <v>2903</v>
      </c>
      <c r="I1188" s="54">
        <f t="shared" si="24"/>
        <v>23</v>
      </c>
      <c r="J1188" s="56"/>
      <c r="K1188" s="75"/>
      <c r="L1188" s="76"/>
      <c r="M1188" s="59"/>
      <c r="N1188" s="79">
        <v>666.0</v>
      </c>
      <c r="O1188" s="61">
        <v>719.0</v>
      </c>
      <c r="P1188" s="63">
        <v>776.5200000000001</v>
      </c>
      <c r="Q1188" s="63">
        <v>776.5200000000001</v>
      </c>
      <c r="R1188" s="64">
        <v>816.0</v>
      </c>
      <c r="S1188" s="111">
        <v>857.0</v>
      </c>
      <c r="T1188" s="65">
        <f t="shared" si="39"/>
        <v>137.12</v>
      </c>
      <c r="U1188" s="65">
        <f t="shared" si="40"/>
        <v>994.12</v>
      </c>
      <c r="V1188" s="66">
        <f t="shared" si="42"/>
        <v>0.05024509804</v>
      </c>
      <c r="W1188" s="67">
        <f t="shared" si="5"/>
        <v>814.15</v>
      </c>
      <c r="X1188" s="67">
        <f t="shared" si="43"/>
        <v>130.264</v>
      </c>
      <c r="Y1188" s="67">
        <f t="shared" si="44"/>
        <v>944.414</v>
      </c>
      <c r="Z1188" s="67">
        <f t="shared" si="8"/>
        <v>771.3</v>
      </c>
      <c r="AA1188" s="67">
        <f t="shared" si="45"/>
        <v>123.408</v>
      </c>
      <c r="AB1188" s="67">
        <f t="shared" si="46"/>
        <v>894.708</v>
      </c>
      <c r="AC1188" s="67">
        <f t="shared" si="11"/>
        <v>728.45</v>
      </c>
      <c r="AD1188" s="67">
        <f t="shared" si="12"/>
        <v>116.552</v>
      </c>
      <c r="AE1188" s="67">
        <f t="shared" si="13"/>
        <v>845.002</v>
      </c>
      <c r="AF1188" s="67">
        <f t="shared" si="33"/>
        <v>711.31</v>
      </c>
      <c r="AG1188" s="67">
        <f t="shared" si="15"/>
        <v>113.8096</v>
      </c>
      <c r="AH1188" s="67">
        <f t="shared" si="16"/>
        <v>825.1196</v>
      </c>
      <c r="AI1188" s="67">
        <f t="shared" si="17"/>
        <v>685.6</v>
      </c>
      <c r="AJ1188" s="68">
        <f t="shared" si="37"/>
        <v>109.696</v>
      </c>
      <c r="AK1188" s="68">
        <f t="shared" si="38"/>
        <v>795.296</v>
      </c>
      <c r="AL1188" s="70">
        <f>IFERROR(__xludf.DUMMYFUNCTION("""COMPUTED_VALUE"""),1.0)</f>
        <v>1</v>
      </c>
      <c r="AM1188" s="70"/>
      <c r="AN1188" s="71" t="str">
        <f>IFERROR(__xludf.DUMMYFUNCTION("""COMPUTED_VALUE""")," P")</f>
        <v>P</v>
      </c>
      <c r="AO1188" s="71" t="str">
        <f>IFERROR(__xludf.DUMMYFUNCTION("""COMPUTED_VALUE""")," TP10")</f>
        <v>TP10</v>
      </c>
      <c r="AP1188" s="71" t="str">
        <f>IFERROR(__xludf.DUMMYFUNCTION("""COMPUTED_VALUE""")," PZA")</f>
        <v>PZA</v>
      </c>
      <c r="AQ1188" s="71" t="str">
        <f>IFERROR(__xludf.DUMMYFUNCTION("""COMPUTED_VALUE""")," REF")</f>
        <v>REF</v>
      </c>
      <c r="AR1188" s="71" t="str">
        <f>IFERROR(__xludf.DUMMYFUNCTION("""COMPUTED_VALUE""")," TAPA PARA REDUCTOR GRANDE SENCILLO")</f>
        <v>TAPA PARA REDUCTOR GRANDE SENCILLO</v>
      </c>
      <c r="AS1188" s="71" t="str">
        <f>IFERROR(__xludf.DUMMYFUNCTION("""COMPUTED_VALUE""")," TAPA P/REDUCTOR GRANDE SENCILLO")</f>
        <v>TAPA P/REDUCTOR GRANDE SENCILLO</v>
      </c>
      <c r="AT1188" s="71">
        <f>IFERROR(__xludf.DUMMYFUNCTION("""COMPUTED_VALUE"""),31.0)</f>
        <v>31</v>
      </c>
      <c r="AU1188" s="71"/>
      <c r="AV1188" s="71"/>
      <c r="AW1188" s="71"/>
      <c r="AX1188" s="71"/>
      <c r="AY1188" s="71">
        <f>IFERROR(__xludf.DUMMYFUNCTION("""COMPUTED_VALUE"""),230.0)</f>
        <v>230</v>
      </c>
      <c r="AZ1188" s="71">
        <f>IFERROR(__xludf.DUMMYFUNCTION("""COMPUTED_VALUE"""),248.0)</f>
        <v>248</v>
      </c>
      <c r="BA1188" s="71">
        <f>IFERROR(__xludf.DUMMYFUNCTION("""COMPUTED_VALUE"""),267.84000000000003)</f>
        <v>267.84</v>
      </c>
      <c r="BB1188" s="71">
        <f>IFERROR(__xludf.DUMMYFUNCTION("""COMPUTED_VALUE"""),267.84000000000003)</f>
        <v>267.84</v>
      </c>
      <c r="BC1188" s="71">
        <f>IFERROR(__xludf.DUMMYFUNCTION("""COMPUTED_VALUE"""),299.0)</f>
        <v>299</v>
      </c>
      <c r="BD1188" s="71">
        <f>IFERROR(__xludf.DUMMYFUNCTION("""COMPUTED_VALUE"""),314.0)</f>
        <v>314</v>
      </c>
      <c r="BE1188" s="71">
        <f>IFERROR(__xludf.DUMMYFUNCTION("""COMPUTED_VALUE"""),50.24)</f>
        <v>50.24</v>
      </c>
      <c r="BF1188" s="71">
        <f>IFERROR(__xludf.DUMMYFUNCTION("""COMPUTED_VALUE"""),364.24)</f>
        <v>364.24</v>
      </c>
      <c r="BG1188" s="71">
        <f>IFERROR(__xludf.DUMMYFUNCTION("""COMPUTED_VALUE"""),0.05016722408026756)</f>
        <v>0.05016722408</v>
      </c>
      <c r="BH1188" s="71">
        <f>IFERROR(__xludf.DUMMYFUNCTION("""COMPUTED_VALUE"""),298.3)</f>
        <v>298.3</v>
      </c>
      <c r="BI1188" s="71">
        <f>IFERROR(__xludf.DUMMYFUNCTION("""COMPUTED_VALUE"""),47.728)</f>
        <v>47.728</v>
      </c>
      <c r="BJ1188" s="71">
        <f>IFERROR(__xludf.DUMMYFUNCTION("""COMPUTED_VALUE"""),346.028)</f>
        <v>346.028</v>
      </c>
      <c r="BK1188" s="71">
        <f>IFERROR(__xludf.DUMMYFUNCTION("""COMPUTED_VALUE"""),282.6)</f>
        <v>282.6</v>
      </c>
      <c r="BL1188" s="71">
        <f>IFERROR(__xludf.DUMMYFUNCTION("""COMPUTED_VALUE"""),45.216)</f>
        <v>45.216</v>
      </c>
      <c r="BM1188" s="71">
        <f>IFERROR(__xludf.DUMMYFUNCTION("""COMPUTED_VALUE"""),327.81600000000003)</f>
        <v>327.816</v>
      </c>
      <c r="BN1188" s="71">
        <f>IFERROR(__xludf.DUMMYFUNCTION("""COMPUTED_VALUE"""),266.9)</f>
        <v>266.9</v>
      </c>
      <c r="BO1188" s="71">
        <f>IFERROR(__xludf.DUMMYFUNCTION("""COMPUTED_VALUE"""),42.704)</f>
        <v>42.704</v>
      </c>
      <c r="BP1188" s="71">
        <f>IFERROR(__xludf.DUMMYFUNCTION("""COMPUTED_VALUE"""),309.604)</f>
        <v>309.604</v>
      </c>
      <c r="BQ1188" s="71">
        <f>IFERROR(__xludf.DUMMYFUNCTION("""COMPUTED_VALUE"""),260.62)</f>
        <v>260.62</v>
      </c>
      <c r="BR1188" s="71">
        <f>IFERROR(__xludf.DUMMYFUNCTION("""COMPUTED_VALUE"""),41.699200000000005)</f>
        <v>41.6992</v>
      </c>
      <c r="BS1188" s="71">
        <f>IFERROR(__xludf.DUMMYFUNCTION("""COMPUTED_VALUE"""),302.3192)</f>
        <v>302.3192</v>
      </c>
      <c r="BT1188" s="71">
        <f>IFERROR(__xludf.DUMMYFUNCTION("""COMPUTED_VALUE"""),251.20000000000002)</f>
        <v>251.2</v>
      </c>
      <c r="BU1188" s="71">
        <f>IFERROR(__xludf.DUMMYFUNCTION("""COMPUTED_VALUE"""),40.192)</f>
        <v>40.192</v>
      </c>
      <c r="BV1188" s="71">
        <f>IFERROR(__xludf.DUMMYFUNCTION("""COMPUTED_VALUE"""),291.392)</f>
        <v>291.392</v>
      </c>
    </row>
    <row r="1189">
      <c r="A1189" s="53"/>
      <c r="B1189" s="53"/>
      <c r="C1189" s="53" t="s">
        <v>53</v>
      </c>
      <c r="D1189" s="53" t="s">
        <v>2904</v>
      </c>
      <c r="E1189" s="54" t="s">
        <v>38</v>
      </c>
      <c r="F1189" s="54" t="s">
        <v>42</v>
      </c>
      <c r="G1189" s="55" t="s">
        <v>2905</v>
      </c>
      <c r="H1189" s="54" t="s">
        <v>2905</v>
      </c>
      <c r="I1189" s="54">
        <f t="shared" si="24"/>
        <v>23</v>
      </c>
      <c r="J1189" s="56"/>
      <c r="K1189" s="75"/>
      <c r="L1189" s="76"/>
      <c r="M1189" s="59"/>
      <c r="N1189" s="79">
        <v>1170.0</v>
      </c>
      <c r="O1189" s="61">
        <v>1263.0</v>
      </c>
      <c r="P1189" s="63">
        <v>1364.0400000000002</v>
      </c>
      <c r="Q1189" s="63">
        <v>1364.0400000000002</v>
      </c>
      <c r="R1189" s="64">
        <v>1433.0</v>
      </c>
      <c r="S1189" s="111">
        <v>1505.0</v>
      </c>
      <c r="T1189" s="65">
        <f t="shared" si="39"/>
        <v>240.8</v>
      </c>
      <c r="U1189" s="65">
        <f t="shared" si="40"/>
        <v>1745.8</v>
      </c>
      <c r="V1189" s="66">
        <f t="shared" si="42"/>
        <v>0.05024424285</v>
      </c>
      <c r="W1189" s="67">
        <f t="shared" si="5"/>
        <v>1429.75</v>
      </c>
      <c r="X1189" s="67">
        <f t="shared" si="43"/>
        <v>228.76</v>
      </c>
      <c r="Y1189" s="67">
        <f t="shared" si="44"/>
        <v>1658.51</v>
      </c>
      <c r="Z1189" s="67">
        <f t="shared" si="8"/>
        <v>1354.5</v>
      </c>
      <c r="AA1189" s="67">
        <f t="shared" si="45"/>
        <v>216.72</v>
      </c>
      <c r="AB1189" s="67">
        <f t="shared" si="46"/>
        <v>1571.22</v>
      </c>
      <c r="AC1189" s="67">
        <f t="shared" si="11"/>
        <v>1279.25</v>
      </c>
      <c r="AD1189" s="67">
        <f t="shared" si="12"/>
        <v>204.68</v>
      </c>
      <c r="AE1189" s="67">
        <f t="shared" si="13"/>
        <v>1483.93</v>
      </c>
      <c r="AF1189" s="67">
        <f t="shared" si="33"/>
        <v>1249.15</v>
      </c>
      <c r="AG1189" s="67">
        <f t="shared" si="15"/>
        <v>199.864</v>
      </c>
      <c r="AH1189" s="67">
        <f t="shared" si="16"/>
        <v>1449.014</v>
      </c>
      <c r="AI1189" s="67">
        <f t="shared" si="17"/>
        <v>1204</v>
      </c>
      <c r="AJ1189" s="68">
        <f t="shared" si="37"/>
        <v>192.64</v>
      </c>
      <c r="AK1189" s="68">
        <f t="shared" si="38"/>
        <v>1396.64</v>
      </c>
      <c r="AL1189" s="70">
        <f>IFERROR(__xludf.DUMMYFUNCTION("""COMPUTED_VALUE"""),1.0)</f>
        <v>1</v>
      </c>
      <c r="AM1189" s="70"/>
      <c r="AN1189" s="71" t="str">
        <f>IFERROR(__xludf.DUMMYFUNCTION("""COMPUTED_VALUE""")," C")</f>
        <v>C</v>
      </c>
      <c r="AO1189" s="71" t="str">
        <f>IFERROR(__xludf.DUMMYFUNCTION("""COMPUTED_VALUE""")," TP11")</f>
        <v>TP11</v>
      </c>
      <c r="AP1189" s="71" t="str">
        <f>IFERROR(__xludf.DUMMYFUNCTION("""COMPUTED_VALUE""")," PZA")</f>
        <v>PZA</v>
      </c>
      <c r="AQ1189" s="71" t="str">
        <f>IFERROR(__xludf.DUMMYFUNCTION("""COMPUTED_VALUE""")," REF")</f>
        <v>REF</v>
      </c>
      <c r="AR1189" s="71" t="str">
        <f>IFERROR(__xludf.DUMMYFUNCTION("""COMPUTED_VALUE""")," TAPÓN PARA CAJA DE REDUCTOR 3/8")</f>
        <v>TAPÓN PARA CAJA DE REDUCTOR 3/8</v>
      </c>
      <c r="AS1189" s="71" t="str">
        <f>IFERROR(__xludf.DUMMYFUNCTION("""COMPUTED_VALUE""")," TAPON P/CAJA DE REDUCTOR 3/8")</f>
        <v>TAPON P/CAJA DE REDUCTOR 3/8</v>
      </c>
      <c r="AT1189" s="71">
        <f>IFERROR(__xludf.DUMMYFUNCTION("""COMPUTED_VALUE"""),28.0)</f>
        <v>28</v>
      </c>
      <c r="AU1189" s="71"/>
      <c r="AV1189" s="71"/>
      <c r="AW1189" s="71"/>
      <c r="AX1189" s="71"/>
      <c r="AY1189" s="71">
        <f>IFERROR(__xludf.DUMMYFUNCTION("""COMPUTED_VALUE"""),16.0)</f>
        <v>16</v>
      </c>
      <c r="AZ1189" s="71">
        <f>IFERROR(__xludf.DUMMYFUNCTION("""COMPUTED_VALUE"""),17.0)</f>
        <v>17</v>
      </c>
      <c r="BA1189" s="71">
        <f>IFERROR(__xludf.DUMMYFUNCTION("""COMPUTED_VALUE"""),18.36)</f>
        <v>18.36</v>
      </c>
      <c r="BB1189" s="71">
        <f>IFERROR(__xludf.DUMMYFUNCTION("""COMPUTED_VALUE"""),18.36)</f>
        <v>18.36</v>
      </c>
      <c r="BC1189" s="71">
        <f>IFERROR(__xludf.DUMMYFUNCTION("""COMPUTED_VALUE"""),21.0)</f>
        <v>21</v>
      </c>
      <c r="BD1189" s="71">
        <f>IFERROR(__xludf.DUMMYFUNCTION("""COMPUTED_VALUE"""),22.0)</f>
        <v>22</v>
      </c>
      <c r="BE1189" s="71">
        <f>IFERROR(__xludf.DUMMYFUNCTION("""COMPUTED_VALUE"""),3.52)</f>
        <v>3.52</v>
      </c>
      <c r="BF1189" s="71">
        <f>IFERROR(__xludf.DUMMYFUNCTION("""COMPUTED_VALUE"""),25.52)</f>
        <v>25.52</v>
      </c>
      <c r="BG1189" s="71">
        <f>IFERROR(__xludf.DUMMYFUNCTION("""COMPUTED_VALUE"""),0.047619047619047616)</f>
        <v>0.04761904762</v>
      </c>
      <c r="BH1189" s="71">
        <f>IFERROR(__xludf.DUMMYFUNCTION("""COMPUTED_VALUE"""),20.9)</f>
        <v>20.9</v>
      </c>
      <c r="BI1189" s="71">
        <f>IFERROR(__xludf.DUMMYFUNCTION("""COMPUTED_VALUE"""),3.344)</f>
        <v>3.344</v>
      </c>
      <c r="BJ1189" s="71">
        <f>IFERROR(__xludf.DUMMYFUNCTION("""COMPUTED_VALUE"""),24.244)</f>
        <v>24.244</v>
      </c>
      <c r="BK1189" s="71">
        <f>IFERROR(__xludf.DUMMYFUNCTION("""COMPUTED_VALUE"""),19.8)</f>
        <v>19.8</v>
      </c>
      <c r="BL1189" s="71">
        <f>IFERROR(__xludf.DUMMYFUNCTION("""COMPUTED_VALUE"""),3.168)</f>
        <v>3.168</v>
      </c>
      <c r="BM1189" s="71">
        <f>IFERROR(__xludf.DUMMYFUNCTION("""COMPUTED_VALUE"""),22.968)</f>
        <v>22.968</v>
      </c>
      <c r="BN1189" s="71">
        <f>IFERROR(__xludf.DUMMYFUNCTION("""COMPUTED_VALUE"""),18.7)</f>
        <v>18.7</v>
      </c>
      <c r="BO1189" s="71">
        <f>IFERROR(__xludf.DUMMYFUNCTION("""COMPUTED_VALUE"""),2.992)</f>
        <v>2.992</v>
      </c>
      <c r="BP1189" s="71">
        <f>IFERROR(__xludf.DUMMYFUNCTION("""COMPUTED_VALUE"""),21.692)</f>
        <v>21.692</v>
      </c>
      <c r="BQ1189" s="71">
        <f>IFERROR(__xludf.DUMMYFUNCTION("""COMPUTED_VALUE"""),18.259999999999998)</f>
        <v>18.26</v>
      </c>
      <c r="BR1189" s="71">
        <f>IFERROR(__xludf.DUMMYFUNCTION("""COMPUTED_VALUE"""),2.9215999999999998)</f>
        <v>2.9216</v>
      </c>
      <c r="BS1189" s="71">
        <f>IFERROR(__xludf.DUMMYFUNCTION("""COMPUTED_VALUE"""),21.181599999999996)</f>
        <v>21.1816</v>
      </c>
      <c r="BT1189" s="71">
        <f>IFERROR(__xludf.DUMMYFUNCTION("""COMPUTED_VALUE"""),17.6)</f>
        <v>17.6</v>
      </c>
      <c r="BU1189" s="71">
        <f>IFERROR(__xludf.DUMMYFUNCTION("""COMPUTED_VALUE"""),2.8160000000000003)</f>
        <v>2.816</v>
      </c>
      <c r="BV1189" s="71">
        <f>IFERROR(__xludf.DUMMYFUNCTION("""COMPUTED_VALUE"""),20.416)</f>
        <v>20.416</v>
      </c>
    </row>
    <row r="1190">
      <c r="A1190" s="53"/>
      <c r="B1190" s="72"/>
      <c r="C1190" s="53" t="s">
        <v>53</v>
      </c>
      <c r="D1190" s="53" t="s">
        <v>2906</v>
      </c>
      <c r="E1190" s="54" t="s">
        <v>38</v>
      </c>
      <c r="F1190" s="54" t="s">
        <v>42</v>
      </c>
      <c r="G1190" s="55" t="s">
        <v>2907</v>
      </c>
      <c r="H1190" s="54" t="s">
        <v>2908</v>
      </c>
      <c r="I1190" s="54">
        <f t="shared" si="24"/>
        <v>38</v>
      </c>
      <c r="J1190" s="56"/>
      <c r="K1190" s="57"/>
      <c r="L1190" s="76"/>
      <c r="M1190" s="59"/>
      <c r="N1190" s="60"/>
      <c r="O1190" s="61">
        <v>359.0</v>
      </c>
      <c r="P1190" s="62">
        <v>387.72</v>
      </c>
      <c r="Q1190" s="63">
        <v>387.72</v>
      </c>
      <c r="R1190" s="64">
        <v>408.0</v>
      </c>
      <c r="S1190" s="111">
        <v>428.0</v>
      </c>
      <c r="T1190" s="65">
        <f t="shared" si="39"/>
        <v>68.48</v>
      </c>
      <c r="U1190" s="65">
        <f t="shared" si="40"/>
        <v>496.48</v>
      </c>
      <c r="V1190" s="66">
        <f t="shared" si="42"/>
        <v>0.04901960784</v>
      </c>
      <c r="W1190" s="67">
        <f t="shared" si="5"/>
        <v>406.6</v>
      </c>
      <c r="X1190" s="67">
        <f t="shared" si="43"/>
        <v>65.056</v>
      </c>
      <c r="Y1190" s="67">
        <f t="shared" si="44"/>
        <v>471.656</v>
      </c>
      <c r="Z1190" s="67">
        <f t="shared" si="8"/>
        <v>385.2</v>
      </c>
      <c r="AA1190" s="67">
        <f t="shared" si="45"/>
        <v>61.632</v>
      </c>
      <c r="AB1190" s="67">
        <f t="shared" si="46"/>
        <v>446.832</v>
      </c>
      <c r="AC1190" s="67">
        <f t="shared" si="11"/>
        <v>363.8</v>
      </c>
      <c r="AD1190" s="67">
        <f t="shared" si="12"/>
        <v>58.208</v>
      </c>
      <c r="AE1190" s="67">
        <f t="shared" si="13"/>
        <v>422.008</v>
      </c>
      <c r="AF1190" s="67">
        <f t="shared" si="33"/>
        <v>355.24</v>
      </c>
      <c r="AG1190" s="67">
        <f t="shared" si="15"/>
        <v>56.8384</v>
      </c>
      <c r="AH1190" s="67">
        <f t="shared" si="16"/>
        <v>412.0784</v>
      </c>
      <c r="AI1190" s="67">
        <f t="shared" si="17"/>
        <v>342.4</v>
      </c>
      <c r="AJ1190" s="68">
        <f t="shared" si="37"/>
        <v>54.784</v>
      </c>
      <c r="AK1190" s="68">
        <f t="shared" si="38"/>
        <v>397.184</v>
      </c>
      <c r="AL1190" s="70">
        <f>IFERROR(__xludf.DUMMYFUNCTION("""COMPUTED_VALUE"""),1.0)</f>
        <v>1</v>
      </c>
      <c r="AM1190" s="70"/>
      <c r="AN1190" s="71" t="str">
        <f>IFERROR(__xludf.DUMMYFUNCTION("""COMPUTED_VALUE""")," C")</f>
        <v>C</v>
      </c>
      <c r="AO1190" s="71" t="str">
        <f>IFERROR(__xludf.DUMMYFUNCTION("""COMPUTED_VALUE""")," TP12")</f>
        <v>TP12</v>
      </c>
      <c r="AP1190" s="71" t="str">
        <f>IFERROR(__xludf.DUMMYFUNCTION("""COMPUTED_VALUE""")," PZA")</f>
        <v>PZA</v>
      </c>
      <c r="AQ1190" s="71" t="str">
        <f>IFERROR(__xludf.DUMMYFUNCTION("""COMPUTED_VALUE""")," REF")</f>
        <v>REF</v>
      </c>
      <c r="AR1190" s="71" t="str">
        <f>IFERROR(__xludf.DUMMYFUNCTION("""COMPUTED_VALUE""")," TAPÓN PARA CAJA DE REDUCTOR 3/8 BARRENADO")</f>
        <v>TAPÓN PARA CAJA DE REDUCTOR 3/8 BARRENADO</v>
      </c>
      <c r="AS1190" s="71" t="str">
        <f>IFERROR(__xludf.DUMMYFUNCTION("""COMPUTED_VALUE""")," TAPON P/CAJA DE REDUCTOR 3/8 BARRENADO")</f>
        <v>TAPON P/CAJA DE REDUCTOR 3/8 BARRENADO</v>
      </c>
      <c r="AT1190" s="71">
        <f>IFERROR(__xludf.DUMMYFUNCTION("""COMPUTED_VALUE"""),38.0)</f>
        <v>38</v>
      </c>
      <c r="AU1190" s="71"/>
      <c r="AV1190" s="71"/>
      <c r="AW1190" s="71"/>
      <c r="AX1190" s="71"/>
      <c r="AY1190" s="71">
        <f>IFERROR(__xludf.DUMMYFUNCTION("""COMPUTED_VALUE"""),18.0)</f>
        <v>18</v>
      </c>
      <c r="AZ1190" s="71">
        <f>IFERROR(__xludf.DUMMYFUNCTION("""COMPUTED_VALUE"""),19.0)</f>
        <v>19</v>
      </c>
      <c r="BA1190" s="71">
        <f>IFERROR(__xludf.DUMMYFUNCTION("""COMPUTED_VALUE"""),20.520000000000003)</f>
        <v>20.52</v>
      </c>
      <c r="BB1190" s="71">
        <f>IFERROR(__xludf.DUMMYFUNCTION("""COMPUTED_VALUE"""),20.520000000000003)</f>
        <v>20.52</v>
      </c>
      <c r="BC1190" s="71">
        <f>IFERROR(__xludf.DUMMYFUNCTION("""COMPUTED_VALUE"""),24.0)</f>
        <v>24</v>
      </c>
      <c r="BD1190" s="71">
        <f>IFERROR(__xludf.DUMMYFUNCTION("""COMPUTED_VALUE"""),25.0)</f>
        <v>25</v>
      </c>
      <c r="BE1190" s="71">
        <f>IFERROR(__xludf.DUMMYFUNCTION("""COMPUTED_VALUE"""),4.0)</f>
        <v>4</v>
      </c>
      <c r="BF1190" s="71">
        <f>IFERROR(__xludf.DUMMYFUNCTION("""COMPUTED_VALUE"""),29.0)</f>
        <v>29</v>
      </c>
      <c r="BG1190" s="71">
        <f>IFERROR(__xludf.DUMMYFUNCTION("""COMPUTED_VALUE"""),0.041666666666666664)</f>
        <v>0.04166666667</v>
      </c>
      <c r="BH1190" s="71">
        <f>IFERROR(__xludf.DUMMYFUNCTION("""COMPUTED_VALUE"""),23.75)</f>
        <v>23.75</v>
      </c>
      <c r="BI1190" s="71">
        <f>IFERROR(__xludf.DUMMYFUNCTION("""COMPUTED_VALUE"""),3.8000000000000003)</f>
        <v>3.8</v>
      </c>
      <c r="BJ1190" s="71">
        <f>IFERROR(__xludf.DUMMYFUNCTION("""COMPUTED_VALUE"""),27.55)</f>
        <v>27.55</v>
      </c>
      <c r="BK1190" s="71">
        <f>IFERROR(__xludf.DUMMYFUNCTION("""COMPUTED_VALUE"""),22.5)</f>
        <v>22.5</v>
      </c>
      <c r="BL1190" s="71">
        <f>IFERROR(__xludf.DUMMYFUNCTION("""COMPUTED_VALUE"""),3.6)</f>
        <v>3.6</v>
      </c>
      <c r="BM1190" s="71">
        <f>IFERROR(__xludf.DUMMYFUNCTION("""COMPUTED_VALUE"""),26.1)</f>
        <v>26.1</v>
      </c>
      <c r="BN1190" s="71">
        <f>IFERROR(__xludf.DUMMYFUNCTION("""COMPUTED_VALUE"""),21.25)</f>
        <v>21.25</v>
      </c>
      <c r="BO1190" s="71">
        <f>IFERROR(__xludf.DUMMYFUNCTION("""COMPUTED_VALUE"""),3.4)</f>
        <v>3.4</v>
      </c>
      <c r="BP1190" s="71">
        <f>IFERROR(__xludf.DUMMYFUNCTION("""COMPUTED_VALUE"""),24.65)</f>
        <v>24.65</v>
      </c>
      <c r="BQ1190" s="71">
        <f>IFERROR(__xludf.DUMMYFUNCTION("""COMPUTED_VALUE"""),20.75)</f>
        <v>20.75</v>
      </c>
      <c r="BR1190" s="71">
        <f>IFERROR(__xludf.DUMMYFUNCTION("""COMPUTED_VALUE"""),3.3200000000000003)</f>
        <v>3.32</v>
      </c>
      <c r="BS1190" s="71">
        <f>IFERROR(__xludf.DUMMYFUNCTION("""COMPUTED_VALUE"""),24.07)</f>
        <v>24.07</v>
      </c>
      <c r="BT1190" s="71">
        <f>IFERROR(__xludf.DUMMYFUNCTION("""COMPUTED_VALUE"""),20.0)</f>
        <v>20</v>
      </c>
      <c r="BU1190" s="71">
        <f>IFERROR(__xludf.DUMMYFUNCTION("""COMPUTED_VALUE"""),3.2)</f>
        <v>3.2</v>
      </c>
      <c r="BV1190" s="71">
        <f>IFERROR(__xludf.DUMMYFUNCTION("""COMPUTED_VALUE"""),23.2)</f>
        <v>23.2</v>
      </c>
    </row>
    <row r="1191">
      <c r="A1191" s="53"/>
      <c r="B1191" s="53"/>
      <c r="C1191" s="53"/>
      <c r="D1191" s="53" t="s">
        <v>2909</v>
      </c>
      <c r="E1191" s="55" t="s">
        <v>38</v>
      </c>
      <c r="F1191" s="89"/>
      <c r="G1191" s="84" t="s">
        <v>2910</v>
      </c>
      <c r="H1191" s="55"/>
      <c r="I1191" s="54">
        <f t="shared" si="24"/>
        <v>0</v>
      </c>
      <c r="J1191" s="56"/>
      <c r="K1191" s="57"/>
      <c r="L1191" s="55"/>
      <c r="M1191" s="59"/>
      <c r="N1191" s="60"/>
      <c r="O1191" s="90"/>
      <c r="P1191" s="62">
        <v>499350.0</v>
      </c>
      <c r="Q1191" s="63">
        <v>499350.0</v>
      </c>
      <c r="R1191" s="64">
        <v>550534.0</v>
      </c>
      <c r="S1191" s="111">
        <v>578061.0</v>
      </c>
      <c r="T1191" s="65">
        <f t="shared" si="39"/>
        <v>92489.76</v>
      </c>
      <c r="U1191" s="65">
        <f t="shared" si="40"/>
        <v>670550.76</v>
      </c>
      <c r="V1191" s="66">
        <f t="shared" si="42"/>
        <v>0.05000054493</v>
      </c>
      <c r="W1191" s="67">
        <f t="shared" si="5"/>
        <v>549157.95</v>
      </c>
      <c r="X1191" s="67">
        <f t="shared" si="43"/>
        <v>87865.272</v>
      </c>
      <c r="Y1191" s="67">
        <f t="shared" si="44"/>
        <v>637023.222</v>
      </c>
      <c r="Z1191" s="67">
        <f t="shared" si="8"/>
        <v>520254.9</v>
      </c>
      <c r="AA1191" s="67">
        <f t="shared" si="45"/>
        <v>83240.784</v>
      </c>
      <c r="AB1191" s="67">
        <f t="shared" si="46"/>
        <v>603495.684</v>
      </c>
      <c r="AC1191" s="67">
        <f t="shared" si="11"/>
        <v>491351.85</v>
      </c>
      <c r="AD1191" s="67">
        <f t="shared" si="12"/>
        <v>78616.296</v>
      </c>
      <c r="AE1191" s="67">
        <f t="shared" si="13"/>
        <v>569968.146</v>
      </c>
      <c r="AF1191" s="67">
        <f t="shared" si="33"/>
        <v>479790.63</v>
      </c>
      <c r="AG1191" s="67">
        <f t="shared" si="15"/>
        <v>76766.5008</v>
      </c>
      <c r="AH1191" s="67">
        <f t="shared" si="16"/>
        <v>556557.1308</v>
      </c>
      <c r="AI1191" s="67">
        <f t="shared" si="17"/>
        <v>462448.8</v>
      </c>
      <c r="AJ1191" s="68">
        <f t="shared" si="37"/>
        <v>73991.808</v>
      </c>
      <c r="AK1191" s="68">
        <f t="shared" si="38"/>
        <v>536440.608</v>
      </c>
      <c r="AL1191" s="70">
        <f>IFERROR(__xludf.DUMMYFUNCTION("""COMPUTED_VALUE"""),1.0)</f>
        <v>1</v>
      </c>
      <c r="AM1191" s="70"/>
      <c r="AN1191" s="71" t="str">
        <f>IFERROR(__xludf.DUMMYFUNCTION("""COMPUTED_VALUE""")," C")</f>
        <v>C</v>
      </c>
      <c r="AO1191" s="71" t="str">
        <f>IFERROR(__xludf.DUMMYFUNCTION("""COMPUTED_VALUE""")," TP13")</f>
        <v>TP13</v>
      </c>
      <c r="AP1191" s="71" t="str">
        <f>IFERROR(__xludf.DUMMYFUNCTION("""COMPUTED_VALUE""")," PZA")</f>
        <v>PZA</v>
      </c>
      <c r="AQ1191" s="71" t="str">
        <f>IFERROR(__xludf.DUMMYFUNCTION("""COMPUTED_VALUE""")," REF")</f>
        <v>REF</v>
      </c>
      <c r="AR1191" s="71" t="str">
        <f>IFERROR(__xludf.DUMMYFUNCTION("""COMPUTED_VALUE""")," TAPÓN PERNO CÓNICO 9/16 PARA BOQUILLA DE LATÓN (B.C.)")</f>
        <v>TAPÓN PERNO CÓNICO 9/16 PARA BOQUILLA DE LATÓN (B.C.)</v>
      </c>
      <c r="AS1191" s="71" t="str">
        <f>IFERROR(__xludf.DUMMYFUNCTION("""COMPUTED_VALUE""")," TAPON PERNO CONICO 9/16 P/BOQUILLA LATON")</f>
        <v>TAPON PERNO CONICO 9/16 P/BOQUILLA LATON</v>
      </c>
      <c r="AT1191" s="71">
        <f>IFERROR(__xludf.DUMMYFUNCTION("""COMPUTED_VALUE"""),40.0)</f>
        <v>40</v>
      </c>
      <c r="AU1191" s="71"/>
      <c r="AV1191" s="71"/>
      <c r="AW1191" s="71"/>
      <c r="AX1191" s="71"/>
      <c r="AY1191" s="71">
        <f>IFERROR(__xludf.DUMMYFUNCTION("""COMPUTED_VALUE"""),14.0)</f>
        <v>14</v>
      </c>
      <c r="AZ1191" s="71">
        <f>IFERROR(__xludf.DUMMYFUNCTION("""COMPUTED_VALUE"""),15.0)</f>
        <v>15</v>
      </c>
      <c r="BA1191" s="71">
        <f>IFERROR(__xludf.DUMMYFUNCTION("""COMPUTED_VALUE"""),16.200000000000003)</f>
        <v>16.2</v>
      </c>
      <c r="BB1191" s="71">
        <f>IFERROR(__xludf.DUMMYFUNCTION("""COMPUTED_VALUE"""),16.200000000000003)</f>
        <v>16.2</v>
      </c>
      <c r="BC1191" s="71">
        <f>IFERROR(__xludf.DUMMYFUNCTION("""COMPUTED_VALUE"""),19.0)</f>
        <v>19</v>
      </c>
      <c r="BD1191" s="71">
        <f>IFERROR(__xludf.DUMMYFUNCTION("""COMPUTED_VALUE"""),19.95)</f>
        <v>19.95</v>
      </c>
      <c r="BE1191" s="71">
        <f>IFERROR(__xludf.DUMMYFUNCTION("""COMPUTED_VALUE"""),3.192)</f>
        <v>3.192</v>
      </c>
      <c r="BF1191" s="71">
        <f>IFERROR(__xludf.DUMMYFUNCTION("""COMPUTED_VALUE"""),23.142)</f>
        <v>23.142</v>
      </c>
      <c r="BG1191" s="71">
        <f>IFERROR(__xludf.DUMMYFUNCTION("""COMPUTED_VALUE"""),0.04999999999999996)</f>
        <v>0.05</v>
      </c>
      <c r="BH1191" s="71">
        <f>IFERROR(__xludf.DUMMYFUNCTION("""COMPUTED_VALUE"""),18.952499999999997)</f>
        <v>18.9525</v>
      </c>
      <c r="BI1191" s="71">
        <f>IFERROR(__xludf.DUMMYFUNCTION("""COMPUTED_VALUE"""),3.0323999999999995)</f>
        <v>3.0324</v>
      </c>
      <c r="BJ1191" s="71">
        <f>IFERROR(__xludf.DUMMYFUNCTION("""COMPUTED_VALUE"""),21.984899999999996)</f>
        <v>21.9849</v>
      </c>
      <c r="BK1191" s="71">
        <f>IFERROR(__xludf.DUMMYFUNCTION("""COMPUTED_VALUE"""),17.955)</f>
        <v>17.955</v>
      </c>
      <c r="BL1191" s="71">
        <f>IFERROR(__xludf.DUMMYFUNCTION("""COMPUTED_VALUE"""),2.8728)</f>
        <v>2.8728</v>
      </c>
      <c r="BM1191" s="71">
        <f>IFERROR(__xludf.DUMMYFUNCTION("""COMPUTED_VALUE"""),20.827799999999996)</f>
        <v>20.8278</v>
      </c>
      <c r="BN1191" s="71">
        <f>IFERROR(__xludf.DUMMYFUNCTION("""COMPUTED_VALUE"""),16.9575)</f>
        <v>16.9575</v>
      </c>
      <c r="BO1191" s="71">
        <f>IFERROR(__xludf.DUMMYFUNCTION("""COMPUTED_VALUE"""),2.7132)</f>
        <v>2.7132</v>
      </c>
      <c r="BP1191" s="71">
        <f>IFERROR(__xludf.DUMMYFUNCTION("""COMPUTED_VALUE"""),19.6707)</f>
        <v>19.6707</v>
      </c>
      <c r="BQ1191" s="71">
        <f>IFERROR(__xludf.DUMMYFUNCTION("""COMPUTED_VALUE"""),16.5585)</f>
        <v>16.5585</v>
      </c>
      <c r="BR1191" s="71">
        <f>IFERROR(__xludf.DUMMYFUNCTION("""COMPUTED_VALUE"""),2.6493599999999997)</f>
        <v>2.64936</v>
      </c>
      <c r="BS1191" s="71">
        <f>IFERROR(__xludf.DUMMYFUNCTION("""COMPUTED_VALUE"""),19.207859999999997)</f>
        <v>19.20786</v>
      </c>
      <c r="BT1191" s="71">
        <f>IFERROR(__xludf.DUMMYFUNCTION("""COMPUTED_VALUE"""),15.96)</f>
        <v>15.96</v>
      </c>
      <c r="BU1191" s="71">
        <f>IFERROR(__xludf.DUMMYFUNCTION("""COMPUTED_VALUE"""),2.5536000000000003)</f>
        <v>2.5536</v>
      </c>
      <c r="BV1191" s="71">
        <f>IFERROR(__xludf.DUMMYFUNCTION("""COMPUTED_VALUE"""),18.5136)</f>
        <v>18.5136</v>
      </c>
    </row>
    <row r="1192">
      <c r="A1192" s="53"/>
      <c r="B1192" s="53"/>
      <c r="C1192" s="53"/>
      <c r="D1192" s="53" t="s">
        <v>2911</v>
      </c>
      <c r="E1192" s="55" t="s">
        <v>38</v>
      </c>
      <c r="F1192" s="89"/>
      <c r="G1192" s="84" t="s">
        <v>2912</v>
      </c>
      <c r="H1192" s="55"/>
      <c r="I1192" s="54">
        <f t="shared" si="24"/>
        <v>0</v>
      </c>
      <c r="J1192" s="56"/>
      <c r="K1192" s="57"/>
      <c r="L1192" s="55"/>
      <c r="M1192" s="59"/>
      <c r="N1192" s="60"/>
      <c r="O1192" s="90"/>
      <c r="P1192" s="62">
        <v>381300.0</v>
      </c>
      <c r="Q1192" s="63">
        <v>381300.0</v>
      </c>
      <c r="R1192" s="64">
        <v>420384.0</v>
      </c>
      <c r="S1192" s="111">
        <v>441403.0</v>
      </c>
      <c r="T1192" s="65">
        <f t="shared" si="39"/>
        <v>70624.48</v>
      </c>
      <c r="U1192" s="65">
        <f t="shared" si="40"/>
        <v>512027.48</v>
      </c>
      <c r="V1192" s="66">
        <f t="shared" si="42"/>
        <v>0.04999952424</v>
      </c>
      <c r="W1192" s="67">
        <f t="shared" si="5"/>
        <v>419332.85</v>
      </c>
      <c r="X1192" s="67">
        <f t="shared" si="43"/>
        <v>67093.256</v>
      </c>
      <c r="Y1192" s="67">
        <f t="shared" si="44"/>
        <v>486426.106</v>
      </c>
      <c r="Z1192" s="67">
        <f t="shared" si="8"/>
        <v>397262.7</v>
      </c>
      <c r="AA1192" s="67">
        <f t="shared" si="45"/>
        <v>63562.032</v>
      </c>
      <c r="AB1192" s="67">
        <f t="shared" si="46"/>
        <v>460824.732</v>
      </c>
      <c r="AC1192" s="67">
        <f t="shared" si="11"/>
        <v>375192.55</v>
      </c>
      <c r="AD1192" s="67">
        <f t="shared" si="12"/>
        <v>60030.808</v>
      </c>
      <c r="AE1192" s="67">
        <f t="shared" si="13"/>
        <v>435223.358</v>
      </c>
      <c r="AF1192" s="67">
        <f t="shared" si="33"/>
        <v>366364.49</v>
      </c>
      <c r="AG1192" s="67">
        <f t="shared" si="15"/>
        <v>58618.3184</v>
      </c>
      <c r="AH1192" s="67">
        <f t="shared" si="16"/>
        <v>424982.8084</v>
      </c>
      <c r="AI1192" s="67">
        <f t="shared" si="17"/>
        <v>353122.4</v>
      </c>
      <c r="AJ1192" s="68">
        <f t="shared" si="37"/>
        <v>56499.584</v>
      </c>
      <c r="AK1192" s="68">
        <f t="shared" si="38"/>
        <v>409621.984</v>
      </c>
      <c r="AL1192" s="70">
        <f>IFERROR(__xludf.DUMMYFUNCTION("""COMPUTED_VALUE"""),1.0)</f>
        <v>1</v>
      </c>
      <c r="AM1192" s="70"/>
      <c r="AN1192" s="71" t="str">
        <f>IFERROR(__xludf.DUMMYFUNCTION("""COMPUTED_VALUE""")," C")</f>
        <v>C</v>
      </c>
      <c r="AO1192" s="71" t="str">
        <f>IFERROR(__xludf.DUMMYFUNCTION("""COMPUTED_VALUE""")," TZ01")</f>
        <v>TZ01</v>
      </c>
      <c r="AP1192" s="71" t="str">
        <f>IFERROR(__xludf.DUMMYFUNCTION("""COMPUTED_VALUE""")," PZA")</f>
        <v>PZA</v>
      </c>
      <c r="AQ1192" s="71" t="str">
        <f>IFERROR(__xludf.DUMMYFUNCTION("""COMPUTED_VALUE""")," REF")</f>
        <v>REF</v>
      </c>
      <c r="AR1192" s="71" t="str">
        <f>IFERROR(__xludf.DUMMYFUNCTION("""COMPUTED_VALUE""")," TAZA 15520 ( ETK )")</f>
        <v>TAZA 15520 ( ETK )</v>
      </c>
      <c r="AS1192" s="71" t="str">
        <f>IFERROR(__xludf.DUMMYFUNCTION("""COMPUTED_VALUE""")," TAZA 15520 ETK")</f>
        <v>TAZA 15520 ETK</v>
      </c>
      <c r="AT1192" s="71">
        <f>IFERROR(__xludf.DUMMYFUNCTION("""COMPUTED_VALUE"""),14.0)</f>
        <v>14</v>
      </c>
      <c r="AU1192" s="71"/>
      <c r="AV1192" s="71"/>
      <c r="AW1192" s="71"/>
      <c r="AX1192" s="71"/>
      <c r="AY1192" s="71">
        <f>IFERROR(__xludf.DUMMYFUNCTION("""COMPUTED_VALUE"""),93.0)</f>
        <v>93</v>
      </c>
      <c r="AZ1192" s="71">
        <f>IFERROR(__xludf.DUMMYFUNCTION("""COMPUTED_VALUE"""),100.0)</f>
        <v>100</v>
      </c>
      <c r="BA1192" s="71">
        <f>IFERROR(__xludf.DUMMYFUNCTION("""COMPUTED_VALUE"""),108.0)</f>
        <v>108</v>
      </c>
      <c r="BB1192" s="71">
        <f>IFERROR(__xludf.DUMMYFUNCTION("""COMPUTED_VALUE"""),108.0)</f>
        <v>108</v>
      </c>
      <c r="BC1192" s="71">
        <f>IFERROR(__xludf.DUMMYFUNCTION("""COMPUTED_VALUE"""),121.0)</f>
        <v>121</v>
      </c>
      <c r="BD1192" s="71">
        <f>IFERROR(__xludf.DUMMYFUNCTION("""COMPUTED_VALUE"""),127.0)</f>
        <v>127</v>
      </c>
      <c r="BE1192" s="71">
        <f>IFERROR(__xludf.DUMMYFUNCTION("""COMPUTED_VALUE"""),20.32)</f>
        <v>20.32</v>
      </c>
      <c r="BF1192" s="71">
        <f>IFERROR(__xludf.DUMMYFUNCTION("""COMPUTED_VALUE"""),147.32)</f>
        <v>147.32</v>
      </c>
      <c r="BG1192" s="71">
        <f>IFERROR(__xludf.DUMMYFUNCTION("""COMPUTED_VALUE"""),0.049586776859504134)</f>
        <v>0.04958677686</v>
      </c>
      <c r="BH1192" s="71">
        <f>IFERROR(__xludf.DUMMYFUNCTION("""COMPUTED_VALUE"""),120.64999999999999)</f>
        <v>120.65</v>
      </c>
      <c r="BI1192" s="71">
        <f>IFERROR(__xludf.DUMMYFUNCTION("""COMPUTED_VALUE"""),19.304)</f>
        <v>19.304</v>
      </c>
      <c r="BJ1192" s="71">
        <f>IFERROR(__xludf.DUMMYFUNCTION("""COMPUTED_VALUE"""),139.95399999999998)</f>
        <v>139.954</v>
      </c>
      <c r="BK1192" s="71">
        <f>IFERROR(__xludf.DUMMYFUNCTION("""COMPUTED_VALUE"""),114.3)</f>
        <v>114.3</v>
      </c>
      <c r="BL1192" s="71">
        <f>IFERROR(__xludf.DUMMYFUNCTION("""COMPUTED_VALUE"""),18.288)</f>
        <v>18.288</v>
      </c>
      <c r="BM1192" s="71">
        <f>IFERROR(__xludf.DUMMYFUNCTION("""COMPUTED_VALUE"""),132.588)</f>
        <v>132.588</v>
      </c>
      <c r="BN1192" s="71">
        <f>IFERROR(__xludf.DUMMYFUNCTION("""COMPUTED_VALUE"""),107.95)</f>
        <v>107.95</v>
      </c>
      <c r="BO1192" s="71">
        <f>IFERROR(__xludf.DUMMYFUNCTION("""COMPUTED_VALUE"""),17.272000000000002)</f>
        <v>17.272</v>
      </c>
      <c r="BP1192" s="71">
        <f>IFERROR(__xludf.DUMMYFUNCTION("""COMPUTED_VALUE"""),125.22200000000001)</f>
        <v>125.222</v>
      </c>
      <c r="BQ1192" s="71">
        <f>IFERROR(__xludf.DUMMYFUNCTION("""COMPUTED_VALUE"""),105.41)</f>
        <v>105.41</v>
      </c>
      <c r="BR1192" s="71">
        <f>IFERROR(__xludf.DUMMYFUNCTION("""COMPUTED_VALUE"""),16.8656)</f>
        <v>16.8656</v>
      </c>
      <c r="BS1192" s="71">
        <f>IFERROR(__xludf.DUMMYFUNCTION("""COMPUTED_VALUE"""),122.2756)</f>
        <v>122.2756</v>
      </c>
      <c r="BT1192" s="71">
        <f>IFERROR(__xludf.DUMMYFUNCTION("""COMPUTED_VALUE"""),101.60000000000001)</f>
        <v>101.6</v>
      </c>
      <c r="BU1192" s="71">
        <f>IFERROR(__xludf.DUMMYFUNCTION("""COMPUTED_VALUE"""),16.256)</f>
        <v>16.256</v>
      </c>
      <c r="BV1192" s="71">
        <f>IFERROR(__xludf.DUMMYFUNCTION("""COMPUTED_VALUE"""),117.85600000000001)</f>
        <v>117.856</v>
      </c>
    </row>
    <row r="1193">
      <c r="A1193" s="53"/>
      <c r="B1193" s="53">
        <v>3.0</v>
      </c>
      <c r="C1193" s="53" t="s">
        <v>36</v>
      </c>
      <c r="D1193" s="98" t="s">
        <v>2913</v>
      </c>
      <c r="E1193" s="54" t="s">
        <v>38</v>
      </c>
      <c r="F1193" s="55" t="s">
        <v>1610</v>
      </c>
      <c r="G1193" s="117" t="s">
        <v>2914</v>
      </c>
      <c r="H1193" s="55"/>
      <c r="I1193" s="54">
        <f t="shared" si="24"/>
        <v>0</v>
      </c>
      <c r="J1193" s="56"/>
      <c r="K1193" s="57"/>
      <c r="L1193" s="76"/>
      <c r="M1193" s="59"/>
      <c r="N1193" s="60"/>
      <c r="O1193" s="61">
        <v>12859.0</v>
      </c>
      <c r="P1193" s="62">
        <v>13887.720000000001</v>
      </c>
      <c r="Q1193" s="63">
        <v>13887.720000000001</v>
      </c>
      <c r="R1193" s="64">
        <v>15312.0</v>
      </c>
      <c r="S1193" s="112">
        <v>16078.0</v>
      </c>
      <c r="T1193" s="65">
        <f t="shared" si="39"/>
        <v>2572.48</v>
      </c>
      <c r="U1193" s="65">
        <f t="shared" si="40"/>
        <v>18650.48</v>
      </c>
      <c r="V1193" s="66">
        <f t="shared" si="42"/>
        <v>0.0500261233</v>
      </c>
      <c r="W1193" s="67">
        <f t="shared" si="5"/>
        <v>15274.1</v>
      </c>
      <c r="X1193" s="67">
        <f t="shared" si="43"/>
        <v>2443.856</v>
      </c>
      <c r="Y1193" s="67">
        <f t="shared" si="44"/>
        <v>17717.956</v>
      </c>
      <c r="Z1193" s="67">
        <f t="shared" si="8"/>
        <v>14470.2</v>
      </c>
      <c r="AA1193" s="67">
        <f t="shared" si="45"/>
        <v>2315.232</v>
      </c>
      <c r="AB1193" s="67">
        <f t="shared" si="46"/>
        <v>16785.432</v>
      </c>
      <c r="AC1193" s="67">
        <f t="shared" si="11"/>
        <v>14470.2</v>
      </c>
      <c r="AD1193" s="67">
        <f t="shared" si="12"/>
        <v>2315.232</v>
      </c>
      <c r="AE1193" s="67">
        <f t="shared" si="13"/>
        <v>16785.432</v>
      </c>
      <c r="AF1193" s="67">
        <f t="shared" si="33"/>
        <v>14470.2</v>
      </c>
      <c r="AG1193" s="67">
        <f t="shared" si="15"/>
        <v>2315.232</v>
      </c>
      <c r="AH1193" s="67">
        <f t="shared" si="16"/>
        <v>16785.432</v>
      </c>
      <c r="AI1193" s="67">
        <f t="shared" si="17"/>
        <v>14470.2</v>
      </c>
      <c r="AJ1193" s="68">
        <f t="shared" si="37"/>
        <v>2315.232</v>
      </c>
      <c r="AK1193" s="68">
        <f t="shared" si="38"/>
        <v>16785.432</v>
      </c>
      <c r="AL1193" s="70">
        <f>IFERROR(__xludf.DUMMYFUNCTION("""COMPUTED_VALUE"""),1.0)</f>
        <v>1</v>
      </c>
      <c r="AM1193" s="70"/>
      <c r="AN1193" s="71" t="str">
        <f>IFERROR(__xludf.DUMMYFUNCTION("""COMPUTED_VALUE""")," C")</f>
        <v>C</v>
      </c>
      <c r="AO1193" s="71" t="str">
        <f>IFERROR(__xludf.DUMMYFUNCTION("""COMPUTED_VALUE""")," TF01")</f>
        <v>TF01</v>
      </c>
      <c r="AP1193" s="71" t="str">
        <f>IFERROR(__xludf.DUMMYFUNCTION("""COMPUTED_VALUE""")," PZA")</f>
        <v>PZA</v>
      </c>
      <c r="AQ1193" s="71" t="str">
        <f>IFERROR(__xludf.DUMMYFUNCTION("""COMPUTED_VALUE""")," REF")</f>
        <v>REF</v>
      </c>
      <c r="AR1193" s="71" t="str">
        <f>IFERROR(__xludf.DUMMYFUNCTION("""COMPUTED_VALUE""")," TEFLÓN (1 METRO)")</f>
        <v>TEFLÓN (1 METRO)</v>
      </c>
      <c r="AS1193" s="71" t="str">
        <f>IFERROR(__xludf.DUMMYFUNCTION("""COMPUTED_VALUE""")," TEFLON 1 METRO")</f>
        <v>TEFLON 1 METRO</v>
      </c>
      <c r="AT1193" s="71">
        <f>IFERROR(__xludf.DUMMYFUNCTION("""COMPUTED_VALUE"""),14.0)</f>
        <v>14</v>
      </c>
      <c r="AU1193" s="71"/>
      <c r="AV1193" s="71"/>
      <c r="AW1193" s="71"/>
      <c r="AX1193" s="71"/>
      <c r="AY1193" s="71">
        <f>IFERROR(__xludf.DUMMYFUNCTION("""COMPUTED_VALUE"""),390.0)</f>
        <v>390</v>
      </c>
      <c r="AZ1193" s="71">
        <f>IFERROR(__xludf.DUMMYFUNCTION("""COMPUTED_VALUE"""),421.0)</f>
        <v>421</v>
      </c>
      <c r="BA1193" s="71">
        <f>IFERROR(__xludf.DUMMYFUNCTION("""COMPUTED_VALUE"""),454.68)</f>
        <v>454.68</v>
      </c>
      <c r="BB1193" s="71">
        <f>IFERROR(__xludf.DUMMYFUNCTION("""COMPUTED_VALUE"""),454.68)</f>
        <v>454.68</v>
      </c>
      <c r="BC1193" s="71">
        <f>IFERROR(__xludf.DUMMYFUNCTION("""COMPUTED_VALUE"""),389.0)</f>
        <v>389</v>
      </c>
      <c r="BD1193" s="71">
        <f>IFERROR(__xludf.DUMMYFUNCTION("""COMPUTED_VALUE"""),408.0)</f>
        <v>408</v>
      </c>
      <c r="BE1193" s="71">
        <f>IFERROR(__xludf.DUMMYFUNCTION("""COMPUTED_VALUE"""),65.28)</f>
        <v>65.28</v>
      </c>
      <c r="BF1193" s="71">
        <f>IFERROR(__xludf.DUMMYFUNCTION("""COMPUTED_VALUE"""),473.28)</f>
        <v>473.28</v>
      </c>
      <c r="BG1193" s="71">
        <f>IFERROR(__xludf.DUMMYFUNCTION("""COMPUTED_VALUE"""),0.04884318766066838)</f>
        <v>0.04884318766</v>
      </c>
      <c r="BH1193" s="71">
        <f>IFERROR(__xludf.DUMMYFUNCTION("""COMPUTED_VALUE"""),387.59999999999997)</f>
        <v>387.6</v>
      </c>
      <c r="BI1193" s="71">
        <f>IFERROR(__xludf.DUMMYFUNCTION("""COMPUTED_VALUE"""),62.016)</f>
        <v>62.016</v>
      </c>
      <c r="BJ1193" s="71">
        <f>IFERROR(__xludf.DUMMYFUNCTION("""COMPUTED_VALUE"""),449.616)</f>
        <v>449.616</v>
      </c>
      <c r="BK1193" s="71">
        <f>IFERROR(__xludf.DUMMYFUNCTION("""COMPUTED_VALUE"""),367.2)</f>
        <v>367.2</v>
      </c>
      <c r="BL1193" s="71">
        <f>IFERROR(__xludf.DUMMYFUNCTION("""COMPUTED_VALUE"""),58.752)</f>
        <v>58.752</v>
      </c>
      <c r="BM1193" s="71">
        <f>IFERROR(__xludf.DUMMYFUNCTION("""COMPUTED_VALUE"""),425.952)</f>
        <v>425.952</v>
      </c>
      <c r="BN1193" s="71">
        <f>IFERROR(__xludf.DUMMYFUNCTION("""COMPUTED_VALUE"""),346.8)</f>
        <v>346.8</v>
      </c>
      <c r="BO1193" s="71">
        <f>IFERROR(__xludf.DUMMYFUNCTION("""COMPUTED_VALUE"""),55.488)</f>
        <v>55.488</v>
      </c>
      <c r="BP1193" s="71">
        <f>IFERROR(__xludf.DUMMYFUNCTION("""COMPUTED_VALUE"""),402.288)</f>
        <v>402.288</v>
      </c>
      <c r="BQ1193" s="71">
        <f>IFERROR(__xludf.DUMMYFUNCTION("""COMPUTED_VALUE"""),338.64)</f>
        <v>338.64</v>
      </c>
      <c r="BR1193" s="71">
        <f>IFERROR(__xludf.DUMMYFUNCTION("""COMPUTED_VALUE"""),54.1824)</f>
        <v>54.1824</v>
      </c>
      <c r="BS1193" s="71">
        <f>IFERROR(__xludf.DUMMYFUNCTION("""COMPUTED_VALUE"""),392.8224)</f>
        <v>392.8224</v>
      </c>
      <c r="BT1193" s="71">
        <f>IFERROR(__xludf.DUMMYFUNCTION("""COMPUTED_VALUE"""),326.40000000000003)</f>
        <v>326.4</v>
      </c>
      <c r="BU1193" s="71">
        <f>IFERROR(__xludf.DUMMYFUNCTION("""COMPUTED_VALUE"""),52.224000000000004)</f>
        <v>52.224</v>
      </c>
      <c r="BV1193" s="71">
        <f>IFERROR(__xludf.DUMMYFUNCTION("""COMPUTED_VALUE"""),378.624)</f>
        <v>378.624</v>
      </c>
    </row>
    <row r="1194">
      <c r="A1194" s="53"/>
      <c r="B1194" s="53">
        <v>3.0</v>
      </c>
      <c r="C1194" s="53" t="s">
        <v>36</v>
      </c>
      <c r="D1194" s="98" t="s">
        <v>2915</v>
      </c>
      <c r="E1194" s="54" t="s">
        <v>38</v>
      </c>
      <c r="F1194" s="55" t="s">
        <v>1610</v>
      </c>
      <c r="G1194" s="117" t="s">
        <v>2916</v>
      </c>
      <c r="H1194" s="55"/>
      <c r="I1194" s="54">
        <f t="shared" si="24"/>
        <v>0</v>
      </c>
      <c r="J1194" s="56"/>
      <c r="K1194" s="57"/>
      <c r="L1194" s="76"/>
      <c r="M1194" s="59"/>
      <c r="N1194" s="60"/>
      <c r="O1194" s="61">
        <v>23550.0</v>
      </c>
      <c r="P1194" s="62">
        <v>25434.0</v>
      </c>
      <c r="Q1194" s="63">
        <v>25434.0</v>
      </c>
      <c r="R1194" s="64">
        <v>28042.0</v>
      </c>
      <c r="S1194" s="112">
        <v>29444.0</v>
      </c>
      <c r="T1194" s="65">
        <f t="shared" si="39"/>
        <v>4711.04</v>
      </c>
      <c r="U1194" s="65">
        <f t="shared" si="40"/>
        <v>34155.04</v>
      </c>
      <c r="V1194" s="66">
        <f t="shared" si="42"/>
        <v>0.04999643392</v>
      </c>
      <c r="W1194" s="67">
        <f t="shared" si="5"/>
        <v>27971.8</v>
      </c>
      <c r="X1194" s="67">
        <f t="shared" si="43"/>
        <v>4475.488</v>
      </c>
      <c r="Y1194" s="67">
        <f t="shared" si="44"/>
        <v>32447.288</v>
      </c>
      <c r="Z1194" s="67">
        <f t="shared" si="8"/>
        <v>26499.6</v>
      </c>
      <c r="AA1194" s="67">
        <f t="shared" si="45"/>
        <v>4239.936</v>
      </c>
      <c r="AB1194" s="67">
        <f t="shared" si="46"/>
        <v>30739.536</v>
      </c>
      <c r="AC1194" s="67">
        <f t="shared" si="11"/>
        <v>26499.6</v>
      </c>
      <c r="AD1194" s="67">
        <f t="shared" si="12"/>
        <v>4239.936</v>
      </c>
      <c r="AE1194" s="67">
        <f t="shared" si="13"/>
        <v>30739.536</v>
      </c>
      <c r="AF1194" s="67">
        <f t="shared" si="33"/>
        <v>26499.6</v>
      </c>
      <c r="AG1194" s="67">
        <f t="shared" si="15"/>
        <v>4239.936</v>
      </c>
      <c r="AH1194" s="67">
        <f t="shared" si="16"/>
        <v>30739.536</v>
      </c>
      <c r="AI1194" s="67">
        <f t="shared" si="17"/>
        <v>26499.6</v>
      </c>
      <c r="AJ1194" s="68">
        <f t="shared" si="37"/>
        <v>4239.936</v>
      </c>
      <c r="AK1194" s="68">
        <f t="shared" si="38"/>
        <v>30739.536</v>
      </c>
      <c r="AL1194" s="70">
        <f>IFERROR(__xludf.DUMMYFUNCTION("""COMPUTED_VALUE"""),1.0)</f>
        <v>1</v>
      </c>
      <c r="AM1194" s="70"/>
      <c r="AN1194" s="71" t="str">
        <f>IFERROR(__xludf.DUMMYFUNCTION("""COMPUTED_VALUE""")," C")</f>
        <v>C</v>
      </c>
      <c r="AO1194" s="71" t="str">
        <f>IFERROR(__xludf.DUMMYFUNCTION("""COMPUTED_VALUE""")," TF03")</f>
        <v>TF03</v>
      </c>
      <c r="AP1194" s="71" t="str">
        <f>IFERROR(__xludf.DUMMYFUNCTION("""COMPUTED_VALUE""")," PZA")</f>
        <v>PZA</v>
      </c>
      <c r="AQ1194" s="71" t="str">
        <f>IFERROR(__xludf.DUMMYFUNCTION("""COMPUTED_VALUE""")," REF")</f>
        <v>REF</v>
      </c>
      <c r="AR1194" s="71" t="str">
        <f>IFERROR(__xludf.DUMMYFUNCTION("""COMPUTED_VALUE""")," TEFLÓN DÚPLEX")</f>
        <v>TEFLÓN DÚPLEX</v>
      </c>
      <c r="AS1194" s="71" t="str">
        <f>IFERROR(__xludf.DUMMYFUNCTION("""COMPUTED_VALUE""")," TEFLON DPLX")</f>
        <v>TEFLON DPLX</v>
      </c>
      <c r="AT1194" s="71">
        <f>IFERROR(__xludf.DUMMYFUNCTION("""COMPUTED_VALUE"""),11.0)</f>
        <v>11</v>
      </c>
      <c r="AU1194" s="71"/>
      <c r="AV1194" s="71"/>
      <c r="AW1194" s="71"/>
      <c r="AX1194" s="71"/>
      <c r="AY1194" s="71">
        <f>IFERROR(__xludf.DUMMYFUNCTION("""COMPUTED_VALUE"""),104.0)</f>
        <v>104</v>
      </c>
      <c r="AZ1194" s="71">
        <f>IFERROR(__xludf.DUMMYFUNCTION("""COMPUTED_VALUE"""),112.0)</f>
        <v>112</v>
      </c>
      <c r="BA1194" s="71">
        <f>IFERROR(__xludf.DUMMYFUNCTION("""COMPUTED_VALUE"""),120.96000000000001)</f>
        <v>120.96</v>
      </c>
      <c r="BB1194" s="71">
        <f>IFERROR(__xludf.DUMMYFUNCTION("""COMPUTED_VALUE"""),120.96000000000001)</f>
        <v>120.96</v>
      </c>
      <c r="BC1194" s="71">
        <f>IFERROR(__xludf.DUMMYFUNCTION("""COMPUTED_VALUE"""),135.0)</f>
        <v>135</v>
      </c>
      <c r="BD1194" s="71">
        <f>IFERROR(__xludf.DUMMYFUNCTION("""COMPUTED_VALUE"""),142.0)</f>
        <v>142</v>
      </c>
      <c r="BE1194" s="71">
        <f>IFERROR(__xludf.DUMMYFUNCTION("""COMPUTED_VALUE"""),22.72)</f>
        <v>22.72</v>
      </c>
      <c r="BF1194" s="71">
        <f>IFERROR(__xludf.DUMMYFUNCTION("""COMPUTED_VALUE"""),164.72)</f>
        <v>164.72</v>
      </c>
      <c r="BG1194" s="71">
        <f>IFERROR(__xludf.DUMMYFUNCTION("""COMPUTED_VALUE"""),0.05185185185185185)</f>
        <v>0.05185185185</v>
      </c>
      <c r="BH1194" s="71">
        <f>IFERROR(__xludf.DUMMYFUNCTION("""COMPUTED_VALUE"""),134.9)</f>
        <v>134.9</v>
      </c>
      <c r="BI1194" s="71">
        <f>IFERROR(__xludf.DUMMYFUNCTION("""COMPUTED_VALUE"""),21.584)</f>
        <v>21.584</v>
      </c>
      <c r="BJ1194" s="71">
        <f>IFERROR(__xludf.DUMMYFUNCTION("""COMPUTED_VALUE"""),156.484)</f>
        <v>156.484</v>
      </c>
      <c r="BK1194" s="71">
        <f>IFERROR(__xludf.DUMMYFUNCTION("""COMPUTED_VALUE"""),127.8)</f>
        <v>127.8</v>
      </c>
      <c r="BL1194" s="71">
        <f>IFERROR(__xludf.DUMMYFUNCTION("""COMPUTED_VALUE"""),20.448)</f>
        <v>20.448</v>
      </c>
      <c r="BM1194" s="71">
        <f>IFERROR(__xludf.DUMMYFUNCTION("""COMPUTED_VALUE"""),148.248)</f>
        <v>148.248</v>
      </c>
      <c r="BN1194" s="71">
        <f>IFERROR(__xludf.DUMMYFUNCTION("""COMPUTED_VALUE"""),120.7)</f>
        <v>120.7</v>
      </c>
      <c r="BO1194" s="71">
        <f>IFERROR(__xludf.DUMMYFUNCTION("""COMPUTED_VALUE"""),19.312)</f>
        <v>19.312</v>
      </c>
      <c r="BP1194" s="71">
        <f>IFERROR(__xludf.DUMMYFUNCTION("""COMPUTED_VALUE"""),140.012)</f>
        <v>140.012</v>
      </c>
      <c r="BQ1194" s="71">
        <f>IFERROR(__xludf.DUMMYFUNCTION("""COMPUTED_VALUE"""),117.86)</f>
        <v>117.86</v>
      </c>
      <c r="BR1194" s="71">
        <f>IFERROR(__xludf.DUMMYFUNCTION("""COMPUTED_VALUE"""),18.8576)</f>
        <v>18.8576</v>
      </c>
      <c r="BS1194" s="71">
        <f>IFERROR(__xludf.DUMMYFUNCTION("""COMPUTED_VALUE"""),136.7176)</f>
        <v>136.7176</v>
      </c>
      <c r="BT1194" s="71">
        <f>IFERROR(__xludf.DUMMYFUNCTION("""COMPUTED_VALUE"""),113.60000000000001)</f>
        <v>113.6</v>
      </c>
      <c r="BU1194" s="71">
        <f>IFERROR(__xludf.DUMMYFUNCTION("""COMPUTED_VALUE"""),18.176000000000002)</f>
        <v>18.176</v>
      </c>
      <c r="BV1194" s="71">
        <f>IFERROR(__xludf.DUMMYFUNCTION("""COMPUTED_VALUE"""),131.776)</f>
        <v>131.776</v>
      </c>
    </row>
    <row r="1195">
      <c r="A1195" s="53"/>
      <c r="B1195" s="53">
        <v>3.0</v>
      </c>
      <c r="C1195" s="53" t="s">
        <v>36</v>
      </c>
      <c r="D1195" s="98" t="s">
        <v>2917</v>
      </c>
      <c r="E1195" s="54" t="s">
        <v>38</v>
      </c>
      <c r="F1195" s="55" t="s">
        <v>1610</v>
      </c>
      <c r="G1195" s="117" t="s">
        <v>2918</v>
      </c>
      <c r="H1195" s="55"/>
      <c r="I1195" s="54">
        <f t="shared" si="24"/>
        <v>0</v>
      </c>
      <c r="J1195" s="56"/>
      <c r="K1195" s="57"/>
      <c r="L1195" s="76"/>
      <c r="M1195" s="59"/>
      <c r="N1195" s="60"/>
      <c r="O1195" s="61">
        <v>33521.0</v>
      </c>
      <c r="P1195" s="62">
        <v>36202.68</v>
      </c>
      <c r="Q1195" s="63">
        <v>36202.68</v>
      </c>
      <c r="R1195" s="64">
        <v>39914.0</v>
      </c>
      <c r="S1195" s="112">
        <v>41910.0</v>
      </c>
      <c r="T1195" s="65">
        <f t="shared" si="39"/>
        <v>6705.6</v>
      </c>
      <c r="U1195" s="65">
        <f t="shared" si="40"/>
        <v>48615.6</v>
      </c>
      <c r="V1195" s="66">
        <f t="shared" si="42"/>
        <v>0.05000751616</v>
      </c>
      <c r="W1195" s="67">
        <f t="shared" si="5"/>
        <v>39814.5</v>
      </c>
      <c r="X1195" s="67">
        <f t="shared" si="43"/>
        <v>6370.32</v>
      </c>
      <c r="Y1195" s="67">
        <f t="shared" si="44"/>
        <v>46184.82</v>
      </c>
      <c r="Z1195" s="67">
        <f t="shared" si="8"/>
        <v>37719</v>
      </c>
      <c r="AA1195" s="67">
        <f t="shared" si="45"/>
        <v>6035.04</v>
      </c>
      <c r="AB1195" s="67">
        <f t="shared" si="46"/>
        <v>43754.04</v>
      </c>
      <c r="AC1195" s="67">
        <f t="shared" si="11"/>
        <v>37719</v>
      </c>
      <c r="AD1195" s="67">
        <f t="shared" si="12"/>
        <v>6035.04</v>
      </c>
      <c r="AE1195" s="67">
        <f t="shared" si="13"/>
        <v>43754.04</v>
      </c>
      <c r="AF1195" s="67">
        <f t="shared" si="33"/>
        <v>37719</v>
      </c>
      <c r="AG1195" s="67">
        <f t="shared" si="15"/>
        <v>6035.04</v>
      </c>
      <c r="AH1195" s="67">
        <f t="shared" si="16"/>
        <v>43754.04</v>
      </c>
      <c r="AI1195" s="67">
        <f t="shared" si="17"/>
        <v>37719</v>
      </c>
      <c r="AJ1195" s="68">
        <f t="shared" si="37"/>
        <v>6035.04</v>
      </c>
      <c r="AK1195" s="68">
        <f t="shared" si="38"/>
        <v>43754.04</v>
      </c>
      <c r="AL1195" s="70">
        <f>IFERROR(__xludf.DUMMYFUNCTION("""COMPUTED_VALUE"""),1.0)</f>
        <v>1</v>
      </c>
      <c r="AM1195" s="70"/>
      <c r="AN1195" s="71" t="str">
        <f>IFERROR(__xludf.DUMMYFUNCTION("""COMPUTED_VALUE""")," C")</f>
        <v>C</v>
      </c>
      <c r="AO1195" s="71" t="str">
        <f>IFERROR(__xludf.DUMMYFUNCTION("""COMPUTED_VALUE""")," TF04")</f>
        <v>TF04</v>
      </c>
      <c r="AP1195" s="71" t="str">
        <f>IFERROR(__xludf.DUMMYFUNCTION("""COMPUTED_VALUE""")," PZA")</f>
        <v>PZA</v>
      </c>
      <c r="AQ1195" s="71" t="str">
        <f>IFERROR(__xludf.DUMMYFUNCTION("""COMPUTED_VALUE""")," REF")</f>
        <v>REF</v>
      </c>
      <c r="AR1195" s="71" t="str">
        <f>IFERROR(__xludf.DUMMYFUNCTION("""COMPUTED_VALUE""")," TEFLÓN SENCILLO")</f>
        <v>TEFLÓN SENCILLO</v>
      </c>
      <c r="AS1195" s="71" t="str">
        <f>IFERROR(__xludf.DUMMYFUNCTION("""COMPUTED_VALUE""")," TEFLON SENCILLO")</f>
        <v>TEFLON SENCILLO</v>
      </c>
      <c r="AT1195" s="71">
        <f>IFERROR(__xludf.DUMMYFUNCTION("""COMPUTED_VALUE"""),15.0)</f>
        <v>15</v>
      </c>
      <c r="AU1195" s="71"/>
      <c r="AV1195" s="71"/>
      <c r="AW1195" s="71"/>
      <c r="AX1195" s="71"/>
      <c r="AY1195" s="71">
        <f>IFERROR(__xludf.DUMMYFUNCTION("""COMPUTED_VALUE"""),58.0)</f>
        <v>58</v>
      </c>
      <c r="AZ1195" s="71">
        <f>IFERROR(__xludf.DUMMYFUNCTION("""COMPUTED_VALUE"""),62.0)</f>
        <v>62</v>
      </c>
      <c r="BA1195" s="71">
        <f>IFERROR(__xludf.DUMMYFUNCTION("""COMPUTED_VALUE"""),66.96000000000001)</f>
        <v>66.96</v>
      </c>
      <c r="BB1195" s="71">
        <f>IFERROR(__xludf.DUMMYFUNCTION("""COMPUTED_VALUE"""),66.96000000000001)</f>
        <v>66.96</v>
      </c>
      <c r="BC1195" s="71">
        <f>IFERROR(__xludf.DUMMYFUNCTION("""COMPUTED_VALUE"""),75.0)</f>
        <v>75</v>
      </c>
      <c r="BD1195" s="71">
        <f>IFERROR(__xludf.DUMMYFUNCTION("""COMPUTED_VALUE"""),79.0)</f>
        <v>79</v>
      </c>
      <c r="BE1195" s="71">
        <f>IFERROR(__xludf.DUMMYFUNCTION("""COMPUTED_VALUE"""),12.64)</f>
        <v>12.64</v>
      </c>
      <c r="BF1195" s="71">
        <f>IFERROR(__xludf.DUMMYFUNCTION("""COMPUTED_VALUE"""),91.64)</f>
        <v>91.64</v>
      </c>
      <c r="BG1195" s="71">
        <f>IFERROR(__xludf.DUMMYFUNCTION("""COMPUTED_VALUE"""),0.05333333333333334)</f>
        <v>0.05333333333</v>
      </c>
      <c r="BH1195" s="71">
        <f>IFERROR(__xludf.DUMMYFUNCTION("""COMPUTED_VALUE"""),75.05)</f>
        <v>75.05</v>
      </c>
      <c r="BI1195" s="71">
        <f>IFERROR(__xludf.DUMMYFUNCTION("""COMPUTED_VALUE"""),12.008)</f>
        <v>12.008</v>
      </c>
      <c r="BJ1195" s="71">
        <f>IFERROR(__xludf.DUMMYFUNCTION("""COMPUTED_VALUE"""),87.05799999999999)</f>
        <v>87.058</v>
      </c>
      <c r="BK1195" s="71">
        <f>IFERROR(__xludf.DUMMYFUNCTION("""COMPUTED_VALUE"""),71.10000000000001)</f>
        <v>71.1</v>
      </c>
      <c r="BL1195" s="71">
        <f>IFERROR(__xludf.DUMMYFUNCTION("""COMPUTED_VALUE"""),11.376000000000001)</f>
        <v>11.376</v>
      </c>
      <c r="BM1195" s="71">
        <f>IFERROR(__xludf.DUMMYFUNCTION("""COMPUTED_VALUE"""),82.47600000000001)</f>
        <v>82.476</v>
      </c>
      <c r="BN1195" s="71">
        <f>IFERROR(__xludf.DUMMYFUNCTION("""COMPUTED_VALUE"""),67.14999999999999)</f>
        <v>67.15</v>
      </c>
      <c r="BO1195" s="71">
        <f>IFERROR(__xludf.DUMMYFUNCTION("""COMPUTED_VALUE"""),10.743999999999998)</f>
        <v>10.744</v>
      </c>
      <c r="BP1195" s="71">
        <f>IFERROR(__xludf.DUMMYFUNCTION("""COMPUTED_VALUE"""),77.89399999999999)</f>
        <v>77.894</v>
      </c>
      <c r="BQ1195" s="71">
        <f>IFERROR(__xludf.DUMMYFUNCTION("""COMPUTED_VALUE"""),65.57)</f>
        <v>65.57</v>
      </c>
      <c r="BR1195" s="71">
        <f>IFERROR(__xludf.DUMMYFUNCTION("""COMPUTED_VALUE"""),10.4912)</f>
        <v>10.4912</v>
      </c>
      <c r="BS1195" s="71">
        <f>IFERROR(__xludf.DUMMYFUNCTION("""COMPUTED_VALUE"""),76.06119999999999)</f>
        <v>76.0612</v>
      </c>
      <c r="BT1195" s="71">
        <f>IFERROR(__xludf.DUMMYFUNCTION("""COMPUTED_VALUE"""),63.2)</f>
        <v>63.2</v>
      </c>
      <c r="BU1195" s="71">
        <f>IFERROR(__xludf.DUMMYFUNCTION("""COMPUTED_VALUE"""),10.112)</f>
        <v>10.112</v>
      </c>
      <c r="BV1195" s="71">
        <f>IFERROR(__xludf.DUMMYFUNCTION("""COMPUTED_VALUE"""),73.312)</f>
        <v>73.312</v>
      </c>
    </row>
    <row r="1196">
      <c r="A1196" s="53"/>
      <c r="B1196" s="53">
        <v>3.0</v>
      </c>
      <c r="C1196" s="53" t="s">
        <v>36</v>
      </c>
      <c r="D1196" s="85" t="s">
        <v>2919</v>
      </c>
      <c r="E1196" s="54" t="s">
        <v>38</v>
      </c>
      <c r="F1196" s="55" t="s">
        <v>1610</v>
      </c>
      <c r="G1196" s="147" t="s">
        <v>2920</v>
      </c>
      <c r="H1196" s="55"/>
      <c r="I1196" s="54">
        <f t="shared" si="24"/>
        <v>0</v>
      </c>
      <c r="J1196" s="56"/>
      <c r="K1196" s="57"/>
      <c r="L1196" s="76"/>
      <c r="M1196" s="59"/>
      <c r="N1196" s="60"/>
      <c r="O1196" s="61">
        <v>55884.0</v>
      </c>
      <c r="P1196" s="62">
        <v>60354.72</v>
      </c>
      <c r="Q1196" s="63">
        <v>60354.72</v>
      </c>
      <c r="R1196" s="64">
        <v>66542.0</v>
      </c>
      <c r="S1196" s="112">
        <v>69869.0</v>
      </c>
      <c r="T1196" s="65">
        <f t="shared" si="39"/>
        <v>11179.04</v>
      </c>
      <c r="U1196" s="65">
        <f t="shared" si="40"/>
        <v>81048.04</v>
      </c>
      <c r="V1196" s="66">
        <f t="shared" si="42"/>
        <v>0.04999849719</v>
      </c>
      <c r="W1196" s="67">
        <f t="shared" si="5"/>
        <v>66375.55</v>
      </c>
      <c r="X1196" s="67">
        <f t="shared" si="43"/>
        <v>10620.088</v>
      </c>
      <c r="Y1196" s="67">
        <f t="shared" si="44"/>
        <v>76995.638</v>
      </c>
      <c r="Z1196" s="67">
        <f t="shared" si="8"/>
        <v>62882.1</v>
      </c>
      <c r="AA1196" s="67">
        <f t="shared" si="45"/>
        <v>10061.136</v>
      </c>
      <c r="AB1196" s="67">
        <f t="shared" si="46"/>
        <v>72943.236</v>
      </c>
      <c r="AC1196" s="67">
        <f t="shared" si="11"/>
        <v>62882.1</v>
      </c>
      <c r="AD1196" s="67">
        <f t="shared" si="12"/>
        <v>10061.136</v>
      </c>
      <c r="AE1196" s="67">
        <f t="shared" si="13"/>
        <v>72943.236</v>
      </c>
      <c r="AF1196" s="67">
        <f t="shared" si="33"/>
        <v>62882.1</v>
      </c>
      <c r="AG1196" s="67">
        <f t="shared" si="15"/>
        <v>10061.136</v>
      </c>
      <c r="AH1196" s="67">
        <f t="shared" si="16"/>
        <v>72943.236</v>
      </c>
      <c r="AI1196" s="67">
        <f t="shared" si="17"/>
        <v>62882.1</v>
      </c>
      <c r="AJ1196" s="68">
        <f t="shared" si="37"/>
        <v>10061.136</v>
      </c>
      <c r="AK1196" s="68">
        <f t="shared" si="38"/>
        <v>72943.236</v>
      </c>
      <c r="AL1196" s="70">
        <f>IFERROR(__xludf.DUMMYFUNCTION("""COMPUTED_VALUE"""),1.0)</f>
        <v>1</v>
      </c>
      <c r="AM1196" s="70"/>
      <c r="AN1196" s="71" t="str">
        <f>IFERROR(__xludf.DUMMYFUNCTION("""COMPUTED_VALUE""")," P")</f>
        <v>P</v>
      </c>
      <c r="AO1196" s="71" t="str">
        <f>IFERROR(__xludf.DUMMYFUNCTION("""COMPUTED_VALUE""")," TE01")</f>
        <v>TE01</v>
      </c>
      <c r="AP1196" s="71" t="str">
        <f>IFERROR(__xludf.DUMMYFUNCTION("""COMPUTED_VALUE""")," PZA")</f>
        <v>PZA</v>
      </c>
      <c r="AQ1196" s="71" t="str">
        <f>IFERROR(__xludf.DUMMYFUNCTION("""COMPUTED_VALUE""")," REF")</f>
        <v>REF</v>
      </c>
      <c r="AR1196" s="71" t="str">
        <f>IFERROR(__xludf.DUMMYFUNCTION("""COMPUTED_VALUE""")," TEMPLADOR CON BALERO")</f>
        <v>TEMPLADOR CON BALERO</v>
      </c>
      <c r="AS1196" s="71" t="str">
        <f>IFERROR(__xludf.DUMMYFUNCTION("""COMPUTED_VALUE""")," TEMPLADOR CON BALERO")</f>
        <v>TEMPLADOR CON BALERO</v>
      </c>
      <c r="AT1196" s="71">
        <f>IFERROR(__xludf.DUMMYFUNCTION("""COMPUTED_VALUE"""),20.0)</f>
        <v>20</v>
      </c>
      <c r="AU1196" s="71"/>
      <c r="AV1196" s="71"/>
      <c r="AW1196" s="71"/>
      <c r="AX1196" s="71"/>
      <c r="AY1196" s="71">
        <f>IFERROR(__xludf.DUMMYFUNCTION("""COMPUTED_VALUE"""),173.0)</f>
        <v>173</v>
      </c>
      <c r="AZ1196" s="71">
        <f>IFERROR(__xludf.DUMMYFUNCTION("""COMPUTED_VALUE"""),186.0)</f>
        <v>186</v>
      </c>
      <c r="BA1196" s="71">
        <f>IFERROR(__xludf.DUMMYFUNCTION("""COMPUTED_VALUE"""),200.88000000000002)</f>
        <v>200.88</v>
      </c>
      <c r="BB1196" s="71">
        <f>IFERROR(__xludf.DUMMYFUNCTION("""COMPUTED_VALUE"""),200.88000000000002)</f>
        <v>200.88</v>
      </c>
      <c r="BC1196" s="71">
        <f>IFERROR(__xludf.DUMMYFUNCTION("""COMPUTED_VALUE"""),224.0)</f>
        <v>224</v>
      </c>
      <c r="BD1196" s="71">
        <f>IFERROR(__xludf.DUMMYFUNCTION("""COMPUTED_VALUE"""),235.0)</f>
        <v>235</v>
      </c>
      <c r="BE1196" s="71">
        <f>IFERROR(__xludf.DUMMYFUNCTION("""COMPUTED_VALUE"""),37.6)</f>
        <v>37.6</v>
      </c>
      <c r="BF1196" s="71">
        <f>IFERROR(__xludf.DUMMYFUNCTION("""COMPUTED_VALUE"""),272.6)</f>
        <v>272.6</v>
      </c>
      <c r="BG1196" s="71">
        <f>IFERROR(__xludf.DUMMYFUNCTION("""COMPUTED_VALUE"""),0.049107142857142856)</f>
        <v>0.04910714286</v>
      </c>
      <c r="BH1196" s="71">
        <f>IFERROR(__xludf.DUMMYFUNCTION("""COMPUTED_VALUE"""),223.25)</f>
        <v>223.25</v>
      </c>
      <c r="BI1196" s="71">
        <f>IFERROR(__xludf.DUMMYFUNCTION("""COMPUTED_VALUE"""),35.72)</f>
        <v>35.72</v>
      </c>
      <c r="BJ1196" s="71">
        <f>IFERROR(__xludf.DUMMYFUNCTION("""COMPUTED_VALUE"""),258.97)</f>
        <v>258.97</v>
      </c>
      <c r="BK1196" s="71">
        <f>IFERROR(__xludf.DUMMYFUNCTION("""COMPUTED_VALUE"""),211.5)</f>
        <v>211.5</v>
      </c>
      <c r="BL1196" s="71">
        <f>IFERROR(__xludf.DUMMYFUNCTION("""COMPUTED_VALUE"""),33.84)</f>
        <v>33.84</v>
      </c>
      <c r="BM1196" s="71">
        <f>IFERROR(__xludf.DUMMYFUNCTION("""COMPUTED_VALUE"""),245.34)</f>
        <v>245.34</v>
      </c>
      <c r="BN1196" s="71">
        <f>IFERROR(__xludf.DUMMYFUNCTION("""COMPUTED_VALUE"""),199.75)</f>
        <v>199.75</v>
      </c>
      <c r="BO1196" s="71">
        <f>IFERROR(__xludf.DUMMYFUNCTION("""COMPUTED_VALUE"""),31.96)</f>
        <v>31.96</v>
      </c>
      <c r="BP1196" s="71">
        <f>IFERROR(__xludf.DUMMYFUNCTION("""COMPUTED_VALUE"""),231.71)</f>
        <v>231.71</v>
      </c>
      <c r="BQ1196" s="71">
        <f>IFERROR(__xludf.DUMMYFUNCTION("""COMPUTED_VALUE"""),195.04999999999998)</f>
        <v>195.05</v>
      </c>
      <c r="BR1196" s="71">
        <f>IFERROR(__xludf.DUMMYFUNCTION("""COMPUTED_VALUE"""),31.208)</f>
        <v>31.208</v>
      </c>
      <c r="BS1196" s="71">
        <f>IFERROR(__xludf.DUMMYFUNCTION("""COMPUTED_VALUE"""),226.25799999999998)</f>
        <v>226.258</v>
      </c>
      <c r="BT1196" s="71">
        <f>IFERROR(__xludf.DUMMYFUNCTION("""COMPUTED_VALUE"""),188.0)</f>
        <v>188</v>
      </c>
      <c r="BU1196" s="71">
        <f>IFERROR(__xludf.DUMMYFUNCTION("""COMPUTED_VALUE"""),30.080000000000002)</f>
        <v>30.08</v>
      </c>
      <c r="BV1196" s="71">
        <f>IFERROR(__xludf.DUMMYFUNCTION("""COMPUTED_VALUE"""),218.08)</f>
        <v>218.08</v>
      </c>
    </row>
    <row r="1197">
      <c r="A1197" s="53"/>
      <c r="B1197" s="53">
        <v>3.0</v>
      </c>
      <c r="C1197" s="53" t="s">
        <v>36</v>
      </c>
      <c r="D1197" s="120" t="s">
        <v>2921</v>
      </c>
      <c r="E1197" s="54" t="s">
        <v>38</v>
      </c>
      <c r="F1197" s="55" t="s">
        <v>1610</v>
      </c>
      <c r="G1197" s="86" t="s">
        <v>2922</v>
      </c>
      <c r="H1197" s="55"/>
      <c r="I1197" s="54">
        <f t="shared" si="24"/>
        <v>0</v>
      </c>
      <c r="J1197" s="56"/>
      <c r="K1197" s="57"/>
      <c r="L1197" s="76"/>
      <c r="M1197" s="59"/>
      <c r="N1197" s="60"/>
      <c r="O1197" s="61">
        <v>400325.0</v>
      </c>
      <c r="P1197" s="62">
        <v>432351.0</v>
      </c>
      <c r="Q1197" s="63">
        <v>432351.0</v>
      </c>
      <c r="R1197" s="64">
        <v>476668.0</v>
      </c>
      <c r="S1197" s="107">
        <v>500501.0</v>
      </c>
      <c r="T1197" s="65">
        <f t="shared" si="39"/>
        <v>80080.16</v>
      </c>
      <c r="U1197" s="65">
        <f t="shared" si="40"/>
        <v>580581.16</v>
      </c>
      <c r="V1197" s="66">
        <f t="shared" si="42"/>
        <v>0.04999916084</v>
      </c>
      <c r="W1197" s="67">
        <f t="shared" si="5"/>
        <v>475475.95</v>
      </c>
      <c r="X1197" s="67">
        <f t="shared" si="43"/>
        <v>76076.152</v>
      </c>
      <c r="Y1197" s="67">
        <f t="shared" si="44"/>
        <v>551552.102</v>
      </c>
      <c r="Z1197" s="67">
        <f t="shared" si="8"/>
        <v>450450.9</v>
      </c>
      <c r="AA1197" s="67">
        <f t="shared" si="45"/>
        <v>72072.144</v>
      </c>
      <c r="AB1197" s="67">
        <f t="shared" si="46"/>
        <v>522523.044</v>
      </c>
      <c r="AC1197" s="67">
        <f t="shared" si="11"/>
        <v>450450.9</v>
      </c>
      <c r="AD1197" s="67">
        <f t="shared" si="12"/>
        <v>72072.144</v>
      </c>
      <c r="AE1197" s="67">
        <f t="shared" si="13"/>
        <v>522523.044</v>
      </c>
      <c r="AF1197" s="67">
        <f t="shared" si="33"/>
        <v>450450.9</v>
      </c>
      <c r="AG1197" s="67">
        <f t="shared" si="15"/>
        <v>72072.144</v>
      </c>
      <c r="AH1197" s="67">
        <f t="shared" si="16"/>
        <v>522523.044</v>
      </c>
      <c r="AI1197" s="67">
        <f t="shared" si="17"/>
        <v>450450.9</v>
      </c>
      <c r="AJ1197" s="68">
        <f t="shared" si="37"/>
        <v>72072.144</v>
      </c>
      <c r="AK1197" s="68">
        <f t="shared" si="38"/>
        <v>522523.044</v>
      </c>
      <c r="AL1197" s="70">
        <f>IFERROR(__xludf.DUMMYFUNCTION("""COMPUTED_VALUE"""),1.0)</f>
        <v>1</v>
      </c>
      <c r="AM1197" s="70"/>
      <c r="AN1197" s="71" t="str">
        <f>IFERROR(__xludf.DUMMYFUNCTION("""COMPUTED_VALUE""")," P")</f>
        <v>P</v>
      </c>
      <c r="AO1197" s="71" t="str">
        <f>IFERROR(__xludf.DUMMYFUNCTION("""COMPUTED_VALUE""")," TE02")</f>
        <v>TE02</v>
      </c>
      <c r="AP1197" s="71" t="str">
        <f>IFERROR(__xludf.DUMMYFUNCTION("""COMPUTED_VALUE""")," PZA")</f>
        <v>PZA</v>
      </c>
      <c r="AQ1197" s="71" t="str">
        <f>IFERROR(__xludf.DUMMYFUNCTION("""COMPUTED_VALUE""")," REF")</f>
        <v>REF</v>
      </c>
      <c r="AR1197" s="71" t="str">
        <f>IFERROR(__xludf.DUMMYFUNCTION("""COMPUTED_VALUE""")," TEMPLADOR CON CATARINA")</f>
        <v>TEMPLADOR CON CATARINA</v>
      </c>
      <c r="AS1197" s="71" t="str">
        <f>IFERROR(__xludf.DUMMYFUNCTION("""COMPUTED_VALUE""")," TEMPLADOR CON CATARINA")</f>
        <v>TEMPLADOR CON CATARINA</v>
      </c>
      <c r="AT1197" s="71">
        <f>IFERROR(__xludf.DUMMYFUNCTION("""COMPUTED_VALUE"""),22.0)</f>
        <v>22</v>
      </c>
      <c r="AU1197" s="71"/>
      <c r="AV1197" s="71"/>
      <c r="AW1197" s="71"/>
      <c r="AX1197" s="71"/>
      <c r="AY1197" s="71">
        <f>IFERROR(__xludf.DUMMYFUNCTION("""COMPUTED_VALUE"""),279.0)</f>
        <v>279</v>
      </c>
      <c r="AZ1197" s="71">
        <f>IFERROR(__xludf.DUMMYFUNCTION("""COMPUTED_VALUE"""),301.0)</f>
        <v>301</v>
      </c>
      <c r="BA1197" s="71">
        <f>IFERROR(__xludf.DUMMYFUNCTION("""COMPUTED_VALUE"""),325.08000000000004)</f>
        <v>325.08</v>
      </c>
      <c r="BB1197" s="71">
        <f>IFERROR(__xludf.DUMMYFUNCTION("""COMPUTED_VALUE"""),325.08000000000004)</f>
        <v>325.08</v>
      </c>
      <c r="BC1197" s="71">
        <f>IFERROR(__xludf.DUMMYFUNCTION("""COMPUTED_VALUE"""),363.0)</f>
        <v>363</v>
      </c>
      <c r="BD1197" s="71">
        <f>IFERROR(__xludf.DUMMYFUNCTION("""COMPUTED_VALUE"""),381.0)</f>
        <v>381</v>
      </c>
      <c r="BE1197" s="71">
        <f>IFERROR(__xludf.DUMMYFUNCTION("""COMPUTED_VALUE"""),60.96)</f>
        <v>60.96</v>
      </c>
      <c r="BF1197" s="71">
        <f>IFERROR(__xludf.DUMMYFUNCTION("""COMPUTED_VALUE"""),441.96)</f>
        <v>441.96</v>
      </c>
      <c r="BG1197" s="71">
        <f>IFERROR(__xludf.DUMMYFUNCTION("""COMPUTED_VALUE"""),0.049586776859504134)</f>
        <v>0.04958677686</v>
      </c>
      <c r="BH1197" s="71">
        <f>IFERROR(__xludf.DUMMYFUNCTION("""COMPUTED_VALUE"""),361.95)</f>
        <v>361.95</v>
      </c>
      <c r="BI1197" s="71">
        <f>IFERROR(__xludf.DUMMYFUNCTION("""COMPUTED_VALUE"""),57.912)</f>
        <v>57.912</v>
      </c>
      <c r="BJ1197" s="71">
        <f>IFERROR(__xludf.DUMMYFUNCTION("""COMPUTED_VALUE"""),419.86199999999997)</f>
        <v>419.862</v>
      </c>
      <c r="BK1197" s="71">
        <f>IFERROR(__xludf.DUMMYFUNCTION("""COMPUTED_VALUE"""),342.90000000000003)</f>
        <v>342.9</v>
      </c>
      <c r="BL1197" s="71">
        <f>IFERROR(__xludf.DUMMYFUNCTION("""COMPUTED_VALUE"""),54.864000000000004)</f>
        <v>54.864</v>
      </c>
      <c r="BM1197" s="71">
        <f>IFERROR(__xludf.DUMMYFUNCTION("""COMPUTED_VALUE"""),397.764)</f>
        <v>397.764</v>
      </c>
      <c r="BN1197" s="71">
        <f>IFERROR(__xludf.DUMMYFUNCTION("""COMPUTED_VALUE"""),323.84999999999997)</f>
        <v>323.85</v>
      </c>
      <c r="BO1197" s="71">
        <f>IFERROR(__xludf.DUMMYFUNCTION("""COMPUTED_VALUE"""),51.815999999999995)</f>
        <v>51.816</v>
      </c>
      <c r="BP1197" s="71">
        <f>IFERROR(__xludf.DUMMYFUNCTION("""COMPUTED_VALUE"""),375.66599999999994)</f>
        <v>375.666</v>
      </c>
      <c r="BQ1197" s="71">
        <f>IFERROR(__xludf.DUMMYFUNCTION("""COMPUTED_VALUE"""),316.22999999999996)</f>
        <v>316.23</v>
      </c>
      <c r="BR1197" s="71">
        <f>IFERROR(__xludf.DUMMYFUNCTION("""COMPUTED_VALUE"""),50.596799999999995)</f>
        <v>50.5968</v>
      </c>
      <c r="BS1197" s="71">
        <f>IFERROR(__xludf.DUMMYFUNCTION("""COMPUTED_VALUE"""),366.82679999999993)</f>
        <v>366.8268</v>
      </c>
      <c r="BT1197" s="71">
        <f>IFERROR(__xludf.DUMMYFUNCTION("""COMPUTED_VALUE"""),304.8)</f>
        <v>304.8</v>
      </c>
      <c r="BU1197" s="71">
        <f>IFERROR(__xludf.DUMMYFUNCTION("""COMPUTED_VALUE"""),48.768)</f>
        <v>48.768</v>
      </c>
      <c r="BV1197" s="71">
        <f>IFERROR(__xludf.DUMMYFUNCTION("""COMPUTED_VALUE"""),353.568)</f>
        <v>353.568</v>
      </c>
    </row>
    <row r="1198">
      <c r="A1198" s="53"/>
      <c r="B1198" s="53">
        <v>3.0</v>
      </c>
      <c r="C1198" s="53" t="s">
        <v>36</v>
      </c>
      <c r="D1198" s="120" t="s">
        <v>2923</v>
      </c>
      <c r="E1198" s="54" t="s">
        <v>38</v>
      </c>
      <c r="F1198" s="55" t="s">
        <v>1610</v>
      </c>
      <c r="G1198" s="86" t="s">
        <v>2924</v>
      </c>
      <c r="H1198" s="55"/>
      <c r="I1198" s="54">
        <f t="shared" si="24"/>
        <v>0</v>
      </c>
      <c r="J1198" s="56"/>
      <c r="K1198" s="57"/>
      <c r="L1198" s="76"/>
      <c r="M1198" s="59"/>
      <c r="N1198" s="60"/>
      <c r="O1198" s="61">
        <v>358167.0</v>
      </c>
      <c r="P1198" s="62">
        <v>386820.36000000004</v>
      </c>
      <c r="Q1198" s="63">
        <v>386820.36000000004</v>
      </c>
      <c r="R1198" s="64">
        <v>426470.0</v>
      </c>
      <c r="S1198" s="107">
        <v>447794.0</v>
      </c>
      <c r="T1198" s="65">
        <f t="shared" si="39"/>
        <v>71647.04</v>
      </c>
      <c r="U1198" s="65">
        <f t="shared" si="40"/>
        <v>519441.04</v>
      </c>
      <c r="V1198" s="66">
        <f t="shared" si="42"/>
        <v>0.05000117242</v>
      </c>
      <c r="W1198" s="67">
        <f t="shared" si="5"/>
        <v>425404.3</v>
      </c>
      <c r="X1198" s="67">
        <f t="shared" si="43"/>
        <v>68064.688</v>
      </c>
      <c r="Y1198" s="67">
        <f t="shared" si="44"/>
        <v>493468.988</v>
      </c>
      <c r="Z1198" s="67">
        <f t="shared" si="8"/>
        <v>403014.6</v>
      </c>
      <c r="AA1198" s="67">
        <f t="shared" si="45"/>
        <v>64482.336</v>
      </c>
      <c r="AB1198" s="67">
        <f t="shared" si="46"/>
        <v>467496.936</v>
      </c>
      <c r="AC1198" s="67">
        <f t="shared" si="11"/>
        <v>403014.6</v>
      </c>
      <c r="AD1198" s="67">
        <f t="shared" si="12"/>
        <v>64482.336</v>
      </c>
      <c r="AE1198" s="67">
        <f t="shared" si="13"/>
        <v>467496.936</v>
      </c>
      <c r="AF1198" s="67">
        <f t="shared" si="33"/>
        <v>403014.6</v>
      </c>
      <c r="AG1198" s="67">
        <f t="shared" si="15"/>
        <v>64482.336</v>
      </c>
      <c r="AH1198" s="67">
        <f t="shared" si="16"/>
        <v>467496.936</v>
      </c>
      <c r="AI1198" s="67">
        <f t="shared" si="17"/>
        <v>403014.6</v>
      </c>
      <c r="AJ1198" s="68">
        <f t="shared" si="37"/>
        <v>64482.336</v>
      </c>
      <c r="AK1198" s="68">
        <f t="shared" si="38"/>
        <v>467496.936</v>
      </c>
      <c r="AL1198" s="70">
        <f>IFERROR(__xludf.DUMMYFUNCTION("""COMPUTED_VALUE"""),1.0)</f>
        <v>1</v>
      </c>
      <c r="AM1198" s="70"/>
      <c r="AN1198" s="71" t="str">
        <f>IFERROR(__xludf.DUMMYFUNCTION("""COMPUTED_VALUE""")," P")</f>
        <v>P</v>
      </c>
      <c r="AO1198" s="71" t="str">
        <f>IFERROR(__xludf.DUMMYFUNCTION("""COMPUTED_VALUE""")," TV01")</f>
        <v>TV01</v>
      </c>
      <c r="AP1198" s="71" t="str">
        <f>IFERROR(__xludf.DUMMYFUNCTION("""COMPUTED_VALUE""")," PZA")</f>
        <v>PZA</v>
      </c>
      <c r="AQ1198" s="71" t="str">
        <f>IFERROR(__xludf.DUMMYFUNCTION("""COMPUTED_VALUE""")," REF")</f>
        <v>REF</v>
      </c>
      <c r="AR1198" s="71" t="str">
        <f>IFERROR(__xludf.DUMMYFUNCTION("""COMPUTED_VALUE""")," TOLVA DE ALUMINIO DÚPLEX")</f>
        <v>TOLVA DE ALUMINIO DÚPLEX</v>
      </c>
      <c r="AS1198" s="71" t="str">
        <f>IFERROR(__xludf.DUMMYFUNCTION("""COMPUTED_VALUE""")," TOLVA ALUMINIO DPLX")</f>
        <v>TOLVA ALUMINIO DPLX</v>
      </c>
      <c r="AT1198" s="71">
        <f>IFERROR(__xludf.DUMMYFUNCTION("""COMPUTED_VALUE"""),19.0)</f>
        <v>19</v>
      </c>
      <c r="AU1198" s="71"/>
      <c r="AV1198" s="71"/>
      <c r="AW1198" s="71"/>
      <c r="AX1198" s="71"/>
      <c r="AY1198" s="71">
        <f>IFERROR(__xludf.DUMMYFUNCTION("""COMPUTED_VALUE"""),12677.0)</f>
        <v>12677</v>
      </c>
      <c r="AZ1198" s="71">
        <f>IFERROR(__xludf.DUMMYFUNCTION("""COMPUTED_VALUE"""),13691.0)</f>
        <v>13691</v>
      </c>
      <c r="BA1198" s="71">
        <f>IFERROR(__xludf.DUMMYFUNCTION("""COMPUTED_VALUE"""),22179.0)</f>
        <v>22179</v>
      </c>
      <c r="BB1198" s="71">
        <f>IFERROR(__xludf.DUMMYFUNCTION("""COMPUTED_VALUE"""),22179.0)</f>
        <v>22179</v>
      </c>
      <c r="BC1198" s="71">
        <f>IFERROR(__xludf.DUMMYFUNCTION("""COMPUTED_VALUE"""),23288.0)</f>
        <v>23288</v>
      </c>
      <c r="BD1198" s="71">
        <f>IFERROR(__xludf.DUMMYFUNCTION("""COMPUTED_VALUE"""),24452.0)</f>
        <v>24452</v>
      </c>
      <c r="BE1198" s="71">
        <f>IFERROR(__xludf.DUMMYFUNCTION("""COMPUTED_VALUE"""),3912.32)</f>
        <v>3912.32</v>
      </c>
      <c r="BF1198" s="71">
        <f>IFERROR(__xludf.DUMMYFUNCTION("""COMPUTED_VALUE"""),28364.32)</f>
        <v>28364.32</v>
      </c>
      <c r="BG1198" s="71">
        <f>IFERROR(__xludf.DUMMYFUNCTION("""COMPUTED_VALUE"""),0.04998282377189969)</f>
        <v>0.04998282377</v>
      </c>
      <c r="BH1198" s="71">
        <f>IFERROR(__xludf.DUMMYFUNCTION("""COMPUTED_VALUE"""),23229.399999999998)</f>
        <v>23229.4</v>
      </c>
      <c r="BI1198" s="71">
        <f>IFERROR(__xludf.DUMMYFUNCTION("""COMPUTED_VALUE"""),3716.7039999999997)</f>
        <v>3716.704</v>
      </c>
      <c r="BJ1198" s="71">
        <f>IFERROR(__xludf.DUMMYFUNCTION("""COMPUTED_VALUE"""),26946.104)</f>
        <v>26946.104</v>
      </c>
      <c r="BK1198" s="71">
        <f>IFERROR(__xludf.DUMMYFUNCTION("""COMPUTED_VALUE"""),22006.8)</f>
        <v>22006.8</v>
      </c>
      <c r="BL1198" s="71">
        <f>IFERROR(__xludf.DUMMYFUNCTION("""COMPUTED_VALUE"""),3521.0879999999997)</f>
        <v>3521.088</v>
      </c>
      <c r="BM1198" s="71">
        <f>IFERROR(__xludf.DUMMYFUNCTION("""COMPUTED_VALUE"""),25527.888)</f>
        <v>25527.888</v>
      </c>
      <c r="BN1198" s="71">
        <f>IFERROR(__xludf.DUMMYFUNCTION("""COMPUTED_VALUE"""),20784.2)</f>
        <v>20784.2</v>
      </c>
      <c r="BO1198" s="71">
        <f>IFERROR(__xludf.DUMMYFUNCTION("""COMPUTED_VALUE"""),3325.472)</f>
        <v>3325.472</v>
      </c>
      <c r="BP1198" s="71">
        <f>IFERROR(__xludf.DUMMYFUNCTION("""COMPUTED_VALUE"""),24109.672000000002)</f>
        <v>24109.672</v>
      </c>
      <c r="BQ1198" s="71">
        <f>IFERROR(__xludf.DUMMYFUNCTION("""COMPUTED_VALUE"""),20295.16)</f>
        <v>20295.16</v>
      </c>
      <c r="BR1198" s="71">
        <f>IFERROR(__xludf.DUMMYFUNCTION("""COMPUTED_VALUE"""),3247.2256)</f>
        <v>3247.2256</v>
      </c>
      <c r="BS1198" s="71">
        <f>IFERROR(__xludf.DUMMYFUNCTION("""COMPUTED_VALUE"""),23542.3856)</f>
        <v>23542.3856</v>
      </c>
      <c r="BT1198" s="71">
        <f>IFERROR(__xludf.DUMMYFUNCTION("""COMPUTED_VALUE"""),19561.600000000002)</f>
        <v>19561.6</v>
      </c>
      <c r="BU1198" s="71">
        <f>IFERROR(__xludf.DUMMYFUNCTION("""COMPUTED_VALUE"""),3129.856)</f>
        <v>3129.856</v>
      </c>
      <c r="BV1198" s="71">
        <f>IFERROR(__xludf.DUMMYFUNCTION("""COMPUTED_VALUE"""),22691.456000000002)</f>
        <v>22691.456</v>
      </c>
    </row>
    <row r="1199">
      <c r="A1199" s="53"/>
      <c r="B1199" s="53">
        <v>3.0</v>
      </c>
      <c r="C1199" s="53" t="s">
        <v>36</v>
      </c>
      <c r="D1199" s="120" t="s">
        <v>2925</v>
      </c>
      <c r="E1199" s="54" t="s">
        <v>38</v>
      </c>
      <c r="F1199" s="55" t="s">
        <v>1610</v>
      </c>
      <c r="G1199" s="86" t="s">
        <v>2926</v>
      </c>
      <c r="H1199" s="55" t="s">
        <v>2927</v>
      </c>
      <c r="I1199" s="54">
        <f t="shared" si="24"/>
        <v>40</v>
      </c>
      <c r="J1199" s="56"/>
      <c r="K1199" s="57"/>
      <c r="L1199" s="76"/>
      <c r="M1199" s="59"/>
      <c r="N1199" s="60"/>
      <c r="O1199" s="61">
        <v>316289.0</v>
      </c>
      <c r="P1199" s="62">
        <v>305250.0</v>
      </c>
      <c r="Q1199" s="63">
        <v>305250.0</v>
      </c>
      <c r="R1199" s="64">
        <v>336539.0</v>
      </c>
      <c r="S1199" s="107">
        <v>353366.0</v>
      </c>
      <c r="T1199" s="65">
        <f t="shared" si="39"/>
        <v>56538.56</v>
      </c>
      <c r="U1199" s="65">
        <f t="shared" si="40"/>
        <v>409904.56</v>
      </c>
      <c r="V1199" s="66">
        <f t="shared" si="42"/>
        <v>0.05000014857</v>
      </c>
      <c r="W1199" s="67">
        <f t="shared" si="5"/>
        <v>335697.7</v>
      </c>
      <c r="X1199" s="67">
        <f t="shared" si="43"/>
        <v>53711.632</v>
      </c>
      <c r="Y1199" s="67">
        <f t="shared" si="44"/>
        <v>389409.332</v>
      </c>
      <c r="Z1199" s="67">
        <f t="shared" si="8"/>
        <v>318029.4</v>
      </c>
      <c r="AA1199" s="67">
        <f t="shared" si="45"/>
        <v>50884.704</v>
      </c>
      <c r="AB1199" s="67">
        <f t="shared" si="46"/>
        <v>368914.104</v>
      </c>
      <c r="AC1199" s="67">
        <f t="shared" si="11"/>
        <v>318029.4</v>
      </c>
      <c r="AD1199" s="67">
        <f t="shared" si="12"/>
        <v>50884.704</v>
      </c>
      <c r="AE1199" s="67">
        <f t="shared" si="13"/>
        <v>368914.104</v>
      </c>
      <c r="AF1199" s="67">
        <f t="shared" si="33"/>
        <v>318029.4</v>
      </c>
      <c r="AG1199" s="67">
        <f t="shared" si="15"/>
        <v>50884.704</v>
      </c>
      <c r="AH1199" s="67">
        <f t="shared" si="16"/>
        <v>368914.104</v>
      </c>
      <c r="AI1199" s="67">
        <f t="shared" si="17"/>
        <v>318029.4</v>
      </c>
      <c r="AJ1199" s="68">
        <f t="shared" si="37"/>
        <v>50884.704</v>
      </c>
      <c r="AK1199" s="68">
        <f t="shared" si="38"/>
        <v>368914.104</v>
      </c>
      <c r="AL1199" s="70">
        <f>IFERROR(__xludf.DUMMYFUNCTION("""COMPUTED_VALUE"""),1.0)</f>
        <v>1</v>
      </c>
      <c r="AM1199" s="70"/>
      <c r="AN1199" s="71" t="str">
        <f>IFERROR(__xludf.DUMMYFUNCTION("""COMPUTED_VALUE""")," P")</f>
        <v>P</v>
      </c>
      <c r="AO1199" s="71" t="str">
        <f>IFERROR(__xludf.DUMMYFUNCTION("""COMPUTED_VALUE""")," TV02")</f>
        <v>TV02</v>
      </c>
      <c r="AP1199" s="71" t="str">
        <f>IFERROR(__xludf.DUMMYFUNCTION("""COMPUTED_VALUE""")," PZA")</f>
        <v>PZA</v>
      </c>
      <c r="AQ1199" s="71" t="str">
        <f>IFERROR(__xludf.DUMMYFUNCTION("""COMPUTED_VALUE""")," REF")</f>
        <v>REF</v>
      </c>
      <c r="AR1199" s="71" t="str">
        <f>IFERROR(__xludf.DUMMYFUNCTION("""COMPUTED_VALUE""")," TOLVA DE ALUMINIO SENCILLA")</f>
        <v>TOLVA DE ALUMINIO SENCILLA</v>
      </c>
      <c r="AS1199" s="71" t="str">
        <f>IFERROR(__xludf.DUMMYFUNCTION("""COMPUTED_VALUE""")," TOLVA ALUMINIO SENCILLA")</f>
        <v>TOLVA ALUMINIO SENCILLA</v>
      </c>
      <c r="AT1199" s="71">
        <f>IFERROR(__xludf.DUMMYFUNCTION("""COMPUTED_VALUE"""),23.0)</f>
        <v>23</v>
      </c>
      <c r="AU1199" s="71"/>
      <c r="AV1199" s="71"/>
      <c r="AW1199" s="71"/>
      <c r="AX1199" s="71"/>
      <c r="AY1199" s="71">
        <f>IFERROR(__xludf.DUMMYFUNCTION("""COMPUTED_VALUE"""),3585.0)</f>
        <v>3585</v>
      </c>
      <c r="AZ1199" s="71">
        <f>IFERROR(__xludf.DUMMYFUNCTION("""COMPUTED_VALUE"""),3871.0)</f>
        <v>3871</v>
      </c>
      <c r="BA1199" s="71">
        <f>IFERROR(__xludf.DUMMYFUNCTION("""COMPUTED_VALUE"""),4180.68)</f>
        <v>4180.68</v>
      </c>
      <c r="BB1199" s="71">
        <f>IFERROR(__xludf.DUMMYFUNCTION("""COMPUTED_VALUE"""),4180.68)</f>
        <v>4180.68</v>
      </c>
      <c r="BC1199" s="71">
        <f>IFERROR(__xludf.DUMMYFUNCTION("""COMPUTED_VALUE"""),4654.0)</f>
        <v>4654</v>
      </c>
      <c r="BD1199" s="71">
        <f>IFERROR(__xludf.DUMMYFUNCTION("""COMPUTED_VALUE"""),4887.0)</f>
        <v>4887</v>
      </c>
      <c r="BE1199" s="71">
        <f>IFERROR(__xludf.DUMMYFUNCTION("""COMPUTED_VALUE"""),781.9200000000001)</f>
        <v>781.92</v>
      </c>
      <c r="BF1199" s="71">
        <f>IFERROR(__xludf.DUMMYFUNCTION("""COMPUTED_VALUE"""),5668.92)</f>
        <v>5668.92</v>
      </c>
      <c r="BG1199" s="71">
        <f>IFERROR(__xludf.DUMMYFUNCTION("""COMPUTED_VALUE"""),0.05006446067898582)</f>
        <v>0.05006446068</v>
      </c>
      <c r="BH1199" s="71">
        <f>IFERROR(__xludf.DUMMYFUNCTION("""COMPUTED_VALUE"""),4642.65)</f>
        <v>4642.65</v>
      </c>
      <c r="BI1199" s="71">
        <f>IFERROR(__xludf.DUMMYFUNCTION("""COMPUTED_VALUE"""),742.824)</f>
        <v>742.824</v>
      </c>
      <c r="BJ1199" s="71">
        <f>IFERROR(__xludf.DUMMYFUNCTION("""COMPUTED_VALUE"""),5385.473999999999)</f>
        <v>5385.474</v>
      </c>
      <c r="BK1199" s="71">
        <f>IFERROR(__xludf.DUMMYFUNCTION("""COMPUTED_VALUE"""),4398.3)</f>
        <v>4398.3</v>
      </c>
      <c r="BL1199" s="71">
        <f>IFERROR(__xludf.DUMMYFUNCTION("""COMPUTED_VALUE"""),703.7280000000001)</f>
        <v>703.728</v>
      </c>
      <c r="BM1199" s="71">
        <f>IFERROR(__xludf.DUMMYFUNCTION("""COMPUTED_VALUE"""),5102.028)</f>
        <v>5102.028</v>
      </c>
      <c r="BN1199" s="71">
        <f>IFERROR(__xludf.DUMMYFUNCTION("""COMPUTED_VALUE"""),4153.95)</f>
        <v>4153.95</v>
      </c>
      <c r="BO1199" s="71">
        <f>IFERROR(__xludf.DUMMYFUNCTION("""COMPUTED_VALUE"""),664.632)</f>
        <v>664.632</v>
      </c>
      <c r="BP1199" s="71">
        <f>IFERROR(__xludf.DUMMYFUNCTION("""COMPUTED_VALUE"""),4818.581999999999)</f>
        <v>4818.582</v>
      </c>
      <c r="BQ1199" s="71">
        <f>IFERROR(__xludf.DUMMYFUNCTION("""COMPUTED_VALUE"""),4056.2099999999996)</f>
        <v>4056.21</v>
      </c>
      <c r="BR1199" s="71">
        <f>IFERROR(__xludf.DUMMYFUNCTION("""COMPUTED_VALUE"""),648.9935999999999)</f>
        <v>648.9936</v>
      </c>
      <c r="BS1199" s="71">
        <f>IFERROR(__xludf.DUMMYFUNCTION("""COMPUTED_VALUE"""),4705.2036)</f>
        <v>4705.2036</v>
      </c>
      <c r="BT1199" s="71">
        <f>IFERROR(__xludf.DUMMYFUNCTION("""COMPUTED_VALUE"""),3909.6000000000004)</f>
        <v>3909.6</v>
      </c>
      <c r="BU1199" s="71">
        <f>IFERROR(__xludf.DUMMYFUNCTION("""COMPUTED_VALUE"""),625.5360000000001)</f>
        <v>625.536</v>
      </c>
      <c r="BV1199" s="71">
        <f>IFERROR(__xludf.DUMMYFUNCTION("""COMPUTED_VALUE"""),4535.136)</f>
        <v>4535.136</v>
      </c>
    </row>
    <row r="1200">
      <c r="A1200" s="53"/>
      <c r="B1200" s="53"/>
      <c r="C1200" s="53" t="s">
        <v>53</v>
      </c>
      <c r="D1200" s="53" t="s">
        <v>2928</v>
      </c>
      <c r="E1200" s="54" t="s">
        <v>38</v>
      </c>
      <c r="F1200" s="54" t="s">
        <v>42</v>
      </c>
      <c r="G1200" s="55" t="s">
        <v>2929</v>
      </c>
      <c r="H1200" s="55" t="s">
        <v>2929</v>
      </c>
      <c r="I1200" s="54">
        <f t="shared" si="24"/>
        <v>39</v>
      </c>
      <c r="J1200" s="56"/>
      <c r="K1200" s="57"/>
      <c r="L1200" s="87"/>
      <c r="M1200" s="59"/>
      <c r="N1200" s="60"/>
      <c r="O1200" s="61">
        <v>14400.0</v>
      </c>
      <c r="P1200" s="62">
        <v>15552.000000000002</v>
      </c>
      <c r="Q1200" s="63">
        <v>15552.000000000002</v>
      </c>
      <c r="R1200" s="64">
        <v>16330.0</v>
      </c>
      <c r="S1200" s="111">
        <v>17147.0</v>
      </c>
      <c r="T1200" s="65">
        <f t="shared" si="39"/>
        <v>2743.52</v>
      </c>
      <c r="U1200" s="65">
        <f t="shared" si="40"/>
        <v>19890.52</v>
      </c>
      <c r="V1200" s="66">
        <f t="shared" si="42"/>
        <v>0.05003061849</v>
      </c>
      <c r="W1200" s="67">
        <f t="shared" si="5"/>
        <v>16289.65</v>
      </c>
      <c r="X1200" s="67">
        <f t="shared" si="43"/>
        <v>2606.344</v>
      </c>
      <c r="Y1200" s="67">
        <f t="shared" si="44"/>
        <v>18895.994</v>
      </c>
      <c r="Z1200" s="67">
        <f t="shared" si="8"/>
        <v>15432.3</v>
      </c>
      <c r="AA1200" s="67">
        <f t="shared" si="45"/>
        <v>2469.168</v>
      </c>
      <c r="AB1200" s="67">
        <f t="shared" si="46"/>
        <v>17901.468</v>
      </c>
      <c r="AC1200" s="67">
        <f t="shared" si="11"/>
        <v>14574.95</v>
      </c>
      <c r="AD1200" s="67">
        <f t="shared" si="12"/>
        <v>2331.992</v>
      </c>
      <c r="AE1200" s="67">
        <f t="shared" si="13"/>
        <v>16906.942</v>
      </c>
      <c r="AF1200" s="67">
        <f t="shared" si="33"/>
        <v>14232.01</v>
      </c>
      <c r="AG1200" s="67">
        <f t="shared" si="15"/>
        <v>2277.1216</v>
      </c>
      <c r="AH1200" s="67">
        <f t="shared" si="16"/>
        <v>16509.1316</v>
      </c>
      <c r="AI1200" s="67">
        <f t="shared" si="17"/>
        <v>13717.6</v>
      </c>
      <c r="AJ1200" s="68">
        <f t="shared" si="37"/>
        <v>2194.816</v>
      </c>
      <c r="AK1200" s="68">
        <f t="shared" si="38"/>
        <v>15912.416</v>
      </c>
      <c r="AL1200" s="70">
        <f>IFERROR(__xludf.DUMMYFUNCTION("""COMPUTED_VALUE"""),1.0)</f>
        <v>1</v>
      </c>
      <c r="AM1200" s="70"/>
      <c r="AN1200" s="71" t="str">
        <f>IFERROR(__xludf.DUMMYFUNCTION("""COMPUTED_VALUE""")," P")</f>
        <v>P</v>
      </c>
      <c r="AO1200" s="71" t="str">
        <f>IFERROR(__xludf.DUMMYFUNCTION("""COMPUTED_VALUE""")," TV05")</f>
        <v>TV05</v>
      </c>
      <c r="AP1200" s="71" t="str">
        <f>IFERROR(__xludf.DUMMYFUNCTION("""COMPUTED_VALUE""")," PZA")</f>
        <v>PZA</v>
      </c>
      <c r="AQ1200" s="71" t="str">
        <f>IFERROR(__xludf.DUMMYFUNCTION("""COMPUTED_VALUE""")," REF")</f>
        <v>REF</v>
      </c>
      <c r="AR1200" s="71" t="str">
        <f>IFERROR(__xludf.DUMMYFUNCTION("""COMPUTED_VALUE""")," TOLVA DE AMASADORA EN ACERO INOXIDABLE DE 100 KG.")</f>
        <v>TOLVA DE AMASADORA EN ACERO INOXIDABLE DE 100 KG.</v>
      </c>
      <c r="AS1200" s="71" t="str">
        <f>IFERROR(__xludf.DUMMYFUNCTION("""COMPUTED_VALUE""")," TOLVA AMASADORA INOX 100KG")</f>
        <v>TOLVA AMASADORA INOX 100KG</v>
      </c>
      <c r="AT1200" s="71">
        <f>IFERROR(__xludf.DUMMYFUNCTION("""COMPUTED_VALUE"""),26.0)</f>
        <v>26</v>
      </c>
      <c r="AU1200" s="71"/>
      <c r="AV1200" s="71"/>
      <c r="AW1200" s="71"/>
      <c r="AX1200" s="71"/>
      <c r="AY1200" s="71">
        <f>IFERROR(__xludf.DUMMYFUNCTION("""COMPUTED_VALUE"""),9502.0)</f>
        <v>9502</v>
      </c>
      <c r="AZ1200" s="71">
        <f>IFERROR(__xludf.DUMMYFUNCTION("""COMPUTED_VALUE"""),10262.0)</f>
        <v>10262</v>
      </c>
      <c r="BA1200" s="71">
        <f>IFERROR(__xludf.DUMMYFUNCTION("""COMPUTED_VALUE"""),11082.960000000001)</f>
        <v>11082.96</v>
      </c>
      <c r="BB1200" s="71">
        <f>IFERROR(__xludf.DUMMYFUNCTION("""COMPUTED_VALUE"""),11082.960000000001)</f>
        <v>11082.96</v>
      </c>
      <c r="BC1200" s="71">
        <f>IFERROR(__xludf.DUMMYFUNCTION("""COMPUTED_VALUE"""),12336.0)</f>
        <v>12336</v>
      </c>
      <c r="BD1200" s="71">
        <f>IFERROR(__xludf.DUMMYFUNCTION("""COMPUTED_VALUE"""),12953.0)</f>
        <v>12953</v>
      </c>
      <c r="BE1200" s="71">
        <f>IFERROR(__xludf.DUMMYFUNCTION("""COMPUTED_VALUE"""),2072.48)</f>
        <v>2072.48</v>
      </c>
      <c r="BF1200" s="71">
        <f>IFERROR(__xludf.DUMMYFUNCTION("""COMPUTED_VALUE"""),15025.48)</f>
        <v>15025.48</v>
      </c>
      <c r="BG1200" s="71">
        <f>IFERROR(__xludf.DUMMYFUNCTION("""COMPUTED_VALUE"""),0.05001621271076524)</f>
        <v>0.05001621271</v>
      </c>
      <c r="BH1200" s="71">
        <f>IFERROR(__xludf.DUMMYFUNCTION("""COMPUTED_VALUE"""),12305.349999999999)</f>
        <v>12305.35</v>
      </c>
      <c r="BI1200" s="71">
        <f>IFERROR(__xludf.DUMMYFUNCTION("""COMPUTED_VALUE"""),1968.8559999999998)</f>
        <v>1968.856</v>
      </c>
      <c r="BJ1200" s="71">
        <f>IFERROR(__xludf.DUMMYFUNCTION("""COMPUTED_VALUE"""),14274.205999999998)</f>
        <v>14274.206</v>
      </c>
      <c r="BK1200" s="71">
        <f>IFERROR(__xludf.DUMMYFUNCTION("""COMPUTED_VALUE"""),11657.7)</f>
        <v>11657.7</v>
      </c>
      <c r="BL1200" s="71">
        <f>IFERROR(__xludf.DUMMYFUNCTION("""COMPUTED_VALUE"""),1865.2320000000002)</f>
        <v>1865.232</v>
      </c>
      <c r="BM1200" s="71">
        <f>IFERROR(__xludf.DUMMYFUNCTION("""COMPUTED_VALUE"""),13522.932)</f>
        <v>13522.932</v>
      </c>
      <c r="BN1200" s="71">
        <f>IFERROR(__xludf.DUMMYFUNCTION("""COMPUTED_VALUE"""),11010.05)</f>
        <v>11010.05</v>
      </c>
      <c r="BO1200" s="71">
        <f>IFERROR(__xludf.DUMMYFUNCTION("""COMPUTED_VALUE"""),1761.608)</f>
        <v>1761.608</v>
      </c>
      <c r="BP1200" s="71">
        <f>IFERROR(__xludf.DUMMYFUNCTION("""COMPUTED_VALUE"""),12771.658)</f>
        <v>12771.658</v>
      </c>
      <c r="BQ1200" s="71">
        <f>IFERROR(__xludf.DUMMYFUNCTION("""COMPUTED_VALUE"""),10750.99)</f>
        <v>10750.99</v>
      </c>
      <c r="BR1200" s="71">
        <f>IFERROR(__xludf.DUMMYFUNCTION("""COMPUTED_VALUE"""),1720.1584)</f>
        <v>1720.1584</v>
      </c>
      <c r="BS1200" s="71">
        <f>IFERROR(__xludf.DUMMYFUNCTION("""COMPUTED_VALUE"""),12471.1484)</f>
        <v>12471.1484</v>
      </c>
      <c r="BT1200" s="71">
        <f>IFERROR(__xludf.DUMMYFUNCTION("""COMPUTED_VALUE"""),10362.400000000001)</f>
        <v>10362.4</v>
      </c>
      <c r="BU1200" s="71">
        <f>IFERROR(__xludf.DUMMYFUNCTION("""COMPUTED_VALUE"""),1657.9840000000004)</f>
        <v>1657.984</v>
      </c>
      <c r="BV1200" s="71">
        <f>IFERROR(__xludf.DUMMYFUNCTION("""COMPUTED_VALUE"""),12020.384000000002)</f>
        <v>12020.384</v>
      </c>
    </row>
    <row r="1201">
      <c r="A1201" s="53"/>
      <c r="B1201" s="53"/>
      <c r="C1201" s="53" t="s">
        <v>53</v>
      </c>
      <c r="D1201" s="53" t="s">
        <v>2930</v>
      </c>
      <c r="E1201" s="54" t="s">
        <v>38</v>
      </c>
      <c r="F1201" s="54" t="s">
        <v>42</v>
      </c>
      <c r="G1201" s="55" t="s">
        <v>2931</v>
      </c>
      <c r="H1201" s="55" t="s">
        <v>2931</v>
      </c>
      <c r="I1201" s="54">
        <f t="shared" si="24"/>
        <v>39</v>
      </c>
      <c r="J1201" s="56"/>
      <c r="K1201" s="57"/>
      <c r="L1201" s="87"/>
      <c r="M1201" s="59"/>
      <c r="N1201" s="60"/>
      <c r="O1201" s="61">
        <v>15300.0</v>
      </c>
      <c r="P1201" s="62">
        <v>16524.0</v>
      </c>
      <c r="Q1201" s="63">
        <v>16524.0</v>
      </c>
      <c r="R1201" s="64">
        <v>17351.0</v>
      </c>
      <c r="S1201" s="111">
        <v>18219.0</v>
      </c>
      <c r="T1201" s="65">
        <f t="shared" si="39"/>
        <v>2915.04</v>
      </c>
      <c r="U1201" s="65">
        <f t="shared" si="40"/>
        <v>21134.04</v>
      </c>
      <c r="V1201" s="66">
        <f t="shared" si="42"/>
        <v>0.0500259351</v>
      </c>
      <c r="W1201" s="67">
        <f t="shared" si="5"/>
        <v>17308.05</v>
      </c>
      <c r="X1201" s="67">
        <f t="shared" si="43"/>
        <v>2769.288</v>
      </c>
      <c r="Y1201" s="67">
        <f t="shared" si="44"/>
        <v>20077.338</v>
      </c>
      <c r="Z1201" s="67">
        <f t="shared" si="8"/>
        <v>16397.1</v>
      </c>
      <c r="AA1201" s="67">
        <f t="shared" si="45"/>
        <v>2623.536</v>
      </c>
      <c r="AB1201" s="67">
        <f t="shared" si="46"/>
        <v>19020.636</v>
      </c>
      <c r="AC1201" s="67">
        <f t="shared" si="11"/>
        <v>15486.15</v>
      </c>
      <c r="AD1201" s="67">
        <f t="shared" si="12"/>
        <v>2477.784</v>
      </c>
      <c r="AE1201" s="67">
        <f t="shared" si="13"/>
        <v>17963.934</v>
      </c>
      <c r="AF1201" s="67">
        <f t="shared" si="33"/>
        <v>15121.77</v>
      </c>
      <c r="AG1201" s="67">
        <f t="shared" si="15"/>
        <v>2419.4832</v>
      </c>
      <c r="AH1201" s="67">
        <f t="shared" si="16"/>
        <v>17541.2532</v>
      </c>
      <c r="AI1201" s="67">
        <f t="shared" si="17"/>
        <v>14575.2</v>
      </c>
      <c r="AJ1201" s="68">
        <f t="shared" si="37"/>
        <v>2332.032</v>
      </c>
      <c r="AK1201" s="68">
        <f t="shared" si="38"/>
        <v>16907.232</v>
      </c>
      <c r="AL1201" s="70">
        <f>IFERROR(__xludf.DUMMYFUNCTION("""COMPUTED_VALUE"""),1.0)</f>
        <v>1</v>
      </c>
      <c r="AM1201" s="70"/>
      <c r="AN1201" s="71" t="str">
        <f>IFERROR(__xludf.DUMMYFUNCTION("""COMPUTED_VALUE""")," P")</f>
        <v>P</v>
      </c>
      <c r="AO1201" s="71" t="str">
        <f>IFERROR(__xludf.DUMMYFUNCTION("""COMPUTED_VALUE""")," TV03")</f>
        <v>TV03</v>
      </c>
      <c r="AP1201" s="71" t="str">
        <f>IFERROR(__xludf.DUMMYFUNCTION("""COMPUTED_VALUE""")," PZA")</f>
        <v>PZA</v>
      </c>
      <c r="AQ1201" s="71" t="str">
        <f>IFERROR(__xludf.DUMMYFUNCTION("""COMPUTED_VALUE""")," REF")</f>
        <v>REF</v>
      </c>
      <c r="AR1201" s="71" t="str">
        <f>IFERROR(__xludf.DUMMYFUNCTION("""COMPUTED_VALUE""")," TOLVA DE AMASADORA EN ACERO INOXIDABLE DE 25 KG.")</f>
        <v>TOLVA DE AMASADORA EN ACERO INOXIDABLE DE 25 KG.</v>
      </c>
      <c r="AS1201" s="71" t="str">
        <f>IFERROR(__xludf.DUMMYFUNCTION("""COMPUTED_VALUE""")," TOLVA AMASADORA INOX 25KG")</f>
        <v>TOLVA AMASADORA INOX 25KG</v>
      </c>
      <c r="AT1201" s="71">
        <f>IFERROR(__xludf.DUMMYFUNCTION("""COMPUTED_VALUE"""),25.0)</f>
        <v>25</v>
      </c>
      <c r="AU1201" s="71"/>
      <c r="AV1201" s="71"/>
      <c r="AW1201" s="71"/>
      <c r="AX1201" s="71"/>
      <c r="AY1201" s="71">
        <f>IFERROR(__xludf.DUMMYFUNCTION("""COMPUTED_VALUE"""),7043.0)</f>
        <v>7043</v>
      </c>
      <c r="AZ1201" s="71">
        <f>IFERROR(__xludf.DUMMYFUNCTION("""COMPUTED_VALUE"""),7606.0)</f>
        <v>7606</v>
      </c>
      <c r="BA1201" s="71">
        <f>IFERROR(__xludf.DUMMYFUNCTION("""COMPUTED_VALUE"""),8214.480000000001)</f>
        <v>8214.48</v>
      </c>
      <c r="BB1201" s="71">
        <f>IFERROR(__xludf.DUMMYFUNCTION("""COMPUTED_VALUE"""),8214.480000000001)</f>
        <v>8214.48</v>
      </c>
      <c r="BC1201" s="71">
        <f>IFERROR(__xludf.DUMMYFUNCTION("""COMPUTED_VALUE"""),9144.0)</f>
        <v>9144</v>
      </c>
      <c r="BD1201" s="71">
        <f>IFERROR(__xludf.DUMMYFUNCTION("""COMPUTED_VALUE"""),9601.0)</f>
        <v>9601</v>
      </c>
      <c r="BE1201" s="71">
        <f>IFERROR(__xludf.DUMMYFUNCTION("""COMPUTED_VALUE"""),1536.16)</f>
        <v>1536.16</v>
      </c>
      <c r="BF1201" s="71">
        <f>IFERROR(__xludf.DUMMYFUNCTION("""COMPUTED_VALUE"""),11137.16)</f>
        <v>11137.16</v>
      </c>
      <c r="BG1201" s="71">
        <f>IFERROR(__xludf.DUMMYFUNCTION("""COMPUTED_VALUE"""),0.04997812773403325)</f>
        <v>0.04997812773</v>
      </c>
      <c r="BH1201" s="71">
        <f>IFERROR(__xludf.DUMMYFUNCTION("""COMPUTED_VALUE"""),9120.949999999999)</f>
        <v>9120.95</v>
      </c>
      <c r="BI1201" s="71">
        <f>IFERROR(__xludf.DUMMYFUNCTION("""COMPUTED_VALUE"""),1459.3519999999999)</f>
        <v>1459.352</v>
      </c>
      <c r="BJ1201" s="71">
        <f>IFERROR(__xludf.DUMMYFUNCTION("""COMPUTED_VALUE"""),10580.302)</f>
        <v>10580.302</v>
      </c>
      <c r="BK1201" s="71">
        <f>IFERROR(__xludf.DUMMYFUNCTION("""COMPUTED_VALUE"""),8640.9)</f>
        <v>8640.9</v>
      </c>
      <c r="BL1201" s="71">
        <f>IFERROR(__xludf.DUMMYFUNCTION("""COMPUTED_VALUE"""),1382.5439999999999)</f>
        <v>1382.544</v>
      </c>
      <c r="BM1201" s="71">
        <f>IFERROR(__xludf.DUMMYFUNCTION("""COMPUTED_VALUE"""),10023.444)</f>
        <v>10023.444</v>
      </c>
      <c r="BN1201" s="71">
        <f>IFERROR(__xludf.DUMMYFUNCTION("""COMPUTED_VALUE"""),8160.849999999999)</f>
        <v>8160.85</v>
      </c>
      <c r="BO1201" s="71">
        <f>IFERROR(__xludf.DUMMYFUNCTION("""COMPUTED_VALUE"""),1305.7359999999999)</f>
        <v>1305.736</v>
      </c>
      <c r="BP1201" s="71">
        <f>IFERROR(__xludf.DUMMYFUNCTION("""COMPUTED_VALUE"""),9466.586)</f>
        <v>9466.586</v>
      </c>
      <c r="BQ1201" s="71">
        <f>IFERROR(__xludf.DUMMYFUNCTION("""COMPUTED_VALUE"""),7968.83)</f>
        <v>7968.83</v>
      </c>
      <c r="BR1201" s="71">
        <f>IFERROR(__xludf.DUMMYFUNCTION("""COMPUTED_VALUE"""),1275.0128)</f>
        <v>1275.0128</v>
      </c>
      <c r="BS1201" s="71">
        <f>IFERROR(__xludf.DUMMYFUNCTION("""COMPUTED_VALUE"""),9243.8428)</f>
        <v>9243.8428</v>
      </c>
      <c r="BT1201" s="71">
        <f>IFERROR(__xludf.DUMMYFUNCTION("""COMPUTED_VALUE"""),7680.8)</f>
        <v>7680.8</v>
      </c>
      <c r="BU1201" s="71">
        <f>IFERROR(__xludf.DUMMYFUNCTION("""COMPUTED_VALUE"""),1228.928)</f>
        <v>1228.928</v>
      </c>
      <c r="BV1201" s="71">
        <f>IFERROR(__xludf.DUMMYFUNCTION("""COMPUTED_VALUE"""),8909.728000000001)</f>
        <v>8909.728</v>
      </c>
    </row>
    <row r="1202">
      <c r="A1202" s="53"/>
      <c r="B1202" s="53"/>
      <c r="C1202" s="53" t="s">
        <v>36</v>
      </c>
      <c r="D1202" s="85" t="s">
        <v>2932</v>
      </c>
      <c r="E1202" s="54" t="s">
        <v>38</v>
      </c>
      <c r="F1202" s="55" t="s">
        <v>39</v>
      </c>
      <c r="G1202" s="86" t="s">
        <v>2933</v>
      </c>
      <c r="H1202" s="55"/>
      <c r="I1202" s="54">
        <f t="shared" si="24"/>
        <v>0</v>
      </c>
      <c r="J1202" s="56"/>
      <c r="K1202" s="57"/>
      <c r="L1202" s="76"/>
      <c r="M1202" s="59"/>
      <c r="N1202" s="60"/>
      <c r="O1202" s="61">
        <v>18008.0</v>
      </c>
      <c r="P1202" s="62">
        <v>19448.640000000003</v>
      </c>
      <c r="Q1202" s="63">
        <v>19448.640000000003</v>
      </c>
      <c r="R1202" s="64">
        <v>20422.0</v>
      </c>
      <c r="S1202" s="107">
        <v>21443.0</v>
      </c>
      <c r="T1202" s="65">
        <f t="shared" si="39"/>
        <v>3430.88</v>
      </c>
      <c r="U1202" s="65">
        <f t="shared" si="40"/>
        <v>24873.88</v>
      </c>
      <c r="V1202" s="66">
        <f t="shared" si="42"/>
        <v>0.04999510332</v>
      </c>
      <c r="W1202" s="67">
        <f t="shared" si="5"/>
        <v>20370.85</v>
      </c>
      <c r="X1202" s="67">
        <f t="shared" si="43"/>
        <v>3259.336</v>
      </c>
      <c r="Y1202" s="67">
        <f t="shared" si="44"/>
        <v>23630.186</v>
      </c>
      <c r="Z1202" s="67">
        <f t="shared" si="8"/>
        <v>19298.7</v>
      </c>
      <c r="AA1202" s="67">
        <f t="shared" si="45"/>
        <v>3087.792</v>
      </c>
      <c r="AB1202" s="67">
        <f t="shared" si="46"/>
        <v>22386.492</v>
      </c>
      <c r="AC1202" s="67">
        <f t="shared" si="11"/>
        <v>18226.55</v>
      </c>
      <c r="AD1202" s="67">
        <f t="shared" si="12"/>
        <v>2916.248</v>
      </c>
      <c r="AE1202" s="67">
        <f t="shared" si="13"/>
        <v>21142.798</v>
      </c>
      <c r="AF1202" s="67">
        <f t="shared" si="33"/>
        <v>17797.69</v>
      </c>
      <c r="AG1202" s="67">
        <f t="shared" si="15"/>
        <v>2847.6304</v>
      </c>
      <c r="AH1202" s="67">
        <f t="shared" si="16"/>
        <v>20645.3204</v>
      </c>
      <c r="AI1202" s="67">
        <f t="shared" si="17"/>
        <v>17154.4</v>
      </c>
      <c r="AJ1202" s="68">
        <f t="shared" si="37"/>
        <v>2744.704</v>
      </c>
      <c r="AK1202" s="68">
        <f t="shared" si="38"/>
        <v>19899.104</v>
      </c>
      <c r="AL1202" s="70">
        <f>IFERROR(__xludf.DUMMYFUNCTION("""COMPUTED_VALUE"""),1.0)</f>
        <v>1</v>
      </c>
      <c r="AM1202" s="70"/>
      <c r="AN1202" s="71" t="str">
        <f>IFERROR(__xludf.DUMMYFUNCTION("""COMPUTED_VALUE""")," P")</f>
        <v>P</v>
      </c>
      <c r="AO1202" s="71" t="str">
        <f>IFERROR(__xludf.DUMMYFUNCTION("""COMPUTED_VALUE""")," TV04")</f>
        <v>TV04</v>
      </c>
      <c r="AP1202" s="71" t="str">
        <f>IFERROR(__xludf.DUMMYFUNCTION("""COMPUTED_VALUE""")," PZA")</f>
        <v>PZA</v>
      </c>
      <c r="AQ1202" s="71" t="str">
        <f>IFERROR(__xludf.DUMMYFUNCTION("""COMPUTED_VALUE""")," REF")</f>
        <v>REF</v>
      </c>
      <c r="AR1202" s="71" t="str">
        <f>IFERROR(__xludf.DUMMYFUNCTION("""COMPUTED_VALUE""")," TOLVA DE AMASADORA EN ACERO INOXIDABLE DE 50 KG.")</f>
        <v>TOLVA DE AMASADORA EN ACERO INOXIDABLE DE 50 KG.</v>
      </c>
      <c r="AS1202" s="71" t="str">
        <f>IFERROR(__xludf.DUMMYFUNCTION("""COMPUTED_VALUE""")," TOLVA AMASADORA INOX 50KG")</f>
        <v>TOLVA AMASADORA INOX 50KG</v>
      </c>
      <c r="AT1202" s="71">
        <f>IFERROR(__xludf.DUMMYFUNCTION("""COMPUTED_VALUE"""),25.0)</f>
        <v>25</v>
      </c>
      <c r="AU1202" s="71"/>
      <c r="AV1202" s="71"/>
      <c r="AW1202" s="71"/>
      <c r="AX1202" s="71"/>
      <c r="AY1202" s="71">
        <f>IFERROR(__xludf.DUMMYFUNCTION("""COMPUTED_VALUE"""),8192.0)</f>
        <v>8192</v>
      </c>
      <c r="AZ1202" s="71">
        <f>IFERROR(__xludf.DUMMYFUNCTION("""COMPUTED_VALUE"""),8847.0)</f>
        <v>8847</v>
      </c>
      <c r="BA1202" s="71">
        <f>IFERROR(__xludf.DUMMYFUNCTION("""COMPUTED_VALUE"""),9554.76)</f>
        <v>9554.76</v>
      </c>
      <c r="BB1202" s="71">
        <f>IFERROR(__xludf.DUMMYFUNCTION("""COMPUTED_VALUE"""),9554.76)</f>
        <v>9554.76</v>
      </c>
      <c r="BC1202" s="71">
        <f>IFERROR(__xludf.DUMMYFUNCTION("""COMPUTED_VALUE"""),10636.0)</f>
        <v>10636</v>
      </c>
      <c r="BD1202" s="71">
        <f>IFERROR(__xludf.DUMMYFUNCTION("""COMPUTED_VALUE"""),11168.0)</f>
        <v>11168</v>
      </c>
      <c r="BE1202" s="71">
        <f>IFERROR(__xludf.DUMMYFUNCTION("""COMPUTED_VALUE"""),1786.88)</f>
        <v>1786.88</v>
      </c>
      <c r="BF1202" s="71">
        <f>IFERROR(__xludf.DUMMYFUNCTION("""COMPUTED_VALUE"""),12954.880000000001)</f>
        <v>12954.88</v>
      </c>
      <c r="BG1202" s="71">
        <f>IFERROR(__xludf.DUMMYFUNCTION("""COMPUTED_VALUE"""),0.05001880406167732)</f>
        <v>0.05001880406</v>
      </c>
      <c r="BH1202" s="71">
        <f>IFERROR(__xludf.DUMMYFUNCTION("""COMPUTED_VALUE"""),10609.6)</f>
        <v>10609.6</v>
      </c>
      <c r="BI1202" s="71">
        <f>IFERROR(__xludf.DUMMYFUNCTION("""COMPUTED_VALUE"""),1697.536)</f>
        <v>1697.536</v>
      </c>
      <c r="BJ1202" s="71">
        <f>IFERROR(__xludf.DUMMYFUNCTION("""COMPUTED_VALUE"""),12307.136)</f>
        <v>12307.136</v>
      </c>
      <c r="BK1202" s="71">
        <f>IFERROR(__xludf.DUMMYFUNCTION("""COMPUTED_VALUE"""),10051.2)</f>
        <v>10051.2</v>
      </c>
      <c r="BL1202" s="71">
        <f>IFERROR(__xludf.DUMMYFUNCTION("""COMPUTED_VALUE"""),1608.1920000000002)</f>
        <v>1608.192</v>
      </c>
      <c r="BM1202" s="71">
        <f>IFERROR(__xludf.DUMMYFUNCTION("""COMPUTED_VALUE"""),11659.392000000002)</f>
        <v>11659.392</v>
      </c>
      <c r="BN1202" s="71">
        <f>IFERROR(__xludf.DUMMYFUNCTION("""COMPUTED_VALUE"""),9492.8)</f>
        <v>9492.8</v>
      </c>
      <c r="BO1202" s="71">
        <f>IFERROR(__xludf.DUMMYFUNCTION("""COMPUTED_VALUE"""),1518.848)</f>
        <v>1518.848</v>
      </c>
      <c r="BP1202" s="71">
        <f>IFERROR(__xludf.DUMMYFUNCTION("""COMPUTED_VALUE"""),11011.648)</f>
        <v>11011.648</v>
      </c>
      <c r="BQ1202" s="71">
        <f>IFERROR(__xludf.DUMMYFUNCTION("""COMPUTED_VALUE"""),9269.439999999999)</f>
        <v>9269.44</v>
      </c>
      <c r="BR1202" s="71">
        <f>IFERROR(__xludf.DUMMYFUNCTION("""COMPUTED_VALUE"""),1483.1103999999998)</f>
        <v>1483.1104</v>
      </c>
      <c r="BS1202" s="71">
        <f>IFERROR(__xludf.DUMMYFUNCTION("""COMPUTED_VALUE"""),10752.550399999998)</f>
        <v>10752.5504</v>
      </c>
      <c r="BT1202" s="71">
        <f>IFERROR(__xludf.DUMMYFUNCTION("""COMPUTED_VALUE"""),8934.4)</f>
        <v>8934.4</v>
      </c>
      <c r="BU1202" s="71">
        <f>IFERROR(__xludf.DUMMYFUNCTION("""COMPUTED_VALUE"""),1429.504)</f>
        <v>1429.504</v>
      </c>
      <c r="BV1202" s="71">
        <f>IFERROR(__xludf.DUMMYFUNCTION("""COMPUTED_VALUE"""),10363.903999999999)</f>
        <v>10363.904</v>
      </c>
    </row>
    <row r="1203">
      <c r="A1203" s="53"/>
      <c r="B1203" s="53"/>
      <c r="C1203" s="53" t="s">
        <v>36</v>
      </c>
      <c r="D1203" s="85" t="s">
        <v>2934</v>
      </c>
      <c r="E1203" s="54" t="s">
        <v>38</v>
      </c>
      <c r="F1203" s="55" t="s">
        <v>39</v>
      </c>
      <c r="G1203" s="86" t="s">
        <v>2935</v>
      </c>
      <c r="H1203" s="55"/>
      <c r="I1203" s="54">
        <f t="shared" si="24"/>
        <v>0</v>
      </c>
      <c r="J1203" s="56"/>
      <c r="K1203" s="57"/>
      <c r="L1203" s="76"/>
      <c r="M1203" s="59"/>
      <c r="N1203" s="60"/>
      <c r="O1203" s="61">
        <v>16049.0</v>
      </c>
      <c r="P1203" s="62">
        <v>17332.920000000002</v>
      </c>
      <c r="Q1203" s="63">
        <v>17332.920000000002</v>
      </c>
      <c r="R1203" s="64">
        <v>18200.0</v>
      </c>
      <c r="S1203" s="107">
        <v>19110.0</v>
      </c>
      <c r="T1203" s="65">
        <f t="shared" si="39"/>
        <v>3057.6</v>
      </c>
      <c r="U1203" s="65">
        <f t="shared" si="40"/>
        <v>22167.6</v>
      </c>
      <c r="V1203" s="66">
        <f t="shared" si="42"/>
        <v>0.05</v>
      </c>
      <c r="W1203" s="67">
        <f t="shared" si="5"/>
        <v>18154.5</v>
      </c>
      <c r="X1203" s="67">
        <f t="shared" si="43"/>
        <v>2904.72</v>
      </c>
      <c r="Y1203" s="67">
        <f t="shared" si="44"/>
        <v>21059.22</v>
      </c>
      <c r="Z1203" s="67">
        <f t="shared" si="8"/>
        <v>17199</v>
      </c>
      <c r="AA1203" s="67">
        <f t="shared" si="45"/>
        <v>2751.84</v>
      </c>
      <c r="AB1203" s="67">
        <f t="shared" si="46"/>
        <v>19950.84</v>
      </c>
      <c r="AC1203" s="67">
        <f t="shared" si="11"/>
        <v>16243.5</v>
      </c>
      <c r="AD1203" s="67">
        <f t="shared" si="12"/>
        <v>2598.96</v>
      </c>
      <c r="AE1203" s="67">
        <f t="shared" si="13"/>
        <v>18842.46</v>
      </c>
      <c r="AF1203" s="67">
        <f t="shared" si="33"/>
        <v>15861.3</v>
      </c>
      <c r="AG1203" s="67">
        <f t="shared" si="15"/>
        <v>2537.808</v>
      </c>
      <c r="AH1203" s="67">
        <f t="shared" si="16"/>
        <v>18399.108</v>
      </c>
      <c r="AI1203" s="67">
        <f t="shared" si="17"/>
        <v>15288</v>
      </c>
      <c r="AJ1203" s="68">
        <f t="shared" si="37"/>
        <v>2446.08</v>
      </c>
      <c r="AK1203" s="68">
        <f t="shared" si="38"/>
        <v>17734.08</v>
      </c>
      <c r="AL1203" s="70">
        <f>IFERROR(__xludf.DUMMYFUNCTION("""COMPUTED_VALUE"""),1.0)</f>
        <v>1</v>
      </c>
      <c r="AM1203" s="70"/>
      <c r="AN1203" s="71" t="str">
        <f>IFERROR(__xludf.DUMMYFUNCTION("""COMPUTED_VALUE""")," P")</f>
        <v>P</v>
      </c>
      <c r="AO1203" s="71" t="str">
        <f>IFERROR(__xludf.DUMMYFUNCTION("""COMPUTED_VALUE""")," TV09")</f>
        <v>TV09</v>
      </c>
      <c r="AP1203" s="71" t="str">
        <f>IFERROR(__xludf.DUMMYFUNCTION("""COMPUTED_VALUE""")," PZA")</f>
        <v>PZA</v>
      </c>
      <c r="AQ1203" s="71" t="str">
        <f>IFERROR(__xludf.DUMMYFUNCTION("""COMPUTED_VALUE""")," REF")</f>
        <v>REF</v>
      </c>
      <c r="AR1203" s="71" t="str">
        <f>IFERROR(__xludf.DUMMYFUNCTION("""COMPUTED_VALUE""")," TOLVA ROLADA SENC., TUBO DE RECIRCULACIÓN, INOX. T-304-L")</f>
        <v>TOLVA ROLADA SENC., TUBO DE RECIRCULACIÓN, INOX. T-304-L</v>
      </c>
      <c r="AS1203" s="71" t="str">
        <f>IFERROR(__xludf.DUMMYFUNCTION("""COMPUTED_VALUE""")," TOLVA ROLADA SENC TUBO RECIRC INOX304")</f>
        <v>TOLVA ROLADA SENC TUBO RECIRC INOX304</v>
      </c>
      <c r="AT1203" s="71">
        <f>IFERROR(__xludf.DUMMYFUNCTION("""COMPUTED_VALUE"""),37.0)</f>
        <v>37</v>
      </c>
      <c r="AU1203" s="71"/>
      <c r="AV1203" s="71"/>
      <c r="AW1203" s="71"/>
      <c r="AX1203" s="71"/>
      <c r="AY1203" s="71">
        <f>IFERROR(__xludf.DUMMYFUNCTION("""COMPUTED_VALUE"""),17514.0)</f>
        <v>17514</v>
      </c>
      <c r="AZ1203" s="71">
        <f>IFERROR(__xludf.DUMMYFUNCTION("""COMPUTED_VALUE"""),18915.0)</f>
        <v>18915</v>
      </c>
      <c r="BA1203" s="71">
        <f>IFERROR(__xludf.DUMMYFUNCTION("""COMPUTED_VALUE"""),20428.2)</f>
        <v>20428.2</v>
      </c>
      <c r="BB1203" s="71">
        <f>IFERROR(__xludf.DUMMYFUNCTION("""COMPUTED_VALUE"""),20428.2)</f>
        <v>20428.2</v>
      </c>
      <c r="BC1203" s="71">
        <f>IFERROR(__xludf.DUMMYFUNCTION("""COMPUTED_VALUE"""),22737.0)</f>
        <v>22737</v>
      </c>
      <c r="BD1203" s="71">
        <f>IFERROR(__xludf.DUMMYFUNCTION("""COMPUTED_VALUE"""),23874.0)</f>
        <v>23874</v>
      </c>
      <c r="BE1203" s="71">
        <f>IFERROR(__xludf.DUMMYFUNCTION("""COMPUTED_VALUE"""),3819.84)</f>
        <v>3819.84</v>
      </c>
      <c r="BF1203" s="71">
        <f>IFERROR(__xludf.DUMMYFUNCTION("""COMPUTED_VALUE"""),27693.84)</f>
        <v>27693.84</v>
      </c>
      <c r="BG1203" s="71">
        <f>IFERROR(__xludf.DUMMYFUNCTION("""COMPUTED_VALUE"""),0.0500065971764085)</f>
        <v>0.05000659718</v>
      </c>
      <c r="BH1203" s="71">
        <f>IFERROR(__xludf.DUMMYFUNCTION("""COMPUTED_VALUE"""),22680.3)</f>
        <v>22680.3</v>
      </c>
      <c r="BI1203" s="71">
        <f>IFERROR(__xludf.DUMMYFUNCTION("""COMPUTED_VALUE"""),3628.848)</f>
        <v>3628.848</v>
      </c>
      <c r="BJ1203" s="71">
        <f>IFERROR(__xludf.DUMMYFUNCTION("""COMPUTED_VALUE"""),26309.148)</f>
        <v>26309.148</v>
      </c>
      <c r="BK1203" s="71">
        <f>IFERROR(__xludf.DUMMYFUNCTION("""COMPUTED_VALUE"""),21486.600000000002)</f>
        <v>21486.6</v>
      </c>
      <c r="BL1203" s="71">
        <f>IFERROR(__xludf.DUMMYFUNCTION("""COMPUTED_VALUE"""),3437.856)</f>
        <v>3437.856</v>
      </c>
      <c r="BM1203" s="71">
        <f>IFERROR(__xludf.DUMMYFUNCTION("""COMPUTED_VALUE"""),24924.456000000002)</f>
        <v>24924.456</v>
      </c>
      <c r="BN1203" s="71">
        <f>IFERROR(__xludf.DUMMYFUNCTION("""COMPUTED_VALUE"""),20292.899999999998)</f>
        <v>20292.9</v>
      </c>
      <c r="BO1203" s="71">
        <f>IFERROR(__xludf.DUMMYFUNCTION("""COMPUTED_VALUE"""),3246.8639999999996)</f>
        <v>3246.864</v>
      </c>
      <c r="BP1203" s="71">
        <f>IFERROR(__xludf.DUMMYFUNCTION("""COMPUTED_VALUE"""),23539.763999999996)</f>
        <v>23539.764</v>
      </c>
      <c r="BQ1203" s="71">
        <f>IFERROR(__xludf.DUMMYFUNCTION("""COMPUTED_VALUE"""),19815.42)</f>
        <v>19815.42</v>
      </c>
      <c r="BR1203" s="71">
        <f>IFERROR(__xludf.DUMMYFUNCTION("""COMPUTED_VALUE"""),3170.4671999999996)</f>
        <v>3170.4672</v>
      </c>
      <c r="BS1203" s="71">
        <f>IFERROR(__xludf.DUMMYFUNCTION("""COMPUTED_VALUE"""),22985.887199999997)</f>
        <v>22985.8872</v>
      </c>
      <c r="BT1203" s="71">
        <f>IFERROR(__xludf.DUMMYFUNCTION("""COMPUTED_VALUE"""),19099.2)</f>
        <v>19099.2</v>
      </c>
      <c r="BU1203" s="71">
        <f>IFERROR(__xludf.DUMMYFUNCTION("""COMPUTED_VALUE"""),3055.8720000000003)</f>
        <v>3055.872</v>
      </c>
      <c r="BV1203" s="71">
        <f>IFERROR(__xludf.DUMMYFUNCTION("""COMPUTED_VALUE"""),22155.072)</f>
        <v>22155.072</v>
      </c>
    </row>
    <row r="1204">
      <c r="A1204" s="53"/>
      <c r="B1204" s="53"/>
      <c r="C1204" s="53" t="s">
        <v>36</v>
      </c>
      <c r="D1204" s="85" t="s">
        <v>2936</v>
      </c>
      <c r="E1204" s="54" t="s">
        <v>38</v>
      </c>
      <c r="F1204" s="55" t="s">
        <v>39</v>
      </c>
      <c r="G1204" s="86" t="s">
        <v>2937</v>
      </c>
      <c r="H1204" s="55"/>
      <c r="I1204" s="54">
        <f t="shared" si="24"/>
        <v>0</v>
      </c>
      <c r="J1204" s="56"/>
      <c r="K1204" s="57"/>
      <c r="L1204" s="76"/>
      <c r="M1204" s="59"/>
      <c r="N1204" s="60"/>
      <c r="O1204" s="61">
        <v>1088.64</v>
      </c>
      <c r="P1204" s="62">
        <v>1175.7312000000002</v>
      </c>
      <c r="Q1204" s="63">
        <v>1175.7312000000002</v>
      </c>
      <c r="R1204" s="64">
        <v>1235.0</v>
      </c>
      <c r="S1204" s="107">
        <v>1297.0</v>
      </c>
      <c r="T1204" s="65">
        <f t="shared" si="39"/>
        <v>207.52</v>
      </c>
      <c r="U1204" s="65">
        <f t="shared" si="40"/>
        <v>1504.52</v>
      </c>
      <c r="V1204" s="66">
        <f t="shared" si="42"/>
        <v>0.05020242915</v>
      </c>
      <c r="W1204" s="67">
        <f t="shared" si="5"/>
        <v>1232.15</v>
      </c>
      <c r="X1204" s="67">
        <f t="shared" si="43"/>
        <v>197.144</v>
      </c>
      <c r="Y1204" s="67">
        <f t="shared" si="44"/>
        <v>1429.294</v>
      </c>
      <c r="Z1204" s="67">
        <f t="shared" si="8"/>
        <v>1167.3</v>
      </c>
      <c r="AA1204" s="67">
        <f t="shared" si="45"/>
        <v>186.768</v>
      </c>
      <c r="AB1204" s="67">
        <f t="shared" si="46"/>
        <v>1354.068</v>
      </c>
      <c r="AC1204" s="67">
        <f t="shared" si="11"/>
        <v>1102.45</v>
      </c>
      <c r="AD1204" s="67">
        <f t="shared" si="12"/>
        <v>176.392</v>
      </c>
      <c r="AE1204" s="67">
        <f t="shared" si="13"/>
        <v>1278.842</v>
      </c>
      <c r="AF1204" s="67">
        <f t="shared" si="33"/>
        <v>1076.51</v>
      </c>
      <c r="AG1204" s="67">
        <f t="shared" si="15"/>
        <v>172.2416</v>
      </c>
      <c r="AH1204" s="67">
        <f t="shared" si="16"/>
        <v>1248.7516</v>
      </c>
      <c r="AI1204" s="67">
        <f t="shared" si="17"/>
        <v>1037.6</v>
      </c>
      <c r="AJ1204" s="68">
        <f t="shared" si="37"/>
        <v>166.016</v>
      </c>
      <c r="AK1204" s="68">
        <f t="shared" si="38"/>
        <v>1203.616</v>
      </c>
      <c r="AL1204" s="70">
        <f>IFERROR(__xludf.DUMMYFUNCTION("""COMPUTED_VALUE"""),1.0)</f>
        <v>1</v>
      </c>
      <c r="AM1204" s="70"/>
      <c r="AN1204" s="71" t="str">
        <f>IFERROR(__xludf.DUMMYFUNCTION("""COMPUTED_VALUE""")," P")</f>
        <v>P</v>
      </c>
      <c r="AO1204" s="71" t="str">
        <f>IFERROR(__xludf.DUMMYFUNCTION("""COMPUTED_VALUE""")," TV08")</f>
        <v>TV08</v>
      </c>
      <c r="AP1204" s="71" t="str">
        <f>IFERROR(__xludf.DUMMYFUNCTION("""COMPUTED_VALUE""")," PZA")</f>
        <v>PZA</v>
      </c>
      <c r="AQ1204" s="71" t="str">
        <f>IFERROR(__xludf.DUMMYFUNCTION("""COMPUTED_VALUE""")," REF")</f>
        <v>REF</v>
      </c>
      <c r="AR1204" s="71" t="str">
        <f>IFERROR(__xludf.DUMMYFUNCTION("""COMPUTED_VALUE""")," TOLVA SUPERIOR PARA MOLINO TORTIMEX #1 LAMINA 304 CALIBRE 18")</f>
        <v>TOLVA SUPERIOR PARA MOLINO TORTIMEX #1 LAMINA 304 CALIBRE 18</v>
      </c>
      <c r="AS1204" s="71" t="str">
        <f>IFERROR(__xludf.DUMMYFUNCTION("""COMPUTED_VALUE""")," TOLVA SUP P/MOL TORTIMEX1 INOX304 CAL18")</f>
        <v>TOLVA SUP P/MOL TORTIMEX1 INOX304 CAL18</v>
      </c>
      <c r="AT1204" s="71">
        <f>IFERROR(__xludf.DUMMYFUNCTION("""COMPUTED_VALUE"""),39.0)</f>
        <v>39</v>
      </c>
      <c r="AU1204" s="71"/>
      <c r="AV1204" s="71"/>
      <c r="AW1204" s="71"/>
      <c r="AX1204" s="71"/>
      <c r="AY1204" s="71">
        <f>IFERROR(__xludf.DUMMYFUNCTION("""COMPUTED_VALUE"""),6701.0)</f>
        <v>6701</v>
      </c>
      <c r="AZ1204" s="71">
        <f>IFERROR(__xludf.DUMMYFUNCTION("""COMPUTED_VALUE"""),7237.0)</f>
        <v>7237</v>
      </c>
      <c r="BA1204" s="71">
        <f>IFERROR(__xludf.DUMMYFUNCTION("""COMPUTED_VALUE"""),7815.960000000001)</f>
        <v>7815.96</v>
      </c>
      <c r="BB1204" s="71">
        <f>IFERROR(__xludf.DUMMYFUNCTION("""COMPUTED_VALUE"""),7815.960000000001)</f>
        <v>7815.96</v>
      </c>
      <c r="BC1204" s="71">
        <f>IFERROR(__xludf.DUMMYFUNCTION("""COMPUTED_VALUE"""),8700.0)</f>
        <v>8700</v>
      </c>
      <c r="BD1204" s="71">
        <f>IFERROR(__xludf.DUMMYFUNCTION("""COMPUTED_VALUE"""),9135.0)</f>
        <v>9135</v>
      </c>
      <c r="BE1204" s="71">
        <f>IFERROR(__xludf.DUMMYFUNCTION("""COMPUTED_VALUE"""),1461.6000000000001)</f>
        <v>1461.6</v>
      </c>
      <c r="BF1204" s="71">
        <f>IFERROR(__xludf.DUMMYFUNCTION("""COMPUTED_VALUE"""),10596.6)</f>
        <v>10596.6</v>
      </c>
      <c r="BG1204" s="71">
        <f>IFERROR(__xludf.DUMMYFUNCTION("""COMPUTED_VALUE"""),0.05)</f>
        <v>0.05</v>
      </c>
      <c r="BH1204" s="71">
        <f>IFERROR(__xludf.DUMMYFUNCTION("""COMPUTED_VALUE"""),8678.25)</f>
        <v>8678.25</v>
      </c>
      <c r="BI1204" s="71">
        <f>IFERROR(__xludf.DUMMYFUNCTION("""COMPUTED_VALUE"""),1388.52)</f>
        <v>1388.52</v>
      </c>
      <c r="BJ1204" s="71">
        <f>IFERROR(__xludf.DUMMYFUNCTION("""COMPUTED_VALUE"""),10066.77)</f>
        <v>10066.77</v>
      </c>
      <c r="BK1204" s="71">
        <f>IFERROR(__xludf.DUMMYFUNCTION("""COMPUTED_VALUE"""),8221.5)</f>
        <v>8221.5</v>
      </c>
      <c r="BL1204" s="71">
        <f>IFERROR(__xludf.DUMMYFUNCTION("""COMPUTED_VALUE"""),1315.44)</f>
        <v>1315.44</v>
      </c>
      <c r="BM1204" s="71">
        <f>IFERROR(__xludf.DUMMYFUNCTION("""COMPUTED_VALUE"""),9536.94)</f>
        <v>9536.94</v>
      </c>
      <c r="BN1204" s="71">
        <f>IFERROR(__xludf.DUMMYFUNCTION("""COMPUTED_VALUE"""),7764.75)</f>
        <v>7764.75</v>
      </c>
      <c r="BO1204" s="71">
        <f>IFERROR(__xludf.DUMMYFUNCTION("""COMPUTED_VALUE"""),1242.3600000000001)</f>
        <v>1242.36</v>
      </c>
      <c r="BP1204" s="71">
        <f>IFERROR(__xludf.DUMMYFUNCTION("""COMPUTED_VALUE"""),9007.11)</f>
        <v>9007.11</v>
      </c>
      <c r="BQ1204" s="71">
        <f>IFERROR(__xludf.DUMMYFUNCTION("""COMPUTED_VALUE"""),7582.049999999999)</f>
        <v>7582.05</v>
      </c>
      <c r="BR1204" s="71">
        <f>IFERROR(__xludf.DUMMYFUNCTION("""COMPUTED_VALUE"""),1213.128)</f>
        <v>1213.128</v>
      </c>
      <c r="BS1204" s="71">
        <f>IFERROR(__xludf.DUMMYFUNCTION("""COMPUTED_VALUE"""),8795.178)</f>
        <v>8795.178</v>
      </c>
      <c r="BT1204" s="71">
        <f>IFERROR(__xludf.DUMMYFUNCTION("""COMPUTED_VALUE"""),7308.0)</f>
        <v>7308</v>
      </c>
      <c r="BU1204" s="71">
        <f>IFERROR(__xludf.DUMMYFUNCTION("""COMPUTED_VALUE"""),1169.28)</f>
        <v>1169.28</v>
      </c>
      <c r="BV1204" s="71">
        <f>IFERROR(__xludf.DUMMYFUNCTION("""COMPUTED_VALUE"""),8477.28)</f>
        <v>8477.28</v>
      </c>
    </row>
    <row r="1205">
      <c r="A1205" s="53"/>
      <c r="B1205" s="53"/>
      <c r="C1205" s="53" t="s">
        <v>36</v>
      </c>
      <c r="D1205" s="85" t="s">
        <v>2938</v>
      </c>
      <c r="E1205" s="54" t="s">
        <v>38</v>
      </c>
      <c r="F1205" s="55" t="s">
        <v>39</v>
      </c>
      <c r="G1205" s="86" t="s">
        <v>2939</v>
      </c>
      <c r="H1205" s="55"/>
      <c r="I1205" s="54">
        <f t="shared" si="24"/>
        <v>0</v>
      </c>
      <c r="J1205" s="56"/>
      <c r="K1205" s="57"/>
      <c r="L1205" s="76"/>
      <c r="M1205" s="59"/>
      <c r="N1205" s="60"/>
      <c r="O1205" s="61">
        <v>1086.72</v>
      </c>
      <c r="P1205" s="62">
        <v>1173.6576</v>
      </c>
      <c r="Q1205" s="63">
        <v>1173.6576</v>
      </c>
      <c r="R1205" s="64">
        <v>1233.0</v>
      </c>
      <c r="S1205" s="107">
        <v>1295.0</v>
      </c>
      <c r="T1205" s="65">
        <f t="shared" si="39"/>
        <v>207.2</v>
      </c>
      <c r="U1205" s="65">
        <f t="shared" si="40"/>
        <v>1502.2</v>
      </c>
      <c r="V1205" s="66">
        <f t="shared" si="42"/>
        <v>0.0502838605</v>
      </c>
      <c r="W1205" s="67">
        <f t="shared" si="5"/>
        <v>1230.25</v>
      </c>
      <c r="X1205" s="67">
        <f t="shared" si="43"/>
        <v>196.84</v>
      </c>
      <c r="Y1205" s="67">
        <f t="shared" si="44"/>
        <v>1427.09</v>
      </c>
      <c r="Z1205" s="67">
        <f t="shared" si="8"/>
        <v>1165.5</v>
      </c>
      <c r="AA1205" s="67">
        <f t="shared" si="45"/>
        <v>186.48</v>
      </c>
      <c r="AB1205" s="67">
        <f t="shared" si="46"/>
        <v>1351.98</v>
      </c>
      <c r="AC1205" s="67">
        <f t="shared" si="11"/>
        <v>1100.75</v>
      </c>
      <c r="AD1205" s="67">
        <f t="shared" si="12"/>
        <v>176.12</v>
      </c>
      <c r="AE1205" s="67">
        <f t="shared" si="13"/>
        <v>1276.87</v>
      </c>
      <c r="AF1205" s="67">
        <f t="shared" si="33"/>
        <v>1074.85</v>
      </c>
      <c r="AG1205" s="67">
        <f t="shared" si="15"/>
        <v>171.976</v>
      </c>
      <c r="AH1205" s="67">
        <f t="shared" si="16"/>
        <v>1246.826</v>
      </c>
      <c r="AI1205" s="67">
        <f t="shared" si="17"/>
        <v>1036</v>
      </c>
      <c r="AJ1205" s="68">
        <f t="shared" si="37"/>
        <v>165.76</v>
      </c>
      <c r="AK1205" s="68">
        <f t="shared" si="38"/>
        <v>1201.76</v>
      </c>
      <c r="AL1205" s="70">
        <f>IFERROR(__xludf.DUMMYFUNCTION("""COMPUTED_VALUE"""),1.0)</f>
        <v>1</v>
      </c>
      <c r="AM1205" s="70"/>
      <c r="AN1205" s="71" t="str">
        <f>IFERROR(__xludf.DUMMYFUNCTION("""COMPUTED_VALUE""")," C")</f>
        <v>C</v>
      </c>
      <c r="AO1205" s="71" t="str">
        <f>IFERROR(__xludf.DUMMYFUNCTION("""COMPUTED_VALUE""")," TO97")</f>
        <v>TO97</v>
      </c>
      <c r="AP1205" s="71" t="str">
        <f>IFERROR(__xludf.DUMMYFUNCTION("""COMPUTED_VALUE""")," PZA")</f>
        <v>PZA</v>
      </c>
      <c r="AQ1205" s="71" t="str">
        <f>IFERROR(__xludf.DUMMYFUNCTION("""COMPUTED_VALUE""")," REF")</f>
        <v>REF</v>
      </c>
      <c r="AR1205" s="71" t="str">
        <f>IFERROR(__xludf.DUMMYFUNCTION("""COMPUTED_VALUE""")," TORNILLO CABEZA DE ESTUFA 5/16 X 1 EN ACERO INOX. T-304 GRADO ALIMENTICIO")</f>
        <v>TORNILLO CABEZA DE ESTUFA 5/16 X 1 EN ACERO INOX. T-304 GRADO ALIMENTICIO</v>
      </c>
      <c r="AS1205" s="71" t="str">
        <f>IFERROR(__xludf.DUMMYFUNCTION("""COMPUTED_VALUE""")," TORNILLO CABEZA ESTUFA 5/16 X 1 INOX")</f>
        <v>TORNILLO CABEZA ESTUFA 5/16 X 1 INOX</v>
      </c>
      <c r="AT1205" s="71">
        <f>IFERROR(__xludf.DUMMYFUNCTION("""COMPUTED_VALUE"""),36.0)</f>
        <v>36</v>
      </c>
      <c r="AU1205" s="71"/>
      <c r="AV1205" s="71"/>
      <c r="AW1205" s="71"/>
      <c r="AX1205" s="71"/>
      <c r="AY1205" s="71">
        <f>IFERROR(__xludf.DUMMYFUNCTION("""COMPUTED_VALUE"""),23.0)</f>
        <v>23</v>
      </c>
      <c r="AZ1205" s="71">
        <f>IFERROR(__xludf.DUMMYFUNCTION("""COMPUTED_VALUE"""),23.0)</f>
        <v>23</v>
      </c>
      <c r="BA1205" s="71">
        <f>IFERROR(__xludf.DUMMYFUNCTION("""COMPUTED_VALUE"""),24.840000000000003)</f>
        <v>24.84</v>
      </c>
      <c r="BB1205" s="71">
        <f>IFERROR(__xludf.DUMMYFUNCTION("""COMPUTED_VALUE"""),24.840000000000003)</f>
        <v>24.84</v>
      </c>
      <c r="BC1205" s="71">
        <f>IFERROR(__xludf.DUMMYFUNCTION("""COMPUTED_VALUE"""),29.0)</f>
        <v>29</v>
      </c>
      <c r="BD1205" s="71">
        <f>IFERROR(__xludf.DUMMYFUNCTION("""COMPUTED_VALUE"""),30.0)</f>
        <v>30</v>
      </c>
      <c r="BE1205" s="71">
        <f>IFERROR(__xludf.DUMMYFUNCTION("""COMPUTED_VALUE"""),4.8)</f>
        <v>4.8</v>
      </c>
      <c r="BF1205" s="71">
        <f>IFERROR(__xludf.DUMMYFUNCTION("""COMPUTED_VALUE"""),34.8)</f>
        <v>34.8</v>
      </c>
      <c r="BG1205" s="71">
        <f>IFERROR(__xludf.DUMMYFUNCTION("""COMPUTED_VALUE"""),0.034482758620689655)</f>
        <v>0.03448275862</v>
      </c>
      <c r="BH1205" s="71">
        <f>IFERROR(__xludf.DUMMYFUNCTION("""COMPUTED_VALUE"""),28.5)</f>
        <v>28.5</v>
      </c>
      <c r="BI1205" s="71">
        <f>IFERROR(__xludf.DUMMYFUNCTION("""COMPUTED_VALUE"""),4.5600000000000005)</f>
        <v>4.56</v>
      </c>
      <c r="BJ1205" s="71">
        <f>IFERROR(__xludf.DUMMYFUNCTION("""COMPUTED_VALUE"""),33.06)</f>
        <v>33.06</v>
      </c>
      <c r="BK1205" s="71">
        <f>IFERROR(__xludf.DUMMYFUNCTION("""COMPUTED_VALUE"""),27.0)</f>
        <v>27</v>
      </c>
      <c r="BL1205" s="71">
        <f>IFERROR(__xludf.DUMMYFUNCTION("""COMPUTED_VALUE"""),4.32)</f>
        <v>4.32</v>
      </c>
      <c r="BM1205" s="71">
        <f>IFERROR(__xludf.DUMMYFUNCTION("""COMPUTED_VALUE"""),31.32)</f>
        <v>31.32</v>
      </c>
      <c r="BN1205" s="71">
        <f>IFERROR(__xludf.DUMMYFUNCTION("""COMPUTED_VALUE"""),25.5)</f>
        <v>25.5</v>
      </c>
      <c r="BO1205" s="71">
        <f>IFERROR(__xludf.DUMMYFUNCTION("""COMPUTED_VALUE"""),4.08)</f>
        <v>4.08</v>
      </c>
      <c r="BP1205" s="71">
        <f>IFERROR(__xludf.DUMMYFUNCTION("""COMPUTED_VALUE"""),29.58)</f>
        <v>29.58</v>
      </c>
      <c r="BQ1205" s="71">
        <f>IFERROR(__xludf.DUMMYFUNCTION("""COMPUTED_VALUE"""),24.9)</f>
        <v>24.9</v>
      </c>
      <c r="BR1205" s="71">
        <f>IFERROR(__xludf.DUMMYFUNCTION("""COMPUTED_VALUE"""),3.984)</f>
        <v>3.984</v>
      </c>
      <c r="BS1205" s="71">
        <f>IFERROR(__xludf.DUMMYFUNCTION("""COMPUTED_VALUE"""),28.884)</f>
        <v>28.884</v>
      </c>
      <c r="BT1205" s="71">
        <f>IFERROR(__xludf.DUMMYFUNCTION("""COMPUTED_VALUE"""),24.0)</f>
        <v>24</v>
      </c>
      <c r="BU1205" s="71">
        <f>IFERROR(__xludf.DUMMYFUNCTION("""COMPUTED_VALUE"""),3.84)</f>
        <v>3.84</v>
      </c>
      <c r="BV1205" s="71">
        <f>IFERROR(__xludf.DUMMYFUNCTION("""COMPUTED_VALUE"""),27.84)</f>
        <v>27.84</v>
      </c>
    </row>
    <row r="1206">
      <c r="A1206" s="53"/>
      <c r="B1206" s="53"/>
      <c r="C1206" s="120" t="s">
        <v>12</v>
      </c>
      <c r="D1206" s="128" t="s">
        <v>2940</v>
      </c>
      <c r="E1206" s="54" t="s">
        <v>38</v>
      </c>
      <c r="F1206" s="54" t="s">
        <v>42</v>
      </c>
      <c r="G1206" s="130" t="s">
        <v>2941</v>
      </c>
      <c r="H1206" s="54" t="s">
        <v>2941</v>
      </c>
      <c r="I1206" s="54">
        <f t="shared" si="24"/>
        <v>32</v>
      </c>
      <c r="J1206" s="56"/>
      <c r="K1206" s="57"/>
      <c r="L1206" s="76"/>
      <c r="M1206" s="59"/>
      <c r="N1206" s="60">
        <v>277.2</v>
      </c>
      <c r="O1206" s="129">
        <v>299.0</v>
      </c>
      <c r="P1206" s="62">
        <v>322.92</v>
      </c>
      <c r="Q1206" s="63">
        <v>322.92</v>
      </c>
      <c r="R1206" s="64">
        <v>340.0</v>
      </c>
      <c r="S1206" s="111">
        <v>357.0</v>
      </c>
      <c r="T1206" s="65">
        <f t="shared" si="39"/>
        <v>57.12</v>
      </c>
      <c r="U1206" s="65">
        <f t="shared" si="40"/>
        <v>414.12</v>
      </c>
      <c r="V1206" s="66">
        <f t="shared" si="42"/>
        <v>0.05</v>
      </c>
      <c r="W1206" s="67">
        <f t="shared" si="5"/>
        <v>339.15</v>
      </c>
      <c r="X1206" s="67">
        <f t="shared" si="43"/>
        <v>54.264</v>
      </c>
      <c r="Y1206" s="67">
        <f t="shared" si="44"/>
        <v>393.414</v>
      </c>
      <c r="Z1206" s="67">
        <f t="shared" si="8"/>
        <v>321.3</v>
      </c>
      <c r="AA1206" s="67">
        <f t="shared" si="45"/>
        <v>51.408</v>
      </c>
      <c r="AB1206" s="67">
        <f t="shared" si="46"/>
        <v>372.708</v>
      </c>
      <c r="AC1206" s="67">
        <f t="shared" si="11"/>
        <v>303.45</v>
      </c>
      <c r="AD1206" s="67">
        <f t="shared" si="12"/>
        <v>48.552</v>
      </c>
      <c r="AE1206" s="67">
        <f t="shared" si="13"/>
        <v>352.002</v>
      </c>
      <c r="AF1206" s="67">
        <f t="shared" si="33"/>
        <v>296.31</v>
      </c>
      <c r="AG1206" s="67">
        <f t="shared" si="15"/>
        <v>47.4096</v>
      </c>
      <c r="AH1206" s="67">
        <f t="shared" si="16"/>
        <v>343.7196</v>
      </c>
      <c r="AI1206" s="67">
        <f t="shared" si="17"/>
        <v>285.6</v>
      </c>
      <c r="AJ1206" s="68">
        <f t="shared" si="37"/>
        <v>45.696</v>
      </c>
      <c r="AK1206" s="68">
        <f t="shared" si="38"/>
        <v>331.296</v>
      </c>
      <c r="AL1206" s="70">
        <f>IFERROR(__xludf.DUMMYFUNCTION("""COMPUTED_VALUE"""),1.0)</f>
        <v>1</v>
      </c>
      <c r="AM1206" s="70"/>
      <c r="AN1206" s="71" t="str">
        <f>IFERROR(__xludf.DUMMYFUNCTION("""COMPUTED_VALUE""")," C")</f>
        <v>C</v>
      </c>
      <c r="AO1206" s="71" t="str">
        <f>IFERROR(__xludf.DUMMYFUNCTION("""COMPUTED_VALUE""")," TO01")</f>
        <v>TO01</v>
      </c>
      <c r="AP1206" s="71" t="str">
        <f>IFERROR(__xludf.DUMMYFUNCTION("""COMPUTED_VALUE""")," PZA")</f>
        <v>PZA</v>
      </c>
      <c r="AQ1206" s="71" t="str">
        <f>IFERROR(__xludf.DUMMYFUNCTION("""COMPUTED_VALUE""")," REF")</f>
        <v>REF</v>
      </c>
      <c r="AR1206" s="71" t="str">
        <f>IFERROR(__xludf.DUMMYFUNCTION("""COMPUTED_VALUE""")," TORNILLO CABEZA DE GOTA 1/4 X 1")</f>
        <v>TORNILLO CABEZA DE GOTA 1/4 X 1</v>
      </c>
      <c r="AS1206" s="71" t="str">
        <f>IFERROR(__xludf.DUMMYFUNCTION("""COMPUTED_VALUE""")," TORNILLO CABEZA DE GOTA 1/4 X 1")</f>
        <v>TORNILLO CABEZA DE GOTA 1/4 X 1</v>
      </c>
      <c r="AT1206" s="71">
        <f>IFERROR(__xludf.DUMMYFUNCTION("""COMPUTED_VALUE"""),31.0)</f>
        <v>31</v>
      </c>
      <c r="AU1206" s="71"/>
      <c r="AV1206" s="71"/>
      <c r="AW1206" s="71"/>
      <c r="AX1206" s="71"/>
      <c r="AY1206" s="71">
        <f>IFERROR(__xludf.DUMMYFUNCTION("""COMPUTED_VALUE"""),3.0)</f>
        <v>3</v>
      </c>
      <c r="AZ1206" s="71">
        <f>IFERROR(__xludf.DUMMYFUNCTION("""COMPUTED_VALUE"""),2.0)</f>
        <v>2</v>
      </c>
      <c r="BA1206" s="71">
        <f>IFERROR(__xludf.DUMMYFUNCTION("""COMPUTED_VALUE"""),2.16)</f>
        <v>2.16</v>
      </c>
      <c r="BB1206" s="71">
        <f>IFERROR(__xludf.DUMMYFUNCTION("""COMPUTED_VALUE"""),2.16)</f>
        <v>2.16</v>
      </c>
      <c r="BC1206" s="71">
        <f>IFERROR(__xludf.DUMMYFUNCTION("""COMPUTED_VALUE"""),3.0)</f>
        <v>3</v>
      </c>
      <c r="BD1206" s="71">
        <f>IFERROR(__xludf.DUMMYFUNCTION("""COMPUTED_VALUE"""),3.1500000000000004)</f>
        <v>3.15</v>
      </c>
      <c r="BE1206" s="71">
        <f>IFERROR(__xludf.DUMMYFUNCTION("""COMPUTED_VALUE"""),0.5040000000000001)</f>
        <v>0.504</v>
      </c>
      <c r="BF1206" s="71">
        <f>IFERROR(__xludf.DUMMYFUNCTION("""COMPUTED_VALUE"""),3.6540000000000004)</f>
        <v>3.654</v>
      </c>
      <c r="BG1206" s="71">
        <f>IFERROR(__xludf.DUMMYFUNCTION("""COMPUTED_VALUE"""),0.05000000000000012)</f>
        <v>0.05</v>
      </c>
      <c r="BH1206" s="71">
        <f>IFERROR(__xludf.DUMMYFUNCTION("""COMPUTED_VALUE"""),2.9925)</f>
        <v>2.9925</v>
      </c>
      <c r="BI1206" s="71">
        <f>IFERROR(__xludf.DUMMYFUNCTION("""COMPUTED_VALUE"""),0.47880000000000006)</f>
        <v>0.4788</v>
      </c>
      <c r="BJ1206" s="71">
        <f>IFERROR(__xludf.DUMMYFUNCTION("""COMPUTED_VALUE"""),3.4713000000000003)</f>
        <v>3.4713</v>
      </c>
      <c r="BK1206" s="71">
        <f>IFERROR(__xludf.DUMMYFUNCTION("""COMPUTED_VALUE"""),2.8350000000000004)</f>
        <v>2.835</v>
      </c>
      <c r="BL1206" s="71">
        <f>IFERROR(__xludf.DUMMYFUNCTION("""COMPUTED_VALUE"""),0.45360000000000006)</f>
        <v>0.4536</v>
      </c>
      <c r="BM1206" s="71">
        <f>IFERROR(__xludf.DUMMYFUNCTION("""COMPUTED_VALUE"""),3.2886000000000006)</f>
        <v>3.2886</v>
      </c>
      <c r="BN1206" s="71">
        <f>IFERROR(__xludf.DUMMYFUNCTION("""COMPUTED_VALUE"""),2.6775)</f>
        <v>2.6775</v>
      </c>
      <c r="BO1206" s="71">
        <f>IFERROR(__xludf.DUMMYFUNCTION("""COMPUTED_VALUE"""),0.42840000000000006)</f>
        <v>0.4284</v>
      </c>
      <c r="BP1206" s="71">
        <f>IFERROR(__xludf.DUMMYFUNCTION("""COMPUTED_VALUE"""),3.1059)</f>
        <v>3.1059</v>
      </c>
      <c r="BQ1206" s="71">
        <f>IFERROR(__xludf.DUMMYFUNCTION("""COMPUTED_VALUE"""),2.6145)</f>
        <v>2.6145</v>
      </c>
      <c r="BR1206" s="71">
        <f>IFERROR(__xludf.DUMMYFUNCTION("""COMPUTED_VALUE"""),0.41832)</f>
        <v>0.41832</v>
      </c>
      <c r="BS1206" s="71">
        <f>IFERROR(__xludf.DUMMYFUNCTION("""COMPUTED_VALUE"""),3.03282)</f>
        <v>3.03282</v>
      </c>
      <c r="BT1206" s="71">
        <f>IFERROR(__xludf.DUMMYFUNCTION("""COMPUTED_VALUE"""),2.5200000000000005)</f>
        <v>2.52</v>
      </c>
      <c r="BU1206" s="71">
        <f>IFERROR(__xludf.DUMMYFUNCTION("""COMPUTED_VALUE"""),0.40320000000000006)</f>
        <v>0.4032</v>
      </c>
      <c r="BV1206" s="71">
        <f>IFERROR(__xludf.DUMMYFUNCTION("""COMPUTED_VALUE"""),2.9232000000000005)</f>
        <v>2.9232</v>
      </c>
    </row>
    <row r="1207">
      <c r="A1207" s="53"/>
      <c r="B1207" s="53"/>
      <c r="C1207" s="53" t="s">
        <v>36</v>
      </c>
      <c r="D1207" s="85" t="s">
        <v>2942</v>
      </c>
      <c r="E1207" s="54" t="s">
        <v>38</v>
      </c>
      <c r="F1207" s="55" t="s">
        <v>39</v>
      </c>
      <c r="G1207" s="86" t="s">
        <v>2943</v>
      </c>
      <c r="H1207" s="55"/>
      <c r="I1207" s="54">
        <f t="shared" si="24"/>
        <v>0</v>
      </c>
      <c r="J1207" s="56"/>
      <c r="K1207" s="57"/>
      <c r="L1207" s="76"/>
      <c r="M1207" s="59"/>
      <c r="N1207" s="60"/>
      <c r="O1207" s="61">
        <v>10090.8</v>
      </c>
      <c r="P1207" s="62">
        <v>10898.064</v>
      </c>
      <c r="Q1207" s="63">
        <v>10898.064</v>
      </c>
      <c r="R1207" s="64">
        <v>11443.0</v>
      </c>
      <c r="S1207" s="107">
        <v>12015.0</v>
      </c>
      <c r="T1207" s="65">
        <f t="shared" si="39"/>
        <v>1922.4</v>
      </c>
      <c r="U1207" s="65">
        <f t="shared" si="40"/>
        <v>13937.4</v>
      </c>
      <c r="V1207" s="66">
        <f t="shared" si="42"/>
        <v>0.04998689155</v>
      </c>
      <c r="W1207" s="67">
        <f t="shared" si="5"/>
        <v>11414.25</v>
      </c>
      <c r="X1207" s="67">
        <f t="shared" si="43"/>
        <v>1826.28</v>
      </c>
      <c r="Y1207" s="67">
        <f t="shared" si="44"/>
        <v>13240.53</v>
      </c>
      <c r="Z1207" s="67">
        <f t="shared" si="8"/>
        <v>10813.5</v>
      </c>
      <c r="AA1207" s="67">
        <f t="shared" si="45"/>
        <v>1730.16</v>
      </c>
      <c r="AB1207" s="67">
        <f t="shared" si="46"/>
        <v>12543.66</v>
      </c>
      <c r="AC1207" s="67">
        <f t="shared" si="11"/>
        <v>10212.75</v>
      </c>
      <c r="AD1207" s="67">
        <f t="shared" si="12"/>
        <v>1634.04</v>
      </c>
      <c r="AE1207" s="67">
        <f t="shared" si="13"/>
        <v>11846.79</v>
      </c>
      <c r="AF1207" s="67">
        <f t="shared" si="33"/>
        <v>9972.45</v>
      </c>
      <c r="AG1207" s="67">
        <f t="shared" si="15"/>
        <v>1595.592</v>
      </c>
      <c r="AH1207" s="67">
        <f t="shared" si="16"/>
        <v>11568.042</v>
      </c>
      <c r="AI1207" s="67">
        <f t="shared" si="17"/>
        <v>9612</v>
      </c>
      <c r="AJ1207" s="68">
        <f t="shared" si="37"/>
        <v>1537.92</v>
      </c>
      <c r="AK1207" s="68">
        <f t="shared" si="38"/>
        <v>11149.92</v>
      </c>
      <c r="AL1207" s="70">
        <f>IFERROR(__xludf.DUMMYFUNCTION("""COMPUTED_VALUE"""),1.0)</f>
        <v>1</v>
      </c>
      <c r="AM1207" s="70"/>
      <c r="AN1207" s="71" t="str">
        <f>IFERROR(__xludf.DUMMYFUNCTION("""COMPUTED_VALUE""")," C")</f>
        <v>C</v>
      </c>
      <c r="AO1207" s="71" t="str">
        <f>IFERROR(__xludf.DUMMYFUNCTION("""COMPUTED_VALUE""")," TO02")</f>
        <v>TO02</v>
      </c>
      <c r="AP1207" s="71" t="str">
        <f>IFERROR(__xludf.DUMMYFUNCTION("""COMPUTED_VALUE""")," PZA")</f>
        <v>PZA</v>
      </c>
      <c r="AQ1207" s="71" t="str">
        <f>IFERROR(__xludf.DUMMYFUNCTION("""COMPUTED_VALUE""")," REF")</f>
        <v>REF</v>
      </c>
      <c r="AR1207" s="71" t="str">
        <f>IFERROR(__xludf.DUMMYFUNCTION("""COMPUTED_VALUE""")," TORNILLO CABEZA DE GOTA 3/16 X 1/2")</f>
        <v>TORNILLO CABEZA DE GOTA 3/16 X 1/2</v>
      </c>
      <c r="AS1207" s="71" t="str">
        <f>IFERROR(__xludf.DUMMYFUNCTION("""COMPUTED_VALUE""")," TORNILLO CABEZA DE GOTA 3/16 X 1/2")</f>
        <v>TORNILLO CABEZA DE GOTA 3/16 X 1/2</v>
      </c>
      <c r="AT1207" s="71">
        <f>IFERROR(__xludf.DUMMYFUNCTION("""COMPUTED_VALUE"""),34.0)</f>
        <v>34</v>
      </c>
      <c r="AU1207" s="71"/>
      <c r="AV1207" s="71"/>
      <c r="AW1207" s="71"/>
      <c r="AX1207" s="71"/>
      <c r="AY1207" s="71">
        <f>IFERROR(__xludf.DUMMYFUNCTION("""COMPUTED_VALUE"""),1.0)</f>
        <v>1</v>
      </c>
      <c r="AZ1207" s="71">
        <f>IFERROR(__xludf.DUMMYFUNCTION("""COMPUTED_VALUE"""),1.0)</f>
        <v>1</v>
      </c>
      <c r="BA1207" s="71">
        <f>IFERROR(__xludf.DUMMYFUNCTION("""COMPUTED_VALUE"""),1.08)</f>
        <v>1.08</v>
      </c>
      <c r="BB1207" s="71">
        <f>IFERROR(__xludf.DUMMYFUNCTION("""COMPUTED_VALUE"""),1.08)</f>
        <v>1.08</v>
      </c>
      <c r="BC1207" s="71">
        <f>IFERROR(__xludf.DUMMYFUNCTION("""COMPUTED_VALUE"""),2.0)</f>
        <v>2</v>
      </c>
      <c r="BD1207" s="71">
        <f>IFERROR(__xludf.DUMMYFUNCTION("""COMPUTED_VALUE"""),2.1)</f>
        <v>2.1</v>
      </c>
      <c r="BE1207" s="71">
        <f>IFERROR(__xludf.DUMMYFUNCTION("""COMPUTED_VALUE"""),0.336)</f>
        <v>0.336</v>
      </c>
      <c r="BF1207" s="71">
        <f>IFERROR(__xludf.DUMMYFUNCTION("""COMPUTED_VALUE"""),2.436)</f>
        <v>2.436</v>
      </c>
      <c r="BG1207" s="71">
        <f>IFERROR(__xludf.DUMMYFUNCTION("""COMPUTED_VALUE"""),0.050000000000000044)</f>
        <v>0.05</v>
      </c>
      <c r="BH1207" s="71">
        <f>IFERROR(__xludf.DUMMYFUNCTION("""COMPUTED_VALUE"""),1.9949999999999999)</f>
        <v>1.995</v>
      </c>
      <c r="BI1207" s="71">
        <f>IFERROR(__xludf.DUMMYFUNCTION("""COMPUTED_VALUE"""),0.3192)</f>
        <v>0.3192</v>
      </c>
      <c r="BJ1207" s="71">
        <f>IFERROR(__xludf.DUMMYFUNCTION("""COMPUTED_VALUE"""),2.3142)</f>
        <v>2.3142</v>
      </c>
      <c r="BK1207" s="71">
        <f>IFERROR(__xludf.DUMMYFUNCTION("""COMPUTED_VALUE"""),1.8900000000000001)</f>
        <v>1.89</v>
      </c>
      <c r="BL1207" s="71">
        <f>IFERROR(__xludf.DUMMYFUNCTION("""COMPUTED_VALUE"""),0.3024)</f>
        <v>0.3024</v>
      </c>
      <c r="BM1207" s="71">
        <f>IFERROR(__xludf.DUMMYFUNCTION("""COMPUTED_VALUE"""),2.1924)</f>
        <v>2.1924</v>
      </c>
      <c r="BN1207" s="71">
        <f>IFERROR(__xludf.DUMMYFUNCTION("""COMPUTED_VALUE"""),1.785)</f>
        <v>1.785</v>
      </c>
      <c r="BO1207" s="71">
        <f>IFERROR(__xludf.DUMMYFUNCTION("""COMPUTED_VALUE"""),0.2856)</f>
        <v>0.2856</v>
      </c>
      <c r="BP1207" s="71">
        <f>IFERROR(__xludf.DUMMYFUNCTION("""COMPUTED_VALUE"""),2.0705999999999998)</f>
        <v>2.0706</v>
      </c>
      <c r="BQ1207" s="71">
        <f>IFERROR(__xludf.DUMMYFUNCTION("""COMPUTED_VALUE"""),1.7429999999999999)</f>
        <v>1.743</v>
      </c>
      <c r="BR1207" s="71">
        <f>IFERROR(__xludf.DUMMYFUNCTION("""COMPUTED_VALUE"""),0.27887999999999996)</f>
        <v>0.27888</v>
      </c>
      <c r="BS1207" s="71">
        <f>IFERROR(__xludf.DUMMYFUNCTION("""COMPUTED_VALUE"""),2.02188)</f>
        <v>2.02188</v>
      </c>
      <c r="BT1207" s="71">
        <f>IFERROR(__xludf.DUMMYFUNCTION("""COMPUTED_VALUE"""),1.6800000000000002)</f>
        <v>1.68</v>
      </c>
      <c r="BU1207" s="71">
        <f>IFERROR(__xludf.DUMMYFUNCTION("""COMPUTED_VALUE"""),0.26880000000000004)</f>
        <v>0.2688</v>
      </c>
      <c r="BV1207" s="71">
        <f>IFERROR(__xludf.DUMMYFUNCTION("""COMPUTED_VALUE"""),1.9488000000000003)</f>
        <v>1.9488</v>
      </c>
    </row>
    <row r="1208">
      <c r="A1208" s="53">
        <v>1.0</v>
      </c>
      <c r="B1208" s="72"/>
      <c r="C1208" s="120" t="s">
        <v>12</v>
      </c>
      <c r="D1208" s="74" t="s">
        <v>2944</v>
      </c>
      <c r="E1208" s="54" t="s">
        <v>38</v>
      </c>
      <c r="F1208" s="54" t="s">
        <v>42</v>
      </c>
      <c r="G1208" s="88" t="s">
        <v>2945</v>
      </c>
      <c r="H1208" s="54" t="s">
        <v>2946</v>
      </c>
      <c r="I1208" s="54">
        <f t="shared" si="24"/>
        <v>26</v>
      </c>
      <c r="J1208" s="56"/>
      <c r="K1208" s="75"/>
      <c r="L1208" s="76"/>
      <c r="M1208" s="59"/>
      <c r="N1208" s="60">
        <v>21.0</v>
      </c>
      <c r="O1208" s="61">
        <v>22.0</v>
      </c>
      <c r="P1208" s="62">
        <v>23.76</v>
      </c>
      <c r="Q1208" s="63">
        <v>23.76</v>
      </c>
      <c r="R1208" s="64">
        <v>27.0</v>
      </c>
      <c r="S1208" s="111">
        <v>28.0</v>
      </c>
      <c r="T1208" s="65">
        <f t="shared" si="39"/>
        <v>4.48</v>
      </c>
      <c r="U1208" s="65">
        <f t="shared" si="40"/>
        <v>32.48</v>
      </c>
      <c r="V1208" s="66">
        <f t="shared" si="42"/>
        <v>0.03703703704</v>
      </c>
      <c r="W1208" s="67">
        <f t="shared" si="5"/>
        <v>26.6</v>
      </c>
      <c r="X1208" s="67">
        <f t="shared" si="43"/>
        <v>4.256</v>
      </c>
      <c r="Y1208" s="67">
        <f t="shared" si="44"/>
        <v>30.856</v>
      </c>
      <c r="Z1208" s="67">
        <f t="shared" si="8"/>
        <v>25.2</v>
      </c>
      <c r="AA1208" s="67">
        <f t="shared" si="45"/>
        <v>4.032</v>
      </c>
      <c r="AB1208" s="67">
        <f t="shared" si="46"/>
        <v>29.232</v>
      </c>
      <c r="AC1208" s="67">
        <f t="shared" si="11"/>
        <v>23.8</v>
      </c>
      <c r="AD1208" s="67">
        <f t="shared" si="12"/>
        <v>3.808</v>
      </c>
      <c r="AE1208" s="67">
        <f t="shared" si="13"/>
        <v>27.608</v>
      </c>
      <c r="AF1208" s="67">
        <f t="shared" si="33"/>
        <v>23.24</v>
      </c>
      <c r="AG1208" s="67">
        <f t="shared" si="15"/>
        <v>3.7184</v>
      </c>
      <c r="AH1208" s="67">
        <f t="shared" si="16"/>
        <v>26.9584</v>
      </c>
      <c r="AI1208" s="67">
        <f t="shared" si="17"/>
        <v>22.4</v>
      </c>
      <c r="AJ1208" s="68">
        <f t="shared" si="37"/>
        <v>3.584</v>
      </c>
      <c r="AK1208" s="68">
        <f t="shared" si="38"/>
        <v>25.984</v>
      </c>
      <c r="AL1208" s="70">
        <f>IFERROR(__xludf.DUMMYFUNCTION("""COMPUTED_VALUE"""),1.0)</f>
        <v>1</v>
      </c>
      <c r="AM1208" s="70"/>
      <c r="AN1208" s="71" t="str">
        <f>IFERROR(__xludf.DUMMYFUNCTION("""COMPUTED_VALUE""")," C")</f>
        <v>C</v>
      </c>
      <c r="AO1208" s="71" t="str">
        <f>IFERROR(__xludf.DUMMYFUNCTION("""COMPUTED_VALUE""")," TO98")</f>
        <v>TO98</v>
      </c>
      <c r="AP1208" s="71" t="str">
        <f>IFERROR(__xludf.DUMMYFUNCTION("""COMPUTED_VALUE""")," PZA")</f>
        <v>PZA</v>
      </c>
      <c r="AQ1208" s="71" t="str">
        <f>IFERROR(__xludf.DUMMYFUNCTION("""COMPUTED_VALUE""")," REF")</f>
        <v>REF</v>
      </c>
      <c r="AR1208" s="71" t="str">
        <f>IFERROR(__xludf.DUMMYFUNCTION("""COMPUTED_VALUE""")," TORNILLO CABEZA DE GOTA 3/16 X 1/2 EN ACERO INOX. T-304 GRADO ALIMENTICIO")</f>
        <v>TORNILLO CABEZA DE GOTA 3/16 X 1/2 EN ACERO INOX. T-304 GRADO ALIMENTICIO</v>
      </c>
      <c r="AS1208" s="71" t="str">
        <f>IFERROR(__xludf.DUMMYFUNCTION("""COMPUTED_VALUE""")," TORNILLO CABEZA DE GOTA 3/16 X 1/2 INOX")</f>
        <v>TORNILLO CABEZA DE GOTA 3/16 X 1/2 INOX</v>
      </c>
      <c r="AT1208" s="71">
        <f>IFERROR(__xludf.DUMMYFUNCTION("""COMPUTED_VALUE"""),39.0)</f>
        <v>39</v>
      </c>
      <c r="AU1208" s="71"/>
      <c r="AV1208" s="71"/>
      <c r="AW1208" s="71"/>
      <c r="AX1208" s="71"/>
      <c r="AY1208" s="71">
        <f>IFERROR(__xludf.DUMMYFUNCTION("""COMPUTED_VALUE"""),5.0)</f>
        <v>5</v>
      </c>
      <c r="AZ1208" s="71">
        <f>IFERROR(__xludf.DUMMYFUNCTION("""COMPUTED_VALUE"""),5.0)</f>
        <v>5</v>
      </c>
      <c r="BA1208" s="71">
        <f>IFERROR(__xludf.DUMMYFUNCTION("""COMPUTED_VALUE"""),5.4)</f>
        <v>5.4</v>
      </c>
      <c r="BB1208" s="71">
        <f>IFERROR(__xludf.DUMMYFUNCTION("""COMPUTED_VALUE"""),5.4)</f>
        <v>5.4</v>
      </c>
      <c r="BC1208" s="71">
        <f>IFERROR(__xludf.DUMMYFUNCTION("""COMPUTED_VALUE"""),6.0)</f>
        <v>6</v>
      </c>
      <c r="BD1208" s="71">
        <f>IFERROR(__xludf.DUMMYFUNCTION("""COMPUTED_VALUE"""),6.300000000000001)</f>
        <v>6.3</v>
      </c>
      <c r="BE1208" s="71">
        <f>IFERROR(__xludf.DUMMYFUNCTION("""COMPUTED_VALUE"""),1.0080000000000002)</f>
        <v>1.008</v>
      </c>
      <c r="BF1208" s="71">
        <f>IFERROR(__xludf.DUMMYFUNCTION("""COMPUTED_VALUE"""),7.308000000000001)</f>
        <v>7.308</v>
      </c>
      <c r="BG1208" s="71">
        <f>IFERROR(__xludf.DUMMYFUNCTION("""COMPUTED_VALUE"""),0.05000000000000012)</f>
        <v>0.05</v>
      </c>
      <c r="BH1208" s="71">
        <f>IFERROR(__xludf.DUMMYFUNCTION("""COMPUTED_VALUE"""),5.985)</f>
        <v>5.985</v>
      </c>
      <c r="BI1208" s="71">
        <f>IFERROR(__xludf.DUMMYFUNCTION("""COMPUTED_VALUE"""),0.9576000000000001)</f>
        <v>0.9576</v>
      </c>
      <c r="BJ1208" s="71">
        <f>IFERROR(__xludf.DUMMYFUNCTION("""COMPUTED_VALUE"""),6.9426000000000005)</f>
        <v>6.9426</v>
      </c>
      <c r="BK1208" s="71">
        <f>IFERROR(__xludf.DUMMYFUNCTION("""COMPUTED_VALUE"""),5.670000000000001)</f>
        <v>5.67</v>
      </c>
      <c r="BL1208" s="71">
        <f>IFERROR(__xludf.DUMMYFUNCTION("""COMPUTED_VALUE"""),0.9072000000000001)</f>
        <v>0.9072</v>
      </c>
      <c r="BM1208" s="71">
        <f>IFERROR(__xludf.DUMMYFUNCTION("""COMPUTED_VALUE"""),6.577200000000001)</f>
        <v>6.5772</v>
      </c>
      <c r="BN1208" s="71">
        <f>IFERROR(__xludf.DUMMYFUNCTION("""COMPUTED_VALUE"""),5.355)</f>
        <v>5.355</v>
      </c>
      <c r="BO1208" s="71">
        <f>IFERROR(__xludf.DUMMYFUNCTION("""COMPUTED_VALUE"""),0.8568000000000001)</f>
        <v>0.8568</v>
      </c>
      <c r="BP1208" s="71">
        <f>IFERROR(__xludf.DUMMYFUNCTION("""COMPUTED_VALUE"""),6.2118)</f>
        <v>6.2118</v>
      </c>
      <c r="BQ1208" s="71">
        <f>IFERROR(__xludf.DUMMYFUNCTION("""COMPUTED_VALUE"""),5.229)</f>
        <v>5.229</v>
      </c>
      <c r="BR1208" s="71">
        <f>IFERROR(__xludf.DUMMYFUNCTION("""COMPUTED_VALUE"""),0.83664)</f>
        <v>0.83664</v>
      </c>
      <c r="BS1208" s="71">
        <f>IFERROR(__xludf.DUMMYFUNCTION("""COMPUTED_VALUE"""),6.06564)</f>
        <v>6.06564</v>
      </c>
      <c r="BT1208" s="71">
        <f>IFERROR(__xludf.DUMMYFUNCTION("""COMPUTED_VALUE"""),5.040000000000001)</f>
        <v>5.04</v>
      </c>
      <c r="BU1208" s="71">
        <f>IFERROR(__xludf.DUMMYFUNCTION("""COMPUTED_VALUE"""),0.8064000000000001)</f>
        <v>0.8064</v>
      </c>
      <c r="BV1208" s="71">
        <f>IFERROR(__xludf.DUMMYFUNCTION("""COMPUTED_VALUE"""),5.846400000000001)</f>
        <v>5.8464</v>
      </c>
    </row>
    <row r="1209">
      <c r="A1209" s="53">
        <v>1.0</v>
      </c>
      <c r="B1209" s="53"/>
      <c r="C1209" s="53" t="s">
        <v>12</v>
      </c>
      <c r="D1209" s="53" t="s">
        <v>2947</v>
      </c>
      <c r="E1209" s="55" t="s">
        <v>38</v>
      </c>
      <c r="F1209" s="91" t="s">
        <v>42</v>
      </c>
      <c r="G1209" s="84" t="s">
        <v>2948</v>
      </c>
      <c r="H1209" s="84" t="s">
        <v>2948</v>
      </c>
      <c r="I1209" s="54">
        <f t="shared" si="24"/>
        <v>32</v>
      </c>
      <c r="J1209" s="56"/>
      <c r="K1209" s="57"/>
      <c r="L1209" s="55"/>
      <c r="M1209" s="59"/>
      <c r="N1209" s="60"/>
      <c r="O1209" s="90"/>
      <c r="P1209" s="62">
        <v>20.0</v>
      </c>
      <c r="Q1209" s="63">
        <v>20.0</v>
      </c>
      <c r="R1209" s="64">
        <v>21.0</v>
      </c>
      <c r="S1209" s="111">
        <v>22.0</v>
      </c>
      <c r="T1209" s="65">
        <f t="shared" si="39"/>
        <v>3.52</v>
      </c>
      <c r="U1209" s="65">
        <f t="shared" si="40"/>
        <v>25.52</v>
      </c>
      <c r="V1209" s="66">
        <f t="shared" si="42"/>
        <v>0.04761904762</v>
      </c>
      <c r="W1209" s="67">
        <f t="shared" si="5"/>
        <v>20.9</v>
      </c>
      <c r="X1209" s="67">
        <f t="shared" si="43"/>
        <v>3.344</v>
      </c>
      <c r="Y1209" s="67">
        <f t="shared" si="44"/>
        <v>24.244</v>
      </c>
      <c r="Z1209" s="67">
        <f t="shared" si="8"/>
        <v>19.8</v>
      </c>
      <c r="AA1209" s="67">
        <f t="shared" si="45"/>
        <v>3.168</v>
      </c>
      <c r="AB1209" s="67">
        <f t="shared" si="46"/>
        <v>22.968</v>
      </c>
      <c r="AC1209" s="67">
        <f t="shared" si="11"/>
        <v>18.7</v>
      </c>
      <c r="AD1209" s="67">
        <f t="shared" si="12"/>
        <v>2.992</v>
      </c>
      <c r="AE1209" s="67">
        <f t="shared" si="13"/>
        <v>21.692</v>
      </c>
      <c r="AF1209" s="67">
        <f t="shared" si="33"/>
        <v>18.26</v>
      </c>
      <c r="AG1209" s="67">
        <f t="shared" si="15"/>
        <v>2.9216</v>
      </c>
      <c r="AH1209" s="67">
        <f t="shared" si="16"/>
        <v>21.1816</v>
      </c>
      <c r="AI1209" s="67">
        <f t="shared" si="17"/>
        <v>17.6</v>
      </c>
      <c r="AJ1209" s="68">
        <f t="shared" si="37"/>
        <v>2.816</v>
      </c>
      <c r="AK1209" s="68">
        <f t="shared" si="38"/>
        <v>20.416</v>
      </c>
      <c r="AL1209" s="70">
        <f>IFERROR(__xludf.DUMMYFUNCTION("""COMPUTED_VALUE"""),1.0)</f>
        <v>1</v>
      </c>
      <c r="AM1209" s="70"/>
      <c r="AN1209" s="71" t="str">
        <f>IFERROR(__xludf.DUMMYFUNCTION("""COMPUTED_VALUE""")," C")</f>
        <v>C</v>
      </c>
      <c r="AO1209" s="71" t="str">
        <f>IFERROR(__xludf.DUMMYFUNCTION("""COMPUTED_VALUE""")," TO03")</f>
        <v>TO03</v>
      </c>
      <c r="AP1209" s="71" t="str">
        <f>IFERROR(__xludf.DUMMYFUNCTION("""COMPUTED_VALUE""")," PZA")</f>
        <v>PZA</v>
      </c>
      <c r="AQ1209" s="71" t="str">
        <f>IFERROR(__xludf.DUMMYFUNCTION("""COMPUTED_VALUE""")," REF")</f>
        <v>REF</v>
      </c>
      <c r="AR1209" s="71" t="str">
        <f>IFERROR(__xludf.DUMMYFUNCTION("""COMPUTED_VALUE""")," TORNILLO CABEZA HEXAGONAL 3/8 X 1")</f>
        <v>TORNILLO CABEZA HEXAGONAL 3/8 X 1</v>
      </c>
      <c r="AS1209" s="71" t="str">
        <f>IFERROR(__xludf.DUMMYFUNCTION("""COMPUTED_VALUE""")," TORNILLO CABEZA HEXAGONAL 3/8 X 1")</f>
        <v>TORNILLO CABEZA HEXAGONAL 3/8 X 1</v>
      </c>
      <c r="AT1209" s="71">
        <f>IFERROR(__xludf.DUMMYFUNCTION("""COMPUTED_VALUE"""),33.0)</f>
        <v>33</v>
      </c>
      <c r="AU1209" s="71"/>
      <c r="AV1209" s="71"/>
      <c r="AW1209" s="71"/>
      <c r="AX1209" s="71"/>
      <c r="AY1209" s="71">
        <f>IFERROR(__xludf.DUMMYFUNCTION("""COMPUTED_VALUE"""),4.0)</f>
        <v>4</v>
      </c>
      <c r="AZ1209" s="71">
        <f>IFERROR(__xludf.DUMMYFUNCTION("""COMPUTED_VALUE"""),3.0)</f>
        <v>3</v>
      </c>
      <c r="BA1209" s="71">
        <f>IFERROR(__xludf.DUMMYFUNCTION("""COMPUTED_VALUE"""),3.24)</f>
        <v>3.24</v>
      </c>
      <c r="BB1209" s="71">
        <f>IFERROR(__xludf.DUMMYFUNCTION("""COMPUTED_VALUE"""),3.24)</f>
        <v>3.24</v>
      </c>
      <c r="BC1209" s="71">
        <f>IFERROR(__xludf.DUMMYFUNCTION("""COMPUTED_VALUE"""),4.0)</f>
        <v>4</v>
      </c>
      <c r="BD1209" s="71">
        <f>IFERROR(__xludf.DUMMYFUNCTION("""COMPUTED_VALUE"""),4.2)</f>
        <v>4.2</v>
      </c>
      <c r="BE1209" s="71">
        <f>IFERROR(__xludf.DUMMYFUNCTION("""COMPUTED_VALUE"""),0.672)</f>
        <v>0.672</v>
      </c>
      <c r="BF1209" s="71">
        <f>IFERROR(__xludf.DUMMYFUNCTION("""COMPUTED_VALUE"""),4.872)</f>
        <v>4.872</v>
      </c>
      <c r="BG1209" s="71">
        <f>IFERROR(__xludf.DUMMYFUNCTION("""COMPUTED_VALUE"""),0.050000000000000044)</f>
        <v>0.05</v>
      </c>
      <c r="BH1209" s="71">
        <f>IFERROR(__xludf.DUMMYFUNCTION("""COMPUTED_VALUE"""),3.9899999999999998)</f>
        <v>3.99</v>
      </c>
      <c r="BI1209" s="71">
        <f>IFERROR(__xludf.DUMMYFUNCTION("""COMPUTED_VALUE"""),0.6384)</f>
        <v>0.6384</v>
      </c>
      <c r="BJ1209" s="71">
        <f>IFERROR(__xludf.DUMMYFUNCTION("""COMPUTED_VALUE"""),4.6284)</f>
        <v>4.6284</v>
      </c>
      <c r="BK1209" s="71">
        <f>IFERROR(__xludf.DUMMYFUNCTION("""COMPUTED_VALUE"""),3.7800000000000002)</f>
        <v>3.78</v>
      </c>
      <c r="BL1209" s="71">
        <f>IFERROR(__xludf.DUMMYFUNCTION("""COMPUTED_VALUE"""),0.6048)</f>
        <v>0.6048</v>
      </c>
      <c r="BM1209" s="71">
        <f>IFERROR(__xludf.DUMMYFUNCTION("""COMPUTED_VALUE"""),4.3848)</f>
        <v>4.3848</v>
      </c>
      <c r="BN1209" s="71">
        <f>IFERROR(__xludf.DUMMYFUNCTION("""COMPUTED_VALUE"""),3.57)</f>
        <v>3.57</v>
      </c>
      <c r="BO1209" s="71">
        <f>IFERROR(__xludf.DUMMYFUNCTION("""COMPUTED_VALUE"""),0.5712)</f>
        <v>0.5712</v>
      </c>
      <c r="BP1209" s="71">
        <f>IFERROR(__xludf.DUMMYFUNCTION("""COMPUTED_VALUE"""),4.1411999999999995)</f>
        <v>4.1412</v>
      </c>
      <c r="BQ1209" s="71">
        <f>IFERROR(__xludf.DUMMYFUNCTION("""COMPUTED_VALUE"""),3.4859999999999998)</f>
        <v>3.486</v>
      </c>
      <c r="BR1209" s="71">
        <f>IFERROR(__xludf.DUMMYFUNCTION("""COMPUTED_VALUE"""),0.5577599999999999)</f>
        <v>0.55776</v>
      </c>
      <c r="BS1209" s="71">
        <f>IFERROR(__xludf.DUMMYFUNCTION("""COMPUTED_VALUE"""),4.04376)</f>
        <v>4.04376</v>
      </c>
      <c r="BT1209" s="71">
        <f>IFERROR(__xludf.DUMMYFUNCTION("""COMPUTED_VALUE"""),3.3600000000000003)</f>
        <v>3.36</v>
      </c>
      <c r="BU1209" s="71">
        <f>IFERROR(__xludf.DUMMYFUNCTION("""COMPUTED_VALUE"""),0.5376000000000001)</f>
        <v>0.5376</v>
      </c>
      <c r="BV1209" s="71">
        <f>IFERROR(__xludf.DUMMYFUNCTION("""COMPUTED_VALUE"""),3.8976000000000006)</f>
        <v>3.8976</v>
      </c>
    </row>
    <row r="1210">
      <c r="A1210" s="53">
        <v>1.0</v>
      </c>
      <c r="B1210" s="72"/>
      <c r="C1210" s="120" t="s">
        <v>12</v>
      </c>
      <c r="D1210" s="74" t="s">
        <v>2949</v>
      </c>
      <c r="E1210" s="54" t="s">
        <v>38</v>
      </c>
      <c r="F1210" s="54" t="s">
        <v>42</v>
      </c>
      <c r="G1210" s="54" t="s">
        <v>2950</v>
      </c>
      <c r="H1210" s="54" t="s">
        <v>2951</v>
      </c>
      <c r="I1210" s="54">
        <f t="shared" si="24"/>
        <v>34</v>
      </c>
      <c r="J1210" s="56"/>
      <c r="K1210" s="75"/>
      <c r="L1210" s="76"/>
      <c r="M1210" s="59"/>
      <c r="N1210" s="60">
        <v>218.0</v>
      </c>
      <c r="O1210" s="61">
        <v>235.0</v>
      </c>
      <c r="P1210" s="62">
        <v>253.8</v>
      </c>
      <c r="Q1210" s="63">
        <v>253.8</v>
      </c>
      <c r="R1210" s="64">
        <v>284.0</v>
      </c>
      <c r="S1210" s="111">
        <v>298.0</v>
      </c>
      <c r="T1210" s="65">
        <f t="shared" si="39"/>
        <v>47.68</v>
      </c>
      <c r="U1210" s="65">
        <f t="shared" si="40"/>
        <v>345.68</v>
      </c>
      <c r="V1210" s="66">
        <f t="shared" si="42"/>
        <v>0.04929577465</v>
      </c>
      <c r="W1210" s="67">
        <f t="shared" si="5"/>
        <v>283.1</v>
      </c>
      <c r="X1210" s="67">
        <f t="shared" si="43"/>
        <v>45.296</v>
      </c>
      <c r="Y1210" s="67">
        <f t="shared" si="44"/>
        <v>328.396</v>
      </c>
      <c r="Z1210" s="67">
        <f t="shared" si="8"/>
        <v>268.2</v>
      </c>
      <c r="AA1210" s="67">
        <f t="shared" si="45"/>
        <v>42.912</v>
      </c>
      <c r="AB1210" s="67">
        <f t="shared" si="46"/>
        <v>311.112</v>
      </c>
      <c r="AC1210" s="67">
        <f t="shared" si="11"/>
        <v>253.3</v>
      </c>
      <c r="AD1210" s="67">
        <f t="shared" si="12"/>
        <v>40.528</v>
      </c>
      <c r="AE1210" s="67">
        <f t="shared" si="13"/>
        <v>293.828</v>
      </c>
      <c r="AF1210" s="67">
        <f t="shared" si="33"/>
        <v>247.34</v>
      </c>
      <c r="AG1210" s="67">
        <f t="shared" si="15"/>
        <v>39.5744</v>
      </c>
      <c r="AH1210" s="67">
        <f t="shared" si="16"/>
        <v>286.9144</v>
      </c>
      <c r="AI1210" s="67">
        <f t="shared" si="17"/>
        <v>238.4</v>
      </c>
      <c r="AJ1210" s="68">
        <f t="shared" si="37"/>
        <v>38.144</v>
      </c>
      <c r="AK1210" s="68">
        <f t="shared" si="38"/>
        <v>276.544</v>
      </c>
      <c r="AL1210" s="70">
        <f>IFERROR(__xludf.DUMMYFUNCTION("""COMPUTED_VALUE"""),1.0)</f>
        <v>1</v>
      </c>
      <c r="AM1210" s="70"/>
      <c r="AN1210" s="71" t="str">
        <f>IFERROR(__xludf.DUMMYFUNCTION("""COMPUTED_VALUE""")," C")</f>
        <v>C</v>
      </c>
      <c r="AO1210" s="71" t="str">
        <f>IFERROR(__xludf.DUMMYFUNCTION("""COMPUTED_VALUE""")," TO99")</f>
        <v>TO99</v>
      </c>
      <c r="AP1210" s="71" t="str">
        <f>IFERROR(__xludf.DUMMYFUNCTION("""COMPUTED_VALUE""")," PZA")</f>
        <v>PZA</v>
      </c>
      <c r="AQ1210" s="71" t="str">
        <f>IFERROR(__xludf.DUMMYFUNCTION("""COMPUTED_VALUE""")," REF")</f>
        <v>REF</v>
      </c>
      <c r="AR1210" s="71" t="str">
        <f>IFERROR(__xludf.DUMMYFUNCTION("""COMPUTED_VALUE""")," TORNILLO CABEZA HEXAGONAL 3/8 X 1 EN ACERO INOX. T-304 GRADO ALIMENTICIO")</f>
        <v>TORNILLO CABEZA HEXAGONAL 3/8 X 1 EN ACERO INOX. T-304 GRADO ALIMENTICIO</v>
      </c>
      <c r="AS1210" s="71" t="str">
        <f>IFERROR(__xludf.DUMMYFUNCTION("""COMPUTED_VALUE""")," TORNILLO CABEZA HEXAGONAL 3/8 X 1 INOX")</f>
        <v>TORNILLO CABEZA HEXAGONAL 3/8 X 1 INOX</v>
      </c>
      <c r="AT1210" s="71">
        <f>IFERROR(__xludf.DUMMYFUNCTION("""COMPUTED_VALUE"""),38.0)</f>
        <v>38</v>
      </c>
      <c r="AU1210" s="71"/>
      <c r="AV1210" s="71"/>
      <c r="AW1210" s="71"/>
      <c r="AX1210" s="71"/>
      <c r="AY1210" s="71">
        <f>IFERROR(__xludf.DUMMYFUNCTION("""COMPUTED_VALUE"""),13.0)</f>
        <v>13</v>
      </c>
      <c r="AZ1210" s="71">
        <f>IFERROR(__xludf.DUMMYFUNCTION("""COMPUTED_VALUE"""),13.0)</f>
        <v>13</v>
      </c>
      <c r="BA1210" s="71">
        <f>IFERROR(__xludf.DUMMYFUNCTION("""COMPUTED_VALUE"""),14.040000000000001)</f>
        <v>14.04</v>
      </c>
      <c r="BB1210" s="71">
        <f>IFERROR(__xludf.DUMMYFUNCTION("""COMPUTED_VALUE"""),14.040000000000001)</f>
        <v>14.04</v>
      </c>
      <c r="BC1210" s="71">
        <f>IFERROR(__xludf.DUMMYFUNCTION("""COMPUTED_VALUE"""),16.0)</f>
        <v>16</v>
      </c>
      <c r="BD1210" s="71">
        <f>IFERROR(__xludf.DUMMYFUNCTION("""COMPUTED_VALUE"""),16.8)</f>
        <v>16.8</v>
      </c>
      <c r="BE1210" s="71">
        <f>IFERROR(__xludf.DUMMYFUNCTION("""COMPUTED_VALUE"""),2.688)</f>
        <v>2.688</v>
      </c>
      <c r="BF1210" s="71">
        <f>IFERROR(__xludf.DUMMYFUNCTION("""COMPUTED_VALUE"""),19.488)</f>
        <v>19.488</v>
      </c>
      <c r="BG1210" s="71">
        <f>IFERROR(__xludf.DUMMYFUNCTION("""COMPUTED_VALUE"""),0.050000000000000044)</f>
        <v>0.05</v>
      </c>
      <c r="BH1210" s="71">
        <f>IFERROR(__xludf.DUMMYFUNCTION("""COMPUTED_VALUE"""),15.959999999999999)</f>
        <v>15.96</v>
      </c>
      <c r="BI1210" s="71">
        <f>IFERROR(__xludf.DUMMYFUNCTION("""COMPUTED_VALUE"""),2.5536)</f>
        <v>2.5536</v>
      </c>
      <c r="BJ1210" s="71">
        <f>IFERROR(__xludf.DUMMYFUNCTION("""COMPUTED_VALUE"""),18.5136)</f>
        <v>18.5136</v>
      </c>
      <c r="BK1210" s="71">
        <f>IFERROR(__xludf.DUMMYFUNCTION("""COMPUTED_VALUE"""),15.120000000000001)</f>
        <v>15.12</v>
      </c>
      <c r="BL1210" s="71">
        <f>IFERROR(__xludf.DUMMYFUNCTION("""COMPUTED_VALUE"""),2.4192)</f>
        <v>2.4192</v>
      </c>
      <c r="BM1210" s="71">
        <f>IFERROR(__xludf.DUMMYFUNCTION("""COMPUTED_VALUE"""),17.5392)</f>
        <v>17.5392</v>
      </c>
      <c r="BN1210" s="71">
        <f>IFERROR(__xludf.DUMMYFUNCTION("""COMPUTED_VALUE"""),14.28)</f>
        <v>14.28</v>
      </c>
      <c r="BO1210" s="71">
        <f>IFERROR(__xludf.DUMMYFUNCTION("""COMPUTED_VALUE"""),2.2848)</f>
        <v>2.2848</v>
      </c>
      <c r="BP1210" s="71">
        <f>IFERROR(__xludf.DUMMYFUNCTION("""COMPUTED_VALUE"""),16.564799999999998)</f>
        <v>16.5648</v>
      </c>
      <c r="BQ1210" s="71">
        <f>IFERROR(__xludf.DUMMYFUNCTION("""COMPUTED_VALUE"""),13.943999999999999)</f>
        <v>13.944</v>
      </c>
      <c r="BR1210" s="71">
        <f>IFERROR(__xludf.DUMMYFUNCTION("""COMPUTED_VALUE"""),2.2310399999999997)</f>
        <v>2.23104</v>
      </c>
      <c r="BS1210" s="71">
        <f>IFERROR(__xludf.DUMMYFUNCTION("""COMPUTED_VALUE"""),16.17504)</f>
        <v>16.17504</v>
      </c>
      <c r="BT1210" s="71">
        <f>IFERROR(__xludf.DUMMYFUNCTION("""COMPUTED_VALUE"""),13.440000000000001)</f>
        <v>13.44</v>
      </c>
      <c r="BU1210" s="71">
        <f>IFERROR(__xludf.DUMMYFUNCTION("""COMPUTED_VALUE"""),2.1504000000000003)</f>
        <v>2.1504</v>
      </c>
      <c r="BV1210" s="71">
        <f>IFERROR(__xludf.DUMMYFUNCTION("""COMPUTED_VALUE"""),15.590400000000002)</f>
        <v>15.5904</v>
      </c>
    </row>
    <row r="1211">
      <c r="A1211" s="53">
        <v>1.0</v>
      </c>
      <c r="B1211" s="72"/>
      <c r="C1211" s="120" t="s">
        <v>12</v>
      </c>
      <c r="D1211" s="74" t="s">
        <v>2952</v>
      </c>
      <c r="E1211" s="54" t="s">
        <v>38</v>
      </c>
      <c r="F1211" s="54" t="s">
        <v>42</v>
      </c>
      <c r="G1211" s="54" t="s">
        <v>2953</v>
      </c>
      <c r="H1211" s="54" t="s">
        <v>2954</v>
      </c>
      <c r="I1211" s="54">
        <f t="shared" si="24"/>
        <v>37</v>
      </c>
      <c r="J1211" s="56"/>
      <c r="K1211" s="75"/>
      <c r="L1211" s="76"/>
      <c r="M1211" s="59"/>
      <c r="N1211" s="60">
        <v>4883.0</v>
      </c>
      <c r="O1211" s="61">
        <v>5273.0</v>
      </c>
      <c r="P1211" s="62">
        <v>5694.84</v>
      </c>
      <c r="Q1211" s="63">
        <v>5694.84</v>
      </c>
      <c r="R1211" s="64">
        <v>6339.0</v>
      </c>
      <c r="S1211" s="111">
        <v>6656.0</v>
      </c>
      <c r="T1211" s="65">
        <f t="shared" si="39"/>
        <v>1064.96</v>
      </c>
      <c r="U1211" s="65">
        <f t="shared" si="40"/>
        <v>7720.96</v>
      </c>
      <c r="V1211" s="66">
        <f t="shared" si="42"/>
        <v>0.05000788768</v>
      </c>
      <c r="W1211" s="67">
        <f t="shared" si="5"/>
        <v>6323.2</v>
      </c>
      <c r="X1211" s="67">
        <f t="shared" si="43"/>
        <v>1011.712</v>
      </c>
      <c r="Y1211" s="67">
        <f t="shared" si="44"/>
        <v>7334.912</v>
      </c>
      <c r="Z1211" s="67">
        <f t="shared" si="8"/>
        <v>5990.4</v>
      </c>
      <c r="AA1211" s="67">
        <f t="shared" si="45"/>
        <v>958.464</v>
      </c>
      <c r="AB1211" s="67">
        <f t="shared" si="46"/>
        <v>6948.864</v>
      </c>
      <c r="AC1211" s="67">
        <f t="shared" si="11"/>
        <v>5657.6</v>
      </c>
      <c r="AD1211" s="67">
        <f t="shared" si="12"/>
        <v>905.216</v>
      </c>
      <c r="AE1211" s="67">
        <f t="shared" si="13"/>
        <v>6562.816</v>
      </c>
      <c r="AF1211" s="67">
        <f t="shared" si="33"/>
        <v>5524.48</v>
      </c>
      <c r="AG1211" s="67">
        <f t="shared" si="15"/>
        <v>883.9168</v>
      </c>
      <c r="AH1211" s="67">
        <f t="shared" si="16"/>
        <v>6408.3968</v>
      </c>
      <c r="AI1211" s="67">
        <f t="shared" si="17"/>
        <v>5324.8</v>
      </c>
      <c r="AJ1211" s="68">
        <f t="shared" si="37"/>
        <v>851.968</v>
      </c>
      <c r="AK1211" s="68">
        <f t="shared" si="38"/>
        <v>6176.768</v>
      </c>
      <c r="AL1211" s="70">
        <f>IFERROR(__xludf.DUMMYFUNCTION("""COMPUTED_VALUE"""),1.0)</f>
        <v>1</v>
      </c>
      <c r="AM1211" s="70"/>
      <c r="AN1211" s="71" t="str">
        <f>IFERROR(__xludf.DUMMYFUNCTION("""COMPUTED_VALUE""")," C")</f>
        <v>C</v>
      </c>
      <c r="AO1211" s="71" t="str">
        <f>IFERROR(__xludf.DUMMYFUNCTION("""COMPUTED_VALUE""")," TO04")</f>
        <v>TO04</v>
      </c>
      <c r="AP1211" s="71" t="str">
        <f>IFERROR(__xludf.DUMMYFUNCTION("""COMPUTED_VALUE""")," PZA")</f>
        <v>PZA</v>
      </c>
      <c r="AQ1211" s="71" t="str">
        <f>IFERROR(__xludf.DUMMYFUNCTION("""COMPUTED_VALUE""")," REF")</f>
        <v>REF</v>
      </c>
      <c r="AR1211" s="71" t="str">
        <f>IFERROR(__xludf.DUMMYFUNCTION("""COMPUTED_VALUE""")," TORNILLO CABEZA HEXAGONAL 3/8 X 1""1/4")</f>
        <v>TORNILLO CABEZA HEXAGONAL 3/8 X 1"1/4</v>
      </c>
      <c r="AS1211" s="71" t="str">
        <f>IFERROR(__xludf.DUMMYFUNCTION("""COMPUTED_VALUE""")," TORNILLO CABEZA HEXAGONAL 3/8 X 1 1/4")</f>
        <v>TORNILLO CABEZA HEXAGONAL 3/8 X 1 1/4</v>
      </c>
      <c r="AT1211" s="71">
        <f>IFERROR(__xludf.DUMMYFUNCTION("""COMPUTED_VALUE"""),37.0)</f>
        <v>37</v>
      </c>
      <c r="AU1211" s="71"/>
      <c r="AV1211" s="71"/>
      <c r="AW1211" s="71"/>
      <c r="AX1211" s="71"/>
      <c r="AY1211" s="71">
        <f>IFERROR(__xludf.DUMMYFUNCTION("""COMPUTED_VALUE"""),4.0)</f>
        <v>4</v>
      </c>
      <c r="AZ1211" s="71">
        <f>IFERROR(__xludf.DUMMYFUNCTION("""COMPUTED_VALUE"""),3.0)</f>
        <v>3</v>
      </c>
      <c r="BA1211" s="71">
        <f>IFERROR(__xludf.DUMMYFUNCTION("""COMPUTED_VALUE"""),3.24)</f>
        <v>3.24</v>
      </c>
      <c r="BB1211" s="71">
        <f>IFERROR(__xludf.DUMMYFUNCTION("""COMPUTED_VALUE"""),3.24)</f>
        <v>3.24</v>
      </c>
      <c r="BC1211" s="71">
        <f>IFERROR(__xludf.DUMMYFUNCTION("""COMPUTED_VALUE"""),4.0)</f>
        <v>4</v>
      </c>
      <c r="BD1211" s="71">
        <f>IFERROR(__xludf.DUMMYFUNCTION("""COMPUTED_VALUE"""),4.2)</f>
        <v>4.2</v>
      </c>
      <c r="BE1211" s="71">
        <f>IFERROR(__xludf.DUMMYFUNCTION("""COMPUTED_VALUE"""),0.672)</f>
        <v>0.672</v>
      </c>
      <c r="BF1211" s="71">
        <f>IFERROR(__xludf.DUMMYFUNCTION("""COMPUTED_VALUE"""),4.872)</f>
        <v>4.872</v>
      </c>
      <c r="BG1211" s="71">
        <f>IFERROR(__xludf.DUMMYFUNCTION("""COMPUTED_VALUE"""),0.050000000000000044)</f>
        <v>0.05</v>
      </c>
      <c r="BH1211" s="71">
        <f>IFERROR(__xludf.DUMMYFUNCTION("""COMPUTED_VALUE"""),3.9899999999999998)</f>
        <v>3.99</v>
      </c>
      <c r="BI1211" s="71">
        <f>IFERROR(__xludf.DUMMYFUNCTION("""COMPUTED_VALUE"""),0.6384)</f>
        <v>0.6384</v>
      </c>
      <c r="BJ1211" s="71">
        <f>IFERROR(__xludf.DUMMYFUNCTION("""COMPUTED_VALUE"""),4.6284)</f>
        <v>4.6284</v>
      </c>
      <c r="BK1211" s="71">
        <f>IFERROR(__xludf.DUMMYFUNCTION("""COMPUTED_VALUE"""),3.7800000000000002)</f>
        <v>3.78</v>
      </c>
      <c r="BL1211" s="71">
        <f>IFERROR(__xludf.DUMMYFUNCTION("""COMPUTED_VALUE"""),0.6048)</f>
        <v>0.6048</v>
      </c>
      <c r="BM1211" s="71">
        <f>IFERROR(__xludf.DUMMYFUNCTION("""COMPUTED_VALUE"""),4.3848)</f>
        <v>4.3848</v>
      </c>
      <c r="BN1211" s="71">
        <f>IFERROR(__xludf.DUMMYFUNCTION("""COMPUTED_VALUE"""),3.57)</f>
        <v>3.57</v>
      </c>
      <c r="BO1211" s="71">
        <f>IFERROR(__xludf.DUMMYFUNCTION("""COMPUTED_VALUE"""),0.5712)</f>
        <v>0.5712</v>
      </c>
      <c r="BP1211" s="71">
        <f>IFERROR(__xludf.DUMMYFUNCTION("""COMPUTED_VALUE"""),4.1411999999999995)</f>
        <v>4.1412</v>
      </c>
      <c r="BQ1211" s="71">
        <f>IFERROR(__xludf.DUMMYFUNCTION("""COMPUTED_VALUE"""),3.4859999999999998)</f>
        <v>3.486</v>
      </c>
      <c r="BR1211" s="71">
        <f>IFERROR(__xludf.DUMMYFUNCTION("""COMPUTED_VALUE"""),0.5577599999999999)</f>
        <v>0.55776</v>
      </c>
      <c r="BS1211" s="71">
        <f>IFERROR(__xludf.DUMMYFUNCTION("""COMPUTED_VALUE"""),4.04376)</f>
        <v>4.04376</v>
      </c>
      <c r="BT1211" s="71">
        <f>IFERROR(__xludf.DUMMYFUNCTION("""COMPUTED_VALUE"""),3.3600000000000003)</f>
        <v>3.36</v>
      </c>
      <c r="BU1211" s="71">
        <f>IFERROR(__xludf.DUMMYFUNCTION("""COMPUTED_VALUE"""),0.5376000000000001)</f>
        <v>0.5376</v>
      </c>
      <c r="BV1211" s="71">
        <f>IFERROR(__xludf.DUMMYFUNCTION("""COMPUTED_VALUE"""),3.8976000000000006)</f>
        <v>3.8976</v>
      </c>
    </row>
    <row r="1212">
      <c r="A1212" s="53">
        <v>1.0</v>
      </c>
      <c r="B1212" s="72"/>
      <c r="C1212" s="120" t="s">
        <v>12</v>
      </c>
      <c r="D1212" s="74" t="s">
        <v>2955</v>
      </c>
      <c r="E1212" s="54" t="s">
        <v>38</v>
      </c>
      <c r="F1212" s="54" t="s">
        <v>42</v>
      </c>
      <c r="G1212" s="88" t="s">
        <v>2956</v>
      </c>
      <c r="H1212" s="54" t="s">
        <v>2957</v>
      </c>
      <c r="I1212" s="54">
        <f t="shared" si="24"/>
        <v>22</v>
      </c>
      <c r="J1212" s="56"/>
      <c r="K1212" s="75"/>
      <c r="L1212" s="76"/>
      <c r="M1212" s="59"/>
      <c r="N1212" s="60">
        <v>960.0</v>
      </c>
      <c r="O1212" s="61">
        <v>1036.0</v>
      </c>
      <c r="P1212" s="62">
        <v>1118.88</v>
      </c>
      <c r="Q1212" s="63">
        <v>1118.88</v>
      </c>
      <c r="R1212" s="64">
        <v>1247.0</v>
      </c>
      <c r="S1212" s="111">
        <v>1309.0</v>
      </c>
      <c r="T1212" s="65">
        <f t="shared" si="39"/>
        <v>209.44</v>
      </c>
      <c r="U1212" s="65">
        <f t="shared" si="40"/>
        <v>1518.44</v>
      </c>
      <c r="V1212" s="66">
        <f t="shared" si="42"/>
        <v>0.04971932638</v>
      </c>
      <c r="W1212" s="67">
        <f t="shared" si="5"/>
        <v>1243.55</v>
      </c>
      <c r="X1212" s="67">
        <f t="shared" si="43"/>
        <v>198.968</v>
      </c>
      <c r="Y1212" s="67">
        <f t="shared" si="44"/>
        <v>1442.518</v>
      </c>
      <c r="Z1212" s="67">
        <f t="shared" si="8"/>
        <v>1178.1</v>
      </c>
      <c r="AA1212" s="67">
        <f t="shared" si="45"/>
        <v>188.496</v>
      </c>
      <c r="AB1212" s="67">
        <f t="shared" si="46"/>
        <v>1366.596</v>
      </c>
      <c r="AC1212" s="67">
        <f t="shared" si="11"/>
        <v>1112.65</v>
      </c>
      <c r="AD1212" s="67">
        <f t="shared" si="12"/>
        <v>178.024</v>
      </c>
      <c r="AE1212" s="67">
        <f t="shared" si="13"/>
        <v>1290.674</v>
      </c>
      <c r="AF1212" s="67">
        <f t="shared" si="33"/>
        <v>1086.47</v>
      </c>
      <c r="AG1212" s="67">
        <f t="shared" si="15"/>
        <v>173.8352</v>
      </c>
      <c r="AH1212" s="67">
        <f t="shared" si="16"/>
        <v>1260.3052</v>
      </c>
      <c r="AI1212" s="67">
        <f t="shared" si="17"/>
        <v>1047.2</v>
      </c>
      <c r="AJ1212" s="68">
        <f t="shared" si="37"/>
        <v>167.552</v>
      </c>
      <c r="AK1212" s="68">
        <f t="shared" si="38"/>
        <v>1214.752</v>
      </c>
      <c r="AL1212" s="70">
        <f>IFERROR(__xludf.DUMMYFUNCTION("""COMPUTED_VALUE"""),1.0)</f>
        <v>1</v>
      </c>
      <c r="AM1212" s="70"/>
      <c r="AN1212" s="71" t="str">
        <f>IFERROR(__xludf.DUMMYFUNCTION("""COMPUTED_VALUE""")," C")</f>
        <v>C</v>
      </c>
      <c r="AO1212" s="71" t="str">
        <f>IFERROR(__xludf.DUMMYFUNCTION("""COMPUTED_VALUE""")," TO05")</f>
        <v>TO05</v>
      </c>
      <c r="AP1212" s="71" t="str">
        <f>IFERROR(__xludf.DUMMYFUNCTION("""COMPUTED_VALUE""")," PZA")</f>
        <v>PZA</v>
      </c>
      <c r="AQ1212" s="71" t="str">
        <f>IFERROR(__xludf.DUMMYFUNCTION("""COMPUTED_VALUE""")," REF")</f>
        <v>REF</v>
      </c>
      <c r="AR1212" s="71" t="str">
        <f>IFERROR(__xludf.DUMMYFUNCTION("""COMPUTED_VALUE""")," TORNILLO CABEZA HEXAGONAL 3/8 X 3/4")</f>
        <v>TORNILLO CABEZA HEXAGONAL 3/8 X 3/4</v>
      </c>
      <c r="AS1212" s="71" t="str">
        <f>IFERROR(__xludf.DUMMYFUNCTION("""COMPUTED_VALUE""")," TORNILLO CABEZA HEXAGONAL 3/8 X 3/4")</f>
        <v>TORNILLO CABEZA HEXAGONAL 3/8 X 3/4</v>
      </c>
      <c r="AT1212" s="71">
        <f>IFERROR(__xludf.DUMMYFUNCTION("""COMPUTED_VALUE"""),35.0)</f>
        <v>35</v>
      </c>
      <c r="AU1212" s="71"/>
      <c r="AV1212" s="71"/>
      <c r="AW1212" s="71"/>
      <c r="AX1212" s="71"/>
      <c r="AY1212" s="71">
        <f>IFERROR(__xludf.DUMMYFUNCTION("""COMPUTED_VALUE"""),4.0)</f>
        <v>4</v>
      </c>
      <c r="AZ1212" s="71">
        <f>IFERROR(__xludf.DUMMYFUNCTION("""COMPUTED_VALUE"""),3.0)</f>
        <v>3</v>
      </c>
      <c r="BA1212" s="71">
        <f>IFERROR(__xludf.DUMMYFUNCTION("""COMPUTED_VALUE"""),3.24)</f>
        <v>3.24</v>
      </c>
      <c r="BB1212" s="71">
        <f>IFERROR(__xludf.DUMMYFUNCTION("""COMPUTED_VALUE"""),3.24)</f>
        <v>3.24</v>
      </c>
      <c r="BC1212" s="71">
        <f>IFERROR(__xludf.DUMMYFUNCTION("""COMPUTED_VALUE"""),4.0)</f>
        <v>4</v>
      </c>
      <c r="BD1212" s="71">
        <f>IFERROR(__xludf.DUMMYFUNCTION("""COMPUTED_VALUE"""),4.2)</f>
        <v>4.2</v>
      </c>
      <c r="BE1212" s="71">
        <f>IFERROR(__xludf.DUMMYFUNCTION("""COMPUTED_VALUE"""),0.672)</f>
        <v>0.672</v>
      </c>
      <c r="BF1212" s="71">
        <f>IFERROR(__xludf.DUMMYFUNCTION("""COMPUTED_VALUE"""),4.872)</f>
        <v>4.872</v>
      </c>
      <c r="BG1212" s="71">
        <f>IFERROR(__xludf.DUMMYFUNCTION("""COMPUTED_VALUE"""),0.050000000000000044)</f>
        <v>0.05</v>
      </c>
      <c r="BH1212" s="71">
        <f>IFERROR(__xludf.DUMMYFUNCTION("""COMPUTED_VALUE"""),3.9899999999999998)</f>
        <v>3.99</v>
      </c>
      <c r="BI1212" s="71">
        <f>IFERROR(__xludf.DUMMYFUNCTION("""COMPUTED_VALUE"""),0.6384)</f>
        <v>0.6384</v>
      </c>
      <c r="BJ1212" s="71">
        <f>IFERROR(__xludf.DUMMYFUNCTION("""COMPUTED_VALUE"""),4.6284)</f>
        <v>4.6284</v>
      </c>
      <c r="BK1212" s="71">
        <f>IFERROR(__xludf.DUMMYFUNCTION("""COMPUTED_VALUE"""),3.7800000000000002)</f>
        <v>3.78</v>
      </c>
      <c r="BL1212" s="71">
        <f>IFERROR(__xludf.DUMMYFUNCTION("""COMPUTED_VALUE"""),0.6048)</f>
        <v>0.6048</v>
      </c>
      <c r="BM1212" s="71">
        <f>IFERROR(__xludf.DUMMYFUNCTION("""COMPUTED_VALUE"""),4.3848)</f>
        <v>4.3848</v>
      </c>
      <c r="BN1212" s="71">
        <f>IFERROR(__xludf.DUMMYFUNCTION("""COMPUTED_VALUE"""),3.57)</f>
        <v>3.57</v>
      </c>
      <c r="BO1212" s="71">
        <f>IFERROR(__xludf.DUMMYFUNCTION("""COMPUTED_VALUE"""),0.5712)</f>
        <v>0.5712</v>
      </c>
      <c r="BP1212" s="71">
        <f>IFERROR(__xludf.DUMMYFUNCTION("""COMPUTED_VALUE"""),4.1411999999999995)</f>
        <v>4.1412</v>
      </c>
      <c r="BQ1212" s="71">
        <f>IFERROR(__xludf.DUMMYFUNCTION("""COMPUTED_VALUE"""),3.4859999999999998)</f>
        <v>3.486</v>
      </c>
      <c r="BR1212" s="71">
        <f>IFERROR(__xludf.DUMMYFUNCTION("""COMPUTED_VALUE"""),0.5577599999999999)</f>
        <v>0.55776</v>
      </c>
      <c r="BS1212" s="71">
        <f>IFERROR(__xludf.DUMMYFUNCTION("""COMPUTED_VALUE"""),4.04376)</f>
        <v>4.04376</v>
      </c>
      <c r="BT1212" s="71">
        <f>IFERROR(__xludf.DUMMYFUNCTION("""COMPUTED_VALUE"""),3.3600000000000003)</f>
        <v>3.36</v>
      </c>
      <c r="BU1212" s="71">
        <f>IFERROR(__xludf.DUMMYFUNCTION("""COMPUTED_VALUE"""),0.5376000000000001)</f>
        <v>0.5376</v>
      </c>
      <c r="BV1212" s="71">
        <f>IFERROR(__xludf.DUMMYFUNCTION("""COMPUTED_VALUE"""),3.8976000000000006)</f>
        <v>3.8976</v>
      </c>
    </row>
    <row r="1213">
      <c r="A1213" s="53">
        <v>1.0</v>
      </c>
      <c r="B1213" s="72"/>
      <c r="C1213" s="120" t="s">
        <v>12</v>
      </c>
      <c r="D1213" s="74" t="s">
        <v>2958</v>
      </c>
      <c r="E1213" s="54" t="s">
        <v>38</v>
      </c>
      <c r="F1213" s="54" t="s">
        <v>42</v>
      </c>
      <c r="G1213" s="88" t="s">
        <v>2959</v>
      </c>
      <c r="H1213" s="54" t="s">
        <v>2960</v>
      </c>
      <c r="I1213" s="54">
        <f t="shared" si="24"/>
        <v>21</v>
      </c>
      <c r="J1213" s="56"/>
      <c r="K1213" s="75"/>
      <c r="L1213" s="76"/>
      <c r="M1213" s="59"/>
      <c r="N1213" s="60">
        <v>217.0</v>
      </c>
      <c r="O1213" s="61">
        <v>234.0</v>
      </c>
      <c r="P1213" s="62">
        <v>252.72000000000003</v>
      </c>
      <c r="Q1213" s="63">
        <v>252.72000000000003</v>
      </c>
      <c r="R1213" s="64">
        <v>280.0</v>
      </c>
      <c r="S1213" s="111">
        <v>294.0</v>
      </c>
      <c r="T1213" s="65">
        <f t="shared" si="39"/>
        <v>47.04</v>
      </c>
      <c r="U1213" s="65">
        <f t="shared" si="40"/>
        <v>341.04</v>
      </c>
      <c r="V1213" s="66">
        <f t="shared" si="42"/>
        <v>0.05</v>
      </c>
      <c r="W1213" s="67">
        <f t="shared" si="5"/>
        <v>279.3</v>
      </c>
      <c r="X1213" s="67">
        <f t="shared" si="43"/>
        <v>44.688</v>
      </c>
      <c r="Y1213" s="67">
        <f t="shared" si="44"/>
        <v>323.988</v>
      </c>
      <c r="Z1213" s="67">
        <f t="shared" si="8"/>
        <v>264.6</v>
      </c>
      <c r="AA1213" s="67">
        <f t="shared" si="45"/>
        <v>42.336</v>
      </c>
      <c r="AB1213" s="67">
        <f t="shared" si="46"/>
        <v>306.936</v>
      </c>
      <c r="AC1213" s="67">
        <f t="shared" si="11"/>
        <v>249.9</v>
      </c>
      <c r="AD1213" s="67">
        <f t="shared" si="12"/>
        <v>39.984</v>
      </c>
      <c r="AE1213" s="67">
        <f t="shared" si="13"/>
        <v>289.884</v>
      </c>
      <c r="AF1213" s="67">
        <f t="shared" si="33"/>
        <v>244.02</v>
      </c>
      <c r="AG1213" s="67">
        <f t="shared" si="15"/>
        <v>39.0432</v>
      </c>
      <c r="AH1213" s="67">
        <f t="shared" si="16"/>
        <v>283.0632</v>
      </c>
      <c r="AI1213" s="67">
        <f t="shared" si="17"/>
        <v>235.2</v>
      </c>
      <c r="AJ1213" s="68">
        <f t="shared" si="37"/>
        <v>37.632</v>
      </c>
      <c r="AK1213" s="68">
        <f t="shared" si="38"/>
        <v>272.832</v>
      </c>
      <c r="AL1213" s="70">
        <f>IFERROR(__xludf.DUMMYFUNCTION("""COMPUTED_VALUE"""),1.0)</f>
        <v>1</v>
      </c>
      <c r="AM1213" s="70"/>
      <c r="AN1213" s="71" t="str">
        <f>IFERROR(__xludf.DUMMYFUNCTION("""COMPUTED_VALUE""")," C")</f>
        <v>C</v>
      </c>
      <c r="AO1213" s="71" t="str">
        <f>IFERROR(__xludf.DUMMYFUNCTION("""COMPUTED_VALUE""")," TO06")</f>
        <v>TO06</v>
      </c>
      <c r="AP1213" s="71" t="str">
        <f>IFERROR(__xludf.DUMMYFUNCTION("""COMPUTED_VALUE""")," PZA")</f>
        <v>PZA</v>
      </c>
      <c r="AQ1213" s="71" t="str">
        <f>IFERROR(__xludf.DUMMYFUNCTION("""COMPUTED_VALUE""")," REF")</f>
        <v>REF</v>
      </c>
      <c r="AR1213" s="71" t="str">
        <f>IFERROR(__xludf.DUMMYFUNCTION("""COMPUTED_VALUE""")," TORNILLO CABEZA HEXAGONAL 5/16 X 1")</f>
        <v>TORNILLO CABEZA HEXAGONAL 5/16 X 1</v>
      </c>
      <c r="AS1213" s="71" t="str">
        <f>IFERROR(__xludf.DUMMYFUNCTION("""COMPUTED_VALUE""")," TORNILLO CABEZA HEXAGONAL 5/16 X 1")</f>
        <v>TORNILLO CABEZA HEXAGONAL 5/16 X 1</v>
      </c>
      <c r="AT1213" s="71">
        <f>IFERROR(__xludf.DUMMYFUNCTION("""COMPUTED_VALUE"""),34.0)</f>
        <v>34</v>
      </c>
      <c r="AU1213" s="71"/>
      <c r="AV1213" s="71"/>
      <c r="AW1213" s="71"/>
      <c r="AX1213" s="71"/>
      <c r="AY1213" s="71">
        <f>IFERROR(__xludf.DUMMYFUNCTION("""COMPUTED_VALUE"""),3.0)</f>
        <v>3</v>
      </c>
      <c r="AZ1213" s="71">
        <f>IFERROR(__xludf.DUMMYFUNCTION("""COMPUTED_VALUE"""),3.0)</f>
        <v>3</v>
      </c>
      <c r="BA1213" s="71">
        <f>IFERROR(__xludf.DUMMYFUNCTION("""COMPUTED_VALUE"""),3.24)</f>
        <v>3.24</v>
      </c>
      <c r="BB1213" s="71">
        <f>IFERROR(__xludf.DUMMYFUNCTION("""COMPUTED_VALUE"""),3.24)</f>
        <v>3.24</v>
      </c>
      <c r="BC1213" s="71">
        <f>IFERROR(__xludf.DUMMYFUNCTION("""COMPUTED_VALUE"""),4.0)</f>
        <v>4</v>
      </c>
      <c r="BD1213" s="71">
        <f>IFERROR(__xludf.DUMMYFUNCTION("""COMPUTED_VALUE"""),4.2)</f>
        <v>4.2</v>
      </c>
      <c r="BE1213" s="71">
        <f>IFERROR(__xludf.DUMMYFUNCTION("""COMPUTED_VALUE"""),0.672)</f>
        <v>0.672</v>
      </c>
      <c r="BF1213" s="71">
        <f>IFERROR(__xludf.DUMMYFUNCTION("""COMPUTED_VALUE"""),4.872)</f>
        <v>4.872</v>
      </c>
      <c r="BG1213" s="71">
        <f>IFERROR(__xludf.DUMMYFUNCTION("""COMPUTED_VALUE"""),0.050000000000000044)</f>
        <v>0.05</v>
      </c>
      <c r="BH1213" s="71">
        <f>IFERROR(__xludf.DUMMYFUNCTION("""COMPUTED_VALUE"""),3.9899999999999998)</f>
        <v>3.99</v>
      </c>
      <c r="BI1213" s="71">
        <f>IFERROR(__xludf.DUMMYFUNCTION("""COMPUTED_VALUE"""),0.6384)</f>
        <v>0.6384</v>
      </c>
      <c r="BJ1213" s="71">
        <f>IFERROR(__xludf.DUMMYFUNCTION("""COMPUTED_VALUE"""),4.6284)</f>
        <v>4.6284</v>
      </c>
      <c r="BK1213" s="71">
        <f>IFERROR(__xludf.DUMMYFUNCTION("""COMPUTED_VALUE"""),3.7800000000000002)</f>
        <v>3.78</v>
      </c>
      <c r="BL1213" s="71">
        <f>IFERROR(__xludf.DUMMYFUNCTION("""COMPUTED_VALUE"""),0.6048)</f>
        <v>0.6048</v>
      </c>
      <c r="BM1213" s="71">
        <f>IFERROR(__xludf.DUMMYFUNCTION("""COMPUTED_VALUE"""),4.3848)</f>
        <v>4.3848</v>
      </c>
      <c r="BN1213" s="71">
        <f>IFERROR(__xludf.DUMMYFUNCTION("""COMPUTED_VALUE"""),3.57)</f>
        <v>3.57</v>
      </c>
      <c r="BO1213" s="71">
        <f>IFERROR(__xludf.DUMMYFUNCTION("""COMPUTED_VALUE"""),0.5712)</f>
        <v>0.5712</v>
      </c>
      <c r="BP1213" s="71">
        <f>IFERROR(__xludf.DUMMYFUNCTION("""COMPUTED_VALUE"""),4.1411999999999995)</f>
        <v>4.1412</v>
      </c>
      <c r="BQ1213" s="71">
        <f>IFERROR(__xludf.DUMMYFUNCTION("""COMPUTED_VALUE"""),3.4859999999999998)</f>
        <v>3.486</v>
      </c>
      <c r="BR1213" s="71">
        <f>IFERROR(__xludf.DUMMYFUNCTION("""COMPUTED_VALUE"""),0.5577599999999999)</f>
        <v>0.55776</v>
      </c>
      <c r="BS1213" s="71">
        <f>IFERROR(__xludf.DUMMYFUNCTION("""COMPUTED_VALUE"""),4.04376)</f>
        <v>4.04376</v>
      </c>
      <c r="BT1213" s="71">
        <f>IFERROR(__xludf.DUMMYFUNCTION("""COMPUTED_VALUE"""),3.3600000000000003)</f>
        <v>3.36</v>
      </c>
      <c r="BU1213" s="71">
        <f>IFERROR(__xludf.DUMMYFUNCTION("""COMPUTED_VALUE"""),0.5376000000000001)</f>
        <v>0.5376</v>
      </c>
      <c r="BV1213" s="71">
        <f>IFERROR(__xludf.DUMMYFUNCTION("""COMPUTED_VALUE"""),3.8976000000000006)</f>
        <v>3.8976</v>
      </c>
    </row>
    <row r="1214">
      <c r="A1214" s="53">
        <v>1.0</v>
      </c>
      <c r="B1214" s="72"/>
      <c r="C1214" s="120" t="s">
        <v>12</v>
      </c>
      <c r="D1214" s="74" t="s">
        <v>2961</v>
      </c>
      <c r="E1214" s="54" t="s">
        <v>38</v>
      </c>
      <c r="F1214" s="54" t="s">
        <v>42</v>
      </c>
      <c r="G1214" s="88" t="s">
        <v>2962</v>
      </c>
      <c r="H1214" s="54" t="s">
        <v>2963</v>
      </c>
      <c r="I1214" s="54">
        <f t="shared" si="24"/>
        <v>21</v>
      </c>
      <c r="J1214" s="56"/>
      <c r="K1214" s="75"/>
      <c r="L1214" s="76"/>
      <c r="M1214" s="59"/>
      <c r="N1214" s="60">
        <v>61.0</v>
      </c>
      <c r="O1214" s="61">
        <v>65.0</v>
      </c>
      <c r="P1214" s="62">
        <v>70.2</v>
      </c>
      <c r="Q1214" s="63">
        <v>70.2</v>
      </c>
      <c r="R1214" s="64">
        <v>79.0</v>
      </c>
      <c r="S1214" s="111">
        <v>83.0</v>
      </c>
      <c r="T1214" s="65">
        <f t="shared" si="39"/>
        <v>13.28</v>
      </c>
      <c r="U1214" s="65">
        <f t="shared" si="40"/>
        <v>96.28</v>
      </c>
      <c r="V1214" s="66">
        <f t="shared" si="42"/>
        <v>0.05063291139</v>
      </c>
      <c r="W1214" s="67">
        <f t="shared" si="5"/>
        <v>78.85</v>
      </c>
      <c r="X1214" s="67">
        <f t="shared" si="43"/>
        <v>12.616</v>
      </c>
      <c r="Y1214" s="67">
        <f t="shared" si="44"/>
        <v>91.466</v>
      </c>
      <c r="Z1214" s="67">
        <f t="shared" si="8"/>
        <v>74.7</v>
      </c>
      <c r="AA1214" s="67">
        <f t="shared" si="45"/>
        <v>11.952</v>
      </c>
      <c r="AB1214" s="67">
        <f t="shared" si="46"/>
        <v>86.652</v>
      </c>
      <c r="AC1214" s="67">
        <f t="shared" si="11"/>
        <v>70.55</v>
      </c>
      <c r="AD1214" s="67">
        <f t="shared" si="12"/>
        <v>11.288</v>
      </c>
      <c r="AE1214" s="67">
        <f t="shared" si="13"/>
        <v>81.838</v>
      </c>
      <c r="AF1214" s="67">
        <f t="shared" si="33"/>
        <v>68.89</v>
      </c>
      <c r="AG1214" s="67">
        <f t="shared" si="15"/>
        <v>11.0224</v>
      </c>
      <c r="AH1214" s="67">
        <f t="shared" si="16"/>
        <v>79.9124</v>
      </c>
      <c r="AI1214" s="67">
        <f t="shared" si="17"/>
        <v>66.4</v>
      </c>
      <c r="AJ1214" s="68">
        <f t="shared" si="37"/>
        <v>10.624</v>
      </c>
      <c r="AK1214" s="68">
        <f t="shared" si="38"/>
        <v>77.024</v>
      </c>
      <c r="AL1214" s="70">
        <f>IFERROR(__xludf.DUMMYFUNCTION("""COMPUTED_VALUE"""),1.0)</f>
        <v>1</v>
      </c>
      <c r="AM1214" s="70"/>
      <c r="AN1214" s="71" t="str">
        <f>IFERROR(__xludf.DUMMYFUNCTION("""COMPUTED_VALUE""")," C")</f>
        <v>C</v>
      </c>
      <c r="AO1214" s="71" t="str">
        <f>IFERROR(__xludf.DUMMYFUNCTION("""COMPUTED_VALUE""")," TO07")</f>
        <v>TO07</v>
      </c>
      <c r="AP1214" s="71" t="str">
        <f>IFERROR(__xludf.DUMMYFUNCTION("""COMPUTED_VALUE""")," PZA")</f>
        <v>PZA</v>
      </c>
      <c r="AQ1214" s="71" t="str">
        <f>IFERROR(__xludf.DUMMYFUNCTION("""COMPUTED_VALUE""")," REF")</f>
        <v>REF</v>
      </c>
      <c r="AR1214" s="71" t="str">
        <f>IFERROR(__xludf.DUMMYFUNCTION("""COMPUTED_VALUE""")," TORNILLO CABEZA HEXAGONAL 5/16 X 3/4")</f>
        <v>TORNILLO CABEZA HEXAGONAL 5/16 X 3/4</v>
      </c>
      <c r="AS1214" s="71" t="str">
        <f>IFERROR(__xludf.DUMMYFUNCTION("""COMPUTED_VALUE""")," TORNILLO CABEZA HEXAGONAL 5/16 X 3/4")</f>
        <v>TORNILLO CABEZA HEXAGONAL 5/16 X 3/4</v>
      </c>
      <c r="AT1214" s="71">
        <f>IFERROR(__xludf.DUMMYFUNCTION("""COMPUTED_VALUE"""),36.0)</f>
        <v>36</v>
      </c>
      <c r="AU1214" s="71"/>
      <c r="AV1214" s="71"/>
      <c r="AW1214" s="71"/>
      <c r="AX1214" s="71"/>
      <c r="AY1214" s="71">
        <f>IFERROR(__xludf.DUMMYFUNCTION("""COMPUTED_VALUE"""),3.0)</f>
        <v>3</v>
      </c>
      <c r="AZ1214" s="71">
        <f>IFERROR(__xludf.DUMMYFUNCTION("""COMPUTED_VALUE"""),3.0)</f>
        <v>3</v>
      </c>
      <c r="BA1214" s="71">
        <f>IFERROR(__xludf.DUMMYFUNCTION("""COMPUTED_VALUE"""),3.24)</f>
        <v>3.24</v>
      </c>
      <c r="BB1214" s="71">
        <f>IFERROR(__xludf.DUMMYFUNCTION("""COMPUTED_VALUE"""),3.24)</f>
        <v>3.24</v>
      </c>
      <c r="BC1214" s="71">
        <f>IFERROR(__xludf.DUMMYFUNCTION("""COMPUTED_VALUE"""),4.0)</f>
        <v>4</v>
      </c>
      <c r="BD1214" s="71">
        <f>IFERROR(__xludf.DUMMYFUNCTION("""COMPUTED_VALUE"""),4.2)</f>
        <v>4.2</v>
      </c>
      <c r="BE1214" s="71">
        <f>IFERROR(__xludf.DUMMYFUNCTION("""COMPUTED_VALUE"""),0.672)</f>
        <v>0.672</v>
      </c>
      <c r="BF1214" s="71">
        <f>IFERROR(__xludf.DUMMYFUNCTION("""COMPUTED_VALUE"""),4.872)</f>
        <v>4.872</v>
      </c>
      <c r="BG1214" s="71">
        <f>IFERROR(__xludf.DUMMYFUNCTION("""COMPUTED_VALUE"""),0.050000000000000044)</f>
        <v>0.05</v>
      </c>
      <c r="BH1214" s="71">
        <f>IFERROR(__xludf.DUMMYFUNCTION("""COMPUTED_VALUE"""),3.9899999999999998)</f>
        <v>3.99</v>
      </c>
      <c r="BI1214" s="71">
        <f>IFERROR(__xludf.DUMMYFUNCTION("""COMPUTED_VALUE"""),0.6384)</f>
        <v>0.6384</v>
      </c>
      <c r="BJ1214" s="71">
        <f>IFERROR(__xludf.DUMMYFUNCTION("""COMPUTED_VALUE"""),4.6284)</f>
        <v>4.6284</v>
      </c>
      <c r="BK1214" s="71">
        <f>IFERROR(__xludf.DUMMYFUNCTION("""COMPUTED_VALUE"""),3.7800000000000002)</f>
        <v>3.78</v>
      </c>
      <c r="BL1214" s="71">
        <f>IFERROR(__xludf.DUMMYFUNCTION("""COMPUTED_VALUE"""),0.6048)</f>
        <v>0.6048</v>
      </c>
      <c r="BM1214" s="71">
        <f>IFERROR(__xludf.DUMMYFUNCTION("""COMPUTED_VALUE"""),4.3848)</f>
        <v>4.3848</v>
      </c>
      <c r="BN1214" s="71">
        <f>IFERROR(__xludf.DUMMYFUNCTION("""COMPUTED_VALUE"""),3.57)</f>
        <v>3.57</v>
      </c>
      <c r="BO1214" s="71">
        <f>IFERROR(__xludf.DUMMYFUNCTION("""COMPUTED_VALUE"""),0.5712)</f>
        <v>0.5712</v>
      </c>
      <c r="BP1214" s="71">
        <f>IFERROR(__xludf.DUMMYFUNCTION("""COMPUTED_VALUE"""),4.1411999999999995)</f>
        <v>4.1412</v>
      </c>
      <c r="BQ1214" s="71">
        <f>IFERROR(__xludf.DUMMYFUNCTION("""COMPUTED_VALUE"""),3.4859999999999998)</f>
        <v>3.486</v>
      </c>
      <c r="BR1214" s="71">
        <f>IFERROR(__xludf.DUMMYFUNCTION("""COMPUTED_VALUE"""),0.5577599999999999)</f>
        <v>0.55776</v>
      </c>
      <c r="BS1214" s="71">
        <f>IFERROR(__xludf.DUMMYFUNCTION("""COMPUTED_VALUE"""),4.04376)</f>
        <v>4.04376</v>
      </c>
      <c r="BT1214" s="71">
        <f>IFERROR(__xludf.DUMMYFUNCTION("""COMPUTED_VALUE"""),3.3600000000000003)</f>
        <v>3.36</v>
      </c>
      <c r="BU1214" s="71">
        <f>IFERROR(__xludf.DUMMYFUNCTION("""COMPUTED_VALUE"""),0.5376000000000001)</f>
        <v>0.5376</v>
      </c>
      <c r="BV1214" s="71">
        <f>IFERROR(__xludf.DUMMYFUNCTION("""COMPUTED_VALUE"""),3.8976000000000006)</f>
        <v>3.8976</v>
      </c>
    </row>
    <row r="1215">
      <c r="A1215" s="53">
        <v>1.0</v>
      </c>
      <c r="B1215" s="53"/>
      <c r="C1215" s="53" t="s">
        <v>12</v>
      </c>
      <c r="D1215" s="53" t="s">
        <v>2964</v>
      </c>
      <c r="E1215" s="86" t="s">
        <v>38</v>
      </c>
      <c r="F1215" s="91" t="s">
        <v>42</v>
      </c>
      <c r="G1215" s="84" t="s">
        <v>2965</v>
      </c>
      <c r="H1215" s="84" t="s">
        <v>2965</v>
      </c>
      <c r="I1215" s="54">
        <f t="shared" si="24"/>
        <v>27</v>
      </c>
      <c r="J1215" s="56"/>
      <c r="K1215" s="57"/>
      <c r="L1215" s="119"/>
      <c r="M1215" s="59"/>
      <c r="N1215" s="93"/>
      <c r="O1215" s="61"/>
      <c r="P1215" s="90"/>
      <c r="Q1215" s="94"/>
      <c r="R1215" s="64">
        <v>99.0</v>
      </c>
      <c r="S1215" s="65">
        <v>90.0</v>
      </c>
      <c r="T1215" s="65">
        <f t="shared" si="39"/>
        <v>14.4</v>
      </c>
      <c r="U1215" s="65">
        <f t="shared" si="40"/>
        <v>104.4</v>
      </c>
      <c r="V1215" s="66">
        <f t="shared" si="42"/>
        <v>-0.09090909091</v>
      </c>
      <c r="W1215" s="67">
        <f t="shared" si="5"/>
        <v>85.5</v>
      </c>
      <c r="X1215" s="67">
        <f t="shared" si="43"/>
        <v>13.68</v>
      </c>
      <c r="Y1215" s="67">
        <f t="shared" si="44"/>
        <v>99.18</v>
      </c>
      <c r="Z1215" s="67">
        <f t="shared" si="8"/>
        <v>81</v>
      </c>
      <c r="AA1215" s="67">
        <f t="shared" si="45"/>
        <v>12.96</v>
      </c>
      <c r="AB1215" s="67">
        <f t="shared" si="46"/>
        <v>93.96</v>
      </c>
      <c r="AC1215" s="67">
        <f t="shared" si="11"/>
        <v>76.5</v>
      </c>
      <c r="AD1215" s="67">
        <f t="shared" si="12"/>
        <v>12.24</v>
      </c>
      <c r="AE1215" s="67">
        <f t="shared" si="13"/>
        <v>88.74</v>
      </c>
      <c r="AF1215" s="67">
        <f t="shared" si="33"/>
        <v>74.7</v>
      </c>
      <c r="AG1215" s="67">
        <f t="shared" si="15"/>
        <v>11.952</v>
      </c>
      <c r="AH1215" s="67">
        <f t="shared" si="16"/>
        <v>86.652</v>
      </c>
      <c r="AI1215" s="67">
        <f t="shared" si="17"/>
        <v>72</v>
      </c>
      <c r="AJ1215" s="96"/>
      <c r="AK1215" s="96"/>
      <c r="AL1215" s="70">
        <f>IFERROR(__xludf.DUMMYFUNCTION("""COMPUTED_VALUE"""),1.0)</f>
        <v>1</v>
      </c>
      <c r="AM1215" s="70"/>
      <c r="AN1215" s="71" t="str">
        <f>IFERROR(__xludf.DUMMYFUNCTION("""COMPUTED_VALUE""")," C")</f>
        <v>C</v>
      </c>
      <c r="AO1215" s="71" t="str">
        <f>IFERROR(__xludf.DUMMYFUNCTION("""COMPUTED_VALUE""")," TO08")</f>
        <v>TO08</v>
      </c>
      <c r="AP1215" s="71" t="str">
        <f>IFERROR(__xludf.DUMMYFUNCTION("""COMPUTED_VALUE""")," PZA")</f>
        <v>PZA</v>
      </c>
      <c r="AQ1215" s="71" t="str">
        <f>IFERROR(__xludf.DUMMYFUNCTION("""COMPUTED_VALUE""")," REF")</f>
        <v>REF</v>
      </c>
      <c r="AR1215" s="71" t="str">
        <f>IFERROR(__xludf.DUMMYFUNCTION("""COMPUTED_VALUE""")," TORNILLO CABEZA HEXAGONAL 7/16 X 1")</f>
        <v>TORNILLO CABEZA HEXAGONAL 7/16 X 1</v>
      </c>
      <c r="AS1215" s="71" t="str">
        <f>IFERROR(__xludf.DUMMYFUNCTION("""COMPUTED_VALUE""")," TORNILLO CABEZA HEXAGONAL 7/16 X 1")</f>
        <v>TORNILLO CABEZA HEXAGONAL 7/16 X 1</v>
      </c>
      <c r="AT1215" s="71">
        <f>IFERROR(__xludf.DUMMYFUNCTION("""COMPUTED_VALUE"""),34.0)</f>
        <v>34</v>
      </c>
      <c r="AU1215" s="71"/>
      <c r="AV1215" s="71"/>
      <c r="AW1215" s="71"/>
      <c r="AX1215" s="71"/>
      <c r="AY1215" s="71">
        <f>IFERROR(__xludf.DUMMYFUNCTION("""COMPUTED_VALUE"""),5.0)</f>
        <v>5</v>
      </c>
      <c r="AZ1215" s="71">
        <f>IFERROR(__xludf.DUMMYFUNCTION("""COMPUTED_VALUE"""),5.0)</f>
        <v>5</v>
      </c>
      <c r="BA1215" s="71">
        <f>IFERROR(__xludf.DUMMYFUNCTION("""COMPUTED_VALUE"""),5.4)</f>
        <v>5.4</v>
      </c>
      <c r="BB1215" s="71">
        <f>IFERROR(__xludf.DUMMYFUNCTION("""COMPUTED_VALUE"""),5.4)</f>
        <v>5.4</v>
      </c>
      <c r="BC1215" s="71">
        <f>IFERROR(__xludf.DUMMYFUNCTION("""COMPUTED_VALUE"""),6.0)</f>
        <v>6</v>
      </c>
      <c r="BD1215" s="71">
        <f>IFERROR(__xludf.DUMMYFUNCTION("""COMPUTED_VALUE"""),6.300000000000001)</f>
        <v>6.3</v>
      </c>
      <c r="BE1215" s="71">
        <f>IFERROR(__xludf.DUMMYFUNCTION("""COMPUTED_VALUE"""),1.0080000000000002)</f>
        <v>1.008</v>
      </c>
      <c r="BF1215" s="71">
        <f>IFERROR(__xludf.DUMMYFUNCTION("""COMPUTED_VALUE"""),7.308000000000001)</f>
        <v>7.308</v>
      </c>
      <c r="BG1215" s="71">
        <f>IFERROR(__xludf.DUMMYFUNCTION("""COMPUTED_VALUE"""),0.05000000000000012)</f>
        <v>0.05</v>
      </c>
      <c r="BH1215" s="71">
        <f>IFERROR(__xludf.DUMMYFUNCTION("""COMPUTED_VALUE"""),5.985)</f>
        <v>5.985</v>
      </c>
      <c r="BI1215" s="71">
        <f>IFERROR(__xludf.DUMMYFUNCTION("""COMPUTED_VALUE"""),0.9576000000000001)</f>
        <v>0.9576</v>
      </c>
      <c r="BJ1215" s="71">
        <f>IFERROR(__xludf.DUMMYFUNCTION("""COMPUTED_VALUE"""),6.9426000000000005)</f>
        <v>6.9426</v>
      </c>
      <c r="BK1215" s="71">
        <f>IFERROR(__xludf.DUMMYFUNCTION("""COMPUTED_VALUE"""),5.670000000000001)</f>
        <v>5.67</v>
      </c>
      <c r="BL1215" s="71">
        <f>IFERROR(__xludf.DUMMYFUNCTION("""COMPUTED_VALUE"""),0.9072000000000001)</f>
        <v>0.9072</v>
      </c>
      <c r="BM1215" s="71">
        <f>IFERROR(__xludf.DUMMYFUNCTION("""COMPUTED_VALUE"""),6.577200000000001)</f>
        <v>6.5772</v>
      </c>
      <c r="BN1215" s="71">
        <f>IFERROR(__xludf.DUMMYFUNCTION("""COMPUTED_VALUE"""),5.355)</f>
        <v>5.355</v>
      </c>
      <c r="BO1215" s="71">
        <f>IFERROR(__xludf.DUMMYFUNCTION("""COMPUTED_VALUE"""),0.8568000000000001)</f>
        <v>0.8568</v>
      </c>
      <c r="BP1215" s="71">
        <f>IFERROR(__xludf.DUMMYFUNCTION("""COMPUTED_VALUE"""),6.2118)</f>
        <v>6.2118</v>
      </c>
      <c r="BQ1215" s="71">
        <f>IFERROR(__xludf.DUMMYFUNCTION("""COMPUTED_VALUE"""),5.229)</f>
        <v>5.229</v>
      </c>
      <c r="BR1215" s="71">
        <f>IFERROR(__xludf.DUMMYFUNCTION("""COMPUTED_VALUE"""),0.83664)</f>
        <v>0.83664</v>
      </c>
      <c r="BS1215" s="71">
        <f>IFERROR(__xludf.DUMMYFUNCTION("""COMPUTED_VALUE"""),6.06564)</f>
        <v>6.06564</v>
      </c>
      <c r="BT1215" s="71">
        <f>IFERROR(__xludf.DUMMYFUNCTION("""COMPUTED_VALUE"""),5.040000000000001)</f>
        <v>5.04</v>
      </c>
      <c r="BU1215" s="71">
        <f>IFERROR(__xludf.DUMMYFUNCTION("""COMPUTED_VALUE"""),0.8064000000000001)</f>
        <v>0.8064</v>
      </c>
      <c r="BV1215" s="71">
        <f>IFERROR(__xludf.DUMMYFUNCTION("""COMPUTED_VALUE"""),5.846400000000001)</f>
        <v>5.8464</v>
      </c>
    </row>
    <row r="1216">
      <c r="A1216" s="53">
        <v>1.0</v>
      </c>
      <c r="B1216" s="72"/>
      <c r="C1216" s="120" t="s">
        <v>12</v>
      </c>
      <c r="D1216" s="74" t="s">
        <v>2966</v>
      </c>
      <c r="E1216" s="54" t="s">
        <v>38</v>
      </c>
      <c r="F1216" s="54" t="s">
        <v>42</v>
      </c>
      <c r="G1216" s="54" t="s">
        <v>2967</v>
      </c>
      <c r="H1216" s="54" t="s">
        <v>2968</v>
      </c>
      <c r="I1216" s="54">
        <f t="shared" si="24"/>
        <v>26</v>
      </c>
      <c r="J1216" s="56"/>
      <c r="K1216" s="75"/>
      <c r="L1216" s="153"/>
      <c r="M1216" s="59"/>
      <c r="N1216" s="60">
        <v>87.0</v>
      </c>
      <c r="O1216" s="61">
        <v>93.0</v>
      </c>
      <c r="P1216" s="62">
        <v>100.44000000000001</v>
      </c>
      <c r="Q1216" s="63">
        <v>100.44000000000001</v>
      </c>
      <c r="R1216" s="78">
        <v>99.0</v>
      </c>
      <c r="S1216" s="111">
        <v>104.0</v>
      </c>
      <c r="T1216" s="65">
        <f t="shared" si="39"/>
        <v>16.64</v>
      </c>
      <c r="U1216" s="65">
        <f t="shared" si="40"/>
        <v>120.64</v>
      </c>
      <c r="V1216" s="66">
        <f t="shared" si="42"/>
        <v>0.05050505051</v>
      </c>
      <c r="W1216" s="67">
        <f t="shared" si="5"/>
        <v>98.8</v>
      </c>
      <c r="X1216" s="67">
        <f t="shared" si="43"/>
        <v>15.808</v>
      </c>
      <c r="Y1216" s="67">
        <f t="shared" si="44"/>
        <v>114.608</v>
      </c>
      <c r="Z1216" s="67">
        <f t="shared" si="8"/>
        <v>93.6</v>
      </c>
      <c r="AA1216" s="67">
        <f t="shared" si="45"/>
        <v>14.976</v>
      </c>
      <c r="AB1216" s="67">
        <f t="shared" si="46"/>
        <v>108.576</v>
      </c>
      <c r="AC1216" s="67">
        <f t="shared" si="11"/>
        <v>88.4</v>
      </c>
      <c r="AD1216" s="67">
        <f t="shared" si="12"/>
        <v>14.144</v>
      </c>
      <c r="AE1216" s="67">
        <f t="shared" si="13"/>
        <v>102.544</v>
      </c>
      <c r="AF1216" s="67">
        <f t="shared" si="33"/>
        <v>86.32</v>
      </c>
      <c r="AG1216" s="67">
        <f t="shared" si="15"/>
        <v>13.8112</v>
      </c>
      <c r="AH1216" s="67">
        <f t="shared" si="16"/>
        <v>100.1312</v>
      </c>
      <c r="AI1216" s="67">
        <f t="shared" si="17"/>
        <v>83.2</v>
      </c>
      <c r="AJ1216" s="68">
        <f t="shared" ref="AJ1216:AJ1480" si="47">AI1216*0.16</f>
        <v>13.312</v>
      </c>
      <c r="AK1216" s="68">
        <f t="shared" ref="AK1216:AK1480" si="48">AI1216+AJ1216</f>
        <v>96.512</v>
      </c>
      <c r="AL1216" s="70">
        <f>IFERROR(__xludf.DUMMYFUNCTION("""COMPUTED_VALUE"""),1.0)</f>
        <v>1</v>
      </c>
      <c r="AM1216" s="70"/>
      <c r="AN1216" s="71" t="str">
        <f>IFERROR(__xludf.DUMMYFUNCTION("""COMPUTED_VALUE""")," C")</f>
        <v>C</v>
      </c>
      <c r="AO1216" s="71" t="str">
        <f>IFERROR(__xludf.DUMMYFUNCTION("""COMPUTED_VALUE""")," TO09")</f>
        <v>TO09</v>
      </c>
      <c r="AP1216" s="71" t="str">
        <f>IFERROR(__xludf.DUMMYFUNCTION("""COMPUTED_VALUE""")," PZA")</f>
        <v>PZA</v>
      </c>
      <c r="AQ1216" s="71" t="str">
        <f>IFERROR(__xludf.DUMMYFUNCTION("""COMPUTED_VALUE""")," REF")</f>
        <v>REF</v>
      </c>
      <c r="AR1216" s="71" t="str">
        <f>IFERROR(__xludf.DUMMYFUNCTION("""COMPUTED_VALUE""")," TORNILLO CABEZA HEXAGONAL DE (3/4 A 1""1/2)")</f>
        <v>TORNILLO CABEZA HEXAGONAL DE (3/4 A 1"1/2)</v>
      </c>
      <c r="AS1216" s="71" t="str">
        <f>IFERROR(__xludf.DUMMYFUNCTION("""COMPUTED_VALUE""")," TORNILLO CABEZA HEXAGONAL 3/4-1 1/2")</f>
        <v>TORNILLO CABEZA HEXAGONAL 3/4-1 1/2</v>
      </c>
      <c r="AT1216" s="71">
        <f>IFERROR(__xludf.DUMMYFUNCTION("""COMPUTED_VALUE"""),35.0)</f>
        <v>35</v>
      </c>
      <c r="AU1216" s="71"/>
      <c r="AV1216" s="71"/>
      <c r="AW1216" s="71"/>
      <c r="AX1216" s="71"/>
      <c r="AY1216" s="71">
        <f>IFERROR(__xludf.DUMMYFUNCTION("""COMPUTED_VALUE"""),23.0)</f>
        <v>23</v>
      </c>
      <c r="AZ1216" s="71">
        <f>IFERROR(__xludf.DUMMYFUNCTION("""COMPUTED_VALUE"""),24.0)</f>
        <v>24</v>
      </c>
      <c r="BA1216" s="71">
        <f>IFERROR(__xludf.DUMMYFUNCTION("""COMPUTED_VALUE"""),25.92)</f>
        <v>25.92</v>
      </c>
      <c r="BB1216" s="71">
        <f>IFERROR(__xludf.DUMMYFUNCTION("""COMPUTED_VALUE"""),25.92)</f>
        <v>25.92</v>
      </c>
      <c r="BC1216" s="71">
        <f>IFERROR(__xludf.DUMMYFUNCTION("""COMPUTED_VALUE"""),30.0)</f>
        <v>30</v>
      </c>
      <c r="BD1216" s="71">
        <f>IFERROR(__xludf.DUMMYFUNCTION("""COMPUTED_VALUE"""),32.0)</f>
        <v>32</v>
      </c>
      <c r="BE1216" s="71">
        <f>IFERROR(__xludf.DUMMYFUNCTION("""COMPUTED_VALUE"""),5.12)</f>
        <v>5.12</v>
      </c>
      <c r="BF1216" s="71">
        <f>IFERROR(__xludf.DUMMYFUNCTION("""COMPUTED_VALUE"""),37.12)</f>
        <v>37.12</v>
      </c>
      <c r="BG1216" s="71">
        <f>IFERROR(__xludf.DUMMYFUNCTION("""COMPUTED_VALUE"""),0.06666666666666667)</f>
        <v>0.06666666667</v>
      </c>
      <c r="BH1216" s="71">
        <f>IFERROR(__xludf.DUMMYFUNCTION("""COMPUTED_VALUE"""),30.4)</f>
        <v>30.4</v>
      </c>
      <c r="BI1216" s="71">
        <f>IFERROR(__xludf.DUMMYFUNCTION("""COMPUTED_VALUE"""),4.864)</f>
        <v>4.864</v>
      </c>
      <c r="BJ1216" s="71">
        <f>IFERROR(__xludf.DUMMYFUNCTION("""COMPUTED_VALUE"""),35.263999999999996)</f>
        <v>35.264</v>
      </c>
      <c r="BK1216" s="71">
        <f>IFERROR(__xludf.DUMMYFUNCTION("""COMPUTED_VALUE"""),28.8)</f>
        <v>28.8</v>
      </c>
      <c r="BL1216" s="71">
        <f>IFERROR(__xludf.DUMMYFUNCTION("""COMPUTED_VALUE"""),4.6080000000000005)</f>
        <v>4.608</v>
      </c>
      <c r="BM1216" s="71">
        <f>IFERROR(__xludf.DUMMYFUNCTION("""COMPUTED_VALUE"""),33.408)</f>
        <v>33.408</v>
      </c>
      <c r="BN1216" s="71">
        <f>IFERROR(__xludf.DUMMYFUNCTION("""COMPUTED_VALUE"""),27.2)</f>
        <v>27.2</v>
      </c>
      <c r="BO1216" s="71">
        <f>IFERROR(__xludf.DUMMYFUNCTION("""COMPUTED_VALUE"""),4.352)</f>
        <v>4.352</v>
      </c>
      <c r="BP1216" s="71">
        <f>IFERROR(__xludf.DUMMYFUNCTION("""COMPUTED_VALUE"""),31.552)</f>
        <v>31.552</v>
      </c>
      <c r="BQ1216" s="71">
        <f>IFERROR(__xludf.DUMMYFUNCTION("""COMPUTED_VALUE"""),26.56)</f>
        <v>26.56</v>
      </c>
      <c r="BR1216" s="71">
        <f>IFERROR(__xludf.DUMMYFUNCTION("""COMPUTED_VALUE"""),4.2496)</f>
        <v>4.2496</v>
      </c>
      <c r="BS1216" s="71">
        <f>IFERROR(__xludf.DUMMYFUNCTION("""COMPUTED_VALUE"""),30.8096)</f>
        <v>30.8096</v>
      </c>
      <c r="BT1216" s="71">
        <f>IFERROR(__xludf.DUMMYFUNCTION("""COMPUTED_VALUE"""),25.6)</f>
        <v>25.6</v>
      </c>
      <c r="BU1216" s="71">
        <f>IFERROR(__xludf.DUMMYFUNCTION("""COMPUTED_VALUE"""),4.096)</f>
        <v>4.096</v>
      </c>
      <c r="BV1216" s="71">
        <f>IFERROR(__xludf.DUMMYFUNCTION("""COMPUTED_VALUE"""),29.696)</f>
        <v>29.696</v>
      </c>
    </row>
    <row r="1217">
      <c r="A1217" s="53">
        <v>1.0</v>
      </c>
      <c r="B1217" s="72"/>
      <c r="C1217" s="120" t="s">
        <v>12</v>
      </c>
      <c r="D1217" s="74" t="s">
        <v>2969</v>
      </c>
      <c r="E1217" s="54" t="s">
        <v>38</v>
      </c>
      <c r="F1217" s="54" t="s">
        <v>42</v>
      </c>
      <c r="G1217" s="55" t="s">
        <v>2970</v>
      </c>
      <c r="H1217" s="54" t="s">
        <v>2971</v>
      </c>
      <c r="I1217" s="54">
        <f t="shared" si="24"/>
        <v>26</v>
      </c>
      <c r="J1217" s="56"/>
      <c r="K1217" s="75"/>
      <c r="L1217" s="153"/>
      <c r="M1217" s="59"/>
      <c r="N1217" s="60">
        <v>168.0</v>
      </c>
      <c r="O1217" s="61">
        <v>181.0</v>
      </c>
      <c r="P1217" s="62">
        <v>195.48000000000002</v>
      </c>
      <c r="Q1217" s="63">
        <v>195.48000000000002</v>
      </c>
      <c r="R1217" s="78">
        <v>188.91</v>
      </c>
      <c r="S1217" s="111">
        <v>198.0</v>
      </c>
      <c r="T1217" s="65">
        <f t="shared" si="39"/>
        <v>31.68</v>
      </c>
      <c r="U1217" s="65">
        <f t="shared" si="40"/>
        <v>229.68</v>
      </c>
      <c r="V1217" s="66">
        <f t="shared" si="42"/>
        <v>0.0481181515</v>
      </c>
      <c r="W1217" s="67">
        <f t="shared" si="5"/>
        <v>188.1</v>
      </c>
      <c r="X1217" s="67">
        <f t="shared" si="43"/>
        <v>30.096</v>
      </c>
      <c r="Y1217" s="67">
        <f t="shared" si="44"/>
        <v>218.196</v>
      </c>
      <c r="Z1217" s="67">
        <f t="shared" si="8"/>
        <v>178.2</v>
      </c>
      <c r="AA1217" s="67">
        <f t="shared" si="45"/>
        <v>28.512</v>
      </c>
      <c r="AB1217" s="67">
        <f t="shared" si="46"/>
        <v>206.712</v>
      </c>
      <c r="AC1217" s="67">
        <f t="shared" si="11"/>
        <v>168.3</v>
      </c>
      <c r="AD1217" s="67">
        <f t="shared" si="12"/>
        <v>26.928</v>
      </c>
      <c r="AE1217" s="67">
        <f t="shared" si="13"/>
        <v>195.228</v>
      </c>
      <c r="AF1217" s="67">
        <f t="shared" si="33"/>
        <v>164.34</v>
      </c>
      <c r="AG1217" s="67">
        <f t="shared" si="15"/>
        <v>26.2944</v>
      </c>
      <c r="AH1217" s="67">
        <f t="shared" si="16"/>
        <v>190.6344</v>
      </c>
      <c r="AI1217" s="67">
        <f t="shared" si="17"/>
        <v>158.4</v>
      </c>
      <c r="AJ1217" s="68">
        <f t="shared" si="47"/>
        <v>25.344</v>
      </c>
      <c r="AK1217" s="68">
        <f t="shared" si="48"/>
        <v>183.744</v>
      </c>
      <c r="AL1217" s="70">
        <f>IFERROR(__xludf.DUMMYFUNCTION("""COMPUTED_VALUE"""),1.0)</f>
        <v>1</v>
      </c>
      <c r="AM1217" s="70"/>
      <c r="AN1217" s="71" t="str">
        <f>IFERROR(__xludf.DUMMYFUNCTION("""COMPUTED_VALUE""")," C")</f>
        <v>C</v>
      </c>
      <c r="AO1217" s="71" t="str">
        <f>IFERROR(__xludf.DUMMYFUNCTION("""COMPUTED_VALUE""")," TO10")</f>
        <v>TO10</v>
      </c>
      <c r="AP1217" s="71" t="str">
        <f>IFERROR(__xludf.DUMMYFUNCTION("""COMPUTED_VALUE""")," PZA")</f>
        <v>PZA</v>
      </c>
      <c r="AQ1217" s="71" t="str">
        <f>IFERROR(__xludf.DUMMYFUNCTION("""COMPUTED_VALUE""")," REF")</f>
        <v>REF</v>
      </c>
      <c r="AR1217" s="71" t="str">
        <f>IFERROR(__xludf.DUMMYFUNCTION("""COMPUTED_VALUE""")," TORNILLO SET CABEZA CUADRADA SET 1/4 X 1/2 PARA TRINQUETE (OPRESOR CABEZA CUADRADA)")</f>
        <v>TORNILLO SET CABEZA CUADRADA SET 1/4 X 1/2 PARA TRINQUETE (OPRESOR CABEZA CUADRADA)</v>
      </c>
      <c r="AS1217" s="71" t="str">
        <f>IFERROR(__xludf.DUMMYFUNCTION("""COMPUTED_VALUE""")," TORNILLO SET CAB CUAD 1/4X1/2 P/TRINQUET")</f>
        <v>TORNILLO SET CAB CUAD 1/4X1/2 P/TRINQUET</v>
      </c>
      <c r="AT1217" s="71">
        <f>IFERROR(__xludf.DUMMYFUNCTION("""COMPUTED_VALUE"""),40.0)</f>
        <v>40</v>
      </c>
      <c r="AU1217" s="71"/>
      <c r="AV1217" s="71"/>
      <c r="AW1217" s="71"/>
      <c r="AX1217" s="71"/>
      <c r="AY1217" s="71">
        <f>IFERROR(__xludf.DUMMYFUNCTION("""COMPUTED_VALUE"""),5.0)</f>
        <v>5</v>
      </c>
      <c r="AZ1217" s="71">
        <f>IFERROR(__xludf.DUMMYFUNCTION("""COMPUTED_VALUE"""),5.0)</f>
        <v>5</v>
      </c>
      <c r="BA1217" s="71">
        <f>IFERROR(__xludf.DUMMYFUNCTION("""COMPUTED_VALUE"""),5.4)</f>
        <v>5.4</v>
      </c>
      <c r="BB1217" s="71">
        <f>IFERROR(__xludf.DUMMYFUNCTION("""COMPUTED_VALUE"""),5.4)</f>
        <v>5.4</v>
      </c>
      <c r="BC1217" s="71">
        <f>IFERROR(__xludf.DUMMYFUNCTION("""COMPUTED_VALUE"""),6.0)</f>
        <v>6</v>
      </c>
      <c r="BD1217" s="71">
        <f>IFERROR(__xludf.DUMMYFUNCTION("""COMPUTED_VALUE"""),6.300000000000001)</f>
        <v>6.3</v>
      </c>
      <c r="BE1217" s="71">
        <f>IFERROR(__xludf.DUMMYFUNCTION("""COMPUTED_VALUE"""),1.0080000000000002)</f>
        <v>1.008</v>
      </c>
      <c r="BF1217" s="71">
        <f>IFERROR(__xludf.DUMMYFUNCTION("""COMPUTED_VALUE"""),7.308000000000001)</f>
        <v>7.308</v>
      </c>
      <c r="BG1217" s="71">
        <f>IFERROR(__xludf.DUMMYFUNCTION("""COMPUTED_VALUE"""),0.05000000000000012)</f>
        <v>0.05</v>
      </c>
      <c r="BH1217" s="71">
        <f>IFERROR(__xludf.DUMMYFUNCTION("""COMPUTED_VALUE"""),5.985)</f>
        <v>5.985</v>
      </c>
      <c r="BI1217" s="71">
        <f>IFERROR(__xludf.DUMMYFUNCTION("""COMPUTED_VALUE"""),0.9576000000000001)</f>
        <v>0.9576</v>
      </c>
      <c r="BJ1217" s="71">
        <f>IFERROR(__xludf.DUMMYFUNCTION("""COMPUTED_VALUE"""),6.9426000000000005)</f>
        <v>6.9426</v>
      </c>
      <c r="BK1217" s="71">
        <f>IFERROR(__xludf.DUMMYFUNCTION("""COMPUTED_VALUE"""),5.670000000000001)</f>
        <v>5.67</v>
      </c>
      <c r="BL1217" s="71">
        <f>IFERROR(__xludf.DUMMYFUNCTION("""COMPUTED_VALUE"""),0.9072000000000001)</f>
        <v>0.9072</v>
      </c>
      <c r="BM1217" s="71">
        <f>IFERROR(__xludf.DUMMYFUNCTION("""COMPUTED_VALUE"""),6.577200000000001)</f>
        <v>6.5772</v>
      </c>
      <c r="BN1217" s="71">
        <f>IFERROR(__xludf.DUMMYFUNCTION("""COMPUTED_VALUE"""),5.355)</f>
        <v>5.355</v>
      </c>
      <c r="BO1217" s="71">
        <f>IFERROR(__xludf.DUMMYFUNCTION("""COMPUTED_VALUE"""),0.8568000000000001)</f>
        <v>0.8568</v>
      </c>
      <c r="BP1217" s="71">
        <f>IFERROR(__xludf.DUMMYFUNCTION("""COMPUTED_VALUE"""),6.2118)</f>
        <v>6.2118</v>
      </c>
      <c r="BQ1217" s="71">
        <f>IFERROR(__xludf.DUMMYFUNCTION("""COMPUTED_VALUE"""),5.229)</f>
        <v>5.229</v>
      </c>
      <c r="BR1217" s="71">
        <f>IFERROR(__xludf.DUMMYFUNCTION("""COMPUTED_VALUE"""),0.83664)</f>
        <v>0.83664</v>
      </c>
      <c r="BS1217" s="71">
        <f>IFERROR(__xludf.DUMMYFUNCTION("""COMPUTED_VALUE"""),6.06564)</f>
        <v>6.06564</v>
      </c>
      <c r="BT1217" s="71">
        <f>IFERROR(__xludf.DUMMYFUNCTION("""COMPUTED_VALUE"""),5.040000000000001)</f>
        <v>5.04</v>
      </c>
      <c r="BU1217" s="71">
        <f>IFERROR(__xludf.DUMMYFUNCTION("""COMPUTED_VALUE"""),0.8064000000000001)</f>
        <v>0.8064</v>
      </c>
      <c r="BV1217" s="71">
        <f>IFERROR(__xludf.DUMMYFUNCTION("""COMPUTED_VALUE"""),5.846400000000001)</f>
        <v>5.8464</v>
      </c>
    </row>
    <row r="1218">
      <c r="A1218" s="53">
        <v>1.0</v>
      </c>
      <c r="B1218" s="72"/>
      <c r="C1218" s="120" t="s">
        <v>12</v>
      </c>
      <c r="D1218" s="74" t="s">
        <v>2972</v>
      </c>
      <c r="E1218" s="54" t="s">
        <v>38</v>
      </c>
      <c r="F1218" s="54" t="s">
        <v>42</v>
      </c>
      <c r="G1218" s="55" t="s">
        <v>2973</v>
      </c>
      <c r="H1218" s="54" t="s">
        <v>2974</v>
      </c>
      <c r="I1218" s="54">
        <f t="shared" si="24"/>
        <v>28</v>
      </c>
      <c r="J1218" s="56"/>
      <c r="K1218" s="75"/>
      <c r="L1218" s="76"/>
      <c r="M1218" s="59"/>
      <c r="N1218" s="60">
        <v>73.0</v>
      </c>
      <c r="O1218" s="61">
        <v>78.0</v>
      </c>
      <c r="P1218" s="62">
        <v>84.24000000000001</v>
      </c>
      <c r="Q1218" s="63">
        <v>84.24000000000001</v>
      </c>
      <c r="R1218" s="64">
        <v>94.0</v>
      </c>
      <c r="S1218" s="111">
        <v>99.0</v>
      </c>
      <c r="T1218" s="65">
        <f t="shared" si="39"/>
        <v>15.84</v>
      </c>
      <c r="U1218" s="65">
        <f t="shared" si="40"/>
        <v>114.84</v>
      </c>
      <c r="V1218" s="66">
        <f t="shared" si="42"/>
        <v>0.05319148936</v>
      </c>
      <c r="W1218" s="67">
        <f t="shared" si="5"/>
        <v>94.05</v>
      </c>
      <c r="X1218" s="67">
        <f t="shared" si="43"/>
        <v>15.048</v>
      </c>
      <c r="Y1218" s="67">
        <f t="shared" si="44"/>
        <v>109.098</v>
      </c>
      <c r="Z1218" s="67">
        <f t="shared" si="8"/>
        <v>89.1</v>
      </c>
      <c r="AA1218" s="67">
        <f t="shared" si="45"/>
        <v>14.256</v>
      </c>
      <c r="AB1218" s="67">
        <f t="shared" si="46"/>
        <v>103.356</v>
      </c>
      <c r="AC1218" s="67">
        <f t="shared" si="11"/>
        <v>84.15</v>
      </c>
      <c r="AD1218" s="67">
        <f t="shared" si="12"/>
        <v>13.464</v>
      </c>
      <c r="AE1218" s="67">
        <f t="shared" si="13"/>
        <v>97.614</v>
      </c>
      <c r="AF1218" s="67">
        <f t="shared" si="33"/>
        <v>82.17</v>
      </c>
      <c r="AG1218" s="67">
        <f t="shared" si="15"/>
        <v>13.1472</v>
      </c>
      <c r="AH1218" s="67">
        <f t="shared" si="16"/>
        <v>95.3172</v>
      </c>
      <c r="AI1218" s="67">
        <f t="shared" si="17"/>
        <v>79.2</v>
      </c>
      <c r="AJ1218" s="68">
        <f t="shared" si="47"/>
        <v>12.672</v>
      </c>
      <c r="AK1218" s="68">
        <f t="shared" si="48"/>
        <v>91.872</v>
      </c>
      <c r="AL1218" s="70">
        <f>IFERROR(__xludf.DUMMYFUNCTION("""COMPUTED_VALUE"""),1.0)</f>
        <v>1</v>
      </c>
      <c r="AM1218" s="70"/>
      <c r="AN1218" s="71" t="str">
        <f>IFERROR(__xludf.DUMMYFUNCTION("""COMPUTED_VALUE""")," C")</f>
        <v>C</v>
      </c>
      <c r="AO1218" s="71" t="str">
        <f>IFERROR(__xludf.DUMMYFUNCTION("""COMPUTED_VALUE""")," TO11")</f>
        <v>TO11</v>
      </c>
      <c r="AP1218" s="71" t="str">
        <f>IFERROR(__xludf.DUMMYFUNCTION("""COMPUTED_VALUE""")," PZA")</f>
        <v>PZA</v>
      </c>
      <c r="AQ1218" s="71" t="str">
        <f>IFERROR(__xludf.DUMMYFUNCTION("""COMPUTED_VALUE""")," REF")</f>
        <v>REF</v>
      </c>
      <c r="AR1218" s="71" t="str">
        <f>IFERROR(__xludf.DUMMYFUNCTION("""COMPUTED_VALUE""")," TORNILLO SET CABEZA CUADRADA SET 3/8 X 1""1/2")</f>
        <v>TORNILLO SET CABEZA CUADRADA SET 3/8 X 1"1/2</v>
      </c>
      <c r="AS1218" s="71" t="str">
        <f>IFERROR(__xludf.DUMMYFUNCTION("""COMPUTED_VALUE""")," TORNILLO SET CAB CUAD SET 3/8 X 1 1/2")</f>
        <v>TORNILLO SET CAB CUAD SET 3/8 X 1 1/2</v>
      </c>
      <c r="AT1218" s="71">
        <f>IFERROR(__xludf.DUMMYFUNCTION("""COMPUTED_VALUE"""),37.0)</f>
        <v>37</v>
      </c>
      <c r="AU1218" s="71"/>
      <c r="AV1218" s="71"/>
      <c r="AW1218" s="71"/>
      <c r="AX1218" s="71"/>
      <c r="AY1218" s="71">
        <f>IFERROR(__xludf.DUMMYFUNCTION("""COMPUTED_VALUE"""),8.0)</f>
        <v>8</v>
      </c>
      <c r="AZ1218" s="71">
        <f>IFERROR(__xludf.DUMMYFUNCTION("""COMPUTED_VALUE"""),8.0)</f>
        <v>8</v>
      </c>
      <c r="BA1218" s="71">
        <f>IFERROR(__xludf.DUMMYFUNCTION("""COMPUTED_VALUE"""),8.64)</f>
        <v>8.64</v>
      </c>
      <c r="BB1218" s="71">
        <f>IFERROR(__xludf.DUMMYFUNCTION("""COMPUTED_VALUE"""),8.64)</f>
        <v>8.64</v>
      </c>
      <c r="BC1218" s="71">
        <f>IFERROR(__xludf.DUMMYFUNCTION("""COMPUTED_VALUE"""),10.0)</f>
        <v>10</v>
      </c>
      <c r="BD1218" s="71">
        <f>IFERROR(__xludf.DUMMYFUNCTION("""COMPUTED_VALUE"""),10.5)</f>
        <v>10.5</v>
      </c>
      <c r="BE1218" s="71">
        <f>IFERROR(__xludf.DUMMYFUNCTION("""COMPUTED_VALUE"""),1.68)</f>
        <v>1.68</v>
      </c>
      <c r="BF1218" s="71">
        <f>IFERROR(__xludf.DUMMYFUNCTION("""COMPUTED_VALUE"""),12.18)</f>
        <v>12.18</v>
      </c>
      <c r="BG1218" s="71">
        <f>IFERROR(__xludf.DUMMYFUNCTION("""COMPUTED_VALUE"""),0.05)</f>
        <v>0.05</v>
      </c>
      <c r="BH1218" s="71">
        <f>IFERROR(__xludf.DUMMYFUNCTION("""COMPUTED_VALUE"""),9.975)</f>
        <v>9.975</v>
      </c>
      <c r="BI1218" s="71">
        <f>IFERROR(__xludf.DUMMYFUNCTION("""COMPUTED_VALUE"""),1.596)</f>
        <v>1.596</v>
      </c>
      <c r="BJ1218" s="71">
        <f>IFERROR(__xludf.DUMMYFUNCTION("""COMPUTED_VALUE"""),11.571)</f>
        <v>11.571</v>
      </c>
      <c r="BK1218" s="71">
        <f>IFERROR(__xludf.DUMMYFUNCTION("""COMPUTED_VALUE"""),9.450000000000001)</f>
        <v>9.45</v>
      </c>
      <c r="BL1218" s="71">
        <f>IFERROR(__xludf.DUMMYFUNCTION("""COMPUTED_VALUE"""),1.5120000000000002)</f>
        <v>1.512</v>
      </c>
      <c r="BM1218" s="71">
        <f>IFERROR(__xludf.DUMMYFUNCTION("""COMPUTED_VALUE"""),10.962000000000002)</f>
        <v>10.962</v>
      </c>
      <c r="BN1218" s="71">
        <f>IFERROR(__xludf.DUMMYFUNCTION("""COMPUTED_VALUE"""),8.924999999999999)</f>
        <v>8.925</v>
      </c>
      <c r="BO1218" s="71">
        <f>IFERROR(__xludf.DUMMYFUNCTION("""COMPUTED_VALUE"""),1.428)</f>
        <v>1.428</v>
      </c>
      <c r="BP1218" s="71">
        <f>IFERROR(__xludf.DUMMYFUNCTION("""COMPUTED_VALUE"""),10.352999999999998)</f>
        <v>10.353</v>
      </c>
      <c r="BQ1218" s="71">
        <f>IFERROR(__xludf.DUMMYFUNCTION("""COMPUTED_VALUE"""),8.715)</f>
        <v>8.715</v>
      </c>
      <c r="BR1218" s="71">
        <f>IFERROR(__xludf.DUMMYFUNCTION("""COMPUTED_VALUE"""),1.3944)</f>
        <v>1.3944</v>
      </c>
      <c r="BS1218" s="71">
        <f>IFERROR(__xludf.DUMMYFUNCTION("""COMPUTED_VALUE"""),10.1094)</f>
        <v>10.1094</v>
      </c>
      <c r="BT1218" s="71">
        <f>IFERROR(__xludf.DUMMYFUNCTION("""COMPUTED_VALUE"""),8.4)</f>
        <v>8.4</v>
      </c>
      <c r="BU1218" s="71">
        <f>IFERROR(__xludf.DUMMYFUNCTION("""COMPUTED_VALUE"""),1.344)</f>
        <v>1.344</v>
      </c>
      <c r="BV1218" s="71">
        <f>IFERROR(__xludf.DUMMYFUNCTION("""COMPUTED_VALUE"""),9.744)</f>
        <v>9.744</v>
      </c>
    </row>
    <row r="1219">
      <c r="A1219" s="53">
        <v>1.0</v>
      </c>
      <c r="B1219" s="72"/>
      <c r="C1219" s="120" t="s">
        <v>12</v>
      </c>
      <c r="D1219" s="74" t="s">
        <v>2975</v>
      </c>
      <c r="E1219" s="54" t="s">
        <v>38</v>
      </c>
      <c r="F1219" s="54" t="s">
        <v>42</v>
      </c>
      <c r="G1219" s="88" t="s">
        <v>2976</v>
      </c>
      <c r="H1219" s="54" t="s">
        <v>2976</v>
      </c>
      <c r="I1219" s="54">
        <f t="shared" si="24"/>
        <v>17</v>
      </c>
      <c r="J1219" s="56"/>
      <c r="K1219" s="75"/>
      <c r="L1219" s="76"/>
      <c r="M1219" s="59"/>
      <c r="N1219" s="60">
        <v>4.0</v>
      </c>
      <c r="O1219" s="61">
        <v>6.0</v>
      </c>
      <c r="P1219" s="62">
        <v>6.48</v>
      </c>
      <c r="Q1219" s="63">
        <v>6.48</v>
      </c>
      <c r="R1219" s="64">
        <v>8.0</v>
      </c>
      <c r="S1219" s="111">
        <v>8.4</v>
      </c>
      <c r="T1219" s="65">
        <f t="shared" si="39"/>
        <v>1.344</v>
      </c>
      <c r="U1219" s="65">
        <f t="shared" si="40"/>
        <v>9.744</v>
      </c>
      <c r="V1219" s="66">
        <f t="shared" si="42"/>
        <v>0.05</v>
      </c>
      <c r="W1219" s="67">
        <f t="shared" si="5"/>
        <v>7.98</v>
      </c>
      <c r="X1219" s="67">
        <f t="shared" si="43"/>
        <v>1.2768</v>
      </c>
      <c r="Y1219" s="67">
        <f t="shared" si="44"/>
        <v>9.2568</v>
      </c>
      <c r="Z1219" s="67">
        <f t="shared" si="8"/>
        <v>7.56</v>
      </c>
      <c r="AA1219" s="67">
        <f t="shared" si="45"/>
        <v>1.2096</v>
      </c>
      <c r="AB1219" s="67">
        <f t="shared" si="46"/>
        <v>8.7696</v>
      </c>
      <c r="AC1219" s="67">
        <f t="shared" si="11"/>
        <v>7.14</v>
      </c>
      <c r="AD1219" s="67">
        <f t="shared" si="12"/>
        <v>1.1424</v>
      </c>
      <c r="AE1219" s="67">
        <f t="shared" si="13"/>
        <v>8.2824</v>
      </c>
      <c r="AF1219" s="67">
        <f t="shared" si="33"/>
        <v>6.972</v>
      </c>
      <c r="AG1219" s="67">
        <f t="shared" si="15"/>
        <v>1.11552</v>
      </c>
      <c r="AH1219" s="67">
        <f t="shared" si="16"/>
        <v>8.08752</v>
      </c>
      <c r="AI1219" s="67">
        <f t="shared" si="17"/>
        <v>6.72</v>
      </c>
      <c r="AJ1219" s="68">
        <f t="shared" si="47"/>
        <v>1.0752</v>
      </c>
      <c r="AK1219" s="68">
        <f t="shared" si="48"/>
        <v>7.7952</v>
      </c>
      <c r="AL1219" s="70">
        <f>IFERROR(__xludf.DUMMYFUNCTION("""COMPUTED_VALUE"""),1.0)</f>
        <v>1</v>
      </c>
      <c r="AM1219" s="70"/>
      <c r="AN1219" s="71" t="str">
        <f>IFERROR(__xludf.DUMMYFUNCTION("""COMPUTED_VALUE""")," C")</f>
        <v>C</v>
      </c>
      <c r="AO1219" s="71" t="str">
        <f>IFERROR(__xludf.DUMMYFUNCTION("""COMPUTED_VALUE""")," TO12")</f>
        <v>TO12</v>
      </c>
      <c r="AP1219" s="71" t="str">
        <f>IFERROR(__xludf.DUMMYFUNCTION("""COMPUTED_VALUE""")," PZA")</f>
        <v>PZA</v>
      </c>
      <c r="AQ1219" s="71" t="str">
        <f>IFERROR(__xludf.DUMMYFUNCTION("""COMPUTED_VALUE""")," REF")</f>
        <v>REF</v>
      </c>
      <c r="AR1219" s="71" t="str">
        <f>IFERROR(__xludf.DUMMYFUNCTION("""COMPUTED_VALUE""")," TORNILLO SET CABEZA CUADRADA SET 3/8 X 1""1/4")</f>
        <v>TORNILLO SET CABEZA CUADRADA SET 3/8 X 1"1/4</v>
      </c>
      <c r="AS1219" s="71" t="str">
        <f>IFERROR(__xludf.DUMMYFUNCTION("""COMPUTED_VALUE""")," TORNILLO SET CAB CUAD SET 3/8 X 1 1/4")</f>
        <v>TORNILLO SET CAB CUAD SET 3/8 X 1 1/4</v>
      </c>
      <c r="AT1219" s="71">
        <f>IFERROR(__xludf.DUMMYFUNCTION("""COMPUTED_VALUE"""),37.0)</f>
        <v>37</v>
      </c>
      <c r="AU1219" s="71"/>
      <c r="AV1219" s="71"/>
      <c r="AW1219" s="71"/>
      <c r="AX1219" s="71"/>
      <c r="AY1219" s="71">
        <f>IFERROR(__xludf.DUMMYFUNCTION("""COMPUTED_VALUE"""),5.0)</f>
        <v>5</v>
      </c>
      <c r="AZ1219" s="71">
        <f>IFERROR(__xludf.DUMMYFUNCTION("""COMPUTED_VALUE"""),5.0)</f>
        <v>5</v>
      </c>
      <c r="BA1219" s="71">
        <f>IFERROR(__xludf.DUMMYFUNCTION("""COMPUTED_VALUE"""),5.4)</f>
        <v>5.4</v>
      </c>
      <c r="BB1219" s="71">
        <f>IFERROR(__xludf.DUMMYFUNCTION("""COMPUTED_VALUE"""),5.4)</f>
        <v>5.4</v>
      </c>
      <c r="BC1219" s="71">
        <f>IFERROR(__xludf.DUMMYFUNCTION("""COMPUTED_VALUE"""),6.0)</f>
        <v>6</v>
      </c>
      <c r="BD1219" s="71">
        <f>IFERROR(__xludf.DUMMYFUNCTION("""COMPUTED_VALUE"""),6.300000000000001)</f>
        <v>6.3</v>
      </c>
      <c r="BE1219" s="71">
        <f>IFERROR(__xludf.DUMMYFUNCTION("""COMPUTED_VALUE"""),1.0080000000000002)</f>
        <v>1.008</v>
      </c>
      <c r="BF1219" s="71">
        <f>IFERROR(__xludf.DUMMYFUNCTION("""COMPUTED_VALUE"""),7.308000000000001)</f>
        <v>7.308</v>
      </c>
      <c r="BG1219" s="71">
        <f>IFERROR(__xludf.DUMMYFUNCTION("""COMPUTED_VALUE"""),0.05000000000000012)</f>
        <v>0.05</v>
      </c>
      <c r="BH1219" s="71">
        <f>IFERROR(__xludf.DUMMYFUNCTION("""COMPUTED_VALUE"""),5.985)</f>
        <v>5.985</v>
      </c>
      <c r="BI1219" s="71">
        <f>IFERROR(__xludf.DUMMYFUNCTION("""COMPUTED_VALUE"""),0.9576000000000001)</f>
        <v>0.9576</v>
      </c>
      <c r="BJ1219" s="71">
        <f>IFERROR(__xludf.DUMMYFUNCTION("""COMPUTED_VALUE"""),6.9426000000000005)</f>
        <v>6.9426</v>
      </c>
      <c r="BK1219" s="71">
        <f>IFERROR(__xludf.DUMMYFUNCTION("""COMPUTED_VALUE"""),5.670000000000001)</f>
        <v>5.67</v>
      </c>
      <c r="BL1219" s="71">
        <f>IFERROR(__xludf.DUMMYFUNCTION("""COMPUTED_VALUE"""),0.9072000000000001)</f>
        <v>0.9072</v>
      </c>
      <c r="BM1219" s="71">
        <f>IFERROR(__xludf.DUMMYFUNCTION("""COMPUTED_VALUE"""),6.577200000000001)</f>
        <v>6.5772</v>
      </c>
      <c r="BN1219" s="71">
        <f>IFERROR(__xludf.DUMMYFUNCTION("""COMPUTED_VALUE"""),5.355)</f>
        <v>5.355</v>
      </c>
      <c r="BO1219" s="71">
        <f>IFERROR(__xludf.DUMMYFUNCTION("""COMPUTED_VALUE"""),0.8568000000000001)</f>
        <v>0.8568</v>
      </c>
      <c r="BP1219" s="71">
        <f>IFERROR(__xludf.DUMMYFUNCTION("""COMPUTED_VALUE"""),6.2118)</f>
        <v>6.2118</v>
      </c>
      <c r="BQ1219" s="71">
        <f>IFERROR(__xludf.DUMMYFUNCTION("""COMPUTED_VALUE"""),5.229)</f>
        <v>5.229</v>
      </c>
      <c r="BR1219" s="71">
        <f>IFERROR(__xludf.DUMMYFUNCTION("""COMPUTED_VALUE"""),0.83664)</f>
        <v>0.83664</v>
      </c>
      <c r="BS1219" s="71">
        <f>IFERROR(__xludf.DUMMYFUNCTION("""COMPUTED_VALUE"""),6.06564)</f>
        <v>6.06564</v>
      </c>
      <c r="BT1219" s="71">
        <f>IFERROR(__xludf.DUMMYFUNCTION("""COMPUTED_VALUE"""),5.040000000000001)</f>
        <v>5.04</v>
      </c>
      <c r="BU1219" s="71">
        <f>IFERROR(__xludf.DUMMYFUNCTION("""COMPUTED_VALUE"""),0.8064000000000001)</f>
        <v>0.8064</v>
      </c>
      <c r="BV1219" s="71">
        <f>IFERROR(__xludf.DUMMYFUNCTION("""COMPUTED_VALUE"""),5.846400000000001)</f>
        <v>5.8464</v>
      </c>
    </row>
    <row r="1220">
      <c r="A1220" s="53">
        <v>1.0</v>
      </c>
      <c r="B1220" s="72"/>
      <c r="C1220" s="120" t="s">
        <v>12</v>
      </c>
      <c r="D1220" s="74" t="s">
        <v>2977</v>
      </c>
      <c r="E1220" s="54" t="s">
        <v>38</v>
      </c>
      <c r="F1220" s="54" t="s">
        <v>42</v>
      </c>
      <c r="G1220" s="88" t="s">
        <v>2978</v>
      </c>
      <c r="H1220" s="54" t="s">
        <v>2978</v>
      </c>
      <c r="I1220" s="54">
        <f t="shared" si="24"/>
        <v>16</v>
      </c>
      <c r="J1220" s="56"/>
      <c r="K1220" s="75"/>
      <c r="L1220" s="76"/>
      <c r="M1220" s="59"/>
      <c r="N1220" s="60">
        <v>9.0</v>
      </c>
      <c r="O1220" s="61">
        <v>14.0</v>
      </c>
      <c r="P1220" s="62">
        <v>15.120000000000001</v>
      </c>
      <c r="Q1220" s="63">
        <v>15.120000000000001</v>
      </c>
      <c r="R1220" s="64">
        <v>17.0</v>
      </c>
      <c r="S1220" s="111">
        <v>17.85</v>
      </c>
      <c r="T1220" s="65">
        <f t="shared" si="39"/>
        <v>2.856</v>
      </c>
      <c r="U1220" s="65">
        <f t="shared" si="40"/>
        <v>20.706</v>
      </c>
      <c r="V1220" s="66">
        <f t="shared" si="42"/>
        <v>0.05</v>
      </c>
      <c r="W1220" s="67">
        <f t="shared" si="5"/>
        <v>16.9575</v>
      </c>
      <c r="X1220" s="67">
        <f t="shared" si="43"/>
        <v>2.7132</v>
      </c>
      <c r="Y1220" s="67">
        <f t="shared" si="44"/>
        <v>19.6707</v>
      </c>
      <c r="Z1220" s="67">
        <f t="shared" si="8"/>
        <v>16.065</v>
      </c>
      <c r="AA1220" s="67">
        <f t="shared" si="45"/>
        <v>2.5704</v>
      </c>
      <c r="AB1220" s="67">
        <f t="shared" si="46"/>
        <v>18.6354</v>
      </c>
      <c r="AC1220" s="67">
        <f t="shared" si="11"/>
        <v>15.1725</v>
      </c>
      <c r="AD1220" s="67">
        <f t="shared" si="12"/>
        <v>2.4276</v>
      </c>
      <c r="AE1220" s="67">
        <f t="shared" si="13"/>
        <v>17.6001</v>
      </c>
      <c r="AF1220" s="67">
        <f t="shared" si="33"/>
        <v>14.8155</v>
      </c>
      <c r="AG1220" s="67">
        <f t="shared" si="15"/>
        <v>2.37048</v>
      </c>
      <c r="AH1220" s="67">
        <f t="shared" si="16"/>
        <v>17.18598</v>
      </c>
      <c r="AI1220" s="67">
        <f t="shared" si="17"/>
        <v>14.28</v>
      </c>
      <c r="AJ1220" s="68">
        <f t="shared" si="47"/>
        <v>2.2848</v>
      </c>
      <c r="AK1220" s="68">
        <f t="shared" si="48"/>
        <v>16.5648</v>
      </c>
      <c r="AL1220" s="70">
        <f>IFERROR(__xludf.DUMMYFUNCTION("""COMPUTED_VALUE"""),1.0)</f>
        <v>1</v>
      </c>
      <c r="AM1220" s="70"/>
      <c r="AN1220" s="71" t="str">
        <f>IFERROR(__xludf.DUMMYFUNCTION("""COMPUTED_VALUE""")," C")</f>
        <v>C</v>
      </c>
      <c r="AO1220" s="71" t="str">
        <f>IFERROR(__xludf.DUMMYFUNCTION("""COMPUTED_VALUE""")," TO13")</f>
        <v>TO13</v>
      </c>
      <c r="AP1220" s="71" t="str">
        <f>IFERROR(__xludf.DUMMYFUNCTION("""COMPUTED_VALUE""")," PZA")</f>
        <v>PZA</v>
      </c>
      <c r="AQ1220" s="71" t="str">
        <f>IFERROR(__xludf.DUMMYFUNCTION("""COMPUTED_VALUE""")," REF")</f>
        <v>REF</v>
      </c>
      <c r="AR1220" s="71" t="str">
        <f>IFERROR(__xludf.DUMMYFUNCTION("""COMPUTED_VALUE""")," TORNILLO SET CABEZA CUADRADA SET 3/8 X 3/4")</f>
        <v>TORNILLO SET CABEZA CUADRADA SET 3/8 X 3/4</v>
      </c>
      <c r="AS1220" s="71" t="str">
        <f>IFERROR(__xludf.DUMMYFUNCTION("""COMPUTED_VALUE""")," TORNILLO SET CAB CUAD SET 3/8 X 3/4")</f>
        <v>TORNILLO SET CAB CUAD SET 3/8 X 3/4</v>
      </c>
      <c r="AT1220" s="71">
        <f>IFERROR(__xludf.DUMMYFUNCTION("""COMPUTED_VALUE"""),35.0)</f>
        <v>35</v>
      </c>
      <c r="AU1220" s="71"/>
      <c r="AV1220" s="71"/>
      <c r="AW1220" s="71"/>
      <c r="AX1220" s="71"/>
      <c r="AY1220" s="71">
        <f>IFERROR(__xludf.DUMMYFUNCTION("""COMPUTED_VALUE"""),3.0)</f>
        <v>3</v>
      </c>
      <c r="AZ1220" s="71">
        <f>IFERROR(__xludf.DUMMYFUNCTION("""COMPUTED_VALUE"""),3.0)</f>
        <v>3</v>
      </c>
      <c r="BA1220" s="71">
        <f>IFERROR(__xludf.DUMMYFUNCTION("""COMPUTED_VALUE"""),3.24)</f>
        <v>3.24</v>
      </c>
      <c r="BB1220" s="71">
        <f>IFERROR(__xludf.DUMMYFUNCTION("""COMPUTED_VALUE"""),3.24)</f>
        <v>3.24</v>
      </c>
      <c r="BC1220" s="71">
        <f>IFERROR(__xludf.DUMMYFUNCTION("""COMPUTED_VALUE"""),6.0)</f>
        <v>6</v>
      </c>
      <c r="BD1220" s="71">
        <f>IFERROR(__xludf.DUMMYFUNCTION("""COMPUTED_VALUE"""),6.300000000000001)</f>
        <v>6.3</v>
      </c>
      <c r="BE1220" s="71">
        <f>IFERROR(__xludf.DUMMYFUNCTION("""COMPUTED_VALUE"""),1.0080000000000002)</f>
        <v>1.008</v>
      </c>
      <c r="BF1220" s="71">
        <f>IFERROR(__xludf.DUMMYFUNCTION("""COMPUTED_VALUE"""),7.308000000000001)</f>
        <v>7.308</v>
      </c>
      <c r="BG1220" s="71">
        <f>IFERROR(__xludf.DUMMYFUNCTION("""COMPUTED_VALUE"""),0.05000000000000012)</f>
        <v>0.05</v>
      </c>
      <c r="BH1220" s="71">
        <f>IFERROR(__xludf.DUMMYFUNCTION("""COMPUTED_VALUE"""),5.985)</f>
        <v>5.985</v>
      </c>
      <c r="BI1220" s="71">
        <f>IFERROR(__xludf.DUMMYFUNCTION("""COMPUTED_VALUE"""),0.9576000000000001)</f>
        <v>0.9576</v>
      </c>
      <c r="BJ1220" s="71">
        <f>IFERROR(__xludf.DUMMYFUNCTION("""COMPUTED_VALUE"""),6.9426000000000005)</f>
        <v>6.9426</v>
      </c>
      <c r="BK1220" s="71">
        <f>IFERROR(__xludf.DUMMYFUNCTION("""COMPUTED_VALUE"""),5.670000000000001)</f>
        <v>5.67</v>
      </c>
      <c r="BL1220" s="71">
        <f>IFERROR(__xludf.DUMMYFUNCTION("""COMPUTED_VALUE"""),0.9072000000000001)</f>
        <v>0.9072</v>
      </c>
      <c r="BM1220" s="71">
        <f>IFERROR(__xludf.DUMMYFUNCTION("""COMPUTED_VALUE"""),6.577200000000001)</f>
        <v>6.5772</v>
      </c>
      <c r="BN1220" s="71">
        <f>IFERROR(__xludf.DUMMYFUNCTION("""COMPUTED_VALUE"""),5.355)</f>
        <v>5.355</v>
      </c>
      <c r="BO1220" s="71">
        <f>IFERROR(__xludf.DUMMYFUNCTION("""COMPUTED_VALUE"""),0.8568000000000001)</f>
        <v>0.8568</v>
      </c>
      <c r="BP1220" s="71">
        <f>IFERROR(__xludf.DUMMYFUNCTION("""COMPUTED_VALUE"""),6.2118)</f>
        <v>6.2118</v>
      </c>
      <c r="BQ1220" s="71">
        <f>IFERROR(__xludf.DUMMYFUNCTION("""COMPUTED_VALUE"""),5.229)</f>
        <v>5.229</v>
      </c>
      <c r="BR1220" s="71">
        <f>IFERROR(__xludf.DUMMYFUNCTION("""COMPUTED_VALUE"""),0.83664)</f>
        <v>0.83664</v>
      </c>
      <c r="BS1220" s="71">
        <f>IFERROR(__xludf.DUMMYFUNCTION("""COMPUTED_VALUE"""),6.06564)</f>
        <v>6.06564</v>
      </c>
      <c r="BT1220" s="71">
        <f>IFERROR(__xludf.DUMMYFUNCTION("""COMPUTED_VALUE"""),5.040000000000001)</f>
        <v>5.04</v>
      </c>
      <c r="BU1220" s="71">
        <f>IFERROR(__xludf.DUMMYFUNCTION("""COMPUTED_VALUE"""),0.8064000000000001)</f>
        <v>0.8064</v>
      </c>
      <c r="BV1220" s="71">
        <f>IFERROR(__xludf.DUMMYFUNCTION("""COMPUTED_VALUE"""),5.846400000000001)</f>
        <v>5.8464</v>
      </c>
    </row>
    <row r="1221">
      <c r="A1221" s="53">
        <v>1.0</v>
      </c>
      <c r="B1221" s="72"/>
      <c r="C1221" s="120" t="s">
        <v>12</v>
      </c>
      <c r="D1221" s="74" t="s">
        <v>2979</v>
      </c>
      <c r="E1221" s="54" t="s">
        <v>38</v>
      </c>
      <c r="F1221" s="54" t="s">
        <v>42</v>
      </c>
      <c r="G1221" s="88" t="s">
        <v>2980</v>
      </c>
      <c r="H1221" s="54" t="s">
        <v>2980</v>
      </c>
      <c r="I1221" s="54">
        <f t="shared" si="24"/>
        <v>17</v>
      </c>
      <c r="J1221" s="56"/>
      <c r="K1221" s="75"/>
      <c r="L1221" s="76"/>
      <c r="M1221" s="59"/>
      <c r="N1221" s="60">
        <v>7.0</v>
      </c>
      <c r="O1221" s="61">
        <v>9.0</v>
      </c>
      <c r="P1221" s="62">
        <v>9.72</v>
      </c>
      <c r="Q1221" s="63">
        <v>9.72</v>
      </c>
      <c r="R1221" s="64">
        <v>12.0</v>
      </c>
      <c r="S1221" s="111">
        <v>12.600000000000001</v>
      </c>
      <c r="T1221" s="65">
        <f t="shared" si="39"/>
        <v>2.016</v>
      </c>
      <c r="U1221" s="65">
        <f t="shared" si="40"/>
        <v>14.616</v>
      </c>
      <c r="V1221" s="66">
        <f t="shared" si="42"/>
        <v>0.05</v>
      </c>
      <c r="W1221" s="67">
        <f t="shared" si="5"/>
        <v>11.97</v>
      </c>
      <c r="X1221" s="67">
        <f t="shared" si="43"/>
        <v>1.9152</v>
      </c>
      <c r="Y1221" s="67">
        <f t="shared" si="44"/>
        <v>13.8852</v>
      </c>
      <c r="Z1221" s="67">
        <f t="shared" si="8"/>
        <v>11.34</v>
      </c>
      <c r="AA1221" s="67">
        <f t="shared" si="45"/>
        <v>1.8144</v>
      </c>
      <c r="AB1221" s="67">
        <f t="shared" si="46"/>
        <v>13.1544</v>
      </c>
      <c r="AC1221" s="67">
        <f t="shared" si="11"/>
        <v>10.71</v>
      </c>
      <c r="AD1221" s="67">
        <f t="shared" si="12"/>
        <v>1.7136</v>
      </c>
      <c r="AE1221" s="67">
        <f t="shared" si="13"/>
        <v>12.4236</v>
      </c>
      <c r="AF1221" s="67">
        <f t="shared" si="33"/>
        <v>10.458</v>
      </c>
      <c r="AG1221" s="67">
        <f t="shared" si="15"/>
        <v>1.67328</v>
      </c>
      <c r="AH1221" s="67">
        <f t="shared" si="16"/>
        <v>12.13128</v>
      </c>
      <c r="AI1221" s="67">
        <f t="shared" si="17"/>
        <v>10.08</v>
      </c>
      <c r="AJ1221" s="68">
        <f t="shared" si="47"/>
        <v>1.6128</v>
      </c>
      <c r="AK1221" s="68">
        <f t="shared" si="48"/>
        <v>11.6928</v>
      </c>
      <c r="AL1221" s="70">
        <f>IFERROR(__xludf.DUMMYFUNCTION("""COMPUTED_VALUE"""),1.0)</f>
        <v>1</v>
      </c>
      <c r="AM1221" s="70"/>
      <c r="AN1221" s="71" t="str">
        <f>IFERROR(__xludf.DUMMYFUNCTION("""COMPUTED_VALUE""")," P")</f>
        <v>P</v>
      </c>
      <c r="AO1221" s="71" t="str">
        <f>IFERROR(__xludf.DUMMYFUNCTION("""COMPUTED_VALUE""")," TR01")</f>
        <v>TR01</v>
      </c>
      <c r="AP1221" s="71" t="str">
        <f>IFERROR(__xludf.DUMMYFUNCTION("""COMPUTED_VALUE""")," PZA")</f>
        <v>PZA</v>
      </c>
      <c r="AQ1221" s="71" t="str">
        <f>IFERROR(__xludf.DUMMYFUNCTION("""COMPUTED_VALUE""")," REF")</f>
        <v>REF</v>
      </c>
      <c r="AR1221" s="71" t="str">
        <f>IFERROR(__xludf.DUMMYFUNCTION("""COMPUTED_VALUE""")," TRINQUETE SOLO DÚPLEX")</f>
        <v>TRINQUETE SOLO DÚPLEX</v>
      </c>
      <c r="AS1221" s="71" t="str">
        <f>IFERROR(__xludf.DUMMYFUNCTION("""COMPUTED_VALUE""")," TRINQUETE SOLO DPLX")</f>
        <v>TRINQUETE SOLO DPLX</v>
      </c>
      <c r="AT1221" s="71">
        <f>IFERROR(__xludf.DUMMYFUNCTION("""COMPUTED_VALUE"""),19.0)</f>
        <v>19</v>
      </c>
      <c r="AU1221" s="71"/>
      <c r="AV1221" s="71"/>
      <c r="AW1221" s="71"/>
      <c r="AX1221" s="71"/>
      <c r="AY1221" s="71">
        <f>IFERROR(__xludf.DUMMYFUNCTION("""COMPUTED_VALUE"""),170.0)</f>
        <v>170</v>
      </c>
      <c r="AZ1221" s="71">
        <f>IFERROR(__xludf.DUMMYFUNCTION("""COMPUTED_VALUE"""),183.0)</f>
        <v>183</v>
      </c>
      <c r="BA1221" s="71">
        <f>IFERROR(__xludf.DUMMYFUNCTION("""COMPUTED_VALUE"""),197.64000000000001)</f>
        <v>197.64</v>
      </c>
      <c r="BB1221" s="71">
        <f>IFERROR(__xludf.DUMMYFUNCTION("""COMPUTED_VALUE"""),197.64000000000001)</f>
        <v>197.64</v>
      </c>
      <c r="BC1221" s="71">
        <f>IFERROR(__xludf.DUMMYFUNCTION("""COMPUTED_VALUE"""),225.0)</f>
        <v>225</v>
      </c>
      <c r="BD1221" s="71">
        <f>IFERROR(__xludf.DUMMYFUNCTION("""COMPUTED_VALUE"""),236.0)</f>
        <v>236</v>
      </c>
      <c r="BE1221" s="71">
        <f>IFERROR(__xludf.DUMMYFUNCTION("""COMPUTED_VALUE"""),37.76)</f>
        <v>37.76</v>
      </c>
      <c r="BF1221" s="71">
        <f>IFERROR(__xludf.DUMMYFUNCTION("""COMPUTED_VALUE"""),273.76)</f>
        <v>273.76</v>
      </c>
      <c r="BG1221" s="71">
        <f>IFERROR(__xludf.DUMMYFUNCTION("""COMPUTED_VALUE"""),0.04888888888888889)</f>
        <v>0.04888888889</v>
      </c>
      <c r="BH1221" s="71">
        <f>IFERROR(__xludf.DUMMYFUNCTION("""COMPUTED_VALUE"""),224.2)</f>
        <v>224.2</v>
      </c>
      <c r="BI1221" s="71">
        <f>IFERROR(__xludf.DUMMYFUNCTION("""COMPUTED_VALUE"""),35.872)</f>
        <v>35.872</v>
      </c>
      <c r="BJ1221" s="71">
        <f>IFERROR(__xludf.DUMMYFUNCTION("""COMPUTED_VALUE"""),260.072)</f>
        <v>260.072</v>
      </c>
      <c r="BK1221" s="71">
        <f>IFERROR(__xludf.DUMMYFUNCTION("""COMPUTED_VALUE"""),212.4)</f>
        <v>212.4</v>
      </c>
      <c r="BL1221" s="71">
        <f>IFERROR(__xludf.DUMMYFUNCTION("""COMPUTED_VALUE"""),33.984)</f>
        <v>33.984</v>
      </c>
      <c r="BM1221" s="71">
        <f>IFERROR(__xludf.DUMMYFUNCTION("""COMPUTED_VALUE"""),246.38400000000001)</f>
        <v>246.384</v>
      </c>
      <c r="BN1221" s="71">
        <f>IFERROR(__xludf.DUMMYFUNCTION("""COMPUTED_VALUE"""),200.6)</f>
        <v>200.6</v>
      </c>
      <c r="BO1221" s="71">
        <f>IFERROR(__xludf.DUMMYFUNCTION("""COMPUTED_VALUE"""),32.096)</f>
        <v>32.096</v>
      </c>
      <c r="BP1221" s="71">
        <f>IFERROR(__xludf.DUMMYFUNCTION("""COMPUTED_VALUE"""),232.696)</f>
        <v>232.696</v>
      </c>
      <c r="BQ1221" s="71">
        <f>IFERROR(__xludf.DUMMYFUNCTION("""COMPUTED_VALUE"""),195.88)</f>
        <v>195.88</v>
      </c>
      <c r="BR1221" s="71">
        <f>IFERROR(__xludf.DUMMYFUNCTION("""COMPUTED_VALUE"""),31.3408)</f>
        <v>31.3408</v>
      </c>
      <c r="BS1221" s="71">
        <f>IFERROR(__xludf.DUMMYFUNCTION("""COMPUTED_VALUE"""),227.2208)</f>
        <v>227.2208</v>
      </c>
      <c r="BT1221" s="71">
        <f>IFERROR(__xludf.DUMMYFUNCTION("""COMPUTED_VALUE"""),188.8)</f>
        <v>188.8</v>
      </c>
      <c r="BU1221" s="71">
        <f>IFERROR(__xludf.DUMMYFUNCTION("""COMPUTED_VALUE"""),30.208000000000002)</f>
        <v>30.208</v>
      </c>
      <c r="BV1221" s="71">
        <f>IFERROR(__xludf.DUMMYFUNCTION("""COMPUTED_VALUE"""),219.008)</f>
        <v>219.008</v>
      </c>
    </row>
    <row r="1222">
      <c r="A1222" s="53">
        <v>1.0</v>
      </c>
      <c r="B1222" s="72"/>
      <c r="C1222" s="120" t="s">
        <v>12</v>
      </c>
      <c r="D1222" s="74" t="s">
        <v>2981</v>
      </c>
      <c r="E1222" s="54" t="s">
        <v>38</v>
      </c>
      <c r="F1222" s="54" t="s">
        <v>42</v>
      </c>
      <c r="G1222" s="88" t="s">
        <v>2982</v>
      </c>
      <c r="H1222" s="54" t="s">
        <v>2982</v>
      </c>
      <c r="I1222" s="54">
        <f t="shared" si="24"/>
        <v>22</v>
      </c>
      <c r="J1222" s="56"/>
      <c r="K1222" s="75"/>
      <c r="L1222" s="76"/>
      <c r="M1222" s="59"/>
      <c r="N1222" s="60">
        <v>10.0</v>
      </c>
      <c r="O1222" s="61">
        <v>16.0</v>
      </c>
      <c r="P1222" s="62">
        <v>17.28</v>
      </c>
      <c r="Q1222" s="63">
        <v>17.28</v>
      </c>
      <c r="R1222" s="64">
        <v>19.0</v>
      </c>
      <c r="S1222" s="111">
        <v>19.95</v>
      </c>
      <c r="T1222" s="65">
        <f t="shared" si="39"/>
        <v>3.192</v>
      </c>
      <c r="U1222" s="65">
        <f t="shared" si="40"/>
        <v>23.142</v>
      </c>
      <c r="V1222" s="66">
        <f t="shared" si="42"/>
        <v>0.05</v>
      </c>
      <c r="W1222" s="67">
        <f t="shared" si="5"/>
        <v>18.9525</v>
      </c>
      <c r="X1222" s="67">
        <f t="shared" si="43"/>
        <v>3.0324</v>
      </c>
      <c r="Y1222" s="67">
        <f t="shared" si="44"/>
        <v>21.9849</v>
      </c>
      <c r="Z1222" s="67">
        <f t="shared" si="8"/>
        <v>17.955</v>
      </c>
      <c r="AA1222" s="67">
        <f t="shared" si="45"/>
        <v>2.8728</v>
      </c>
      <c r="AB1222" s="67">
        <f t="shared" si="46"/>
        <v>20.8278</v>
      </c>
      <c r="AC1222" s="67">
        <f t="shared" si="11"/>
        <v>16.9575</v>
      </c>
      <c r="AD1222" s="67">
        <f t="shared" si="12"/>
        <v>2.7132</v>
      </c>
      <c r="AE1222" s="67">
        <f t="shared" si="13"/>
        <v>19.6707</v>
      </c>
      <c r="AF1222" s="67">
        <f t="shared" si="33"/>
        <v>16.5585</v>
      </c>
      <c r="AG1222" s="67">
        <f t="shared" si="15"/>
        <v>2.64936</v>
      </c>
      <c r="AH1222" s="67">
        <f t="shared" si="16"/>
        <v>19.20786</v>
      </c>
      <c r="AI1222" s="67">
        <f t="shared" si="17"/>
        <v>15.96</v>
      </c>
      <c r="AJ1222" s="68">
        <f t="shared" si="47"/>
        <v>2.5536</v>
      </c>
      <c r="AK1222" s="68">
        <f t="shared" si="48"/>
        <v>18.5136</v>
      </c>
      <c r="AL1222" s="70">
        <f>IFERROR(__xludf.DUMMYFUNCTION("""COMPUTED_VALUE"""),1.0)</f>
        <v>1</v>
      </c>
      <c r="AM1222" s="70"/>
      <c r="AN1222" s="71" t="str">
        <f>IFERROR(__xludf.DUMMYFUNCTION("""COMPUTED_VALUE""")," P")</f>
        <v>P</v>
      </c>
      <c r="AO1222" s="71" t="str">
        <f>IFERROR(__xludf.DUMMYFUNCTION("""COMPUTED_VALUE""")," TR02")</f>
        <v>TR02</v>
      </c>
      <c r="AP1222" s="71" t="str">
        <f>IFERROR(__xludf.DUMMYFUNCTION("""COMPUTED_VALUE""")," PZA")</f>
        <v>PZA</v>
      </c>
      <c r="AQ1222" s="71" t="str">
        <f>IFERROR(__xludf.DUMMYFUNCTION("""COMPUTED_VALUE""")," REF")</f>
        <v>REF</v>
      </c>
      <c r="AR1222" s="71" t="str">
        <f>IFERROR(__xludf.DUMMYFUNCTION("""COMPUTED_VALUE""")," TRINQUETE SOLO SENCILLO")</f>
        <v>TRINQUETE SOLO SENCILLO</v>
      </c>
      <c r="AS1222" s="71" t="str">
        <f>IFERROR(__xludf.DUMMYFUNCTION("""COMPUTED_VALUE""")," TRINQUETE SOLO SENCILLO")</f>
        <v>TRINQUETE SOLO SENCILLO</v>
      </c>
      <c r="AT1222" s="71">
        <f>IFERROR(__xludf.DUMMYFUNCTION("""COMPUTED_VALUE"""),23.0)</f>
        <v>23</v>
      </c>
      <c r="AU1222" s="71"/>
      <c r="AV1222" s="71"/>
      <c r="AW1222" s="71"/>
      <c r="AX1222" s="71"/>
      <c r="AY1222" s="71">
        <f>IFERROR(__xludf.DUMMYFUNCTION("""COMPUTED_VALUE"""),157.0)</f>
        <v>157</v>
      </c>
      <c r="AZ1222" s="71">
        <f>IFERROR(__xludf.DUMMYFUNCTION("""COMPUTED_VALUE"""),169.0)</f>
        <v>169</v>
      </c>
      <c r="BA1222" s="71">
        <f>IFERROR(__xludf.DUMMYFUNCTION("""COMPUTED_VALUE"""),182.52)</f>
        <v>182.52</v>
      </c>
      <c r="BB1222" s="71">
        <f>IFERROR(__xludf.DUMMYFUNCTION("""COMPUTED_VALUE"""),182.52)</f>
        <v>182.52</v>
      </c>
      <c r="BC1222" s="71">
        <f>IFERROR(__xludf.DUMMYFUNCTION("""COMPUTED_VALUE"""),208.0)</f>
        <v>208</v>
      </c>
      <c r="BD1222" s="71">
        <f>IFERROR(__xludf.DUMMYFUNCTION("""COMPUTED_VALUE"""),218.0)</f>
        <v>218</v>
      </c>
      <c r="BE1222" s="71">
        <f>IFERROR(__xludf.DUMMYFUNCTION("""COMPUTED_VALUE"""),34.88)</f>
        <v>34.88</v>
      </c>
      <c r="BF1222" s="71">
        <f>IFERROR(__xludf.DUMMYFUNCTION("""COMPUTED_VALUE"""),252.88)</f>
        <v>252.88</v>
      </c>
      <c r="BG1222" s="71">
        <f>IFERROR(__xludf.DUMMYFUNCTION("""COMPUTED_VALUE"""),0.04807692307692308)</f>
        <v>0.04807692308</v>
      </c>
      <c r="BH1222" s="71">
        <f>IFERROR(__xludf.DUMMYFUNCTION("""COMPUTED_VALUE"""),207.1)</f>
        <v>207.1</v>
      </c>
      <c r="BI1222" s="71">
        <f>IFERROR(__xludf.DUMMYFUNCTION("""COMPUTED_VALUE"""),33.136)</f>
        <v>33.136</v>
      </c>
      <c r="BJ1222" s="71">
        <f>IFERROR(__xludf.DUMMYFUNCTION("""COMPUTED_VALUE"""),240.236)</f>
        <v>240.236</v>
      </c>
      <c r="BK1222" s="71">
        <f>IFERROR(__xludf.DUMMYFUNCTION("""COMPUTED_VALUE"""),196.20000000000002)</f>
        <v>196.2</v>
      </c>
      <c r="BL1222" s="71">
        <f>IFERROR(__xludf.DUMMYFUNCTION("""COMPUTED_VALUE"""),31.392000000000003)</f>
        <v>31.392</v>
      </c>
      <c r="BM1222" s="71">
        <f>IFERROR(__xludf.DUMMYFUNCTION("""COMPUTED_VALUE"""),227.592)</f>
        <v>227.592</v>
      </c>
      <c r="BN1222" s="71">
        <f>IFERROR(__xludf.DUMMYFUNCTION("""COMPUTED_VALUE"""),185.29999999999998)</f>
        <v>185.3</v>
      </c>
      <c r="BO1222" s="71">
        <f>IFERROR(__xludf.DUMMYFUNCTION("""COMPUTED_VALUE"""),29.647999999999996)</f>
        <v>29.648</v>
      </c>
      <c r="BP1222" s="71">
        <f>IFERROR(__xludf.DUMMYFUNCTION("""COMPUTED_VALUE"""),214.94799999999998)</f>
        <v>214.948</v>
      </c>
      <c r="BQ1222" s="71">
        <f>IFERROR(__xludf.DUMMYFUNCTION("""COMPUTED_VALUE"""),180.94)</f>
        <v>180.94</v>
      </c>
      <c r="BR1222" s="71">
        <f>IFERROR(__xludf.DUMMYFUNCTION("""COMPUTED_VALUE"""),28.950400000000002)</f>
        <v>28.9504</v>
      </c>
      <c r="BS1222" s="71">
        <f>IFERROR(__xludf.DUMMYFUNCTION("""COMPUTED_VALUE"""),209.8904)</f>
        <v>209.8904</v>
      </c>
      <c r="BT1222" s="71">
        <f>IFERROR(__xludf.DUMMYFUNCTION("""COMPUTED_VALUE"""),174.4)</f>
        <v>174.4</v>
      </c>
      <c r="BU1222" s="71">
        <f>IFERROR(__xludf.DUMMYFUNCTION("""COMPUTED_VALUE"""),27.904)</f>
        <v>27.904</v>
      </c>
      <c r="BV1222" s="71">
        <f>IFERROR(__xludf.DUMMYFUNCTION("""COMPUTED_VALUE"""),202.304)</f>
        <v>202.304</v>
      </c>
    </row>
    <row r="1223">
      <c r="A1223" s="53">
        <v>1.0</v>
      </c>
      <c r="B1223" s="72"/>
      <c r="C1223" s="120" t="s">
        <v>12</v>
      </c>
      <c r="D1223" s="74" t="s">
        <v>2983</v>
      </c>
      <c r="E1223" s="54" t="s">
        <v>38</v>
      </c>
      <c r="F1223" s="54" t="s">
        <v>42</v>
      </c>
      <c r="G1223" s="88" t="s">
        <v>2984</v>
      </c>
      <c r="H1223" s="54" t="s">
        <v>2984</v>
      </c>
      <c r="I1223" s="54">
        <f t="shared" si="24"/>
        <v>22</v>
      </c>
      <c r="J1223" s="56"/>
      <c r="K1223" s="75"/>
      <c r="L1223" s="76"/>
      <c r="M1223" s="59"/>
      <c r="N1223" s="60">
        <v>18.0</v>
      </c>
      <c r="O1223" s="61">
        <v>31.0</v>
      </c>
      <c r="P1223" s="62">
        <v>33.480000000000004</v>
      </c>
      <c r="Q1223" s="63">
        <v>33.480000000000004</v>
      </c>
      <c r="R1223" s="64">
        <v>36.0</v>
      </c>
      <c r="S1223" s="111">
        <v>38.0</v>
      </c>
      <c r="T1223" s="65">
        <f t="shared" si="39"/>
        <v>6.08</v>
      </c>
      <c r="U1223" s="65">
        <f t="shared" si="40"/>
        <v>44.08</v>
      </c>
      <c r="V1223" s="66">
        <f t="shared" si="42"/>
        <v>0.05555555556</v>
      </c>
      <c r="W1223" s="67">
        <f t="shared" si="5"/>
        <v>36.1</v>
      </c>
      <c r="X1223" s="67">
        <f t="shared" si="43"/>
        <v>5.776</v>
      </c>
      <c r="Y1223" s="67">
        <f t="shared" si="44"/>
        <v>41.876</v>
      </c>
      <c r="Z1223" s="67">
        <f t="shared" si="8"/>
        <v>34.2</v>
      </c>
      <c r="AA1223" s="67">
        <f t="shared" si="45"/>
        <v>5.472</v>
      </c>
      <c r="AB1223" s="67">
        <f t="shared" si="46"/>
        <v>39.672</v>
      </c>
      <c r="AC1223" s="67">
        <f t="shared" si="11"/>
        <v>32.3</v>
      </c>
      <c r="AD1223" s="67">
        <f t="shared" si="12"/>
        <v>5.168</v>
      </c>
      <c r="AE1223" s="67">
        <f t="shared" si="13"/>
        <v>37.468</v>
      </c>
      <c r="AF1223" s="67">
        <f t="shared" si="33"/>
        <v>31.54</v>
      </c>
      <c r="AG1223" s="67">
        <f t="shared" si="15"/>
        <v>5.0464</v>
      </c>
      <c r="AH1223" s="67">
        <f t="shared" si="16"/>
        <v>36.5864</v>
      </c>
      <c r="AI1223" s="67">
        <f t="shared" si="17"/>
        <v>30.4</v>
      </c>
      <c r="AJ1223" s="68">
        <f t="shared" si="47"/>
        <v>4.864</v>
      </c>
      <c r="AK1223" s="68">
        <f t="shared" si="48"/>
        <v>35.264</v>
      </c>
      <c r="AL1223" s="70">
        <f>IFERROR(__xludf.DUMMYFUNCTION("""COMPUTED_VALUE"""),1.0)</f>
        <v>1</v>
      </c>
      <c r="AM1223" s="70"/>
      <c r="AN1223" s="71" t="str">
        <f>IFERROR(__xludf.DUMMYFUNCTION("""COMPUTED_VALUE""")," P")</f>
        <v>P</v>
      </c>
      <c r="AO1223" s="71" t="str">
        <f>IFERROR(__xludf.DUMMYFUNCTION("""COMPUTED_VALUE""")," TU01")</f>
        <v>TU01</v>
      </c>
      <c r="AP1223" s="71" t="str">
        <f>IFERROR(__xludf.DUMMYFUNCTION("""COMPUTED_VALUE""")," PZA")</f>
        <v>PZA</v>
      </c>
      <c r="AQ1223" s="71" t="str">
        <f>IFERROR(__xludf.DUMMYFUNCTION("""COMPUTED_VALUE""")," REF")</f>
        <v>REF</v>
      </c>
      <c r="AR1223" s="71" t="str">
        <f>IFERROR(__xludf.DUMMYFUNCTION("""COMPUTED_VALUE""")," TUBO CAÑÓN PARA VÁLVULA SOLO 3/8")</f>
        <v>TUBO CAÑÓN PARA VÁLVULA SOLO 3/8</v>
      </c>
      <c r="AS1223" s="71" t="str">
        <f>IFERROR(__xludf.DUMMYFUNCTION("""COMPUTED_VALUE""")," TUBO CANON PARA VALVULA SOLO 3/8")</f>
        <v>TUBO CANON PARA VALVULA SOLO 3/8</v>
      </c>
      <c r="AT1223" s="71">
        <f>IFERROR(__xludf.DUMMYFUNCTION("""COMPUTED_VALUE"""),32.0)</f>
        <v>32</v>
      </c>
      <c r="AU1223" s="71"/>
      <c r="AV1223" s="71"/>
      <c r="AW1223" s="71"/>
      <c r="AX1223" s="71"/>
      <c r="AY1223" s="71">
        <f>IFERROR(__xludf.DUMMYFUNCTION("""COMPUTED_VALUE"""),881.0)</f>
        <v>881</v>
      </c>
      <c r="AZ1223" s="71">
        <f>IFERROR(__xludf.DUMMYFUNCTION("""COMPUTED_VALUE"""),951.0)</f>
        <v>951</v>
      </c>
      <c r="BA1223" s="71">
        <f>IFERROR(__xludf.DUMMYFUNCTION("""COMPUTED_VALUE"""),1027.0800000000002)</f>
        <v>1027.08</v>
      </c>
      <c r="BB1223" s="71">
        <f>IFERROR(__xludf.DUMMYFUNCTION("""COMPUTED_VALUE"""),1027.0800000000002)</f>
        <v>1027.08</v>
      </c>
      <c r="BC1223" s="71">
        <f>IFERROR(__xludf.DUMMYFUNCTION("""COMPUTED_VALUE"""),1144.0)</f>
        <v>1144</v>
      </c>
      <c r="BD1223" s="71">
        <f>IFERROR(__xludf.DUMMYFUNCTION("""COMPUTED_VALUE"""),1201.0)</f>
        <v>1201</v>
      </c>
      <c r="BE1223" s="71">
        <f>IFERROR(__xludf.DUMMYFUNCTION("""COMPUTED_VALUE"""),192.16)</f>
        <v>192.16</v>
      </c>
      <c r="BF1223" s="71">
        <f>IFERROR(__xludf.DUMMYFUNCTION("""COMPUTED_VALUE"""),1393.16)</f>
        <v>1393.16</v>
      </c>
      <c r="BG1223" s="71">
        <f>IFERROR(__xludf.DUMMYFUNCTION("""COMPUTED_VALUE"""),0.049825174825174824)</f>
        <v>0.04982517483</v>
      </c>
      <c r="BH1223" s="71">
        <f>IFERROR(__xludf.DUMMYFUNCTION("""COMPUTED_VALUE"""),1140.95)</f>
        <v>1140.95</v>
      </c>
      <c r="BI1223" s="71">
        <f>IFERROR(__xludf.DUMMYFUNCTION("""COMPUTED_VALUE"""),182.55200000000002)</f>
        <v>182.552</v>
      </c>
      <c r="BJ1223" s="71">
        <f>IFERROR(__xludf.DUMMYFUNCTION("""COMPUTED_VALUE"""),1323.502)</f>
        <v>1323.502</v>
      </c>
      <c r="BK1223" s="71">
        <f>IFERROR(__xludf.DUMMYFUNCTION("""COMPUTED_VALUE"""),1080.9)</f>
        <v>1080.9</v>
      </c>
      <c r="BL1223" s="71">
        <f>IFERROR(__xludf.DUMMYFUNCTION("""COMPUTED_VALUE"""),172.94400000000002)</f>
        <v>172.944</v>
      </c>
      <c r="BM1223" s="71">
        <f>IFERROR(__xludf.DUMMYFUNCTION("""COMPUTED_VALUE"""),1253.844)</f>
        <v>1253.844</v>
      </c>
      <c r="BN1223" s="71">
        <f>IFERROR(__xludf.DUMMYFUNCTION("""COMPUTED_VALUE"""),1020.85)</f>
        <v>1020.85</v>
      </c>
      <c r="BO1223" s="71">
        <f>IFERROR(__xludf.DUMMYFUNCTION("""COMPUTED_VALUE"""),163.336)</f>
        <v>163.336</v>
      </c>
      <c r="BP1223" s="71">
        <f>IFERROR(__xludf.DUMMYFUNCTION("""COMPUTED_VALUE"""),1184.1860000000001)</f>
        <v>1184.186</v>
      </c>
      <c r="BQ1223" s="71">
        <f>IFERROR(__xludf.DUMMYFUNCTION("""COMPUTED_VALUE"""),996.8299999999999)</f>
        <v>996.83</v>
      </c>
      <c r="BR1223" s="71">
        <f>IFERROR(__xludf.DUMMYFUNCTION("""COMPUTED_VALUE"""),159.4928)</f>
        <v>159.4928</v>
      </c>
      <c r="BS1223" s="71">
        <f>IFERROR(__xludf.DUMMYFUNCTION("""COMPUTED_VALUE"""),1156.3228)</f>
        <v>1156.3228</v>
      </c>
      <c r="BT1223" s="71">
        <f>IFERROR(__xludf.DUMMYFUNCTION("""COMPUTED_VALUE"""),960.8000000000001)</f>
        <v>960.8</v>
      </c>
      <c r="BU1223" s="71">
        <f>IFERROR(__xludf.DUMMYFUNCTION("""COMPUTED_VALUE"""),153.728)</f>
        <v>153.728</v>
      </c>
      <c r="BV1223" s="71">
        <f>IFERROR(__xludf.DUMMYFUNCTION("""COMPUTED_VALUE"""),1114.528)</f>
        <v>1114.528</v>
      </c>
    </row>
    <row r="1224">
      <c r="A1224" s="53">
        <v>1.0</v>
      </c>
      <c r="B1224" s="72"/>
      <c r="C1224" s="73" t="s">
        <v>53</v>
      </c>
      <c r="D1224" s="74" t="s">
        <v>2985</v>
      </c>
      <c r="E1224" s="54" t="s">
        <v>38</v>
      </c>
      <c r="F1224" s="54" t="s">
        <v>42</v>
      </c>
      <c r="G1224" s="88" t="s">
        <v>2986</v>
      </c>
      <c r="H1224" s="54" t="s">
        <v>2987</v>
      </c>
      <c r="I1224" s="54">
        <f t="shared" si="24"/>
        <v>22</v>
      </c>
      <c r="J1224" s="56"/>
      <c r="K1224" s="75"/>
      <c r="L1224" s="76"/>
      <c r="M1224" s="59"/>
      <c r="N1224" s="60">
        <v>73.0</v>
      </c>
      <c r="O1224" s="61">
        <v>78.0</v>
      </c>
      <c r="P1224" s="62">
        <v>84.24000000000001</v>
      </c>
      <c r="Q1224" s="63">
        <v>84.24000000000001</v>
      </c>
      <c r="R1224" s="64">
        <v>94.0</v>
      </c>
      <c r="S1224" s="111">
        <v>99.0</v>
      </c>
      <c r="T1224" s="65">
        <f t="shared" si="39"/>
        <v>15.84</v>
      </c>
      <c r="U1224" s="65">
        <f t="shared" si="40"/>
        <v>114.84</v>
      </c>
      <c r="V1224" s="66">
        <f t="shared" si="42"/>
        <v>0.05319148936</v>
      </c>
      <c r="W1224" s="67">
        <f t="shared" si="5"/>
        <v>94.05</v>
      </c>
      <c r="X1224" s="67">
        <f t="shared" si="43"/>
        <v>15.048</v>
      </c>
      <c r="Y1224" s="67">
        <f t="shared" si="44"/>
        <v>109.098</v>
      </c>
      <c r="Z1224" s="67">
        <f t="shared" si="8"/>
        <v>89.1</v>
      </c>
      <c r="AA1224" s="67">
        <f t="shared" si="45"/>
        <v>14.256</v>
      </c>
      <c r="AB1224" s="67">
        <f t="shared" si="46"/>
        <v>103.356</v>
      </c>
      <c r="AC1224" s="67">
        <f t="shared" si="11"/>
        <v>84.15</v>
      </c>
      <c r="AD1224" s="67">
        <f t="shared" si="12"/>
        <v>13.464</v>
      </c>
      <c r="AE1224" s="67">
        <f t="shared" si="13"/>
        <v>97.614</v>
      </c>
      <c r="AF1224" s="67">
        <f t="shared" si="33"/>
        <v>82.17</v>
      </c>
      <c r="AG1224" s="67">
        <f t="shared" si="15"/>
        <v>13.1472</v>
      </c>
      <c r="AH1224" s="67">
        <f t="shared" si="16"/>
        <v>95.3172</v>
      </c>
      <c r="AI1224" s="67">
        <f t="shared" si="17"/>
        <v>79.2</v>
      </c>
      <c r="AJ1224" s="68">
        <f t="shared" si="47"/>
        <v>12.672</v>
      </c>
      <c r="AK1224" s="68">
        <f t="shared" si="48"/>
        <v>91.872</v>
      </c>
      <c r="AL1224" s="70">
        <f>IFERROR(__xludf.DUMMYFUNCTION("""COMPUTED_VALUE"""),1.0)</f>
        <v>1</v>
      </c>
      <c r="AM1224" s="70"/>
      <c r="AN1224" s="71" t="str">
        <f>IFERROR(__xludf.DUMMYFUNCTION("""COMPUTED_VALUE""")," P")</f>
        <v>P</v>
      </c>
      <c r="AO1224" s="71" t="str">
        <f>IFERROR(__xludf.DUMMYFUNCTION("""COMPUTED_VALUE""")," TU04")</f>
        <v>TU04</v>
      </c>
      <c r="AP1224" s="71" t="str">
        <f>IFERROR(__xludf.DUMMYFUNCTION("""COMPUTED_VALUE""")," PZA")</f>
        <v>PZA</v>
      </c>
      <c r="AQ1224" s="71" t="str">
        <f>IFERROR(__xludf.DUMMYFUNCTION("""COMPUTED_VALUE""")," REF")</f>
        <v>REF</v>
      </c>
      <c r="AR1224" s="71" t="str">
        <f>IFERROR(__xludf.DUMMYFUNCTION("""COMPUTED_VALUE""")," TUBO DE RECIRCULACIÓN DÚPLEX")</f>
        <v>TUBO DE RECIRCULACIÓN DÚPLEX</v>
      </c>
      <c r="AS1224" s="71" t="str">
        <f>IFERROR(__xludf.DUMMYFUNCTION("""COMPUTED_VALUE""")," TUBO DE RECIRCULACION DPLX")</f>
        <v>TUBO DE RECIRCULACION DPLX</v>
      </c>
      <c r="AT1224" s="71">
        <f>IFERROR(__xludf.DUMMYFUNCTION("""COMPUTED_VALUE"""),26.0)</f>
        <v>26</v>
      </c>
      <c r="AU1224" s="71"/>
      <c r="AV1224" s="71"/>
      <c r="AW1224" s="71"/>
      <c r="AX1224" s="71"/>
      <c r="AY1224" s="71">
        <f>IFERROR(__xludf.DUMMYFUNCTION("""COMPUTED_VALUE"""),848.0)</f>
        <v>848</v>
      </c>
      <c r="AZ1224" s="71">
        <f>IFERROR(__xludf.DUMMYFUNCTION("""COMPUTED_VALUE"""),915.0)</f>
        <v>915</v>
      </c>
      <c r="BA1224" s="71">
        <f>IFERROR(__xludf.DUMMYFUNCTION("""COMPUTED_VALUE"""),1482.0)</f>
        <v>1482</v>
      </c>
      <c r="BB1224" s="71">
        <f>IFERROR(__xludf.DUMMYFUNCTION("""COMPUTED_VALUE"""),1482.0)</f>
        <v>1482</v>
      </c>
      <c r="BC1224" s="71">
        <f>IFERROR(__xludf.DUMMYFUNCTION("""COMPUTED_VALUE"""),1557.0)</f>
        <v>1557</v>
      </c>
      <c r="BD1224" s="71">
        <f>IFERROR(__xludf.DUMMYFUNCTION("""COMPUTED_VALUE"""),1635.0)</f>
        <v>1635</v>
      </c>
      <c r="BE1224" s="71">
        <f>IFERROR(__xludf.DUMMYFUNCTION("""COMPUTED_VALUE"""),261.6)</f>
        <v>261.6</v>
      </c>
      <c r="BF1224" s="71">
        <f>IFERROR(__xludf.DUMMYFUNCTION("""COMPUTED_VALUE"""),1896.6)</f>
        <v>1896.6</v>
      </c>
      <c r="BG1224" s="71">
        <f>IFERROR(__xludf.DUMMYFUNCTION("""COMPUTED_VALUE"""),0.05009633911368015)</f>
        <v>0.05009633911</v>
      </c>
      <c r="BH1224" s="71">
        <f>IFERROR(__xludf.DUMMYFUNCTION("""COMPUTED_VALUE"""),1553.25)</f>
        <v>1553.25</v>
      </c>
      <c r="BI1224" s="71">
        <f>IFERROR(__xludf.DUMMYFUNCTION("""COMPUTED_VALUE"""),248.52)</f>
        <v>248.52</v>
      </c>
      <c r="BJ1224" s="71">
        <f>IFERROR(__xludf.DUMMYFUNCTION("""COMPUTED_VALUE"""),1801.77)</f>
        <v>1801.77</v>
      </c>
      <c r="BK1224" s="71">
        <f>IFERROR(__xludf.DUMMYFUNCTION("""COMPUTED_VALUE"""),1471.5)</f>
        <v>1471.5</v>
      </c>
      <c r="BL1224" s="71">
        <f>IFERROR(__xludf.DUMMYFUNCTION("""COMPUTED_VALUE"""),235.44)</f>
        <v>235.44</v>
      </c>
      <c r="BM1224" s="71">
        <f>IFERROR(__xludf.DUMMYFUNCTION("""COMPUTED_VALUE"""),1706.94)</f>
        <v>1706.94</v>
      </c>
      <c r="BN1224" s="71">
        <f>IFERROR(__xludf.DUMMYFUNCTION("""COMPUTED_VALUE"""),1389.75)</f>
        <v>1389.75</v>
      </c>
      <c r="BO1224" s="71">
        <f>IFERROR(__xludf.DUMMYFUNCTION("""COMPUTED_VALUE"""),222.36)</f>
        <v>222.36</v>
      </c>
      <c r="BP1224" s="71">
        <f>IFERROR(__xludf.DUMMYFUNCTION("""COMPUTED_VALUE"""),1612.1100000000001)</f>
        <v>1612.11</v>
      </c>
      <c r="BQ1224" s="71">
        <f>IFERROR(__xludf.DUMMYFUNCTION("""COMPUTED_VALUE"""),1357.05)</f>
        <v>1357.05</v>
      </c>
      <c r="BR1224" s="71">
        <f>IFERROR(__xludf.DUMMYFUNCTION("""COMPUTED_VALUE"""),217.128)</f>
        <v>217.128</v>
      </c>
      <c r="BS1224" s="71">
        <f>IFERROR(__xludf.DUMMYFUNCTION("""COMPUTED_VALUE"""),1574.1779999999999)</f>
        <v>1574.178</v>
      </c>
      <c r="BT1224" s="71">
        <f>IFERROR(__xludf.DUMMYFUNCTION("""COMPUTED_VALUE"""),1308.0)</f>
        <v>1308</v>
      </c>
      <c r="BU1224" s="71">
        <f>IFERROR(__xludf.DUMMYFUNCTION("""COMPUTED_VALUE"""),209.28)</f>
        <v>209.28</v>
      </c>
      <c r="BV1224" s="71">
        <f>IFERROR(__xludf.DUMMYFUNCTION("""COMPUTED_VALUE"""),1517.28)</f>
        <v>1517.28</v>
      </c>
    </row>
    <row r="1225">
      <c r="A1225" s="53">
        <v>1.0</v>
      </c>
      <c r="B1225" s="72"/>
      <c r="C1225" s="73" t="s">
        <v>53</v>
      </c>
      <c r="D1225" s="74" t="s">
        <v>2988</v>
      </c>
      <c r="E1225" s="54" t="s">
        <v>38</v>
      </c>
      <c r="F1225" s="54" t="s">
        <v>42</v>
      </c>
      <c r="G1225" s="88" t="s">
        <v>2989</v>
      </c>
      <c r="H1225" s="54" t="s">
        <v>2990</v>
      </c>
      <c r="I1225" s="54">
        <f t="shared" si="24"/>
        <v>27</v>
      </c>
      <c r="J1225" s="56"/>
      <c r="K1225" s="75"/>
      <c r="L1225" s="76"/>
      <c r="M1225" s="59"/>
      <c r="N1225" s="60">
        <v>1911.0</v>
      </c>
      <c r="O1225" s="61">
        <v>2063.0</v>
      </c>
      <c r="P1225" s="62">
        <v>2761.72</v>
      </c>
      <c r="Q1225" s="63">
        <v>2761.72</v>
      </c>
      <c r="R1225" s="64">
        <v>3075.0</v>
      </c>
      <c r="S1225" s="111">
        <v>3229.0</v>
      </c>
      <c r="T1225" s="65">
        <f t="shared" si="39"/>
        <v>516.64</v>
      </c>
      <c r="U1225" s="65">
        <f t="shared" si="40"/>
        <v>3745.64</v>
      </c>
      <c r="V1225" s="66">
        <f t="shared" si="42"/>
        <v>0.05008130081</v>
      </c>
      <c r="W1225" s="67">
        <f t="shared" si="5"/>
        <v>3067.55</v>
      </c>
      <c r="X1225" s="67">
        <f t="shared" si="43"/>
        <v>490.808</v>
      </c>
      <c r="Y1225" s="67">
        <f t="shared" si="44"/>
        <v>3558.358</v>
      </c>
      <c r="Z1225" s="67">
        <f t="shared" si="8"/>
        <v>2906.1</v>
      </c>
      <c r="AA1225" s="67">
        <f t="shared" si="45"/>
        <v>464.976</v>
      </c>
      <c r="AB1225" s="67">
        <f t="shared" si="46"/>
        <v>3371.076</v>
      </c>
      <c r="AC1225" s="67">
        <f t="shared" si="11"/>
        <v>2744.65</v>
      </c>
      <c r="AD1225" s="67">
        <f t="shared" si="12"/>
        <v>439.144</v>
      </c>
      <c r="AE1225" s="67">
        <f t="shared" si="13"/>
        <v>3183.794</v>
      </c>
      <c r="AF1225" s="67">
        <f t="shared" si="33"/>
        <v>2680.07</v>
      </c>
      <c r="AG1225" s="67">
        <f t="shared" si="15"/>
        <v>428.8112</v>
      </c>
      <c r="AH1225" s="67">
        <f t="shared" si="16"/>
        <v>3108.8812</v>
      </c>
      <c r="AI1225" s="67">
        <f t="shared" si="17"/>
        <v>2583.2</v>
      </c>
      <c r="AJ1225" s="68">
        <f t="shared" si="47"/>
        <v>413.312</v>
      </c>
      <c r="AK1225" s="68">
        <f t="shared" si="48"/>
        <v>2996.512</v>
      </c>
      <c r="AL1225" s="70">
        <f>IFERROR(__xludf.DUMMYFUNCTION("""COMPUTED_VALUE"""),1.0)</f>
        <v>1</v>
      </c>
      <c r="AM1225" s="70"/>
      <c r="AN1225" s="71" t="str">
        <f>IFERROR(__xludf.DUMMYFUNCTION("""COMPUTED_VALUE""")," P")</f>
        <v>P</v>
      </c>
      <c r="AO1225" s="71" t="str">
        <f>IFERROR(__xludf.DUMMYFUNCTION("""COMPUTED_VALUE""")," TU02")</f>
        <v>TU02</v>
      </c>
      <c r="AP1225" s="71" t="str">
        <f>IFERROR(__xludf.DUMMYFUNCTION("""COMPUTED_VALUE""")," PZA")</f>
        <v>PZA</v>
      </c>
      <c r="AQ1225" s="71" t="str">
        <f>IFERROR(__xludf.DUMMYFUNCTION("""COMPUTED_VALUE""")," REF")</f>
        <v>REF</v>
      </c>
      <c r="AR1225" s="71" t="str">
        <f>IFERROR(__xludf.DUMMYFUNCTION("""COMPUTED_VALUE""")," TUBO DE RECIRCULACIÓN ESPECIAL CHICO")</f>
        <v>TUBO DE RECIRCULACIÓN ESPECIAL CHICO</v>
      </c>
      <c r="AS1225" s="71" t="str">
        <f>IFERROR(__xludf.DUMMYFUNCTION("""COMPUTED_VALUE""")," TUBO DE RECIRCULACION ESPECIAL CHICO")</f>
        <v>TUBO DE RECIRCULACION ESPECIAL CHICO</v>
      </c>
      <c r="AT1225" s="71">
        <f>IFERROR(__xludf.DUMMYFUNCTION("""COMPUTED_VALUE"""),36.0)</f>
        <v>36</v>
      </c>
      <c r="AU1225" s="71"/>
      <c r="AV1225" s="71"/>
      <c r="AW1225" s="71"/>
      <c r="AX1225" s="71"/>
      <c r="AY1225" s="71">
        <f>IFERROR(__xludf.DUMMYFUNCTION("""COMPUTED_VALUE"""),549.0)</f>
        <v>549</v>
      </c>
      <c r="AZ1225" s="71">
        <f>IFERROR(__xludf.DUMMYFUNCTION("""COMPUTED_VALUE"""),592.0)</f>
        <v>592</v>
      </c>
      <c r="BA1225" s="71">
        <f>IFERROR(__xludf.DUMMYFUNCTION("""COMPUTED_VALUE"""),639.36)</f>
        <v>639.36</v>
      </c>
      <c r="BB1225" s="71">
        <f>IFERROR(__xludf.DUMMYFUNCTION("""COMPUTED_VALUE"""),639.36)</f>
        <v>639.36</v>
      </c>
      <c r="BC1225" s="71">
        <f>IFERROR(__xludf.DUMMYFUNCTION("""COMPUTED_VALUE"""),712.0)</f>
        <v>712</v>
      </c>
      <c r="BD1225" s="71">
        <f>IFERROR(__xludf.DUMMYFUNCTION("""COMPUTED_VALUE"""),748.0)</f>
        <v>748</v>
      </c>
      <c r="BE1225" s="71">
        <f>IFERROR(__xludf.DUMMYFUNCTION("""COMPUTED_VALUE"""),119.68)</f>
        <v>119.68</v>
      </c>
      <c r="BF1225" s="71">
        <f>IFERROR(__xludf.DUMMYFUNCTION("""COMPUTED_VALUE"""),867.6800000000001)</f>
        <v>867.68</v>
      </c>
      <c r="BG1225" s="71">
        <f>IFERROR(__xludf.DUMMYFUNCTION("""COMPUTED_VALUE"""),0.05056179775280899)</f>
        <v>0.05056179775</v>
      </c>
      <c r="BH1225" s="71">
        <f>IFERROR(__xludf.DUMMYFUNCTION("""COMPUTED_VALUE"""),710.6)</f>
        <v>710.6</v>
      </c>
      <c r="BI1225" s="71">
        <f>IFERROR(__xludf.DUMMYFUNCTION("""COMPUTED_VALUE"""),113.69600000000001)</f>
        <v>113.696</v>
      </c>
      <c r="BJ1225" s="71">
        <f>IFERROR(__xludf.DUMMYFUNCTION("""COMPUTED_VALUE"""),824.296)</f>
        <v>824.296</v>
      </c>
      <c r="BK1225" s="71">
        <f>IFERROR(__xludf.DUMMYFUNCTION("""COMPUTED_VALUE"""),673.2)</f>
        <v>673.2</v>
      </c>
      <c r="BL1225" s="71">
        <f>IFERROR(__xludf.DUMMYFUNCTION("""COMPUTED_VALUE"""),107.712)</f>
        <v>107.712</v>
      </c>
      <c r="BM1225" s="71">
        <f>IFERROR(__xludf.DUMMYFUNCTION("""COMPUTED_VALUE"""),780.912)</f>
        <v>780.912</v>
      </c>
      <c r="BN1225" s="71">
        <f>IFERROR(__xludf.DUMMYFUNCTION("""COMPUTED_VALUE"""),635.8)</f>
        <v>635.8</v>
      </c>
      <c r="BO1225" s="71">
        <f>IFERROR(__xludf.DUMMYFUNCTION("""COMPUTED_VALUE"""),101.728)</f>
        <v>101.728</v>
      </c>
      <c r="BP1225" s="71">
        <f>IFERROR(__xludf.DUMMYFUNCTION("""COMPUTED_VALUE"""),737.5279999999999)</f>
        <v>737.528</v>
      </c>
      <c r="BQ1225" s="71">
        <f>IFERROR(__xludf.DUMMYFUNCTION("""COMPUTED_VALUE"""),620.8399999999999)</f>
        <v>620.84</v>
      </c>
      <c r="BR1225" s="71">
        <f>IFERROR(__xludf.DUMMYFUNCTION("""COMPUTED_VALUE"""),99.33439999999999)</f>
        <v>99.3344</v>
      </c>
      <c r="BS1225" s="71">
        <f>IFERROR(__xludf.DUMMYFUNCTION("""COMPUTED_VALUE"""),720.1743999999999)</f>
        <v>720.1744</v>
      </c>
      <c r="BT1225" s="71">
        <f>IFERROR(__xludf.DUMMYFUNCTION("""COMPUTED_VALUE"""),598.4)</f>
        <v>598.4</v>
      </c>
      <c r="BU1225" s="71">
        <f>IFERROR(__xludf.DUMMYFUNCTION("""COMPUTED_VALUE"""),95.744)</f>
        <v>95.744</v>
      </c>
      <c r="BV1225" s="71">
        <f>IFERROR(__xludf.DUMMYFUNCTION("""COMPUTED_VALUE"""),694.144)</f>
        <v>694.144</v>
      </c>
    </row>
    <row r="1226">
      <c r="A1226" s="53">
        <v>1.0</v>
      </c>
      <c r="B1226" s="72"/>
      <c r="C1226" s="73" t="s">
        <v>53</v>
      </c>
      <c r="D1226" s="74" t="s">
        <v>2991</v>
      </c>
      <c r="E1226" s="54" t="s">
        <v>38</v>
      </c>
      <c r="F1226" s="54" t="s">
        <v>42</v>
      </c>
      <c r="G1226" s="88" t="s">
        <v>2992</v>
      </c>
      <c r="H1226" s="54" t="s">
        <v>2993</v>
      </c>
      <c r="I1226" s="54">
        <f t="shared" si="24"/>
        <v>29</v>
      </c>
      <c r="J1226" s="56"/>
      <c r="K1226" s="75"/>
      <c r="L1226" s="76"/>
      <c r="M1226" s="59"/>
      <c r="N1226" s="60">
        <v>1911.0</v>
      </c>
      <c r="O1226" s="61">
        <v>2063.0</v>
      </c>
      <c r="P1226" s="62">
        <v>2761.72</v>
      </c>
      <c r="Q1226" s="63">
        <v>2761.72</v>
      </c>
      <c r="R1226" s="64">
        <v>3075.0</v>
      </c>
      <c r="S1226" s="111">
        <v>3229.0</v>
      </c>
      <c r="T1226" s="65">
        <f t="shared" si="39"/>
        <v>516.64</v>
      </c>
      <c r="U1226" s="65">
        <f t="shared" si="40"/>
        <v>3745.64</v>
      </c>
      <c r="V1226" s="66">
        <f t="shared" si="42"/>
        <v>0.05008130081</v>
      </c>
      <c r="W1226" s="67">
        <f t="shared" si="5"/>
        <v>3067.55</v>
      </c>
      <c r="X1226" s="67">
        <f t="shared" si="43"/>
        <v>490.808</v>
      </c>
      <c r="Y1226" s="67">
        <f t="shared" si="44"/>
        <v>3558.358</v>
      </c>
      <c r="Z1226" s="67">
        <f t="shared" si="8"/>
        <v>2906.1</v>
      </c>
      <c r="AA1226" s="67">
        <f t="shared" si="45"/>
        <v>464.976</v>
      </c>
      <c r="AB1226" s="67">
        <f t="shared" si="46"/>
        <v>3371.076</v>
      </c>
      <c r="AC1226" s="67">
        <f t="shared" si="11"/>
        <v>2744.65</v>
      </c>
      <c r="AD1226" s="67">
        <f t="shared" si="12"/>
        <v>439.144</v>
      </c>
      <c r="AE1226" s="67">
        <f t="shared" si="13"/>
        <v>3183.794</v>
      </c>
      <c r="AF1226" s="67">
        <f t="shared" si="33"/>
        <v>2680.07</v>
      </c>
      <c r="AG1226" s="67">
        <f t="shared" si="15"/>
        <v>428.8112</v>
      </c>
      <c r="AH1226" s="67">
        <f t="shared" si="16"/>
        <v>3108.8812</v>
      </c>
      <c r="AI1226" s="67">
        <f t="shared" si="17"/>
        <v>2583.2</v>
      </c>
      <c r="AJ1226" s="68">
        <f t="shared" si="47"/>
        <v>413.312</v>
      </c>
      <c r="AK1226" s="68">
        <f t="shared" si="48"/>
        <v>2996.512</v>
      </c>
      <c r="AL1226" s="70">
        <f>IFERROR(__xludf.DUMMYFUNCTION("""COMPUTED_VALUE"""),1.0)</f>
        <v>1</v>
      </c>
      <c r="AM1226" s="70"/>
      <c r="AN1226" s="71" t="str">
        <f>IFERROR(__xludf.DUMMYFUNCTION("""COMPUTED_VALUE""")," P")</f>
        <v>P</v>
      </c>
      <c r="AO1226" s="71" t="str">
        <f>IFERROR(__xludf.DUMMYFUNCTION("""COMPUTED_VALUE""")," TU03")</f>
        <v>TU03</v>
      </c>
      <c r="AP1226" s="71" t="str">
        <f>IFERROR(__xludf.DUMMYFUNCTION("""COMPUTED_VALUE""")," PZA")</f>
        <v>PZA</v>
      </c>
      <c r="AQ1226" s="71" t="str">
        <f>IFERROR(__xludf.DUMMYFUNCTION("""COMPUTED_VALUE""")," REF")</f>
        <v>REF</v>
      </c>
      <c r="AR1226" s="71" t="str">
        <f>IFERROR(__xludf.DUMMYFUNCTION("""COMPUTED_VALUE""")," TUBO DE RECIRCULACIÓN SENCILLO")</f>
        <v>TUBO DE RECIRCULACIÓN SENCILLO</v>
      </c>
      <c r="AS1226" s="71" t="str">
        <f>IFERROR(__xludf.DUMMYFUNCTION("""COMPUTED_VALUE""")," TUBO DE RECIRCULACION SENCILLO")</f>
        <v>TUBO DE RECIRCULACION SENCILLO</v>
      </c>
      <c r="AT1226" s="71">
        <f>IFERROR(__xludf.DUMMYFUNCTION("""COMPUTED_VALUE"""),30.0)</f>
        <v>30</v>
      </c>
      <c r="AU1226" s="71"/>
      <c r="AV1226" s="71"/>
      <c r="AW1226" s="71"/>
      <c r="AX1226" s="71"/>
      <c r="AY1226" s="71">
        <f>IFERROR(__xludf.DUMMYFUNCTION("""COMPUTED_VALUE"""),452.0)</f>
        <v>452</v>
      </c>
      <c r="AZ1226" s="71">
        <f>IFERROR(__xludf.DUMMYFUNCTION("""COMPUTED_VALUE"""),488.0)</f>
        <v>488</v>
      </c>
      <c r="BA1226" s="71">
        <f>IFERROR(__xludf.DUMMYFUNCTION("""COMPUTED_VALUE"""),527.0400000000001)</f>
        <v>527.04</v>
      </c>
      <c r="BB1226" s="71">
        <f>IFERROR(__xludf.DUMMYFUNCTION("""COMPUTED_VALUE"""),527.0400000000001)</f>
        <v>527.04</v>
      </c>
      <c r="BC1226" s="71">
        <f>IFERROR(__xludf.DUMMYFUNCTION("""COMPUTED_VALUE"""),587.0)</f>
        <v>587</v>
      </c>
      <c r="BD1226" s="71">
        <f>IFERROR(__xludf.DUMMYFUNCTION("""COMPUTED_VALUE"""),616.0)</f>
        <v>616</v>
      </c>
      <c r="BE1226" s="71">
        <f>IFERROR(__xludf.DUMMYFUNCTION("""COMPUTED_VALUE"""),98.56)</f>
        <v>98.56</v>
      </c>
      <c r="BF1226" s="71">
        <f>IFERROR(__xludf.DUMMYFUNCTION("""COMPUTED_VALUE"""),714.56)</f>
        <v>714.56</v>
      </c>
      <c r="BG1226" s="71">
        <f>IFERROR(__xludf.DUMMYFUNCTION("""COMPUTED_VALUE"""),0.049403747870528106)</f>
        <v>0.04940374787</v>
      </c>
      <c r="BH1226" s="71">
        <f>IFERROR(__xludf.DUMMYFUNCTION("""COMPUTED_VALUE"""),585.1999999999999)</f>
        <v>585.2</v>
      </c>
      <c r="BI1226" s="71">
        <f>IFERROR(__xludf.DUMMYFUNCTION("""COMPUTED_VALUE"""),93.63199999999999)</f>
        <v>93.632</v>
      </c>
      <c r="BJ1226" s="71">
        <f>IFERROR(__xludf.DUMMYFUNCTION("""COMPUTED_VALUE"""),678.8319999999999)</f>
        <v>678.832</v>
      </c>
      <c r="BK1226" s="71">
        <f>IFERROR(__xludf.DUMMYFUNCTION("""COMPUTED_VALUE"""),554.4)</f>
        <v>554.4</v>
      </c>
      <c r="BL1226" s="71">
        <f>IFERROR(__xludf.DUMMYFUNCTION("""COMPUTED_VALUE"""),88.704)</f>
        <v>88.704</v>
      </c>
      <c r="BM1226" s="71">
        <f>IFERROR(__xludf.DUMMYFUNCTION("""COMPUTED_VALUE"""),643.1039999999999)</f>
        <v>643.104</v>
      </c>
      <c r="BN1226" s="71">
        <f>IFERROR(__xludf.DUMMYFUNCTION("""COMPUTED_VALUE"""),523.6)</f>
        <v>523.6</v>
      </c>
      <c r="BO1226" s="71">
        <f>IFERROR(__xludf.DUMMYFUNCTION("""COMPUTED_VALUE"""),83.77600000000001)</f>
        <v>83.776</v>
      </c>
      <c r="BP1226" s="71">
        <f>IFERROR(__xludf.DUMMYFUNCTION("""COMPUTED_VALUE"""),607.376)</f>
        <v>607.376</v>
      </c>
      <c r="BQ1226" s="71">
        <f>IFERROR(__xludf.DUMMYFUNCTION("""COMPUTED_VALUE"""),511.28)</f>
        <v>511.28</v>
      </c>
      <c r="BR1226" s="71">
        <f>IFERROR(__xludf.DUMMYFUNCTION("""COMPUTED_VALUE"""),81.8048)</f>
        <v>81.8048</v>
      </c>
      <c r="BS1226" s="71">
        <f>IFERROR(__xludf.DUMMYFUNCTION("""COMPUTED_VALUE"""),593.0848)</f>
        <v>593.0848</v>
      </c>
      <c r="BT1226" s="71">
        <f>IFERROR(__xludf.DUMMYFUNCTION("""COMPUTED_VALUE"""),492.8)</f>
        <v>492.8</v>
      </c>
      <c r="BU1226" s="71">
        <f>IFERROR(__xludf.DUMMYFUNCTION("""COMPUTED_VALUE"""),78.848)</f>
        <v>78.848</v>
      </c>
      <c r="BV1226" s="71">
        <f>IFERROR(__xludf.DUMMYFUNCTION("""COMPUTED_VALUE"""),571.648)</f>
        <v>571.648</v>
      </c>
    </row>
    <row r="1227">
      <c r="A1227" s="53">
        <v>1.0</v>
      </c>
      <c r="B1227" s="72"/>
      <c r="C1227" s="73" t="s">
        <v>53</v>
      </c>
      <c r="D1227" s="74" t="s">
        <v>2994</v>
      </c>
      <c r="E1227" s="54" t="s">
        <v>38</v>
      </c>
      <c r="F1227" s="54" t="s">
        <v>42</v>
      </c>
      <c r="G1227" s="88" t="s">
        <v>2995</v>
      </c>
      <c r="H1227" s="54" t="s">
        <v>2996</v>
      </c>
      <c r="I1227" s="54">
        <f t="shared" si="24"/>
        <v>31</v>
      </c>
      <c r="J1227" s="56"/>
      <c r="K1227" s="75"/>
      <c r="L1227" s="76"/>
      <c r="M1227" s="59"/>
      <c r="N1227" s="60">
        <v>995.0</v>
      </c>
      <c r="O1227" s="61">
        <v>1074.0</v>
      </c>
      <c r="P1227" s="62">
        <v>1445.54</v>
      </c>
      <c r="Q1227" s="63">
        <v>1445.54</v>
      </c>
      <c r="R1227" s="64">
        <v>1610.0</v>
      </c>
      <c r="S1227" s="111">
        <v>1691.0</v>
      </c>
      <c r="T1227" s="65">
        <f t="shared" si="39"/>
        <v>270.56</v>
      </c>
      <c r="U1227" s="65">
        <f t="shared" si="40"/>
        <v>1961.56</v>
      </c>
      <c r="V1227" s="66">
        <f t="shared" si="42"/>
        <v>0.05031055901</v>
      </c>
      <c r="W1227" s="67">
        <f t="shared" si="5"/>
        <v>1606.45</v>
      </c>
      <c r="X1227" s="67">
        <f t="shared" si="43"/>
        <v>257.032</v>
      </c>
      <c r="Y1227" s="67">
        <f t="shared" si="44"/>
        <v>1863.482</v>
      </c>
      <c r="Z1227" s="67">
        <f t="shared" si="8"/>
        <v>1521.9</v>
      </c>
      <c r="AA1227" s="67">
        <f t="shared" si="45"/>
        <v>243.504</v>
      </c>
      <c r="AB1227" s="67">
        <f t="shared" si="46"/>
        <v>1765.404</v>
      </c>
      <c r="AC1227" s="67">
        <f t="shared" si="11"/>
        <v>1437.35</v>
      </c>
      <c r="AD1227" s="67">
        <f t="shared" si="12"/>
        <v>229.976</v>
      </c>
      <c r="AE1227" s="67">
        <f t="shared" si="13"/>
        <v>1667.326</v>
      </c>
      <c r="AF1227" s="67">
        <f t="shared" si="33"/>
        <v>1403.53</v>
      </c>
      <c r="AG1227" s="67">
        <f t="shared" si="15"/>
        <v>224.5648</v>
      </c>
      <c r="AH1227" s="67">
        <f t="shared" si="16"/>
        <v>1628.0948</v>
      </c>
      <c r="AI1227" s="67">
        <f t="shared" si="17"/>
        <v>1352.8</v>
      </c>
      <c r="AJ1227" s="68">
        <f t="shared" si="47"/>
        <v>216.448</v>
      </c>
      <c r="AK1227" s="68">
        <f t="shared" si="48"/>
        <v>1569.248</v>
      </c>
      <c r="AL1227" s="70">
        <f>IFERROR(__xludf.DUMMYFUNCTION("""COMPUTED_VALUE"""),1.0)</f>
        <v>1</v>
      </c>
      <c r="AM1227" s="70"/>
      <c r="AN1227" s="71" t="str">
        <f>IFERROR(__xludf.DUMMYFUNCTION("""COMPUTED_VALUE""")," C")</f>
        <v>C</v>
      </c>
      <c r="AO1227" s="71" t="str">
        <f>IFERROR(__xludf.DUMMYFUNCTION("""COMPUTED_VALUE""")," TC01")</f>
        <v>TC01</v>
      </c>
      <c r="AP1227" s="71" t="str">
        <f>IFERROR(__xludf.DUMMYFUNCTION("""COMPUTED_VALUE""")," PZA")</f>
        <v>PZA</v>
      </c>
      <c r="AQ1227" s="71" t="str">
        <f>IFERROR(__xludf.DUMMYFUNCTION("""COMPUTED_VALUE""")," REF")</f>
        <v>REF</v>
      </c>
      <c r="AR1227" s="71" t="str">
        <f>IFERROR(__xludf.DUMMYFUNCTION("""COMPUTED_VALUE""")," TUERCA CUADRADA 1/4")</f>
        <v>TUERCA CUADRADA 1/4</v>
      </c>
      <c r="AS1227" s="71" t="str">
        <f>IFERROR(__xludf.DUMMYFUNCTION("""COMPUTED_VALUE""")," TUERCA CUADRADA 1/4")</f>
        <v>TUERCA CUADRADA 1/4</v>
      </c>
      <c r="AT1227" s="71">
        <f>IFERROR(__xludf.DUMMYFUNCTION("""COMPUTED_VALUE"""),19.0)</f>
        <v>19</v>
      </c>
      <c r="AU1227" s="71"/>
      <c r="AV1227" s="71"/>
      <c r="AW1227" s="71"/>
      <c r="AX1227" s="71"/>
      <c r="AY1227" s="71">
        <f>IFERROR(__xludf.DUMMYFUNCTION("""COMPUTED_VALUE"""),1.0)</f>
        <v>1</v>
      </c>
      <c r="AZ1227" s="71">
        <f>IFERROR(__xludf.DUMMYFUNCTION("""COMPUTED_VALUE"""),4.0)</f>
        <v>4</v>
      </c>
      <c r="BA1227" s="71">
        <f>IFERROR(__xludf.DUMMYFUNCTION("""COMPUTED_VALUE"""),4.32)</f>
        <v>4.32</v>
      </c>
      <c r="BB1227" s="71">
        <f>IFERROR(__xludf.DUMMYFUNCTION("""COMPUTED_VALUE"""),4.32)</f>
        <v>4.32</v>
      </c>
      <c r="BC1227" s="71">
        <f>IFERROR(__xludf.DUMMYFUNCTION("""COMPUTED_VALUE"""),1.0)</f>
        <v>1</v>
      </c>
      <c r="BD1227" s="71">
        <f>IFERROR(__xludf.DUMMYFUNCTION("""COMPUTED_VALUE"""),1.05)</f>
        <v>1.05</v>
      </c>
      <c r="BE1227" s="71">
        <f>IFERROR(__xludf.DUMMYFUNCTION("""COMPUTED_VALUE"""),0.168)</f>
        <v>0.168</v>
      </c>
      <c r="BF1227" s="71">
        <f>IFERROR(__xludf.DUMMYFUNCTION("""COMPUTED_VALUE"""),1.218)</f>
        <v>1.218</v>
      </c>
      <c r="BG1227" s="71">
        <f>IFERROR(__xludf.DUMMYFUNCTION("""COMPUTED_VALUE"""),0.050000000000000044)</f>
        <v>0.05</v>
      </c>
      <c r="BH1227" s="71">
        <f>IFERROR(__xludf.DUMMYFUNCTION("""COMPUTED_VALUE"""),0.9974999999999999)</f>
        <v>0.9975</v>
      </c>
      <c r="BI1227" s="71">
        <f>IFERROR(__xludf.DUMMYFUNCTION("""COMPUTED_VALUE"""),0.1596)</f>
        <v>0.1596</v>
      </c>
      <c r="BJ1227" s="71">
        <f>IFERROR(__xludf.DUMMYFUNCTION("""COMPUTED_VALUE"""),1.1571)</f>
        <v>1.1571</v>
      </c>
      <c r="BK1227" s="71">
        <f>IFERROR(__xludf.DUMMYFUNCTION("""COMPUTED_VALUE"""),0.9450000000000001)</f>
        <v>0.945</v>
      </c>
      <c r="BL1227" s="71">
        <f>IFERROR(__xludf.DUMMYFUNCTION("""COMPUTED_VALUE"""),0.1512)</f>
        <v>0.1512</v>
      </c>
      <c r="BM1227" s="71">
        <f>IFERROR(__xludf.DUMMYFUNCTION("""COMPUTED_VALUE"""),1.0962)</f>
        <v>1.0962</v>
      </c>
      <c r="BN1227" s="71">
        <f>IFERROR(__xludf.DUMMYFUNCTION("""COMPUTED_VALUE"""),0.8925)</f>
        <v>0.8925</v>
      </c>
      <c r="BO1227" s="71">
        <f>IFERROR(__xludf.DUMMYFUNCTION("""COMPUTED_VALUE"""),0.1428)</f>
        <v>0.1428</v>
      </c>
      <c r="BP1227" s="71">
        <f>IFERROR(__xludf.DUMMYFUNCTION("""COMPUTED_VALUE"""),1.0352999999999999)</f>
        <v>1.0353</v>
      </c>
      <c r="BQ1227" s="71">
        <f>IFERROR(__xludf.DUMMYFUNCTION("""COMPUTED_VALUE"""),0.8714999999999999)</f>
        <v>0.8715</v>
      </c>
      <c r="BR1227" s="71">
        <f>IFERROR(__xludf.DUMMYFUNCTION("""COMPUTED_VALUE"""),0.13943999999999998)</f>
        <v>0.13944</v>
      </c>
      <c r="BS1227" s="71">
        <f>IFERROR(__xludf.DUMMYFUNCTION("""COMPUTED_VALUE"""),1.01094)</f>
        <v>1.01094</v>
      </c>
      <c r="BT1227" s="71">
        <f>IFERROR(__xludf.DUMMYFUNCTION("""COMPUTED_VALUE"""),0.8400000000000001)</f>
        <v>0.84</v>
      </c>
      <c r="BU1227" s="71">
        <f>IFERROR(__xludf.DUMMYFUNCTION("""COMPUTED_VALUE"""),0.13440000000000002)</f>
        <v>0.1344</v>
      </c>
      <c r="BV1227" s="71">
        <f>IFERROR(__xludf.DUMMYFUNCTION("""COMPUTED_VALUE"""),0.9744000000000002)</f>
        <v>0.9744</v>
      </c>
    </row>
    <row r="1228">
      <c r="A1228" s="53"/>
      <c r="B1228" s="53"/>
      <c r="C1228" s="73" t="s">
        <v>53</v>
      </c>
      <c r="D1228" s="53" t="s">
        <v>2997</v>
      </c>
      <c r="E1228" s="54" t="s">
        <v>38</v>
      </c>
      <c r="F1228" s="55" t="s">
        <v>309</v>
      </c>
      <c r="G1228" s="54" t="s">
        <v>2998</v>
      </c>
      <c r="H1228" s="55"/>
      <c r="I1228" s="54">
        <f t="shared" si="24"/>
        <v>0</v>
      </c>
      <c r="J1228" s="56"/>
      <c r="K1228" s="57"/>
      <c r="L1228" s="76"/>
      <c r="M1228" s="59"/>
      <c r="N1228" s="60"/>
      <c r="O1228" s="61">
        <v>1074.0</v>
      </c>
      <c r="P1228" s="62">
        <v>1445.54</v>
      </c>
      <c r="Q1228" s="63">
        <v>1445.54</v>
      </c>
      <c r="R1228" s="64">
        <v>1610.0</v>
      </c>
      <c r="S1228" s="111">
        <v>1691.0</v>
      </c>
      <c r="T1228" s="65">
        <f t="shared" si="39"/>
        <v>270.56</v>
      </c>
      <c r="U1228" s="65">
        <f t="shared" si="40"/>
        <v>1961.56</v>
      </c>
      <c r="V1228" s="66">
        <f t="shared" si="42"/>
        <v>0.05031055901</v>
      </c>
      <c r="W1228" s="67">
        <f t="shared" si="5"/>
        <v>1606.45</v>
      </c>
      <c r="X1228" s="67">
        <f t="shared" si="43"/>
        <v>257.032</v>
      </c>
      <c r="Y1228" s="67">
        <f t="shared" si="44"/>
        <v>1863.482</v>
      </c>
      <c r="Z1228" s="67">
        <f t="shared" si="8"/>
        <v>1521.9</v>
      </c>
      <c r="AA1228" s="67">
        <f t="shared" si="45"/>
        <v>243.504</v>
      </c>
      <c r="AB1228" s="67">
        <f t="shared" si="46"/>
        <v>1765.404</v>
      </c>
      <c r="AC1228" s="67">
        <f t="shared" si="11"/>
        <v>1437.35</v>
      </c>
      <c r="AD1228" s="67">
        <f t="shared" si="12"/>
        <v>229.976</v>
      </c>
      <c r="AE1228" s="67">
        <f t="shared" si="13"/>
        <v>1667.326</v>
      </c>
      <c r="AF1228" s="67">
        <f t="shared" si="33"/>
        <v>1403.53</v>
      </c>
      <c r="AG1228" s="67">
        <f t="shared" si="15"/>
        <v>224.5648</v>
      </c>
      <c r="AH1228" s="67">
        <f t="shared" si="16"/>
        <v>1628.0948</v>
      </c>
      <c r="AI1228" s="67">
        <f t="shared" si="17"/>
        <v>1352.8</v>
      </c>
      <c r="AJ1228" s="68">
        <f t="shared" si="47"/>
        <v>216.448</v>
      </c>
      <c r="AK1228" s="68">
        <f t="shared" si="48"/>
        <v>1569.248</v>
      </c>
      <c r="AL1228" s="70">
        <f>IFERROR(__xludf.DUMMYFUNCTION("""COMPUTED_VALUE"""),1.0)</f>
        <v>1</v>
      </c>
      <c r="AM1228" s="70"/>
      <c r="AN1228" s="71" t="str">
        <f>IFERROR(__xludf.DUMMYFUNCTION("""COMPUTED_VALUE""")," C")</f>
        <v>C</v>
      </c>
      <c r="AO1228" s="71" t="str">
        <f>IFERROR(__xludf.DUMMYFUNCTION("""COMPUTED_VALUE""")," TC96")</f>
        <v>TC96</v>
      </c>
      <c r="AP1228" s="71" t="str">
        <f>IFERROR(__xludf.DUMMYFUNCTION("""COMPUTED_VALUE""")," PZA")</f>
        <v>PZA</v>
      </c>
      <c r="AQ1228" s="71" t="str">
        <f>IFERROR(__xludf.DUMMYFUNCTION("""COMPUTED_VALUE""")," REF")</f>
        <v>REF</v>
      </c>
      <c r="AR1228" s="71" t="str">
        <f>IFERROR(__xludf.DUMMYFUNCTION("""COMPUTED_VALUE""")," TUERCA CUADRADA 1/4 EN ACERO INOX. T-304 GRADO ALIMENTICIO")</f>
        <v>TUERCA CUADRADA 1/4 EN ACERO INOX. T-304 GRADO ALIMENTICIO</v>
      </c>
      <c r="AS1228" s="71" t="str">
        <f>IFERROR(__xludf.DUMMYFUNCTION("""COMPUTED_VALUE""")," TUERCA CUADRADA 1/4 INOX")</f>
        <v>TUERCA CUADRADA 1/4 INOX</v>
      </c>
      <c r="AT1228" s="71">
        <f>IFERROR(__xludf.DUMMYFUNCTION("""COMPUTED_VALUE"""),24.0)</f>
        <v>24</v>
      </c>
      <c r="AU1228" s="71"/>
      <c r="AV1228" s="71"/>
      <c r="AW1228" s="71"/>
      <c r="AX1228" s="71"/>
      <c r="AY1228" s="71">
        <f>IFERROR(__xludf.DUMMYFUNCTION("""COMPUTED_VALUE"""),4.0)</f>
        <v>4</v>
      </c>
      <c r="AZ1228" s="71">
        <f>IFERROR(__xludf.DUMMYFUNCTION("""COMPUTED_VALUE"""),4.0)</f>
        <v>4</v>
      </c>
      <c r="BA1228" s="71">
        <f>IFERROR(__xludf.DUMMYFUNCTION("""COMPUTED_VALUE"""),4.32)</f>
        <v>4.32</v>
      </c>
      <c r="BB1228" s="71">
        <f>IFERROR(__xludf.DUMMYFUNCTION("""COMPUTED_VALUE"""),4.32)</f>
        <v>4.32</v>
      </c>
      <c r="BC1228" s="71">
        <f>IFERROR(__xludf.DUMMYFUNCTION("""COMPUTED_VALUE"""),5.0)</f>
        <v>5</v>
      </c>
      <c r="BD1228" s="71">
        <f>IFERROR(__xludf.DUMMYFUNCTION("""COMPUTED_VALUE"""),5.25)</f>
        <v>5.25</v>
      </c>
      <c r="BE1228" s="71">
        <f>IFERROR(__xludf.DUMMYFUNCTION("""COMPUTED_VALUE"""),0.84)</f>
        <v>0.84</v>
      </c>
      <c r="BF1228" s="71">
        <f>IFERROR(__xludf.DUMMYFUNCTION("""COMPUTED_VALUE"""),6.09)</f>
        <v>6.09</v>
      </c>
      <c r="BG1228" s="71">
        <f>IFERROR(__xludf.DUMMYFUNCTION("""COMPUTED_VALUE"""),0.05)</f>
        <v>0.05</v>
      </c>
      <c r="BH1228" s="71">
        <f>IFERROR(__xludf.DUMMYFUNCTION("""COMPUTED_VALUE"""),4.9875)</f>
        <v>4.9875</v>
      </c>
      <c r="BI1228" s="71">
        <f>IFERROR(__xludf.DUMMYFUNCTION("""COMPUTED_VALUE"""),0.798)</f>
        <v>0.798</v>
      </c>
      <c r="BJ1228" s="71">
        <f>IFERROR(__xludf.DUMMYFUNCTION("""COMPUTED_VALUE"""),5.7855)</f>
        <v>5.7855</v>
      </c>
      <c r="BK1228" s="71">
        <f>IFERROR(__xludf.DUMMYFUNCTION("""COMPUTED_VALUE"""),4.7250000000000005)</f>
        <v>4.725</v>
      </c>
      <c r="BL1228" s="71">
        <f>IFERROR(__xludf.DUMMYFUNCTION("""COMPUTED_VALUE"""),0.7560000000000001)</f>
        <v>0.756</v>
      </c>
      <c r="BM1228" s="71">
        <f>IFERROR(__xludf.DUMMYFUNCTION("""COMPUTED_VALUE"""),5.481000000000001)</f>
        <v>5.481</v>
      </c>
      <c r="BN1228" s="71">
        <f>IFERROR(__xludf.DUMMYFUNCTION("""COMPUTED_VALUE"""),4.4624999999999995)</f>
        <v>4.4625</v>
      </c>
      <c r="BO1228" s="71">
        <f>IFERROR(__xludf.DUMMYFUNCTION("""COMPUTED_VALUE"""),0.714)</f>
        <v>0.714</v>
      </c>
      <c r="BP1228" s="71">
        <f>IFERROR(__xludf.DUMMYFUNCTION("""COMPUTED_VALUE"""),5.176499999999999)</f>
        <v>5.1765</v>
      </c>
      <c r="BQ1228" s="71">
        <f>IFERROR(__xludf.DUMMYFUNCTION("""COMPUTED_VALUE"""),4.3575)</f>
        <v>4.3575</v>
      </c>
      <c r="BR1228" s="71">
        <f>IFERROR(__xludf.DUMMYFUNCTION("""COMPUTED_VALUE"""),0.6972)</f>
        <v>0.6972</v>
      </c>
      <c r="BS1228" s="71">
        <f>IFERROR(__xludf.DUMMYFUNCTION("""COMPUTED_VALUE"""),5.0547)</f>
        <v>5.0547</v>
      </c>
      <c r="BT1228" s="71">
        <f>IFERROR(__xludf.DUMMYFUNCTION("""COMPUTED_VALUE"""),4.2)</f>
        <v>4.2</v>
      </c>
      <c r="BU1228" s="71">
        <f>IFERROR(__xludf.DUMMYFUNCTION("""COMPUTED_VALUE"""),0.672)</f>
        <v>0.672</v>
      </c>
      <c r="BV1228" s="71">
        <f>IFERROR(__xludf.DUMMYFUNCTION("""COMPUTED_VALUE"""),4.872)</f>
        <v>4.872</v>
      </c>
    </row>
    <row r="1229">
      <c r="A1229" s="53">
        <v>1.0</v>
      </c>
      <c r="B1229" s="72"/>
      <c r="C1229" s="73" t="s">
        <v>53</v>
      </c>
      <c r="D1229" s="74" t="s">
        <v>2999</v>
      </c>
      <c r="E1229" s="54" t="s">
        <v>38</v>
      </c>
      <c r="F1229" s="54" t="s">
        <v>42</v>
      </c>
      <c r="G1229" s="88" t="s">
        <v>3000</v>
      </c>
      <c r="H1229" s="54" t="s">
        <v>3001</v>
      </c>
      <c r="I1229" s="54">
        <f t="shared" si="24"/>
        <v>33</v>
      </c>
      <c r="J1229" s="56"/>
      <c r="K1229" s="75"/>
      <c r="L1229" s="76"/>
      <c r="M1229" s="59"/>
      <c r="N1229" s="60">
        <v>995.0</v>
      </c>
      <c r="O1229" s="61">
        <v>1074.0</v>
      </c>
      <c r="P1229" s="62">
        <v>1445.54</v>
      </c>
      <c r="Q1229" s="63">
        <v>1445.54</v>
      </c>
      <c r="R1229" s="64">
        <v>1610.0</v>
      </c>
      <c r="S1229" s="111">
        <v>1691.0</v>
      </c>
      <c r="T1229" s="65">
        <f t="shared" si="39"/>
        <v>270.56</v>
      </c>
      <c r="U1229" s="65">
        <f t="shared" si="40"/>
        <v>1961.56</v>
      </c>
      <c r="V1229" s="66">
        <f t="shared" si="42"/>
        <v>0.05031055901</v>
      </c>
      <c r="W1229" s="67">
        <f t="shared" si="5"/>
        <v>1606.45</v>
      </c>
      <c r="X1229" s="67">
        <f t="shared" si="43"/>
        <v>257.032</v>
      </c>
      <c r="Y1229" s="67">
        <f t="shared" si="44"/>
        <v>1863.482</v>
      </c>
      <c r="Z1229" s="67">
        <f t="shared" si="8"/>
        <v>1521.9</v>
      </c>
      <c r="AA1229" s="67">
        <f t="shared" si="45"/>
        <v>243.504</v>
      </c>
      <c r="AB1229" s="67">
        <f t="shared" si="46"/>
        <v>1765.404</v>
      </c>
      <c r="AC1229" s="67">
        <f t="shared" si="11"/>
        <v>1437.35</v>
      </c>
      <c r="AD1229" s="67">
        <f t="shared" si="12"/>
        <v>229.976</v>
      </c>
      <c r="AE1229" s="67">
        <f t="shared" si="13"/>
        <v>1667.326</v>
      </c>
      <c r="AF1229" s="67">
        <f t="shared" si="33"/>
        <v>1403.53</v>
      </c>
      <c r="AG1229" s="67">
        <f t="shared" si="15"/>
        <v>224.5648</v>
      </c>
      <c r="AH1229" s="67">
        <f t="shared" si="16"/>
        <v>1628.0948</v>
      </c>
      <c r="AI1229" s="67">
        <f t="shared" si="17"/>
        <v>1352.8</v>
      </c>
      <c r="AJ1229" s="68">
        <f t="shared" si="47"/>
        <v>216.448</v>
      </c>
      <c r="AK1229" s="68">
        <f t="shared" si="48"/>
        <v>1569.248</v>
      </c>
      <c r="AL1229" s="70">
        <f>IFERROR(__xludf.DUMMYFUNCTION("""COMPUTED_VALUE"""),1.0)</f>
        <v>1</v>
      </c>
      <c r="AM1229" s="70"/>
      <c r="AN1229" s="71" t="str">
        <f>IFERROR(__xludf.DUMMYFUNCTION("""COMPUTED_VALUE""")," C")</f>
        <v>C</v>
      </c>
      <c r="AO1229" s="71" t="str">
        <f>IFERROR(__xludf.DUMMYFUNCTION("""COMPUTED_VALUE""")," TC02")</f>
        <v>TC02</v>
      </c>
      <c r="AP1229" s="71" t="str">
        <f>IFERROR(__xludf.DUMMYFUNCTION("""COMPUTED_VALUE""")," PZA")</f>
        <v>PZA</v>
      </c>
      <c r="AQ1229" s="71" t="str">
        <f>IFERROR(__xludf.DUMMYFUNCTION("""COMPUTED_VALUE""")," REF")</f>
        <v>REF</v>
      </c>
      <c r="AR1229" s="71" t="str">
        <f>IFERROR(__xludf.DUMMYFUNCTION("""COMPUTED_VALUE""")," TUERCA DE LATÓN")</f>
        <v>TUERCA DE LATÓN</v>
      </c>
      <c r="AS1229" s="71" t="str">
        <f>IFERROR(__xludf.DUMMYFUNCTION("""COMPUTED_VALUE""")," TUERCA DE LATON")</f>
        <v>TUERCA DE LATON</v>
      </c>
      <c r="AT1229" s="71">
        <f>IFERROR(__xludf.DUMMYFUNCTION("""COMPUTED_VALUE"""),15.0)</f>
        <v>15</v>
      </c>
      <c r="AU1229" s="71"/>
      <c r="AV1229" s="71"/>
      <c r="AW1229" s="71"/>
      <c r="AX1229" s="71"/>
      <c r="AY1229" s="71">
        <f>IFERROR(__xludf.DUMMYFUNCTION("""COMPUTED_VALUE"""),13.0)</f>
        <v>13</v>
      </c>
      <c r="AZ1229" s="71">
        <f>IFERROR(__xludf.DUMMYFUNCTION("""COMPUTED_VALUE"""),14.0)</f>
        <v>14</v>
      </c>
      <c r="BA1229" s="71">
        <f>IFERROR(__xludf.DUMMYFUNCTION("""COMPUTED_VALUE"""),15.120000000000001)</f>
        <v>15.12</v>
      </c>
      <c r="BB1229" s="71">
        <f>IFERROR(__xludf.DUMMYFUNCTION("""COMPUTED_VALUE"""),15.120000000000001)</f>
        <v>15.12</v>
      </c>
      <c r="BC1229" s="71">
        <f>IFERROR(__xludf.DUMMYFUNCTION("""COMPUTED_VALUE"""),18.0)</f>
        <v>18</v>
      </c>
      <c r="BD1229" s="71">
        <f>IFERROR(__xludf.DUMMYFUNCTION("""COMPUTED_VALUE"""),18.900000000000002)</f>
        <v>18.9</v>
      </c>
      <c r="BE1229" s="71">
        <f>IFERROR(__xludf.DUMMYFUNCTION("""COMPUTED_VALUE"""),3.0240000000000005)</f>
        <v>3.024</v>
      </c>
      <c r="BF1229" s="71">
        <f>IFERROR(__xludf.DUMMYFUNCTION("""COMPUTED_VALUE"""),21.924000000000003)</f>
        <v>21.924</v>
      </c>
      <c r="BG1229" s="71">
        <f>IFERROR(__xludf.DUMMYFUNCTION("""COMPUTED_VALUE"""),0.05000000000000012)</f>
        <v>0.05</v>
      </c>
      <c r="BH1229" s="71">
        <f>IFERROR(__xludf.DUMMYFUNCTION("""COMPUTED_VALUE"""),17.955000000000002)</f>
        <v>17.955</v>
      </c>
      <c r="BI1229" s="71">
        <f>IFERROR(__xludf.DUMMYFUNCTION("""COMPUTED_VALUE"""),2.8728000000000002)</f>
        <v>2.8728</v>
      </c>
      <c r="BJ1229" s="71">
        <f>IFERROR(__xludf.DUMMYFUNCTION("""COMPUTED_VALUE"""),20.827800000000003)</f>
        <v>20.8278</v>
      </c>
      <c r="BK1229" s="71">
        <f>IFERROR(__xludf.DUMMYFUNCTION("""COMPUTED_VALUE"""),17.01)</f>
        <v>17.01</v>
      </c>
      <c r="BL1229" s="71">
        <f>IFERROR(__xludf.DUMMYFUNCTION("""COMPUTED_VALUE"""),2.7216000000000005)</f>
        <v>2.7216</v>
      </c>
      <c r="BM1229" s="71">
        <f>IFERROR(__xludf.DUMMYFUNCTION("""COMPUTED_VALUE"""),19.7316)</f>
        <v>19.7316</v>
      </c>
      <c r="BN1229" s="71">
        <f>IFERROR(__xludf.DUMMYFUNCTION("""COMPUTED_VALUE"""),16.065)</f>
        <v>16.065</v>
      </c>
      <c r="BO1229" s="71">
        <f>IFERROR(__xludf.DUMMYFUNCTION("""COMPUTED_VALUE"""),2.5704000000000002)</f>
        <v>2.5704</v>
      </c>
      <c r="BP1229" s="71">
        <f>IFERROR(__xludf.DUMMYFUNCTION("""COMPUTED_VALUE"""),18.6354)</f>
        <v>18.6354</v>
      </c>
      <c r="BQ1229" s="71">
        <f>IFERROR(__xludf.DUMMYFUNCTION("""COMPUTED_VALUE"""),15.687000000000001)</f>
        <v>15.687</v>
      </c>
      <c r="BR1229" s="71">
        <f>IFERROR(__xludf.DUMMYFUNCTION("""COMPUTED_VALUE"""),2.50992)</f>
        <v>2.50992</v>
      </c>
      <c r="BS1229" s="71">
        <f>IFERROR(__xludf.DUMMYFUNCTION("""COMPUTED_VALUE"""),18.196920000000002)</f>
        <v>18.19692</v>
      </c>
      <c r="BT1229" s="71">
        <f>IFERROR(__xludf.DUMMYFUNCTION("""COMPUTED_VALUE"""),15.120000000000003)</f>
        <v>15.12</v>
      </c>
      <c r="BU1229" s="71">
        <f>IFERROR(__xludf.DUMMYFUNCTION("""COMPUTED_VALUE"""),2.4192000000000005)</f>
        <v>2.4192</v>
      </c>
      <c r="BV1229" s="71">
        <f>IFERROR(__xludf.DUMMYFUNCTION("""COMPUTED_VALUE"""),17.539200000000005)</f>
        <v>17.5392</v>
      </c>
    </row>
    <row r="1230">
      <c r="A1230" s="53"/>
      <c r="B1230" s="53"/>
      <c r="C1230" s="73" t="s">
        <v>53</v>
      </c>
      <c r="D1230" s="53" t="s">
        <v>3002</v>
      </c>
      <c r="E1230" s="54" t="s">
        <v>38</v>
      </c>
      <c r="F1230" s="55" t="s">
        <v>309</v>
      </c>
      <c r="G1230" s="54" t="s">
        <v>3003</v>
      </c>
      <c r="H1230" s="82"/>
      <c r="I1230" s="54">
        <f t="shared" si="24"/>
        <v>0</v>
      </c>
      <c r="J1230" s="56"/>
      <c r="K1230" s="57"/>
      <c r="L1230" s="76"/>
      <c r="M1230" s="59"/>
      <c r="N1230" s="60"/>
      <c r="O1230" s="61">
        <v>1074.0</v>
      </c>
      <c r="P1230" s="62">
        <v>1445.54</v>
      </c>
      <c r="Q1230" s="63">
        <v>1445.54</v>
      </c>
      <c r="R1230" s="64">
        <v>1610.0</v>
      </c>
      <c r="S1230" s="111">
        <v>1691.0</v>
      </c>
      <c r="T1230" s="65">
        <f t="shared" si="39"/>
        <v>270.56</v>
      </c>
      <c r="U1230" s="65">
        <f t="shared" si="40"/>
        <v>1961.56</v>
      </c>
      <c r="V1230" s="66">
        <f t="shared" si="42"/>
        <v>0.05031055901</v>
      </c>
      <c r="W1230" s="67">
        <f t="shared" si="5"/>
        <v>1606.45</v>
      </c>
      <c r="X1230" s="67">
        <f t="shared" si="43"/>
        <v>257.032</v>
      </c>
      <c r="Y1230" s="67">
        <f t="shared" si="44"/>
        <v>1863.482</v>
      </c>
      <c r="Z1230" s="67">
        <f t="shared" si="8"/>
        <v>1521.9</v>
      </c>
      <c r="AA1230" s="67">
        <f t="shared" si="45"/>
        <v>243.504</v>
      </c>
      <c r="AB1230" s="67">
        <f t="shared" si="46"/>
        <v>1765.404</v>
      </c>
      <c r="AC1230" s="67">
        <f t="shared" si="11"/>
        <v>1437.35</v>
      </c>
      <c r="AD1230" s="67">
        <f t="shared" si="12"/>
        <v>229.976</v>
      </c>
      <c r="AE1230" s="67">
        <f t="shared" si="13"/>
        <v>1667.326</v>
      </c>
      <c r="AF1230" s="67">
        <f t="shared" si="33"/>
        <v>1403.53</v>
      </c>
      <c r="AG1230" s="67">
        <f t="shared" si="15"/>
        <v>224.5648</v>
      </c>
      <c r="AH1230" s="67">
        <f t="shared" si="16"/>
        <v>1628.0948</v>
      </c>
      <c r="AI1230" s="67">
        <f t="shared" si="17"/>
        <v>1352.8</v>
      </c>
      <c r="AJ1230" s="68">
        <f t="shared" si="47"/>
        <v>216.448</v>
      </c>
      <c r="AK1230" s="68">
        <f t="shared" si="48"/>
        <v>1569.248</v>
      </c>
      <c r="AL1230" s="70">
        <f>IFERROR(__xludf.DUMMYFUNCTION("""COMPUTED_VALUE"""),1.0)</f>
        <v>1</v>
      </c>
      <c r="AM1230" s="70"/>
      <c r="AN1230" s="71" t="str">
        <f>IFERROR(__xludf.DUMMYFUNCTION("""COMPUTED_VALUE""")," C")</f>
        <v>C</v>
      </c>
      <c r="AO1230" s="71" t="str">
        <f>IFERROR(__xludf.DUMMYFUNCTION("""COMPUTED_VALUE""")," TC97")</f>
        <v>TC97</v>
      </c>
      <c r="AP1230" s="71" t="str">
        <f>IFERROR(__xludf.DUMMYFUNCTION("""COMPUTED_VALUE""")," PZA")</f>
        <v>PZA</v>
      </c>
      <c r="AQ1230" s="71" t="str">
        <f>IFERROR(__xludf.DUMMYFUNCTION("""COMPUTED_VALUE""")," REF")</f>
        <v>REF</v>
      </c>
      <c r="AR1230" s="71" t="str">
        <f>IFERROR(__xludf.DUMMYFUNCTION("""COMPUTED_VALUE""")," TUERCA HEXAGONAL 1/2 EN ACERO INOX. T-304 GRADO ALIMENTICIO")</f>
        <v>TUERCA HEXAGONAL 1/2 EN ACERO INOX. T-304 GRADO ALIMENTICIO</v>
      </c>
      <c r="AS1230" s="71" t="str">
        <f>IFERROR(__xludf.DUMMYFUNCTION("""COMPUTED_VALUE""")," TUERCA HEXAGONAL 1/2 INOX")</f>
        <v>TUERCA HEXAGONAL 1/2 INOX</v>
      </c>
      <c r="AT1230" s="71">
        <f>IFERROR(__xludf.DUMMYFUNCTION("""COMPUTED_VALUE"""),25.0)</f>
        <v>25</v>
      </c>
      <c r="AU1230" s="71"/>
      <c r="AV1230" s="71"/>
      <c r="AW1230" s="71"/>
      <c r="AX1230" s="71"/>
      <c r="AY1230" s="71">
        <f>IFERROR(__xludf.DUMMYFUNCTION("""COMPUTED_VALUE"""),29.0)</f>
        <v>29</v>
      </c>
      <c r="AZ1230" s="71">
        <f>IFERROR(__xludf.DUMMYFUNCTION("""COMPUTED_VALUE"""),29.0)</f>
        <v>29</v>
      </c>
      <c r="BA1230" s="71">
        <f>IFERROR(__xludf.DUMMYFUNCTION("""COMPUTED_VALUE"""),31.32)</f>
        <v>31.32</v>
      </c>
      <c r="BB1230" s="71">
        <f>IFERROR(__xludf.DUMMYFUNCTION("""COMPUTED_VALUE"""),31.32)</f>
        <v>31.32</v>
      </c>
      <c r="BC1230" s="71">
        <f>IFERROR(__xludf.DUMMYFUNCTION("""COMPUTED_VALUE"""),36.0)</f>
        <v>36</v>
      </c>
      <c r="BD1230" s="71">
        <f>IFERROR(__xludf.DUMMYFUNCTION("""COMPUTED_VALUE"""),38.0)</f>
        <v>38</v>
      </c>
      <c r="BE1230" s="71">
        <f>IFERROR(__xludf.DUMMYFUNCTION("""COMPUTED_VALUE"""),6.08)</f>
        <v>6.08</v>
      </c>
      <c r="BF1230" s="71">
        <f>IFERROR(__xludf.DUMMYFUNCTION("""COMPUTED_VALUE"""),44.08)</f>
        <v>44.08</v>
      </c>
      <c r="BG1230" s="71">
        <f>IFERROR(__xludf.DUMMYFUNCTION("""COMPUTED_VALUE"""),0.05555555555555555)</f>
        <v>0.05555555556</v>
      </c>
      <c r="BH1230" s="71">
        <f>IFERROR(__xludf.DUMMYFUNCTION("""COMPUTED_VALUE"""),36.1)</f>
        <v>36.1</v>
      </c>
      <c r="BI1230" s="71">
        <f>IFERROR(__xludf.DUMMYFUNCTION("""COMPUTED_VALUE"""),5.776000000000001)</f>
        <v>5.776</v>
      </c>
      <c r="BJ1230" s="71">
        <f>IFERROR(__xludf.DUMMYFUNCTION("""COMPUTED_VALUE"""),41.876000000000005)</f>
        <v>41.876</v>
      </c>
      <c r="BK1230" s="71">
        <f>IFERROR(__xludf.DUMMYFUNCTION("""COMPUTED_VALUE"""),34.2)</f>
        <v>34.2</v>
      </c>
      <c r="BL1230" s="71">
        <f>IFERROR(__xludf.DUMMYFUNCTION("""COMPUTED_VALUE"""),5.472)</f>
        <v>5.472</v>
      </c>
      <c r="BM1230" s="71">
        <f>IFERROR(__xludf.DUMMYFUNCTION("""COMPUTED_VALUE"""),39.672000000000004)</f>
        <v>39.672</v>
      </c>
      <c r="BN1230" s="71">
        <f>IFERROR(__xludf.DUMMYFUNCTION("""COMPUTED_VALUE"""),32.3)</f>
        <v>32.3</v>
      </c>
      <c r="BO1230" s="71">
        <f>IFERROR(__xludf.DUMMYFUNCTION("""COMPUTED_VALUE"""),5.167999999999999)</f>
        <v>5.168</v>
      </c>
      <c r="BP1230" s="71">
        <f>IFERROR(__xludf.DUMMYFUNCTION("""COMPUTED_VALUE"""),37.467999999999996)</f>
        <v>37.468</v>
      </c>
      <c r="BQ1230" s="71">
        <f>IFERROR(__xludf.DUMMYFUNCTION("""COMPUTED_VALUE"""),31.54)</f>
        <v>31.54</v>
      </c>
      <c r="BR1230" s="71">
        <f>IFERROR(__xludf.DUMMYFUNCTION("""COMPUTED_VALUE"""),5.0464)</f>
        <v>5.0464</v>
      </c>
      <c r="BS1230" s="71">
        <f>IFERROR(__xludf.DUMMYFUNCTION("""COMPUTED_VALUE"""),36.5864)</f>
        <v>36.5864</v>
      </c>
      <c r="BT1230" s="71">
        <f>IFERROR(__xludf.DUMMYFUNCTION("""COMPUTED_VALUE"""),30.400000000000002)</f>
        <v>30.4</v>
      </c>
      <c r="BU1230" s="71">
        <f>IFERROR(__xludf.DUMMYFUNCTION("""COMPUTED_VALUE"""),4.864000000000001)</f>
        <v>4.864</v>
      </c>
      <c r="BV1230" s="71">
        <f>IFERROR(__xludf.DUMMYFUNCTION("""COMPUTED_VALUE"""),35.264)</f>
        <v>35.264</v>
      </c>
    </row>
    <row r="1231">
      <c r="A1231" s="53"/>
      <c r="B1231" s="53"/>
      <c r="C1231" s="53" t="s">
        <v>36</v>
      </c>
      <c r="D1231" s="85" t="s">
        <v>3004</v>
      </c>
      <c r="E1231" s="54" t="s">
        <v>38</v>
      </c>
      <c r="F1231" s="55" t="s">
        <v>39</v>
      </c>
      <c r="G1231" s="86" t="s">
        <v>3005</v>
      </c>
      <c r="H1231" s="55"/>
      <c r="I1231" s="54">
        <f t="shared" si="24"/>
        <v>0</v>
      </c>
      <c r="J1231" s="56"/>
      <c r="K1231" s="57"/>
      <c r="L1231" s="76"/>
      <c r="M1231" s="59"/>
      <c r="N1231" s="60"/>
      <c r="O1231" s="61">
        <v>278.4</v>
      </c>
      <c r="P1231" s="62">
        <v>300.67199999999997</v>
      </c>
      <c r="Q1231" s="63">
        <v>300.67199999999997</v>
      </c>
      <c r="R1231" s="64">
        <v>317.0</v>
      </c>
      <c r="S1231" s="107">
        <v>333.0</v>
      </c>
      <c r="T1231" s="65">
        <f t="shared" si="39"/>
        <v>53.28</v>
      </c>
      <c r="U1231" s="65">
        <f t="shared" si="40"/>
        <v>386.28</v>
      </c>
      <c r="V1231" s="66">
        <f t="shared" si="42"/>
        <v>0.05047318612</v>
      </c>
      <c r="W1231" s="67">
        <f t="shared" si="5"/>
        <v>316.35</v>
      </c>
      <c r="X1231" s="67">
        <f t="shared" si="43"/>
        <v>50.616</v>
      </c>
      <c r="Y1231" s="67">
        <f t="shared" si="44"/>
        <v>366.966</v>
      </c>
      <c r="Z1231" s="67">
        <f t="shared" si="8"/>
        <v>299.7</v>
      </c>
      <c r="AA1231" s="67">
        <f t="shared" si="45"/>
        <v>47.952</v>
      </c>
      <c r="AB1231" s="67">
        <f t="shared" si="46"/>
        <v>347.652</v>
      </c>
      <c r="AC1231" s="67">
        <f t="shared" si="11"/>
        <v>283.05</v>
      </c>
      <c r="AD1231" s="67">
        <f t="shared" si="12"/>
        <v>45.288</v>
      </c>
      <c r="AE1231" s="67">
        <f t="shared" si="13"/>
        <v>328.338</v>
      </c>
      <c r="AF1231" s="67">
        <f t="shared" si="33"/>
        <v>276.39</v>
      </c>
      <c r="AG1231" s="67">
        <f t="shared" si="15"/>
        <v>44.2224</v>
      </c>
      <c r="AH1231" s="67">
        <f t="shared" si="16"/>
        <v>320.6124</v>
      </c>
      <c r="AI1231" s="67">
        <f t="shared" si="17"/>
        <v>266.4</v>
      </c>
      <c r="AJ1231" s="68">
        <f t="shared" si="47"/>
        <v>42.624</v>
      </c>
      <c r="AK1231" s="68">
        <f t="shared" si="48"/>
        <v>309.024</v>
      </c>
      <c r="AL1231" s="70">
        <f>IFERROR(__xludf.DUMMYFUNCTION("""COMPUTED_VALUE"""),1.0)</f>
        <v>1</v>
      </c>
      <c r="AM1231" s="70"/>
      <c r="AN1231" s="71" t="str">
        <f>IFERROR(__xludf.DUMMYFUNCTION("""COMPUTED_VALUE""")," C")</f>
        <v>C</v>
      </c>
      <c r="AO1231" s="71" t="str">
        <f>IFERROR(__xludf.DUMMYFUNCTION("""COMPUTED_VALUE""")," TC98")</f>
        <v>TC98</v>
      </c>
      <c r="AP1231" s="71" t="str">
        <f>IFERROR(__xludf.DUMMYFUNCTION("""COMPUTED_VALUE""")," PZA")</f>
        <v>PZA</v>
      </c>
      <c r="AQ1231" s="71" t="str">
        <f>IFERROR(__xludf.DUMMYFUNCTION("""COMPUTED_VALUE""")," REF")</f>
        <v>REF</v>
      </c>
      <c r="AR1231" s="71" t="str">
        <f>IFERROR(__xludf.DUMMYFUNCTION("""COMPUTED_VALUE""")," TUERCA HEXAGONAL 3/8 EN ACERO INOX. T-304 GRADO ALIMENTICIO")</f>
        <v>TUERCA HEXAGONAL 3/8 EN ACERO INOX. T-304 GRADO ALIMENTICIO</v>
      </c>
      <c r="AS1231" s="71" t="str">
        <f>IFERROR(__xludf.DUMMYFUNCTION("""COMPUTED_VALUE""")," TUERCA HEXAGONAL 3/8 INOX")</f>
        <v>TUERCA HEXAGONAL 3/8 INOX</v>
      </c>
      <c r="AT1231" s="71">
        <f>IFERROR(__xludf.DUMMYFUNCTION("""COMPUTED_VALUE"""),25.0)</f>
        <v>25</v>
      </c>
      <c r="AU1231" s="71"/>
      <c r="AV1231" s="71"/>
      <c r="AW1231" s="71"/>
      <c r="AX1231" s="71"/>
      <c r="AY1231" s="71">
        <f>IFERROR(__xludf.DUMMYFUNCTION("""COMPUTED_VALUE"""),8.0)</f>
        <v>8</v>
      </c>
      <c r="AZ1231" s="71">
        <f>IFERROR(__xludf.DUMMYFUNCTION("""COMPUTED_VALUE"""),8.0)</f>
        <v>8</v>
      </c>
      <c r="BA1231" s="71">
        <f>IFERROR(__xludf.DUMMYFUNCTION("""COMPUTED_VALUE"""),8.64)</f>
        <v>8.64</v>
      </c>
      <c r="BB1231" s="71">
        <f>IFERROR(__xludf.DUMMYFUNCTION("""COMPUTED_VALUE"""),8.64)</f>
        <v>8.64</v>
      </c>
      <c r="BC1231" s="71">
        <f>IFERROR(__xludf.DUMMYFUNCTION("""COMPUTED_VALUE"""),10.0)</f>
        <v>10</v>
      </c>
      <c r="BD1231" s="71">
        <f>IFERROR(__xludf.DUMMYFUNCTION("""COMPUTED_VALUE"""),10.5)</f>
        <v>10.5</v>
      </c>
      <c r="BE1231" s="71">
        <f>IFERROR(__xludf.DUMMYFUNCTION("""COMPUTED_VALUE"""),1.68)</f>
        <v>1.68</v>
      </c>
      <c r="BF1231" s="71">
        <f>IFERROR(__xludf.DUMMYFUNCTION("""COMPUTED_VALUE"""),12.18)</f>
        <v>12.18</v>
      </c>
      <c r="BG1231" s="71">
        <f>IFERROR(__xludf.DUMMYFUNCTION("""COMPUTED_VALUE"""),0.05)</f>
        <v>0.05</v>
      </c>
      <c r="BH1231" s="71">
        <f>IFERROR(__xludf.DUMMYFUNCTION("""COMPUTED_VALUE"""),9.975)</f>
        <v>9.975</v>
      </c>
      <c r="BI1231" s="71">
        <f>IFERROR(__xludf.DUMMYFUNCTION("""COMPUTED_VALUE"""),1.596)</f>
        <v>1.596</v>
      </c>
      <c r="BJ1231" s="71">
        <f>IFERROR(__xludf.DUMMYFUNCTION("""COMPUTED_VALUE"""),11.571)</f>
        <v>11.571</v>
      </c>
      <c r="BK1231" s="71">
        <f>IFERROR(__xludf.DUMMYFUNCTION("""COMPUTED_VALUE"""),9.450000000000001)</f>
        <v>9.45</v>
      </c>
      <c r="BL1231" s="71">
        <f>IFERROR(__xludf.DUMMYFUNCTION("""COMPUTED_VALUE"""),1.5120000000000002)</f>
        <v>1.512</v>
      </c>
      <c r="BM1231" s="71">
        <f>IFERROR(__xludf.DUMMYFUNCTION("""COMPUTED_VALUE"""),10.962000000000002)</f>
        <v>10.962</v>
      </c>
      <c r="BN1231" s="71">
        <f>IFERROR(__xludf.DUMMYFUNCTION("""COMPUTED_VALUE"""),8.924999999999999)</f>
        <v>8.925</v>
      </c>
      <c r="BO1231" s="71">
        <f>IFERROR(__xludf.DUMMYFUNCTION("""COMPUTED_VALUE"""),1.428)</f>
        <v>1.428</v>
      </c>
      <c r="BP1231" s="71">
        <f>IFERROR(__xludf.DUMMYFUNCTION("""COMPUTED_VALUE"""),10.352999999999998)</f>
        <v>10.353</v>
      </c>
      <c r="BQ1231" s="71">
        <f>IFERROR(__xludf.DUMMYFUNCTION("""COMPUTED_VALUE"""),8.715)</f>
        <v>8.715</v>
      </c>
      <c r="BR1231" s="71">
        <f>IFERROR(__xludf.DUMMYFUNCTION("""COMPUTED_VALUE"""),1.3944)</f>
        <v>1.3944</v>
      </c>
      <c r="BS1231" s="71">
        <f>IFERROR(__xludf.DUMMYFUNCTION("""COMPUTED_VALUE"""),10.1094)</f>
        <v>10.1094</v>
      </c>
      <c r="BT1231" s="71">
        <f>IFERROR(__xludf.DUMMYFUNCTION("""COMPUTED_VALUE"""),8.4)</f>
        <v>8.4</v>
      </c>
      <c r="BU1231" s="71">
        <f>IFERROR(__xludf.DUMMYFUNCTION("""COMPUTED_VALUE"""),1.344)</f>
        <v>1.344</v>
      </c>
      <c r="BV1231" s="71">
        <f>IFERROR(__xludf.DUMMYFUNCTION("""COMPUTED_VALUE"""),9.744)</f>
        <v>9.744</v>
      </c>
    </row>
    <row r="1232">
      <c r="A1232" s="53">
        <v>1.0</v>
      </c>
      <c r="B1232" s="72"/>
      <c r="C1232" s="73" t="s">
        <v>53</v>
      </c>
      <c r="D1232" s="74" t="s">
        <v>3006</v>
      </c>
      <c r="E1232" s="54" t="s">
        <v>38</v>
      </c>
      <c r="F1232" s="54" t="s">
        <v>42</v>
      </c>
      <c r="G1232" s="88" t="s">
        <v>3007</v>
      </c>
      <c r="H1232" s="54" t="s">
        <v>3008</v>
      </c>
      <c r="I1232" s="54">
        <f t="shared" si="24"/>
        <v>11</v>
      </c>
      <c r="J1232" s="56"/>
      <c r="K1232" s="75"/>
      <c r="L1232" s="76"/>
      <c r="M1232" s="59"/>
      <c r="N1232" s="60">
        <v>186.0</v>
      </c>
      <c r="O1232" s="61">
        <v>200.0</v>
      </c>
      <c r="P1232" s="62">
        <v>216.0</v>
      </c>
      <c r="Q1232" s="63">
        <v>216.0</v>
      </c>
      <c r="R1232" s="64">
        <v>241.0</v>
      </c>
      <c r="S1232" s="111">
        <v>253.0</v>
      </c>
      <c r="T1232" s="65">
        <f t="shared" si="39"/>
        <v>40.48</v>
      </c>
      <c r="U1232" s="65">
        <f t="shared" si="40"/>
        <v>293.48</v>
      </c>
      <c r="V1232" s="66">
        <f t="shared" si="42"/>
        <v>0.04979253112</v>
      </c>
      <c r="W1232" s="67">
        <f t="shared" si="5"/>
        <v>240.35</v>
      </c>
      <c r="X1232" s="67">
        <f t="shared" si="43"/>
        <v>38.456</v>
      </c>
      <c r="Y1232" s="67">
        <f t="shared" si="44"/>
        <v>278.806</v>
      </c>
      <c r="Z1232" s="67">
        <f t="shared" si="8"/>
        <v>227.7</v>
      </c>
      <c r="AA1232" s="67">
        <f t="shared" si="45"/>
        <v>36.432</v>
      </c>
      <c r="AB1232" s="67">
        <f t="shared" si="46"/>
        <v>264.132</v>
      </c>
      <c r="AC1232" s="67">
        <f t="shared" si="11"/>
        <v>215.05</v>
      </c>
      <c r="AD1232" s="67">
        <f t="shared" si="12"/>
        <v>34.408</v>
      </c>
      <c r="AE1232" s="67">
        <f t="shared" si="13"/>
        <v>249.458</v>
      </c>
      <c r="AF1232" s="67">
        <f t="shared" si="33"/>
        <v>209.99</v>
      </c>
      <c r="AG1232" s="67">
        <f t="shared" si="15"/>
        <v>33.5984</v>
      </c>
      <c r="AH1232" s="67">
        <f t="shared" si="16"/>
        <v>243.5884</v>
      </c>
      <c r="AI1232" s="67">
        <f t="shared" si="17"/>
        <v>202.4</v>
      </c>
      <c r="AJ1232" s="68">
        <f t="shared" si="47"/>
        <v>32.384</v>
      </c>
      <c r="AK1232" s="68">
        <f t="shared" si="48"/>
        <v>234.784</v>
      </c>
      <c r="AL1232" s="70">
        <f>IFERROR(__xludf.DUMMYFUNCTION("""COMPUTED_VALUE"""),1.0)</f>
        <v>1</v>
      </c>
      <c r="AM1232" s="70"/>
      <c r="AN1232" s="71" t="str">
        <f>IFERROR(__xludf.DUMMYFUNCTION("""COMPUTED_VALUE""")," C")</f>
        <v>C</v>
      </c>
      <c r="AO1232" s="71" t="str">
        <f>IFERROR(__xludf.DUMMYFUNCTION("""COMPUTED_VALUE""")," TC99")</f>
        <v>TC99</v>
      </c>
      <c r="AP1232" s="71" t="str">
        <f>IFERROR(__xludf.DUMMYFUNCTION("""COMPUTED_VALUE""")," PZA")</f>
        <v>PZA</v>
      </c>
      <c r="AQ1232" s="71" t="str">
        <f>IFERROR(__xludf.DUMMYFUNCTION("""COMPUTED_VALUE""")," REF")</f>
        <v>REF</v>
      </c>
      <c r="AR1232" s="71" t="str">
        <f>IFERROR(__xludf.DUMMYFUNCTION("""COMPUTED_VALUE""")," TUERCA HEXAGONAL 5/8 EN ACERO INOX. T-304 GRADO ALIMENTICIO")</f>
        <v>TUERCA HEXAGONAL 5/8 EN ACERO INOX. T-304 GRADO ALIMENTICIO</v>
      </c>
      <c r="AS1232" s="71" t="str">
        <f>IFERROR(__xludf.DUMMYFUNCTION("""COMPUTED_VALUE""")," TUERCA HEXAGONAL 5/8 INOX")</f>
        <v>TUERCA HEXAGONAL 5/8 INOX</v>
      </c>
      <c r="AT1232" s="71">
        <f>IFERROR(__xludf.DUMMYFUNCTION("""COMPUTED_VALUE"""),25.0)</f>
        <v>25</v>
      </c>
      <c r="AU1232" s="71"/>
      <c r="AV1232" s="71"/>
      <c r="AW1232" s="71"/>
      <c r="AX1232" s="71"/>
      <c r="AY1232" s="71">
        <f>IFERROR(__xludf.DUMMYFUNCTION("""COMPUTED_VALUE"""),21.0)</f>
        <v>21</v>
      </c>
      <c r="AZ1232" s="71">
        <f>IFERROR(__xludf.DUMMYFUNCTION("""COMPUTED_VALUE"""),21.0)</f>
        <v>21</v>
      </c>
      <c r="BA1232" s="71">
        <f>IFERROR(__xludf.DUMMYFUNCTION("""COMPUTED_VALUE"""),22.68)</f>
        <v>22.68</v>
      </c>
      <c r="BB1232" s="71">
        <f>IFERROR(__xludf.DUMMYFUNCTION("""COMPUTED_VALUE"""),22.68)</f>
        <v>22.68</v>
      </c>
      <c r="BC1232" s="71">
        <f>IFERROR(__xludf.DUMMYFUNCTION("""COMPUTED_VALUE"""),25.0)</f>
        <v>25</v>
      </c>
      <c r="BD1232" s="71">
        <f>IFERROR(__xludf.DUMMYFUNCTION("""COMPUTED_VALUE"""),26.0)</f>
        <v>26</v>
      </c>
      <c r="BE1232" s="71">
        <f>IFERROR(__xludf.DUMMYFUNCTION("""COMPUTED_VALUE"""),4.16)</f>
        <v>4.16</v>
      </c>
      <c r="BF1232" s="71">
        <f>IFERROR(__xludf.DUMMYFUNCTION("""COMPUTED_VALUE"""),30.16)</f>
        <v>30.16</v>
      </c>
      <c r="BG1232" s="71">
        <f>IFERROR(__xludf.DUMMYFUNCTION("""COMPUTED_VALUE"""),0.04)</f>
        <v>0.04</v>
      </c>
      <c r="BH1232" s="71">
        <f>IFERROR(__xludf.DUMMYFUNCTION("""COMPUTED_VALUE"""),24.7)</f>
        <v>24.7</v>
      </c>
      <c r="BI1232" s="71">
        <f>IFERROR(__xludf.DUMMYFUNCTION("""COMPUTED_VALUE"""),3.952)</f>
        <v>3.952</v>
      </c>
      <c r="BJ1232" s="71">
        <f>IFERROR(__xludf.DUMMYFUNCTION("""COMPUTED_VALUE"""),28.652)</f>
        <v>28.652</v>
      </c>
      <c r="BK1232" s="71">
        <f>IFERROR(__xludf.DUMMYFUNCTION("""COMPUTED_VALUE"""),23.400000000000002)</f>
        <v>23.4</v>
      </c>
      <c r="BL1232" s="71">
        <f>IFERROR(__xludf.DUMMYFUNCTION("""COMPUTED_VALUE"""),3.744)</f>
        <v>3.744</v>
      </c>
      <c r="BM1232" s="71">
        <f>IFERROR(__xludf.DUMMYFUNCTION("""COMPUTED_VALUE"""),27.144000000000002)</f>
        <v>27.144</v>
      </c>
      <c r="BN1232" s="71">
        <f>IFERROR(__xludf.DUMMYFUNCTION("""COMPUTED_VALUE"""),22.099999999999998)</f>
        <v>22.1</v>
      </c>
      <c r="BO1232" s="71">
        <f>IFERROR(__xludf.DUMMYFUNCTION("""COMPUTED_VALUE"""),3.5359999999999996)</f>
        <v>3.536</v>
      </c>
      <c r="BP1232" s="71">
        <f>IFERROR(__xludf.DUMMYFUNCTION("""COMPUTED_VALUE"""),25.635999999999996)</f>
        <v>25.636</v>
      </c>
      <c r="BQ1232" s="71">
        <f>IFERROR(__xludf.DUMMYFUNCTION("""COMPUTED_VALUE"""),21.58)</f>
        <v>21.58</v>
      </c>
      <c r="BR1232" s="71">
        <f>IFERROR(__xludf.DUMMYFUNCTION("""COMPUTED_VALUE"""),3.4528)</f>
        <v>3.4528</v>
      </c>
      <c r="BS1232" s="71">
        <f>IFERROR(__xludf.DUMMYFUNCTION("""COMPUTED_VALUE"""),25.032799999999998)</f>
        <v>25.0328</v>
      </c>
      <c r="BT1232" s="71">
        <f>IFERROR(__xludf.DUMMYFUNCTION("""COMPUTED_VALUE"""),20.8)</f>
        <v>20.8</v>
      </c>
      <c r="BU1232" s="71">
        <f>IFERROR(__xludf.DUMMYFUNCTION("""COMPUTED_VALUE"""),3.3280000000000003)</f>
        <v>3.328</v>
      </c>
      <c r="BV1232" s="71">
        <f>IFERROR(__xludf.DUMMYFUNCTION("""COMPUTED_VALUE"""),24.128)</f>
        <v>24.128</v>
      </c>
    </row>
    <row r="1233">
      <c r="A1233" s="53">
        <v>1.0</v>
      </c>
      <c r="B1233" s="53"/>
      <c r="C1233" s="73" t="s">
        <v>53</v>
      </c>
      <c r="D1233" s="74" t="s">
        <v>3009</v>
      </c>
      <c r="E1233" s="54" t="s">
        <v>38</v>
      </c>
      <c r="F1233" s="54" t="s">
        <v>42</v>
      </c>
      <c r="G1233" s="54" t="s">
        <v>3010</v>
      </c>
      <c r="H1233" s="54" t="s">
        <v>3011</v>
      </c>
      <c r="I1233" s="54">
        <f t="shared" si="24"/>
        <v>26</v>
      </c>
      <c r="J1233" s="56"/>
      <c r="K1233" s="57"/>
      <c r="L1233" s="87"/>
      <c r="M1233" s="59"/>
      <c r="N1233" s="60">
        <v>525.0</v>
      </c>
      <c r="O1233" s="61">
        <v>567.0</v>
      </c>
      <c r="P1233" s="62">
        <v>612.36</v>
      </c>
      <c r="Q1233" s="63">
        <v>612.36</v>
      </c>
      <c r="R1233" s="64">
        <v>683.0</v>
      </c>
      <c r="S1233" s="111">
        <v>717.0</v>
      </c>
      <c r="T1233" s="65">
        <f t="shared" si="39"/>
        <v>114.72</v>
      </c>
      <c r="U1233" s="65">
        <f t="shared" si="40"/>
        <v>831.72</v>
      </c>
      <c r="V1233" s="66">
        <f t="shared" si="42"/>
        <v>0.04978038067</v>
      </c>
      <c r="W1233" s="67">
        <f t="shared" si="5"/>
        <v>681.15</v>
      </c>
      <c r="X1233" s="67">
        <f t="shared" si="43"/>
        <v>108.984</v>
      </c>
      <c r="Y1233" s="67">
        <f t="shared" si="44"/>
        <v>790.134</v>
      </c>
      <c r="Z1233" s="67">
        <f t="shared" si="8"/>
        <v>645.3</v>
      </c>
      <c r="AA1233" s="67">
        <f t="shared" si="45"/>
        <v>103.248</v>
      </c>
      <c r="AB1233" s="67">
        <f t="shared" si="46"/>
        <v>748.548</v>
      </c>
      <c r="AC1233" s="67">
        <f t="shared" si="11"/>
        <v>609.45</v>
      </c>
      <c r="AD1233" s="67">
        <f t="shared" si="12"/>
        <v>97.512</v>
      </c>
      <c r="AE1233" s="67">
        <f t="shared" si="13"/>
        <v>706.962</v>
      </c>
      <c r="AF1233" s="67">
        <f t="shared" si="33"/>
        <v>595.11</v>
      </c>
      <c r="AG1233" s="67">
        <f t="shared" si="15"/>
        <v>95.2176</v>
      </c>
      <c r="AH1233" s="67">
        <f t="shared" si="16"/>
        <v>690.3276</v>
      </c>
      <c r="AI1233" s="67">
        <f t="shared" si="17"/>
        <v>573.6</v>
      </c>
      <c r="AJ1233" s="68">
        <f t="shared" si="47"/>
        <v>91.776</v>
      </c>
      <c r="AK1233" s="68">
        <f t="shared" si="48"/>
        <v>665.376</v>
      </c>
      <c r="AL1233" s="70">
        <f>IFERROR(__xludf.DUMMYFUNCTION("""COMPUTED_VALUE"""),1.0)</f>
        <v>1</v>
      </c>
      <c r="AM1233" s="70"/>
      <c r="AN1233" s="71" t="str">
        <f>IFERROR(__xludf.DUMMYFUNCTION("""COMPUTED_VALUE""")," P")</f>
        <v>P</v>
      </c>
      <c r="AO1233" s="71" t="str">
        <f>IFERROR(__xludf.DUMMYFUNCTION("""COMPUTED_VALUE""")," TC17")</f>
        <v>TC17</v>
      </c>
      <c r="AP1233" s="71" t="str">
        <f>IFERROR(__xludf.DUMMYFUNCTION("""COMPUTED_VALUE""")," PZA")</f>
        <v>PZA</v>
      </c>
      <c r="AQ1233" s="71" t="str">
        <f>IFERROR(__xludf.DUMMYFUNCTION("""COMPUTED_VALUE""")," REF")</f>
        <v>REF</v>
      </c>
      <c r="AR1233" s="71" t="str">
        <f>IFERROR(__xludf.DUMMYFUNCTION("""COMPUTED_VALUE""")," TUERCA INOX PARA AJUSTE DE RODILLO")</f>
        <v>TUERCA INOX PARA AJUSTE DE RODILLO</v>
      </c>
      <c r="AS1233" s="71" t="str">
        <f>IFERROR(__xludf.DUMMYFUNCTION("""COMPUTED_VALUE""")," TUERCA INOX PARA AJUSTE DE RODILLO")</f>
        <v>TUERCA INOX PARA AJUSTE DE RODILLO</v>
      </c>
      <c r="AT1233" s="71">
        <f>IFERROR(__xludf.DUMMYFUNCTION("""COMPUTED_VALUE"""),34.0)</f>
        <v>34</v>
      </c>
      <c r="AU1233" s="71"/>
      <c r="AV1233" s="71"/>
      <c r="AW1233" s="71"/>
      <c r="AX1233" s="71"/>
      <c r="AY1233" s="71"/>
      <c r="AZ1233" s="71"/>
      <c r="BA1233" s="71"/>
      <c r="BB1233" s="71"/>
      <c r="BC1233" s="71">
        <f>IFERROR(__xludf.DUMMYFUNCTION("""COMPUTED_VALUE"""),480.0)</f>
        <v>480</v>
      </c>
      <c r="BD1233" s="71">
        <f>IFERROR(__xludf.DUMMYFUNCTION("""COMPUTED_VALUE"""),504.0)</f>
        <v>504</v>
      </c>
      <c r="BE1233" s="71">
        <f>IFERROR(__xludf.DUMMYFUNCTION("""COMPUTED_VALUE"""),80.64)</f>
        <v>80.64</v>
      </c>
      <c r="BF1233" s="71">
        <f>IFERROR(__xludf.DUMMYFUNCTION("""COMPUTED_VALUE"""),584.64)</f>
        <v>584.64</v>
      </c>
      <c r="BG1233" s="71">
        <f>IFERROR(__xludf.DUMMYFUNCTION("""COMPUTED_VALUE"""),0.05)</f>
        <v>0.05</v>
      </c>
      <c r="BH1233" s="71">
        <f>IFERROR(__xludf.DUMMYFUNCTION("""COMPUTED_VALUE"""),478.79999999999995)</f>
        <v>478.8</v>
      </c>
      <c r="BI1233" s="71">
        <f>IFERROR(__xludf.DUMMYFUNCTION("""COMPUTED_VALUE"""),76.60799999999999)</f>
        <v>76.608</v>
      </c>
      <c r="BJ1233" s="71">
        <f>IFERROR(__xludf.DUMMYFUNCTION("""COMPUTED_VALUE"""),555.4079999999999)</f>
        <v>555.408</v>
      </c>
      <c r="BK1233" s="71">
        <f>IFERROR(__xludf.DUMMYFUNCTION("""COMPUTED_VALUE"""),453.6)</f>
        <v>453.6</v>
      </c>
      <c r="BL1233" s="71">
        <f>IFERROR(__xludf.DUMMYFUNCTION("""COMPUTED_VALUE"""),72.57600000000001)</f>
        <v>72.576</v>
      </c>
      <c r="BM1233" s="71">
        <f>IFERROR(__xludf.DUMMYFUNCTION("""COMPUTED_VALUE"""),526.176)</f>
        <v>526.176</v>
      </c>
      <c r="BN1233" s="71">
        <f>IFERROR(__xludf.DUMMYFUNCTION("""COMPUTED_VALUE"""),428.4)</f>
        <v>428.4</v>
      </c>
      <c r="BO1233" s="71">
        <f>IFERROR(__xludf.DUMMYFUNCTION("""COMPUTED_VALUE"""),68.544)</f>
        <v>68.544</v>
      </c>
      <c r="BP1233" s="71">
        <f>IFERROR(__xludf.DUMMYFUNCTION("""COMPUTED_VALUE"""),496.94399999999996)</f>
        <v>496.944</v>
      </c>
      <c r="BQ1233" s="71">
        <f>IFERROR(__xludf.DUMMYFUNCTION("""COMPUTED_VALUE"""),418.32)</f>
        <v>418.32</v>
      </c>
      <c r="BR1233" s="71">
        <f>IFERROR(__xludf.DUMMYFUNCTION("""COMPUTED_VALUE"""),66.9312)</f>
        <v>66.9312</v>
      </c>
      <c r="BS1233" s="71">
        <f>IFERROR(__xludf.DUMMYFUNCTION("""COMPUTED_VALUE"""),485.2512)</f>
        <v>485.2512</v>
      </c>
      <c r="BT1233" s="71">
        <f>IFERROR(__xludf.DUMMYFUNCTION("""COMPUTED_VALUE"""),403.20000000000005)</f>
        <v>403.2</v>
      </c>
      <c r="BU1233" s="71"/>
      <c r="BV1233" s="71"/>
    </row>
    <row r="1234">
      <c r="A1234" s="53"/>
      <c r="B1234" s="53"/>
      <c r="C1234" s="73" t="s">
        <v>53</v>
      </c>
      <c r="D1234" s="53" t="s">
        <v>3012</v>
      </c>
      <c r="E1234" s="54" t="s">
        <v>38</v>
      </c>
      <c r="F1234" s="55" t="s">
        <v>309</v>
      </c>
      <c r="G1234" s="54" t="s">
        <v>3013</v>
      </c>
      <c r="H1234" s="55"/>
      <c r="I1234" s="54">
        <f t="shared" si="24"/>
        <v>0</v>
      </c>
      <c r="J1234" s="56"/>
      <c r="K1234" s="57"/>
      <c r="L1234" s="76"/>
      <c r="M1234" s="59"/>
      <c r="N1234" s="60"/>
      <c r="O1234" s="90">
        <v>200.0</v>
      </c>
      <c r="P1234" s="62">
        <v>216.0</v>
      </c>
      <c r="Q1234" s="63">
        <v>216.0</v>
      </c>
      <c r="R1234" s="64">
        <v>241.0</v>
      </c>
      <c r="S1234" s="111">
        <v>253.0</v>
      </c>
      <c r="T1234" s="65">
        <f t="shared" si="39"/>
        <v>40.48</v>
      </c>
      <c r="U1234" s="65">
        <f t="shared" si="40"/>
        <v>293.48</v>
      </c>
      <c r="V1234" s="66">
        <f t="shared" si="42"/>
        <v>0.04979253112</v>
      </c>
      <c r="W1234" s="67">
        <f t="shared" si="5"/>
        <v>240.35</v>
      </c>
      <c r="X1234" s="67">
        <f t="shared" si="43"/>
        <v>38.456</v>
      </c>
      <c r="Y1234" s="67">
        <f t="shared" si="44"/>
        <v>278.806</v>
      </c>
      <c r="Z1234" s="67">
        <f t="shared" si="8"/>
        <v>227.7</v>
      </c>
      <c r="AA1234" s="67">
        <f t="shared" si="45"/>
        <v>36.432</v>
      </c>
      <c r="AB1234" s="67">
        <f t="shared" si="46"/>
        <v>264.132</v>
      </c>
      <c r="AC1234" s="67">
        <f t="shared" si="11"/>
        <v>215.05</v>
      </c>
      <c r="AD1234" s="67">
        <f t="shared" si="12"/>
        <v>34.408</v>
      </c>
      <c r="AE1234" s="67">
        <f t="shared" si="13"/>
        <v>249.458</v>
      </c>
      <c r="AF1234" s="67">
        <f t="shared" si="33"/>
        <v>209.99</v>
      </c>
      <c r="AG1234" s="67">
        <f t="shared" si="15"/>
        <v>33.5984</v>
      </c>
      <c r="AH1234" s="67">
        <f t="shared" si="16"/>
        <v>243.5884</v>
      </c>
      <c r="AI1234" s="67">
        <f t="shared" si="17"/>
        <v>202.4</v>
      </c>
      <c r="AJ1234" s="68">
        <f t="shared" si="47"/>
        <v>32.384</v>
      </c>
      <c r="AK1234" s="68">
        <f t="shared" si="48"/>
        <v>234.784</v>
      </c>
      <c r="AL1234" s="70">
        <f>IFERROR(__xludf.DUMMYFUNCTION("""COMPUTED_VALUE"""),1.0)</f>
        <v>1</v>
      </c>
      <c r="AM1234" s="70"/>
      <c r="AN1234" s="71" t="str">
        <f>IFERROR(__xludf.DUMMYFUNCTION("""COMPUTED_VALUE""")," P")</f>
        <v>P</v>
      </c>
      <c r="AO1234" s="71" t="str">
        <f>IFERROR(__xludf.DUMMYFUNCTION("""COMPUTED_VALUE""")," VA01")</f>
        <v>VA01</v>
      </c>
      <c r="AP1234" s="71" t="str">
        <f>IFERROR(__xludf.DUMMYFUNCTION("""COMPUTED_VALUE""")," PZA")</f>
        <v>PZA</v>
      </c>
      <c r="AQ1234" s="71" t="str">
        <f>IFERROR(__xludf.DUMMYFUNCTION("""COMPUTED_VALUE""")," REF")</f>
        <v>REF</v>
      </c>
      <c r="AR1234" s="71" t="str">
        <f>IFERROR(__xludf.DUMMYFUNCTION("""COMPUTED_VALUE""")," VÁLVULA CARBURADORA 1/2 ARMADA SENCILLA (B.C.)")</f>
        <v>VÁLVULA CARBURADORA 1/2 ARMADA SENCILLA (B.C.)</v>
      </c>
      <c r="AS1234" s="71" t="str">
        <f>IFERROR(__xludf.DUMMYFUNCTION("""COMPUTED_VALUE""")," VALVULA CARBURADORA 1/2 ARMADA SENC BC")</f>
        <v>VALVULA CARBURADORA 1/2 ARMADA SENC BC</v>
      </c>
      <c r="AT1234" s="71">
        <f>IFERROR(__xludf.DUMMYFUNCTION("""COMPUTED_VALUE"""),38.0)</f>
        <v>38</v>
      </c>
      <c r="AU1234" s="71"/>
      <c r="AV1234" s="71"/>
      <c r="AW1234" s="71"/>
      <c r="AX1234" s="71"/>
      <c r="AY1234" s="71">
        <f>IFERROR(__xludf.DUMMYFUNCTION("""COMPUTED_VALUE"""),5288.0)</f>
        <v>5288</v>
      </c>
      <c r="AZ1234" s="71">
        <f>IFERROR(__xludf.DUMMYFUNCTION("""COMPUTED_VALUE"""),5711.0)</f>
        <v>5711</v>
      </c>
      <c r="BA1234" s="71">
        <f>IFERROR(__xludf.DUMMYFUNCTION("""COMPUTED_VALUE"""),6167.88)</f>
        <v>6167.88</v>
      </c>
      <c r="BB1234" s="71">
        <f>IFERROR(__xludf.DUMMYFUNCTION("""COMPUTED_VALUE"""),6167.88)</f>
        <v>6167.88</v>
      </c>
      <c r="BC1234" s="71">
        <f>IFERROR(__xludf.DUMMYFUNCTION("""COMPUTED_VALUE"""),6865.0)</f>
        <v>6865</v>
      </c>
      <c r="BD1234" s="71">
        <f>IFERROR(__xludf.DUMMYFUNCTION("""COMPUTED_VALUE"""),7208.0)</f>
        <v>7208</v>
      </c>
      <c r="BE1234" s="71">
        <f>IFERROR(__xludf.DUMMYFUNCTION("""COMPUTED_VALUE"""),1153.28)</f>
        <v>1153.28</v>
      </c>
      <c r="BF1234" s="71">
        <f>IFERROR(__xludf.DUMMYFUNCTION("""COMPUTED_VALUE"""),8361.28)</f>
        <v>8361.28</v>
      </c>
      <c r="BG1234" s="71">
        <f>IFERROR(__xludf.DUMMYFUNCTION("""COMPUTED_VALUE"""),0.04996358339402768)</f>
        <v>0.04996358339</v>
      </c>
      <c r="BH1234" s="71">
        <f>IFERROR(__xludf.DUMMYFUNCTION("""COMPUTED_VALUE"""),6847.599999999999)</f>
        <v>6847.6</v>
      </c>
      <c r="BI1234" s="71">
        <f>IFERROR(__xludf.DUMMYFUNCTION("""COMPUTED_VALUE"""),1095.616)</f>
        <v>1095.616</v>
      </c>
      <c r="BJ1234" s="71">
        <f>IFERROR(__xludf.DUMMYFUNCTION("""COMPUTED_VALUE"""),7943.215999999999)</f>
        <v>7943.216</v>
      </c>
      <c r="BK1234" s="71">
        <f>IFERROR(__xludf.DUMMYFUNCTION("""COMPUTED_VALUE"""),6487.2)</f>
        <v>6487.2</v>
      </c>
      <c r="BL1234" s="71">
        <f>IFERROR(__xludf.DUMMYFUNCTION("""COMPUTED_VALUE"""),1037.952)</f>
        <v>1037.952</v>
      </c>
      <c r="BM1234" s="71">
        <f>IFERROR(__xludf.DUMMYFUNCTION("""COMPUTED_VALUE"""),7525.152)</f>
        <v>7525.152</v>
      </c>
      <c r="BN1234" s="71">
        <f>IFERROR(__xludf.DUMMYFUNCTION("""COMPUTED_VALUE"""),6126.8)</f>
        <v>6126.8</v>
      </c>
      <c r="BO1234" s="71">
        <f>IFERROR(__xludf.DUMMYFUNCTION("""COMPUTED_VALUE"""),980.288)</f>
        <v>980.288</v>
      </c>
      <c r="BP1234" s="71">
        <f>IFERROR(__xludf.DUMMYFUNCTION("""COMPUTED_VALUE"""),7107.088)</f>
        <v>7107.088</v>
      </c>
      <c r="BQ1234" s="71">
        <f>IFERROR(__xludf.DUMMYFUNCTION("""COMPUTED_VALUE"""),5982.639999999999)</f>
        <v>5982.64</v>
      </c>
      <c r="BR1234" s="71">
        <f>IFERROR(__xludf.DUMMYFUNCTION("""COMPUTED_VALUE"""),957.2223999999999)</f>
        <v>957.2224</v>
      </c>
      <c r="BS1234" s="71">
        <f>IFERROR(__xludf.DUMMYFUNCTION("""COMPUTED_VALUE"""),6939.862399999999)</f>
        <v>6939.8624</v>
      </c>
      <c r="BT1234" s="71">
        <f>IFERROR(__xludf.DUMMYFUNCTION("""COMPUTED_VALUE"""),5766.400000000001)</f>
        <v>5766.4</v>
      </c>
      <c r="BU1234" s="71">
        <f>IFERROR(__xludf.DUMMYFUNCTION("""COMPUTED_VALUE"""),922.6240000000001)</f>
        <v>922.624</v>
      </c>
      <c r="BV1234" s="71">
        <f>IFERROR(__xludf.DUMMYFUNCTION("""COMPUTED_VALUE"""),6689.024)</f>
        <v>6689.024</v>
      </c>
    </row>
    <row r="1235">
      <c r="A1235" s="53"/>
      <c r="B1235" s="53"/>
      <c r="C1235" s="73" t="s">
        <v>53</v>
      </c>
      <c r="D1235" s="53" t="s">
        <v>3014</v>
      </c>
      <c r="E1235" s="54" t="s">
        <v>38</v>
      </c>
      <c r="F1235" s="55" t="s">
        <v>309</v>
      </c>
      <c r="G1235" s="54" t="s">
        <v>3015</v>
      </c>
      <c r="H1235" s="55"/>
      <c r="I1235" s="54">
        <f t="shared" si="24"/>
        <v>0</v>
      </c>
      <c r="J1235" s="56"/>
      <c r="K1235" s="57"/>
      <c r="L1235" s="76"/>
      <c r="M1235" s="59"/>
      <c r="N1235" s="60"/>
      <c r="O1235" s="90">
        <v>167.0</v>
      </c>
      <c r="P1235" s="62">
        <v>180.36</v>
      </c>
      <c r="Q1235" s="63">
        <v>180.36</v>
      </c>
      <c r="R1235" s="64">
        <v>202.0</v>
      </c>
      <c r="S1235" s="111">
        <v>212.0</v>
      </c>
      <c r="T1235" s="65">
        <f t="shared" si="39"/>
        <v>33.92</v>
      </c>
      <c r="U1235" s="65">
        <f t="shared" si="40"/>
        <v>245.92</v>
      </c>
      <c r="V1235" s="66">
        <f t="shared" si="42"/>
        <v>0.0495049505</v>
      </c>
      <c r="W1235" s="67">
        <f t="shared" si="5"/>
        <v>201.4</v>
      </c>
      <c r="X1235" s="67">
        <f t="shared" si="43"/>
        <v>32.224</v>
      </c>
      <c r="Y1235" s="67">
        <f t="shared" si="44"/>
        <v>233.624</v>
      </c>
      <c r="Z1235" s="67">
        <f t="shared" si="8"/>
        <v>190.8</v>
      </c>
      <c r="AA1235" s="67">
        <f t="shared" si="45"/>
        <v>30.528</v>
      </c>
      <c r="AB1235" s="67">
        <f t="shared" si="46"/>
        <v>221.328</v>
      </c>
      <c r="AC1235" s="67">
        <f t="shared" si="11"/>
        <v>180.2</v>
      </c>
      <c r="AD1235" s="67">
        <f t="shared" si="12"/>
        <v>28.832</v>
      </c>
      <c r="AE1235" s="67">
        <f t="shared" si="13"/>
        <v>209.032</v>
      </c>
      <c r="AF1235" s="67">
        <f t="shared" si="33"/>
        <v>175.96</v>
      </c>
      <c r="AG1235" s="67">
        <f t="shared" si="15"/>
        <v>28.1536</v>
      </c>
      <c r="AH1235" s="67">
        <f t="shared" si="16"/>
        <v>204.1136</v>
      </c>
      <c r="AI1235" s="67">
        <f t="shared" si="17"/>
        <v>169.6</v>
      </c>
      <c r="AJ1235" s="68">
        <f t="shared" si="47"/>
        <v>27.136</v>
      </c>
      <c r="AK1235" s="68">
        <f t="shared" si="48"/>
        <v>196.736</v>
      </c>
      <c r="AL1235" s="70">
        <f>IFERROR(__xludf.DUMMYFUNCTION("""COMPUTED_VALUE"""),1.0)</f>
        <v>1</v>
      </c>
      <c r="AM1235" s="70"/>
      <c r="AN1235" s="71" t="str">
        <f>IFERROR(__xludf.DUMMYFUNCTION("""COMPUTED_VALUE""")," P")</f>
        <v>P</v>
      </c>
      <c r="AO1235" s="71" t="str">
        <f>IFERROR(__xludf.DUMMYFUNCTION("""COMPUTED_VALUE""")," VA02")</f>
        <v>VA02</v>
      </c>
      <c r="AP1235" s="71" t="str">
        <f>IFERROR(__xludf.DUMMYFUNCTION("""COMPUTED_VALUE""")," PZA")</f>
        <v>PZA</v>
      </c>
      <c r="AQ1235" s="71" t="str">
        <f>IFERROR(__xludf.DUMMYFUNCTION("""COMPUTED_VALUE""")," REF")</f>
        <v>REF</v>
      </c>
      <c r="AR1235" s="71" t="str">
        <f>IFERROR(__xludf.DUMMYFUNCTION("""COMPUTED_VALUE""")," VÁLVULA CARBURADORA 3/8 ARMADA SENCILLA MODELO ANTERIOR")</f>
        <v>VÁLVULA CARBURADORA 3/8 ARMADA SENCILLA MODELO ANTERIOR</v>
      </c>
      <c r="AS1235" s="71" t="str">
        <f>IFERROR(__xludf.DUMMYFUNCTION("""COMPUTED_VALUE""")," VALVULA CARBURADORA 3/8 ARMADA SENC MA")</f>
        <v>VALVULA CARBURADORA 3/8 ARMADA SENC MA</v>
      </c>
      <c r="AT1235" s="71">
        <f>IFERROR(__xludf.DUMMYFUNCTION("""COMPUTED_VALUE"""),38.0)</f>
        <v>38</v>
      </c>
      <c r="AU1235" s="71"/>
      <c r="AV1235" s="71"/>
      <c r="AW1235" s="71"/>
      <c r="AX1235" s="71"/>
      <c r="AY1235" s="71">
        <f>IFERROR(__xludf.DUMMYFUNCTION("""COMPUTED_VALUE"""),5140.0)</f>
        <v>5140</v>
      </c>
      <c r="AZ1235" s="71">
        <f>IFERROR(__xludf.DUMMYFUNCTION("""COMPUTED_VALUE"""),5551.0)</f>
        <v>5551</v>
      </c>
      <c r="BA1235" s="71">
        <f>IFERROR(__xludf.DUMMYFUNCTION("""COMPUTED_VALUE"""),5995.080000000001)</f>
        <v>5995.08</v>
      </c>
      <c r="BB1235" s="71">
        <f>IFERROR(__xludf.DUMMYFUNCTION("""COMPUTED_VALUE"""),5995.080000000001)</f>
        <v>5995.08</v>
      </c>
      <c r="BC1235" s="71">
        <f>IFERROR(__xludf.DUMMYFUNCTION("""COMPUTED_VALUE"""),6673.0)</f>
        <v>6673</v>
      </c>
      <c r="BD1235" s="71">
        <f>IFERROR(__xludf.DUMMYFUNCTION("""COMPUTED_VALUE"""),7007.0)</f>
        <v>7007</v>
      </c>
      <c r="BE1235" s="71">
        <f>IFERROR(__xludf.DUMMYFUNCTION("""COMPUTED_VALUE"""),1121.1200000000001)</f>
        <v>1121.12</v>
      </c>
      <c r="BF1235" s="71">
        <f>IFERROR(__xludf.DUMMYFUNCTION("""COMPUTED_VALUE"""),8128.12)</f>
        <v>8128.12</v>
      </c>
      <c r="BG1235" s="71">
        <f>IFERROR(__xludf.DUMMYFUNCTION("""COMPUTED_VALUE"""),0.05005245017233628)</f>
        <v>0.05005245017</v>
      </c>
      <c r="BH1235" s="71">
        <f>IFERROR(__xludf.DUMMYFUNCTION("""COMPUTED_VALUE"""),6656.65)</f>
        <v>6656.65</v>
      </c>
      <c r="BI1235" s="71">
        <f>IFERROR(__xludf.DUMMYFUNCTION("""COMPUTED_VALUE"""),1065.0639999999999)</f>
        <v>1065.064</v>
      </c>
      <c r="BJ1235" s="71">
        <f>IFERROR(__xludf.DUMMYFUNCTION("""COMPUTED_VALUE"""),7721.714)</f>
        <v>7721.714</v>
      </c>
      <c r="BK1235" s="71">
        <f>IFERROR(__xludf.DUMMYFUNCTION("""COMPUTED_VALUE"""),6306.3)</f>
        <v>6306.3</v>
      </c>
      <c r="BL1235" s="71">
        <f>IFERROR(__xludf.DUMMYFUNCTION("""COMPUTED_VALUE"""),1009.008)</f>
        <v>1009.008</v>
      </c>
      <c r="BM1235" s="71">
        <f>IFERROR(__xludf.DUMMYFUNCTION("""COMPUTED_VALUE"""),7315.308)</f>
        <v>7315.308</v>
      </c>
      <c r="BN1235" s="71">
        <f>IFERROR(__xludf.DUMMYFUNCTION("""COMPUTED_VALUE"""),5955.95)</f>
        <v>5955.95</v>
      </c>
      <c r="BO1235" s="71">
        <f>IFERROR(__xludf.DUMMYFUNCTION("""COMPUTED_VALUE"""),952.952)</f>
        <v>952.952</v>
      </c>
      <c r="BP1235" s="71">
        <f>IFERROR(__xludf.DUMMYFUNCTION("""COMPUTED_VALUE"""),6908.902)</f>
        <v>6908.902</v>
      </c>
      <c r="BQ1235" s="71">
        <f>IFERROR(__xludf.DUMMYFUNCTION("""COMPUTED_VALUE"""),5815.8099999999995)</f>
        <v>5815.81</v>
      </c>
      <c r="BR1235" s="71">
        <f>IFERROR(__xludf.DUMMYFUNCTION("""COMPUTED_VALUE"""),930.5296)</f>
        <v>930.5296</v>
      </c>
      <c r="BS1235" s="71">
        <f>IFERROR(__xludf.DUMMYFUNCTION("""COMPUTED_VALUE"""),6746.339599999999)</f>
        <v>6746.3396</v>
      </c>
      <c r="BT1235" s="71">
        <f>IFERROR(__xludf.DUMMYFUNCTION("""COMPUTED_VALUE"""),5605.6)</f>
        <v>5605.6</v>
      </c>
      <c r="BU1235" s="71">
        <f>IFERROR(__xludf.DUMMYFUNCTION("""COMPUTED_VALUE"""),896.8960000000001)</f>
        <v>896.896</v>
      </c>
      <c r="BV1235" s="71">
        <f>IFERROR(__xludf.DUMMYFUNCTION("""COMPUTED_VALUE"""),6502.496)</f>
        <v>6502.496</v>
      </c>
    </row>
    <row r="1236">
      <c r="A1236" s="53">
        <v>1.0</v>
      </c>
      <c r="B1236" s="72"/>
      <c r="C1236" s="73" t="s">
        <v>53</v>
      </c>
      <c r="D1236" s="74" t="s">
        <v>3016</v>
      </c>
      <c r="E1236" s="54" t="s">
        <v>38</v>
      </c>
      <c r="F1236" s="54" t="s">
        <v>42</v>
      </c>
      <c r="G1236" s="88" t="s">
        <v>3017</v>
      </c>
      <c r="H1236" s="54" t="s">
        <v>3015</v>
      </c>
      <c r="I1236" s="54">
        <f t="shared" si="24"/>
        <v>15</v>
      </c>
      <c r="J1236" s="56"/>
      <c r="K1236" s="75"/>
      <c r="L1236" s="76"/>
      <c r="M1236" s="59"/>
      <c r="N1236" s="60">
        <v>155.0</v>
      </c>
      <c r="O1236" s="61">
        <v>167.0</v>
      </c>
      <c r="P1236" s="62">
        <v>180.36</v>
      </c>
      <c r="Q1236" s="63">
        <v>180.36</v>
      </c>
      <c r="R1236" s="64">
        <v>202.0</v>
      </c>
      <c r="S1236" s="111">
        <v>212.0</v>
      </c>
      <c r="T1236" s="65">
        <f t="shared" si="39"/>
        <v>33.92</v>
      </c>
      <c r="U1236" s="65">
        <f t="shared" si="40"/>
        <v>245.92</v>
      </c>
      <c r="V1236" s="66">
        <f t="shared" si="42"/>
        <v>0.0495049505</v>
      </c>
      <c r="W1236" s="67">
        <f t="shared" si="5"/>
        <v>201.4</v>
      </c>
      <c r="X1236" s="67">
        <f t="shared" si="43"/>
        <v>32.224</v>
      </c>
      <c r="Y1236" s="67">
        <f t="shared" si="44"/>
        <v>233.624</v>
      </c>
      <c r="Z1236" s="67">
        <f t="shared" si="8"/>
        <v>190.8</v>
      </c>
      <c r="AA1236" s="67">
        <f t="shared" si="45"/>
        <v>30.528</v>
      </c>
      <c r="AB1236" s="67">
        <f t="shared" si="46"/>
        <v>221.328</v>
      </c>
      <c r="AC1236" s="67">
        <f t="shared" si="11"/>
        <v>180.2</v>
      </c>
      <c r="AD1236" s="67">
        <f t="shared" si="12"/>
        <v>28.832</v>
      </c>
      <c r="AE1236" s="67">
        <f t="shared" si="13"/>
        <v>209.032</v>
      </c>
      <c r="AF1236" s="67">
        <f t="shared" si="33"/>
        <v>175.96</v>
      </c>
      <c r="AG1236" s="67">
        <f t="shared" si="15"/>
        <v>28.1536</v>
      </c>
      <c r="AH1236" s="67">
        <f t="shared" si="16"/>
        <v>204.1136</v>
      </c>
      <c r="AI1236" s="67">
        <f t="shared" si="17"/>
        <v>169.6</v>
      </c>
      <c r="AJ1236" s="68">
        <f t="shared" si="47"/>
        <v>27.136</v>
      </c>
      <c r="AK1236" s="68">
        <f t="shared" si="48"/>
        <v>196.736</v>
      </c>
      <c r="AL1236" s="70">
        <f>IFERROR(__xludf.DUMMYFUNCTION("""COMPUTED_VALUE"""),1.0)</f>
        <v>1</v>
      </c>
      <c r="AM1236" s="70"/>
      <c r="AN1236" s="71" t="str">
        <f>IFERROR(__xludf.DUMMYFUNCTION("""COMPUTED_VALUE""")," P")</f>
        <v>P</v>
      </c>
      <c r="AO1236" s="71" t="str">
        <f>IFERROR(__xludf.DUMMYFUNCTION("""COMPUTED_VALUE""")," VA06")</f>
        <v>VA06</v>
      </c>
      <c r="AP1236" s="71" t="str">
        <f>IFERROR(__xludf.DUMMYFUNCTION("""COMPUTED_VALUE""")," PZA")</f>
        <v>PZA</v>
      </c>
      <c r="AQ1236" s="71" t="str">
        <f>IFERROR(__xludf.DUMMYFUNCTION("""COMPUTED_VALUE""")," REF")</f>
        <v>REF</v>
      </c>
      <c r="AR1236" s="71" t="str">
        <f>IFERROR(__xludf.DUMMYFUNCTION("""COMPUTED_VALUE""")," VÁLVULA CARBURADORA DÚPLEX ARMADA")</f>
        <v>VÁLVULA CARBURADORA DÚPLEX ARMADA</v>
      </c>
      <c r="AS1236" s="71" t="str">
        <f>IFERROR(__xludf.DUMMYFUNCTION("""COMPUTED_VALUE""")," VALVULA CARBURADORA DPLX")</f>
        <v>VALVULA CARBURADORA DPLX</v>
      </c>
      <c r="AT1236" s="71">
        <f>IFERROR(__xludf.DUMMYFUNCTION("""COMPUTED_VALUE"""),24.0)</f>
        <v>24</v>
      </c>
      <c r="AU1236" s="71"/>
      <c r="AV1236" s="71"/>
      <c r="AW1236" s="71"/>
      <c r="AX1236" s="71"/>
      <c r="AY1236" s="71">
        <f>IFERROR(__xludf.DUMMYFUNCTION("""COMPUTED_VALUE"""),5785.0)</f>
        <v>5785</v>
      </c>
      <c r="AZ1236" s="71">
        <f>IFERROR(__xludf.DUMMYFUNCTION("""COMPUTED_VALUE"""),7247.0)</f>
        <v>7247</v>
      </c>
      <c r="BA1236" s="71">
        <f>IFERROR(__xludf.DUMMYFUNCTION("""COMPUTED_VALUE"""),7826.76)</f>
        <v>7826.76</v>
      </c>
      <c r="BB1236" s="71">
        <f>IFERROR(__xludf.DUMMYFUNCTION("""COMPUTED_VALUE"""),7826.76)</f>
        <v>7826.76</v>
      </c>
      <c r="BC1236" s="71">
        <f>IFERROR(__xludf.DUMMYFUNCTION("""COMPUTED_VALUE"""),8630.0)</f>
        <v>8630</v>
      </c>
      <c r="BD1236" s="71">
        <f>IFERROR(__xludf.DUMMYFUNCTION("""COMPUTED_VALUE"""),9062.0)</f>
        <v>9062</v>
      </c>
      <c r="BE1236" s="71">
        <f>IFERROR(__xludf.DUMMYFUNCTION("""COMPUTED_VALUE"""),1449.92)</f>
        <v>1449.92</v>
      </c>
      <c r="BF1236" s="71">
        <f>IFERROR(__xludf.DUMMYFUNCTION("""COMPUTED_VALUE"""),10511.92)</f>
        <v>10511.92</v>
      </c>
      <c r="BG1236" s="71">
        <f>IFERROR(__xludf.DUMMYFUNCTION("""COMPUTED_VALUE"""),0.05005793742757821)</f>
        <v>0.05005793743</v>
      </c>
      <c r="BH1236" s="71">
        <f>IFERROR(__xludf.DUMMYFUNCTION("""COMPUTED_VALUE"""),8608.9)</f>
        <v>8608.9</v>
      </c>
      <c r="BI1236" s="71">
        <f>IFERROR(__xludf.DUMMYFUNCTION("""COMPUTED_VALUE"""),1377.424)</f>
        <v>1377.424</v>
      </c>
      <c r="BJ1236" s="71">
        <f>IFERROR(__xludf.DUMMYFUNCTION("""COMPUTED_VALUE"""),9986.324)</f>
        <v>9986.324</v>
      </c>
      <c r="BK1236" s="71">
        <f>IFERROR(__xludf.DUMMYFUNCTION("""COMPUTED_VALUE"""),8155.8)</f>
        <v>8155.8</v>
      </c>
      <c r="BL1236" s="71">
        <f>IFERROR(__xludf.DUMMYFUNCTION("""COMPUTED_VALUE"""),1304.928)</f>
        <v>1304.928</v>
      </c>
      <c r="BM1236" s="71">
        <f>IFERROR(__xludf.DUMMYFUNCTION("""COMPUTED_VALUE"""),9460.728000000001)</f>
        <v>9460.728</v>
      </c>
      <c r="BN1236" s="71">
        <f>IFERROR(__xludf.DUMMYFUNCTION("""COMPUTED_VALUE"""),7702.7)</f>
        <v>7702.7</v>
      </c>
      <c r="BO1236" s="71">
        <f>IFERROR(__xludf.DUMMYFUNCTION("""COMPUTED_VALUE"""),1232.432)</f>
        <v>1232.432</v>
      </c>
      <c r="BP1236" s="71">
        <f>IFERROR(__xludf.DUMMYFUNCTION("""COMPUTED_VALUE"""),8935.132)</f>
        <v>8935.132</v>
      </c>
      <c r="BQ1236" s="71">
        <f>IFERROR(__xludf.DUMMYFUNCTION("""COMPUTED_VALUE"""),7521.46)</f>
        <v>7521.46</v>
      </c>
      <c r="BR1236" s="71">
        <f>IFERROR(__xludf.DUMMYFUNCTION("""COMPUTED_VALUE"""),1203.4336)</f>
        <v>1203.4336</v>
      </c>
      <c r="BS1236" s="71">
        <f>IFERROR(__xludf.DUMMYFUNCTION("""COMPUTED_VALUE"""),8724.8936)</f>
        <v>8724.8936</v>
      </c>
      <c r="BT1236" s="71">
        <f>IFERROR(__xludf.DUMMYFUNCTION("""COMPUTED_VALUE"""),7249.6)</f>
        <v>7249.6</v>
      </c>
      <c r="BU1236" s="71">
        <f>IFERROR(__xludf.DUMMYFUNCTION("""COMPUTED_VALUE"""),1159.9360000000001)</f>
        <v>1159.936</v>
      </c>
      <c r="BV1236" s="71">
        <f>IFERROR(__xludf.DUMMYFUNCTION("""COMPUTED_VALUE"""),8409.536)</f>
        <v>8409.536</v>
      </c>
    </row>
    <row r="1237">
      <c r="A1237" s="53">
        <v>1.0</v>
      </c>
      <c r="B1237" s="53"/>
      <c r="C1237" s="73" t="s">
        <v>53</v>
      </c>
      <c r="D1237" s="74" t="s">
        <v>3018</v>
      </c>
      <c r="E1237" s="54" t="s">
        <v>38</v>
      </c>
      <c r="F1237" s="54" t="s">
        <v>42</v>
      </c>
      <c r="G1237" s="55" t="s">
        <v>3019</v>
      </c>
      <c r="H1237" s="54" t="s">
        <v>3020</v>
      </c>
      <c r="I1237" s="54">
        <f t="shared" si="24"/>
        <v>19</v>
      </c>
      <c r="J1237" s="56"/>
      <c r="K1237" s="75"/>
      <c r="L1237" s="76"/>
      <c r="M1237" s="59"/>
      <c r="N1237" s="60">
        <v>410.0</v>
      </c>
      <c r="O1237" s="61">
        <v>442.0</v>
      </c>
      <c r="P1237" s="62">
        <v>477.36</v>
      </c>
      <c r="Q1237" s="63">
        <v>477.36</v>
      </c>
      <c r="R1237" s="64">
        <v>699.0</v>
      </c>
      <c r="S1237" s="111">
        <v>734.0</v>
      </c>
      <c r="T1237" s="65">
        <f t="shared" si="39"/>
        <v>117.44</v>
      </c>
      <c r="U1237" s="65">
        <f t="shared" si="40"/>
        <v>851.44</v>
      </c>
      <c r="V1237" s="66">
        <f t="shared" si="42"/>
        <v>0.05007153076</v>
      </c>
      <c r="W1237" s="67">
        <f t="shared" si="5"/>
        <v>697.3</v>
      </c>
      <c r="X1237" s="67">
        <f t="shared" si="43"/>
        <v>111.568</v>
      </c>
      <c r="Y1237" s="67">
        <f t="shared" si="44"/>
        <v>808.868</v>
      </c>
      <c r="Z1237" s="67">
        <f t="shared" si="8"/>
        <v>660.6</v>
      </c>
      <c r="AA1237" s="67">
        <f t="shared" si="45"/>
        <v>105.696</v>
      </c>
      <c r="AB1237" s="67">
        <f t="shared" si="46"/>
        <v>766.296</v>
      </c>
      <c r="AC1237" s="67">
        <f t="shared" si="11"/>
        <v>623.9</v>
      </c>
      <c r="AD1237" s="67">
        <f t="shared" si="12"/>
        <v>99.824</v>
      </c>
      <c r="AE1237" s="67">
        <f t="shared" si="13"/>
        <v>723.724</v>
      </c>
      <c r="AF1237" s="67">
        <f t="shared" si="33"/>
        <v>609.22</v>
      </c>
      <c r="AG1237" s="67">
        <f t="shared" si="15"/>
        <v>97.4752</v>
      </c>
      <c r="AH1237" s="67">
        <f t="shared" si="16"/>
        <v>706.6952</v>
      </c>
      <c r="AI1237" s="67">
        <f t="shared" si="17"/>
        <v>587.2</v>
      </c>
      <c r="AJ1237" s="68">
        <f t="shared" si="47"/>
        <v>93.952</v>
      </c>
      <c r="AK1237" s="68">
        <f t="shared" si="48"/>
        <v>681.152</v>
      </c>
      <c r="AL1237" s="70">
        <f>IFERROR(__xludf.DUMMYFUNCTION("""COMPUTED_VALUE"""),1.0)</f>
        <v>1</v>
      </c>
      <c r="AM1237" s="70"/>
      <c r="AN1237" s="71" t="str">
        <f>IFERROR(__xludf.DUMMYFUNCTION("""COMPUTED_VALUE""")," C")</f>
        <v>C</v>
      </c>
      <c r="AO1237" s="71" t="str">
        <f>IFERROR(__xludf.DUMMYFUNCTION("""COMPUTED_VALUE""")," VA09")</f>
        <v>VA09</v>
      </c>
      <c r="AP1237" s="71" t="str">
        <f>IFERROR(__xludf.DUMMYFUNCTION("""COMPUTED_VALUE""")," PZA")</f>
        <v>PZA</v>
      </c>
      <c r="AQ1237" s="71" t="str">
        <f>IFERROR(__xludf.DUMMYFUNCTION("""COMPUTED_VALUE""")," REF")</f>
        <v>REF</v>
      </c>
      <c r="AR1237" s="71" t="str">
        <f>IFERROR(__xludf.DUMMYFUNCTION("""COMPUTED_VALUE""")," VÁLVULA SOLENOIDE 1''")</f>
        <v>VÁLVULA SOLENOIDE 1''</v>
      </c>
      <c r="AS1237" s="71" t="str">
        <f>IFERROR(__xludf.DUMMYFUNCTION("""COMPUTED_VALUE""")," VALVULA SOLENOIDE 1''")</f>
        <v>VALVULA SOLENOIDE 1''</v>
      </c>
      <c r="AT1237" s="71">
        <f>IFERROR(__xludf.DUMMYFUNCTION("""COMPUTED_VALUE"""),21.0)</f>
        <v>21</v>
      </c>
      <c r="AU1237" s="71"/>
      <c r="AV1237" s="71"/>
      <c r="AW1237" s="71"/>
      <c r="AX1237" s="71"/>
      <c r="AY1237" s="71">
        <f>IFERROR(__xludf.DUMMYFUNCTION("""COMPUTED_VALUE"""),1915.0)</f>
        <v>1915</v>
      </c>
      <c r="AZ1237" s="71">
        <f>IFERROR(__xludf.DUMMYFUNCTION("""COMPUTED_VALUE"""),2068.0)</f>
        <v>2068</v>
      </c>
      <c r="BA1237" s="71">
        <f>IFERROR(__xludf.DUMMYFUNCTION("""COMPUTED_VALUE"""),2233.44)</f>
        <v>2233.44</v>
      </c>
      <c r="BB1237" s="71">
        <f>IFERROR(__xludf.DUMMYFUNCTION("""COMPUTED_VALUE"""),2233.44)</f>
        <v>2233.44</v>
      </c>
      <c r="BC1237" s="71">
        <f>IFERROR(__xludf.DUMMYFUNCTION("""COMPUTED_VALUE"""),2487.0)</f>
        <v>2487</v>
      </c>
      <c r="BD1237" s="71">
        <f>IFERROR(__xludf.DUMMYFUNCTION("""COMPUTED_VALUE"""),2611.0)</f>
        <v>2611</v>
      </c>
      <c r="BE1237" s="71">
        <f>IFERROR(__xludf.DUMMYFUNCTION("""COMPUTED_VALUE"""),417.76)</f>
        <v>417.76</v>
      </c>
      <c r="BF1237" s="71">
        <f>IFERROR(__xludf.DUMMYFUNCTION("""COMPUTED_VALUE"""),3028.76)</f>
        <v>3028.76</v>
      </c>
      <c r="BG1237" s="71">
        <f>IFERROR(__xludf.DUMMYFUNCTION("""COMPUTED_VALUE"""),0.049859268194611985)</f>
        <v>0.04985926819</v>
      </c>
      <c r="BH1237" s="71">
        <f>IFERROR(__xludf.DUMMYFUNCTION("""COMPUTED_VALUE"""),2480.45)</f>
        <v>2480.45</v>
      </c>
      <c r="BI1237" s="71">
        <f>IFERROR(__xludf.DUMMYFUNCTION("""COMPUTED_VALUE"""),396.87199999999996)</f>
        <v>396.872</v>
      </c>
      <c r="BJ1237" s="71">
        <f>IFERROR(__xludf.DUMMYFUNCTION("""COMPUTED_VALUE"""),2877.3219999999997)</f>
        <v>2877.322</v>
      </c>
      <c r="BK1237" s="71">
        <f>IFERROR(__xludf.DUMMYFUNCTION("""COMPUTED_VALUE"""),2349.9)</f>
        <v>2349.9</v>
      </c>
      <c r="BL1237" s="71">
        <f>IFERROR(__xludf.DUMMYFUNCTION("""COMPUTED_VALUE"""),375.98400000000004)</f>
        <v>375.984</v>
      </c>
      <c r="BM1237" s="71">
        <f>IFERROR(__xludf.DUMMYFUNCTION("""COMPUTED_VALUE"""),2725.884)</f>
        <v>2725.884</v>
      </c>
      <c r="BN1237" s="71">
        <f>IFERROR(__xludf.DUMMYFUNCTION("""COMPUTED_VALUE"""),2219.35)</f>
        <v>2219.35</v>
      </c>
      <c r="BO1237" s="71">
        <f>IFERROR(__xludf.DUMMYFUNCTION("""COMPUTED_VALUE"""),355.096)</f>
        <v>355.096</v>
      </c>
      <c r="BP1237" s="71">
        <f>IFERROR(__xludf.DUMMYFUNCTION("""COMPUTED_VALUE"""),2574.446)</f>
        <v>2574.446</v>
      </c>
      <c r="BQ1237" s="71">
        <f>IFERROR(__xludf.DUMMYFUNCTION("""COMPUTED_VALUE"""),2167.13)</f>
        <v>2167.13</v>
      </c>
      <c r="BR1237" s="71">
        <f>IFERROR(__xludf.DUMMYFUNCTION("""COMPUTED_VALUE"""),346.74080000000004)</f>
        <v>346.7408</v>
      </c>
      <c r="BS1237" s="71">
        <f>IFERROR(__xludf.DUMMYFUNCTION("""COMPUTED_VALUE"""),2513.8708)</f>
        <v>2513.8708</v>
      </c>
      <c r="BT1237" s="71">
        <f>IFERROR(__xludf.DUMMYFUNCTION("""COMPUTED_VALUE"""),2088.8)</f>
        <v>2088.8</v>
      </c>
      <c r="BU1237" s="71">
        <f>IFERROR(__xludf.DUMMYFUNCTION("""COMPUTED_VALUE"""),334.208)</f>
        <v>334.208</v>
      </c>
      <c r="BV1237" s="71">
        <f>IFERROR(__xludf.DUMMYFUNCTION("""COMPUTED_VALUE"""),2423.0080000000003)</f>
        <v>2423.008</v>
      </c>
    </row>
    <row r="1238">
      <c r="A1238" s="53">
        <v>1.0</v>
      </c>
      <c r="B1238" s="72">
        <v>3.0</v>
      </c>
      <c r="C1238" s="73" t="s">
        <v>12</v>
      </c>
      <c r="D1238" s="74" t="s">
        <v>3021</v>
      </c>
      <c r="E1238" s="54" t="s">
        <v>38</v>
      </c>
      <c r="F1238" s="54" t="s">
        <v>42</v>
      </c>
      <c r="G1238" s="88" t="s">
        <v>3022</v>
      </c>
      <c r="H1238" s="54" t="s">
        <v>3022</v>
      </c>
      <c r="I1238" s="54">
        <f t="shared" si="24"/>
        <v>33</v>
      </c>
      <c r="J1238" s="56"/>
      <c r="K1238" s="75"/>
      <c r="L1238" s="76"/>
      <c r="M1238" s="59"/>
      <c r="N1238" s="60">
        <v>464.0</v>
      </c>
      <c r="O1238" s="61">
        <v>501.0</v>
      </c>
      <c r="P1238" s="62">
        <v>541.08</v>
      </c>
      <c r="Q1238" s="63">
        <v>541.08</v>
      </c>
      <c r="R1238" s="64">
        <v>603.0</v>
      </c>
      <c r="S1238" s="111">
        <v>633.0</v>
      </c>
      <c r="T1238" s="65">
        <f t="shared" si="39"/>
        <v>101.28</v>
      </c>
      <c r="U1238" s="65">
        <f t="shared" si="40"/>
        <v>734.28</v>
      </c>
      <c r="V1238" s="66">
        <f t="shared" si="42"/>
        <v>0.04975124378</v>
      </c>
      <c r="W1238" s="67">
        <f t="shared" si="5"/>
        <v>601.35</v>
      </c>
      <c r="X1238" s="67">
        <f t="shared" si="43"/>
        <v>96.216</v>
      </c>
      <c r="Y1238" s="67">
        <f t="shared" si="44"/>
        <v>697.566</v>
      </c>
      <c r="Z1238" s="67">
        <f t="shared" si="8"/>
        <v>569.7</v>
      </c>
      <c r="AA1238" s="67">
        <f t="shared" si="45"/>
        <v>91.152</v>
      </c>
      <c r="AB1238" s="67">
        <f t="shared" si="46"/>
        <v>660.852</v>
      </c>
      <c r="AC1238" s="67">
        <f t="shared" si="11"/>
        <v>569.7</v>
      </c>
      <c r="AD1238" s="67">
        <f t="shared" si="12"/>
        <v>91.152</v>
      </c>
      <c r="AE1238" s="67">
        <f t="shared" si="13"/>
        <v>660.852</v>
      </c>
      <c r="AF1238" s="67">
        <f t="shared" si="33"/>
        <v>569.7</v>
      </c>
      <c r="AG1238" s="67">
        <f t="shared" si="15"/>
        <v>91.152</v>
      </c>
      <c r="AH1238" s="67">
        <f t="shared" si="16"/>
        <v>660.852</v>
      </c>
      <c r="AI1238" s="67">
        <f t="shared" si="17"/>
        <v>569.7</v>
      </c>
      <c r="AJ1238" s="68">
        <f t="shared" si="47"/>
        <v>91.152</v>
      </c>
      <c r="AK1238" s="68">
        <f t="shared" si="48"/>
        <v>660.852</v>
      </c>
      <c r="AL1238" s="70">
        <f>IFERROR(__xludf.DUMMYFUNCTION("""COMPUTED_VALUE"""),1.0)</f>
        <v>1</v>
      </c>
      <c r="AM1238" s="70"/>
      <c r="AN1238" s="71" t="str">
        <f>IFERROR(__xludf.DUMMYFUNCTION("""COMPUTED_VALUE""")," C")</f>
        <v>C</v>
      </c>
      <c r="AO1238" s="71" t="str">
        <f>IFERROR(__xludf.DUMMYFUNCTION("""COMPUTED_VALUE""")," VA04")</f>
        <v>VA04</v>
      </c>
      <c r="AP1238" s="71" t="str">
        <f>IFERROR(__xludf.DUMMYFUNCTION("""COMPUTED_VALUE""")," PZA")</f>
        <v>PZA</v>
      </c>
      <c r="AQ1238" s="71" t="str">
        <f>IFERROR(__xludf.DUMMYFUNCTION("""COMPUTED_VALUE""")," REF")</f>
        <v>REF</v>
      </c>
      <c r="AR1238" s="71" t="str">
        <f>IFERROR(__xludf.DUMMYFUNCTION("""COMPUTED_VALUE""")," VALVULA SOLENOIDE 1/2 BAJO FLUJO 110V")</f>
        <v>VALVULA SOLENOIDE 1/2 BAJO FLUJO 110V</v>
      </c>
      <c r="AS1238" s="71" t="str">
        <f>IFERROR(__xludf.DUMMYFUNCTION("""COMPUTED_VALUE""")," VALVULA SOLENOIDE 1/2 BAJO FLUJO")</f>
        <v>VALVULA SOLENOIDE 1/2 BAJO FLUJO</v>
      </c>
      <c r="AT1238" s="71">
        <f>IFERROR(__xludf.DUMMYFUNCTION("""COMPUTED_VALUE"""),32.0)</f>
        <v>32</v>
      </c>
      <c r="AU1238" s="71"/>
      <c r="AV1238" s="71"/>
      <c r="AW1238" s="71"/>
      <c r="AX1238" s="71"/>
      <c r="AY1238" s="71">
        <f>IFERROR(__xludf.DUMMYFUNCTION("""COMPUTED_VALUE"""),1515.0)</f>
        <v>1515</v>
      </c>
      <c r="AZ1238" s="71">
        <f>IFERROR(__xludf.DUMMYFUNCTION("""COMPUTED_VALUE"""),1636.0)</f>
        <v>1636</v>
      </c>
      <c r="BA1238" s="71">
        <f>IFERROR(__xludf.DUMMYFUNCTION("""COMPUTED_VALUE"""),1766.88)</f>
        <v>1766.88</v>
      </c>
      <c r="BB1238" s="71">
        <f>IFERROR(__xludf.DUMMYFUNCTION("""COMPUTED_VALUE"""),1766.88)</f>
        <v>1766.88</v>
      </c>
      <c r="BC1238" s="71">
        <f>IFERROR(__xludf.DUMMYFUNCTION("""COMPUTED_VALUE"""),1967.0)</f>
        <v>1967</v>
      </c>
      <c r="BD1238" s="71">
        <f>IFERROR(__xludf.DUMMYFUNCTION("""COMPUTED_VALUE"""),2065.0)</f>
        <v>2065</v>
      </c>
      <c r="BE1238" s="71">
        <f>IFERROR(__xludf.DUMMYFUNCTION("""COMPUTED_VALUE"""),330.40000000000003)</f>
        <v>330.4</v>
      </c>
      <c r="BF1238" s="71">
        <f>IFERROR(__xludf.DUMMYFUNCTION("""COMPUTED_VALUE"""),2395.4)</f>
        <v>2395.4</v>
      </c>
      <c r="BG1238" s="71">
        <f>IFERROR(__xludf.DUMMYFUNCTION("""COMPUTED_VALUE"""),0.0498220640569395)</f>
        <v>0.04982206406</v>
      </c>
      <c r="BH1238" s="71">
        <f>IFERROR(__xludf.DUMMYFUNCTION("""COMPUTED_VALUE"""),1961.75)</f>
        <v>1961.75</v>
      </c>
      <c r="BI1238" s="71">
        <f>IFERROR(__xludf.DUMMYFUNCTION("""COMPUTED_VALUE"""),313.88)</f>
        <v>313.88</v>
      </c>
      <c r="BJ1238" s="71">
        <f>IFERROR(__xludf.DUMMYFUNCTION("""COMPUTED_VALUE"""),2275.63)</f>
        <v>2275.63</v>
      </c>
      <c r="BK1238" s="71">
        <f>IFERROR(__xludf.DUMMYFUNCTION("""COMPUTED_VALUE"""),1858.5)</f>
        <v>1858.5</v>
      </c>
      <c r="BL1238" s="71">
        <f>IFERROR(__xludf.DUMMYFUNCTION("""COMPUTED_VALUE"""),297.36)</f>
        <v>297.36</v>
      </c>
      <c r="BM1238" s="71">
        <f>IFERROR(__xludf.DUMMYFUNCTION("""COMPUTED_VALUE"""),2155.86)</f>
        <v>2155.86</v>
      </c>
      <c r="BN1238" s="71">
        <f>IFERROR(__xludf.DUMMYFUNCTION("""COMPUTED_VALUE"""),1755.25)</f>
        <v>1755.25</v>
      </c>
      <c r="BO1238" s="71">
        <f>IFERROR(__xludf.DUMMYFUNCTION("""COMPUTED_VALUE"""),280.84000000000003)</f>
        <v>280.84</v>
      </c>
      <c r="BP1238" s="71">
        <f>IFERROR(__xludf.DUMMYFUNCTION("""COMPUTED_VALUE"""),2036.0900000000001)</f>
        <v>2036.09</v>
      </c>
      <c r="BQ1238" s="71">
        <f>IFERROR(__xludf.DUMMYFUNCTION("""COMPUTED_VALUE"""),1713.9499999999998)</f>
        <v>1713.95</v>
      </c>
      <c r="BR1238" s="71">
        <f>IFERROR(__xludf.DUMMYFUNCTION("""COMPUTED_VALUE"""),274.23199999999997)</f>
        <v>274.232</v>
      </c>
      <c r="BS1238" s="71">
        <f>IFERROR(__xludf.DUMMYFUNCTION("""COMPUTED_VALUE"""),1988.1819999999998)</f>
        <v>1988.182</v>
      </c>
      <c r="BT1238" s="71">
        <f>IFERROR(__xludf.DUMMYFUNCTION("""COMPUTED_VALUE"""),1652.0)</f>
        <v>1652</v>
      </c>
      <c r="BU1238" s="71">
        <f>IFERROR(__xludf.DUMMYFUNCTION("""COMPUTED_VALUE"""),264.32)</f>
        <v>264.32</v>
      </c>
      <c r="BV1238" s="71">
        <f>IFERROR(__xludf.DUMMYFUNCTION("""COMPUTED_VALUE"""),1916.32)</f>
        <v>1916.32</v>
      </c>
    </row>
    <row r="1239">
      <c r="A1239" s="53">
        <v>1.0</v>
      </c>
      <c r="B1239" s="72"/>
      <c r="C1239" s="73" t="s">
        <v>12</v>
      </c>
      <c r="D1239" s="53" t="s">
        <v>3023</v>
      </c>
      <c r="E1239" s="54" t="s">
        <v>77</v>
      </c>
      <c r="F1239" s="54" t="s">
        <v>42</v>
      </c>
      <c r="G1239" s="54" t="s">
        <v>3024</v>
      </c>
      <c r="H1239" s="54" t="s">
        <v>3024</v>
      </c>
      <c r="I1239" s="54">
        <f t="shared" si="24"/>
        <v>40</v>
      </c>
      <c r="J1239" s="56"/>
      <c r="K1239" s="57"/>
      <c r="L1239" s="76"/>
      <c r="M1239" s="59"/>
      <c r="N1239" s="79">
        <v>1800.0</v>
      </c>
      <c r="O1239" s="61">
        <v>2475.0</v>
      </c>
      <c r="P1239" s="62">
        <v>2500.0</v>
      </c>
      <c r="Q1239" s="63">
        <v>2500.0</v>
      </c>
      <c r="R1239" s="78">
        <v>2400.0</v>
      </c>
      <c r="S1239" s="111">
        <v>2520.0</v>
      </c>
      <c r="T1239" s="65">
        <f t="shared" si="39"/>
        <v>403.2</v>
      </c>
      <c r="U1239" s="65">
        <f t="shared" si="40"/>
        <v>2923.2</v>
      </c>
      <c r="V1239" s="66">
        <f t="shared" si="42"/>
        <v>0.05</v>
      </c>
      <c r="W1239" s="67">
        <f t="shared" si="5"/>
        <v>2394</v>
      </c>
      <c r="X1239" s="67">
        <f t="shared" si="43"/>
        <v>383.04</v>
      </c>
      <c r="Y1239" s="67">
        <f t="shared" si="44"/>
        <v>2777.04</v>
      </c>
      <c r="Z1239" s="67">
        <f t="shared" si="8"/>
        <v>2268</v>
      </c>
      <c r="AA1239" s="67">
        <f t="shared" si="45"/>
        <v>362.88</v>
      </c>
      <c r="AB1239" s="67">
        <f t="shared" si="46"/>
        <v>2630.88</v>
      </c>
      <c r="AC1239" s="67">
        <f t="shared" si="11"/>
        <v>2142</v>
      </c>
      <c r="AD1239" s="67">
        <f t="shared" si="12"/>
        <v>342.72</v>
      </c>
      <c r="AE1239" s="67">
        <f t="shared" si="13"/>
        <v>2484.72</v>
      </c>
      <c r="AF1239" s="67">
        <f t="shared" si="33"/>
        <v>2091.6</v>
      </c>
      <c r="AG1239" s="67">
        <f t="shared" si="15"/>
        <v>334.656</v>
      </c>
      <c r="AH1239" s="67">
        <f t="shared" si="16"/>
        <v>2426.256</v>
      </c>
      <c r="AI1239" s="67">
        <f t="shared" si="17"/>
        <v>2016</v>
      </c>
      <c r="AJ1239" s="68">
        <f t="shared" si="47"/>
        <v>322.56</v>
      </c>
      <c r="AK1239" s="68">
        <f t="shared" si="48"/>
        <v>2338.56</v>
      </c>
      <c r="AL1239" s="70">
        <f>IFERROR(__xludf.DUMMYFUNCTION("""COMPUTED_VALUE"""),1.0)</f>
        <v>1</v>
      </c>
      <c r="AM1239" s="70"/>
      <c r="AN1239" s="71" t="str">
        <f>IFERROR(__xludf.DUMMYFUNCTION("""COMPUTED_VALUE""")," C")</f>
        <v>C</v>
      </c>
      <c r="AO1239" s="71" t="str">
        <f>IFERROR(__xludf.DUMMYFUNCTION("""COMPUTED_VALUE""")," VA03")</f>
        <v>VA03</v>
      </c>
      <c r="AP1239" s="71" t="str">
        <f>IFERROR(__xludf.DUMMYFUNCTION("""COMPUTED_VALUE""")," PZA")</f>
        <v>PZA</v>
      </c>
      <c r="AQ1239" s="71" t="str">
        <f>IFERROR(__xludf.DUMMYFUNCTION("""COMPUTED_VALUE""")," REF")</f>
        <v>REF</v>
      </c>
      <c r="AR1239" s="71" t="str">
        <f>IFERROR(__xludf.DUMMYFUNCTION("""COMPUTED_VALUE""")," VÁLVULA SOLENOIDE 1/4")</f>
        <v>VÁLVULA SOLENOIDE 1/4</v>
      </c>
      <c r="AS1239" s="71" t="str">
        <f>IFERROR(__xludf.DUMMYFUNCTION("""COMPUTED_VALUE""")," VALVULA SOLENOIDE 1/4")</f>
        <v>VALVULA SOLENOIDE 1/4</v>
      </c>
      <c r="AT1239" s="71">
        <f>IFERROR(__xludf.DUMMYFUNCTION("""COMPUTED_VALUE"""),21.0)</f>
        <v>21</v>
      </c>
      <c r="AU1239" s="71"/>
      <c r="AV1239" s="71"/>
      <c r="AW1239" s="71"/>
      <c r="AX1239" s="71"/>
      <c r="AY1239" s="71">
        <f>IFERROR(__xludf.DUMMYFUNCTION("""COMPUTED_VALUE"""),666.0)</f>
        <v>666</v>
      </c>
      <c r="AZ1239" s="71">
        <f>IFERROR(__xludf.DUMMYFUNCTION("""COMPUTED_VALUE"""),719.0)</f>
        <v>719</v>
      </c>
      <c r="BA1239" s="71">
        <f>IFERROR(__xludf.DUMMYFUNCTION("""COMPUTED_VALUE"""),776.5200000000001)</f>
        <v>776.52</v>
      </c>
      <c r="BB1239" s="71">
        <f>IFERROR(__xludf.DUMMYFUNCTION("""COMPUTED_VALUE"""),776.5200000000001)</f>
        <v>776.52</v>
      </c>
      <c r="BC1239" s="71">
        <f>IFERROR(__xludf.DUMMYFUNCTION("""COMPUTED_VALUE"""),866.0)</f>
        <v>866</v>
      </c>
      <c r="BD1239" s="71">
        <f>IFERROR(__xludf.DUMMYFUNCTION("""COMPUTED_VALUE"""),909.0)</f>
        <v>909</v>
      </c>
      <c r="BE1239" s="71">
        <f>IFERROR(__xludf.DUMMYFUNCTION("""COMPUTED_VALUE"""),145.44)</f>
        <v>145.44</v>
      </c>
      <c r="BF1239" s="71">
        <f>IFERROR(__xludf.DUMMYFUNCTION("""COMPUTED_VALUE"""),1054.44)</f>
        <v>1054.44</v>
      </c>
      <c r="BG1239" s="71">
        <f>IFERROR(__xludf.DUMMYFUNCTION("""COMPUTED_VALUE"""),0.049653579676674366)</f>
        <v>0.04965357968</v>
      </c>
      <c r="BH1239" s="71">
        <f>IFERROR(__xludf.DUMMYFUNCTION("""COMPUTED_VALUE"""),863.55)</f>
        <v>863.55</v>
      </c>
      <c r="BI1239" s="71">
        <f>IFERROR(__xludf.DUMMYFUNCTION("""COMPUTED_VALUE"""),138.168)</f>
        <v>138.168</v>
      </c>
      <c r="BJ1239" s="71">
        <f>IFERROR(__xludf.DUMMYFUNCTION("""COMPUTED_VALUE"""),1001.718)</f>
        <v>1001.718</v>
      </c>
      <c r="BK1239" s="71">
        <f>IFERROR(__xludf.DUMMYFUNCTION("""COMPUTED_VALUE"""),818.1)</f>
        <v>818.1</v>
      </c>
      <c r="BL1239" s="71">
        <f>IFERROR(__xludf.DUMMYFUNCTION("""COMPUTED_VALUE"""),130.89600000000002)</f>
        <v>130.896</v>
      </c>
      <c r="BM1239" s="71">
        <f>IFERROR(__xludf.DUMMYFUNCTION("""COMPUTED_VALUE"""),948.9960000000001)</f>
        <v>948.996</v>
      </c>
      <c r="BN1239" s="71">
        <f>IFERROR(__xludf.DUMMYFUNCTION("""COMPUTED_VALUE"""),772.65)</f>
        <v>772.65</v>
      </c>
      <c r="BO1239" s="71">
        <f>IFERROR(__xludf.DUMMYFUNCTION("""COMPUTED_VALUE"""),123.624)</f>
        <v>123.624</v>
      </c>
      <c r="BP1239" s="71">
        <f>IFERROR(__xludf.DUMMYFUNCTION("""COMPUTED_VALUE"""),896.274)</f>
        <v>896.274</v>
      </c>
      <c r="BQ1239" s="71">
        <f>IFERROR(__xludf.DUMMYFUNCTION("""COMPUTED_VALUE"""),754.4699999999999)</f>
        <v>754.47</v>
      </c>
      <c r="BR1239" s="71">
        <f>IFERROR(__xludf.DUMMYFUNCTION("""COMPUTED_VALUE"""),120.71519999999998)</f>
        <v>120.7152</v>
      </c>
      <c r="BS1239" s="71">
        <f>IFERROR(__xludf.DUMMYFUNCTION("""COMPUTED_VALUE"""),875.1851999999999)</f>
        <v>875.1852</v>
      </c>
      <c r="BT1239" s="71">
        <f>IFERROR(__xludf.DUMMYFUNCTION("""COMPUTED_VALUE"""),727.2)</f>
        <v>727.2</v>
      </c>
      <c r="BU1239" s="71">
        <f>IFERROR(__xludf.DUMMYFUNCTION("""COMPUTED_VALUE"""),116.352)</f>
        <v>116.352</v>
      </c>
      <c r="BV1239" s="71">
        <f>IFERROR(__xludf.DUMMYFUNCTION("""COMPUTED_VALUE"""),843.552)</f>
        <v>843.552</v>
      </c>
    </row>
    <row r="1240">
      <c r="A1240" s="53">
        <v>1.0</v>
      </c>
      <c r="B1240" s="72"/>
      <c r="C1240" s="73" t="s">
        <v>53</v>
      </c>
      <c r="D1240" s="53" t="s">
        <v>3025</v>
      </c>
      <c r="E1240" s="54" t="s">
        <v>77</v>
      </c>
      <c r="F1240" s="54" t="s">
        <v>42</v>
      </c>
      <c r="G1240" s="54" t="s">
        <v>3026</v>
      </c>
      <c r="H1240" s="54" t="s">
        <v>3026</v>
      </c>
      <c r="I1240" s="54">
        <f t="shared" si="24"/>
        <v>40</v>
      </c>
      <c r="J1240" s="56"/>
      <c r="K1240" s="57"/>
      <c r="L1240" s="76"/>
      <c r="M1240" s="59"/>
      <c r="N1240" s="79">
        <v>1200.0</v>
      </c>
      <c r="O1240" s="61">
        <v>1650.0</v>
      </c>
      <c r="P1240" s="62">
        <v>1650.0</v>
      </c>
      <c r="Q1240" s="63">
        <v>1650.0</v>
      </c>
      <c r="R1240" s="78">
        <v>1600.0</v>
      </c>
      <c r="S1240" s="111">
        <v>1680.0</v>
      </c>
      <c r="T1240" s="65">
        <f t="shared" si="39"/>
        <v>268.8</v>
      </c>
      <c r="U1240" s="65">
        <f t="shared" si="40"/>
        <v>1948.8</v>
      </c>
      <c r="V1240" s="66">
        <f t="shared" si="42"/>
        <v>0.05</v>
      </c>
      <c r="W1240" s="67">
        <f t="shared" si="5"/>
        <v>1596</v>
      </c>
      <c r="X1240" s="67">
        <f t="shared" si="43"/>
        <v>255.36</v>
      </c>
      <c r="Y1240" s="67">
        <f t="shared" si="44"/>
        <v>1851.36</v>
      </c>
      <c r="Z1240" s="67">
        <f t="shared" si="8"/>
        <v>1512</v>
      </c>
      <c r="AA1240" s="67">
        <f t="shared" si="45"/>
        <v>241.92</v>
      </c>
      <c r="AB1240" s="67">
        <f t="shared" si="46"/>
        <v>1753.92</v>
      </c>
      <c r="AC1240" s="67">
        <f t="shared" si="11"/>
        <v>1428</v>
      </c>
      <c r="AD1240" s="67">
        <f t="shared" si="12"/>
        <v>228.48</v>
      </c>
      <c r="AE1240" s="67">
        <f t="shared" si="13"/>
        <v>1656.48</v>
      </c>
      <c r="AF1240" s="67">
        <f t="shared" si="33"/>
        <v>1394.4</v>
      </c>
      <c r="AG1240" s="67">
        <f t="shared" si="15"/>
        <v>223.104</v>
      </c>
      <c r="AH1240" s="67">
        <f t="shared" si="16"/>
        <v>1617.504</v>
      </c>
      <c r="AI1240" s="67">
        <f t="shared" si="17"/>
        <v>1344</v>
      </c>
      <c r="AJ1240" s="68">
        <f t="shared" si="47"/>
        <v>215.04</v>
      </c>
      <c r="AK1240" s="68">
        <f t="shared" si="48"/>
        <v>1559.04</v>
      </c>
      <c r="AL1240" s="70">
        <f>IFERROR(__xludf.DUMMYFUNCTION("""COMPUTED_VALUE"""),1.0)</f>
        <v>1</v>
      </c>
      <c r="AM1240" s="70"/>
      <c r="AN1240" s="71" t="str">
        <f>IFERROR(__xludf.DUMMYFUNCTION("""COMPUTED_VALUE""")," C")</f>
        <v>C</v>
      </c>
      <c r="AO1240" s="71" t="str">
        <f>IFERROR(__xludf.DUMMYFUNCTION("""COMPUTED_VALUE""")," VA07")</f>
        <v>VA07</v>
      </c>
      <c r="AP1240" s="71" t="str">
        <f>IFERROR(__xludf.DUMMYFUNCTION("""COMPUTED_VALUE""")," PZA")</f>
        <v>PZA</v>
      </c>
      <c r="AQ1240" s="71" t="str">
        <f>IFERROR(__xludf.DUMMYFUNCTION("""COMPUTED_VALUE""")," REF")</f>
        <v>REF</v>
      </c>
      <c r="AR1240" s="71" t="str">
        <f>IFERROR(__xludf.DUMMYFUNCTION("""COMPUTED_VALUE""")," VÁLVULA SOLENOIDE 3/4")</f>
        <v>VÁLVULA SOLENOIDE 3/4</v>
      </c>
      <c r="AS1240" s="71" t="str">
        <f>IFERROR(__xludf.DUMMYFUNCTION("""COMPUTED_VALUE""")," VALVULA SOLENOIDE 3/4")</f>
        <v>VALVULA SOLENOIDE 3/4</v>
      </c>
      <c r="AT1240" s="71">
        <f>IFERROR(__xludf.DUMMYFUNCTION("""COMPUTED_VALUE"""),21.0)</f>
        <v>21</v>
      </c>
      <c r="AU1240" s="71"/>
      <c r="AV1240" s="71"/>
      <c r="AW1240" s="71"/>
      <c r="AX1240" s="71"/>
      <c r="AY1240" s="71">
        <f>IFERROR(__xludf.DUMMYFUNCTION("""COMPUTED_VALUE"""),1759.0)</f>
        <v>1759</v>
      </c>
      <c r="AZ1240" s="71">
        <f>IFERROR(__xludf.DUMMYFUNCTION("""COMPUTED_VALUE"""),1899.0)</f>
        <v>1899</v>
      </c>
      <c r="BA1240" s="71">
        <f>IFERROR(__xludf.DUMMYFUNCTION("""COMPUTED_VALUE"""),2050.92)</f>
        <v>2050.92</v>
      </c>
      <c r="BB1240" s="71">
        <f>IFERROR(__xludf.DUMMYFUNCTION("""COMPUTED_VALUE"""),2050.92)</f>
        <v>2050.92</v>
      </c>
      <c r="BC1240" s="71">
        <f>IFERROR(__xludf.DUMMYFUNCTION("""COMPUTED_VALUE"""),2283.0)</f>
        <v>2283</v>
      </c>
      <c r="BD1240" s="71">
        <f>IFERROR(__xludf.DUMMYFUNCTION("""COMPUTED_VALUE"""),2397.0)</f>
        <v>2397</v>
      </c>
      <c r="BE1240" s="71">
        <f>IFERROR(__xludf.DUMMYFUNCTION("""COMPUTED_VALUE"""),383.52)</f>
        <v>383.52</v>
      </c>
      <c r="BF1240" s="71">
        <f>IFERROR(__xludf.DUMMYFUNCTION("""COMPUTED_VALUE"""),2780.52)</f>
        <v>2780.52</v>
      </c>
      <c r="BG1240" s="71">
        <f>IFERROR(__xludf.DUMMYFUNCTION("""COMPUTED_VALUE"""),0.04993429697766097)</f>
        <v>0.04993429698</v>
      </c>
      <c r="BH1240" s="71">
        <f>IFERROR(__xludf.DUMMYFUNCTION("""COMPUTED_VALUE"""),2277.15)</f>
        <v>2277.15</v>
      </c>
      <c r="BI1240" s="71">
        <f>IFERROR(__xludf.DUMMYFUNCTION("""COMPUTED_VALUE"""),364.344)</f>
        <v>364.344</v>
      </c>
      <c r="BJ1240" s="71">
        <f>IFERROR(__xludf.DUMMYFUNCTION("""COMPUTED_VALUE"""),2641.494)</f>
        <v>2641.494</v>
      </c>
      <c r="BK1240" s="71">
        <f>IFERROR(__xludf.DUMMYFUNCTION("""COMPUTED_VALUE"""),2157.3)</f>
        <v>2157.3</v>
      </c>
      <c r="BL1240" s="71">
        <f>IFERROR(__xludf.DUMMYFUNCTION("""COMPUTED_VALUE"""),345.16800000000006)</f>
        <v>345.168</v>
      </c>
      <c r="BM1240" s="71">
        <f>IFERROR(__xludf.DUMMYFUNCTION("""COMPUTED_VALUE"""),2502.4680000000003)</f>
        <v>2502.468</v>
      </c>
      <c r="BN1240" s="71">
        <f>IFERROR(__xludf.DUMMYFUNCTION("""COMPUTED_VALUE"""),2037.45)</f>
        <v>2037.45</v>
      </c>
      <c r="BO1240" s="71">
        <f>IFERROR(__xludf.DUMMYFUNCTION("""COMPUTED_VALUE"""),325.992)</f>
        <v>325.992</v>
      </c>
      <c r="BP1240" s="71">
        <f>IFERROR(__xludf.DUMMYFUNCTION("""COMPUTED_VALUE"""),2363.442)</f>
        <v>2363.442</v>
      </c>
      <c r="BQ1240" s="71">
        <f>IFERROR(__xludf.DUMMYFUNCTION("""COMPUTED_VALUE"""),1989.51)</f>
        <v>1989.51</v>
      </c>
      <c r="BR1240" s="71">
        <f>IFERROR(__xludf.DUMMYFUNCTION("""COMPUTED_VALUE"""),318.3216)</f>
        <v>318.3216</v>
      </c>
      <c r="BS1240" s="71">
        <f>IFERROR(__xludf.DUMMYFUNCTION("""COMPUTED_VALUE"""),2307.8316)</f>
        <v>2307.8316</v>
      </c>
      <c r="BT1240" s="71">
        <f>IFERROR(__xludf.DUMMYFUNCTION("""COMPUTED_VALUE"""),1917.6000000000001)</f>
        <v>1917.6</v>
      </c>
      <c r="BU1240" s="71">
        <f>IFERROR(__xludf.DUMMYFUNCTION("""COMPUTED_VALUE"""),306.81600000000003)</f>
        <v>306.816</v>
      </c>
      <c r="BV1240" s="71">
        <f>IFERROR(__xludf.DUMMYFUNCTION("""COMPUTED_VALUE"""),2224.416)</f>
        <v>2224.416</v>
      </c>
    </row>
    <row r="1241">
      <c r="A1241" s="53"/>
      <c r="B1241" s="53"/>
      <c r="C1241" s="53" t="s">
        <v>36</v>
      </c>
      <c r="D1241" s="85" t="s">
        <v>3027</v>
      </c>
      <c r="E1241" s="54" t="s">
        <v>38</v>
      </c>
      <c r="F1241" s="55" t="s">
        <v>39</v>
      </c>
      <c r="G1241" s="86" t="s">
        <v>3028</v>
      </c>
      <c r="H1241" s="55"/>
      <c r="I1241" s="54">
        <f t="shared" si="24"/>
        <v>0</v>
      </c>
      <c r="J1241" s="56"/>
      <c r="K1241" s="57"/>
      <c r="L1241" s="76"/>
      <c r="M1241" s="59"/>
      <c r="N1241" s="60"/>
      <c r="O1241" s="61">
        <v>1843.2</v>
      </c>
      <c r="P1241" s="62">
        <v>1990.6560000000002</v>
      </c>
      <c r="Q1241" s="63">
        <v>1990.6560000000002</v>
      </c>
      <c r="R1241" s="64">
        <v>2091.0</v>
      </c>
      <c r="S1241" s="107">
        <v>2196.0</v>
      </c>
      <c r="T1241" s="65">
        <f t="shared" si="39"/>
        <v>351.36</v>
      </c>
      <c r="U1241" s="65">
        <f t="shared" si="40"/>
        <v>2547.36</v>
      </c>
      <c r="V1241" s="66">
        <f t="shared" si="42"/>
        <v>0.05021520803</v>
      </c>
      <c r="W1241" s="67">
        <f t="shared" si="5"/>
        <v>2086.2</v>
      </c>
      <c r="X1241" s="67">
        <f t="shared" si="43"/>
        <v>333.792</v>
      </c>
      <c r="Y1241" s="67">
        <f t="shared" si="44"/>
        <v>2419.992</v>
      </c>
      <c r="Z1241" s="67">
        <f t="shared" si="8"/>
        <v>1976.4</v>
      </c>
      <c r="AA1241" s="67">
        <f t="shared" si="45"/>
        <v>316.224</v>
      </c>
      <c r="AB1241" s="67">
        <f t="shared" si="46"/>
        <v>2292.624</v>
      </c>
      <c r="AC1241" s="67">
        <f t="shared" si="11"/>
        <v>1866.6</v>
      </c>
      <c r="AD1241" s="67">
        <f t="shared" si="12"/>
        <v>298.656</v>
      </c>
      <c r="AE1241" s="67">
        <f t="shared" si="13"/>
        <v>2165.256</v>
      </c>
      <c r="AF1241" s="67">
        <f t="shared" si="33"/>
        <v>1822.68</v>
      </c>
      <c r="AG1241" s="67">
        <f t="shared" si="15"/>
        <v>291.6288</v>
      </c>
      <c r="AH1241" s="67">
        <f t="shared" si="16"/>
        <v>2114.3088</v>
      </c>
      <c r="AI1241" s="67">
        <f t="shared" si="17"/>
        <v>1756.8</v>
      </c>
      <c r="AJ1241" s="68">
        <f t="shared" si="47"/>
        <v>281.088</v>
      </c>
      <c r="AK1241" s="68">
        <f t="shared" si="48"/>
        <v>2037.888</v>
      </c>
      <c r="AL1241" s="70">
        <f>IFERROR(__xludf.DUMMYFUNCTION("""COMPUTED_VALUE"""),1.0)</f>
        <v>1</v>
      </c>
      <c r="AM1241" s="70">
        <f>IFERROR(__xludf.DUMMYFUNCTION("""COMPUTED_VALUE"""),3.0)</f>
        <v>3</v>
      </c>
      <c r="AN1241" s="71" t="str">
        <f>IFERROR(__xludf.DUMMYFUNCTION("""COMPUTED_VALUE""")," E")</f>
        <v>E</v>
      </c>
      <c r="AO1241" s="71" t="str">
        <f>IFERROR(__xludf.DUMMYFUNCTION("""COMPUTED_VALUE""")," MG33")</f>
        <v>MG33</v>
      </c>
      <c r="AP1241" s="71" t="str">
        <f>IFERROR(__xludf.DUMMYFUNCTION("""COMPUTED_VALUE""")," PZA")</f>
        <v>PZA</v>
      </c>
      <c r="AQ1241" s="71" t="str">
        <f>IFERROR(__xludf.DUMMYFUNCTION("""COMPUTED_VALUE""")," TGA")</f>
        <v>TGA</v>
      </c>
      <c r="AR1241" s="71" t="str">
        <f>IFERROR(__xludf.DUMMYFUNCTION("""COMPUTED_VALUE""")," VARIADOR DE VELOCIDAD P/MOTOR 3HP")</f>
        <v>VARIADOR DE VELOCIDAD P/MOTOR 3HP</v>
      </c>
      <c r="AS1241" s="71" t="str">
        <f>IFERROR(__xludf.DUMMYFUNCTION("""COMPUTED_VALUE""")," VARIADOR DE VELOCIDAD P/MOTOR 3HP")</f>
        <v>VARIADOR DE VELOCIDAD P/MOTOR 3HP</v>
      </c>
      <c r="AT1241" s="71">
        <f>IFERROR(__xludf.DUMMYFUNCTION("""COMPUTED_VALUE"""),33.0)</f>
        <v>33</v>
      </c>
      <c r="AU1241" s="71"/>
      <c r="AV1241" s="71"/>
      <c r="AW1241" s="71"/>
      <c r="AX1241" s="71"/>
      <c r="AY1241" s="71"/>
      <c r="AZ1241" s="71">
        <f>IFERROR(__xludf.DUMMYFUNCTION("""COMPUTED_VALUE"""),10191.0)</f>
        <v>10191</v>
      </c>
      <c r="BA1241" s="71">
        <f>IFERROR(__xludf.DUMMYFUNCTION("""COMPUTED_VALUE"""),11006.28)</f>
        <v>11006.28</v>
      </c>
      <c r="BB1241" s="71">
        <f>IFERROR(__xludf.DUMMYFUNCTION("""COMPUTED_VALUE"""),11006.28)</f>
        <v>11006.28</v>
      </c>
      <c r="BC1241" s="71">
        <f>IFERROR(__xludf.DUMMYFUNCTION("""COMPUTED_VALUE"""),9890.0)</f>
        <v>9890</v>
      </c>
      <c r="BD1241" s="71">
        <f>IFERROR(__xludf.DUMMYFUNCTION("""COMPUTED_VALUE"""),10385.0)</f>
        <v>10385</v>
      </c>
      <c r="BE1241" s="71">
        <f>IFERROR(__xludf.DUMMYFUNCTION("""COMPUTED_VALUE"""),1661.6000000000001)</f>
        <v>1661.6</v>
      </c>
      <c r="BF1241" s="71">
        <f>IFERROR(__xludf.DUMMYFUNCTION("""COMPUTED_VALUE"""),12046.6)</f>
        <v>12046.6</v>
      </c>
      <c r="BG1241" s="71">
        <f>IFERROR(__xludf.DUMMYFUNCTION("""COMPUTED_VALUE"""),0.050050556117290194)</f>
        <v>0.05005055612</v>
      </c>
      <c r="BH1241" s="71">
        <f>IFERROR(__xludf.DUMMYFUNCTION("""COMPUTED_VALUE"""),9865.75)</f>
        <v>9865.75</v>
      </c>
      <c r="BI1241" s="71">
        <f>IFERROR(__xludf.DUMMYFUNCTION("""COMPUTED_VALUE"""),1578.52)</f>
        <v>1578.52</v>
      </c>
      <c r="BJ1241" s="71">
        <f>IFERROR(__xludf.DUMMYFUNCTION("""COMPUTED_VALUE"""),11444.27)</f>
        <v>11444.27</v>
      </c>
      <c r="BK1241" s="71">
        <f>IFERROR(__xludf.DUMMYFUNCTION("""COMPUTED_VALUE"""),9346.5)</f>
        <v>9346.5</v>
      </c>
      <c r="BL1241" s="71">
        <f>IFERROR(__xludf.DUMMYFUNCTION("""COMPUTED_VALUE"""),1495.44)</f>
        <v>1495.44</v>
      </c>
      <c r="BM1241" s="71">
        <f>IFERROR(__xludf.DUMMYFUNCTION("""COMPUTED_VALUE"""),10841.94)</f>
        <v>10841.94</v>
      </c>
      <c r="BN1241" s="71">
        <f>IFERROR(__xludf.DUMMYFUNCTION("""COMPUTED_VALUE"""),9346.5)</f>
        <v>9346.5</v>
      </c>
      <c r="BO1241" s="71">
        <f>IFERROR(__xludf.DUMMYFUNCTION("""COMPUTED_VALUE"""),1495.44)</f>
        <v>1495.44</v>
      </c>
      <c r="BP1241" s="71">
        <f>IFERROR(__xludf.DUMMYFUNCTION("""COMPUTED_VALUE"""),10841.94)</f>
        <v>10841.94</v>
      </c>
      <c r="BQ1241" s="71">
        <f>IFERROR(__xludf.DUMMYFUNCTION("""COMPUTED_VALUE"""),9346.5)</f>
        <v>9346.5</v>
      </c>
      <c r="BR1241" s="71">
        <f>IFERROR(__xludf.DUMMYFUNCTION("""COMPUTED_VALUE"""),1495.44)</f>
        <v>1495.44</v>
      </c>
      <c r="BS1241" s="71">
        <f>IFERROR(__xludf.DUMMYFUNCTION("""COMPUTED_VALUE"""),10841.94)</f>
        <v>10841.94</v>
      </c>
      <c r="BT1241" s="71">
        <f>IFERROR(__xludf.DUMMYFUNCTION("""COMPUTED_VALUE"""),9346.5)</f>
        <v>9346.5</v>
      </c>
      <c r="BU1241" s="71">
        <f>IFERROR(__xludf.DUMMYFUNCTION("""COMPUTED_VALUE"""),1495.44)</f>
        <v>1495.44</v>
      </c>
      <c r="BV1241" s="71">
        <f>IFERROR(__xludf.DUMMYFUNCTION("""COMPUTED_VALUE"""),10841.94)</f>
        <v>10841.94</v>
      </c>
    </row>
    <row r="1242">
      <c r="A1242" s="53">
        <v>1.0</v>
      </c>
      <c r="B1242" s="53"/>
      <c r="C1242" s="73" t="s">
        <v>53</v>
      </c>
      <c r="D1242" s="53" t="s">
        <v>3029</v>
      </c>
      <c r="E1242" s="54" t="s">
        <v>77</v>
      </c>
      <c r="F1242" s="54" t="s">
        <v>42</v>
      </c>
      <c r="G1242" s="88" t="s">
        <v>3030</v>
      </c>
      <c r="H1242" s="54" t="s">
        <v>3031</v>
      </c>
      <c r="I1242" s="54">
        <f t="shared" si="24"/>
        <v>39</v>
      </c>
      <c r="J1242" s="56"/>
      <c r="K1242" s="57"/>
      <c r="L1242" s="87"/>
      <c r="M1242" s="59"/>
      <c r="N1242" s="60"/>
      <c r="O1242" s="61">
        <v>416.0</v>
      </c>
      <c r="P1242" s="62">
        <v>449.28000000000003</v>
      </c>
      <c r="Q1242" s="63">
        <v>449.28000000000003</v>
      </c>
      <c r="R1242" s="64">
        <v>536.0</v>
      </c>
      <c r="S1242" s="111">
        <v>563.0</v>
      </c>
      <c r="T1242" s="65">
        <f t="shared" si="39"/>
        <v>90.08</v>
      </c>
      <c r="U1242" s="65">
        <f t="shared" si="40"/>
        <v>653.08</v>
      </c>
      <c r="V1242" s="66">
        <f t="shared" si="42"/>
        <v>0.05037313433</v>
      </c>
      <c r="W1242" s="67">
        <f t="shared" si="5"/>
        <v>534.85</v>
      </c>
      <c r="X1242" s="67">
        <f t="shared" si="43"/>
        <v>85.576</v>
      </c>
      <c r="Y1242" s="67">
        <f t="shared" si="44"/>
        <v>620.426</v>
      </c>
      <c r="Z1242" s="67">
        <f t="shared" si="8"/>
        <v>506.7</v>
      </c>
      <c r="AA1242" s="67">
        <f t="shared" si="45"/>
        <v>81.072</v>
      </c>
      <c r="AB1242" s="67">
        <f t="shared" si="46"/>
        <v>587.772</v>
      </c>
      <c r="AC1242" s="67">
        <f t="shared" si="11"/>
        <v>478.55</v>
      </c>
      <c r="AD1242" s="67">
        <f t="shared" si="12"/>
        <v>76.568</v>
      </c>
      <c r="AE1242" s="67">
        <f t="shared" si="13"/>
        <v>555.118</v>
      </c>
      <c r="AF1242" s="67">
        <f t="shared" si="33"/>
        <v>467.29</v>
      </c>
      <c r="AG1242" s="67">
        <f t="shared" si="15"/>
        <v>74.7664</v>
      </c>
      <c r="AH1242" s="67">
        <f t="shared" si="16"/>
        <v>542.0564</v>
      </c>
      <c r="AI1242" s="67">
        <f t="shared" si="17"/>
        <v>450.4</v>
      </c>
      <c r="AJ1242" s="68">
        <f t="shared" si="47"/>
        <v>72.064</v>
      </c>
      <c r="AK1242" s="68">
        <f t="shared" si="48"/>
        <v>522.464</v>
      </c>
      <c r="AL1242" s="70">
        <f>IFERROR(__xludf.DUMMYFUNCTION("""COMPUTED_VALUE"""),1.0)</f>
        <v>1</v>
      </c>
      <c r="AM1242" s="70"/>
      <c r="AN1242" s="71" t="str">
        <f>IFERROR(__xludf.DUMMYFUNCTION("""COMPUTED_VALUE""")," C")</f>
        <v>C</v>
      </c>
      <c r="AO1242" s="71" t="str">
        <f>IFERROR(__xludf.DUMMYFUNCTION("""COMPUTED_VALUE""")," VL05")</f>
        <v>VL05</v>
      </c>
      <c r="AP1242" s="71" t="str">
        <f>IFERROR(__xludf.DUMMYFUNCTION("""COMPUTED_VALUE""")," PZA")</f>
        <v>PZA</v>
      </c>
      <c r="AQ1242" s="71" t="str">
        <f>IFERROR(__xludf.DUMMYFUNCTION("""COMPUTED_VALUE""")," REF")</f>
        <v>REF</v>
      </c>
      <c r="AR1242" s="71" t="str">
        <f>IFERROR(__xludf.DUMMYFUNCTION("""COMPUTED_VALUE""")," VARILLA TRAVESAÑO DÚPLEX")</f>
        <v>VARILLA TRAVESAÑO DÚPLEX</v>
      </c>
      <c r="AS1242" s="71" t="str">
        <f>IFERROR(__xludf.DUMMYFUNCTION("""COMPUTED_VALUE""")," VARILLA TRAVESANO DPLX")</f>
        <v>VARILLA TRAVESANO DPLX</v>
      </c>
      <c r="AT1242" s="71">
        <f>IFERROR(__xludf.DUMMYFUNCTION("""COMPUTED_VALUE"""),22.0)</f>
        <v>22</v>
      </c>
      <c r="AU1242" s="71"/>
      <c r="AV1242" s="71"/>
      <c r="AW1242" s="71"/>
      <c r="AX1242" s="71"/>
      <c r="AY1242" s="71">
        <f>IFERROR(__xludf.DUMMYFUNCTION("""COMPUTED_VALUE"""),35.0)</f>
        <v>35</v>
      </c>
      <c r="AZ1242" s="71">
        <f>IFERROR(__xludf.DUMMYFUNCTION("""COMPUTED_VALUE"""),37.0)</f>
        <v>37</v>
      </c>
      <c r="BA1242" s="71">
        <f>IFERROR(__xludf.DUMMYFUNCTION("""COMPUTED_VALUE"""),39.96)</f>
        <v>39.96</v>
      </c>
      <c r="BB1242" s="71">
        <f>IFERROR(__xludf.DUMMYFUNCTION("""COMPUTED_VALUE"""),39.96)</f>
        <v>39.96</v>
      </c>
      <c r="BC1242" s="71">
        <f>IFERROR(__xludf.DUMMYFUNCTION("""COMPUTED_VALUE"""),46.0)</f>
        <v>46</v>
      </c>
      <c r="BD1242" s="71">
        <f>IFERROR(__xludf.DUMMYFUNCTION("""COMPUTED_VALUE"""),48.0)</f>
        <v>48</v>
      </c>
      <c r="BE1242" s="71">
        <f>IFERROR(__xludf.DUMMYFUNCTION("""COMPUTED_VALUE"""),7.68)</f>
        <v>7.68</v>
      </c>
      <c r="BF1242" s="71">
        <f>IFERROR(__xludf.DUMMYFUNCTION("""COMPUTED_VALUE"""),55.68)</f>
        <v>55.68</v>
      </c>
      <c r="BG1242" s="71">
        <f>IFERROR(__xludf.DUMMYFUNCTION("""COMPUTED_VALUE"""),0.043478260869565216)</f>
        <v>0.04347826087</v>
      </c>
      <c r="BH1242" s="71">
        <f>IFERROR(__xludf.DUMMYFUNCTION("""COMPUTED_VALUE"""),45.599999999999994)</f>
        <v>45.6</v>
      </c>
      <c r="BI1242" s="71">
        <f>IFERROR(__xludf.DUMMYFUNCTION("""COMPUTED_VALUE"""),7.295999999999999)</f>
        <v>7.296</v>
      </c>
      <c r="BJ1242" s="71">
        <f>IFERROR(__xludf.DUMMYFUNCTION("""COMPUTED_VALUE"""),52.895999999999994)</f>
        <v>52.896</v>
      </c>
      <c r="BK1242" s="71">
        <f>IFERROR(__xludf.DUMMYFUNCTION("""COMPUTED_VALUE"""),43.2)</f>
        <v>43.2</v>
      </c>
      <c r="BL1242" s="71">
        <f>IFERROR(__xludf.DUMMYFUNCTION("""COMPUTED_VALUE"""),6.912000000000001)</f>
        <v>6.912</v>
      </c>
      <c r="BM1242" s="71">
        <f>IFERROR(__xludf.DUMMYFUNCTION("""COMPUTED_VALUE"""),50.112)</f>
        <v>50.112</v>
      </c>
      <c r="BN1242" s="71">
        <f>IFERROR(__xludf.DUMMYFUNCTION("""COMPUTED_VALUE"""),40.8)</f>
        <v>40.8</v>
      </c>
      <c r="BO1242" s="71">
        <f>IFERROR(__xludf.DUMMYFUNCTION("""COMPUTED_VALUE"""),6.528)</f>
        <v>6.528</v>
      </c>
      <c r="BP1242" s="71">
        <f>IFERROR(__xludf.DUMMYFUNCTION("""COMPUTED_VALUE"""),47.327999999999996)</f>
        <v>47.328</v>
      </c>
      <c r="BQ1242" s="71">
        <f>IFERROR(__xludf.DUMMYFUNCTION("""COMPUTED_VALUE"""),39.839999999999996)</f>
        <v>39.84</v>
      </c>
      <c r="BR1242" s="71">
        <f>IFERROR(__xludf.DUMMYFUNCTION("""COMPUTED_VALUE"""),6.3744)</f>
        <v>6.3744</v>
      </c>
      <c r="BS1242" s="71">
        <f>IFERROR(__xludf.DUMMYFUNCTION("""COMPUTED_VALUE"""),46.2144)</f>
        <v>46.2144</v>
      </c>
      <c r="BT1242" s="71">
        <f>IFERROR(__xludf.DUMMYFUNCTION("""COMPUTED_VALUE"""),38.400000000000006)</f>
        <v>38.4</v>
      </c>
      <c r="BU1242" s="71">
        <f>IFERROR(__xludf.DUMMYFUNCTION("""COMPUTED_VALUE"""),6.144000000000001)</f>
        <v>6.144</v>
      </c>
      <c r="BV1242" s="71">
        <f>IFERROR(__xludf.DUMMYFUNCTION("""COMPUTED_VALUE"""),44.544000000000004)</f>
        <v>44.544</v>
      </c>
    </row>
    <row r="1243">
      <c r="A1243" s="53">
        <v>1.0</v>
      </c>
      <c r="B1243" s="53"/>
      <c r="C1243" s="73" t="s">
        <v>53</v>
      </c>
      <c r="D1243" s="53" t="s">
        <v>3032</v>
      </c>
      <c r="E1243" s="54" t="s">
        <v>77</v>
      </c>
      <c r="F1243" s="54" t="s">
        <v>42</v>
      </c>
      <c r="G1243" s="55" t="s">
        <v>3033</v>
      </c>
      <c r="H1243" s="54" t="s">
        <v>3034</v>
      </c>
      <c r="I1243" s="54">
        <f t="shared" si="24"/>
        <v>40</v>
      </c>
      <c r="J1243" s="56"/>
      <c r="K1243" s="57"/>
      <c r="L1243" s="87"/>
      <c r="M1243" s="59"/>
      <c r="N1243" s="79"/>
      <c r="O1243" s="61">
        <v>815.0</v>
      </c>
      <c r="P1243" s="62">
        <v>1347.84</v>
      </c>
      <c r="Q1243" s="63">
        <v>1347.84</v>
      </c>
      <c r="R1243" s="64">
        <v>1416.0</v>
      </c>
      <c r="S1243" s="111">
        <v>1487.0</v>
      </c>
      <c r="T1243" s="65">
        <f t="shared" si="39"/>
        <v>237.92</v>
      </c>
      <c r="U1243" s="65">
        <f t="shared" si="40"/>
        <v>1724.92</v>
      </c>
      <c r="V1243" s="66">
        <f t="shared" si="42"/>
        <v>0.05014124294</v>
      </c>
      <c r="W1243" s="67">
        <f t="shared" si="5"/>
        <v>1412.65</v>
      </c>
      <c r="X1243" s="67">
        <f t="shared" si="43"/>
        <v>226.024</v>
      </c>
      <c r="Y1243" s="67">
        <f t="shared" si="44"/>
        <v>1638.674</v>
      </c>
      <c r="Z1243" s="67">
        <f t="shared" si="8"/>
        <v>1338.3</v>
      </c>
      <c r="AA1243" s="67">
        <f t="shared" si="45"/>
        <v>214.128</v>
      </c>
      <c r="AB1243" s="67">
        <f t="shared" si="46"/>
        <v>1552.428</v>
      </c>
      <c r="AC1243" s="67">
        <f t="shared" si="11"/>
        <v>1263.95</v>
      </c>
      <c r="AD1243" s="67">
        <f t="shared" si="12"/>
        <v>202.232</v>
      </c>
      <c r="AE1243" s="67">
        <f t="shared" si="13"/>
        <v>1466.182</v>
      </c>
      <c r="AF1243" s="67">
        <f t="shared" si="33"/>
        <v>1234.21</v>
      </c>
      <c r="AG1243" s="67">
        <f t="shared" si="15"/>
        <v>197.4736</v>
      </c>
      <c r="AH1243" s="67">
        <f t="shared" si="16"/>
        <v>1431.6836</v>
      </c>
      <c r="AI1243" s="67">
        <f t="shared" si="17"/>
        <v>1189.6</v>
      </c>
      <c r="AJ1243" s="68">
        <f t="shared" si="47"/>
        <v>190.336</v>
      </c>
      <c r="AK1243" s="68">
        <f t="shared" si="48"/>
        <v>1379.936</v>
      </c>
      <c r="AL1243" s="70">
        <f>IFERROR(__xludf.DUMMYFUNCTION("""COMPUTED_VALUE"""),1.0)</f>
        <v>1</v>
      </c>
      <c r="AM1243" s="70"/>
      <c r="AN1243" s="71" t="str">
        <f>IFERROR(__xludf.DUMMYFUNCTION("""COMPUTED_VALUE""")," P")</f>
        <v>P</v>
      </c>
      <c r="AO1243" s="71" t="str">
        <f>IFERROR(__xludf.DUMMYFUNCTION("""COMPUTED_VALUE""")," VL06")</f>
        <v>VL06</v>
      </c>
      <c r="AP1243" s="71" t="str">
        <f>IFERROR(__xludf.DUMMYFUNCTION("""COMPUTED_VALUE""")," PZA")</f>
        <v>PZA</v>
      </c>
      <c r="AQ1243" s="71" t="str">
        <f>IFERROR(__xludf.DUMMYFUNCTION("""COMPUTED_VALUE""")," REF")</f>
        <v>REF</v>
      </c>
      <c r="AR1243" s="71" t="str">
        <f>IFERROR(__xludf.DUMMYFUNCTION("""COMPUTED_VALUE""")," VARILLA TRAVESAÑO DÚPLEX EN ACERO INOX. T-304 GRADO ALIMENTICIO")</f>
        <v>VARILLA TRAVESAÑO DÚPLEX EN ACERO INOX. T-304 GRADO ALIMENTICIO</v>
      </c>
      <c r="AS1243" s="71" t="str">
        <f>IFERROR(__xludf.DUMMYFUNCTION("""COMPUTED_VALUE""")," VARILLA TRAVESANO DPLX INOX GA")</f>
        <v>VARILLA TRAVESANO DPLX INOX GA</v>
      </c>
      <c r="AT1243" s="71">
        <f>IFERROR(__xludf.DUMMYFUNCTION("""COMPUTED_VALUE"""),30.0)</f>
        <v>30</v>
      </c>
      <c r="AU1243" s="71"/>
      <c r="AV1243" s="71"/>
      <c r="AW1243" s="71"/>
      <c r="AX1243" s="71"/>
      <c r="AY1243" s="71"/>
      <c r="AZ1243" s="71">
        <f>IFERROR(__xludf.DUMMYFUNCTION("""COMPUTED_VALUE"""),140.0)</f>
        <v>140</v>
      </c>
      <c r="BA1243" s="71">
        <f>IFERROR(__xludf.DUMMYFUNCTION("""COMPUTED_VALUE"""),151.20000000000002)</f>
        <v>151.2</v>
      </c>
      <c r="BB1243" s="71">
        <f>IFERROR(__xludf.DUMMYFUNCTION("""COMPUTED_VALUE"""),151.20000000000002)</f>
        <v>151.2</v>
      </c>
      <c r="BC1243" s="71">
        <f>IFERROR(__xludf.DUMMYFUNCTION("""COMPUTED_VALUE"""),170.0)</f>
        <v>170</v>
      </c>
      <c r="BD1243" s="71">
        <f>IFERROR(__xludf.DUMMYFUNCTION("""COMPUTED_VALUE"""),179.0)</f>
        <v>179</v>
      </c>
      <c r="BE1243" s="71">
        <f>IFERROR(__xludf.DUMMYFUNCTION("""COMPUTED_VALUE"""),28.64)</f>
        <v>28.64</v>
      </c>
      <c r="BF1243" s="71">
        <f>IFERROR(__xludf.DUMMYFUNCTION("""COMPUTED_VALUE"""),207.64)</f>
        <v>207.64</v>
      </c>
      <c r="BG1243" s="71">
        <f>IFERROR(__xludf.DUMMYFUNCTION("""COMPUTED_VALUE"""),0.052941176470588235)</f>
        <v>0.05294117647</v>
      </c>
      <c r="BH1243" s="71">
        <f>IFERROR(__xludf.DUMMYFUNCTION("""COMPUTED_VALUE"""),170.04999999999998)</f>
        <v>170.05</v>
      </c>
      <c r="BI1243" s="71">
        <f>IFERROR(__xludf.DUMMYFUNCTION("""COMPUTED_VALUE"""),27.208)</f>
        <v>27.208</v>
      </c>
      <c r="BJ1243" s="71">
        <f>IFERROR(__xludf.DUMMYFUNCTION("""COMPUTED_VALUE"""),197.25799999999998)</f>
        <v>197.258</v>
      </c>
      <c r="BK1243" s="71">
        <f>IFERROR(__xludf.DUMMYFUNCTION("""COMPUTED_VALUE"""),161.1)</f>
        <v>161.1</v>
      </c>
      <c r="BL1243" s="71">
        <f>IFERROR(__xludf.DUMMYFUNCTION("""COMPUTED_VALUE"""),25.776)</f>
        <v>25.776</v>
      </c>
      <c r="BM1243" s="71">
        <f>IFERROR(__xludf.DUMMYFUNCTION("""COMPUTED_VALUE"""),186.876)</f>
        <v>186.876</v>
      </c>
      <c r="BN1243" s="71">
        <f>IFERROR(__xludf.DUMMYFUNCTION("""COMPUTED_VALUE"""),152.15)</f>
        <v>152.15</v>
      </c>
      <c r="BO1243" s="71">
        <f>IFERROR(__xludf.DUMMYFUNCTION("""COMPUTED_VALUE"""),24.344)</f>
        <v>24.344</v>
      </c>
      <c r="BP1243" s="71">
        <f>IFERROR(__xludf.DUMMYFUNCTION("""COMPUTED_VALUE"""),176.494)</f>
        <v>176.494</v>
      </c>
      <c r="BQ1243" s="71">
        <f>IFERROR(__xludf.DUMMYFUNCTION("""COMPUTED_VALUE"""),148.57)</f>
        <v>148.57</v>
      </c>
      <c r="BR1243" s="71">
        <f>IFERROR(__xludf.DUMMYFUNCTION("""COMPUTED_VALUE"""),23.7712)</f>
        <v>23.7712</v>
      </c>
      <c r="BS1243" s="71">
        <f>IFERROR(__xludf.DUMMYFUNCTION("""COMPUTED_VALUE"""),172.3412)</f>
        <v>172.3412</v>
      </c>
      <c r="BT1243" s="71">
        <f>IFERROR(__xludf.DUMMYFUNCTION("""COMPUTED_VALUE"""),143.20000000000002)</f>
        <v>143.2</v>
      </c>
      <c r="BU1243" s="71">
        <f>IFERROR(__xludf.DUMMYFUNCTION("""COMPUTED_VALUE"""),22.912000000000003)</f>
        <v>22.912</v>
      </c>
      <c r="BV1243" s="71">
        <f>IFERROR(__xludf.DUMMYFUNCTION("""COMPUTED_VALUE"""),166.11200000000002)</f>
        <v>166.112</v>
      </c>
    </row>
    <row r="1244">
      <c r="A1244" s="53"/>
      <c r="B1244" s="53"/>
      <c r="C1244" s="73" t="s">
        <v>53</v>
      </c>
      <c r="D1244" s="53" t="s">
        <v>3035</v>
      </c>
      <c r="E1244" s="54" t="s">
        <v>38</v>
      </c>
      <c r="F1244" s="55" t="s">
        <v>309</v>
      </c>
      <c r="G1244" s="54" t="s">
        <v>3036</v>
      </c>
      <c r="H1244" s="55"/>
      <c r="I1244" s="54">
        <f t="shared" si="24"/>
        <v>0</v>
      </c>
      <c r="J1244" s="56"/>
      <c r="K1244" s="57"/>
      <c r="L1244" s="76" t="s">
        <v>661</v>
      </c>
      <c r="M1244" s="59"/>
      <c r="N1244" s="60"/>
      <c r="O1244" s="90">
        <v>345.0</v>
      </c>
      <c r="P1244" s="62">
        <v>372.6</v>
      </c>
      <c r="Q1244" s="63">
        <v>372.6</v>
      </c>
      <c r="R1244" s="64">
        <v>392.0</v>
      </c>
      <c r="S1244" s="111">
        <v>412.0</v>
      </c>
      <c r="T1244" s="65">
        <f t="shared" si="39"/>
        <v>65.92</v>
      </c>
      <c r="U1244" s="65">
        <f t="shared" si="40"/>
        <v>477.92</v>
      </c>
      <c r="V1244" s="66">
        <f t="shared" si="42"/>
        <v>0.05102040816</v>
      </c>
      <c r="W1244" s="67">
        <f t="shared" si="5"/>
        <v>391.4</v>
      </c>
      <c r="X1244" s="67">
        <f t="shared" si="43"/>
        <v>62.624</v>
      </c>
      <c r="Y1244" s="67">
        <f t="shared" si="44"/>
        <v>454.024</v>
      </c>
      <c r="Z1244" s="67">
        <f t="shared" si="8"/>
        <v>370.8</v>
      </c>
      <c r="AA1244" s="67">
        <f t="shared" si="45"/>
        <v>59.328</v>
      </c>
      <c r="AB1244" s="67">
        <f t="shared" si="46"/>
        <v>430.128</v>
      </c>
      <c r="AC1244" s="67">
        <f t="shared" si="11"/>
        <v>350.2</v>
      </c>
      <c r="AD1244" s="67">
        <f t="shared" si="12"/>
        <v>56.032</v>
      </c>
      <c r="AE1244" s="67">
        <f t="shared" si="13"/>
        <v>406.232</v>
      </c>
      <c r="AF1244" s="67">
        <f t="shared" si="33"/>
        <v>341.96</v>
      </c>
      <c r="AG1244" s="67">
        <f t="shared" si="15"/>
        <v>54.7136</v>
      </c>
      <c r="AH1244" s="67">
        <f t="shared" si="16"/>
        <v>396.6736</v>
      </c>
      <c r="AI1244" s="67">
        <f t="shared" si="17"/>
        <v>329.6</v>
      </c>
      <c r="AJ1244" s="68">
        <f t="shared" si="47"/>
        <v>52.736</v>
      </c>
      <c r="AK1244" s="68">
        <f t="shared" si="48"/>
        <v>382.336</v>
      </c>
      <c r="AL1244" s="70">
        <f>IFERROR(__xludf.DUMMYFUNCTION("""COMPUTED_VALUE"""),1.0)</f>
        <v>1</v>
      </c>
      <c r="AM1244" s="70"/>
      <c r="AN1244" s="71" t="str">
        <f>IFERROR(__xludf.DUMMYFUNCTION("""COMPUTED_VALUE""")," P")</f>
        <v>P</v>
      </c>
      <c r="AO1244" s="71" t="str">
        <f>IFERROR(__xludf.DUMMYFUNCTION("""COMPUTED_VALUE""")," VL07")</f>
        <v>VL07</v>
      </c>
      <c r="AP1244" s="71" t="str">
        <f>IFERROR(__xludf.DUMMYFUNCTION("""COMPUTED_VALUE""")," PZA")</f>
        <v>PZA</v>
      </c>
      <c r="AQ1244" s="71" t="str">
        <f>IFERROR(__xludf.DUMMYFUNCTION("""COMPUTED_VALUE""")," REF")</f>
        <v>REF</v>
      </c>
      <c r="AR1244" s="71" t="str">
        <f>IFERROR(__xludf.DUMMYFUNCTION("""COMPUTED_VALUE""")," VARILLA TRAVESAÑO ESPECIAL CHICA")</f>
        <v>VARILLA TRAVESAÑO ESPECIAL CHICA</v>
      </c>
      <c r="AS1244" s="71" t="str">
        <f>IFERROR(__xludf.DUMMYFUNCTION("""COMPUTED_VALUE""")," VARILLA TRAVESANO ESPECIAL CHICA")</f>
        <v>VARILLA TRAVESANO ESPECIAL CHICA</v>
      </c>
      <c r="AT1244" s="71">
        <f>IFERROR(__xludf.DUMMYFUNCTION("""COMPUTED_VALUE"""),32.0)</f>
        <v>32</v>
      </c>
      <c r="AU1244" s="71"/>
      <c r="AV1244" s="71"/>
      <c r="AW1244" s="71"/>
      <c r="AX1244" s="71"/>
      <c r="AY1244" s="71"/>
      <c r="AZ1244" s="71">
        <f>IFERROR(__xludf.DUMMYFUNCTION("""COMPUTED_VALUE"""),35.0)</f>
        <v>35</v>
      </c>
      <c r="BA1244" s="71">
        <f>IFERROR(__xludf.DUMMYFUNCTION("""COMPUTED_VALUE"""),37.800000000000004)</f>
        <v>37.8</v>
      </c>
      <c r="BB1244" s="71">
        <f>IFERROR(__xludf.DUMMYFUNCTION("""COMPUTED_VALUE"""),37.800000000000004)</f>
        <v>37.8</v>
      </c>
      <c r="BC1244" s="71">
        <f>IFERROR(__xludf.DUMMYFUNCTION("""COMPUTED_VALUE"""),44.0)</f>
        <v>44</v>
      </c>
      <c r="BD1244" s="71">
        <f>IFERROR(__xludf.DUMMYFUNCTION("""COMPUTED_VALUE"""),46.0)</f>
        <v>46</v>
      </c>
      <c r="BE1244" s="71">
        <f>IFERROR(__xludf.DUMMYFUNCTION("""COMPUTED_VALUE"""),7.36)</f>
        <v>7.36</v>
      </c>
      <c r="BF1244" s="71">
        <f>IFERROR(__xludf.DUMMYFUNCTION("""COMPUTED_VALUE"""),53.36)</f>
        <v>53.36</v>
      </c>
      <c r="BG1244" s="71">
        <f>IFERROR(__xludf.DUMMYFUNCTION("""COMPUTED_VALUE"""),0.045454545454545456)</f>
        <v>0.04545454545</v>
      </c>
      <c r="BH1244" s="71">
        <f>IFERROR(__xludf.DUMMYFUNCTION("""COMPUTED_VALUE"""),43.699999999999996)</f>
        <v>43.7</v>
      </c>
      <c r="BI1244" s="71">
        <f>IFERROR(__xludf.DUMMYFUNCTION("""COMPUTED_VALUE"""),6.991999999999999)</f>
        <v>6.992</v>
      </c>
      <c r="BJ1244" s="71">
        <f>IFERROR(__xludf.DUMMYFUNCTION("""COMPUTED_VALUE"""),50.69199999999999)</f>
        <v>50.692</v>
      </c>
      <c r="BK1244" s="71">
        <f>IFERROR(__xludf.DUMMYFUNCTION("""COMPUTED_VALUE"""),41.4)</f>
        <v>41.4</v>
      </c>
      <c r="BL1244" s="71">
        <f>IFERROR(__xludf.DUMMYFUNCTION("""COMPUTED_VALUE"""),6.624)</f>
        <v>6.624</v>
      </c>
      <c r="BM1244" s="71">
        <f>IFERROR(__xludf.DUMMYFUNCTION("""COMPUTED_VALUE"""),48.024)</f>
        <v>48.024</v>
      </c>
      <c r="BN1244" s="71">
        <f>IFERROR(__xludf.DUMMYFUNCTION("""COMPUTED_VALUE"""),39.1)</f>
        <v>39.1</v>
      </c>
      <c r="BO1244" s="71">
        <f>IFERROR(__xludf.DUMMYFUNCTION("""COMPUTED_VALUE"""),6.256)</f>
        <v>6.256</v>
      </c>
      <c r="BP1244" s="71">
        <f>IFERROR(__xludf.DUMMYFUNCTION("""COMPUTED_VALUE"""),45.356)</f>
        <v>45.356</v>
      </c>
      <c r="BQ1244" s="71">
        <f>IFERROR(__xludf.DUMMYFUNCTION("""COMPUTED_VALUE"""),38.18)</f>
        <v>38.18</v>
      </c>
      <c r="BR1244" s="71">
        <f>IFERROR(__xludf.DUMMYFUNCTION("""COMPUTED_VALUE"""),6.1088000000000005)</f>
        <v>6.1088</v>
      </c>
      <c r="BS1244" s="71">
        <f>IFERROR(__xludf.DUMMYFUNCTION("""COMPUTED_VALUE"""),44.2888)</f>
        <v>44.2888</v>
      </c>
      <c r="BT1244" s="71">
        <f>IFERROR(__xludf.DUMMYFUNCTION("""COMPUTED_VALUE"""),36.800000000000004)</f>
        <v>36.8</v>
      </c>
      <c r="BU1244" s="71">
        <f>IFERROR(__xludf.DUMMYFUNCTION("""COMPUTED_VALUE"""),5.888000000000001)</f>
        <v>5.888</v>
      </c>
      <c r="BV1244" s="71">
        <f>IFERROR(__xludf.DUMMYFUNCTION("""COMPUTED_VALUE"""),42.688)</f>
        <v>42.688</v>
      </c>
    </row>
    <row r="1245">
      <c r="A1245" s="53">
        <v>1.0</v>
      </c>
      <c r="B1245" s="72"/>
      <c r="C1245" s="73" t="s">
        <v>12</v>
      </c>
      <c r="D1245" s="53" t="s">
        <v>3037</v>
      </c>
      <c r="E1245" s="54" t="s">
        <v>77</v>
      </c>
      <c r="F1245" s="54" t="s">
        <v>42</v>
      </c>
      <c r="G1245" s="88" t="s">
        <v>3038</v>
      </c>
      <c r="H1245" s="54" t="s">
        <v>3039</v>
      </c>
      <c r="I1245" s="54">
        <f t="shared" si="24"/>
        <v>39</v>
      </c>
      <c r="J1245" s="56"/>
      <c r="K1245" s="57"/>
      <c r="L1245" s="87"/>
      <c r="M1245" s="59"/>
      <c r="N1245" s="60">
        <v>142.0</v>
      </c>
      <c r="O1245" s="61">
        <v>153.0</v>
      </c>
      <c r="P1245" s="62">
        <v>165.24</v>
      </c>
      <c r="Q1245" s="63">
        <v>165.24</v>
      </c>
      <c r="R1245" s="64">
        <v>183.0</v>
      </c>
      <c r="S1245" s="111">
        <v>192.0</v>
      </c>
      <c r="T1245" s="65">
        <f t="shared" si="39"/>
        <v>30.72</v>
      </c>
      <c r="U1245" s="65">
        <f t="shared" si="40"/>
        <v>222.72</v>
      </c>
      <c r="V1245" s="66">
        <f t="shared" si="42"/>
        <v>0.04918032787</v>
      </c>
      <c r="W1245" s="67">
        <f t="shared" si="5"/>
        <v>182.4</v>
      </c>
      <c r="X1245" s="67">
        <f t="shared" si="43"/>
        <v>29.184</v>
      </c>
      <c r="Y1245" s="67">
        <f t="shared" si="44"/>
        <v>211.584</v>
      </c>
      <c r="Z1245" s="67">
        <f t="shared" si="8"/>
        <v>172.8</v>
      </c>
      <c r="AA1245" s="67">
        <f t="shared" si="45"/>
        <v>27.648</v>
      </c>
      <c r="AB1245" s="67">
        <f t="shared" si="46"/>
        <v>200.448</v>
      </c>
      <c r="AC1245" s="67">
        <f t="shared" si="11"/>
        <v>163.2</v>
      </c>
      <c r="AD1245" s="67">
        <f t="shared" si="12"/>
        <v>26.112</v>
      </c>
      <c r="AE1245" s="67">
        <f t="shared" si="13"/>
        <v>189.312</v>
      </c>
      <c r="AF1245" s="67">
        <f t="shared" si="33"/>
        <v>159.36</v>
      </c>
      <c r="AG1245" s="67">
        <f t="shared" si="15"/>
        <v>25.4976</v>
      </c>
      <c r="AH1245" s="67">
        <f t="shared" si="16"/>
        <v>184.8576</v>
      </c>
      <c r="AI1245" s="67">
        <f t="shared" si="17"/>
        <v>153.6</v>
      </c>
      <c r="AJ1245" s="68">
        <f t="shared" si="47"/>
        <v>24.576</v>
      </c>
      <c r="AK1245" s="68">
        <f t="shared" si="48"/>
        <v>178.176</v>
      </c>
      <c r="AL1245" s="70">
        <f>IFERROR(__xludf.DUMMYFUNCTION("""COMPUTED_VALUE"""),1.0)</f>
        <v>1</v>
      </c>
      <c r="AM1245" s="70"/>
      <c r="AN1245" s="71" t="str">
        <f>IFERROR(__xludf.DUMMYFUNCTION("""COMPUTED_VALUE""")," P")</f>
        <v>P</v>
      </c>
      <c r="AO1245" s="71" t="str">
        <f>IFERROR(__xludf.DUMMYFUNCTION("""COMPUTED_VALUE""")," VL08")</f>
        <v>VL08</v>
      </c>
      <c r="AP1245" s="71" t="str">
        <f>IFERROR(__xludf.DUMMYFUNCTION("""COMPUTED_VALUE""")," PZA")</f>
        <v>PZA</v>
      </c>
      <c r="AQ1245" s="71" t="str">
        <f>IFERROR(__xludf.DUMMYFUNCTION("""COMPUTED_VALUE""")," REF")</f>
        <v>REF</v>
      </c>
      <c r="AR1245" s="71" t="str">
        <f>IFERROR(__xludf.DUMMYFUNCTION("""COMPUTED_VALUE""")," VARILLA TRAVESAÑO ESPECIAL CHICA EN ACERO INOX. T-304 GRADO ALIMENTICIO")</f>
        <v>VARILLA TRAVESAÑO ESPECIAL CHICA EN ACERO INOX. T-304 GRADO ALIMENTICIO</v>
      </c>
      <c r="AS1245" s="71" t="str">
        <f>IFERROR(__xludf.DUMMYFUNCTION("""COMPUTED_VALUE""")," VARILLA TRAVESANO ESPECIAL CHICA INOX GA")</f>
        <v>VARILLA TRAVESANO ESPECIAL CHICA INOX GA</v>
      </c>
      <c r="AT1245" s="71">
        <f>IFERROR(__xludf.DUMMYFUNCTION("""COMPUTED_VALUE"""),40.0)</f>
        <v>40</v>
      </c>
      <c r="AU1245" s="71"/>
      <c r="AV1245" s="71"/>
      <c r="AW1245" s="71"/>
      <c r="AX1245" s="71"/>
      <c r="AY1245" s="71"/>
      <c r="AZ1245" s="71">
        <f>IFERROR(__xludf.DUMMYFUNCTION("""COMPUTED_VALUE"""),132.0)</f>
        <v>132</v>
      </c>
      <c r="BA1245" s="71">
        <f>IFERROR(__xludf.DUMMYFUNCTION("""COMPUTED_VALUE"""),142.56)</f>
        <v>142.56</v>
      </c>
      <c r="BB1245" s="71">
        <f>IFERROR(__xludf.DUMMYFUNCTION("""COMPUTED_VALUE"""),142.56)</f>
        <v>142.56</v>
      </c>
      <c r="BC1245" s="71">
        <f>IFERROR(__xludf.DUMMYFUNCTION("""COMPUTED_VALUE"""),160.0)</f>
        <v>160</v>
      </c>
      <c r="BD1245" s="71">
        <f>IFERROR(__xludf.DUMMYFUNCTION("""COMPUTED_VALUE"""),168.0)</f>
        <v>168</v>
      </c>
      <c r="BE1245" s="71">
        <f>IFERROR(__xludf.DUMMYFUNCTION("""COMPUTED_VALUE"""),26.88)</f>
        <v>26.88</v>
      </c>
      <c r="BF1245" s="71">
        <f>IFERROR(__xludf.DUMMYFUNCTION("""COMPUTED_VALUE"""),194.88)</f>
        <v>194.88</v>
      </c>
      <c r="BG1245" s="71">
        <f>IFERROR(__xludf.DUMMYFUNCTION("""COMPUTED_VALUE"""),0.05)</f>
        <v>0.05</v>
      </c>
      <c r="BH1245" s="71">
        <f>IFERROR(__xludf.DUMMYFUNCTION("""COMPUTED_VALUE"""),159.6)</f>
        <v>159.6</v>
      </c>
      <c r="BI1245" s="71">
        <f>IFERROR(__xludf.DUMMYFUNCTION("""COMPUTED_VALUE"""),25.536)</f>
        <v>25.536</v>
      </c>
      <c r="BJ1245" s="71">
        <f>IFERROR(__xludf.DUMMYFUNCTION("""COMPUTED_VALUE"""),185.136)</f>
        <v>185.136</v>
      </c>
      <c r="BK1245" s="71">
        <f>IFERROR(__xludf.DUMMYFUNCTION("""COMPUTED_VALUE"""),151.20000000000002)</f>
        <v>151.2</v>
      </c>
      <c r="BL1245" s="71">
        <f>IFERROR(__xludf.DUMMYFUNCTION("""COMPUTED_VALUE"""),24.192000000000004)</f>
        <v>24.192</v>
      </c>
      <c r="BM1245" s="71">
        <f>IFERROR(__xludf.DUMMYFUNCTION("""COMPUTED_VALUE"""),175.39200000000002)</f>
        <v>175.392</v>
      </c>
      <c r="BN1245" s="71">
        <f>IFERROR(__xludf.DUMMYFUNCTION("""COMPUTED_VALUE"""),142.79999999999998)</f>
        <v>142.8</v>
      </c>
      <c r="BO1245" s="71">
        <f>IFERROR(__xludf.DUMMYFUNCTION("""COMPUTED_VALUE"""),22.848)</f>
        <v>22.848</v>
      </c>
      <c r="BP1245" s="71">
        <f>IFERROR(__xludf.DUMMYFUNCTION("""COMPUTED_VALUE"""),165.64799999999997)</f>
        <v>165.648</v>
      </c>
      <c r="BQ1245" s="71">
        <f>IFERROR(__xludf.DUMMYFUNCTION("""COMPUTED_VALUE"""),139.44)</f>
        <v>139.44</v>
      </c>
      <c r="BR1245" s="71">
        <f>IFERROR(__xludf.DUMMYFUNCTION("""COMPUTED_VALUE"""),22.3104)</f>
        <v>22.3104</v>
      </c>
      <c r="BS1245" s="71">
        <f>IFERROR(__xludf.DUMMYFUNCTION("""COMPUTED_VALUE"""),161.7504)</f>
        <v>161.7504</v>
      </c>
      <c r="BT1245" s="71">
        <f>IFERROR(__xludf.DUMMYFUNCTION("""COMPUTED_VALUE"""),134.4)</f>
        <v>134.4</v>
      </c>
      <c r="BU1245" s="71">
        <f>IFERROR(__xludf.DUMMYFUNCTION("""COMPUTED_VALUE"""),21.504)</f>
        <v>21.504</v>
      </c>
      <c r="BV1245" s="71">
        <f>IFERROR(__xludf.DUMMYFUNCTION("""COMPUTED_VALUE"""),155.904)</f>
        <v>155.904</v>
      </c>
    </row>
    <row r="1246">
      <c r="A1246" s="53">
        <v>1.0</v>
      </c>
      <c r="B1246" s="72"/>
      <c r="C1246" s="73" t="s">
        <v>12</v>
      </c>
      <c r="D1246" s="53" t="s">
        <v>3040</v>
      </c>
      <c r="E1246" s="54" t="s">
        <v>77</v>
      </c>
      <c r="F1246" s="54" t="s">
        <v>42</v>
      </c>
      <c r="G1246" s="88" t="s">
        <v>3041</v>
      </c>
      <c r="H1246" s="54" t="s">
        <v>3042</v>
      </c>
      <c r="I1246" s="54">
        <f t="shared" si="24"/>
        <v>39</v>
      </c>
      <c r="J1246" s="56"/>
      <c r="K1246" s="57"/>
      <c r="L1246" s="87"/>
      <c r="M1246" s="59"/>
      <c r="N1246" s="60">
        <v>142.0</v>
      </c>
      <c r="O1246" s="61">
        <v>153.0</v>
      </c>
      <c r="P1246" s="62">
        <v>165.24</v>
      </c>
      <c r="Q1246" s="63">
        <v>165.24</v>
      </c>
      <c r="R1246" s="64">
        <v>183.0</v>
      </c>
      <c r="S1246" s="111">
        <v>192.0</v>
      </c>
      <c r="T1246" s="65">
        <f t="shared" si="39"/>
        <v>30.72</v>
      </c>
      <c r="U1246" s="65">
        <f t="shared" si="40"/>
        <v>222.72</v>
      </c>
      <c r="V1246" s="66">
        <f t="shared" si="42"/>
        <v>0.04918032787</v>
      </c>
      <c r="W1246" s="67">
        <f t="shared" si="5"/>
        <v>182.4</v>
      </c>
      <c r="X1246" s="67">
        <f t="shared" si="43"/>
        <v>29.184</v>
      </c>
      <c r="Y1246" s="67">
        <f t="shared" si="44"/>
        <v>211.584</v>
      </c>
      <c r="Z1246" s="67">
        <f t="shared" si="8"/>
        <v>172.8</v>
      </c>
      <c r="AA1246" s="67">
        <f t="shared" si="45"/>
        <v>27.648</v>
      </c>
      <c r="AB1246" s="67">
        <f t="shared" si="46"/>
        <v>200.448</v>
      </c>
      <c r="AC1246" s="67">
        <f t="shared" si="11"/>
        <v>163.2</v>
      </c>
      <c r="AD1246" s="67">
        <f t="shared" si="12"/>
        <v>26.112</v>
      </c>
      <c r="AE1246" s="67">
        <f t="shared" si="13"/>
        <v>189.312</v>
      </c>
      <c r="AF1246" s="67">
        <f t="shared" si="33"/>
        <v>159.36</v>
      </c>
      <c r="AG1246" s="67">
        <f t="shared" si="15"/>
        <v>25.4976</v>
      </c>
      <c r="AH1246" s="67">
        <f t="shared" si="16"/>
        <v>184.8576</v>
      </c>
      <c r="AI1246" s="67">
        <f t="shared" si="17"/>
        <v>153.6</v>
      </c>
      <c r="AJ1246" s="68">
        <f t="shared" si="47"/>
        <v>24.576</v>
      </c>
      <c r="AK1246" s="68">
        <f t="shared" si="48"/>
        <v>178.176</v>
      </c>
      <c r="AL1246" s="70">
        <f>IFERROR(__xludf.DUMMYFUNCTION("""COMPUTED_VALUE"""),1.0)</f>
        <v>1</v>
      </c>
      <c r="AM1246" s="70"/>
      <c r="AN1246" s="71" t="str">
        <f>IFERROR(__xludf.DUMMYFUNCTION("""COMPUTED_VALUE""")," P")</f>
        <v>P</v>
      </c>
      <c r="AO1246" s="71" t="str">
        <f>IFERROR(__xludf.DUMMYFUNCTION("""COMPUTED_VALUE""")," VL09")</f>
        <v>VL09</v>
      </c>
      <c r="AP1246" s="71" t="str">
        <f>IFERROR(__xludf.DUMMYFUNCTION("""COMPUTED_VALUE""")," PZA")</f>
        <v>PZA</v>
      </c>
      <c r="AQ1246" s="71" t="str">
        <f>IFERROR(__xludf.DUMMYFUNCTION("""COMPUTED_VALUE""")," REF")</f>
        <v>REF</v>
      </c>
      <c r="AR1246" s="71" t="str">
        <f>IFERROR(__xludf.DUMMYFUNCTION("""COMPUTED_VALUE""")," VARILLA TRAVESAÑO SENCILLA")</f>
        <v>VARILLA TRAVESAÑO SENCILLA</v>
      </c>
      <c r="AS1246" s="71" t="str">
        <f>IFERROR(__xludf.DUMMYFUNCTION("""COMPUTED_VALUE""")," VARILLA TRAVESANO SENCILLA")</f>
        <v>VARILLA TRAVESANO SENCILLA</v>
      </c>
      <c r="AT1246" s="71">
        <f>IFERROR(__xludf.DUMMYFUNCTION("""COMPUTED_VALUE"""),26.0)</f>
        <v>26</v>
      </c>
      <c r="AU1246" s="71"/>
      <c r="AV1246" s="71"/>
      <c r="AW1246" s="71"/>
      <c r="AX1246" s="71"/>
      <c r="AY1246" s="71"/>
      <c r="AZ1246" s="71">
        <f>IFERROR(__xludf.DUMMYFUNCTION("""COMPUTED_VALUE"""),33.0)</f>
        <v>33</v>
      </c>
      <c r="BA1246" s="71">
        <f>IFERROR(__xludf.DUMMYFUNCTION("""COMPUTED_VALUE"""),35.64)</f>
        <v>35.64</v>
      </c>
      <c r="BB1246" s="71">
        <f>IFERROR(__xludf.DUMMYFUNCTION("""COMPUTED_VALUE"""),35.64)</f>
        <v>35.64</v>
      </c>
      <c r="BC1246" s="71">
        <f>IFERROR(__xludf.DUMMYFUNCTION("""COMPUTED_VALUE"""),40.0)</f>
        <v>40</v>
      </c>
      <c r="BD1246" s="71">
        <f>IFERROR(__xludf.DUMMYFUNCTION("""COMPUTED_VALUE"""),42.0)</f>
        <v>42</v>
      </c>
      <c r="BE1246" s="71">
        <f>IFERROR(__xludf.DUMMYFUNCTION("""COMPUTED_VALUE"""),6.72)</f>
        <v>6.72</v>
      </c>
      <c r="BF1246" s="71">
        <f>IFERROR(__xludf.DUMMYFUNCTION("""COMPUTED_VALUE"""),48.72)</f>
        <v>48.72</v>
      </c>
      <c r="BG1246" s="71">
        <f>IFERROR(__xludf.DUMMYFUNCTION("""COMPUTED_VALUE"""),0.05)</f>
        <v>0.05</v>
      </c>
      <c r="BH1246" s="71">
        <f>IFERROR(__xludf.DUMMYFUNCTION("""COMPUTED_VALUE"""),39.9)</f>
        <v>39.9</v>
      </c>
      <c r="BI1246" s="71">
        <f>IFERROR(__xludf.DUMMYFUNCTION("""COMPUTED_VALUE"""),6.384)</f>
        <v>6.384</v>
      </c>
      <c r="BJ1246" s="71">
        <f>IFERROR(__xludf.DUMMYFUNCTION("""COMPUTED_VALUE"""),46.284)</f>
        <v>46.284</v>
      </c>
      <c r="BK1246" s="71">
        <f>IFERROR(__xludf.DUMMYFUNCTION("""COMPUTED_VALUE"""),37.800000000000004)</f>
        <v>37.8</v>
      </c>
      <c r="BL1246" s="71">
        <f>IFERROR(__xludf.DUMMYFUNCTION("""COMPUTED_VALUE"""),6.048000000000001)</f>
        <v>6.048</v>
      </c>
      <c r="BM1246" s="71">
        <f>IFERROR(__xludf.DUMMYFUNCTION("""COMPUTED_VALUE"""),43.848000000000006)</f>
        <v>43.848</v>
      </c>
      <c r="BN1246" s="71">
        <f>IFERROR(__xludf.DUMMYFUNCTION("""COMPUTED_VALUE"""),35.699999999999996)</f>
        <v>35.7</v>
      </c>
      <c r="BO1246" s="71">
        <f>IFERROR(__xludf.DUMMYFUNCTION("""COMPUTED_VALUE"""),5.712)</f>
        <v>5.712</v>
      </c>
      <c r="BP1246" s="71">
        <f>IFERROR(__xludf.DUMMYFUNCTION("""COMPUTED_VALUE"""),41.41199999999999)</f>
        <v>41.412</v>
      </c>
      <c r="BQ1246" s="71">
        <f>IFERROR(__xludf.DUMMYFUNCTION("""COMPUTED_VALUE"""),34.86)</f>
        <v>34.86</v>
      </c>
      <c r="BR1246" s="71">
        <f>IFERROR(__xludf.DUMMYFUNCTION("""COMPUTED_VALUE"""),5.5776)</f>
        <v>5.5776</v>
      </c>
      <c r="BS1246" s="71">
        <f>IFERROR(__xludf.DUMMYFUNCTION("""COMPUTED_VALUE"""),40.4376)</f>
        <v>40.4376</v>
      </c>
      <c r="BT1246" s="71">
        <f>IFERROR(__xludf.DUMMYFUNCTION("""COMPUTED_VALUE"""),33.6)</f>
        <v>33.6</v>
      </c>
      <c r="BU1246" s="71">
        <f>IFERROR(__xludf.DUMMYFUNCTION("""COMPUTED_VALUE"""),5.376)</f>
        <v>5.376</v>
      </c>
      <c r="BV1246" s="71">
        <f>IFERROR(__xludf.DUMMYFUNCTION("""COMPUTED_VALUE"""),38.976)</f>
        <v>38.976</v>
      </c>
    </row>
    <row r="1247">
      <c r="A1247" s="53">
        <v>1.0</v>
      </c>
      <c r="B1247" s="72"/>
      <c r="C1247" s="73" t="s">
        <v>53</v>
      </c>
      <c r="D1247" s="53" t="s">
        <v>3043</v>
      </c>
      <c r="E1247" s="54" t="s">
        <v>77</v>
      </c>
      <c r="F1247" s="54" t="s">
        <v>42</v>
      </c>
      <c r="G1247" s="55" t="s">
        <v>3044</v>
      </c>
      <c r="H1247" s="54" t="s">
        <v>3045</v>
      </c>
      <c r="I1247" s="54">
        <f t="shared" si="24"/>
        <v>32</v>
      </c>
      <c r="J1247" s="56"/>
      <c r="K1247" s="57"/>
      <c r="L1247" s="76"/>
      <c r="M1247" s="59"/>
      <c r="N1247" s="60">
        <v>513.0</v>
      </c>
      <c r="O1247" s="61">
        <v>696.0</v>
      </c>
      <c r="P1247" s="62">
        <v>751.6800000000001</v>
      </c>
      <c r="Q1247" s="63">
        <v>751.6800000000001</v>
      </c>
      <c r="R1247" s="64">
        <v>830.0</v>
      </c>
      <c r="S1247" s="111">
        <v>872.0</v>
      </c>
      <c r="T1247" s="65">
        <f t="shared" si="39"/>
        <v>139.52</v>
      </c>
      <c r="U1247" s="65">
        <f t="shared" si="40"/>
        <v>1011.52</v>
      </c>
      <c r="V1247" s="66">
        <f t="shared" si="42"/>
        <v>0.05060240964</v>
      </c>
      <c r="W1247" s="67">
        <f t="shared" si="5"/>
        <v>828.4</v>
      </c>
      <c r="X1247" s="67">
        <f t="shared" si="43"/>
        <v>132.544</v>
      </c>
      <c r="Y1247" s="67">
        <f t="shared" si="44"/>
        <v>960.944</v>
      </c>
      <c r="Z1247" s="67">
        <f t="shared" si="8"/>
        <v>784.8</v>
      </c>
      <c r="AA1247" s="67">
        <f t="shared" si="45"/>
        <v>125.568</v>
      </c>
      <c r="AB1247" s="67">
        <f t="shared" si="46"/>
        <v>910.368</v>
      </c>
      <c r="AC1247" s="67">
        <f t="shared" si="11"/>
        <v>741.2</v>
      </c>
      <c r="AD1247" s="67">
        <f t="shared" si="12"/>
        <v>118.592</v>
      </c>
      <c r="AE1247" s="67">
        <f t="shared" si="13"/>
        <v>859.792</v>
      </c>
      <c r="AF1247" s="67">
        <f t="shared" si="33"/>
        <v>723.76</v>
      </c>
      <c r="AG1247" s="67">
        <f t="shared" si="15"/>
        <v>115.8016</v>
      </c>
      <c r="AH1247" s="67">
        <f t="shared" si="16"/>
        <v>839.5616</v>
      </c>
      <c r="AI1247" s="67">
        <f t="shared" si="17"/>
        <v>697.6</v>
      </c>
      <c r="AJ1247" s="68">
        <f t="shared" si="47"/>
        <v>111.616</v>
      </c>
      <c r="AK1247" s="68">
        <f t="shared" si="48"/>
        <v>809.216</v>
      </c>
      <c r="AL1247" s="70">
        <f>IFERROR(__xludf.DUMMYFUNCTION("""COMPUTED_VALUE"""),1.0)</f>
        <v>1</v>
      </c>
      <c r="AM1247" s="70"/>
      <c r="AN1247" s="71" t="str">
        <f>IFERROR(__xludf.DUMMYFUNCTION("""COMPUTED_VALUE""")," P")</f>
        <v>P</v>
      </c>
      <c r="AO1247" s="71" t="str">
        <f>IFERROR(__xludf.DUMMYFUNCTION("""COMPUTED_VALUE""")," VL10")</f>
        <v>VL10</v>
      </c>
      <c r="AP1247" s="71" t="str">
        <f>IFERROR(__xludf.DUMMYFUNCTION("""COMPUTED_VALUE""")," PZA")</f>
        <v>PZA</v>
      </c>
      <c r="AQ1247" s="71" t="str">
        <f>IFERROR(__xludf.DUMMYFUNCTION("""COMPUTED_VALUE""")," REF")</f>
        <v>REF</v>
      </c>
      <c r="AR1247" s="71" t="str">
        <f>IFERROR(__xludf.DUMMYFUNCTION("""COMPUTED_VALUE""")," VARILLA TRAVESAÑO SENCILLA EN ACERO INOX. T-304 GRADO ALIMENTICIO")</f>
        <v>VARILLA TRAVESAÑO SENCILLA EN ACERO INOX. T-304 GRADO ALIMENTICIO</v>
      </c>
      <c r="AS1247" s="71" t="str">
        <f>IFERROR(__xludf.DUMMYFUNCTION("""COMPUTED_VALUE""")," VARILLA TRAVESANO SENCILLA INOX GA")</f>
        <v>VARILLA TRAVESANO SENCILLA INOX GA</v>
      </c>
      <c r="AT1247" s="71">
        <f>IFERROR(__xludf.DUMMYFUNCTION("""COMPUTED_VALUE"""),34.0)</f>
        <v>34</v>
      </c>
      <c r="AU1247" s="71"/>
      <c r="AV1247" s="71"/>
      <c r="AW1247" s="71"/>
      <c r="AX1247" s="71"/>
      <c r="AY1247" s="71"/>
      <c r="AZ1247" s="71">
        <f>IFERROR(__xludf.DUMMYFUNCTION("""COMPUTED_VALUE"""),122.0)</f>
        <v>122</v>
      </c>
      <c r="BA1247" s="71">
        <f>IFERROR(__xludf.DUMMYFUNCTION("""COMPUTED_VALUE"""),131.76000000000002)</f>
        <v>131.76</v>
      </c>
      <c r="BB1247" s="71">
        <f>IFERROR(__xludf.DUMMYFUNCTION("""COMPUTED_VALUE"""),131.76000000000002)</f>
        <v>131.76</v>
      </c>
      <c r="BC1247" s="71">
        <f>IFERROR(__xludf.DUMMYFUNCTION("""COMPUTED_VALUE"""),147.0)</f>
        <v>147</v>
      </c>
      <c r="BD1247" s="71">
        <f>IFERROR(__xludf.DUMMYFUNCTION("""COMPUTED_VALUE"""),154.0)</f>
        <v>154</v>
      </c>
      <c r="BE1247" s="71">
        <f>IFERROR(__xludf.DUMMYFUNCTION("""COMPUTED_VALUE"""),24.64)</f>
        <v>24.64</v>
      </c>
      <c r="BF1247" s="71">
        <f>IFERROR(__xludf.DUMMYFUNCTION("""COMPUTED_VALUE"""),178.64)</f>
        <v>178.64</v>
      </c>
      <c r="BG1247" s="71">
        <f>IFERROR(__xludf.DUMMYFUNCTION("""COMPUTED_VALUE"""),0.047619047619047616)</f>
        <v>0.04761904762</v>
      </c>
      <c r="BH1247" s="71">
        <f>IFERROR(__xludf.DUMMYFUNCTION("""COMPUTED_VALUE"""),146.29999999999998)</f>
        <v>146.3</v>
      </c>
      <c r="BI1247" s="71">
        <f>IFERROR(__xludf.DUMMYFUNCTION("""COMPUTED_VALUE"""),23.407999999999998)</f>
        <v>23.408</v>
      </c>
      <c r="BJ1247" s="71">
        <f>IFERROR(__xludf.DUMMYFUNCTION("""COMPUTED_VALUE"""),169.70799999999997)</f>
        <v>169.708</v>
      </c>
      <c r="BK1247" s="71">
        <f>IFERROR(__xludf.DUMMYFUNCTION("""COMPUTED_VALUE"""),138.6)</f>
        <v>138.6</v>
      </c>
      <c r="BL1247" s="71">
        <f>IFERROR(__xludf.DUMMYFUNCTION("""COMPUTED_VALUE"""),22.176)</f>
        <v>22.176</v>
      </c>
      <c r="BM1247" s="71">
        <f>IFERROR(__xludf.DUMMYFUNCTION("""COMPUTED_VALUE"""),160.77599999999998)</f>
        <v>160.776</v>
      </c>
      <c r="BN1247" s="71">
        <f>IFERROR(__xludf.DUMMYFUNCTION("""COMPUTED_VALUE"""),130.9)</f>
        <v>130.9</v>
      </c>
      <c r="BO1247" s="71">
        <f>IFERROR(__xludf.DUMMYFUNCTION("""COMPUTED_VALUE"""),20.944000000000003)</f>
        <v>20.944</v>
      </c>
      <c r="BP1247" s="71">
        <f>IFERROR(__xludf.DUMMYFUNCTION("""COMPUTED_VALUE"""),151.844)</f>
        <v>151.844</v>
      </c>
      <c r="BQ1247" s="71">
        <f>IFERROR(__xludf.DUMMYFUNCTION("""COMPUTED_VALUE"""),127.82)</f>
        <v>127.82</v>
      </c>
      <c r="BR1247" s="71">
        <f>IFERROR(__xludf.DUMMYFUNCTION("""COMPUTED_VALUE"""),20.4512)</f>
        <v>20.4512</v>
      </c>
      <c r="BS1247" s="71">
        <f>IFERROR(__xludf.DUMMYFUNCTION("""COMPUTED_VALUE"""),148.2712)</f>
        <v>148.2712</v>
      </c>
      <c r="BT1247" s="71">
        <f>IFERROR(__xludf.DUMMYFUNCTION("""COMPUTED_VALUE"""),123.2)</f>
        <v>123.2</v>
      </c>
      <c r="BU1247" s="71">
        <f>IFERROR(__xludf.DUMMYFUNCTION("""COMPUTED_VALUE"""),19.712)</f>
        <v>19.712</v>
      </c>
      <c r="BV1247" s="71">
        <f>IFERROR(__xludf.DUMMYFUNCTION("""COMPUTED_VALUE"""),142.912)</f>
        <v>142.912</v>
      </c>
    </row>
    <row r="1248">
      <c r="A1248" s="53">
        <v>1.0</v>
      </c>
      <c r="B1248" s="53"/>
      <c r="C1248" s="73" t="s">
        <v>53</v>
      </c>
      <c r="D1248" s="74" t="s">
        <v>3046</v>
      </c>
      <c r="E1248" s="54" t="s">
        <v>77</v>
      </c>
      <c r="F1248" s="54" t="s">
        <v>42</v>
      </c>
      <c r="G1248" s="55" t="s">
        <v>3047</v>
      </c>
      <c r="H1248" s="54" t="s">
        <v>3048</v>
      </c>
      <c r="I1248" s="54">
        <f t="shared" si="24"/>
        <v>40</v>
      </c>
      <c r="J1248" s="56"/>
      <c r="K1248" s="57"/>
      <c r="L1248" s="87"/>
      <c r="M1248" s="59"/>
      <c r="N1248" s="60">
        <v>1202.0</v>
      </c>
      <c r="O1248" s="61">
        <v>1298.0</v>
      </c>
      <c r="P1248" s="62">
        <v>2255.04</v>
      </c>
      <c r="Q1248" s="63">
        <v>2255.04</v>
      </c>
      <c r="R1248" s="64">
        <v>2369.0</v>
      </c>
      <c r="S1248" s="111">
        <v>2487.0</v>
      </c>
      <c r="T1248" s="65">
        <f t="shared" si="39"/>
        <v>397.92</v>
      </c>
      <c r="U1248" s="65">
        <f t="shared" si="40"/>
        <v>2884.92</v>
      </c>
      <c r="V1248" s="66">
        <f t="shared" si="42"/>
        <v>0.04981004643</v>
      </c>
      <c r="W1248" s="67">
        <f t="shared" si="5"/>
        <v>2362.65</v>
      </c>
      <c r="X1248" s="67">
        <f t="shared" si="43"/>
        <v>378.024</v>
      </c>
      <c r="Y1248" s="67">
        <f t="shared" si="44"/>
        <v>2740.674</v>
      </c>
      <c r="Z1248" s="67">
        <f t="shared" si="8"/>
        <v>2238.3</v>
      </c>
      <c r="AA1248" s="67">
        <f t="shared" si="45"/>
        <v>358.128</v>
      </c>
      <c r="AB1248" s="67">
        <f t="shared" si="46"/>
        <v>2596.428</v>
      </c>
      <c r="AC1248" s="67">
        <f t="shared" si="11"/>
        <v>2113.95</v>
      </c>
      <c r="AD1248" s="67">
        <f t="shared" si="12"/>
        <v>338.232</v>
      </c>
      <c r="AE1248" s="67">
        <f t="shared" si="13"/>
        <v>2452.182</v>
      </c>
      <c r="AF1248" s="67">
        <f t="shared" si="33"/>
        <v>2064.21</v>
      </c>
      <c r="AG1248" s="67">
        <f t="shared" si="15"/>
        <v>330.2736</v>
      </c>
      <c r="AH1248" s="67">
        <f t="shared" si="16"/>
        <v>2394.4836</v>
      </c>
      <c r="AI1248" s="67">
        <f t="shared" si="17"/>
        <v>1989.6</v>
      </c>
      <c r="AJ1248" s="68">
        <f t="shared" si="47"/>
        <v>318.336</v>
      </c>
      <c r="AK1248" s="68">
        <f t="shared" si="48"/>
        <v>2307.936</v>
      </c>
      <c r="AL1248" s="70">
        <f>IFERROR(__xludf.DUMMYFUNCTION("""COMPUTED_VALUE"""),1.0)</f>
        <v>1</v>
      </c>
      <c r="AM1248" s="70"/>
      <c r="AN1248" s="71" t="str">
        <f>IFERROR(__xludf.DUMMYFUNCTION("""COMPUTED_VALUE""")," C")</f>
        <v>C</v>
      </c>
      <c r="AO1248" s="71" t="str">
        <f>IFERROR(__xludf.DUMMYFUNCTION("""COMPUTED_VALUE""")," VE01")</f>
        <v>VE01</v>
      </c>
      <c r="AP1248" s="71" t="str">
        <f>IFERROR(__xludf.DUMMYFUNCTION("""COMPUTED_VALUE""")," PZA")</f>
        <v>PZA</v>
      </c>
      <c r="AQ1248" s="71" t="str">
        <f>IFERROR(__xludf.DUMMYFUNCTION("""COMPUTED_VALUE""")," REF")</f>
        <v>REF</v>
      </c>
      <c r="AR1248" s="71" t="str">
        <f>IFERROR(__xludf.DUMMYFUNCTION("""COMPUTED_VALUE""")," VENTILADOR EXTRA PARA EL ENFRIADOR DE HARINA")</f>
        <v>VENTILADOR EXTRA PARA EL ENFRIADOR DE HARINA</v>
      </c>
      <c r="AS1248" s="71" t="str">
        <f>IFERROR(__xludf.DUMMYFUNCTION("""COMPUTED_VALUE""")," VENTILADOR P/ENFRIADOR HARINA")</f>
        <v>VENTILADOR P/ENFRIADOR HARINA</v>
      </c>
      <c r="AT1248" s="71">
        <f>IFERROR(__xludf.DUMMYFUNCTION("""COMPUTED_VALUE"""),29.0)</f>
        <v>29</v>
      </c>
      <c r="AU1248" s="71"/>
      <c r="AV1248" s="71"/>
      <c r="AW1248" s="71"/>
      <c r="AX1248" s="71"/>
      <c r="AY1248" s="71">
        <f>IFERROR(__xludf.DUMMYFUNCTION("""COMPUTED_VALUE"""),2760.0)</f>
        <v>2760</v>
      </c>
      <c r="AZ1248" s="71">
        <f>IFERROR(__xludf.DUMMYFUNCTION("""COMPUTED_VALUE"""),2980.0)</f>
        <v>2980</v>
      </c>
      <c r="BA1248" s="71">
        <f>IFERROR(__xludf.DUMMYFUNCTION("""COMPUTED_VALUE"""),3218.4)</f>
        <v>3218.4</v>
      </c>
      <c r="BB1248" s="71">
        <f>IFERROR(__xludf.DUMMYFUNCTION("""COMPUTED_VALUE"""),3218.4)</f>
        <v>3218.4</v>
      </c>
      <c r="BC1248" s="71">
        <f>IFERROR(__xludf.DUMMYFUNCTION("""COMPUTED_VALUE"""),3583.0)</f>
        <v>3583</v>
      </c>
      <c r="BD1248" s="71">
        <f>IFERROR(__xludf.DUMMYFUNCTION("""COMPUTED_VALUE"""),3762.0)</f>
        <v>3762</v>
      </c>
      <c r="BE1248" s="71">
        <f>IFERROR(__xludf.DUMMYFUNCTION("""COMPUTED_VALUE"""),601.92)</f>
        <v>601.92</v>
      </c>
      <c r="BF1248" s="71">
        <f>IFERROR(__xludf.DUMMYFUNCTION("""COMPUTED_VALUE"""),4363.92)</f>
        <v>4363.92</v>
      </c>
      <c r="BG1248" s="71">
        <f>IFERROR(__xludf.DUMMYFUNCTION("""COMPUTED_VALUE"""),0.049958135640524697)</f>
        <v>0.04995813564</v>
      </c>
      <c r="BH1248" s="71">
        <f>IFERROR(__xludf.DUMMYFUNCTION("""COMPUTED_VALUE"""),3573.8999999999996)</f>
        <v>3573.9</v>
      </c>
      <c r="BI1248" s="71">
        <f>IFERROR(__xludf.DUMMYFUNCTION("""COMPUTED_VALUE"""),571.824)</f>
        <v>571.824</v>
      </c>
      <c r="BJ1248" s="71">
        <f>IFERROR(__xludf.DUMMYFUNCTION("""COMPUTED_VALUE"""),4145.723999999999)</f>
        <v>4145.724</v>
      </c>
      <c r="BK1248" s="71">
        <f>IFERROR(__xludf.DUMMYFUNCTION("""COMPUTED_VALUE"""),3385.8)</f>
        <v>3385.8</v>
      </c>
      <c r="BL1248" s="71">
        <f>IFERROR(__xludf.DUMMYFUNCTION("""COMPUTED_VALUE"""),541.7280000000001)</f>
        <v>541.728</v>
      </c>
      <c r="BM1248" s="71">
        <f>IFERROR(__xludf.DUMMYFUNCTION("""COMPUTED_VALUE"""),3927.5280000000002)</f>
        <v>3927.528</v>
      </c>
      <c r="BN1248" s="71">
        <f>IFERROR(__xludf.DUMMYFUNCTION("""COMPUTED_VALUE"""),3197.7)</f>
        <v>3197.7</v>
      </c>
      <c r="BO1248" s="71">
        <f>IFERROR(__xludf.DUMMYFUNCTION("""COMPUTED_VALUE"""),511.632)</f>
        <v>511.632</v>
      </c>
      <c r="BP1248" s="71">
        <f>IFERROR(__xludf.DUMMYFUNCTION("""COMPUTED_VALUE"""),3709.332)</f>
        <v>3709.332</v>
      </c>
      <c r="BQ1248" s="71">
        <f>IFERROR(__xludf.DUMMYFUNCTION("""COMPUTED_VALUE"""),3122.46)</f>
        <v>3122.46</v>
      </c>
      <c r="BR1248" s="71">
        <f>IFERROR(__xludf.DUMMYFUNCTION("""COMPUTED_VALUE"""),499.59360000000004)</f>
        <v>499.5936</v>
      </c>
      <c r="BS1248" s="71">
        <f>IFERROR(__xludf.DUMMYFUNCTION("""COMPUTED_VALUE"""),3622.0536)</f>
        <v>3622.0536</v>
      </c>
      <c r="BT1248" s="71">
        <f>IFERROR(__xludf.DUMMYFUNCTION("""COMPUTED_VALUE"""),3009.6000000000004)</f>
        <v>3009.6</v>
      </c>
      <c r="BU1248" s="71">
        <f>IFERROR(__xludf.DUMMYFUNCTION("""COMPUTED_VALUE"""),481.53600000000006)</f>
        <v>481.536</v>
      </c>
      <c r="BV1248" s="71">
        <f>IFERROR(__xludf.DUMMYFUNCTION("""COMPUTED_VALUE"""),3491.1360000000004)</f>
        <v>3491.136</v>
      </c>
    </row>
    <row r="1249">
      <c r="A1249" s="53"/>
      <c r="B1249" s="53"/>
      <c r="C1249" s="73" t="s">
        <v>53</v>
      </c>
      <c r="D1249" s="53" t="s">
        <v>3049</v>
      </c>
      <c r="E1249" s="54" t="s">
        <v>38</v>
      </c>
      <c r="F1249" s="55" t="s">
        <v>309</v>
      </c>
      <c r="G1249" s="54" t="s">
        <v>3050</v>
      </c>
      <c r="H1249" s="55"/>
      <c r="I1249" s="54">
        <f t="shared" si="24"/>
        <v>0</v>
      </c>
      <c r="J1249" s="56"/>
      <c r="K1249" s="57"/>
      <c r="L1249" s="76" t="s">
        <v>661</v>
      </c>
      <c r="M1249" s="59"/>
      <c r="N1249" s="60"/>
      <c r="O1249" s="90">
        <v>554.0</v>
      </c>
      <c r="P1249" s="62">
        <v>598.32</v>
      </c>
      <c r="Q1249" s="63">
        <v>598.32</v>
      </c>
      <c r="R1249" s="64">
        <v>628.0</v>
      </c>
      <c r="S1249" s="111">
        <v>659.0</v>
      </c>
      <c r="T1249" s="65">
        <f t="shared" si="39"/>
        <v>105.44</v>
      </c>
      <c r="U1249" s="65">
        <f t="shared" si="40"/>
        <v>764.44</v>
      </c>
      <c r="V1249" s="66">
        <f t="shared" si="42"/>
        <v>0.04936305732</v>
      </c>
      <c r="W1249" s="67">
        <f t="shared" si="5"/>
        <v>626.05</v>
      </c>
      <c r="X1249" s="67">
        <f t="shared" si="43"/>
        <v>100.168</v>
      </c>
      <c r="Y1249" s="67">
        <f t="shared" si="44"/>
        <v>726.218</v>
      </c>
      <c r="Z1249" s="67">
        <f t="shared" si="8"/>
        <v>593.1</v>
      </c>
      <c r="AA1249" s="67">
        <f t="shared" si="45"/>
        <v>94.896</v>
      </c>
      <c r="AB1249" s="67">
        <f t="shared" si="46"/>
        <v>687.996</v>
      </c>
      <c r="AC1249" s="67">
        <f t="shared" si="11"/>
        <v>560.15</v>
      </c>
      <c r="AD1249" s="67">
        <f t="shared" si="12"/>
        <v>89.624</v>
      </c>
      <c r="AE1249" s="67">
        <f t="shared" si="13"/>
        <v>649.774</v>
      </c>
      <c r="AF1249" s="67">
        <f t="shared" si="33"/>
        <v>546.97</v>
      </c>
      <c r="AG1249" s="67">
        <f t="shared" si="15"/>
        <v>87.5152</v>
      </c>
      <c r="AH1249" s="67">
        <f t="shared" si="16"/>
        <v>634.4852</v>
      </c>
      <c r="AI1249" s="67">
        <f t="shared" si="17"/>
        <v>527.2</v>
      </c>
      <c r="AJ1249" s="68">
        <f t="shared" si="47"/>
        <v>84.352</v>
      </c>
      <c r="AK1249" s="68">
        <f t="shared" si="48"/>
        <v>611.552</v>
      </c>
      <c r="AL1249" s="70"/>
      <c r="AM1249" s="70"/>
      <c r="AN1249" s="71"/>
      <c r="AO1249" s="71"/>
      <c r="AP1249" s="71"/>
      <c r="AQ1249" s="71"/>
      <c r="AR1249" s="71"/>
      <c r="AS1249" s="71"/>
      <c r="AT1249" s="71"/>
      <c r="AU1249" s="71"/>
      <c r="AV1249" s="71"/>
      <c r="AW1249" s="71"/>
      <c r="AX1249" s="71"/>
      <c r="AY1249" s="71"/>
      <c r="AZ1249" s="71"/>
      <c r="BA1249" s="71"/>
      <c r="BB1249" s="71"/>
      <c r="BC1249" s="71"/>
      <c r="BD1249" s="71"/>
      <c r="BE1249" s="71"/>
      <c r="BF1249" s="71"/>
      <c r="BG1249" s="71"/>
      <c r="BH1249" s="71"/>
      <c r="BI1249" s="71"/>
      <c r="BJ1249" s="71"/>
      <c r="BK1249" s="71"/>
      <c r="BL1249" s="71"/>
      <c r="BM1249" s="71"/>
      <c r="BN1249" s="71"/>
      <c r="BO1249" s="71"/>
      <c r="BP1249" s="71"/>
      <c r="BQ1249" s="71"/>
      <c r="BR1249" s="71"/>
      <c r="BS1249" s="71"/>
      <c r="BT1249" s="71"/>
      <c r="BU1249" s="71"/>
      <c r="BV1249" s="71"/>
    </row>
    <row r="1250">
      <c r="A1250" s="53">
        <v>1.0</v>
      </c>
      <c r="B1250" s="72"/>
      <c r="C1250" s="73" t="s">
        <v>53</v>
      </c>
      <c r="D1250" s="74" t="s">
        <v>3051</v>
      </c>
      <c r="E1250" s="54" t="s">
        <v>77</v>
      </c>
      <c r="F1250" s="54" t="s">
        <v>42</v>
      </c>
      <c r="G1250" s="88" t="s">
        <v>3052</v>
      </c>
      <c r="H1250" s="54" t="s">
        <v>3053</v>
      </c>
      <c r="I1250" s="54">
        <f t="shared" si="24"/>
        <v>32</v>
      </c>
      <c r="J1250" s="56"/>
      <c r="K1250" s="57"/>
      <c r="L1250" s="87"/>
      <c r="M1250" s="59"/>
      <c r="N1250" s="60">
        <v>257.0</v>
      </c>
      <c r="O1250" s="61">
        <v>277.0</v>
      </c>
      <c r="P1250" s="62">
        <v>299.16</v>
      </c>
      <c r="Q1250" s="63">
        <v>299.16</v>
      </c>
      <c r="R1250" s="64">
        <v>334.0</v>
      </c>
      <c r="S1250" s="111">
        <v>351.0</v>
      </c>
      <c r="T1250" s="65">
        <f t="shared" si="39"/>
        <v>56.16</v>
      </c>
      <c r="U1250" s="65">
        <f t="shared" si="40"/>
        <v>407.16</v>
      </c>
      <c r="V1250" s="66">
        <f t="shared" si="42"/>
        <v>0.05089820359</v>
      </c>
      <c r="W1250" s="67">
        <f t="shared" si="5"/>
        <v>333.45</v>
      </c>
      <c r="X1250" s="67">
        <f t="shared" si="43"/>
        <v>53.352</v>
      </c>
      <c r="Y1250" s="67">
        <f t="shared" si="44"/>
        <v>386.802</v>
      </c>
      <c r="Z1250" s="67">
        <f t="shared" si="8"/>
        <v>315.9</v>
      </c>
      <c r="AA1250" s="67">
        <f t="shared" si="45"/>
        <v>50.544</v>
      </c>
      <c r="AB1250" s="67">
        <f t="shared" si="46"/>
        <v>366.444</v>
      </c>
      <c r="AC1250" s="67">
        <f t="shared" si="11"/>
        <v>298.35</v>
      </c>
      <c r="AD1250" s="67">
        <f t="shared" si="12"/>
        <v>47.736</v>
      </c>
      <c r="AE1250" s="67">
        <f t="shared" si="13"/>
        <v>346.086</v>
      </c>
      <c r="AF1250" s="67">
        <f t="shared" si="33"/>
        <v>291.33</v>
      </c>
      <c r="AG1250" s="67">
        <f t="shared" si="15"/>
        <v>46.6128</v>
      </c>
      <c r="AH1250" s="67">
        <f t="shared" si="16"/>
        <v>337.9428</v>
      </c>
      <c r="AI1250" s="67">
        <f t="shared" si="17"/>
        <v>280.8</v>
      </c>
      <c r="AJ1250" s="68">
        <f t="shared" si="47"/>
        <v>44.928</v>
      </c>
      <c r="AK1250" s="68">
        <f t="shared" si="48"/>
        <v>325.728</v>
      </c>
      <c r="AL1250" s="70"/>
      <c r="AM1250" s="70"/>
      <c r="AN1250" s="71"/>
      <c r="AO1250" s="71"/>
      <c r="AP1250" s="71"/>
      <c r="AQ1250" s="71"/>
      <c r="AR1250" s="71"/>
      <c r="AS1250" s="71"/>
      <c r="AT1250" s="71"/>
      <c r="AU1250" s="71"/>
      <c r="AV1250" s="71"/>
      <c r="AW1250" s="71"/>
      <c r="AX1250" s="71"/>
      <c r="AY1250" s="71"/>
      <c r="AZ1250" s="71"/>
      <c r="BA1250" s="71"/>
      <c r="BB1250" s="71"/>
      <c r="BC1250" s="71"/>
      <c r="BD1250" s="71"/>
      <c r="BE1250" s="71"/>
      <c r="BF1250" s="71"/>
      <c r="BG1250" s="71"/>
      <c r="BH1250" s="71"/>
      <c r="BI1250" s="71"/>
      <c r="BJ1250" s="71"/>
      <c r="BK1250" s="71"/>
      <c r="BL1250" s="71"/>
      <c r="BM1250" s="71"/>
      <c r="BN1250" s="71"/>
      <c r="BO1250" s="71"/>
      <c r="BP1250" s="71"/>
      <c r="BQ1250" s="71"/>
      <c r="BR1250" s="71"/>
      <c r="BS1250" s="71"/>
      <c r="BT1250" s="71"/>
      <c r="BU1250" s="71"/>
      <c r="BV1250" s="71"/>
    </row>
    <row r="1251">
      <c r="A1251" s="53">
        <v>1.0</v>
      </c>
      <c r="B1251" s="72"/>
      <c r="C1251" s="73" t="s">
        <v>53</v>
      </c>
      <c r="D1251" s="74" t="s">
        <v>3054</v>
      </c>
      <c r="E1251" s="54" t="s">
        <v>77</v>
      </c>
      <c r="F1251" s="54" t="s">
        <v>42</v>
      </c>
      <c r="G1251" s="88" t="s">
        <v>3055</v>
      </c>
      <c r="H1251" s="54" t="s">
        <v>3056</v>
      </c>
      <c r="I1251" s="54">
        <f t="shared" si="24"/>
        <v>19</v>
      </c>
      <c r="J1251" s="56"/>
      <c r="K1251" s="57"/>
      <c r="L1251" s="76"/>
      <c r="M1251" s="59"/>
      <c r="N1251" s="60">
        <v>27660.0</v>
      </c>
      <c r="O1251" s="61">
        <v>29872.0</v>
      </c>
      <c r="P1251" s="62">
        <v>35487.93</v>
      </c>
      <c r="Q1251" s="63">
        <v>35487.93</v>
      </c>
      <c r="R1251" s="64">
        <v>37263.0</v>
      </c>
      <c r="S1251" s="111">
        <v>39126.0</v>
      </c>
      <c r="T1251" s="65">
        <f t="shared" si="39"/>
        <v>6260.16</v>
      </c>
      <c r="U1251" s="65">
        <f t="shared" si="40"/>
        <v>45386.16</v>
      </c>
      <c r="V1251" s="66">
        <f t="shared" si="42"/>
        <v>0.04999597456</v>
      </c>
      <c r="W1251" s="67">
        <f t="shared" si="5"/>
        <v>37169.7</v>
      </c>
      <c r="X1251" s="67">
        <f t="shared" si="43"/>
        <v>5947.152</v>
      </c>
      <c r="Y1251" s="67">
        <f t="shared" si="44"/>
        <v>43116.852</v>
      </c>
      <c r="Z1251" s="67">
        <f t="shared" si="8"/>
        <v>35213.4</v>
      </c>
      <c r="AA1251" s="67">
        <f t="shared" si="45"/>
        <v>5634.144</v>
      </c>
      <c r="AB1251" s="67">
        <f t="shared" si="46"/>
        <v>40847.544</v>
      </c>
      <c r="AC1251" s="67">
        <f t="shared" si="11"/>
        <v>33257.1</v>
      </c>
      <c r="AD1251" s="67">
        <f t="shared" si="12"/>
        <v>5321.136</v>
      </c>
      <c r="AE1251" s="67">
        <f t="shared" si="13"/>
        <v>38578.236</v>
      </c>
      <c r="AF1251" s="67">
        <f t="shared" si="33"/>
        <v>32474.58</v>
      </c>
      <c r="AG1251" s="67">
        <f t="shared" si="15"/>
        <v>5195.9328</v>
      </c>
      <c r="AH1251" s="67">
        <f t="shared" si="16"/>
        <v>37670.5128</v>
      </c>
      <c r="AI1251" s="67">
        <f t="shared" si="17"/>
        <v>31300.8</v>
      </c>
      <c r="AJ1251" s="68">
        <f t="shared" si="47"/>
        <v>5008.128</v>
      </c>
      <c r="AK1251" s="68">
        <f t="shared" si="48"/>
        <v>36308.928</v>
      </c>
      <c r="AL1251" s="70"/>
      <c r="AM1251" s="70"/>
      <c r="AN1251" s="71"/>
      <c r="AO1251" s="71"/>
      <c r="AP1251" s="71"/>
      <c r="AQ1251" s="71"/>
      <c r="AR1251" s="71"/>
      <c r="AS1251" s="71"/>
      <c r="AT1251" s="71"/>
      <c r="AU1251" s="71"/>
      <c r="AV1251" s="71"/>
      <c r="AW1251" s="71"/>
      <c r="AX1251" s="71"/>
      <c r="AY1251" s="71"/>
      <c r="AZ1251" s="71"/>
      <c r="BA1251" s="71"/>
      <c r="BB1251" s="71"/>
      <c r="BC1251" s="71"/>
      <c r="BD1251" s="71"/>
      <c r="BE1251" s="71"/>
      <c r="BF1251" s="71"/>
      <c r="BG1251" s="71"/>
      <c r="BH1251" s="71"/>
      <c r="BI1251" s="71"/>
      <c r="BJ1251" s="71"/>
      <c r="BK1251" s="71"/>
      <c r="BL1251" s="71"/>
      <c r="BM1251" s="71"/>
      <c r="BN1251" s="71"/>
      <c r="BO1251" s="71"/>
      <c r="BP1251" s="71"/>
      <c r="BQ1251" s="71"/>
      <c r="BR1251" s="71"/>
      <c r="BS1251" s="71"/>
      <c r="BT1251" s="71"/>
      <c r="BU1251" s="71"/>
      <c r="BV1251" s="71"/>
    </row>
    <row r="1252">
      <c r="A1252" s="53">
        <v>1.0</v>
      </c>
      <c r="B1252" s="72"/>
      <c r="C1252" s="73" t="s">
        <v>53</v>
      </c>
      <c r="D1252" s="74" t="s">
        <v>3057</v>
      </c>
      <c r="E1252" s="54" t="s">
        <v>77</v>
      </c>
      <c r="F1252" s="54" t="s">
        <v>42</v>
      </c>
      <c r="G1252" s="88" t="s">
        <v>3058</v>
      </c>
      <c r="H1252" s="54" t="s">
        <v>3058</v>
      </c>
      <c r="I1252" s="54">
        <f t="shared" si="24"/>
        <v>32</v>
      </c>
      <c r="J1252" s="56"/>
      <c r="K1252" s="57"/>
      <c r="L1252" s="76"/>
      <c r="M1252" s="59"/>
      <c r="N1252" s="60">
        <v>7965.0</v>
      </c>
      <c r="O1252" s="61">
        <v>8602.0</v>
      </c>
      <c r="P1252" s="62">
        <v>13093.75</v>
      </c>
      <c r="Q1252" s="63">
        <v>13093.75</v>
      </c>
      <c r="R1252" s="64">
        <v>15125.0</v>
      </c>
      <c r="S1252" s="111">
        <v>15881.0</v>
      </c>
      <c r="T1252" s="65">
        <f t="shared" si="39"/>
        <v>2540.96</v>
      </c>
      <c r="U1252" s="65">
        <f t="shared" si="40"/>
        <v>18421.96</v>
      </c>
      <c r="V1252" s="66">
        <f t="shared" si="42"/>
        <v>0.04998347107</v>
      </c>
      <c r="W1252" s="67">
        <f t="shared" si="5"/>
        <v>15086.95</v>
      </c>
      <c r="X1252" s="67">
        <f t="shared" si="43"/>
        <v>2413.912</v>
      </c>
      <c r="Y1252" s="67">
        <f t="shared" si="44"/>
        <v>17500.862</v>
      </c>
      <c r="Z1252" s="67">
        <f t="shared" si="8"/>
        <v>14292.9</v>
      </c>
      <c r="AA1252" s="67">
        <f t="shared" si="45"/>
        <v>2286.864</v>
      </c>
      <c r="AB1252" s="67">
        <f t="shared" si="46"/>
        <v>16579.764</v>
      </c>
      <c r="AC1252" s="67">
        <f t="shared" si="11"/>
        <v>13498.85</v>
      </c>
      <c r="AD1252" s="67">
        <f t="shared" si="12"/>
        <v>2159.816</v>
      </c>
      <c r="AE1252" s="67">
        <f t="shared" si="13"/>
        <v>15658.666</v>
      </c>
      <c r="AF1252" s="67">
        <f t="shared" si="33"/>
        <v>13181.23</v>
      </c>
      <c r="AG1252" s="67">
        <f t="shared" si="15"/>
        <v>2108.9968</v>
      </c>
      <c r="AH1252" s="67">
        <f t="shared" si="16"/>
        <v>15290.2268</v>
      </c>
      <c r="AI1252" s="67">
        <f t="shared" si="17"/>
        <v>12704.8</v>
      </c>
      <c r="AJ1252" s="68">
        <f t="shared" si="47"/>
        <v>2032.768</v>
      </c>
      <c r="AK1252" s="68">
        <f t="shared" si="48"/>
        <v>14737.568</v>
      </c>
      <c r="AL1252" s="70"/>
      <c r="AM1252" s="70"/>
      <c r="AN1252" s="71"/>
      <c r="AO1252" s="71"/>
      <c r="AP1252" s="71"/>
      <c r="AQ1252" s="71"/>
      <c r="AR1252" s="71"/>
      <c r="AS1252" s="71"/>
      <c r="AT1252" s="71"/>
      <c r="AU1252" s="71"/>
      <c r="AV1252" s="71"/>
      <c r="AW1252" s="71"/>
      <c r="AX1252" s="71"/>
      <c r="AY1252" s="71"/>
      <c r="AZ1252" s="71"/>
      <c r="BA1252" s="71"/>
      <c r="BB1252" s="71"/>
      <c r="BC1252" s="71"/>
      <c r="BD1252" s="71"/>
      <c r="BE1252" s="71"/>
      <c r="BF1252" s="71"/>
      <c r="BG1252" s="71"/>
      <c r="BH1252" s="71"/>
      <c r="BI1252" s="71"/>
      <c r="BJ1252" s="71"/>
      <c r="BK1252" s="71"/>
      <c r="BL1252" s="71"/>
      <c r="BM1252" s="71"/>
      <c r="BN1252" s="71"/>
      <c r="BO1252" s="71"/>
      <c r="BP1252" s="71"/>
      <c r="BQ1252" s="71"/>
      <c r="BR1252" s="71"/>
      <c r="BS1252" s="71"/>
      <c r="BT1252" s="71"/>
      <c r="BU1252" s="71"/>
      <c r="BV1252" s="71"/>
    </row>
    <row r="1253">
      <c r="A1253" s="53">
        <v>1.0</v>
      </c>
      <c r="B1253" s="72"/>
      <c r="C1253" s="73" t="s">
        <v>53</v>
      </c>
      <c r="D1253" s="53" t="s">
        <v>3059</v>
      </c>
      <c r="E1253" s="54" t="s">
        <v>77</v>
      </c>
      <c r="F1253" s="54" t="s">
        <v>42</v>
      </c>
      <c r="G1253" s="88" t="s">
        <v>3060</v>
      </c>
      <c r="H1253" s="54" t="s">
        <v>3060</v>
      </c>
      <c r="I1253" s="54">
        <f t="shared" si="24"/>
        <v>33</v>
      </c>
      <c r="J1253" s="56"/>
      <c r="K1253" s="57"/>
      <c r="L1253" s="76"/>
      <c r="M1253" s="59"/>
      <c r="N1253" s="60">
        <v>8554.0</v>
      </c>
      <c r="O1253" s="61">
        <v>9238.0</v>
      </c>
      <c r="P1253" s="62">
        <v>13093.75</v>
      </c>
      <c r="Q1253" s="63">
        <v>13093.75</v>
      </c>
      <c r="R1253" s="64">
        <v>15125.0</v>
      </c>
      <c r="S1253" s="111">
        <v>15881.0</v>
      </c>
      <c r="T1253" s="65">
        <f t="shared" si="39"/>
        <v>2540.96</v>
      </c>
      <c r="U1253" s="65">
        <f t="shared" si="40"/>
        <v>18421.96</v>
      </c>
      <c r="V1253" s="66">
        <f t="shared" si="42"/>
        <v>0.04998347107</v>
      </c>
      <c r="W1253" s="67">
        <f t="shared" si="5"/>
        <v>15086.95</v>
      </c>
      <c r="X1253" s="67">
        <f t="shared" si="43"/>
        <v>2413.912</v>
      </c>
      <c r="Y1253" s="67">
        <f t="shared" si="44"/>
        <v>17500.862</v>
      </c>
      <c r="Z1253" s="67">
        <f t="shared" si="8"/>
        <v>14292.9</v>
      </c>
      <c r="AA1253" s="67">
        <f t="shared" si="45"/>
        <v>2286.864</v>
      </c>
      <c r="AB1253" s="67">
        <f t="shared" si="46"/>
        <v>16579.764</v>
      </c>
      <c r="AC1253" s="67">
        <f t="shared" si="11"/>
        <v>13498.85</v>
      </c>
      <c r="AD1253" s="67">
        <f t="shared" si="12"/>
        <v>2159.816</v>
      </c>
      <c r="AE1253" s="67">
        <f t="shared" si="13"/>
        <v>15658.666</v>
      </c>
      <c r="AF1253" s="67">
        <f t="shared" si="33"/>
        <v>13181.23</v>
      </c>
      <c r="AG1253" s="67">
        <f t="shared" si="15"/>
        <v>2108.9968</v>
      </c>
      <c r="AH1253" s="67">
        <f t="shared" si="16"/>
        <v>15290.2268</v>
      </c>
      <c r="AI1253" s="67">
        <f t="shared" si="17"/>
        <v>12704.8</v>
      </c>
      <c r="AJ1253" s="68">
        <f t="shared" si="47"/>
        <v>2032.768</v>
      </c>
      <c r="AK1253" s="68">
        <f t="shared" si="48"/>
        <v>14737.568</v>
      </c>
      <c r="AL1253" s="70"/>
      <c r="AM1253" s="70"/>
      <c r="AN1253" s="71"/>
      <c r="AO1253" s="71"/>
      <c r="AP1253" s="71"/>
      <c r="AQ1253" s="71"/>
      <c r="AR1253" s="71"/>
      <c r="AS1253" s="71"/>
      <c r="AT1253" s="71"/>
      <c r="AU1253" s="71"/>
      <c r="AV1253" s="71"/>
      <c r="AW1253" s="71"/>
      <c r="AX1253" s="71"/>
      <c r="AY1253" s="71"/>
      <c r="AZ1253" s="71"/>
      <c r="BA1253" s="71"/>
      <c r="BB1253" s="71"/>
      <c r="BC1253" s="71"/>
      <c r="BD1253" s="71"/>
      <c r="BE1253" s="71"/>
      <c r="BF1253" s="71"/>
      <c r="BG1253" s="71"/>
      <c r="BH1253" s="71"/>
      <c r="BI1253" s="71"/>
      <c r="BJ1253" s="71"/>
      <c r="BK1253" s="71"/>
      <c r="BL1253" s="71"/>
      <c r="BM1253" s="71"/>
      <c r="BN1253" s="71"/>
      <c r="BO1253" s="71"/>
      <c r="BP1253" s="71"/>
      <c r="BQ1253" s="71"/>
      <c r="BR1253" s="71"/>
      <c r="BS1253" s="71"/>
      <c r="BT1253" s="71"/>
      <c r="BU1253" s="71"/>
      <c r="BV1253" s="71"/>
    </row>
    <row r="1254">
      <c r="A1254" s="53"/>
      <c r="B1254" s="53"/>
      <c r="C1254" s="53"/>
      <c r="D1254" s="53" t="s">
        <v>3061</v>
      </c>
      <c r="E1254" s="55" t="s">
        <v>38</v>
      </c>
      <c r="F1254" s="91" t="s">
        <v>42</v>
      </c>
      <c r="G1254" s="84" t="s">
        <v>3062</v>
      </c>
      <c r="H1254" s="55"/>
      <c r="I1254" s="54">
        <f t="shared" si="24"/>
        <v>0</v>
      </c>
      <c r="J1254" s="56"/>
      <c r="K1254" s="57"/>
      <c r="L1254" s="55"/>
      <c r="M1254" s="59"/>
      <c r="N1254" s="60"/>
      <c r="O1254" s="90"/>
      <c r="P1254" s="62">
        <v>0.0</v>
      </c>
      <c r="Q1254" s="63">
        <v>0.0</v>
      </c>
      <c r="R1254" s="64">
        <v>0.0</v>
      </c>
      <c r="S1254" s="111">
        <v>0.0</v>
      </c>
      <c r="T1254" s="65">
        <f t="shared" si="39"/>
        <v>0</v>
      </c>
      <c r="U1254" s="65">
        <f t="shared" si="40"/>
        <v>0</v>
      </c>
      <c r="V1254" s="66" t="str">
        <f t="shared" si="42"/>
        <v>#DIV/0!</v>
      </c>
      <c r="W1254" s="67">
        <f t="shared" si="5"/>
        <v>0</v>
      </c>
      <c r="X1254" s="67">
        <f t="shared" si="43"/>
        <v>0</v>
      </c>
      <c r="Y1254" s="67">
        <f t="shared" si="44"/>
        <v>0</v>
      </c>
      <c r="Z1254" s="67">
        <f t="shared" si="8"/>
        <v>0</v>
      </c>
      <c r="AA1254" s="67">
        <f t="shared" si="45"/>
        <v>0</v>
      </c>
      <c r="AB1254" s="67">
        <f t="shared" si="46"/>
        <v>0</v>
      </c>
      <c r="AC1254" s="67">
        <f t="shared" si="11"/>
        <v>0</v>
      </c>
      <c r="AD1254" s="67">
        <f t="shared" si="12"/>
        <v>0</v>
      </c>
      <c r="AE1254" s="67">
        <f t="shared" si="13"/>
        <v>0</v>
      </c>
      <c r="AF1254" s="67">
        <f t="shared" si="33"/>
        <v>0</v>
      </c>
      <c r="AG1254" s="67">
        <f t="shared" si="15"/>
        <v>0</v>
      </c>
      <c r="AH1254" s="67">
        <f t="shared" si="16"/>
        <v>0</v>
      </c>
      <c r="AI1254" s="67">
        <f t="shared" si="17"/>
        <v>0</v>
      </c>
      <c r="AJ1254" s="68">
        <f t="shared" si="47"/>
        <v>0</v>
      </c>
      <c r="AK1254" s="68">
        <f t="shared" si="48"/>
        <v>0</v>
      </c>
      <c r="AL1254" s="70"/>
      <c r="AM1254" s="70"/>
      <c r="AN1254" s="71"/>
      <c r="AO1254" s="71"/>
      <c r="AP1254" s="71"/>
      <c r="AQ1254" s="71"/>
      <c r="AR1254" s="71"/>
      <c r="AS1254" s="71"/>
      <c r="AT1254" s="71"/>
      <c r="AU1254" s="71"/>
      <c r="AV1254" s="71"/>
      <c r="AW1254" s="71"/>
      <c r="AX1254" s="71"/>
      <c r="AY1254" s="71"/>
      <c r="AZ1254" s="71"/>
      <c r="BA1254" s="71"/>
      <c r="BB1254" s="71"/>
      <c r="BC1254" s="71"/>
      <c r="BD1254" s="71"/>
      <c r="BE1254" s="71"/>
      <c r="BF1254" s="71"/>
      <c r="BG1254" s="71"/>
      <c r="BH1254" s="71"/>
      <c r="BI1254" s="71"/>
      <c r="BJ1254" s="71"/>
      <c r="BK1254" s="71"/>
      <c r="BL1254" s="71"/>
      <c r="BM1254" s="71"/>
      <c r="BN1254" s="71"/>
      <c r="BO1254" s="71"/>
      <c r="BP1254" s="71"/>
      <c r="BQ1254" s="71"/>
      <c r="BR1254" s="71"/>
      <c r="BS1254" s="71"/>
      <c r="BT1254" s="71"/>
      <c r="BU1254" s="71"/>
      <c r="BV1254" s="71"/>
    </row>
    <row r="1255">
      <c r="A1255" s="53">
        <v>1.0</v>
      </c>
      <c r="B1255" s="72"/>
      <c r="C1255" s="73" t="s">
        <v>53</v>
      </c>
      <c r="D1255" s="53" t="s">
        <v>3063</v>
      </c>
      <c r="E1255" s="54" t="s">
        <v>77</v>
      </c>
      <c r="F1255" s="54" t="s">
        <v>42</v>
      </c>
      <c r="G1255" s="55" t="s">
        <v>3064</v>
      </c>
      <c r="H1255" s="54" t="s">
        <v>3065</v>
      </c>
      <c r="I1255" s="54">
        <f t="shared" si="24"/>
        <v>33</v>
      </c>
      <c r="J1255" s="56"/>
      <c r="K1255" s="57"/>
      <c r="L1255" s="87"/>
      <c r="M1255" s="59"/>
      <c r="N1255" s="60">
        <v>11120.0</v>
      </c>
      <c r="O1255" s="61">
        <v>10036.0</v>
      </c>
      <c r="P1255" s="62">
        <v>10838.880000000001</v>
      </c>
      <c r="Q1255" s="63">
        <v>10838.880000000001</v>
      </c>
      <c r="R1255" s="64">
        <v>12065.0</v>
      </c>
      <c r="S1255" s="111">
        <v>12668.0</v>
      </c>
      <c r="T1255" s="65">
        <f t="shared" si="39"/>
        <v>2026.88</v>
      </c>
      <c r="U1255" s="65">
        <f t="shared" si="40"/>
        <v>14694.88</v>
      </c>
      <c r="V1255" s="66">
        <f t="shared" si="42"/>
        <v>0.04997927891</v>
      </c>
      <c r="W1255" s="67">
        <f t="shared" si="5"/>
        <v>12034.6</v>
      </c>
      <c r="X1255" s="67">
        <f t="shared" si="43"/>
        <v>1925.536</v>
      </c>
      <c r="Y1255" s="67">
        <f t="shared" si="44"/>
        <v>13960.136</v>
      </c>
      <c r="Z1255" s="67">
        <f t="shared" si="8"/>
        <v>11401.2</v>
      </c>
      <c r="AA1255" s="67">
        <f t="shared" si="45"/>
        <v>1824.192</v>
      </c>
      <c r="AB1255" s="67">
        <f t="shared" si="46"/>
        <v>13225.392</v>
      </c>
      <c r="AC1255" s="67">
        <f t="shared" si="11"/>
        <v>10767.8</v>
      </c>
      <c r="AD1255" s="67">
        <f t="shared" si="12"/>
        <v>1722.848</v>
      </c>
      <c r="AE1255" s="67">
        <f t="shared" si="13"/>
        <v>12490.648</v>
      </c>
      <c r="AF1255" s="67">
        <f t="shared" si="33"/>
        <v>10514.44</v>
      </c>
      <c r="AG1255" s="67">
        <f t="shared" si="15"/>
        <v>1682.3104</v>
      </c>
      <c r="AH1255" s="67">
        <f t="shared" si="16"/>
        <v>12196.7504</v>
      </c>
      <c r="AI1255" s="67">
        <f t="shared" si="17"/>
        <v>10134.4</v>
      </c>
      <c r="AJ1255" s="68">
        <f t="shared" si="47"/>
        <v>1621.504</v>
      </c>
      <c r="AK1255" s="68">
        <f t="shared" si="48"/>
        <v>11755.904</v>
      </c>
      <c r="AL1255" s="70"/>
      <c r="AM1255" s="70"/>
      <c r="AN1255" s="71"/>
      <c r="AO1255" s="71"/>
      <c r="AP1255" s="71"/>
      <c r="AQ1255" s="71"/>
      <c r="AR1255" s="71"/>
      <c r="AS1255" s="71"/>
      <c r="AT1255" s="71"/>
      <c r="AU1255" s="71"/>
      <c r="AV1255" s="71"/>
      <c r="AW1255" s="71"/>
      <c r="AX1255" s="71"/>
      <c r="AY1255" s="71"/>
      <c r="AZ1255" s="71"/>
      <c r="BA1255" s="71"/>
      <c r="BB1255" s="71"/>
      <c r="BC1255" s="71"/>
      <c r="BD1255" s="71"/>
      <c r="BE1255" s="71"/>
      <c r="BF1255" s="71"/>
      <c r="BG1255" s="71"/>
      <c r="BH1255" s="71"/>
      <c r="BI1255" s="71"/>
      <c r="BJ1255" s="71"/>
      <c r="BK1255" s="71"/>
      <c r="BL1255" s="71"/>
      <c r="BM1255" s="71"/>
      <c r="BN1255" s="71"/>
      <c r="BO1255" s="71"/>
      <c r="BP1255" s="71"/>
      <c r="BQ1255" s="71"/>
      <c r="BR1255" s="71"/>
      <c r="BS1255" s="71"/>
      <c r="BT1255" s="71"/>
      <c r="BU1255" s="71"/>
      <c r="BV1255" s="71"/>
    </row>
    <row r="1256">
      <c r="A1256" s="53">
        <v>1.0</v>
      </c>
      <c r="B1256" s="72"/>
      <c r="C1256" s="73" t="s">
        <v>53</v>
      </c>
      <c r="D1256" s="53" t="s">
        <v>3066</v>
      </c>
      <c r="E1256" s="54" t="s">
        <v>77</v>
      </c>
      <c r="F1256" s="54" t="s">
        <v>42</v>
      </c>
      <c r="G1256" s="88" t="s">
        <v>3067</v>
      </c>
      <c r="H1256" s="54" t="s">
        <v>3068</v>
      </c>
      <c r="I1256" s="54">
        <f t="shared" si="24"/>
        <v>30</v>
      </c>
      <c r="J1256" s="56"/>
      <c r="K1256" s="57"/>
      <c r="L1256" s="76"/>
      <c r="M1256" s="59"/>
      <c r="N1256" s="60">
        <v>9551.0</v>
      </c>
      <c r="O1256" s="61">
        <v>9309.0</v>
      </c>
      <c r="P1256" s="62">
        <v>10053.720000000001</v>
      </c>
      <c r="Q1256" s="63">
        <v>10053.720000000001</v>
      </c>
      <c r="R1256" s="64">
        <v>10557.0</v>
      </c>
      <c r="S1256" s="111">
        <v>11085.0</v>
      </c>
      <c r="T1256" s="65">
        <f t="shared" si="39"/>
        <v>1773.6</v>
      </c>
      <c r="U1256" s="65">
        <f t="shared" si="40"/>
        <v>12858.6</v>
      </c>
      <c r="V1256" s="66">
        <f t="shared" si="42"/>
        <v>0.05001420858</v>
      </c>
      <c r="W1256" s="67">
        <f t="shared" si="5"/>
        <v>10530.75</v>
      </c>
      <c r="X1256" s="67">
        <f t="shared" si="43"/>
        <v>1684.92</v>
      </c>
      <c r="Y1256" s="67">
        <f t="shared" si="44"/>
        <v>12215.67</v>
      </c>
      <c r="Z1256" s="67">
        <f t="shared" si="8"/>
        <v>9976.5</v>
      </c>
      <c r="AA1256" s="67">
        <f t="shared" si="45"/>
        <v>1596.24</v>
      </c>
      <c r="AB1256" s="67">
        <f t="shared" si="46"/>
        <v>11572.74</v>
      </c>
      <c r="AC1256" s="67">
        <f t="shared" si="11"/>
        <v>9422.25</v>
      </c>
      <c r="AD1256" s="67">
        <f t="shared" si="12"/>
        <v>1507.56</v>
      </c>
      <c r="AE1256" s="67">
        <f t="shared" si="13"/>
        <v>10929.81</v>
      </c>
      <c r="AF1256" s="67">
        <f t="shared" si="33"/>
        <v>9200.55</v>
      </c>
      <c r="AG1256" s="67">
        <f t="shared" si="15"/>
        <v>1472.088</v>
      </c>
      <c r="AH1256" s="67">
        <f t="shared" si="16"/>
        <v>10672.638</v>
      </c>
      <c r="AI1256" s="67">
        <f t="shared" si="17"/>
        <v>8868</v>
      </c>
      <c r="AJ1256" s="68">
        <f t="shared" si="47"/>
        <v>1418.88</v>
      </c>
      <c r="AK1256" s="68">
        <f t="shared" si="48"/>
        <v>10286.88</v>
      </c>
      <c r="AL1256" s="70"/>
      <c r="AM1256" s="70"/>
      <c r="AN1256" s="71"/>
      <c r="AO1256" s="71"/>
      <c r="AP1256" s="71"/>
      <c r="AQ1256" s="71"/>
      <c r="AR1256" s="71"/>
      <c r="AS1256" s="71"/>
      <c r="AT1256" s="71"/>
      <c r="AU1256" s="71"/>
      <c r="AV1256" s="71"/>
      <c r="AW1256" s="71"/>
      <c r="AX1256" s="71"/>
      <c r="AY1256" s="71"/>
      <c r="AZ1256" s="71"/>
      <c r="BA1256" s="71"/>
      <c r="BB1256" s="71"/>
      <c r="BC1256" s="71"/>
      <c r="BD1256" s="71"/>
      <c r="BE1256" s="71"/>
      <c r="BF1256" s="71"/>
      <c r="BG1256" s="71"/>
      <c r="BH1256" s="71"/>
      <c r="BI1256" s="71"/>
      <c r="BJ1256" s="71"/>
      <c r="BK1256" s="71"/>
      <c r="BL1256" s="71"/>
      <c r="BM1256" s="71"/>
      <c r="BN1256" s="71"/>
      <c r="BO1256" s="71"/>
      <c r="BP1256" s="71"/>
      <c r="BQ1256" s="71"/>
      <c r="BR1256" s="71"/>
      <c r="BS1256" s="71"/>
      <c r="BT1256" s="71"/>
      <c r="BU1256" s="71"/>
      <c r="BV1256" s="71"/>
    </row>
    <row r="1257">
      <c r="A1257" s="53"/>
      <c r="B1257" s="53"/>
      <c r="C1257" s="73" t="s">
        <v>53</v>
      </c>
      <c r="D1257" s="53" t="s">
        <v>3069</v>
      </c>
      <c r="E1257" s="54" t="s">
        <v>38</v>
      </c>
      <c r="F1257" s="54" t="s">
        <v>42</v>
      </c>
      <c r="G1257" s="55" t="s">
        <v>3070</v>
      </c>
      <c r="H1257" s="54" t="s">
        <v>3071</v>
      </c>
      <c r="I1257" s="54">
        <f t="shared" si="24"/>
        <v>39</v>
      </c>
      <c r="J1257" s="56"/>
      <c r="K1257" s="57"/>
      <c r="L1257" s="76" t="s">
        <v>661</v>
      </c>
      <c r="M1257" s="59"/>
      <c r="N1257" s="79">
        <v>11120.0</v>
      </c>
      <c r="O1257" s="61">
        <v>10839.0</v>
      </c>
      <c r="P1257" s="62">
        <v>11706.12</v>
      </c>
      <c r="Q1257" s="63">
        <v>11706.12</v>
      </c>
      <c r="R1257" s="64">
        <v>12292.0</v>
      </c>
      <c r="S1257" s="111">
        <v>12907.0</v>
      </c>
      <c r="T1257" s="65">
        <f t="shared" si="39"/>
        <v>2065.12</v>
      </c>
      <c r="U1257" s="65">
        <f t="shared" si="40"/>
        <v>14972.12</v>
      </c>
      <c r="V1257" s="66">
        <f t="shared" si="42"/>
        <v>0.05003254149</v>
      </c>
      <c r="W1257" s="67">
        <f t="shared" si="5"/>
        <v>12261.65</v>
      </c>
      <c r="X1257" s="67">
        <f t="shared" si="43"/>
        <v>1961.864</v>
      </c>
      <c r="Y1257" s="67">
        <f t="shared" si="44"/>
        <v>14223.514</v>
      </c>
      <c r="Z1257" s="67">
        <f t="shared" si="8"/>
        <v>11616.3</v>
      </c>
      <c r="AA1257" s="67">
        <f t="shared" si="45"/>
        <v>1858.608</v>
      </c>
      <c r="AB1257" s="67">
        <f t="shared" si="46"/>
        <v>13474.908</v>
      </c>
      <c r="AC1257" s="67">
        <f t="shared" si="11"/>
        <v>10970.95</v>
      </c>
      <c r="AD1257" s="67">
        <f t="shared" si="12"/>
        <v>1755.352</v>
      </c>
      <c r="AE1257" s="67">
        <f t="shared" si="13"/>
        <v>12726.302</v>
      </c>
      <c r="AF1257" s="67">
        <f t="shared" si="33"/>
        <v>10712.81</v>
      </c>
      <c r="AG1257" s="67">
        <f t="shared" si="15"/>
        <v>1714.0496</v>
      </c>
      <c r="AH1257" s="67">
        <f t="shared" si="16"/>
        <v>12426.8596</v>
      </c>
      <c r="AI1257" s="67">
        <f t="shared" si="17"/>
        <v>10325.6</v>
      </c>
      <c r="AJ1257" s="68">
        <f t="shared" si="47"/>
        <v>1652.096</v>
      </c>
      <c r="AK1257" s="68">
        <f t="shared" si="48"/>
        <v>11977.696</v>
      </c>
      <c r="AL1257" s="70"/>
      <c r="AM1257" s="70"/>
      <c r="AN1257" s="71"/>
      <c r="AO1257" s="71"/>
      <c r="AP1257" s="71"/>
      <c r="AQ1257" s="71"/>
      <c r="AR1257" s="71"/>
      <c r="AS1257" s="71"/>
      <c r="AT1257" s="71"/>
      <c r="AU1257" s="71"/>
      <c r="AV1257" s="71"/>
      <c r="AW1257" s="71"/>
      <c r="AX1257" s="71"/>
      <c r="AY1257" s="71"/>
      <c r="AZ1257" s="71"/>
      <c r="BA1257" s="71"/>
      <c r="BB1257" s="71"/>
      <c r="BC1257" s="71"/>
      <c r="BD1257" s="71"/>
      <c r="BE1257" s="71"/>
      <c r="BF1257" s="71"/>
      <c r="BG1257" s="71"/>
      <c r="BH1257" s="71"/>
      <c r="BI1257" s="71"/>
      <c r="BJ1257" s="71"/>
      <c r="BK1257" s="71"/>
      <c r="BL1257" s="71"/>
      <c r="BM1257" s="71"/>
      <c r="BN1257" s="71"/>
      <c r="BO1257" s="71"/>
      <c r="BP1257" s="71"/>
      <c r="BQ1257" s="71"/>
      <c r="BR1257" s="71"/>
      <c r="BS1257" s="71"/>
      <c r="BT1257" s="71"/>
      <c r="BU1257" s="71"/>
      <c r="BV1257" s="71"/>
    </row>
    <row r="1258">
      <c r="A1258" s="53"/>
      <c r="B1258" s="72"/>
      <c r="C1258" s="73" t="s">
        <v>53</v>
      </c>
      <c r="D1258" s="53" t="s">
        <v>3072</v>
      </c>
      <c r="E1258" s="54" t="s">
        <v>38</v>
      </c>
      <c r="F1258" s="54" t="s">
        <v>42</v>
      </c>
      <c r="G1258" s="54" t="s">
        <v>3073</v>
      </c>
      <c r="H1258" s="54" t="s">
        <v>3074</v>
      </c>
      <c r="I1258" s="54">
        <f t="shared" si="24"/>
        <v>36</v>
      </c>
      <c r="J1258" s="56"/>
      <c r="K1258" s="57"/>
      <c r="L1258" s="76"/>
      <c r="M1258" s="59"/>
      <c r="N1258" s="60"/>
      <c r="O1258" s="61">
        <v>12895.0</v>
      </c>
      <c r="P1258" s="62">
        <v>13926.6</v>
      </c>
      <c r="Q1258" s="63">
        <v>13926.6</v>
      </c>
      <c r="R1258" s="64">
        <v>14624.0</v>
      </c>
      <c r="S1258" s="111">
        <v>15355.0</v>
      </c>
      <c r="T1258" s="65">
        <f t="shared" si="39"/>
        <v>2456.8</v>
      </c>
      <c r="U1258" s="65">
        <f t="shared" si="40"/>
        <v>17811.8</v>
      </c>
      <c r="V1258" s="66">
        <f t="shared" si="42"/>
        <v>0.04998632385</v>
      </c>
      <c r="W1258" s="67">
        <f t="shared" si="5"/>
        <v>14587.25</v>
      </c>
      <c r="X1258" s="67">
        <f t="shared" si="43"/>
        <v>2333.96</v>
      </c>
      <c r="Y1258" s="67">
        <f t="shared" si="44"/>
        <v>16921.21</v>
      </c>
      <c r="Z1258" s="67">
        <f t="shared" si="8"/>
        <v>13819.5</v>
      </c>
      <c r="AA1258" s="67">
        <f t="shared" si="45"/>
        <v>2211.12</v>
      </c>
      <c r="AB1258" s="67">
        <f t="shared" si="46"/>
        <v>16030.62</v>
      </c>
      <c r="AC1258" s="67">
        <f t="shared" si="11"/>
        <v>13051.75</v>
      </c>
      <c r="AD1258" s="67">
        <f t="shared" si="12"/>
        <v>2088.28</v>
      </c>
      <c r="AE1258" s="67">
        <f t="shared" si="13"/>
        <v>15140.03</v>
      </c>
      <c r="AF1258" s="67">
        <f t="shared" si="33"/>
        <v>12744.65</v>
      </c>
      <c r="AG1258" s="67">
        <f t="shared" si="15"/>
        <v>2039.144</v>
      </c>
      <c r="AH1258" s="67">
        <f t="shared" si="16"/>
        <v>14783.794</v>
      </c>
      <c r="AI1258" s="67">
        <f t="shared" si="17"/>
        <v>12284</v>
      </c>
      <c r="AJ1258" s="68">
        <f t="shared" si="47"/>
        <v>1965.44</v>
      </c>
      <c r="AK1258" s="68">
        <f t="shared" si="48"/>
        <v>14249.44</v>
      </c>
      <c r="AL1258" s="70"/>
      <c r="AM1258" s="70"/>
      <c r="AN1258" s="71"/>
      <c r="AO1258" s="71"/>
      <c r="AP1258" s="71"/>
      <c r="AQ1258" s="71"/>
      <c r="AR1258" s="71"/>
      <c r="AS1258" s="71"/>
      <c r="AT1258" s="71"/>
      <c r="AU1258" s="71"/>
      <c r="AV1258" s="71"/>
      <c r="AW1258" s="71"/>
      <c r="AX1258" s="71"/>
      <c r="AY1258" s="71"/>
      <c r="AZ1258" s="71"/>
      <c r="BA1258" s="71"/>
      <c r="BB1258" s="71"/>
      <c r="BC1258" s="71"/>
      <c r="BD1258" s="71"/>
      <c r="BE1258" s="71"/>
      <c r="BF1258" s="71"/>
      <c r="BG1258" s="71"/>
      <c r="BH1258" s="71"/>
      <c r="BI1258" s="71"/>
      <c r="BJ1258" s="71"/>
      <c r="BK1258" s="71"/>
      <c r="BL1258" s="71"/>
      <c r="BM1258" s="71"/>
      <c r="BN1258" s="71"/>
      <c r="BO1258" s="71"/>
      <c r="BP1258" s="71"/>
      <c r="BQ1258" s="71"/>
      <c r="BR1258" s="71"/>
      <c r="BS1258" s="71"/>
      <c r="BT1258" s="71"/>
      <c r="BU1258" s="71"/>
      <c r="BV1258" s="71"/>
    </row>
    <row r="1259">
      <c r="A1259" s="53">
        <v>1.0</v>
      </c>
      <c r="B1259" s="72"/>
      <c r="C1259" s="73" t="s">
        <v>53</v>
      </c>
      <c r="D1259" s="53" t="s">
        <v>3075</v>
      </c>
      <c r="E1259" s="54" t="s">
        <v>77</v>
      </c>
      <c r="F1259" s="54" t="s">
        <v>42</v>
      </c>
      <c r="G1259" s="88" t="s">
        <v>3076</v>
      </c>
      <c r="H1259" s="54" t="s">
        <v>3077</v>
      </c>
      <c r="I1259" s="54">
        <f t="shared" si="24"/>
        <v>34</v>
      </c>
      <c r="J1259" s="56"/>
      <c r="K1259" s="57"/>
      <c r="L1259" s="76" t="s">
        <v>661</v>
      </c>
      <c r="M1259" s="59"/>
      <c r="N1259" s="60">
        <v>7181.0</v>
      </c>
      <c r="O1259" s="61">
        <v>6481.0</v>
      </c>
      <c r="P1259" s="62">
        <v>6999.4800000000005</v>
      </c>
      <c r="Q1259" s="63">
        <v>6999.4800000000005</v>
      </c>
      <c r="R1259" s="64">
        <v>7791.0</v>
      </c>
      <c r="S1259" s="111">
        <v>8181.0</v>
      </c>
      <c r="T1259" s="65">
        <f t="shared" si="39"/>
        <v>1308.96</v>
      </c>
      <c r="U1259" s="65">
        <f t="shared" si="40"/>
        <v>9489.96</v>
      </c>
      <c r="V1259" s="66">
        <f t="shared" si="42"/>
        <v>0.05005775895</v>
      </c>
      <c r="W1259" s="67">
        <f t="shared" si="5"/>
        <v>7771.95</v>
      </c>
      <c r="X1259" s="67">
        <f t="shared" si="43"/>
        <v>1243.512</v>
      </c>
      <c r="Y1259" s="67">
        <f t="shared" si="44"/>
        <v>9015.462</v>
      </c>
      <c r="Z1259" s="67">
        <f t="shared" si="8"/>
        <v>7362.9</v>
      </c>
      <c r="AA1259" s="67">
        <f t="shared" si="45"/>
        <v>1178.064</v>
      </c>
      <c r="AB1259" s="67">
        <f t="shared" si="46"/>
        <v>8540.964</v>
      </c>
      <c r="AC1259" s="67">
        <f t="shared" si="11"/>
        <v>6953.85</v>
      </c>
      <c r="AD1259" s="67">
        <f t="shared" si="12"/>
        <v>1112.616</v>
      </c>
      <c r="AE1259" s="67">
        <f t="shared" si="13"/>
        <v>8066.466</v>
      </c>
      <c r="AF1259" s="67">
        <f t="shared" si="33"/>
        <v>6790.23</v>
      </c>
      <c r="AG1259" s="67">
        <f t="shared" si="15"/>
        <v>1086.4368</v>
      </c>
      <c r="AH1259" s="67">
        <f t="shared" si="16"/>
        <v>7876.6668</v>
      </c>
      <c r="AI1259" s="67">
        <f t="shared" si="17"/>
        <v>6544.8</v>
      </c>
      <c r="AJ1259" s="68">
        <f t="shared" si="47"/>
        <v>1047.168</v>
      </c>
      <c r="AK1259" s="68">
        <f t="shared" si="48"/>
        <v>7591.968</v>
      </c>
      <c r="AL1259" s="70"/>
      <c r="AM1259" s="70"/>
      <c r="AN1259" s="71"/>
      <c r="AO1259" s="71"/>
      <c r="AP1259" s="71"/>
      <c r="AQ1259" s="71"/>
      <c r="AR1259" s="71"/>
      <c r="AS1259" s="71"/>
      <c r="AT1259" s="71"/>
      <c r="AU1259" s="71"/>
      <c r="AV1259" s="71"/>
      <c r="AW1259" s="71"/>
      <c r="AX1259" s="71"/>
      <c r="AY1259" s="71"/>
      <c r="AZ1259" s="71"/>
      <c r="BA1259" s="71"/>
      <c r="BB1259" s="71"/>
      <c r="BC1259" s="71"/>
      <c r="BD1259" s="71"/>
      <c r="BE1259" s="71"/>
      <c r="BF1259" s="71"/>
      <c r="BG1259" s="71"/>
      <c r="BH1259" s="71"/>
      <c r="BI1259" s="71"/>
      <c r="BJ1259" s="71"/>
      <c r="BK1259" s="71"/>
      <c r="BL1259" s="71"/>
      <c r="BM1259" s="71"/>
      <c r="BN1259" s="71"/>
      <c r="BO1259" s="71"/>
      <c r="BP1259" s="71"/>
      <c r="BQ1259" s="71"/>
      <c r="BR1259" s="71"/>
      <c r="BS1259" s="71"/>
      <c r="BT1259" s="71"/>
      <c r="BU1259" s="71"/>
      <c r="BV1259" s="71"/>
    </row>
    <row r="1260">
      <c r="A1260" s="53">
        <v>1.0</v>
      </c>
      <c r="B1260" s="72"/>
      <c r="C1260" s="73" t="s">
        <v>53</v>
      </c>
      <c r="D1260" s="53" t="s">
        <v>3078</v>
      </c>
      <c r="E1260" s="54" t="s">
        <v>77</v>
      </c>
      <c r="F1260" s="54" t="s">
        <v>42</v>
      </c>
      <c r="G1260" s="88" t="s">
        <v>3079</v>
      </c>
      <c r="H1260" s="54" t="s">
        <v>3080</v>
      </c>
      <c r="I1260" s="54">
        <f t="shared" si="24"/>
        <v>37</v>
      </c>
      <c r="J1260" s="56"/>
      <c r="K1260" s="57"/>
      <c r="L1260" s="76"/>
      <c r="M1260" s="59"/>
      <c r="N1260" s="60">
        <v>5914.0</v>
      </c>
      <c r="O1260" s="61">
        <v>5337.0</v>
      </c>
      <c r="P1260" s="62">
        <v>5763.96</v>
      </c>
      <c r="Q1260" s="63">
        <v>5763.96</v>
      </c>
      <c r="R1260" s="64">
        <v>6416.0</v>
      </c>
      <c r="S1260" s="111">
        <v>6737.0</v>
      </c>
      <c r="T1260" s="65">
        <f t="shared" si="39"/>
        <v>1077.92</v>
      </c>
      <c r="U1260" s="65">
        <f t="shared" si="40"/>
        <v>7814.92</v>
      </c>
      <c r="V1260" s="66">
        <f t="shared" si="42"/>
        <v>0.05003117207</v>
      </c>
      <c r="W1260" s="67">
        <f t="shared" si="5"/>
        <v>6400.15</v>
      </c>
      <c r="X1260" s="67">
        <f t="shared" si="43"/>
        <v>1024.024</v>
      </c>
      <c r="Y1260" s="67">
        <f t="shared" si="44"/>
        <v>7424.174</v>
      </c>
      <c r="Z1260" s="67">
        <f t="shared" si="8"/>
        <v>6063.3</v>
      </c>
      <c r="AA1260" s="67">
        <f t="shared" si="45"/>
        <v>970.128</v>
      </c>
      <c r="AB1260" s="67">
        <f t="shared" si="46"/>
        <v>7033.428</v>
      </c>
      <c r="AC1260" s="67">
        <f t="shared" si="11"/>
        <v>5726.45</v>
      </c>
      <c r="AD1260" s="67">
        <f t="shared" si="12"/>
        <v>916.232</v>
      </c>
      <c r="AE1260" s="67">
        <f t="shared" si="13"/>
        <v>6642.682</v>
      </c>
      <c r="AF1260" s="67">
        <f t="shared" si="33"/>
        <v>5591.71</v>
      </c>
      <c r="AG1260" s="67">
        <f t="shared" si="15"/>
        <v>894.6736</v>
      </c>
      <c r="AH1260" s="67">
        <f t="shared" si="16"/>
        <v>6486.3836</v>
      </c>
      <c r="AI1260" s="67">
        <f t="shared" si="17"/>
        <v>5389.6</v>
      </c>
      <c r="AJ1260" s="68">
        <f t="shared" si="47"/>
        <v>862.336</v>
      </c>
      <c r="AK1260" s="68">
        <f t="shared" si="48"/>
        <v>6251.936</v>
      </c>
      <c r="AL1260" s="70"/>
      <c r="AM1260" s="70"/>
      <c r="AN1260" s="71"/>
      <c r="AO1260" s="71"/>
      <c r="AP1260" s="71"/>
      <c r="AQ1260" s="71"/>
      <c r="AR1260" s="71"/>
      <c r="AS1260" s="71"/>
      <c r="AT1260" s="71"/>
      <c r="AU1260" s="71"/>
      <c r="AV1260" s="71"/>
      <c r="AW1260" s="71"/>
      <c r="AX1260" s="71"/>
      <c r="AY1260" s="71"/>
      <c r="AZ1260" s="71"/>
      <c r="BA1260" s="71"/>
      <c r="BB1260" s="71"/>
      <c r="BC1260" s="71"/>
      <c r="BD1260" s="71"/>
      <c r="BE1260" s="71"/>
      <c r="BF1260" s="71"/>
      <c r="BG1260" s="71"/>
      <c r="BH1260" s="71"/>
      <c r="BI1260" s="71"/>
      <c r="BJ1260" s="71"/>
      <c r="BK1260" s="71"/>
      <c r="BL1260" s="71"/>
      <c r="BM1260" s="71"/>
      <c r="BN1260" s="71"/>
      <c r="BO1260" s="71"/>
      <c r="BP1260" s="71"/>
      <c r="BQ1260" s="71"/>
      <c r="BR1260" s="71"/>
      <c r="BS1260" s="71"/>
      <c r="BT1260" s="71"/>
      <c r="BU1260" s="71"/>
      <c r="BV1260" s="71"/>
    </row>
    <row r="1261">
      <c r="A1261" s="53">
        <v>1.0</v>
      </c>
      <c r="B1261" s="72"/>
      <c r="C1261" s="73" t="s">
        <v>53</v>
      </c>
      <c r="D1261" s="53" t="s">
        <v>3081</v>
      </c>
      <c r="E1261" s="54" t="s">
        <v>77</v>
      </c>
      <c r="F1261" s="54" t="s">
        <v>42</v>
      </c>
      <c r="G1261" s="88" t="s">
        <v>3082</v>
      </c>
      <c r="H1261" s="54" t="s">
        <v>3083</v>
      </c>
      <c r="I1261" s="54">
        <f t="shared" si="24"/>
        <v>37</v>
      </c>
      <c r="J1261" s="56"/>
      <c r="K1261" s="57"/>
      <c r="L1261" s="76"/>
      <c r="M1261" s="59"/>
      <c r="N1261" s="60">
        <v>6662.0</v>
      </c>
      <c r="O1261" s="61">
        <v>6013.0</v>
      </c>
      <c r="P1261" s="62">
        <v>6494.040000000001</v>
      </c>
      <c r="Q1261" s="63">
        <v>6494.040000000001</v>
      </c>
      <c r="R1261" s="64">
        <v>7229.0</v>
      </c>
      <c r="S1261" s="111">
        <v>7590.0</v>
      </c>
      <c r="T1261" s="65">
        <f t="shared" si="39"/>
        <v>1214.4</v>
      </c>
      <c r="U1261" s="65">
        <f t="shared" si="40"/>
        <v>8804.4</v>
      </c>
      <c r="V1261" s="66">
        <f t="shared" si="42"/>
        <v>0.04993775073</v>
      </c>
      <c r="W1261" s="67">
        <f t="shared" si="5"/>
        <v>7210.5</v>
      </c>
      <c r="X1261" s="67">
        <f t="shared" si="43"/>
        <v>1153.68</v>
      </c>
      <c r="Y1261" s="67">
        <f t="shared" si="44"/>
        <v>8364.18</v>
      </c>
      <c r="Z1261" s="67">
        <f t="shared" si="8"/>
        <v>6831</v>
      </c>
      <c r="AA1261" s="67">
        <f t="shared" si="45"/>
        <v>1092.96</v>
      </c>
      <c r="AB1261" s="67">
        <f t="shared" si="46"/>
        <v>7923.96</v>
      </c>
      <c r="AC1261" s="67">
        <f t="shared" si="11"/>
        <v>6451.5</v>
      </c>
      <c r="AD1261" s="67">
        <f t="shared" si="12"/>
        <v>1032.24</v>
      </c>
      <c r="AE1261" s="67">
        <f t="shared" si="13"/>
        <v>7483.74</v>
      </c>
      <c r="AF1261" s="67">
        <f t="shared" si="33"/>
        <v>6299.7</v>
      </c>
      <c r="AG1261" s="67">
        <f t="shared" si="15"/>
        <v>1007.952</v>
      </c>
      <c r="AH1261" s="67">
        <f t="shared" si="16"/>
        <v>7307.652</v>
      </c>
      <c r="AI1261" s="67">
        <f t="shared" si="17"/>
        <v>6072</v>
      </c>
      <c r="AJ1261" s="68">
        <f t="shared" si="47"/>
        <v>971.52</v>
      </c>
      <c r="AK1261" s="68">
        <f t="shared" si="48"/>
        <v>7043.52</v>
      </c>
      <c r="AL1261" s="70"/>
      <c r="AM1261" s="70"/>
      <c r="AN1261" s="71"/>
      <c r="AO1261" s="71"/>
      <c r="AP1261" s="71"/>
      <c r="AQ1261" s="71"/>
      <c r="AR1261" s="71"/>
      <c r="AS1261" s="71"/>
      <c r="AT1261" s="71"/>
      <c r="AU1261" s="71"/>
      <c r="AV1261" s="71"/>
      <c r="AW1261" s="71"/>
      <c r="AX1261" s="71"/>
      <c r="AY1261" s="71"/>
      <c r="AZ1261" s="71"/>
      <c r="BA1261" s="71"/>
      <c r="BB1261" s="71"/>
      <c r="BC1261" s="71"/>
      <c r="BD1261" s="71"/>
      <c r="BE1261" s="71"/>
      <c r="BF1261" s="71"/>
      <c r="BG1261" s="71"/>
      <c r="BH1261" s="71"/>
      <c r="BI1261" s="71"/>
      <c r="BJ1261" s="71"/>
      <c r="BK1261" s="71"/>
      <c r="BL1261" s="71"/>
      <c r="BM1261" s="71"/>
      <c r="BN1261" s="71"/>
      <c r="BO1261" s="71"/>
      <c r="BP1261" s="71"/>
      <c r="BQ1261" s="71"/>
      <c r="BR1261" s="71"/>
      <c r="BS1261" s="71"/>
      <c r="BT1261" s="71"/>
      <c r="BU1261" s="71"/>
      <c r="BV1261" s="71"/>
    </row>
    <row r="1262">
      <c r="A1262" s="53">
        <v>1.0</v>
      </c>
      <c r="B1262" s="72"/>
      <c r="C1262" s="73" t="s">
        <v>53</v>
      </c>
      <c r="D1262" s="53" t="s">
        <v>3084</v>
      </c>
      <c r="E1262" s="54" t="s">
        <v>77</v>
      </c>
      <c r="F1262" s="54" t="s">
        <v>42</v>
      </c>
      <c r="G1262" s="88" t="s">
        <v>3085</v>
      </c>
      <c r="H1262" s="54" t="s">
        <v>3086</v>
      </c>
      <c r="I1262" s="54">
        <f t="shared" si="24"/>
        <v>37</v>
      </c>
      <c r="J1262" s="56"/>
      <c r="K1262" s="57"/>
      <c r="L1262" s="76"/>
      <c r="M1262" s="59"/>
      <c r="N1262" s="60">
        <v>7882.0</v>
      </c>
      <c r="O1262" s="61">
        <v>7114.0</v>
      </c>
      <c r="P1262" s="62">
        <v>7683.120000000001</v>
      </c>
      <c r="Q1262" s="63">
        <v>7683.120000000001</v>
      </c>
      <c r="R1262" s="64">
        <v>8553.0</v>
      </c>
      <c r="S1262" s="140">
        <v>8981.0</v>
      </c>
      <c r="T1262" s="65">
        <f t="shared" si="39"/>
        <v>1436.96</v>
      </c>
      <c r="U1262" s="65">
        <f t="shared" si="40"/>
        <v>10417.96</v>
      </c>
      <c r="V1262" s="66">
        <f t="shared" si="42"/>
        <v>0.05004092131</v>
      </c>
      <c r="W1262" s="67">
        <f t="shared" si="5"/>
        <v>8531.95</v>
      </c>
      <c r="X1262" s="67">
        <f t="shared" si="43"/>
        <v>1365.112</v>
      </c>
      <c r="Y1262" s="67">
        <f t="shared" si="44"/>
        <v>9897.062</v>
      </c>
      <c r="Z1262" s="67">
        <f t="shared" si="8"/>
        <v>8082.9</v>
      </c>
      <c r="AA1262" s="67">
        <f t="shared" si="45"/>
        <v>1293.264</v>
      </c>
      <c r="AB1262" s="67">
        <f t="shared" si="46"/>
        <v>9376.164</v>
      </c>
      <c r="AC1262" s="67">
        <f t="shared" si="11"/>
        <v>7633.85</v>
      </c>
      <c r="AD1262" s="67">
        <f t="shared" si="12"/>
        <v>1221.416</v>
      </c>
      <c r="AE1262" s="67">
        <f t="shared" si="13"/>
        <v>8855.266</v>
      </c>
      <c r="AF1262" s="67">
        <f t="shared" si="33"/>
        <v>7454.23</v>
      </c>
      <c r="AG1262" s="67">
        <f t="shared" si="15"/>
        <v>1192.6768</v>
      </c>
      <c r="AH1262" s="67">
        <f t="shared" si="16"/>
        <v>8646.9068</v>
      </c>
      <c r="AI1262" s="67">
        <f t="shared" si="17"/>
        <v>7184.8</v>
      </c>
      <c r="AJ1262" s="68">
        <f t="shared" si="47"/>
        <v>1149.568</v>
      </c>
      <c r="AK1262" s="68">
        <f t="shared" si="48"/>
        <v>8334.368</v>
      </c>
      <c r="AL1262" s="70"/>
      <c r="AM1262" s="70"/>
      <c r="AN1262" s="71"/>
      <c r="AO1262" s="71"/>
      <c r="AP1262" s="71"/>
      <c r="AQ1262" s="71"/>
      <c r="AR1262" s="71"/>
      <c r="AS1262" s="71"/>
      <c r="AT1262" s="71"/>
      <c r="AU1262" s="71"/>
      <c r="AV1262" s="71"/>
      <c r="AW1262" s="71"/>
      <c r="AX1262" s="71"/>
      <c r="AY1262" s="71"/>
      <c r="AZ1262" s="71"/>
      <c r="BA1262" s="71"/>
      <c r="BB1262" s="71"/>
      <c r="BC1262" s="71"/>
      <c r="BD1262" s="71"/>
      <c r="BE1262" s="71"/>
      <c r="BF1262" s="71"/>
      <c r="BG1262" s="71"/>
      <c r="BH1262" s="71"/>
      <c r="BI1262" s="71"/>
      <c r="BJ1262" s="71"/>
      <c r="BK1262" s="71"/>
      <c r="BL1262" s="71"/>
      <c r="BM1262" s="71"/>
      <c r="BN1262" s="71"/>
      <c r="BO1262" s="71"/>
      <c r="BP1262" s="71"/>
      <c r="BQ1262" s="71"/>
      <c r="BR1262" s="71"/>
      <c r="BS1262" s="71"/>
      <c r="BT1262" s="71"/>
      <c r="BU1262" s="71"/>
      <c r="BV1262" s="71"/>
    </row>
    <row r="1263">
      <c r="A1263" s="53">
        <v>1.0</v>
      </c>
      <c r="B1263" s="72"/>
      <c r="C1263" s="73" t="s">
        <v>603</v>
      </c>
      <c r="D1263" s="53" t="s">
        <v>3087</v>
      </c>
      <c r="E1263" s="54" t="s">
        <v>77</v>
      </c>
      <c r="F1263" s="54" t="s">
        <v>42</v>
      </c>
      <c r="G1263" s="55" t="s">
        <v>3088</v>
      </c>
      <c r="H1263" s="54" t="s">
        <v>3089</v>
      </c>
      <c r="I1263" s="54">
        <f t="shared" si="24"/>
        <v>35</v>
      </c>
      <c r="J1263" s="56"/>
      <c r="K1263" s="57"/>
      <c r="L1263" s="87"/>
      <c r="M1263" s="59"/>
      <c r="N1263" s="60">
        <v>125.0</v>
      </c>
      <c r="O1263" s="61">
        <v>135.0</v>
      </c>
      <c r="P1263" s="62">
        <v>145.8</v>
      </c>
      <c r="Q1263" s="63">
        <v>145.8</v>
      </c>
      <c r="R1263" s="64">
        <v>163.0</v>
      </c>
      <c r="S1263" s="111">
        <v>171.0</v>
      </c>
      <c r="T1263" s="65">
        <f t="shared" si="39"/>
        <v>27.36</v>
      </c>
      <c r="U1263" s="65">
        <f t="shared" si="40"/>
        <v>198.36</v>
      </c>
      <c r="V1263" s="66">
        <f t="shared" si="42"/>
        <v>0.0490797546</v>
      </c>
      <c r="W1263" s="67">
        <f t="shared" si="5"/>
        <v>162.45</v>
      </c>
      <c r="X1263" s="67">
        <f t="shared" si="43"/>
        <v>25.992</v>
      </c>
      <c r="Y1263" s="67">
        <f t="shared" si="44"/>
        <v>188.442</v>
      </c>
      <c r="Z1263" s="67">
        <f t="shared" si="8"/>
        <v>153.9</v>
      </c>
      <c r="AA1263" s="67">
        <f t="shared" si="45"/>
        <v>24.624</v>
      </c>
      <c r="AB1263" s="67">
        <f t="shared" si="46"/>
        <v>178.524</v>
      </c>
      <c r="AC1263" s="67">
        <f t="shared" si="11"/>
        <v>145.35</v>
      </c>
      <c r="AD1263" s="67">
        <f t="shared" si="12"/>
        <v>23.256</v>
      </c>
      <c r="AE1263" s="67">
        <f t="shared" si="13"/>
        <v>168.606</v>
      </c>
      <c r="AF1263" s="67">
        <f t="shared" si="33"/>
        <v>141.93</v>
      </c>
      <c r="AG1263" s="67">
        <f t="shared" si="15"/>
        <v>22.7088</v>
      </c>
      <c r="AH1263" s="67">
        <f t="shared" si="16"/>
        <v>164.6388</v>
      </c>
      <c r="AI1263" s="67">
        <f t="shared" si="17"/>
        <v>136.8</v>
      </c>
      <c r="AJ1263" s="68">
        <f t="shared" si="47"/>
        <v>21.888</v>
      </c>
      <c r="AK1263" s="68">
        <f t="shared" si="48"/>
        <v>158.688</v>
      </c>
      <c r="AL1263" s="70"/>
      <c r="AM1263" s="70"/>
      <c r="AN1263" s="71"/>
      <c r="AO1263" s="71"/>
      <c r="AP1263" s="71"/>
      <c r="AQ1263" s="71"/>
      <c r="AR1263" s="71"/>
      <c r="AS1263" s="71"/>
      <c r="AT1263" s="71"/>
      <c r="AU1263" s="71"/>
      <c r="AV1263" s="71"/>
      <c r="AW1263" s="71"/>
      <c r="AX1263" s="71"/>
      <c r="AY1263" s="71"/>
      <c r="AZ1263" s="71"/>
      <c r="BA1263" s="71"/>
      <c r="BB1263" s="71"/>
      <c r="BC1263" s="71"/>
      <c r="BD1263" s="71"/>
      <c r="BE1263" s="71"/>
      <c r="BF1263" s="71"/>
      <c r="BG1263" s="71"/>
      <c r="BH1263" s="71"/>
      <c r="BI1263" s="71"/>
      <c r="BJ1263" s="71"/>
      <c r="BK1263" s="71"/>
      <c r="BL1263" s="71"/>
      <c r="BM1263" s="71"/>
      <c r="BN1263" s="71"/>
      <c r="BO1263" s="71"/>
      <c r="BP1263" s="71"/>
      <c r="BQ1263" s="71"/>
      <c r="BR1263" s="71"/>
      <c r="BS1263" s="71"/>
      <c r="BT1263" s="71"/>
      <c r="BU1263" s="71"/>
      <c r="BV1263" s="71"/>
    </row>
    <row r="1264">
      <c r="A1264" s="53">
        <v>1.0</v>
      </c>
      <c r="B1264" s="72"/>
      <c r="C1264" s="73" t="s">
        <v>603</v>
      </c>
      <c r="D1264" s="73" t="s">
        <v>3090</v>
      </c>
      <c r="E1264" s="54" t="s">
        <v>77</v>
      </c>
      <c r="F1264" s="54" t="s">
        <v>42</v>
      </c>
      <c r="G1264" s="55" t="s">
        <v>3091</v>
      </c>
      <c r="H1264" s="54" t="s">
        <v>3092</v>
      </c>
      <c r="I1264" s="54">
        <f t="shared" si="24"/>
        <v>38</v>
      </c>
      <c r="J1264" s="56"/>
      <c r="K1264" s="57"/>
      <c r="L1264" s="87"/>
      <c r="M1264" s="59"/>
      <c r="N1264" s="60">
        <v>1400.0</v>
      </c>
      <c r="O1264" s="61">
        <v>1512.0</v>
      </c>
      <c r="P1264" s="62">
        <v>1632.96</v>
      </c>
      <c r="Q1264" s="63">
        <v>1632.96</v>
      </c>
      <c r="R1264" s="64">
        <v>1818.0</v>
      </c>
      <c r="S1264" s="111">
        <v>1909.0</v>
      </c>
      <c r="T1264" s="65">
        <f t="shared" si="39"/>
        <v>305.44</v>
      </c>
      <c r="U1264" s="65">
        <f t="shared" si="40"/>
        <v>2214.44</v>
      </c>
      <c r="V1264" s="66">
        <f t="shared" si="42"/>
        <v>0.0500550055</v>
      </c>
      <c r="W1264" s="67">
        <f t="shared" si="5"/>
        <v>1813.55</v>
      </c>
      <c r="X1264" s="67">
        <f t="shared" si="43"/>
        <v>290.168</v>
      </c>
      <c r="Y1264" s="67">
        <f t="shared" si="44"/>
        <v>2103.718</v>
      </c>
      <c r="Z1264" s="67">
        <f t="shared" si="8"/>
        <v>1718.1</v>
      </c>
      <c r="AA1264" s="67">
        <f t="shared" si="45"/>
        <v>274.896</v>
      </c>
      <c r="AB1264" s="67">
        <f t="shared" si="46"/>
        <v>1992.996</v>
      </c>
      <c r="AC1264" s="67">
        <f t="shared" si="11"/>
        <v>1622.65</v>
      </c>
      <c r="AD1264" s="67">
        <f t="shared" si="12"/>
        <v>259.624</v>
      </c>
      <c r="AE1264" s="67">
        <f t="shared" si="13"/>
        <v>1882.274</v>
      </c>
      <c r="AF1264" s="67">
        <f t="shared" si="33"/>
        <v>1584.47</v>
      </c>
      <c r="AG1264" s="67">
        <f t="shared" si="15"/>
        <v>253.5152</v>
      </c>
      <c r="AH1264" s="67">
        <f t="shared" si="16"/>
        <v>1837.9852</v>
      </c>
      <c r="AI1264" s="67">
        <f t="shared" si="17"/>
        <v>1527.2</v>
      </c>
      <c r="AJ1264" s="68">
        <f t="shared" si="47"/>
        <v>244.352</v>
      </c>
      <c r="AK1264" s="68">
        <f t="shared" si="48"/>
        <v>1771.552</v>
      </c>
      <c r="AL1264" s="70"/>
      <c r="AM1264" s="70"/>
      <c r="AN1264" s="71"/>
      <c r="AO1264" s="71"/>
      <c r="AP1264" s="71"/>
      <c r="AQ1264" s="71"/>
      <c r="AR1264" s="71"/>
      <c r="AS1264" s="71"/>
      <c r="AT1264" s="71"/>
      <c r="AU1264" s="71"/>
      <c r="AV1264" s="71"/>
      <c r="AW1264" s="71"/>
      <c r="AX1264" s="71"/>
      <c r="AY1264" s="71"/>
      <c r="AZ1264" s="71"/>
      <c r="BA1264" s="71"/>
      <c r="BB1264" s="71"/>
      <c r="BC1264" s="71"/>
      <c r="BD1264" s="71"/>
      <c r="BE1264" s="71"/>
      <c r="BF1264" s="71"/>
      <c r="BG1264" s="71"/>
      <c r="BH1264" s="71"/>
      <c r="BI1264" s="71"/>
      <c r="BJ1264" s="71"/>
      <c r="BK1264" s="71"/>
      <c r="BL1264" s="71"/>
      <c r="BM1264" s="71"/>
      <c r="BN1264" s="71"/>
      <c r="BO1264" s="71"/>
      <c r="BP1264" s="71"/>
      <c r="BQ1264" s="71"/>
      <c r="BR1264" s="71"/>
      <c r="BS1264" s="71"/>
      <c r="BT1264" s="71"/>
      <c r="BU1264" s="71"/>
      <c r="BV1264" s="71"/>
    </row>
    <row r="1265">
      <c r="A1265" s="53">
        <v>1.0</v>
      </c>
      <c r="B1265" s="148"/>
      <c r="C1265" s="73" t="s">
        <v>603</v>
      </c>
      <c r="D1265" s="73" t="s">
        <v>3093</v>
      </c>
      <c r="E1265" s="54" t="s">
        <v>77</v>
      </c>
      <c r="F1265" s="54" t="s">
        <v>42</v>
      </c>
      <c r="G1265" s="55" t="s">
        <v>3094</v>
      </c>
      <c r="H1265" s="54" t="s">
        <v>3095</v>
      </c>
      <c r="I1265" s="54">
        <f t="shared" si="24"/>
        <v>38</v>
      </c>
      <c r="J1265" s="56"/>
      <c r="K1265" s="57"/>
      <c r="L1265" s="87"/>
      <c r="M1265" s="59"/>
      <c r="N1265" s="60">
        <v>1400.0</v>
      </c>
      <c r="O1265" s="61">
        <v>1512.0</v>
      </c>
      <c r="P1265" s="62">
        <v>1632.96</v>
      </c>
      <c r="Q1265" s="63">
        <v>1632.96</v>
      </c>
      <c r="R1265" s="64">
        <v>1818.0</v>
      </c>
      <c r="S1265" s="111">
        <v>1909.0</v>
      </c>
      <c r="T1265" s="65">
        <f t="shared" si="39"/>
        <v>305.44</v>
      </c>
      <c r="U1265" s="65">
        <f t="shared" si="40"/>
        <v>2214.44</v>
      </c>
      <c r="V1265" s="66">
        <f t="shared" si="42"/>
        <v>0.0500550055</v>
      </c>
      <c r="W1265" s="67">
        <f t="shared" si="5"/>
        <v>1813.55</v>
      </c>
      <c r="X1265" s="67">
        <f t="shared" si="43"/>
        <v>290.168</v>
      </c>
      <c r="Y1265" s="67">
        <f t="shared" si="44"/>
        <v>2103.718</v>
      </c>
      <c r="Z1265" s="67">
        <f t="shared" si="8"/>
        <v>1718.1</v>
      </c>
      <c r="AA1265" s="67">
        <f t="shared" si="45"/>
        <v>274.896</v>
      </c>
      <c r="AB1265" s="67">
        <f t="shared" si="46"/>
        <v>1992.996</v>
      </c>
      <c r="AC1265" s="67">
        <f t="shared" si="11"/>
        <v>1622.65</v>
      </c>
      <c r="AD1265" s="67">
        <f t="shared" si="12"/>
        <v>259.624</v>
      </c>
      <c r="AE1265" s="67">
        <f t="shared" si="13"/>
        <v>1882.274</v>
      </c>
      <c r="AF1265" s="67">
        <f t="shared" si="33"/>
        <v>1584.47</v>
      </c>
      <c r="AG1265" s="67">
        <f t="shared" si="15"/>
        <v>253.5152</v>
      </c>
      <c r="AH1265" s="67">
        <f t="shared" si="16"/>
        <v>1837.9852</v>
      </c>
      <c r="AI1265" s="67">
        <f t="shared" si="17"/>
        <v>1527.2</v>
      </c>
      <c r="AJ1265" s="68">
        <f t="shared" si="47"/>
        <v>244.352</v>
      </c>
      <c r="AK1265" s="68">
        <f t="shared" si="48"/>
        <v>1771.552</v>
      </c>
      <c r="AL1265" s="70"/>
      <c r="AM1265" s="70"/>
      <c r="AN1265" s="71"/>
      <c r="AO1265" s="71"/>
      <c r="AP1265" s="71"/>
      <c r="AQ1265" s="71"/>
      <c r="AR1265" s="71"/>
      <c r="AS1265" s="71"/>
      <c r="AT1265" s="71"/>
      <c r="AU1265" s="71"/>
      <c r="AV1265" s="71"/>
      <c r="AW1265" s="71"/>
      <c r="AX1265" s="71"/>
      <c r="AY1265" s="71"/>
      <c r="AZ1265" s="71"/>
      <c r="BA1265" s="71"/>
      <c r="BB1265" s="71"/>
      <c r="BC1265" s="71"/>
      <c r="BD1265" s="71"/>
      <c r="BE1265" s="71"/>
      <c r="BF1265" s="71"/>
      <c r="BG1265" s="71"/>
      <c r="BH1265" s="71"/>
      <c r="BI1265" s="71"/>
      <c r="BJ1265" s="71"/>
      <c r="BK1265" s="71"/>
      <c r="BL1265" s="71"/>
      <c r="BM1265" s="71"/>
      <c r="BN1265" s="71"/>
      <c r="BO1265" s="71"/>
      <c r="BP1265" s="71"/>
      <c r="BQ1265" s="71"/>
      <c r="BR1265" s="71"/>
      <c r="BS1265" s="71"/>
      <c r="BT1265" s="71"/>
      <c r="BU1265" s="71"/>
      <c r="BV1265" s="71"/>
    </row>
    <row r="1266">
      <c r="A1266" s="53">
        <v>1.0</v>
      </c>
      <c r="B1266" s="148"/>
      <c r="C1266" s="73" t="s">
        <v>53</v>
      </c>
      <c r="D1266" s="53" t="s">
        <v>3096</v>
      </c>
      <c r="E1266" s="54" t="s">
        <v>77</v>
      </c>
      <c r="F1266" s="54" t="s">
        <v>42</v>
      </c>
      <c r="G1266" s="55" t="s">
        <v>3097</v>
      </c>
      <c r="H1266" s="54" t="s">
        <v>3098</v>
      </c>
      <c r="I1266" s="54">
        <f t="shared" si="24"/>
        <v>38</v>
      </c>
      <c r="J1266" s="56"/>
      <c r="K1266" s="57"/>
      <c r="L1266" s="87"/>
      <c r="M1266" s="59"/>
      <c r="N1266" s="60">
        <v>1400.0</v>
      </c>
      <c r="O1266" s="61">
        <v>1512.0</v>
      </c>
      <c r="P1266" s="62">
        <v>1632.96</v>
      </c>
      <c r="Q1266" s="63">
        <v>1632.96</v>
      </c>
      <c r="R1266" s="64">
        <v>1818.0</v>
      </c>
      <c r="S1266" s="111">
        <v>1909.0</v>
      </c>
      <c r="T1266" s="65">
        <f t="shared" si="39"/>
        <v>305.44</v>
      </c>
      <c r="U1266" s="65">
        <f t="shared" si="40"/>
        <v>2214.44</v>
      </c>
      <c r="V1266" s="66">
        <f t="shared" si="42"/>
        <v>0.0500550055</v>
      </c>
      <c r="W1266" s="67">
        <f t="shared" si="5"/>
        <v>1813.55</v>
      </c>
      <c r="X1266" s="67">
        <f t="shared" si="43"/>
        <v>290.168</v>
      </c>
      <c r="Y1266" s="67">
        <f t="shared" si="44"/>
        <v>2103.718</v>
      </c>
      <c r="Z1266" s="67">
        <f t="shared" si="8"/>
        <v>1718.1</v>
      </c>
      <c r="AA1266" s="67">
        <f t="shared" si="45"/>
        <v>274.896</v>
      </c>
      <c r="AB1266" s="67">
        <f t="shared" si="46"/>
        <v>1992.996</v>
      </c>
      <c r="AC1266" s="67">
        <f t="shared" si="11"/>
        <v>1622.65</v>
      </c>
      <c r="AD1266" s="67">
        <f t="shared" si="12"/>
        <v>259.624</v>
      </c>
      <c r="AE1266" s="67">
        <f t="shared" si="13"/>
        <v>1882.274</v>
      </c>
      <c r="AF1266" s="67">
        <f t="shared" si="33"/>
        <v>1584.47</v>
      </c>
      <c r="AG1266" s="67">
        <f t="shared" si="15"/>
        <v>253.5152</v>
      </c>
      <c r="AH1266" s="67">
        <f t="shared" si="16"/>
        <v>1837.9852</v>
      </c>
      <c r="AI1266" s="67">
        <f t="shared" si="17"/>
        <v>1527.2</v>
      </c>
      <c r="AJ1266" s="68">
        <f t="shared" si="47"/>
        <v>244.352</v>
      </c>
      <c r="AK1266" s="68">
        <f t="shared" si="48"/>
        <v>1771.552</v>
      </c>
      <c r="AL1266" s="70"/>
      <c r="AM1266" s="70"/>
      <c r="AN1266" s="71"/>
      <c r="AO1266" s="71"/>
      <c r="AP1266" s="71"/>
      <c r="AQ1266" s="71"/>
      <c r="AR1266" s="71"/>
      <c r="AS1266" s="71"/>
      <c r="AT1266" s="71"/>
      <c r="AU1266" s="71"/>
      <c r="AV1266" s="71"/>
      <c r="AW1266" s="71"/>
      <c r="AX1266" s="71"/>
      <c r="AY1266" s="71"/>
      <c r="AZ1266" s="71"/>
      <c r="BA1266" s="71"/>
      <c r="BB1266" s="71"/>
      <c r="BC1266" s="71"/>
      <c r="BD1266" s="71"/>
      <c r="BE1266" s="71"/>
      <c r="BF1266" s="71"/>
      <c r="BG1266" s="71"/>
      <c r="BH1266" s="71"/>
      <c r="BI1266" s="71"/>
      <c r="BJ1266" s="71"/>
      <c r="BK1266" s="71"/>
      <c r="BL1266" s="71"/>
      <c r="BM1266" s="71"/>
      <c r="BN1266" s="71"/>
      <c r="BO1266" s="71"/>
      <c r="BP1266" s="71"/>
      <c r="BQ1266" s="71"/>
      <c r="BR1266" s="71"/>
      <c r="BS1266" s="71"/>
      <c r="BT1266" s="71"/>
      <c r="BU1266" s="71"/>
      <c r="BV1266" s="71"/>
    </row>
    <row r="1267">
      <c r="A1267" s="53"/>
      <c r="B1267" s="53"/>
      <c r="C1267" s="53"/>
      <c r="D1267" s="53" t="s">
        <v>3099</v>
      </c>
      <c r="E1267" s="55" t="s">
        <v>38</v>
      </c>
      <c r="F1267" s="91" t="s">
        <v>42</v>
      </c>
      <c r="G1267" s="84" t="s">
        <v>3100</v>
      </c>
      <c r="H1267" s="55"/>
      <c r="I1267" s="54">
        <f t="shared" si="24"/>
        <v>0</v>
      </c>
      <c r="J1267" s="56"/>
      <c r="K1267" s="57"/>
      <c r="L1267" s="55"/>
      <c r="M1267" s="59"/>
      <c r="N1267" s="60"/>
      <c r="O1267" s="90"/>
      <c r="P1267" s="62">
        <v>0.0</v>
      </c>
      <c r="Q1267" s="63">
        <v>0.0</v>
      </c>
      <c r="R1267" s="64">
        <v>0.0</v>
      </c>
      <c r="S1267" s="111">
        <v>0.0</v>
      </c>
      <c r="T1267" s="65">
        <f t="shared" si="39"/>
        <v>0</v>
      </c>
      <c r="U1267" s="65">
        <f t="shared" si="40"/>
        <v>0</v>
      </c>
      <c r="V1267" s="66" t="str">
        <f t="shared" si="42"/>
        <v>#DIV/0!</v>
      </c>
      <c r="W1267" s="67">
        <f t="shared" si="5"/>
        <v>0</v>
      </c>
      <c r="X1267" s="67">
        <f t="shared" si="43"/>
        <v>0</v>
      </c>
      <c r="Y1267" s="67">
        <f t="shared" si="44"/>
        <v>0</v>
      </c>
      <c r="Z1267" s="67">
        <f t="shared" si="8"/>
        <v>0</v>
      </c>
      <c r="AA1267" s="67">
        <f t="shared" si="45"/>
        <v>0</v>
      </c>
      <c r="AB1267" s="67">
        <f t="shared" si="46"/>
        <v>0</v>
      </c>
      <c r="AC1267" s="67">
        <f t="shared" si="11"/>
        <v>0</v>
      </c>
      <c r="AD1267" s="67">
        <f t="shared" si="12"/>
        <v>0</v>
      </c>
      <c r="AE1267" s="67">
        <f t="shared" si="13"/>
        <v>0</v>
      </c>
      <c r="AF1267" s="67">
        <f t="shared" si="33"/>
        <v>0</v>
      </c>
      <c r="AG1267" s="67">
        <f t="shared" si="15"/>
        <v>0</v>
      </c>
      <c r="AH1267" s="67">
        <f t="shared" si="16"/>
        <v>0</v>
      </c>
      <c r="AI1267" s="67">
        <f t="shared" si="17"/>
        <v>0</v>
      </c>
      <c r="AJ1267" s="68">
        <f t="shared" si="47"/>
        <v>0</v>
      </c>
      <c r="AK1267" s="68">
        <f t="shared" si="48"/>
        <v>0</v>
      </c>
      <c r="AL1267" s="70"/>
      <c r="AM1267" s="70"/>
      <c r="AN1267" s="71"/>
      <c r="AO1267" s="71"/>
      <c r="AP1267" s="71"/>
      <c r="AQ1267" s="71"/>
      <c r="AR1267" s="71"/>
      <c r="AS1267" s="71"/>
      <c r="AT1267" s="71"/>
      <c r="AU1267" s="71"/>
      <c r="AV1267" s="71"/>
      <c r="AW1267" s="71"/>
      <c r="AX1267" s="71"/>
      <c r="AY1267" s="71"/>
      <c r="AZ1267" s="71"/>
      <c r="BA1267" s="71"/>
      <c r="BB1267" s="71"/>
      <c r="BC1267" s="71"/>
      <c r="BD1267" s="71"/>
      <c r="BE1267" s="71"/>
      <c r="BF1267" s="71"/>
      <c r="BG1267" s="71"/>
      <c r="BH1267" s="71"/>
      <c r="BI1267" s="71"/>
      <c r="BJ1267" s="71"/>
      <c r="BK1267" s="71"/>
      <c r="BL1267" s="71"/>
      <c r="BM1267" s="71"/>
      <c r="BN1267" s="71"/>
      <c r="BO1267" s="71"/>
      <c r="BP1267" s="71"/>
      <c r="BQ1267" s="71"/>
      <c r="BR1267" s="71"/>
      <c r="BS1267" s="71"/>
      <c r="BT1267" s="71"/>
      <c r="BU1267" s="71"/>
      <c r="BV1267" s="71"/>
    </row>
    <row r="1268">
      <c r="A1268" s="53"/>
      <c r="B1268" s="53"/>
      <c r="C1268" s="73" t="s">
        <v>53</v>
      </c>
      <c r="D1268" s="53" t="s">
        <v>3101</v>
      </c>
      <c r="E1268" s="54" t="s">
        <v>38</v>
      </c>
      <c r="F1268" s="54" t="s">
        <v>42</v>
      </c>
      <c r="G1268" s="55" t="s">
        <v>3102</v>
      </c>
      <c r="H1268" s="54" t="s">
        <v>3103</v>
      </c>
      <c r="I1268" s="54">
        <f t="shared" si="24"/>
        <v>35</v>
      </c>
      <c r="J1268" s="56"/>
      <c r="K1268" s="57"/>
      <c r="L1268" s="76"/>
      <c r="M1268" s="59"/>
      <c r="N1268" s="79">
        <v>1400.0</v>
      </c>
      <c r="O1268" s="61">
        <v>1512.0</v>
      </c>
      <c r="P1268" s="62">
        <v>1632.96</v>
      </c>
      <c r="Q1268" s="63">
        <v>1632.96</v>
      </c>
      <c r="R1268" s="64">
        <v>1715.0</v>
      </c>
      <c r="S1268" s="111">
        <v>1801.0</v>
      </c>
      <c r="T1268" s="65">
        <f t="shared" si="39"/>
        <v>288.16</v>
      </c>
      <c r="U1268" s="65">
        <f t="shared" si="40"/>
        <v>2089.16</v>
      </c>
      <c r="V1268" s="66">
        <f t="shared" si="42"/>
        <v>0.05014577259</v>
      </c>
      <c r="W1268" s="67">
        <f t="shared" si="5"/>
        <v>1710.95</v>
      </c>
      <c r="X1268" s="67">
        <f t="shared" si="43"/>
        <v>273.752</v>
      </c>
      <c r="Y1268" s="67">
        <f t="shared" si="44"/>
        <v>1984.702</v>
      </c>
      <c r="Z1268" s="67">
        <f t="shared" si="8"/>
        <v>1620.9</v>
      </c>
      <c r="AA1268" s="67">
        <f t="shared" si="45"/>
        <v>259.344</v>
      </c>
      <c r="AB1268" s="67">
        <f t="shared" si="46"/>
        <v>1880.244</v>
      </c>
      <c r="AC1268" s="67">
        <f t="shared" si="11"/>
        <v>1530.85</v>
      </c>
      <c r="AD1268" s="67">
        <f t="shared" si="12"/>
        <v>244.936</v>
      </c>
      <c r="AE1268" s="67">
        <f t="shared" si="13"/>
        <v>1775.786</v>
      </c>
      <c r="AF1268" s="67">
        <f t="shared" si="33"/>
        <v>1494.83</v>
      </c>
      <c r="AG1268" s="67">
        <f t="shared" si="15"/>
        <v>239.1728</v>
      </c>
      <c r="AH1268" s="67">
        <f t="shared" si="16"/>
        <v>1734.0028</v>
      </c>
      <c r="AI1268" s="67">
        <f t="shared" si="17"/>
        <v>1440.8</v>
      </c>
      <c r="AJ1268" s="68">
        <f t="shared" si="47"/>
        <v>230.528</v>
      </c>
      <c r="AK1268" s="68">
        <f t="shared" si="48"/>
        <v>1671.328</v>
      </c>
      <c r="AL1268" s="70"/>
      <c r="AM1268" s="70"/>
      <c r="AN1268" s="71"/>
      <c r="AO1268" s="71"/>
      <c r="AP1268" s="71"/>
      <c r="AQ1268" s="71"/>
      <c r="AR1268" s="71"/>
      <c r="AS1268" s="71"/>
      <c r="AT1268" s="71"/>
      <c r="AU1268" s="71"/>
      <c r="AV1268" s="71"/>
      <c r="AW1268" s="71"/>
      <c r="AX1268" s="71"/>
      <c r="AY1268" s="71"/>
      <c r="AZ1268" s="71"/>
      <c r="BA1268" s="71"/>
      <c r="BB1268" s="71"/>
      <c r="BC1268" s="71"/>
      <c r="BD1268" s="71"/>
      <c r="BE1268" s="71"/>
      <c r="BF1268" s="71"/>
      <c r="BG1268" s="71"/>
      <c r="BH1268" s="71"/>
      <c r="BI1268" s="71"/>
      <c r="BJ1268" s="71"/>
      <c r="BK1268" s="71"/>
      <c r="BL1268" s="71"/>
      <c r="BM1268" s="71"/>
      <c r="BN1268" s="71"/>
      <c r="BO1268" s="71"/>
      <c r="BP1268" s="71"/>
      <c r="BQ1268" s="71"/>
      <c r="BR1268" s="71"/>
      <c r="BS1268" s="71"/>
      <c r="BT1268" s="71"/>
      <c r="BU1268" s="71"/>
      <c r="BV1268" s="71"/>
    </row>
    <row r="1269">
      <c r="A1269" s="53"/>
      <c r="B1269" s="53"/>
      <c r="C1269" s="53" t="s">
        <v>36</v>
      </c>
      <c r="D1269" s="85" t="s">
        <v>3104</v>
      </c>
      <c r="E1269" s="54" t="s">
        <v>38</v>
      </c>
      <c r="F1269" s="55" t="s">
        <v>39</v>
      </c>
      <c r="G1269" s="86" t="s">
        <v>3105</v>
      </c>
      <c r="H1269" s="55"/>
      <c r="I1269" s="54">
        <f t="shared" si="24"/>
        <v>0</v>
      </c>
      <c r="J1269" s="56"/>
      <c r="K1269" s="57"/>
      <c r="L1269" s="76"/>
      <c r="M1269" s="59"/>
      <c r="N1269" s="60"/>
      <c r="O1269" s="61">
        <v>2415.36</v>
      </c>
      <c r="P1269" s="62">
        <v>2608.5888000000004</v>
      </c>
      <c r="Q1269" s="63">
        <v>2608.5888000000004</v>
      </c>
      <c r="R1269" s="64">
        <v>2740.0</v>
      </c>
      <c r="S1269" s="107">
        <v>2877.0</v>
      </c>
      <c r="T1269" s="65">
        <f t="shared" si="39"/>
        <v>460.32</v>
      </c>
      <c r="U1269" s="65">
        <f t="shared" si="40"/>
        <v>3337.32</v>
      </c>
      <c r="V1269" s="66">
        <f t="shared" si="42"/>
        <v>0.05</v>
      </c>
      <c r="W1269" s="67">
        <f t="shared" si="5"/>
        <v>2733.15</v>
      </c>
      <c r="X1269" s="67">
        <f t="shared" si="43"/>
        <v>437.304</v>
      </c>
      <c r="Y1269" s="67">
        <f t="shared" si="44"/>
        <v>3170.454</v>
      </c>
      <c r="Z1269" s="67">
        <f t="shared" si="8"/>
        <v>2589.3</v>
      </c>
      <c r="AA1269" s="67">
        <f t="shared" si="45"/>
        <v>414.288</v>
      </c>
      <c r="AB1269" s="67">
        <f t="shared" si="46"/>
        <v>3003.588</v>
      </c>
      <c r="AC1269" s="67">
        <f t="shared" si="11"/>
        <v>2445.45</v>
      </c>
      <c r="AD1269" s="67">
        <f t="shared" si="12"/>
        <v>391.272</v>
      </c>
      <c r="AE1269" s="67">
        <f t="shared" si="13"/>
        <v>2836.722</v>
      </c>
      <c r="AF1269" s="67">
        <f t="shared" si="33"/>
        <v>2387.91</v>
      </c>
      <c r="AG1269" s="67">
        <f t="shared" si="15"/>
        <v>382.0656</v>
      </c>
      <c r="AH1269" s="67">
        <f t="shared" si="16"/>
        <v>2769.9756</v>
      </c>
      <c r="AI1269" s="67">
        <f t="shared" si="17"/>
        <v>2301.6</v>
      </c>
      <c r="AJ1269" s="68">
        <f t="shared" si="47"/>
        <v>368.256</v>
      </c>
      <c r="AK1269" s="68">
        <f t="shared" si="48"/>
        <v>2669.856</v>
      </c>
      <c r="AL1269" s="70"/>
      <c r="AM1269" s="70"/>
      <c r="AN1269" s="71"/>
      <c r="AO1269" s="71"/>
      <c r="AP1269" s="71"/>
      <c r="AQ1269" s="71"/>
      <c r="AR1269" s="71"/>
      <c r="AS1269" s="71"/>
      <c r="AT1269" s="71"/>
      <c r="AU1269" s="71"/>
      <c r="AV1269" s="71"/>
      <c r="AW1269" s="71"/>
      <c r="AX1269" s="71"/>
      <c r="AY1269" s="71"/>
      <c r="AZ1269" s="71"/>
      <c r="BA1269" s="71"/>
      <c r="BB1269" s="71"/>
      <c r="BC1269" s="71"/>
      <c r="BD1269" s="71"/>
      <c r="BE1269" s="71"/>
      <c r="BF1269" s="71"/>
      <c r="BG1269" s="71"/>
      <c r="BH1269" s="71"/>
      <c r="BI1269" s="71"/>
      <c r="BJ1269" s="71"/>
      <c r="BK1269" s="71"/>
      <c r="BL1269" s="71"/>
      <c r="BM1269" s="71"/>
      <c r="BN1269" s="71"/>
      <c r="BO1269" s="71"/>
      <c r="BP1269" s="71"/>
      <c r="BQ1269" s="71"/>
      <c r="BR1269" s="71"/>
      <c r="BS1269" s="71"/>
      <c r="BT1269" s="71"/>
      <c r="BU1269" s="71"/>
      <c r="BV1269" s="71"/>
    </row>
    <row r="1270">
      <c r="A1270" s="53"/>
      <c r="B1270" s="53">
        <v>4.0</v>
      </c>
      <c r="C1270" s="73" t="s">
        <v>12</v>
      </c>
      <c r="D1270" s="53" t="s">
        <v>3106</v>
      </c>
      <c r="E1270" s="54" t="s">
        <v>38</v>
      </c>
      <c r="F1270" s="54" t="s">
        <v>42</v>
      </c>
      <c r="G1270" s="55" t="s">
        <v>3107</v>
      </c>
      <c r="H1270" s="55" t="s">
        <v>3107</v>
      </c>
      <c r="I1270" s="54">
        <f t="shared" si="24"/>
        <v>39</v>
      </c>
      <c r="J1270" s="56"/>
      <c r="K1270" s="57"/>
      <c r="L1270" s="87"/>
      <c r="M1270" s="59"/>
      <c r="N1270" s="60"/>
      <c r="O1270" s="90"/>
      <c r="P1270" s="62">
        <v>330.0</v>
      </c>
      <c r="Q1270" s="63">
        <v>330.0</v>
      </c>
      <c r="R1270" s="64">
        <v>347.0</v>
      </c>
      <c r="S1270" s="111">
        <v>364.0</v>
      </c>
      <c r="T1270" s="65">
        <f t="shared" si="39"/>
        <v>58.24</v>
      </c>
      <c r="U1270" s="65">
        <f t="shared" si="40"/>
        <v>422.24</v>
      </c>
      <c r="V1270" s="66">
        <f t="shared" si="42"/>
        <v>0.04899135447</v>
      </c>
      <c r="W1270" s="67">
        <f t="shared" si="5"/>
        <v>364</v>
      </c>
      <c r="X1270" s="67">
        <f t="shared" si="43"/>
        <v>58.24</v>
      </c>
      <c r="Y1270" s="67">
        <f t="shared" si="44"/>
        <v>422.24</v>
      </c>
      <c r="Z1270" s="67">
        <f t="shared" si="8"/>
        <v>364</v>
      </c>
      <c r="AA1270" s="67">
        <f t="shared" si="45"/>
        <v>58.24</v>
      </c>
      <c r="AB1270" s="67">
        <f t="shared" si="46"/>
        <v>422.24</v>
      </c>
      <c r="AC1270" s="67">
        <f t="shared" si="11"/>
        <v>364</v>
      </c>
      <c r="AD1270" s="67">
        <f t="shared" si="12"/>
        <v>58.24</v>
      </c>
      <c r="AE1270" s="67">
        <f t="shared" si="13"/>
        <v>422.24</v>
      </c>
      <c r="AF1270" s="67">
        <f t="shared" si="33"/>
        <v>364</v>
      </c>
      <c r="AG1270" s="67">
        <f t="shared" si="15"/>
        <v>58.24</v>
      </c>
      <c r="AH1270" s="67">
        <f t="shared" si="16"/>
        <v>422.24</v>
      </c>
      <c r="AI1270" s="67">
        <f t="shared" si="17"/>
        <v>364</v>
      </c>
      <c r="AJ1270" s="68">
        <f t="shared" si="47"/>
        <v>58.24</v>
      </c>
      <c r="AK1270" s="68">
        <f t="shared" si="48"/>
        <v>422.24</v>
      </c>
      <c r="AL1270" s="70"/>
      <c r="AM1270" s="70"/>
      <c r="AN1270" s="71"/>
      <c r="AO1270" s="71"/>
      <c r="AP1270" s="71"/>
      <c r="AQ1270" s="71"/>
      <c r="AR1270" s="71"/>
      <c r="AS1270" s="71"/>
      <c r="AT1270" s="71"/>
      <c r="AU1270" s="71"/>
      <c r="AV1270" s="71"/>
      <c r="AW1270" s="71"/>
      <c r="AX1270" s="71"/>
      <c r="AY1270" s="71"/>
      <c r="AZ1270" s="71"/>
      <c r="BA1270" s="71"/>
      <c r="BB1270" s="71"/>
      <c r="BC1270" s="71"/>
      <c r="BD1270" s="71"/>
      <c r="BE1270" s="71"/>
      <c r="BF1270" s="71"/>
      <c r="BG1270" s="71"/>
      <c r="BH1270" s="71"/>
      <c r="BI1270" s="71"/>
      <c r="BJ1270" s="71"/>
      <c r="BK1270" s="71"/>
      <c r="BL1270" s="71"/>
      <c r="BM1270" s="71"/>
      <c r="BN1270" s="71"/>
      <c r="BO1270" s="71"/>
      <c r="BP1270" s="71"/>
      <c r="BQ1270" s="71"/>
      <c r="BR1270" s="71"/>
      <c r="BS1270" s="71"/>
      <c r="BT1270" s="71"/>
      <c r="BU1270" s="71"/>
      <c r="BV1270" s="71"/>
    </row>
    <row r="1271">
      <c r="A1271" s="53"/>
      <c r="B1271" s="53"/>
      <c r="C1271" s="73" t="s">
        <v>603</v>
      </c>
      <c r="D1271" s="128" t="s">
        <v>3108</v>
      </c>
      <c r="E1271" s="54" t="s">
        <v>38</v>
      </c>
      <c r="F1271" s="54" t="s">
        <v>42</v>
      </c>
      <c r="G1271" s="130" t="s">
        <v>3109</v>
      </c>
      <c r="H1271" s="54" t="s">
        <v>3110</v>
      </c>
      <c r="I1271" s="54">
        <f t="shared" si="24"/>
        <v>32</v>
      </c>
      <c r="J1271" s="56"/>
      <c r="K1271" s="57"/>
      <c r="L1271" s="76"/>
      <c r="M1271" s="59"/>
      <c r="N1271" s="60">
        <v>829.5</v>
      </c>
      <c r="O1271" s="129">
        <v>895.0</v>
      </c>
      <c r="P1271" s="62">
        <v>966.6</v>
      </c>
      <c r="Q1271" s="63">
        <v>966.6</v>
      </c>
      <c r="R1271" s="64">
        <v>1016.0</v>
      </c>
      <c r="S1271" s="111">
        <v>1067.0</v>
      </c>
      <c r="T1271" s="65">
        <f t="shared" si="39"/>
        <v>170.72</v>
      </c>
      <c r="U1271" s="65">
        <f t="shared" si="40"/>
        <v>1237.72</v>
      </c>
      <c r="V1271" s="66">
        <f t="shared" si="42"/>
        <v>0.05019685039</v>
      </c>
      <c r="W1271" s="67">
        <f t="shared" si="5"/>
        <v>1013.65</v>
      </c>
      <c r="X1271" s="67">
        <f t="shared" si="43"/>
        <v>162.184</v>
      </c>
      <c r="Y1271" s="67">
        <f t="shared" si="44"/>
        <v>1175.834</v>
      </c>
      <c r="Z1271" s="67">
        <f t="shared" si="8"/>
        <v>960.3</v>
      </c>
      <c r="AA1271" s="67">
        <f t="shared" si="45"/>
        <v>153.648</v>
      </c>
      <c r="AB1271" s="67">
        <f t="shared" si="46"/>
        <v>1113.948</v>
      </c>
      <c r="AC1271" s="67">
        <f t="shared" si="11"/>
        <v>906.95</v>
      </c>
      <c r="AD1271" s="67">
        <f t="shared" si="12"/>
        <v>145.112</v>
      </c>
      <c r="AE1271" s="67">
        <f t="shared" si="13"/>
        <v>1052.062</v>
      </c>
      <c r="AF1271" s="67">
        <f t="shared" si="33"/>
        <v>885.61</v>
      </c>
      <c r="AG1271" s="67">
        <f t="shared" si="15"/>
        <v>141.6976</v>
      </c>
      <c r="AH1271" s="67">
        <f t="shared" si="16"/>
        <v>1027.3076</v>
      </c>
      <c r="AI1271" s="67">
        <f t="shared" si="17"/>
        <v>853.6</v>
      </c>
      <c r="AJ1271" s="68">
        <f t="shared" si="47"/>
        <v>136.576</v>
      </c>
      <c r="AK1271" s="68">
        <f t="shared" si="48"/>
        <v>990.176</v>
      </c>
      <c r="AL1271" s="70"/>
      <c r="AM1271" s="70"/>
      <c r="AN1271" s="71"/>
      <c r="AO1271" s="71"/>
      <c r="AP1271" s="71"/>
      <c r="AQ1271" s="71"/>
      <c r="AR1271" s="71"/>
      <c r="AS1271" s="71"/>
      <c r="AT1271" s="71"/>
      <c r="AU1271" s="71"/>
      <c r="AV1271" s="71"/>
      <c r="AW1271" s="71"/>
      <c r="AX1271" s="71"/>
      <c r="AY1271" s="71"/>
      <c r="AZ1271" s="71"/>
      <c r="BA1271" s="71"/>
      <c r="BB1271" s="71"/>
      <c r="BC1271" s="71"/>
      <c r="BD1271" s="71"/>
      <c r="BE1271" s="71"/>
      <c r="BF1271" s="71"/>
      <c r="BG1271" s="71"/>
      <c r="BH1271" s="71"/>
      <c r="BI1271" s="71"/>
      <c r="BJ1271" s="71"/>
      <c r="BK1271" s="71"/>
      <c r="BL1271" s="71"/>
      <c r="BM1271" s="71"/>
      <c r="BN1271" s="71"/>
      <c r="BO1271" s="71"/>
      <c r="BP1271" s="71"/>
      <c r="BQ1271" s="71"/>
      <c r="BR1271" s="71"/>
      <c r="BS1271" s="71"/>
      <c r="BT1271" s="71"/>
      <c r="BU1271" s="71"/>
      <c r="BV1271" s="71"/>
    </row>
    <row r="1272">
      <c r="A1272" s="53"/>
      <c r="B1272" s="53"/>
      <c r="C1272" s="53" t="s">
        <v>53</v>
      </c>
      <c r="D1272" s="53" t="s">
        <v>3111</v>
      </c>
      <c r="E1272" s="54" t="s">
        <v>38</v>
      </c>
      <c r="F1272" s="54" t="s">
        <v>42</v>
      </c>
      <c r="G1272" s="55" t="s">
        <v>3112</v>
      </c>
      <c r="H1272" s="55" t="s">
        <v>3113</v>
      </c>
      <c r="I1272" s="54">
        <f t="shared" si="24"/>
        <v>38</v>
      </c>
      <c r="J1272" s="56"/>
      <c r="K1272" s="57"/>
      <c r="L1272" s="76"/>
      <c r="M1272" s="59"/>
      <c r="N1272" s="60"/>
      <c r="O1272" s="61">
        <v>432.0</v>
      </c>
      <c r="P1272" s="62">
        <v>466.56000000000006</v>
      </c>
      <c r="Q1272" s="63">
        <v>466.56000000000006</v>
      </c>
      <c r="R1272" s="64">
        <v>491.0</v>
      </c>
      <c r="S1272" s="111">
        <v>516.0</v>
      </c>
      <c r="T1272" s="65">
        <f t="shared" si="39"/>
        <v>82.56</v>
      </c>
      <c r="U1272" s="65">
        <f t="shared" si="40"/>
        <v>598.56</v>
      </c>
      <c r="V1272" s="66">
        <f t="shared" si="42"/>
        <v>0.05091649695</v>
      </c>
      <c r="W1272" s="67">
        <f t="shared" si="5"/>
        <v>490.2</v>
      </c>
      <c r="X1272" s="67">
        <f t="shared" si="43"/>
        <v>78.432</v>
      </c>
      <c r="Y1272" s="67">
        <f t="shared" si="44"/>
        <v>568.632</v>
      </c>
      <c r="Z1272" s="67">
        <f t="shared" si="8"/>
        <v>464.4</v>
      </c>
      <c r="AA1272" s="67">
        <f t="shared" si="45"/>
        <v>74.304</v>
      </c>
      <c r="AB1272" s="67">
        <f t="shared" si="46"/>
        <v>538.704</v>
      </c>
      <c r="AC1272" s="67">
        <f t="shared" si="11"/>
        <v>438.6</v>
      </c>
      <c r="AD1272" s="67">
        <f t="shared" si="12"/>
        <v>70.176</v>
      </c>
      <c r="AE1272" s="67">
        <f t="shared" si="13"/>
        <v>508.776</v>
      </c>
      <c r="AF1272" s="67">
        <f t="shared" si="33"/>
        <v>428.28</v>
      </c>
      <c r="AG1272" s="67">
        <f t="shared" si="15"/>
        <v>68.5248</v>
      </c>
      <c r="AH1272" s="67">
        <f t="shared" si="16"/>
        <v>496.8048</v>
      </c>
      <c r="AI1272" s="67">
        <f t="shared" si="17"/>
        <v>412.8</v>
      </c>
      <c r="AJ1272" s="68">
        <f t="shared" si="47"/>
        <v>66.048</v>
      </c>
      <c r="AK1272" s="68">
        <f t="shared" si="48"/>
        <v>478.848</v>
      </c>
      <c r="AL1272" s="70"/>
      <c r="AM1272" s="70"/>
      <c r="AN1272" s="71"/>
      <c r="AO1272" s="71"/>
      <c r="AP1272" s="71"/>
      <c r="AQ1272" s="71"/>
      <c r="AR1272" s="71"/>
      <c r="AS1272" s="71"/>
      <c r="AT1272" s="71"/>
      <c r="AU1272" s="71"/>
      <c r="AV1272" s="71"/>
      <c r="AW1272" s="71"/>
      <c r="AX1272" s="71"/>
      <c r="AY1272" s="71"/>
      <c r="AZ1272" s="71"/>
      <c r="BA1272" s="71"/>
      <c r="BB1272" s="71"/>
      <c r="BC1272" s="71"/>
      <c r="BD1272" s="71"/>
      <c r="BE1272" s="71"/>
      <c r="BF1272" s="71"/>
      <c r="BG1272" s="71"/>
      <c r="BH1272" s="71"/>
      <c r="BI1272" s="71"/>
      <c r="BJ1272" s="71"/>
      <c r="BK1272" s="71"/>
      <c r="BL1272" s="71"/>
      <c r="BM1272" s="71"/>
      <c r="BN1272" s="71"/>
      <c r="BO1272" s="71"/>
      <c r="BP1272" s="71"/>
      <c r="BQ1272" s="71"/>
      <c r="BR1272" s="71"/>
      <c r="BS1272" s="71"/>
      <c r="BT1272" s="71"/>
      <c r="BU1272" s="71"/>
      <c r="BV1272" s="71"/>
    </row>
    <row r="1273">
      <c r="A1273" s="53">
        <v>1.0</v>
      </c>
      <c r="B1273" s="72"/>
      <c r="C1273" s="73" t="s">
        <v>53</v>
      </c>
      <c r="D1273" s="53" t="s">
        <v>3114</v>
      </c>
      <c r="E1273" s="54" t="s">
        <v>77</v>
      </c>
      <c r="F1273" s="54" t="s">
        <v>42</v>
      </c>
      <c r="G1273" s="88" t="s">
        <v>3115</v>
      </c>
      <c r="H1273" s="54" t="s">
        <v>3116</v>
      </c>
      <c r="I1273" s="54">
        <f t="shared" si="24"/>
        <v>29</v>
      </c>
      <c r="J1273" s="56"/>
      <c r="K1273" s="57"/>
      <c r="L1273" s="76"/>
      <c r="M1273" s="59"/>
      <c r="N1273" s="60">
        <v>12135.0</v>
      </c>
      <c r="O1273" s="61">
        <v>13105.0</v>
      </c>
      <c r="P1273" s="62">
        <v>19810.0</v>
      </c>
      <c r="Q1273" s="63">
        <v>19810.0</v>
      </c>
      <c r="R1273" s="64">
        <v>20801.0</v>
      </c>
      <c r="S1273" s="111">
        <v>21841.0</v>
      </c>
      <c r="T1273" s="65">
        <f t="shared" si="39"/>
        <v>3494.56</v>
      </c>
      <c r="U1273" s="65">
        <f t="shared" si="40"/>
        <v>25335.56</v>
      </c>
      <c r="V1273" s="66">
        <f t="shared" si="42"/>
        <v>0.04999759627</v>
      </c>
      <c r="W1273" s="67">
        <f t="shared" si="5"/>
        <v>20748.95</v>
      </c>
      <c r="X1273" s="67">
        <f t="shared" si="43"/>
        <v>3319.832</v>
      </c>
      <c r="Y1273" s="67">
        <f t="shared" si="44"/>
        <v>24068.782</v>
      </c>
      <c r="Z1273" s="67">
        <f t="shared" si="8"/>
        <v>19656.9</v>
      </c>
      <c r="AA1273" s="67">
        <f t="shared" si="45"/>
        <v>3145.104</v>
      </c>
      <c r="AB1273" s="67">
        <f t="shared" si="46"/>
        <v>22802.004</v>
      </c>
      <c r="AC1273" s="67">
        <f t="shared" si="11"/>
        <v>18564.85</v>
      </c>
      <c r="AD1273" s="67">
        <f t="shared" si="12"/>
        <v>2970.376</v>
      </c>
      <c r="AE1273" s="67">
        <f t="shared" si="13"/>
        <v>21535.226</v>
      </c>
      <c r="AF1273" s="67">
        <f t="shared" si="33"/>
        <v>18128.03</v>
      </c>
      <c r="AG1273" s="67">
        <f t="shared" si="15"/>
        <v>2900.4848</v>
      </c>
      <c r="AH1273" s="67">
        <f t="shared" si="16"/>
        <v>21028.5148</v>
      </c>
      <c r="AI1273" s="67">
        <f t="shared" si="17"/>
        <v>17472.8</v>
      </c>
      <c r="AJ1273" s="68">
        <f t="shared" si="47"/>
        <v>2795.648</v>
      </c>
      <c r="AK1273" s="68">
        <f t="shared" si="48"/>
        <v>20268.448</v>
      </c>
      <c r="AL1273" s="70"/>
      <c r="AM1273" s="70"/>
      <c r="AN1273" s="71"/>
      <c r="AO1273" s="71"/>
      <c r="AP1273" s="71"/>
      <c r="AQ1273" s="71"/>
      <c r="AR1273" s="71"/>
      <c r="AS1273" s="71"/>
      <c r="AT1273" s="71"/>
      <c r="AU1273" s="71"/>
      <c r="AV1273" s="71"/>
      <c r="AW1273" s="71"/>
      <c r="AX1273" s="71"/>
      <c r="AY1273" s="71"/>
      <c r="AZ1273" s="71"/>
      <c r="BA1273" s="71"/>
      <c r="BB1273" s="71"/>
      <c r="BC1273" s="71"/>
      <c r="BD1273" s="71"/>
      <c r="BE1273" s="71"/>
      <c r="BF1273" s="71"/>
      <c r="BG1273" s="71"/>
      <c r="BH1273" s="71"/>
      <c r="BI1273" s="71"/>
      <c r="BJ1273" s="71"/>
      <c r="BK1273" s="71"/>
      <c r="BL1273" s="71"/>
      <c r="BM1273" s="71"/>
      <c r="BN1273" s="71"/>
      <c r="BO1273" s="71"/>
      <c r="BP1273" s="71"/>
      <c r="BQ1273" s="71"/>
      <c r="BR1273" s="71"/>
      <c r="BS1273" s="71"/>
      <c r="BT1273" s="71"/>
      <c r="BU1273" s="71"/>
      <c r="BV1273" s="71"/>
    </row>
    <row r="1274">
      <c r="A1274" s="53">
        <v>1.0</v>
      </c>
      <c r="B1274" s="72"/>
      <c r="C1274" s="73" t="s">
        <v>53</v>
      </c>
      <c r="D1274" s="53" t="s">
        <v>3117</v>
      </c>
      <c r="E1274" s="54" t="s">
        <v>77</v>
      </c>
      <c r="F1274" s="54" t="s">
        <v>42</v>
      </c>
      <c r="G1274" s="88" t="s">
        <v>3118</v>
      </c>
      <c r="H1274" s="54" t="s">
        <v>3119</v>
      </c>
      <c r="I1274" s="54">
        <f t="shared" si="24"/>
        <v>34</v>
      </c>
      <c r="J1274" s="56"/>
      <c r="K1274" s="57"/>
      <c r="L1274" s="76"/>
      <c r="M1274" s="59"/>
      <c r="N1274" s="60">
        <v>5935.0</v>
      </c>
      <c r="O1274" s="61">
        <v>6409.0</v>
      </c>
      <c r="P1274" s="62">
        <v>9690.0</v>
      </c>
      <c r="Q1274" s="63">
        <v>9690.0</v>
      </c>
      <c r="R1274" s="64">
        <v>10175.0</v>
      </c>
      <c r="S1274" s="111">
        <v>10684.0</v>
      </c>
      <c r="T1274" s="65">
        <f t="shared" si="39"/>
        <v>1709.44</v>
      </c>
      <c r="U1274" s="65">
        <f t="shared" si="40"/>
        <v>12393.44</v>
      </c>
      <c r="V1274" s="66">
        <f t="shared" si="42"/>
        <v>0.05002457002</v>
      </c>
      <c r="W1274" s="67">
        <f t="shared" si="5"/>
        <v>10149.8</v>
      </c>
      <c r="X1274" s="67">
        <f t="shared" si="43"/>
        <v>1623.968</v>
      </c>
      <c r="Y1274" s="67">
        <f t="shared" si="44"/>
        <v>11773.768</v>
      </c>
      <c r="Z1274" s="67">
        <f t="shared" si="8"/>
        <v>9615.6</v>
      </c>
      <c r="AA1274" s="67">
        <f t="shared" si="45"/>
        <v>1538.496</v>
      </c>
      <c r="AB1274" s="67">
        <f t="shared" si="46"/>
        <v>11154.096</v>
      </c>
      <c r="AC1274" s="67">
        <f t="shared" si="11"/>
        <v>9081.4</v>
      </c>
      <c r="AD1274" s="67">
        <f t="shared" si="12"/>
        <v>1453.024</v>
      </c>
      <c r="AE1274" s="67">
        <f t="shared" si="13"/>
        <v>10534.424</v>
      </c>
      <c r="AF1274" s="67">
        <f t="shared" si="33"/>
        <v>8867.72</v>
      </c>
      <c r="AG1274" s="67">
        <f t="shared" si="15"/>
        <v>1418.8352</v>
      </c>
      <c r="AH1274" s="67">
        <f t="shared" si="16"/>
        <v>10286.5552</v>
      </c>
      <c r="AI1274" s="67">
        <f t="shared" si="17"/>
        <v>8547.2</v>
      </c>
      <c r="AJ1274" s="68">
        <f t="shared" si="47"/>
        <v>1367.552</v>
      </c>
      <c r="AK1274" s="68">
        <f t="shared" si="48"/>
        <v>9914.752</v>
      </c>
      <c r="AL1274" s="70"/>
      <c r="AM1274" s="70"/>
      <c r="AN1274" s="71"/>
      <c r="AO1274" s="71"/>
      <c r="AP1274" s="71"/>
      <c r="AQ1274" s="71"/>
      <c r="AR1274" s="71"/>
      <c r="AS1274" s="71"/>
      <c r="AT1274" s="71"/>
      <c r="AU1274" s="71"/>
      <c r="AV1274" s="71"/>
      <c r="AW1274" s="71"/>
      <c r="AX1274" s="71"/>
      <c r="AY1274" s="71"/>
      <c r="AZ1274" s="71"/>
      <c r="BA1274" s="71"/>
      <c r="BB1274" s="71"/>
      <c r="BC1274" s="71"/>
      <c r="BD1274" s="71"/>
      <c r="BE1274" s="71"/>
      <c r="BF1274" s="71"/>
      <c r="BG1274" s="71"/>
      <c r="BH1274" s="71"/>
      <c r="BI1274" s="71"/>
      <c r="BJ1274" s="71"/>
      <c r="BK1274" s="71"/>
      <c r="BL1274" s="71"/>
      <c r="BM1274" s="71"/>
      <c r="BN1274" s="71"/>
      <c r="BO1274" s="71"/>
      <c r="BP1274" s="71"/>
      <c r="BQ1274" s="71"/>
      <c r="BR1274" s="71"/>
      <c r="BS1274" s="71"/>
      <c r="BT1274" s="71"/>
      <c r="BU1274" s="71"/>
      <c r="BV1274" s="71"/>
    </row>
    <row r="1275">
      <c r="A1275" s="53"/>
      <c r="B1275" s="53"/>
      <c r="C1275" s="73" t="s">
        <v>53</v>
      </c>
      <c r="D1275" s="53" t="s">
        <v>3120</v>
      </c>
      <c r="E1275" s="54" t="s">
        <v>77</v>
      </c>
      <c r="F1275" s="55" t="s">
        <v>309</v>
      </c>
      <c r="G1275" s="54" t="s">
        <v>3118</v>
      </c>
      <c r="H1275" s="55"/>
      <c r="I1275" s="54">
        <f t="shared" si="24"/>
        <v>0</v>
      </c>
      <c r="J1275" s="56"/>
      <c r="K1275" s="57"/>
      <c r="L1275" s="76"/>
      <c r="M1275" s="59"/>
      <c r="N1275" s="60"/>
      <c r="O1275" s="90">
        <v>6409.0</v>
      </c>
      <c r="P1275" s="62">
        <v>9690.0</v>
      </c>
      <c r="Q1275" s="63">
        <v>9690.0</v>
      </c>
      <c r="R1275" s="64">
        <v>10175.0</v>
      </c>
      <c r="S1275" s="111">
        <v>10684.0</v>
      </c>
      <c r="T1275" s="65">
        <f t="shared" si="39"/>
        <v>1709.44</v>
      </c>
      <c r="U1275" s="65">
        <f t="shared" si="40"/>
        <v>12393.44</v>
      </c>
      <c r="V1275" s="66">
        <f t="shared" si="42"/>
        <v>0.05002457002</v>
      </c>
      <c r="W1275" s="67">
        <f t="shared" si="5"/>
        <v>10149.8</v>
      </c>
      <c r="X1275" s="67">
        <f t="shared" si="43"/>
        <v>1623.968</v>
      </c>
      <c r="Y1275" s="67">
        <f t="shared" si="44"/>
        <v>11773.768</v>
      </c>
      <c r="Z1275" s="67">
        <f t="shared" si="8"/>
        <v>9615.6</v>
      </c>
      <c r="AA1275" s="67">
        <f t="shared" si="45"/>
        <v>1538.496</v>
      </c>
      <c r="AB1275" s="67">
        <f t="shared" si="46"/>
        <v>11154.096</v>
      </c>
      <c r="AC1275" s="67">
        <f t="shared" si="11"/>
        <v>9081.4</v>
      </c>
      <c r="AD1275" s="67">
        <f t="shared" si="12"/>
        <v>1453.024</v>
      </c>
      <c r="AE1275" s="67">
        <f t="shared" si="13"/>
        <v>10534.424</v>
      </c>
      <c r="AF1275" s="67">
        <f t="shared" si="33"/>
        <v>8867.72</v>
      </c>
      <c r="AG1275" s="67">
        <f t="shared" si="15"/>
        <v>1418.8352</v>
      </c>
      <c r="AH1275" s="67">
        <f t="shared" si="16"/>
        <v>10286.5552</v>
      </c>
      <c r="AI1275" s="67">
        <f t="shared" si="17"/>
        <v>8547.2</v>
      </c>
      <c r="AJ1275" s="68">
        <f t="shared" si="47"/>
        <v>1367.552</v>
      </c>
      <c r="AK1275" s="68">
        <f t="shared" si="48"/>
        <v>9914.752</v>
      </c>
      <c r="AL1275" s="70"/>
      <c r="AM1275" s="70"/>
      <c r="AN1275" s="71"/>
      <c r="AO1275" s="71"/>
      <c r="AP1275" s="71"/>
      <c r="AQ1275" s="71"/>
      <c r="AR1275" s="71"/>
      <c r="AS1275" s="71"/>
      <c r="AT1275" s="71"/>
      <c r="AU1275" s="71"/>
      <c r="AV1275" s="71"/>
      <c r="AW1275" s="71"/>
      <c r="AX1275" s="71"/>
      <c r="AY1275" s="71"/>
      <c r="AZ1275" s="71"/>
      <c r="BA1275" s="71"/>
      <c r="BB1275" s="71"/>
      <c r="BC1275" s="71"/>
      <c r="BD1275" s="71"/>
      <c r="BE1275" s="71"/>
      <c r="BF1275" s="71"/>
      <c r="BG1275" s="71"/>
      <c r="BH1275" s="71"/>
      <c r="BI1275" s="71"/>
      <c r="BJ1275" s="71"/>
      <c r="BK1275" s="71"/>
      <c r="BL1275" s="71"/>
      <c r="BM1275" s="71"/>
      <c r="BN1275" s="71"/>
      <c r="BO1275" s="71"/>
      <c r="BP1275" s="71"/>
      <c r="BQ1275" s="71"/>
      <c r="BR1275" s="71"/>
      <c r="BS1275" s="71"/>
      <c r="BT1275" s="71"/>
      <c r="BU1275" s="71"/>
      <c r="BV1275" s="71"/>
    </row>
    <row r="1276">
      <c r="A1276" s="53"/>
      <c r="B1276" s="53"/>
      <c r="C1276" s="53"/>
      <c r="D1276" s="53" t="s">
        <v>3121</v>
      </c>
      <c r="E1276" s="86" t="s">
        <v>77</v>
      </c>
      <c r="F1276" s="91" t="s">
        <v>42</v>
      </c>
      <c r="G1276" s="84" t="s">
        <v>3118</v>
      </c>
      <c r="H1276" s="55"/>
      <c r="I1276" s="54">
        <f t="shared" si="24"/>
        <v>0</v>
      </c>
      <c r="J1276" s="56"/>
      <c r="K1276" s="57"/>
      <c r="L1276" s="87"/>
      <c r="M1276" s="59"/>
      <c r="N1276" s="60"/>
      <c r="O1276" s="90"/>
      <c r="P1276" s="62">
        <v>0.0</v>
      </c>
      <c r="Q1276" s="63">
        <v>0.0</v>
      </c>
      <c r="R1276" s="64">
        <v>0.0</v>
      </c>
      <c r="S1276" s="111">
        <v>0.0</v>
      </c>
      <c r="T1276" s="65">
        <f t="shared" si="39"/>
        <v>0</v>
      </c>
      <c r="U1276" s="65">
        <f t="shared" si="40"/>
        <v>0</v>
      </c>
      <c r="V1276" s="66" t="str">
        <f t="shared" si="42"/>
        <v>#DIV/0!</v>
      </c>
      <c r="W1276" s="67">
        <f t="shared" si="5"/>
        <v>0</v>
      </c>
      <c r="X1276" s="67">
        <f t="shared" si="43"/>
        <v>0</v>
      </c>
      <c r="Y1276" s="67">
        <f t="shared" si="44"/>
        <v>0</v>
      </c>
      <c r="Z1276" s="67">
        <f t="shared" si="8"/>
        <v>0</v>
      </c>
      <c r="AA1276" s="67">
        <f t="shared" si="45"/>
        <v>0</v>
      </c>
      <c r="AB1276" s="67">
        <f t="shared" si="46"/>
        <v>0</v>
      </c>
      <c r="AC1276" s="67">
        <f t="shared" si="11"/>
        <v>0</v>
      </c>
      <c r="AD1276" s="67">
        <f t="shared" si="12"/>
        <v>0</v>
      </c>
      <c r="AE1276" s="67">
        <f t="shared" si="13"/>
        <v>0</v>
      </c>
      <c r="AF1276" s="67">
        <f t="shared" si="33"/>
        <v>0</v>
      </c>
      <c r="AG1276" s="67">
        <f t="shared" si="15"/>
        <v>0</v>
      </c>
      <c r="AH1276" s="67">
        <f t="shared" si="16"/>
        <v>0</v>
      </c>
      <c r="AI1276" s="67">
        <f t="shared" si="17"/>
        <v>0</v>
      </c>
      <c r="AJ1276" s="68">
        <f t="shared" si="47"/>
        <v>0</v>
      </c>
      <c r="AK1276" s="68">
        <f t="shared" si="48"/>
        <v>0</v>
      </c>
      <c r="AL1276" s="70"/>
      <c r="AM1276" s="70"/>
      <c r="AN1276" s="71"/>
      <c r="AO1276" s="71"/>
      <c r="AP1276" s="71"/>
      <c r="AQ1276" s="71"/>
      <c r="AR1276" s="71"/>
      <c r="AS1276" s="71"/>
      <c r="AT1276" s="71"/>
      <c r="AU1276" s="71"/>
      <c r="AV1276" s="71"/>
      <c r="AW1276" s="71"/>
      <c r="AX1276" s="71"/>
      <c r="AY1276" s="71"/>
      <c r="AZ1276" s="71"/>
      <c r="BA1276" s="71"/>
      <c r="BB1276" s="71"/>
      <c r="BC1276" s="71"/>
      <c r="BD1276" s="71"/>
      <c r="BE1276" s="71"/>
      <c r="BF1276" s="71"/>
      <c r="BG1276" s="71"/>
      <c r="BH1276" s="71"/>
      <c r="BI1276" s="71"/>
      <c r="BJ1276" s="71"/>
      <c r="BK1276" s="71"/>
      <c r="BL1276" s="71"/>
      <c r="BM1276" s="71"/>
      <c r="BN1276" s="71"/>
      <c r="BO1276" s="71"/>
      <c r="BP1276" s="71"/>
      <c r="BQ1276" s="71"/>
      <c r="BR1276" s="71"/>
      <c r="BS1276" s="71"/>
      <c r="BT1276" s="71"/>
      <c r="BU1276" s="71"/>
      <c r="BV1276" s="71"/>
    </row>
    <row r="1277">
      <c r="A1277" s="53"/>
      <c r="B1277" s="53"/>
      <c r="C1277" s="53" t="s">
        <v>36</v>
      </c>
      <c r="D1277" s="85" t="s">
        <v>3122</v>
      </c>
      <c r="E1277" s="54" t="s">
        <v>38</v>
      </c>
      <c r="F1277" s="55" t="s">
        <v>39</v>
      </c>
      <c r="G1277" s="86" t="s">
        <v>3123</v>
      </c>
      <c r="H1277" s="55"/>
      <c r="I1277" s="54">
        <f t="shared" si="24"/>
        <v>0</v>
      </c>
      <c r="J1277" s="56"/>
      <c r="K1277" s="57"/>
      <c r="L1277" s="76"/>
      <c r="M1277" s="59"/>
      <c r="N1277" s="60"/>
      <c r="O1277" s="61">
        <v>585.2</v>
      </c>
      <c r="P1277" s="62">
        <v>632.0160000000001</v>
      </c>
      <c r="Q1277" s="63">
        <v>632.0160000000001</v>
      </c>
      <c r="R1277" s="64">
        <v>664.0</v>
      </c>
      <c r="S1277" s="107">
        <v>697.0</v>
      </c>
      <c r="T1277" s="65">
        <f t="shared" si="39"/>
        <v>111.52</v>
      </c>
      <c r="U1277" s="65">
        <f t="shared" si="40"/>
        <v>808.52</v>
      </c>
      <c r="V1277" s="66">
        <f t="shared" si="42"/>
        <v>0.04969879518</v>
      </c>
      <c r="W1277" s="67">
        <f t="shared" si="5"/>
        <v>662.15</v>
      </c>
      <c r="X1277" s="67">
        <f t="shared" si="43"/>
        <v>105.944</v>
      </c>
      <c r="Y1277" s="67">
        <f t="shared" si="44"/>
        <v>768.094</v>
      </c>
      <c r="Z1277" s="67">
        <f t="shared" si="8"/>
        <v>627.3</v>
      </c>
      <c r="AA1277" s="67">
        <f t="shared" si="45"/>
        <v>100.368</v>
      </c>
      <c r="AB1277" s="67">
        <f t="shared" si="46"/>
        <v>727.668</v>
      </c>
      <c r="AC1277" s="67">
        <f t="shared" si="11"/>
        <v>592.45</v>
      </c>
      <c r="AD1277" s="67">
        <f t="shared" si="12"/>
        <v>94.792</v>
      </c>
      <c r="AE1277" s="67">
        <f t="shared" si="13"/>
        <v>687.242</v>
      </c>
      <c r="AF1277" s="67">
        <f t="shared" si="33"/>
        <v>578.51</v>
      </c>
      <c r="AG1277" s="67">
        <f t="shared" si="15"/>
        <v>92.5616</v>
      </c>
      <c r="AH1277" s="67">
        <f t="shared" si="16"/>
        <v>671.0716</v>
      </c>
      <c r="AI1277" s="67">
        <f t="shared" si="17"/>
        <v>557.6</v>
      </c>
      <c r="AJ1277" s="68">
        <f t="shared" si="47"/>
        <v>89.216</v>
      </c>
      <c r="AK1277" s="68">
        <f t="shared" si="48"/>
        <v>646.816</v>
      </c>
      <c r="AL1277" s="70"/>
      <c r="AM1277" s="70"/>
      <c r="AN1277" s="71"/>
      <c r="AO1277" s="71"/>
      <c r="AP1277" s="71"/>
      <c r="AQ1277" s="71"/>
      <c r="AR1277" s="71"/>
      <c r="AS1277" s="71"/>
      <c r="AT1277" s="71"/>
      <c r="AU1277" s="71"/>
      <c r="AV1277" s="71"/>
      <c r="AW1277" s="71"/>
      <c r="AX1277" s="71"/>
      <c r="AY1277" s="71"/>
      <c r="AZ1277" s="71"/>
      <c r="BA1277" s="71"/>
      <c r="BB1277" s="71"/>
      <c r="BC1277" s="71"/>
      <c r="BD1277" s="71"/>
      <c r="BE1277" s="71"/>
      <c r="BF1277" s="71"/>
      <c r="BG1277" s="71"/>
      <c r="BH1277" s="71"/>
      <c r="BI1277" s="71"/>
      <c r="BJ1277" s="71"/>
      <c r="BK1277" s="71"/>
      <c r="BL1277" s="71"/>
      <c r="BM1277" s="71"/>
      <c r="BN1277" s="71"/>
      <c r="BO1277" s="71"/>
      <c r="BP1277" s="71"/>
      <c r="BQ1277" s="71"/>
      <c r="BR1277" s="71"/>
      <c r="BS1277" s="71"/>
      <c r="BT1277" s="71"/>
      <c r="BU1277" s="71"/>
      <c r="BV1277" s="71"/>
    </row>
    <row r="1278">
      <c r="A1278" s="53">
        <v>1.0</v>
      </c>
      <c r="B1278" s="72"/>
      <c r="C1278" s="73" t="s">
        <v>12</v>
      </c>
      <c r="D1278" s="53" t="s">
        <v>3124</v>
      </c>
      <c r="E1278" s="54" t="s">
        <v>77</v>
      </c>
      <c r="F1278" s="54" t="s">
        <v>42</v>
      </c>
      <c r="G1278" s="154" t="s">
        <v>3125</v>
      </c>
      <c r="H1278" s="54" t="s">
        <v>3126</v>
      </c>
      <c r="I1278" s="54">
        <f t="shared" si="24"/>
        <v>25</v>
      </c>
      <c r="J1278" s="56"/>
      <c r="K1278" s="57"/>
      <c r="L1278" s="87"/>
      <c r="M1278" s="59"/>
      <c r="N1278" s="60">
        <v>1444.0</v>
      </c>
      <c r="O1278" s="61">
        <v>1559.0</v>
      </c>
      <c r="P1278" s="62">
        <v>1683.72</v>
      </c>
      <c r="Q1278" s="63">
        <v>1683.72</v>
      </c>
      <c r="R1278" s="64">
        <v>1875.0</v>
      </c>
      <c r="S1278" s="111">
        <v>1969.0</v>
      </c>
      <c r="T1278" s="65">
        <f t="shared" si="39"/>
        <v>315.04</v>
      </c>
      <c r="U1278" s="65">
        <f t="shared" si="40"/>
        <v>2284.04</v>
      </c>
      <c r="V1278" s="66">
        <f t="shared" si="42"/>
        <v>0.05013333333</v>
      </c>
      <c r="W1278" s="67">
        <f t="shared" si="5"/>
        <v>1870.55</v>
      </c>
      <c r="X1278" s="67">
        <f t="shared" si="43"/>
        <v>299.288</v>
      </c>
      <c r="Y1278" s="67">
        <f t="shared" si="44"/>
        <v>2169.838</v>
      </c>
      <c r="Z1278" s="67">
        <f t="shared" si="8"/>
        <v>1772.1</v>
      </c>
      <c r="AA1278" s="67">
        <f t="shared" si="45"/>
        <v>283.536</v>
      </c>
      <c r="AB1278" s="67">
        <f t="shared" si="46"/>
        <v>2055.636</v>
      </c>
      <c r="AC1278" s="67">
        <f t="shared" si="11"/>
        <v>1673.65</v>
      </c>
      <c r="AD1278" s="67">
        <f t="shared" si="12"/>
        <v>267.784</v>
      </c>
      <c r="AE1278" s="67">
        <f t="shared" si="13"/>
        <v>1941.434</v>
      </c>
      <c r="AF1278" s="67">
        <f t="shared" si="33"/>
        <v>1634.27</v>
      </c>
      <c r="AG1278" s="67">
        <f t="shared" si="15"/>
        <v>261.4832</v>
      </c>
      <c r="AH1278" s="67">
        <f t="shared" si="16"/>
        <v>1895.7532</v>
      </c>
      <c r="AI1278" s="67">
        <f t="shared" si="17"/>
        <v>1575.2</v>
      </c>
      <c r="AJ1278" s="68">
        <f t="shared" si="47"/>
        <v>252.032</v>
      </c>
      <c r="AK1278" s="68">
        <f t="shared" si="48"/>
        <v>1827.232</v>
      </c>
      <c r="AL1278" s="70"/>
      <c r="AM1278" s="70"/>
      <c r="AN1278" s="71"/>
      <c r="AO1278" s="71"/>
      <c r="AP1278" s="71"/>
      <c r="AQ1278" s="71"/>
      <c r="AR1278" s="71"/>
      <c r="AS1278" s="71"/>
      <c r="AT1278" s="71"/>
      <c r="AU1278" s="71"/>
      <c r="AV1278" s="71"/>
      <c r="AW1278" s="71"/>
      <c r="AX1278" s="71"/>
      <c r="AY1278" s="71"/>
      <c r="AZ1278" s="71"/>
      <c r="BA1278" s="71"/>
      <c r="BB1278" s="71"/>
      <c r="BC1278" s="71"/>
      <c r="BD1278" s="71"/>
      <c r="BE1278" s="71"/>
      <c r="BF1278" s="71"/>
      <c r="BG1278" s="71"/>
      <c r="BH1278" s="71"/>
      <c r="BI1278" s="71"/>
      <c r="BJ1278" s="71"/>
      <c r="BK1278" s="71"/>
      <c r="BL1278" s="71"/>
      <c r="BM1278" s="71"/>
      <c r="BN1278" s="71"/>
      <c r="BO1278" s="71"/>
      <c r="BP1278" s="71"/>
      <c r="BQ1278" s="71"/>
      <c r="BR1278" s="71"/>
      <c r="BS1278" s="71"/>
      <c r="BT1278" s="71"/>
      <c r="BU1278" s="71"/>
      <c r="BV1278" s="71"/>
    </row>
    <row r="1279">
      <c r="A1279" s="53"/>
      <c r="B1279" s="53">
        <v>0.0</v>
      </c>
      <c r="C1279" s="53" t="s">
        <v>36</v>
      </c>
      <c r="D1279" s="85" t="s">
        <v>3127</v>
      </c>
      <c r="E1279" s="54" t="s">
        <v>38</v>
      </c>
      <c r="F1279" s="55" t="s">
        <v>39</v>
      </c>
      <c r="G1279" s="86" t="s">
        <v>3128</v>
      </c>
      <c r="H1279" s="55"/>
      <c r="I1279" s="54">
        <f t="shared" si="24"/>
        <v>0</v>
      </c>
      <c r="J1279" s="56"/>
      <c r="K1279" s="57"/>
      <c r="L1279" s="76" t="s">
        <v>661</v>
      </c>
      <c r="M1279" s="59"/>
      <c r="N1279" s="60"/>
      <c r="O1279" s="61">
        <v>435.84</v>
      </c>
      <c r="P1279" s="62">
        <v>470.7072</v>
      </c>
      <c r="Q1279" s="63">
        <v>470.7072</v>
      </c>
      <c r="R1279" s="64">
        <v>495.0</v>
      </c>
      <c r="S1279" s="107">
        <v>520.0</v>
      </c>
      <c r="T1279" s="65">
        <f t="shared" si="39"/>
        <v>83.2</v>
      </c>
      <c r="U1279" s="65">
        <f t="shared" si="40"/>
        <v>603.2</v>
      </c>
      <c r="V1279" s="66">
        <f t="shared" si="42"/>
        <v>0.05050505051</v>
      </c>
      <c r="W1279" s="67" t="b">
        <f t="shared" si="5"/>
        <v>0</v>
      </c>
      <c r="X1279" s="67">
        <f t="shared" si="43"/>
        <v>0</v>
      </c>
      <c r="Y1279" s="67">
        <f t="shared" si="44"/>
        <v>0</v>
      </c>
      <c r="Z1279" s="67" t="b">
        <f t="shared" si="8"/>
        <v>0</v>
      </c>
      <c r="AA1279" s="67">
        <f t="shared" si="45"/>
        <v>0</v>
      </c>
      <c r="AB1279" s="67">
        <f t="shared" si="46"/>
        <v>0</v>
      </c>
      <c r="AC1279" s="67" t="b">
        <f t="shared" si="11"/>
        <v>0</v>
      </c>
      <c r="AD1279" s="67">
        <f t="shared" si="12"/>
        <v>0</v>
      </c>
      <c r="AE1279" s="67">
        <f t="shared" si="13"/>
        <v>0</v>
      </c>
      <c r="AF1279" s="67" t="b">
        <f t="shared" si="33"/>
        <v>0</v>
      </c>
      <c r="AG1279" s="67">
        <f t="shared" si="15"/>
        <v>0</v>
      </c>
      <c r="AH1279" s="67">
        <f t="shared" si="16"/>
        <v>0</v>
      </c>
      <c r="AI1279" s="67" t="b">
        <f t="shared" si="17"/>
        <v>0</v>
      </c>
      <c r="AJ1279" s="68">
        <f t="shared" si="47"/>
        <v>0</v>
      </c>
      <c r="AK1279" s="68">
        <f t="shared" si="48"/>
        <v>0</v>
      </c>
      <c r="AL1279" s="70"/>
      <c r="AM1279" s="70"/>
      <c r="AN1279" s="71"/>
      <c r="AO1279" s="71"/>
      <c r="AP1279" s="71"/>
      <c r="AQ1279" s="71"/>
      <c r="AR1279" s="71"/>
      <c r="AS1279" s="71"/>
      <c r="AT1279" s="71"/>
      <c r="AU1279" s="71"/>
      <c r="AV1279" s="71"/>
      <c r="AW1279" s="71"/>
      <c r="AX1279" s="71"/>
      <c r="AY1279" s="71"/>
      <c r="AZ1279" s="71"/>
      <c r="BA1279" s="71"/>
      <c r="BB1279" s="71"/>
      <c r="BC1279" s="71"/>
      <c r="BD1279" s="71"/>
      <c r="BE1279" s="71"/>
      <c r="BF1279" s="71"/>
      <c r="BG1279" s="71"/>
      <c r="BH1279" s="71"/>
      <c r="BI1279" s="71"/>
      <c r="BJ1279" s="71"/>
      <c r="BK1279" s="71"/>
      <c r="BL1279" s="71"/>
      <c r="BM1279" s="71"/>
      <c r="BN1279" s="71"/>
      <c r="BO1279" s="71"/>
      <c r="BP1279" s="71"/>
      <c r="BQ1279" s="71"/>
      <c r="BR1279" s="71"/>
      <c r="BS1279" s="71"/>
      <c r="BT1279" s="71"/>
      <c r="BU1279" s="71"/>
      <c r="BV1279" s="71"/>
    </row>
    <row r="1280">
      <c r="A1280" s="53"/>
      <c r="B1280" s="53"/>
      <c r="C1280" s="73" t="s">
        <v>53</v>
      </c>
      <c r="D1280" s="53" t="s">
        <v>3129</v>
      </c>
      <c r="E1280" s="54" t="s">
        <v>38</v>
      </c>
      <c r="F1280" s="54" t="s">
        <v>42</v>
      </c>
      <c r="G1280" s="55" t="s">
        <v>3130</v>
      </c>
      <c r="H1280" s="54" t="s">
        <v>3131</v>
      </c>
      <c r="I1280" s="54">
        <f t="shared" si="24"/>
        <v>37</v>
      </c>
      <c r="J1280" s="56"/>
      <c r="K1280" s="57"/>
      <c r="L1280" s="76"/>
      <c r="M1280" s="59"/>
      <c r="N1280" s="60">
        <v>827.4000000000001</v>
      </c>
      <c r="O1280" s="61">
        <v>893.0</v>
      </c>
      <c r="P1280" s="62">
        <v>964.44</v>
      </c>
      <c r="Q1280" s="63">
        <v>964.44</v>
      </c>
      <c r="R1280" s="64">
        <v>1013.0</v>
      </c>
      <c r="S1280" s="111">
        <v>1064.0</v>
      </c>
      <c r="T1280" s="65">
        <f t="shared" si="39"/>
        <v>170.24</v>
      </c>
      <c r="U1280" s="65">
        <f t="shared" si="40"/>
        <v>1234.24</v>
      </c>
      <c r="V1280" s="66">
        <f t="shared" si="42"/>
        <v>0.05034550839</v>
      </c>
      <c r="W1280" s="67">
        <f t="shared" si="5"/>
        <v>1010.8</v>
      </c>
      <c r="X1280" s="67">
        <f t="shared" si="43"/>
        <v>161.728</v>
      </c>
      <c r="Y1280" s="67">
        <f t="shared" si="44"/>
        <v>1172.528</v>
      </c>
      <c r="Z1280" s="67">
        <f t="shared" si="8"/>
        <v>957.6</v>
      </c>
      <c r="AA1280" s="67">
        <f t="shared" si="45"/>
        <v>153.216</v>
      </c>
      <c r="AB1280" s="67">
        <f t="shared" si="46"/>
        <v>1110.816</v>
      </c>
      <c r="AC1280" s="67">
        <f t="shared" si="11"/>
        <v>904.4</v>
      </c>
      <c r="AD1280" s="67">
        <f t="shared" si="12"/>
        <v>144.704</v>
      </c>
      <c r="AE1280" s="67">
        <f t="shared" si="13"/>
        <v>1049.104</v>
      </c>
      <c r="AF1280" s="67">
        <f t="shared" si="33"/>
        <v>883.12</v>
      </c>
      <c r="AG1280" s="67">
        <f t="shared" si="15"/>
        <v>141.2992</v>
      </c>
      <c r="AH1280" s="67">
        <f t="shared" si="16"/>
        <v>1024.4192</v>
      </c>
      <c r="AI1280" s="67">
        <f t="shared" si="17"/>
        <v>851.2</v>
      </c>
      <c r="AJ1280" s="68">
        <f t="shared" si="47"/>
        <v>136.192</v>
      </c>
      <c r="AK1280" s="68">
        <f t="shared" si="48"/>
        <v>987.392</v>
      </c>
      <c r="AL1280" s="70"/>
      <c r="AM1280" s="70"/>
      <c r="AN1280" s="71"/>
      <c r="AO1280" s="71"/>
      <c r="AP1280" s="71"/>
      <c r="AQ1280" s="71"/>
      <c r="AR1280" s="71"/>
      <c r="AS1280" s="71"/>
      <c r="AT1280" s="71"/>
      <c r="AU1280" s="71"/>
      <c r="AV1280" s="71"/>
      <c r="AW1280" s="71"/>
      <c r="AX1280" s="71"/>
      <c r="AY1280" s="71"/>
      <c r="AZ1280" s="71"/>
      <c r="BA1280" s="71"/>
      <c r="BB1280" s="71"/>
      <c r="BC1280" s="71"/>
      <c r="BD1280" s="71"/>
      <c r="BE1280" s="71"/>
      <c r="BF1280" s="71"/>
      <c r="BG1280" s="71"/>
      <c r="BH1280" s="71"/>
      <c r="BI1280" s="71"/>
      <c r="BJ1280" s="71"/>
      <c r="BK1280" s="71"/>
      <c r="BL1280" s="71"/>
      <c r="BM1280" s="71"/>
      <c r="BN1280" s="71"/>
      <c r="BO1280" s="71"/>
      <c r="BP1280" s="71"/>
      <c r="BQ1280" s="71"/>
      <c r="BR1280" s="71"/>
      <c r="BS1280" s="71"/>
      <c r="BT1280" s="71"/>
      <c r="BU1280" s="71"/>
      <c r="BV1280" s="71"/>
    </row>
    <row r="1281">
      <c r="A1281" s="53"/>
      <c r="B1281" s="53"/>
      <c r="C1281" s="53" t="s">
        <v>53</v>
      </c>
      <c r="D1281" s="53" t="s">
        <v>3132</v>
      </c>
      <c r="E1281" s="54" t="s">
        <v>38</v>
      </c>
      <c r="F1281" s="55" t="s">
        <v>39</v>
      </c>
      <c r="G1281" s="55" t="s">
        <v>3133</v>
      </c>
      <c r="H1281" s="55" t="s">
        <v>3134</v>
      </c>
      <c r="I1281" s="54">
        <f t="shared" si="24"/>
        <v>26</v>
      </c>
      <c r="J1281" s="56"/>
      <c r="K1281" s="57"/>
      <c r="L1281" s="76"/>
      <c r="M1281" s="59"/>
      <c r="N1281" s="60"/>
      <c r="O1281" s="61">
        <v>435.84</v>
      </c>
      <c r="P1281" s="62">
        <v>470.7072</v>
      </c>
      <c r="Q1281" s="63">
        <v>470.7072</v>
      </c>
      <c r="R1281" s="64">
        <v>495.0</v>
      </c>
      <c r="S1281" s="111">
        <v>520.0</v>
      </c>
      <c r="T1281" s="65">
        <f t="shared" si="39"/>
        <v>83.2</v>
      </c>
      <c r="U1281" s="65">
        <f t="shared" si="40"/>
        <v>603.2</v>
      </c>
      <c r="V1281" s="66">
        <f t="shared" si="42"/>
        <v>0.05050505051</v>
      </c>
      <c r="W1281" s="67">
        <f t="shared" si="5"/>
        <v>494</v>
      </c>
      <c r="X1281" s="67">
        <f t="shared" si="43"/>
        <v>79.04</v>
      </c>
      <c r="Y1281" s="67">
        <f t="shared" si="44"/>
        <v>573.04</v>
      </c>
      <c r="Z1281" s="67">
        <f t="shared" si="8"/>
        <v>468</v>
      </c>
      <c r="AA1281" s="67">
        <f t="shared" si="45"/>
        <v>74.88</v>
      </c>
      <c r="AB1281" s="67">
        <f t="shared" si="46"/>
        <v>542.88</v>
      </c>
      <c r="AC1281" s="67">
        <f t="shared" si="11"/>
        <v>442</v>
      </c>
      <c r="AD1281" s="67">
        <f t="shared" si="12"/>
        <v>70.72</v>
      </c>
      <c r="AE1281" s="67">
        <f t="shared" si="13"/>
        <v>512.72</v>
      </c>
      <c r="AF1281" s="67">
        <f t="shared" si="33"/>
        <v>431.6</v>
      </c>
      <c r="AG1281" s="67">
        <f t="shared" si="15"/>
        <v>69.056</v>
      </c>
      <c r="AH1281" s="67">
        <f t="shared" si="16"/>
        <v>500.656</v>
      </c>
      <c r="AI1281" s="67">
        <f t="shared" si="17"/>
        <v>416</v>
      </c>
      <c r="AJ1281" s="68">
        <f t="shared" si="47"/>
        <v>66.56</v>
      </c>
      <c r="AK1281" s="68">
        <f t="shared" si="48"/>
        <v>482.56</v>
      </c>
      <c r="AL1281" s="70"/>
      <c r="AM1281" s="70"/>
      <c r="AN1281" s="71"/>
      <c r="AO1281" s="71"/>
      <c r="AP1281" s="71"/>
      <c r="AQ1281" s="71"/>
      <c r="AR1281" s="71"/>
      <c r="AS1281" s="71"/>
      <c r="AT1281" s="71"/>
      <c r="AU1281" s="71"/>
      <c r="AV1281" s="71"/>
      <c r="AW1281" s="71"/>
      <c r="AX1281" s="71"/>
      <c r="AY1281" s="71"/>
      <c r="AZ1281" s="71"/>
      <c r="BA1281" s="71"/>
      <c r="BB1281" s="71"/>
      <c r="BC1281" s="71"/>
      <c r="BD1281" s="71"/>
      <c r="BE1281" s="71"/>
      <c r="BF1281" s="71"/>
      <c r="BG1281" s="71"/>
      <c r="BH1281" s="71"/>
      <c r="BI1281" s="71"/>
      <c r="BJ1281" s="71"/>
      <c r="BK1281" s="71"/>
      <c r="BL1281" s="71"/>
      <c r="BM1281" s="71"/>
      <c r="BN1281" s="71"/>
      <c r="BO1281" s="71"/>
      <c r="BP1281" s="71"/>
      <c r="BQ1281" s="71"/>
      <c r="BR1281" s="71"/>
      <c r="BS1281" s="71"/>
      <c r="BT1281" s="71"/>
      <c r="BU1281" s="71"/>
      <c r="BV1281" s="71"/>
    </row>
    <row r="1282">
      <c r="A1282" s="53">
        <v>1.0</v>
      </c>
      <c r="B1282" s="72"/>
      <c r="C1282" s="73" t="s">
        <v>53</v>
      </c>
      <c r="D1282" s="53" t="s">
        <v>3135</v>
      </c>
      <c r="E1282" s="54" t="s">
        <v>77</v>
      </c>
      <c r="F1282" s="54" t="s">
        <v>42</v>
      </c>
      <c r="G1282" s="54" t="s">
        <v>3136</v>
      </c>
      <c r="H1282" s="54" t="s">
        <v>3137</v>
      </c>
      <c r="I1282" s="54">
        <f t="shared" si="24"/>
        <v>40</v>
      </c>
      <c r="J1282" s="56"/>
      <c r="K1282" s="57"/>
      <c r="L1282" s="87"/>
      <c r="M1282" s="59"/>
      <c r="N1282" s="60">
        <v>1739.0</v>
      </c>
      <c r="O1282" s="61">
        <v>1878.0</v>
      </c>
      <c r="P1282" s="62">
        <v>2028.2400000000002</v>
      </c>
      <c r="Q1282" s="63">
        <v>2028.2400000000002</v>
      </c>
      <c r="R1282" s="64">
        <v>2258.0</v>
      </c>
      <c r="S1282" s="111">
        <v>2371.0</v>
      </c>
      <c r="T1282" s="65">
        <f t="shared" si="39"/>
        <v>379.36</v>
      </c>
      <c r="U1282" s="65">
        <f t="shared" si="40"/>
        <v>2750.36</v>
      </c>
      <c r="V1282" s="66">
        <f t="shared" si="42"/>
        <v>0.05004428698</v>
      </c>
      <c r="W1282" s="67">
        <f t="shared" si="5"/>
        <v>2252.45</v>
      </c>
      <c r="X1282" s="67">
        <f t="shared" si="43"/>
        <v>360.392</v>
      </c>
      <c r="Y1282" s="67">
        <f t="shared" si="44"/>
        <v>2612.842</v>
      </c>
      <c r="Z1282" s="67">
        <f t="shared" si="8"/>
        <v>2133.9</v>
      </c>
      <c r="AA1282" s="67">
        <f t="shared" si="45"/>
        <v>341.424</v>
      </c>
      <c r="AB1282" s="67">
        <f t="shared" si="46"/>
        <v>2475.324</v>
      </c>
      <c r="AC1282" s="67">
        <f t="shared" si="11"/>
        <v>2015.35</v>
      </c>
      <c r="AD1282" s="67">
        <f t="shared" si="12"/>
        <v>322.456</v>
      </c>
      <c r="AE1282" s="67">
        <f t="shared" si="13"/>
        <v>2337.806</v>
      </c>
      <c r="AF1282" s="67">
        <f t="shared" si="33"/>
        <v>1967.93</v>
      </c>
      <c r="AG1282" s="67">
        <f t="shared" si="15"/>
        <v>314.8688</v>
      </c>
      <c r="AH1282" s="67">
        <f t="shared" si="16"/>
        <v>2282.7988</v>
      </c>
      <c r="AI1282" s="67">
        <f t="shared" si="17"/>
        <v>1896.8</v>
      </c>
      <c r="AJ1282" s="68">
        <f t="shared" si="47"/>
        <v>303.488</v>
      </c>
      <c r="AK1282" s="68">
        <f t="shared" si="48"/>
        <v>2200.288</v>
      </c>
      <c r="AL1282" s="70"/>
      <c r="AM1282" s="70"/>
      <c r="AN1282" s="71"/>
      <c r="AO1282" s="71"/>
      <c r="AP1282" s="71"/>
      <c r="AQ1282" s="71"/>
      <c r="AR1282" s="71"/>
      <c r="AS1282" s="71"/>
      <c r="AT1282" s="71"/>
      <c r="AU1282" s="71"/>
      <c r="AV1282" s="71"/>
      <c r="AW1282" s="71"/>
      <c r="AX1282" s="71"/>
      <c r="AY1282" s="71"/>
      <c r="AZ1282" s="71"/>
      <c r="BA1282" s="71"/>
      <c r="BB1282" s="71"/>
      <c r="BC1282" s="71"/>
      <c r="BD1282" s="71"/>
      <c r="BE1282" s="71"/>
      <c r="BF1282" s="71"/>
      <c r="BG1282" s="71"/>
      <c r="BH1282" s="71"/>
      <c r="BI1282" s="71"/>
      <c r="BJ1282" s="71"/>
      <c r="BK1282" s="71"/>
      <c r="BL1282" s="71"/>
      <c r="BM1282" s="71"/>
      <c r="BN1282" s="71"/>
      <c r="BO1282" s="71"/>
      <c r="BP1282" s="71"/>
      <c r="BQ1282" s="71"/>
      <c r="BR1282" s="71"/>
      <c r="BS1282" s="71"/>
      <c r="BT1282" s="71"/>
      <c r="BU1282" s="71"/>
      <c r="BV1282" s="71"/>
    </row>
    <row r="1283">
      <c r="A1283" s="53">
        <v>1.0</v>
      </c>
      <c r="B1283" s="53"/>
      <c r="C1283" s="73" t="s">
        <v>53</v>
      </c>
      <c r="D1283" s="53" t="s">
        <v>3138</v>
      </c>
      <c r="E1283" s="54" t="s">
        <v>77</v>
      </c>
      <c r="F1283" s="54" t="s">
        <v>42</v>
      </c>
      <c r="G1283" s="54" t="s">
        <v>3139</v>
      </c>
      <c r="H1283" s="54" t="s">
        <v>3140</v>
      </c>
      <c r="I1283" s="54">
        <f t="shared" si="24"/>
        <v>39</v>
      </c>
      <c r="J1283" s="56"/>
      <c r="K1283" s="57"/>
      <c r="L1283" s="87"/>
      <c r="M1283" s="59"/>
      <c r="N1283" s="60">
        <v>3481.0</v>
      </c>
      <c r="O1283" s="61">
        <v>3759.0</v>
      </c>
      <c r="P1283" s="62">
        <v>4059.7200000000003</v>
      </c>
      <c r="Q1283" s="63">
        <v>4059.7200000000003</v>
      </c>
      <c r="R1283" s="64">
        <v>4520.0</v>
      </c>
      <c r="S1283" s="111">
        <v>4746.0</v>
      </c>
      <c r="T1283" s="65">
        <f t="shared" si="39"/>
        <v>759.36</v>
      </c>
      <c r="U1283" s="65">
        <f t="shared" si="40"/>
        <v>5505.36</v>
      </c>
      <c r="V1283" s="66">
        <f t="shared" si="42"/>
        <v>0.05</v>
      </c>
      <c r="W1283" s="67">
        <f t="shared" si="5"/>
        <v>4508.7</v>
      </c>
      <c r="X1283" s="67">
        <f t="shared" si="43"/>
        <v>721.392</v>
      </c>
      <c r="Y1283" s="67">
        <f t="shared" si="44"/>
        <v>5230.092</v>
      </c>
      <c r="Z1283" s="67">
        <f t="shared" si="8"/>
        <v>4271.4</v>
      </c>
      <c r="AA1283" s="67">
        <f t="shared" si="45"/>
        <v>683.424</v>
      </c>
      <c r="AB1283" s="67">
        <f t="shared" si="46"/>
        <v>4954.824</v>
      </c>
      <c r="AC1283" s="67">
        <f t="shared" si="11"/>
        <v>4034.1</v>
      </c>
      <c r="AD1283" s="67">
        <f t="shared" si="12"/>
        <v>645.456</v>
      </c>
      <c r="AE1283" s="67">
        <f t="shared" si="13"/>
        <v>4679.556</v>
      </c>
      <c r="AF1283" s="67">
        <f t="shared" si="33"/>
        <v>3939.18</v>
      </c>
      <c r="AG1283" s="67">
        <f t="shared" si="15"/>
        <v>630.2688</v>
      </c>
      <c r="AH1283" s="67">
        <f t="shared" si="16"/>
        <v>4569.4488</v>
      </c>
      <c r="AI1283" s="67">
        <f t="shared" si="17"/>
        <v>3796.8</v>
      </c>
      <c r="AJ1283" s="68">
        <f t="shared" si="47"/>
        <v>607.488</v>
      </c>
      <c r="AK1283" s="68">
        <f t="shared" si="48"/>
        <v>4404.288</v>
      </c>
      <c r="AL1283" s="70"/>
      <c r="AM1283" s="70"/>
      <c r="AN1283" s="71"/>
      <c r="AO1283" s="71"/>
      <c r="AP1283" s="71"/>
      <c r="AQ1283" s="71"/>
      <c r="AR1283" s="71"/>
      <c r="AS1283" s="71"/>
      <c r="AT1283" s="71"/>
      <c r="AU1283" s="71"/>
      <c r="AV1283" s="71"/>
      <c r="AW1283" s="71"/>
      <c r="AX1283" s="71"/>
      <c r="AY1283" s="71"/>
      <c r="AZ1283" s="71"/>
      <c r="BA1283" s="71"/>
      <c r="BB1283" s="71"/>
      <c r="BC1283" s="71"/>
      <c r="BD1283" s="71"/>
      <c r="BE1283" s="71"/>
      <c r="BF1283" s="71"/>
      <c r="BG1283" s="71"/>
      <c r="BH1283" s="71"/>
      <c r="BI1283" s="71"/>
      <c r="BJ1283" s="71"/>
      <c r="BK1283" s="71"/>
      <c r="BL1283" s="71"/>
      <c r="BM1283" s="71"/>
      <c r="BN1283" s="71"/>
      <c r="BO1283" s="71"/>
      <c r="BP1283" s="71"/>
      <c r="BQ1283" s="71"/>
      <c r="BR1283" s="71"/>
      <c r="BS1283" s="71"/>
      <c r="BT1283" s="71"/>
      <c r="BU1283" s="71"/>
      <c r="BV1283" s="71"/>
    </row>
    <row r="1284">
      <c r="A1284" s="53"/>
      <c r="B1284" s="53"/>
      <c r="C1284" s="53"/>
      <c r="D1284" s="53" t="s">
        <v>3141</v>
      </c>
      <c r="E1284" s="55" t="s">
        <v>38</v>
      </c>
      <c r="F1284" s="91" t="s">
        <v>42</v>
      </c>
      <c r="G1284" s="84" t="s">
        <v>3142</v>
      </c>
      <c r="H1284" s="55"/>
      <c r="I1284" s="54">
        <f t="shared" si="24"/>
        <v>0</v>
      </c>
      <c r="J1284" s="56"/>
      <c r="K1284" s="57"/>
      <c r="L1284" s="55"/>
      <c r="M1284" s="59"/>
      <c r="N1284" s="60"/>
      <c r="O1284" s="90"/>
      <c r="P1284" s="62">
        <v>0.0</v>
      </c>
      <c r="Q1284" s="63">
        <v>0.0</v>
      </c>
      <c r="R1284" s="64">
        <v>0.0</v>
      </c>
      <c r="S1284" s="111">
        <v>0.0</v>
      </c>
      <c r="T1284" s="65">
        <f t="shared" si="39"/>
        <v>0</v>
      </c>
      <c r="U1284" s="65">
        <f t="shared" si="40"/>
        <v>0</v>
      </c>
      <c r="V1284" s="66" t="str">
        <f t="shared" si="42"/>
        <v>#DIV/0!</v>
      </c>
      <c r="W1284" s="67">
        <f t="shared" si="5"/>
        <v>0</v>
      </c>
      <c r="X1284" s="67">
        <f t="shared" si="43"/>
        <v>0</v>
      </c>
      <c r="Y1284" s="67">
        <f t="shared" si="44"/>
        <v>0</v>
      </c>
      <c r="Z1284" s="67">
        <f t="shared" si="8"/>
        <v>0</v>
      </c>
      <c r="AA1284" s="67">
        <f t="shared" si="45"/>
        <v>0</v>
      </c>
      <c r="AB1284" s="67">
        <f t="shared" si="46"/>
        <v>0</v>
      </c>
      <c r="AC1284" s="67">
        <f t="shared" si="11"/>
        <v>0</v>
      </c>
      <c r="AD1284" s="67">
        <f t="shared" si="12"/>
        <v>0</v>
      </c>
      <c r="AE1284" s="67">
        <f t="shared" si="13"/>
        <v>0</v>
      </c>
      <c r="AF1284" s="67">
        <f t="shared" si="33"/>
        <v>0</v>
      </c>
      <c r="AG1284" s="67">
        <f t="shared" si="15"/>
        <v>0</v>
      </c>
      <c r="AH1284" s="67">
        <f t="shared" si="16"/>
        <v>0</v>
      </c>
      <c r="AI1284" s="67">
        <f t="shared" si="17"/>
        <v>0</v>
      </c>
      <c r="AJ1284" s="68">
        <f t="shared" si="47"/>
        <v>0</v>
      </c>
      <c r="AK1284" s="68">
        <f t="shared" si="48"/>
        <v>0</v>
      </c>
      <c r="AL1284" s="70"/>
      <c r="AM1284" s="70"/>
      <c r="AN1284" s="71"/>
      <c r="AO1284" s="71"/>
      <c r="AP1284" s="71"/>
      <c r="AQ1284" s="71"/>
      <c r="AR1284" s="71"/>
      <c r="AS1284" s="71"/>
      <c r="AT1284" s="71"/>
      <c r="AU1284" s="71"/>
      <c r="AV1284" s="71"/>
      <c r="AW1284" s="71"/>
      <c r="AX1284" s="71"/>
      <c r="AY1284" s="71"/>
      <c r="AZ1284" s="71"/>
      <c r="BA1284" s="71"/>
      <c r="BB1284" s="71"/>
      <c r="BC1284" s="71"/>
      <c r="BD1284" s="71"/>
      <c r="BE1284" s="71"/>
      <c r="BF1284" s="71"/>
      <c r="BG1284" s="71"/>
      <c r="BH1284" s="71"/>
      <c r="BI1284" s="71"/>
      <c r="BJ1284" s="71"/>
      <c r="BK1284" s="71"/>
      <c r="BL1284" s="71"/>
      <c r="BM1284" s="71"/>
      <c r="BN1284" s="71"/>
      <c r="BO1284" s="71"/>
      <c r="BP1284" s="71"/>
      <c r="BQ1284" s="71"/>
      <c r="BR1284" s="71"/>
      <c r="BS1284" s="71"/>
      <c r="BT1284" s="71"/>
      <c r="BU1284" s="71"/>
      <c r="BV1284" s="71"/>
    </row>
    <row r="1285">
      <c r="A1285" s="53"/>
      <c r="B1285" s="53"/>
      <c r="C1285" s="53" t="s">
        <v>36</v>
      </c>
      <c r="D1285" s="85" t="s">
        <v>3143</v>
      </c>
      <c r="E1285" s="54" t="s">
        <v>38</v>
      </c>
      <c r="F1285" s="55" t="s">
        <v>39</v>
      </c>
      <c r="G1285" s="86" t="s">
        <v>3144</v>
      </c>
      <c r="H1285" s="55"/>
      <c r="I1285" s="54">
        <f t="shared" si="24"/>
        <v>0</v>
      </c>
      <c r="J1285" s="56"/>
      <c r="K1285" s="57"/>
      <c r="L1285" s="76"/>
      <c r="M1285" s="59"/>
      <c r="N1285" s="60"/>
      <c r="O1285" s="61">
        <v>6693.0</v>
      </c>
      <c r="P1285" s="62">
        <v>7228.4400000000005</v>
      </c>
      <c r="Q1285" s="63">
        <v>7228.4400000000005</v>
      </c>
      <c r="R1285" s="64">
        <v>7590.0</v>
      </c>
      <c r="S1285" s="107">
        <v>7970.0</v>
      </c>
      <c r="T1285" s="65">
        <f t="shared" si="39"/>
        <v>1275.2</v>
      </c>
      <c r="U1285" s="65">
        <f t="shared" si="40"/>
        <v>9245.2</v>
      </c>
      <c r="V1285" s="66">
        <f t="shared" si="42"/>
        <v>0.05006587615</v>
      </c>
      <c r="W1285" s="67">
        <f t="shared" si="5"/>
        <v>7571.5</v>
      </c>
      <c r="X1285" s="67">
        <f t="shared" si="43"/>
        <v>1211.44</v>
      </c>
      <c r="Y1285" s="67">
        <f t="shared" si="44"/>
        <v>8782.94</v>
      </c>
      <c r="Z1285" s="67">
        <f t="shared" si="8"/>
        <v>7173</v>
      </c>
      <c r="AA1285" s="67">
        <f t="shared" si="45"/>
        <v>1147.68</v>
      </c>
      <c r="AB1285" s="67">
        <f t="shared" si="46"/>
        <v>8320.68</v>
      </c>
      <c r="AC1285" s="67">
        <f t="shared" si="11"/>
        <v>6774.5</v>
      </c>
      <c r="AD1285" s="67">
        <f t="shared" si="12"/>
        <v>1083.92</v>
      </c>
      <c r="AE1285" s="67">
        <f t="shared" si="13"/>
        <v>7858.42</v>
      </c>
      <c r="AF1285" s="67">
        <f t="shared" si="33"/>
        <v>6615.1</v>
      </c>
      <c r="AG1285" s="67">
        <f t="shared" si="15"/>
        <v>1058.416</v>
      </c>
      <c r="AH1285" s="67">
        <f t="shared" si="16"/>
        <v>7673.516</v>
      </c>
      <c r="AI1285" s="67">
        <f t="shared" si="17"/>
        <v>6376</v>
      </c>
      <c r="AJ1285" s="68">
        <f t="shared" si="47"/>
        <v>1020.16</v>
      </c>
      <c r="AK1285" s="68">
        <f t="shared" si="48"/>
        <v>7396.16</v>
      </c>
      <c r="AL1285" s="70"/>
      <c r="AM1285" s="70"/>
      <c r="AN1285" s="71"/>
      <c r="AO1285" s="71"/>
      <c r="AP1285" s="71"/>
      <c r="AQ1285" s="71"/>
      <c r="AR1285" s="71"/>
      <c r="AS1285" s="71"/>
      <c r="AT1285" s="71"/>
      <c r="AU1285" s="71"/>
      <c r="AV1285" s="71"/>
      <c r="AW1285" s="71"/>
      <c r="AX1285" s="71"/>
      <c r="AY1285" s="71"/>
      <c r="AZ1285" s="71"/>
      <c r="BA1285" s="71"/>
      <c r="BB1285" s="71"/>
      <c r="BC1285" s="71"/>
      <c r="BD1285" s="71"/>
      <c r="BE1285" s="71"/>
      <c r="BF1285" s="71"/>
      <c r="BG1285" s="71"/>
      <c r="BH1285" s="71"/>
      <c r="BI1285" s="71"/>
      <c r="BJ1285" s="71"/>
      <c r="BK1285" s="71"/>
      <c r="BL1285" s="71"/>
      <c r="BM1285" s="71"/>
      <c r="BN1285" s="71"/>
      <c r="BO1285" s="71"/>
      <c r="BP1285" s="71"/>
      <c r="BQ1285" s="71"/>
      <c r="BR1285" s="71"/>
      <c r="BS1285" s="71"/>
      <c r="BT1285" s="71"/>
      <c r="BU1285" s="71"/>
      <c r="BV1285" s="71"/>
    </row>
    <row r="1286">
      <c r="A1286" s="53"/>
      <c r="B1286" s="53"/>
      <c r="C1286" s="53" t="s">
        <v>36</v>
      </c>
      <c r="D1286" s="85" t="s">
        <v>3145</v>
      </c>
      <c r="E1286" s="54" t="s">
        <v>38</v>
      </c>
      <c r="F1286" s="55" t="s">
        <v>39</v>
      </c>
      <c r="G1286" s="86" t="s">
        <v>3146</v>
      </c>
      <c r="H1286" s="55"/>
      <c r="I1286" s="54">
        <f t="shared" si="24"/>
        <v>0</v>
      </c>
      <c r="J1286" s="56"/>
      <c r="K1286" s="57"/>
      <c r="L1286" s="76"/>
      <c r="M1286" s="59"/>
      <c r="N1286" s="60"/>
      <c r="O1286" s="61">
        <v>5820.0</v>
      </c>
      <c r="P1286" s="62">
        <v>6285.6</v>
      </c>
      <c r="Q1286" s="63">
        <v>6285.6</v>
      </c>
      <c r="R1286" s="64">
        <v>6601.0</v>
      </c>
      <c r="S1286" s="107">
        <v>6931.0</v>
      </c>
      <c r="T1286" s="65">
        <f t="shared" si="39"/>
        <v>1108.96</v>
      </c>
      <c r="U1286" s="65">
        <f t="shared" si="40"/>
        <v>8039.96</v>
      </c>
      <c r="V1286" s="66">
        <f t="shared" si="42"/>
        <v>0.04999242539</v>
      </c>
      <c r="W1286" s="67">
        <f t="shared" si="5"/>
        <v>6584.45</v>
      </c>
      <c r="X1286" s="67">
        <f t="shared" si="43"/>
        <v>1053.512</v>
      </c>
      <c r="Y1286" s="67">
        <f t="shared" si="44"/>
        <v>7637.962</v>
      </c>
      <c r="Z1286" s="67">
        <f t="shared" si="8"/>
        <v>6237.9</v>
      </c>
      <c r="AA1286" s="67">
        <f t="shared" si="45"/>
        <v>998.064</v>
      </c>
      <c r="AB1286" s="67">
        <f t="shared" si="46"/>
        <v>7235.964</v>
      </c>
      <c r="AC1286" s="67">
        <f t="shared" si="11"/>
        <v>5891.35</v>
      </c>
      <c r="AD1286" s="67">
        <f t="shared" si="12"/>
        <v>942.616</v>
      </c>
      <c r="AE1286" s="67">
        <f t="shared" si="13"/>
        <v>6833.966</v>
      </c>
      <c r="AF1286" s="67">
        <f t="shared" si="33"/>
        <v>5752.73</v>
      </c>
      <c r="AG1286" s="67">
        <f t="shared" si="15"/>
        <v>920.4368</v>
      </c>
      <c r="AH1286" s="67">
        <f t="shared" si="16"/>
        <v>6673.1668</v>
      </c>
      <c r="AI1286" s="67">
        <f t="shared" si="17"/>
        <v>5544.8</v>
      </c>
      <c r="AJ1286" s="68">
        <f t="shared" si="47"/>
        <v>887.168</v>
      </c>
      <c r="AK1286" s="68">
        <f t="shared" si="48"/>
        <v>6431.968</v>
      </c>
      <c r="AL1286" s="70"/>
      <c r="AM1286" s="70"/>
      <c r="AN1286" s="71"/>
      <c r="AO1286" s="71"/>
      <c r="AP1286" s="71"/>
      <c r="AQ1286" s="71"/>
      <c r="AR1286" s="71"/>
      <c r="AS1286" s="71"/>
      <c r="AT1286" s="71"/>
      <c r="AU1286" s="71"/>
      <c r="AV1286" s="71"/>
      <c r="AW1286" s="71"/>
      <c r="AX1286" s="71"/>
      <c r="AY1286" s="71"/>
      <c r="AZ1286" s="71"/>
      <c r="BA1286" s="71"/>
      <c r="BB1286" s="71"/>
      <c r="BC1286" s="71"/>
      <c r="BD1286" s="71"/>
      <c r="BE1286" s="71"/>
      <c r="BF1286" s="71"/>
      <c r="BG1286" s="71"/>
      <c r="BH1286" s="71"/>
      <c r="BI1286" s="71"/>
      <c r="BJ1286" s="71"/>
      <c r="BK1286" s="71"/>
      <c r="BL1286" s="71"/>
      <c r="BM1286" s="71"/>
      <c r="BN1286" s="71"/>
      <c r="BO1286" s="71"/>
      <c r="BP1286" s="71"/>
      <c r="BQ1286" s="71"/>
      <c r="BR1286" s="71"/>
      <c r="BS1286" s="71"/>
      <c r="BT1286" s="71"/>
      <c r="BU1286" s="71"/>
      <c r="BV1286" s="71"/>
    </row>
    <row r="1287">
      <c r="A1287" s="53">
        <v>1.0</v>
      </c>
      <c r="B1287" s="72"/>
      <c r="C1287" s="73" t="s">
        <v>53</v>
      </c>
      <c r="D1287" s="74" t="s">
        <v>3147</v>
      </c>
      <c r="E1287" s="54" t="s">
        <v>77</v>
      </c>
      <c r="F1287" s="54" t="s">
        <v>42</v>
      </c>
      <c r="G1287" s="88" t="s">
        <v>3148</v>
      </c>
      <c r="H1287" s="54" t="s">
        <v>3149</v>
      </c>
      <c r="I1287" s="54">
        <f t="shared" si="24"/>
        <v>29</v>
      </c>
      <c r="J1287" s="56"/>
      <c r="K1287" s="57"/>
      <c r="L1287" s="87">
        <f>4461.48*1.4</f>
        <v>6246.072</v>
      </c>
      <c r="M1287" s="59"/>
      <c r="N1287" s="60">
        <v>3825.0</v>
      </c>
      <c r="O1287" s="61">
        <v>4131.0</v>
      </c>
      <c r="P1287" s="62">
        <v>4461.4800000000005</v>
      </c>
      <c r="Q1287" s="63">
        <v>4461.4800000000005</v>
      </c>
      <c r="R1287" s="64">
        <v>4967.0</v>
      </c>
      <c r="S1287" s="111">
        <v>5215.0</v>
      </c>
      <c r="T1287" s="65">
        <f t="shared" si="39"/>
        <v>834.4</v>
      </c>
      <c r="U1287" s="65">
        <f t="shared" si="40"/>
        <v>6049.4</v>
      </c>
      <c r="V1287" s="66">
        <f t="shared" si="42"/>
        <v>0.04992953493</v>
      </c>
      <c r="W1287" s="67">
        <f t="shared" si="5"/>
        <v>4954.25</v>
      </c>
      <c r="X1287" s="67">
        <f t="shared" si="43"/>
        <v>792.68</v>
      </c>
      <c r="Y1287" s="67">
        <f t="shared" si="44"/>
        <v>5746.93</v>
      </c>
      <c r="Z1287" s="67">
        <f t="shared" si="8"/>
        <v>4693.5</v>
      </c>
      <c r="AA1287" s="67">
        <f t="shared" si="45"/>
        <v>750.96</v>
      </c>
      <c r="AB1287" s="67">
        <f t="shared" si="46"/>
        <v>5444.46</v>
      </c>
      <c r="AC1287" s="67">
        <f t="shared" si="11"/>
        <v>4432.75</v>
      </c>
      <c r="AD1287" s="67">
        <f t="shared" si="12"/>
        <v>709.24</v>
      </c>
      <c r="AE1287" s="67">
        <f t="shared" si="13"/>
        <v>5141.99</v>
      </c>
      <c r="AF1287" s="67">
        <f t="shared" si="33"/>
        <v>4328.45</v>
      </c>
      <c r="AG1287" s="67">
        <f t="shared" si="15"/>
        <v>692.552</v>
      </c>
      <c r="AH1287" s="67">
        <f t="shared" si="16"/>
        <v>5021.002</v>
      </c>
      <c r="AI1287" s="67">
        <f t="shared" si="17"/>
        <v>4172</v>
      </c>
      <c r="AJ1287" s="68">
        <f t="shared" si="47"/>
        <v>667.52</v>
      </c>
      <c r="AK1287" s="68">
        <f t="shared" si="48"/>
        <v>4839.52</v>
      </c>
      <c r="AL1287" s="70"/>
      <c r="AM1287" s="70"/>
      <c r="AN1287" s="71"/>
      <c r="AO1287" s="71"/>
      <c r="AP1287" s="71"/>
      <c r="AQ1287" s="71"/>
      <c r="AR1287" s="71"/>
      <c r="AS1287" s="71"/>
      <c r="AT1287" s="71"/>
      <c r="AU1287" s="71"/>
      <c r="AV1287" s="71"/>
      <c r="AW1287" s="71"/>
      <c r="AX1287" s="71"/>
      <c r="AY1287" s="71"/>
      <c r="AZ1287" s="71"/>
      <c r="BA1287" s="71"/>
      <c r="BB1287" s="71"/>
      <c r="BC1287" s="71"/>
      <c r="BD1287" s="71"/>
      <c r="BE1287" s="71"/>
      <c r="BF1287" s="71"/>
      <c r="BG1287" s="71"/>
      <c r="BH1287" s="71"/>
      <c r="BI1287" s="71"/>
      <c r="BJ1287" s="71"/>
      <c r="BK1287" s="71"/>
      <c r="BL1287" s="71"/>
      <c r="BM1287" s="71"/>
      <c r="BN1287" s="71"/>
      <c r="BO1287" s="71"/>
      <c r="BP1287" s="71"/>
      <c r="BQ1287" s="71"/>
      <c r="BR1287" s="71"/>
      <c r="BS1287" s="71"/>
      <c r="BT1287" s="71"/>
      <c r="BU1287" s="71"/>
      <c r="BV1287" s="71"/>
    </row>
    <row r="1288">
      <c r="A1288" s="53">
        <v>1.0</v>
      </c>
      <c r="B1288" s="72"/>
      <c r="C1288" s="73" t="s">
        <v>53</v>
      </c>
      <c r="D1288" s="74" t="s">
        <v>3150</v>
      </c>
      <c r="E1288" s="54" t="s">
        <v>77</v>
      </c>
      <c r="F1288" s="54" t="s">
        <v>42</v>
      </c>
      <c r="G1288" s="88" t="s">
        <v>3151</v>
      </c>
      <c r="H1288" s="54" t="s">
        <v>3152</v>
      </c>
      <c r="I1288" s="54">
        <f t="shared" si="24"/>
        <v>33</v>
      </c>
      <c r="J1288" s="56"/>
      <c r="K1288" s="57"/>
      <c r="L1288" s="87"/>
      <c r="M1288" s="59"/>
      <c r="N1288" s="60">
        <v>1989.0</v>
      </c>
      <c r="O1288" s="61">
        <v>2148.0</v>
      </c>
      <c r="P1288" s="62">
        <v>2319.84</v>
      </c>
      <c r="Q1288" s="63">
        <v>2319.84</v>
      </c>
      <c r="R1288" s="64">
        <v>2583.0</v>
      </c>
      <c r="S1288" s="111">
        <v>2712.0</v>
      </c>
      <c r="T1288" s="65">
        <f t="shared" si="39"/>
        <v>433.92</v>
      </c>
      <c r="U1288" s="65">
        <f t="shared" si="40"/>
        <v>3145.92</v>
      </c>
      <c r="V1288" s="66">
        <f t="shared" si="42"/>
        <v>0.04994192799</v>
      </c>
      <c r="W1288" s="67">
        <f t="shared" si="5"/>
        <v>2576.4</v>
      </c>
      <c r="X1288" s="67">
        <f t="shared" si="43"/>
        <v>412.224</v>
      </c>
      <c r="Y1288" s="67">
        <f t="shared" si="44"/>
        <v>2988.624</v>
      </c>
      <c r="Z1288" s="67">
        <f t="shared" si="8"/>
        <v>2440.8</v>
      </c>
      <c r="AA1288" s="67">
        <f t="shared" si="45"/>
        <v>390.528</v>
      </c>
      <c r="AB1288" s="67">
        <f t="shared" si="46"/>
        <v>2831.328</v>
      </c>
      <c r="AC1288" s="67">
        <f t="shared" si="11"/>
        <v>2305.2</v>
      </c>
      <c r="AD1288" s="67">
        <f t="shared" si="12"/>
        <v>368.832</v>
      </c>
      <c r="AE1288" s="67">
        <f t="shared" si="13"/>
        <v>2674.032</v>
      </c>
      <c r="AF1288" s="67">
        <f t="shared" si="33"/>
        <v>2250.96</v>
      </c>
      <c r="AG1288" s="67">
        <f t="shared" si="15"/>
        <v>360.1536</v>
      </c>
      <c r="AH1288" s="67">
        <f t="shared" si="16"/>
        <v>2611.1136</v>
      </c>
      <c r="AI1288" s="67">
        <f t="shared" si="17"/>
        <v>2169.6</v>
      </c>
      <c r="AJ1288" s="68">
        <f t="shared" si="47"/>
        <v>347.136</v>
      </c>
      <c r="AK1288" s="68">
        <f t="shared" si="48"/>
        <v>2516.736</v>
      </c>
      <c r="AL1288" s="70"/>
      <c r="AM1288" s="70"/>
      <c r="AN1288" s="71"/>
      <c r="AO1288" s="71"/>
      <c r="AP1288" s="71"/>
      <c r="AQ1288" s="71"/>
      <c r="AR1288" s="71"/>
      <c r="AS1288" s="71"/>
      <c r="AT1288" s="71"/>
      <c r="AU1288" s="71"/>
      <c r="AV1288" s="71"/>
      <c r="AW1288" s="71"/>
      <c r="AX1288" s="71"/>
      <c r="AY1288" s="71"/>
      <c r="AZ1288" s="71"/>
      <c r="BA1288" s="71"/>
      <c r="BB1288" s="71"/>
      <c r="BC1288" s="71"/>
      <c r="BD1288" s="71"/>
      <c r="BE1288" s="71"/>
      <c r="BF1288" s="71"/>
      <c r="BG1288" s="71"/>
      <c r="BH1288" s="71"/>
      <c r="BI1288" s="71"/>
      <c r="BJ1288" s="71"/>
      <c r="BK1288" s="71"/>
      <c r="BL1288" s="71"/>
      <c r="BM1288" s="71"/>
      <c r="BN1288" s="71"/>
      <c r="BO1288" s="71"/>
      <c r="BP1288" s="71"/>
      <c r="BQ1288" s="71"/>
      <c r="BR1288" s="71"/>
      <c r="BS1288" s="71"/>
      <c r="BT1288" s="71"/>
      <c r="BU1288" s="71"/>
      <c r="BV1288" s="71"/>
    </row>
    <row r="1289">
      <c r="A1289" s="53">
        <v>1.0</v>
      </c>
      <c r="B1289" s="72"/>
      <c r="C1289" s="73" t="s">
        <v>12</v>
      </c>
      <c r="D1289" s="53" t="s">
        <v>3153</v>
      </c>
      <c r="E1289" s="54" t="s">
        <v>77</v>
      </c>
      <c r="F1289" s="54" t="s">
        <v>42</v>
      </c>
      <c r="G1289" s="88" t="s">
        <v>3154</v>
      </c>
      <c r="H1289" s="54" t="s">
        <v>3154</v>
      </c>
      <c r="I1289" s="54">
        <f t="shared" si="24"/>
        <v>29</v>
      </c>
      <c r="J1289" s="56"/>
      <c r="K1289" s="57"/>
      <c r="L1289" s="87"/>
      <c r="M1289" s="59"/>
      <c r="N1289" s="60">
        <v>24.0</v>
      </c>
      <c r="O1289" s="61">
        <v>25.0</v>
      </c>
      <c r="P1289" s="62">
        <v>27.0</v>
      </c>
      <c r="Q1289" s="63">
        <v>27.0</v>
      </c>
      <c r="R1289" s="64">
        <v>31.0</v>
      </c>
      <c r="S1289" s="111">
        <v>33.0</v>
      </c>
      <c r="T1289" s="65">
        <f t="shared" si="39"/>
        <v>5.28</v>
      </c>
      <c r="U1289" s="65">
        <f t="shared" si="40"/>
        <v>38.28</v>
      </c>
      <c r="V1289" s="66">
        <f t="shared" si="42"/>
        <v>0.06451612903</v>
      </c>
      <c r="W1289" s="67">
        <f t="shared" si="5"/>
        <v>31.35</v>
      </c>
      <c r="X1289" s="67">
        <f t="shared" si="43"/>
        <v>5.016</v>
      </c>
      <c r="Y1289" s="67">
        <f t="shared" si="44"/>
        <v>36.366</v>
      </c>
      <c r="Z1289" s="67">
        <f t="shared" si="8"/>
        <v>29.7</v>
      </c>
      <c r="AA1289" s="67">
        <f t="shared" si="45"/>
        <v>4.752</v>
      </c>
      <c r="AB1289" s="67">
        <f t="shared" si="46"/>
        <v>34.452</v>
      </c>
      <c r="AC1289" s="67">
        <f t="shared" si="11"/>
        <v>28.05</v>
      </c>
      <c r="AD1289" s="67">
        <f t="shared" si="12"/>
        <v>4.488</v>
      </c>
      <c r="AE1289" s="67">
        <f t="shared" si="13"/>
        <v>32.538</v>
      </c>
      <c r="AF1289" s="67">
        <f t="shared" si="33"/>
        <v>27.39</v>
      </c>
      <c r="AG1289" s="67">
        <f t="shared" si="15"/>
        <v>4.3824</v>
      </c>
      <c r="AH1289" s="67">
        <f t="shared" si="16"/>
        <v>31.7724</v>
      </c>
      <c r="AI1289" s="67">
        <f t="shared" si="17"/>
        <v>26.4</v>
      </c>
      <c r="AJ1289" s="68">
        <f t="shared" si="47"/>
        <v>4.224</v>
      </c>
      <c r="AK1289" s="68">
        <f t="shared" si="48"/>
        <v>30.624</v>
      </c>
      <c r="AL1289" s="70"/>
      <c r="AM1289" s="70"/>
      <c r="AN1289" s="71"/>
      <c r="AO1289" s="71"/>
      <c r="AP1289" s="71"/>
      <c r="AQ1289" s="71"/>
      <c r="AR1289" s="71"/>
      <c r="AS1289" s="71"/>
      <c r="AT1289" s="71"/>
      <c r="AU1289" s="71"/>
      <c r="AV1289" s="71"/>
      <c r="AW1289" s="71"/>
      <c r="AX1289" s="71"/>
      <c r="AY1289" s="71"/>
      <c r="AZ1289" s="71"/>
      <c r="BA1289" s="71"/>
      <c r="BB1289" s="71"/>
      <c r="BC1289" s="71"/>
      <c r="BD1289" s="71"/>
      <c r="BE1289" s="71"/>
      <c r="BF1289" s="71"/>
      <c r="BG1289" s="71"/>
      <c r="BH1289" s="71"/>
      <c r="BI1289" s="71"/>
      <c r="BJ1289" s="71"/>
      <c r="BK1289" s="71"/>
      <c r="BL1289" s="71"/>
      <c r="BM1289" s="71"/>
      <c r="BN1289" s="71"/>
      <c r="BO1289" s="71"/>
      <c r="BP1289" s="71"/>
      <c r="BQ1289" s="71"/>
      <c r="BR1289" s="71"/>
      <c r="BS1289" s="71"/>
      <c r="BT1289" s="71"/>
      <c r="BU1289" s="71"/>
      <c r="BV1289" s="71"/>
    </row>
    <row r="1290">
      <c r="A1290" s="53"/>
      <c r="B1290" s="53"/>
      <c r="C1290" s="53"/>
      <c r="D1290" s="53">
        <v>7039.0</v>
      </c>
      <c r="E1290" s="86" t="s">
        <v>38</v>
      </c>
      <c r="F1290" s="91" t="s">
        <v>42</v>
      </c>
      <c r="G1290" s="84" t="s">
        <v>3155</v>
      </c>
      <c r="H1290" s="55"/>
      <c r="I1290" s="54">
        <f t="shared" si="24"/>
        <v>0</v>
      </c>
      <c r="J1290" s="56"/>
      <c r="K1290" s="57"/>
      <c r="L1290" s="87"/>
      <c r="M1290" s="59"/>
      <c r="N1290" s="60"/>
      <c r="O1290" s="90"/>
      <c r="P1290" s="62">
        <v>0.0</v>
      </c>
      <c r="Q1290" s="63">
        <v>0.0</v>
      </c>
      <c r="R1290" s="64">
        <v>0.0</v>
      </c>
      <c r="S1290" s="111">
        <v>0.0</v>
      </c>
      <c r="T1290" s="65">
        <f t="shared" si="39"/>
        <v>0</v>
      </c>
      <c r="U1290" s="65">
        <f t="shared" si="40"/>
        <v>0</v>
      </c>
      <c r="V1290" s="66" t="str">
        <f t="shared" si="42"/>
        <v>#DIV/0!</v>
      </c>
      <c r="W1290" s="67">
        <f t="shared" si="5"/>
        <v>0</v>
      </c>
      <c r="X1290" s="67">
        <f t="shared" si="43"/>
        <v>0</v>
      </c>
      <c r="Y1290" s="67">
        <f t="shared" si="44"/>
        <v>0</v>
      </c>
      <c r="Z1290" s="67">
        <f t="shared" si="8"/>
        <v>0</v>
      </c>
      <c r="AA1290" s="67">
        <f t="shared" si="45"/>
        <v>0</v>
      </c>
      <c r="AB1290" s="67">
        <f t="shared" si="46"/>
        <v>0</v>
      </c>
      <c r="AC1290" s="67">
        <f t="shared" si="11"/>
        <v>0</v>
      </c>
      <c r="AD1290" s="67">
        <f t="shared" si="12"/>
        <v>0</v>
      </c>
      <c r="AE1290" s="67">
        <f t="shared" si="13"/>
        <v>0</v>
      </c>
      <c r="AF1290" s="67">
        <f t="shared" si="33"/>
        <v>0</v>
      </c>
      <c r="AG1290" s="67">
        <f t="shared" si="15"/>
        <v>0</v>
      </c>
      <c r="AH1290" s="67">
        <f t="shared" si="16"/>
        <v>0</v>
      </c>
      <c r="AI1290" s="67">
        <f t="shared" si="17"/>
        <v>0</v>
      </c>
      <c r="AJ1290" s="68">
        <f t="shared" si="47"/>
        <v>0</v>
      </c>
      <c r="AK1290" s="68">
        <f t="shared" si="48"/>
        <v>0</v>
      </c>
      <c r="AL1290" s="70"/>
      <c r="AM1290" s="70"/>
      <c r="AN1290" s="71"/>
      <c r="AO1290" s="71"/>
      <c r="AP1290" s="71"/>
      <c r="AQ1290" s="71"/>
      <c r="AR1290" s="71"/>
      <c r="AS1290" s="71"/>
      <c r="AT1290" s="71"/>
      <c r="AU1290" s="71"/>
      <c r="AV1290" s="71"/>
      <c r="AW1290" s="71"/>
      <c r="AX1290" s="71"/>
      <c r="AY1290" s="71"/>
      <c r="AZ1290" s="71"/>
      <c r="BA1290" s="71"/>
      <c r="BB1290" s="71"/>
      <c r="BC1290" s="71"/>
      <c r="BD1290" s="71"/>
      <c r="BE1290" s="71"/>
      <c r="BF1290" s="71"/>
      <c r="BG1290" s="71"/>
      <c r="BH1290" s="71"/>
      <c r="BI1290" s="71"/>
      <c r="BJ1290" s="71"/>
      <c r="BK1290" s="71"/>
      <c r="BL1290" s="71"/>
      <c r="BM1290" s="71"/>
      <c r="BN1290" s="71"/>
      <c r="BO1290" s="71"/>
      <c r="BP1290" s="71"/>
      <c r="BQ1290" s="71"/>
      <c r="BR1290" s="71"/>
      <c r="BS1290" s="71"/>
      <c r="BT1290" s="71"/>
      <c r="BU1290" s="71"/>
      <c r="BV1290" s="71"/>
    </row>
    <row r="1291">
      <c r="A1291" s="53"/>
      <c r="B1291" s="53"/>
      <c r="C1291" s="53"/>
      <c r="D1291" s="53" t="s">
        <v>3156</v>
      </c>
      <c r="E1291" s="55" t="s">
        <v>38</v>
      </c>
      <c r="F1291" s="91" t="s">
        <v>42</v>
      </c>
      <c r="G1291" s="84" t="s">
        <v>3157</v>
      </c>
      <c r="H1291" s="55"/>
      <c r="I1291" s="54">
        <f t="shared" si="24"/>
        <v>0</v>
      </c>
      <c r="J1291" s="56"/>
      <c r="K1291" s="57"/>
      <c r="L1291" s="55"/>
      <c r="M1291" s="59"/>
      <c r="N1291" s="60"/>
      <c r="O1291" s="90"/>
      <c r="P1291" s="62">
        <v>0.0</v>
      </c>
      <c r="Q1291" s="63">
        <v>0.0</v>
      </c>
      <c r="R1291" s="64">
        <v>0.0</v>
      </c>
      <c r="S1291" s="111">
        <v>0.0</v>
      </c>
      <c r="T1291" s="65">
        <f t="shared" si="39"/>
        <v>0</v>
      </c>
      <c r="U1291" s="65">
        <f t="shared" si="40"/>
        <v>0</v>
      </c>
      <c r="V1291" s="66" t="str">
        <f t="shared" si="42"/>
        <v>#DIV/0!</v>
      </c>
      <c r="W1291" s="67">
        <f t="shared" si="5"/>
        <v>0</v>
      </c>
      <c r="X1291" s="67">
        <f t="shared" si="43"/>
        <v>0</v>
      </c>
      <c r="Y1291" s="67">
        <f t="shared" si="44"/>
        <v>0</v>
      </c>
      <c r="Z1291" s="67">
        <f t="shared" si="8"/>
        <v>0</v>
      </c>
      <c r="AA1291" s="67">
        <f t="shared" si="45"/>
        <v>0</v>
      </c>
      <c r="AB1291" s="67">
        <f t="shared" si="46"/>
        <v>0</v>
      </c>
      <c r="AC1291" s="67">
        <f t="shared" si="11"/>
        <v>0</v>
      </c>
      <c r="AD1291" s="67">
        <f t="shared" si="12"/>
        <v>0</v>
      </c>
      <c r="AE1291" s="67">
        <f t="shared" si="13"/>
        <v>0</v>
      </c>
      <c r="AF1291" s="67">
        <f t="shared" si="33"/>
        <v>0</v>
      </c>
      <c r="AG1291" s="67">
        <f t="shared" si="15"/>
        <v>0</v>
      </c>
      <c r="AH1291" s="67">
        <f t="shared" si="16"/>
        <v>0</v>
      </c>
      <c r="AI1291" s="67">
        <f t="shared" si="17"/>
        <v>0</v>
      </c>
      <c r="AJ1291" s="68">
        <f t="shared" si="47"/>
        <v>0</v>
      </c>
      <c r="AK1291" s="68">
        <f t="shared" si="48"/>
        <v>0</v>
      </c>
      <c r="AL1291" s="70"/>
      <c r="AM1291" s="70"/>
      <c r="AN1291" s="71"/>
      <c r="AO1291" s="71"/>
      <c r="AP1291" s="71"/>
      <c r="AQ1291" s="71"/>
      <c r="AR1291" s="71"/>
      <c r="AS1291" s="71"/>
      <c r="AT1291" s="71"/>
      <c r="AU1291" s="71"/>
      <c r="AV1291" s="71"/>
      <c r="AW1291" s="71"/>
      <c r="AX1291" s="71"/>
      <c r="AY1291" s="71"/>
      <c r="AZ1291" s="71"/>
      <c r="BA1291" s="71"/>
      <c r="BB1291" s="71"/>
      <c r="BC1291" s="71"/>
      <c r="BD1291" s="71"/>
      <c r="BE1291" s="71"/>
      <c r="BF1291" s="71"/>
      <c r="BG1291" s="71"/>
      <c r="BH1291" s="71"/>
      <c r="BI1291" s="71"/>
      <c r="BJ1291" s="71"/>
      <c r="BK1291" s="71"/>
      <c r="BL1291" s="71"/>
      <c r="BM1291" s="71"/>
      <c r="BN1291" s="71"/>
      <c r="BO1291" s="71"/>
      <c r="BP1291" s="71"/>
      <c r="BQ1291" s="71"/>
      <c r="BR1291" s="71"/>
      <c r="BS1291" s="71"/>
      <c r="BT1291" s="71"/>
      <c r="BU1291" s="71"/>
      <c r="BV1291" s="71"/>
    </row>
    <row r="1292">
      <c r="A1292" s="53"/>
      <c r="B1292" s="53"/>
      <c r="C1292" s="53"/>
      <c r="D1292" s="53">
        <v>7040.0</v>
      </c>
      <c r="E1292" s="86" t="s">
        <v>38</v>
      </c>
      <c r="F1292" s="91" t="s">
        <v>42</v>
      </c>
      <c r="G1292" s="84" t="s">
        <v>3158</v>
      </c>
      <c r="H1292" s="55"/>
      <c r="I1292" s="54">
        <f t="shared" si="24"/>
        <v>0</v>
      </c>
      <c r="J1292" s="56"/>
      <c r="K1292" s="57"/>
      <c r="L1292" s="87"/>
      <c r="M1292" s="59"/>
      <c r="N1292" s="60"/>
      <c r="O1292" s="90"/>
      <c r="P1292" s="62">
        <v>0.0</v>
      </c>
      <c r="Q1292" s="63">
        <v>0.0</v>
      </c>
      <c r="R1292" s="64">
        <v>0.0</v>
      </c>
      <c r="S1292" s="111">
        <v>0.0</v>
      </c>
      <c r="T1292" s="65">
        <f t="shared" si="39"/>
        <v>0</v>
      </c>
      <c r="U1292" s="65">
        <f t="shared" si="40"/>
        <v>0</v>
      </c>
      <c r="V1292" s="66" t="str">
        <f t="shared" si="42"/>
        <v>#DIV/0!</v>
      </c>
      <c r="W1292" s="67">
        <f t="shared" si="5"/>
        <v>0</v>
      </c>
      <c r="X1292" s="67">
        <f t="shared" si="43"/>
        <v>0</v>
      </c>
      <c r="Y1292" s="67">
        <f t="shared" si="44"/>
        <v>0</v>
      </c>
      <c r="Z1292" s="67">
        <f t="shared" si="8"/>
        <v>0</v>
      </c>
      <c r="AA1292" s="67">
        <f t="shared" si="45"/>
        <v>0</v>
      </c>
      <c r="AB1292" s="67">
        <f t="shared" si="46"/>
        <v>0</v>
      </c>
      <c r="AC1292" s="67">
        <f t="shared" si="11"/>
        <v>0</v>
      </c>
      <c r="AD1292" s="67">
        <f t="shared" si="12"/>
        <v>0</v>
      </c>
      <c r="AE1292" s="67">
        <f t="shared" si="13"/>
        <v>0</v>
      </c>
      <c r="AF1292" s="67">
        <f t="shared" si="33"/>
        <v>0</v>
      </c>
      <c r="AG1292" s="67">
        <f t="shared" si="15"/>
        <v>0</v>
      </c>
      <c r="AH1292" s="67">
        <f t="shared" si="16"/>
        <v>0</v>
      </c>
      <c r="AI1292" s="67">
        <f t="shared" si="17"/>
        <v>0</v>
      </c>
      <c r="AJ1292" s="68">
        <f t="shared" si="47"/>
        <v>0</v>
      </c>
      <c r="AK1292" s="68">
        <f t="shared" si="48"/>
        <v>0</v>
      </c>
      <c r="AL1292" s="70"/>
      <c r="AM1292" s="70"/>
      <c r="AN1292" s="71"/>
      <c r="AO1292" s="71"/>
      <c r="AP1292" s="71"/>
      <c r="AQ1292" s="71"/>
      <c r="AR1292" s="71"/>
      <c r="AS1292" s="71"/>
      <c r="AT1292" s="71"/>
      <c r="AU1292" s="71"/>
      <c r="AV1292" s="71"/>
      <c r="AW1292" s="71"/>
      <c r="AX1292" s="71"/>
      <c r="AY1292" s="71"/>
      <c r="AZ1292" s="71"/>
      <c r="BA1292" s="71"/>
      <c r="BB1292" s="71"/>
      <c r="BC1292" s="71"/>
      <c r="BD1292" s="71"/>
      <c r="BE1292" s="71"/>
      <c r="BF1292" s="71"/>
      <c r="BG1292" s="71"/>
      <c r="BH1292" s="71"/>
      <c r="BI1292" s="71"/>
      <c r="BJ1292" s="71"/>
      <c r="BK1292" s="71"/>
      <c r="BL1292" s="71"/>
      <c r="BM1292" s="71"/>
      <c r="BN1292" s="71"/>
      <c r="BO1292" s="71"/>
      <c r="BP1292" s="71"/>
      <c r="BQ1292" s="71"/>
      <c r="BR1292" s="71"/>
      <c r="BS1292" s="71"/>
      <c r="BT1292" s="71"/>
      <c r="BU1292" s="71"/>
      <c r="BV1292" s="71"/>
    </row>
    <row r="1293">
      <c r="A1293" s="53"/>
      <c r="B1293" s="53"/>
      <c r="C1293" s="53" t="s">
        <v>36</v>
      </c>
      <c r="D1293" s="85" t="s">
        <v>3159</v>
      </c>
      <c r="E1293" s="54" t="s">
        <v>38</v>
      </c>
      <c r="F1293" s="55" t="s">
        <v>39</v>
      </c>
      <c r="G1293" s="86" t="s">
        <v>3160</v>
      </c>
      <c r="H1293" s="55"/>
      <c r="I1293" s="54">
        <f t="shared" si="24"/>
        <v>0</v>
      </c>
      <c r="J1293" s="56"/>
      <c r="K1293" s="57"/>
      <c r="L1293" s="76"/>
      <c r="M1293" s="59"/>
      <c r="N1293" s="60"/>
      <c r="O1293" s="61">
        <v>24192.0</v>
      </c>
      <c r="P1293" s="62">
        <v>26127.36</v>
      </c>
      <c r="Q1293" s="63">
        <v>26127.36</v>
      </c>
      <c r="R1293" s="64">
        <v>27434.0</v>
      </c>
      <c r="S1293" s="107">
        <v>28806.0</v>
      </c>
      <c r="T1293" s="65">
        <f t="shared" si="39"/>
        <v>4608.96</v>
      </c>
      <c r="U1293" s="65">
        <f t="shared" si="40"/>
        <v>33414.96</v>
      </c>
      <c r="V1293" s="66">
        <f t="shared" si="42"/>
        <v>0.05001093534</v>
      </c>
      <c r="W1293" s="67">
        <f t="shared" si="5"/>
        <v>27365.7</v>
      </c>
      <c r="X1293" s="67">
        <f t="shared" si="43"/>
        <v>4378.512</v>
      </c>
      <c r="Y1293" s="67">
        <f t="shared" si="44"/>
        <v>31744.212</v>
      </c>
      <c r="Z1293" s="67">
        <f t="shared" si="8"/>
        <v>25925.4</v>
      </c>
      <c r="AA1293" s="67">
        <f t="shared" si="45"/>
        <v>4148.064</v>
      </c>
      <c r="AB1293" s="67">
        <f t="shared" si="46"/>
        <v>30073.464</v>
      </c>
      <c r="AC1293" s="67">
        <f t="shared" si="11"/>
        <v>24485.1</v>
      </c>
      <c r="AD1293" s="67">
        <f t="shared" si="12"/>
        <v>3917.616</v>
      </c>
      <c r="AE1293" s="67">
        <f t="shared" si="13"/>
        <v>28402.716</v>
      </c>
      <c r="AF1293" s="67">
        <f t="shared" si="33"/>
        <v>23908.98</v>
      </c>
      <c r="AG1293" s="67">
        <f t="shared" si="15"/>
        <v>3825.4368</v>
      </c>
      <c r="AH1293" s="67">
        <f t="shared" si="16"/>
        <v>27734.4168</v>
      </c>
      <c r="AI1293" s="67">
        <f t="shared" si="17"/>
        <v>23044.8</v>
      </c>
      <c r="AJ1293" s="68">
        <f t="shared" si="47"/>
        <v>3687.168</v>
      </c>
      <c r="AK1293" s="68">
        <f t="shared" si="48"/>
        <v>26731.968</v>
      </c>
      <c r="AL1293" s="70"/>
      <c r="AM1293" s="70"/>
      <c r="AN1293" s="71"/>
      <c r="AO1293" s="71"/>
      <c r="AP1293" s="71"/>
      <c r="AQ1293" s="71"/>
      <c r="AR1293" s="71"/>
      <c r="AS1293" s="71"/>
      <c r="AT1293" s="71"/>
      <c r="AU1293" s="71"/>
      <c r="AV1293" s="71"/>
      <c r="AW1293" s="71"/>
      <c r="AX1293" s="71"/>
      <c r="AY1293" s="71"/>
      <c r="AZ1293" s="71"/>
      <c r="BA1293" s="71"/>
      <c r="BB1293" s="71"/>
      <c r="BC1293" s="71"/>
      <c r="BD1293" s="71"/>
      <c r="BE1293" s="71"/>
      <c r="BF1293" s="71"/>
      <c r="BG1293" s="71"/>
      <c r="BH1293" s="71"/>
      <c r="BI1293" s="71"/>
      <c r="BJ1293" s="71"/>
      <c r="BK1293" s="71"/>
      <c r="BL1293" s="71"/>
      <c r="BM1293" s="71"/>
      <c r="BN1293" s="71"/>
      <c r="BO1293" s="71"/>
      <c r="BP1293" s="71"/>
      <c r="BQ1293" s="71"/>
      <c r="BR1293" s="71"/>
      <c r="BS1293" s="71"/>
      <c r="BT1293" s="71"/>
      <c r="BU1293" s="71"/>
      <c r="BV1293" s="71"/>
    </row>
    <row r="1294">
      <c r="A1294" s="53">
        <v>1.0</v>
      </c>
      <c r="B1294" s="72"/>
      <c r="C1294" s="73" t="s">
        <v>53</v>
      </c>
      <c r="D1294" s="53" t="s">
        <v>3161</v>
      </c>
      <c r="E1294" s="54" t="s">
        <v>77</v>
      </c>
      <c r="F1294" s="54" t="s">
        <v>42</v>
      </c>
      <c r="G1294" s="88" t="s">
        <v>3162</v>
      </c>
      <c r="H1294" s="54" t="s">
        <v>3163</v>
      </c>
      <c r="I1294" s="54">
        <f t="shared" si="24"/>
        <v>30</v>
      </c>
      <c r="J1294" s="56"/>
      <c r="K1294" s="57"/>
      <c r="L1294" s="87"/>
      <c r="M1294" s="59"/>
      <c r="N1294" s="60">
        <v>5559.0</v>
      </c>
      <c r="O1294" s="61">
        <v>6003.0</v>
      </c>
      <c r="P1294" s="62">
        <v>6483.240000000001</v>
      </c>
      <c r="Q1294" s="63">
        <v>6483.240000000001</v>
      </c>
      <c r="R1294" s="64">
        <v>7149.0</v>
      </c>
      <c r="S1294" s="111">
        <v>7506.0</v>
      </c>
      <c r="T1294" s="65">
        <f t="shared" si="39"/>
        <v>1200.96</v>
      </c>
      <c r="U1294" s="65">
        <f t="shared" si="40"/>
        <v>8706.96</v>
      </c>
      <c r="V1294" s="66">
        <f t="shared" si="42"/>
        <v>0.04993705413</v>
      </c>
      <c r="W1294" s="67">
        <f t="shared" si="5"/>
        <v>7130.7</v>
      </c>
      <c r="X1294" s="67">
        <f t="shared" si="43"/>
        <v>1140.912</v>
      </c>
      <c r="Y1294" s="67">
        <f t="shared" si="44"/>
        <v>8271.612</v>
      </c>
      <c r="Z1294" s="67">
        <f t="shared" si="8"/>
        <v>6755.4</v>
      </c>
      <c r="AA1294" s="67">
        <f t="shared" si="45"/>
        <v>1080.864</v>
      </c>
      <c r="AB1294" s="67">
        <f t="shared" si="46"/>
        <v>7836.264</v>
      </c>
      <c r="AC1294" s="67">
        <f t="shared" si="11"/>
        <v>6380.1</v>
      </c>
      <c r="AD1294" s="67">
        <f t="shared" si="12"/>
        <v>1020.816</v>
      </c>
      <c r="AE1294" s="67">
        <f t="shared" si="13"/>
        <v>7400.916</v>
      </c>
      <c r="AF1294" s="67">
        <f t="shared" si="33"/>
        <v>6229.98</v>
      </c>
      <c r="AG1294" s="67">
        <f t="shared" si="15"/>
        <v>996.7968</v>
      </c>
      <c r="AH1294" s="67">
        <f t="shared" si="16"/>
        <v>7226.7768</v>
      </c>
      <c r="AI1294" s="67">
        <f t="shared" si="17"/>
        <v>6004.8</v>
      </c>
      <c r="AJ1294" s="68">
        <f t="shared" si="47"/>
        <v>960.768</v>
      </c>
      <c r="AK1294" s="68">
        <f t="shared" si="48"/>
        <v>6965.568</v>
      </c>
      <c r="AL1294" s="70"/>
      <c r="AM1294" s="70"/>
      <c r="AN1294" s="71"/>
      <c r="AO1294" s="71"/>
      <c r="AP1294" s="71"/>
      <c r="AQ1294" s="71"/>
      <c r="AR1294" s="71"/>
      <c r="AS1294" s="71"/>
      <c r="AT1294" s="71"/>
      <c r="AU1294" s="71"/>
      <c r="AV1294" s="71"/>
      <c r="AW1294" s="71"/>
      <c r="AX1294" s="71"/>
      <c r="AY1294" s="71"/>
      <c r="AZ1294" s="71"/>
      <c r="BA1294" s="71"/>
      <c r="BB1294" s="71"/>
      <c r="BC1294" s="71"/>
      <c r="BD1294" s="71"/>
      <c r="BE1294" s="71"/>
      <c r="BF1294" s="71"/>
      <c r="BG1294" s="71"/>
      <c r="BH1294" s="71"/>
      <c r="BI1294" s="71"/>
      <c r="BJ1294" s="71"/>
      <c r="BK1294" s="71"/>
      <c r="BL1294" s="71"/>
      <c r="BM1294" s="71"/>
      <c r="BN1294" s="71"/>
      <c r="BO1294" s="71"/>
      <c r="BP1294" s="71"/>
      <c r="BQ1294" s="71"/>
      <c r="BR1294" s="71"/>
      <c r="BS1294" s="71"/>
      <c r="BT1294" s="71"/>
      <c r="BU1294" s="71"/>
      <c r="BV1294" s="71"/>
    </row>
    <row r="1295">
      <c r="A1295" s="53">
        <v>1.0</v>
      </c>
      <c r="B1295" s="72"/>
      <c r="C1295" s="73" t="s">
        <v>53</v>
      </c>
      <c r="D1295" s="53" t="s">
        <v>3164</v>
      </c>
      <c r="E1295" s="54" t="s">
        <v>77</v>
      </c>
      <c r="F1295" s="54" t="s">
        <v>42</v>
      </c>
      <c r="G1295" s="88" t="s">
        <v>3165</v>
      </c>
      <c r="H1295" s="54" t="s">
        <v>3166</v>
      </c>
      <c r="I1295" s="54">
        <f t="shared" si="24"/>
        <v>33</v>
      </c>
      <c r="J1295" s="56"/>
      <c r="K1295" s="57"/>
      <c r="L1295" s="87"/>
      <c r="M1295" s="59"/>
      <c r="N1295" s="60">
        <v>5559.0</v>
      </c>
      <c r="O1295" s="61">
        <v>6003.0</v>
      </c>
      <c r="P1295" s="62">
        <v>6483.240000000001</v>
      </c>
      <c r="Q1295" s="63">
        <v>6483.240000000001</v>
      </c>
      <c r="R1295" s="64">
        <v>7217.0</v>
      </c>
      <c r="S1295" s="111">
        <v>7578.0</v>
      </c>
      <c r="T1295" s="65">
        <f t="shared" si="39"/>
        <v>1212.48</v>
      </c>
      <c r="U1295" s="65">
        <f t="shared" si="40"/>
        <v>8790.48</v>
      </c>
      <c r="V1295" s="66">
        <f t="shared" si="42"/>
        <v>0.05002078426</v>
      </c>
      <c r="W1295" s="67">
        <f t="shared" si="5"/>
        <v>7199.1</v>
      </c>
      <c r="X1295" s="67">
        <f t="shared" si="43"/>
        <v>1151.856</v>
      </c>
      <c r="Y1295" s="67">
        <f t="shared" si="44"/>
        <v>8350.956</v>
      </c>
      <c r="Z1295" s="67">
        <f t="shared" si="8"/>
        <v>6820.2</v>
      </c>
      <c r="AA1295" s="67">
        <f t="shared" si="45"/>
        <v>1091.232</v>
      </c>
      <c r="AB1295" s="67">
        <f t="shared" si="46"/>
        <v>7911.432</v>
      </c>
      <c r="AC1295" s="67">
        <f t="shared" si="11"/>
        <v>6441.3</v>
      </c>
      <c r="AD1295" s="67">
        <f t="shared" si="12"/>
        <v>1030.608</v>
      </c>
      <c r="AE1295" s="67">
        <f t="shared" si="13"/>
        <v>7471.908</v>
      </c>
      <c r="AF1295" s="67">
        <f t="shared" si="33"/>
        <v>6289.74</v>
      </c>
      <c r="AG1295" s="67">
        <f t="shared" si="15"/>
        <v>1006.3584</v>
      </c>
      <c r="AH1295" s="67">
        <f t="shared" si="16"/>
        <v>7296.0984</v>
      </c>
      <c r="AI1295" s="67">
        <f t="shared" si="17"/>
        <v>6062.4</v>
      </c>
      <c r="AJ1295" s="68">
        <f t="shared" si="47"/>
        <v>969.984</v>
      </c>
      <c r="AK1295" s="68">
        <f t="shared" si="48"/>
        <v>7032.384</v>
      </c>
      <c r="AL1295" s="70"/>
      <c r="AM1295" s="70"/>
      <c r="AN1295" s="71"/>
      <c r="AO1295" s="71"/>
      <c r="AP1295" s="71"/>
      <c r="AQ1295" s="71"/>
      <c r="AR1295" s="71"/>
      <c r="AS1295" s="71"/>
      <c r="AT1295" s="71"/>
      <c r="AU1295" s="71"/>
      <c r="AV1295" s="71"/>
      <c r="AW1295" s="71"/>
      <c r="AX1295" s="71"/>
      <c r="AY1295" s="71"/>
      <c r="AZ1295" s="71"/>
      <c r="BA1295" s="71"/>
      <c r="BB1295" s="71"/>
      <c r="BC1295" s="71"/>
      <c r="BD1295" s="71"/>
      <c r="BE1295" s="71"/>
      <c r="BF1295" s="71"/>
      <c r="BG1295" s="71"/>
      <c r="BH1295" s="71"/>
      <c r="BI1295" s="71"/>
      <c r="BJ1295" s="71"/>
      <c r="BK1295" s="71"/>
      <c r="BL1295" s="71"/>
      <c r="BM1295" s="71"/>
      <c r="BN1295" s="71"/>
      <c r="BO1295" s="71"/>
      <c r="BP1295" s="71"/>
      <c r="BQ1295" s="71"/>
      <c r="BR1295" s="71"/>
      <c r="BS1295" s="71"/>
      <c r="BT1295" s="71"/>
      <c r="BU1295" s="71"/>
      <c r="BV1295" s="71"/>
    </row>
    <row r="1296">
      <c r="A1296" s="53"/>
      <c r="B1296" s="53"/>
      <c r="C1296" s="53"/>
      <c r="D1296" s="53" t="s">
        <v>3167</v>
      </c>
      <c r="E1296" s="55" t="s">
        <v>38</v>
      </c>
      <c r="F1296" s="91" t="s">
        <v>42</v>
      </c>
      <c r="G1296" s="84" t="s">
        <v>3168</v>
      </c>
      <c r="H1296" s="55"/>
      <c r="I1296" s="54">
        <f t="shared" si="24"/>
        <v>0</v>
      </c>
      <c r="J1296" s="56"/>
      <c r="K1296" s="57"/>
      <c r="L1296" s="55"/>
      <c r="M1296" s="59"/>
      <c r="N1296" s="60"/>
      <c r="O1296" s="90"/>
      <c r="P1296" s="62">
        <v>0.0</v>
      </c>
      <c r="Q1296" s="63">
        <v>0.0</v>
      </c>
      <c r="R1296" s="64">
        <v>0.0</v>
      </c>
      <c r="S1296" s="111">
        <v>0.0</v>
      </c>
      <c r="T1296" s="65">
        <f t="shared" si="39"/>
        <v>0</v>
      </c>
      <c r="U1296" s="65">
        <f t="shared" si="40"/>
        <v>0</v>
      </c>
      <c r="V1296" s="66" t="str">
        <f t="shared" si="42"/>
        <v>#DIV/0!</v>
      </c>
      <c r="W1296" s="67">
        <f t="shared" si="5"/>
        <v>0</v>
      </c>
      <c r="X1296" s="67">
        <f t="shared" si="43"/>
        <v>0</v>
      </c>
      <c r="Y1296" s="67">
        <f t="shared" si="44"/>
        <v>0</v>
      </c>
      <c r="Z1296" s="67">
        <f t="shared" si="8"/>
        <v>0</v>
      </c>
      <c r="AA1296" s="67">
        <f t="shared" si="45"/>
        <v>0</v>
      </c>
      <c r="AB1296" s="67">
        <f t="shared" si="46"/>
        <v>0</v>
      </c>
      <c r="AC1296" s="67">
        <f t="shared" si="11"/>
        <v>0</v>
      </c>
      <c r="AD1296" s="67">
        <f t="shared" si="12"/>
        <v>0</v>
      </c>
      <c r="AE1296" s="67">
        <f t="shared" si="13"/>
        <v>0</v>
      </c>
      <c r="AF1296" s="67">
        <f t="shared" si="33"/>
        <v>0</v>
      </c>
      <c r="AG1296" s="67">
        <f t="shared" si="15"/>
        <v>0</v>
      </c>
      <c r="AH1296" s="67">
        <f t="shared" si="16"/>
        <v>0</v>
      </c>
      <c r="AI1296" s="67">
        <f t="shared" si="17"/>
        <v>0</v>
      </c>
      <c r="AJ1296" s="68">
        <f t="shared" si="47"/>
        <v>0</v>
      </c>
      <c r="AK1296" s="68">
        <f t="shared" si="48"/>
        <v>0</v>
      </c>
      <c r="AL1296" s="70"/>
      <c r="AM1296" s="70"/>
      <c r="AN1296" s="71"/>
      <c r="AO1296" s="71"/>
      <c r="AP1296" s="71"/>
      <c r="AQ1296" s="71"/>
      <c r="AR1296" s="71"/>
      <c r="AS1296" s="71"/>
      <c r="AT1296" s="71"/>
      <c r="AU1296" s="71"/>
      <c r="AV1296" s="71"/>
      <c r="AW1296" s="71"/>
      <c r="AX1296" s="71"/>
      <c r="AY1296" s="71"/>
      <c r="AZ1296" s="71"/>
      <c r="BA1296" s="71"/>
      <c r="BB1296" s="71"/>
      <c r="BC1296" s="71"/>
      <c r="BD1296" s="71"/>
      <c r="BE1296" s="71"/>
      <c r="BF1296" s="71"/>
      <c r="BG1296" s="71"/>
      <c r="BH1296" s="71"/>
      <c r="BI1296" s="71"/>
      <c r="BJ1296" s="71"/>
      <c r="BK1296" s="71"/>
      <c r="BL1296" s="71"/>
      <c r="BM1296" s="71"/>
      <c r="BN1296" s="71"/>
      <c r="BO1296" s="71"/>
      <c r="BP1296" s="71"/>
      <c r="BQ1296" s="71"/>
      <c r="BR1296" s="71"/>
      <c r="BS1296" s="71"/>
      <c r="BT1296" s="71"/>
      <c r="BU1296" s="71"/>
      <c r="BV1296" s="71"/>
    </row>
    <row r="1297">
      <c r="A1297" s="53">
        <v>1.0</v>
      </c>
      <c r="B1297" s="72"/>
      <c r="C1297" s="73" t="s">
        <v>12</v>
      </c>
      <c r="D1297" s="74" t="s">
        <v>3169</v>
      </c>
      <c r="E1297" s="54" t="s">
        <v>77</v>
      </c>
      <c r="F1297" s="54" t="s">
        <v>42</v>
      </c>
      <c r="G1297" s="54" t="s">
        <v>3170</v>
      </c>
      <c r="H1297" s="54" t="s">
        <v>3170</v>
      </c>
      <c r="I1297" s="54">
        <f t="shared" si="24"/>
        <v>30</v>
      </c>
      <c r="J1297" s="56"/>
      <c r="K1297" s="57"/>
      <c r="L1297" s="87"/>
      <c r="M1297" s="59"/>
      <c r="N1297" s="60">
        <v>297.0</v>
      </c>
      <c r="O1297" s="61">
        <v>320.0</v>
      </c>
      <c r="P1297" s="62">
        <v>345.6</v>
      </c>
      <c r="Q1297" s="63">
        <v>345.6</v>
      </c>
      <c r="R1297" s="64">
        <v>386.0</v>
      </c>
      <c r="S1297" s="111">
        <v>405.0</v>
      </c>
      <c r="T1297" s="65">
        <f t="shared" si="39"/>
        <v>64.8</v>
      </c>
      <c r="U1297" s="65">
        <f t="shared" si="40"/>
        <v>469.8</v>
      </c>
      <c r="V1297" s="66">
        <f t="shared" si="42"/>
        <v>0.04922279793</v>
      </c>
      <c r="W1297" s="67">
        <f t="shared" si="5"/>
        <v>384.75</v>
      </c>
      <c r="X1297" s="67">
        <f t="shared" si="43"/>
        <v>61.56</v>
      </c>
      <c r="Y1297" s="67">
        <f t="shared" si="44"/>
        <v>446.31</v>
      </c>
      <c r="Z1297" s="67">
        <f t="shared" si="8"/>
        <v>364.5</v>
      </c>
      <c r="AA1297" s="67">
        <f t="shared" si="45"/>
        <v>58.32</v>
      </c>
      <c r="AB1297" s="67">
        <f t="shared" si="46"/>
        <v>422.82</v>
      </c>
      <c r="AC1297" s="67">
        <f t="shared" si="11"/>
        <v>344.25</v>
      </c>
      <c r="AD1297" s="67">
        <f t="shared" si="12"/>
        <v>55.08</v>
      </c>
      <c r="AE1297" s="67">
        <f t="shared" si="13"/>
        <v>399.33</v>
      </c>
      <c r="AF1297" s="67">
        <f t="shared" si="33"/>
        <v>336.15</v>
      </c>
      <c r="AG1297" s="67">
        <f t="shared" si="15"/>
        <v>53.784</v>
      </c>
      <c r="AH1297" s="67">
        <f t="shared" si="16"/>
        <v>389.934</v>
      </c>
      <c r="AI1297" s="67">
        <f t="shared" si="17"/>
        <v>324</v>
      </c>
      <c r="AJ1297" s="68">
        <f t="shared" si="47"/>
        <v>51.84</v>
      </c>
      <c r="AK1297" s="68">
        <f t="shared" si="48"/>
        <v>375.84</v>
      </c>
      <c r="AL1297" s="70"/>
      <c r="AM1297" s="70"/>
      <c r="AN1297" s="71"/>
      <c r="AO1297" s="71"/>
      <c r="AP1297" s="71"/>
      <c r="AQ1297" s="71"/>
      <c r="AR1297" s="71"/>
      <c r="AS1297" s="71"/>
      <c r="AT1297" s="71"/>
      <c r="AU1297" s="71"/>
      <c r="AV1297" s="71"/>
      <c r="AW1297" s="71"/>
      <c r="AX1297" s="71"/>
      <c r="AY1297" s="71"/>
      <c r="AZ1297" s="71"/>
      <c r="BA1297" s="71"/>
      <c r="BB1297" s="71"/>
      <c r="BC1297" s="71"/>
      <c r="BD1297" s="71"/>
      <c r="BE1297" s="71"/>
      <c r="BF1297" s="71"/>
      <c r="BG1297" s="71"/>
      <c r="BH1297" s="71"/>
      <c r="BI1297" s="71"/>
      <c r="BJ1297" s="71"/>
      <c r="BK1297" s="71"/>
      <c r="BL1297" s="71"/>
      <c r="BM1297" s="71"/>
      <c r="BN1297" s="71"/>
      <c r="BO1297" s="71"/>
      <c r="BP1297" s="71"/>
      <c r="BQ1297" s="71"/>
      <c r="BR1297" s="71"/>
      <c r="BS1297" s="71"/>
      <c r="BT1297" s="71"/>
      <c r="BU1297" s="71"/>
      <c r="BV1297" s="71"/>
    </row>
    <row r="1298">
      <c r="A1298" s="53"/>
      <c r="B1298" s="53"/>
      <c r="C1298" s="53"/>
      <c r="D1298" s="53" t="s">
        <v>3171</v>
      </c>
      <c r="E1298" s="55" t="s">
        <v>38</v>
      </c>
      <c r="F1298" s="91" t="s">
        <v>42</v>
      </c>
      <c r="G1298" s="84" t="s">
        <v>3172</v>
      </c>
      <c r="H1298" s="55"/>
      <c r="I1298" s="54">
        <f t="shared" si="24"/>
        <v>0</v>
      </c>
      <c r="J1298" s="56"/>
      <c r="K1298" s="57"/>
      <c r="L1298" s="55"/>
      <c r="M1298" s="59"/>
      <c r="N1298" s="60"/>
      <c r="O1298" s="90"/>
      <c r="P1298" s="62">
        <v>0.0</v>
      </c>
      <c r="Q1298" s="63">
        <v>0.0</v>
      </c>
      <c r="R1298" s="64">
        <v>0.0</v>
      </c>
      <c r="S1298" s="111">
        <v>0.0</v>
      </c>
      <c r="T1298" s="65">
        <f t="shared" si="39"/>
        <v>0</v>
      </c>
      <c r="U1298" s="65">
        <f t="shared" si="40"/>
        <v>0</v>
      </c>
      <c r="V1298" s="66" t="str">
        <f t="shared" si="42"/>
        <v>#DIV/0!</v>
      </c>
      <c r="W1298" s="67">
        <f t="shared" si="5"/>
        <v>0</v>
      </c>
      <c r="X1298" s="67">
        <f t="shared" si="43"/>
        <v>0</v>
      </c>
      <c r="Y1298" s="67">
        <f t="shared" si="44"/>
        <v>0</v>
      </c>
      <c r="Z1298" s="67">
        <f t="shared" si="8"/>
        <v>0</v>
      </c>
      <c r="AA1298" s="67">
        <f t="shared" si="45"/>
        <v>0</v>
      </c>
      <c r="AB1298" s="67">
        <f t="shared" si="46"/>
        <v>0</v>
      </c>
      <c r="AC1298" s="67">
        <f t="shared" si="11"/>
        <v>0</v>
      </c>
      <c r="AD1298" s="67">
        <f t="shared" si="12"/>
        <v>0</v>
      </c>
      <c r="AE1298" s="67">
        <f t="shared" si="13"/>
        <v>0</v>
      </c>
      <c r="AF1298" s="67">
        <f t="shared" si="33"/>
        <v>0</v>
      </c>
      <c r="AG1298" s="67">
        <f t="shared" si="15"/>
        <v>0</v>
      </c>
      <c r="AH1298" s="67">
        <f t="shared" si="16"/>
        <v>0</v>
      </c>
      <c r="AI1298" s="67">
        <f t="shared" si="17"/>
        <v>0</v>
      </c>
      <c r="AJ1298" s="68">
        <f t="shared" si="47"/>
        <v>0</v>
      </c>
      <c r="AK1298" s="68">
        <f t="shared" si="48"/>
        <v>0</v>
      </c>
      <c r="AL1298" s="70"/>
      <c r="AM1298" s="70"/>
      <c r="AN1298" s="71"/>
      <c r="AO1298" s="71"/>
      <c r="AP1298" s="71"/>
      <c r="AQ1298" s="71"/>
      <c r="AR1298" s="71"/>
      <c r="AS1298" s="71"/>
      <c r="AT1298" s="71"/>
      <c r="AU1298" s="71"/>
      <c r="AV1298" s="71"/>
      <c r="AW1298" s="71"/>
      <c r="AX1298" s="71"/>
      <c r="AY1298" s="71"/>
      <c r="AZ1298" s="71"/>
      <c r="BA1298" s="71"/>
      <c r="BB1298" s="71"/>
      <c r="BC1298" s="71"/>
      <c r="BD1298" s="71"/>
      <c r="BE1298" s="71"/>
      <c r="BF1298" s="71"/>
      <c r="BG1298" s="71"/>
      <c r="BH1298" s="71"/>
      <c r="BI1298" s="71"/>
      <c r="BJ1298" s="71"/>
      <c r="BK1298" s="71"/>
      <c r="BL1298" s="71"/>
      <c r="BM1298" s="71"/>
      <c r="BN1298" s="71"/>
      <c r="BO1298" s="71"/>
      <c r="BP1298" s="71"/>
      <c r="BQ1298" s="71"/>
      <c r="BR1298" s="71"/>
      <c r="BS1298" s="71"/>
      <c r="BT1298" s="71"/>
      <c r="BU1298" s="71"/>
      <c r="BV1298" s="71"/>
    </row>
    <row r="1299">
      <c r="A1299" s="53"/>
      <c r="B1299" s="53"/>
      <c r="C1299" s="53" t="s">
        <v>36</v>
      </c>
      <c r="D1299" s="85" t="s">
        <v>3173</v>
      </c>
      <c r="E1299" s="54" t="s">
        <v>38</v>
      </c>
      <c r="F1299" s="55" t="s">
        <v>39</v>
      </c>
      <c r="G1299" s="86" t="s">
        <v>3174</v>
      </c>
      <c r="H1299" s="55"/>
      <c r="I1299" s="54">
        <f t="shared" si="24"/>
        <v>0</v>
      </c>
      <c r="J1299" s="56"/>
      <c r="K1299" s="57"/>
      <c r="L1299" s="76"/>
      <c r="M1299" s="59"/>
      <c r="N1299" s="60"/>
      <c r="O1299" s="61">
        <v>1236.25</v>
      </c>
      <c r="P1299" s="62">
        <v>1335.15</v>
      </c>
      <c r="Q1299" s="63">
        <v>1335.15</v>
      </c>
      <c r="R1299" s="64">
        <v>1402.0</v>
      </c>
      <c r="S1299" s="107">
        <v>1472.0</v>
      </c>
      <c r="T1299" s="65">
        <f t="shared" si="39"/>
        <v>235.52</v>
      </c>
      <c r="U1299" s="65">
        <f t="shared" si="40"/>
        <v>1707.52</v>
      </c>
      <c r="V1299" s="66">
        <f t="shared" si="42"/>
        <v>0.04992867332</v>
      </c>
      <c r="W1299" s="67">
        <f t="shared" si="5"/>
        <v>1398.4</v>
      </c>
      <c r="X1299" s="67">
        <f t="shared" si="43"/>
        <v>223.744</v>
      </c>
      <c r="Y1299" s="67">
        <f t="shared" si="44"/>
        <v>1622.144</v>
      </c>
      <c r="Z1299" s="67">
        <f t="shared" si="8"/>
        <v>1324.8</v>
      </c>
      <c r="AA1299" s="67">
        <f t="shared" si="45"/>
        <v>211.968</v>
      </c>
      <c r="AB1299" s="67">
        <f t="shared" si="46"/>
        <v>1536.768</v>
      </c>
      <c r="AC1299" s="67">
        <f t="shared" si="11"/>
        <v>1251.2</v>
      </c>
      <c r="AD1299" s="67">
        <f t="shared" si="12"/>
        <v>200.192</v>
      </c>
      <c r="AE1299" s="67">
        <f t="shared" si="13"/>
        <v>1451.392</v>
      </c>
      <c r="AF1299" s="67">
        <f t="shared" si="33"/>
        <v>1221.76</v>
      </c>
      <c r="AG1299" s="67">
        <f t="shared" si="15"/>
        <v>195.4816</v>
      </c>
      <c r="AH1299" s="67">
        <f t="shared" si="16"/>
        <v>1417.2416</v>
      </c>
      <c r="AI1299" s="67">
        <f t="shared" si="17"/>
        <v>1177.6</v>
      </c>
      <c r="AJ1299" s="68">
        <f t="shared" si="47"/>
        <v>188.416</v>
      </c>
      <c r="AK1299" s="68">
        <f t="shared" si="48"/>
        <v>1366.016</v>
      </c>
      <c r="AL1299" s="70"/>
      <c r="AM1299" s="70"/>
      <c r="AN1299" s="71"/>
      <c r="AO1299" s="71"/>
      <c r="AP1299" s="71"/>
      <c r="AQ1299" s="71"/>
      <c r="AR1299" s="71"/>
      <c r="AS1299" s="71"/>
      <c r="AT1299" s="71"/>
      <c r="AU1299" s="71"/>
      <c r="AV1299" s="71"/>
      <c r="AW1299" s="71"/>
      <c r="AX1299" s="71"/>
      <c r="AY1299" s="71"/>
      <c r="AZ1299" s="71"/>
      <c r="BA1299" s="71"/>
      <c r="BB1299" s="71"/>
      <c r="BC1299" s="71"/>
      <c r="BD1299" s="71"/>
      <c r="BE1299" s="71"/>
      <c r="BF1299" s="71"/>
      <c r="BG1299" s="71"/>
      <c r="BH1299" s="71"/>
      <c r="BI1299" s="71"/>
      <c r="BJ1299" s="71"/>
      <c r="BK1299" s="71"/>
      <c r="BL1299" s="71"/>
      <c r="BM1299" s="71"/>
      <c r="BN1299" s="71"/>
      <c r="BO1299" s="71"/>
      <c r="BP1299" s="71"/>
      <c r="BQ1299" s="71"/>
      <c r="BR1299" s="71"/>
      <c r="BS1299" s="71"/>
      <c r="BT1299" s="71"/>
      <c r="BU1299" s="71"/>
      <c r="BV1299" s="71"/>
    </row>
    <row r="1300">
      <c r="A1300" s="53"/>
      <c r="B1300" s="53"/>
      <c r="C1300" s="53"/>
      <c r="D1300" s="53" t="s">
        <v>3175</v>
      </c>
      <c r="E1300" s="55" t="s">
        <v>38</v>
      </c>
      <c r="F1300" s="91" t="s">
        <v>42</v>
      </c>
      <c r="G1300" s="84" t="s">
        <v>3176</v>
      </c>
      <c r="H1300" s="55"/>
      <c r="I1300" s="54">
        <f t="shared" si="24"/>
        <v>0</v>
      </c>
      <c r="J1300" s="56"/>
      <c r="K1300" s="57"/>
      <c r="L1300" s="55" t="s">
        <v>661</v>
      </c>
      <c r="M1300" s="59"/>
      <c r="N1300" s="60"/>
      <c r="O1300" s="90"/>
      <c r="P1300" s="62">
        <v>0.0</v>
      </c>
      <c r="Q1300" s="63">
        <v>0.0</v>
      </c>
      <c r="R1300" s="64">
        <v>0.0</v>
      </c>
      <c r="S1300" s="111">
        <v>0.0</v>
      </c>
      <c r="T1300" s="65">
        <f t="shared" si="39"/>
        <v>0</v>
      </c>
      <c r="U1300" s="65">
        <f t="shared" si="40"/>
        <v>0</v>
      </c>
      <c r="V1300" s="66" t="str">
        <f t="shared" si="42"/>
        <v>#DIV/0!</v>
      </c>
      <c r="W1300" s="67">
        <f t="shared" si="5"/>
        <v>0</v>
      </c>
      <c r="X1300" s="67">
        <f t="shared" si="43"/>
        <v>0</v>
      </c>
      <c r="Y1300" s="67">
        <f t="shared" si="44"/>
        <v>0</v>
      </c>
      <c r="Z1300" s="67">
        <f t="shared" si="8"/>
        <v>0</v>
      </c>
      <c r="AA1300" s="67">
        <f t="shared" si="45"/>
        <v>0</v>
      </c>
      <c r="AB1300" s="67">
        <f t="shared" si="46"/>
        <v>0</v>
      </c>
      <c r="AC1300" s="67">
        <f t="shared" si="11"/>
        <v>0</v>
      </c>
      <c r="AD1300" s="67">
        <f t="shared" si="12"/>
        <v>0</v>
      </c>
      <c r="AE1300" s="67">
        <f t="shared" si="13"/>
        <v>0</v>
      </c>
      <c r="AF1300" s="67">
        <f t="shared" si="33"/>
        <v>0</v>
      </c>
      <c r="AG1300" s="67">
        <f t="shared" si="15"/>
        <v>0</v>
      </c>
      <c r="AH1300" s="67">
        <f t="shared" si="16"/>
        <v>0</v>
      </c>
      <c r="AI1300" s="67">
        <f t="shared" si="17"/>
        <v>0</v>
      </c>
      <c r="AJ1300" s="68">
        <f t="shared" si="47"/>
        <v>0</v>
      </c>
      <c r="AK1300" s="68">
        <f t="shared" si="48"/>
        <v>0</v>
      </c>
      <c r="AL1300" s="70"/>
      <c r="AM1300" s="70"/>
      <c r="AN1300" s="71"/>
      <c r="AO1300" s="71"/>
      <c r="AP1300" s="71"/>
      <c r="AQ1300" s="71"/>
      <c r="AR1300" s="71"/>
      <c r="AS1300" s="71"/>
      <c r="AT1300" s="71"/>
      <c r="AU1300" s="71"/>
      <c r="AV1300" s="71"/>
      <c r="AW1300" s="71"/>
      <c r="AX1300" s="71"/>
      <c r="AY1300" s="71"/>
      <c r="AZ1300" s="71"/>
      <c r="BA1300" s="71"/>
      <c r="BB1300" s="71"/>
      <c r="BC1300" s="71"/>
      <c r="BD1300" s="71"/>
      <c r="BE1300" s="71"/>
      <c r="BF1300" s="71"/>
      <c r="BG1300" s="71"/>
      <c r="BH1300" s="71"/>
      <c r="BI1300" s="71"/>
      <c r="BJ1300" s="71"/>
      <c r="BK1300" s="71"/>
      <c r="BL1300" s="71"/>
      <c r="BM1300" s="71"/>
      <c r="BN1300" s="71"/>
      <c r="BO1300" s="71"/>
      <c r="BP1300" s="71"/>
      <c r="BQ1300" s="71"/>
      <c r="BR1300" s="71"/>
      <c r="BS1300" s="71"/>
      <c r="BT1300" s="71"/>
      <c r="BU1300" s="71"/>
      <c r="BV1300" s="71"/>
    </row>
    <row r="1301">
      <c r="A1301" s="53"/>
      <c r="B1301" s="53"/>
      <c r="C1301" s="53" t="s">
        <v>53</v>
      </c>
      <c r="D1301" s="53" t="s">
        <v>3177</v>
      </c>
      <c r="E1301" s="54" t="s">
        <v>38</v>
      </c>
      <c r="F1301" s="54" t="s">
        <v>42</v>
      </c>
      <c r="G1301" s="55" t="s">
        <v>3178</v>
      </c>
      <c r="H1301" s="55" t="s">
        <v>3179</v>
      </c>
      <c r="I1301" s="54">
        <f t="shared" si="24"/>
        <v>33</v>
      </c>
      <c r="J1301" s="56"/>
      <c r="K1301" s="57"/>
      <c r="L1301" s="87"/>
      <c r="M1301" s="59"/>
      <c r="N1301" s="60"/>
      <c r="O1301" s="61">
        <v>700.0</v>
      </c>
      <c r="P1301" s="62">
        <v>756.0</v>
      </c>
      <c r="Q1301" s="63">
        <v>756.0</v>
      </c>
      <c r="R1301" s="64">
        <v>794.0</v>
      </c>
      <c r="S1301" s="111">
        <v>834.0</v>
      </c>
      <c r="T1301" s="65">
        <f t="shared" si="39"/>
        <v>133.44</v>
      </c>
      <c r="U1301" s="65">
        <f t="shared" si="40"/>
        <v>967.44</v>
      </c>
      <c r="V1301" s="66">
        <f t="shared" si="42"/>
        <v>0.05037783375</v>
      </c>
      <c r="W1301" s="67">
        <f t="shared" si="5"/>
        <v>792.3</v>
      </c>
      <c r="X1301" s="67">
        <f t="shared" si="43"/>
        <v>126.768</v>
      </c>
      <c r="Y1301" s="67">
        <f t="shared" si="44"/>
        <v>919.068</v>
      </c>
      <c r="Z1301" s="67">
        <f t="shared" si="8"/>
        <v>750.6</v>
      </c>
      <c r="AA1301" s="67">
        <f t="shared" si="45"/>
        <v>120.096</v>
      </c>
      <c r="AB1301" s="67">
        <f t="shared" si="46"/>
        <v>870.696</v>
      </c>
      <c r="AC1301" s="67">
        <f t="shared" si="11"/>
        <v>708.9</v>
      </c>
      <c r="AD1301" s="67">
        <f t="shared" si="12"/>
        <v>113.424</v>
      </c>
      <c r="AE1301" s="67">
        <f t="shared" si="13"/>
        <v>822.324</v>
      </c>
      <c r="AF1301" s="67">
        <f t="shared" si="33"/>
        <v>692.22</v>
      </c>
      <c r="AG1301" s="67">
        <f t="shared" si="15"/>
        <v>110.7552</v>
      </c>
      <c r="AH1301" s="67">
        <f t="shared" si="16"/>
        <v>802.9752</v>
      </c>
      <c r="AI1301" s="67">
        <f t="shared" si="17"/>
        <v>667.2</v>
      </c>
      <c r="AJ1301" s="68">
        <f t="shared" si="47"/>
        <v>106.752</v>
      </c>
      <c r="AK1301" s="68">
        <f t="shared" si="48"/>
        <v>773.952</v>
      </c>
      <c r="AL1301" s="70"/>
      <c r="AM1301" s="70"/>
      <c r="AN1301" s="71"/>
      <c r="AO1301" s="71"/>
      <c r="AP1301" s="71"/>
      <c r="AQ1301" s="71"/>
      <c r="AR1301" s="71"/>
      <c r="AS1301" s="71"/>
      <c r="AT1301" s="71"/>
      <c r="AU1301" s="71"/>
      <c r="AV1301" s="71"/>
      <c r="AW1301" s="71"/>
      <c r="AX1301" s="71"/>
      <c r="AY1301" s="71"/>
      <c r="AZ1301" s="71"/>
      <c r="BA1301" s="71"/>
      <c r="BB1301" s="71"/>
      <c r="BC1301" s="71"/>
      <c r="BD1301" s="71"/>
      <c r="BE1301" s="71"/>
      <c r="BF1301" s="71"/>
      <c r="BG1301" s="71"/>
      <c r="BH1301" s="71"/>
      <c r="BI1301" s="71"/>
      <c r="BJ1301" s="71"/>
      <c r="BK1301" s="71"/>
      <c r="BL1301" s="71"/>
      <c r="BM1301" s="71"/>
      <c r="BN1301" s="71"/>
      <c r="BO1301" s="71"/>
      <c r="BP1301" s="71"/>
      <c r="BQ1301" s="71"/>
      <c r="BR1301" s="71"/>
      <c r="BS1301" s="71"/>
      <c r="BT1301" s="71"/>
      <c r="BU1301" s="71"/>
      <c r="BV1301" s="71"/>
    </row>
    <row r="1302">
      <c r="A1302" s="53"/>
      <c r="B1302" s="53"/>
      <c r="C1302" s="53" t="s">
        <v>53</v>
      </c>
      <c r="D1302" s="53" t="s">
        <v>3180</v>
      </c>
      <c r="E1302" s="54" t="s">
        <v>38</v>
      </c>
      <c r="F1302" s="54" t="s">
        <v>42</v>
      </c>
      <c r="G1302" s="55" t="s">
        <v>3181</v>
      </c>
      <c r="H1302" s="55" t="s">
        <v>3182</v>
      </c>
      <c r="I1302" s="54">
        <f t="shared" si="24"/>
        <v>32</v>
      </c>
      <c r="J1302" s="56"/>
      <c r="K1302" s="57"/>
      <c r="L1302" s="87"/>
      <c r="M1302" s="59"/>
      <c r="N1302" s="60"/>
      <c r="O1302" s="61">
        <v>700.0</v>
      </c>
      <c r="P1302" s="62">
        <v>756.0</v>
      </c>
      <c r="Q1302" s="63">
        <v>756.0</v>
      </c>
      <c r="R1302" s="64">
        <v>794.0</v>
      </c>
      <c r="S1302" s="111">
        <v>834.0</v>
      </c>
      <c r="T1302" s="65">
        <f t="shared" si="39"/>
        <v>133.44</v>
      </c>
      <c r="U1302" s="65">
        <f t="shared" si="40"/>
        <v>967.44</v>
      </c>
      <c r="V1302" s="66">
        <f t="shared" si="42"/>
        <v>0.05037783375</v>
      </c>
      <c r="W1302" s="67">
        <f t="shared" si="5"/>
        <v>792.3</v>
      </c>
      <c r="X1302" s="67">
        <f t="shared" si="43"/>
        <v>126.768</v>
      </c>
      <c r="Y1302" s="67">
        <f t="shared" si="44"/>
        <v>919.068</v>
      </c>
      <c r="Z1302" s="67">
        <f t="shared" si="8"/>
        <v>750.6</v>
      </c>
      <c r="AA1302" s="67">
        <f t="shared" si="45"/>
        <v>120.096</v>
      </c>
      <c r="AB1302" s="67">
        <f t="shared" si="46"/>
        <v>870.696</v>
      </c>
      <c r="AC1302" s="67">
        <f t="shared" si="11"/>
        <v>708.9</v>
      </c>
      <c r="AD1302" s="67">
        <f t="shared" si="12"/>
        <v>113.424</v>
      </c>
      <c r="AE1302" s="67">
        <f t="shared" si="13"/>
        <v>822.324</v>
      </c>
      <c r="AF1302" s="67">
        <f t="shared" si="33"/>
        <v>692.22</v>
      </c>
      <c r="AG1302" s="67">
        <f t="shared" si="15"/>
        <v>110.7552</v>
      </c>
      <c r="AH1302" s="67">
        <f t="shared" si="16"/>
        <v>802.9752</v>
      </c>
      <c r="AI1302" s="67">
        <f t="shared" si="17"/>
        <v>667.2</v>
      </c>
      <c r="AJ1302" s="68">
        <f t="shared" si="47"/>
        <v>106.752</v>
      </c>
      <c r="AK1302" s="68">
        <f t="shared" si="48"/>
        <v>773.952</v>
      </c>
      <c r="AL1302" s="70"/>
      <c r="AM1302" s="70"/>
      <c r="AN1302" s="71"/>
      <c r="AO1302" s="71"/>
      <c r="AP1302" s="71"/>
      <c r="AQ1302" s="71"/>
      <c r="AR1302" s="71"/>
      <c r="AS1302" s="71"/>
      <c r="AT1302" s="71"/>
      <c r="AU1302" s="71"/>
      <c r="AV1302" s="71"/>
      <c r="AW1302" s="71"/>
      <c r="AX1302" s="71"/>
      <c r="AY1302" s="71"/>
      <c r="AZ1302" s="71"/>
      <c r="BA1302" s="71"/>
      <c r="BB1302" s="71"/>
      <c r="BC1302" s="71"/>
      <c r="BD1302" s="71"/>
      <c r="BE1302" s="71"/>
      <c r="BF1302" s="71"/>
      <c r="BG1302" s="71"/>
      <c r="BH1302" s="71"/>
      <c r="BI1302" s="71"/>
      <c r="BJ1302" s="71"/>
      <c r="BK1302" s="71"/>
      <c r="BL1302" s="71"/>
      <c r="BM1302" s="71"/>
      <c r="BN1302" s="71"/>
      <c r="BO1302" s="71"/>
      <c r="BP1302" s="71"/>
      <c r="BQ1302" s="71"/>
      <c r="BR1302" s="71"/>
      <c r="BS1302" s="71"/>
      <c r="BT1302" s="71"/>
      <c r="BU1302" s="71"/>
      <c r="BV1302" s="71"/>
    </row>
    <row r="1303">
      <c r="A1303" s="53"/>
      <c r="B1303" s="53"/>
      <c r="C1303" s="53" t="s">
        <v>53</v>
      </c>
      <c r="D1303" s="53" t="s">
        <v>3183</v>
      </c>
      <c r="E1303" s="54" t="s">
        <v>38</v>
      </c>
      <c r="F1303" s="54" t="s">
        <v>42</v>
      </c>
      <c r="G1303" s="55" t="s">
        <v>3184</v>
      </c>
      <c r="H1303" s="55" t="s">
        <v>3185</v>
      </c>
      <c r="I1303" s="54">
        <f t="shared" si="24"/>
        <v>34</v>
      </c>
      <c r="J1303" s="56"/>
      <c r="K1303" s="57"/>
      <c r="L1303" s="87"/>
      <c r="M1303" s="59"/>
      <c r="N1303" s="60"/>
      <c r="O1303" s="61">
        <v>700.0</v>
      </c>
      <c r="P1303" s="62">
        <v>756.0</v>
      </c>
      <c r="Q1303" s="63">
        <v>756.0</v>
      </c>
      <c r="R1303" s="64">
        <v>794.0</v>
      </c>
      <c r="S1303" s="111">
        <v>834.0</v>
      </c>
      <c r="T1303" s="65">
        <f t="shared" si="39"/>
        <v>133.44</v>
      </c>
      <c r="U1303" s="65">
        <f t="shared" si="40"/>
        <v>967.44</v>
      </c>
      <c r="V1303" s="66">
        <f t="shared" si="42"/>
        <v>0.05037783375</v>
      </c>
      <c r="W1303" s="67">
        <f t="shared" si="5"/>
        <v>792.3</v>
      </c>
      <c r="X1303" s="67">
        <f t="shared" si="43"/>
        <v>126.768</v>
      </c>
      <c r="Y1303" s="67">
        <f t="shared" si="44"/>
        <v>919.068</v>
      </c>
      <c r="Z1303" s="67">
        <f t="shared" si="8"/>
        <v>750.6</v>
      </c>
      <c r="AA1303" s="67">
        <f t="shared" si="45"/>
        <v>120.096</v>
      </c>
      <c r="AB1303" s="67">
        <f t="shared" si="46"/>
        <v>870.696</v>
      </c>
      <c r="AC1303" s="67">
        <f t="shared" si="11"/>
        <v>708.9</v>
      </c>
      <c r="AD1303" s="67">
        <f t="shared" si="12"/>
        <v>113.424</v>
      </c>
      <c r="AE1303" s="67">
        <f t="shared" si="13"/>
        <v>822.324</v>
      </c>
      <c r="AF1303" s="67">
        <f t="shared" si="33"/>
        <v>692.22</v>
      </c>
      <c r="AG1303" s="67">
        <f t="shared" si="15"/>
        <v>110.7552</v>
      </c>
      <c r="AH1303" s="67">
        <f t="shared" si="16"/>
        <v>802.9752</v>
      </c>
      <c r="AI1303" s="67">
        <f t="shared" si="17"/>
        <v>667.2</v>
      </c>
      <c r="AJ1303" s="68">
        <f t="shared" si="47"/>
        <v>106.752</v>
      </c>
      <c r="AK1303" s="68">
        <f t="shared" si="48"/>
        <v>773.952</v>
      </c>
      <c r="AL1303" s="70"/>
      <c r="AM1303" s="70"/>
      <c r="AN1303" s="71"/>
      <c r="AO1303" s="71"/>
      <c r="AP1303" s="71"/>
      <c r="AQ1303" s="71"/>
      <c r="AR1303" s="71"/>
      <c r="AS1303" s="71"/>
      <c r="AT1303" s="71"/>
      <c r="AU1303" s="71"/>
      <c r="AV1303" s="71"/>
      <c r="AW1303" s="71"/>
      <c r="AX1303" s="71"/>
      <c r="AY1303" s="71"/>
      <c r="AZ1303" s="71"/>
      <c r="BA1303" s="71"/>
      <c r="BB1303" s="71"/>
      <c r="BC1303" s="71"/>
      <c r="BD1303" s="71"/>
      <c r="BE1303" s="71"/>
      <c r="BF1303" s="71"/>
      <c r="BG1303" s="71"/>
      <c r="BH1303" s="71"/>
      <c r="BI1303" s="71"/>
      <c r="BJ1303" s="71"/>
      <c r="BK1303" s="71"/>
      <c r="BL1303" s="71"/>
      <c r="BM1303" s="71"/>
      <c r="BN1303" s="71"/>
      <c r="BO1303" s="71"/>
      <c r="BP1303" s="71"/>
      <c r="BQ1303" s="71"/>
      <c r="BR1303" s="71"/>
      <c r="BS1303" s="71"/>
      <c r="BT1303" s="71"/>
      <c r="BU1303" s="71"/>
      <c r="BV1303" s="71"/>
    </row>
    <row r="1304">
      <c r="A1304" s="53"/>
      <c r="B1304" s="53"/>
      <c r="C1304" s="73" t="s">
        <v>12</v>
      </c>
      <c r="D1304" s="53" t="s">
        <v>3186</v>
      </c>
      <c r="E1304" s="54" t="s">
        <v>38</v>
      </c>
      <c r="F1304" s="54" t="s">
        <v>42</v>
      </c>
      <c r="G1304" s="155" t="s">
        <v>3187</v>
      </c>
      <c r="H1304" s="155" t="s">
        <v>3188</v>
      </c>
      <c r="I1304" s="54">
        <f t="shared" si="24"/>
        <v>39</v>
      </c>
      <c r="J1304" s="56"/>
      <c r="K1304" s="57"/>
      <c r="L1304" s="87"/>
      <c r="M1304" s="59"/>
      <c r="N1304" s="60"/>
      <c r="O1304" s="90"/>
      <c r="P1304" s="62">
        <v>792.0</v>
      </c>
      <c r="Q1304" s="63">
        <v>792.0</v>
      </c>
      <c r="R1304" s="64">
        <v>832.0</v>
      </c>
      <c r="S1304" s="111">
        <v>874.0</v>
      </c>
      <c r="T1304" s="65">
        <f t="shared" si="39"/>
        <v>139.84</v>
      </c>
      <c r="U1304" s="65">
        <f t="shared" si="40"/>
        <v>1013.84</v>
      </c>
      <c r="V1304" s="66">
        <f t="shared" si="42"/>
        <v>0.05048076923</v>
      </c>
      <c r="W1304" s="67">
        <f t="shared" si="5"/>
        <v>830.3</v>
      </c>
      <c r="X1304" s="67">
        <f t="shared" si="43"/>
        <v>132.848</v>
      </c>
      <c r="Y1304" s="67">
        <f t="shared" si="44"/>
        <v>963.148</v>
      </c>
      <c r="Z1304" s="67">
        <f t="shared" si="8"/>
        <v>786.6</v>
      </c>
      <c r="AA1304" s="67">
        <f t="shared" si="45"/>
        <v>125.856</v>
      </c>
      <c r="AB1304" s="67">
        <f t="shared" si="46"/>
        <v>912.456</v>
      </c>
      <c r="AC1304" s="67">
        <f t="shared" si="11"/>
        <v>742.9</v>
      </c>
      <c r="AD1304" s="67">
        <f t="shared" si="12"/>
        <v>118.864</v>
      </c>
      <c r="AE1304" s="67">
        <f t="shared" si="13"/>
        <v>861.764</v>
      </c>
      <c r="AF1304" s="67">
        <f t="shared" si="33"/>
        <v>725.42</v>
      </c>
      <c r="AG1304" s="67">
        <f t="shared" si="15"/>
        <v>116.0672</v>
      </c>
      <c r="AH1304" s="67">
        <f t="shared" si="16"/>
        <v>841.4872</v>
      </c>
      <c r="AI1304" s="67">
        <f t="shared" si="17"/>
        <v>699.2</v>
      </c>
      <c r="AJ1304" s="68">
        <f t="shared" si="47"/>
        <v>111.872</v>
      </c>
      <c r="AK1304" s="68">
        <f t="shared" si="48"/>
        <v>811.072</v>
      </c>
      <c r="AL1304" s="70"/>
      <c r="AM1304" s="70"/>
      <c r="AN1304" s="71"/>
      <c r="AO1304" s="71"/>
      <c r="AP1304" s="71"/>
      <c r="AQ1304" s="71"/>
      <c r="AR1304" s="71"/>
      <c r="AS1304" s="71"/>
      <c r="AT1304" s="71"/>
      <c r="AU1304" s="71"/>
      <c r="AV1304" s="71"/>
      <c r="AW1304" s="71"/>
      <c r="AX1304" s="71"/>
      <c r="AY1304" s="71"/>
      <c r="AZ1304" s="71"/>
      <c r="BA1304" s="71"/>
      <c r="BB1304" s="71"/>
      <c r="BC1304" s="71"/>
      <c r="BD1304" s="71"/>
      <c r="BE1304" s="71"/>
      <c r="BF1304" s="71"/>
      <c r="BG1304" s="71"/>
      <c r="BH1304" s="71"/>
      <c r="BI1304" s="71"/>
      <c r="BJ1304" s="71"/>
      <c r="BK1304" s="71"/>
      <c r="BL1304" s="71"/>
      <c r="BM1304" s="71"/>
      <c r="BN1304" s="71"/>
      <c r="BO1304" s="71"/>
      <c r="BP1304" s="71"/>
      <c r="BQ1304" s="71"/>
      <c r="BR1304" s="71"/>
      <c r="BS1304" s="71"/>
      <c r="BT1304" s="71"/>
      <c r="BU1304" s="71"/>
      <c r="BV1304" s="71"/>
    </row>
    <row r="1305">
      <c r="A1305" s="53"/>
      <c r="B1305" s="53"/>
      <c r="C1305" s="53" t="s">
        <v>53</v>
      </c>
      <c r="D1305" s="53" t="s">
        <v>3189</v>
      </c>
      <c r="E1305" s="54" t="s">
        <v>38</v>
      </c>
      <c r="F1305" s="54" t="s">
        <v>42</v>
      </c>
      <c r="G1305" s="155" t="s">
        <v>3190</v>
      </c>
      <c r="H1305" s="155" t="s">
        <v>3191</v>
      </c>
      <c r="I1305" s="54">
        <f t="shared" si="24"/>
        <v>36</v>
      </c>
      <c r="J1305" s="56"/>
      <c r="K1305" s="57"/>
      <c r="L1305" s="76"/>
      <c r="M1305" s="59"/>
      <c r="N1305" s="60"/>
      <c r="O1305" s="61">
        <v>699.0</v>
      </c>
      <c r="P1305" s="62">
        <v>754.9200000000001</v>
      </c>
      <c r="Q1305" s="63">
        <v>754.9200000000001</v>
      </c>
      <c r="R1305" s="64">
        <v>793.0</v>
      </c>
      <c r="S1305" s="111">
        <v>833.0</v>
      </c>
      <c r="T1305" s="65">
        <f t="shared" si="39"/>
        <v>133.28</v>
      </c>
      <c r="U1305" s="65">
        <f t="shared" si="40"/>
        <v>966.28</v>
      </c>
      <c r="V1305" s="66">
        <f t="shared" si="42"/>
        <v>0.05044136192</v>
      </c>
      <c r="W1305" s="67">
        <f t="shared" si="5"/>
        <v>791.35</v>
      </c>
      <c r="X1305" s="67">
        <f t="shared" si="43"/>
        <v>126.616</v>
      </c>
      <c r="Y1305" s="67">
        <f t="shared" si="44"/>
        <v>917.966</v>
      </c>
      <c r="Z1305" s="67">
        <f t="shared" si="8"/>
        <v>749.7</v>
      </c>
      <c r="AA1305" s="67">
        <f t="shared" si="45"/>
        <v>119.952</v>
      </c>
      <c r="AB1305" s="67">
        <f t="shared" si="46"/>
        <v>869.652</v>
      </c>
      <c r="AC1305" s="67">
        <f t="shared" si="11"/>
        <v>708.05</v>
      </c>
      <c r="AD1305" s="67">
        <f t="shared" si="12"/>
        <v>113.288</v>
      </c>
      <c r="AE1305" s="67">
        <f t="shared" si="13"/>
        <v>821.338</v>
      </c>
      <c r="AF1305" s="67">
        <f t="shared" si="33"/>
        <v>691.39</v>
      </c>
      <c r="AG1305" s="67">
        <f t="shared" si="15"/>
        <v>110.6224</v>
      </c>
      <c r="AH1305" s="67">
        <f t="shared" si="16"/>
        <v>802.0124</v>
      </c>
      <c r="AI1305" s="67">
        <f t="shared" si="17"/>
        <v>666.4</v>
      </c>
      <c r="AJ1305" s="68">
        <f t="shared" si="47"/>
        <v>106.624</v>
      </c>
      <c r="AK1305" s="68">
        <f t="shared" si="48"/>
        <v>773.024</v>
      </c>
      <c r="AL1305" s="70"/>
      <c r="AM1305" s="70"/>
      <c r="AN1305" s="71"/>
      <c r="AO1305" s="71"/>
      <c r="AP1305" s="71"/>
      <c r="AQ1305" s="71"/>
      <c r="AR1305" s="71"/>
      <c r="AS1305" s="71"/>
      <c r="AT1305" s="71"/>
      <c r="AU1305" s="71"/>
      <c r="AV1305" s="71"/>
      <c r="AW1305" s="71"/>
      <c r="AX1305" s="71"/>
      <c r="AY1305" s="71"/>
      <c r="AZ1305" s="71"/>
      <c r="BA1305" s="71"/>
      <c r="BB1305" s="71"/>
      <c r="BC1305" s="71"/>
      <c r="BD1305" s="71"/>
      <c r="BE1305" s="71"/>
      <c r="BF1305" s="71"/>
      <c r="BG1305" s="71"/>
      <c r="BH1305" s="71"/>
      <c r="BI1305" s="71"/>
      <c r="BJ1305" s="71"/>
      <c r="BK1305" s="71"/>
      <c r="BL1305" s="71"/>
      <c r="BM1305" s="71"/>
      <c r="BN1305" s="71"/>
      <c r="BO1305" s="71"/>
      <c r="BP1305" s="71"/>
      <c r="BQ1305" s="71"/>
      <c r="BR1305" s="71"/>
      <c r="BS1305" s="71"/>
      <c r="BT1305" s="71"/>
      <c r="BU1305" s="71"/>
      <c r="BV1305" s="71"/>
    </row>
    <row r="1306">
      <c r="A1306" s="53"/>
      <c r="B1306" s="53"/>
      <c r="C1306" s="73" t="s">
        <v>12</v>
      </c>
      <c r="D1306" s="53" t="s">
        <v>3192</v>
      </c>
      <c r="E1306" s="54" t="s">
        <v>38</v>
      </c>
      <c r="F1306" s="54" t="s">
        <v>42</v>
      </c>
      <c r="G1306" s="155" t="s">
        <v>3193</v>
      </c>
      <c r="H1306" s="155" t="s">
        <v>3194</v>
      </c>
      <c r="I1306" s="54">
        <f t="shared" si="24"/>
        <v>36</v>
      </c>
      <c r="J1306" s="56"/>
      <c r="K1306" s="57"/>
      <c r="L1306" s="87"/>
      <c r="M1306" s="59"/>
      <c r="N1306" s="60"/>
      <c r="O1306" s="90"/>
      <c r="P1306" s="62">
        <v>990.0</v>
      </c>
      <c r="Q1306" s="63">
        <v>990.0</v>
      </c>
      <c r="R1306" s="64">
        <v>1040.0</v>
      </c>
      <c r="S1306" s="111">
        <v>1092.0</v>
      </c>
      <c r="T1306" s="65">
        <f t="shared" si="39"/>
        <v>174.72</v>
      </c>
      <c r="U1306" s="65">
        <f t="shared" si="40"/>
        <v>1266.72</v>
      </c>
      <c r="V1306" s="66">
        <f t="shared" si="42"/>
        <v>0.05</v>
      </c>
      <c r="W1306" s="67">
        <f t="shared" si="5"/>
        <v>1037.4</v>
      </c>
      <c r="X1306" s="67">
        <f t="shared" si="43"/>
        <v>165.984</v>
      </c>
      <c r="Y1306" s="67">
        <f t="shared" si="44"/>
        <v>1203.384</v>
      </c>
      <c r="Z1306" s="67">
        <f t="shared" si="8"/>
        <v>982.8</v>
      </c>
      <c r="AA1306" s="67">
        <f t="shared" si="45"/>
        <v>157.248</v>
      </c>
      <c r="AB1306" s="67">
        <f t="shared" si="46"/>
        <v>1140.048</v>
      </c>
      <c r="AC1306" s="67">
        <f t="shared" si="11"/>
        <v>928.2</v>
      </c>
      <c r="AD1306" s="67">
        <f t="shared" si="12"/>
        <v>148.512</v>
      </c>
      <c r="AE1306" s="67">
        <f t="shared" si="13"/>
        <v>1076.712</v>
      </c>
      <c r="AF1306" s="67">
        <f t="shared" si="33"/>
        <v>906.36</v>
      </c>
      <c r="AG1306" s="67">
        <f t="shared" si="15"/>
        <v>145.0176</v>
      </c>
      <c r="AH1306" s="67">
        <f t="shared" si="16"/>
        <v>1051.3776</v>
      </c>
      <c r="AI1306" s="67">
        <f t="shared" si="17"/>
        <v>873.6</v>
      </c>
      <c r="AJ1306" s="68">
        <f t="shared" si="47"/>
        <v>139.776</v>
      </c>
      <c r="AK1306" s="68">
        <f t="shared" si="48"/>
        <v>1013.376</v>
      </c>
      <c r="AL1306" s="70"/>
      <c r="AM1306" s="70"/>
      <c r="AN1306" s="71"/>
      <c r="AO1306" s="71"/>
      <c r="AP1306" s="71"/>
      <c r="AQ1306" s="71"/>
      <c r="AR1306" s="71"/>
      <c r="AS1306" s="71"/>
      <c r="AT1306" s="71"/>
      <c r="AU1306" s="71"/>
      <c r="AV1306" s="71"/>
      <c r="AW1306" s="71"/>
      <c r="AX1306" s="71"/>
      <c r="AY1306" s="71"/>
      <c r="AZ1306" s="71"/>
      <c r="BA1306" s="71"/>
      <c r="BB1306" s="71"/>
      <c r="BC1306" s="71"/>
      <c r="BD1306" s="71"/>
      <c r="BE1306" s="71"/>
      <c r="BF1306" s="71"/>
      <c r="BG1306" s="71"/>
      <c r="BH1306" s="71"/>
      <c r="BI1306" s="71"/>
      <c r="BJ1306" s="71"/>
      <c r="BK1306" s="71"/>
      <c r="BL1306" s="71"/>
      <c r="BM1306" s="71"/>
      <c r="BN1306" s="71"/>
      <c r="BO1306" s="71"/>
      <c r="BP1306" s="71"/>
      <c r="BQ1306" s="71"/>
      <c r="BR1306" s="71"/>
      <c r="BS1306" s="71"/>
      <c r="BT1306" s="71"/>
      <c r="BU1306" s="71"/>
      <c r="BV1306" s="71"/>
    </row>
    <row r="1307">
      <c r="A1307" s="53"/>
      <c r="B1307" s="53"/>
      <c r="C1307" s="73" t="s">
        <v>12</v>
      </c>
      <c r="D1307" s="53" t="s">
        <v>3195</v>
      </c>
      <c r="E1307" s="54" t="s">
        <v>38</v>
      </c>
      <c r="F1307" s="54" t="s">
        <v>42</v>
      </c>
      <c r="G1307" s="155" t="s">
        <v>3196</v>
      </c>
      <c r="H1307" s="155" t="s">
        <v>3197</v>
      </c>
      <c r="I1307" s="54">
        <f t="shared" si="24"/>
        <v>40</v>
      </c>
      <c r="J1307" s="56"/>
      <c r="K1307" s="57"/>
      <c r="L1307" s="87"/>
      <c r="M1307" s="59"/>
      <c r="N1307" s="60"/>
      <c r="O1307" s="90"/>
      <c r="P1307" s="62">
        <v>1260.0</v>
      </c>
      <c r="Q1307" s="63">
        <v>1260.0</v>
      </c>
      <c r="R1307" s="64">
        <v>1323.0</v>
      </c>
      <c r="S1307" s="111">
        <v>1389.0</v>
      </c>
      <c r="T1307" s="65">
        <f t="shared" si="39"/>
        <v>222.24</v>
      </c>
      <c r="U1307" s="65">
        <f t="shared" si="40"/>
        <v>1611.24</v>
      </c>
      <c r="V1307" s="66">
        <f t="shared" si="42"/>
        <v>0.04988662132</v>
      </c>
      <c r="W1307" s="67">
        <f t="shared" si="5"/>
        <v>1319.55</v>
      </c>
      <c r="X1307" s="67">
        <f t="shared" si="43"/>
        <v>211.128</v>
      </c>
      <c r="Y1307" s="67">
        <f t="shared" si="44"/>
        <v>1530.678</v>
      </c>
      <c r="Z1307" s="67">
        <f t="shared" si="8"/>
        <v>1250.1</v>
      </c>
      <c r="AA1307" s="67">
        <f t="shared" si="45"/>
        <v>200.016</v>
      </c>
      <c r="AB1307" s="67">
        <f t="shared" si="46"/>
        <v>1450.116</v>
      </c>
      <c r="AC1307" s="67">
        <f t="shared" si="11"/>
        <v>1180.65</v>
      </c>
      <c r="AD1307" s="67">
        <f t="shared" si="12"/>
        <v>188.904</v>
      </c>
      <c r="AE1307" s="67">
        <f t="shared" si="13"/>
        <v>1369.554</v>
      </c>
      <c r="AF1307" s="67">
        <f t="shared" si="33"/>
        <v>1152.87</v>
      </c>
      <c r="AG1307" s="67">
        <f t="shared" si="15"/>
        <v>184.4592</v>
      </c>
      <c r="AH1307" s="67">
        <f t="shared" si="16"/>
        <v>1337.3292</v>
      </c>
      <c r="AI1307" s="67">
        <f t="shared" si="17"/>
        <v>1111.2</v>
      </c>
      <c r="AJ1307" s="68">
        <f t="shared" si="47"/>
        <v>177.792</v>
      </c>
      <c r="AK1307" s="68">
        <f t="shared" si="48"/>
        <v>1288.992</v>
      </c>
      <c r="AL1307" s="70"/>
      <c r="AM1307" s="70"/>
      <c r="AN1307" s="71"/>
      <c r="AO1307" s="71"/>
      <c r="AP1307" s="71"/>
      <c r="AQ1307" s="71"/>
      <c r="AR1307" s="71"/>
      <c r="AS1307" s="71"/>
      <c r="AT1307" s="71"/>
      <c r="AU1307" s="71"/>
      <c r="AV1307" s="71"/>
      <c r="AW1307" s="71"/>
      <c r="AX1307" s="71"/>
      <c r="AY1307" s="71"/>
      <c r="AZ1307" s="71"/>
      <c r="BA1307" s="71"/>
      <c r="BB1307" s="71"/>
      <c r="BC1307" s="71"/>
      <c r="BD1307" s="71"/>
      <c r="BE1307" s="71"/>
      <c r="BF1307" s="71"/>
      <c r="BG1307" s="71"/>
      <c r="BH1307" s="71"/>
      <c r="BI1307" s="71"/>
      <c r="BJ1307" s="71"/>
      <c r="BK1307" s="71"/>
      <c r="BL1307" s="71"/>
      <c r="BM1307" s="71"/>
      <c r="BN1307" s="71"/>
      <c r="BO1307" s="71"/>
      <c r="BP1307" s="71"/>
      <c r="BQ1307" s="71"/>
      <c r="BR1307" s="71"/>
      <c r="BS1307" s="71"/>
      <c r="BT1307" s="71"/>
      <c r="BU1307" s="71"/>
      <c r="BV1307" s="71"/>
    </row>
    <row r="1308">
      <c r="A1308" s="53"/>
      <c r="B1308" s="53"/>
      <c r="C1308" s="73" t="s">
        <v>12</v>
      </c>
      <c r="D1308" s="53" t="s">
        <v>3198</v>
      </c>
      <c r="E1308" s="54" t="s">
        <v>38</v>
      </c>
      <c r="F1308" s="54" t="s">
        <v>42</v>
      </c>
      <c r="G1308" s="155" t="s">
        <v>3199</v>
      </c>
      <c r="H1308" s="155" t="s">
        <v>3200</v>
      </c>
      <c r="I1308" s="54">
        <f t="shared" si="24"/>
        <v>36</v>
      </c>
      <c r="J1308" s="56"/>
      <c r="K1308" s="57"/>
      <c r="L1308" s="87"/>
      <c r="M1308" s="59"/>
      <c r="N1308" s="60"/>
      <c r="O1308" s="90"/>
      <c r="P1308" s="62">
        <v>1368.0</v>
      </c>
      <c r="Q1308" s="63">
        <v>1368.0</v>
      </c>
      <c r="R1308" s="64">
        <v>1437.0</v>
      </c>
      <c r="S1308" s="111">
        <v>1509.0</v>
      </c>
      <c r="T1308" s="65">
        <f t="shared" si="39"/>
        <v>241.44</v>
      </c>
      <c r="U1308" s="65">
        <f t="shared" si="40"/>
        <v>1750.44</v>
      </c>
      <c r="V1308" s="66">
        <f t="shared" si="42"/>
        <v>0.05010438413</v>
      </c>
      <c r="W1308" s="67">
        <f t="shared" si="5"/>
        <v>1433.55</v>
      </c>
      <c r="X1308" s="67">
        <f t="shared" si="43"/>
        <v>229.368</v>
      </c>
      <c r="Y1308" s="67">
        <f t="shared" si="44"/>
        <v>1662.918</v>
      </c>
      <c r="Z1308" s="67">
        <f t="shared" si="8"/>
        <v>1358.1</v>
      </c>
      <c r="AA1308" s="67">
        <f t="shared" si="45"/>
        <v>217.296</v>
      </c>
      <c r="AB1308" s="67">
        <f t="shared" si="46"/>
        <v>1575.396</v>
      </c>
      <c r="AC1308" s="67">
        <f t="shared" si="11"/>
        <v>1282.65</v>
      </c>
      <c r="AD1308" s="67">
        <f t="shared" si="12"/>
        <v>205.224</v>
      </c>
      <c r="AE1308" s="67">
        <f t="shared" si="13"/>
        <v>1487.874</v>
      </c>
      <c r="AF1308" s="67">
        <f t="shared" si="33"/>
        <v>1252.47</v>
      </c>
      <c r="AG1308" s="67">
        <f t="shared" si="15"/>
        <v>200.3952</v>
      </c>
      <c r="AH1308" s="67">
        <f t="shared" si="16"/>
        <v>1452.8652</v>
      </c>
      <c r="AI1308" s="67">
        <f t="shared" si="17"/>
        <v>1207.2</v>
      </c>
      <c r="AJ1308" s="68">
        <f t="shared" si="47"/>
        <v>193.152</v>
      </c>
      <c r="AK1308" s="68">
        <f t="shared" si="48"/>
        <v>1400.352</v>
      </c>
      <c r="AL1308" s="70"/>
      <c r="AM1308" s="70"/>
      <c r="AN1308" s="71"/>
      <c r="AO1308" s="71"/>
      <c r="AP1308" s="71"/>
      <c r="AQ1308" s="71"/>
      <c r="AR1308" s="71"/>
      <c r="AS1308" s="71"/>
      <c r="AT1308" s="71"/>
      <c r="AU1308" s="71"/>
      <c r="AV1308" s="71"/>
      <c r="AW1308" s="71"/>
      <c r="AX1308" s="71"/>
      <c r="AY1308" s="71"/>
      <c r="AZ1308" s="71"/>
      <c r="BA1308" s="71"/>
      <c r="BB1308" s="71"/>
      <c r="BC1308" s="71"/>
      <c r="BD1308" s="71"/>
      <c r="BE1308" s="71"/>
      <c r="BF1308" s="71"/>
      <c r="BG1308" s="71"/>
      <c r="BH1308" s="71"/>
      <c r="BI1308" s="71"/>
      <c r="BJ1308" s="71"/>
      <c r="BK1308" s="71"/>
      <c r="BL1308" s="71"/>
      <c r="BM1308" s="71"/>
      <c r="BN1308" s="71"/>
      <c r="BO1308" s="71"/>
      <c r="BP1308" s="71"/>
      <c r="BQ1308" s="71"/>
      <c r="BR1308" s="71"/>
      <c r="BS1308" s="71"/>
      <c r="BT1308" s="71"/>
      <c r="BU1308" s="71"/>
      <c r="BV1308" s="71"/>
    </row>
    <row r="1309">
      <c r="A1309" s="53"/>
      <c r="B1309" s="53"/>
      <c r="C1309" s="73" t="s">
        <v>12</v>
      </c>
      <c r="D1309" s="53" t="s">
        <v>3201</v>
      </c>
      <c r="E1309" s="54" t="s">
        <v>38</v>
      </c>
      <c r="F1309" s="54" t="s">
        <v>42</v>
      </c>
      <c r="G1309" s="155" t="s">
        <v>3202</v>
      </c>
      <c r="H1309" s="155" t="s">
        <v>3203</v>
      </c>
      <c r="I1309" s="54">
        <f t="shared" si="24"/>
        <v>39</v>
      </c>
      <c r="J1309" s="56"/>
      <c r="K1309" s="57"/>
      <c r="L1309" s="87"/>
      <c r="M1309" s="59"/>
      <c r="N1309" s="60"/>
      <c r="O1309" s="90"/>
      <c r="P1309" s="62">
        <v>6426.0</v>
      </c>
      <c r="Q1309" s="63">
        <v>6426.0</v>
      </c>
      <c r="R1309" s="64">
        <v>6748.0</v>
      </c>
      <c r="S1309" s="111">
        <v>7085.0</v>
      </c>
      <c r="T1309" s="65">
        <f t="shared" si="39"/>
        <v>1133.6</v>
      </c>
      <c r="U1309" s="65">
        <f t="shared" si="40"/>
        <v>8218.6</v>
      </c>
      <c r="V1309" s="66">
        <f t="shared" si="42"/>
        <v>0.04994072318</v>
      </c>
      <c r="W1309" s="67">
        <f t="shared" si="5"/>
        <v>6730.75</v>
      </c>
      <c r="X1309" s="67">
        <f t="shared" si="43"/>
        <v>1076.92</v>
      </c>
      <c r="Y1309" s="67">
        <f t="shared" si="44"/>
        <v>7807.67</v>
      </c>
      <c r="Z1309" s="67">
        <f t="shared" si="8"/>
        <v>6376.5</v>
      </c>
      <c r="AA1309" s="67">
        <f t="shared" si="45"/>
        <v>1020.24</v>
      </c>
      <c r="AB1309" s="67">
        <f t="shared" si="46"/>
        <v>7396.74</v>
      </c>
      <c r="AC1309" s="67">
        <f t="shared" si="11"/>
        <v>6022.25</v>
      </c>
      <c r="AD1309" s="67">
        <f t="shared" si="12"/>
        <v>963.56</v>
      </c>
      <c r="AE1309" s="67">
        <f t="shared" si="13"/>
        <v>6985.81</v>
      </c>
      <c r="AF1309" s="67">
        <f t="shared" si="33"/>
        <v>5880.55</v>
      </c>
      <c r="AG1309" s="67">
        <f t="shared" si="15"/>
        <v>940.888</v>
      </c>
      <c r="AH1309" s="67">
        <f t="shared" si="16"/>
        <v>6821.438</v>
      </c>
      <c r="AI1309" s="67">
        <f t="shared" si="17"/>
        <v>5668</v>
      </c>
      <c r="AJ1309" s="68">
        <f t="shared" si="47"/>
        <v>906.88</v>
      </c>
      <c r="AK1309" s="68">
        <f t="shared" si="48"/>
        <v>6574.88</v>
      </c>
      <c r="AL1309" s="70"/>
      <c r="AM1309" s="70"/>
      <c r="AN1309" s="71"/>
      <c r="AO1309" s="71"/>
      <c r="AP1309" s="71"/>
      <c r="AQ1309" s="71"/>
      <c r="AR1309" s="71"/>
      <c r="AS1309" s="71"/>
      <c r="AT1309" s="71"/>
      <c r="AU1309" s="71"/>
      <c r="AV1309" s="71"/>
      <c r="AW1309" s="71"/>
      <c r="AX1309" s="71"/>
      <c r="AY1309" s="71"/>
      <c r="AZ1309" s="71"/>
      <c r="BA1309" s="71"/>
      <c r="BB1309" s="71"/>
      <c r="BC1309" s="71"/>
      <c r="BD1309" s="71"/>
      <c r="BE1309" s="71"/>
      <c r="BF1309" s="71"/>
      <c r="BG1309" s="71"/>
      <c r="BH1309" s="71"/>
      <c r="BI1309" s="71"/>
      <c r="BJ1309" s="71"/>
      <c r="BK1309" s="71"/>
      <c r="BL1309" s="71"/>
      <c r="BM1309" s="71"/>
      <c r="BN1309" s="71"/>
      <c r="BO1309" s="71"/>
      <c r="BP1309" s="71"/>
      <c r="BQ1309" s="71"/>
      <c r="BR1309" s="71"/>
      <c r="BS1309" s="71"/>
      <c r="BT1309" s="71"/>
      <c r="BU1309" s="71"/>
      <c r="BV1309" s="71"/>
    </row>
    <row r="1310">
      <c r="A1310" s="53"/>
      <c r="B1310" s="53"/>
      <c r="C1310" s="73" t="s">
        <v>12</v>
      </c>
      <c r="D1310" s="53" t="s">
        <v>3204</v>
      </c>
      <c r="E1310" s="54" t="s">
        <v>38</v>
      </c>
      <c r="F1310" s="54" t="s">
        <v>42</v>
      </c>
      <c r="G1310" s="155" t="s">
        <v>3205</v>
      </c>
      <c r="H1310" s="155" t="s">
        <v>3206</v>
      </c>
      <c r="I1310" s="54">
        <f t="shared" si="24"/>
        <v>34</v>
      </c>
      <c r="J1310" s="56"/>
      <c r="K1310" s="57"/>
      <c r="L1310" s="87"/>
      <c r="M1310" s="59"/>
      <c r="N1310" s="60"/>
      <c r="O1310" s="90"/>
      <c r="P1310" s="62">
        <v>5715.0</v>
      </c>
      <c r="Q1310" s="63">
        <v>5715.0</v>
      </c>
      <c r="R1310" s="64">
        <v>6001.0</v>
      </c>
      <c r="S1310" s="111">
        <v>6301.0</v>
      </c>
      <c r="T1310" s="65">
        <f t="shared" si="39"/>
        <v>1008.16</v>
      </c>
      <c r="U1310" s="65">
        <f t="shared" si="40"/>
        <v>7309.16</v>
      </c>
      <c r="V1310" s="66">
        <f t="shared" si="42"/>
        <v>0.04999166806</v>
      </c>
      <c r="W1310" s="67">
        <f t="shared" si="5"/>
        <v>5985.95</v>
      </c>
      <c r="X1310" s="67">
        <f t="shared" si="43"/>
        <v>957.752</v>
      </c>
      <c r="Y1310" s="67">
        <f t="shared" si="44"/>
        <v>6943.702</v>
      </c>
      <c r="Z1310" s="67">
        <f t="shared" si="8"/>
        <v>5670.9</v>
      </c>
      <c r="AA1310" s="67">
        <f t="shared" si="45"/>
        <v>907.344</v>
      </c>
      <c r="AB1310" s="67">
        <f t="shared" si="46"/>
        <v>6578.244</v>
      </c>
      <c r="AC1310" s="67">
        <f t="shared" si="11"/>
        <v>5355.85</v>
      </c>
      <c r="AD1310" s="67">
        <f t="shared" si="12"/>
        <v>856.936</v>
      </c>
      <c r="AE1310" s="67">
        <f t="shared" si="13"/>
        <v>6212.786</v>
      </c>
      <c r="AF1310" s="67">
        <f t="shared" si="33"/>
        <v>5229.83</v>
      </c>
      <c r="AG1310" s="67">
        <f t="shared" si="15"/>
        <v>836.7728</v>
      </c>
      <c r="AH1310" s="67">
        <f t="shared" si="16"/>
        <v>6066.6028</v>
      </c>
      <c r="AI1310" s="67">
        <f t="shared" si="17"/>
        <v>5040.8</v>
      </c>
      <c r="AJ1310" s="68">
        <f t="shared" si="47"/>
        <v>806.528</v>
      </c>
      <c r="AK1310" s="68">
        <f t="shared" si="48"/>
        <v>5847.328</v>
      </c>
      <c r="AL1310" s="70"/>
      <c r="AM1310" s="70"/>
      <c r="AN1310" s="71"/>
      <c r="AO1310" s="71"/>
      <c r="AP1310" s="71"/>
      <c r="AQ1310" s="71"/>
      <c r="AR1310" s="71"/>
      <c r="AS1310" s="71"/>
      <c r="AT1310" s="71"/>
      <c r="AU1310" s="71"/>
      <c r="AV1310" s="71"/>
      <c r="AW1310" s="71"/>
      <c r="AX1310" s="71"/>
      <c r="AY1310" s="71"/>
      <c r="AZ1310" s="71"/>
      <c r="BA1310" s="71"/>
      <c r="BB1310" s="71"/>
      <c r="BC1310" s="71"/>
      <c r="BD1310" s="71"/>
      <c r="BE1310" s="71"/>
      <c r="BF1310" s="71"/>
      <c r="BG1310" s="71"/>
      <c r="BH1310" s="71"/>
      <c r="BI1310" s="71"/>
      <c r="BJ1310" s="71"/>
      <c r="BK1310" s="71"/>
      <c r="BL1310" s="71"/>
      <c r="BM1310" s="71"/>
      <c r="BN1310" s="71"/>
      <c r="BO1310" s="71"/>
      <c r="BP1310" s="71"/>
      <c r="BQ1310" s="71"/>
      <c r="BR1310" s="71"/>
      <c r="BS1310" s="71"/>
      <c r="BT1310" s="71"/>
      <c r="BU1310" s="71"/>
      <c r="BV1310" s="71"/>
    </row>
    <row r="1311">
      <c r="A1311" s="53"/>
      <c r="B1311" s="53"/>
      <c r="C1311" s="73" t="s">
        <v>12</v>
      </c>
      <c r="D1311" s="53" t="s">
        <v>3207</v>
      </c>
      <c r="E1311" s="54" t="s">
        <v>38</v>
      </c>
      <c r="F1311" s="54" t="s">
        <v>42</v>
      </c>
      <c r="G1311" s="155" t="s">
        <v>3208</v>
      </c>
      <c r="H1311" s="155" t="s">
        <v>3209</v>
      </c>
      <c r="I1311" s="54">
        <f t="shared" si="24"/>
        <v>34</v>
      </c>
      <c r="J1311" s="56"/>
      <c r="K1311" s="57"/>
      <c r="L1311" s="87"/>
      <c r="M1311" s="59"/>
      <c r="N1311" s="60"/>
      <c r="O1311" s="90"/>
      <c r="P1311" s="62">
        <v>342.0</v>
      </c>
      <c r="Q1311" s="63">
        <v>342.0</v>
      </c>
      <c r="R1311" s="64">
        <v>360.0</v>
      </c>
      <c r="S1311" s="111">
        <v>378.0</v>
      </c>
      <c r="T1311" s="65">
        <f t="shared" si="39"/>
        <v>60.48</v>
      </c>
      <c r="U1311" s="65">
        <f t="shared" si="40"/>
        <v>438.48</v>
      </c>
      <c r="V1311" s="66">
        <f t="shared" si="42"/>
        <v>0.05</v>
      </c>
      <c r="W1311" s="67">
        <f t="shared" si="5"/>
        <v>359.1</v>
      </c>
      <c r="X1311" s="67">
        <f t="shared" si="43"/>
        <v>57.456</v>
      </c>
      <c r="Y1311" s="67">
        <f t="shared" si="44"/>
        <v>416.556</v>
      </c>
      <c r="Z1311" s="67">
        <f t="shared" si="8"/>
        <v>340.2</v>
      </c>
      <c r="AA1311" s="67">
        <f t="shared" si="45"/>
        <v>54.432</v>
      </c>
      <c r="AB1311" s="67">
        <f t="shared" si="46"/>
        <v>394.632</v>
      </c>
      <c r="AC1311" s="67">
        <f t="shared" si="11"/>
        <v>321.3</v>
      </c>
      <c r="AD1311" s="67">
        <f t="shared" si="12"/>
        <v>51.408</v>
      </c>
      <c r="AE1311" s="67">
        <f t="shared" si="13"/>
        <v>372.708</v>
      </c>
      <c r="AF1311" s="67">
        <f t="shared" si="33"/>
        <v>313.74</v>
      </c>
      <c r="AG1311" s="67">
        <f t="shared" si="15"/>
        <v>50.1984</v>
      </c>
      <c r="AH1311" s="67">
        <f t="shared" si="16"/>
        <v>363.9384</v>
      </c>
      <c r="AI1311" s="67">
        <f t="shared" si="17"/>
        <v>302.4</v>
      </c>
      <c r="AJ1311" s="68">
        <f t="shared" si="47"/>
        <v>48.384</v>
      </c>
      <c r="AK1311" s="68">
        <f t="shared" si="48"/>
        <v>350.784</v>
      </c>
      <c r="AL1311" s="70"/>
      <c r="AM1311" s="70"/>
      <c r="AN1311" s="71"/>
      <c r="AO1311" s="71"/>
      <c r="AP1311" s="71"/>
      <c r="AQ1311" s="71"/>
      <c r="AR1311" s="71"/>
      <c r="AS1311" s="71"/>
      <c r="AT1311" s="71"/>
      <c r="AU1311" s="71"/>
      <c r="AV1311" s="71"/>
      <c r="AW1311" s="71"/>
      <c r="AX1311" s="71"/>
      <c r="AY1311" s="71"/>
      <c r="AZ1311" s="71"/>
      <c r="BA1311" s="71"/>
      <c r="BB1311" s="71"/>
      <c r="BC1311" s="71"/>
      <c r="BD1311" s="71"/>
      <c r="BE1311" s="71"/>
      <c r="BF1311" s="71"/>
      <c r="BG1311" s="71"/>
      <c r="BH1311" s="71"/>
      <c r="BI1311" s="71"/>
      <c r="BJ1311" s="71"/>
      <c r="BK1311" s="71"/>
      <c r="BL1311" s="71"/>
      <c r="BM1311" s="71"/>
      <c r="BN1311" s="71"/>
      <c r="BO1311" s="71"/>
      <c r="BP1311" s="71"/>
      <c r="BQ1311" s="71"/>
      <c r="BR1311" s="71"/>
      <c r="BS1311" s="71"/>
      <c r="BT1311" s="71"/>
      <c r="BU1311" s="71"/>
      <c r="BV1311" s="71"/>
    </row>
    <row r="1312">
      <c r="A1312" s="53"/>
      <c r="B1312" s="53"/>
      <c r="C1312" s="73" t="s">
        <v>12</v>
      </c>
      <c r="D1312" s="53" t="s">
        <v>3210</v>
      </c>
      <c r="E1312" s="54" t="s">
        <v>38</v>
      </c>
      <c r="F1312" s="54" t="s">
        <v>42</v>
      </c>
      <c r="G1312" s="155" t="s">
        <v>3211</v>
      </c>
      <c r="H1312" s="155" t="s">
        <v>3212</v>
      </c>
      <c r="I1312" s="54">
        <f t="shared" si="24"/>
        <v>31</v>
      </c>
      <c r="J1312" s="56"/>
      <c r="K1312" s="57"/>
      <c r="L1312" s="87"/>
      <c r="M1312" s="59"/>
      <c r="N1312" s="60"/>
      <c r="O1312" s="90"/>
      <c r="P1312" s="62">
        <v>621.0</v>
      </c>
      <c r="Q1312" s="63">
        <v>621.0</v>
      </c>
      <c r="R1312" s="64">
        <v>653.0</v>
      </c>
      <c r="S1312" s="111">
        <v>686.0</v>
      </c>
      <c r="T1312" s="65">
        <f t="shared" si="39"/>
        <v>109.76</v>
      </c>
      <c r="U1312" s="65">
        <f t="shared" si="40"/>
        <v>795.76</v>
      </c>
      <c r="V1312" s="66">
        <f t="shared" si="42"/>
        <v>0.05053598775</v>
      </c>
      <c r="W1312" s="67">
        <f t="shared" si="5"/>
        <v>651.7</v>
      </c>
      <c r="X1312" s="67">
        <f t="shared" si="43"/>
        <v>104.272</v>
      </c>
      <c r="Y1312" s="67">
        <f t="shared" si="44"/>
        <v>755.972</v>
      </c>
      <c r="Z1312" s="67">
        <f t="shared" si="8"/>
        <v>617.4</v>
      </c>
      <c r="AA1312" s="67">
        <f t="shared" si="45"/>
        <v>98.784</v>
      </c>
      <c r="AB1312" s="67">
        <f t="shared" si="46"/>
        <v>716.184</v>
      </c>
      <c r="AC1312" s="67">
        <f t="shared" si="11"/>
        <v>583.1</v>
      </c>
      <c r="AD1312" s="67">
        <f t="shared" si="12"/>
        <v>93.296</v>
      </c>
      <c r="AE1312" s="67">
        <f t="shared" si="13"/>
        <v>676.396</v>
      </c>
      <c r="AF1312" s="67">
        <f t="shared" si="33"/>
        <v>569.38</v>
      </c>
      <c r="AG1312" s="67">
        <f t="shared" si="15"/>
        <v>91.1008</v>
      </c>
      <c r="AH1312" s="67">
        <f t="shared" si="16"/>
        <v>660.4808</v>
      </c>
      <c r="AI1312" s="67">
        <f t="shared" si="17"/>
        <v>548.8</v>
      </c>
      <c r="AJ1312" s="68">
        <f t="shared" si="47"/>
        <v>87.808</v>
      </c>
      <c r="AK1312" s="68">
        <f t="shared" si="48"/>
        <v>636.608</v>
      </c>
      <c r="AL1312" s="70"/>
      <c r="AM1312" s="70"/>
      <c r="AN1312" s="71"/>
      <c r="AO1312" s="71"/>
      <c r="AP1312" s="71"/>
      <c r="AQ1312" s="71"/>
      <c r="AR1312" s="71"/>
      <c r="AS1312" s="71"/>
      <c r="AT1312" s="71"/>
      <c r="AU1312" s="71"/>
      <c r="AV1312" s="71"/>
      <c r="AW1312" s="71"/>
      <c r="AX1312" s="71"/>
      <c r="AY1312" s="71"/>
      <c r="AZ1312" s="71"/>
      <c r="BA1312" s="71"/>
      <c r="BB1312" s="71"/>
      <c r="BC1312" s="71"/>
      <c r="BD1312" s="71"/>
      <c r="BE1312" s="71"/>
      <c r="BF1312" s="71"/>
      <c r="BG1312" s="71"/>
      <c r="BH1312" s="71"/>
      <c r="BI1312" s="71"/>
      <c r="BJ1312" s="71"/>
      <c r="BK1312" s="71"/>
      <c r="BL1312" s="71"/>
      <c r="BM1312" s="71"/>
      <c r="BN1312" s="71"/>
      <c r="BO1312" s="71"/>
      <c r="BP1312" s="71"/>
      <c r="BQ1312" s="71"/>
      <c r="BR1312" s="71"/>
      <c r="BS1312" s="71"/>
      <c r="BT1312" s="71"/>
      <c r="BU1312" s="71"/>
      <c r="BV1312" s="71"/>
    </row>
    <row r="1313">
      <c r="A1313" s="53"/>
      <c r="B1313" s="53"/>
      <c r="C1313" s="73" t="s">
        <v>12</v>
      </c>
      <c r="D1313" s="53" t="s">
        <v>3213</v>
      </c>
      <c r="E1313" s="54" t="s">
        <v>38</v>
      </c>
      <c r="F1313" s="54" t="s">
        <v>42</v>
      </c>
      <c r="G1313" s="155" t="s">
        <v>3214</v>
      </c>
      <c r="H1313" s="155" t="s">
        <v>3215</v>
      </c>
      <c r="I1313" s="54">
        <f t="shared" si="24"/>
        <v>35</v>
      </c>
      <c r="J1313" s="56"/>
      <c r="K1313" s="57"/>
      <c r="L1313" s="87"/>
      <c r="M1313" s="59"/>
      <c r="N1313" s="60"/>
      <c r="O1313" s="90"/>
      <c r="P1313" s="62">
        <v>666.0</v>
      </c>
      <c r="Q1313" s="63">
        <v>666.0</v>
      </c>
      <c r="R1313" s="64">
        <v>700.0</v>
      </c>
      <c r="S1313" s="111">
        <v>735.0</v>
      </c>
      <c r="T1313" s="65">
        <f t="shared" si="39"/>
        <v>117.6</v>
      </c>
      <c r="U1313" s="65">
        <f t="shared" si="40"/>
        <v>852.6</v>
      </c>
      <c r="V1313" s="66">
        <f t="shared" si="42"/>
        <v>0.05</v>
      </c>
      <c r="W1313" s="67">
        <f t="shared" si="5"/>
        <v>698.25</v>
      </c>
      <c r="X1313" s="67">
        <f t="shared" si="43"/>
        <v>111.72</v>
      </c>
      <c r="Y1313" s="67">
        <f t="shared" si="44"/>
        <v>809.97</v>
      </c>
      <c r="Z1313" s="67">
        <f t="shared" si="8"/>
        <v>661.5</v>
      </c>
      <c r="AA1313" s="67">
        <f t="shared" si="45"/>
        <v>105.84</v>
      </c>
      <c r="AB1313" s="67">
        <f t="shared" si="46"/>
        <v>767.34</v>
      </c>
      <c r="AC1313" s="67">
        <f t="shared" si="11"/>
        <v>624.75</v>
      </c>
      <c r="AD1313" s="67">
        <f t="shared" si="12"/>
        <v>99.96</v>
      </c>
      <c r="AE1313" s="67">
        <f t="shared" si="13"/>
        <v>724.71</v>
      </c>
      <c r="AF1313" s="67">
        <f t="shared" si="33"/>
        <v>610.05</v>
      </c>
      <c r="AG1313" s="67">
        <f t="shared" si="15"/>
        <v>97.608</v>
      </c>
      <c r="AH1313" s="67">
        <f t="shared" si="16"/>
        <v>707.658</v>
      </c>
      <c r="AI1313" s="67">
        <f t="shared" si="17"/>
        <v>588</v>
      </c>
      <c r="AJ1313" s="68">
        <f t="shared" si="47"/>
        <v>94.08</v>
      </c>
      <c r="AK1313" s="68">
        <f t="shared" si="48"/>
        <v>682.08</v>
      </c>
      <c r="AL1313" s="70"/>
      <c r="AM1313" s="70"/>
      <c r="AN1313" s="71"/>
      <c r="AO1313" s="71"/>
      <c r="AP1313" s="71"/>
      <c r="AQ1313" s="71"/>
      <c r="AR1313" s="71"/>
      <c r="AS1313" s="71"/>
      <c r="AT1313" s="71"/>
      <c r="AU1313" s="71"/>
      <c r="AV1313" s="71"/>
      <c r="AW1313" s="71"/>
      <c r="AX1313" s="71"/>
      <c r="AY1313" s="71"/>
      <c r="AZ1313" s="71"/>
      <c r="BA1313" s="71"/>
      <c r="BB1313" s="71"/>
      <c r="BC1313" s="71"/>
      <c r="BD1313" s="71"/>
      <c r="BE1313" s="71"/>
      <c r="BF1313" s="71"/>
      <c r="BG1313" s="71"/>
      <c r="BH1313" s="71"/>
      <c r="BI1313" s="71"/>
      <c r="BJ1313" s="71"/>
      <c r="BK1313" s="71"/>
      <c r="BL1313" s="71"/>
      <c r="BM1313" s="71"/>
      <c r="BN1313" s="71"/>
      <c r="BO1313" s="71"/>
      <c r="BP1313" s="71"/>
      <c r="BQ1313" s="71"/>
      <c r="BR1313" s="71"/>
      <c r="BS1313" s="71"/>
      <c r="BT1313" s="71"/>
      <c r="BU1313" s="71"/>
      <c r="BV1313" s="71"/>
    </row>
    <row r="1314">
      <c r="A1314" s="53"/>
      <c r="B1314" s="53"/>
      <c r="C1314" s="53" t="s">
        <v>53</v>
      </c>
      <c r="D1314" s="53" t="s">
        <v>3216</v>
      </c>
      <c r="E1314" s="54" t="s">
        <v>38</v>
      </c>
      <c r="F1314" s="54" t="s">
        <v>42</v>
      </c>
      <c r="G1314" s="155" t="s">
        <v>3217</v>
      </c>
      <c r="H1314" s="155" t="s">
        <v>3218</v>
      </c>
      <c r="I1314" s="54">
        <f t="shared" si="24"/>
        <v>35</v>
      </c>
      <c r="J1314" s="56"/>
      <c r="K1314" s="57"/>
      <c r="L1314" s="76"/>
      <c r="M1314" s="59"/>
      <c r="N1314" s="60"/>
      <c r="O1314" s="61">
        <v>631.0</v>
      </c>
      <c r="P1314" s="62">
        <v>681.48</v>
      </c>
      <c r="Q1314" s="63">
        <v>681.48</v>
      </c>
      <c r="R1314" s="64">
        <v>716.0</v>
      </c>
      <c r="S1314" s="111">
        <v>752.0</v>
      </c>
      <c r="T1314" s="65">
        <f t="shared" si="39"/>
        <v>120.32</v>
      </c>
      <c r="U1314" s="65">
        <f t="shared" si="40"/>
        <v>872.32</v>
      </c>
      <c r="V1314" s="66">
        <f t="shared" si="42"/>
        <v>0.05027932961</v>
      </c>
      <c r="W1314" s="67">
        <f t="shared" si="5"/>
        <v>714.4</v>
      </c>
      <c r="X1314" s="67">
        <f t="shared" si="43"/>
        <v>114.304</v>
      </c>
      <c r="Y1314" s="67">
        <f t="shared" si="44"/>
        <v>828.704</v>
      </c>
      <c r="Z1314" s="67">
        <f t="shared" si="8"/>
        <v>676.8</v>
      </c>
      <c r="AA1314" s="67">
        <f t="shared" si="45"/>
        <v>108.288</v>
      </c>
      <c r="AB1314" s="67">
        <f t="shared" si="46"/>
        <v>785.088</v>
      </c>
      <c r="AC1314" s="67">
        <f t="shared" si="11"/>
        <v>639.2</v>
      </c>
      <c r="AD1314" s="67">
        <f t="shared" si="12"/>
        <v>102.272</v>
      </c>
      <c r="AE1314" s="67">
        <f t="shared" si="13"/>
        <v>741.472</v>
      </c>
      <c r="AF1314" s="67">
        <f t="shared" si="33"/>
        <v>624.16</v>
      </c>
      <c r="AG1314" s="67">
        <f t="shared" si="15"/>
        <v>99.8656</v>
      </c>
      <c r="AH1314" s="67">
        <f t="shared" si="16"/>
        <v>724.0256</v>
      </c>
      <c r="AI1314" s="67">
        <f t="shared" si="17"/>
        <v>601.6</v>
      </c>
      <c r="AJ1314" s="68">
        <f t="shared" si="47"/>
        <v>96.256</v>
      </c>
      <c r="AK1314" s="68">
        <f t="shared" si="48"/>
        <v>697.856</v>
      </c>
      <c r="AL1314" s="70"/>
      <c r="AM1314" s="70"/>
      <c r="AN1314" s="71"/>
      <c r="AO1314" s="71"/>
      <c r="AP1314" s="71"/>
      <c r="AQ1314" s="71"/>
      <c r="AR1314" s="71"/>
      <c r="AS1314" s="71"/>
      <c r="AT1314" s="71"/>
      <c r="AU1314" s="71"/>
      <c r="AV1314" s="71"/>
      <c r="AW1314" s="71"/>
      <c r="AX1314" s="71"/>
      <c r="AY1314" s="71"/>
      <c r="AZ1314" s="71"/>
      <c r="BA1314" s="71"/>
      <c r="BB1314" s="71"/>
      <c r="BC1314" s="71"/>
      <c r="BD1314" s="71"/>
      <c r="BE1314" s="71"/>
      <c r="BF1314" s="71"/>
      <c r="BG1314" s="71"/>
      <c r="BH1314" s="71"/>
      <c r="BI1314" s="71"/>
      <c r="BJ1314" s="71"/>
      <c r="BK1314" s="71"/>
      <c r="BL1314" s="71"/>
      <c r="BM1314" s="71"/>
      <c r="BN1314" s="71"/>
      <c r="BO1314" s="71"/>
      <c r="BP1314" s="71"/>
      <c r="BQ1314" s="71"/>
      <c r="BR1314" s="71"/>
      <c r="BS1314" s="71"/>
      <c r="BT1314" s="71"/>
      <c r="BU1314" s="71"/>
      <c r="BV1314" s="71"/>
    </row>
    <row r="1315">
      <c r="A1315" s="53"/>
      <c r="B1315" s="53"/>
      <c r="C1315" s="53"/>
      <c r="D1315" s="53" t="s">
        <v>3219</v>
      </c>
      <c r="E1315" s="86" t="s">
        <v>77</v>
      </c>
      <c r="F1315" s="91" t="s">
        <v>42</v>
      </c>
      <c r="G1315" s="156" t="s">
        <v>3220</v>
      </c>
      <c r="H1315" s="155"/>
      <c r="I1315" s="54">
        <f t="shared" si="24"/>
        <v>0</v>
      </c>
      <c r="J1315" s="56"/>
      <c r="K1315" s="57"/>
      <c r="L1315" s="87"/>
      <c r="M1315" s="59"/>
      <c r="N1315" s="60"/>
      <c r="O1315" s="90"/>
      <c r="P1315" s="62">
        <v>0.0</v>
      </c>
      <c r="Q1315" s="63">
        <v>0.0</v>
      </c>
      <c r="R1315" s="64">
        <v>0.0</v>
      </c>
      <c r="S1315" s="111">
        <v>0.0</v>
      </c>
      <c r="T1315" s="65">
        <f t="shared" si="39"/>
        <v>0</v>
      </c>
      <c r="U1315" s="65">
        <f t="shared" si="40"/>
        <v>0</v>
      </c>
      <c r="V1315" s="66" t="str">
        <f t="shared" si="42"/>
        <v>#DIV/0!</v>
      </c>
      <c r="W1315" s="67">
        <f t="shared" si="5"/>
        <v>0</v>
      </c>
      <c r="X1315" s="67">
        <f t="shared" si="43"/>
        <v>0</v>
      </c>
      <c r="Y1315" s="67">
        <f t="shared" si="44"/>
        <v>0</v>
      </c>
      <c r="Z1315" s="67">
        <f t="shared" si="8"/>
        <v>0</v>
      </c>
      <c r="AA1315" s="67">
        <f t="shared" si="45"/>
        <v>0</v>
      </c>
      <c r="AB1315" s="67">
        <f t="shared" si="46"/>
        <v>0</v>
      </c>
      <c r="AC1315" s="67">
        <f t="shared" si="11"/>
        <v>0</v>
      </c>
      <c r="AD1315" s="67">
        <f t="shared" si="12"/>
        <v>0</v>
      </c>
      <c r="AE1315" s="67">
        <f t="shared" si="13"/>
        <v>0</v>
      </c>
      <c r="AF1315" s="67">
        <f t="shared" si="33"/>
        <v>0</v>
      </c>
      <c r="AG1315" s="67">
        <f t="shared" si="15"/>
        <v>0</v>
      </c>
      <c r="AH1315" s="67">
        <f t="shared" si="16"/>
        <v>0</v>
      </c>
      <c r="AI1315" s="67">
        <f t="shared" si="17"/>
        <v>0</v>
      </c>
      <c r="AJ1315" s="68">
        <f t="shared" si="47"/>
        <v>0</v>
      </c>
      <c r="AK1315" s="68">
        <f t="shared" si="48"/>
        <v>0</v>
      </c>
      <c r="AL1315" s="70"/>
      <c r="AM1315" s="70"/>
      <c r="AN1315" s="71"/>
      <c r="AO1315" s="71"/>
      <c r="AP1315" s="71"/>
      <c r="AQ1315" s="71"/>
      <c r="AR1315" s="71"/>
      <c r="AS1315" s="71"/>
      <c r="AT1315" s="71"/>
      <c r="AU1315" s="71"/>
      <c r="AV1315" s="71"/>
      <c r="AW1315" s="71"/>
      <c r="AX1315" s="71"/>
      <c r="AY1315" s="71"/>
      <c r="AZ1315" s="71"/>
      <c r="BA1315" s="71"/>
      <c r="BB1315" s="71"/>
      <c r="BC1315" s="71"/>
      <c r="BD1315" s="71"/>
      <c r="BE1315" s="71"/>
      <c r="BF1315" s="71"/>
      <c r="BG1315" s="71"/>
      <c r="BH1315" s="71"/>
      <c r="BI1315" s="71"/>
      <c r="BJ1315" s="71"/>
      <c r="BK1315" s="71"/>
      <c r="BL1315" s="71"/>
      <c r="BM1315" s="71"/>
      <c r="BN1315" s="71"/>
      <c r="BO1315" s="71"/>
      <c r="BP1315" s="71"/>
      <c r="BQ1315" s="71"/>
      <c r="BR1315" s="71"/>
      <c r="BS1315" s="71"/>
      <c r="BT1315" s="71"/>
      <c r="BU1315" s="71"/>
      <c r="BV1315" s="71"/>
    </row>
    <row r="1316">
      <c r="A1316" s="53"/>
      <c r="B1316" s="53"/>
      <c r="C1316" s="73" t="s">
        <v>12</v>
      </c>
      <c r="D1316" s="53" t="s">
        <v>3221</v>
      </c>
      <c r="E1316" s="54" t="s">
        <v>38</v>
      </c>
      <c r="F1316" s="54" t="s">
        <v>42</v>
      </c>
      <c r="G1316" s="155" t="s">
        <v>3222</v>
      </c>
      <c r="H1316" s="157" t="s">
        <v>3223</v>
      </c>
      <c r="I1316" s="54">
        <f t="shared" si="24"/>
        <v>27</v>
      </c>
      <c r="J1316" s="56"/>
      <c r="K1316" s="57"/>
      <c r="L1316" s="76"/>
      <c r="M1316" s="59"/>
      <c r="N1316" s="79">
        <v>2300.0</v>
      </c>
      <c r="O1316" s="61">
        <v>2484.0</v>
      </c>
      <c r="P1316" s="62">
        <v>2682.7200000000003</v>
      </c>
      <c r="Q1316" s="63">
        <v>2682.7200000000003</v>
      </c>
      <c r="R1316" s="64">
        <v>2818.0</v>
      </c>
      <c r="S1316" s="111">
        <v>2959.0</v>
      </c>
      <c r="T1316" s="65">
        <f t="shared" si="39"/>
        <v>473.44</v>
      </c>
      <c r="U1316" s="65">
        <f t="shared" si="40"/>
        <v>3432.44</v>
      </c>
      <c r="V1316" s="66">
        <f t="shared" si="42"/>
        <v>0.05003548616</v>
      </c>
      <c r="W1316" s="67">
        <f t="shared" si="5"/>
        <v>2811.05</v>
      </c>
      <c r="X1316" s="67">
        <f t="shared" si="43"/>
        <v>449.768</v>
      </c>
      <c r="Y1316" s="67">
        <f t="shared" si="44"/>
        <v>3260.818</v>
      </c>
      <c r="Z1316" s="67">
        <f t="shared" si="8"/>
        <v>2663.1</v>
      </c>
      <c r="AA1316" s="67">
        <f t="shared" si="45"/>
        <v>426.096</v>
      </c>
      <c r="AB1316" s="67">
        <f t="shared" si="46"/>
        <v>3089.196</v>
      </c>
      <c r="AC1316" s="67">
        <f t="shared" si="11"/>
        <v>2515.15</v>
      </c>
      <c r="AD1316" s="67">
        <f t="shared" si="12"/>
        <v>402.424</v>
      </c>
      <c r="AE1316" s="67">
        <f t="shared" si="13"/>
        <v>2917.574</v>
      </c>
      <c r="AF1316" s="67">
        <f t="shared" si="33"/>
        <v>2455.97</v>
      </c>
      <c r="AG1316" s="67">
        <f t="shared" si="15"/>
        <v>392.9552</v>
      </c>
      <c r="AH1316" s="67">
        <f t="shared" si="16"/>
        <v>2848.9252</v>
      </c>
      <c r="AI1316" s="67">
        <f t="shared" si="17"/>
        <v>2367.2</v>
      </c>
      <c r="AJ1316" s="68">
        <f t="shared" si="47"/>
        <v>378.752</v>
      </c>
      <c r="AK1316" s="68">
        <f t="shared" si="48"/>
        <v>2745.952</v>
      </c>
      <c r="AL1316" s="70"/>
      <c r="AM1316" s="70"/>
      <c r="AN1316" s="71"/>
      <c r="AO1316" s="71"/>
      <c r="AP1316" s="71"/>
      <c r="AQ1316" s="71"/>
      <c r="AR1316" s="71"/>
      <c r="AS1316" s="71"/>
      <c r="AT1316" s="71"/>
      <c r="AU1316" s="71"/>
      <c r="AV1316" s="71"/>
      <c r="AW1316" s="71"/>
      <c r="AX1316" s="71"/>
      <c r="AY1316" s="71"/>
      <c r="AZ1316" s="71"/>
      <c r="BA1316" s="71"/>
      <c r="BB1316" s="71"/>
      <c r="BC1316" s="71"/>
      <c r="BD1316" s="71"/>
      <c r="BE1316" s="71"/>
      <c r="BF1316" s="71"/>
      <c r="BG1316" s="71"/>
      <c r="BH1316" s="71"/>
      <c r="BI1316" s="71"/>
      <c r="BJ1316" s="71"/>
      <c r="BK1316" s="71"/>
      <c r="BL1316" s="71"/>
      <c r="BM1316" s="71"/>
      <c r="BN1316" s="71"/>
      <c r="BO1316" s="71"/>
      <c r="BP1316" s="71"/>
      <c r="BQ1316" s="71"/>
      <c r="BR1316" s="71"/>
      <c r="BS1316" s="71"/>
      <c r="BT1316" s="71"/>
      <c r="BU1316" s="71"/>
      <c r="BV1316" s="71"/>
    </row>
    <row r="1317">
      <c r="A1317" s="53"/>
      <c r="B1317" s="53"/>
      <c r="C1317" s="53" t="s">
        <v>12</v>
      </c>
      <c r="D1317" s="53" t="s">
        <v>3224</v>
      </c>
      <c r="E1317" s="54" t="s">
        <v>38</v>
      </c>
      <c r="F1317" s="54" t="s">
        <v>42</v>
      </c>
      <c r="G1317" s="155" t="s">
        <v>3225</v>
      </c>
      <c r="H1317" s="157" t="s">
        <v>3226</v>
      </c>
      <c r="I1317" s="54">
        <f t="shared" si="24"/>
        <v>33</v>
      </c>
      <c r="J1317" s="56"/>
      <c r="K1317" s="57"/>
      <c r="L1317" s="76"/>
      <c r="M1317" s="59"/>
      <c r="N1317" s="79">
        <v>738.0</v>
      </c>
      <c r="O1317" s="61">
        <v>797.0</v>
      </c>
      <c r="P1317" s="63">
        <v>860.7600000000001</v>
      </c>
      <c r="Q1317" s="63">
        <v>860.7600000000001</v>
      </c>
      <c r="R1317" s="64">
        <v>905.0</v>
      </c>
      <c r="S1317" s="111">
        <v>950.0</v>
      </c>
      <c r="T1317" s="65">
        <f t="shared" si="39"/>
        <v>152</v>
      </c>
      <c r="U1317" s="65">
        <f t="shared" si="40"/>
        <v>1102</v>
      </c>
      <c r="V1317" s="66">
        <f t="shared" si="42"/>
        <v>0.04972375691</v>
      </c>
      <c r="W1317" s="67">
        <f t="shared" si="5"/>
        <v>902.5</v>
      </c>
      <c r="X1317" s="67">
        <f t="shared" si="43"/>
        <v>144.4</v>
      </c>
      <c r="Y1317" s="67">
        <f t="shared" si="44"/>
        <v>1046.9</v>
      </c>
      <c r="Z1317" s="67">
        <f t="shared" si="8"/>
        <v>855</v>
      </c>
      <c r="AA1317" s="67">
        <f t="shared" si="45"/>
        <v>136.8</v>
      </c>
      <c r="AB1317" s="67">
        <f t="shared" si="46"/>
        <v>991.8</v>
      </c>
      <c r="AC1317" s="67">
        <f t="shared" si="11"/>
        <v>807.5</v>
      </c>
      <c r="AD1317" s="67">
        <f t="shared" si="12"/>
        <v>129.2</v>
      </c>
      <c r="AE1317" s="67">
        <f t="shared" si="13"/>
        <v>936.7</v>
      </c>
      <c r="AF1317" s="67">
        <f t="shared" si="33"/>
        <v>788.5</v>
      </c>
      <c r="AG1317" s="67">
        <f t="shared" si="15"/>
        <v>126.16</v>
      </c>
      <c r="AH1317" s="67">
        <f t="shared" si="16"/>
        <v>914.66</v>
      </c>
      <c r="AI1317" s="67">
        <f t="shared" si="17"/>
        <v>760</v>
      </c>
      <c r="AJ1317" s="68">
        <f t="shared" si="47"/>
        <v>121.6</v>
      </c>
      <c r="AK1317" s="68">
        <f t="shared" si="48"/>
        <v>881.6</v>
      </c>
      <c r="AL1317" s="70"/>
      <c r="AM1317" s="70"/>
      <c r="AN1317" s="71"/>
      <c r="AO1317" s="71"/>
      <c r="AP1317" s="71"/>
      <c r="AQ1317" s="71"/>
      <c r="AR1317" s="71"/>
      <c r="AS1317" s="71"/>
      <c r="AT1317" s="71"/>
      <c r="AU1317" s="71"/>
      <c r="AV1317" s="71"/>
      <c r="AW1317" s="71"/>
      <c r="AX1317" s="71"/>
      <c r="AY1317" s="71"/>
      <c r="AZ1317" s="71"/>
      <c r="BA1317" s="71"/>
      <c r="BB1317" s="71"/>
      <c r="BC1317" s="71"/>
      <c r="BD1317" s="71"/>
      <c r="BE1317" s="71"/>
      <c r="BF1317" s="71"/>
      <c r="BG1317" s="71"/>
      <c r="BH1317" s="71"/>
      <c r="BI1317" s="71"/>
      <c r="BJ1317" s="71"/>
      <c r="BK1317" s="71"/>
      <c r="BL1317" s="71"/>
      <c r="BM1317" s="71"/>
      <c r="BN1317" s="71"/>
      <c r="BO1317" s="71"/>
      <c r="BP1317" s="71"/>
      <c r="BQ1317" s="71"/>
      <c r="BR1317" s="71"/>
      <c r="BS1317" s="71"/>
      <c r="BT1317" s="71"/>
      <c r="BU1317" s="71"/>
      <c r="BV1317" s="71"/>
    </row>
    <row r="1318">
      <c r="A1318" s="53"/>
      <c r="B1318" s="53"/>
      <c r="C1318" s="73" t="s">
        <v>12</v>
      </c>
      <c r="D1318" s="53" t="s">
        <v>3227</v>
      </c>
      <c r="E1318" s="54" t="s">
        <v>38</v>
      </c>
      <c r="F1318" s="54" t="s">
        <v>42</v>
      </c>
      <c r="G1318" s="155" t="s">
        <v>3228</v>
      </c>
      <c r="H1318" s="157" t="s">
        <v>3229</v>
      </c>
      <c r="I1318" s="54">
        <f t="shared" si="24"/>
        <v>29</v>
      </c>
      <c r="J1318" s="56"/>
      <c r="K1318" s="57"/>
      <c r="L1318" s="76"/>
      <c r="M1318" s="59"/>
      <c r="N1318" s="79">
        <v>1264.0</v>
      </c>
      <c r="O1318" s="61">
        <v>738.0</v>
      </c>
      <c r="P1318" s="62">
        <v>797.0400000000001</v>
      </c>
      <c r="Q1318" s="63">
        <v>797.0400000000001</v>
      </c>
      <c r="R1318" s="64">
        <v>837.0</v>
      </c>
      <c r="S1318" s="111">
        <v>879.0</v>
      </c>
      <c r="T1318" s="65">
        <f t="shared" si="39"/>
        <v>140.64</v>
      </c>
      <c r="U1318" s="65">
        <f t="shared" si="40"/>
        <v>1019.64</v>
      </c>
      <c r="V1318" s="66">
        <f t="shared" si="42"/>
        <v>0.05017921147</v>
      </c>
      <c r="W1318" s="67">
        <f t="shared" si="5"/>
        <v>835.05</v>
      </c>
      <c r="X1318" s="67">
        <f t="shared" si="43"/>
        <v>133.608</v>
      </c>
      <c r="Y1318" s="67">
        <f t="shared" si="44"/>
        <v>968.658</v>
      </c>
      <c r="Z1318" s="67">
        <f t="shared" si="8"/>
        <v>791.1</v>
      </c>
      <c r="AA1318" s="67">
        <f t="shared" si="45"/>
        <v>126.576</v>
      </c>
      <c r="AB1318" s="67">
        <f t="shared" si="46"/>
        <v>917.676</v>
      </c>
      <c r="AC1318" s="67">
        <f t="shared" si="11"/>
        <v>747.15</v>
      </c>
      <c r="AD1318" s="67">
        <f t="shared" si="12"/>
        <v>119.544</v>
      </c>
      <c r="AE1318" s="67">
        <f t="shared" si="13"/>
        <v>866.694</v>
      </c>
      <c r="AF1318" s="67">
        <f t="shared" si="33"/>
        <v>729.57</v>
      </c>
      <c r="AG1318" s="67">
        <f t="shared" si="15"/>
        <v>116.7312</v>
      </c>
      <c r="AH1318" s="67">
        <f t="shared" si="16"/>
        <v>846.3012</v>
      </c>
      <c r="AI1318" s="67">
        <f t="shared" si="17"/>
        <v>703.2</v>
      </c>
      <c r="AJ1318" s="68">
        <f t="shared" si="47"/>
        <v>112.512</v>
      </c>
      <c r="AK1318" s="68">
        <f t="shared" si="48"/>
        <v>815.712</v>
      </c>
      <c r="AL1318" s="70"/>
      <c r="AM1318" s="70"/>
      <c r="AN1318" s="71"/>
      <c r="AO1318" s="71"/>
      <c r="AP1318" s="71"/>
      <c r="AQ1318" s="71"/>
      <c r="AR1318" s="71"/>
      <c r="AS1318" s="71"/>
      <c r="AT1318" s="71"/>
      <c r="AU1318" s="71"/>
      <c r="AV1318" s="71"/>
      <c r="AW1318" s="71"/>
      <c r="AX1318" s="71"/>
      <c r="AY1318" s="71"/>
      <c r="AZ1318" s="71"/>
      <c r="BA1318" s="71"/>
      <c r="BB1318" s="71"/>
      <c r="BC1318" s="71"/>
      <c r="BD1318" s="71"/>
      <c r="BE1318" s="71"/>
      <c r="BF1318" s="71"/>
      <c r="BG1318" s="71"/>
      <c r="BH1318" s="71"/>
      <c r="BI1318" s="71"/>
      <c r="BJ1318" s="71"/>
      <c r="BK1318" s="71"/>
      <c r="BL1318" s="71"/>
      <c r="BM1318" s="71"/>
      <c r="BN1318" s="71"/>
      <c r="BO1318" s="71"/>
      <c r="BP1318" s="71"/>
      <c r="BQ1318" s="71"/>
      <c r="BR1318" s="71"/>
      <c r="BS1318" s="71"/>
      <c r="BT1318" s="71"/>
      <c r="BU1318" s="71"/>
      <c r="BV1318" s="71"/>
    </row>
    <row r="1319">
      <c r="A1319" s="53">
        <v>1.0</v>
      </c>
      <c r="B1319" s="53"/>
      <c r="C1319" s="73" t="s">
        <v>12</v>
      </c>
      <c r="D1319" s="53" t="s">
        <v>3230</v>
      </c>
      <c r="E1319" s="54" t="s">
        <v>38</v>
      </c>
      <c r="F1319" s="54" t="s">
        <v>42</v>
      </c>
      <c r="G1319" s="155" t="s">
        <v>3231</v>
      </c>
      <c r="H1319" s="157" t="s">
        <v>3232</v>
      </c>
      <c r="I1319" s="54">
        <f t="shared" si="24"/>
        <v>27</v>
      </c>
      <c r="J1319" s="56"/>
      <c r="K1319" s="57"/>
      <c r="L1319" s="76"/>
      <c r="M1319" s="59"/>
      <c r="N1319" s="79">
        <v>738.0</v>
      </c>
      <c r="O1319" s="61">
        <v>797.0</v>
      </c>
      <c r="P1319" s="62">
        <v>860.7600000000001</v>
      </c>
      <c r="Q1319" s="63">
        <v>860.7600000000001</v>
      </c>
      <c r="R1319" s="64">
        <v>905.0</v>
      </c>
      <c r="S1319" s="111">
        <v>950.0</v>
      </c>
      <c r="T1319" s="65">
        <f t="shared" si="39"/>
        <v>152</v>
      </c>
      <c r="U1319" s="65">
        <f t="shared" si="40"/>
        <v>1102</v>
      </c>
      <c r="V1319" s="66">
        <f t="shared" si="42"/>
        <v>0.04972375691</v>
      </c>
      <c r="W1319" s="67">
        <f t="shared" si="5"/>
        <v>902.5</v>
      </c>
      <c r="X1319" s="67">
        <f t="shared" si="43"/>
        <v>144.4</v>
      </c>
      <c r="Y1319" s="67">
        <f t="shared" si="44"/>
        <v>1046.9</v>
      </c>
      <c r="Z1319" s="67">
        <f t="shared" si="8"/>
        <v>855</v>
      </c>
      <c r="AA1319" s="67">
        <f t="shared" si="45"/>
        <v>136.8</v>
      </c>
      <c r="AB1319" s="67">
        <f t="shared" si="46"/>
        <v>991.8</v>
      </c>
      <c r="AC1319" s="67">
        <f t="shared" si="11"/>
        <v>807.5</v>
      </c>
      <c r="AD1319" s="67">
        <f t="shared" si="12"/>
        <v>129.2</v>
      </c>
      <c r="AE1319" s="67">
        <f t="shared" si="13"/>
        <v>936.7</v>
      </c>
      <c r="AF1319" s="67">
        <f t="shared" si="33"/>
        <v>788.5</v>
      </c>
      <c r="AG1319" s="67">
        <f t="shared" si="15"/>
        <v>126.16</v>
      </c>
      <c r="AH1319" s="67">
        <f t="shared" si="16"/>
        <v>914.66</v>
      </c>
      <c r="AI1319" s="67">
        <f t="shared" si="17"/>
        <v>760</v>
      </c>
      <c r="AJ1319" s="68">
        <f t="shared" si="47"/>
        <v>121.6</v>
      </c>
      <c r="AK1319" s="68">
        <f t="shared" si="48"/>
        <v>881.6</v>
      </c>
      <c r="AL1319" s="70"/>
      <c r="AM1319" s="70"/>
      <c r="AN1319" s="71"/>
      <c r="AO1319" s="71"/>
      <c r="AP1319" s="71"/>
      <c r="AQ1319" s="71"/>
      <c r="AR1319" s="71"/>
      <c r="AS1319" s="71"/>
      <c r="AT1319" s="71"/>
      <c r="AU1319" s="71"/>
      <c r="AV1319" s="71"/>
      <c r="AW1319" s="71"/>
      <c r="AX1319" s="71"/>
      <c r="AY1319" s="71"/>
      <c r="AZ1319" s="71"/>
      <c r="BA1319" s="71"/>
      <c r="BB1319" s="71"/>
      <c r="BC1319" s="71"/>
      <c r="BD1319" s="71"/>
      <c r="BE1319" s="71"/>
      <c r="BF1319" s="71"/>
      <c r="BG1319" s="71"/>
      <c r="BH1319" s="71"/>
      <c r="BI1319" s="71"/>
      <c r="BJ1319" s="71"/>
      <c r="BK1319" s="71"/>
      <c r="BL1319" s="71"/>
      <c r="BM1319" s="71"/>
      <c r="BN1319" s="71"/>
      <c r="BO1319" s="71"/>
      <c r="BP1319" s="71"/>
      <c r="BQ1319" s="71"/>
      <c r="BR1319" s="71"/>
      <c r="BS1319" s="71"/>
      <c r="BT1319" s="71"/>
      <c r="BU1319" s="71"/>
      <c r="BV1319" s="71"/>
    </row>
    <row r="1320">
      <c r="A1320" s="53">
        <v>1.0</v>
      </c>
      <c r="B1320" s="53"/>
      <c r="C1320" s="73" t="s">
        <v>12</v>
      </c>
      <c r="D1320" s="53" t="s">
        <v>3233</v>
      </c>
      <c r="E1320" s="54" t="s">
        <v>38</v>
      </c>
      <c r="F1320" s="54" t="s">
        <v>42</v>
      </c>
      <c r="G1320" s="155" t="s">
        <v>3234</v>
      </c>
      <c r="H1320" s="157" t="s">
        <v>3235</v>
      </c>
      <c r="I1320" s="54">
        <f t="shared" si="24"/>
        <v>27</v>
      </c>
      <c r="J1320" s="56"/>
      <c r="K1320" s="57"/>
      <c r="L1320" s="76"/>
      <c r="M1320" s="59"/>
      <c r="N1320" s="79">
        <v>738.0</v>
      </c>
      <c r="O1320" s="61">
        <v>797.0</v>
      </c>
      <c r="P1320" s="62">
        <v>860.7600000000001</v>
      </c>
      <c r="Q1320" s="63">
        <v>860.7600000000001</v>
      </c>
      <c r="R1320" s="64">
        <v>905.0</v>
      </c>
      <c r="S1320" s="111">
        <v>950.0</v>
      </c>
      <c r="T1320" s="65">
        <f t="shared" si="39"/>
        <v>152</v>
      </c>
      <c r="U1320" s="65">
        <f t="shared" si="40"/>
        <v>1102</v>
      </c>
      <c r="V1320" s="66">
        <f t="shared" si="42"/>
        <v>0.04972375691</v>
      </c>
      <c r="W1320" s="67">
        <f t="shared" si="5"/>
        <v>902.5</v>
      </c>
      <c r="X1320" s="67">
        <f t="shared" si="43"/>
        <v>144.4</v>
      </c>
      <c r="Y1320" s="67">
        <f t="shared" si="44"/>
        <v>1046.9</v>
      </c>
      <c r="Z1320" s="67">
        <f t="shared" si="8"/>
        <v>855</v>
      </c>
      <c r="AA1320" s="67">
        <f t="shared" si="45"/>
        <v>136.8</v>
      </c>
      <c r="AB1320" s="67">
        <f t="shared" si="46"/>
        <v>991.8</v>
      </c>
      <c r="AC1320" s="67">
        <f t="shared" si="11"/>
        <v>807.5</v>
      </c>
      <c r="AD1320" s="67">
        <f t="shared" si="12"/>
        <v>129.2</v>
      </c>
      <c r="AE1320" s="67">
        <f t="shared" si="13"/>
        <v>936.7</v>
      </c>
      <c r="AF1320" s="67">
        <f t="shared" si="33"/>
        <v>788.5</v>
      </c>
      <c r="AG1320" s="67">
        <f t="shared" si="15"/>
        <v>126.16</v>
      </c>
      <c r="AH1320" s="67">
        <f t="shared" si="16"/>
        <v>914.66</v>
      </c>
      <c r="AI1320" s="67">
        <f t="shared" si="17"/>
        <v>760</v>
      </c>
      <c r="AJ1320" s="68">
        <f t="shared" si="47"/>
        <v>121.6</v>
      </c>
      <c r="AK1320" s="68">
        <f t="shared" si="48"/>
        <v>881.6</v>
      </c>
      <c r="AL1320" s="70"/>
      <c r="AM1320" s="70"/>
      <c r="AN1320" s="71"/>
      <c r="AO1320" s="71"/>
      <c r="AP1320" s="71"/>
      <c r="AQ1320" s="71"/>
      <c r="AR1320" s="71"/>
      <c r="AS1320" s="71"/>
      <c r="AT1320" s="71"/>
      <c r="AU1320" s="71"/>
      <c r="AV1320" s="71"/>
      <c r="AW1320" s="71"/>
      <c r="AX1320" s="71"/>
      <c r="AY1320" s="71"/>
      <c r="AZ1320" s="71"/>
      <c r="BA1320" s="71"/>
      <c r="BB1320" s="71"/>
      <c r="BC1320" s="71"/>
      <c r="BD1320" s="71"/>
      <c r="BE1320" s="71"/>
      <c r="BF1320" s="71"/>
      <c r="BG1320" s="71"/>
      <c r="BH1320" s="71"/>
      <c r="BI1320" s="71"/>
      <c r="BJ1320" s="71"/>
      <c r="BK1320" s="71"/>
      <c r="BL1320" s="71"/>
      <c r="BM1320" s="71"/>
      <c r="BN1320" s="71"/>
      <c r="BO1320" s="71"/>
      <c r="BP1320" s="71"/>
      <c r="BQ1320" s="71"/>
      <c r="BR1320" s="71"/>
      <c r="BS1320" s="71"/>
      <c r="BT1320" s="71"/>
      <c r="BU1320" s="71"/>
      <c r="BV1320" s="71"/>
    </row>
    <row r="1321">
      <c r="A1321" s="53">
        <v>1.0</v>
      </c>
      <c r="B1321" s="53"/>
      <c r="C1321" s="73" t="s">
        <v>12</v>
      </c>
      <c r="D1321" s="53" t="s">
        <v>3236</v>
      </c>
      <c r="E1321" s="54" t="s">
        <v>38</v>
      </c>
      <c r="F1321" s="54" t="s">
        <v>42</v>
      </c>
      <c r="G1321" s="155" t="s">
        <v>3237</v>
      </c>
      <c r="H1321" s="157" t="s">
        <v>3238</v>
      </c>
      <c r="I1321" s="54">
        <f t="shared" si="24"/>
        <v>27</v>
      </c>
      <c r="J1321" s="56"/>
      <c r="K1321" s="57"/>
      <c r="L1321" s="76"/>
      <c r="M1321" s="59"/>
      <c r="N1321" s="79">
        <v>738.0</v>
      </c>
      <c r="O1321" s="61">
        <v>797.0</v>
      </c>
      <c r="P1321" s="62">
        <v>860.7600000000001</v>
      </c>
      <c r="Q1321" s="63">
        <v>860.7600000000001</v>
      </c>
      <c r="R1321" s="64">
        <v>905.0</v>
      </c>
      <c r="S1321" s="111">
        <v>950.0</v>
      </c>
      <c r="T1321" s="65">
        <f t="shared" si="39"/>
        <v>152</v>
      </c>
      <c r="U1321" s="65">
        <f t="shared" si="40"/>
        <v>1102</v>
      </c>
      <c r="V1321" s="66">
        <f t="shared" si="42"/>
        <v>0.04972375691</v>
      </c>
      <c r="W1321" s="67">
        <f t="shared" si="5"/>
        <v>902.5</v>
      </c>
      <c r="X1321" s="67">
        <f t="shared" si="43"/>
        <v>144.4</v>
      </c>
      <c r="Y1321" s="67">
        <f t="shared" si="44"/>
        <v>1046.9</v>
      </c>
      <c r="Z1321" s="67">
        <f t="shared" si="8"/>
        <v>855</v>
      </c>
      <c r="AA1321" s="67">
        <f t="shared" si="45"/>
        <v>136.8</v>
      </c>
      <c r="AB1321" s="67">
        <f t="shared" si="46"/>
        <v>991.8</v>
      </c>
      <c r="AC1321" s="67">
        <f t="shared" si="11"/>
        <v>807.5</v>
      </c>
      <c r="AD1321" s="67">
        <f t="shared" si="12"/>
        <v>129.2</v>
      </c>
      <c r="AE1321" s="67">
        <f t="shared" si="13"/>
        <v>936.7</v>
      </c>
      <c r="AF1321" s="67">
        <f t="shared" si="33"/>
        <v>788.5</v>
      </c>
      <c r="AG1321" s="67">
        <f t="shared" si="15"/>
        <v>126.16</v>
      </c>
      <c r="AH1321" s="67">
        <f t="shared" si="16"/>
        <v>914.66</v>
      </c>
      <c r="AI1321" s="67">
        <f t="shared" si="17"/>
        <v>760</v>
      </c>
      <c r="AJ1321" s="68">
        <f t="shared" si="47"/>
        <v>121.6</v>
      </c>
      <c r="AK1321" s="68">
        <f t="shared" si="48"/>
        <v>881.6</v>
      </c>
      <c r="AL1321" s="70"/>
      <c r="AM1321" s="70"/>
      <c r="AN1321" s="71"/>
      <c r="AO1321" s="71"/>
      <c r="AP1321" s="71"/>
      <c r="AQ1321" s="71"/>
      <c r="AR1321" s="71"/>
      <c r="AS1321" s="71"/>
      <c r="AT1321" s="71"/>
      <c r="AU1321" s="71"/>
      <c r="AV1321" s="71"/>
      <c r="AW1321" s="71"/>
      <c r="AX1321" s="71"/>
      <c r="AY1321" s="71"/>
      <c r="AZ1321" s="71"/>
      <c r="BA1321" s="71"/>
      <c r="BB1321" s="71"/>
      <c r="BC1321" s="71"/>
      <c r="BD1321" s="71"/>
      <c r="BE1321" s="71"/>
      <c r="BF1321" s="71"/>
      <c r="BG1321" s="71"/>
      <c r="BH1321" s="71"/>
      <c r="BI1321" s="71"/>
      <c r="BJ1321" s="71"/>
      <c r="BK1321" s="71"/>
      <c r="BL1321" s="71"/>
      <c r="BM1321" s="71"/>
      <c r="BN1321" s="71"/>
      <c r="BO1321" s="71"/>
      <c r="BP1321" s="71"/>
      <c r="BQ1321" s="71"/>
      <c r="BR1321" s="71"/>
      <c r="BS1321" s="71"/>
      <c r="BT1321" s="71"/>
      <c r="BU1321" s="71"/>
      <c r="BV1321" s="71"/>
    </row>
    <row r="1322">
      <c r="A1322" s="53">
        <v>1.0</v>
      </c>
      <c r="B1322" s="53"/>
      <c r="C1322" s="73" t="s">
        <v>12</v>
      </c>
      <c r="D1322" s="53" t="s">
        <v>3239</v>
      </c>
      <c r="E1322" s="54" t="s">
        <v>38</v>
      </c>
      <c r="F1322" s="54" t="s">
        <v>42</v>
      </c>
      <c r="G1322" s="155" t="s">
        <v>3240</v>
      </c>
      <c r="H1322" s="157" t="s">
        <v>3241</v>
      </c>
      <c r="I1322" s="54">
        <f t="shared" si="24"/>
        <v>33</v>
      </c>
      <c r="J1322" s="56"/>
      <c r="K1322" s="57"/>
      <c r="L1322" s="76"/>
      <c r="M1322" s="59"/>
      <c r="N1322" s="79">
        <v>738.0</v>
      </c>
      <c r="O1322" s="61">
        <v>797.0</v>
      </c>
      <c r="P1322" s="62">
        <v>860.7600000000001</v>
      </c>
      <c r="Q1322" s="63">
        <v>860.7600000000001</v>
      </c>
      <c r="R1322" s="64">
        <v>905.0</v>
      </c>
      <c r="S1322" s="111">
        <v>950.0</v>
      </c>
      <c r="T1322" s="65">
        <f t="shared" si="39"/>
        <v>152</v>
      </c>
      <c r="U1322" s="65">
        <f t="shared" si="40"/>
        <v>1102</v>
      </c>
      <c r="V1322" s="66">
        <f t="shared" si="42"/>
        <v>0.04972375691</v>
      </c>
      <c r="W1322" s="67">
        <f t="shared" si="5"/>
        <v>902.5</v>
      </c>
      <c r="X1322" s="67">
        <f t="shared" si="43"/>
        <v>144.4</v>
      </c>
      <c r="Y1322" s="67">
        <f t="shared" si="44"/>
        <v>1046.9</v>
      </c>
      <c r="Z1322" s="67">
        <f t="shared" si="8"/>
        <v>855</v>
      </c>
      <c r="AA1322" s="67">
        <f t="shared" si="45"/>
        <v>136.8</v>
      </c>
      <c r="AB1322" s="67">
        <f t="shared" si="46"/>
        <v>991.8</v>
      </c>
      <c r="AC1322" s="67">
        <f t="shared" si="11"/>
        <v>807.5</v>
      </c>
      <c r="AD1322" s="67">
        <f t="shared" si="12"/>
        <v>129.2</v>
      </c>
      <c r="AE1322" s="67">
        <f t="shared" si="13"/>
        <v>936.7</v>
      </c>
      <c r="AF1322" s="67">
        <f t="shared" si="33"/>
        <v>788.5</v>
      </c>
      <c r="AG1322" s="67">
        <f t="shared" si="15"/>
        <v>126.16</v>
      </c>
      <c r="AH1322" s="67">
        <f t="shared" si="16"/>
        <v>914.66</v>
      </c>
      <c r="AI1322" s="67">
        <f t="shared" si="17"/>
        <v>760</v>
      </c>
      <c r="AJ1322" s="68">
        <f t="shared" si="47"/>
        <v>121.6</v>
      </c>
      <c r="AK1322" s="68">
        <f t="shared" si="48"/>
        <v>881.6</v>
      </c>
      <c r="AL1322" s="70"/>
      <c r="AM1322" s="70"/>
      <c r="AN1322" s="71"/>
      <c r="AO1322" s="71"/>
      <c r="AP1322" s="71"/>
      <c r="AQ1322" s="71"/>
      <c r="AR1322" s="71"/>
      <c r="AS1322" s="71"/>
      <c r="AT1322" s="71"/>
      <c r="AU1322" s="71"/>
      <c r="AV1322" s="71"/>
      <c r="AW1322" s="71"/>
      <c r="AX1322" s="71"/>
      <c r="AY1322" s="71"/>
      <c r="AZ1322" s="71"/>
      <c r="BA1322" s="71"/>
      <c r="BB1322" s="71"/>
      <c r="BC1322" s="71"/>
      <c r="BD1322" s="71"/>
      <c r="BE1322" s="71"/>
      <c r="BF1322" s="71"/>
      <c r="BG1322" s="71"/>
      <c r="BH1322" s="71"/>
      <c r="BI1322" s="71"/>
      <c r="BJ1322" s="71"/>
      <c r="BK1322" s="71"/>
      <c r="BL1322" s="71"/>
      <c r="BM1322" s="71"/>
      <c r="BN1322" s="71"/>
      <c r="BO1322" s="71"/>
      <c r="BP1322" s="71"/>
      <c r="BQ1322" s="71"/>
      <c r="BR1322" s="71"/>
      <c r="BS1322" s="71"/>
      <c r="BT1322" s="71"/>
      <c r="BU1322" s="71"/>
      <c r="BV1322" s="71"/>
    </row>
    <row r="1323">
      <c r="A1323" s="53">
        <v>1.0</v>
      </c>
      <c r="B1323" s="72"/>
      <c r="C1323" s="73" t="s">
        <v>12</v>
      </c>
      <c r="D1323" s="74" t="s">
        <v>3242</v>
      </c>
      <c r="E1323" s="54" t="s">
        <v>77</v>
      </c>
      <c r="F1323" s="54" t="s">
        <v>42</v>
      </c>
      <c r="G1323" s="157" t="s">
        <v>3243</v>
      </c>
      <c r="H1323" s="157" t="s">
        <v>3244</v>
      </c>
      <c r="I1323" s="54">
        <f t="shared" si="24"/>
        <v>40</v>
      </c>
      <c r="J1323" s="56"/>
      <c r="K1323" s="57"/>
      <c r="L1323" s="76"/>
      <c r="M1323" s="59"/>
      <c r="N1323" s="79">
        <v>0.0</v>
      </c>
      <c r="O1323" s="61">
        <v>0.0</v>
      </c>
      <c r="P1323" s="62">
        <v>1438.56</v>
      </c>
      <c r="Q1323" s="63">
        <v>1438.56</v>
      </c>
      <c r="R1323" s="64">
        <v>1511.0</v>
      </c>
      <c r="S1323" s="111">
        <v>1587.0</v>
      </c>
      <c r="T1323" s="65">
        <f t="shared" si="39"/>
        <v>253.92</v>
      </c>
      <c r="U1323" s="65">
        <f t="shared" si="40"/>
        <v>1840.92</v>
      </c>
      <c r="V1323" s="66">
        <f t="shared" si="42"/>
        <v>0.05029781602</v>
      </c>
      <c r="W1323" s="67">
        <f t="shared" si="5"/>
        <v>1507.65</v>
      </c>
      <c r="X1323" s="67">
        <f t="shared" si="43"/>
        <v>241.224</v>
      </c>
      <c r="Y1323" s="67">
        <f t="shared" si="44"/>
        <v>1748.874</v>
      </c>
      <c r="Z1323" s="67">
        <f t="shared" si="8"/>
        <v>1428.3</v>
      </c>
      <c r="AA1323" s="67">
        <f t="shared" si="45"/>
        <v>228.528</v>
      </c>
      <c r="AB1323" s="67">
        <f t="shared" si="46"/>
        <v>1656.828</v>
      </c>
      <c r="AC1323" s="67">
        <f t="shared" si="11"/>
        <v>1348.95</v>
      </c>
      <c r="AD1323" s="67">
        <f t="shared" si="12"/>
        <v>215.832</v>
      </c>
      <c r="AE1323" s="67">
        <f t="shared" si="13"/>
        <v>1564.782</v>
      </c>
      <c r="AF1323" s="67">
        <f t="shared" si="33"/>
        <v>1317.21</v>
      </c>
      <c r="AG1323" s="67">
        <f t="shared" si="15"/>
        <v>210.7536</v>
      </c>
      <c r="AH1323" s="67">
        <f t="shared" si="16"/>
        <v>1527.9636</v>
      </c>
      <c r="AI1323" s="67">
        <f t="shared" si="17"/>
        <v>1269.6</v>
      </c>
      <c r="AJ1323" s="68">
        <f t="shared" si="47"/>
        <v>203.136</v>
      </c>
      <c r="AK1323" s="68">
        <f t="shared" si="48"/>
        <v>1472.736</v>
      </c>
      <c r="AL1323" s="70"/>
      <c r="AM1323" s="70"/>
      <c r="AN1323" s="71"/>
      <c r="AO1323" s="71"/>
      <c r="AP1323" s="71"/>
      <c r="AQ1323" s="71"/>
      <c r="AR1323" s="71"/>
      <c r="AS1323" s="71"/>
      <c r="AT1323" s="71"/>
      <c r="AU1323" s="71"/>
      <c r="AV1323" s="71"/>
      <c r="AW1323" s="71"/>
      <c r="AX1323" s="71"/>
      <c r="AY1323" s="71"/>
      <c r="AZ1323" s="71"/>
      <c r="BA1323" s="71"/>
      <c r="BB1323" s="71"/>
      <c r="BC1323" s="71"/>
      <c r="BD1323" s="71"/>
      <c r="BE1323" s="71"/>
      <c r="BF1323" s="71"/>
      <c r="BG1323" s="71"/>
      <c r="BH1323" s="71"/>
      <c r="BI1323" s="71"/>
      <c r="BJ1323" s="71"/>
      <c r="BK1323" s="71"/>
      <c r="BL1323" s="71"/>
      <c r="BM1323" s="71"/>
      <c r="BN1323" s="71"/>
      <c r="BO1323" s="71"/>
      <c r="BP1323" s="71"/>
      <c r="BQ1323" s="71"/>
      <c r="BR1323" s="71"/>
      <c r="BS1323" s="71"/>
      <c r="BT1323" s="71"/>
      <c r="BU1323" s="71"/>
      <c r="BV1323" s="71"/>
    </row>
    <row r="1324">
      <c r="A1324" s="53">
        <v>1.0</v>
      </c>
      <c r="B1324" s="72"/>
      <c r="C1324" s="73" t="s">
        <v>12</v>
      </c>
      <c r="D1324" s="74" t="s">
        <v>3245</v>
      </c>
      <c r="E1324" s="54" t="s">
        <v>77</v>
      </c>
      <c r="F1324" s="54" t="s">
        <v>42</v>
      </c>
      <c r="G1324" s="157" t="s">
        <v>3246</v>
      </c>
      <c r="H1324" s="157" t="s">
        <v>3247</v>
      </c>
      <c r="I1324" s="54">
        <f t="shared" si="24"/>
        <v>39</v>
      </c>
      <c r="J1324" s="56"/>
      <c r="K1324" s="57"/>
      <c r="L1324" s="87"/>
      <c r="M1324" s="59"/>
      <c r="N1324" s="79">
        <v>738.0</v>
      </c>
      <c r="O1324" s="61">
        <v>797.0</v>
      </c>
      <c r="P1324" s="62">
        <v>860.7600000000001</v>
      </c>
      <c r="Q1324" s="63">
        <v>860.7600000000001</v>
      </c>
      <c r="R1324" s="64">
        <v>959.0</v>
      </c>
      <c r="S1324" s="111">
        <v>1007.0</v>
      </c>
      <c r="T1324" s="65">
        <f t="shared" si="39"/>
        <v>161.12</v>
      </c>
      <c r="U1324" s="65">
        <f t="shared" si="40"/>
        <v>1168.12</v>
      </c>
      <c r="V1324" s="66">
        <f t="shared" si="42"/>
        <v>0.05005213764</v>
      </c>
      <c r="W1324" s="67">
        <f t="shared" si="5"/>
        <v>956.65</v>
      </c>
      <c r="X1324" s="67">
        <f t="shared" si="43"/>
        <v>153.064</v>
      </c>
      <c r="Y1324" s="67">
        <f t="shared" si="44"/>
        <v>1109.714</v>
      </c>
      <c r="Z1324" s="67">
        <f t="shared" si="8"/>
        <v>906.3</v>
      </c>
      <c r="AA1324" s="67">
        <f t="shared" si="45"/>
        <v>145.008</v>
      </c>
      <c r="AB1324" s="67">
        <f t="shared" si="46"/>
        <v>1051.308</v>
      </c>
      <c r="AC1324" s="67">
        <f t="shared" si="11"/>
        <v>855.95</v>
      </c>
      <c r="AD1324" s="67">
        <f t="shared" si="12"/>
        <v>136.952</v>
      </c>
      <c r="AE1324" s="67">
        <f t="shared" si="13"/>
        <v>992.902</v>
      </c>
      <c r="AF1324" s="67">
        <f t="shared" si="33"/>
        <v>835.81</v>
      </c>
      <c r="AG1324" s="67">
        <f t="shared" si="15"/>
        <v>133.7296</v>
      </c>
      <c r="AH1324" s="67">
        <f t="shared" si="16"/>
        <v>969.5396</v>
      </c>
      <c r="AI1324" s="67">
        <f t="shared" si="17"/>
        <v>805.6</v>
      </c>
      <c r="AJ1324" s="68">
        <f t="shared" si="47"/>
        <v>128.896</v>
      </c>
      <c r="AK1324" s="68">
        <f t="shared" si="48"/>
        <v>934.496</v>
      </c>
      <c r="AL1324" s="70"/>
      <c r="AM1324" s="70"/>
      <c r="AN1324" s="71"/>
      <c r="AO1324" s="71"/>
      <c r="AP1324" s="71"/>
      <c r="AQ1324" s="71"/>
      <c r="AR1324" s="71"/>
      <c r="AS1324" s="71"/>
      <c r="AT1324" s="71"/>
      <c r="AU1324" s="71"/>
      <c r="AV1324" s="71"/>
      <c r="AW1324" s="71"/>
      <c r="AX1324" s="71"/>
      <c r="AY1324" s="71"/>
      <c r="AZ1324" s="71"/>
      <c r="BA1324" s="71"/>
      <c r="BB1324" s="71"/>
      <c r="BC1324" s="71"/>
      <c r="BD1324" s="71"/>
      <c r="BE1324" s="71"/>
      <c r="BF1324" s="71"/>
      <c r="BG1324" s="71"/>
      <c r="BH1324" s="71"/>
      <c r="BI1324" s="71"/>
      <c r="BJ1324" s="71"/>
      <c r="BK1324" s="71"/>
      <c r="BL1324" s="71"/>
      <c r="BM1324" s="71"/>
      <c r="BN1324" s="71"/>
      <c r="BO1324" s="71"/>
      <c r="BP1324" s="71"/>
      <c r="BQ1324" s="71"/>
      <c r="BR1324" s="71"/>
      <c r="BS1324" s="71"/>
      <c r="BT1324" s="71"/>
      <c r="BU1324" s="71"/>
      <c r="BV1324" s="71"/>
    </row>
    <row r="1325">
      <c r="A1325" s="53">
        <v>1.0</v>
      </c>
      <c r="B1325" s="53"/>
      <c r="C1325" s="73" t="s">
        <v>12</v>
      </c>
      <c r="D1325" s="53" t="s">
        <v>3248</v>
      </c>
      <c r="E1325" s="54" t="s">
        <v>38</v>
      </c>
      <c r="F1325" s="54" t="s">
        <v>42</v>
      </c>
      <c r="G1325" s="155" t="s">
        <v>3249</v>
      </c>
      <c r="H1325" s="157" t="s">
        <v>3250</v>
      </c>
      <c r="I1325" s="54">
        <f t="shared" si="24"/>
        <v>35</v>
      </c>
      <c r="J1325" s="56"/>
      <c r="K1325" s="57"/>
      <c r="L1325" s="87"/>
      <c r="M1325" s="59"/>
      <c r="N1325" s="79">
        <v>754.0</v>
      </c>
      <c r="O1325" s="61">
        <v>1332.0</v>
      </c>
      <c r="P1325" s="62">
        <v>1438.5600000000002</v>
      </c>
      <c r="Q1325" s="63">
        <v>1438.5600000000002</v>
      </c>
      <c r="R1325" s="64">
        <v>1602.0</v>
      </c>
      <c r="S1325" s="111">
        <v>1682.0</v>
      </c>
      <c r="T1325" s="65">
        <f t="shared" si="39"/>
        <v>269.12</v>
      </c>
      <c r="U1325" s="65">
        <f t="shared" si="40"/>
        <v>1951.12</v>
      </c>
      <c r="V1325" s="66">
        <f t="shared" si="42"/>
        <v>0.04993757803</v>
      </c>
      <c r="W1325" s="67">
        <f t="shared" si="5"/>
        <v>1597.9</v>
      </c>
      <c r="X1325" s="67">
        <f t="shared" si="43"/>
        <v>255.664</v>
      </c>
      <c r="Y1325" s="67">
        <f t="shared" si="44"/>
        <v>1853.564</v>
      </c>
      <c r="Z1325" s="67">
        <f t="shared" si="8"/>
        <v>1513.8</v>
      </c>
      <c r="AA1325" s="67">
        <f t="shared" si="45"/>
        <v>242.208</v>
      </c>
      <c r="AB1325" s="67">
        <f t="shared" si="46"/>
        <v>1756.008</v>
      </c>
      <c r="AC1325" s="67">
        <f t="shared" si="11"/>
        <v>1429.7</v>
      </c>
      <c r="AD1325" s="67">
        <f t="shared" si="12"/>
        <v>228.752</v>
      </c>
      <c r="AE1325" s="67">
        <f t="shared" si="13"/>
        <v>1658.452</v>
      </c>
      <c r="AF1325" s="67">
        <f t="shared" si="33"/>
        <v>1396.06</v>
      </c>
      <c r="AG1325" s="67">
        <f t="shared" si="15"/>
        <v>223.3696</v>
      </c>
      <c r="AH1325" s="67">
        <f t="shared" si="16"/>
        <v>1619.4296</v>
      </c>
      <c r="AI1325" s="67">
        <f t="shared" si="17"/>
        <v>1345.6</v>
      </c>
      <c r="AJ1325" s="68">
        <f t="shared" si="47"/>
        <v>215.296</v>
      </c>
      <c r="AK1325" s="68">
        <f t="shared" si="48"/>
        <v>1560.896</v>
      </c>
      <c r="AL1325" s="70"/>
      <c r="AM1325" s="70"/>
      <c r="AN1325" s="71"/>
      <c r="AO1325" s="71"/>
      <c r="AP1325" s="71"/>
      <c r="AQ1325" s="71"/>
      <c r="AR1325" s="71"/>
      <c r="AS1325" s="71"/>
      <c r="AT1325" s="71"/>
      <c r="AU1325" s="71"/>
      <c r="AV1325" s="71"/>
      <c r="AW1325" s="71"/>
      <c r="AX1325" s="71"/>
      <c r="AY1325" s="71"/>
      <c r="AZ1325" s="71"/>
      <c r="BA1325" s="71"/>
      <c r="BB1325" s="71"/>
      <c r="BC1325" s="71"/>
      <c r="BD1325" s="71"/>
      <c r="BE1325" s="71"/>
      <c r="BF1325" s="71"/>
      <c r="BG1325" s="71"/>
      <c r="BH1325" s="71"/>
      <c r="BI1325" s="71"/>
      <c r="BJ1325" s="71"/>
      <c r="BK1325" s="71"/>
      <c r="BL1325" s="71"/>
      <c r="BM1325" s="71"/>
      <c r="BN1325" s="71"/>
      <c r="BO1325" s="71"/>
      <c r="BP1325" s="71"/>
      <c r="BQ1325" s="71"/>
      <c r="BR1325" s="71"/>
      <c r="BS1325" s="71"/>
      <c r="BT1325" s="71"/>
      <c r="BU1325" s="71"/>
      <c r="BV1325" s="71"/>
    </row>
    <row r="1326">
      <c r="A1326" s="53">
        <v>1.0</v>
      </c>
      <c r="B1326" s="53"/>
      <c r="C1326" s="73" t="s">
        <v>12</v>
      </c>
      <c r="D1326" s="53" t="s">
        <v>3251</v>
      </c>
      <c r="E1326" s="54" t="s">
        <v>38</v>
      </c>
      <c r="F1326" s="54" t="s">
        <v>42</v>
      </c>
      <c r="G1326" s="155" t="s">
        <v>3252</v>
      </c>
      <c r="H1326" s="157" t="s">
        <v>3253</v>
      </c>
      <c r="I1326" s="54">
        <f t="shared" si="24"/>
        <v>33</v>
      </c>
      <c r="J1326" s="56"/>
      <c r="K1326" s="57"/>
      <c r="L1326" s="76"/>
      <c r="M1326" s="59"/>
      <c r="N1326" s="79">
        <v>780.0</v>
      </c>
      <c r="O1326" s="61">
        <v>738.0</v>
      </c>
      <c r="P1326" s="62">
        <v>797.0400000000001</v>
      </c>
      <c r="Q1326" s="63">
        <v>797.0400000000001</v>
      </c>
      <c r="R1326" s="64">
        <v>837.0</v>
      </c>
      <c r="S1326" s="111">
        <v>879.0</v>
      </c>
      <c r="T1326" s="65">
        <f t="shared" si="39"/>
        <v>140.64</v>
      </c>
      <c r="U1326" s="65">
        <f t="shared" si="40"/>
        <v>1019.64</v>
      </c>
      <c r="V1326" s="66">
        <f t="shared" si="42"/>
        <v>0.05017921147</v>
      </c>
      <c r="W1326" s="67">
        <f t="shared" si="5"/>
        <v>835.05</v>
      </c>
      <c r="X1326" s="67">
        <f t="shared" si="43"/>
        <v>133.608</v>
      </c>
      <c r="Y1326" s="67">
        <f t="shared" si="44"/>
        <v>968.658</v>
      </c>
      <c r="Z1326" s="67">
        <f t="shared" si="8"/>
        <v>791.1</v>
      </c>
      <c r="AA1326" s="67">
        <f t="shared" si="45"/>
        <v>126.576</v>
      </c>
      <c r="AB1326" s="67">
        <f t="shared" si="46"/>
        <v>917.676</v>
      </c>
      <c r="AC1326" s="67">
        <f t="shared" si="11"/>
        <v>747.15</v>
      </c>
      <c r="AD1326" s="67">
        <f t="shared" si="12"/>
        <v>119.544</v>
      </c>
      <c r="AE1326" s="67">
        <f t="shared" si="13"/>
        <v>866.694</v>
      </c>
      <c r="AF1326" s="67">
        <f t="shared" si="33"/>
        <v>729.57</v>
      </c>
      <c r="AG1326" s="67">
        <f t="shared" si="15"/>
        <v>116.7312</v>
      </c>
      <c r="AH1326" s="67">
        <f t="shared" si="16"/>
        <v>846.3012</v>
      </c>
      <c r="AI1326" s="67">
        <f t="shared" si="17"/>
        <v>703.2</v>
      </c>
      <c r="AJ1326" s="68">
        <f t="shared" si="47"/>
        <v>112.512</v>
      </c>
      <c r="AK1326" s="68">
        <f t="shared" si="48"/>
        <v>815.712</v>
      </c>
      <c r="AL1326" s="70"/>
      <c r="AM1326" s="70"/>
      <c r="AN1326" s="71"/>
      <c r="AO1326" s="71"/>
      <c r="AP1326" s="71"/>
      <c r="AQ1326" s="71"/>
      <c r="AR1326" s="71"/>
      <c r="AS1326" s="71"/>
      <c r="AT1326" s="71"/>
      <c r="AU1326" s="71"/>
      <c r="AV1326" s="71"/>
      <c r="AW1326" s="71"/>
      <c r="AX1326" s="71"/>
      <c r="AY1326" s="71"/>
      <c r="AZ1326" s="71"/>
      <c r="BA1326" s="71"/>
      <c r="BB1326" s="71"/>
      <c r="BC1326" s="71"/>
      <c r="BD1326" s="71"/>
      <c r="BE1326" s="71"/>
      <c r="BF1326" s="71"/>
      <c r="BG1326" s="71"/>
      <c r="BH1326" s="71"/>
      <c r="BI1326" s="71"/>
      <c r="BJ1326" s="71"/>
      <c r="BK1326" s="71"/>
      <c r="BL1326" s="71"/>
      <c r="BM1326" s="71"/>
      <c r="BN1326" s="71"/>
      <c r="BO1326" s="71"/>
      <c r="BP1326" s="71"/>
      <c r="BQ1326" s="71"/>
      <c r="BR1326" s="71"/>
      <c r="BS1326" s="71"/>
      <c r="BT1326" s="71"/>
      <c r="BU1326" s="71"/>
      <c r="BV1326" s="71"/>
    </row>
    <row r="1327">
      <c r="A1327" s="53">
        <v>1.0</v>
      </c>
      <c r="B1327" s="53"/>
      <c r="C1327" s="73" t="s">
        <v>12</v>
      </c>
      <c r="D1327" s="53" t="s">
        <v>3254</v>
      </c>
      <c r="E1327" s="54" t="s">
        <v>38</v>
      </c>
      <c r="F1327" s="54" t="s">
        <v>42</v>
      </c>
      <c r="G1327" s="155" t="s">
        <v>3255</v>
      </c>
      <c r="H1327" s="157" t="s">
        <v>3256</v>
      </c>
      <c r="I1327" s="54">
        <f t="shared" si="24"/>
        <v>33</v>
      </c>
      <c r="J1327" s="56"/>
      <c r="K1327" s="57"/>
      <c r="L1327" s="76"/>
      <c r="M1327" s="59"/>
      <c r="N1327" s="79">
        <v>780.0</v>
      </c>
      <c r="O1327" s="61">
        <v>738.0</v>
      </c>
      <c r="P1327" s="62">
        <v>797.0400000000001</v>
      </c>
      <c r="Q1327" s="63">
        <v>797.0400000000001</v>
      </c>
      <c r="R1327" s="64">
        <v>837.0</v>
      </c>
      <c r="S1327" s="111">
        <v>879.0</v>
      </c>
      <c r="T1327" s="65">
        <f t="shared" si="39"/>
        <v>140.64</v>
      </c>
      <c r="U1327" s="65">
        <f t="shared" si="40"/>
        <v>1019.64</v>
      </c>
      <c r="V1327" s="66">
        <f t="shared" si="42"/>
        <v>0.05017921147</v>
      </c>
      <c r="W1327" s="67">
        <f t="shared" si="5"/>
        <v>835.05</v>
      </c>
      <c r="X1327" s="67">
        <f t="shared" si="43"/>
        <v>133.608</v>
      </c>
      <c r="Y1327" s="67">
        <f t="shared" si="44"/>
        <v>968.658</v>
      </c>
      <c r="Z1327" s="67">
        <f t="shared" si="8"/>
        <v>791.1</v>
      </c>
      <c r="AA1327" s="67">
        <f t="shared" si="45"/>
        <v>126.576</v>
      </c>
      <c r="AB1327" s="67">
        <f t="shared" si="46"/>
        <v>917.676</v>
      </c>
      <c r="AC1327" s="67">
        <f t="shared" si="11"/>
        <v>747.15</v>
      </c>
      <c r="AD1327" s="67">
        <f t="shared" si="12"/>
        <v>119.544</v>
      </c>
      <c r="AE1327" s="67">
        <f t="shared" si="13"/>
        <v>866.694</v>
      </c>
      <c r="AF1327" s="67">
        <f t="shared" si="33"/>
        <v>729.57</v>
      </c>
      <c r="AG1327" s="67">
        <f t="shared" si="15"/>
        <v>116.7312</v>
      </c>
      <c r="AH1327" s="67">
        <f t="shared" si="16"/>
        <v>846.3012</v>
      </c>
      <c r="AI1327" s="67">
        <f t="shared" si="17"/>
        <v>703.2</v>
      </c>
      <c r="AJ1327" s="68">
        <f t="shared" si="47"/>
        <v>112.512</v>
      </c>
      <c r="AK1327" s="68">
        <f t="shared" si="48"/>
        <v>815.712</v>
      </c>
      <c r="AL1327" s="70"/>
      <c r="AM1327" s="70"/>
      <c r="AN1327" s="71"/>
      <c r="AO1327" s="71"/>
      <c r="AP1327" s="71"/>
      <c r="AQ1327" s="71"/>
      <c r="AR1327" s="71"/>
      <c r="AS1327" s="71"/>
      <c r="AT1327" s="71"/>
      <c r="AU1327" s="71"/>
      <c r="AV1327" s="71"/>
      <c r="AW1327" s="71"/>
      <c r="AX1327" s="71"/>
      <c r="AY1327" s="71"/>
      <c r="AZ1327" s="71"/>
      <c r="BA1327" s="71"/>
      <c r="BB1327" s="71"/>
      <c r="BC1327" s="71"/>
      <c r="BD1327" s="71"/>
      <c r="BE1327" s="71"/>
      <c r="BF1327" s="71"/>
      <c r="BG1327" s="71"/>
      <c r="BH1327" s="71"/>
      <c r="BI1327" s="71"/>
      <c r="BJ1327" s="71"/>
      <c r="BK1327" s="71"/>
      <c r="BL1327" s="71"/>
      <c r="BM1327" s="71"/>
      <c r="BN1327" s="71"/>
      <c r="BO1327" s="71"/>
      <c r="BP1327" s="71"/>
      <c r="BQ1327" s="71"/>
      <c r="BR1327" s="71"/>
      <c r="BS1327" s="71"/>
      <c r="BT1327" s="71"/>
      <c r="BU1327" s="71"/>
      <c r="BV1327" s="71"/>
    </row>
    <row r="1328">
      <c r="A1328" s="53">
        <v>1.0</v>
      </c>
      <c r="B1328" s="53"/>
      <c r="C1328" s="73" t="s">
        <v>12</v>
      </c>
      <c r="D1328" s="53" t="s">
        <v>3257</v>
      </c>
      <c r="E1328" s="54" t="s">
        <v>38</v>
      </c>
      <c r="F1328" s="54" t="s">
        <v>42</v>
      </c>
      <c r="G1328" s="155" t="s">
        <v>3258</v>
      </c>
      <c r="H1328" s="157" t="s">
        <v>3259</v>
      </c>
      <c r="I1328" s="54">
        <f t="shared" si="24"/>
        <v>33</v>
      </c>
      <c r="J1328" s="56"/>
      <c r="K1328" s="57"/>
      <c r="L1328" s="87"/>
      <c r="M1328" s="59"/>
      <c r="N1328" s="79">
        <v>780.0</v>
      </c>
      <c r="O1328" s="61">
        <v>738.0</v>
      </c>
      <c r="P1328" s="62">
        <v>797.0400000000001</v>
      </c>
      <c r="Q1328" s="63">
        <v>797.0400000000001</v>
      </c>
      <c r="R1328" s="64">
        <v>888.0</v>
      </c>
      <c r="S1328" s="111">
        <v>932.0</v>
      </c>
      <c r="T1328" s="65">
        <f t="shared" si="39"/>
        <v>149.12</v>
      </c>
      <c r="U1328" s="65">
        <f t="shared" si="40"/>
        <v>1081.12</v>
      </c>
      <c r="V1328" s="66">
        <f t="shared" si="42"/>
        <v>0.04954954955</v>
      </c>
      <c r="W1328" s="67">
        <f t="shared" si="5"/>
        <v>885.4</v>
      </c>
      <c r="X1328" s="67">
        <f t="shared" si="43"/>
        <v>141.664</v>
      </c>
      <c r="Y1328" s="67">
        <f t="shared" si="44"/>
        <v>1027.064</v>
      </c>
      <c r="Z1328" s="67">
        <f t="shared" si="8"/>
        <v>838.8</v>
      </c>
      <c r="AA1328" s="67">
        <f t="shared" si="45"/>
        <v>134.208</v>
      </c>
      <c r="AB1328" s="67">
        <f t="shared" si="46"/>
        <v>973.008</v>
      </c>
      <c r="AC1328" s="67">
        <f t="shared" si="11"/>
        <v>792.2</v>
      </c>
      <c r="AD1328" s="67">
        <f t="shared" si="12"/>
        <v>126.752</v>
      </c>
      <c r="AE1328" s="67">
        <f t="shared" si="13"/>
        <v>918.952</v>
      </c>
      <c r="AF1328" s="67">
        <f t="shared" si="33"/>
        <v>773.56</v>
      </c>
      <c r="AG1328" s="67">
        <f t="shared" si="15"/>
        <v>123.7696</v>
      </c>
      <c r="AH1328" s="67">
        <f t="shared" si="16"/>
        <v>897.3296</v>
      </c>
      <c r="AI1328" s="67">
        <f t="shared" si="17"/>
        <v>745.6</v>
      </c>
      <c r="AJ1328" s="68">
        <f t="shared" si="47"/>
        <v>119.296</v>
      </c>
      <c r="AK1328" s="68">
        <f t="shared" si="48"/>
        <v>864.896</v>
      </c>
      <c r="AL1328" s="70"/>
      <c r="AM1328" s="70"/>
      <c r="AN1328" s="71"/>
      <c r="AO1328" s="71"/>
      <c r="AP1328" s="71"/>
      <c r="AQ1328" s="71"/>
      <c r="AR1328" s="71"/>
      <c r="AS1328" s="71"/>
      <c r="AT1328" s="71"/>
      <c r="AU1328" s="71"/>
      <c r="AV1328" s="71"/>
      <c r="AW1328" s="71"/>
      <c r="AX1328" s="71"/>
      <c r="AY1328" s="71"/>
      <c r="AZ1328" s="71"/>
      <c r="BA1328" s="71"/>
      <c r="BB1328" s="71"/>
      <c r="BC1328" s="71"/>
      <c r="BD1328" s="71"/>
      <c r="BE1328" s="71"/>
      <c r="BF1328" s="71"/>
      <c r="BG1328" s="71"/>
      <c r="BH1328" s="71"/>
      <c r="BI1328" s="71"/>
      <c r="BJ1328" s="71"/>
      <c r="BK1328" s="71"/>
      <c r="BL1328" s="71"/>
      <c r="BM1328" s="71"/>
      <c r="BN1328" s="71"/>
      <c r="BO1328" s="71"/>
      <c r="BP1328" s="71"/>
      <c r="BQ1328" s="71"/>
      <c r="BR1328" s="71"/>
      <c r="BS1328" s="71"/>
      <c r="BT1328" s="71"/>
      <c r="BU1328" s="71"/>
      <c r="BV1328" s="71"/>
    </row>
    <row r="1329">
      <c r="A1329" s="53"/>
      <c r="B1329" s="53"/>
      <c r="C1329" s="73" t="s">
        <v>12</v>
      </c>
      <c r="D1329" s="53" t="s">
        <v>3260</v>
      </c>
      <c r="E1329" s="54" t="s">
        <v>38</v>
      </c>
      <c r="F1329" s="54" t="s">
        <v>42</v>
      </c>
      <c r="G1329" s="155" t="s">
        <v>3261</v>
      </c>
      <c r="H1329" s="157" t="s">
        <v>3262</v>
      </c>
      <c r="I1329" s="54">
        <f t="shared" si="24"/>
        <v>37</v>
      </c>
      <c r="J1329" s="56"/>
      <c r="K1329" s="57"/>
      <c r="L1329" s="76"/>
      <c r="M1329" s="59"/>
      <c r="N1329" s="79">
        <v>900.0</v>
      </c>
      <c r="O1329" s="61">
        <v>972.0</v>
      </c>
      <c r="P1329" s="62">
        <v>1049.76</v>
      </c>
      <c r="Q1329" s="63">
        <v>1049.76</v>
      </c>
      <c r="R1329" s="64">
        <v>1103.0</v>
      </c>
      <c r="S1329" s="111">
        <v>1158.0</v>
      </c>
      <c r="T1329" s="65">
        <f t="shared" si="39"/>
        <v>185.28</v>
      </c>
      <c r="U1329" s="65">
        <f t="shared" si="40"/>
        <v>1343.28</v>
      </c>
      <c r="V1329" s="66">
        <f t="shared" si="42"/>
        <v>0.04986400725</v>
      </c>
      <c r="W1329" s="67">
        <f t="shared" si="5"/>
        <v>1100.1</v>
      </c>
      <c r="X1329" s="67">
        <f t="shared" si="43"/>
        <v>176.016</v>
      </c>
      <c r="Y1329" s="67">
        <f t="shared" si="44"/>
        <v>1276.116</v>
      </c>
      <c r="Z1329" s="67">
        <f t="shared" si="8"/>
        <v>1042.2</v>
      </c>
      <c r="AA1329" s="67">
        <f t="shared" si="45"/>
        <v>166.752</v>
      </c>
      <c r="AB1329" s="67">
        <f t="shared" si="46"/>
        <v>1208.952</v>
      </c>
      <c r="AC1329" s="67">
        <f t="shared" si="11"/>
        <v>984.3</v>
      </c>
      <c r="AD1329" s="67">
        <f t="shared" si="12"/>
        <v>157.488</v>
      </c>
      <c r="AE1329" s="67">
        <f t="shared" si="13"/>
        <v>1141.788</v>
      </c>
      <c r="AF1329" s="67">
        <f t="shared" si="33"/>
        <v>961.14</v>
      </c>
      <c r="AG1329" s="67">
        <f t="shared" si="15"/>
        <v>153.7824</v>
      </c>
      <c r="AH1329" s="67">
        <f t="shared" si="16"/>
        <v>1114.9224</v>
      </c>
      <c r="AI1329" s="67">
        <f t="shared" si="17"/>
        <v>926.4</v>
      </c>
      <c r="AJ1329" s="68">
        <f t="shared" si="47"/>
        <v>148.224</v>
      </c>
      <c r="AK1329" s="68">
        <f t="shared" si="48"/>
        <v>1074.624</v>
      </c>
      <c r="AL1329" s="70"/>
      <c r="AM1329" s="70"/>
      <c r="AN1329" s="71"/>
      <c r="AO1329" s="71"/>
      <c r="AP1329" s="71"/>
      <c r="AQ1329" s="71"/>
      <c r="AR1329" s="71"/>
      <c r="AS1329" s="71"/>
      <c r="AT1329" s="71"/>
      <c r="AU1329" s="71"/>
      <c r="AV1329" s="71"/>
      <c r="AW1329" s="71"/>
      <c r="AX1329" s="71"/>
      <c r="AY1329" s="71"/>
      <c r="AZ1329" s="71"/>
      <c r="BA1329" s="71"/>
      <c r="BB1329" s="71"/>
      <c r="BC1329" s="71"/>
      <c r="BD1329" s="71"/>
      <c r="BE1329" s="71"/>
      <c r="BF1329" s="71"/>
      <c r="BG1329" s="71"/>
      <c r="BH1329" s="71"/>
      <c r="BI1329" s="71"/>
      <c r="BJ1329" s="71"/>
      <c r="BK1329" s="71"/>
      <c r="BL1329" s="71"/>
      <c r="BM1329" s="71"/>
      <c r="BN1329" s="71"/>
      <c r="BO1329" s="71"/>
      <c r="BP1329" s="71"/>
      <c r="BQ1329" s="71"/>
      <c r="BR1329" s="71"/>
      <c r="BS1329" s="71"/>
      <c r="BT1329" s="71"/>
      <c r="BU1329" s="71"/>
      <c r="BV1329" s="71"/>
    </row>
    <row r="1330">
      <c r="A1330" s="53">
        <v>1.0</v>
      </c>
      <c r="B1330" s="53"/>
      <c r="C1330" s="73" t="s">
        <v>12</v>
      </c>
      <c r="D1330" s="53" t="s">
        <v>3263</v>
      </c>
      <c r="E1330" s="54" t="s">
        <v>38</v>
      </c>
      <c r="F1330" s="54" t="s">
        <v>42</v>
      </c>
      <c r="G1330" s="155" t="s">
        <v>3264</v>
      </c>
      <c r="H1330" s="157" t="s">
        <v>3265</v>
      </c>
      <c r="I1330" s="54">
        <f t="shared" si="24"/>
        <v>23</v>
      </c>
      <c r="J1330" s="56"/>
      <c r="K1330" s="57"/>
      <c r="L1330" s="87"/>
      <c r="M1330" s="59"/>
      <c r="N1330" s="79">
        <v>888.0</v>
      </c>
      <c r="O1330" s="61">
        <v>959.0</v>
      </c>
      <c r="P1330" s="62">
        <v>1035.72</v>
      </c>
      <c r="Q1330" s="63">
        <v>1035.72</v>
      </c>
      <c r="R1330" s="64">
        <v>1153.0</v>
      </c>
      <c r="S1330" s="111">
        <v>1211.0</v>
      </c>
      <c r="T1330" s="65">
        <f t="shared" si="39"/>
        <v>193.76</v>
      </c>
      <c r="U1330" s="65">
        <f t="shared" si="40"/>
        <v>1404.76</v>
      </c>
      <c r="V1330" s="66">
        <f t="shared" si="42"/>
        <v>0.05030355594</v>
      </c>
      <c r="W1330" s="67">
        <f t="shared" si="5"/>
        <v>1150.45</v>
      </c>
      <c r="X1330" s="67">
        <f t="shared" si="43"/>
        <v>184.072</v>
      </c>
      <c r="Y1330" s="67">
        <f t="shared" si="44"/>
        <v>1334.522</v>
      </c>
      <c r="Z1330" s="67">
        <f t="shared" si="8"/>
        <v>1089.9</v>
      </c>
      <c r="AA1330" s="67">
        <f t="shared" si="45"/>
        <v>174.384</v>
      </c>
      <c r="AB1330" s="67">
        <f t="shared" si="46"/>
        <v>1264.284</v>
      </c>
      <c r="AC1330" s="67">
        <f t="shared" si="11"/>
        <v>1029.35</v>
      </c>
      <c r="AD1330" s="67">
        <f t="shared" si="12"/>
        <v>164.696</v>
      </c>
      <c r="AE1330" s="67">
        <f t="shared" si="13"/>
        <v>1194.046</v>
      </c>
      <c r="AF1330" s="67">
        <f t="shared" si="33"/>
        <v>1005.13</v>
      </c>
      <c r="AG1330" s="67">
        <f t="shared" si="15"/>
        <v>160.8208</v>
      </c>
      <c r="AH1330" s="67">
        <f t="shared" si="16"/>
        <v>1165.9508</v>
      </c>
      <c r="AI1330" s="67">
        <f t="shared" si="17"/>
        <v>968.8</v>
      </c>
      <c r="AJ1330" s="68">
        <f t="shared" si="47"/>
        <v>155.008</v>
      </c>
      <c r="AK1330" s="68">
        <f t="shared" si="48"/>
        <v>1123.808</v>
      </c>
      <c r="AL1330" s="70"/>
      <c r="AM1330" s="70"/>
      <c r="AN1330" s="71"/>
      <c r="AO1330" s="71"/>
      <c r="AP1330" s="71"/>
      <c r="AQ1330" s="71"/>
      <c r="AR1330" s="71"/>
      <c r="AS1330" s="71"/>
      <c r="AT1330" s="71"/>
      <c r="AU1330" s="71"/>
      <c r="AV1330" s="71"/>
      <c r="AW1330" s="71"/>
      <c r="AX1330" s="71"/>
      <c r="AY1330" s="71"/>
      <c r="AZ1330" s="71"/>
      <c r="BA1330" s="71"/>
      <c r="BB1330" s="71"/>
      <c r="BC1330" s="71"/>
      <c r="BD1330" s="71"/>
      <c r="BE1330" s="71"/>
      <c r="BF1330" s="71"/>
      <c r="BG1330" s="71"/>
      <c r="BH1330" s="71"/>
      <c r="BI1330" s="71"/>
      <c r="BJ1330" s="71"/>
      <c r="BK1330" s="71"/>
      <c r="BL1330" s="71"/>
      <c r="BM1330" s="71"/>
      <c r="BN1330" s="71"/>
      <c r="BO1330" s="71"/>
      <c r="BP1330" s="71"/>
      <c r="BQ1330" s="71"/>
      <c r="BR1330" s="71"/>
      <c r="BS1330" s="71"/>
      <c r="BT1330" s="71"/>
      <c r="BU1330" s="71"/>
      <c r="BV1330" s="71"/>
    </row>
    <row r="1331">
      <c r="A1331" s="53">
        <v>1.0</v>
      </c>
      <c r="B1331" s="53"/>
      <c r="C1331" s="73" t="s">
        <v>12</v>
      </c>
      <c r="D1331" s="53" t="s">
        <v>3266</v>
      </c>
      <c r="E1331" s="54" t="s">
        <v>38</v>
      </c>
      <c r="F1331" s="54" t="s">
        <v>42</v>
      </c>
      <c r="G1331" s="155" t="s">
        <v>3267</v>
      </c>
      <c r="H1331" s="157" t="s">
        <v>3268</v>
      </c>
      <c r="I1331" s="54">
        <f t="shared" si="24"/>
        <v>29</v>
      </c>
      <c r="J1331" s="56"/>
      <c r="K1331" s="57"/>
      <c r="L1331" s="76"/>
      <c r="M1331" s="59"/>
      <c r="N1331" s="79">
        <v>819.0</v>
      </c>
      <c r="O1331" s="61">
        <v>884.0</v>
      </c>
      <c r="P1331" s="62">
        <v>954.72</v>
      </c>
      <c r="Q1331" s="63">
        <v>954.72</v>
      </c>
      <c r="R1331" s="64">
        <v>1003.0</v>
      </c>
      <c r="S1331" s="111">
        <v>1053.0</v>
      </c>
      <c r="T1331" s="65">
        <f t="shared" si="39"/>
        <v>168.48</v>
      </c>
      <c r="U1331" s="65">
        <f t="shared" si="40"/>
        <v>1221.48</v>
      </c>
      <c r="V1331" s="66">
        <f t="shared" si="42"/>
        <v>0.04985044865</v>
      </c>
      <c r="W1331" s="67">
        <f t="shared" si="5"/>
        <v>1000.35</v>
      </c>
      <c r="X1331" s="67">
        <f t="shared" si="43"/>
        <v>160.056</v>
      </c>
      <c r="Y1331" s="67">
        <f t="shared" si="44"/>
        <v>1160.406</v>
      </c>
      <c r="Z1331" s="67">
        <f t="shared" si="8"/>
        <v>947.7</v>
      </c>
      <c r="AA1331" s="67">
        <f t="shared" si="45"/>
        <v>151.632</v>
      </c>
      <c r="AB1331" s="67">
        <f t="shared" si="46"/>
        <v>1099.332</v>
      </c>
      <c r="AC1331" s="67">
        <f t="shared" si="11"/>
        <v>895.05</v>
      </c>
      <c r="AD1331" s="67">
        <f t="shared" si="12"/>
        <v>143.208</v>
      </c>
      <c r="AE1331" s="67">
        <f t="shared" si="13"/>
        <v>1038.258</v>
      </c>
      <c r="AF1331" s="67">
        <f t="shared" si="33"/>
        <v>873.99</v>
      </c>
      <c r="AG1331" s="67">
        <f t="shared" si="15"/>
        <v>139.8384</v>
      </c>
      <c r="AH1331" s="67">
        <f t="shared" si="16"/>
        <v>1013.8284</v>
      </c>
      <c r="AI1331" s="67">
        <f t="shared" si="17"/>
        <v>842.4</v>
      </c>
      <c r="AJ1331" s="68">
        <f t="shared" si="47"/>
        <v>134.784</v>
      </c>
      <c r="AK1331" s="68">
        <f t="shared" si="48"/>
        <v>977.184</v>
      </c>
      <c r="AL1331" s="70"/>
      <c r="AM1331" s="70"/>
      <c r="AN1331" s="71"/>
      <c r="AO1331" s="71"/>
      <c r="AP1331" s="71"/>
      <c r="AQ1331" s="71"/>
      <c r="AR1331" s="71"/>
      <c r="AS1331" s="71"/>
      <c r="AT1331" s="71"/>
      <c r="AU1331" s="71"/>
      <c r="AV1331" s="71"/>
      <c r="AW1331" s="71"/>
      <c r="AX1331" s="71"/>
      <c r="AY1331" s="71"/>
      <c r="AZ1331" s="71"/>
      <c r="BA1331" s="71"/>
      <c r="BB1331" s="71"/>
      <c r="BC1331" s="71"/>
      <c r="BD1331" s="71"/>
      <c r="BE1331" s="71"/>
      <c r="BF1331" s="71"/>
      <c r="BG1331" s="71"/>
      <c r="BH1331" s="71"/>
      <c r="BI1331" s="71"/>
      <c r="BJ1331" s="71"/>
      <c r="BK1331" s="71"/>
      <c r="BL1331" s="71"/>
      <c r="BM1331" s="71"/>
      <c r="BN1331" s="71"/>
      <c r="BO1331" s="71"/>
      <c r="BP1331" s="71"/>
      <c r="BQ1331" s="71"/>
      <c r="BR1331" s="71"/>
      <c r="BS1331" s="71"/>
      <c r="BT1331" s="71"/>
      <c r="BU1331" s="71"/>
      <c r="BV1331" s="71"/>
    </row>
    <row r="1332">
      <c r="A1332" s="53">
        <v>1.0</v>
      </c>
      <c r="B1332" s="72"/>
      <c r="C1332" s="73" t="s">
        <v>12</v>
      </c>
      <c r="D1332" s="74" t="s">
        <v>3269</v>
      </c>
      <c r="E1332" s="54" t="s">
        <v>77</v>
      </c>
      <c r="F1332" s="54" t="s">
        <v>42</v>
      </c>
      <c r="G1332" s="157" t="s">
        <v>3270</v>
      </c>
      <c r="H1332" s="157" t="s">
        <v>3271</v>
      </c>
      <c r="I1332" s="54">
        <f t="shared" si="24"/>
        <v>32</v>
      </c>
      <c r="J1332" s="56"/>
      <c r="K1332" s="57"/>
      <c r="L1332" s="87"/>
      <c r="M1332" s="59"/>
      <c r="N1332" s="60">
        <v>1077.0</v>
      </c>
      <c r="O1332" s="61">
        <v>1449.0</v>
      </c>
      <c r="P1332" s="62">
        <v>1564.92</v>
      </c>
      <c r="Q1332" s="63">
        <v>1564.92</v>
      </c>
      <c r="R1332" s="64">
        <v>1742.0</v>
      </c>
      <c r="S1332" s="111">
        <v>1829.0</v>
      </c>
      <c r="T1332" s="65">
        <f t="shared" si="39"/>
        <v>292.64</v>
      </c>
      <c r="U1332" s="65">
        <f t="shared" si="40"/>
        <v>2121.64</v>
      </c>
      <c r="V1332" s="66">
        <f t="shared" si="42"/>
        <v>0.04994259472</v>
      </c>
      <c r="W1332" s="67">
        <f t="shared" si="5"/>
        <v>1737.55</v>
      </c>
      <c r="X1332" s="67">
        <f t="shared" si="43"/>
        <v>278.008</v>
      </c>
      <c r="Y1332" s="67">
        <f t="shared" si="44"/>
        <v>2015.558</v>
      </c>
      <c r="Z1332" s="67">
        <f t="shared" si="8"/>
        <v>1646.1</v>
      </c>
      <c r="AA1332" s="67">
        <f t="shared" si="45"/>
        <v>263.376</v>
      </c>
      <c r="AB1332" s="67">
        <f t="shared" si="46"/>
        <v>1909.476</v>
      </c>
      <c r="AC1332" s="67">
        <f t="shared" si="11"/>
        <v>1554.65</v>
      </c>
      <c r="AD1332" s="67">
        <f t="shared" si="12"/>
        <v>248.744</v>
      </c>
      <c r="AE1332" s="67">
        <f t="shared" si="13"/>
        <v>1803.394</v>
      </c>
      <c r="AF1332" s="67">
        <f t="shared" si="33"/>
        <v>1518.07</v>
      </c>
      <c r="AG1332" s="67">
        <f t="shared" si="15"/>
        <v>242.8912</v>
      </c>
      <c r="AH1332" s="67">
        <f t="shared" si="16"/>
        <v>1760.9612</v>
      </c>
      <c r="AI1332" s="67">
        <f t="shared" si="17"/>
        <v>1463.2</v>
      </c>
      <c r="AJ1332" s="68">
        <f t="shared" si="47"/>
        <v>234.112</v>
      </c>
      <c r="AK1332" s="68">
        <f t="shared" si="48"/>
        <v>1697.312</v>
      </c>
      <c r="AL1332" s="70"/>
      <c r="AM1332" s="70"/>
      <c r="AN1332" s="71"/>
      <c r="AO1332" s="71"/>
      <c r="AP1332" s="71"/>
      <c r="AQ1332" s="71"/>
      <c r="AR1332" s="71"/>
      <c r="AS1332" s="71"/>
      <c r="AT1332" s="71"/>
      <c r="AU1332" s="71"/>
      <c r="AV1332" s="71"/>
      <c r="AW1332" s="71"/>
      <c r="AX1332" s="71"/>
      <c r="AY1332" s="71"/>
      <c r="AZ1332" s="71"/>
      <c r="BA1332" s="71"/>
      <c r="BB1332" s="71"/>
      <c r="BC1332" s="71"/>
      <c r="BD1332" s="71"/>
      <c r="BE1332" s="71"/>
      <c r="BF1332" s="71"/>
      <c r="BG1332" s="71"/>
      <c r="BH1332" s="71"/>
      <c r="BI1332" s="71"/>
      <c r="BJ1332" s="71"/>
      <c r="BK1332" s="71"/>
      <c r="BL1332" s="71"/>
      <c r="BM1332" s="71"/>
      <c r="BN1332" s="71"/>
      <c r="BO1332" s="71"/>
      <c r="BP1332" s="71"/>
      <c r="BQ1332" s="71"/>
      <c r="BR1332" s="71"/>
      <c r="BS1332" s="71"/>
      <c r="BT1332" s="71"/>
      <c r="BU1332" s="71"/>
      <c r="BV1332" s="71"/>
    </row>
    <row r="1333">
      <c r="A1333" s="53">
        <v>1.0</v>
      </c>
      <c r="B1333" s="53"/>
      <c r="C1333" s="73" t="s">
        <v>12</v>
      </c>
      <c r="D1333" s="53" t="s">
        <v>3272</v>
      </c>
      <c r="E1333" s="54" t="s">
        <v>38</v>
      </c>
      <c r="F1333" s="54" t="s">
        <v>42</v>
      </c>
      <c r="G1333" s="155" t="s">
        <v>3273</v>
      </c>
      <c r="H1333" s="157" t="s">
        <v>3274</v>
      </c>
      <c r="I1333" s="54">
        <f t="shared" si="24"/>
        <v>35</v>
      </c>
      <c r="J1333" s="56"/>
      <c r="K1333" s="57"/>
      <c r="L1333" s="76"/>
      <c r="M1333" s="59"/>
      <c r="N1333" s="79">
        <v>1077.0</v>
      </c>
      <c r="O1333" s="61">
        <v>1163.0</v>
      </c>
      <c r="P1333" s="62">
        <v>1564.92</v>
      </c>
      <c r="Q1333" s="63">
        <v>1564.92</v>
      </c>
      <c r="R1333" s="64">
        <v>1644.0</v>
      </c>
      <c r="S1333" s="111">
        <v>1726.0</v>
      </c>
      <c r="T1333" s="65">
        <f t="shared" si="39"/>
        <v>276.16</v>
      </c>
      <c r="U1333" s="65">
        <f t="shared" si="40"/>
        <v>2002.16</v>
      </c>
      <c r="V1333" s="66">
        <f t="shared" si="42"/>
        <v>0.0498783455</v>
      </c>
      <c r="W1333" s="67">
        <f t="shared" si="5"/>
        <v>1639.7</v>
      </c>
      <c r="X1333" s="67">
        <f t="shared" si="43"/>
        <v>262.352</v>
      </c>
      <c r="Y1333" s="67">
        <f t="shared" si="44"/>
        <v>1902.052</v>
      </c>
      <c r="Z1333" s="67">
        <f t="shared" si="8"/>
        <v>1553.4</v>
      </c>
      <c r="AA1333" s="67">
        <f t="shared" si="45"/>
        <v>248.544</v>
      </c>
      <c r="AB1333" s="67">
        <f t="shared" si="46"/>
        <v>1801.944</v>
      </c>
      <c r="AC1333" s="67">
        <f t="shared" si="11"/>
        <v>1467.1</v>
      </c>
      <c r="AD1333" s="67">
        <f t="shared" si="12"/>
        <v>234.736</v>
      </c>
      <c r="AE1333" s="67">
        <f t="shared" si="13"/>
        <v>1701.836</v>
      </c>
      <c r="AF1333" s="67">
        <f t="shared" si="33"/>
        <v>1432.58</v>
      </c>
      <c r="AG1333" s="67">
        <f t="shared" si="15"/>
        <v>229.2128</v>
      </c>
      <c r="AH1333" s="67">
        <f t="shared" si="16"/>
        <v>1661.7928</v>
      </c>
      <c r="AI1333" s="67">
        <f t="shared" si="17"/>
        <v>1380.8</v>
      </c>
      <c r="AJ1333" s="68">
        <f t="shared" si="47"/>
        <v>220.928</v>
      </c>
      <c r="AK1333" s="68">
        <f t="shared" si="48"/>
        <v>1601.728</v>
      </c>
      <c r="AL1333" s="70"/>
      <c r="AM1333" s="70"/>
      <c r="AN1333" s="71"/>
      <c r="AO1333" s="71"/>
      <c r="AP1333" s="71"/>
      <c r="AQ1333" s="71"/>
      <c r="AR1333" s="71"/>
      <c r="AS1333" s="71"/>
      <c r="AT1333" s="71"/>
      <c r="AU1333" s="71"/>
      <c r="AV1333" s="71"/>
      <c r="AW1333" s="71"/>
      <c r="AX1333" s="71"/>
      <c r="AY1333" s="71"/>
      <c r="AZ1333" s="71"/>
      <c r="BA1333" s="71"/>
      <c r="BB1333" s="71"/>
      <c r="BC1333" s="71"/>
      <c r="BD1333" s="71"/>
      <c r="BE1333" s="71"/>
      <c r="BF1333" s="71"/>
      <c r="BG1333" s="71"/>
      <c r="BH1333" s="71"/>
      <c r="BI1333" s="71"/>
      <c r="BJ1333" s="71"/>
      <c r="BK1333" s="71"/>
      <c r="BL1333" s="71"/>
      <c r="BM1333" s="71"/>
      <c r="BN1333" s="71"/>
      <c r="BO1333" s="71"/>
      <c r="BP1333" s="71"/>
      <c r="BQ1333" s="71"/>
      <c r="BR1333" s="71"/>
      <c r="BS1333" s="71"/>
      <c r="BT1333" s="71"/>
      <c r="BU1333" s="71"/>
      <c r="BV1333" s="71"/>
    </row>
    <row r="1334">
      <c r="A1334" s="53">
        <v>1.0</v>
      </c>
      <c r="B1334" s="53"/>
      <c r="C1334" s="73" t="s">
        <v>12</v>
      </c>
      <c r="D1334" s="53" t="s">
        <v>3275</v>
      </c>
      <c r="E1334" s="54" t="s">
        <v>38</v>
      </c>
      <c r="F1334" s="54" t="s">
        <v>42</v>
      </c>
      <c r="G1334" s="155" t="s">
        <v>3276</v>
      </c>
      <c r="H1334" s="157" t="s">
        <v>3277</v>
      </c>
      <c r="I1334" s="54">
        <f t="shared" si="24"/>
        <v>29</v>
      </c>
      <c r="J1334" s="56"/>
      <c r="K1334" s="57"/>
      <c r="L1334" s="87"/>
      <c r="M1334" s="59"/>
      <c r="N1334" s="79">
        <v>819.0</v>
      </c>
      <c r="O1334" s="61">
        <v>884.0</v>
      </c>
      <c r="P1334" s="62">
        <v>954.72</v>
      </c>
      <c r="Q1334" s="63">
        <v>954.72</v>
      </c>
      <c r="R1334" s="64">
        <v>1063.0</v>
      </c>
      <c r="S1334" s="111">
        <v>1116.0</v>
      </c>
      <c r="T1334" s="65">
        <f t="shared" si="39"/>
        <v>178.56</v>
      </c>
      <c r="U1334" s="65">
        <f t="shared" si="40"/>
        <v>1294.56</v>
      </c>
      <c r="V1334" s="66">
        <f t="shared" si="42"/>
        <v>0.04985888993</v>
      </c>
      <c r="W1334" s="67">
        <f t="shared" si="5"/>
        <v>1060.2</v>
      </c>
      <c r="X1334" s="67">
        <f t="shared" si="43"/>
        <v>169.632</v>
      </c>
      <c r="Y1334" s="67">
        <f t="shared" si="44"/>
        <v>1229.832</v>
      </c>
      <c r="Z1334" s="67">
        <f t="shared" si="8"/>
        <v>1004.4</v>
      </c>
      <c r="AA1334" s="67">
        <f t="shared" si="45"/>
        <v>160.704</v>
      </c>
      <c r="AB1334" s="67">
        <f t="shared" si="46"/>
        <v>1165.104</v>
      </c>
      <c r="AC1334" s="67">
        <f t="shared" si="11"/>
        <v>948.6</v>
      </c>
      <c r="AD1334" s="67">
        <f t="shared" si="12"/>
        <v>151.776</v>
      </c>
      <c r="AE1334" s="67">
        <f t="shared" si="13"/>
        <v>1100.376</v>
      </c>
      <c r="AF1334" s="67">
        <f t="shared" si="33"/>
        <v>926.28</v>
      </c>
      <c r="AG1334" s="67">
        <f t="shared" si="15"/>
        <v>148.2048</v>
      </c>
      <c r="AH1334" s="67">
        <f t="shared" si="16"/>
        <v>1074.4848</v>
      </c>
      <c r="AI1334" s="67">
        <f t="shared" si="17"/>
        <v>892.8</v>
      </c>
      <c r="AJ1334" s="68">
        <f t="shared" si="47"/>
        <v>142.848</v>
      </c>
      <c r="AK1334" s="68">
        <f t="shared" si="48"/>
        <v>1035.648</v>
      </c>
      <c r="AL1334" s="70"/>
      <c r="AM1334" s="70"/>
      <c r="AN1334" s="71"/>
      <c r="AO1334" s="71"/>
      <c r="AP1334" s="71"/>
      <c r="AQ1334" s="71"/>
      <c r="AR1334" s="71"/>
      <c r="AS1334" s="71"/>
      <c r="AT1334" s="71"/>
      <c r="AU1334" s="71"/>
      <c r="AV1334" s="71"/>
      <c r="AW1334" s="71"/>
      <c r="AX1334" s="71"/>
      <c r="AY1334" s="71"/>
      <c r="AZ1334" s="71"/>
      <c r="BA1334" s="71"/>
      <c r="BB1334" s="71"/>
      <c r="BC1334" s="71"/>
      <c r="BD1334" s="71"/>
      <c r="BE1334" s="71"/>
      <c r="BF1334" s="71"/>
      <c r="BG1334" s="71"/>
      <c r="BH1334" s="71"/>
      <c r="BI1334" s="71"/>
      <c r="BJ1334" s="71"/>
      <c r="BK1334" s="71"/>
      <c r="BL1334" s="71"/>
      <c r="BM1334" s="71"/>
      <c r="BN1334" s="71"/>
      <c r="BO1334" s="71"/>
      <c r="BP1334" s="71"/>
      <c r="BQ1334" s="71"/>
      <c r="BR1334" s="71"/>
      <c r="BS1334" s="71"/>
      <c r="BT1334" s="71"/>
      <c r="BU1334" s="71"/>
      <c r="BV1334" s="71"/>
    </row>
    <row r="1335">
      <c r="A1335" s="53">
        <v>1.0</v>
      </c>
      <c r="B1335" s="53"/>
      <c r="C1335" s="73" t="s">
        <v>12</v>
      </c>
      <c r="D1335" s="53" t="s">
        <v>3278</v>
      </c>
      <c r="E1335" s="54" t="s">
        <v>38</v>
      </c>
      <c r="F1335" s="54" t="s">
        <v>42</v>
      </c>
      <c r="G1335" s="155" t="s">
        <v>3279</v>
      </c>
      <c r="H1335" s="157" t="s">
        <v>3280</v>
      </c>
      <c r="I1335" s="54">
        <f t="shared" si="24"/>
        <v>27</v>
      </c>
      <c r="J1335" s="56"/>
      <c r="K1335" s="57"/>
      <c r="L1335" s="87"/>
      <c r="M1335" s="59"/>
      <c r="N1335" s="79">
        <v>1149.0</v>
      </c>
      <c r="O1335" s="61">
        <v>1240.0</v>
      </c>
      <c r="P1335" s="62">
        <v>1339.2</v>
      </c>
      <c r="Q1335" s="63">
        <v>1339.2</v>
      </c>
      <c r="R1335" s="64">
        <v>1491.0</v>
      </c>
      <c r="S1335" s="111">
        <v>1566.0</v>
      </c>
      <c r="T1335" s="65">
        <f t="shared" si="39"/>
        <v>250.56</v>
      </c>
      <c r="U1335" s="65">
        <f t="shared" si="40"/>
        <v>1816.56</v>
      </c>
      <c r="V1335" s="66">
        <f t="shared" si="42"/>
        <v>0.05030181087</v>
      </c>
      <c r="W1335" s="67">
        <f t="shared" si="5"/>
        <v>1487.7</v>
      </c>
      <c r="X1335" s="67">
        <f t="shared" si="43"/>
        <v>238.032</v>
      </c>
      <c r="Y1335" s="67">
        <f t="shared" si="44"/>
        <v>1725.732</v>
      </c>
      <c r="Z1335" s="67">
        <f t="shared" si="8"/>
        <v>1409.4</v>
      </c>
      <c r="AA1335" s="67">
        <f t="shared" si="45"/>
        <v>225.504</v>
      </c>
      <c r="AB1335" s="67">
        <f t="shared" si="46"/>
        <v>1634.904</v>
      </c>
      <c r="AC1335" s="67">
        <f t="shared" si="11"/>
        <v>1331.1</v>
      </c>
      <c r="AD1335" s="67">
        <f t="shared" si="12"/>
        <v>212.976</v>
      </c>
      <c r="AE1335" s="67">
        <f t="shared" si="13"/>
        <v>1544.076</v>
      </c>
      <c r="AF1335" s="67">
        <f t="shared" si="33"/>
        <v>1299.78</v>
      </c>
      <c r="AG1335" s="67">
        <f t="shared" si="15"/>
        <v>207.9648</v>
      </c>
      <c r="AH1335" s="67">
        <f t="shared" si="16"/>
        <v>1507.7448</v>
      </c>
      <c r="AI1335" s="67">
        <f t="shared" si="17"/>
        <v>1252.8</v>
      </c>
      <c r="AJ1335" s="68">
        <f t="shared" si="47"/>
        <v>200.448</v>
      </c>
      <c r="AK1335" s="68">
        <f t="shared" si="48"/>
        <v>1453.248</v>
      </c>
      <c r="AL1335" s="70"/>
      <c r="AM1335" s="70"/>
      <c r="AN1335" s="71"/>
      <c r="AO1335" s="71"/>
      <c r="AP1335" s="71"/>
      <c r="AQ1335" s="71"/>
      <c r="AR1335" s="71"/>
      <c r="AS1335" s="71"/>
      <c r="AT1335" s="71"/>
      <c r="AU1335" s="71"/>
      <c r="AV1335" s="71"/>
      <c r="AW1335" s="71"/>
      <c r="AX1335" s="71"/>
      <c r="AY1335" s="71"/>
      <c r="AZ1335" s="71"/>
      <c r="BA1335" s="71"/>
      <c r="BB1335" s="71"/>
      <c r="BC1335" s="71"/>
      <c r="BD1335" s="71"/>
      <c r="BE1335" s="71"/>
      <c r="BF1335" s="71"/>
      <c r="BG1335" s="71"/>
      <c r="BH1335" s="71"/>
      <c r="BI1335" s="71"/>
      <c r="BJ1335" s="71"/>
      <c r="BK1335" s="71"/>
      <c r="BL1335" s="71"/>
      <c r="BM1335" s="71"/>
      <c r="BN1335" s="71"/>
      <c r="BO1335" s="71"/>
      <c r="BP1335" s="71"/>
      <c r="BQ1335" s="71"/>
      <c r="BR1335" s="71"/>
      <c r="BS1335" s="71"/>
      <c r="BT1335" s="71"/>
      <c r="BU1335" s="71"/>
      <c r="BV1335" s="71"/>
    </row>
    <row r="1336">
      <c r="A1336" s="53">
        <v>1.0</v>
      </c>
      <c r="B1336" s="53"/>
      <c r="C1336" s="73" t="s">
        <v>12</v>
      </c>
      <c r="D1336" s="53" t="s">
        <v>3281</v>
      </c>
      <c r="E1336" s="54" t="s">
        <v>38</v>
      </c>
      <c r="F1336" s="54" t="s">
        <v>42</v>
      </c>
      <c r="G1336" s="155" t="s">
        <v>3282</v>
      </c>
      <c r="H1336" s="157" t="s">
        <v>3283</v>
      </c>
      <c r="I1336" s="54">
        <f t="shared" si="24"/>
        <v>27</v>
      </c>
      <c r="J1336" s="56"/>
      <c r="K1336" s="57"/>
      <c r="L1336" s="76"/>
      <c r="M1336" s="59"/>
      <c r="N1336" s="79">
        <v>1149.0</v>
      </c>
      <c r="O1336" s="61">
        <v>1240.0</v>
      </c>
      <c r="P1336" s="62">
        <v>1339.2</v>
      </c>
      <c r="Q1336" s="63">
        <v>1339.2</v>
      </c>
      <c r="R1336" s="64">
        <v>1406.0</v>
      </c>
      <c r="S1336" s="111">
        <v>1476.0</v>
      </c>
      <c r="T1336" s="65">
        <f t="shared" si="39"/>
        <v>236.16</v>
      </c>
      <c r="U1336" s="65">
        <f t="shared" si="40"/>
        <v>1712.16</v>
      </c>
      <c r="V1336" s="66">
        <f t="shared" si="42"/>
        <v>0.04978662873</v>
      </c>
      <c r="W1336" s="67">
        <f t="shared" si="5"/>
        <v>1402.2</v>
      </c>
      <c r="X1336" s="67">
        <f t="shared" si="43"/>
        <v>224.352</v>
      </c>
      <c r="Y1336" s="67">
        <f t="shared" si="44"/>
        <v>1626.552</v>
      </c>
      <c r="Z1336" s="67">
        <f t="shared" si="8"/>
        <v>1328.4</v>
      </c>
      <c r="AA1336" s="67">
        <f t="shared" si="45"/>
        <v>212.544</v>
      </c>
      <c r="AB1336" s="67">
        <f t="shared" si="46"/>
        <v>1540.944</v>
      </c>
      <c r="AC1336" s="67">
        <f t="shared" si="11"/>
        <v>1254.6</v>
      </c>
      <c r="AD1336" s="67">
        <f t="shared" si="12"/>
        <v>200.736</v>
      </c>
      <c r="AE1336" s="67">
        <f t="shared" si="13"/>
        <v>1455.336</v>
      </c>
      <c r="AF1336" s="67">
        <f t="shared" si="33"/>
        <v>1225.08</v>
      </c>
      <c r="AG1336" s="67">
        <f t="shared" si="15"/>
        <v>196.0128</v>
      </c>
      <c r="AH1336" s="67">
        <f t="shared" si="16"/>
        <v>1421.0928</v>
      </c>
      <c r="AI1336" s="67">
        <f t="shared" si="17"/>
        <v>1180.8</v>
      </c>
      <c r="AJ1336" s="68">
        <f t="shared" si="47"/>
        <v>188.928</v>
      </c>
      <c r="AK1336" s="68">
        <f t="shared" si="48"/>
        <v>1369.728</v>
      </c>
      <c r="AL1336" s="70"/>
      <c r="AM1336" s="70"/>
      <c r="AN1336" s="71"/>
      <c r="AO1336" s="71"/>
      <c r="AP1336" s="71"/>
      <c r="AQ1336" s="71"/>
      <c r="AR1336" s="71"/>
      <c r="AS1336" s="71"/>
      <c r="AT1336" s="71"/>
      <c r="AU1336" s="71"/>
      <c r="AV1336" s="71"/>
      <c r="AW1336" s="71"/>
      <c r="AX1336" s="71"/>
      <c r="AY1336" s="71"/>
      <c r="AZ1336" s="71"/>
      <c r="BA1336" s="71"/>
      <c r="BB1336" s="71"/>
      <c r="BC1336" s="71"/>
      <c r="BD1336" s="71"/>
      <c r="BE1336" s="71"/>
      <c r="BF1336" s="71"/>
      <c r="BG1336" s="71"/>
      <c r="BH1336" s="71"/>
      <c r="BI1336" s="71"/>
      <c r="BJ1336" s="71"/>
      <c r="BK1336" s="71"/>
      <c r="BL1336" s="71"/>
      <c r="BM1336" s="71"/>
      <c r="BN1336" s="71"/>
      <c r="BO1336" s="71"/>
      <c r="BP1336" s="71"/>
      <c r="BQ1336" s="71"/>
      <c r="BR1336" s="71"/>
      <c r="BS1336" s="71"/>
      <c r="BT1336" s="71"/>
      <c r="BU1336" s="71"/>
      <c r="BV1336" s="71"/>
    </row>
    <row r="1337">
      <c r="A1337" s="53">
        <v>1.0</v>
      </c>
      <c r="B1337" s="53"/>
      <c r="C1337" s="73" t="s">
        <v>12</v>
      </c>
      <c r="D1337" s="53" t="s">
        <v>3284</v>
      </c>
      <c r="E1337" s="54" t="s">
        <v>38</v>
      </c>
      <c r="F1337" s="54" t="s">
        <v>42</v>
      </c>
      <c r="G1337" s="155" t="s">
        <v>3285</v>
      </c>
      <c r="H1337" s="157" t="s">
        <v>3286</v>
      </c>
      <c r="I1337" s="54">
        <f t="shared" si="24"/>
        <v>23</v>
      </c>
      <c r="J1337" s="56"/>
      <c r="K1337" s="57"/>
      <c r="L1337" s="76"/>
      <c r="M1337" s="59"/>
      <c r="N1337" s="79">
        <v>1149.0</v>
      </c>
      <c r="O1337" s="61">
        <v>1240.0</v>
      </c>
      <c r="P1337" s="62">
        <v>1339.2</v>
      </c>
      <c r="Q1337" s="63">
        <v>1339.2</v>
      </c>
      <c r="R1337" s="64">
        <v>1406.0</v>
      </c>
      <c r="S1337" s="111">
        <v>1476.0</v>
      </c>
      <c r="T1337" s="65">
        <f t="shared" si="39"/>
        <v>236.16</v>
      </c>
      <c r="U1337" s="65">
        <f t="shared" si="40"/>
        <v>1712.16</v>
      </c>
      <c r="V1337" s="66">
        <f t="shared" si="42"/>
        <v>0.04978662873</v>
      </c>
      <c r="W1337" s="67">
        <f t="shared" si="5"/>
        <v>1402.2</v>
      </c>
      <c r="X1337" s="67">
        <f t="shared" si="43"/>
        <v>224.352</v>
      </c>
      <c r="Y1337" s="67">
        <f t="shared" si="44"/>
        <v>1626.552</v>
      </c>
      <c r="Z1337" s="67">
        <f t="shared" si="8"/>
        <v>1328.4</v>
      </c>
      <c r="AA1337" s="67">
        <f t="shared" si="45"/>
        <v>212.544</v>
      </c>
      <c r="AB1337" s="67">
        <f t="shared" si="46"/>
        <v>1540.944</v>
      </c>
      <c r="AC1337" s="67">
        <f t="shared" si="11"/>
        <v>1254.6</v>
      </c>
      <c r="AD1337" s="67">
        <f t="shared" si="12"/>
        <v>200.736</v>
      </c>
      <c r="AE1337" s="67">
        <f t="shared" si="13"/>
        <v>1455.336</v>
      </c>
      <c r="AF1337" s="67">
        <f t="shared" si="33"/>
        <v>1225.08</v>
      </c>
      <c r="AG1337" s="67">
        <f t="shared" si="15"/>
        <v>196.0128</v>
      </c>
      <c r="AH1337" s="67">
        <f t="shared" si="16"/>
        <v>1421.0928</v>
      </c>
      <c r="AI1337" s="67">
        <f t="shared" si="17"/>
        <v>1180.8</v>
      </c>
      <c r="AJ1337" s="68">
        <f t="shared" si="47"/>
        <v>188.928</v>
      </c>
      <c r="AK1337" s="68">
        <f t="shared" si="48"/>
        <v>1369.728</v>
      </c>
      <c r="AL1337" s="70"/>
      <c r="AM1337" s="70"/>
      <c r="AN1337" s="71"/>
      <c r="AO1337" s="71"/>
      <c r="AP1337" s="71"/>
      <c r="AQ1337" s="71"/>
      <c r="AR1337" s="71"/>
      <c r="AS1337" s="71"/>
      <c r="AT1337" s="71"/>
      <c r="AU1337" s="71"/>
      <c r="AV1337" s="71"/>
      <c r="AW1337" s="71"/>
      <c r="AX1337" s="71"/>
      <c r="AY1337" s="71"/>
      <c r="AZ1337" s="71"/>
      <c r="BA1337" s="71"/>
      <c r="BB1337" s="71"/>
      <c r="BC1337" s="71"/>
      <c r="BD1337" s="71"/>
      <c r="BE1337" s="71"/>
      <c r="BF1337" s="71"/>
      <c r="BG1337" s="71"/>
      <c r="BH1337" s="71"/>
      <c r="BI1337" s="71"/>
      <c r="BJ1337" s="71"/>
      <c r="BK1337" s="71"/>
      <c r="BL1337" s="71"/>
      <c r="BM1337" s="71"/>
      <c r="BN1337" s="71"/>
      <c r="BO1337" s="71"/>
      <c r="BP1337" s="71"/>
      <c r="BQ1337" s="71"/>
      <c r="BR1337" s="71"/>
      <c r="BS1337" s="71"/>
      <c r="BT1337" s="71"/>
      <c r="BU1337" s="71"/>
      <c r="BV1337" s="71"/>
    </row>
    <row r="1338">
      <c r="A1338" s="53">
        <v>1.0</v>
      </c>
      <c r="B1338" s="53"/>
      <c r="C1338" s="73" t="s">
        <v>12</v>
      </c>
      <c r="D1338" s="53" t="s">
        <v>3287</v>
      </c>
      <c r="E1338" s="54" t="s">
        <v>38</v>
      </c>
      <c r="F1338" s="54" t="s">
        <v>42</v>
      </c>
      <c r="G1338" s="155" t="s">
        <v>3288</v>
      </c>
      <c r="H1338" s="157" t="s">
        <v>3289</v>
      </c>
      <c r="I1338" s="54">
        <f t="shared" si="24"/>
        <v>36</v>
      </c>
      <c r="J1338" s="56"/>
      <c r="K1338" s="57"/>
      <c r="L1338" s="76"/>
      <c r="M1338" s="59"/>
      <c r="N1338" s="79">
        <v>1204.0</v>
      </c>
      <c r="O1338" s="61">
        <v>1300.0</v>
      </c>
      <c r="P1338" s="62">
        <v>1642.56</v>
      </c>
      <c r="Q1338" s="63">
        <v>1642.56</v>
      </c>
      <c r="R1338" s="64">
        <v>1726.0</v>
      </c>
      <c r="S1338" s="111">
        <v>1812.0</v>
      </c>
      <c r="T1338" s="65">
        <f t="shared" si="39"/>
        <v>289.92</v>
      </c>
      <c r="U1338" s="65">
        <f t="shared" si="40"/>
        <v>2101.92</v>
      </c>
      <c r="V1338" s="66">
        <f t="shared" si="42"/>
        <v>0.04982618772</v>
      </c>
      <c r="W1338" s="67">
        <f t="shared" si="5"/>
        <v>1721.4</v>
      </c>
      <c r="X1338" s="67">
        <f t="shared" si="43"/>
        <v>275.424</v>
      </c>
      <c r="Y1338" s="67">
        <f t="shared" si="44"/>
        <v>1996.824</v>
      </c>
      <c r="Z1338" s="67">
        <f t="shared" si="8"/>
        <v>1630.8</v>
      </c>
      <c r="AA1338" s="67">
        <f t="shared" si="45"/>
        <v>260.928</v>
      </c>
      <c r="AB1338" s="67">
        <f t="shared" si="46"/>
        <v>1891.728</v>
      </c>
      <c r="AC1338" s="67">
        <f t="shared" si="11"/>
        <v>1540.2</v>
      </c>
      <c r="AD1338" s="67">
        <f t="shared" si="12"/>
        <v>246.432</v>
      </c>
      <c r="AE1338" s="67">
        <f t="shared" si="13"/>
        <v>1786.632</v>
      </c>
      <c r="AF1338" s="67">
        <f t="shared" si="33"/>
        <v>1503.96</v>
      </c>
      <c r="AG1338" s="67">
        <f t="shared" si="15"/>
        <v>240.6336</v>
      </c>
      <c r="AH1338" s="67">
        <f t="shared" si="16"/>
        <v>1744.5936</v>
      </c>
      <c r="AI1338" s="67">
        <f t="shared" si="17"/>
        <v>1449.6</v>
      </c>
      <c r="AJ1338" s="68">
        <f t="shared" si="47"/>
        <v>231.936</v>
      </c>
      <c r="AK1338" s="68">
        <f t="shared" si="48"/>
        <v>1681.536</v>
      </c>
      <c r="AL1338" s="70"/>
      <c r="AM1338" s="70"/>
      <c r="AN1338" s="71"/>
      <c r="AO1338" s="71"/>
      <c r="AP1338" s="71"/>
      <c r="AQ1338" s="71"/>
      <c r="AR1338" s="71"/>
      <c r="AS1338" s="71"/>
      <c r="AT1338" s="71"/>
      <c r="AU1338" s="71"/>
      <c r="AV1338" s="71"/>
      <c r="AW1338" s="71"/>
      <c r="AX1338" s="71"/>
      <c r="AY1338" s="71"/>
      <c r="AZ1338" s="71"/>
      <c r="BA1338" s="71"/>
      <c r="BB1338" s="71"/>
      <c r="BC1338" s="71"/>
      <c r="BD1338" s="71"/>
      <c r="BE1338" s="71"/>
      <c r="BF1338" s="71"/>
      <c r="BG1338" s="71"/>
      <c r="BH1338" s="71"/>
      <c r="BI1338" s="71"/>
      <c r="BJ1338" s="71"/>
      <c r="BK1338" s="71"/>
      <c r="BL1338" s="71"/>
      <c r="BM1338" s="71"/>
      <c r="BN1338" s="71"/>
      <c r="BO1338" s="71"/>
      <c r="BP1338" s="71"/>
      <c r="BQ1338" s="71"/>
      <c r="BR1338" s="71"/>
      <c r="BS1338" s="71"/>
      <c r="BT1338" s="71"/>
      <c r="BU1338" s="71"/>
      <c r="BV1338" s="71"/>
    </row>
    <row r="1339">
      <c r="A1339" s="53">
        <v>1.0</v>
      </c>
      <c r="B1339" s="53"/>
      <c r="C1339" s="73" t="s">
        <v>12</v>
      </c>
      <c r="D1339" s="53" t="s">
        <v>3290</v>
      </c>
      <c r="E1339" s="54" t="s">
        <v>38</v>
      </c>
      <c r="F1339" s="54" t="s">
        <v>42</v>
      </c>
      <c r="G1339" s="155" t="s">
        <v>3291</v>
      </c>
      <c r="H1339" s="157" t="s">
        <v>3292</v>
      </c>
      <c r="I1339" s="54">
        <f t="shared" si="24"/>
        <v>33</v>
      </c>
      <c r="J1339" s="56"/>
      <c r="K1339" s="57"/>
      <c r="L1339" s="76"/>
      <c r="M1339" s="59"/>
      <c r="N1339" s="79">
        <v>945.0</v>
      </c>
      <c r="O1339" s="61">
        <v>1260.0</v>
      </c>
      <c r="P1339" s="62">
        <v>1360.8000000000002</v>
      </c>
      <c r="Q1339" s="63">
        <v>1360.8000000000002</v>
      </c>
      <c r="R1339" s="64">
        <v>1430.0</v>
      </c>
      <c r="S1339" s="111">
        <v>1502.0</v>
      </c>
      <c r="T1339" s="65">
        <f t="shared" si="39"/>
        <v>240.32</v>
      </c>
      <c r="U1339" s="65">
        <f t="shared" si="40"/>
        <v>1742.32</v>
      </c>
      <c r="V1339" s="66">
        <f t="shared" si="42"/>
        <v>0.05034965035</v>
      </c>
      <c r="W1339" s="67">
        <f t="shared" si="5"/>
        <v>1426.9</v>
      </c>
      <c r="X1339" s="67">
        <f t="shared" si="43"/>
        <v>228.304</v>
      </c>
      <c r="Y1339" s="67">
        <f t="shared" si="44"/>
        <v>1655.204</v>
      </c>
      <c r="Z1339" s="67">
        <f t="shared" si="8"/>
        <v>1351.8</v>
      </c>
      <c r="AA1339" s="67">
        <f t="shared" si="45"/>
        <v>216.288</v>
      </c>
      <c r="AB1339" s="67">
        <f t="shared" si="46"/>
        <v>1568.088</v>
      </c>
      <c r="AC1339" s="67">
        <f t="shared" si="11"/>
        <v>1276.7</v>
      </c>
      <c r="AD1339" s="67">
        <f t="shared" si="12"/>
        <v>204.272</v>
      </c>
      <c r="AE1339" s="67">
        <f t="shared" si="13"/>
        <v>1480.972</v>
      </c>
      <c r="AF1339" s="67">
        <f t="shared" si="33"/>
        <v>1246.66</v>
      </c>
      <c r="AG1339" s="67">
        <f t="shared" si="15"/>
        <v>199.4656</v>
      </c>
      <c r="AH1339" s="67">
        <f t="shared" si="16"/>
        <v>1446.1256</v>
      </c>
      <c r="AI1339" s="67">
        <f t="shared" si="17"/>
        <v>1201.6</v>
      </c>
      <c r="AJ1339" s="68">
        <f t="shared" si="47"/>
        <v>192.256</v>
      </c>
      <c r="AK1339" s="68">
        <f t="shared" si="48"/>
        <v>1393.856</v>
      </c>
      <c r="AL1339" s="70"/>
      <c r="AM1339" s="70"/>
      <c r="AN1339" s="71"/>
      <c r="AO1339" s="71"/>
      <c r="AP1339" s="71"/>
      <c r="AQ1339" s="71"/>
      <c r="AR1339" s="71"/>
      <c r="AS1339" s="71"/>
      <c r="AT1339" s="71"/>
      <c r="AU1339" s="71"/>
      <c r="AV1339" s="71"/>
      <c r="AW1339" s="71"/>
      <c r="AX1339" s="71"/>
      <c r="AY1339" s="71"/>
      <c r="AZ1339" s="71"/>
      <c r="BA1339" s="71"/>
      <c r="BB1339" s="71"/>
      <c r="BC1339" s="71"/>
      <c r="BD1339" s="71"/>
      <c r="BE1339" s="71"/>
      <c r="BF1339" s="71"/>
      <c r="BG1339" s="71"/>
      <c r="BH1339" s="71"/>
      <c r="BI1339" s="71"/>
      <c r="BJ1339" s="71"/>
      <c r="BK1339" s="71"/>
      <c r="BL1339" s="71"/>
      <c r="BM1339" s="71"/>
      <c r="BN1339" s="71"/>
      <c r="BO1339" s="71"/>
      <c r="BP1339" s="71"/>
      <c r="BQ1339" s="71"/>
      <c r="BR1339" s="71"/>
      <c r="BS1339" s="71"/>
      <c r="BT1339" s="71"/>
      <c r="BU1339" s="71"/>
      <c r="BV1339" s="71"/>
    </row>
    <row r="1340">
      <c r="A1340" s="53">
        <v>1.0</v>
      </c>
      <c r="B1340" s="53"/>
      <c r="C1340" s="73" t="s">
        <v>12</v>
      </c>
      <c r="D1340" s="53" t="s">
        <v>3293</v>
      </c>
      <c r="E1340" s="54" t="s">
        <v>38</v>
      </c>
      <c r="F1340" s="54" t="s">
        <v>42</v>
      </c>
      <c r="G1340" s="155" t="s">
        <v>3294</v>
      </c>
      <c r="H1340" s="157" t="s">
        <v>3295</v>
      </c>
      <c r="I1340" s="54">
        <f t="shared" si="24"/>
        <v>33</v>
      </c>
      <c r="J1340" s="56"/>
      <c r="K1340" s="57"/>
      <c r="L1340" s="87"/>
      <c r="M1340" s="59"/>
      <c r="N1340" s="79">
        <v>945.0</v>
      </c>
      <c r="O1340" s="61">
        <v>1020.0</v>
      </c>
      <c r="P1340" s="62">
        <v>1101.6000000000001</v>
      </c>
      <c r="Q1340" s="63">
        <v>1101.6000000000001</v>
      </c>
      <c r="R1340" s="64">
        <v>1227.0</v>
      </c>
      <c r="S1340" s="111">
        <v>1288.0</v>
      </c>
      <c r="T1340" s="65">
        <f t="shared" si="39"/>
        <v>206.08</v>
      </c>
      <c r="U1340" s="65">
        <f t="shared" si="40"/>
        <v>1494.08</v>
      </c>
      <c r="V1340" s="66">
        <f t="shared" si="42"/>
        <v>0.04971475143</v>
      </c>
      <c r="W1340" s="67">
        <f t="shared" si="5"/>
        <v>1223.6</v>
      </c>
      <c r="X1340" s="67">
        <f t="shared" si="43"/>
        <v>195.776</v>
      </c>
      <c r="Y1340" s="67">
        <f t="shared" si="44"/>
        <v>1419.376</v>
      </c>
      <c r="Z1340" s="67">
        <f t="shared" si="8"/>
        <v>1159.2</v>
      </c>
      <c r="AA1340" s="67">
        <f t="shared" si="45"/>
        <v>185.472</v>
      </c>
      <c r="AB1340" s="67">
        <f t="shared" si="46"/>
        <v>1344.672</v>
      </c>
      <c r="AC1340" s="67">
        <f t="shared" si="11"/>
        <v>1094.8</v>
      </c>
      <c r="AD1340" s="67">
        <f t="shared" si="12"/>
        <v>175.168</v>
      </c>
      <c r="AE1340" s="67">
        <f t="shared" si="13"/>
        <v>1269.968</v>
      </c>
      <c r="AF1340" s="67">
        <f t="shared" si="33"/>
        <v>1069.04</v>
      </c>
      <c r="AG1340" s="67">
        <f t="shared" si="15"/>
        <v>171.0464</v>
      </c>
      <c r="AH1340" s="67">
        <f t="shared" si="16"/>
        <v>1240.0864</v>
      </c>
      <c r="AI1340" s="67">
        <f t="shared" si="17"/>
        <v>1030.4</v>
      </c>
      <c r="AJ1340" s="68">
        <f t="shared" si="47"/>
        <v>164.864</v>
      </c>
      <c r="AK1340" s="68">
        <f t="shared" si="48"/>
        <v>1195.264</v>
      </c>
      <c r="AL1340" s="70"/>
      <c r="AM1340" s="70"/>
      <c r="AN1340" s="71"/>
      <c r="AO1340" s="71"/>
      <c r="AP1340" s="71"/>
      <c r="AQ1340" s="71"/>
      <c r="AR1340" s="71"/>
      <c r="AS1340" s="71"/>
      <c r="AT1340" s="71"/>
      <c r="AU1340" s="71"/>
      <c r="AV1340" s="71"/>
      <c r="AW1340" s="71"/>
      <c r="AX1340" s="71"/>
      <c r="AY1340" s="71"/>
      <c r="AZ1340" s="71"/>
      <c r="BA1340" s="71"/>
      <c r="BB1340" s="71"/>
      <c r="BC1340" s="71"/>
      <c r="BD1340" s="71"/>
      <c r="BE1340" s="71"/>
      <c r="BF1340" s="71"/>
      <c r="BG1340" s="71"/>
      <c r="BH1340" s="71"/>
      <c r="BI1340" s="71"/>
      <c r="BJ1340" s="71"/>
      <c r="BK1340" s="71"/>
      <c r="BL1340" s="71"/>
      <c r="BM1340" s="71"/>
      <c r="BN1340" s="71"/>
      <c r="BO1340" s="71"/>
      <c r="BP1340" s="71"/>
      <c r="BQ1340" s="71"/>
      <c r="BR1340" s="71"/>
      <c r="BS1340" s="71"/>
      <c r="BT1340" s="71"/>
      <c r="BU1340" s="71"/>
      <c r="BV1340" s="71"/>
    </row>
    <row r="1341">
      <c r="A1341" s="53"/>
      <c r="B1341" s="53"/>
      <c r="C1341" s="53" t="s">
        <v>12</v>
      </c>
      <c r="D1341" s="53" t="s">
        <v>3296</v>
      </c>
      <c r="E1341" s="54" t="s">
        <v>77</v>
      </c>
      <c r="F1341" s="55" t="s">
        <v>42</v>
      </c>
      <c r="G1341" s="155" t="s">
        <v>3297</v>
      </c>
      <c r="H1341" s="155" t="s">
        <v>3298</v>
      </c>
      <c r="I1341" s="54">
        <f t="shared" si="24"/>
        <v>27</v>
      </c>
      <c r="J1341" s="56"/>
      <c r="K1341" s="57"/>
      <c r="L1341" s="76"/>
      <c r="M1341" s="59"/>
      <c r="N1341" s="60"/>
      <c r="O1341" s="61">
        <v>1330.0</v>
      </c>
      <c r="P1341" s="62">
        <v>1436.4</v>
      </c>
      <c r="Q1341" s="63">
        <v>1436.4</v>
      </c>
      <c r="R1341" s="64">
        <v>1508.0</v>
      </c>
      <c r="S1341" s="111">
        <v>1583.0</v>
      </c>
      <c r="T1341" s="65">
        <f t="shared" si="39"/>
        <v>253.28</v>
      </c>
      <c r="U1341" s="65">
        <f t="shared" si="40"/>
        <v>1836.28</v>
      </c>
      <c r="V1341" s="66">
        <f t="shared" si="42"/>
        <v>0.04973474801</v>
      </c>
      <c r="W1341" s="67">
        <f t="shared" si="5"/>
        <v>1503.85</v>
      </c>
      <c r="X1341" s="67">
        <f t="shared" si="43"/>
        <v>240.616</v>
      </c>
      <c r="Y1341" s="67">
        <f t="shared" si="44"/>
        <v>1744.466</v>
      </c>
      <c r="Z1341" s="67">
        <f t="shared" si="8"/>
        <v>1424.7</v>
      </c>
      <c r="AA1341" s="67">
        <f t="shared" si="45"/>
        <v>227.952</v>
      </c>
      <c r="AB1341" s="67">
        <f t="shared" si="46"/>
        <v>1652.652</v>
      </c>
      <c r="AC1341" s="67">
        <f t="shared" si="11"/>
        <v>1345.55</v>
      </c>
      <c r="AD1341" s="67">
        <f t="shared" si="12"/>
        <v>215.288</v>
      </c>
      <c r="AE1341" s="67">
        <f t="shared" si="13"/>
        <v>1560.838</v>
      </c>
      <c r="AF1341" s="67">
        <f t="shared" si="33"/>
        <v>1313.89</v>
      </c>
      <c r="AG1341" s="67">
        <f t="shared" si="15"/>
        <v>210.2224</v>
      </c>
      <c r="AH1341" s="67">
        <f t="shared" si="16"/>
        <v>1524.1124</v>
      </c>
      <c r="AI1341" s="67">
        <f t="shared" si="17"/>
        <v>1266.4</v>
      </c>
      <c r="AJ1341" s="68">
        <f t="shared" si="47"/>
        <v>202.624</v>
      </c>
      <c r="AK1341" s="68">
        <f t="shared" si="48"/>
        <v>1469.024</v>
      </c>
      <c r="AL1341" s="70"/>
      <c r="AM1341" s="70"/>
      <c r="AN1341" s="71"/>
      <c r="AO1341" s="71"/>
      <c r="AP1341" s="71"/>
      <c r="AQ1341" s="71"/>
      <c r="AR1341" s="71"/>
      <c r="AS1341" s="71"/>
      <c r="AT1341" s="71"/>
      <c r="AU1341" s="71"/>
      <c r="AV1341" s="71"/>
      <c r="AW1341" s="71"/>
      <c r="AX1341" s="71"/>
      <c r="AY1341" s="71"/>
      <c r="AZ1341" s="71"/>
      <c r="BA1341" s="71"/>
      <c r="BB1341" s="71"/>
      <c r="BC1341" s="71"/>
      <c r="BD1341" s="71"/>
      <c r="BE1341" s="71"/>
      <c r="BF1341" s="71"/>
      <c r="BG1341" s="71"/>
      <c r="BH1341" s="71"/>
      <c r="BI1341" s="71"/>
      <c r="BJ1341" s="71"/>
      <c r="BK1341" s="71"/>
      <c r="BL1341" s="71"/>
      <c r="BM1341" s="71"/>
      <c r="BN1341" s="71"/>
      <c r="BO1341" s="71"/>
      <c r="BP1341" s="71"/>
      <c r="BQ1341" s="71"/>
      <c r="BR1341" s="71"/>
      <c r="BS1341" s="71"/>
      <c r="BT1341" s="71"/>
      <c r="BU1341" s="71"/>
      <c r="BV1341" s="71"/>
    </row>
    <row r="1342">
      <c r="A1342" s="53">
        <v>1.0</v>
      </c>
      <c r="B1342" s="53"/>
      <c r="C1342" s="73" t="s">
        <v>12</v>
      </c>
      <c r="D1342" s="53" t="s">
        <v>3299</v>
      </c>
      <c r="E1342" s="54" t="s">
        <v>38</v>
      </c>
      <c r="F1342" s="54" t="s">
        <v>42</v>
      </c>
      <c r="G1342" s="155" t="s">
        <v>3300</v>
      </c>
      <c r="H1342" s="157" t="s">
        <v>3301</v>
      </c>
      <c r="I1342" s="54">
        <f t="shared" si="24"/>
        <v>33</v>
      </c>
      <c r="J1342" s="56"/>
      <c r="K1342" s="57"/>
      <c r="L1342" s="76"/>
      <c r="M1342" s="59"/>
      <c r="N1342" s="79">
        <v>1305.0</v>
      </c>
      <c r="O1342" s="61">
        <v>1409.0</v>
      </c>
      <c r="P1342" s="62">
        <v>1521.72</v>
      </c>
      <c r="Q1342" s="63">
        <v>1521.72</v>
      </c>
      <c r="R1342" s="64">
        <v>1599.0</v>
      </c>
      <c r="S1342" s="111">
        <v>1679.0</v>
      </c>
      <c r="T1342" s="65">
        <f t="shared" si="39"/>
        <v>268.64</v>
      </c>
      <c r="U1342" s="65">
        <f t="shared" si="40"/>
        <v>1947.64</v>
      </c>
      <c r="V1342" s="66">
        <f t="shared" si="42"/>
        <v>0.05003126954</v>
      </c>
      <c r="W1342" s="67">
        <f t="shared" si="5"/>
        <v>1595.05</v>
      </c>
      <c r="X1342" s="67">
        <f t="shared" si="43"/>
        <v>255.208</v>
      </c>
      <c r="Y1342" s="67">
        <f t="shared" si="44"/>
        <v>1850.258</v>
      </c>
      <c r="Z1342" s="67">
        <f t="shared" si="8"/>
        <v>1511.1</v>
      </c>
      <c r="AA1342" s="67">
        <f t="shared" si="45"/>
        <v>241.776</v>
      </c>
      <c r="AB1342" s="67">
        <f t="shared" si="46"/>
        <v>1752.876</v>
      </c>
      <c r="AC1342" s="67">
        <f t="shared" si="11"/>
        <v>1427.15</v>
      </c>
      <c r="AD1342" s="67">
        <f t="shared" si="12"/>
        <v>228.344</v>
      </c>
      <c r="AE1342" s="67">
        <f t="shared" si="13"/>
        <v>1655.494</v>
      </c>
      <c r="AF1342" s="67">
        <f t="shared" si="33"/>
        <v>1393.57</v>
      </c>
      <c r="AG1342" s="67">
        <f t="shared" si="15"/>
        <v>222.9712</v>
      </c>
      <c r="AH1342" s="67">
        <f t="shared" si="16"/>
        <v>1616.5412</v>
      </c>
      <c r="AI1342" s="67">
        <f t="shared" si="17"/>
        <v>1343.2</v>
      </c>
      <c r="AJ1342" s="68">
        <f t="shared" si="47"/>
        <v>214.912</v>
      </c>
      <c r="AK1342" s="68">
        <f t="shared" si="48"/>
        <v>1558.112</v>
      </c>
      <c r="AL1342" s="70"/>
      <c r="AM1342" s="70"/>
      <c r="AN1342" s="71"/>
      <c r="AO1342" s="71"/>
      <c r="AP1342" s="71"/>
      <c r="AQ1342" s="71"/>
      <c r="AR1342" s="71"/>
      <c r="AS1342" s="71"/>
      <c r="AT1342" s="71"/>
      <c r="AU1342" s="71"/>
      <c r="AV1342" s="71"/>
      <c r="AW1342" s="71"/>
      <c r="AX1342" s="71"/>
      <c r="AY1342" s="71"/>
      <c r="AZ1342" s="71"/>
      <c r="BA1342" s="71"/>
      <c r="BB1342" s="71"/>
      <c r="BC1342" s="71"/>
      <c r="BD1342" s="71"/>
      <c r="BE1342" s="71"/>
      <c r="BF1342" s="71"/>
      <c r="BG1342" s="71"/>
      <c r="BH1342" s="71"/>
      <c r="BI1342" s="71"/>
      <c r="BJ1342" s="71"/>
      <c r="BK1342" s="71"/>
      <c r="BL1342" s="71"/>
      <c r="BM1342" s="71"/>
      <c r="BN1342" s="71"/>
      <c r="BO1342" s="71"/>
      <c r="BP1342" s="71"/>
      <c r="BQ1342" s="71"/>
      <c r="BR1342" s="71"/>
      <c r="BS1342" s="71"/>
      <c r="BT1342" s="71"/>
      <c r="BU1342" s="71"/>
      <c r="BV1342" s="71"/>
    </row>
    <row r="1343">
      <c r="A1343" s="53"/>
      <c r="B1343" s="53"/>
      <c r="C1343" s="73" t="s">
        <v>12</v>
      </c>
      <c r="D1343" s="53" t="s">
        <v>3302</v>
      </c>
      <c r="E1343" s="54" t="s">
        <v>38</v>
      </c>
      <c r="F1343" s="54" t="s">
        <v>42</v>
      </c>
      <c r="G1343" s="155" t="s">
        <v>3303</v>
      </c>
      <c r="H1343" s="157" t="s">
        <v>3304</v>
      </c>
      <c r="I1343" s="54">
        <f t="shared" si="24"/>
        <v>33</v>
      </c>
      <c r="J1343" s="56"/>
      <c r="K1343" s="57"/>
      <c r="L1343" s="76"/>
      <c r="M1343" s="59"/>
      <c r="N1343" s="79">
        <v>1305.0</v>
      </c>
      <c r="O1343" s="61">
        <v>1409.0</v>
      </c>
      <c r="P1343" s="62">
        <v>1521.72</v>
      </c>
      <c r="Q1343" s="63">
        <v>1521.72</v>
      </c>
      <c r="R1343" s="64">
        <v>1599.0</v>
      </c>
      <c r="S1343" s="111">
        <v>1679.0</v>
      </c>
      <c r="T1343" s="65">
        <f t="shared" si="39"/>
        <v>268.64</v>
      </c>
      <c r="U1343" s="65">
        <f t="shared" si="40"/>
        <v>1947.64</v>
      </c>
      <c r="V1343" s="66">
        <f t="shared" si="42"/>
        <v>0.05003126954</v>
      </c>
      <c r="W1343" s="67">
        <f t="shared" si="5"/>
        <v>1595.05</v>
      </c>
      <c r="X1343" s="67">
        <f t="shared" si="43"/>
        <v>255.208</v>
      </c>
      <c r="Y1343" s="67">
        <f t="shared" si="44"/>
        <v>1850.258</v>
      </c>
      <c r="Z1343" s="67">
        <f t="shared" si="8"/>
        <v>1511.1</v>
      </c>
      <c r="AA1343" s="67">
        <f t="shared" si="45"/>
        <v>241.776</v>
      </c>
      <c r="AB1343" s="67">
        <f t="shared" si="46"/>
        <v>1752.876</v>
      </c>
      <c r="AC1343" s="67">
        <f t="shared" si="11"/>
        <v>1427.15</v>
      </c>
      <c r="AD1343" s="67">
        <f t="shared" si="12"/>
        <v>228.344</v>
      </c>
      <c r="AE1343" s="67">
        <f t="shared" si="13"/>
        <v>1655.494</v>
      </c>
      <c r="AF1343" s="67">
        <f t="shared" si="33"/>
        <v>1393.57</v>
      </c>
      <c r="AG1343" s="67">
        <f t="shared" si="15"/>
        <v>222.9712</v>
      </c>
      <c r="AH1343" s="67">
        <f t="shared" si="16"/>
        <v>1616.5412</v>
      </c>
      <c r="AI1343" s="67">
        <f t="shared" si="17"/>
        <v>1343.2</v>
      </c>
      <c r="AJ1343" s="68">
        <f t="shared" si="47"/>
        <v>214.912</v>
      </c>
      <c r="AK1343" s="68">
        <f t="shared" si="48"/>
        <v>1558.112</v>
      </c>
      <c r="AL1343" s="70"/>
      <c r="AM1343" s="70"/>
      <c r="AN1343" s="71"/>
      <c r="AO1343" s="71"/>
      <c r="AP1343" s="71"/>
      <c r="AQ1343" s="71"/>
      <c r="AR1343" s="71"/>
      <c r="AS1343" s="71"/>
      <c r="AT1343" s="71"/>
      <c r="AU1343" s="71"/>
      <c r="AV1343" s="71"/>
      <c r="AW1343" s="71"/>
      <c r="AX1343" s="71"/>
      <c r="AY1343" s="71"/>
      <c r="AZ1343" s="71"/>
      <c r="BA1343" s="71"/>
      <c r="BB1343" s="71"/>
      <c r="BC1343" s="71"/>
      <c r="BD1343" s="71"/>
      <c r="BE1343" s="71"/>
      <c r="BF1343" s="71"/>
      <c r="BG1343" s="71"/>
      <c r="BH1343" s="71"/>
      <c r="BI1343" s="71"/>
      <c r="BJ1343" s="71"/>
      <c r="BK1343" s="71"/>
      <c r="BL1343" s="71"/>
      <c r="BM1343" s="71"/>
      <c r="BN1343" s="71"/>
      <c r="BO1343" s="71"/>
      <c r="BP1343" s="71"/>
      <c r="BQ1343" s="71"/>
      <c r="BR1343" s="71"/>
      <c r="BS1343" s="71"/>
      <c r="BT1343" s="71"/>
      <c r="BU1343" s="71"/>
      <c r="BV1343" s="71"/>
    </row>
    <row r="1344">
      <c r="A1344" s="53">
        <v>1.0</v>
      </c>
      <c r="B1344" s="53"/>
      <c r="C1344" s="73" t="s">
        <v>12</v>
      </c>
      <c r="D1344" s="53" t="s">
        <v>3305</v>
      </c>
      <c r="E1344" s="54" t="s">
        <v>38</v>
      </c>
      <c r="F1344" s="54" t="s">
        <v>42</v>
      </c>
      <c r="G1344" s="155" t="s">
        <v>3306</v>
      </c>
      <c r="H1344" s="157" t="s">
        <v>3307</v>
      </c>
      <c r="I1344" s="54">
        <f t="shared" si="24"/>
        <v>35</v>
      </c>
      <c r="J1344" s="56"/>
      <c r="K1344" s="57"/>
      <c r="L1344" s="87"/>
      <c r="M1344" s="59"/>
      <c r="N1344" s="79">
        <v>1305.0</v>
      </c>
      <c r="O1344" s="61">
        <v>1409.0</v>
      </c>
      <c r="P1344" s="62">
        <v>1521.72</v>
      </c>
      <c r="Q1344" s="63">
        <v>1521.72</v>
      </c>
      <c r="R1344" s="64">
        <v>1695.0</v>
      </c>
      <c r="S1344" s="111">
        <v>1780.0</v>
      </c>
      <c r="T1344" s="65">
        <f t="shared" si="39"/>
        <v>284.8</v>
      </c>
      <c r="U1344" s="65">
        <f t="shared" si="40"/>
        <v>2064.8</v>
      </c>
      <c r="V1344" s="66">
        <f t="shared" si="42"/>
        <v>0.05014749263</v>
      </c>
      <c r="W1344" s="67">
        <f t="shared" si="5"/>
        <v>1691</v>
      </c>
      <c r="X1344" s="67">
        <f t="shared" si="43"/>
        <v>270.56</v>
      </c>
      <c r="Y1344" s="67">
        <f t="shared" si="44"/>
        <v>1961.56</v>
      </c>
      <c r="Z1344" s="67">
        <f t="shared" si="8"/>
        <v>1602</v>
      </c>
      <c r="AA1344" s="67">
        <f t="shared" si="45"/>
        <v>256.32</v>
      </c>
      <c r="AB1344" s="67">
        <f t="shared" si="46"/>
        <v>1858.32</v>
      </c>
      <c r="AC1344" s="67">
        <f t="shared" si="11"/>
        <v>1513</v>
      </c>
      <c r="AD1344" s="67">
        <f t="shared" si="12"/>
        <v>242.08</v>
      </c>
      <c r="AE1344" s="67">
        <f t="shared" si="13"/>
        <v>1755.08</v>
      </c>
      <c r="AF1344" s="67">
        <f t="shared" si="33"/>
        <v>1477.4</v>
      </c>
      <c r="AG1344" s="67">
        <f t="shared" si="15"/>
        <v>236.384</v>
      </c>
      <c r="AH1344" s="67">
        <f t="shared" si="16"/>
        <v>1713.784</v>
      </c>
      <c r="AI1344" s="67">
        <f t="shared" si="17"/>
        <v>1424</v>
      </c>
      <c r="AJ1344" s="68">
        <f t="shared" si="47"/>
        <v>227.84</v>
      </c>
      <c r="AK1344" s="68">
        <f t="shared" si="48"/>
        <v>1651.84</v>
      </c>
      <c r="AL1344" s="70"/>
      <c r="AM1344" s="70"/>
      <c r="AN1344" s="71"/>
      <c r="AO1344" s="71"/>
      <c r="AP1344" s="71"/>
      <c r="AQ1344" s="71"/>
      <c r="AR1344" s="71"/>
      <c r="AS1344" s="71"/>
      <c r="AT1344" s="71"/>
      <c r="AU1344" s="71"/>
      <c r="AV1344" s="71"/>
      <c r="AW1344" s="71"/>
      <c r="AX1344" s="71"/>
      <c r="AY1344" s="71"/>
      <c r="AZ1344" s="71"/>
      <c r="BA1344" s="71"/>
      <c r="BB1344" s="71"/>
      <c r="BC1344" s="71"/>
      <c r="BD1344" s="71"/>
      <c r="BE1344" s="71"/>
      <c r="BF1344" s="71"/>
      <c r="BG1344" s="71"/>
      <c r="BH1344" s="71"/>
      <c r="BI1344" s="71"/>
      <c r="BJ1344" s="71"/>
      <c r="BK1344" s="71"/>
      <c r="BL1344" s="71"/>
      <c r="BM1344" s="71"/>
      <c r="BN1344" s="71"/>
      <c r="BO1344" s="71"/>
      <c r="BP1344" s="71"/>
      <c r="BQ1344" s="71"/>
      <c r="BR1344" s="71"/>
      <c r="BS1344" s="71"/>
      <c r="BT1344" s="71"/>
      <c r="BU1344" s="71"/>
      <c r="BV1344" s="71"/>
    </row>
    <row r="1345">
      <c r="A1345" s="53">
        <v>1.0</v>
      </c>
      <c r="B1345" s="53"/>
      <c r="C1345" s="73" t="s">
        <v>12</v>
      </c>
      <c r="D1345" s="53" t="s">
        <v>3308</v>
      </c>
      <c r="E1345" s="54" t="s">
        <v>38</v>
      </c>
      <c r="F1345" s="54" t="s">
        <v>42</v>
      </c>
      <c r="G1345" s="155" t="s">
        <v>3309</v>
      </c>
      <c r="H1345" s="157" t="s">
        <v>3310</v>
      </c>
      <c r="I1345" s="54">
        <f t="shared" si="24"/>
        <v>35</v>
      </c>
      <c r="J1345" s="56"/>
      <c r="K1345" s="57"/>
      <c r="L1345" s="76"/>
      <c r="M1345" s="59"/>
      <c r="N1345" s="79">
        <v>3060.0</v>
      </c>
      <c r="O1345" s="61">
        <v>3304.0</v>
      </c>
      <c r="P1345" s="62">
        <v>3568.32</v>
      </c>
      <c r="Q1345" s="63">
        <v>3568.32</v>
      </c>
      <c r="R1345" s="64">
        <v>3747.0</v>
      </c>
      <c r="S1345" s="111">
        <v>3934.0</v>
      </c>
      <c r="T1345" s="65">
        <f t="shared" si="39"/>
        <v>629.44</v>
      </c>
      <c r="U1345" s="65">
        <f t="shared" si="40"/>
        <v>4563.44</v>
      </c>
      <c r="V1345" s="66">
        <f t="shared" si="42"/>
        <v>0.04990659194</v>
      </c>
      <c r="W1345" s="67">
        <f t="shared" si="5"/>
        <v>3737.3</v>
      </c>
      <c r="X1345" s="67">
        <f t="shared" si="43"/>
        <v>597.968</v>
      </c>
      <c r="Y1345" s="67">
        <f t="shared" si="44"/>
        <v>4335.268</v>
      </c>
      <c r="Z1345" s="67">
        <f t="shared" si="8"/>
        <v>3540.6</v>
      </c>
      <c r="AA1345" s="67">
        <f t="shared" si="45"/>
        <v>566.496</v>
      </c>
      <c r="AB1345" s="67">
        <f t="shared" si="46"/>
        <v>4107.096</v>
      </c>
      <c r="AC1345" s="67">
        <f t="shared" si="11"/>
        <v>3343.9</v>
      </c>
      <c r="AD1345" s="67">
        <f t="shared" si="12"/>
        <v>535.024</v>
      </c>
      <c r="AE1345" s="67">
        <f t="shared" si="13"/>
        <v>3878.924</v>
      </c>
      <c r="AF1345" s="67">
        <f t="shared" si="33"/>
        <v>3265.22</v>
      </c>
      <c r="AG1345" s="67">
        <f t="shared" si="15"/>
        <v>522.4352</v>
      </c>
      <c r="AH1345" s="67">
        <f t="shared" si="16"/>
        <v>3787.6552</v>
      </c>
      <c r="AI1345" s="67">
        <f t="shared" si="17"/>
        <v>3147.2</v>
      </c>
      <c r="AJ1345" s="68">
        <f t="shared" si="47"/>
        <v>503.552</v>
      </c>
      <c r="AK1345" s="68">
        <f t="shared" si="48"/>
        <v>3650.752</v>
      </c>
      <c r="AL1345" s="70"/>
      <c r="AM1345" s="70"/>
      <c r="AN1345" s="71"/>
      <c r="AO1345" s="71"/>
      <c r="AP1345" s="71"/>
      <c r="AQ1345" s="71"/>
      <c r="AR1345" s="71"/>
      <c r="AS1345" s="71"/>
      <c r="AT1345" s="71"/>
      <c r="AU1345" s="71"/>
      <c r="AV1345" s="71"/>
      <c r="AW1345" s="71"/>
      <c r="AX1345" s="71"/>
      <c r="AY1345" s="71"/>
      <c r="AZ1345" s="71"/>
      <c r="BA1345" s="71"/>
      <c r="BB1345" s="71"/>
      <c r="BC1345" s="71"/>
      <c r="BD1345" s="71"/>
      <c r="BE1345" s="71"/>
      <c r="BF1345" s="71"/>
      <c r="BG1345" s="71"/>
      <c r="BH1345" s="71"/>
      <c r="BI1345" s="71"/>
      <c r="BJ1345" s="71"/>
      <c r="BK1345" s="71"/>
      <c r="BL1345" s="71"/>
      <c r="BM1345" s="71"/>
      <c r="BN1345" s="71"/>
      <c r="BO1345" s="71"/>
      <c r="BP1345" s="71"/>
      <c r="BQ1345" s="71"/>
      <c r="BR1345" s="71"/>
      <c r="BS1345" s="71"/>
      <c r="BT1345" s="71"/>
      <c r="BU1345" s="71"/>
      <c r="BV1345" s="71"/>
    </row>
    <row r="1346">
      <c r="A1346" s="53">
        <v>1.0</v>
      </c>
      <c r="B1346" s="53"/>
      <c r="C1346" s="73" t="s">
        <v>12</v>
      </c>
      <c r="D1346" s="53" t="s">
        <v>3311</v>
      </c>
      <c r="E1346" s="54" t="s">
        <v>38</v>
      </c>
      <c r="F1346" s="54" t="s">
        <v>42</v>
      </c>
      <c r="G1346" s="155" t="s">
        <v>3312</v>
      </c>
      <c r="H1346" s="157" t="s">
        <v>3313</v>
      </c>
      <c r="I1346" s="54">
        <f t="shared" si="24"/>
        <v>23</v>
      </c>
      <c r="J1346" s="56"/>
      <c r="K1346" s="57"/>
      <c r="L1346" s="87"/>
      <c r="M1346" s="59"/>
      <c r="N1346" s="79">
        <v>2331.0</v>
      </c>
      <c r="O1346" s="61">
        <v>2517.0</v>
      </c>
      <c r="P1346" s="62">
        <v>2718.36</v>
      </c>
      <c r="Q1346" s="63">
        <v>2718.36</v>
      </c>
      <c r="R1346" s="64">
        <v>3027.0</v>
      </c>
      <c r="S1346" s="111">
        <v>3178.0</v>
      </c>
      <c r="T1346" s="65">
        <f t="shared" si="39"/>
        <v>508.48</v>
      </c>
      <c r="U1346" s="65">
        <f t="shared" si="40"/>
        <v>3686.48</v>
      </c>
      <c r="V1346" s="66">
        <f t="shared" si="42"/>
        <v>0.04988437397</v>
      </c>
      <c r="W1346" s="67">
        <f t="shared" si="5"/>
        <v>3019.1</v>
      </c>
      <c r="X1346" s="67">
        <f t="shared" si="43"/>
        <v>483.056</v>
      </c>
      <c r="Y1346" s="67">
        <f t="shared" si="44"/>
        <v>3502.156</v>
      </c>
      <c r="Z1346" s="67">
        <f t="shared" si="8"/>
        <v>2860.2</v>
      </c>
      <c r="AA1346" s="67">
        <f t="shared" si="45"/>
        <v>457.632</v>
      </c>
      <c r="AB1346" s="67">
        <f t="shared" si="46"/>
        <v>3317.832</v>
      </c>
      <c r="AC1346" s="67">
        <f t="shared" si="11"/>
        <v>2701.3</v>
      </c>
      <c r="AD1346" s="67">
        <f t="shared" si="12"/>
        <v>432.208</v>
      </c>
      <c r="AE1346" s="67">
        <f t="shared" si="13"/>
        <v>3133.508</v>
      </c>
      <c r="AF1346" s="67">
        <f t="shared" si="33"/>
        <v>2637.74</v>
      </c>
      <c r="AG1346" s="67">
        <f t="shared" si="15"/>
        <v>422.0384</v>
      </c>
      <c r="AH1346" s="67">
        <f t="shared" si="16"/>
        <v>3059.7784</v>
      </c>
      <c r="AI1346" s="67">
        <f t="shared" si="17"/>
        <v>2542.4</v>
      </c>
      <c r="AJ1346" s="68">
        <f t="shared" si="47"/>
        <v>406.784</v>
      </c>
      <c r="AK1346" s="68">
        <f t="shared" si="48"/>
        <v>2949.184</v>
      </c>
      <c r="AL1346" s="70"/>
      <c r="AM1346" s="70"/>
      <c r="AN1346" s="71"/>
      <c r="AO1346" s="71"/>
      <c r="AP1346" s="71"/>
      <c r="AQ1346" s="71"/>
      <c r="AR1346" s="71"/>
      <c r="AS1346" s="71"/>
      <c r="AT1346" s="71"/>
      <c r="AU1346" s="71"/>
      <c r="AV1346" s="71"/>
      <c r="AW1346" s="71"/>
      <c r="AX1346" s="71"/>
      <c r="AY1346" s="71"/>
      <c r="AZ1346" s="71"/>
      <c r="BA1346" s="71"/>
      <c r="BB1346" s="71"/>
      <c r="BC1346" s="71"/>
      <c r="BD1346" s="71"/>
      <c r="BE1346" s="71"/>
      <c r="BF1346" s="71"/>
      <c r="BG1346" s="71"/>
      <c r="BH1346" s="71"/>
      <c r="BI1346" s="71"/>
      <c r="BJ1346" s="71"/>
      <c r="BK1346" s="71"/>
      <c r="BL1346" s="71"/>
      <c r="BM1346" s="71"/>
      <c r="BN1346" s="71"/>
      <c r="BO1346" s="71"/>
      <c r="BP1346" s="71"/>
      <c r="BQ1346" s="71"/>
      <c r="BR1346" s="71"/>
      <c r="BS1346" s="71"/>
      <c r="BT1346" s="71"/>
      <c r="BU1346" s="71"/>
      <c r="BV1346" s="71"/>
    </row>
    <row r="1347">
      <c r="A1347" s="53">
        <v>1.0</v>
      </c>
      <c r="B1347" s="72"/>
      <c r="C1347" s="73" t="s">
        <v>12</v>
      </c>
      <c r="D1347" s="74" t="s">
        <v>3314</v>
      </c>
      <c r="E1347" s="54" t="s">
        <v>77</v>
      </c>
      <c r="F1347" s="54" t="s">
        <v>42</v>
      </c>
      <c r="G1347" s="157" t="s">
        <v>3315</v>
      </c>
      <c r="H1347" s="157" t="s">
        <v>3316</v>
      </c>
      <c r="I1347" s="54">
        <f t="shared" si="24"/>
        <v>39</v>
      </c>
      <c r="J1347" s="56"/>
      <c r="K1347" s="57"/>
      <c r="L1347" s="87"/>
      <c r="M1347" s="59"/>
      <c r="N1347" s="79">
        <v>3600.0</v>
      </c>
      <c r="O1347" s="61">
        <v>3888.0</v>
      </c>
      <c r="P1347" s="62">
        <v>4199.04</v>
      </c>
      <c r="Q1347" s="63">
        <v>4199.04</v>
      </c>
      <c r="R1347" s="64">
        <v>4674.0</v>
      </c>
      <c r="S1347" s="111">
        <v>4908.0</v>
      </c>
      <c r="T1347" s="65">
        <f t="shared" si="39"/>
        <v>785.28</v>
      </c>
      <c r="U1347" s="65">
        <f t="shared" si="40"/>
        <v>5693.28</v>
      </c>
      <c r="V1347" s="66">
        <f t="shared" si="42"/>
        <v>0.05006418485</v>
      </c>
      <c r="W1347" s="67">
        <f t="shared" si="5"/>
        <v>4662.6</v>
      </c>
      <c r="X1347" s="67">
        <f t="shared" si="43"/>
        <v>746.016</v>
      </c>
      <c r="Y1347" s="67">
        <f t="shared" si="44"/>
        <v>5408.616</v>
      </c>
      <c r="Z1347" s="67">
        <f t="shared" si="8"/>
        <v>4417.2</v>
      </c>
      <c r="AA1347" s="67">
        <f t="shared" si="45"/>
        <v>706.752</v>
      </c>
      <c r="AB1347" s="67">
        <f t="shared" si="46"/>
        <v>5123.952</v>
      </c>
      <c r="AC1347" s="67">
        <f t="shared" si="11"/>
        <v>4171.8</v>
      </c>
      <c r="AD1347" s="67">
        <f t="shared" si="12"/>
        <v>667.488</v>
      </c>
      <c r="AE1347" s="67">
        <f t="shared" si="13"/>
        <v>4839.288</v>
      </c>
      <c r="AF1347" s="67">
        <f t="shared" si="33"/>
        <v>4073.64</v>
      </c>
      <c r="AG1347" s="67">
        <f t="shared" si="15"/>
        <v>651.7824</v>
      </c>
      <c r="AH1347" s="67">
        <f t="shared" si="16"/>
        <v>4725.4224</v>
      </c>
      <c r="AI1347" s="67">
        <f t="shared" si="17"/>
        <v>3926.4</v>
      </c>
      <c r="AJ1347" s="68">
        <f t="shared" si="47"/>
        <v>628.224</v>
      </c>
      <c r="AK1347" s="68">
        <f t="shared" si="48"/>
        <v>4554.624</v>
      </c>
      <c r="AL1347" s="70"/>
      <c r="AM1347" s="70"/>
      <c r="AN1347" s="71"/>
      <c r="AO1347" s="71"/>
      <c r="AP1347" s="71"/>
      <c r="AQ1347" s="71"/>
      <c r="AR1347" s="71"/>
      <c r="AS1347" s="71"/>
      <c r="AT1347" s="71"/>
      <c r="AU1347" s="71"/>
      <c r="AV1347" s="71"/>
      <c r="AW1347" s="71"/>
      <c r="AX1347" s="71"/>
      <c r="AY1347" s="71"/>
      <c r="AZ1347" s="71"/>
      <c r="BA1347" s="71"/>
      <c r="BB1347" s="71"/>
      <c r="BC1347" s="71"/>
      <c r="BD1347" s="71"/>
      <c r="BE1347" s="71"/>
      <c r="BF1347" s="71"/>
      <c r="BG1347" s="71"/>
      <c r="BH1347" s="71"/>
      <c r="BI1347" s="71"/>
      <c r="BJ1347" s="71"/>
      <c r="BK1347" s="71"/>
      <c r="BL1347" s="71"/>
      <c r="BM1347" s="71"/>
      <c r="BN1347" s="71"/>
      <c r="BO1347" s="71"/>
      <c r="BP1347" s="71"/>
      <c r="BQ1347" s="71"/>
      <c r="BR1347" s="71"/>
      <c r="BS1347" s="71"/>
      <c r="BT1347" s="71"/>
      <c r="BU1347" s="71"/>
      <c r="BV1347" s="71"/>
    </row>
    <row r="1348">
      <c r="A1348" s="53">
        <v>1.0</v>
      </c>
      <c r="B1348" s="53"/>
      <c r="C1348" s="73" t="s">
        <v>12</v>
      </c>
      <c r="D1348" s="53" t="s">
        <v>3317</v>
      </c>
      <c r="E1348" s="54" t="s">
        <v>38</v>
      </c>
      <c r="F1348" s="54" t="s">
        <v>42</v>
      </c>
      <c r="G1348" s="155" t="s">
        <v>3318</v>
      </c>
      <c r="H1348" s="157" t="s">
        <v>3319</v>
      </c>
      <c r="I1348" s="54">
        <f t="shared" si="24"/>
        <v>35</v>
      </c>
      <c r="J1348" s="56"/>
      <c r="K1348" s="57"/>
      <c r="L1348" s="76"/>
      <c r="M1348" s="59"/>
      <c r="N1348" s="79">
        <v>6120.0</v>
      </c>
      <c r="O1348" s="61">
        <v>6609.0</v>
      </c>
      <c r="P1348" s="62">
        <v>7137.72</v>
      </c>
      <c r="Q1348" s="63">
        <v>7137.72</v>
      </c>
      <c r="R1348" s="64">
        <v>7495.0</v>
      </c>
      <c r="S1348" s="111">
        <v>7870.0</v>
      </c>
      <c r="T1348" s="65">
        <f t="shared" si="39"/>
        <v>1259.2</v>
      </c>
      <c r="U1348" s="65">
        <f t="shared" si="40"/>
        <v>9129.2</v>
      </c>
      <c r="V1348" s="66">
        <f t="shared" si="42"/>
        <v>0.05003335557</v>
      </c>
      <c r="W1348" s="67">
        <f t="shared" si="5"/>
        <v>7476.5</v>
      </c>
      <c r="X1348" s="67">
        <f t="shared" si="43"/>
        <v>1196.24</v>
      </c>
      <c r="Y1348" s="67">
        <f t="shared" si="44"/>
        <v>8672.74</v>
      </c>
      <c r="Z1348" s="67">
        <f t="shared" si="8"/>
        <v>7083</v>
      </c>
      <c r="AA1348" s="67">
        <f t="shared" si="45"/>
        <v>1133.28</v>
      </c>
      <c r="AB1348" s="67">
        <f t="shared" si="46"/>
        <v>8216.28</v>
      </c>
      <c r="AC1348" s="67">
        <f t="shared" si="11"/>
        <v>6689.5</v>
      </c>
      <c r="AD1348" s="67">
        <f t="shared" si="12"/>
        <v>1070.32</v>
      </c>
      <c r="AE1348" s="67">
        <f t="shared" si="13"/>
        <v>7759.82</v>
      </c>
      <c r="AF1348" s="67">
        <f t="shared" si="33"/>
        <v>6532.1</v>
      </c>
      <c r="AG1348" s="67">
        <f t="shared" si="15"/>
        <v>1045.136</v>
      </c>
      <c r="AH1348" s="67">
        <f t="shared" si="16"/>
        <v>7577.236</v>
      </c>
      <c r="AI1348" s="67">
        <f t="shared" si="17"/>
        <v>6296</v>
      </c>
      <c r="AJ1348" s="68">
        <f t="shared" si="47"/>
        <v>1007.36</v>
      </c>
      <c r="AK1348" s="68">
        <f t="shared" si="48"/>
        <v>7303.36</v>
      </c>
      <c r="AL1348" s="70"/>
      <c r="AM1348" s="70"/>
      <c r="AN1348" s="71"/>
      <c r="AO1348" s="71"/>
      <c r="AP1348" s="71"/>
      <c r="AQ1348" s="71"/>
      <c r="AR1348" s="71"/>
      <c r="AS1348" s="71"/>
      <c r="AT1348" s="71"/>
      <c r="AU1348" s="71"/>
      <c r="AV1348" s="71"/>
      <c r="AW1348" s="71"/>
      <c r="AX1348" s="71"/>
      <c r="AY1348" s="71"/>
      <c r="AZ1348" s="71"/>
      <c r="BA1348" s="71"/>
      <c r="BB1348" s="71"/>
      <c r="BC1348" s="71"/>
      <c r="BD1348" s="71"/>
      <c r="BE1348" s="71"/>
      <c r="BF1348" s="71"/>
      <c r="BG1348" s="71"/>
      <c r="BH1348" s="71"/>
      <c r="BI1348" s="71"/>
      <c r="BJ1348" s="71"/>
      <c r="BK1348" s="71"/>
      <c r="BL1348" s="71"/>
      <c r="BM1348" s="71"/>
      <c r="BN1348" s="71"/>
      <c r="BO1348" s="71"/>
      <c r="BP1348" s="71"/>
      <c r="BQ1348" s="71"/>
      <c r="BR1348" s="71"/>
      <c r="BS1348" s="71"/>
      <c r="BT1348" s="71"/>
      <c r="BU1348" s="71"/>
      <c r="BV1348" s="71"/>
    </row>
    <row r="1349">
      <c r="A1349" s="53">
        <v>1.0</v>
      </c>
      <c r="B1349" s="53"/>
      <c r="C1349" s="73" t="s">
        <v>12</v>
      </c>
      <c r="D1349" s="53" t="s">
        <v>3320</v>
      </c>
      <c r="E1349" s="54" t="s">
        <v>38</v>
      </c>
      <c r="F1349" s="54" t="s">
        <v>42</v>
      </c>
      <c r="G1349" s="155" t="s">
        <v>3321</v>
      </c>
      <c r="H1349" s="157" t="s">
        <v>3322</v>
      </c>
      <c r="I1349" s="54">
        <f t="shared" si="24"/>
        <v>33</v>
      </c>
      <c r="J1349" s="56"/>
      <c r="K1349" s="57"/>
      <c r="L1349" s="76"/>
      <c r="M1349" s="59"/>
      <c r="N1349" s="79">
        <v>5445.0</v>
      </c>
      <c r="O1349" s="61">
        <v>5880.0</v>
      </c>
      <c r="P1349" s="62">
        <v>6350.400000000001</v>
      </c>
      <c r="Q1349" s="63">
        <v>6350.400000000001</v>
      </c>
      <c r="R1349" s="64">
        <v>6668.0</v>
      </c>
      <c r="S1349" s="111">
        <v>7001.0</v>
      </c>
      <c r="T1349" s="65">
        <f t="shared" si="39"/>
        <v>1120.16</v>
      </c>
      <c r="U1349" s="65">
        <f t="shared" si="40"/>
        <v>8121.16</v>
      </c>
      <c r="V1349" s="66">
        <f t="shared" si="42"/>
        <v>0.049940012</v>
      </c>
      <c r="W1349" s="67">
        <f t="shared" si="5"/>
        <v>6650.95</v>
      </c>
      <c r="X1349" s="67">
        <f t="shared" si="43"/>
        <v>1064.152</v>
      </c>
      <c r="Y1349" s="67">
        <f t="shared" si="44"/>
        <v>7715.102</v>
      </c>
      <c r="Z1349" s="67">
        <f t="shared" si="8"/>
        <v>6300.9</v>
      </c>
      <c r="AA1349" s="67">
        <f t="shared" si="45"/>
        <v>1008.144</v>
      </c>
      <c r="AB1349" s="67">
        <f t="shared" si="46"/>
        <v>7309.044</v>
      </c>
      <c r="AC1349" s="67">
        <f t="shared" si="11"/>
        <v>5950.85</v>
      </c>
      <c r="AD1349" s="67">
        <f t="shared" si="12"/>
        <v>952.136</v>
      </c>
      <c r="AE1349" s="67">
        <f t="shared" si="13"/>
        <v>6902.986</v>
      </c>
      <c r="AF1349" s="67">
        <f t="shared" si="33"/>
        <v>5810.83</v>
      </c>
      <c r="AG1349" s="67">
        <f t="shared" si="15"/>
        <v>929.7328</v>
      </c>
      <c r="AH1349" s="67">
        <f t="shared" si="16"/>
        <v>6740.5628</v>
      </c>
      <c r="AI1349" s="67">
        <f t="shared" si="17"/>
        <v>5600.8</v>
      </c>
      <c r="AJ1349" s="68">
        <f t="shared" si="47"/>
        <v>896.128</v>
      </c>
      <c r="AK1349" s="68">
        <f t="shared" si="48"/>
        <v>6496.928</v>
      </c>
      <c r="AL1349" s="70"/>
      <c r="AM1349" s="70"/>
      <c r="AN1349" s="71"/>
      <c r="AO1349" s="71"/>
      <c r="AP1349" s="71"/>
      <c r="AQ1349" s="71"/>
      <c r="AR1349" s="71"/>
      <c r="AS1349" s="71"/>
      <c r="AT1349" s="71"/>
      <c r="AU1349" s="71"/>
      <c r="AV1349" s="71"/>
      <c r="AW1349" s="71"/>
      <c r="AX1349" s="71"/>
      <c r="AY1349" s="71"/>
      <c r="AZ1349" s="71"/>
      <c r="BA1349" s="71"/>
      <c r="BB1349" s="71"/>
      <c r="BC1349" s="71"/>
      <c r="BD1349" s="71"/>
      <c r="BE1349" s="71"/>
      <c r="BF1349" s="71"/>
      <c r="BG1349" s="71"/>
      <c r="BH1349" s="71"/>
      <c r="BI1349" s="71"/>
      <c r="BJ1349" s="71"/>
      <c r="BK1349" s="71"/>
      <c r="BL1349" s="71"/>
      <c r="BM1349" s="71"/>
      <c r="BN1349" s="71"/>
      <c r="BO1349" s="71"/>
      <c r="BP1349" s="71"/>
      <c r="BQ1349" s="71"/>
      <c r="BR1349" s="71"/>
      <c r="BS1349" s="71"/>
      <c r="BT1349" s="71"/>
      <c r="BU1349" s="71"/>
      <c r="BV1349" s="71"/>
    </row>
    <row r="1350">
      <c r="A1350" s="53">
        <v>1.0</v>
      </c>
      <c r="B1350" s="72"/>
      <c r="C1350" s="73" t="s">
        <v>12</v>
      </c>
      <c r="D1350" s="74" t="s">
        <v>3323</v>
      </c>
      <c r="E1350" s="54" t="s">
        <v>77</v>
      </c>
      <c r="F1350" s="54" t="s">
        <v>42</v>
      </c>
      <c r="G1350" s="157" t="s">
        <v>3324</v>
      </c>
      <c r="H1350" s="157" t="s">
        <v>3325</v>
      </c>
      <c r="I1350" s="54">
        <f t="shared" si="24"/>
        <v>39</v>
      </c>
      <c r="J1350" s="56"/>
      <c r="K1350" s="57"/>
      <c r="L1350" s="87"/>
      <c r="M1350" s="59"/>
      <c r="N1350" s="79">
        <v>5445.0</v>
      </c>
      <c r="O1350" s="61">
        <v>5880.0</v>
      </c>
      <c r="P1350" s="62">
        <v>6350.400000000001</v>
      </c>
      <c r="Q1350" s="63">
        <v>6350.400000000001</v>
      </c>
      <c r="R1350" s="64">
        <v>7069.0</v>
      </c>
      <c r="S1350" s="111">
        <v>7422.0</v>
      </c>
      <c r="T1350" s="65">
        <f t="shared" si="39"/>
        <v>1187.52</v>
      </c>
      <c r="U1350" s="65">
        <f t="shared" si="40"/>
        <v>8609.52</v>
      </c>
      <c r="V1350" s="66">
        <f t="shared" si="42"/>
        <v>0.04993634177</v>
      </c>
      <c r="W1350" s="67">
        <f t="shared" si="5"/>
        <v>7050.9</v>
      </c>
      <c r="X1350" s="67">
        <f t="shared" si="43"/>
        <v>1128.144</v>
      </c>
      <c r="Y1350" s="67">
        <f t="shared" si="44"/>
        <v>8179.044</v>
      </c>
      <c r="Z1350" s="67">
        <f t="shared" si="8"/>
        <v>6679.8</v>
      </c>
      <c r="AA1350" s="67">
        <f t="shared" si="45"/>
        <v>1068.768</v>
      </c>
      <c r="AB1350" s="67">
        <f t="shared" si="46"/>
        <v>7748.568</v>
      </c>
      <c r="AC1350" s="67">
        <f t="shared" si="11"/>
        <v>6308.7</v>
      </c>
      <c r="AD1350" s="67">
        <f t="shared" si="12"/>
        <v>1009.392</v>
      </c>
      <c r="AE1350" s="67">
        <f t="shared" si="13"/>
        <v>7318.092</v>
      </c>
      <c r="AF1350" s="67">
        <f t="shared" si="33"/>
        <v>6160.26</v>
      </c>
      <c r="AG1350" s="67">
        <f t="shared" si="15"/>
        <v>985.6416</v>
      </c>
      <c r="AH1350" s="67">
        <f t="shared" si="16"/>
        <v>7145.9016</v>
      </c>
      <c r="AI1350" s="67">
        <f t="shared" si="17"/>
        <v>5937.6</v>
      </c>
      <c r="AJ1350" s="68">
        <f t="shared" si="47"/>
        <v>950.016</v>
      </c>
      <c r="AK1350" s="68">
        <f t="shared" si="48"/>
        <v>6887.616</v>
      </c>
      <c r="AL1350" s="70"/>
      <c r="AM1350" s="70"/>
      <c r="AN1350" s="71"/>
      <c r="AO1350" s="71"/>
      <c r="AP1350" s="71"/>
      <c r="AQ1350" s="71"/>
      <c r="AR1350" s="71"/>
      <c r="AS1350" s="71"/>
      <c r="AT1350" s="71"/>
      <c r="AU1350" s="71"/>
      <c r="AV1350" s="71"/>
      <c r="AW1350" s="71"/>
      <c r="AX1350" s="71"/>
      <c r="AY1350" s="71"/>
      <c r="AZ1350" s="71"/>
      <c r="BA1350" s="71"/>
      <c r="BB1350" s="71"/>
      <c r="BC1350" s="71"/>
      <c r="BD1350" s="71"/>
      <c r="BE1350" s="71"/>
      <c r="BF1350" s="71"/>
      <c r="BG1350" s="71"/>
      <c r="BH1350" s="71"/>
      <c r="BI1350" s="71"/>
      <c r="BJ1350" s="71"/>
      <c r="BK1350" s="71"/>
      <c r="BL1350" s="71"/>
      <c r="BM1350" s="71"/>
      <c r="BN1350" s="71"/>
      <c r="BO1350" s="71"/>
      <c r="BP1350" s="71"/>
      <c r="BQ1350" s="71"/>
      <c r="BR1350" s="71"/>
      <c r="BS1350" s="71"/>
      <c r="BT1350" s="71"/>
      <c r="BU1350" s="71"/>
      <c r="BV1350" s="71"/>
    </row>
    <row r="1351">
      <c r="A1351" s="53">
        <v>1.0</v>
      </c>
      <c r="B1351" s="72"/>
      <c r="C1351" s="73" t="s">
        <v>12</v>
      </c>
      <c r="D1351" s="74" t="s">
        <v>3326</v>
      </c>
      <c r="E1351" s="54" t="s">
        <v>77</v>
      </c>
      <c r="F1351" s="54" t="s">
        <v>42</v>
      </c>
      <c r="G1351" s="157" t="s">
        <v>3327</v>
      </c>
      <c r="H1351" s="157" t="s">
        <v>3328</v>
      </c>
      <c r="I1351" s="54">
        <f t="shared" si="24"/>
        <v>39</v>
      </c>
      <c r="J1351" s="56"/>
      <c r="K1351" s="57"/>
      <c r="L1351" s="87"/>
      <c r="M1351" s="59"/>
      <c r="N1351" s="79">
        <v>5400.0</v>
      </c>
      <c r="O1351" s="61">
        <v>5832.0</v>
      </c>
      <c r="P1351" s="62">
        <v>6298.56</v>
      </c>
      <c r="Q1351" s="63">
        <v>6298.56</v>
      </c>
      <c r="R1351" s="64">
        <v>7011.0</v>
      </c>
      <c r="S1351" s="111">
        <v>7362.0</v>
      </c>
      <c r="T1351" s="65">
        <f t="shared" si="39"/>
        <v>1177.92</v>
      </c>
      <c r="U1351" s="65">
        <f t="shared" si="40"/>
        <v>8539.92</v>
      </c>
      <c r="V1351" s="66">
        <f t="shared" si="42"/>
        <v>0.05006418485</v>
      </c>
      <c r="W1351" s="67">
        <f t="shared" si="5"/>
        <v>6993.9</v>
      </c>
      <c r="X1351" s="67">
        <f t="shared" si="43"/>
        <v>1119.024</v>
      </c>
      <c r="Y1351" s="67">
        <f t="shared" si="44"/>
        <v>8112.924</v>
      </c>
      <c r="Z1351" s="67">
        <f t="shared" si="8"/>
        <v>6625.8</v>
      </c>
      <c r="AA1351" s="67">
        <f t="shared" si="45"/>
        <v>1060.128</v>
      </c>
      <c r="AB1351" s="67">
        <f t="shared" si="46"/>
        <v>7685.928</v>
      </c>
      <c r="AC1351" s="67">
        <f t="shared" si="11"/>
        <v>6257.7</v>
      </c>
      <c r="AD1351" s="67">
        <f t="shared" si="12"/>
        <v>1001.232</v>
      </c>
      <c r="AE1351" s="67">
        <f t="shared" si="13"/>
        <v>7258.932</v>
      </c>
      <c r="AF1351" s="67">
        <f t="shared" si="33"/>
        <v>6110.46</v>
      </c>
      <c r="AG1351" s="67">
        <f t="shared" si="15"/>
        <v>977.6736</v>
      </c>
      <c r="AH1351" s="67">
        <f t="shared" si="16"/>
        <v>7088.1336</v>
      </c>
      <c r="AI1351" s="67">
        <f t="shared" si="17"/>
        <v>5889.6</v>
      </c>
      <c r="AJ1351" s="68">
        <f t="shared" si="47"/>
        <v>942.336</v>
      </c>
      <c r="AK1351" s="68">
        <f t="shared" si="48"/>
        <v>6831.936</v>
      </c>
      <c r="AL1351" s="70"/>
      <c r="AM1351" s="70"/>
      <c r="AN1351" s="71"/>
      <c r="AO1351" s="71"/>
      <c r="AP1351" s="71"/>
      <c r="AQ1351" s="71"/>
      <c r="AR1351" s="71"/>
      <c r="AS1351" s="71"/>
      <c r="AT1351" s="71"/>
      <c r="AU1351" s="71"/>
      <c r="AV1351" s="71"/>
      <c r="AW1351" s="71"/>
      <c r="AX1351" s="71"/>
      <c r="AY1351" s="71"/>
      <c r="AZ1351" s="71"/>
      <c r="BA1351" s="71"/>
      <c r="BB1351" s="71"/>
      <c r="BC1351" s="71"/>
      <c r="BD1351" s="71"/>
      <c r="BE1351" s="71"/>
      <c r="BF1351" s="71"/>
      <c r="BG1351" s="71"/>
      <c r="BH1351" s="71"/>
      <c r="BI1351" s="71"/>
      <c r="BJ1351" s="71"/>
      <c r="BK1351" s="71"/>
      <c r="BL1351" s="71"/>
      <c r="BM1351" s="71"/>
      <c r="BN1351" s="71"/>
      <c r="BO1351" s="71"/>
      <c r="BP1351" s="71"/>
      <c r="BQ1351" s="71"/>
      <c r="BR1351" s="71"/>
      <c r="BS1351" s="71"/>
      <c r="BT1351" s="71"/>
      <c r="BU1351" s="71"/>
      <c r="BV1351" s="71"/>
    </row>
    <row r="1352">
      <c r="A1352" s="53"/>
      <c r="B1352" s="53"/>
      <c r="C1352" s="73" t="s">
        <v>12</v>
      </c>
      <c r="D1352" s="53" t="s">
        <v>3329</v>
      </c>
      <c r="E1352" s="54" t="s">
        <v>38</v>
      </c>
      <c r="F1352" s="54" t="s">
        <v>42</v>
      </c>
      <c r="G1352" s="155" t="s">
        <v>3330</v>
      </c>
      <c r="H1352" s="157" t="s">
        <v>3331</v>
      </c>
      <c r="I1352" s="54">
        <f t="shared" si="24"/>
        <v>32</v>
      </c>
      <c r="J1352" s="56"/>
      <c r="K1352" s="57"/>
      <c r="L1352" s="76"/>
      <c r="M1352" s="59"/>
      <c r="N1352" s="60">
        <v>9261.0</v>
      </c>
      <c r="O1352" s="61">
        <v>10001.0</v>
      </c>
      <c r="P1352" s="62">
        <v>10801.08</v>
      </c>
      <c r="Q1352" s="63">
        <v>10801.08</v>
      </c>
      <c r="R1352" s="64">
        <v>11342.0</v>
      </c>
      <c r="S1352" s="111">
        <v>11909.0</v>
      </c>
      <c r="T1352" s="65">
        <f t="shared" si="39"/>
        <v>1905.44</v>
      </c>
      <c r="U1352" s="65">
        <f t="shared" si="40"/>
        <v>13814.44</v>
      </c>
      <c r="V1352" s="66">
        <f t="shared" si="42"/>
        <v>0.04999118321</v>
      </c>
      <c r="W1352" s="67">
        <f t="shared" si="5"/>
        <v>11313.55</v>
      </c>
      <c r="X1352" s="67">
        <f t="shared" si="43"/>
        <v>1810.168</v>
      </c>
      <c r="Y1352" s="67">
        <f t="shared" si="44"/>
        <v>13123.718</v>
      </c>
      <c r="Z1352" s="67">
        <f t="shared" si="8"/>
        <v>10718.1</v>
      </c>
      <c r="AA1352" s="67">
        <f t="shared" si="45"/>
        <v>1714.896</v>
      </c>
      <c r="AB1352" s="67">
        <f t="shared" si="46"/>
        <v>12432.996</v>
      </c>
      <c r="AC1352" s="67">
        <f t="shared" si="11"/>
        <v>10122.65</v>
      </c>
      <c r="AD1352" s="67">
        <f t="shared" si="12"/>
        <v>1619.624</v>
      </c>
      <c r="AE1352" s="67">
        <f t="shared" si="13"/>
        <v>11742.274</v>
      </c>
      <c r="AF1352" s="67">
        <f t="shared" si="33"/>
        <v>9884.47</v>
      </c>
      <c r="AG1352" s="67">
        <f t="shared" si="15"/>
        <v>1581.5152</v>
      </c>
      <c r="AH1352" s="67">
        <f t="shared" si="16"/>
        <v>11465.9852</v>
      </c>
      <c r="AI1352" s="67">
        <f t="shared" si="17"/>
        <v>9527.2</v>
      </c>
      <c r="AJ1352" s="68">
        <f t="shared" si="47"/>
        <v>1524.352</v>
      </c>
      <c r="AK1352" s="68">
        <f t="shared" si="48"/>
        <v>11051.552</v>
      </c>
      <c r="AL1352" s="70"/>
      <c r="AM1352" s="70"/>
      <c r="AN1352" s="71"/>
      <c r="AO1352" s="71"/>
      <c r="AP1352" s="71"/>
      <c r="AQ1352" s="71"/>
      <c r="AR1352" s="71"/>
      <c r="AS1352" s="71"/>
      <c r="AT1352" s="71"/>
      <c r="AU1352" s="71"/>
      <c r="AV1352" s="71"/>
      <c r="AW1352" s="71"/>
      <c r="AX1352" s="71"/>
      <c r="AY1352" s="71"/>
      <c r="AZ1352" s="71"/>
      <c r="BA1352" s="71"/>
      <c r="BB1352" s="71"/>
      <c r="BC1352" s="71"/>
      <c r="BD1352" s="71"/>
      <c r="BE1352" s="71"/>
      <c r="BF1352" s="71"/>
      <c r="BG1352" s="71"/>
      <c r="BH1352" s="71"/>
      <c r="BI1352" s="71"/>
      <c r="BJ1352" s="71"/>
      <c r="BK1352" s="71"/>
      <c r="BL1352" s="71"/>
      <c r="BM1352" s="71"/>
      <c r="BN1352" s="71"/>
      <c r="BO1352" s="71"/>
      <c r="BP1352" s="71"/>
      <c r="BQ1352" s="71"/>
      <c r="BR1352" s="71"/>
      <c r="BS1352" s="71"/>
      <c r="BT1352" s="71"/>
      <c r="BU1352" s="71"/>
      <c r="BV1352" s="71"/>
    </row>
    <row r="1353">
      <c r="A1353" s="53">
        <v>1.0</v>
      </c>
      <c r="B1353" s="72"/>
      <c r="C1353" s="73" t="s">
        <v>12</v>
      </c>
      <c r="D1353" s="74" t="s">
        <v>3332</v>
      </c>
      <c r="E1353" s="54" t="s">
        <v>77</v>
      </c>
      <c r="F1353" s="54" t="s">
        <v>42</v>
      </c>
      <c r="G1353" s="157" t="s">
        <v>3333</v>
      </c>
      <c r="H1353" s="157" t="s">
        <v>3334</v>
      </c>
      <c r="I1353" s="54">
        <f t="shared" si="24"/>
        <v>39</v>
      </c>
      <c r="J1353" s="56"/>
      <c r="K1353" s="57"/>
      <c r="L1353" s="87"/>
      <c r="M1353" s="59"/>
      <c r="N1353" s="79">
        <v>8820.0</v>
      </c>
      <c r="O1353" s="61">
        <v>9525.0</v>
      </c>
      <c r="P1353" s="62">
        <v>10287.0</v>
      </c>
      <c r="Q1353" s="63">
        <v>10287.0</v>
      </c>
      <c r="R1353" s="64">
        <v>11451.0</v>
      </c>
      <c r="S1353" s="111">
        <v>12024.0</v>
      </c>
      <c r="T1353" s="65">
        <f t="shared" si="39"/>
        <v>1923.84</v>
      </c>
      <c r="U1353" s="65">
        <f t="shared" si="40"/>
        <v>13947.84</v>
      </c>
      <c r="V1353" s="66">
        <f t="shared" si="42"/>
        <v>0.05003929788</v>
      </c>
      <c r="W1353" s="67">
        <f t="shared" si="5"/>
        <v>11422.8</v>
      </c>
      <c r="X1353" s="67">
        <f t="shared" si="43"/>
        <v>1827.648</v>
      </c>
      <c r="Y1353" s="67">
        <f t="shared" si="44"/>
        <v>13250.448</v>
      </c>
      <c r="Z1353" s="67">
        <f t="shared" si="8"/>
        <v>10821.6</v>
      </c>
      <c r="AA1353" s="67">
        <f t="shared" si="45"/>
        <v>1731.456</v>
      </c>
      <c r="AB1353" s="67">
        <f t="shared" si="46"/>
        <v>12553.056</v>
      </c>
      <c r="AC1353" s="67">
        <f t="shared" si="11"/>
        <v>10220.4</v>
      </c>
      <c r="AD1353" s="67">
        <f t="shared" si="12"/>
        <v>1635.264</v>
      </c>
      <c r="AE1353" s="67">
        <f t="shared" si="13"/>
        <v>11855.664</v>
      </c>
      <c r="AF1353" s="67">
        <f t="shared" si="33"/>
        <v>9979.92</v>
      </c>
      <c r="AG1353" s="67">
        <f t="shared" si="15"/>
        <v>1596.7872</v>
      </c>
      <c r="AH1353" s="67">
        <f t="shared" si="16"/>
        <v>11576.7072</v>
      </c>
      <c r="AI1353" s="67">
        <f t="shared" si="17"/>
        <v>9619.2</v>
      </c>
      <c r="AJ1353" s="68">
        <f t="shared" si="47"/>
        <v>1539.072</v>
      </c>
      <c r="AK1353" s="68">
        <f t="shared" si="48"/>
        <v>11158.272</v>
      </c>
      <c r="AL1353" s="70"/>
      <c r="AM1353" s="70"/>
      <c r="AN1353" s="71"/>
      <c r="AO1353" s="71"/>
      <c r="AP1353" s="71"/>
      <c r="AQ1353" s="71"/>
      <c r="AR1353" s="71"/>
      <c r="AS1353" s="71"/>
      <c r="AT1353" s="71"/>
      <c r="AU1353" s="71"/>
      <c r="AV1353" s="71"/>
      <c r="AW1353" s="71"/>
      <c r="AX1353" s="71"/>
      <c r="AY1353" s="71"/>
      <c r="AZ1353" s="71"/>
      <c r="BA1353" s="71"/>
      <c r="BB1353" s="71"/>
      <c r="BC1353" s="71"/>
      <c r="BD1353" s="71"/>
      <c r="BE1353" s="71"/>
      <c r="BF1353" s="71"/>
      <c r="BG1353" s="71"/>
      <c r="BH1353" s="71"/>
      <c r="BI1353" s="71"/>
      <c r="BJ1353" s="71"/>
      <c r="BK1353" s="71"/>
      <c r="BL1353" s="71"/>
      <c r="BM1353" s="71"/>
      <c r="BN1353" s="71"/>
      <c r="BO1353" s="71"/>
      <c r="BP1353" s="71"/>
      <c r="BQ1353" s="71"/>
      <c r="BR1353" s="71"/>
      <c r="BS1353" s="71"/>
      <c r="BT1353" s="71"/>
      <c r="BU1353" s="71"/>
      <c r="BV1353" s="71"/>
    </row>
    <row r="1354">
      <c r="A1354" s="53">
        <v>1.0</v>
      </c>
      <c r="B1354" s="72"/>
      <c r="C1354" s="73" t="s">
        <v>12</v>
      </c>
      <c r="D1354" s="53" t="s">
        <v>3335</v>
      </c>
      <c r="E1354" s="54" t="s">
        <v>77</v>
      </c>
      <c r="F1354" s="54" t="s">
        <v>42</v>
      </c>
      <c r="G1354" s="158" t="s">
        <v>3336</v>
      </c>
      <c r="H1354" s="157" t="s">
        <v>3337</v>
      </c>
      <c r="I1354" s="54">
        <f t="shared" si="24"/>
        <v>37</v>
      </c>
      <c r="J1354" s="56"/>
      <c r="K1354" s="57"/>
      <c r="L1354" s="87"/>
      <c r="M1354" s="59"/>
      <c r="N1354" s="79">
        <v>225.0</v>
      </c>
      <c r="O1354" s="61">
        <v>243.0</v>
      </c>
      <c r="P1354" s="62">
        <v>262.44</v>
      </c>
      <c r="Q1354" s="63">
        <v>262.44</v>
      </c>
      <c r="R1354" s="64">
        <v>293.0</v>
      </c>
      <c r="S1354" s="111">
        <v>308.0</v>
      </c>
      <c r="T1354" s="65">
        <f t="shared" si="39"/>
        <v>49.28</v>
      </c>
      <c r="U1354" s="65">
        <f t="shared" si="40"/>
        <v>357.28</v>
      </c>
      <c r="V1354" s="66">
        <f t="shared" si="42"/>
        <v>0.05119453925</v>
      </c>
      <c r="W1354" s="67">
        <f t="shared" si="5"/>
        <v>292.6</v>
      </c>
      <c r="X1354" s="67">
        <f t="shared" si="43"/>
        <v>46.816</v>
      </c>
      <c r="Y1354" s="67">
        <f t="shared" si="44"/>
        <v>339.416</v>
      </c>
      <c r="Z1354" s="67">
        <f t="shared" si="8"/>
        <v>277.2</v>
      </c>
      <c r="AA1354" s="67">
        <f t="shared" si="45"/>
        <v>44.352</v>
      </c>
      <c r="AB1354" s="67">
        <f t="shared" si="46"/>
        <v>321.552</v>
      </c>
      <c r="AC1354" s="67">
        <f t="shared" si="11"/>
        <v>261.8</v>
      </c>
      <c r="AD1354" s="67">
        <f t="shared" si="12"/>
        <v>41.888</v>
      </c>
      <c r="AE1354" s="67">
        <f t="shared" si="13"/>
        <v>303.688</v>
      </c>
      <c r="AF1354" s="67">
        <f t="shared" si="33"/>
        <v>255.64</v>
      </c>
      <c r="AG1354" s="67">
        <f t="shared" si="15"/>
        <v>40.9024</v>
      </c>
      <c r="AH1354" s="67">
        <f t="shared" si="16"/>
        <v>296.5424</v>
      </c>
      <c r="AI1354" s="67">
        <f t="shared" si="17"/>
        <v>246.4</v>
      </c>
      <c r="AJ1354" s="68">
        <f t="shared" si="47"/>
        <v>39.424</v>
      </c>
      <c r="AK1354" s="68">
        <f t="shared" si="48"/>
        <v>285.824</v>
      </c>
      <c r="AL1354" s="70"/>
      <c r="AM1354" s="70"/>
      <c r="AN1354" s="71"/>
      <c r="AO1354" s="71"/>
      <c r="AP1354" s="71"/>
      <c r="AQ1354" s="71"/>
      <c r="AR1354" s="71"/>
      <c r="AS1354" s="71"/>
      <c r="AT1354" s="71"/>
      <c r="AU1354" s="71"/>
      <c r="AV1354" s="71"/>
      <c r="AW1354" s="71"/>
      <c r="AX1354" s="71"/>
      <c r="AY1354" s="71"/>
      <c r="AZ1354" s="71"/>
      <c r="BA1354" s="71"/>
      <c r="BB1354" s="71"/>
      <c r="BC1354" s="71"/>
      <c r="BD1354" s="71"/>
      <c r="BE1354" s="71"/>
      <c r="BF1354" s="71"/>
      <c r="BG1354" s="71"/>
      <c r="BH1354" s="71"/>
      <c r="BI1354" s="71"/>
      <c r="BJ1354" s="71"/>
      <c r="BK1354" s="71"/>
      <c r="BL1354" s="71"/>
      <c r="BM1354" s="71"/>
      <c r="BN1354" s="71"/>
      <c r="BO1354" s="71"/>
      <c r="BP1354" s="71"/>
      <c r="BQ1354" s="71"/>
      <c r="BR1354" s="71"/>
      <c r="BS1354" s="71"/>
      <c r="BT1354" s="71"/>
      <c r="BU1354" s="71"/>
      <c r="BV1354" s="71"/>
    </row>
    <row r="1355">
      <c r="A1355" s="53"/>
      <c r="B1355" s="53"/>
      <c r="C1355" s="73" t="s">
        <v>12</v>
      </c>
      <c r="D1355" s="53" t="s">
        <v>3338</v>
      </c>
      <c r="E1355" s="54" t="s">
        <v>38</v>
      </c>
      <c r="F1355" s="54" t="s">
        <v>42</v>
      </c>
      <c r="G1355" s="155" t="s">
        <v>3339</v>
      </c>
      <c r="H1355" s="155" t="s">
        <v>3340</v>
      </c>
      <c r="I1355" s="54">
        <f t="shared" si="24"/>
        <v>38</v>
      </c>
      <c r="J1355" s="56"/>
      <c r="K1355" s="57"/>
      <c r="L1355" s="87"/>
      <c r="M1355" s="59"/>
      <c r="N1355" s="60"/>
      <c r="O1355" s="90"/>
      <c r="P1355" s="62">
        <v>243.0</v>
      </c>
      <c r="Q1355" s="63">
        <v>243.0</v>
      </c>
      <c r="R1355" s="64">
        <v>256.0</v>
      </c>
      <c r="S1355" s="111">
        <v>269.0</v>
      </c>
      <c r="T1355" s="65">
        <f t="shared" si="39"/>
        <v>43.04</v>
      </c>
      <c r="U1355" s="65">
        <f t="shared" si="40"/>
        <v>312.04</v>
      </c>
      <c r="V1355" s="66">
        <f t="shared" si="42"/>
        <v>0.05078125</v>
      </c>
      <c r="W1355" s="67">
        <f t="shared" si="5"/>
        <v>255.55</v>
      </c>
      <c r="X1355" s="67">
        <f t="shared" si="43"/>
        <v>40.888</v>
      </c>
      <c r="Y1355" s="67">
        <f t="shared" si="44"/>
        <v>296.438</v>
      </c>
      <c r="Z1355" s="67">
        <f t="shared" si="8"/>
        <v>242.1</v>
      </c>
      <c r="AA1355" s="67">
        <f t="shared" si="45"/>
        <v>38.736</v>
      </c>
      <c r="AB1355" s="67">
        <f t="shared" si="46"/>
        <v>280.836</v>
      </c>
      <c r="AC1355" s="67">
        <f t="shared" si="11"/>
        <v>228.65</v>
      </c>
      <c r="AD1355" s="67">
        <f t="shared" si="12"/>
        <v>36.584</v>
      </c>
      <c r="AE1355" s="67">
        <f t="shared" si="13"/>
        <v>265.234</v>
      </c>
      <c r="AF1355" s="67">
        <f t="shared" si="33"/>
        <v>223.27</v>
      </c>
      <c r="AG1355" s="67">
        <f t="shared" si="15"/>
        <v>35.7232</v>
      </c>
      <c r="AH1355" s="67">
        <f t="shared" si="16"/>
        <v>258.9932</v>
      </c>
      <c r="AI1355" s="67">
        <f t="shared" si="17"/>
        <v>215.2</v>
      </c>
      <c r="AJ1355" s="68">
        <f t="shared" si="47"/>
        <v>34.432</v>
      </c>
      <c r="AK1355" s="68">
        <f t="shared" si="48"/>
        <v>249.632</v>
      </c>
      <c r="AL1355" s="70"/>
      <c r="AM1355" s="70"/>
      <c r="AN1355" s="71"/>
      <c r="AO1355" s="71"/>
      <c r="AP1355" s="71"/>
      <c r="AQ1355" s="71"/>
      <c r="AR1355" s="71"/>
      <c r="AS1355" s="71"/>
      <c r="AT1355" s="71"/>
      <c r="AU1355" s="71"/>
      <c r="AV1355" s="71"/>
      <c r="AW1355" s="71"/>
      <c r="AX1355" s="71"/>
      <c r="AY1355" s="71"/>
      <c r="AZ1355" s="71"/>
      <c r="BA1355" s="71"/>
      <c r="BB1355" s="71"/>
      <c r="BC1355" s="71"/>
      <c r="BD1355" s="71"/>
      <c r="BE1355" s="71"/>
      <c r="BF1355" s="71"/>
      <c r="BG1355" s="71"/>
      <c r="BH1355" s="71"/>
      <c r="BI1355" s="71"/>
      <c r="BJ1355" s="71"/>
      <c r="BK1355" s="71"/>
      <c r="BL1355" s="71"/>
      <c r="BM1355" s="71"/>
      <c r="BN1355" s="71"/>
      <c r="BO1355" s="71"/>
      <c r="BP1355" s="71"/>
      <c r="BQ1355" s="71"/>
      <c r="BR1355" s="71"/>
      <c r="BS1355" s="71"/>
      <c r="BT1355" s="71"/>
      <c r="BU1355" s="71"/>
      <c r="BV1355" s="71"/>
    </row>
    <row r="1356">
      <c r="A1356" s="53">
        <v>1.0</v>
      </c>
      <c r="B1356" s="53"/>
      <c r="C1356" s="73" t="s">
        <v>12</v>
      </c>
      <c r="D1356" s="53" t="s">
        <v>3341</v>
      </c>
      <c r="E1356" s="54" t="s">
        <v>38</v>
      </c>
      <c r="F1356" s="54" t="s">
        <v>42</v>
      </c>
      <c r="G1356" s="155" t="s">
        <v>3342</v>
      </c>
      <c r="H1356" s="157" t="s">
        <v>3343</v>
      </c>
      <c r="I1356" s="54">
        <f t="shared" si="24"/>
        <v>32</v>
      </c>
      <c r="J1356" s="56"/>
      <c r="K1356" s="57"/>
      <c r="L1356" s="87"/>
      <c r="M1356" s="59"/>
      <c r="N1356" s="79">
        <v>224.0</v>
      </c>
      <c r="O1356" s="61">
        <v>261.0</v>
      </c>
      <c r="P1356" s="62">
        <v>281.88</v>
      </c>
      <c r="Q1356" s="63">
        <v>281.88</v>
      </c>
      <c r="R1356" s="64">
        <v>314.0</v>
      </c>
      <c r="S1356" s="111">
        <v>330.0</v>
      </c>
      <c r="T1356" s="65">
        <f t="shared" si="39"/>
        <v>52.8</v>
      </c>
      <c r="U1356" s="65">
        <f t="shared" si="40"/>
        <v>382.8</v>
      </c>
      <c r="V1356" s="66">
        <f t="shared" si="42"/>
        <v>0.05095541401</v>
      </c>
      <c r="W1356" s="67">
        <f t="shared" si="5"/>
        <v>313.5</v>
      </c>
      <c r="X1356" s="67">
        <f t="shared" si="43"/>
        <v>50.16</v>
      </c>
      <c r="Y1356" s="67">
        <f t="shared" si="44"/>
        <v>363.66</v>
      </c>
      <c r="Z1356" s="67">
        <f t="shared" si="8"/>
        <v>297</v>
      </c>
      <c r="AA1356" s="67">
        <f t="shared" si="45"/>
        <v>47.52</v>
      </c>
      <c r="AB1356" s="67">
        <f t="shared" si="46"/>
        <v>344.52</v>
      </c>
      <c r="AC1356" s="67">
        <f t="shared" si="11"/>
        <v>280.5</v>
      </c>
      <c r="AD1356" s="67">
        <f t="shared" si="12"/>
        <v>44.88</v>
      </c>
      <c r="AE1356" s="67">
        <f t="shared" si="13"/>
        <v>325.38</v>
      </c>
      <c r="AF1356" s="67">
        <f t="shared" si="33"/>
        <v>273.9</v>
      </c>
      <c r="AG1356" s="67">
        <f t="shared" si="15"/>
        <v>43.824</v>
      </c>
      <c r="AH1356" s="67">
        <f t="shared" si="16"/>
        <v>317.724</v>
      </c>
      <c r="AI1356" s="67">
        <f t="shared" si="17"/>
        <v>264</v>
      </c>
      <c r="AJ1356" s="68">
        <f t="shared" si="47"/>
        <v>42.24</v>
      </c>
      <c r="AK1356" s="68">
        <f t="shared" si="48"/>
        <v>306.24</v>
      </c>
      <c r="AL1356" s="70"/>
      <c r="AM1356" s="70"/>
      <c r="AN1356" s="71"/>
      <c r="AO1356" s="71"/>
      <c r="AP1356" s="71"/>
      <c r="AQ1356" s="71"/>
      <c r="AR1356" s="71"/>
      <c r="AS1356" s="71"/>
      <c r="AT1356" s="71"/>
      <c r="AU1356" s="71"/>
      <c r="AV1356" s="71"/>
      <c r="AW1356" s="71"/>
      <c r="AX1356" s="71"/>
      <c r="AY1356" s="71"/>
      <c r="AZ1356" s="71"/>
      <c r="BA1356" s="71"/>
      <c r="BB1356" s="71"/>
      <c r="BC1356" s="71"/>
      <c r="BD1356" s="71"/>
      <c r="BE1356" s="71"/>
      <c r="BF1356" s="71"/>
      <c r="BG1356" s="71"/>
      <c r="BH1356" s="71"/>
      <c r="BI1356" s="71"/>
      <c r="BJ1356" s="71"/>
      <c r="BK1356" s="71"/>
      <c r="BL1356" s="71"/>
      <c r="BM1356" s="71"/>
      <c r="BN1356" s="71"/>
      <c r="BO1356" s="71"/>
      <c r="BP1356" s="71"/>
      <c r="BQ1356" s="71"/>
      <c r="BR1356" s="71"/>
      <c r="BS1356" s="71"/>
      <c r="BT1356" s="71"/>
      <c r="BU1356" s="71"/>
      <c r="BV1356" s="71"/>
    </row>
    <row r="1357">
      <c r="A1357" s="53">
        <v>1.0</v>
      </c>
      <c r="B1357" s="53"/>
      <c r="C1357" s="73" t="s">
        <v>12</v>
      </c>
      <c r="D1357" s="53" t="s">
        <v>3344</v>
      </c>
      <c r="E1357" s="54" t="s">
        <v>38</v>
      </c>
      <c r="F1357" s="54" t="s">
        <v>42</v>
      </c>
      <c r="G1357" s="155" t="s">
        <v>3345</v>
      </c>
      <c r="H1357" s="157" t="s">
        <v>3346</v>
      </c>
      <c r="I1357" s="54">
        <f t="shared" si="24"/>
        <v>34</v>
      </c>
      <c r="J1357" s="56"/>
      <c r="K1357" s="57"/>
      <c r="L1357" s="76"/>
      <c r="M1357" s="59"/>
      <c r="N1357" s="79">
        <v>225.0</v>
      </c>
      <c r="O1357" s="61">
        <v>243.0</v>
      </c>
      <c r="P1357" s="62">
        <v>262.44</v>
      </c>
      <c r="Q1357" s="63">
        <v>262.44</v>
      </c>
      <c r="R1357" s="64">
        <v>276.0</v>
      </c>
      <c r="S1357" s="111">
        <v>290.0</v>
      </c>
      <c r="T1357" s="65">
        <f t="shared" si="39"/>
        <v>46.4</v>
      </c>
      <c r="U1357" s="65">
        <f t="shared" si="40"/>
        <v>336.4</v>
      </c>
      <c r="V1357" s="66">
        <f t="shared" si="42"/>
        <v>0.05072463768</v>
      </c>
      <c r="W1357" s="67">
        <f t="shared" si="5"/>
        <v>275.5</v>
      </c>
      <c r="X1357" s="67">
        <f t="shared" si="43"/>
        <v>44.08</v>
      </c>
      <c r="Y1357" s="67">
        <f t="shared" si="44"/>
        <v>319.58</v>
      </c>
      <c r="Z1357" s="67">
        <f t="shared" si="8"/>
        <v>261</v>
      </c>
      <c r="AA1357" s="67">
        <f t="shared" si="45"/>
        <v>41.76</v>
      </c>
      <c r="AB1357" s="67">
        <f t="shared" si="46"/>
        <v>302.76</v>
      </c>
      <c r="AC1357" s="67">
        <f t="shared" si="11"/>
        <v>246.5</v>
      </c>
      <c r="AD1357" s="67">
        <f t="shared" si="12"/>
        <v>39.44</v>
      </c>
      <c r="AE1357" s="67">
        <f t="shared" si="13"/>
        <v>285.94</v>
      </c>
      <c r="AF1357" s="67">
        <f t="shared" si="33"/>
        <v>240.7</v>
      </c>
      <c r="AG1357" s="67">
        <f t="shared" si="15"/>
        <v>38.512</v>
      </c>
      <c r="AH1357" s="67">
        <f t="shared" si="16"/>
        <v>279.212</v>
      </c>
      <c r="AI1357" s="67">
        <f t="shared" si="17"/>
        <v>232</v>
      </c>
      <c r="AJ1357" s="68">
        <f t="shared" si="47"/>
        <v>37.12</v>
      </c>
      <c r="AK1357" s="68">
        <f t="shared" si="48"/>
        <v>269.12</v>
      </c>
      <c r="AL1357" s="70"/>
      <c r="AM1357" s="70"/>
      <c r="AN1357" s="71"/>
      <c r="AO1357" s="71"/>
      <c r="AP1357" s="71"/>
      <c r="AQ1357" s="71"/>
      <c r="AR1357" s="71"/>
      <c r="AS1357" s="71"/>
      <c r="AT1357" s="71"/>
      <c r="AU1357" s="71"/>
      <c r="AV1357" s="71"/>
      <c r="AW1357" s="71"/>
      <c r="AX1357" s="71"/>
      <c r="AY1357" s="71"/>
      <c r="AZ1357" s="71"/>
      <c r="BA1357" s="71"/>
      <c r="BB1357" s="71"/>
      <c r="BC1357" s="71"/>
      <c r="BD1357" s="71"/>
      <c r="BE1357" s="71"/>
      <c r="BF1357" s="71"/>
      <c r="BG1357" s="71"/>
      <c r="BH1357" s="71"/>
      <c r="BI1357" s="71"/>
      <c r="BJ1357" s="71"/>
      <c r="BK1357" s="71"/>
      <c r="BL1357" s="71"/>
      <c r="BM1357" s="71"/>
      <c r="BN1357" s="71"/>
      <c r="BO1357" s="71"/>
      <c r="BP1357" s="71"/>
      <c r="BQ1357" s="71"/>
      <c r="BR1357" s="71"/>
      <c r="BS1357" s="71"/>
      <c r="BT1357" s="71"/>
      <c r="BU1357" s="71"/>
      <c r="BV1357" s="71"/>
    </row>
    <row r="1358">
      <c r="A1358" s="53"/>
      <c r="B1358" s="53"/>
      <c r="C1358" s="73" t="s">
        <v>12</v>
      </c>
      <c r="D1358" s="53" t="s">
        <v>3347</v>
      </c>
      <c r="E1358" s="54" t="s">
        <v>38</v>
      </c>
      <c r="F1358" s="54" t="s">
        <v>42</v>
      </c>
      <c r="G1358" s="155" t="s">
        <v>3348</v>
      </c>
      <c r="H1358" s="155" t="s">
        <v>3349</v>
      </c>
      <c r="I1358" s="54">
        <f t="shared" si="24"/>
        <v>38</v>
      </c>
      <c r="J1358" s="56"/>
      <c r="K1358" s="57"/>
      <c r="L1358" s="87"/>
      <c r="M1358" s="59"/>
      <c r="N1358" s="60"/>
      <c r="O1358" s="90"/>
      <c r="P1358" s="62">
        <v>270.0</v>
      </c>
      <c r="Q1358" s="63">
        <v>270.0</v>
      </c>
      <c r="R1358" s="64">
        <v>284.0</v>
      </c>
      <c r="S1358" s="111">
        <v>298.0</v>
      </c>
      <c r="T1358" s="65">
        <f t="shared" si="39"/>
        <v>47.68</v>
      </c>
      <c r="U1358" s="65">
        <f t="shared" si="40"/>
        <v>345.68</v>
      </c>
      <c r="V1358" s="66">
        <f t="shared" si="42"/>
        <v>0.04929577465</v>
      </c>
      <c r="W1358" s="67">
        <f t="shared" si="5"/>
        <v>283.1</v>
      </c>
      <c r="X1358" s="67">
        <f t="shared" si="43"/>
        <v>45.296</v>
      </c>
      <c r="Y1358" s="67">
        <f t="shared" si="44"/>
        <v>328.396</v>
      </c>
      <c r="Z1358" s="67">
        <f t="shared" si="8"/>
        <v>268.2</v>
      </c>
      <c r="AA1358" s="67">
        <f t="shared" si="45"/>
        <v>42.912</v>
      </c>
      <c r="AB1358" s="67">
        <f t="shared" si="46"/>
        <v>311.112</v>
      </c>
      <c r="AC1358" s="67">
        <f t="shared" si="11"/>
        <v>253.3</v>
      </c>
      <c r="AD1358" s="67">
        <f t="shared" si="12"/>
        <v>40.528</v>
      </c>
      <c r="AE1358" s="67">
        <f t="shared" si="13"/>
        <v>293.828</v>
      </c>
      <c r="AF1358" s="67">
        <f t="shared" si="33"/>
        <v>247.34</v>
      </c>
      <c r="AG1358" s="67">
        <f t="shared" si="15"/>
        <v>39.5744</v>
      </c>
      <c r="AH1358" s="67">
        <f t="shared" si="16"/>
        <v>286.9144</v>
      </c>
      <c r="AI1358" s="67">
        <f t="shared" si="17"/>
        <v>238.4</v>
      </c>
      <c r="AJ1358" s="68">
        <f t="shared" si="47"/>
        <v>38.144</v>
      </c>
      <c r="AK1358" s="68">
        <f t="shared" si="48"/>
        <v>276.544</v>
      </c>
      <c r="AL1358" s="70"/>
      <c r="AM1358" s="70"/>
      <c r="AN1358" s="71"/>
      <c r="AO1358" s="71"/>
      <c r="AP1358" s="71"/>
      <c r="AQ1358" s="71"/>
      <c r="AR1358" s="71"/>
      <c r="AS1358" s="71"/>
      <c r="AT1358" s="71"/>
      <c r="AU1358" s="71"/>
      <c r="AV1358" s="71"/>
      <c r="AW1358" s="71"/>
      <c r="AX1358" s="71"/>
      <c r="AY1358" s="71"/>
      <c r="AZ1358" s="71"/>
      <c r="BA1358" s="71"/>
      <c r="BB1358" s="71"/>
      <c r="BC1358" s="71"/>
      <c r="BD1358" s="71"/>
      <c r="BE1358" s="71"/>
      <c r="BF1358" s="71"/>
      <c r="BG1358" s="71"/>
      <c r="BH1358" s="71"/>
      <c r="BI1358" s="71"/>
      <c r="BJ1358" s="71"/>
      <c r="BK1358" s="71"/>
      <c r="BL1358" s="71"/>
      <c r="BM1358" s="71"/>
      <c r="BN1358" s="71"/>
      <c r="BO1358" s="71"/>
      <c r="BP1358" s="71"/>
      <c r="BQ1358" s="71"/>
      <c r="BR1358" s="71"/>
      <c r="BS1358" s="71"/>
      <c r="BT1358" s="71"/>
      <c r="BU1358" s="71"/>
      <c r="BV1358" s="71"/>
    </row>
    <row r="1359">
      <c r="A1359" s="53">
        <v>1.0</v>
      </c>
      <c r="B1359" s="53"/>
      <c r="C1359" s="73" t="s">
        <v>12</v>
      </c>
      <c r="D1359" s="53" t="s">
        <v>3350</v>
      </c>
      <c r="E1359" s="54" t="s">
        <v>38</v>
      </c>
      <c r="F1359" s="54" t="s">
        <v>42</v>
      </c>
      <c r="G1359" s="155" t="s">
        <v>3351</v>
      </c>
      <c r="H1359" s="157" t="s">
        <v>3352</v>
      </c>
      <c r="I1359" s="54">
        <f t="shared" si="24"/>
        <v>32</v>
      </c>
      <c r="J1359" s="56"/>
      <c r="K1359" s="57"/>
      <c r="L1359" s="87"/>
      <c r="M1359" s="59"/>
      <c r="N1359" s="79">
        <v>218.0</v>
      </c>
      <c r="O1359" s="61">
        <v>270.0</v>
      </c>
      <c r="P1359" s="62">
        <v>291.6</v>
      </c>
      <c r="Q1359" s="63">
        <v>291.6</v>
      </c>
      <c r="R1359" s="64">
        <v>326.0</v>
      </c>
      <c r="S1359" s="111">
        <v>342.0</v>
      </c>
      <c r="T1359" s="65">
        <f t="shared" si="39"/>
        <v>54.72</v>
      </c>
      <c r="U1359" s="65">
        <f t="shared" si="40"/>
        <v>396.72</v>
      </c>
      <c r="V1359" s="66">
        <f t="shared" si="42"/>
        <v>0.0490797546</v>
      </c>
      <c r="W1359" s="67">
        <f t="shared" si="5"/>
        <v>324.9</v>
      </c>
      <c r="X1359" s="67">
        <f t="shared" si="43"/>
        <v>51.984</v>
      </c>
      <c r="Y1359" s="67">
        <f t="shared" si="44"/>
        <v>376.884</v>
      </c>
      <c r="Z1359" s="67">
        <f t="shared" si="8"/>
        <v>307.8</v>
      </c>
      <c r="AA1359" s="67">
        <f t="shared" si="45"/>
        <v>49.248</v>
      </c>
      <c r="AB1359" s="67">
        <f t="shared" si="46"/>
        <v>357.048</v>
      </c>
      <c r="AC1359" s="67">
        <f t="shared" si="11"/>
        <v>290.7</v>
      </c>
      <c r="AD1359" s="67">
        <f t="shared" si="12"/>
        <v>46.512</v>
      </c>
      <c r="AE1359" s="67">
        <f t="shared" si="13"/>
        <v>337.212</v>
      </c>
      <c r="AF1359" s="67">
        <f t="shared" si="33"/>
        <v>283.86</v>
      </c>
      <c r="AG1359" s="67">
        <f t="shared" si="15"/>
        <v>45.4176</v>
      </c>
      <c r="AH1359" s="67">
        <f t="shared" si="16"/>
        <v>329.2776</v>
      </c>
      <c r="AI1359" s="67">
        <f t="shared" si="17"/>
        <v>273.6</v>
      </c>
      <c r="AJ1359" s="68">
        <f t="shared" si="47"/>
        <v>43.776</v>
      </c>
      <c r="AK1359" s="68">
        <f t="shared" si="48"/>
        <v>317.376</v>
      </c>
      <c r="AL1359" s="70"/>
      <c r="AM1359" s="70"/>
      <c r="AN1359" s="71"/>
      <c r="AO1359" s="71"/>
      <c r="AP1359" s="71"/>
      <c r="AQ1359" s="71"/>
      <c r="AR1359" s="71"/>
      <c r="AS1359" s="71"/>
      <c r="AT1359" s="71"/>
      <c r="AU1359" s="71"/>
      <c r="AV1359" s="71"/>
      <c r="AW1359" s="71"/>
      <c r="AX1359" s="71"/>
      <c r="AY1359" s="71"/>
      <c r="AZ1359" s="71"/>
      <c r="BA1359" s="71"/>
      <c r="BB1359" s="71"/>
      <c r="BC1359" s="71"/>
      <c r="BD1359" s="71"/>
      <c r="BE1359" s="71"/>
      <c r="BF1359" s="71"/>
      <c r="BG1359" s="71"/>
      <c r="BH1359" s="71"/>
      <c r="BI1359" s="71"/>
      <c r="BJ1359" s="71"/>
      <c r="BK1359" s="71"/>
      <c r="BL1359" s="71"/>
      <c r="BM1359" s="71"/>
      <c r="BN1359" s="71"/>
      <c r="BO1359" s="71"/>
      <c r="BP1359" s="71"/>
      <c r="BQ1359" s="71"/>
      <c r="BR1359" s="71"/>
      <c r="BS1359" s="71"/>
      <c r="BT1359" s="71"/>
      <c r="BU1359" s="71"/>
      <c r="BV1359" s="71"/>
    </row>
    <row r="1360">
      <c r="A1360" s="53"/>
      <c r="B1360" s="53"/>
      <c r="C1360" s="53" t="s">
        <v>12</v>
      </c>
      <c r="D1360" s="53" t="s">
        <v>3353</v>
      </c>
      <c r="E1360" s="54" t="s">
        <v>38</v>
      </c>
      <c r="F1360" s="54" t="s">
        <v>42</v>
      </c>
      <c r="G1360" s="155" t="s">
        <v>3354</v>
      </c>
      <c r="H1360" s="157" t="s">
        <v>3355</v>
      </c>
      <c r="I1360" s="54">
        <f t="shared" si="24"/>
        <v>32</v>
      </c>
      <c r="J1360" s="56"/>
      <c r="K1360" s="57"/>
      <c r="L1360" s="76"/>
      <c r="M1360" s="59"/>
      <c r="N1360" s="79">
        <v>320.0</v>
      </c>
      <c r="O1360" s="61">
        <v>345.0</v>
      </c>
      <c r="P1360" s="63">
        <v>372.6</v>
      </c>
      <c r="Q1360" s="63">
        <v>372.6</v>
      </c>
      <c r="R1360" s="64">
        <v>392.0</v>
      </c>
      <c r="S1360" s="111">
        <v>412.0</v>
      </c>
      <c r="T1360" s="65">
        <f t="shared" si="39"/>
        <v>65.92</v>
      </c>
      <c r="U1360" s="65">
        <f t="shared" si="40"/>
        <v>477.92</v>
      </c>
      <c r="V1360" s="66">
        <f t="shared" si="42"/>
        <v>0.05102040816</v>
      </c>
      <c r="W1360" s="67">
        <f t="shared" si="5"/>
        <v>391.4</v>
      </c>
      <c r="X1360" s="67">
        <f t="shared" si="43"/>
        <v>62.624</v>
      </c>
      <c r="Y1360" s="67">
        <f t="shared" si="44"/>
        <v>454.024</v>
      </c>
      <c r="Z1360" s="67">
        <f t="shared" si="8"/>
        <v>370.8</v>
      </c>
      <c r="AA1360" s="67">
        <f t="shared" si="45"/>
        <v>59.328</v>
      </c>
      <c r="AB1360" s="67">
        <f t="shared" si="46"/>
        <v>430.128</v>
      </c>
      <c r="AC1360" s="67">
        <f t="shared" si="11"/>
        <v>350.2</v>
      </c>
      <c r="AD1360" s="67">
        <f t="shared" si="12"/>
        <v>56.032</v>
      </c>
      <c r="AE1360" s="67">
        <f t="shared" si="13"/>
        <v>406.232</v>
      </c>
      <c r="AF1360" s="67">
        <f t="shared" si="33"/>
        <v>341.96</v>
      </c>
      <c r="AG1360" s="67">
        <f t="shared" si="15"/>
        <v>54.7136</v>
      </c>
      <c r="AH1360" s="67">
        <f t="shared" si="16"/>
        <v>396.6736</v>
      </c>
      <c r="AI1360" s="67">
        <f t="shared" si="17"/>
        <v>329.6</v>
      </c>
      <c r="AJ1360" s="68">
        <f t="shared" si="47"/>
        <v>52.736</v>
      </c>
      <c r="AK1360" s="68">
        <f t="shared" si="48"/>
        <v>382.336</v>
      </c>
      <c r="AL1360" s="70"/>
      <c r="AM1360" s="70"/>
      <c r="AN1360" s="71"/>
      <c r="AO1360" s="71"/>
      <c r="AP1360" s="71"/>
      <c r="AQ1360" s="71"/>
      <c r="AR1360" s="71"/>
      <c r="AS1360" s="71"/>
      <c r="AT1360" s="71"/>
      <c r="AU1360" s="71"/>
      <c r="AV1360" s="71"/>
      <c r="AW1360" s="71"/>
      <c r="AX1360" s="71"/>
      <c r="AY1360" s="71"/>
      <c r="AZ1360" s="71"/>
      <c r="BA1360" s="71"/>
      <c r="BB1360" s="71"/>
      <c r="BC1360" s="71"/>
      <c r="BD1360" s="71"/>
      <c r="BE1360" s="71"/>
      <c r="BF1360" s="71"/>
      <c r="BG1360" s="71"/>
      <c r="BH1360" s="71"/>
      <c r="BI1360" s="71"/>
      <c r="BJ1360" s="71"/>
      <c r="BK1360" s="71"/>
      <c r="BL1360" s="71"/>
      <c r="BM1360" s="71"/>
      <c r="BN1360" s="71"/>
      <c r="BO1360" s="71"/>
      <c r="BP1360" s="71"/>
      <c r="BQ1360" s="71"/>
      <c r="BR1360" s="71"/>
      <c r="BS1360" s="71"/>
      <c r="BT1360" s="71"/>
      <c r="BU1360" s="71"/>
      <c r="BV1360" s="71"/>
    </row>
    <row r="1361">
      <c r="A1361" s="53">
        <v>1.0</v>
      </c>
      <c r="B1361" s="53"/>
      <c r="C1361" s="73" t="s">
        <v>12</v>
      </c>
      <c r="D1361" s="53" t="s">
        <v>3356</v>
      </c>
      <c r="E1361" s="54" t="s">
        <v>38</v>
      </c>
      <c r="F1361" s="54" t="s">
        <v>42</v>
      </c>
      <c r="G1361" s="155" t="s">
        <v>3357</v>
      </c>
      <c r="H1361" s="157" t="s">
        <v>3358</v>
      </c>
      <c r="I1361" s="54">
        <f t="shared" si="24"/>
        <v>26</v>
      </c>
      <c r="J1361" s="56"/>
      <c r="K1361" s="57"/>
      <c r="L1361" s="76"/>
      <c r="M1361" s="59"/>
      <c r="N1361" s="79">
        <v>320.0</v>
      </c>
      <c r="O1361" s="61">
        <v>345.0</v>
      </c>
      <c r="P1361" s="62">
        <v>372.6</v>
      </c>
      <c r="Q1361" s="63">
        <v>372.6</v>
      </c>
      <c r="R1361" s="64">
        <v>392.0</v>
      </c>
      <c r="S1361" s="111">
        <v>412.0</v>
      </c>
      <c r="T1361" s="65">
        <f t="shared" si="39"/>
        <v>65.92</v>
      </c>
      <c r="U1361" s="65">
        <f t="shared" si="40"/>
        <v>477.92</v>
      </c>
      <c r="V1361" s="66">
        <f t="shared" si="42"/>
        <v>0.05102040816</v>
      </c>
      <c r="W1361" s="67">
        <f t="shared" si="5"/>
        <v>391.4</v>
      </c>
      <c r="X1361" s="67">
        <f t="shared" si="43"/>
        <v>62.624</v>
      </c>
      <c r="Y1361" s="67">
        <f t="shared" si="44"/>
        <v>454.024</v>
      </c>
      <c r="Z1361" s="67">
        <f t="shared" si="8"/>
        <v>370.8</v>
      </c>
      <c r="AA1361" s="67">
        <f t="shared" si="45"/>
        <v>59.328</v>
      </c>
      <c r="AB1361" s="67">
        <f t="shared" si="46"/>
        <v>430.128</v>
      </c>
      <c r="AC1361" s="67">
        <f t="shared" si="11"/>
        <v>350.2</v>
      </c>
      <c r="AD1361" s="67">
        <f t="shared" si="12"/>
        <v>56.032</v>
      </c>
      <c r="AE1361" s="67">
        <f t="shared" si="13"/>
        <v>406.232</v>
      </c>
      <c r="AF1361" s="67">
        <f t="shared" si="33"/>
        <v>341.96</v>
      </c>
      <c r="AG1361" s="67">
        <f t="shared" si="15"/>
        <v>54.7136</v>
      </c>
      <c r="AH1361" s="67">
        <f t="shared" si="16"/>
        <v>396.6736</v>
      </c>
      <c r="AI1361" s="67">
        <f t="shared" si="17"/>
        <v>329.6</v>
      </c>
      <c r="AJ1361" s="68">
        <f t="shared" si="47"/>
        <v>52.736</v>
      </c>
      <c r="AK1361" s="68">
        <f t="shared" si="48"/>
        <v>382.336</v>
      </c>
      <c r="AL1361" s="70"/>
      <c r="AM1361" s="70"/>
      <c r="AN1361" s="71"/>
      <c r="AO1361" s="71"/>
      <c r="AP1361" s="71"/>
      <c r="AQ1361" s="71"/>
      <c r="AR1361" s="71"/>
      <c r="AS1361" s="71"/>
      <c r="AT1361" s="71"/>
      <c r="AU1361" s="71"/>
      <c r="AV1361" s="71"/>
      <c r="AW1361" s="71"/>
      <c r="AX1361" s="71"/>
      <c r="AY1361" s="71"/>
      <c r="AZ1361" s="71"/>
      <c r="BA1361" s="71"/>
      <c r="BB1361" s="71"/>
      <c r="BC1361" s="71"/>
      <c r="BD1361" s="71"/>
      <c r="BE1361" s="71"/>
      <c r="BF1361" s="71"/>
      <c r="BG1361" s="71"/>
      <c r="BH1361" s="71"/>
      <c r="BI1361" s="71"/>
      <c r="BJ1361" s="71"/>
      <c r="BK1361" s="71"/>
      <c r="BL1361" s="71"/>
      <c r="BM1361" s="71"/>
      <c r="BN1361" s="71"/>
      <c r="BO1361" s="71"/>
      <c r="BP1361" s="71"/>
      <c r="BQ1361" s="71"/>
      <c r="BR1361" s="71"/>
      <c r="BS1361" s="71"/>
      <c r="BT1361" s="71"/>
      <c r="BU1361" s="71"/>
      <c r="BV1361" s="71"/>
    </row>
    <row r="1362">
      <c r="A1362" s="53"/>
      <c r="B1362" s="72"/>
      <c r="C1362" s="73" t="s">
        <v>12</v>
      </c>
      <c r="D1362" s="53" t="s">
        <v>3359</v>
      </c>
      <c r="E1362" s="54" t="s">
        <v>38</v>
      </c>
      <c r="F1362" s="54" t="s">
        <v>42</v>
      </c>
      <c r="G1362" s="155" t="s">
        <v>3360</v>
      </c>
      <c r="H1362" s="157" t="s">
        <v>3361</v>
      </c>
      <c r="I1362" s="54">
        <f t="shared" si="24"/>
        <v>40</v>
      </c>
      <c r="J1362" s="56"/>
      <c r="K1362" s="57"/>
      <c r="L1362" s="76"/>
      <c r="M1362" s="59"/>
      <c r="N1362" s="79"/>
      <c r="O1362" s="61">
        <v>342.0</v>
      </c>
      <c r="P1362" s="62">
        <v>369.36</v>
      </c>
      <c r="Q1362" s="63">
        <v>369.36</v>
      </c>
      <c r="R1362" s="64">
        <v>388.0</v>
      </c>
      <c r="S1362" s="111">
        <v>407.0</v>
      </c>
      <c r="T1362" s="65">
        <f t="shared" si="39"/>
        <v>65.12</v>
      </c>
      <c r="U1362" s="65">
        <f t="shared" si="40"/>
        <v>472.12</v>
      </c>
      <c r="V1362" s="66">
        <f t="shared" si="42"/>
        <v>0.04896907216</v>
      </c>
      <c r="W1362" s="67">
        <f t="shared" si="5"/>
        <v>386.65</v>
      </c>
      <c r="X1362" s="67">
        <f t="shared" si="43"/>
        <v>61.864</v>
      </c>
      <c r="Y1362" s="67">
        <f t="shared" si="44"/>
        <v>448.514</v>
      </c>
      <c r="Z1362" s="67">
        <f t="shared" si="8"/>
        <v>366.3</v>
      </c>
      <c r="AA1362" s="67">
        <f t="shared" si="45"/>
        <v>58.608</v>
      </c>
      <c r="AB1362" s="67">
        <f t="shared" si="46"/>
        <v>424.908</v>
      </c>
      <c r="AC1362" s="67">
        <f t="shared" si="11"/>
        <v>345.95</v>
      </c>
      <c r="AD1362" s="67">
        <f t="shared" si="12"/>
        <v>55.352</v>
      </c>
      <c r="AE1362" s="67">
        <f t="shared" si="13"/>
        <v>401.302</v>
      </c>
      <c r="AF1362" s="67">
        <f t="shared" si="33"/>
        <v>337.81</v>
      </c>
      <c r="AG1362" s="67">
        <f t="shared" si="15"/>
        <v>54.0496</v>
      </c>
      <c r="AH1362" s="67">
        <f t="shared" si="16"/>
        <v>391.8596</v>
      </c>
      <c r="AI1362" s="67">
        <f t="shared" si="17"/>
        <v>325.6</v>
      </c>
      <c r="AJ1362" s="68">
        <f t="shared" si="47"/>
        <v>52.096</v>
      </c>
      <c r="AK1362" s="68">
        <f t="shared" si="48"/>
        <v>377.696</v>
      </c>
      <c r="AL1362" s="70"/>
      <c r="AM1362" s="70"/>
      <c r="AN1362" s="71"/>
      <c r="AO1362" s="71"/>
      <c r="AP1362" s="71"/>
      <c r="AQ1362" s="71"/>
      <c r="AR1362" s="71"/>
      <c r="AS1362" s="71"/>
      <c r="AT1362" s="71"/>
      <c r="AU1362" s="71"/>
      <c r="AV1362" s="71"/>
      <c r="AW1362" s="71"/>
      <c r="AX1362" s="71"/>
      <c r="AY1362" s="71"/>
      <c r="AZ1362" s="71"/>
      <c r="BA1362" s="71"/>
      <c r="BB1362" s="71"/>
      <c r="BC1362" s="71"/>
      <c r="BD1362" s="71"/>
      <c r="BE1362" s="71"/>
      <c r="BF1362" s="71"/>
      <c r="BG1362" s="71"/>
      <c r="BH1362" s="71"/>
      <c r="BI1362" s="71"/>
      <c r="BJ1362" s="71"/>
      <c r="BK1362" s="71"/>
      <c r="BL1362" s="71"/>
      <c r="BM1362" s="71"/>
      <c r="BN1362" s="71"/>
      <c r="BO1362" s="71"/>
      <c r="BP1362" s="71"/>
      <c r="BQ1362" s="71"/>
      <c r="BR1362" s="71"/>
      <c r="BS1362" s="71"/>
      <c r="BT1362" s="71"/>
      <c r="BU1362" s="71"/>
      <c r="BV1362" s="71"/>
    </row>
    <row r="1363">
      <c r="A1363" s="53"/>
      <c r="B1363" s="72"/>
      <c r="C1363" s="73" t="s">
        <v>12</v>
      </c>
      <c r="D1363" s="74" t="s">
        <v>3362</v>
      </c>
      <c r="E1363" s="54" t="s">
        <v>77</v>
      </c>
      <c r="F1363" s="54" t="s">
        <v>42</v>
      </c>
      <c r="G1363" s="155" t="s">
        <v>3363</v>
      </c>
      <c r="H1363" s="157" t="s">
        <v>3364</v>
      </c>
      <c r="I1363" s="54">
        <f t="shared" si="24"/>
        <v>39</v>
      </c>
      <c r="J1363" s="56"/>
      <c r="K1363" s="57"/>
      <c r="L1363" s="87"/>
      <c r="M1363" s="59"/>
      <c r="N1363" s="79">
        <v>342.0</v>
      </c>
      <c r="O1363" s="61">
        <v>342.0</v>
      </c>
      <c r="P1363" s="62">
        <v>369.36</v>
      </c>
      <c r="Q1363" s="63">
        <v>369.36</v>
      </c>
      <c r="R1363" s="64">
        <v>412.0</v>
      </c>
      <c r="S1363" s="111">
        <v>433.0</v>
      </c>
      <c r="T1363" s="65">
        <f t="shared" si="39"/>
        <v>69.28</v>
      </c>
      <c r="U1363" s="65">
        <f t="shared" si="40"/>
        <v>502.28</v>
      </c>
      <c r="V1363" s="66">
        <f t="shared" si="42"/>
        <v>0.05097087379</v>
      </c>
      <c r="W1363" s="67">
        <f t="shared" si="5"/>
        <v>411.35</v>
      </c>
      <c r="X1363" s="67">
        <f t="shared" si="43"/>
        <v>65.816</v>
      </c>
      <c r="Y1363" s="67">
        <f t="shared" si="44"/>
        <v>477.166</v>
      </c>
      <c r="Z1363" s="67">
        <f t="shared" si="8"/>
        <v>389.7</v>
      </c>
      <c r="AA1363" s="67">
        <f t="shared" si="45"/>
        <v>62.352</v>
      </c>
      <c r="AB1363" s="67">
        <f t="shared" si="46"/>
        <v>452.052</v>
      </c>
      <c r="AC1363" s="67">
        <f t="shared" si="11"/>
        <v>368.05</v>
      </c>
      <c r="AD1363" s="67">
        <f t="shared" si="12"/>
        <v>58.888</v>
      </c>
      <c r="AE1363" s="67">
        <f t="shared" si="13"/>
        <v>426.938</v>
      </c>
      <c r="AF1363" s="67">
        <f t="shared" si="33"/>
        <v>359.39</v>
      </c>
      <c r="AG1363" s="67">
        <f t="shared" si="15"/>
        <v>57.5024</v>
      </c>
      <c r="AH1363" s="67">
        <f t="shared" si="16"/>
        <v>416.8924</v>
      </c>
      <c r="AI1363" s="67">
        <f t="shared" si="17"/>
        <v>346.4</v>
      </c>
      <c r="AJ1363" s="68">
        <f t="shared" si="47"/>
        <v>55.424</v>
      </c>
      <c r="AK1363" s="68">
        <f t="shared" si="48"/>
        <v>401.824</v>
      </c>
      <c r="AL1363" s="70"/>
      <c r="AM1363" s="70"/>
      <c r="AN1363" s="71"/>
      <c r="AO1363" s="71"/>
      <c r="AP1363" s="71"/>
      <c r="AQ1363" s="71"/>
      <c r="AR1363" s="71"/>
      <c r="AS1363" s="71"/>
      <c r="AT1363" s="71"/>
      <c r="AU1363" s="71"/>
      <c r="AV1363" s="71"/>
      <c r="AW1363" s="71"/>
      <c r="AX1363" s="71"/>
      <c r="AY1363" s="71"/>
      <c r="AZ1363" s="71"/>
      <c r="BA1363" s="71"/>
      <c r="BB1363" s="71"/>
      <c r="BC1363" s="71"/>
      <c r="BD1363" s="71"/>
      <c r="BE1363" s="71"/>
      <c r="BF1363" s="71"/>
      <c r="BG1363" s="71"/>
      <c r="BH1363" s="71"/>
      <c r="BI1363" s="71"/>
      <c r="BJ1363" s="71"/>
      <c r="BK1363" s="71"/>
      <c r="BL1363" s="71"/>
      <c r="BM1363" s="71"/>
      <c r="BN1363" s="71"/>
      <c r="BO1363" s="71"/>
      <c r="BP1363" s="71"/>
      <c r="BQ1363" s="71"/>
      <c r="BR1363" s="71"/>
      <c r="BS1363" s="71"/>
      <c r="BT1363" s="71"/>
      <c r="BU1363" s="71"/>
      <c r="BV1363" s="71"/>
    </row>
    <row r="1364">
      <c r="A1364" s="53"/>
      <c r="B1364" s="53"/>
      <c r="C1364" s="73" t="s">
        <v>12</v>
      </c>
      <c r="D1364" s="53" t="s">
        <v>3365</v>
      </c>
      <c r="E1364" s="54" t="s">
        <v>38</v>
      </c>
      <c r="F1364" s="54" t="s">
        <v>42</v>
      </c>
      <c r="G1364" s="155" t="s">
        <v>3366</v>
      </c>
      <c r="H1364" s="155" t="s">
        <v>3367</v>
      </c>
      <c r="I1364" s="54">
        <f t="shared" si="24"/>
        <v>40</v>
      </c>
      <c r="J1364" s="56"/>
      <c r="K1364" s="57"/>
      <c r="L1364" s="87"/>
      <c r="M1364" s="59"/>
      <c r="N1364" s="60"/>
      <c r="O1364" s="90"/>
      <c r="P1364" s="62">
        <v>342.0</v>
      </c>
      <c r="Q1364" s="63">
        <v>342.0</v>
      </c>
      <c r="R1364" s="64">
        <v>360.0</v>
      </c>
      <c r="S1364" s="111">
        <v>378.0</v>
      </c>
      <c r="T1364" s="65">
        <f t="shared" si="39"/>
        <v>60.48</v>
      </c>
      <c r="U1364" s="65">
        <f t="shared" si="40"/>
        <v>438.48</v>
      </c>
      <c r="V1364" s="66">
        <f t="shared" si="42"/>
        <v>0.05</v>
      </c>
      <c r="W1364" s="67">
        <f t="shared" si="5"/>
        <v>359.1</v>
      </c>
      <c r="X1364" s="67">
        <f t="shared" si="43"/>
        <v>57.456</v>
      </c>
      <c r="Y1364" s="67">
        <f t="shared" si="44"/>
        <v>416.556</v>
      </c>
      <c r="Z1364" s="67">
        <f t="shared" si="8"/>
        <v>340.2</v>
      </c>
      <c r="AA1364" s="67">
        <f t="shared" si="45"/>
        <v>54.432</v>
      </c>
      <c r="AB1364" s="67">
        <f t="shared" si="46"/>
        <v>394.632</v>
      </c>
      <c r="AC1364" s="67">
        <f t="shared" si="11"/>
        <v>321.3</v>
      </c>
      <c r="AD1364" s="67">
        <f t="shared" si="12"/>
        <v>51.408</v>
      </c>
      <c r="AE1364" s="67">
        <f t="shared" si="13"/>
        <v>372.708</v>
      </c>
      <c r="AF1364" s="67">
        <f t="shared" si="33"/>
        <v>313.74</v>
      </c>
      <c r="AG1364" s="67">
        <f t="shared" si="15"/>
        <v>50.1984</v>
      </c>
      <c r="AH1364" s="67">
        <f t="shared" si="16"/>
        <v>363.9384</v>
      </c>
      <c r="AI1364" s="67">
        <f t="shared" si="17"/>
        <v>302.4</v>
      </c>
      <c r="AJ1364" s="68">
        <f t="shared" si="47"/>
        <v>48.384</v>
      </c>
      <c r="AK1364" s="68">
        <f t="shared" si="48"/>
        <v>350.784</v>
      </c>
      <c r="AL1364" s="70"/>
      <c r="AM1364" s="70"/>
      <c r="AN1364" s="71"/>
      <c r="AO1364" s="71"/>
      <c r="AP1364" s="71"/>
      <c r="AQ1364" s="71"/>
      <c r="AR1364" s="71"/>
      <c r="AS1364" s="71"/>
      <c r="AT1364" s="71"/>
      <c r="AU1364" s="71"/>
      <c r="AV1364" s="71"/>
      <c r="AW1364" s="71"/>
      <c r="AX1364" s="71"/>
      <c r="AY1364" s="71"/>
      <c r="AZ1364" s="71"/>
      <c r="BA1364" s="71"/>
      <c r="BB1364" s="71"/>
      <c r="BC1364" s="71"/>
      <c r="BD1364" s="71"/>
      <c r="BE1364" s="71"/>
      <c r="BF1364" s="71"/>
      <c r="BG1364" s="71"/>
      <c r="BH1364" s="71"/>
      <c r="BI1364" s="71"/>
      <c r="BJ1364" s="71"/>
      <c r="BK1364" s="71"/>
      <c r="BL1364" s="71"/>
      <c r="BM1364" s="71"/>
      <c r="BN1364" s="71"/>
      <c r="BO1364" s="71"/>
      <c r="BP1364" s="71"/>
      <c r="BQ1364" s="71"/>
      <c r="BR1364" s="71"/>
      <c r="BS1364" s="71"/>
      <c r="BT1364" s="71"/>
      <c r="BU1364" s="71"/>
      <c r="BV1364" s="71"/>
    </row>
    <row r="1365">
      <c r="A1365" s="53"/>
      <c r="B1365" s="53"/>
      <c r="C1365" s="73" t="s">
        <v>12</v>
      </c>
      <c r="D1365" s="53" t="s">
        <v>3368</v>
      </c>
      <c r="E1365" s="54" t="s">
        <v>38</v>
      </c>
      <c r="F1365" s="54" t="s">
        <v>42</v>
      </c>
      <c r="G1365" s="155" t="s">
        <v>3369</v>
      </c>
      <c r="H1365" s="157" t="s">
        <v>3370</v>
      </c>
      <c r="I1365" s="54">
        <f t="shared" si="24"/>
        <v>29</v>
      </c>
      <c r="J1365" s="56"/>
      <c r="K1365" s="57"/>
      <c r="L1365" s="76"/>
      <c r="M1365" s="59"/>
      <c r="N1365" s="79">
        <v>342.0</v>
      </c>
      <c r="O1365" s="61">
        <v>369.0</v>
      </c>
      <c r="P1365" s="62">
        <v>398.52000000000004</v>
      </c>
      <c r="Q1365" s="63">
        <v>398.52000000000004</v>
      </c>
      <c r="R1365" s="64">
        <v>419.0</v>
      </c>
      <c r="S1365" s="111">
        <v>440.0</v>
      </c>
      <c r="T1365" s="65">
        <f t="shared" si="39"/>
        <v>70.4</v>
      </c>
      <c r="U1365" s="65">
        <f t="shared" si="40"/>
        <v>510.4</v>
      </c>
      <c r="V1365" s="66">
        <f t="shared" si="42"/>
        <v>0.05011933174</v>
      </c>
      <c r="W1365" s="67">
        <f t="shared" si="5"/>
        <v>418</v>
      </c>
      <c r="X1365" s="67">
        <f t="shared" si="43"/>
        <v>66.88</v>
      </c>
      <c r="Y1365" s="67">
        <f t="shared" si="44"/>
        <v>484.88</v>
      </c>
      <c r="Z1365" s="67">
        <f t="shared" si="8"/>
        <v>396</v>
      </c>
      <c r="AA1365" s="67">
        <f t="shared" si="45"/>
        <v>63.36</v>
      </c>
      <c r="AB1365" s="67">
        <f t="shared" si="46"/>
        <v>459.36</v>
      </c>
      <c r="AC1365" s="67">
        <f t="shared" si="11"/>
        <v>374</v>
      </c>
      <c r="AD1365" s="67">
        <f t="shared" si="12"/>
        <v>59.84</v>
      </c>
      <c r="AE1365" s="67">
        <f t="shared" si="13"/>
        <v>433.84</v>
      </c>
      <c r="AF1365" s="67">
        <f t="shared" si="33"/>
        <v>365.2</v>
      </c>
      <c r="AG1365" s="67">
        <f t="shared" si="15"/>
        <v>58.432</v>
      </c>
      <c r="AH1365" s="67">
        <f t="shared" si="16"/>
        <v>423.632</v>
      </c>
      <c r="AI1365" s="67">
        <f t="shared" si="17"/>
        <v>352</v>
      </c>
      <c r="AJ1365" s="68">
        <f t="shared" si="47"/>
        <v>56.32</v>
      </c>
      <c r="AK1365" s="68">
        <f t="shared" si="48"/>
        <v>408.32</v>
      </c>
      <c r="AL1365" s="70"/>
      <c r="AM1365" s="70"/>
      <c r="AN1365" s="71"/>
      <c r="AO1365" s="71"/>
      <c r="AP1365" s="71"/>
      <c r="AQ1365" s="71"/>
      <c r="AR1365" s="71"/>
      <c r="AS1365" s="71"/>
      <c r="AT1365" s="71"/>
      <c r="AU1365" s="71"/>
      <c r="AV1365" s="71"/>
      <c r="AW1365" s="71"/>
      <c r="AX1365" s="71"/>
      <c r="AY1365" s="71"/>
      <c r="AZ1365" s="71"/>
      <c r="BA1365" s="71"/>
      <c r="BB1365" s="71"/>
      <c r="BC1365" s="71"/>
      <c r="BD1365" s="71"/>
      <c r="BE1365" s="71"/>
      <c r="BF1365" s="71"/>
      <c r="BG1365" s="71"/>
      <c r="BH1365" s="71"/>
      <c r="BI1365" s="71"/>
      <c r="BJ1365" s="71"/>
      <c r="BK1365" s="71"/>
      <c r="BL1365" s="71"/>
      <c r="BM1365" s="71"/>
      <c r="BN1365" s="71"/>
      <c r="BO1365" s="71"/>
      <c r="BP1365" s="71"/>
      <c r="BQ1365" s="71"/>
      <c r="BR1365" s="71"/>
      <c r="BS1365" s="71"/>
      <c r="BT1365" s="71"/>
      <c r="BU1365" s="71"/>
      <c r="BV1365" s="71"/>
    </row>
    <row r="1366">
      <c r="A1366" s="53">
        <v>1.0</v>
      </c>
      <c r="B1366" s="53"/>
      <c r="C1366" s="73" t="s">
        <v>12</v>
      </c>
      <c r="D1366" s="53" t="s">
        <v>3371</v>
      </c>
      <c r="E1366" s="54" t="s">
        <v>38</v>
      </c>
      <c r="F1366" s="54" t="s">
        <v>42</v>
      </c>
      <c r="G1366" s="155" t="s">
        <v>3372</v>
      </c>
      <c r="H1366" s="157" t="s">
        <v>3373</v>
      </c>
      <c r="I1366" s="54">
        <f t="shared" si="24"/>
        <v>32</v>
      </c>
      <c r="J1366" s="56"/>
      <c r="K1366" s="57"/>
      <c r="L1366" s="76"/>
      <c r="M1366" s="59"/>
      <c r="N1366" s="79">
        <v>303.0</v>
      </c>
      <c r="O1366" s="61">
        <v>342.0</v>
      </c>
      <c r="P1366" s="62">
        <v>369.36</v>
      </c>
      <c r="Q1366" s="63">
        <v>369.36</v>
      </c>
      <c r="R1366" s="64">
        <v>388.0</v>
      </c>
      <c r="S1366" s="111">
        <v>407.0</v>
      </c>
      <c r="T1366" s="65">
        <f t="shared" si="39"/>
        <v>65.12</v>
      </c>
      <c r="U1366" s="65">
        <f t="shared" si="40"/>
        <v>472.12</v>
      </c>
      <c r="V1366" s="66">
        <f t="shared" si="42"/>
        <v>0.04896907216</v>
      </c>
      <c r="W1366" s="67">
        <f t="shared" si="5"/>
        <v>386.65</v>
      </c>
      <c r="X1366" s="67">
        <f t="shared" si="43"/>
        <v>61.864</v>
      </c>
      <c r="Y1366" s="67">
        <f t="shared" si="44"/>
        <v>448.514</v>
      </c>
      <c r="Z1366" s="67">
        <f t="shared" si="8"/>
        <v>366.3</v>
      </c>
      <c r="AA1366" s="67">
        <f t="shared" si="45"/>
        <v>58.608</v>
      </c>
      <c r="AB1366" s="67">
        <f t="shared" si="46"/>
        <v>424.908</v>
      </c>
      <c r="AC1366" s="67">
        <f t="shared" si="11"/>
        <v>345.95</v>
      </c>
      <c r="AD1366" s="67">
        <f t="shared" si="12"/>
        <v>55.352</v>
      </c>
      <c r="AE1366" s="67">
        <f t="shared" si="13"/>
        <v>401.302</v>
      </c>
      <c r="AF1366" s="67">
        <f t="shared" si="33"/>
        <v>337.81</v>
      </c>
      <c r="AG1366" s="67">
        <f t="shared" si="15"/>
        <v>54.0496</v>
      </c>
      <c r="AH1366" s="67">
        <f t="shared" si="16"/>
        <v>391.8596</v>
      </c>
      <c r="AI1366" s="67">
        <f t="shared" si="17"/>
        <v>325.6</v>
      </c>
      <c r="AJ1366" s="68">
        <f t="shared" si="47"/>
        <v>52.096</v>
      </c>
      <c r="AK1366" s="68">
        <f t="shared" si="48"/>
        <v>377.696</v>
      </c>
      <c r="AL1366" s="70"/>
      <c r="AM1366" s="70"/>
      <c r="AN1366" s="71"/>
      <c r="AO1366" s="71"/>
      <c r="AP1366" s="71"/>
      <c r="AQ1366" s="71"/>
      <c r="AR1366" s="71"/>
      <c r="AS1366" s="71"/>
      <c r="AT1366" s="71"/>
      <c r="AU1366" s="71"/>
      <c r="AV1366" s="71"/>
      <c r="AW1366" s="71"/>
      <c r="AX1366" s="71"/>
      <c r="AY1366" s="71"/>
      <c r="AZ1366" s="71"/>
      <c r="BA1366" s="71"/>
      <c r="BB1366" s="71"/>
      <c r="BC1366" s="71"/>
      <c r="BD1366" s="71"/>
      <c r="BE1366" s="71"/>
      <c r="BF1366" s="71"/>
      <c r="BG1366" s="71"/>
      <c r="BH1366" s="71"/>
      <c r="BI1366" s="71"/>
      <c r="BJ1366" s="71"/>
      <c r="BK1366" s="71"/>
      <c r="BL1366" s="71"/>
      <c r="BM1366" s="71"/>
      <c r="BN1366" s="71"/>
      <c r="BO1366" s="71"/>
      <c r="BP1366" s="71"/>
      <c r="BQ1366" s="71"/>
      <c r="BR1366" s="71"/>
      <c r="BS1366" s="71"/>
      <c r="BT1366" s="71"/>
      <c r="BU1366" s="71"/>
      <c r="BV1366" s="71"/>
    </row>
    <row r="1367">
      <c r="A1367" s="53">
        <v>1.0</v>
      </c>
      <c r="B1367" s="53"/>
      <c r="C1367" s="73" t="s">
        <v>12</v>
      </c>
      <c r="D1367" s="53" t="s">
        <v>3374</v>
      </c>
      <c r="E1367" s="54" t="s">
        <v>38</v>
      </c>
      <c r="F1367" s="54" t="s">
        <v>42</v>
      </c>
      <c r="G1367" s="155" t="s">
        <v>3375</v>
      </c>
      <c r="H1367" s="157" t="s">
        <v>3376</v>
      </c>
      <c r="I1367" s="54">
        <f t="shared" si="24"/>
        <v>34</v>
      </c>
      <c r="J1367" s="56"/>
      <c r="K1367" s="57"/>
      <c r="L1367" s="76"/>
      <c r="M1367" s="59"/>
      <c r="N1367" s="79">
        <v>324.0</v>
      </c>
      <c r="O1367" s="61">
        <v>349.0</v>
      </c>
      <c r="P1367" s="62">
        <v>376.92</v>
      </c>
      <c r="Q1367" s="63">
        <v>376.92</v>
      </c>
      <c r="R1367" s="64">
        <v>396.0</v>
      </c>
      <c r="S1367" s="111">
        <v>416.0</v>
      </c>
      <c r="T1367" s="65">
        <f t="shared" si="39"/>
        <v>66.56</v>
      </c>
      <c r="U1367" s="65">
        <f t="shared" si="40"/>
        <v>482.56</v>
      </c>
      <c r="V1367" s="66">
        <f t="shared" si="42"/>
        <v>0.05050505051</v>
      </c>
      <c r="W1367" s="67">
        <f t="shared" si="5"/>
        <v>395.2</v>
      </c>
      <c r="X1367" s="67">
        <f t="shared" si="43"/>
        <v>63.232</v>
      </c>
      <c r="Y1367" s="67">
        <f t="shared" si="44"/>
        <v>458.432</v>
      </c>
      <c r="Z1367" s="67">
        <f t="shared" si="8"/>
        <v>374.4</v>
      </c>
      <c r="AA1367" s="67">
        <f t="shared" si="45"/>
        <v>59.904</v>
      </c>
      <c r="AB1367" s="67">
        <f t="shared" si="46"/>
        <v>434.304</v>
      </c>
      <c r="AC1367" s="67">
        <f t="shared" si="11"/>
        <v>353.6</v>
      </c>
      <c r="AD1367" s="67">
        <f t="shared" si="12"/>
        <v>56.576</v>
      </c>
      <c r="AE1367" s="67">
        <f t="shared" si="13"/>
        <v>410.176</v>
      </c>
      <c r="AF1367" s="67">
        <f t="shared" si="33"/>
        <v>345.28</v>
      </c>
      <c r="AG1367" s="67">
        <f t="shared" si="15"/>
        <v>55.2448</v>
      </c>
      <c r="AH1367" s="67">
        <f t="shared" si="16"/>
        <v>400.5248</v>
      </c>
      <c r="AI1367" s="67">
        <f t="shared" si="17"/>
        <v>332.8</v>
      </c>
      <c r="AJ1367" s="68">
        <f t="shared" si="47"/>
        <v>53.248</v>
      </c>
      <c r="AK1367" s="68">
        <f t="shared" si="48"/>
        <v>386.048</v>
      </c>
      <c r="AL1367" s="70"/>
      <c r="AM1367" s="70"/>
      <c r="AN1367" s="71"/>
      <c r="AO1367" s="71"/>
      <c r="AP1367" s="71"/>
      <c r="AQ1367" s="71"/>
      <c r="AR1367" s="71"/>
      <c r="AS1367" s="71"/>
      <c r="AT1367" s="71"/>
      <c r="AU1367" s="71"/>
      <c r="AV1367" s="71"/>
      <c r="AW1367" s="71"/>
      <c r="AX1367" s="71"/>
      <c r="AY1367" s="71"/>
      <c r="AZ1367" s="71"/>
      <c r="BA1367" s="71"/>
      <c r="BB1367" s="71"/>
      <c r="BC1367" s="71"/>
      <c r="BD1367" s="71"/>
      <c r="BE1367" s="71"/>
      <c r="BF1367" s="71"/>
      <c r="BG1367" s="71"/>
      <c r="BH1367" s="71"/>
      <c r="BI1367" s="71"/>
      <c r="BJ1367" s="71"/>
      <c r="BK1367" s="71"/>
      <c r="BL1367" s="71"/>
      <c r="BM1367" s="71"/>
      <c r="BN1367" s="71"/>
      <c r="BO1367" s="71"/>
      <c r="BP1367" s="71"/>
      <c r="BQ1367" s="71"/>
      <c r="BR1367" s="71"/>
      <c r="BS1367" s="71"/>
      <c r="BT1367" s="71"/>
      <c r="BU1367" s="71"/>
      <c r="BV1367" s="71"/>
    </row>
    <row r="1368">
      <c r="A1368" s="53"/>
      <c r="B1368" s="53"/>
      <c r="C1368" s="73" t="s">
        <v>12</v>
      </c>
      <c r="D1368" s="53" t="s">
        <v>3377</v>
      </c>
      <c r="E1368" s="54" t="s">
        <v>38</v>
      </c>
      <c r="F1368" s="54" t="s">
        <v>42</v>
      </c>
      <c r="G1368" s="155" t="s">
        <v>3378</v>
      </c>
      <c r="H1368" s="155" t="s">
        <v>3379</v>
      </c>
      <c r="I1368" s="54">
        <f t="shared" si="24"/>
        <v>37</v>
      </c>
      <c r="J1368" s="56"/>
      <c r="K1368" s="57"/>
      <c r="L1368" s="76"/>
      <c r="M1368" s="59"/>
      <c r="N1368" s="79"/>
      <c r="O1368" s="61">
        <v>738.0</v>
      </c>
      <c r="P1368" s="62">
        <v>797.0400000000001</v>
      </c>
      <c r="Q1368" s="63">
        <v>797.0400000000001</v>
      </c>
      <c r="R1368" s="64">
        <v>837.0</v>
      </c>
      <c r="S1368" s="111">
        <v>879.0</v>
      </c>
      <c r="T1368" s="65">
        <f t="shared" si="39"/>
        <v>140.64</v>
      </c>
      <c r="U1368" s="65">
        <f t="shared" si="40"/>
        <v>1019.64</v>
      </c>
      <c r="V1368" s="66">
        <f t="shared" si="42"/>
        <v>0.05017921147</v>
      </c>
      <c r="W1368" s="67">
        <f t="shared" si="5"/>
        <v>835.05</v>
      </c>
      <c r="X1368" s="67">
        <f t="shared" si="43"/>
        <v>133.608</v>
      </c>
      <c r="Y1368" s="67">
        <f t="shared" si="44"/>
        <v>968.658</v>
      </c>
      <c r="Z1368" s="67">
        <f t="shared" si="8"/>
        <v>791.1</v>
      </c>
      <c r="AA1368" s="67">
        <f t="shared" si="45"/>
        <v>126.576</v>
      </c>
      <c r="AB1368" s="67">
        <f t="shared" si="46"/>
        <v>917.676</v>
      </c>
      <c r="AC1368" s="67">
        <f t="shared" si="11"/>
        <v>747.15</v>
      </c>
      <c r="AD1368" s="67">
        <f t="shared" si="12"/>
        <v>119.544</v>
      </c>
      <c r="AE1368" s="67">
        <f t="shared" si="13"/>
        <v>866.694</v>
      </c>
      <c r="AF1368" s="67">
        <f t="shared" si="33"/>
        <v>729.57</v>
      </c>
      <c r="AG1368" s="67">
        <f t="shared" si="15"/>
        <v>116.7312</v>
      </c>
      <c r="AH1368" s="67">
        <f t="shared" si="16"/>
        <v>846.3012</v>
      </c>
      <c r="AI1368" s="67">
        <f t="shared" si="17"/>
        <v>703.2</v>
      </c>
      <c r="AJ1368" s="68">
        <f t="shared" si="47"/>
        <v>112.512</v>
      </c>
      <c r="AK1368" s="68">
        <f t="shared" si="48"/>
        <v>815.712</v>
      </c>
      <c r="AL1368" s="70"/>
      <c r="AM1368" s="70"/>
      <c r="AN1368" s="71"/>
      <c r="AO1368" s="71"/>
      <c r="AP1368" s="71"/>
      <c r="AQ1368" s="71"/>
      <c r="AR1368" s="71"/>
      <c r="AS1368" s="71"/>
      <c r="AT1368" s="71"/>
      <c r="AU1368" s="71"/>
      <c r="AV1368" s="71"/>
      <c r="AW1368" s="71"/>
      <c r="AX1368" s="71"/>
      <c r="AY1368" s="71"/>
      <c r="AZ1368" s="71"/>
      <c r="BA1368" s="71"/>
      <c r="BB1368" s="71"/>
      <c r="BC1368" s="71"/>
      <c r="BD1368" s="71"/>
      <c r="BE1368" s="71"/>
      <c r="BF1368" s="71"/>
      <c r="BG1368" s="71"/>
      <c r="BH1368" s="71"/>
      <c r="BI1368" s="71"/>
      <c r="BJ1368" s="71"/>
      <c r="BK1368" s="71"/>
      <c r="BL1368" s="71"/>
      <c r="BM1368" s="71"/>
      <c r="BN1368" s="71"/>
      <c r="BO1368" s="71"/>
      <c r="BP1368" s="71"/>
      <c r="BQ1368" s="71"/>
      <c r="BR1368" s="71"/>
      <c r="BS1368" s="71"/>
      <c r="BT1368" s="71"/>
      <c r="BU1368" s="71"/>
      <c r="BV1368" s="71"/>
    </row>
    <row r="1369">
      <c r="A1369" s="53"/>
      <c r="B1369" s="53"/>
      <c r="C1369" s="53" t="s">
        <v>12</v>
      </c>
      <c r="D1369" s="53" t="s">
        <v>3380</v>
      </c>
      <c r="E1369" s="54" t="s">
        <v>38</v>
      </c>
      <c r="F1369" s="54" t="s">
        <v>42</v>
      </c>
      <c r="G1369" s="155" t="s">
        <v>3381</v>
      </c>
      <c r="H1369" s="157" t="s">
        <v>3382</v>
      </c>
      <c r="I1369" s="54">
        <f t="shared" si="24"/>
        <v>32</v>
      </c>
      <c r="J1369" s="56"/>
      <c r="K1369" s="57"/>
      <c r="L1369" s="76"/>
      <c r="M1369" s="59"/>
      <c r="N1369" s="79">
        <v>612.0</v>
      </c>
      <c r="O1369" s="61">
        <v>660.0</v>
      </c>
      <c r="P1369" s="62">
        <v>712.8000000000001</v>
      </c>
      <c r="Q1369" s="63">
        <v>712.8000000000001</v>
      </c>
      <c r="R1369" s="64">
        <v>749.0</v>
      </c>
      <c r="S1369" s="111">
        <v>786.0</v>
      </c>
      <c r="T1369" s="65">
        <f t="shared" si="39"/>
        <v>125.76</v>
      </c>
      <c r="U1369" s="65">
        <f t="shared" si="40"/>
        <v>911.76</v>
      </c>
      <c r="V1369" s="66">
        <f t="shared" si="42"/>
        <v>0.04939919893</v>
      </c>
      <c r="W1369" s="67">
        <f t="shared" si="5"/>
        <v>746.7</v>
      </c>
      <c r="X1369" s="67">
        <f t="shared" si="43"/>
        <v>119.472</v>
      </c>
      <c r="Y1369" s="67">
        <f t="shared" si="44"/>
        <v>866.172</v>
      </c>
      <c r="Z1369" s="67">
        <f t="shared" si="8"/>
        <v>707.4</v>
      </c>
      <c r="AA1369" s="67">
        <f t="shared" si="45"/>
        <v>113.184</v>
      </c>
      <c r="AB1369" s="67">
        <f t="shared" si="46"/>
        <v>820.584</v>
      </c>
      <c r="AC1369" s="67">
        <f t="shared" si="11"/>
        <v>668.1</v>
      </c>
      <c r="AD1369" s="67">
        <f t="shared" si="12"/>
        <v>106.896</v>
      </c>
      <c r="AE1369" s="67">
        <f t="shared" si="13"/>
        <v>774.996</v>
      </c>
      <c r="AF1369" s="67">
        <f t="shared" si="33"/>
        <v>652.38</v>
      </c>
      <c r="AG1369" s="67">
        <f t="shared" si="15"/>
        <v>104.3808</v>
      </c>
      <c r="AH1369" s="67">
        <f t="shared" si="16"/>
        <v>756.7608</v>
      </c>
      <c r="AI1369" s="67">
        <f t="shared" si="17"/>
        <v>628.8</v>
      </c>
      <c r="AJ1369" s="68">
        <f t="shared" si="47"/>
        <v>100.608</v>
      </c>
      <c r="AK1369" s="68">
        <f t="shared" si="48"/>
        <v>729.408</v>
      </c>
      <c r="AL1369" s="70"/>
      <c r="AM1369" s="70"/>
      <c r="AN1369" s="71"/>
      <c r="AO1369" s="71"/>
      <c r="AP1369" s="71"/>
      <c r="AQ1369" s="71"/>
      <c r="AR1369" s="71"/>
      <c r="AS1369" s="71"/>
      <c r="AT1369" s="71"/>
      <c r="AU1369" s="71"/>
      <c r="AV1369" s="71"/>
      <c r="AW1369" s="71"/>
      <c r="AX1369" s="71"/>
      <c r="AY1369" s="71"/>
      <c r="AZ1369" s="71"/>
      <c r="BA1369" s="71"/>
      <c r="BB1369" s="71"/>
      <c r="BC1369" s="71"/>
      <c r="BD1369" s="71"/>
      <c r="BE1369" s="71"/>
      <c r="BF1369" s="71"/>
      <c r="BG1369" s="71"/>
      <c r="BH1369" s="71"/>
      <c r="BI1369" s="71"/>
      <c r="BJ1369" s="71"/>
      <c r="BK1369" s="71"/>
      <c r="BL1369" s="71"/>
      <c r="BM1369" s="71"/>
      <c r="BN1369" s="71"/>
      <c r="BO1369" s="71"/>
      <c r="BP1369" s="71"/>
      <c r="BQ1369" s="71"/>
      <c r="BR1369" s="71"/>
      <c r="BS1369" s="71"/>
      <c r="BT1369" s="71"/>
      <c r="BU1369" s="71"/>
      <c r="BV1369" s="71"/>
    </row>
    <row r="1370">
      <c r="A1370" s="53">
        <v>1.0</v>
      </c>
      <c r="B1370" s="53"/>
      <c r="C1370" s="73" t="s">
        <v>12</v>
      </c>
      <c r="D1370" s="53" t="s">
        <v>3383</v>
      </c>
      <c r="E1370" s="54" t="s">
        <v>38</v>
      </c>
      <c r="F1370" s="54" t="s">
        <v>42</v>
      </c>
      <c r="G1370" s="155" t="s">
        <v>3384</v>
      </c>
      <c r="H1370" s="157" t="s">
        <v>3385</v>
      </c>
      <c r="I1370" s="54">
        <f t="shared" si="24"/>
        <v>26</v>
      </c>
      <c r="J1370" s="56"/>
      <c r="K1370" s="57"/>
      <c r="L1370" s="76"/>
      <c r="M1370" s="59"/>
      <c r="N1370" s="79">
        <v>551.0</v>
      </c>
      <c r="O1370" s="61">
        <v>595.0</v>
      </c>
      <c r="P1370" s="62">
        <v>642.6</v>
      </c>
      <c r="Q1370" s="63">
        <v>642.6</v>
      </c>
      <c r="R1370" s="64">
        <v>676.0</v>
      </c>
      <c r="S1370" s="111">
        <v>710.0</v>
      </c>
      <c r="T1370" s="65">
        <f t="shared" si="39"/>
        <v>113.6</v>
      </c>
      <c r="U1370" s="65">
        <f t="shared" si="40"/>
        <v>823.6</v>
      </c>
      <c r="V1370" s="66">
        <f t="shared" si="42"/>
        <v>0.05029585799</v>
      </c>
      <c r="W1370" s="67">
        <f t="shared" si="5"/>
        <v>674.5</v>
      </c>
      <c r="X1370" s="67">
        <f t="shared" si="43"/>
        <v>107.92</v>
      </c>
      <c r="Y1370" s="67">
        <f t="shared" si="44"/>
        <v>782.42</v>
      </c>
      <c r="Z1370" s="67">
        <f t="shared" si="8"/>
        <v>639</v>
      </c>
      <c r="AA1370" s="67">
        <f t="shared" si="45"/>
        <v>102.24</v>
      </c>
      <c r="AB1370" s="67">
        <f t="shared" si="46"/>
        <v>741.24</v>
      </c>
      <c r="AC1370" s="67">
        <f t="shared" si="11"/>
        <v>603.5</v>
      </c>
      <c r="AD1370" s="67">
        <f t="shared" si="12"/>
        <v>96.56</v>
      </c>
      <c r="AE1370" s="67">
        <f t="shared" si="13"/>
        <v>700.06</v>
      </c>
      <c r="AF1370" s="67">
        <f t="shared" si="33"/>
        <v>589.3</v>
      </c>
      <c r="AG1370" s="67">
        <f t="shared" si="15"/>
        <v>94.288</v>
      </c>
      <c r="AH1370" s="67">
        <f t="shared" si="16"/>
        <v>683.588</v>
      </c>
      <c r="AI1370" s="67">
        <f t="shared" si="17"/>
        <v>568</v>
      </c>
      <c r="AJ1370" s="68">
        <f t="shared" si="47"/>
        <v>90.88</v>
      </c>
      <c r="AK1370" s="68">
        <f t="shared" si="48"/>
        <v>658.88</v>
      </c>
      <c r="AL1370" s="70"/>
      <c r="AM1370" s="70"/>
      <c r="AN1370" s="71"/>
      <c r="AO1370" s="71"/>
      <c r="AP1370" s="71"/>
      <c r="AQ1370" s="71"/>
      <c r="AR1370" s="71"/>
      <c r="AS1370" s="71"/>
      <c r="AT1370" s="71"/>
      <c r="AU1370" s="71"/>
      <c r="AV1370" s="71"/>
      <c r="AW1370" s="71"/>
      <c r="AX1370" s="71"/>
      <c r="AY1370" s="71"/>
      <c r="AZ1370" s="71"/>
      <c r="BA1370" s="71"/>
      <c r="BB1370" s="71"/>
      <c r="BC1370" s="71"/>
      <c r="BD1370" s="71"/>
      <c r="BE1370" s="71"/>
      <c r="BF1370" s="71"/>
      <c r="BG1370" s="71"/>
      <c r="BH1370" s="71"/>
      <c r="BI1370" s="71"/>
      <c r="BJ1370" s="71"/>
      <c r="BK1370" s="71"/>
      <c r="BL1370" s="71"/>
      <c r="BM1370" s="71"/>
      <c r="BN1370" s="71"/>
      <c r="BO1370" s="71"/>
      <c r="BP1370" s="71"/>
      <c r="BQ1370" s="71"/>
      <c r="BR1370" s="71"/>
      <c r="BS1370" s="71"/>
      <c r="BT1370" s="71"/>
      <c r="BU1370" s="71"/>
      <c r="BV1370" s="71"/>
    </row>
    <row r="1371">
      <c r="A1371" s="53">
        <v>1.0</v>
      </c>
      <c r="B1371" s="53"/>
      <c r="C1371" s="73" t="s">
        <v>12</v>
      </c>
      <c r="D1371" s="53" t="s">
        <v>3386</v>
      </c>
      <c r="E1371" s="54" t="s">
        <v>38</v>
      </c>
      <c r="F1371" s="54" t="s">
        <v>42</v>
      </c>
      <c r="G1371" s="155" t="s">
        <v>3387</v>
      </c>
      <c r="H1371" s="157" t="s">
        <v>3388</v>
      </c>
      <c r="I1371" s="54">
        <f t="shared" si="24"/>
        <v>26</v>
      </c>
      <c r="J1371" s="56"/>
      <c r="K1371" s="57"/>
      <c r="L1371" s="87"/>
      <c r="M1371" s="59"/>
      <c r="N1371" s="79">
        <v>632.0</v>
      </c>
      <c r="O1371" s="61">
        <v>682.0</v>
      </c>
      <c r="P1371" s="62">
        <v>736.5600000000001</v>
      </c>
      <c r="Q1371" s="63">
        <v>736.5600000000001</v>
      </c>
      <c r="R1371" s="64">
        <v>821.0</v>
      </c>
      <c r="S1371" s="111">
        <v>862.0</v>
      </c>
      <c r="T1371" s="65">
        <f t="shared" si="39"/>
        <v>137.92</v>
      </c>
      <c r="U1371" s="65">
        <f t="shared" si="40"/>
        <v>999.92</v>
      </c>
      <c r="V1371" s="66">
        <f t="shared" si="42"/>
        <v>0.04993909866</v>
      </c>
      <c r="W1371" s="67">
        <f t="shared" si="5"/>
        <v>818.9</v>
      </c>
      <c r="X1371" s="67">
        <f t="shared" si="43"/>
        <v>131.024</v>
      </c>
      <c r="Y1371" s="67">
        <f t="shared" si="44"/>
        <v>949.924</v>
      </c>
      <c r="Z1371" s="67">
        <f t="shared" si="8"/>
        <v>775.8</v>
      </c>
      <c r="AA1371" s="67">
        <f t="shared" si="45"/>
        <v>124.128</v>
      </c>
      <c r="AB1371" s="67">
        <f t="shared" si="46"/>
        <v>899.928</v>
      </c>
      <c r="AC1371" s="67">
        <f t="shared" si="11"/>
        <v>732.7</v>
      </c>
      <c r="AD1371" s="67">
        <f t="shared" si="12"/>
        <v>117.232</v>
      </c>
      <c r="AE1371" s="67">
        <f t="shared" si="13"/>
        <v>849.932</v>
      </c>
      <c r="AF1371" s="67">
        <f t="shared" si="33"/>
        <v>715.46</v>
      </c>
      <c r="AG1371" s="67">
        <f t="shared" si="15"/>
        <v>114.4736</v>
      </c>
      <c r="AH1371" s="67">
        <f t="shared" si="16"/>
        <v>829.9336</v>
      </c>
      <c r="AI1371" s="67">
        <f t="shared" si="17"/>
        <v>689.6</v>
      </c>
      <c r="AJ1371" s="68">
        <f t="shared" si="47"/>
        <v>110.336</v>
      </c>
      <c r="AK1371" s="68">
        <f t="shared" si="48"/>
        <v>799.936</v>
      </c>
      <c r="AL1371" s="70"/>
      <c r="AM1371" s="70"/>
      <c r="AN1371" s="71"/>
      <c r="AO1371" s="71"/>
      <c r="AP1371" s="71"/>
      <c r="AQ1371" s="71"/>
      <c r="AR1371" s="71"/>
      <c r="AS1371" s="71"/>
      <c r="AT1371" s="71"/>
      <c r="AU1371" s="71"/>
      <c r="AV1371" s="71"/>
      <c r="AW1371" s="71"/>
      <c r="AX1371" s="71"/>
      <c r="AY1371" s="71"/>
      <c r="AZ1371" s="71"/>
      <c r="BA1371" s="71"/>
      <c r="BB1371" s="71"/>
      <c r="BC1371" s="71"/>
      <c r="BD1371" s="71"/>
      <c r="BE1371" s="71"/>
      <c r="BF1371" s="71"/>
      <c r="BG1371" s="71"/>
      <c r="BH1371" s="71"/>
      <c r="BI1371" s="71"/>
      <c r="BJ1371" s="71"/>
      <c r="BK1371" s="71"/>
      <c r="BL1371" s="71"/>
      <c r="BM1371" s="71"/>
      <c r="BN1371" s="71"/>
      <c r="BO1371" s="71"/>
      <c r="BP1371" s="71"/>
      <c r="BQ1371" s="71"/>
      <c r="BR1371" s="71"/>
      <c r="BS1371" s="71"/>
      <c r="BT1371" s="71"/>
      <c r="BU1371" s="71"/>
      <c r="BV1371" s="71"/>
    </row>
    <row r="1372">
      <c r="A1372" s="53">
        <v>1.0</v>
      </c>
      <c r="B1372" s="53"/>
      <c r="C1372" s="73" t="s">
        <v>12</v>
      </c>
      <c r="D1372" s="53" t="s">
        <v>3389</v>
      </c>
      <c r="E1372" s="54" t="s">
        <v>38</v>
      </c>
      <c r="F1372" s="54" t="s">
        <v>42</v>
      </c>
      <c r="G1372" s="155" t="s">
        <v>3390</v>
      </c>
      <c r="H1372" s="157" t="s">
        <v>3391</v>
      </c>
      <c r="I1372" s="54">
        <f t="shared" si="24"/>
        <v>37</v>
      </c>
      <c r="J1372" s="56"/>
      <c r="K1372" s="57"/>
      <c r="L1372" s="87"/>
      <c r="M1372" s="59"/>
      <c r="N1372" s="79">
        <v>827.0</v>
      </c>
      <c r="O1372" s="61">
        <v>893.0</v>
      </c>
      <c r="P1372" s="62">
        <v>964.44</v>
      </c>
      <c r="Q1372" s="63">
        <v>964.44</v>
      </c>
      <c r="R1372" s="64">
        <v>1075.0</v>
      </c>
      <c r="S1372" s="111">
        <v>1129.0</v>
      </c>
      <c r="T1372" s="65">
        <f t="shared" si="39"/>
        <v>180.64</v>
      </c>
      <c r="U1372" s="65">
        <f t="shared" si="40"/>
        <v>1309.64</v>
      </c>
      <c r="V1372" s="66">
        <f t="shared" si="42"/>
        <v>0.05023255814</v>
      </c>
      <c r="W1372" s="67">
        <f t="shared" si="5"/>
        <v>1072.55</v>
      </c>
      <c r="X1372" s="67">
        <f t="shared" si="43"/>
        <v>171.608</v>
      </c>
      <c r="Y1372" s="67">
        <f t="shared" si="44"/>
        <v>1244.158</v>
      </c>
      <c r="Z1372" s="67">
        <f t="shared" si="8"/>
        <v>1016.1</v>
      </c>
      <c r="AA1372" s="67">
        <f t="shared" si="45"/>
        <v>162.576</v>
      </c>
      <c r="AB1372" s="67">
        <f t="shared" si="46"/>
        <v>1178.676</v>
      </c>
      <c r="AC1372" s="67">
        <f t="shared" si="11"/>
        <v>959.65</v>
      </c>
      <c r="AD1372" s="67">
        <f t="shared" si="12"/>
        <v>153.544</v>
      </c>
      <c r="AE1372" s="67">
        <f t="shared" si="13"/>
        <v>1113.194</v>
      </c>
      <c r="AF1372" s="67">
        <f t="shared" si="33"/>
        <v>937.07</v>
      </c>
      <c r="AG1372" s="67">
        <f t="shared" si="15"/>
        <v>149.9312</v>
      </c>
      <c r="AH1372" s="67">
        <f t="shared" si="16"/>
        <v>1087.0012</v>
      </c>
      <c r="AI1372" s="67">
        <f t="shared" si="17"/>
        <v>903.2</v>
      </c>
      <c r="AJ1372" s="68">
        <f t="shared" si="47"/>
        <v>144.512</v>
      </c>
      <c r="AK1372" s="68">
        <f t="shared" si="48"/>
        <v>1047.712</v>
      </c>
      <c r="AL1372" s="70"/>
      <c r="AM1372" s="70"/>
      <c r="AN1372" s="71"/>
      <c r="AO1372" s="71"/>
      <c r="AP1372" s="71"/>
      <c r="AQ1372" s="71"/>
      <c r="AR1372" s="71"/>
      <c r="AS1372" s="71"/>
      <c r="AT1372" s="71"/>
      <c r="AU1372" s="71"/>
      <c r="AV1372" s="71"/>
      <c r="AW1372" s="71"/>
      <c r="AX1372" s="71"/>
      <c r="AY1372" s="71"/>
      <c r="AZ1372" s="71"/>
      <c r="BA1372" s="71"/>
      <c r="BB1372" s="71"/>
      <c r="BC1372" s="71"/>
      <c r="BD1372" s="71"/>
      <c r="BE1372" s="71"/>
      <c r="BF1372" s="71"/>
      <c r="BG1372" s="71"/>
      <c r="BH1372" s="71"/>
      <c r="BI1372" s="71"/>
      <c r="BJ1372" s="71"/>
      <c r="BK1372" s="71"/>
      <c r="BL1372" s="71"/>
      <c r="BM1372" s="71"/>
      <c r="BN1372" s="71"/>
      <c r="BO1372" s="71"/>
      <c r="BP1372" s="71"/>
      <c r="BQ1372" s="71"/>
      <c r="BR1372" s="71"/>
      <c r="BS1372" s="71"/>
      <c r="BT1372" s="71"/>
      <c r="BU1372" s="71"/>
      <c r="BV1372" s="71"/>
    </row>
    <row r="1373">
      <c r="A1373" s="53">
        <v>1.0</v>
      </c>
      <c r="B1373" s="53"/>
      <c r="C1373" s="73" t="s">
        <v>12</v>
      </c>
      <c r="D1373" s="53" t="s">
        <v>3392</v>
      </c>
      <c r="E1373" s="54" t="s">
        <v>38</v>
      </c>
      <c r="F1373" s="54" t="s">
        <v>42</v>
      </c>
      <c r="G1373" s="155" t="s">
        <v>3393</v>
      </c>
      <c r="H1373" s="157" t="s">
        <v>3394</v>
      </c>
      <c r="I1373" s="54">
        <f t="shared" si="24"/>
        <v>35</v>
      </c>
      <c r="J1373" s="56"/>
      <c r="K1373" s="57"/>
      <c r="L1373" s="87"/>
      <c r="M1373" s="59"/>
      <c r="N1373" s="79">
        <v>584.0</v>
      </c>
      <c r="O1373" s="61">
        <v>630.0</v>
      </c>
      <c r="P1373" s="62">
        <v>680.4000000000001</v>
      </c>
      <c r="Q1373" s="63">
        <v>680.4000000000001</v>
      </c>
      <c r="R1373" s="64">
        <v>759.0</v>
      </c>
      <c r="S1373" s="111">
        <v>797.0</v>
      </c>
      <c r="T1373" s="65">
        <f t="shared" si="39"/>
        <v>127.52</v>
      </c>
      <c r="U1373" s="65">
        <f t="shared" si="40"/>
        <v>924.52</v>
      </c>
      <c r="V1373" s="66">
        <f t="shared" si="42"/>
        <v>0.05006587615</v>
      </c>
      <c r="W1373" s="67">
        <f t="shared" si="5"/>
        <v>757.15</v>
      </c>
      <c r="X1373" s="67">
        <f t="shared" si="43"/>
        <v>121.144</v>
      </c>
      <c r="Y1373" s="67">
        <f t="shared" si="44"/>
        <v>878.294</v>
      </c>
      <c r="Z1373" s="67">
        <f t="shared" si="8"/>
        <v>717.3</v>
      </c>
      <c r="AA1373" s="67">
        <f t="shared" si="45"/>
        <v>114.768</v>
      </c>
      <c r="AB1373" s="67">
        <f t="shared" si="46"/>
        <v>832.068</v>
      </c>
      <c r="AC1373" s="67">
        <f t="shared" si="11"/>
        <v>677.45</v>
      </c>
      <c r="AD1373" s="67">
        <f t="shared" si="12"/>
        <v>108.392</v>
      </c>
      <c r="AE1373" s="67">
        <f t="shared" si="13"/>
        <v>785.842</v>
      </c>
      <c r="AF1373" s="67">
        <f t="shared" si="33"/>
        <v>661.51</v>
      </c>
      <c r="AG1373" s="67">
        <f t="shared" si="15"/>
        <v>105.8416</v>
      </c>
      <c r="AH1373" s="67">
        <f t="shared" si="16"/>
        <v>767.3516</v>
      </c>
      <c r="AI1373" s="67">
        <f t="shared" si="17"/>
        <v>637.6</v>
      </c>
      <c r="AJ1373" s="68">
        <f t="shared" si="47"/>
        <v>102.016</v>
      </c>
      <c r="AK1373" s="68">
        <f t="shared" si="48"/>
        <v>739.616</v>
      </c>
      <c r="AL1373" s="70"/>
      <c r="AM1373" s="70"/>
      <c r="AN1373" s="71"/>
      <c r="AO1373" s="71"/>
      <c r="AP1373" s="71"/>
      <c r="AQ1373" s="71"/>
      <c r="AR1373" s="71"/>
      <c r="AS1373" s="71"/>
      <c r="AT1373" s="71"/>
      <c r="AU1373" s="71"/>
      <c r="AV1373" s="71"/>
      <c r="AW1373" s="71"/>
      <c r="AX1373" s="71"/>
      <c r="AY1373" s="71"/>
      <c r="AZ1373" s="71"/>
      <c r="BA1373" s="71"/>
      <c r="BB1373" s="71"/>
      <c r="BC1373" s="71"/>
      <c r="BD1373" s="71"/>
      <c r="BE1373" s="71"/>
      <c r="BF1373" s="71"/>
      <c r="BG1373" s="71"/>
      <c r="BH1373" s="71"/>
      <c r="BI1373" s="71"/>
      <c r="BJ1373" s="71"/>
      <c r="BK1373" s="71"/>
      <c r="BL1373" s="71"/>
      <c r="BM1373" s="71"/>
      <c r="BN1373" s="71"/>
      <c r="BO1373" s="71"/>
      <c r="BP1373" s="71"/>
      <c r="BQ1373" s="71"/>
      <c r="BR1373" s="71"/>
      <c r="BS1373" s="71"/>
      <c r="BT1373" s="71"/>
      <c r="BU1373" s="71"/>
      <c r="BV1373" s="71"/>
    </row>
    <row r="1374">
      <c r="A1374" s="53"/>
      <c r="B1374" s="53"/>
      <c r="C1374" s="73" t="s">
        <v>12</v>
      </c>
      <c r="D1374" s="53" t="s">
        <v>3395</v>
      </c>
      <c r="E1374" s="54" t="s">
        <v>38</v>
      </c>
      <c r="F1374" s="54" t="s">
        <v>42</v>
      </c>
      <c r="G1374" s="155" t="s">
        <v>3396</v>
      </c>
      <c r="H1374" s="157" t="s">
        <v>3397</v>
      </c>
      <c r="I1374" s="54">
        <f t="shared" si="24"/>
        <v>28</v>
      </c>
      <c r="J1374" s="56"/>
      <c r="K1374" s="57"/>
      <c r="L1374" s="76"/>
      <c r="M1374" s="59"/>
      <c r="N1374" s="79"/>
      <c r="O1374" s="61">
        <v>660.0</v>
      </c>
      <c r="P1374" s="62">
        <v>712.8000000000001</v>
      </c>
      <c r="Q1374" s="63">
        <v>712.8000000000001</v>
      </c>
      <c r="R1374" s="64">
        <v>749.0</v>
      </c>
      <c r="S1374" s="111">
        <v>786.0</v>
      </c>
      <c r="T1374" s="65">
        <f t="shared" si="39"/>
        <v>125.76</v>
      </c>
      <c r="U1374" s="65">
        <f t="shared" si="40"/>
        <v>911.76</v>
      </c>
      <c r="V1374" s="66">
        <f t="shared" si="42"/>
        <v>0.04939919893</v>
      </c>
      <c r="W1374" s="67">
        <f t="shared" si="5"/>
        <v>746.7</v>
      </c>
      <c r="X1374" s="67">
        <f t="shared" si="43"/>
        <v>119.472</v>
      </c>
      <c r="Y1374" s="67">
        <f t="shared" si="44"/>
        <v>866.172</v>
      </c>
      <c r="Z1374" s="67">
        <f t="shared" si="8"/>
        <v>707.4</v>
      </c>
      <c r="AA1374" s="67">
        <f t="shared" si="45"/>
        <v>113.184</v>
      </c>
      <c r="AB1374" s="67">
        <f t="shared" si="46"/>
        <v>820.584</v>
      </c>
      <c r="AC1374" s="67">
        <f t="shared" si="11"/>
        <v>668.1</v>
      </c>
      <c r="AD1374" s="67">
        <f t="shared" si="12"/>
        <v>106.896</v>
      </c>
      <c r="AE1374" s="67">
        <f t="shared" si="13"/>
        <v>774.996</v>
      </c>
      <c r="AF1374" s="67">
        <f t="shared" si="33"/>
        <v>652.38</v>
      </c>
      <c r="AG1374" s="67">
        <f t="shared" si="15"/>
        <v>104.3808</v>
      </c>
      <c r="AH1374" s="67">
        <f t="shared" si="16"/>
        <v>756.7608</v>
      </c>
      <c r="AI1374" s="67">
        <f t="shared" si="17"/>
        <v>628.8</v>
      </c>
      <c r="AJ1374" s="68">
        <f t="shared" si="47"/>
        <v>100.608</v>
      </c>
      <c r="AK1374" s="68">
        <f t="shared" si="48"/>
        <v>729.408</v>
      </c>
      <c r="AL1374" s="70"/>
      <c r="AM1374" s="70"/>
      <c r="AN1374" s="71"/>
      <c r="AO1374" s="71"/>
      <c r="AP1374" s="71"/>
      <c r="AQ1374" s="71"/>
      <c r="AR1374" s="71"/>
      <c r="AS1374" s="71"/>
      <c r="AT1374" s="71"/>
      <c r="AU1374" s="71"/>
      <c r="AV1374" s="71"/>
      <c r="AW1374" s="71"/>
      <c r="AX1374" s="71"/>
      <c r="AY1374" s="71"/>
      <c r="AZ1374" s="71"/>
      <c r="BA1374" s="71"/>
      <c r="BB1374" s="71"/>
      <c r="BC1374" s="71"/>
      <c r="BD1374" s="71"/>
      <c r="BE1374" s="71"/>
      <c r="BF1374" s="71"/>
      <c r="BG1374" s="71"/>
      <c r="BH1374" s="71"/>
      <c r="BI1374" s="71"/>
      <c r="BJ1374" s="71"/>
      <c r="BK1374" s="71"/>
      <c r="BL1374" s="71"/>
      <c r="BM1374" s="71"/>
      <c r="BN1374" s="71"/>
      <c r="BO1374" s="71"/>
      <c r="BP1374" s="71"/>
      <c r="BQ1374" s="71"/>
      <c r="BR1374" s="71"/>
      <c r="BS1374" s="71"/>
      <c r="BT1374" s="71"/>
      <c r="BU1374" s="71"/>
      <c r="BV1374" s="71"/>
    </row>
    <row r="1375">
      <c r="A1375" s="53">
        <v>1.0</v>
      </c>
      <c r="B1375" s="53"/>
      <c r="C1375" s="73" t="s">
        <v>12</v>
      </c>
      <c r="D1375" s="53" t="s">
        <v>3398</v>
      </c>
      <c r="E1375" s="54" t="s">
        <v>38</v>
      </c>
      <c r="F1375" s="54" t="s">
        <v>42</v>
      </c>
      <c r="G1375" s="155" t="s">
        <v>3399</v>
      </c>
      <c r="H1375" s="157" t="s">
        <v>3400</v>
      </c>
      <c r="I1375" s="54">
        <f t="shared" si="24"/>
        <v>26</v>
      </c>
      <c r="J1375" s="56"/>
      <c r="K1375" s="57"/>
      <c r="L1375" s="76"/>
      <c r="M1375" s="59"/>
      <c r="N1375" s="79">
        <v>630.0</v>
      </c>
      <c r="O1375" s="61">
        <v>680.0</v>
      </c>
      <c r="P1375" s="62">
        <v>734.4000000000001</v>
      </c>
      <c r="Q1375" s="63">
        <v>734.4000000000001</v>
      </c>
      <c r="R1375" s="64">
        <v>771.0</v>
      </c>
      <c r="S1375" s="111">
        <v>810.0</v>
      </c>
      <c r="T1375" s="65">
        <f t="shared" si="39"/>
        <v>129.6</v>
      </c>
      <c r="U1375" s="65">
        <f t="shared" si="40"/>
        <v>939.6</v>
      </c>
      <c r="V1375" s="66">
        <f t="shared" si="42"/>
        <v>0.05058365759</v>
      </c>
      <c r="W1375" s="67">
        <f t="shared" si="5"/>
        <v>769.5</v>
      </c>
      <c r="X1375" s="67">
        <f t="shared" si="43"/>
        <v>123.12</v>
      </c>
      <c r="Y1375" s="67">
        <f t="shared" si="44"/>
        <v>892.62</v>
      </c>
      <c r="Z1375" s="67">
        <f t="shared" si="8"/>
        <v>729</v>
      </c>
      <c r="AA1375" s="67">
        <f t="shared" si="45"/>
        <v>116.64</v>
      </c>
      <c r="AB1375" s="67">
        <f t="shared" si="46"/>
        <v>845.64</v>
      </c>
      <c r="AC1375" s="67">
        <f t="shared" si="11"/>
        <v>688.5</v>
      </c>
      <c r="AD1375" s="67">
        <f t="shared" si="12"/>
        <v>110.16</v>
      </c>
      <c r="AE1375" s="67">
        <f t="shared" si="13"/>
        <v>798.66</v>
      </c>
      <c r="AF1375" s="67">
        <f t="shared" si="33"/>
        <v>672.3</v>
      </c>
      <c r="AG1375" s="67">
        <f t="shared" si="15"/>
        <v>107.568</v>
      </c>
      <c r="AH1375" s="67">
        <f t="shared" si="16"/>
        <v>779.868</v>
      </c>
      <c r="AI1375" s="67">
        <f t="shared" si="17"/>
        <v>648</v>
      </c>
      <c r="AJ1375" s="68">
        <f t="shared" si="47"/>
        <v>103.68</v>
      </c>
      <c r="AK1375" s="68">
        <f t="shared" si="48"/>
        <v>751.68</v>
      </c>
      <c r="AL1375" s="70"/>
      <c r="AM1375" s="70"/>
      <c r="AN1375" s="71"/>
      <c r="AO1375" s="71"/>
      <c r="AP1375" s="71"/>
      <c r="AQ1375" s="71"/>
      <c r="AR1375" s="71"/>
      <c r="AS1375" s="71"/>
      <c r="AT1375" s="71"/>
      <c r="AU1375" s="71"/>
      <c r="AV1375" s="71"/>
      <c r="AW1375" s="71"/>
      <c r="AX1375" s="71"/>
      <c r="AY1375" s="71"/>
      <c r="AZ1375" s="71"/>
      <c r="BA1375" s="71"/>
      <c r="BB1375" s="71"/>
      <c r="BC1375" s="71"/>
      <c r="BD1375" s="71"/>
      <c r="BE1375" s="71"/>
      <c r="BF1375" s="71"/>
      <c r="BG1375" s="71"/>
      <c r="BH1375" s="71"/>
      <c r="BI1375" s="71"/>
      <c r="BJ1375" s="71"/>
      <c r="BK1375" s="71"/>
      <c r="BL1375" s="71"/>
      <c r="BM1375" s="71"/>
      <c r="BN1375" s="71"/>
      <c r="BO1375" s="71"/>
      <c r="BP1375" s="71"/>
      <c r="BQ1375" s="71"/>
      <c r="BR1375" s="71"/>
      <c r="BS1375" s="71"/>
      <c r="BT1375" s="71"/>
      <c r="BU1375" s="71"/>
      <c r="BV1375" s="71"/>
    </row>
    <row r="1376">
      <c r="A1376" s="53">
        <v>1.0</v>
      </c>
      <c r="B1376" s="53"/>
      <c r="C1376" s="73" t="s">
        <v>12</v>
      </c>
      <c r="D1376" s="53" t="s">
        <v>3401</v>
      </c>
      <c r="E1376" s="54" t="s">
        <v>38</v>
      </c>
      <c r="F1376" s="54" t="s">
        <v>42</v>
      </c>
      <c r="G1376" s="155" t="s">
        <v>3402</v>
      </c>
      <c r="H1376" s="157" t="s">
        <v>3403</v>
      </c>
      <c r="I1376" s="54">
        <f t="shared" si="24"/>
        <v>26</v>
      </c>
      <c r="J1376" s="56"/>
      <c r="K1376" s="57"/>
      <c r="L1376" s="76"/>
      <c r="M1376" s="59"/>
      <c r="N1376" s="79">
        <v>630.0</v>
      </c>
      <c r="O1376" s="61">
        <v>680.0</v>
      </c>
      <c r="P1376" s="62">
        <v>734.4000000000001</v>
      </c>
      <c r="Q1376" s="63">
        <v>734.4000000000001</v>
      </c>
      <c r="R1376" s="64">
        <v>771.0</v>
      </c>
      <c r="S1376" s="111">
        <v>810.0</v>
      </c>
      <c r="T1376" s="65">
        <f t="shared" si="39"/>
        <v>129.6</v>
      </c>
      <c r="U1376" s="65">
        <f t="shared" si="40"/>
        <v>939.6</v>
      </c>
      <c r="V1376" s="66">
        <f t="shared" si="42"/>
        <v>0.05058365759</v>
      </c>
      <c r="W1376" s="67">
        <f t="shared" si="5"/>
        <v>769.5</v>
      </c>
      <c r="X1376" s="67">
        <f t="shared" si="43"/>
        <v>123.12</v>
      </c>
      <c r="Y1376" s="67">
        <f t="shared" si="44"/>
        <v>892.62</v>
      </c>
      <c r="Z1376" s="67">
        <f t="shared" si="8"/>
        <v>729</v>
      </c>
      <c r="AA1376" s="67">
        <f t="shared" si="45"/>
        <v>116.64</v>
      </c>
      <c r="AB1376" s="67">
        <f t="shared" si="46"/>
        <v>845.64</v>
      </c>
      <c r="AC1376" s="67">
        <f t="shared" si="11"/>
        <v>688.5</v>
      </c>
      <c r="AD1376" s="67">
        <f t="shared" si="12"/>
        <v>110.16</v>
      </c>
      <c r="AE1376" s="67">
        <f t="shared" si="13"/>
        <v>798.66</v>
      </c>
      <c r="AF1376" s="67">
        <f t="shared" si="33"/>
        <v>672.3</v>
      </c>
      <c r="AG1376" s="67">
        <f t="shared" si="15"/>
        <v>107.568</v>
      </c>
      <c r="AH1376" s="67">
        <f t="shared" si="16"/>
        <v>779.868</v>
      </c>
      <c r="AI1376" s="67">
        <f t="shared" si="17"/>
        <v>648</v>
      </c>
      <c r="AJ1376" s="68">
        <f t="shared" si="47"/>
        <v>103.68</v>
      </c>
      <c r="AK1376" s="68">
        <f t="shared" si="48"/>
        <v>751.68</v>
      </c>
      <c r="AL1376" s="70"/>
      <c r="AM1376" s="70"/>
      <c r="AN1376" s="71"/>
      <c r="AO1376" s="71"/>
      <c r="AP1376" s="71"/>
      <c r="AQ1376" s="71"/>
      <c r="AR1376" s="71"/>
      <c r="AS1376" s="71"/>
      <c r="AT1376" s="71"/>
      <c r="AU1376" s="71"/>
      <c r="AV1376" s="71"/>
      <c r="AW1376" s="71"/>
      <c r="AX1376" s="71"/>
      <c r="AY1376" s="71"/>
      <c r="AZ1376" s="71"/>
      <c r="BA1376" s="71"/>
      <c r="BB1376" s="71"/>
      <c r="BC1376" s="71"/>
      <c r="BD1376" s="71"/>
      <c r="BE1376" s="71"/>
      <c r="BF1376" s="71"/>
      <c r="BG1376" s="71"/>
      <c r="BH1376" s="71"/>
      <c r="BI1376" s="71"/>
      <c r="BJ1376" s="71"/>
      <c r="BK1376" s="71"/>
      <c r="BL1376" s="71"/>
      <c r="BM1376" s="71"/>
      <c r="BN1376" s="71"/>
      <c r="BO1376" s="71"/>
      <c r="BP1376" s="71"/>
      <c r="BQ1376" s="71"/>
      <c r="BR1376" s="71"/>
      <c r="BS1376" s="71"/>
      <c r="BT1376" s="71"/>
      <c r="BU1376" s="71"/>
      <c r="BV1376" s="71"/>
    </row>
    <row r="1377">
      <c r="A1377" s="53">
        <v>1.0</v>
      </c>
      <c r="B1377" s="53"/>
      <c r="C1377" s="73" t="s">
        <v>12</v>
      </c>
      <c r="D1377" s="53" t="s">
        <v>3404</v>
      </c>
      <c r="E1377" s="54" t="s">
        <v>38</v>
      </c>
      <c r="F1377" s="54" t="s">
        <v>42</v>
      </c>
      <c r="G1377" s="155" t="s">
        <v>3405</v>
      </c>
      <c r="H1377" s="157" t="s">
        <v>3406</v>
      </c>
      <c r="I1377" s="54">
        <f t="shared" si="24"/>
        <v>22</v>
      </c>
      <c r="J1377" s="56"/>
      <c r="K1377" s="57"/>
      <c r="L1377" s="76"/>
      <c r="M1377" s="59"/>
      <c r="N1377" s="79">
        <v>630.0</v>
      </c>
      <c r="O1377" s="61">
        <v>680.0</v>
      </c>
      <c r="P1377" s="62">
        <v>734.4000000000001</v>
      </c>
      <c r="Q1377" s="63">
        <v>734.4000000000001</v>
      </c>
      <c r="R1377" s="64">
        <v>771.0</v>
      </c>
      <c r="S1377" s="111">
        <v>810.0</v>
      </c>
      <c r="T1377" s="65">
        <f t="shared" si="39"/>
        <v>129.6</v>
      </c>
      <c r="U1377" s="65">
        <f t="shared" si="40"/>
        <v>939.6</v>
      </c>
      <c r="V1377" s="66">
        <f t="shared" si="42"/>
        <v>0.05058365759</v>
      </c>
      <c r="W1377" s="67">
        <f t="shared" si="5"/>
        <v>769.5</v>
      </c>
      <c r="X1377" s="67">
        <f t="shared" si="43"/>
        <v>123.12</v>
      </c>
      <c r="Y1377" s="67">
        <f t="shared" si="44"/>
        <v>892.62</v>
      </c>
      <c r="Z1377" s="67">
        <f t="shared" si="8"/>
        <v>729</v>
      </c>
      <c r="AA1377" s="67">
        <f t="shared" si="45"/>
        <v>116.64</v>
      </c>
      <c r="AB1377" s="67">
        <f t="shared" si="46"/>
        <v>845.64</v>
      </c>
      <c r="AC1377" s="67">
        <f t="shared" si="11"/>
        <v>688.5</v>
      </c>
      <c r="AD1377" s="67">
        <f t="shared" si="12"/>
        <v>110.16</v>
      </c>
      <c r="AE1377" s="67">
        <f t="shared" si="13"/>
        <v>798.66</v>
      </c>
      <c r="AF1377" s="67">
        <f t="shared" si="33"/>
        <v>672.3</v>
      </c>
      <c r="AG1377" s="67">
        <f t="shared" si="15"/>
        <v>107.568</v>
      </c>
      <c r="AH1377" s="67">
        <f t="shared" si="16"/>
        <v>779.868</v>
      </c>
      <c r="AI1377" s="67">
        <f t="shared" si="17"/>
        <v>648</v>
      </c>
      <c r="AJ1377" s="68">
        <f t="shared" si="47"/>
        <v>103.68</v>
      </c>
      <c r="AK1377" s="68">
        <f t="shared" si="48"/>
        <v>751.68</v>
      </c>
      <c r="AL1377" s="70"/>
      <c r="AM1377" s="70"/>
      <c r="AN1377" s="71"/>
      <c r="AO1377" s="71"/>
      <c r="AP1377" s="71"/>
      <c r="AQ1377" s="71"/>
      <c r="AR1377" s="71"/>
      <c r="AS1377" s="71"/>
      <c r="AT1377" s="71"/>
      <c r="AU1377" s="71"/>
      <c r="AV1377" s="71"/>
      <c r="AW1377" s="71"/>
      <c r="AX1377" s="71"/>
      <c r="AY1377" s="71"/>
      <c r="AZ1377" s="71"/>
      <c r="BA1377" s="71"/>
      <c r="BB1377" s="71"/>
      <c r="BC1377" s="71"/>
      <c r="BD1377" s="71"/>
      <c r="BE1377" s="71"/>
      <c r="BF1377" s="71"/>
      <c r="BG1377" s="71"/>
      <c r="BH1377" s="71"/>
      <c r="BI1377" s="71"/>
      <c r="BJ1377" s="71"/>
      <c r="BK1377" s="71"/>
      <c r="BL1377" s="71"/>
      <c r="BM1377" s="71"/>
      <c r="BN1377" s="71"/>
      <c r="BO1377" s="71"/>
      <c r="BP1377" s="71"/>
      <c r="BQ1377" s="71"/>
      <c r="BR1377" s="71"/>
      <c r="BS1377" s="71"/>
      <c r="BT1377" s="71"/>
      <c r="BU1377" s="71"/>
      <c r="BV1377" s="71"/>
    </row>
    <row r="1378">
      <c r="A1378" s="53">
        <v>1.0</v>
      </c>
      <c r="B1378" s="53"/>
      <c r="C1378" s="73" t="s">
        <v>12</v>
      </c>
      <c r="D1378" s="53" t="s">
        <v>3407</v>
      </c>
      <c r="E1378" s="54" t="s">
        <v>38</v>
      </c>
      <c r="F1378" s="54" t="s">
        <v>42</v>
      </c>
      <c r="G1378" s="155" t="s">
        <v>3408</v>
      </c>
      <c r="H1378" s="157" t="s">
        <v>3409</v>
      </c>
      <c r="I1378" s="54">
        <f t="shared" si="24"/>
        <v>39</v>
      </c>
      <c r="J1378" s="56"/>
      <c r="K1378" s="57"/>
      <c r="L1378" s="76"/>
      <c r="M1378" s="59"/>
      <c r="N1378" s="79">
        <v>597.0</v>
      </c>
      <c r="O1378" s="61">
        <v>644.0</v>
      </c>
      <c r="P1378" s="62">
        <v>695.5200000000001</v>
      </c>
      <c r="Q1378" s="63">
        <v>695.5200000000001</v>
      </c>
      <c r="R1378" s="64">
        <v>731.0</v>
      </c>
      <c r="S1378" s="111">
        <v>768.0</v>
      </c>
      <c r="T1378" s="65">
        <f t="shared" si="39"/>
        <v>122.88</v>
      </c>
      <c r="U1378" s="65">
        <f t="shared" si="40"/>
        <v>890.88</v>
      </c>
      <c r="V1378" s="66">
        <f t="shared" si="42"/>
        <v>0.05061559508</v>
      </c>
      <c r="W1378" s="67">
        <f t="shared" si="5"/>
        <v>729.6</v>
      </c>
      <c r="X1378" s="67">
        <f t="shared" si="43"/>
        <v>116.736</v>
      </c>
      <c r="Y1378" s="67">
        <f t="shared" si="44"/>
        <v>846.336</v>
      </c>
      <c r="Z1378" s="67">
        <f t="shared" si="8"/>
        <v>691.2</v>
      </c>
      <c r="AA1378" s="67">
        <f t="shared" si="45"/>
        <v>110.592</v>
      </c>
      <c r="AB1378" s="67">
        <f t="shared" si="46"/>
        <v>801.792</v>
      </c>
      <c r="AC1378" s="67">
        <f t="shared" si="11"/>
        <v>652.8</v>
      </c>
      <c r="AD1378" s="67">
        <f t="shared" si="12"/>
        <v>104.448</v>
      </c>
      <c r="AE1378" s="67">
        <f t="shared" si="13"/>
        <v>757.248</v>
      </c>
      <c r="AF1378" s="67">
        <f t="shared" si="33"/>
        <v>637.44</v>
      </c>
      <c r="AG1378" s="67">
        <f t="shared" si="15"/>
        <v>101.9904</v>
      </c>
      <c r="AH1378" s="67">
        <f t="shared" si="16"/>
        <v>739.4304</v>
      </c>
      <c r="AI1378" s="67">
        <f t="shared" si="17"/>
        <v>614.4</v>
      </c>
      <c r="AJ1378" s="68">
        <f t="shared" si="47"/>
        <v>98.304</v>
      </c>
      <c r="AK1378" s="68">
        <f t="shared" si="48"/>
        <v>712.704</v>
      </c>
      <c r="AL1378" s="70"/>
      <c r="AM1378" s="70"/>
      <c r="AN1378" s="71"/>
      <c r="AO1378" s="71"/>
      <c r="AP1378" s="71"/>
      <c r="AQ1378" s="71"/>
      <c r="AR1378" s="71"/>
      <c r="AS1378" s="71"/>
      <c r="AT1378" s="71"/>
      <c r="AU1378" s="71"/>
      <c r="AV1378" s="71"/>
      <c r="AW1378" s="71"/>
      <c r="AX1378" s="71"/>
      <c r="AY1378" s="71"/>
      <c r="AZ1378" s="71"/>
      <c r="BA1378" s="71"/>
      <c r="BB1378" s="71"/>
      <c r="BC1378" s="71"/>
      <c r="BD1378" s="71"/>
      <c r="BE1378" s="71"/>
      <c r="BF1378" s="71"/>
      <c r="BG1378" s="71"/>
      <c r="BH1378" s="71"/>
      <c r="BI1378" s="71"/>
      <c r="BJ1378" s="71"/>
      <c r="BK1378" s="71"/>
      <c r="BL1378" s="71"/>
      <c r="BM1378" s="71"/>
      <c r="BN1378" s="71"/>
      <c r="BO1378" s="71"/>
      <c r="BP1378" s="71"/>
      <c r="BQ1378" s="71"/>
      <c r="BR1378" s="71"/>
      <c r="BS1378" s="71"/>
      <c r="BT1378" s="71"/>
      <c r="BU1378" s="71"/>
      <c r="BV1378" s="71"/>
    </row>
    <row r="1379">
      <c r="A1379" s="53">
        <v>1.0</v>
      </c>
      <c r="B1379" s="53"/>
      <c r="C1379" s="73" t="s">
        <v>12</v>
      </c>
      <c r="D1379" s="53" t="s">
        <v>3410</v>
      </c>
      <c r="E1379" s="54" t="s">
        <v>38</v>
      </c>
      <c r="F1379" s="54" t="s">
        <v>42</v>
      </c>
      <c r="G1379" s="155" t="s">
        <v>3411</v>
      </c>
      <c r="H1379" s="157" t="s">
        <v>3412</v>
      </c>
      <c r="I1379" s="54">
        <f t="shared" si="24"/>
        <v>32</v>
      </c>
      <c r="J1379" s="56"/>
      <c r="K1379" s="57"/>
      <c r="L1379" s="76"/>
      <c r="M1379" s="59"/>
      <c r="N1379" s="79">
        <v>630.0</v>
      </c>
      <c r="O1379" s="61">
        <v>680.0</v>
      </c>
      <c r="P1379" s="62">
        <v>734.4000000000001</v>
      </c>
      <c r="Q1379" s="63">
        <v>734.4000000000001</v>
      </c>
      <c r="R1379" s="64">
        <v>771.0</v>
      </c>
      <c r="S1379" s="111">
        <v>810.0</v>
      </c>
      <c r="T1379" s="65">
        <f t="shared" si="39"/>
        <v>129.6</v>
      </c>
      <c r="U1379" s="65">
        <f t="shared" si="40"/>
        <v>939.6</v>
      </c>
      <c r="V1379" s="66">
        <f t="shared" si="42"/>
        <v>0.05058365759</v>
      </c>
      <c r="W1379" s="67">
        <f t="shared" si="5"/>
        <v>769.5</v>
      </c>
      <c r="X1379" s="67">
        <f t="shared" si="43"/>
        <v>123.12</v>
      </c>
      <c r="Y1379" s="67">
        <f t="shared" si="44"/>
        <v>892.62</v>
      </c>
      <c r="Z1379" s="67">
        <f t="shared" si="8"/>
        <v>729</v>
      </c>
      <c r="AA1379" s="67">
        <f t="shared" si="45"/>
        <v>116.64</v>
      </c>
      <c r="AB1379" s="67">
        <f t="shared" si="46"/>
        <v>845.64</v>
      </c>
      <c r="AC1379" s="67">
        <f t="shared" si="11"/>
        <v>688.5</v>
      </c>
      <c r="AD1379" s="67">
        <f t="shared" si="12"/>
        <v>110.16</v>
      </c>
      <c r="AE1379" s="67">
        <f t="shared" si="13"/>
        <v>798.66</v>
      </c>
      <c r="AF1379" s="67">
        <f t="shared" si="33"/>
        <v>672.3</v>
      </c>
      <c r="AG1379" s="67">
        <f t="shared" si="15"/>
        <v>107.568</v>
      </c>
      <c r="AH1379" s="67">
        <f t="shared" si="16"/>
        <v>779.868</v>
      </c>
      <c r="AI1379" s="67">
        <f t="shared" si="17"/>
        <v>648</v>
      </c>
      <c r="AJ1379" s="68">
        <f t="shared" si="47"/>
        <v>103.68</v>
      </c>
      <c r="AK1379" s="68">
        <f t="shared" si="48"/>
        <v>751.68</v>
      </c>
      <c r="AL1379" s="70"/>
      <c r="AM1379" s="70"/>
      <c r="AN1379" s="71"/>
      <c r="AO1379" s="71"/>
      <c r="AP1379" s="71"/>
      <c r="AQ1379" s="71"/>
      <c r="AR1379" s="71"/>
      <c r="AS1379" s="71"/>
      <c r="AT1379" s="71"/>
      <c r="AU1379" s="71"/>
      <c r="AV1379" s="71"/>
      <c r="AW1379" s="71"/>
      <c r="AX1379" s="71"/>
      <c r="AY1379" s="71"/>
      <c r="AZ1379" s="71"/>
      <c r="BA1379" s="71"/>
      <c r="BB1379" s="71"/>
      <c r="BC1379" s="71"/>
      <c r="BD1379" s="71"/>
      <c r="BE1379" s="71"/>
      <c r="BF1379" s="71"/>
      <c r="BG1379" s="71"/>
      <c r="BH1379" s="71"/>
      <c r="BI1379" s="71"/>
      <c r="BJ1379" s="71"/>
      <c r="BK1379" s="71"/>
      <c r="BL1379" s="71"/>
      <c r="BM1379" s="71"/>
      <c r="BN1379" s="71"/>
      <c r="BO1379" s="71"/>
      <c r="BP1379" s="71"/>
      <c r="BQ1379" s="71"/>
      <c r="BR1379" s="71"/>
      <c r="BS1379" s="71"/>
      <c r="BT1379" s="71"/>
      <c r="BU1379" s="71"/>
      <c r="BV1379" s="71"/>
    </row>
    <row r="1380">
      <c r="A1380" s="53">
        <v>1.0</v>
      </c>
      <c r="B1380" s="72"/>
      <c r="C1380" s="73" t="s">
        <v>12</v>
      </c>
      <c r="D1380" s="74" t="s">
        <v>3413</v>
      </c>
      <c r="E1380" s="54" t="s">
        <v>77</v>
      </c>
      <c r="F1380" s="54" t="s">
        <v>42</v>
      </c>
      <c r="G1380" s="157" t="s">
        <v>3414</v>
      </c>
      <c r="H1380" s="157" t="s">
        <v>3415</v>
      </c>
      <c r="I1380" s="54">
        <f t="shared" si="24"/>
        <v>40</v>
      </c>
      <c r="J1380" s="56"/>
      <c r="K1380" s="57"/>
      <c r="L1380" s="87"/>
      <c r="M1380" s="59"/>
      <c r="N1380" s="79">
        <v>684.0</v>
      </c>
      <c r="O1380" s="61">
        <v>738.0</v>
      </c>
      <c r="P1380" s="62">
        <v>797.0400000000001</v>
      </c>
      <c r="Q1380" s="63">
        <v>797.0400000000001</v>
      </c>
      <c r="R1380" s="64">
        <v>888.0</v>
      </c>
      <c r="S1380" s="111">
        <v>932.0</v>
      </c>
      <c r="T1380" s="65">
        <f t="shared" si="39"/>
        <v>149.12</v>
      </c>
      <c r="U1380" s="65">
        <f t="shared" si="40"/>
        <v>1081.12</v>
      </c>
      <c r="V1380" s="66">
        <f t="shared" si="42"/>
        <v>0.04954954955</v>
      </c>
      <c r="W1380" s="67">
        <f t="shared" si="5"/>
        <v>885.4</v>
      </c>
      <c r="X1380" s="67">
        <f t="shared" si="43"/>
        <v>141.664</v>
      </c>
      <c r="Y1380" s="67">
        <f t="shared" si="44"/>
        <v>1027.064</v>
      </c>
      <c r="Z1380" s="67">
        <f t="shared" si="8"/>
        <v>838.8</v>
      </c>
      <c r="AA1380" s="67">
        <f t="shared" si="45"/>
        <v>134.208</v>
      </c>
      <c r="AB1380" s="67">
        <f t="shared" si="46"/>
        <v>973.008</v>
      </c>
      <c r="AC1380" s="67">
        <f t="shared" si="11"/>
        <v>792.2</v>
      </c>
      <c r="AD1380" s="67">
        <f t="shared" si="12"/>
        <v>126.752</v>
      </c>
      <c r="AE1380" s="67">
        <f t="shared" si="13"/>
        <v>918.952</v>
      </c>
      <c r="AF1380" s="67">
        <f t="shared" si="33"/>
        <v>773.56</v>
      </c>
      <c r="AG1380" s="67">
        <f t="shared" si="15"/>
        <v>123.7696</v>
      </c>
      <c r="AH1380" s="67">
        <f t="shared" si="16"/>
        <v>897.3296</v>
      </c>
      <c r="AI1380" s="67">
        <f t="shared" si="17"/>
        <v>745.6</v>
      </c>
      <c r="AJ1380" s="68">
        <f t="shared" si="47"/>
        <v>119.296</v>
      </c>
      <c r="AK1380" s="68">
        <f t="shared" si="48"/>
        <v>864.896</v>
      </c>
      <c r="AL1380" s="70"/>
      <c r="AM1380" s="70"/>
      <c r="AN1380" s="71"/>
      <c r="AO1380" s="71"/>
      <c r="AP1380" s="71"/>
      <c r="AQ1380" s="71"/>
      <c r="AR1380" s="71"/>
      <c r="AS1380" s="71"/>
      <c r="AT1380" s="71"/>
      <c r="AU1380" s="71"/>
      <c r="AV1380" s="71"/>
      <c r="AW1380" s="71"/>
      <c r="AX1380" s="71"/>
      <c r="AY1380" s="71"/>
      <c r="AZ1380" s="71"/>
      <c r="BA1380" s="71"/>
      <c r="BB1380" s="71"/>
      <c r="BC1380" s="71"/>
      <c r="BD1380" s="71"/>
      <c r="BE1380" s="71"/>
      <c r="BF1380" s="71"/>
      <c r="BG1380" s="71"/>
      <c r="BH1380" s="71"/>
      <c r="BI1380" s="71"/>
      <c r="BJ1380" s="71"/>
      <c r="BK1380" s="71"/>
      <c r="BL1380" s="71"/>
      <c r="BM1380" s="71"/>
      <c r="BN1380" s="71"/>
      <c r="BO1380" s="71"/>
      <c r="BP1380" s="71"/>
      <c r="BQ1380" s="71"/>
      <c r="BR1380" s="71"/>
      <c r="BS1380" s="71"/>
      <c r="BT1380" s="71"/>
      <c r="BU1380" s="71"/>
      <c r="BV1380" s="71"/>
    </row>
    <row r="1381">
      <c r="A1381" s="53">
        <v>1.0</v>
      </c>
      <c r="B1381" s="53"/>
      <c r="C1381" s="73" t="s">
        <v>12</v>
      </c>
      <c r="D1381" s="53" t="s">
        <v>3416</v>
      </c>
      <c r="E1381" s="54" t="s">
        <v>38</v>
      </c>
      <c r="F1381" s="54" t="s">
        <v>42</v>
      </c>
      <c r="G1381" s="155" t="s">
        <v>3417</v>
      </c>
      <c r="H1381" s="157" t="s">
        <v>3418</v>
      </c>
      <c r="I1381" s="54">
        <f t="shared" si="24"/>
        <v>34</v>
      </c>
      <c r="J1381" s="56"/>
      <c r="K1381" s="57"/>
      <c r="L1381" s="87"/>
      <c r="M1381" s="59"/>
      <c r="N1381" s="79">
        <v>875.0</v>
      </c>
      <c r="O1381" s="61">
        <v>945.0</v>
      </c>
      <c r="P1381" s="62">
        <v>1020.6</v>
      </c>
      <c r="Q1381" s="63">
        <v>1020.6</v>
      </c>
      <c r="R1381" s="64">
        <v>1137.0</v>
      </c>
      <c r="S1381" s="111">
        <v>1194.0</v>
      </c>
      <c r="T1381" s="65">
        <f t="shared" si="39"/>
        <v>191.04</v>
      </c>
      <c r="U1381" s="65">
        <f t="shared" si="40"/>
        <v>1385.04</v>
      </c>
      <c r="V1381" s="66">
        <f t="shared" si="42"/>
        <v>0.05013192612</v>
      </c>
      <c r="W1381" s="67">
        <f t="shared" si="5"/>
        <v>1134.3</v>
      </c>
      <c r="X1381" s="67">
        <f t="shared" si="43"/>
        <v>181.488</v>
      </c>
      <c r="Y1381" s="67">
        <f t="shared" si="44"/>
        <v>1315.788</v>
      </c>
      <c r="Z1381" s="67">
        <f t="shared" si="8"/>
        <v>1074.6</v>
      </c>
      <c r="AA1381" s="67">
        <f t="shared" si="45"/>
        <v>171.936</v>
      </c>
      <c r="AB1381" s="67">
        <f t="shared" si="46"/>
        <v>1246.536</v>
      </c>
      <c r="AC1381" s="67">
        <f t="shared" si="11"/>
        <v>1014.9</v>
      </c>
      <c r="AD1381" s="67">
        <f t="shared" si="12"/>
        <v>162.384</v>
      </c>
      <c r="AE1381" s="67">
        <f t="shared" si="13"/>
        <v>1177.284</v>
      </c>
      <c r="AF1381" s="67">
        <f t="shared" si="33"/>
        <v>991.02</v>
      </c>
      <c r="AG1381" s="67">
        <f t="shared" si="15"/>
        <v>158.5632</v>
      </c>
      <c r="AH1381" s="67">
        <f t="shared" si="16"/>
        <v>1149.5832</v>
      </c>
      <c r="AI1381" s="67">
        <f t="shared" si="17"/>
        <v>955.2</v>
      </c>
      <c r="AJ1381" s="68">
        <f t="shared" si="47"/>
        <v>152.832</v>
      </c>
      <c r="AK1381" s="68">
        <f t="shared" si="48"/>
        <v>1108.032</v>
      </c>
      <c r="AL1381" s="70"/>
      <c r="AM1381" s="70"/>
      <c r="AN1381" s="71"/>
      <c r="AO1381" s="71"/>
      <c r="AP1381" s="71"/>
      <c r="AQ1381" s="71"/>
      <c r="AR1381" s="71"/>
      <c r="AS1381" s="71"/>
      <c r="AT1381" s="71"/>
      <c r="AU1381" s="71"/>
      <c r="AV1381" s="71"/>
      <c r="AW1381" s="71"/>
      <c r="AX1381" s="71"/>
      <c r="AY1381" s="71"/>
      <c r="AZ1381" s="71"/>
      <c r="BA1381" s="71"/>
      <c r="BB1381" s="71"/>
      <c r="BC1381" s="71"/>
      <c r="BD1381" s="71"/>
      <c r="BE1381" s="71"/>
      <c r="BF1381" s="71"/>
      <c r="BG1381" s="71"/>
      <c r="BH1381" s="71"/>
      <c r="BI1381" s="71"/>
      <c r="BJ1381" s="71"/>
      <c r="BK1381" s="71"/>
      <c r="BL1381" s="71"/>
      <c r="BM1381" s="71"/>
      <c r="BN1381" s="71"/>
      <c r="BO1381" s="71"/>
      <c r="BP1381" s="71"/>
      <c r="BQ1381" s="71"/>
      <c r="BR1381" s="71"/>
      <c r="BS1381" s="71"/>
      <c r="BT1381" s="71"/>
      <c r="BU1381" s="71"/>
      <c r="BV1381" s="71"/>
    </row>
    <row r="1382">
      <c r="A1382" s="53">
        <v>1.0</v>
      </c>
      <c r="B1382" s="53"/>
      <c r="C1382" s="73" t="s">
        <v>12</v>
      </c>
      <c r="D1382" s="53" t="s">
        <v>3419</v>
      </c>
      <c r="E1382" s="54" t="s">
        <v>38</v>
      </c>
      <c r="F1382" s="54" t="s">
        <v>42</v>
      </c>
      <c r="G1382" s="155" t="s">
        <v>3420</v>
      </c>
      <c r="H1382" s="157" t="s">
        <v>3421</v>
      </c>
      <c r="I1382" s="54">
        <f t="shared" si="24"/>
        <v>32</v>
      </c>
      <c r="J1382" s="56"/>
      <c r="K1382" s="57"/>
      <c r="L1382" s="76"/>
      <c r="M1382" s="59"/>
      <c r="N1382" s="79">
        <v>597.0</v>
      </c>
      <c r="O1382" s="61">
        <v>666.0</v>
      </c>
      <c r="P1382" s="62">
        <v>719.2800000000001</v>
      </c>
      <c r="Q1382" s="63">
        <v>719.2800000000001</v>
      </c>
      <c r="R1382" s="64">
        <v>755.0</v>
      </c>
      <c r="S1382" s="111">
        <v>793.0</v>
      </c>
      <c r="T1382" s="65">
        <f t="shared" si="39"/>
        <v>126.88</v>
      </c>
      <c r="U1382" s="65">
        <f t="shared" si="40"/>
        <v>919.88</v>
      </c>
      <c r="V1382" s="66">
        <f t="shared" si="42"/>
        <v>0.05033112583</v>
      </c>
      <c r="W1382" s="67">
        <f t="shared" si="5"/>
        <v>753.35</v>
      </c>
      <c r="X1382" s="67">
        <f t="shared" si="43"/>
        <v>120.536</v>
      </c>
      <c r="Y1382" s="67">
        <f t="shared" si="44"/>
        <v>873.886</v>
      </c>
      <c r="Z1382" s="67">
        <f t="shared" si="8"/>
        <v>713.7</v>
      </c>
      <c r="AA1382" s="67">
        <f t="shared" si="45"/>
        <v>114.192</v>
      </c>
      <c r="AB1382" s="67">
        <f t="shared" si="46"/>
        <v>827.892</v>
      </c>
      <c r="AC1382" s="67">
        <f t="shared" si="11"/>
        <v>674.05</v>
      </c>
      <c r="AD1382" s="67">
        <f t="shared" si="12"/>
        <v>107.848</v>
      </c>
      <c r="AE1382" s="67">
        <f t="shared" si="13"/>
        <v>781.898</v>
      </c>
      <c r="AF1382" s="67">
        <f t="shared" si="33"/>
        <v>658.19</v>
      </c>
      <c r="AG1382" s="67">
        <f t="shared" si="15"/>
        <v>105.3104</v>
      </c>
      <c r="AH1382" s="67">
        <f t="shared" si="16"/>
        <v>763.5004</v>
      </c>
      <c r="AI1382" s="67">
        <f t="shared" si="17"/>
        <v>634.4</v>
      </c>
      <c r="AJ1382" s="68">
        <f t="shared" si="47"/>
        <v>101.504</v>
      </c>
      <c r="AK1382" s="68">
        <f t="shared" si="48"/>
        <v>735.904</v>
      </c>
      <c r="AL1382" s="70"/>
      <c r="AM1382" s="70"/>
      <c r="AN1382" s="71"/>
      <c r="AO1382" s="71"/>
      <c r="AP1382" s="71"/>
      <c r="AQ1382" s="71"/>
      <c r="AR1382" s="71"/>
      <c r="AS1382" s="71"/>
      <c r="AT1382" s="71"/>
      <c r="AU1382" s="71"/>
      <c r="AV1382" s="71"/>
      <c r="AW1382" s="71"/>
      <c r="AX1382" s="71"/>
      <c r="AY1382" s="71"/>
      <c r="AZ1382" s="71"/>
      <c r="BA1382" s="71"/>
      <c r="BB1382" s="71"/>
      <c r="BC1382" s="71"/>
      <c r="BD1382" s="71"/>
      <c r="BE1382" s="71"/>
      <c r="BF1382" s="71"/>
      <c r="BG1382" s="71"/>
      <c r="BH1382" s="71"/>
      <c r="BI1382" s="71"/>
      <c r="BJ1382" s="71"/>
      <c r="BK1382" s="71"/>
      <c r="BL1382" s="71"/>
      <c r="BM1382" s="71"/>
      <c r="BN1382" s="71"/>
      <c r="BO1382" s="71"/>
      <c r="BP1382" s="71"/>
      <c r="BQ1382" s="71"/>
      <c r="BR1382" s="71"/>
      <c r="BS1382" s="71"/>
      <c r="BT1382" s="71"/>
      <c r="BU1382" s="71"/>
      <c r="BV1382" s="71"/>
    </row>
    <row r="1383">
      <c r="A1383" s="53">
        <v>1.0</v>
      </c>
      <c r="B1383" s="53"/>
      <c r="C1383" s="73" t="s">
        <v>12</v>
      </c>
      <c r="D1383" s="53" t="s">
        <v>3422</v>
      </c>
      <c r="E1383" s="54" t="s">
        <v>38</v>
      </c>
      <c r="F1383" s="54" t="s">
        <v>42</v>
      </c>
      <c r="G1383" s="155" t="s">
        <v>3423</v>
      </c>
      <c r="H1383" s="157" t="s">
        <v>3424</v>
      </c>
      <c r="I1383" s="54">
        <f t="shared" si="24"/>
        <v>28</v>
      </c>
      <c r="J1383" s="56"/>
      <c r="K1383" s="57"/>
      <c r="L1383" s="76"/>
      <c r="M1383" s="59"/>
      <c r="N1383" s="79">
        <v>630.0</v>
      </c>
      <c r="O1383" s="61">
        <v>680.0</v>
      </c>
      <c r="P1383" s="62">
        <v>734.4000000000001</v>
      </c>
      <c r="Q1383" s="63">
        <v>734.4000000000001</v>
      </c>
      <c r="R1383" s="64">
        <v>771.0</v>
      </c>
      <c r="S1383" s="111">
        <v>810.0</v>
      </c>
      <c r="T1383" s="65">
        <f t="shared" si="39"/>
        <v>129.6</v>
      </c>
      <c r="U1383" s="65">
        <f t="shared" si="40"/>
        <v>939.6</v>
      </c>
      <c r="V1383" s="66">
        <f t="shared" si="42"/>
        <v>0.05058365759</v>
      </c>
      <c r="W1383" s="67">
        <f t="shared" si="5"/>
        <v>769.5</v>
      </c>
      <c r="X1383" s="67">
        <f t="shared" si="43"/>
        <v>123.12</v>
      </c>
      <c r="Y1383" s="67">
        <f t="shared" si="44"/>
        <v>892.62</v>
      </c>
      <c r="Z1383" s="67">
        <f t="shared" si="8"/>
        <v>729</v>
      </c>
      <c r="AA1383" s="67">
        <f t="shared" si="45"/>
        <v>116.64</v>
      </c>
      <c r="AB1383" s="67">
        <f t="shared" si="46"/>
        <v>845.64</v>
      </c>
      <c r="AC1383" s="67">
        <f t="shared" si="11"/>
        <v>688.5</v>
      </c>
      <c r="AD1383" s="67">
        <f t="shared" si="12"/>
        <v>110.16</v>
      </c>
      <c r="AE1383" s="67">
        <f t="shared" si="13"/>
        <v>798.66</v>
      </c>
      <c r="AF1383" s="67">
        <f t="shared" si="33"/>
        <v>672.3</v>
      </c>
      <c r="AG1383" s="67">
        <f t="shared" si="15"/>
        <v>107.568</v>
      </c>
      <c r="AH1383" s="67">
        <f t="shared" si="16"/>
        <v>779.868</v>
      </c>
      <c r="AI1383" s="67">
        <f t="shared" si="17"/>
        <v>648</v>
      </c>
      <c r="AJ1383" s="68">
        <f t="shared" si="47"/>
        <v>103.68</v>
      </c>
      <c r="AK1383" s="68">
        <f t="shared" si="48"/>
        <v>751.68</v>
      </c>
      <c r="AL1383" s="70"/>
      <c r="AM1383" s="70"/>
      <c r="AN1383" s="71"/>
      <c r="AO1383" s="71"/>
      <c r="AP1383" s="71"/>
      <c r="AQ1383" s="71"/>
      <c r="AR1383" s="71"/>
      <c r="AS1383" s="71"/>
      <c r="AT1383" s="71"/>
      <c r="AU1383" s="71"/>
      <c r="AV1383" s="71"/>
      <c r="AW1383" s="71"/>
      <c r="AX1383" s="71"/>
      <c r="AY1383" s="71"/>
      <c r="AZ1383" s="71"/>
      <c r="BA1383" s="71"/>
      <c r="BB1383" s="71"/>
      <c r="BC1383" s="71"/>
      <c r="BD1383" s="71"/>
      <c r="BE1383" s="71"/>
      <c r="BF1383" s="71"/>
      <c r="BG1383" s="71"/>
      <c r="BH1383" s="71"/>
      <c r="BI1383" s="71"/>
      <c r="BJ1383" s="71"/>
      <c r="BK1383" s="71"/>
      <c r="BL1383" s="71"/>
      <c r="BM1383" s="71"/>
      <c r="BN1383" s="71"/>
      <c r="BO1383" s="71"/>
      <c r="BP1383" s="71"/>
      <c r="BQ1383" s="71"/>
      <c r="BR1383" s="71"/>
      <c r="BS1383" s="71"/>
      <c r="BT1383" s="71"/>
      <c r="BU1383" s="71"/>
      <c r="BV1383" s="71"/>
    </row>
    <row r="1384">
      <c r="A1384" s="53"/>
      <c r="B1384" s="53"/>
      <c r="C1384" s="53" t="s">
        <v>12</v>
      </c>
      <c r="D1384" s="53" t="s">
        <v>3425</v>
      </c>
      <c r="E1384" s="54" t="s">
        <v>77</v>
      </c>
      <c r="F1384" s="55" t="s">
        <v>42</v>
      </c>
      <c r="G1384" s="155" t="s">
        <v>3426</v>
      </c>
      <c r="H1384" s="155" t="s">
        <v>3427</v>
      </c>
      <c r="I1384" s="54">
        <f t="shared" si="24"/>
        <v>16</v>
      </c>
      <c r="J1384" s="56"/>
      <c r="K1384" s="57"/>
      <c r="L1384" s="76"/>
      <c r="M1384" s="59"/>
      <c r="N1384" s="60"/>
      <c r="O1384" s="61">
        <v>603.0</v>
      </c>
      <c r="P1384" s="62">
        <v>651.24</v>
      </c>
      <c r="Q1384" s="63">
        <v>651.24</v>
      </c>
      <c r="R1384" s="64">
        <v>684.0</v>
      </c>
      <c r="S1384" s="111">
        <v>718.0</v>
      </c>
      <c r="T1384" s="65">
        <f t="shared" si="39"/>
        <v>114.88</v>
      </c>
      <c r="U1384" s="65">
        <f t="shared" si="40"/>
        <v>832.88</v>
      </c>
      <c r="V1384" s="66">
        <f t="shared" si="42"/>
        <v>0.04970760234</v>
      </c>
      <c r="W1384" s="67">
        <f t="shared" si="5"/>
        <v>682.1</v>
      </c>
      <c r="X1384" s="67">
        <f t="shared" si="43"/>
        <v>109.136</v>
      </c>
      <c r="Y1384" s="67">
        <f t="shared" si="44"/>
        <v>791.236</v>
      </c>
      <c r="Z1384" s="67">
        <f t="shared" si="8"/>
        <v>646.2</v>
      </c>
      <c r="AA1384" s="67">
        <f t="shared" si="45"/>
        <v>103.392</v>
      </c>
      <c r="AB1384" s="67">
        <f t="shared" si="46"/>
        <v>749.592</v>
      </c>
      <c r="AC1384" s="67">
        <f t="shared" si="11"/>
        <v>610.3</v>
      </c>
      <c r="AD1384" s="67">
        <f t="shared" si="12"/>
        <v>97.648</v>
      </c>
      <c r="AE1384" s="67">
        <f t="shared" si="13"/>
        <v>707.948</v>
      </c>
      <c r="AF1384" s="67">
        <f t="shared" si="33"/>
        <v>595.94</v>
      </c>
      <c r="AG1384" s="67">
        <f t="shared" si="15"/>
        <v>95.3504</v>
      </c>
      <c r="AH1384" s="67">
        <f t="shared" si="16"/>
        <v>691.2904</v>
      </c>
      <c r="AI1384" s="67">
        <f t="shared" si="17"/>
        <v>574.4</v>
      </c>
      <c r="AJ1384" s="68">
        <f t="shared" si="47"/>
        <v>91.904</v>
      </c>
      <c r="AK1384" s="68">
        <f t="shared" si="48"/>
        <v>666.304</v>
      </c>
      <c r="AL1384" s="70"/>
      <c r="AM1384" s="70"/>
      <c r="AN1384" s="71"/>
      <c r="AO1384" s="71"/>
      <c r="AP1384" s="71"/>
      <c r="AQ1384" s="71"/>
      <c r="AR1384" s="71"/>
      <c r="AS1384" s="71"/>
      <c r="AT1384" s="71"/>
      <c r="AU1384" s="71"/>
      <c r="AV1384" s="71"/>
      <c r="AW1384" s="71"/>
      <c r="AX1384" s="71"/>
      <c r="AY1384" s="71"/>
      <c r="AZ1384" s="71"/>
      <c r="BA1384" s="71"/>
      <c r="BB1384" s="71"/>
      <c r="BC1384" s="71"/>
      <c r="BD1384" s="71"/>
      <c r="BE1384" s="71"/>
      <c r="BF1384" s="71"/>
      <c r="BG1384" s="71"/>
      <c r="BH1384" s="71"/>
      <c r="BI1384" s="71"/>
      <c r="BJ1384" s="71"/>
      <c r="BK1384" s="71"/>
      <c r="BL1384" s="71"/>
      <c r="BM1384" s="71"/>
      <c r="BN1384" s="71"/>
      <c r="BO1384" s="71"/>
      <c r="BP1384" s="71"/>
      <c r="BQ1384" s="71"/>
      <c r="BR1384" s="71"/>
      <c r="BS1384" s="71"/>
      <c r="BT1384" s="71"/>
      <c r="BU1384" s="71"/>
      <c r="BV1384" s="71"/>
    </row>
    <row r="1385">
      <c r="A1385" s="53"/>
      <c r="B1385" s="53"/>
      <c r="C1385" s="53" t="s">
        <v>12</v>
      </c>
      <c r="D1385" s="53" t="s">
        <v>3428</v>
      </c>
      <c r="E1385" s="54" t="s">
        <v>77</v>
      </c>
      <c r="F1385" s="55" t="s">
        <v>42</v>
      </c>
      <c r="G1385" s="155" t="s">
        <v>3429</v>
      </c>
      <c r="H1385" s="155" t="s">
        <v>3223</v>
      </c>
      <c r="I1385" s="54">
        <f t="shared" si="24"/>
        <v>27</v>
      </c>
      <c r="J1385" s="56"/>
      <c r="K1385" s="57"/>
      <c r="L1385" s="76"/>
      <c r="M1385" s="59"/>
      <c r="N1385" s="60"/>
      <c r="O1385" s="61">
        <v>2380.0</v>
      </c>
      <c r="P1385" s="62">
        <v>2570.4</v>
      </c>
      <c r="Q1385" s="63">
        <v>2570.4</v>
      </c>
      <c r="R1385" s="64">
        <v>2699.0</v>
      </c>
      <c r="S1385" s="111">
        <v>2834.0</v>
      </c>
      <c r="T1385" s="65">
        <f t="shared" si="39"/>
        <v>453.44</v>
      </c>
      <c r="U1385" s="65">
        <f t="shared" si="40"/>
        <v>3287.44</v>
      </c>
      <c r="V1385" s="66">
        <f t="shared" si="42"/>
        <v>0.05001852538</v>
      </c>
      <c r="W1385" s="67">
        <f t="shared" si="5"/>
        <v>2692.3</v>
      </c>
      <c r="X1385" s="67">
        <f t="shared" si="43"/>
        <v>430.768</v>
      </c>
      <c r="Y1385" s="67">
        <f t="shared" si="44"/>
        <v>3123.068</v>
      </c>
      <c r="Z1385" s="67">
        <f t="shared" si="8"/>
        <v>2550.6</v>
      </c>
      <c r="AA1385" s="67">
        <f t="shared" si="45"/>
        <v>408.096</v>
      </c>
      <c r="AB1385" s="67">
        <f t="shared" si="46"/>
        <v>2958.696</v>
      </c>
      <c r="AC1385" s="67">
        <f t="shared" si="11"/>
        <v>2408.9</v>
      </c>
      <c r="AD1385" s="67">
        <f t="shared" si="12"/>
        <v>385.424</v>
      </c>
      <c r="AE1385" s="67">
        <f t="shared" si="13"/>
        <v>2794.324</v>
      </c>
      <c r="AF1385" s="67">
        <f t="shared" si="33"/>
        <v>2352.22</v>
      </c>
      <c r="AG1385" s="67">
        <f t="shared" si="15"/>
        <v>376.3552</v>
      </c>
      <c r="AH1385" s="67">
        <f t="shared" si="16"/>
        <v>2728.5752</v>
      </c>
      <c r="AI1385" s="67">
        <f t="shared" si="17"/>
        <v>2267.2</v>
      </c>
      <c r="AJ1385" s="68">
        <f t="shared" si="47"/>
        <v>362.752</v>
      </c>
      <c r="AK1385" s="68">
        <f t="shared" si="48"/>
        <v>2629.952</v>
      </c>
      <c r="AL1385" s="70"/>
      <c r="AM1385" s="70"/>
      <c r="AN1385" s="71"/>
      <c r="AO1385" s="71"/>
      <c r="AP1385" s="71"/>
      <c r="AQ1385" s="71"/>
      <c r="AR1385" s="71"/>
      <c r="AS1385" s="71"/>
      <c r="AT1385" s="71"/>
      <c r="AU1385" s="71"/>
      <c r="AV1385" s="71"/>
      <c r="AW1385" s="71"/>
      <c r="AX1385" s="71"/>
      <c r="AY1385" s="71"/>
      <c r="AZ1385" s="71"/>
      <c r="BA1385" s="71"/>
      <c r="BB1385" s="71"/>
      <c r="BC1385" s="71"/>
      <c r="BD1385" s="71"/>
      <c r="BE1385" s="71"/>
      <c r="BF1385" s="71"/>
      <c r="BG1385" s="71"/>
      <c r="BH1385" s="71"/>
      <c r="BI1385" s="71"/>
      <c r="BJ1385" s="71"/>
      <c r="BK1385" s="71"/>
      <c r="BL1385" s="71"/>
      <c r="BM1385" s="71"/>
      <c r="BN1385" s="71"/>
      <c r="BO1385" s="71"/>
      <c r="BP1385" s="71"/>
      <c r="BQ1385" s="71"/>
      <c r="BR1385" s="71"/>
      <c r="BS1385" s="71"/>
      <c r="BT1385" s="71"/>
      <c r="BU1385" s="71"/>
      <c r="BV1385" s="71"/>
    </row>
    <row r="1386">
      <c r="A1386" s="53"/>
      <c r="B1386" s="53"/>
      <c r="C1386" s="53" t="s">
        <v>12</v>
      </c>
      <c r="D1386" s="53" t="s">
        <v>3430</v>
      </c>
      <c r="E1386" s="54" t="s">
        <v>77</v>
      </c>
      <c r="F1386" s="55" t="s">
        <v>42</v>
      </c>
      <c r="G1386" s="155" t="s">
        <v>3431</v>
      </c>
      <c r="H1386" s="155" t="s">
        <v>3432</v>
      </c>
      <c r="I1386" s="54">
        <f t="shared" si="24"/>
        <v>27</v>
      </c>
      <c r="J1386" s="56"/>
      <c r="K1386" s="57"/>
      <c r="L1386" s="87"/>
      <c r="M1386" s="59"/>
      <c r="N1386" s="60"/>
      <c r="O1386" s="61">
        <v>7000.0</v>
      </c>
      <c r="P1386" s="62">
        <v>7560.000000000001</v>
      </c>
      <c r="Q1386" s="63">
        <v>7560.000000000001</v>
      </c>
      <c r="R1386" s="64">
        <v>7938.0</v>
      </c>
      <c r="S1386" s="111">
        <v>8335.0</v>
      </c>
      <c r="T1386" s="65">
        <f t="shared" si="39"/>
        <v>1333.6</v>
      </c>
      <c r="U1386" s="65">
        <f t="shared" si="40"/>
        <v>9668.6</v>
      </c>
      <c r="V1386" s="66">
        <f t="shared" si="42"/>
        <v>0.05001259763</v>
      </c>
      <c r="W1386" s="67">
        <f t="shared" si="5"/>
        <v>7918.25</v>
      </c>
      <c r="X1386" s="67">
        <f t="shared" si="43"/>
        <v>1266.92</v>
      </c>
      <c r="Y1386" s="67">
        <f t="shared" si="44"/>
        <v>9185.17</v>
      </c>
      <c r="Z1386" s="67">
        <f t="shared" si="8"/>
        <v>7501.5</v>
      </c>
      <c r="AA1386" s="67">
        <f t="shared" si="45"/>
        <v>1200.24</v>
      </c>
      <c r="AB1386" s="67">
        <f t="shared" si="46"/>
        <v>8701.74</v>
      </c>
      <c r="AC1386" s="67">
        <f t="shared" si="11"/>
        <v>7084.75</v>
      </c>
      <c r="AD1386" s="67">
        <f t="shared" si="12"/>
        <v>1133.56</v>
      </c>
      <c r="AE1386" s="67">
        <f t="shared" si="13"/>
        <v>8218.31</v>
      </c>
      <c r="AF1386" s="67">
        <f t="shared" si="33"/>
        <v>6918.05</v>
      </c>
      <c r="AG1386" s="67">
        <f t="shared" si="15"/>
        <v>1106.888</v>
      </c>
      <c r="AH1386" s="67">
        <f t="shared" si="16"/>
        <v>8024.938</v>
      </c>
      <c r="AI1386" s="67">
        <f t="shared" si="17"/>
        <v>6668</v>
      </c>
      <c r="AJ1386" s="68">
        <f t="shared" si="47"/>
        <v>1066.88</v>
      </c>
      <c r="AK1386" s="68">
        <f t="shared" si="48"/>
        <v>7734.88</v>
      </c>
      <c r="AL1386" s="70"/>
      <c r="AM1386" s="70"/>
      <c r="AN1386" s="71"/>
      <c r="AO1386" s="71"/>
      <c r="AP1386" s="71"/>
      <c r="AQ1386" s="71"/>
      <c r="AR1386" s="71"/>
      <c r="AS1386" s="71"/>
      <c r="AT1386" s="71"/>
      <c r="AU1386" s="71"/>
      <c r="AV1386" s="71"/>
      <c r="AW1386" s="71"/>
      <c r="AX1386" s="71"/>
      <c r="AY1386" s="71"/>
      <c r="AZ1386" s="71"/>
      <c r="BA1386" s="71"/>
      <c r="BB1386" s="71"/>
      <c r="BC1386" s="71"/>
      <c r="BD1386" s="71"/>
      <c r="BE1386" s="71"/>
      <c r="BF1386" s="71"/>
      <c r="BG1386" s="71"/>
      <c r="BH1386" s="71"/>
      <c r="BI1386" s="71"/>
      <c r="BJ1386" s="71"/>
      <c r="BK1386" s="71"/>
      <c r="BL1386" s="71"/>
      <c r="BM1386" s="71"/>
      <c r="BN1386" s="71"/>
      <c r="BO1386" s="71"/>
      <c r="BP1386" s="71"/>
      <c r="BQ1386" s="71"/>
      <c r="BR1386" s="71"/>
      <c r="BS1386" s="71"/>
      <c r="BT1386" s="71"/>
      <c r="BU1386" s="71"/>
      <c r="BV1386" s="71"/>
    </row>
    <row r="1387">
      <c r="A1387" s="53"/>
      <c r="B1387" s="53"/>
      <c r="C1387" s="53" t="s">
        <v>12</v>
      </c>
      <c r="D1387" s="53" t="s">
        <v>3433</v>
      </c>
      <c r="E1387" s="54" t="s">
        <v>77</v>
      </c>
      <c r="F1387" s="55" t="s">
        <v>42</v>
      </c>
      <c r="G1387" s="155" t="s">
        <v>3434</v>
      </c>
      <c r="H1387" s="155" t="s">
        <v>3435</v>
      </c>
      <c r="I1387" s="54">
        <f t="shared" si="24"/>
        <v>22</v>
      </c>
      <c r="J1387" s="56"/>
      <c r="K1387" s="57"/>
      <c r="L1387" s="76"/>
      <c r="M1387" s="59"/>
      <c r="N1387" s="60"/>
      <c r="O1387" s="61">
        <v>603.0</v>
      </c>
      <c r="P1387" s="62">
        <v>651.24</v>
      </c>
      <c r="Q1387" s="63">
        <v>651.24</v>
      </c>
      <c r="R1387" s="64">
        <v>684.0</v>
      </c>
      <c r="S1387" s="111">
        <v>718.0</v>
      </c>
      <c r="T1387" s="65">
        <f t="shared" si="39"/>
        <v>114.88</v>
      </c>
      <c r="U1387" s="65">
        <f t="shared" si="40"/>
        <v>832.88</v>
      </c>
      <c r="V1387" s="66">
        <f t="shared" si="42"/>
        <v>0.04970760234</v>
      </c>
      <c r="W1387" s="67">
        <f t="shared" si="5"/>
        <v>682.1</v>
      </c>
      <c r="X1387" s="67">
        <f t="shared" si="43"/>
        <v>109.136</v>
      </c>
      <c r="Y1387" s="67">
        <f t="shared" si="44"/>
        <v>791.236</v>
      </c>
      <c r="Z1387" s="67">
        <f t="shared" si="8"/>
        <v>646.2</v>
      </c>
      <c r="AA1387" s="67">
        <f t="shared" si="45"/>
        <v>103.392</v>
      </c>
      <c r="AB1387" s="67">
        <f t="shared" si="46"/>
        <v>749.592</v>
      </c>
      <c r="AC1387" s="67">
        <f t="shared" si="11"/>
        <v>610.3</v>
      </c>
      <c r="AD1387" s="67">
        <f t="shared" si="12"/>
        <v>97.648</v>
      </c>
      <c r="AE1387" s="67">
        <f t="shared" si="13"/>
        <v>707.948</v>
      </c>
      <c r="AF1387" s="67">
        <f t="shared" si="33"/>
        <v>595.94</v>
      </c>
      <c r="AG1387" s="67">
        <f t="shared" si="15"/>
        <v>95.3504</v>
      </c>
      <c r="AH1387" s="67">
        <f t="shared" si="16"/>
        <v>691.2904</v>
      </c>
      <c r="AI1387" s="67">
        <f t="shared" si="17"/>
        <v>574.4</v>
      </c>
      <c r="AJ1387" s="68">
        <f t="shared" si="47"/>
        <v>91.904</v>
      </c>
      <c r="AK1387" s="68">
        <f t="shared" si="48"/>
        <v>666.304</v>
      </c>
      <c r="AL1387" s="70"/>
      <c r="AM1387" s="70"/>
      <c r="AN1387" s="71"/>
      <c r="AO1387" s="71"/>
      <c r="AP1387" s="71"/>
      <c r="AQ1387" s="71"/>
      <c r="AR1387" s="71"/>
      <c r="AS1387" s="71"/>
      <c r="AT1387" s="71"/>
      <c r="AU1387" s="71"/>
      <c r="AV1387" s="71"/>
      <c r="AW1387" s="71"/>
      <c r="AX1387" s="71"/>
      <c r="AY1387" s="71"/>
      <c r="AZ1387" s="71"/>
      <c r="BA1387" s="71"/>
      <c r="BB1387" s="71"/>
      <c r="BC1387" s="71"/>
      <c r="BD1387" s="71"/>
      <c r="BE1387" s="71"/>
      <c r="BF1387" s="71"/>
      <c r="BG1387" s="71"/>
      <c r="BH1387" s="71"/>
      <c r="BI1387" s="71"/>
      <c r="BJ1387" s="71"/>
      <c r="BK1387" s="71"/>
      <c r="BL1387" s="71"/>
      <c r="BM1387" s="71"/>
      <c r="BN1387" s="71"/>
      <c r="BO1387" s="71"/>
      <c r="BP1387" s="71"/>
      <c r="BQ1387" s="71"/>
      <c r="BR1387" s="71"/>
      <c r="BS1387" s="71"/>
      <c r="BT1387" s="71"/>
      <c r="BU1387" s="71"/>
      <c r="BV1387" s="71"/>
    </row>
    <row r="1388">
      <c r="A1388" s="53"/>
      <c r="B1388" s="53"/>
      <c r="C1388" s="53" t="s">
        <v>12</v>
      </c>
      <c r="D1388" s="53" t="s">
        <v>3436</v>
      </c>
      <c r="E1388" s="54" t="s">
        <v>77</v>
      </c>
      <c r="F1388" s="55" t="s">
        <v>42</v>
      </c>
      <c r="G1388" s="155" t="s">
        <v>3437</v>
      </c>
      <c r="H1388" s="155" t="s">
        <v>3280</v>
      </c>
      <c r="I1388" s="54">
        <f t="shared" si="24"/>
        <v>27</v>
      </c>
      <c r="J1388" s="56"/>
      <c r="K1388" s="57"/>
      <c r="L1388" s="76"/>
      <c r="M1388" s="59"/>
      <c r="N1388" s="60"/>
      <c r="O1388" s="61">
        <v>1172.0</v>
      </c>
      <c r="P1388" s="62">
        <v>1265.76</v>
      </c>
      <c r="Q1388" s="63">
        <v>1265.76</v>
      </c>
      <c r="R1388" s="64">
        <v>1330.0</v>
      </c>
      <c r="S1388" s="111">
        <v>1397.0</v>
      </c>
      <c r="T1388" s="65">
        <f t="shared" si="39"/>
        <v>223.52</v>
      </c>
      <c r="U1388" s="65">
        <f t="shared" si="40"/>
        <v>1620.52</v>
      </c>
      <c r="V1388" s="66">
        <f t="shared" si="42"/>
        <v>0.05037593985</v>
      </c>
      <c r="W1388" s="67">
        <f t="shared" si="5"/>
        <v>1327.15</v>
      </c>
      <c r="X1388" s="67">
        <f t="shared" si="43"/>
        <v>212.344</v>
      </c>
      <c r="Y1388" s="67">
        <f t="shared" si="44"/>
        <v>1539.494</v>
      </c>
      <c r="Z1388" s="67">
        <f t="shared" si="8"/>
        <v>1257.3</v>
      </c>
      <c r="AA1388" s="67">
        <f t="shared" si="45"/>
        <v>201.168</v>
      </c>
      <c r="AB1388" s="67">
        <f t="shared" si="46"/>
        <v>1458.468</v>
      </c>
      <c r="AC1388" s="67">
        <f t="shared" si="11"/>
        <v>1187.45</v>
      </c>
      <c r="AD1388" s="67">
        <f t="shared" si="12"/>
        <v>189.992</v>
      </c>
      <c r="AE1388" s="67">
        <f t="shared" si="13"/>
        <v>1377.442</v>
      </c>
      <c r="AF1388" s="67">
        <f t="shared" si="33"/>
        <v>1159.51</v>
      </c>
      <c r="AG1388" s="67">
        <f t="shared" si="15"/>
        <v>185.5216</v>
      </c>
      <c r="AH1388" s="67">
        <f t="shared" si="16"/>
        <v>1345.0316</v>
      </c>
      <c r="AI1388" s="67">
        <f t="shared" si="17"/>
        <v>1117.6</v>
      </c>
      <c r="AJ1388" s="68">
        <f t="shared" si="47"/>
        <v>178.816</v>
      </c>
      <c r="AK1388" s="68">
        <f t="shared" si="48"/>
        <v>1296.416</v>
      </c>
      <c r="AL1388" s="70"/>
      <c r="AM1388" s="70"/>
      <c r="AN1388" s="71"/>
      <c r="AO1388" s="71"/>
      <c r="AP1388" s="71"/>
      <c r="AQ1388" s="71"/>
      <c r="AR1388" s="71"/>
      <c r="AS1388" s="71"/>
      <c r="AT1388" s="71"/>
      <c r="AU1388" s="71"/>
      <c r="AV1388" s="71"/>
      <c r="AW1388" s="71"/>
      <c r="AX1388" s="71"/>
      <c r="AY1388" s="71"/>
      <c r="AZ1388" s="71"/>
      <c r="BA1388" s="71"/>
      <c r="BB1388" s="71"/>
      <c r="BC1388" s="71"/>
      <c r="BD1388" s="71"/>
      <c r="BE1388" s="71"/>
      <c r="BF1388" s="71"/>
      <c r="BG1388" s="71"/>
      <c r="BH1388" s="71"/>
      <c r="BI1388" s="71"/>
      <c r="BJ1388" s="71"/>
      <c r="BK1388" s="71"/>
      <c r="BL1388" s="71"/>
      <c r="BM1388" s="71"/>
      <c r="BN1388" s="71"/>
      <c r="BO1388" s="71"/>
      <c r="BP1388" s="71"/>
      <c r="BQ1388" s="71"/>
      <c r="BR1388" s="71"/>
      <c r="BS1388" s="71"/>
      <c r="BT1388" s="71"/>
      <c r="BU1388" s="71"/>
      <c r="BV1388" s="71"/>
    </row>
    <row r="1389">
      <c r="A1389" s="53"/>
      <c r="B1389" s="53"/>
      <c r="C1389" s="53" t="s">
        <v>12</v>
      </c>
      <c r="D1389" s="53" t="s">
        <v>3438</v>
      </c>
      <c r="E1389" s="54" t="s">
        <v>77</v>
      </c>
      <c r="F1389" s="55" t="s">
        <v>42</v>
      </c>
      <c r="G1389" s="155" t="s">
        <v>3439</v>
      </c>
      <c r="H1389" s="155" t="s">
        <v>3440</v>
      </c>
      <c r="I1389" s="54">
        <f t="shared" si="24"/>
        <v>27</v>
      </c>
      <c r="J1389" s="56"/>
      <c r="K1389" s="57"/>
      <c r="L1389" s="76"/>
      <c r="M1389" s="59"/>
      <c r="N1389" s="60"/>
      <c r="O1389" s="61">
        <v>935.0</v>
      </c>
      <c r="P1389" s="62">
        <v>1009.8000000000001</v>
      </c>
      <c r="Q1389" s="63">
        <v>1009.8000000000001</v>
      </c>
      <c r="R1389" s="64">
        <v>1061.0</v>
      </c>
      <c r="S1389" s="111">
        <v>1114.0</v>
      </c>
      <c r="T1389" s="65">
        <f t="shared" si="39"/>
        <v>178.24</v>
      </c>
      <c r="U1389" s="65">
        <f t="shared" si="40"/>
        <v>1292.24</v>
      </c>
      <c r="V1389" s="66">
        <f t="shared" si="42"/>
        <v>0.04995287465</v>
      </c>
      <c r="W1389" s="67">
        <f t="shared" si="5"/>
        <v>1058.3</v>
      </c>
      <c r="X1389" s="67">
        <f t="shared" si="43"/>
        <v>169.328</v>
      </c>
      <c r="Y1389" s="67">
        <f t="shared" si="44"/>
        <v>1227.628</v>
      </c>
      <c r="Z1389" s="67">
        <f t="shared" si="8"/>
        <v>1002.6</v>
      </c>
      <c r="AA1389" s="67">
        <f t="shared" si="45"/>
        <v>160.416</v>
      </c>
      <c r="AB1389" s="67">
        <f t="shared" si="46"/>
        <v>1163.016</v>
      </c>
      <c r="AC1389" s="67">
        <f t="shared" si="11"/>
        <v>946.9</v>
      </c>
      <c r="AD1389" s="67">
        <f t="shared" si="12"/>
        <v>151.504</v>
      </c>
      <c r="AE1389" s="67">
        <f t="shared" si="13"/>
        <v>1098.404</v>
      </c>
      <c r="AF1389" s="67">
        <f t="shared" si="33"/>
        <v>924.62</v>
      </c>
      <c r="AG1389" s="67">
        <f t="shared" si="15"/>
        <v>147.9392</v>
      </c>
      <c r="AH1389" s="67">
        <f t="shared" si="16"/>
        <v>1072.5592</v>
      </c>
      <c r="AI1389" s="67">
        <f t="shared" si="17"/>
        <v>891.2</v>
      </c>
      <c r="AJ1389" s="68">
        <f t="shared" si="47"/>
        <v>142.592</v>
      </c>
      <c r="AK1389" s="68">
        <f t="shared" si="48"/>
        <v>1033.792</v>
      </c>
      <c r="AL1389" s="70"/>
      <c r="AM1389" s="70"/>
      <c r="AN1389" s="71"/>
      <c r="AO1389" s="71"/>
      <c r="AP1389" s="71"/>
      <c r="AQ1389" s="71"/>
      <c r="AR1389" s="71"/>
      <c r="AS1389" s="71"/>
      <c r="AT1389" s="71"/>
      <c r="AU1389" s="71"/>
      <c r="AV1389" s="71"/>
      <c r="AW1389" s="71"/>
      <c r="AX1389" s="71"/>
      <c r="AY1389" s="71"/>
      <c r="AZ1389" s="71"/>
      <c r="BA1389" s="71"/>
      <c r="BB1389" s="71"/>
      <c r="BC1389" s="71"/>
      <c r="BD1389" s="71"/>
      <c r="BE1389" s="71"/>
      <c r="BF1389" s="71"/>
      <c r="BG1389" s="71"/>
      <c r="BH1389" s="71"/>
      <c r="BI1389" s="71"/>
      <c r="BJ1389" s="71"/>
      <c r="BK1389" s="71"/>
      <c r="BL1389" s="71"/>
      <c r="BM1389" s="71"/>
      <c r="BN1389" s="71"/>
      <c r="BO1389" s="71"/>
      <c r="BP1389" s="71"/>
      <c r="BQ1389" s="71"/>
      <c r="BR1389" s="71"/>
      <c r="BS1389" s="71"/>
      <c r="BT1389" s="71"/>
      <c r="BU1389" s="71"/>
      <c r="BV1389" s="71"/>
    </row>
    <row r="1390">
      <c r="A1390" s="53"/>
      <c r="B1390" s="53"/>
      <c r="C1390" s="73" t="s">
        <v>12</v>
      </c>
      <c r="D1390" s="128" t="s">
        <v>3441</v>
      </c>
      <c r="E1390" s="54" t="s">
        <v>38</v>
      </c>
      <c r="F1390" s="54" t="s">
        <v>42</v>
      </c>
      <c r="G1390" s="159" t="s">
        <v>3442</v>
      </c>
      <c r="H1390" s="157" t="s">
        <v>3443</v>
      </c>
      <c r="I1390" s="54">
        <f t="shared" si="24"/>
        <v>34</v>
      </c>
      <c r="J1390" s="56"/>
      <c r="K1390" s="57"/>
      <c r="L1390" s="76"/>
      <c r="M1390" s="59"/>
      <c r="N1390" s="60">
        <v>615.3000000000001</v>
      </c>
      <c r="O1390" s="129">
        <v>664.0</v>
      </c>
      <c r="P1390" s="62">
        <v>717.12</v>
      </c>
      <c r="Q1390" s="63">
        <v>717.12</v>
      </c>
      <c r="R1390" s="64">
        <v>753.0</v>
      </c>
      <c r="S1390" s="111">
        <v>791.0</v>
      </c>
      <c r="T1390" s="65">
        <f t="shared" si="39"/>
        <v>126.56</v>
      </c>
      <c r="U1390" s="65">
        <f t="shared" si="40"/>
        <v>917.56</v>
      </c>
      <c r="V1390" s="66">
        <f t="shared" si="42"/>
        <v>0.05046480744</v>
      </c>
      <c r="W1390" s="67">
        <f t="shared" si="5"/>
        <v>751.45</v>
      </c>
      <c r="X1390" s="67">
        <f t="shared" si="43"/>
        <v>120.232</v>
      </c>
      <c r="Y1390" s="67">
        <f t="shared" si="44"/>
        <v>871.682</v>
      </c>
      <c r="Z1390" s="67">
        <f t="shared" si="8"/>
        <v>711.9</v>
      </c>
      <c r="AA1390" s="67">
        <f t="shared" si="45"/>
        <v>113.904</v>
      </c>
      <c r="AB1390" s="67">
        <f t="shared" si="46"/>
        <v>825.804</v>
      </c>
      <c r="AC1390" s="67">
        <f t="shared" si="11"/>
        <v>672.35</v>
      </c>
      <c r="AD1390" s="67">
        <f t="shared" si="12"/>
        <v>107.576</v>
      </c>
      <c r="AE1390" s="67">
        <f t="shared" si="13"/>
        <v>779.926</v>
      </c>
      <c r="AF1390" s="67">
        <f t="shared" si="33"/>
        <v>656.53</v>
      </c>
      <c r="AG1390" s="67">
        <f t="shared" si="15"/>
        <v>105.0448</v>
      </c>
      <c r="AH1390" s="67">
        <f t="shared" si="16"/>
        <v>761.5748</v>
      </c>
      <c r="AI1390" s="67">
        <f t="shared" si="17"/>
        <v>632.8</v>
      </c>
      <c r="AJ1390" s="68">
        <f t="shared" si="47"/>
        <v>101.248</v>
      </c>
      <c r="AK1390" s="68">
        <f t="shared" si="48"/>
        <v>734.048</v>
      </c>
      <c r="AL1390" s="70"/>
      <c r="AM1390" s="70"/>
      <c r="AN1390" s="71"/>
      <c r="AO1390" s="71"/>
      <c r="AP1390" s="71"/>
      <c r="AQ1390" s="71"/>
      <c r="AR1390" s="71"/>
      <c r="AS1390" s="71"/>
      <c r="AT1390" s="71"/>
      <c r="AU1390" s="71"/>
      <c r="AV1390" s="71"/>
      <c r="AW1390" s="71"/>
      <c r="AX1390" s="71"/>
      <c r="AY1390" s="71"/>
      <c r="AZ1390" s="71"/>
      <c r="BA1390" s="71"/>
      <c r="BB1390" s="71"/>
      <c r="BC1390" s="71"/>
      <c r="BD1390" s="71"/>
      <c r="BE1390" s="71"/>
      <c r="BF1390" s="71"/>
      <c r="BG1390" s="71"/>
      <c r="BH1390" s="71"/>
      <c r="BI1390" s="71"/>
      <c r="BJ1390" s="71"/>
      <c r="BK1390" s="71"/>
      <c r="BL1390" s="71"/>
      <c r="BM1390" s="71"/>
      <c r="BN1390" s="71"/>
      <c r="BO1390" s="71"/>
      <c r="BP1390" s="71"/>
      <c r="BQ1390" s="71"/>
      <c r="BR1390" s="71"/>
      <c r="BS1390" s="71"/>
      <c r="BT1390" s="71"/>
      <c r="BU1390" s="71"/>
      <c r="BV1390" s="71"/>
    </row>
    <row r="1391">
      <c r="A1391" s="53">
        <v>1.0</v>
      </c>
      <c r="B1391" s="72"/>
      <c r="C1391" s="73" t="s">
        <v>603</v>
      </c>
      <c r="D1391" s="74" t="s">
        <v>3444</v>
      </c>
      <c r="E1391" s="54" t="s">
        <v>77</v>
      </c>
      <c r="F1391" s="54" t="s">
        <v>42</v>
      </c>
      <c r="G1391" s="88" t="s">
        <v>3445</v>
      </c>
      <c r="H1391" s="54" t="s">
        <v>3446</v>
      </c>
      <c r="I1391" s="54">
        <f t="shared" si="24"/>
        <v>26</v>
      </c>
      <c r="J1391" s="56"/>
      <c r="K1391" s="57"/>
      <c r="L1391" s="87"/>
      <c r="M1391" s="59"/>
      <c r="N1391" s="60">
        <v>3574.0</v>
      </c>
      <c r="O1391" s="61">
        <v>3859.0</v>
      </c>
      <c r="P1391" s="62">
        <v>4167.72</v>
      </c>
      <c r="Q1391" s="63">
        <v>4167.72</v>
      </c>
      <c r="R1391" s="64">
        <v>4639.0</v>
      </c>
      <c r="S1391" s="111">
        <v>4871.0</v>
      </c>
      <c r="T1391" s="65">
        <f t="shared" si="39"/>
        <v>779.36</v>
      </c>
      <c r="U1391" s="65">
        <f t="shared" si="40"/>
        <v>5650.36</v>
      </c>
      <c r="V1391" s="66">
        <f t="shared" si="42"/>
        <v>0.05001077818</v>
      </c>
      <c r="W1391" s="67">
        <f t="shared" si="5"/>
        <v>4627.45</v>
      </c>
      <c r="X1391" s="67">
        <f t="shared" si="43"/>
        <v>740.392</v>
      </c>
      <c r="Y1391" s="67">
        <f t="shared" si="44"/>
        <v>5367.842</v>
      </c>
      <c r="Z1391" s="67">
        <f t="shared" si="8"/>
        <v>4383.9</v>
      </c>
      <c r="AA1391" s="67">
        <f t="shared" si="45"/>
        <v>701.424</v>
      </c>
      <c r="AB1391" s="67">
        <f t="shared" si="46"/>
        <v>5085.324</v>
      </c>
      <c r="AC1391" s="67">
        <f t="shared" si="11"/>
        <v>4140.35</v>
      </c>
      <c r="AD1391" s="67">
        <f t="shared" si="12"/>
        <v>662.456</v>
      </c>
      <c r="AE1391" s="67">
        <f t="shared" si="13"/>
        <v>4802.806</v>
      </c>
      <c r="AF1391" s="67">
        <f t="shared" si="33"/>
        <v>4042.93</v>
      </c>
      <c r="AG1391" s="67">
        <f t="shared" si="15"/>
        <v>646.8688</v>
      </c>
      <c r="AH1391" s="67">
        <f t="shared" si="16"/>
        <v>4689.7988</v>
      </c>
      <c r="AI1391" s="67">
        <f t="shared" si="17"/>
        <v>3896.8</v>
      </c>
      <c r="AJ1391" s="68">
        <f t="shared" si="47"/>
        <v>623.488</v>
      </c>
      <c r="AK1391" s="68">
        <f t="shared" si="48"/>
        <v>4520.288</v>
      </c>
      <c r="AL1391" s="70"/>
      <c r="AM1391" s="70"/>
      <c r="AN1391" s="71"/>
      <c r="AO1391" s="71"/>
      <c r="AP1391" s="71"/>
      <c r="AQ1391" s="71"/>
      <c r="AR1391" s="71"/>
      <c r="AS1391" s="71"/>
      <c r="AT1391" s="71"/>
      <c r="AU1391" s="71"/>
      <c r="AV1391" s="71"/>
      <c r="AW1391" s="71"/>
      <c r="AX1391" s="71"/>
      <c r="AY1391" s="71"/>
      <c r="AZ1391" s="71"/>
      <c r="BA1391" s="71"/>
      <c r="BB1391" s="71"/>
      <c r="BC1391" s="71"/>
      <c r="BD1391" s="71"/>
      <c r="BE1391" s="71"/>
      <c r="BF1391" s="71"/>
      <c r="BG1391" s="71"/>
      <c r="BH1391" s="71"/>
      <c r="BI1391" s="71"/>
      <c r="BJ1391" s="71"/>
      <c r="BK1391" s="71"/>
      <c r="BL1391" s="71"/>
      <c r="BM1391" s="71"/>
      <c r="BN1391" s="71"/>
      <c r="BO1391" s="71"/>
      <c r="BP1391" s="71"/>
      <c r="BQ1391" s="71"/>
      <c r="BR1391" s="71"/>
      <c r="BS1391" s="71"/>
      <c r="BT1391" s="71"/>
      <c r="BU1391" s="71"/>
      <c r="BV1391" s="71"/>
    </row>
    <row r="1392">
      <c r="A1392" s="53">
        <v>1.0</v>
      </c>
      <c r="B1392" s="72"/>
      <c r="C1392" s="73" t="s">
        <v>603</v>
      </c>
      <c r="D1392" s="74" t="s">
        <v>3447</v>
      </c>
      <c r="E1392" s="54" t="s">
        <v>77</v>
      </c>
      <c r="F1392" s="54" t="s">
        <v>42</v>
      </c>
      <c r="G1392" s="88" t="s">
        <v>3448</v>
      </c>
      <c r="H1392" s="54" t="s">
        <v>3449</v>
      </c>
      <c r="I1392" s="54">
        <f t="shared" si="24"/>
        <v>26</v>
      </c>
      <c r="J1392" s="56"/>
      <c r="K1392" s="57"/>
      <c r="L1392" s="87"/>
      <c r="M1392" s="59"/>
      <c r="N1392" s="60">
        <v>4019.0</v>
      </c>
      <c r="O1392" s="61">
        <v>4340.0</v>
      </c>
      <c r="P1392" s="62">
        <v>4687.200000000001</v>
      </c>
      <c r="Q1392" s="63">
        <v>4687.200000000001</v>
      </c>
      <c r="R1392" s="64">
        <v>5218.0</v>
      </c>
      <c r="S1392" s="111">
        <v>5479.0</v>
      </c>
      <c r="T1392" s="65">
        <f t="shared" si="39"/>
        <v>876.64</v>
      </c>
      <c r="U1392" s="65">
        <f t="shared" si="40"/>
        <v>6355.64</v>
      </c>
      <c r="V1392" s="66">
        <f t="shared" si="42"/>
        <v>0.05001916443</v>
      </c>
      <c r="W1392" s="67">
        <f t="shared" si="5"/>
        <v>5205.05</v>
      </c>
      <c r="X1392" s="67">
        <f t="shared" si="43"/>
        <v>832.808</v>
      </c>
      <c r="Y1392" s="67">
        <f t="shared" si="44"/>
        <v>6037.858</v>
      </c>
      <c r="Z1392" s="67">
        <f t="shared" si="8"/>
        <v>4931.1</v>
      </c>
      <c r="AA1392" s="67">
        <f t="shared" si="45"/>
        <v>788.976</v>
      </c>
      <c r="AB1392" s="67">
        <f t="shared" si="46"/>
        <v>5720.076</v>
      </c>
      <c r="AC1392" s="67">
        <f t="shared" si="11"/>
        <v>4657.15</v>
      </c>
      <c r="AD1392" s="67">
        <f t="shared" si="12"/>
        <v>745.144</v>
      </c>
      <c r="AE1392" s="67">
        <f t="shared" si="13"/>
        <v>5402.294</v>
      </c>
      <c r="AF1392" s="67">
        <f t="shared" si="33"/>
        <v>4547.57</v>
      </c>
      <c r="AG1392" s="67">
        <f t="shared" si="15"/>
        <v>727.6112</v>
      </c>
      <c r="AH1392" s="67">
        <f t="shared" si="16"/>
        <v>5275.1812</v>
      </c>
      <c r="AI1392" s="67">
        <f t="shared" si="17"/>
        <v>4383.2</v>
      </c>
      <c r="AJ1392" s="68">
        <f t="shared" si="47"/>
        <v>701.312</v>
      </c>
      <c r="AK1392" s="68">
        <f t="shared" si="48"/>
        <v>5084.512</v>
      </c>
      <c r="AL1392" s="70"/>
      <c r="AM1392" s="70"/>
      <c r="AN1392" s="71"/>
      <c r="AO1392" s="71"/>
      <c r="AP1392" s="71"/>
      <c r="AQ1392" s="71"/>
      <c r="AR1392" s="71"/>
      <c r="AS1392" s="71"/>
      <c r="AT1392" s="71"/>
      <c r="AU1392" s="71"/>
      <c r="AV1392" s="71"/>
      <c r="AW1392" s="71"/>
      <c r="AX1392" s="71"/>
      <c r="AY1392" s="71"/>
      <c r="AZ1392" s="71"/>
      <c r="BA1392" s="71"/>
      <c r="BB1392" s="71"/>
      <c r="BC1392" s="71"/>
      <c r="BD1392" s="71"/>
      <c r="BE1392" s="71"/>
      <c r="BF1392" s="71"/>
      <c r="BG1392" s="71"/>
      <c r="BH1392" s="71"/>
      <c r="BI1392" s="71"/>
      <c r="BJ1392" s="71"/>
      <c r="BK1392" s="71"/>
      <c r="BL1392" s="71"/>
      <c r="BM1392" s="71"/>
      <c r="BN1392" s="71"/>
      <c r="BO1392" s="71"/>
      <c r="BP1392" s="71"/>
      <c r="BQ1392" s="71"/>
      <c r="BR1392" s="71"/>
      <c r="BS1392" s="71"/>
      <c r="BT1392" s="71"/>
      <c r="BU1392" s="71"/>
      <c r="BV1392" s="71"/>
    </row>
    <row r="1393">
      <c r="A1393" s="53">
        <v>1.0</v>
      </c>
      <c r="B1393" s="72"/>
      <c r="C1393" s="73" t="s">
        <v>603</v>
      </c>
      <c r="D1393" s="74" t="s">
        <v>3450</v>
      </c>
      <c r="E1393" s="54" t="s">
        <v>77</v>
      </c>
      <c r="F1393" s="54" t="s">
        <v>42</v>
      </c>
      <c r="G1393" s="88" t="s">
        <v>3451</v>
      </c>
      <c r="H1393" s="54" t="s">
        <v>3452</v>
      </c>
      <c r="I1393" s="54">
        <f t="shared" si="24"/>
        <v>39</v>
      </c>
      <c r="J1393" s="56"/>
      <c r="K1393" s="57"/>
      <c r="L1393" s="87"/>
      <c r="M1393" s="59"/>
      <c r="N1393" s="60">
        <v>1013.0</v>
      </c>
      <c r="O1393" s="61">
        <v>1094.0</v>
      </c>
      <c r="P1393" s="62">
        <v>1181.52</v>
      </c>
      <c r="Q1393" s="63">
        <v>1181.52</v>
      </c>
      <c r="R1393" s="64">
        <v>1316.0</v>
      </c>
      <c r="S1393" s="111">
        <v>1382.0</v>
      </c>
      <c r="T1393" s="65">
        <f t="shared" si="39"/>
        <v>221.12</v>
      </c>
      <c r="U1393" s="65">
        <f t="shared" si="40"/>
        <v>1603.12</v>
      </c>
      <c r="V1393" s="66">
        <f t="shared" si="42"/>
        <v>0.05015197568</v>
      </c>
      <c r="W1393" s="67">
        <f t="shared" si="5"/>
        <v>1312.9</v>
      </c>
      <c r="X1393" s="67">
        <f t="shared" si="43"/>
        <v>210.064</v>
      </c>
      <c r="Y1393" s="67">
        <f t="shared" si="44"/>
        <v>1522.964</v>
      </c>
      <c r="Z1393" s="67">
        <f t="shared" si="8"/>
        <v>1243.8</v>
      </c>
      <c r="AA1393" s="67">
        <f t="shared" si="45"/>
        <v>199.008</v>
      </c>
      <c r="AB1393" s="67">
        <f t="shared" si="46"/>
        <v>1442.808</v>
      </c>
      <c r="AC1393" s="67">
        <f t="shared" si="11"/>
        <v>1174.7</v>
      </c>
      <c r="AD1393" s="67">
        <f t="shared" si="12"/>
        <v>187.952</v>
      </c>
      <c r="AE1393" s="67">
        <f t="shared" si="13"/>
        <v>1362.652</v>
      </c>
      <c r="AF1393" s="67">
        <f t="shared" si="33"/>
        <v>1147.06</v>
      </c>
      <c r="AG1393" s="67">
        <f t="shared" si="15"/>
        <v>183.5296</v>
      </c>
      <c r="AH1393" s="67">
        <f t="shared" si="16"/>
        <v>1330.5896</v>
      </c>
      <c r="AI1393" s="67">
        <f t="shared" si="17"/>
        <v>1105.6</v>
      </c>
      <c r="AJ1393" s="68">
        <f t="shared" si="47"/>
        <v>176.896</v>
      </c>
      <c r="AK1393" s="68">
        <f t="shared" si="48"/>
        <v>1282.496</v>
      </c>
      <c r="AL1393" s="70"/>
      <c r="AM1393" s="70"/>
      <c r="AN1393" s="71"/>
      <c r="AO1393" s="71"/>
      <c r="AP1393" s="71"/>
      <c r="AQ1393" s="71"/>
      <c r="AR1393" s="71"/>
      <c r="AS1393" s="71"/>
      <c r="AT1393" s="71"/>
      <c r="AU1393" s="71"/>
      <c r="AV1393" s="71"/>
      <c r="AW1393" s="71"/>
      <c r="AX1393" s="71"/>
      <c r="AY1393" s="71"/>
      <c r="AZ1393" s="71"/>
      <c r="BA1393" s="71"/>
      <c r="BB1393" s="71"/>
      <c r="BC1393" s="71"/>
      <c r="BD1393" s="71"/>
      <c r="BE1393" s="71"/>
      <c r="BF1393" s="71"/>
      <c r="BG1393" s="71"/>
      <c r="BH1393" s="71"/>
      <c r="BI1393" s="71"/>
      <c r="BJ1393" s="71"/>
      <c r="BK1393" s="71"/>
      <c r="BL1393" s="71"/>
      <c r="BM1393" s="71"/>
      <c r="BN1393" s="71"/>
      <c r="BO1393" s="71"/>
      <c r="BP1393" s="71"/>
      <c r="BQ1393" s="71"/>
      <c r="BR1393" s="71"/>
      <c r="BS1393" s="71"/>
      <c r="BT1393" s="71"/>
      <c r="BU1393" s="71"/>
      <c r="BV1393" s="71"/>
    </row>
    <row r="1394">
      <c r="A1394" s="53">
        <v>1.0</v>
      </c>
      <c r="B1394" s="72">
        <v>4.0</v>
      </c>
      <c r="C1394" s="73" t="s">
        <v>603</v>
      </c>
      <c r="D1394" s="74" t="s">
        <v>3453</v>
      </c>
      <c r="E1394" s="54" t="s">
        <v>77</v>
      </c>
      <c r="F1394" s="54" t="s">
        <v>42</v>
      </c>
      <c r="G1394" s="88" t="s">
        <v>3454</v>
      </c>
      <c r="H1394" s="54" t="s">
        <v>3455</v>
      </c>
      <c r="I1394" s="54">
        <f t="shared" si="24"/>
        <v>36</v>
      </c>
      <c r="J1394" s="56"/>
      <c r="K1394" s="57"/>
      <c r="L1394" s="87"/>
      <c r="M1394" s="59"/>
      <c r="N1394" s="79">
        <v>3046.0</v>
      </c>
      <c r="O1394" s="61">
        <v>3421.0</v>
      </c>
      <c r="P1394" s="62">
        <v>4740.2</v>
      </c>
      <c r="Q1394" s="63">
        <v>4740.2</v>
      </c>
      <c r="R1394" s="64">
        <v>5339.0</v>
      </c>
      <c r="S1394" s="111">
        <v>5606.0</v>
      </c>
      <c r="T1394" s="65">
        <f t="shared" si="39"/>
        <v>896.96</v>
      </c>
      <c r="U1394" s="65">
        <f t="shared" si="40"/>
        <v>6502.96</v>
      </c>
      <c r="V1394" s="66">
        <f t="shared" si="42"/>
        <v>0.05000936505</v>
      </c>
      <c r="W1394" s="67">
        <f t="shared" si="5"/>
        <v>5606</v>
      </c>
      <c r="X1394" s="67">
        <f t="shared" si="43"/>
        <v>896.96</v>
      </c>
      <c r="Y1394" s="67">
        <f t="shared" si="44"/>
        <v>6502.96</v>
      </c>
      <c r="Z1394" s="67">
        <f t="shared" si="8"/>
        <v>5606</v>
      </c>
      <c r="AA1394" s="67">
        <f t="shared" si="45"/>
        <v>896.96</v>
      </c>
      <c r="AB1394" s="67">
        <f t="shared" si="46"/>
        <v>6502.96</v>
      </c>
      <c r="AC1394" s="67">
        <f t="shared" si="11"/>
        <v>5606</v>
      </c>
      <c r="AD1394" s="67">
        <f t="shared" si="12"/>
        <v>896.96</v>
      </c>
      <c r="AE1394" s="67">
        <f t="shared" si="13"/>
        <v>6502.96</v>
      </c>
      <c r="AF1394" s="67">
        <f t="shared" si="33"/>
        <v>5606</v>
      </c>
      <c r="AG1394" s="67">
        <f t="shared" si="15"/>
        <v>896.96</v>
      </c>
      <c r="AH1394" s="67">
        <f t="shared" si="16"/>
        <v>6502.96</v>
      </c>
      <c r="AI1394" s="67">
        <f t="shared" si="17"/>
        <v>5606</v>
      </c>
      <c r="AJ1394" s="68">
        <f t="shared" si="47"/>
        <v>896.96</v>
      </c>
      <c r="AK1394" s="68">
        <f t="shared" si="48"/>
        <v>6502.96</v>
      </c>
      <c r="AL1394" s="70"/>
      <c r="AM1394" s="70"/>
      <c r="AN1394" s="71"/>
      <c r="AO1394" s="71"/>
      <c r="AP1394" s="71"/>
      <c r="AQ1394" s="71"/>
      <c r="AR1394" s="71"/>
      <c r="AS1394" s="71"/>
      <c r="AT1394" s="71"/>
      <c r="AU1394" s="71"/>
      <c r="AV1394" s="71"/>
      <c r="AW1394" s="71"/>
      <c r="AX1394" s="71"/>
      <c r="AY1394" s="71"/>
      <c r="AZ1394" s="71"/>
      <c r="BA1394" s="71"/>
      <c r="BB1394" s="71"/>
      <c r="BC1394" s="71"/>
      <c r="BD1394" s="71"/>
      <c r="BE1394" s="71"/>
      <c r="BF1394" s="71"/>
      <c r="BG1394" s="71"/>
      <c r="BH1394" s="71"/>
      <c r="BI1394" s="71"/>
      <c r="BJ1394" s="71"/>
      <c r="BK1394" s="71"/>
      <c r="BL1394" s="71"/>
      <c r="BM1394" s="71"/>
      <c r="BN1394" s="71"/>
      <c r="BO1394" s="71"/>
      <c r="BP1394" s="71"/>
      <c r="BQ1394" s="71"/>
      <c r="BR1394" s="71"/>
      <c r="BS1394" s="71"/>
      <c r="BT1394" s="71"/>
      <c r="BU1394" s="71"/>
      <c r="BV1394" s="71"/>
    </row>
    <row r="1395">
      <c r="A1395" s="53">
        <v>1.0</v>
      </c>
      <c r="B1395" s="72"/>
      <c r="C1395" s="73" t="s">
        <v>603</v>
      </c>
      <c r="D1395" s="74" t="s">
        <v>3456</v>
      </c>
      <c r="E1395" s="54" t="s">
        <v>77</v>
      </c>
      <c r="F1395" s="54" t="s">
        <v>42</v>
      </c>
      <c r="G1395" s="88" t="s">
        <v>3457</v>
      </c>
      <c r="H1395" s="54" t="s">
        <v>3458</v>
      </c>
      <c r="I1395" s="54">
        <f t="shared" si="24"/>
        <v>35</v>
      </c>
      <c r="J1395" s="56"/>
      <c r="K1395" s="57"/>
      <c r="L1395" s="87"/>
      <c r="M1395" s="59"/>
      <c r="N1395" s="60">
        <v>4877.0</v>
      </c>
      <c r="O1395" s="61">
        <v>5267.0</v>
      </c>
      <c r="P1395" s="62">
        <v>5688.360000000001</v>
      </c>
      <c r="Q1395" s="63">
        <v>5688.360000000001</v>
      </c>
      <c r="R1395" s="64">
        <v>6332.0</v>
      </c>
      <c r="S1395" s="111">
        <v>6649.0</v>
      </c>
      <c r="T1395" s="65">
        <f t="shared" si="39"/>
        <v>1063.84</v>
      </c>
      <c r="U1395" s="65">
        <f t="shared" si="40"/>
        <v>7712.84</v>
      </c>
      <c r="V1395" s="66">
        <f t="shared" si="42"/>
        <v>0.05006317119</v>
      </c>
      <c r="W1395" s="67">
        <f t="shared" si="5"/>
        <v>6316.55</v>
      </c>
      <c r="X1395" s="67">
        <f t="shared" si="43"/>
        <v>1010.648</v>
      </c>
      <c r="Y1395" s="67">
        <f t="shared" si="44"/>
        <v>7327.198</v>
      </c>
      <c r="Z1395" s="67">
        <f t="shared" si="8"/>
        <v>5984.1</v>
      </c>
      <c r="AA1395" s="67">
        <f t="shared" si="45"/>
        <v>957.456</v>
      </c>
      <c r="AB1395" s="67">
        <f t="shared" si="46"/>
        <v>6941.556</v>
      </c>
      <c r="AC1395" s="67">
        <f t="shared" si="11"/>
        <v>5651.65</v>
      </c>
      <c r="AD1395" s="67">
        <f t="shared" si="12"/>
        <v>904.264</v>
      </c>
      <c r="AE1395" s="67">
        <f t="shared" si="13"/>
        <v>6555.914</v>
      </c>
      <c r="AF1395" s="67">
        <f t="shared" si="33"/>
        <v>5518.67</v>
      </c>
      <c r="AG1395" s="67">
        <f t="shared" si="15"/>
        <v>882.9872</v>
      </c>
      <c r="AH1395" s="67">
        <f t="shared" si="16"/>
        <v>6401.6572</v>
      </c>
      <c r="AI1395" s="67">
        <f t="shared" si="17"/>
        <v>5319.2</v>
      </c>
      <c r="AJ1395" s="68">
        <f t="shared" si="47"/>
        <v>851.072</v>
      </c>
      <c r="AK1395" s="68">
        <f t="shared" si="48"/>
        <v>6170.272</v>
      </c>
      <c r="AL1395" s="70"/>
      <c r="AM1395" s="70"/>
      <c r="AN1395" s="71"/>
      <c r="AO1395" s="71"/>
      <c r="AP1395" s="71"/>
      <c r="AQ1395" s="71"/>
      <c r="AR1395" s="71"/>
      <c r="AS1395" s="71"/>
      <c r="AT1395" s="71"/>
      <c r="AU1395" s="71"/>
      <c r="AV1395" s="71"/>
      <c r="AW1395" s="71"/>
      <c r="AX1395" s="71"/>
      <c r="AY1395" s="71"/>
      <c r="AZ1395" s="71"/>
      <c r="BA1395" s="71"/>
      <c r="BB1395" s="71"/>
      <c r="BC1395" s="71"/>
      <c r="BD1395" s="71"/>
      <c r="BE1395" s="71"/>
      <c r="BF1395" s="71"/>
      <c r="BG1395" s="71"/>
      <c r="BH1395" s="71"/>
      <c r="BI1395" s="71"/>
      <c r="BJ1395" s="71"/>
      <c r="BK1395" s="71"/>
      <c r="BL1395" s="71"/>
      <c r="BM1395" s="71"/>
      <c r="BN1395" s="71"/>
      <c r="BO1395" s="71"/>
      <c r="BP1395" s="71"/>
      <c r="BQ1395" s="71"/>
      <c r="BR1395" s="71"/>
      <c r="BS1395" s="71"/>
      <c r="BT1395" s="71"/>
      <c r="BU1395" s="71"/>
      <c r="BV1395" s="71"/>
    </row>
    <row r="1396">
      <c r="A1396" s="53">
        <v>1.0</v>
      </c>
      <c r="B1396" s="72"/>
      <c r="C1396" s="73" t="s">
        <v>603</v>
      </c>
      <c r="D1396" s="74" t="s">
        <v>3459</v>
      </c>
      <c r="E1396" s="54" t="s">
        <v>77</v>
      </c>
      <c r="F1396" s="54" t="s">
        <v>42</v>
      </c>
      <c r="G1396" s="88" t="s">
        <v>3460</v>
      </c>
      <c r="H1396" s="54" t="s">
        <v>3461</v>
      </c>
      <c r="I1396" s="54">
        <f t="shared" si="24"/>
        <v>40</v>
      </c>
      <c r="J1396" s="56"/>
      <c r="K1396" s="57"/>
      <c r="L1396" s="87"/>
      <c r="M1396" s="59"/>
      <c r="N1396" s="60">
        <v>859.0</v>
      </c>
      <c r="O1396" s="61">
        <v>927.0</v>
      </c>
      <c r="P1396" s="62">
        <v>1001.1600000000001</v>
      </c>
      <c r="Q1396" s="63">
        <v>1001.1600000000001</v>
      </c>
      <c r="R1396" s="64">
        <v>1116.0</v>
      </c>
      <c r="S1396" s="111">
        <v>1172.0</v>
      </c>
      <c r="T1396" s="65">
        <f t="shared" si="39"/>
        <v>187.52</v>
      </c>
      <c r="U1396" s="65">
        <f t="shared" si="40"/>
        <v>1359.52</v>
      </c>
      <c r="V1396" s="66">
        <f t="shared" si="42"/>
        <v>0.05017921147</v>
      </c>
      <c r="W1396" s="67">
        <f t="shared" si="5"/>
        <v>1113.4</v>
      </c>
      <c r="X1396" s="67">
        <f t="shared" si="43"/>
        <v>178.144</v>
      </c>
      <c r="Y1396" s="67">
        <f t="shared" si="44"/>
        <v>1291.544</v>
      </c>
      <c r="Z1396" s="67">
        <f t="shared" si="8"/>
        <v>1054.8</v>
      </c>
      <c r="AA1396" s="67">
        <f t="shared" si="45"/>
        <v>168.768</v>
      </c>
      <c r="AB1396" s="67">
        <f t="shared" si="46"/>
        <v>1223.568</v>
      </c>
      <c r="AC1396" s="67">
        <f t="shared" si="11"/>
        <v>996.2</v>
      </c>
      <c r="AD1396" s="67">
        <f t="shared" si="12"/>
        <v>159.392</v>
      </c>
      <c r="AE1396" s="67">
        <f t="shared" si="13"/>
        <v>1155.592</v>
      </c>
      <c r="AF1396" s="67">
        <f t="shared" si="33"/>
        <v>972.76</v>
      </c>
      <c r="AG1396" s="67">
        <f t="shared" si="15"/>
        <v>155.6416</v>
      </c>
      <c r="AH1396" s="67">
        <f t="shared" si="16"/>
        <v>1128.4016</v>
      </c>
      <c r="AI1396" s="67">
        <f t="shared" si="17"/>
        <v>937.6</v>
      </c>
      <c r="AJ1396" s="68">
        <f t="shared" si="47"/>
        <v>150.016</v>
      </c>
      <c r="AK1396" s="68">
        <f t="shared" si="48"/>
        <v>1087.616</v>
      </c>
      <c r="AL1396" s="70"/>
      <c r="AM1396" s="70"/>
      <c r="AN1396" s="71"/>
      <c r="AO1396" s="71"/>
      <c r="AP1396" s="71"/>
      <c r="AQ1396" s="71"/>
      <c r="AR1396" s="71"/>
      <c r="AS1396" s="71"/>
      <c r="AT1396" s="71"/>
      <c r="AU1396" s="71"/>
      <c r="AV1396" s="71"/>
      <c r="AW1396" s="71"/>
      <c r="AX1396" s="71"/>
      <c r="AY1396" s="71"/>
      <c r="AZ1396" s="71"/>
      <c r="BA1396" s="71"/>
      <c r="BB1396" s="71"/>
      <c r="BC1396" s="71"/>
      <c r="BD1396" s="71"/>
      <c r="BE1396" s="71"/>
      <c r="BF1396" s="71"/>
      <c r="BG1396" s="71"/>
      <c r="BH1396" s="71"/>
      <c r="BI1396" s="71"/>
      <c r="BJ1396" s="71"/>
      <c r="BK1396" s="71"/>
      <c r="BL1396" s="71"/>
      <c r="BM1396" s="71"/>
      <c r="BN1396" s="71"/>
      <c r="BO1396" s="71"/>
      <c r="BP1396" s="71"/>
      <c r="BQ1396" s="71"/>
      <c r="BR1396" s="71"/>
      <c r="BS1396" s="71"/>
      <c r="BT1396" s="71"/>
      <c r="BU1396" s="71"/>
      <c r="BV1396" s="71"/>
    </row>
    <row r="1397">
      <c r="A1397" s="53"/>
      <c r="B1397" s="53"/>
      <c r="C1397" s="53" t="s">
        <v>36</v>
      </c>
      <c r="D1397" s="85" t="s">
        <v>3462</v>
      </c>
      <c r="E1397" s="54" t="s">
        <v>38</v>
      </c>
      <c r="F1397" s="55" t="s">
        <v>39</v>
      </c>
      <c r="G1397" s="86" t="s">
        <v>3463</v>
      </c>
      <c r="H1397" s="55"/>
      <c r="I1397" s="54">
        <f t="shared" si="24"/>
        <v>0</v>
      </c>
      <c r="J1397" s="56"/>
      <c r="K1397" s="57"/>
      <c r="L1397" s="76"/>
      <c r="M1397" s="59"/>
      <c r="N1397" s="60"/>
      <c r="O1397" s="61">
        <v>18240.0</v>
      </c>
      <c r="P1397" s="62">
        <v>19699.2</v>
      </c>
      <c r="Q1397" s="63">
        <v>19699.2</v>
      </c>
      <c r="R1397" s="64">
        <v>20684.0</v>
      </c>
      <c r="S1397" s="107">
        <v>21718.0</v>
      </c>
      <c r="T1397" s="65">
        <f t="shared" si="39"/>
        <v>3474.88</v>
      </c>
      <c r="U1397" s="65">
        <f t="shared" si="40"/>
        <v>25192.88</v>
      </c>
      <c r="V1397" s="66">
        <f t="shared" si="42"/>
        <v>0.04999033069</v>
      </c>
      <c r="W1397" s="67">
        <f t="shared" si="5"/>
        <v>20632.1</v>
      </c>
      <c r="X1397" s="67">
        <f t="shared" si="43"/>
        <v>3301.136</v>
      </c>
      <c r="Y1397" s="67">
        <f t="shared" si="44"/>
        <v>23933.236</v>
      </c>
      <c r="Z1397" s="67">
        <f t="shared" si="8"/>
        <v>19546.2</v>
      </c>
      <c r="AA1397" s="67">
        <f t="shared" si="45"/>
        <v>3127.392</v>
      </c>
      <c r="AB1397" s="67">
        <f t="shared" si="46"/>
        <v>22673.592</v>
      </c>
      <c r="AC1397" s="67">
        <f t="shared" si="11"/>
        <v>18460.3</v>
      </c>
      <c r="AD1397" s="67">
        <f t="shared" si="12"/>
        <v>2953.648</v>
      </c>
      <c r="AE1397" s="67">
        <f t="shared" si="13"/>
        <v>21413.948</v>
      </c>
      <c r="AF1397" s="67">
        <f t="shared" si="33"/>
        <v>18025.94</v>
      </c>
      <c r="AG1397" s="67">
        <f t="shared" si="15"/>
        <v>2884.1504</v>
      </c>
      <c r="AH1397" s="67">
        <f t="shared" si="16"/>
        <v>20910.0904</v>
      </c>
      <c r="AI1397" s="67">
        <f t="shared" si="17"/>
        <v>17374.4</v>
      </c>
      <c r="AJ1397" s="68">
        <f t="shared" si="47"/>
        <v>2779.904</v>
      </c>
      <c r="AK1397" s="68">
        <f t="shared" si="48"/>
        <v>20154.304</v>
      </c>
      <c r="AL1397" s="70"/>
      <c r="AM1397" s="70"/>
      <c r="AN1397" s="71"/>
      <c r="AO1397" s="71"/>
      <c r="AP1397" s="71"/>
      <c r="AQ1397" s="71"/>
      <c r="AR1397" s="71"/>
      <c r="AS1397" s="71"/>
      <c r="AT1397" s="71"/>
      <c r="AU1397" s="71"/>
      <c r="AV1397" s="71"/>
      <c r="AW1397" s="71"/>
      <c r="AX1397" s="71"/>
      <c r="AY1397" s="71"/>
      <c r="AZ1397" s="71"/>
      <c r="BA1397" s="71"/>
      <c r="BB1397" s="71"/>
      <c r="BC1397" s="71"/>
      <c r="BD1397" s="71"/>
      <c r="BE1397" s="71"/>
      <c r="BF1397" s="71"/>
      <c r="BG1397" s="71"/>
      <c r="BH1397" s="71"/>
      <c r="BI1397" s="71"/>
      <c r="BJ1397" s="71"/>
      <c r="BK1397" s="71"/>
      <c r="BL1397" s="71"/>
      <c r="BM1397" s="71"/>
      <c r="BN1397" s="71"/>
      <c r="BO1397" s="71"/>
      <c r="BP1397" s="71"/>
      <c r="BQ1397" s="71"/>
      <c r="BR1397" s="71"/>
      <c r="BS1397" s="71"/>
      <c r="BT1397" s="71"/>
      <c r="BU1397" s="71"/>
      <c r="BV1397" s="71"/>
    </row>
    <row r="1398">
      <c r="A1398" s="53"/>
      <c r="B1398" s="53"/>
      <c r="C1398" s="53" t="s">
        <v>36</v>
      </c>
      <c r="D1398" s="85" t="s">
        <v>3464</v>
      </c>
      <c r="E1398" s="54" t="s">
        <v>38</v>
      </c>
      <c r="F1398" s="55" t="s">
        <v>39</v>
      </c>
      <c r="G1398" s="86" t="s">
        <v>3465</v>
      </c>
      <c r="H1398" s="86" t="s">
        <v>3465</v>
      </c>
      <c r="I1398" s="54">
        <f t="shared" si="24"/>
        <v>38</v>
      </c>
      <c r="J1398" s="56"/>
      <c r="K1398" s="57"/>
      <c r="L1398" s="76"/>
      <c r="M1398" s="59"/>
      <c r="N1398" s="60"/>
      <c r="O1398" s="61">
        <v>672.0</v>
      </c>
      <c r="P1398" s="62">
        <v>760.0</v>
      </c>
      <c r="Q1398" s="63">
        <v>760.0</v>
      </c>
      <c r="R1398" s="64">
        <v>798.0</v>
      </c>
      <c r="S1398" s="107">
        <v>838.0</v>
      </c>
      <c r="T1398" s="65">
        <f t="shared" si="39"/>
        <v>134.08</v>
      </c>
      <c r="U1398" s="65">
        <f t="shared" si="40"/>
        <v>972.08</v>
      </c>
      <c r="V1398" s="66">
        <f t="shared" si="42"/>
        <v>0.05012531328</v>
      </c>
      <c r="W1398" s="67">
        <f t="shared" si="5"/>
        <v>796.1</v>
      </c>
      <c r="X1398" s="67">
        <f t="shared" si="43"/>
        <v>127.376</v>
      </c>
      <c r="Y1398" s="67">
        <f t="shared" si="44"/>
        <v>923.476</v>
      </c>
      <c r="Z1398" s="67">
        <f t="shared" si="8"/>
        <v>754.2</v>
      </c>
      <c r="AA1398" s="67">
        <f t="shared" si="45"/>
        <v>120.672</v>
      </c>
      <c r="AB1398" s="67">
        <f t="shared" si="46"/>
        <v>874.872</v>
      </c>
      <c r="AC1398" s="67">
        <f t="shared" si="11"/>
        <v>712.3</v>
      </c>
      <c r="AD1398" s="67">
        <f t="shared" si="12"/>
        <v>113.968</v>
      </c>
      <c r="AE1398" s="67">
        <f t="shared" si="13"/>
        <v>826.268</v>
      </c>
      <c r="AF1398" s="67">
        <f t="shared" si="33"/>
        <v>695.54</v>
      </c>
      <c r="AG1398" s="67">
        <f t="shared" si="15"/>
        <v>111.2864</v>
      </c>
      <c r="AH1398" s="67">
        <f t="shared" si="16"/>
        <v>806.8264</v>
      </c>
      <c r="AI1398" s="67">
        <f t="shared" si="17"/>
        <v>670.4</v>
      </c>
      <c r="AJ1398" s="68">
        <f t="shared" si="47"/>
        <v>107.264</v>
      </c>
      <c r="AK1398" s="68">
        <f t="shared" si="48"/>
        <v>777.664</v>
      </c>
      <c r="AL1398" s="70"/>
      <c r="AM1398" s="70"/>
      <c r="AN1398" s="71"/>
      <c r="AO1398" s="71"/>
      <c r="AP1398" s="71"/>
      <c r="AQ1398" s="71"/>
      <c r="AR1398" s="71"/>
      <c r="AS1398" s="71"/>
      <c r="AT1398" s="71"/>
      <c r="AU1398" s="71"/>
      <c r="AV1398" s="71"/>
      <c r="AW1398" s="71"/>
      <c r="AX1398" s="71"/>
      <c r="AY1398" s="71"/>
      <c r="AZ1398" s="71"/>
      <c r="BA1398" s="71"/>
      <c r="BB1398" s="71"/>
      <c r="BC1398" s="71"/>
      <c r="BD1398" s="71"/>
      <c r="BE1398" s="71"/>
      <c r="BF1398" s="71"/>
      <c r="BG1398" s="71"/>
      <c r="BH1398" s="71"/>
      <c r="BI1398" s="71"/>
      <c r="BJ1398" s="71"/>
      <c r="BK1398" s="71"/>
      <c r="BL1398" s="71"/>
      <c r="BM1398" s="71"/>
      <c r="BN1398" s="71"/>
      <c r="BO1398" s="71"/>
      <c r="BP1398" s="71"/>
      <c r="BQ1398" s="71"/>
      <c r="BR1398" s="71"/>
      <c r="BS1398" s="71"/>
      <c r="BT1398" s="71"/>
      <c r="BU1398" s="71"/>
      <c r="BV1398" s="71"/>
    </row>
    <row r="1399">
      <c r="A1399" s="53">
        <v>1.0</v>
      </c>
      <c r="B1399" s="72"/>
      <c r="C1399" s="73" t="s">
        <v>53</v>
      </c>
      <c r="D1399" s="53" t="s">
        <v>3466</v>
      </c>
      <c r="E1399" s="54" t="s">
        <v>77</v>
      </c>
      <c r="F1399" s="54" t="s">
        <v>42</v>
      </c>
      <c r="G1399" s="88" t="s">
        <v>3467</v>
      </c>
      <c r="H1399" s="54" t="s">
        <v>3468</v>
      </c>
      <c r="I1399" s="54">
        <f t="shared" si="24"/>
        <v>37</v>
      </c>
      <c r="J1399" s="56"/>
      <c r="K1399" s="57"/>
      <c r="L1399" s="76"/>
      <c r="M1399" s="59"/>
      <c r="N1399" s="60">
        <v>468.0</v>
      </c>
      <c r="O1399" s="61">
        <v>558.0</v>
      </c>
      <c r="P1399" s="62">
        <v>602.64</v>
      </c>
      <c r="Q1399" s="63">
        <v>602.64</v>
      </c>
      <c r="R1399" s="64">
        <v>756.0</v>
      </c>
      <c r="S1399" s="111">
        <v>794.0</v>
      </c>
      <c r="T1399" s="65">
        <f t="shared" si="39"/>
        <v>127.04</v>
      </c>
      <c r="U1399" s="65">
        <f t="shared" si="40"/>
        <v>921.04</v>
      </c>
      <c r="V1399" s="66">
        <f t="shared" si="42"/>
        <v>0.05026455026</v>
      </c>
      <c r="W1399" s="67">
        <f t="shared" si="5"/>
        <v>754.3</v>
      </c>
      <c r="X1399" s="67">
        <f t="shared" si="43"/>
        <v>120.688</v>
      </c>
      <c r="Y1399" s="67">
        <f t="shared" si="44"/>
        <v>874.988</v>
      </c>
      <c r="Z1399" s="67">
        <f t="shared" si="8"/>
        <v>714.6</v>
      </c>
      <c r="AA1399" s="67">
        <f t="shared" si="45"/>
        <v>114.336</v>
      </c>
      <c r="AB1399" s="67">
        <f t="shared" si="46"/>
        <v>828.936</v>
      </c>
      <c r="AC1399" s="67">
        <f t="shared" si="11"/>
        <v>674.9</v>
      </c>
      <c r="AD1399" s="67">
        <f t="shared" si="12"/>
        <v>107.984</v>
      </c>
      <c r="AE1399" s="67">
        <f t="shared" si="13"/>
        <v>782.884</v>
      </c>
      <c r="AF1399" s="67">
        <f t="shared" si="33"/>
        <v>659.02</v>
      </c>
      <c r="AG1399" s="67">
        <f t="shared" si="15"/>
        <v>105.4432</v>
      </c>
      <c r="AH1399" s="67">
        <f t="shared" si="16"/>
        <v>764.4632</v>
      </c>
      <c r="AI1399" s="67">
        <f t="shared" si="17"/>
        <v>635.2</v>
      </c>
      <c r="AJ1399" s="68">
        <f t="shared" si="47"/>
        <v>101.632</v>
      </c>
      <c r="AK1399" s="68">
        <f t="shared" si="48"/>
        <v>736.832</v>
      </c>
      <c r="AL1399" s="70"/>
      <c r="AM1399" s="70"/>
      <c r="AN1399" s="71"/>
      <c r="AO1399" s="71"/>
      <c r="AP1399" s="71"/>
      <c r="AQ1399" s="71"/>
      <c r="AR1399" s="71"/>
      <c r="AS1399" s="71"/>
      <c r="AT1399" s="71"/>
      <c r="AU1399" s="71"/>
      <c r="AV1399" s="71"/>
      <c r="AW1399" s="71"/>
      <c r="AX1399" s="71"/>
      <c r="AY1399" s="71"/>
      <c r="AZ1399" s="71"/>
      <c r="BA1399" s="71"/>
      <c r="BB1399" s="71"/>
      <c r="BC1399" s="71"/>
      <c r="BD1399" s="71"/>
      <c r="BE1399" s="71"/>
      <c r="BF1399" s="71"/>
      <c r="BG1399" s="71"/>
      <c r="BH1399" s="71"/>
      <c r="BI1399" s="71"/>
      <c r="BJ1399" s="71"/>
      <c r="BK1399" s="71"/>
      <c r="BL1399" s="71"/>
      <c r="BM1399" s="71"/>
      <c r="BN1399" s="71"/>
      <c r="BO1399" s="71"/>
      <c r="BP1399" s="71"/>
      <c r="BQ1399" s="71"/>
      <c r="BR1399" s="71"/>
      <c r="BS1399" s="71"/>
      <c r="BT1399" s="71"/>
      <c r="BU1399" s="71"/>
      <c r="BV1399" s="71"/>
    </row>
    <row r="1400">
      <c r="A1400" s="53">
        <v>1.0</v>
      </c>
      <c r="B1400" s="53"/>
      <c r="C1400" s="73" t="s">
        <v>53</v>
      </c>
      <c r="D1400" s="53" t="s">
        <v>3469</v>
      </c>
      <c r="E1400" s="54" t="s">
        <v>77</v>
      </c>
      <c r="F1400" s="54" t="s">
        <v>42</v>
      </c>
      <c r="G1400" s="55" t="s">
        <v>3470</v>
      </c>
      <c r="H1400" s="54" t="s">
        <v>3471</v>
      </c>
      <c r="I1400" s="54">
        <f t="shared" si="24"/>
        <v>39</v>
      </c>
      <c r="J1400" s="56"/>
      <c r="K1400" s="57"/>
      <c r="L1400" s="87"/>
      <c r="M1400" s="59"/>
      <c r="N1400" s="60">
        <v>1729.0</v>
      </c>
      <c r="O1400" s="61">
        <v>1867.0</v>
      </c>
      <c r="P1400" s="62">
        <v>2016.3600000000001</v>
      </c>
      <c r="Q1400" s="63">
        <v>2016.3600000000001</v>
      </c>
      <c r="R1400" s="64">
        <v>2372.0</v>
      </c>
      <c r="S1400" s="111">
        <v>2491.0</v>
      </c>
      <c r="T1400" s="65">
        <f t="shared" si="39"/>
        <v>398.56</v>
      </c>
      <c r="U1400" s="65">
        <f t="shared" si="40"/>
        <v>2889.56</v>
      </c>
      <c r="V1400" s="66">
        <f t="shared" si="42"/>
        <v>0.05016863406</v>
      </c>
      <c r="W1400" s="67">
        <f t="shared" si="5"/>
        <v>2366.45</v>
      </c>
      <c r="X1400" s="67">
        <f t="shared" si="43"/>
        <v>378.632</v>
      </c>
      <c r="Y1400" s="67">
        <f t="shared" si="44"/>
        <v>2745.082</v>
      </c>
      <c r="Z1400" s="67">
        <f t="shared" si="8"/>
        <v>2241.9</v>
      </c>
      <c r="AA1400" s="67">
        <f t="shared" si="45"/>
        <v>358.704</v>
      </c>
      <c r="AB1400" s="67">
        <f t="shared" si="46"/>
        <v>2600.604</v>
      </c>
      <c r="AC1400" s="67">
        <f t="shared" si="11"/>
        <v>2117.35</v>
      </c>
      <c r="AD1400" s="67">
        <f t="shared" si="12"/>
        <v>338.776</v>
      </c>
      <c r="AE1400" s="67">
        <f t="shared" si="13"/>
        <v>2456.126</v>
      </c>
      <c r="AF1400" s="67">
        <f t="shared" si="33"/>
        <v>2067.53</v>
      </c>
      <c r="AG1400" s="67">
        <f t="shared" si="15"/>
        <v>330.8048</v>
      </c>
      <c r="AH1400" s="67">
        <f t="shared" si="16"/>
        <v>2398.3348</v>
      </c>
      <c r="AI1400" s="67">
        <f t="shared" si="17"/>
        <v>1992.8</v>
      </c>
      <c r="AJ1400" s="68">
        <f t="shared" si="47"/>
        <v>318.848</v>
      </c>
      <c r="AK1400" s="68">
        <f t="shared" si="48"/>
        <v>2311.648</v>
      </c>
      <c r="AL1400" s="70"/>
      <c r="AM1400" s="70"/>
      <c r="AN1400" s="71"/>
      <c r="AO1400" s="71"/>
      <c r="AP1400" s="71"/>
      <c r="AQ1400" s="71"/>
      <c r="AR1400" s="71"/>
      <c r="AS1400" s="71"/>
      <c r="AT1400" s="71"/>
      <c r="AU1400" s="71"/>
      <c r="AV1400" s="71"/>
      <c r="AW1400" s="71"/>
      <c r="AX1400" s="71"/>
      <c r="AY1400" s="71"/>
      <c r="AZ1400" s="71"/>
      <c r="BA1400" s="71"/>
      <c r="BB1400" s="71"/>
      <c r="BC1400" s="71"/>
      <c r="BD1400" s="71"/>
      <c r="BE1400" s="71"/>
      <c r="BF1400" s="71"/>
      <c r="BG1400" s="71"/>
      <c r="BH1400" s="71"/>
      <c r="BI1400" s="71"/>
      <c r="BJ1400" s="71"/>
      <c r="BK1400" s="71"/>
      <c r="BL1400" s="71"/>
      <c r="BM1400" s="71"/>
      <c r="BN1400" s="71"/>
      <c r="BO1400" s="71"/>
      <c r="BP1400" s="71"/>
      <c r="BQ1400" s="71"/>
      <c r="BR1400" s="71"/>
      <c r="BS1400" s="71"/>
      <c r="BT1400" s="71"/>
      <c r="BU1400" s="71"/>
      <c r="BV1400" s="71"/>
    </row>
    <row r="1401">
      <c r="A1401" s="53"/>
      <c r="B1401" s="53"/>
      <c r="C1401" s="73" t="s">
        <v>53</v>
      </c>
      <c r="D1401" s="53" t="s">
        <v>3472</v>
      </c>
      <c r="E1401" s="54" t="s">
        <v>77</v>
      </c>
      <c r="F1401" s="55" t="s">
        <v>309</v>
      </c>
      <c r="G1401" s="54" t="s">
        <v>3473</v>
      </c>
      <c r="H1401" s="55"/>
      <c r="I1401" s="54">
        <f t="shared" si="24"/>
        <v>0</v>
      </c>
      <c r="J1401" s="56"/>
      <c r="K1401" s="57"/>
      <c r="L1401" s="77"/>
      <c r="M1401" s="59"/>
      <c r="N1401" s="60"/>
      <c r="O1401" s="90">
        <v>505.0</v>
      </c>
      <c r="P1401" s="62">
        <v>545.4000000000001</v>
      </c>
      <c r="Q1401" s="63">
        <v>545.4000000000001</v>
      </c>
      <c r="R1401" s="64">
        <v>756.0</v>
      </c>
      <c r="S1401" s="111">
        <v>794.0</v>
      </c>
      <c r="T1401" s="65">
        <f t="shared" si="39"/>
        <v>127.04</v>
      </c>
      <c r="U1401" s="65">
        <f t="shared" si="40"/>
        <v>921.04</v>
      </c>
      <c r="V1401" s="66">
        <f t="shared" si="42"/>
        <v>0.05026455026</v>
      </c>
      <c r="W1401" s="67">
        <f t="shared" si="5"/>
        <v>754.3</v>
      </c>
      <c r="X1401" s="67">
        <f t="shared" si="43"/>
        <v>120.688</v>
      </c>
      <c r="Y1401" s="67">
        <f t="shared" si="44"/>
        <v>874.988</v>
      </c>
      <c r="Z1401" s="67">
        <f t="shared" si="8"/>
        <v>714.6</v>
      </c>
      <c r="AA1401" s="67">
        <f t="shared" si="45"/>
        <v>114.336</v>
      </c>
      <c r="AB1401" s="67">
        <f t="shared" si="46"/>
        <v>828.936</v>
      </c>
      <c r="AC1401" s="67">
        <f t="shared" si="11"/>
        <v>674.9</v>
      </c>
      <c r="AD1401" s="67">
        <f t="shared" si="12"/>
        <v>107.984</v>
      </c>
      <c r="AE1401" s="67">
        <f t="shared" si="13"/>
        <v>782.884</v>
      </c>
      <c r="AF1401" s="67">
        <f t="shared" si="33"/>
        <v>659.02</v>
      </c>
      <c r="AG1401" s="67">
        <f t="shared" si="15"/>
        <v>105.4432</v>
      </c>
      <c r="AH1401" s="67">
        <f t="shared" si="16"/>
        <v>764.4632</v>
      </c>
      <c r="AI1401" s="67">
        <f t="shared" si="17"/>
        <v>635.2</v>
      </c>
      <c r="AJ1401" s="68">
        <f t="shared" si="47"/>
        <v>101.632</v>
      </c>
      <c r="AK1401" s="68">
        <f t="shared" si="48"/>
        <v>736.832</v>
      </c>
      <c r="AL1401" s="70"/>
      <c r="AM1401" s="70"/>
      <c r="AN1401" s="71"/>
      <c r="AO1401" s="71"/>
      <c r="AP1401" s="71"/>
      <c r="AQ1401" s="71"/>
      <c r="AR1401" s="71"/>
      <c r="AS1401" s="71"/>
      <c r="AT1401" s="71"/>
      <c r="AU1401" s="71"/>
      <c r="AV1401" s="71"/>
      <c r="AW1401" s="71"/>
      <c r="AX1401" s="71"/>
      <c r="AY1401" s="71"/>
      <c r="AZ1401" s="71"/>
      <c r="BA1401" s="71"/>
      <c r="BB1401" s="71"/>
      <c r="BC1401" s="71"/>
      <c r="BD1401" s="71"/>
      <c r="BE1401" s="71"/>
      <c r="BF1401" s="71"/>
      <c r="BG1401" s="71"/>
      <c r="BH1401" s="71"/>
      <c r="BI1401" s="71"/>
      <c r="BJ1401" s="71"/>
      <c r="BK1401" s="71"/>
      <c r="BL1401" s="71"/>
      <c r="BM1401" s="71"/>
      <c r="BN1401" s="71"/>
      <c r="BO1401" s="71"/>
      <c r="BP1401" s="71"/>
      <c r="BQ1401" s="71"/>
      <c r="BR1401" s="71"/>
      <c r="BS1401" s="71"/>
      <c r="BT1401" s="71"/>
      <c r="BU1401" s="71"/>
      <c r="BV1401" s="71"/>
    </row>
    <row r="1402">
      <c r="A1402" s="53">
        <v>1.0</v>
      </c>
      <c r="B1402" s="72"/>
      <c r="C1402" s="73" t="s">
        <v>53</v>
      </c>
      <c r="D1402" s="53" t="s">
        <v>3474</v>
      </c>
      <c r="E1402" s="54" t="s">
        <v>77</v>
      </c>
      <c r="F1402" s="54" t="s">
        <v>42</v>
      </c>
      <c r="G1402" s="88" t="s">
        <v>3475</v>
      </c>
      <c r="H1402" s="54" t="s">
        <v>3476</v>
      </c>
      <c r="I1402" s="54">
        <f t="shared" si="24"/>
        <v>36</v>
      </c>
      <c r="J1402" s="56"/>
      <c r="K1402" s="57"/>
      <c r="L1402" s="76"/>
      <c r="M1402" s="59"/>
      <c r="N1402" s="79">
        <v>324.0</v>
      </c>
      <c r="O1402" s="61">
        <v>372.0</v>
      </c>
      <c r="P1402" s="62">
        <v>401.76000000000005</v>
      </c>
      <c r="Q1402" s="63">
        <v>401.76000000000005</v>
      </c>
      <c r="R1402" s="64">
        <v>504.0</v>
      </c>
      <c r="S1402" s="111">
        <v>529.0</v>
      </c>
      <c r="T1402" s="65">
        <f t="shared" si="39"/>
        <v>84.64</v>
      </c>
      <c r="U1402" s="65">
        <f t="shared" si="40"/>
        <v>613.64</v>
      </c>
      <c r="V1402" s="66">
        <f t="shared" si="42"/>
        <v>0.0496031746</v>
      </c>
      <c r="W1402" s="67">
        <f t="shared" si="5"/>
        <v>502.55</v>
      </c>
      <c r="X1402" s="67">
        <f t="shared" si="43"/>
        <v>80.408</v>
      </c>
      <c r="Y1402" s="67">
        <f t="shared" si="44"/>
        <v>582.958</v>
      </c>
      <c r="Z1402" s="67">
        <f t="shared" si="8"/>
        <v>476.1</v>
      </c>
      <c r="AA1402" s="67">
        <f t="shared" si="45"/>
        <v>76.176</v>
      </c>
      <c r="AB1402" s="67">
        <f t="shared" si="46"/>
        <v>552.276</v>
      </c>
      <c r="AC1402" s="67">
        <f t="shared" si="11"/>
        <v>449.65</v>
      </c>
      <c r="AD1402" s="67">
        <f t="shared" si="12"/>
        <v>71.944</v>
      </c>
      <c r="AE1402" s="67">
        <f t="shared" si="13"/>
        <v>521.594</v>
      </c>
      <c r="AF1402" s="67">
        <f t="shared" si="33"/>
        <v>439.07</v>
      </c>
      <c r="AG1402" s="67">
        <f t="shared" si="15"/>
        <v>70.2512</v>
      </c>
      <c r="AH1402" s="67">
        <f t="shared" si="16"/>
        <v>509.3212</v>
      </c>
      <c r="AI1402" s="67">
        <f t="shared" si="17"/>
        <v>423.2</v>
      </c>
      <c r="AJ1402" s="68">
        <f t="shared" si="47"/>
        <v>67.712</v>
      </c>
      <c r="AK1402" s="68">
        <f t="shared" si="48"/>
        <v>490.912</v>
      </c>
      <c r="AL1402" s="70"/>
      <c r="AM1402" s="70"/>
      <c r="AN1402" s="71"/>
      <c r="AO1402" s="71"/>
      <c r="AP1402" s="71"/>
      <c r="AQ1402" s="71"/>
      <c r="AR1402" s="71"/>
      <c r="AS1402" s="71"/>
      <c r="AT1402" s="71"/>
      <c r="AU1402" s="71"/>
      <c r="AV1402" s="71"/>
      <c r="AW1402" s="71"/>
      <c r="AX1402" s="71"/>
      <c r="AY1402" s="71"/>
      <c r="AZ1402" s="71"/>
      <c r="BA1402" s="71"/>
      <c r="BB1402" s="71"/>
      <c r="BC1402" s="71"/>
      <c r="BD1402" s="71"/>
      <c r="BE1402" s="71"/>
      <c r="BF1402" s="71"/>
      <c r="BG1402" s="71"/>
      <c r="BH1402" s="71"/>
      <c r="BI1402" s="71"/>
      <c r="BJ1402" s="71"/>
      <c r="BK1402" s="71"/>
      <c r="BL1402" s="71"/>
      <c r="BM1402" s="71"/>
      <c r="BN1402" s="71"/>
      <c r="BO1402" s="71"/>
      <c r="BP1402" s="71"/>
      <c r="BQ1402" s="71"/>
      <c r="BR1402" s="71"/>
      <c r="BS1402" s="71"/>
      <c r="BT1402" s="71"/>
      <c r="BU1402" s="71"/>
      <c r="BV1402" s="71"/>
    </row>
    <row r="1403">
      <c r="A1403" s="53"/>
      <c r="B1403" s="53"/>
      <c r="C1403" s="73" t="s">
        <v>53</v>
      </c>
      <c r="D1403" s="53" t="s">
        <v>3477</v>
      </c>
      <c r="E1403" s="54" t="s">
        <v>77</v>
      </c>
      <c r="F1403" s="55" t="s">
        <v>309</v>
      </c>
      <c r="G1403" s="54" t="s">
        <v>3475</v>
      </c>
      <c r="H1403" s="55"/>
      <c r="I1403" s="54">
        <f t="shared" si="24"/>
        <v>0</v>
      </c>
      <c r="J1403" s="56"/>
      <c r="K1403" s="57"/>
      <c r="L1403" s="76"/>
      <c r="M1403" s="59"/>
      <c r="N1403" s="60"/>
      <c r="O1403" s="90">
        <v>336.0</v>
      </c>
      <c r="P1403" s="62">
        <v>362.88</v>
      </c>
      <c r="Q1403" s="63">
        <v>362.88</v>
      </c>
      <c r="R1403" s="64">
        <v>504.0</v>
      </c>
      <c r="S1403" s="111">
        <v>529.0</v>
      </c>
      <c r="T1403" s="65">
        <f t="shared" si="39"/>
        <v>84.64</v>
      </c>
      <c r="U1403" s="65">
        <f t="shared" si="40"/>
        <v>613.64</v>
      </c>
      <c r="V1403" s="66">
        <f t="shared" si="42"/>
        <v>0.0496031746</v>
      </c>
      <c r="W1403" s="67">
        <f t="shared" si="5"/>
        <v>502.55</v>
      </c>
      <c r="X1403" s="67">
        <f t="shared" si="43"/>
        <v>80.408</v>
      </c>
      <c r="Y1403" s="67">
        <f t="shared" si="44"/>
        <v>582.958</v>
      </c>
      <c r="Z1403" s="67">
        <f t="shared" si="8"/>
        <v>476.1</v>
      </c>
      <c r="AA1403" s="67">
        <f t="shared" si="45"/>
        <v>76.176</v>
      </c>
      <c r="AB1403" s="67">
        <f t="shared" si="46"/>
        <v>552.276</v>
      </c>
      <c r="AC1403" s="67">
        <f t="shared" si="11"/>
        <v>449.65</v>
      </c>
      <c r="AD1403" s="67">
        <f t="shared" si="12"/>
        <v>71.944</v>
      </c>
      <c r="AE1403" s="67">
        <f t="shared" si="13"/>
        <v>521.594</v>
      </c>
      <c r="AF1403" s="67">
        <f t="shared" si="33"/>
        <v>439.07</v>
      </c>
      <c r="AG1403" s="67">
        <f t="shared" si="15"/>
        <v>70.2512</v>
      </c>
      <c r="AH1403" s="67">
        <f t="shared" si="16"/>
        <v>509.3212</v>
      </c>
      <c r="AI1403" s="67">
        <f t="shared" si="17"/>
        <v>423.2</v>
      </c>
      <c r="AJ1403" s="68">
        <f t="shared" si="47"/>
        <v>67.712</v>
      </c>
      <c r="AK1403" s="68">
        <f t="shared" si="48"/>
        <v>490.912</v>
      </c>
      <c r="AL1403" s="70"/>
      <c r="AM1403" s="70"/>
      <c r="AN1403" s="71"/>
      <c r="AO1403" s="71"/>
      <c r="AP1403" s="71"/>
      <c r="AQ1403" s="71"/>
      <c r="AR1403" s="71"/>
      <c r="AS1403" s="71"/>
      <c r="AT1403" s="71"/>
      <c r="AU1403" s="71"/>
      <c r="AV1403" s="71"/>
      <c r="AW1403" s="71"/>
      <c r="AX1403" s="71"/>
      <c r="AY1403" s="71"/>
      <c r="AZ1403" s="71"/>
      <c r="BA1403" s="71"/>
      <c r="BB1403" s="71"/>
      <c r="BC1403" s="71"/>
      <c r="BD1403" s="71"/>
      <c r="BE1403" s="71"/>
      <c r="BF1403" s="71"/>
      <c r="BG1403" s="71"/>
      <c r="BH1403" s="71"/>
      <c r="BI1403" s="71"/>
      <c r="BJ1403" s="71"/>
      <c r="BK1403" s="71"/>
      <c r="BL1403" s="71"/>
      <c r="BM1403" s="71"/>
      <c r="BN1403" s="71"/>
      <c r="BO1403" s="71"/>
      <c r="BP1403" s="71"/>
      <c r="BQ1403" s="71"/>
      <c r="BR1403" s="71"/>
      <c r="BS1403" s="71"/>
      <c r="BT1403" s="71"/>
      <c r="BU1403" s="71"/>
      <c r="BV1403" s="71"/>
    </row>
    <row r="1404">
      <c r="A1404" s="53">
        <v>1.0</v>
      </c>
      <c r="B1404" s="53"/>
      <c r="C1404" s="73" t="s">
        <v>53</v>
      </c>
      <c r="D1404" s="53" t="s">
        <v>3478</v>
      </c>
      <c r="E1404" s="54" t="s">
        <v>77</v>
      </c>
      <c r="F1404" s="54" t="s">
        <v>42</v>
      </c>
      <c r="G1404" s="55" t="s">
        <v>3479</v>
      </c>
      <c r="H1404" s="54" t="s">
        <v>3480</v>
      </c>
      <c r="I1404" s="54">
        <f t="shared" si="24"/>
        <v>40</v>
      </c>
      <c r="J1404" s="56"/>
      <c r="K1404" s="57"/>
      <c r="L1404" s="87"/>
      <c r="M1404" s="59"/>
      <c r="N1404" s="60">
        <v>655.0</v>
      </c>
      <c r="O1404" s="61">
        <v>707.0</v>
      </c>
      <c r="P1404" s="62">
        <v>763.5600000000001</v>
      </c>
      <c r="Q1404" s="63">
        <v>763.5600000000001</v>
      </c>
      <c r="R1404" s="64">
        <v>851.0</v>
      </c>
      <c r="S1404" s="111">
        <v>894.0</v>
      </c>
      <c r="T1404" s="65">
        <f t="shared" si="39"/>
        <v>143.04</v>
      </c>
      <c r="U1404" s="65">
        <f t="shared" si="40"/>
        <v>1037.04</v>
      </c>
      <c r="V1404" s="66">
        <f t="shared" si="42"/>
        <v>0.05052878966</v>
      </c>
      <c r="W1404" s="67">
        <f t="shared" si="5"/>
        <v>849.3</v>
      </c>
      <c r="X1404" s="67">
        <f t="shared" si="43"/>
        <v>135.888</v>
      </c>
      <c r="Y1404" s="67">
        <f t="shared" si="44"/>
        <v>985.188</v>
      </c>
      <c r="Z1404" s="67">
        <f t="shared" si="8"/>
        <v>804.6</v>
      </c>
      <c r="AA1404" s="67">
        <f t="shared" si="45"/>
        <v>128.736</v>
      </c>
      <c r="AB1404" s="67">
        <f t="shared" si="46"/>
        <v>933.336</v>
      </c>
      <c r="AC1404" s="67">
        <f t="shared" si="11"/>
        <v>759.9</v>
      </c>
      <c r="AD1404" s="67">
        <f t="shared" si="12"/>
        <v>121.584</v>
      </c>
      <c r="AE1404" s="67">
        <f t="shared" si="13"/>
        <v>881.484</v>
      </c>
      <c r="AF1404" s="67">
        <f t="shared" si="33"/>
        <v>742.02</v>
      </c>
      <c r="AG1404" s="67">
        <f t="shared" si="15"/>
        <v>118.7232</v>
      </c>
      <c r="AH1404" s="67">
        <f t="shared" si="16"/>
        <v>860.7432</v>
      </c>
      <c r="AI1404" s="67">
        <f t="shared" si="17"/>
        <v>715.2</v>
      </c>
      <c r="AJ1404" s="68">
        <f t="shared" si="47"/>
        <v>114.432</v>
      </c>
      <c r="AK1404" s="68">
        <f t="shared" si="48"/>
        <v>829.632</v>
      </c>
      <c r="AL1404" s="70"/>
      <c r="AM1404" s="70"/>
      <c r="AN1404" s="71"/>
      <c r="AO1404" s="71"/>
      <c r="AP1404" s="71"/>
      <c r="AQ1404" s="71"/>
      <c r="AR1404" s="71"/>
      <c r="AS1404" s="71"/>
      <c r="AT1404" s="71"/>
      <c r="AU1404" s="71"/>
      <c r="AV1404" s="71"/>
      <c r="AW1404" s="71"/>
      <c r="AX1404" s="71"/>
      <c r="AY1404" s="71"/>
      <c r="AZ1404" s="71"/>
      <c r="BA1404" s="71"/>
      <c r="BB1404" s="71"/>
      <c r="BC1404" s="71"/>
      <c r="BD1404" s="71"/>
      <c r="BE1404" s="71"/>
      <c r="BF1404" s="71"/>
      <c r="BG1404" s="71"/>
      <c r="BH1404" s="71"/>
      <c r="BI1404" s="71"/>
      <c r="BJ1404" s="71"/>
      <c r="BK1404" s="71"/>
      <c r="BL1404" s="71"/>
      <c r="BM1404" s="71"/>
      <c r="BN1404" s="71"/>
      <c r="BO1404" s="71"/>
      <c r="BP1404" s="71"/>
      <c r="BQ1404" s="71"/>
      <c r="BR1404" s="71"/>
      <c r="BS1404" s="71"/>
      <c r="BT1404" s="71"/>
      <c r="BU1404" s="71"/>
      <c r="BV1404" s="71"/>
    </row>
    <row r="1405">
      <c r="A1405" s="53">
        <v>1.0</v>
      </c>
      <c r="B1405" s="53"/>
      <c r="C1405" s="73" t="s">
        <v>53</v>
      </c>
      <c r="D1405" s="53" t="s">
        <v>3481</v>
      </c>
      <c r="E1405" s="54" t="s">
        <v>77</v>
      </c>
      <c r="F1405" s="54" t="s">
        <v>42</v>
      </c>
      <c r="G1405" s="54" t="s">
        <v>3482</v>
      </c>
      <c r="H1405" s="54" t="s">
        <v>3483</v>
      </c>
      <c r="I1405" s="54">
        <f t="shared" si="24"/>
        <v>37</v>
      </c>
      <c r="J1405" s="56"/>
      <c r="K1405" s="57"/>
      <c r="L1405" s="87"/>
      <c r="M1405" s="59"/>
      <c r="N1405" s="60">
        <v>1153.0</v>
      </c>
      <c r="O1405" s="61">
        <v>1245.0</v>
      </c>
      <c r="P1405" s="62">
        <v>1344.6000000000001</v>
      </c>
      <c r="Q1405" s="63">
        <v>1344.6000000000001</v>
      </c>
      <c r="R1405" s="64">
        <v>1582.0</v>
      </c>
      <c r="S1405" s="111">
        <v>1661.0</v>
      </c>
      <c r="T1405" s="65">
        <f t="shared" si="39"/>
        <v>265.76</v>
      </c>
      <c r="U1405" s="65">
        <f t="shared" si="40"/>
        <v>1926.76</v>
      </c>
      <c r="V1405" s="66">
        <f t="shared" si="42"/>
        <v>0.04993678887</v>
      </c>
      <c r="W1405" s="67">
        <f t="shared" si="5"/>
        <v>1577.95</v>
      </c>
      <c r="X1405" s="67">
        <f t="shared" si="43"/>
        <v>252.472</v>
      </c>
      <c r="Y1405" s="67">
        <f t="shared" si="44"/>
        <v>1830.422</v>
      </c>
      <c r="Z1405" s="67">
        <f t="shared" si="8"/>
        <v>1494.9</v>
      </c>
      <c r="AA1405" s="67">
        <f t="shared" si="45"/>
        <v>239.184</v>
      </c>
      <c r="AB1405" s="67">
        <f t="shared" si="46"/>
        <v>1734.084</v>
      </c>
      <c r="AC1405" s="67">
        <f t="shared" si="11"/>
        <v>1411.85</v>
      </c>
      <c r="AD1405" s="67">
        <f t="shared" si="12"/>
        <v>225.896</v>
      </c>
      <c r="AE1405" s="67">
        <f t="shared" si="13"/>
        <v>1637.746</v>
      </c>
      <c r="AF1405" s="67">
        <f t="shared" si="33"/>
        <v>1378.63</v>
      </c>
      <c r="AG1405" s="67">
        <f t="shared" si="15"/>
        <v>220.5808</v>
      </c>
      <c r="AH1405" s="67">
        <f t="shared" si="16"/>
        <v>1599.2108</v>
      </c>
      <c r="AI1405" s="67">
        <f t="shared" si="17"/>
        <v>1328.8</v>
      </c>
      <c r="AJ1405" s="68">
        <f t="shared" si="47"/>
        <v>212.608</v>
      </c>
      <c r="AK1405" s="68">
        <f t="shared" si="48"/>
        <v>1541.408</v>
      </c>
      <c r="AL1405" s="70"/>
      <c r="AM1405" s="70"/>
      <c r="AN1405" s="71"/>
      <c r="AO1405" s="71"/>
      <c r="AP1405" s="71"/>
      <c r="AQ1405" s="71"/>
      <c r="AR1405" s="71"/>
      <c r="AS1405" s="71"/>
      <c r="AT1405" s="71"/>
      <c r="AU1405" s="71"/>
      <c r="AV1405" s="71"/>
      <c r="AW1405" s="71"/>
      <c r="AX1405" s="71"/>
      <c r="AY1405" s="71"/>
      <c r="AZ1405" s="71"/>
      <c r="BA1405" s="71"/>
      <c r="BB1405" s="71"/>
      <c r="BC1405" s="71"/>
      <c r="BD1405" s="71"/>
      <c r="BE1405" s="71"/>
      <c r="BF1405" s="71"/>
      <c r="BG1405" s="71"/>
      <c r="BH1405" s="71"/>
      <c r="BI1405" s="71"/>
      <c r="BJ1405" s="71"/>
      <c r="BK1405" s="71"/>
      <c r="BL1405" s="71"/>
      <c r="BM1405" s="71"/>
      <c r="BN1405" s="71"/>
      <c r="BO1405" s="71"/>
      <c r="BP1405" s="71"/>
      <c r="BQ1405" s="71"/>
      <c r="BR1405" s="71"/>
      <c r="BS1405" s="71"/>
      <c r="BT1405" s="71"/>
      <c r="BU1405" s="71"/>
      <c r="BV1405" s="71"/>
    </row>
    <row r="1406">
      <c r="A1406" s="53">
        <v>1.0</v>
      </c>
      <c r="B1406" s="72"/>
      <c r="C1406" s="73" t="s">
        <v>53</v>
      </c>
      <c r="D1406" s="53" t="s">
        <v>3484</v>
      </c>
      <c r="E1406" s="54" t="s">
        <v>77</v>
      </c>
      <c r="F1406" s="54" t="s">
        <v>42</v>
      </c>
      <c r="G1406" s="88" t="s">
        <v>3485</v>
      </c>
      <c r="H1406" s="54" t="s">
        <v>3486</v>
      </c>
      <c r="I1406" s="54">
        <f t="shared" si="24"/>
        <v>37</v>
      </c>
      <c r="J1406" s="56"/>
      <c r="K1406" s="57"/>
      <c r="L1406" s="76"/>
      <c r="M1406" s="59"/>
      <c r="N1406" s="60">
        <v>472.0</v>
      </c>
      <c r="O1406" s="61">
        <v>569.0</v>
      </c>
      <c r="P1406" s="62">
        <v>614.5200000000001</v>
      </c>
      <c r="Q1406" s="63">
        <v>614.5200000000001</v>
      </c>
      <c r="R1406" s="64">
        <v>775.0</v>
      </c>
      <c r="S1406" s="111">
        <v>814.0</v>
      </c>
      <c r="T1406" s="65">
        <f t="shared" si="39"/>
        <v>130.24</v>
      </c>
      <c r="U1406" s="65">
        <f t="shared" si="40"/>
        <v>944.24</v>
      </c>
      <c r="V1406" s="66">
        <f t="shared" si="42"/>
        <v>0.05032258065</v>
      </c>
      <c r="W1406" s="67">
        <f t="shared" si="5"/>
        <v>773.3</v>
      </c>
      <c r="X1406" s="67">
        <f t="shared" si="43"/>
        <v>123.728</v>
      </c>
      <c r="Y1406" s="67">
        <f t="shared" si="44"/>
        <v>897.028</v>
      </c>
      <c r="Z1406" s="67">
        <f t="shared" si="8"/>
        <v>732.6</v>
      </c>
      <c r="AA1406" s="67">
        <f t="shared" si="45"/>
        <v>117.216</v>
      </c>
      <c r="AB1406" s="67">
        <f t="shared" si="46"/>
        <v>849.816</v>
      </c>
      <c r="AC1406" s="67">
        <f t="shared" si="11"/>
        <v>691.9</v>
      </c>
      <c r="AD1406" s="67">
        <f t="shared" si="12"/>
        <v>110.704</v>
      </c>
      <c r="AE1406" s="67">
        <f t="shared" si="13"/>
        <v>802.604</v>
      </c>
      <c r="AF1406" s="67">
        <f t="shared" si="33"/>
        <v>675.62</v>
      </c>
      <c r="AG1406" s="67">
        <f t="shared" si="15"/>
        <v>108.0992</v>
      </c>
      <c r="AH1406" s="67">
        <f t="shared" si="16"/>
        <v>783.7192</v>
      </c>
      <c r="AI1406" s="67">
        <f t="shared" si="17"/>
        <v>651.2</v>
      </c>
      <c r="AJ1406" s="68">
        <f t="shared" si="47"/>
        <v>104.192</v>
      </c>
      <c r="AK1406" s="68">
        <f t="shared" si="48"/>
        <v>755.392</v>
      </c>
      <c r="AL1406" s="70"/>
      <c r="AM1406" s="70"/>
      <c r="AN1406" s="71"/>
      <c r="AO1406" s="71"/>
      <c r="AP1406" s="71"/>
      <c r="AQ1406" s="71"/>
      <c r="AR1406" s="71"/>
      <c r="AS1406" s="71"/>
      <c r="AT1406" s="71"/>
      <c r="AU1406" s="71"/>
      <c r="AV1406" s="71"/>
      <c r="AW1406" s="71"/>
      <c r="AX1406" s="71"/>
      <c r="AY1406" s="71"/>
      <c r="AZ1406" s="71"/>
      <c r="BA1406" s="71"/>
      <c r="BB1406" s="71"/>
      <c r="BC1406" s="71"/>
      <c r="BD1406" s="71"/>
      <c r="BE1406" s="71"/>
      <c r="BF1406" s="71"/>
      <c r="BG1406" s="71"/>
      <c r="BH1406" s="71"/>
      <c r="BI1406" s="71"/>
      <c r="BJ1406" s="71"/>
      <c r="BK1406" s="71"/>
      <c r="BL1406" s="71"/>
      <c r="BM1406" s="71"/>
      <c r="BN1406" s="71"/>
      <c r="BO1406" s="71"/>
      <c r="BP1406" s="71"/>
      <c r="BQ1406" s="71"/>
      <c r="BR1406" s="71"/>
      <c r="BS1406" s="71"/>
      <c r="BT1406" s="71"/>
      <c r="BU1406" s="71"/>
      <c r="BV1406" s="71"/>
    </row>
    <row r="1407">
      <c r="A1407" s="53">
        <v>1.0</v>
      </c>
      <c r="B1407" s="53"/>
      <c r="C1407" s="73" t="s">
        <v>53</v>
      </c>
      <c r="D1407" s="53" t="s">
        <v>3487</v>
      </c>
      <c r="E1407" s="54" t="s">
        <v>77</v>
      </c>
      <c r="F1407" s="54" t="s">
        <v>42</v>
      </c>
      <c r="G1407" s="55" t="s">
        <v>3488</v>
      </c>
      <c r="H1407" s="54" t="s">
        <v>3489</v>
      </c>
      <c r="I1407" s="54">
        <f t="shared" si="24"/>
        <v>36</v>
      </c>
      <c r="J1407" s="56"/>
      <c r="K1407" s="57"/>
      <c r="L1407" s="87"/>
      <c r="M1407" s="59"/>
      <c r="N1407" s="60">
        <v>1862.0</v>
      </c>
      <c r="O1407" s="61">
        <v>2010.0</v>
      </c>
      <c r="P1407" s="62">
        <v>2170.8</v>
      </c>
      <c r="Q1407" s="63">
        <v>2170.8</v>
      </c>
      <c r="R1407" s="64">
        <v>2554.0</v>
      </c>
      <c r="S1407" s="111">
        <v>2682.0</v>
      </c>
      <c r="T1407" s="65">
        <f t="shared" si="39"/>
        <v>429.12</v>
      </c>
      <c r="U1407" s="65">
        <f t="shared" si="40"/>
        <v>3111.12</v>
      </c>
      <c r="V1407" s="66">
        <f t="shared" si="42"/>
        <v>0.0501174628</v>
      </c>
      <c r="W1407" s="67">
        <f t="shared" si="5"/>
        <v>2547.9</v>
      </c>
      <c r="X1407" s="67">
        <f t="shared" si="43"/>
        <v>407.664</v>
      </c>
      <c r="Y1407" s="67">
        <f t="shared" si="44"/>
        <v>2955.564</v>
      </c>
      <c r="Z1407" s="67">
        <f t="shared" si="8"/>
        <v>2413.8</v>
      </c>
      <c r="AA1407" s="67">
        <f t="shared" si="45"/>
        <v>386.208</v>
      </c>
      <c r="AB1407" s="67">
        <f t="shared" si="46"/>
        <v>2800.008</v>
      </c>
      <c r="AC1407" s="67">
        <f t="shared" si="11"/>
        <v>2279.7</v>
      </c>
      <c r="AD1407" s="67">
        <f t="shared" si="12"/>
        <v>364.752</v>
      </c>
      <c r="AE1407" s="67">
        <f t="shared" si="13"/>
        <v>2644.452</v>
      </c>
      <c r="AF1407" s="67">
        <f t="shared" si="33"/>
        <v>2226.06</v>
      </c>
      <c r="AG1407" s="67">
        <f t="shared" si="15"/>
        <v>356.1696</v>
      </c>
      <c r="AH1407" s="67">
        <f t="shared" si="16"/>
        <v>2582.2296</v>
      </c>
      <c r="AI1407" s="67">
        <f t="shared" si="17"/>
        <v>2145.6</v>
      </c>
      <c r="AJ1407" s="68">
        <f t="shared" si="47"/>
        <v>343.296</v>
      </c>
      <c r="AK1407" s="68">
        <f t="shared" si="48"/>
        <v>2488.896</v>
      </c>
      <c r="AL1407" s="70"/>
      <c r="AM1407" s="70"/>
      <c r="AN1407" s="71"/>
      <c r="AO1407" s="71"/>
      <c r="AP1407" s="71"/>
      <c r="AQ1407" s="71"/>
      <c r="AR1407" s="71"/>
      <c r="AS1407" s="71"/>
      <c r="AT1407" s="71"/>
      <c r="AU1407" s="71"/>
      <c r="AV1407" s="71"/>
      <c r="AW1407" s="71"/>
      <c r="AX1407" s="71"/>
      <c r="AY1407" s="71"/>
      <c r="AZ1407" s="71"/>
      <c r="BA1407" s="71"/>
      <c r="BB1407" s="71"/>
      <c r="BC1407" s="71"/>
      <c r="BD1407" s="71"/>
      <c r="BE1407" s="71"/>
      <c r="BF1407" s="71"/>
      <c r="BG1407" s="71"/>
      <c r="BH1407" s="71"/>
      <c r="BI1407" s="71"/>
      <c r="BJ1407" s="71"/>
      <c r="BK1407" s="71"/>
      <c r="BL1407" s="71"/>
      <c r="BM1407" s="71"/>
      <c r="BN1407" s="71"/>
      <c r="BO1407" s="71"/>
      <c r="BP1407" s="71"/>
      <c r="BQ1407" s="71"/>
      <c r="BR1407" s="71"/>
      <c r="BS1407" s="71"/>
      <c r="BT1407" s="71"/>
      <c r="BU1407" s="71"/>
      <c r="BV1407" s="71"/>
    </row>
    <row r="1408">
      <c r="A1408" s="53">
        <v>1.0</v>
      </c>
      <c r="B1408" s="72"/>
      <c r="C1408" s="73" t="s">
        <v>53</v>
      </c>
      <c r="D1408" s="53" t="s">
        <v>3490</v>
      </c>
      <c r="E1408" s="54" t="s">
        <v>77</v>
      </c>
      <c r="F1408" s="54" t="s">
        <v>42</v>
      </c>
      <c r="G1408" s="88" t="s">
        <v>3491</v>
      </c>
      <c r="H1408" s="54" t="s">
        <v>3492</v>
      </c>
      <c r="I1408" s="54">
        <f t="shared" si="24"/>
        <v>36</v>
      </c>
      <c r="J1408" s="56"/>
      <c r="K1408" s="57"/>
      <c r="L1408" s="76"/>
      <c r="M1408" s="59"/>
      <c r="N1408" s="79">
        <v>328.0</v>
      </c>
      <c r="O1408" s="61">
        <v>380.0</v>
      </c>
      <c r="P1408" s="62">
        <v>410.40000000000003</v>
      </c>
      <c r="Q1408" s="63">
        <v>410.40000000000003</v>
      </c>
      <c r="R1408" s="64">
        <v>517.0</v>
      </c>
      <c r="S1408" s="111">
        <v>543.0</v>
      </c>
      <c r="T1408" s="65">
        <f t="shared" si="39"/>
        <v>86.88</v>
      </c>
      <c r="U1408" s="65">
        <f t="shared" si="40"/>
        <v>629.88</v>
      </c>
      <c r="V1408" s="66">
        <f t="shared" si="42"/>
        <v>0.0502901354</v>
      </c>
      <c r="W1408" s="67">
        <f t="shared" si="5"/>
        <v>515.85</v>
      </c>
      <c r="X1408" s="67">
        <f t="shared" si="43"/>
        <v>82.536</v>
      </c>
      <c r="Y1408" s="67">
        <f t="shared" si="44"/>
        <v>598.386</v>
      </c>
      <c r="Z1408" s="67">
        <f t="shared" si="8"/>
        <v>488.7</v>
      </c>
      <c r="AA1408" s="67">
        <f t="shared" si="45"/>
        <v>78.192</v>
      </c>
      <c r="AB1408" s="67">
        <f t="shared" si="46"/>
        <v>566.892</v>
      </c>
      <c r="AC1408" s="67">
        <f t="shared" si="11"/>
        <v>461.55</v>
      </c>
      <c r="AD1408" s="67">
        <f t="shared" si="12"/>
        <v>73.848</v>
      </c>
      <c r="AE1408" s="67">
        <f t="shared" si="13"/>
        <v>535.398</v>
      </c>
      <c r="AF1408" s="67">
        <f t="shared" si="33"/>
        <v>450.69</v>
      </c>
      <c r="AG1408" s="67">
        <f t="shared" si="15"/>
        <v>72.1104</v>
      </c>
      <c r="AH1408" s="67">
        <f t="shared" si="16"/>
        <v>522.8004</v>
      </c>
      <c r="AI1408" s="67">
        <f t="shared" si="17"/>
        <v>434.4</v>
      </c>
      <c r="AJ1408" s="68">
        <f t="shared" si="47"/>
        <v>69.504</v>
      </c>
      <c r="AK1408" s="68">
        <f t="shared" si="48"/>
        <v>503.904</v>
      </c>
      <c r="AL1408" s="70"/>
      <c r="AM1408" s="70"/>
      <c r="AN1408" s="71"/>
      <c r="AO1408" s="71"/>
      <c r="AP1408" s="71"/>
      <c r="AQ1408" s="71"/>
      <c r="AR1408" s="71"/>
      <c r="AS1408" s="71"/>
      <c r="AT1408" s="71"/>
      <c r="AU1408" s="71"/>
      <c r="AV1408" s="71"/>
      <c r="AW1408" s="71"/>
      <c r="AX1408" s="71"/>
      <c r="AY1408" s="71"/>
      <c r="AZ1408" s="71"/>
      <c r="BA1408" s="71"/>
      <c r="BB1408" s="71"/>
      <c r="BC1408" s="71"/>
      <c r="BD1408" s="71"/>
      <c r="BE1408" s="71"/>
      <c r="BF1408" s="71"/>
      <c r="BG1408" s="71"/>
      <c r="BH1408" s="71"/>
      <c r="BI1408" s="71"/>
      <c r="BJ1408" s="71"/>
      <c r="BK1408" s="71"/>
      <c r="BL1408" s="71"/>
      <c r="BM1408" s="71"/>
      <c r="BN1408" s="71"/>
      <c r="BO1408" s="71"/>
      <c r="BP1408" s="71"/>
      <c r="BQ1408" s="71"/>
      <c r="BR1408" s="71"/>
      <c r="BS1408" s="71"/>
      <c r="BT1408" s="71"/>
      <c r="BU1408" s="71"/>
      <c r="BV1408" s="71"/>
    </row>
    <row r="1409">
      <c r="A1409" s="53"/>
      <c r="B1409" s="53"/>
      <c r="C1409" s="73" t="s">
        <v>53</v>
      </c>
      <c r="D1409" s="53" t="s">
        <v>3493</v>
      </c>
      <c r="E1409" s="54" t="s">
        <v>77</v>
      </c>
      <c r="F1409" s="55" t="s">
        <v>309</v>
      </c>
      <c r="G1409" s="54" t="s">
        <v>3491</v>
      </c>
      <c r="H1409" s="55"/>
      <c r="I1409" s="54">
        <f t="shared" si="24"/>
        <v>0</v>
      </c>
      <c r="J1409" s="56"/>
      <c r="K1409" s="57"/>
      <c r="L1409" s="76"/>
      <c r="M1409" s="59"/>
      <c r="N1409" s="60"/>
      <c r="O1409" s="90">
        <v>339.0</v>
      </c>
      <c r="P1409" s="62">
        <v>366.12</v>
      </c>
      <c r="Q1409" s="63">
        <v>366.12</v>
      </c>
      <c r="R1409" s="64">
        <v>517.0</v>
      </c>
      <c r="S1409" s="111">
        <v>543.0</v>
      </c>
      <c r="T1409" s="65">
        <f t="shared" si="39"/>
        <v>86.88</v>
      </c>
      <c r="U1409" s="65">
        <f t="shared" si="40"/>
        <v>629.88</v>
      </c>
      <c r="V1409" s="66">
        <f t="shared" si="42"/>
        <v>0.0502901354</v>
      </c>
      <c r="W1409" s="67">
        <f t="shared" si="5"/>
        <v>515.85</v>
      </c>
      <c r="X1409" s="67">
        <f t="shared" si="43"/>
        <v>82.536</v>
      </c>
      <c r="Y1409" s="67">
        <f t="shared" si="44"/>
        <v>598.386</v>
      </c>
      <c r="Z1409" s="67">
        <f t="shared" si="8"/>
        <v>488.7</v>
      </c>
      <c r="AA1409" s="67">
        <f t="shared" si="45"/>
        <v>78.192</v>
      </c>
      <c r="AB1409" s="67">
        <f t="shared" si="46"/>
        <v>566.892</v>
      </c>
      <c r="AC1409" s="67">
        <f t="shared" si="11"/>
        <v>461.55</v>
      </c>
      <c r="AD1409" s="67">
        <f t="shared" si="12"/>
        <v>73.848</v>
      </c>
      <c r="AE1409" s="67">
        <f t="shared" si="13"/>
        <v>535.398</v>
      </c>
      <c r="AF1409" s="67">
        <f t="shared" si="33"/>
        <v>450.69</v>
      </c>
      <c r="AG1409" s="67">
        <f t="shared" si="15"/>
        <v>72.1104</v>
      </c>
      <c r="AH1409" s="67">
        <f t="shared" si="16"/>
        <v>522.8004</v>
      </c>
      <c r="AI1409" s="67">
        <f t="shared" si="17"/>
        <v>434.4</v>
      </c>
      <c r="AJ1409" s="68">
        <f t="shared" si="47"/>
        <v>69.504</v>
      </c>
      <c r="AK1409" s="68">
        <f t="shared" si="48"/>
        <v>503.904</v>
      </c>
      <c r="AL1409" s="70"/>
      <c r="AM1409" s="70"/>
      <c r="AN1409" s="71"/>
      <c r="AO1409" s="71"/>
      <c r="AP1409" s="71"/>
      <c r="AQ1409" s="71"/>
      <c r="AR1409" s="71"/>
      <c r="AS1409" s="71"/>
      <c r="AT1409" s="71"/>
      <c r="AU1409" s="71"/>
      <c r="AV1409" s="71"/>
      <c r="AW1409" s="71"/>
      <c r="AX1409" s="71"/>
      <c r="AY1409" s="71"/>
      <c r="AZ1409" s="71"/>
      <c r="BA1409" s="71"/>
      <c r="BB1409" s="71"/>
      <c r="BC1409" s="71"/>
      <c r="BD1409" s="71"/>
      <c r="BE1409" s="71"/>
      <c r="BF1409" s="71"/>
      <c r="BG1409" s="71"/>
      <c r="BH1409" s="71"/>
      <c r="BI1409" s="71"/>
      <c r="BJ1409" s="71"/>
      <c r="BK1409" s="71"/>
      <c r="BL1409" s="71"/>
      <c r="BM1409" s="71"/>
      <c r="BN1409" s="71"/>
      <c r="BO1409" s="71"/>
      <c r="BP1409" s="71"/>
      <c r="BQ1409" s="71"/>
      <c r="BR1409" s="71"/>
      <c r="BS1409" s="71"/>
      <c r="BT1409" s="71"/>
      <c r="BU1409" s="71"/>
      <c r="BV1409" s="71"/>
    </row>
    <row r="1410">
      <c r="A1410" s="53">
        <v>1.0</v>
      </c>
      <c r="B1410" s="53"/>
      <c r="C1410" s="73" t="s">
        <v>53</v>
      </c>
      <c r="D1410" s="53" t="s">
        <v>3494</v>
      </c>
      <c r="E1410" s="54" t="s">
        <v>77</v>
      </c>
      <c r="F1410" s="54" t="s">
        <v>42</v>
      </c>
      <c r="G1410" s="55" t="s">
        <v>3495</v>
      </c>
      <c r="H1410" s="54" t="s">
        <v>3496</v>
      </c>
      <c r="I1410" s="54">
        <f t="shared" si="24"/>
        <v>39</v>
      </c>
      <c r="J1410" s="56"/>
      <c r="K1410" s="57"/>
      <c r="L1410" s="87"/>
      <c r="M1410" s="59"/>
      <c r="N1410" s="60">
        <v>655.0</v>
      </c>
      <c r="O1410" s="61">
        <v>707.0</v>
      </c>
      <c r="P1410" s="62">
        <v>763.5600000000001</v>
      </c>
      <c r="Q1410" s="63">
        <v>763.5600000000001</v>
      </c>
      <c r="R1410" s="64">
        <v>851.0</v>
      </c>
      <c r="S1410" s="111">
        <v>894.0</v>
      </c>
      <c r="T1410" s="65">
        <f t="shared" si="39"/>
        <v>143.04</v>
      </c>
      <c r="U1410" s="65">
        <f t="shared" si="40"/>
        <v>1037.04</v>
      </c>
      <c r="V1410" s="66">
        <f t="shared" si="42"/>
        <v>0.05052878966</v>
      </c>
      <c r="W1410" s="67">
        <f t="shared" si="5"/>
        <v>849.3</v>
      </c>
      <c r="X1410" s="67">
        <f t="shared" si="43"/>
        <v>135.888</v>
      </c>
      <c r="Y1410" s="67">
        <f t="shared" si="44"/>
        <v>985.188</v>
      </c>
      <c r="Z1410" s="67">
        <f t="shared" si="8"/>
        <v>804.6</v>
      </c>
      <c r="AA1410" s="67">
        <f t="shared" si="45"/>
        <v>128.736</v>
      </c>
      <c r="AB1410" s="67">
        <f t="shared" si="46"/>
        <v>933.336</v>
      </c>
      <c r="AC1410" s="67">
        <f t="shared" si="11"/>
        <v>759.9</v>
      </c>
      <c r="AD1410" s="67">
        <f t="shared" si="12"/>
        <v>121.584</v>
      </c>
      <c r="AE1410" s="67">
        <f t="shared" si="13"/>
        <v>881.484</v>
      </c>
      <c r="AF1410" s="67">
        <f t="shared" si="33"/>
        <v>742.02</v>
      </c>
      <c r="AG1410" s="67">
        <f t="shared" si="15"/>
        <v>118.7232</v>
      </c>
      <c r="AH1410" s="67">
        <f t="shared" si="16"/>
        <v>860.7432</v>
      </c>
      <c r="AI1410" s="67">
        <f t="shared" si="17"/>
        <v>715.2</v>
      </c>
      <c r="AJ1410" s="68">
        <f t="shared" si="47"/>
        <v>114.432</v>
      </c>
      <c r="AK1410" s="68">
        <f t="shared" si="48"/>
        <v>829.632</v>
      </c>
      <c r="AL1410" s="70"/>
      <c r="AM1410" s="70"/>
      <c r="AN1410" s="71"/>
      <c r="AO1410" s="71"/>
      <c r="AP1410" s="71"/>
      <c r="AQ1410" s="71"/>
      <c r="AR1410" s="71"/>
      <c r="AS1410" s="71"/>
      <c r="AT1410" s="71"/>
      <c r="AU1410" s="71"/>
      <c r="AV1410" s="71"/>
      <c r="AW1410" s="71"/>
      <c r="AX1410" s="71"/>
      <c r="AY1410" s="71"/>
      <c r="AZ1410" s="71"/>
      <c r="BA1410" s="71"/>
      <c r="BB1410" s="71"/>
      <c r="BC1410" s="71"/>
      <c r="BD1410" s="71"/>
      <c r="BE1410" s="71"/>
      <c r="BF1410" s="71"/>
      <c r="BG1410" s="71"/>
      <c r="BH1410" s="71"/>
      <c r="BI1410" s="71"/>
      <c r="BJ1410" s="71"/>
      <c r="BK1410" s="71"/>
      <c r="BL1410" s="71"/>
      <c r="BM1410" s="71"/>
      <c r="BN1410" s="71"/>
      <c r="BO1410" s="71"/>
      <c r="BP1410" s="71"/>
      <c r="BQ1410" s="71"/>
      <c r="BR1410" s="71"/>
      <c r="BS1410" s="71"/>
      <c r="BT1410" s="71"/>
      <c r="BU1410" s="71"/>
      <c r="BV1410" s="71"/>
    </row>
    <row r="1411">
      <c r="A1411" s="53">
        <v>1.0</v>
      </c>
      <c r="B1411" s="53"/>
      <c r="C1411" s="73" t="s">
        <v>53</v>
      </c>
      <c r="D1411" s="53" t="s">
        <v>3497</v>
      </c>
      <c r="E1411" s="54" t="s">
        <v>77</v>
      </c>
      <c r="F1411" s="54" t="s">
        <v>42</v>
      </c>
      <c r="G1411" s="55" t="s">
        <v>3498</v>
      </c>
      <c r="H1411" s="54" t="s">
        <v>3499</v>
      </c>
      <c r="I1411" s="54">
        <f t="shared" si="24"/>
        <v>40</v>
      </c>
      <c r="J1411" s="56"/>
      <c r="K1411" s="57"/>
      <c r="L1411" s="87"/>
      <c r="M1411" s="59"/>
      <c r="N1411" s="60">
        <v>1242.0</v>
      </c>
      <c r="O1411" s="61">
        <v>1341.0</v>
      </c>
      <c r="P1411" s="62">
        <v>1448.2800000000002</v>
      </c>
      <c r="Q1411" s="63">
        <v>1448.2800000000002</v>
      </c>
      <c r="R1411" s="64">
        <v>1705.0</v>
      </c>
      <c r="S1411" s="111">
        <v>1790.0</v>
      </c>
      <c r="T1411" s="65">
        <f t="shared" si="39"/>
        <v>286.4</v>
      </c>
      <c r="U1411" s="65">
        <f t="shared" si="40"/>
        <v>2076.4</v>
      </c>
      <c r="V1411" s="66">
        <f t="shared" si="42"/>
        <v>0.04985337243</v>
      </c>
      <c r="W1411" s="67">
        <f t="shared" si="5"/>
        <v>1700.5</v>
      </c>
      <c r="X1411" s="67">
        <f t="shared" si="43"/>
        <v>272.08</v>
      </c>
      <c r="Y1411" s="67">
        <f t="shared" si="44"/>
        <v>1972.58</v>
      </c>
      <c r="Z1411" s="67">
        <f t="shared" si="8"/>
        <v>1611</v>
      </c>
      <c r="AA1411" s="67">
        <f t="shared" si="45"/>
        <v>257.76</v>
      </c>
      <c r="AB1411" s="67">
        <f t="shared" si="46"/>
        <v>1868.76</v>
      </c>
      <c r="AC1411" s="67">
        <f t="shared" si="11"/>
        <v>1521.5</v>
      </c>
      <c r="AD1411" s="67">
        <f t="shared" si="12"/>
        <v>243.44</v>
      </c>
      <c r="AE1411" s="67">
        <f t="shared" si="13"/>
        <v>1764.94</v>
      </c>
      <c r="AF1411" s="67">
        <f t="shared" si="33"/>
        <v>1485.7</v>
      </c>
      <c r="AG1411" s="67">
        <f t="shared" si="15"/>
        <v>237.712</v>
      </c>
      <c r="AH1411" s="67">
        <f t="shared" si="16"/>
        <v>1723.412</v>
      </c>
      <c r="AI1411" s="67">
        <f t="shared" si="17"/>
        <v>1432</v>
      </c>
      <c r="AJ1411" s="68">
        <f t="shared" si="47"/>
        <v>229.12</v>
      </c>
      <c r="AK1411" s="68">
        <f t="shared" si="48"/>
        <v>1661.12</v>
      </c>
      <c r="AL1411" s="70"/>
      <c r="AM1411" s="70"/>
      <c r="AN1411" s="71"/>
      <c r="AO1411" s="71"/>
      <c r="AP1411" s="71"/>
      <c r="AQ1411" s="71"/>
      <c r="AR1411" s="71"/>
      <c r="AS1411" s="71"/>
      <c r="AT1411" s="71"/>
      <c r="AU1411" s="71"/>
      <c r="AV1411" s="71"/>
      <c r="AW1411" s="71"/>
      <c r="AX1411" s="71"/>
      <c r="AY1411" s="71"/>
      <c r="AZ1411" s="71"/>
      <c r="BA1411" s="71"/>
      <c r="BB1411" s="71"/>
      <c r="BC1411" s="71"/>
      <c r="BD1411" s="71"/>
      <c r="BE1411" s="71"/>
      <c r="BF1411" s="71"/>
      <c r="BG1411" s="71"/>
      <c r="BH1411" s="71"/>
      <c r="BI1411" s="71"/>
      <c r="BJ1411" s="71"/>
      <c r="BK1411" s="71"/>
      <c r="BL1411" s="71"/>
      <c r="BM1411" s="71"/>
      <c r="BN1411" s="71"/>
      <c r="BO1411" s="71"/>
      <c r="BP1411" s="71"/>
      <c r="BQ1411" s="71"/>
      <c r="BR1411" s="71"/>
      <c r="BS1411" s="71"/>
      <c r="BT1411" s="71"/>
      <c r="BU1411" s="71"/>
      <c r="BV1411" s="71"/>
    </row>
    <row r="1412">
      <c r="A1412" s="53">
        <v>1.0</v>
      </c>
      <c r="B1412" s="53"/>
      <c r="C1412" s="73" t="s">
        <v>53</v>
      </c>
      <c r="D1412" s="53" t="s">
        <v>3500</v>
      </c>
      <c r="E1412" s="54" t="s">
        <v>77</v>
      </c>
      <c r="F1412" s="54" t="s">
        <v>42</v>
      </c>
      <c r="G1412" s="55" t="s">
        <v>3501</v>
      </c>
      <c r="H1412" s="54" t="s">
        <v>3502</v>
      </c>
      <c r="I1412" s="54">
        <f t="shared" si="24"/>
        <v>39</v>
      </c>
      <c r="J1412" s="56"/>
      <c r="K1412" s="57"/>
      <c r="L1412" s="87"/>
      <c r="M1412" s="59"/>
      <c r="N1412" s="60">
        <v>655.0</v>
      </c>
      <c r="O1412" s="61">
        <v>707.0</v>
      </c>
      <c r="P1412" s="62">
        <v>763.5600000000001</v>
      </c>
      <c r="Q1412" s="63">
        <v>763.5600000000001</v>
      </c>
      <c r="R1412" s="64">
        <v>851.0</v>
      </c>
      <c r="S1412" s="111">
        <v>894.0</v>
      </c>
      <c r="T1412" s="65">
        <f t="shared" si="39"/>
        <v>143.04</v>
      </c>
      <c r="U1412" s="65">
        <f t="shared" si="40"/>
        <v>1037.04</v>
      </c>
      <c r="V1412" s="66">
        <f t="shared" si="42"/>
        <v>0.05052878966</v>
      </c>
      <c r="W1412" s="67">
        <f t="shared" si="5"/>
        <v>849.3</v>
      </c>
      <c r="X1412" s="67">
        <f t="shared" si="43"/>
        <v>135.888</v>
      </c>
      <c r="Y1412" s="67">
        <f t="shared" si="44"/>
        <v>985.188</v>
      </c>
      <c r="Z1412" s="67">
        <f t="shared" si="8"/>
        <v>804.6</v>
      </c>
      <c r="AA1412" s="67">
        <f t="shared" si="45"/>
        <v>128.736</v>
      </c>
      <c r="AB1412" s="67">
        <f t="shared" si="46"/>
        <v>933.336</v>
      </c>
      <c r="AC1412" s="67">
        <f t="shared" si="11"/>
        <v>759.9</v>
      </c>
      <c r="AD1412" s="67">
        <f t="shared" si="12"/>
        <v>121.584</v>
      </c>
      <c r="AE1412" s="67">
        <f t="shared" si="13"/>
        <v>881.484</v>
      </c>
      <c r="AF1412" s="67">
        <f t="shared" si="33"/>
        <v>742.02</v>
      </c>
      <c r="AG1412" s="67">
        <f t="shared" si="15"/>
        <v>118.7232</v>
      </c>
      <c r="AH1412" s="67">
        <f t="shared" si="16"/>
        <v>860.7432</v>
      </c>
      <c r="AI1412" s="67">
        <f t="shared" si="17"/>
        <v>715.2</v>
      </c>
      <c r="AJ1412" s="68">
        <f t="shared" si="47"/>
        <v>114.432</v>
      </c>
      <c r="AK1412" s="68">
        <f t="shared" si="48"/>
        <v>829.632</v>
      </c>
      <c r="AL1412" s="70"/>
      <c r="AM1412" s="70"/>
      <c r="AN1412" s="71"/>
      <c r="AO1412" s="71"/>
      <c r="AP1412" s="71"/>
      <c r="AQ1412" s="71"/>
      <c r="AR1412" s="71"/>
      <c r="AS1412" s="71"/>
      <c r="AT1412" s="71"/>
      <c r="AU1412" s="71"/>
      <c r="AV1412" s="71"/>
      <c r="AW1412" s="71"/>
      <c r="AX1412" s="71"/>
      <c r="AY1412" s="71"/>
      <c r="AZ1412" s="71"/>
      <c r="BA1412" s="71"/>
      <c r="BB1412" s="71"/>
      <c r="BC1412" s="71"/>
      <c r="BD1412" s="71"/>
      <c r="BE1412" s="71"/>
      <c r="BF1412" s="71"/>
      <c r="BG1412" s="71"/>
      <c r="BH1412" s="71"/>
      <c r="BI1412" s="71"/>
      <c r="BJ1412" s="71"/>
      <c r="BK1412" s="71"/>
      <c r="BL1412" s="71"/>
      <c r="BM1412" s="71"/>
      <c r="BN1412" s="71"/>
      <c r="BO1412" s="71"/>
      <c r="BP1412" s="71"/>
      <c r="BQ1412" s="71"/>
      <c r="BR1412" s="71"/>
      <c r="BS1412" s="71"/>
      <c r="BT1412" s="71"/>
      <c r="BU1412" s="71"/>
      <c r="BV1412" s="71"/>
    </row>
    <row r="1413">
      <c r="A1413" s="53"/>
      <c r="B1413" s="53"/>
      <c r="C1413" s="53" t="s">
        <v>36</v>
      </c>
      <c r="D1413" s="85" t="s">
        <v>3503</v>
      </c>
      <c r="E1413" s="54" t="s">
        <v>38</v>
      </c>
      <c r="F1413" s="55" t="s">
        <v>39</v>
      </c>
      <c r="G1413" s="86" t="s">
        <v>3504</v>
      </c>
      <c r="H1413" s="55"/>
      <c r="I1413" s="54">
        <f t="shared" si="24"/>
        <v>0</v>
      </c>
      <c r="J1413" s="56"/>
      <c r="K1413" s="57"/>
      <c r="L1413" s="76"/>
      <c r="M1413" s="59"/>
      <c r="N1413" s="60"/>
      <c r="O1413" s="61">
        <v>729.6</v>
      </c>
      <c r="P1413" s="62">
        <v>787.9680000000001</v>
      </c>
      <c r="Q1413" s="63">
        <v>787.9680000000001</v>
      </c>
      <c r="R1413" s="64">
        <v>828.0</v>
      </c>
      <c r="S1413" s="107">
        <v>869.0</v>
      </c>
      <c r="T1413" s="65">
        <f t="shared" si="39"/>
        <v>139.04</v>
      </c>
      <c r="U1413" s="65">
        <f t="shared" si="40"/>
        <v>1008.04</v>
      </c>
      <c r="V1413" s="66">
        <f t="shared" si="42"/>
        <v>0.04951690821</v>
      </c>
      <c r="W1413" s="67">
        <f t="shared" si="5"/>
        <v>825.55</v>
      </c>
      <c r="X1413" s="67">
        <f t="shared" si="43"/>
        <v>132.088</v>
      </c>
      <c r="Y1413" s="67">
        <f t="shared" si="44"/>
        <v>957.638</v>
      </c>
      <c r="Z1413" s="67">
        <f t="shared" si="8"/>
        <v>782.1</v>
      </c>
      <c r="AA1413" s="67">
        <f t="shared" si="45"/>
        <v>125.136</v>
      </c>
      <c r="AB1413" s="67">
        <f t="shared" si="46"/>
        <v>907.236</v>
      </c>
      <c r="AC1413" s="67">
        <f t="shared" si="11"/>
        <v>738.65</v>
      </c>
      <c r="AD1413" s="67">
        <f t="shared" si="12"/>
        <v>118.184</v>
      </c>
      <c r="AE1413" s="67">
        <f t="shared" si="13"/>
        <v>856.834</v>
      </c>
      <c r="AF1413" s="67">
        <f t="shared" si="33"/>
        <v>721.27</v>
      </c>
      <c r="AG1413" s="67">
        <f t="shared" si="15"/>
        <v>115.4032</v>
      </c>
      <c r="AH1413" s="67">
        <f t="shared" si="16"/>
        <v>836.6732</v>
      </c>
      <c r="AI1413" s="67">
        <f t="shared" si="17"/>
        <v>695.2</v>
      </c>
      <c r="AJ1413" s="68">
        <f t="shared" si="47"/>
        <v>111.232</v>
      </c>
      <c r="AK1413" s="68">
        <f t="shared" si="48"/>
        <v>806.432</v>
      </c>
      <c r="AL1413" s="70"/>
      <c r="AM1413" s="70"/>
      <c r="AN1413" s="71"/>
      <c r="AO1413" s="71"/>
      <c r="AP1413" s="71"/>
      <c r="AQ1413" s="71"/>
      <c r="AR1413" s="71"/>
      <c r="AS1413" s="71"/>
      <c r="AT1413" s="71"/>
      <c r="AU1413" s="71"/>
      <c r="AV1413" s="71"/>
      <c r="AW1413" s="71"/>
      <c r="AX1413" s="71"/>
      <c r="AY1413" s="71"/>
      <c r="AZ1413" s="71"/>
      <c r="BA1413" s="71"/>
      <c r="BB1413" s="71"/>
      <c r="BC1413" s="71"/>
      <c r="BD1413" s="71"/>
      <c r="BE1413" s="71"/>
      <c r="BF1413" s="71"/>
      <c r="BG1413" s="71"/>
      <c r="BH1413" s="71"/>
      <c r="BI1413" s="71"/>
      <c r="BJ1413" s="71"/>
      <c r="BK1413" s="71"/>
      <c r="BL1413" s="71"/>
      <c r="BM1413" s="71"/>
      <c r="BN1413" s="71"/>
      <c r="BO1413" s="71"/>
      <c r="BP1413" s="71"/>
      <c r="BQ1413" s="71"/>
      <c r="BR1413" s="71"/>
      <c r="BS1413" s="71"/>
      <c r="BT1413" s="71"/>
      <c r="BU1413" s="71"/>
      <c r="BV1413" s="71"/>
    </row>
    <row r="1414">
      <c r="A1414" s="53"/>
      <c r="B1414" s="53"/>
      <c r="C1414" s="73" t="s">
        <v>53</v>
      </c>
      <c r="D1414" s="53" t="s">
        <v>3505</v>
      </c>
      <c r="E1414" s="54" t="s">
        <v>38</v>
      </c>
      <c r="F1414" s="54" t="s">
        <v>42</v>
      </c>
      <c r="G1414" s="54" t="s">
        <v>3506</v>
      </c>
      <c r="H1414" s="54" t="s">
        <v>3507</v>
      </c>
      <c r="I1414" s="54">
        <f t="shared" si="24"/>
        <v>40</v>
      </c>
      <c r="J1414" s="56"/>
      <c r="K1414" s="57"/>
      <c r="L1414" s="76"/>
      <c r="M1414" s="59"/>
      <c r="N1414" s="60"/>
      <c r="O1414" s="61">
        <v>852.0</v>
      </c>
      <c r="P1414" s="62">
        <v>920.1600000000001</v>
      </c>
      <c r="Q1414" s="63">
        <v>920.1600000000001</v>
      </c>
      <c r="R1414" s="64">
        <v>966.0</v>
      </c>
      <c r="S1414" s="111">
        <v>1014.0</v>
      </c>
      <c r="T1414" s="65">
        <f t="shared" si="39"/>
        <v>162.24</v>
      </c>
      <c r="U1414" s="65">
        <f t="shared" si="40"/>
        <v>1176.24</v>
      </c>
      <c r="V1414" s="66">
        <f t="shared" si="42"/>
        <v>0.04968944099</v>
      </c>
      <c r="W1414" s="67">
        <f t="shared" si="5"/>
        <v>963.3</v>
      </c>
      <c r="X1414" s="67">
        <f t="shared" si="43"/>
        <v>154.128</v>
      </c>
      <c r="Y1414" s="67">
        <f t="shared" si="44"/>
        <v>1117.428</v>
      </c>
      <c r="Z1414" s="67">
        <f t="shared" si="8"/>
        <v>912.6</v>
      </c>
      <c r="AA1414" s="67">
        <f t="shared" si="45"/>
        <v>146.016</v>
      </c>
      <c r="AB1414" s="67">
        <f t="shared" si="46"/>
        <v>1058.616</v>
      </c>
      <c r="AC1414" s="67">
        <f t="shared" si="11"/>
        <v>861.9</v>
      </c>
      <c r="AD1414" s="67">
        <f t="shared" si="12"/>
        <v>137.904</v>
      </c>
      <c r="AE1414" s="67">
        <f t="shared" si="13"/>
        <v>999.804</v>
      </c>
      <c r="AF1414" s="67">
        <f t="shared" si="33"/>
        <v>841.62</v>
      </c>
      <c r="AG1414" s="67">
        <f t="shared" si="15"/>
        <v>134.6592</v>
      </c>
      <c r="AH1414" s="67">
        <f t="shared" si="16"/>
        <v>976.2792</v>
      </c>
      <c r="AI1414" s="67">
        <f t="shared" si="17"/>
        <v>811.2</v>
      </c>
      <c r="AJ1414" s="68">
        <f t="shared" si="47"/>
        <v>129.792</v>
      </c>
      <c r="AK1414" s="68">
        <f t="shared" si="48"/>
        <v>940.992</v>
      </c>
      <c r="AL1414" s="70"/>
      <c r="AM1414" s="70"/>
      <c r="AN1414" s="71"/>
      <c r="AO1414" s="71"/>
      <c r="AP1414" s="71"/>
      <c r="AQ1414" s="71"/>
      <c r="AR1414" s="71"/>
      <c r="AS1414" s="71"/>
      <c r="AT1414" s="71"/>
      <c r="AU1414" s="71"/>
      <c r="AV1414" s="71"/>
      <c r="AW1414" s="71"/>
      <c r="AX1414" s="71"/>
      <c r="AY1414" s="71"/>
      <c r="AZ1414" s="71"/>
      <c r="BA1414" s="71"/>
      <c r="BB1414" s="71"/>
      <c r="BC1414" s="71"/>
      <c r="BD1414" s="71"/>
      <c r="BE1414" s="71"/>
      <c r="BF1414" s="71"/>
      <c r="BG1414" s="71"/>
      <c r="BH1414" s="71"/>
      <c r="BI1414" s="71"/>
      <c r="BJ1414" s="71"/>
      <c r="BK1414" s="71"/>
      <c r="BL1414" s="71"/>
      <c r="BM1414" s="71"/>
      <c r="BN1414" s="71"/>
      <c r="BO1414" s="71"/>
      <c r="BP1414" s="71"/>
      <c r="BQ1414" s="71"/>
      <c r="BR1414" s="71"/>
      <c r="BS1414" s="71"/>
      <c r="BT1414" s="71"/>
      <c r="BU1414" s="71"/>
      <c r="BV1414" s="71"/>
    </row>
    <row r="1415">
      <c r="A1415" s="53">
        <v>1.0</v>
      </c>
      <c r="B1415" s="72"/>
      <c r="C1415" s="73" t="s">
        <v>53</v>
      </c>
      <c r="D1415" s="74" t="s">
        <v>3508</v>
      </c>
      <c r="E1415" s="54" t="s">
        <v>77</v>
      </c>
      <c r="F1415" s="54" t="s">
        <v>42</v>
      </c>
      <c r="G1415" s="88" t="s">
        <v>3509</v>
      </c>
      <c r="H1415" s="54" t="s">
        <v>3510</v>
      </c>
      <c r="I1415" s="54">
        <f t="shared" si="24"/>
        <v>28</v>
      </c>
      <c r="J1415" s="56"/>
      <c r="K1415" s="57"/>
      <c r="L1415" s="87"/>
      <c r="M1415" s="59"/>
      <c r="N1415" s="60">
        <v>16172.0</v>
      </c>
      <c r="O1415" s="61">
        <v>17465.0</v>
      </c>
      <c r="P1415" s="62">
        <v>18862.2</v>
      </c>
      <c r="Q1415" s="63">
        <v>18862.2</v>
      </c>
      <c r="R1415" s="64">
        <v>20994.0</v>
      </c>
      <c r="S1415" s="111">
        <v>22044.0</v>
      </c>
      <c r="T1415" s="65">
        <f t="shared" si="39"/>
        <v>3527.04</v>
      </c>
      <c r="U1415" s="65">
        <f t="shared" si="40"/>
        <v>25571.04</v>
      </c>
      <c r="V1415" s="66">
        <f t="shared" si="42"/>
        <v>0.0500142898</v>
      </c>
      <c r="W1415" s="67">
        <f t="shared" si="5"/>
        <v>20941.8</v>
      </c>
      <c r="X1415" s="67">
        <f t="shared" si="43"/>
        <v>3350.688</v>
      </c>
      <c r="Y1415" s="67">
        <f t="shared" si="44"/>
        <v>24292.488</v>
      </c>
      <c r="Z1415" s="67">
        <f t="shared" si="8"/>
        <v>19839.6</v>
      </c>
      <c r="AA1415" s="67">
        <f t="shared" si="45"/>
        <v>3174.336</v>
      </c>
      <c r="AB1415" s="67">
        <f t="shared" si="46"/>
        <v>23013.936</v>
      </c>
      <c r="AC1415" s="67">
        <f t="shared" si="11"/>
        <v>18737.4</v>
      </c>
      <c r="AD1415" s="67">
        <f t="shared" si="12"/>
        <v>2997.984</v>
      </c>
      <c r="AE1415" s="67">
        <f t="shared" si="13"/>
        <v>21735.384</v>
      </c>
      <c r="AF1415" s="67">
        <f t="shared" si="33"/>
        <v>18296.52</v>
      </c>
      <c r="AG1415" s="67">
        <f t="shared" si="15"/>
        <v>2927.4432</v>
      </c>
      <c r="AH1415" s="67">
        <f t="shared" si="16"/>
        <v>21223.9632</v>
      </c>
      <c r="AI1415" s="67">
        <f t="shared" si="17"/>
        <v>17635.2</v>
      </c>
      <c r="AJ1415" s="68">
        <f t="shared" si="47"/>
        <v>2821.632</v>
      </c>
      <c r="AK1415" s="68">
        <f t="shared" si="48"/>
        <v>20456.832</v>
      </c>
      <c r="AL1415" s="70"/>
      <c r="AM1415" s="70"/>
      <c r="AN1415" s="71"/>
      <c r="AO1415" s="71"/>
      <c r="AP1415" s="71"/>
      <c r="AQ1415" s="71"/>
      <c r="AR1415" s="71"/>
      <c r="AS1415" s="71"/>
      <c r="AT1415" s="71"/>
      <c r="AU1415" s="71"/>
      <c r="AV1415" s="71"/>
      <c r="AW1415" s="71"/>
      <c r="AX1415" s="71"/>
      <c r="AY1415" s="71"/>
      <c r="AZ1415" s="71"/>
      <c r="BA1415" s="71"/>
      <c r="BB1415" s="71"/>
      <c r="BC1415" s="71"/>
      <c r="BD1415" s="71"/>
      <c r="BE1415" s="71"/>
      <c r="BF1415" s="71"/>
      <c r="BG1415" s="71"/>
      <c r="BH1415" s="71"/>
      <c r="BI1415" s="71"/>
      <c r="BJ1415" s="71"/>
      <c r="BK1415" s="71"/>
      <c r="BL1415" s="71"/>
      <c r="BM1415" s="71"/>
      <c r="BN1415" s="71"/>
      <c r="BO1415" s="71"/>
      <c r="BP1415" s="71"/>
      <c r="BQ1415" s="71"/>
      <c r="BR1415" s="71"/>
      <c r="BS1415" s="71"/>
      <c r="BT1415" s="71"/>
      <c r="BU1415" s="71"/>
      <c r="BV1415" s="71"/>
    </row>
    <row r="1416">
      <c r="A1416" s="53">
        <v>1.0</v>
      </c>
      <c r="B1416" s="72"/>
      <c r="C1416" s="73" t="s">
        <v>53</v>
      </c>
      <c r="D1416" s="74" t="s">
        <v>3511</v>
      </c>
      <c r="E1416" s="54" t="s">
        <v>77</v>
      </c>
      <c r="F1416" s="54" t="s">
        <v>42</v>
      </c>
      <c r="G1416" s="54" t="s">
        <v>3512</v>
      </c>
      <c r="H1416" s="54" t="s">
        <v>3513</v>
      </c>
      <c r="I1416" s="54">
        <f t="shared" si="24"/>
        <v>36</v>
      </c>
      <c r="J1416" s="56"/>
      <c r="K1416" s="57"/>
      <c r="L1416" s="87"/>
      <c r="M1416" s="59"/>
      <c r="N1416" s="79">
        <v>21119.0</v>
      </c>
      <c r="O1416" s="61">
        <v>22808.0</v>
      </c>
      <c r="P1416" s="62">
        <v>24632.640000000003</v>
      </c>
      <c r="Q1416" s="63">
        <v>24632.640000000003</v>
      </c>
      <c r="R1416" s="64">
        <v>27417.0</v>
      </c>
      <c r="S1416" s="111">
        <v>28788.0</v>
      </c>
      <c r="T1416" s="65">
        <f t="shared" si="39"/>
        <v>4606.08</v>
      </c>
      <c r="U1416" s="65">
        <f t="shared" si="40"/>
        <v>33394.08</v>
      </c>
      <c r="V1416" s="66">
        <f t="shared" si="42"/>
        <v>0.05000547106</v>
      </c>
      <c r="W1416" s="67">
        <f t="shared" si="5"/>
        <v>27348.6</v>
      </c>
      <c r="X1416" s="67">
        <f t="shared" si="43"/>
        <v>4375.776</v>
      </c>
      <c r="Y1416" s="67">
        <f t="shared" si="44"/>
        <v>31724.376</v>
      </c>
      <c r="Z1416" s="67">
        <f t="shared" si="8"/>
        <v>25909.2</v>
      </c>
      <c r="AA1416" s="67">
        <f t="shared" si="45"/>
        <v>4145.472</v>
      </c>
      <c r="AB1416" s="67">
        <f t="shared" si="46"/>
        <v>30054.672</v>
      </c>
      <c r="AC1416" s="67">
        <f t="shared" si="11"/>
        <v>24469.8</v>
      </c>
      <c r="AD1416" s="67">
        <f t="shared" si="12"/>
        <v>3915.168</v>
      </c>
      <c r="AE1416" s="67">
        <f t="shared" si="13"/>
        <v>28384.968</v>
      </c>
      <c r="AF1416" s="67">
        <f t="shared" si="33"/>
        <v>23894.04</v>
      </c>
      <c r="AG1416" s="67">
        <f t="shared" si="15"/>
        <v>3823.0464</v>
      </c>
      <c r="AH1416" s="67">
        <f t="shared" si="16"/>
        <v>27717.0864</v>
      </c>
      <c r="AI1416" s="67">
        <f t="shared" si="17"/>
        <v>23030.4</v>
      </c>
      <c r="AJ1416" s="68">
        <f t="shared" si="47"/>
        <v>3684.864</v>
      </c>
      <c r="AK1416" s="68">
        <f t="shared" si="48"/>
        <v>26715.264</v>
      </c>
      <c r="AL1416" s="70"/>
      <c r="AM1416" s="70"/>
      <c r="AN1416" s="71"/>
      <c r="AO1416" s="71"/>
      <c r="AP1416" s="71"/>
      <c r="AQ1416" s="71"/>
      <c r="AR1416" s="71"/>
      <c r="AS1416" s="71"/>
      <c r="AT1416" s="71"/>
      <c r="AU1416" s="71"/>
      <c r="AV1416" s="71"/>
      <c r="AW1416" s="71"/>
      <c r="AX1416" s="71"/>
      <c r="AY1416" s="71"/>
      <c r="AZ1416" s="71"/>
      <c r="BA1416" s="71"/>
      <c r="BB1416" s="71"/>
      <c r="BC1416" s="71"/>
      <c r="BD1416" s="71"/>
      <c r="BE1416" s="71"/>
      <c r="BF1416" s="71"/>
      <c r="BG1416" s="71"/>
      <c r="BH1416" s="71"/>
      <c r="BI1416" s="71"/>
      <c r="BJ1416" s="71"/>
      <c r="BK1416" s="71"/>
      <c r="BL1416" s="71"/>
      <c r="BM1416" s="71"/>
      <c r="BN1416" s="71"/>
      <c r="BO1416" s="71"/>
      <c r="BP1416" s="71"/>
      <c r="BQ1416" s="71"/>
      <c r="BR1416" s="71"/>
      <c r="BS1416" s="71"/>
      <c r="BT1416" s="71"/>
      <c r="BU1416" s="71"/>
      <c r="BV1416" s="71"/>
    </row>
    <row r="1417">
      <c r="A1417" s="53">
        <v>1.0</v>
      </c>
      <c r="B1417" s="72"/>
      <c r="C1417" s="73" t="s">
        <v>53</v>
      </c>
      <c r="D1417" s="74" t="s">
        <v>3514</v>
      </c>
      <c r="E1417" s="54" t="s">
        <v>77</v>
      </c>
      <c r="F1417" s="54" t="s">
        <v>42</v>
      </c>
      <c r="G1417" s="54" t="s">
        <v>3515</v>
      </c>
      <c r="H1417" s="54" t="s">
        <v>3516</v>
      </c>
      <c r="I1417" s="54">
        <f t="shared" si="24"/>
        <v>36</v>
      </c>
      <c r="J1417" s="56"/>
      <c r="K1417" s="57"/>
      <c r="L1417" s="87"/>
      <c r="M1417" s="59"/>
      <c r="N1417" s="79">
        <v>22756.0</v>
      </c>
      <c r="O1417" s="61">
        <v>24576.0</v>
      </c>
      <c r="P1417" s="62">
        <v>26542.08</v>
      </c>
      <c r="Q1417" s="63">
        <v>26542.08</v>
      </c>
      <c r="R1417" s="64">
        <v>29542.0</v>
      </c>
      <c r="S1417" s="111">
        <v>31019.0</v>
      </c>
      <c r="T1417" s="65">
        <f t="shared" si="39"/>
        <v>4963.04</v>
      </c>
      <c r="U1417" s="65">
        <f t="shared" si="40"/>
        <v>35982.04</v>
      </c>
      <c r="V1417" s="66">
        <f t="shared" si="42"/>
        <v>0.04999661499</v>
      </c>
      <c r="W1417" s="67">
        <f t="shared" si="5"/>
        <v>29468.05</v>
      </c>
      <c r="X1417" s="67">
        <f t="shared" si="43"/>
        <v>4714.888</v>
      </c>
      <c r="Y1417" s="67">
        <f t="shared" si="44"/>
        <v>34182.938</v>
      </c>
      <c r="Z1417" s="67">
        <f t="shared" si="8"/>
        <v>27917.1</v>
      </c>
      <c r="AA1417" s="67">
        <f t="shared" si="45"/>
        <v>4466.736</v>
      </c>
      <c r="AB1417" s="67">
        <f t="shared" si="46"/>
        <v>32383.836</v>
      </c>
      <c r="AC1417" s="67">
        <f t="shared" si="11"/>
        <v>26366.15</v>
      </c>
      <c r="AD1417" s="67">
        <f t="shared" si="12"/>
        <v>4218.584</v>
      </c>
      <c r="AE1417" s="67">
        <f t="shared" si="13"/>
        <v>30584.734</v>
      </c>
      <c r="AF1417" s="67">
        <f t="shared" si="33"/>
        <v>25745.77</v>
      </c>
      <c r="AG1417" s="67">
        <f t="shared" si="15"/>
        <v>4119.3232</v>
      </c>
      <c r="AH1417" s="67">
        <f t="shared" si="16"/>
        <v>29865.0932</v>
      </c>
      <c r="AI1417" s="67">
        <f t="shared" si="17"/>
        <v>24815.2</v>
      </c>
      <c r="AJ1417" s="68">
        <f t="shared" si="47"/>
        <v>3970.432</v>
      </c>
      <c r="AK1417" s="68">
        <f t="shared" si="48"/>
        <v>28785.632</v>
      </c>
      <c r="AL1417" s="70"/>
      <c r="AM1417" s="70"/>
      <c r="AN1417" s="71"/>
      <c r="AO1417" s="71"/>
      <c r="AP1417" s="71"/>
      <c r="AQ1417" s="71"/>
      <c r="AR1417" s="71"/>
      <c r="AS1417" s="71"/>
      <c r="AT1417" s="71"/>
      <c r="AU1417" s="71"/>
      <c r="AV1417" s="71"/>
      <c r="AW1417" s="71"/>
      <c r="AX1417" s="71"/>
      <c r="AY1417" s="71"/>
      <c r="AZ1417" s="71"/>
      <c r="BA1417" s="71"/>
      <c r="BB1417" s="71"/>
      <c r="BC1417" s="71"/>
      <c r="BD1417" s="71"/>
      <c r="BE1417" s="71"/>
      <c r="BF1417" s="71"/>
      <c r="BG1417" s="71"/>
      <c r="BH1417" s="71"/>
      <c r="BI1417" s="71"/>
      <c r="BJ1417" s="71"/>
      <c r="BK1417" s="71"/>
      <c r="BL1417" s="71"/>
      <c r="BM1417" s="71"/>
      <c r="BN1417" s="71"/>
      <c r="BO1417" s="71"/>
      <c r="BP1417" s="71"/>
      <c r="BQ1417" s="71"/>
      <c r="BR1417" s="71"/>
      <c r="BS1417" s="71"/>
      <c r="BT1417" s="71"/>
      <c r="BU1417" s="71"/>
      <c r="BV1417" s="71"/>
    </row>
    <row r="1418">
      <c r="A1418" s="53">
        <v>1.0</v>
      </c>
      <c r="B1418" s="72"/>
      <c r="C1418" s="73" t="s">
        <v>53</v>
      </c>
      <c r="D1418" s="74" t="s">
        <v>3517</v>
      </c>
      <c r="E1418" s="54" t="s">
        <v>77</v>
      </c>
      <c r="F1418" s="54" t="s">
        <v>42</v>
      </c>
      <c r="G1418" s="54" t="s">
        <v>3518</v>
      </c>
      <c r="H1418" s="54" t="s">
        <v>3519</v>
      </c>
      <c r="I1418" s="54">
        <f t="shared" si="24"/>
        <v>39</v>
      </c>
      <c r="J1418" s="56"/>
      <c r="K1418" s="57"/>
      <c r="L1418" s="87"/>
      <c r="M1418" s="59"/>
      <c r="N1418" s="79">
        <v>26015.0</v>
      </c>
      <c r="O1418" s="61">
        <v>28096.0</v>
      </c>
      <c r="P1418" s="62">
        <v>30343.68</v>
      </c>
      <c r="Q1418" s="63">
        <v>30343.68</v>
      </c>
      <c r="R1418" s="64">
        <v>33774.0</v>
      </c>
      <c r="S1418" s="111">
        <v>35463.0</v>
      </c>
      <c r="T1418" s="65">
        <f t="shared" si="39"/>
        <v>5674.08</v>
      </c>
      <c r="U1418" s="65">
        <f t="shared" si="40"/>
        <v>41137.08</v>
      </c>
      <c r="V1418" s="66">
        <f t="shared" si="42"/>
        <v>0.05000888257</v>
      </c>
      <c r="W1418" s="67">
        <f t="shared" si="5"/>
        <v>33689.85</v>
      </c>
      <c r="X1418" s="67">
        <f t="shared" si="43"/>
        <v>5390.376</v>
      </c>
      <c r="Y1418" s="67">
        <f t="shared" si="44"/>
        <v>39080.226</v>
      </c>
      <c r="Z1418" s="67">
        <f t="shared" si="8"/>
        <v>31916.7</v>
      </c>
      <c r="AA1418" s="67">
        <f t="shared" si="45"/>
        <v>5106.672</v>
      </c>
      <c r="AB1418" s="67">
        <f t="shared" si="46"/>
        <v>37023.372</v>
      </c>
      <c r="AC1418" s="67">
        <f t="shared" si="11"/>
        <v>30143.55</v>
      </c>
      <c r="AD1418" s="67">
        <f t="shared" si="12"/>
        <v>4822.968</v>
      </c>
      <c r="AE1418" s="67">
        <f t="shared" si="13"/>
        <v>34966.518</v>
      </c>
      <c r="AF1418" s="67">
        <f t="shared" si="33"/>
        <v>29434.29</v>
      </c>
      <c r="AG1418" s="67">
        <f t="shared" si="15"/>
        <v>4709.4864</v>
      </c>
      <c r="AH1418" s="67">
        <f t="shared" si="16"/>
        <v>34143.7764</v>
      </c>
      <c r="AI1418" s="67">
        <f t="shared" si="17"/>
        <v>28370.4</v>
      </c>
      <c r="AJ1418" s="68">
        <f t="shared" si="47"/>
        <v>4539.264</v>
      </c>
      <c r="AK1418" s="68">
        <f t="shared" si="48"/>
        <v>32909.664</v>
      </c>
      <c r="AL1418" s="70"/>
      <c r="AM1418" s="70"/>
      <c r="AN1418" s="71"/>
      <c r="AO1418" s="71"/>
      <c r="AP1418" s="71"/>
      <c r="AQ1418" s="71"/>
      <c r="AR1418" s="71"/>
      <c r="AS1418" s="71"/>
      <c r="AT1418" s="71"/>
      <c r="AU1418" s="71"/>
      <c r="AV1418" s="71"/>
      <c r="AW1418" s="71"/>
      <c r="AX1418" s="71"/>
      <c r="AY1418" s="71"/>
      <c r="AZ1418" s="71"/>
      <c r="BA1418" s="71"/>
      <c r="BB1418" s="71"/>
      <c r="BC1418" s="71"/>
      <c r="BD1418" s="71"/>
      <c r="BE1418" s="71"/>
      <c r="BF1418" s="71"/>
      <c r="BG1418" s="71"/>
      <c r="BH1418" s="71"/>
      <c r="BI1418" s="71"/>
      <c r="BJ1418" s="71"/>
      <c r="BK1418" s="71"/>
      <c r="BL1418" s="71"/>
      <c r="BM1418" s="71"/>
      <c r="BN1418" s="71"/>
      <c r="BO1418" s="71"/>
      <c r="BP1418" s="71"/>
      <c r="BQ1418" s="71"/>
      <c r="BR1418" s="71"/>
      <c r="BS1418" s="71"/>
      <c r="BT1418" s="71"/>
      <c r="BU1418" s="71"/>
      <c r="BV1418" s="71"/>
    </row>
    <row r="1419">
      <c r="A1419" s="53"/>
      <c r="B1419" s="53"/>
      <c r="C1419" s="53" t="s">
        <v>53</v>
      </c>
      <c r="D1419" s="53" t="s">
        <v>3520</v>
      </c>
      <c r="E1419" s="54" t="s">
        <v>38</v>
      </c>
      <c r="F1419" s="54" t="s">
        <v>42</v>
      </c>
      <c r="G1419" s="55" t="s">
        <v>3521</v>
      </c>
      <c r="H1419" s="55" t="s">
        <v>3522</v>
      </c>
      <c r="I1419" s="54">
        <f t="shared" si="24"/>
        <v>37</v>
      </c>
      <c r="J1419" s="56"/>
      <c r="K1419" s="57"/>
      <c r="L1419" s="76"/>
      <c r="M1419" s="59"/>
      <c r="N1419" s="60"/>
      <c r="O1419" s="61">
        <v>961.0</v>
      </c>
      <c r="P1419" s="62">
        <v>1037.88</v>
      </c>
      <c r="Q1419" s="63">
        <v>1037.88</v>
      </c>
      <c r="R1419" s="64">
        <v>1090.0</v>
      </c>
      <c r="S1419" s="111">
        <v>1145.0</v>
      </c>
      <c r="T1419" s="65">
        <f t="shared" si="39"/>
        <v>183.2</v>
      </c>
      <c r="U1419" s="65">
        <f t="shared" si="40"/>
        <v>1328.2</v>
      </c>
      <c r="V1419" s="66">
        <f t="shared" si="42"/>
        <v>0.0504587156</v>
      </c>
      <c r="W1419" s="67">
        <f t="shared" si="5"/>
        <v>1087.75</v>
      </c>
      <c r="X1419" s="67">
        <f t="shared" si="43"/>
        <v>174.04</v>
      </c>
      <c r="Y1419" s="67">
        <f t="shared" si="44"/>
        <v>1261.79</v>
      </c>
      <c r="Z1419" s="67">
        <f t="shared" si="8"/>
        <v>1030.5</v>
      </c>
      <c r="AA1419" s="67">
        <f t="shared" si="45"/>
        <v>164.88</v>
      </c>
      <c r="AB1419" s="67">
        <f t="shared" si="46"/>
        <v>1195.38</v>
      </c>
      <c r="AC1419" s="67">
        <f t="shared" si="11"/>
        <v>973.25</v>
      </c>
      <c r="AD1419" s="67">
        <f t="shared" si="12"/>
        <v>155.72</v>
      </c>
      <c r="AE1419" s="67">
        <f t="shared" si="13"/>
        <v>1128.97</v>
      </c>
      <c r="AF1419" s="67">
        <f t="shared" si="33"/>
        <v>950.35</v>
      </c>
      <c r="AG1419" s="67">
        <f t="shared" si="15"/>
        <v>152.056</v>
      </c>
      <c r="AH1419" s="67">
        <f t="shared" si="16"/>
        <v>1102.406</v>
      </c>
      <c r="AI1419" s="67">
        <f t="shared" si="17"/>
        <v>916</v>
      </c>
      <c r="AJ1419" s="68">
        <f t="shared" si="47"/>
        <v>146.56</v>
      </c>
      <c r="AK1419" s="68">
        <f t="shared" si="48"/>
        <v>1062.56</v>
      </c>
      <c r="AL1419" s="70"/>
      <c r="AM1419" s="70"/>
      <c r="AN1419" s="71"/>
      <c r="AO1419" s="71"/>
      <c r="AP1419" s="71"/>
      <c r="AQ1419" s="71"/>
      <c r="AR1419" s="71"/>
      <c r="AS1419" s="71"/>
      <c r="AT1419" s="71"/>
      <c r="AU1419" s="71"/>
      <c r="AV1419" s="71"/>
      <c r="AW1419" s="71"/>
      <c r="AX1419" s="71"/>
      <c r="AY1419" s="71"/>
      <c r="AZ1419" s="71"/>
      <c r="BA1419" s="71"/>
      <c r="BB1419" s="71"/>
      <c r="BC1419" s="71"/>
      <c r="BD1419" s="71"/>
      <c r="BE1419" s="71"/>
      <c r="BF1419" s="71"/>
      <c r="BG1419" s="71"/>
      <c r="BH1419" s="71"/>
      <c r="BI1419" s="71"/>
      <c r="BJ1419" s="71"/>
      <c r="BK1419" s="71"/>
      <c r="BL1419" s="71"/>
      <c r="BM1419" s="71"/>
      <c r="BN1419" s="71"/>
      <c r="BO1419" s="71"/>
      <c r="BP1419" s="71"/>
      <c r="BQ1419" s="71"/>
      <c r="BR1419" s="71"/>
      <c r="BS1419" s="71"/>
      <c r="BT1419" s="71"/>
      <c r="BU1419" s="71"/>
      <c r="BV1419" s="71"/>
    </row>
    <row r="1420">
      <c r="A1420" s="53"/>
      <c r="B1420" s="53"/>
      <c r="C1420" s="53" t="s">
        <v>53</v>
      </c>
      <c r="D1420" s="53" t="s">
        <v>3523</v>
      </c>
      <c r="E1420" s="54" t="s">
        <v>38</v>
      </c>
      <c r="F1420" s="54" t="s">
        <v>42</v>
      </c>
      <c r="G1420" s="55" t="s">
        <v>3524</v>
      </c>
      <c r="H1420" s="55" t="s">
        <v>3524</v>
      </c>
      <c r="I1420" s="54">
        <f t="shared" si="24"/>
        <v>28</v>
      </c>
      <c r="J1420" s="56"/>
      <c r="K1420" s="57"/>
      <c r="L1420" s="76"/>
      <c r="M1420" s="59"/>
      <c r="N1420" s="60"/>
      <c r="O1420" s="61">
        <v>1442.0</v>
      </c>
      <c r="P1420" s="62">
        <v>1557.3600000000001</v>
      </c>
      <c r="Q1420" s="63">
        <v>1557.3600000000001</v>
      </c>
      <c r="R1420" s="64">
        <v>1635.0</v>
      </c>
      <c r="S1420" s="111">
        <v>1717.0</v>
      </c>
      <c r="T1420" s="65">
        <f t="shared" si="39"/>
        <v>274.72</v>
      </c>
      <c r="U1420" s="65">
        <f t="shared" si="40"/>
        <v>1991.72</v>
      </c>
      <c r="V1420" s="66">
        <f t="shared" si="42"/>
        <v>0.0501529052</v>
      </c>
      <c r="W1420" s="67">
        <f t="shared" si="5"/>
        <v>1631.15</v>
      </c>
      <c r="X1420" s="67">
        <f t="shared" si="43"/>
        <v>260.984</v>
      </c>
      <c r="Y1420" s="67">
        <f t="shared" si="44"/>
        <v>1892.134</v>
      </c>
      <c r="Z1420" s="67">
        <f t="shared" si="8"/>
        <v>1545.3</v>
      </c>
      <c r="AA1420" s="67">
        <f t="shared" si="45"/>
        <v>247.248</v>
      </c>
      <c r="AB1420" s="67">
        <f t="shared" si="46"/>
        <v>1792.548</v>
      </c>
      <c r="AC1420" s="67">
        <f t="shared" si="11"/>
        <v>1459.45</v>
      </c>
      <c r="AD1420" s="67">
        <f t="shared" si="12"/>
        <v>233.512</v>
      </c>
      <c r="AE1420" s="67">
        <f t="shared" si="13"/>
        <v>1692.962</v>
      </c>
      <c r="AF1420" s="67">
        <f t="shared" si="33"/>
        <v>1425.11</v>
      </c>
      <c r="AG1420" s="67">
        <f t="shared" si="15"/>
        <v>228.0176</v>
      </c>
      <c r="AH1420" s="67">
        <f t="shared" si="16"/>
        <v>1653.1276</v>
      </c>
      <c r="AI1420" s="67">
        <f t="shared" si="17"/>
        <v>1373.6</v>
      </c>
      <c r="AJ1420" s="68">
        <f t="shared" si="47"/>
        <v>219.776</v>
      </c>
      <c r="AK1420" s="68">
        <f t="shared" si="48"/>
        <v>1593.376</v>
      </c>
      <c r="AL1420" s="70"/>
      <c r="AM1420" s="70"/>
      <c r="AN1420" s="71"/>
      <c r="AO1420" s="71"/>
      <c r="AP1420" s="71"/>
      <c r="AQ1420" s="71"/>
      <c r="AR1420" s="71"/>
      <c r="AS1420" s="71"/>
      <c r="AT1420" s="71"/>
      <c r="AU1420" s="71"/>
      <c r="AV1420" s="71"/>
      <c r="AW1420" s="71"/>
      <c r="AX1420" s="71"/>
      <c r="AY1420" s="71"/>
      <c r="AZ1420" s="71"/>
      <c r="BA1420" s="71"/>
      <c r="BB1420" s="71"/>
      <c r="BC1420" s="71"/>
      <c r="BD1420" s="71"/>
      <c r="BE1420" s="71"/>
      <c r="BF1420" s="71"/>
      <c r="BG1420" s="71"/>
      <c r="BH1420" s="71"/>
      <c r="BI1420" s="71"/>
      <c r="BJ1420" s="71"/>
      <c r="BK1420" s="71"/>
      <c r="BL1420" s="71"/>
      <c r="BM1420" s="71"/>
      <c r="BN1420" s="71"/>
      <c r="BO1420" s="71"/>
      <c r="BP1420" s="71"/>
      <c r="BQ1420" s="71"/>
      <c r="BR1420" s="71"/>
      <c r="BS1420" s="71"/>
      <c r="BT1420" s="71"/>
      <c r="BU1420" s="71"/>
      <c r="BV1420" s="71"/>
    </row>
    <row r="1421">
      <c r="A1421" s="53">
        <v>1.0</v>
      </c>
      <c r="B1421" s="72"/>
      <c r="C1421" s="73" t="s">
        <v>53</v>
      </c>
      <c r="D1421" s="74" t="s">
        <v>3525</v>
      </c>
      <c r="E1421" s="54" t="s">
        <v>77</v>
      </c>
      <c r="F1421" s="54" t="s">
        <v>42</v>
      </c>
      <c r="G1421" s="88" t="s">
        <v>3526</v>
      </c>
      <c r="H1421" s="54" t="s">
        <v>3527</v>
      </c>
      <c r="I1421" s="54">
        <f t="shared" si="24"/>
        <v>36</v>
      </c>
      <c r="J1421" s="56"/>
      <c r="K1421" s="57"/>
      <c r="L1421" s="87"/>
      <c r="M1421" s="59"/>
      <c r="N1421" s="60">
        <v>88.0</v>
      </c>
      <c r="O1421" s="61">
        <v>95.0</v>
      </c>
      <c r="P1421" s="62">
        <v>102.60000000000001</v>
      </c>
      <c r="Q1421" s="63">
        <v>102.60000000000001</v>
      </c>
      <c r="R1421" s="64">
        <v>115.0</v>
      </c>
      <c r="S1421" s="111">
        <v>121.0</v>
      </c>
      <c r="T1421" s="65">
        <f t="shared" si="39"/>
        <v>19.36</v>
      </c>
      <c r="U1421" s="65">
        <f t="shared" si="40"/>
        <v>140.36</v>
      </c>
      <c r="V1421" s="66">
        <f t="shared" si="42"/>
        <v>0.05217391304</v>
      </c>
      <c r="W1421" s="67">
        <f t="shared" si="5"/>
        <v>114.95</v>
      </c>
      <c r="X1421" s="67">
        <f t="shared" si="43"/>
        <v>18.392</v>
      </c>
      <c r="Y1421" s="67">
        <f t="shared" si="44"/>
        <v>133.342</v>
      </c>
      <c r="Z1421" s="67">
        <f t="shared" si="8"/>
        <v>108.9</v>
      </c>
      <c r="AA1421" s="67">
        <f t="shared" si="45"/>
        <v>17.424</v>
      </c>
      <c r="AB1421" s="67">
        <f t="shared" si="46"/>
        <v>126.324</v>
      </c>
      <c r="AC1421" s="67">
        <f t="shared" si="11"/>
        <v>102.85</v>
      </c>
      <c r="AD1421" s="67">
        <f t="shared" si="12"/>
        <v>16.456</v>
      </c>
      <c r="AE1421" s="67">
        <f t="shared" si="13"/>
        <v>119.306</v>
      </c>
      <c r="AF1421" s="67">
        <f t="shared" si="33"/>
        <v>100.43</v>
      </c>
      <c r="AG1421" s="67">
        <f t="shared" si="15"/>
        <v>16.0688</v>
      </c>
      <c r="AH1421" s="67">
        <f t="shared" si="16"/>
        <v>116.4988</v>
      </c>
      <c r="AI1421" s="67">
        <f t="shared" si="17"/>
        <v>96.8</v>
      </c>
      <c r="AJ1421" s="68">
        <f t="shared" si="47"/>
        <v>15.488</v>
      </c>
      <c r="AK1421" s="68">
        <f t="shared" si="48"/>
        <v>112.288</v>
      </c>
      <c r="AL1421" s="70"/>
      <c r="AM1421" s="70"/>
      <c r="AN1421" s="71"/>
      <c r="AO1421" s="71"/>
      <c r="AP1421" s="71"/>
      <c r="AQ1421" s="71"/>
      <c r="AR1421" s="71"/>
      <c r="AS1421" s="71"/>
      <c r="AT1421" s="71"/>
      <c r="AU1421" s="71"/>
      <c r="AV1421" s="71"/>
      <c r="AW1421" s="71"/>
      <c r="AX1421" s="71"/>
      <c r="AY1421" s="71"/>
      <c r="AZ1421" s="71"/>
      <c r="BA1421" s="71"/>
      <c r="BB1421" s="71"/>
      <c r="BC1421" s="71"/>
      <c r="BD1421" s="71"/>
      <c r="BE1421" s="71"/>
      <c r="BF1421" s="71"/>
      <c r="BG1421" s="71"/>
      <c r="BH1421" s="71"/>
      <c r="BI1421" s="71"/>
      <c r="BJ1421" s="71"/>
      <c r="BK1421" s="71"/>
      <c r="BL1421" s="71"/>
      <c r="BM1421" s="71"/>
      <c r="BN1421" s="71"/>
      <c r="BO1421" s="71"/>
      <c r="BP1421" s="71"/>
      <c r="BQ1421" s="71"/>
      <c r="BR1421" s="71"/>
      <c r="BS1421" s="71"/>
      <c r="BT1421" s="71"/>
      <c r="BU1421" s="71"/>
      <c r="BV1421" s="71"/>
    </row>
    <row r="1422">
      <c r="A1422" s="53">
        <v>1.0</v>
      </c>
      <c r="B1422" s="53"/>
      <c r="C1422" s="73" t="s">
        <v>53</v>
      </c>
      <c r="D1422" s="74" t="s">
        <v>3528</v>
      </c>
      <c r="E1422" s="54" t="s">
        <v>77</v>
      </c>
      <c r="F1422" s="54" t="s">
        <v>42</v>
      </c>
      <c r="G1422" s="55" t="s">
        <v>3529</v>
      </c>
      <c r="H1422" s="54" t="s">
        <v>3530</v>
      </c>
      <c r="I1422" s="54">
        <f t="shared" si="24"/>
        <v>40</v>
      </c>
      <c r="J1422" s="56"/>
      <c r="K1422" s="57"/>
      <c r="L1422" s="87"/>
      <c r="M1422" s="59"/>
      <c r="N1422" s="60">
        <v>55281.0</v>
      </c>
      <c r="O1422" s="61">
        <v>59703.0</v>
      </c>
      <c r="P1422" s="62">
        <v>64479.240000000005</v>
      </c>
      <c r="Q1422" s="63">
        <v>64479.240000000005</v>
      </c>
      <c r="R1422" s="64">
        <v>71766.0</v>
      </c>
      <c r="S1422" s="111">
        <v>75354.0</v>
      </c>
      <c r="T1422" s="65">
        <f t="shared" si="39"/>
        <v>12056.64</v>
      </c>
      <c r="U1422" s="65">
        <f t="shared" si="40"/>
        <v>87410.64</v>
      </c>
      <c r="V1422" s="66">
        <f t="shared" si="42"/>
        <v>0.04999581975</v>
      </c>
      <c r="W1422" s="67">
        <f t="shared" si="5"/>
        <v>71586.3</v>
      </c>
      <c r="X1422" s="67">
        <f t="shared" si="43"/>
        <v>11453.808</v>
      </c>
      <c r="Y1422" s="67">
        <f t="shared" si="44"/>
        <v>83040.108</v>
      </c>
      <c r="Z1422" s="67">
        <f t="shared" si="8"/>
        <v>67818.6</v>
      </c>
      <c r="AA1422" s="67">
        <f t="shared" si="45"/>
        <v>10850.976</v>
      </c>
      <c r="AB1422" s="67">
        <f t="shared" si="46"/>
        <v>78669.576</v>
      </c>
      <c r="AC1422" s="67">
        <f t="shared" si="11"/>
        <v>64050.9</v>
      </c>
      <c r="AD1422" s="67">
        <f t="shared" si="12"/>
        <v>10248.144</v>
      </c>
      <c r="AE1422" s="67">
        <f t="shared" si="13"/>
        <v>74299.044</v>
      </c>
      <c r="AF1422" s="67">
        <f t="shared" si="33"/>
        <v>62543.82</v>
      </c>
      <c r="AG1422" s="67">
        <f t="shared" si="15"/>
        <v>10007.0112</v>
      </c>
      <c r="AH1422" s="67">
        <f t="shared" si="16"/>
        <v>72550.8312</v>
      </c>
      <c r="AI1422" s="67">
        <f t="shared" si="17"/>
        <v>60283.2</v>
      </c>
      <c r="AJ1422" s="68">
        <f t="shared" si="47"/>
        <v>9645.312</v>
      </c>
      <c r="AK1422" s="68">
        <f t="shared" si="48"/>
        <v>69928.512</v>
      </c>
      <c r="AL1422" s="70"/>
      <c r="AM1422" s="70"/>
      <c r="AN1422" s="71"/>
      <c r="AO1422" s="71"/>
      <c r="AP1422" s="71"/>
      <c r="AQ1422" s="71"/>
      <c r="AR1422" s="71"/>
      <c r="AS1422" s="71"/>
      <c r="AT1422" s="71"/>
      <c r="AU1422" s="71"/>
      <c r="AV1422" s="71"/>
      <c r="AW1422" s="71"/>
      <c r="AX1422" s="71"/>
      <c r="AY1422" s="71"/>
      <c r="AZ1422" s="71"/>
      <c r="BA1422" s="71"/>
      <c r="BB1422" s="71"/>
      <c r="BC1422" s="71"/>
      <c r="BD1422" s="71"/>
      <c r="BE1422" s="71"/>
      <c r="BF1422" s="71"/>
      <c r="BG1422" s="71"/>
      <c r="BH1422" s="71"/>
      <c r="BI1422" s="71"/>
      <c r="BJ1422" s="71"/>
      <c r="BK1422" s="71"/>
      <c r="BL1422" s="71"/>
      <c r="BM1422" s="71"/>
      <c r="BN1422" s="71"/>
      <c r="BO1422" s="71"/>
      <c r="BP1422" s="71"/>
      <c r="BQ1422" s="71"/>
      <c r="BR1422" s="71"/>
      <c r="BS1422" s="71"/>
      <c r="BT1422" s="71"/>
      <c r="BU1422" s="71"/>
      <c r="BV1422" s="71"/>
    </row>
    <row r="1423">
      <c r="A1423" s="53"/>
      <c r="B1423" s="53"/>
      <c r="C1423" s="53" t="s">
        <v>12</v>
      </c>
      <c r="D1423" s="53" t="s">
        <v>3531</v>
      </c>
      <c r="E1423" s="54" t="s">
        <v>38</v>
      </c>
      <c r="F1423" s="54" t="s">
        <v>42</v>
      </c>
      <c r="G1423" s="55" t="s">
        <v>3532</v>
      </c>
      <c r="H1423" s="54" t="s">
        <v>3533</v>
      </c>
      <c r="I1423" s="54">
        <f t="shared" si="24"/>
        <v>30</v>
      </c>
      <c r="J1423" s="56"/>
      <c r="K1423" s="57"/>
      <c r="L1423" s="76"/>
      <c r="M1423" s="59"/>
      <c r="N1423" s="79">
        <v>12.0</v>
      </c>
      <c r="O1423" s="61">
        <v>12.0</v>
      </c>
      <c r="P1423" s="63">
        <v>12.96</v>
      </c>
      <c r="Q1423" s="63">
        <v>12.96</v>
      </c>
      <c r="R1423" s="64">
        <v>14.0</v>
      </c>
      <c r="S1423" s="111">
        <v>14.700000000000001</v>
      </c>
      <c r="T1423" s="65">
        <f t="shared" si="39"/>
        <v>2.352</v>
      </c>
      <c r="U1423" s="65">
        <f t="shared" si="40"/>
        <v>17.052</v>
      </c>
      <c r="V1423" s="66">
        <f t="shared" si="42"/>
        <v>0.05</v>
      </c>
      <c r="W1423" s="67">
        <f t="shared" si="5"/>
        <v>13.965</v>
      </c>
      <c r="X1423" s="67">
        <f t="shared" si="43"/>
        <v>2.2344</v>
      </c>
      <c r="Y1423" s="67">
        <f t="shared" si="44"/>
        <v>16.1994</v>
      </c>
      <c r="Z1423" s="67">
        <f t="shared" si="8"/>
        <v>13.23</v>
      </c>
      <c r="AA1423" s="67">
        <f t="shared" si="45"/>
        <v>2.1168</v>
      </c>
      <c r="AB1423" s="67">
        <f t="shared" si="46"/>
        <v>15.3468</v>
      </c>
      <c r="AC1423" s="67">
        <f t="shared" si="11"/>
        <v>12.495</v>
      </c>
      <c r="AD1423" s="67">
        <f t="shared" si="12"/>
        <v>1.9992</v>
      </c>
      <c r="AE1423" s="67">
        <f t="shared" si="13"/>
        <v>14.4942</v>
      </c>
      <c r="AF1423" s="67">
        <f t="shared" si="33"/>
        <v>12.201</v>
      </c>
      <c r="AG1423" s="67">
        <f t="shared" si="15"/>
        <v>1.95216</v>
      </c>
      <c r="AH1423" s="67">
        <f t="shared" si="16"/>
        <v>14.15316</v>
      </c>
      <c r="AI1423" s="67">
        <f t="shared" si="17"/>
        <v>11.76</v>
      </c>
      <c r="AJ1423" s="68">
        <f t="shared" si="47"/>
        <v>1.8816</v>
      </c>
      <c r="AK1423" s="68">
        <f t="shared" si="48"/>
        <v>13.6416</v>
      </c>
      <c r="AL1423" s="70"/>
      <c r="AM1423" s="70"/>
      <c r="AN1423" s="71"/>
      <c r="AO1423" s="71"/>
      <c r="AP1423" s="71"/>
      <c r="AQ1423" s="71"/>
      <c r="AR1423" s="71"/>
      <c r="AS1423" s="71"/>
      <c r="AT1423" s="71"/>
      <c r="AU1423" s="71"/>
      <c r="AV1423" s="71"/>
      <c r="AW1423" s="71"/>
      <c r="AX1423" s="71"/>
      <c r="AY1423" s="71"/>
      <c r="AZ1423" s="71"/>
      <c r="BA1423" s="71"/>
      <c r="BB1423" s="71"/>
      <c r="BC1423" s="71"/>
      <c r="BD1423" s="71"/>
      <c r="BE1423" s="71"/>
      <c r="BF1423" s="71"/>
      <c r="BG1423" s="71"/>
      <c r="BH1423" s="71"/>
      <c r="BI1423" s="71"/>
      <c r="BJ1423" s="71"/>
      <c r="BK1423" s="71"/>
      <c r="BL1423" s="71"/>
      <c r="BM1423" s="71"/>
      <c r="BN1423" s="71"/>
      <c r="BO1423" s="71"/>
      <c r="BP1423" s="71"/>
      <c r="BQ1423" s="71"/>
      <c r="BR1423" s="71"/>
      <c r="BS1423" s="71"/>
      <c r="BT1423" s="71"/>
      <c r="BU1423" s="71"/>
      <c r="BV1423" s="71"/>
    </row>
    <row r="1424">
      <c r="A1424" s="53"/>
      <c r="B1424" s="53"/>
      <c r="C1424" s="53" t="s">
        <v>12</v>
      </c>
      <c r="D1424" s="53" t="s">
        <v>3534</v>
      </c>
      <c r="E1424" s="54" t="s">
        <v>38</v>
      </c>
      <c r="F1424" s="54" t="s">
        <v>42</v>
      </c>
      <c r="G1424" s="55" t="s">
        <v>3535</v>
      </c>
      <c r="H1424" s="54" t="s">
        <v>3536</v>
      </c>
      <c r="I1424" s="54">
        <f t="shared" si="24"/>
        <v>31</v>
      </c>
      <c r="J1424" s="56"/>
      <c r="K1424" s="57"/>
      <c r="L1424" s="76"/>
      <c r="M1424" s="59"/>
      <c r="N1424" s="79">
        <v>12.0</v>
      </c>
      <c r="O1424" s="61">
        <v>12.0</v>
      </c>
      <c r="P1424" s="63">
        <v>12.96</v>
      </c>
      <c r="Q1424" s="63">
        <v>12.96</v>
      </c>
      <c r="R1424" s="64">
        <v>14.0</v>
      </c>
      <c r="S1424" s="111">
        <v>14.700000000000001</v>
      </c>
      <c r="T1424" s="65">
        <f t="shared" si="39"/>
        <v>2.352</v>
      </c>
      <c r="U1424" s="65">
        <f t="shared" si="40"/>
        <v>17.052</v>
      </c>
      <c r="V1424" s="66">
        <f t="shared" si="42"/>
        <v>0.05</v>
      </c>
      <c r="W1424" s="67">
        <f t="shared" si="5"/>
        <v>13.965</v>
      </c>
      <c r="X1424" s="67">
        <f t="shared" si="43"/>
        <v>2.2344</v>
      </c>
      <c r="Y1424" s="67">
        <f t="shared" si="44"/>
        <v>16.1994</v>
      </c>
      <c r="Z1424" s="67">
        <f t="shared" si="8"/>
        <v>13.23</v>
      </c>
      <c r="AA1424" s="67">
        <f t="shared" si="45"/>
        <v>2.1168</v>
      </c>
      <c r="AB1424" s="67">
        <f t="shared" si="46"/>
        <v>15.3468</v>
      </c>
      <c r="AC1424" s="67">
        <f t="shared" si="11"/>
        <v>12.495</v>
      </c>
      <c r="AD1424" s="67">
        <f t="shared" si="12"/>
        <v>1.9992</v>
      </c>
      <c r="AE1424" s="67">
        <f t="shared" si="13"/>
        <v>14.4942</v>
      </c>
      <c r="AF1424" s="67">
        <f t="shared" si="33"/>
        <v>12.201</v>
      </c>
      <c r="AG1424" s="67">
        <f t="shared" si="15"/>
        <v>1.95216</v>
      </c>
      <c r="AH1424" s="67">
        <f t="shared" si="16"/>
        <v>14.15316</v>
      </c>
      <c r="AI1424" s="67">
        <f t="shared" si="17"/>
        <v>11.76</v>
      </c>
      <c r="AJ1424" s="68">
        <f t="shared" si="47"/>
        <v>1.8816</v>
      </c>
      <c r="AK1424" s="68">
        <f t="shared" si="48"/>
        <v>13.6416</v>
      </c>
      <c r="AL1424" s="70"/>
      <c r="AM1424" s="70"/>
      <c r="AN1424" s="71"/>
      <c r="AO1424" s="71"/>
      <c r="AP1424" s="71"/>
      <c r="AQ1424" s="71"/>
      <c r="AR1424" s="71"/>
      <c r="AS1424" s="71"/>
      <c r="AT1424" s="71"/>
      <c r="AU1424" s="71"/>
      <c r="AV1424" s="71"/>
      <c r="AW1424" s="71"/>
      <c r="AX1424" s="71"/>
      <c r="AY1424" s="71"/>
      <c r="AZ1424" s="71"/>
      <c r="BA1424" s="71"/>
      <c r="BB1424" s="71"/>
      <c r="BC1424" s="71"/>
      <c r="BD1424" s="71"/>
      <c r="BE1424" s="71"/>
      <c r="BF1424" s="71"/>
      <c r="BG1424" s="71"/>
      <c r="BH1424" s="71"/>
      <c r="BI1424" s="71"/>
      <c r="BJ1424" s="71"/>
      <c r="BK1424" s="71"/>
      <c r="BL1424" s="71"/>
      <c r="BM1424" s="71"/>
      <c r="BN1424" s="71"/>
      <c r="BO1424" s="71"/>
      <c r="BP1424" s="71"/>
      <c r="BQ1424" s="71"/>
      <c r="BR1424" s="71"/>
      <c r="BS1424" s="71"/>
      <c r="BT1424" s="71"/>
      <c r="BU1424" s="71"/>
      <c r="BV1424" s="71"/>
    </row>
    <row r="1425">
      <c r="A1425" s="53"/>
      <c r="B1425" s="53"/>
      <c r="C1425" s="53" t="s">
        <v>12</v>
      </c>
      <c r="D1425" s="53" t="s">
        <v>3537</v>
      </c>
      <c r="E1425" s="54" t="s">
        <v>38</v>
      </c>
      <c r="F1425" s="54" t="s">
        <v>42</v>
      </c>
      <c r="G1425" s="55" t="s">
        <v>3538</v>
      </c>
      <c r="H1425" s="54" t="s">
        <v>3539</v>
      </c>
      <c r="I1425" s="54">
        <f t="shared" si="24"/>
        <v>31</v>
      </c>
      <c r="J1425" s="56"/>
      <c r="K1425" s="57"/>
      <c r="L1425" s="76"/>
      <c r="M1425" s="59"/>
      <c r="N1425" s="79">
        <v>13.0</v>
      </c>
      <c r="O1425" s="61">
        <v>14.0</v>
      </c>
      <c r="P1425" s="63">
        <v>15.120000000000001</v>
      </c>
      <c r="Q1425" s="63">
        <v>15.120000000000001</v>
      </c>
      <c r="R1425" s="64">
        <v>16.0</v>
      </c>
      <c r="S1425" s="111">
        <v>16.8</v>
      </c>
      <c r="T1425" s="65">
        <f t="shared" si="39"/>
        <v>2.688</v>
      </c>
      <c r="U1425" s="65">
        <f t="shared" si="40"/>
        <v>19.488</v>
      </c>
      <c r="V1425" s="66">
        <f t="shared" si="42"/>
        <v>0.05</v>
      </c>
      <c r="W1425" s="67">
        <f t="shared" si="5"/>
        <v>15.96</v>
      </c>
      <c r="X1425" s="67">
        <f t="shared" si="43"/>
        <v>2.5536</v>
      </c>
      <c r="Y1425" s="67">
        <f t="shared" si="44"/>
        <v>18.5136</v>
      </c>
      <c r="Z1425" s="67">
        <f t="shared" si="8"/>
        <v>15.12</v>
      </c>
      <c r="AA1425" s="67">
        <f t="shared" si="45"/>
        <v>2.4192</v>
      </c>
      <c r="AB1425" s="67">
        <f t="shared" si="46"/>
        <v>17.5392</v>
      </c>
      <c r="AC1425" s="67">
        <f t="shared" si="11"/>
        <v>14.28</v>
      </c>
      <c r="AD1425" s="67">
        <f t="shared" si="12"/>
        <v>2.2848</v>
      </c>
      <c r="AE1425" s="67">
        <f t="shared" si="13"/>
        <v>16.5648</v>
      </c>
      <c r="AF1425" s="67">
        <f t="shared" si="33"/>
        <v>13.944</v>
      </c>
      <c r="AG1425" s="67">
        <f t="shared" si="15"/>
        <v>2.23104</v>
      </c>
      <c r="AH1425" s="67">
        <f t="shared" si="16"/>
        <v>16.17504</v>
      </c>
      <c r="AI1425" s="67">
        <f t="shared" si="17"/>
        <v>13.44</v>
      </c>
      <c r="AJ1425" s="68">
        <f t="shared" si="47"/>
        <v>2.1504</v>
      </c>
      <c r="AK1425" s="68">
        <f t="shared" si="48"/>
        <v>15.5904</v>
      </c>
      <c r="AL1425" s="70"/>
      <c r="AM1425" s="70"/>
      <c r="AN1425" s="71"/>
      <c r="AO1425" s="71"/>
      <c r="AP1425" s="71"/>
      <c r="AQ1425" s="71"/>
      <c r="AR1425" s="71"/>
      <c r="AS1425" s="71"/>
      <c r="AT1425" s="71"/>
      <c r="AU1425" s="71"/>
      <c r="AV1425" s="71"/>
      <c r="AW1425" s="71"/>
      <c r="AX1425" s="71"/>
      <c r="AY1425" s="71"/>
      <c r="AZ1425" s="71"/>
      <c r="BA1425" s="71"/>
      <c r="BB1425" s="71"/>
      <c r="BC1425" s="71"/>
      <c r="BD1425" s="71"/>
      <c r="BE1425" s="71"/>
      <c r="BF1425" s="71"/>
      <c r="BG1425" s="71"/>
      <c r="BH1425" s="71"/>
      <c r="BI1425" s="71"/>
      <c r="BJ1425" s="71"/>
      <c r="BK1425" s="71"/>
      <c r="BL1425" s="71"/>
      <c r="BM1425" s="71"/>
      <c r="BN1425" s="71"/>
      <c r="BO1425" s="71"/>
      <c r="BP1425" s="71"/>
      <c r="BQ1425" s="71"/>
      <c r="BR1425" s="71"/>
      <c r="BS1425" s="71"/>
      <c r="BT1425" s="71"/>
      <c r="BU1425" s="71"/>
      <c r="BV1425" s="71"/>
    </row>
    <row r="1426">
      <c r="A1426" s="53"/>
      <c r="B1426" s="53"/>
      <c r="C1426" s="53" t="s">
        <v>12</v>
      </c>
      <c r="D1426" s="53" t="s">
        <v>3540</v>
      </c>
      <c r="E1426" s="54" t="s">
        <v>38</v>
      </c>
      <c r="F1426" s="54" t="s">
        <v>42</v>
      </c>
      <c r="G1426" s="55" t="s">
        <v>3541</v>
      </c>
      <c r="H1426" s="54" t="s">
        <v>3542</v>
      </c>
      <c r="I1426" s="54">
        <f t="shared" si="24"/>
        <v>33</v>
      </c>
      <c r="J1426" s="56"/>
      <c r="K1426" s="57"/>
      <c r="L1426" s="76"/>
      <c r="M1426" s="59"/>
      <c r="N1426" s="79">
        <v>13.0</v>
      </c>
      <c r="O1426" s="61">
        <v>14.0</v>
      </c>
      <c r="P1426" s="63">
        <v>15.120000000000001</v>
      </c>
      <c r="Q1426" s="63">
        <v>15.120000000000001</v>
      </c>
      <c r="R1426" s="64">
        <v>16.0</v>
      </c>
      <c r="S1426" s="111">
        <v>16.8</v>
      </c>
      <c r="T1426" s="65">
        <f t="shared" si="39"/>
        <v>2.688</v>
      </c>
      <c r="U1426" s="65">
        <f t="shared" si="40"/>
        <v>19.488</v>
      </c>
      <c r="V1426" s="66">
        <f t="shared" si="42"/>
        <v>0.05</v>
      </c>
      <c r="W1426" s="67">
        <f t="shared" si="5"/>
        <v>15.96</v>
      </c>
      <c r="X1426" s="67">
        <f t="shared" si="43"/>
        <v>2.5536</v>
      </c>
      <c r="Y1426" s="67">
        <f t="shared" si="44"/>
        <v>18.5136</v>
      </c>
      <c r="Z1426" s="67">
        <f t="shared" si="8"/>
        <v>15.12</v>
      </c>
      <c r="AA1426" s="67">
        <f t="shared" si="45"/>
        <v>2.4192</v>
      </c>
      <c r="AB1426" s="67">
        <f t="shared" si="46"/>
        <v>17.5392</v>
      </c>
      <c r="AC1426" s="67">
        <f t="shared" si="11"/>
        <v>14.28</v>
      </c>
      <c r="AD1426" s="67">
        <f t="shared" si="12"/>
        <v>2.2848</v>
      </c>
      <c r="AE1426" s="67">
        <f t="shared" si="13"/>
        <v>16.5648</v>
      </c>
      <c r="AF1426" s="67">
        <f t="shared" si="33"/>
        <v>13.944</v>
      </c>
      <c r="AG1426" s="67">
        <f t="shared" si="15"/>
        <v>2.23104</v>
      </c>
      <c r="AH1426" s="67">
        <f t="shared" si="16"/>
        <v>16.17504</v>
      </c>
      <c r="AI1426" s="67">
        <f t="shared" si="17"/>
        <v>13.44</v>
      </c>
      <c r="AJ1426" s="68">
        <f t="shared" si="47"/>
        <v>2.1504</v>
      </c>
      <c r="AK1426" s="68">
        <f t="shared" si="48"/>
        <v>15.5904</v>
      </c>
      <c r="AL1426" s="70"/>
      <c r="AM1426" s="70"/>
      <c r="AN1426" s="71"/>
      <c r="AO1426" s="71"/>
      <c r="AP1426" s="71"/>
      <c r="AQ1426" s="71"/>
      <c r="AR1426" s="71"/>
      <c r="AS1426" s="71"/>
      <c r="AT1426" s="71"/>
      <c r="AU1426" s="71"/>
      <c r="AV1426" s="71"/>
      <c r="AW1426" s="71"/>
      <c r="AX1426" s="71"/>
      <c r="AY1426" s="71"/>
      <c r="AZ1426" s="71"/>
      <c r="BA1426" s="71"/>
      <c r="BB1426" s="71"/>
      <c r="BC1426" s="71"/>
      <c r="BD1426" s="71"/>
      <c r="BE1426" s="71"/>
      <c r="BF1426" s="71"/>
      <c r="BG1426" s="71"/>
      <c r="BH1426" s="71"/>
      <c r="BI1426" s="71"/>
      <c r="BJ1426" s="71"/>
      <c r="BK1426" s="71"/>
      <c r="BL1426" s="71"/>
      <c r="BM1426" s="71"/>
      <c r="BN1426" s="71"/>
      <c r="BO1426" s="71"/>
      <c r="BP1426" s="71"/>
      <c r="BQ1426" s="71"/>
      <c r="BR1426" s="71"/>
      <c r="BS1426" s="71"/>
      <c r="BT1426" s="71"/>
      <c r="BU1426" s="71"/>
      <c r="BV1426" s="71"/>
    </row>
    <row r="1427">
      <c r="A1427" s="53"/>
      <c r="B1427" s="53"/>
      <c r="C1427" s="53" t="s">
        <v>12</v>
      </c>
      <c r="D1427" s="53" t="s">
        <v>3543</v>
      </c>
      <c r="E1427" s="86" t="s">
        <v>3544</v>
      </c>
      <c r="F1427" s="91" t="s">
        <v>42</v>
      </c>
      <c r="G1427" s="84" t="s">
        <v>3545</v>
      </c>
      <c r="H1427" s="55" t="s">
        <v>3546</v>
      </c>
      <c r="I1427" s="54">
        <f t="shared" si="24"/>
        <v>40</v>
      </c>
      <c r="J1427" s="56"/>
      <c r="K1427" s="57"/>
      <c r="L1427" s="76"/>
      <c r="M1427" s="59"/>
      <c r="N1427" s="79"/>
      <c r="O1427" s="90"/>
      <c r="P1427" s="90"/>
      <c r="Q1427" s="94"/>
      <c r="R1427" s="64">
        <v>13870.0</v>
      </c>
      <c r="S1427" s="111">
        <v>14564.0</v>
      </c>
      <c r="T1427" s="65">
        <f t="shared" si="39"/>
        <v>2330.24</v>
      </c>
      <c r="U1427" s="65">
        <f t="shared" si="40"/>
        <v>16894.24</v>
      </c>
      <c r="V1427" s="66">
        <f t="shared" si="42"/>
        <v>0.05003604903</v>
      </c>
      <c r="W1427" s="67">
        <f t="shared" si="5"/>
        <v>13835.8</v>
      </c>
      <c r="X1427" s="67">
        <f t="shared" si="43"/>
        <v>2213.728</v>
      </c>
      <c r="Y1427" s="67">
        <f t="shared" si="44"/>
        <v>16049.528</v>
      </c>
      <c r="Z1427" s="67">
        <f t="shared" si="8"/>
        <v>13107.6</v>
      </c>
      <c r="AA1427" s="67">
        <f t="shared" si="45"/>
        <v>2097.216</v>
      </c>
      <c r="AB1427" s="67">
        <f t="shared" si="46"/>
        <v>15204.816</v>
      </c>
      <c r="AC1427" s="67">
        <f t="shared" si="11"/>
        <v>12379.4</v>
      </c>
      <c r="AD1427" s="67">
        <f t="shared" si="12"/>
        <v>1980.704</v>
      </c>
      <c r="AE1427" s="67">
        <f t="shared" si="13"/>
        <v>14360.104</v>
      </c>
      <c r="AF1427" s="67">
        <f t="shared" si="33"/>
        <v>12088.12</v>
      </c>
      <c r="AG1427" s="67">
        <f t="shared" si="15"/>
        <v>1934.0992</v>
      </c>
      <c r="AH1427" s="67">
        <f t="shared" si="16"/>
        <v>14022.2192</v>
      </c>
      <c r="AI1427" s="67">
        <f t="shared" si="17"/>
        <v>11651.2</v>
      </c>
      <c r="AJ1427" s="68">
        <f t="shared" si="47"/>
        <v>1864.192</v>
      </c>
      <c r="AK1427" s="68">
        <f t="shared" si="48"/>
        <v>13515.392</v>
      </c>
      <c r="AL1427" s="70"/>
      <c r="AM1427" s="70"/>
      <c r="AN1427" s="71"/>
      <c r="AO1427" s="71"/>
      <c r="AP1427" s="71"/>
      <c r="AQ1427" s="71"/>
      <c r="AR1427" s="71"/>
      <c r="AS1427" s="71"/>
      <c r="AT1427" s="71"/>
      <c r="AU1427" s="71"/>
      <c r="AV1427" s="71"/>
      <c r="AW1427" s="71"/>
      <c r="AX1427" s="71"/>
      <c r="AY1427" s="71"/>
      <c r="AZ1427" s="71"/>
      <c r="BA1427" s="71"/>
      <c r="BB1427" s="71"/>
      <c r="BC1427" s="71"/>
      <c r="BD1427" s="71"/>
      <c r="BE1427" s="71"/>
      <c r="BF1427" s="71"/>
      <c r="BG1427" s="71"/>
      <c r="BH1427" s="71"/>
      <c r="BI1427" s="71"/>
      <c r="BJ1427" s="71"/>
      <c r="BK1427" s="71"/>
      <c r="BL1427" s="71"/>
      <c r="BM1427" s="71"/>
      <c r="BN1427" s="71"/>
      <c r="BO1427" s="71"/>
      <c r="BP1427" s="71"/>
      <c r="BQ1427" s="71"/>
      <c r="BR1427" s="71"/>
      <c r="BS1427" s="71"/>
      <c r="BT1427" s="71"/>
      <c r="BU1427" s="71"/>
      <c r="BV1427" s="71"/>
    </row>
    <row r="1428">
      <c r="A1428" s="53"/>
      <c r="B1428" s="53">
        <v>3.0</v>
      </c>
      <c r="C1428" s="53" t="s">
        <v>36</v>
      </c>
      <c r="D1428" s="53" t="s">
        <v>3547</v>
      </c>
      <c r="E1428" s="54" t="s">
        <v>38</v>
      </c>
      <c r="F1428" s="55" t="s">
        <v>39</v>
      </c>
      <c r="G1428" s="84" t="s">
        <v>3548</v>
      </c>
      <c r="H1428" s="84" t="s">
        <v>3548</v>
      </c>
      <c r="I1428" s="54">
        <f t="shared" si="24"/>
        <v>16</v>
      </c>
      <c r="J1428" s="56"/>
      <c r="K1428" s="57"/>
      <c r="L1428" s="76"/>
      <c r="M1428" s="59"/>
      <c r="N1428" s="60"/>
      <c r="O1428" s="90">
        <v>193732.66</v>
      </c>
      <c r="P1428" s="62">
        <v>16020.0</v>
      </c>
      <c r="Q1428" s="63">
        <v>16020.0</v>
      </c>
      <c r="R1428" s="64">
        <v>16821.0</v>
      </c>
      <c r="S1428" s="107">
        <v>17662.0</v>
      </c>
      <c r="T1428" s="65">
        <f t="shared" si="39"/>
        <v>2825.92</v>
      </c>
      <c r="U1428" s="65">
        <f t="shared" si="40"/>
        <v>20487.92</v>
      </c>
      <c r="V1428" s="66">
        <f t="shared" si="42"/>
        <v>0.04999702753</v>
      </c>
      <c r="W1428" s="67">
        <f t="shared" si="5"/>
        <v>16778.9</v>
      </c>
      <c r="X1428" s="67">
        <f t="shared" si="43"/>
        <v>2684.624</v>
      </c>
      <c r="Y1428" s="67">
        <f t="shared" si="44"/>
        <v>19463.524</v>
      </c>
      <c r="Z1428" s="67">
        <f t="shared" si="8"/>
        <v>15895.8</v>
      </c>
      <c r="AA1428" s="67">
        <f t="shared" si="45"/>
        <v>2543.328</v>
      </c>
      <c r="AB1428" s="67">
        <f t="shared" si="46"/>
        <v>18439.128</v>
      </c>
      <c r="AC1428" s="67">
        <f t="shared" si="11"/>
        <v>15895.8</v>
      </c>
      <c r="AD1428" s="67">
        <f t="shared" si="12"/>
        <v>2543.328</v>
      </c>
      <c r="AE1428" s="67">
        <f t="shared" si="13"/>
        <v>18439.128</v>
      </c>
      <c r="AF1428" s="67">
        <f t="shared" si="33"/>
        <v>15895.8</v>
      </c>
      <c r="AG1428" s="67">
        <f t="shared" si="15"/>
        <v>2543.328</v>
      </c>
      <c r="AH1428" s="67">
        <f t="shared" si="16"/>
        <v>18439.128</v>
      </c>
      <c r="AI1428" s="67">
        <f t="shared" si="17"/>
        <v>15895.8</v>
      </c>
      <c r="AJ1428" s="111">
        <f t="shared" si="47"/>
        <v>2543.328</v>
      </c>
      <c r="AK1428" s="111">
        <f t="shared" si="48"/>
        <v>18439.128</v>
      </c>
      <c r="AL1428" s="70"/>
      <c r="AM1428" s="70"/>
      <c r="AN1428" s="71"/>
      <c r="AO1428" s="71"/>
      <c r="AP1428" s="71"/>
      <c r="AQ1428" s="71"/>
      <c r="AR1428" s="71"/>
      <c r="AS1428" s="71"/>
      <c r="AT1428" s="71"/>
      <c r="AU1428" s="71"/>
      <c r="AV1428" s="71"/>
      <c r="AW1428" s="71"/>
      <c r="AX1428" s="71"/>
      <c r="AY1428" s="71"/>
      <c r="AZ1428" s="71"/>
      <c r="BA1428" s="71"/>
      <c r="BB1428" s="71"/>
      <c r="BC1428" s="71"/>
      <c r="BD1428" s="71"/>
      <c r="BE1428" s="71"/>
      <c r="BF1428" s="71"/>
      <c r="BG1428" s="71"/>
      <c r="BH1428" s="71"/>
      <c r="BI1428" s="71"/>
      <c r="BJ1428" s="71"/>
      <c r="BK1428" s="71"/>
      <c r="BL1428" s="71"/>
      <c r="BM1428" s="71"/>
      <c r="BN1428" s="71"/>
      <c r="BO1428" s="71"/>
      <c r="BP1428" s="71"/>
      <c r="BQ1428" s="71"/>
      <c r="BR1428" s="71"/>
      <c r="BS1428" s="71"/>
      <c r="BT1428" s="71"/>
      <c r="BU1428" s="71"/>
      <c r="BV1428" s="71"/>
    </row>
    <row r="1429">
      <c r="A1429" s="53"/>
      <c r="B1429" s="53"/>
      <c r="C1429" s="53" t="s">
        <v>36</v>
      </c>
      <c r="D1429" s="85" t="s">
        <v>3549</v>
      </c>
      <c r="E1429" s="54" t="s">
        <v>38</v>
      </c>
      <c r="F1429" s="55" t="s">
        <v>39</v>
      </c>
      <c r="G1429" s="86" t="s">
        <v>3550</v>
      </c>
      <c r="H1429" s="55"/>
      <c r="I1429" s="54">
        <f t="shared" si="24"/>
        <v>0</v>
      </c>
      <c r="J1429" s="56"/>
      <c r="K1429" s="57"/>
      <c r="L1429" s="76"/>
      <c r="M1429" s="59"/>
      <c r="N1429" s="60"/>
      <c r="O1429" s="61">
        <v>174.0</v>
      </c>
      <c r="P1429" s="62">
        <v>187.92000000000002</v>
      </c>
      <c r="Q1429" s="63">
        <v>187.92000000000002</v>
      </c>
      <c r="R1429" s="64">
        <v>198.0</v>
      </c>
      <c r="S1429" s="107">
        <v>208.0</v>
      </c>
      <c r="T1429" s="65">
        <f t="shared" si="39"/>
        <v>33.28</v>
      </c>
      <c r="U1429" s="65">
        <f t="shared" si="40"/>
        <v>241.28</v>
      </c>
      <c r="V1429" s="66">
        <f t="shared" si="42"/>
        <v>0.05050505051</v>
      </c>
      <c r="W1429" s="67">
        <f t="shared" si="5"/>
        <v>197.6</v>
      </c>
      <c r="X1429" s="67">
        <f t="shared" si="43"/>
        <v>31.616</v>
      </c>
      <c r="Y1429" s="67">
        <f t="shared" si="44"/>
        <v>229.216</v>
      </c>
      <c r="Z1429" s="67">
        <f t="shared" si="8"/>
        <v>187.2</v>
      </c>
      <c r="AA1429" s="67">
        <f t="shared" si="45"/>
        <v>29.952</v>
      </c>
      <c r="AB1429" s="67">
        <f t="shared" si="46"/>
        <v>217.152</v>
      </c>
      <c r="AC1429" s="67">
        <f t="shared" si="11"/>
        <v>176.8</v>
      </c>
      <c r="AD1429" s="67">
        <f t="shared" si="12"/>
        <v>28.288</v>
      </c>
      <c r="AE1429" s="67">
        <f t="shared" si="13"/>
        <v>205.088</v>
      </c>
      <c r="AF1429" s="67">
        <f t="shared" si="33"/>
        <v>172.64</v>
      </c>
      <c r="AG1429" s="67">
        <f t="shared" si="15"/>
        <v>27.6224</v>
      </c>
      <c r="AH1429" s="67">
        <f t="shared" si="16"/>
        <v>200.2624</v>
      </c>
      <c r="AI1429" s="67">
        <f t="shared" si="17"/>
        <v>166.4</v>
      </c>
      <c r="AJ1429" s="68">
        <f t="shared" si="47"/>
        <v>26.624</v>
      </c>
      <c r="AK1429" s="68">
        <f t="shared" si="48"/>
        <v>193.024</v>
      </c>
      <c r="AL1429" s="70"/>
      <c r="AM1429" s="70"/>
      <c r="AN1429" s="71"/>
      <c r="AO1429" s="71"/>
      <c r="AP1429" s="71"/>
      <c r="AQ1429" s="71"/>
      <c r="AR1429" s="71"/>
      <c r="AS1429" s="71"/>
      <c r="AT1429" s="71"/>
      <c r="AU1429" s="71"/>
      <c r="AV1429" s="71"/>
      <c r="AW1429" s="71"/>
      <c r="AX1429" s="71"/>
      <c r="AY1429" s="71"/>
      <c r="AZ1429" s="71"/>
      <c r="BA1429" s="71"/>
      <c r="BB1429" s="71"/>
      <c r="BC1429" s="71"/>
      <c r="BD1429" s="71"/>
      <c r="BE1429" s="71"/>
      <c r="BF1429" s="71"/>
      <c r="BG1429" s="71"/>
      <c r="BH1429" s="71"/>
      <c r="BI1429" s="71"/>
      <c r="BJ1429" s="71"/>
      <c r="BK1429" s="71"/>
      <c r="BL1429" s="71"/>
      <c r="BM1429" s="71"/>
      <c r="BN1429" s="71"/>
      <c r="BO1429" s="71"/>
      <c r="BP1429" s="71"/>
      <c r="BQ1429" s="71"/>
      <c r="BR1429" s="71"/>
      <c r="BS1429" s="71"/>
      <c r="BT1429" s="71"/>
      <c r="BU1429" s="71"/>
      <c r="BV1429" s="71"/>
    </row>
    <row r="1430">
      <c r="A1430" s="53"/>
      <c r="B1430" s="53"/>
      <c r="C1430" s="53" t="s">
        <v>12</v>
      </c>
      <c r="D1430" s="53" t="s">
        <v>3551</v>
      </c>
      <c r="E1430" s="54" t="s">
        <v>38</v>
      </c>
      <c r="F1430" s="54" t="s">
        <v>42</v>
      </c>
      <c r="G1430" s="55" t="s">
        <v>3552</v>
      </c>
      <c r="H1430" s="54" t="s">
        <v>3553</v>
      </c>
      <c r="I1430" s="54">
        <f t="shared" si="24"/>
        <v>40</v>
      </c>
      <c r="J1430" s="56"/>
      <c r="K1430" s="57"/>
      <c r="L1430" s="76"/>
      <c r="M1430" s="59"/>
      <c r="N1430" s="79">
        <v>2350.0</v>
      </c>
      <c r="O1430" s="61">
        <v>2538.0</v>
      </c>
      <c r="P1430" s="63">
        <v>2741.04</v>
      </c>
      <c r="Q1430" s="63">
        <v>2741.04</v>
      </c>
      <c r="R1430" s="64">
        <v>2879.0</v>
      </c>
      <c r="S1430" s="111">
        <v>3023.0</v>
      </c>
      <c r="T1430" s="65">
        <f t="shared" si="39"/>
        <v>483.68</v>
      </c>
      <c r="U1430" s="65">
        <f t="shared" si="40"/>
        <v>3506.68</v>
      </c>
      <c r="V1430" s="66">
        <f t="shared" si="42"/>
        <v>0.05001736714</v>
      </c>
      <c r="W1430" s="67">
        <f t="shared" si="5"/>
        <v>2871.85</v>
      </c>
      <c r="X1430" s="67">
        <f t="shared" si="43"/>
        <v>459.496</v>
      </c>
      <c r="Y1430" s="67">
        <f t="shared" si="44"/>
        <v>3331.346</v>
      </c>
      <c r="Z1430" s="67">
        <f t="shared" si="8"/>
        <v>2720.7</v>
      </c>
      <c r="AA1430" s="67">
        <f t="shared" si="45"/>
        <v>435.312</v>
      </c>
      <c r="AB1430" s="67">
        <f t="shared" si="46"/>
        <v>3156.012</v>
      </c>
      <c r="AC1430" s="67">
        <f t="shared" si="11"/>
        <v>2569.55</v>
      </c>
      <c r="AD1430" s="67">
        <f t="shared" si="12"/>
        <v>411.128</v>
      </c>
      <c r="AE1430" s="67">
        <f t="shared" si="13"/>
        <v>2980.678</v>
      </c>
      <c r="AF1430" s="67">
        <f t="shared" si="33"/>
        <v>2509.09</v>
      </c>
      <c r="AG1430" s="67">
        <f t="shared" si="15"/>
        <v>401.4544</v>
      </c>
      <c r="AH1430" s="67">
        <f t="shared" si="16"/>
        <v>2910.5444</v>
      </c>
      <c r="AI1430" s="67">
        <f t="shared" si="17"/>
        <v>2418.4</v>
      </c>
      <c r="AJ1430" s="68">
        <f t="shared" si="47"/>
        <v>386.944</v>
      </c>
      <c r="AK1430" s="68">
        <f t="shared" si="48"/>
        <v>2805.344</v>
      </c>
      <c r="AL1430" s="70"/>
      <c r="AM1430" s="70"/>
      <c r="AN1430" s="71"/>
      <c r="AO1430" s="71"/>
      <c r="AP1430" s="71"/>
      <c r="AQ1430" s="71"/>
      <c r="AR1430" s="71"/>
      <c r="AS1430" s="71"/>
      <c r="AT1430" s="71"/>
      <c r="AU1430" s="71"/>
      <c r="AV1430" s="71"/>
      <c r="AW1430" s="71"/>
      <c r="AX1430" s="71"/>
      <c r="AY1430" s="71"/>
      <c r="AZ1430" s="71"/>
      <c r="BA1430" s="71"/>
      <c r="BB1430" s="71"/>
      <c r="BC1430" s="71"/>
      <c r="BD1430" s="71"/>
      <c r="BE1430" s="71"/>
      <c r="BF1430" s="71"/>
      <c r="BG1430" s="71"/>
      <c r="BH1430" s="71"/>
      <c r="BI1430" s="71"/>
      <c r="BJ1430" s="71"/>
      <c r="BK1430" s="71"/>
      <c r="BL1430" s="71"/>
      <c r="BM1430" s="71"/>
      <c r="BN1430" s="71"/>
      <c r="BO1430" s="71"/>
      <c r="BP1430" s="71"/>
      <c r="BQ1430" s="71"/>
      <c r="BR1430" s="71"/>
      <c r="BS1430" s="71"/>
      <c r="BT1430" s="71"/>
      <c r="BU1430" s="71"/>
      <c r="BV1430" s="71"/>
    </row>
    <row r="1431">
      <c r="A1431" s="53"/>
      <c r="B1431" s="53"/>
      <c r="C1431" s="53" t="s">
        <v>53</v>
      </c>
      <c r="D1431" s="53" t="s">
        <v>3554</v>
      </c>
      <c r="E1431" s="54" t="s">
        <v>38</v>
      </c>
      <c r="F1431" s="54" t="s">
        <v>42</v>
      </c>
      <c r="G1431" s="55" t="s">
        <v>3555</v>
      </c>
      <c r="H1431" s="54" t="s">
        <v>3555</v>
      </c>
      <c r="I1431" s="54">
        <f t="shared" si="24"/>
        <v>30</v>
      </c>
      <c r="J1431" s="56"/>
      <c r="K1431" s="57"/>
      <c r="L1431" s="77"/>
      <c r="M1431" s="59"/>
      <c r="N1431" s="79">
        <v>452.0</v>
      </c>
      <c r="O1431" s="61">
        <v>488.0</v>
      </c>
      <c r="P1431" s="63">
        <v>527.0400000000001</v>
      </c>
      <c r="Q1431" s="63">
        <v>527.0400000000001</v>
      </c>
      <c r="R1431" s="64">
        <v>554.0</v>
      </c>
      <c r="S1431" s="111">
        <v>582.0</v>
      </c>
      <c r="T1431" s="65">
        <f t="shared" si="39"/>
        <v>93.12</v>
      </c>
      <c r="U1431" s="65">
        <f t="shared" si="40"/>
        <v>675.12</v>
      </c>
      <c r="V1431" s="66">
        <f t="shared" si="42"/>
        <v>0.05054151625</v>
      </c>
      <c r="W1431" s="67">
        <f t="shared" si="5"/>
        <v>552.9</v>
      </c>
      <c r="X1431" s="67">
        <f t="shared" si="43"/>
        <v>88.464</v>
      </c>
      <c r="Y1431" s="67">
        <f t="shared" si="44"/>
        <v>641.364</v>
      </c>
      <c r="Z1431" s="67">
        <f t="shared" si="8"/>
        <v>523.8</v>
      </c>
      <c r="AA1431" s="67">
        <f t="shared" si="45"/>
        <v>83.808</v>
      </c>
      <c r="AB1431" s="67">
        <f t="shared" si="46"/>
        <v>607.608</v>
      </c>
      <c r="AC1431" s="67">
        <f t="shared" si="11"/>
        <v>494.7</v>
      </c>
      <c r="AD1431" s="67">
        <f t="shared" si="12"/>
        <v>79.152</v>
      </c>
      <c r="AE1431" s="67">
        <f t="shared" si="13"/>
        <v>573.852</v>
      </c>
      <c r="AF1431" s="67">
        <f t="shared" si="33"/>
        <v>483.06</v>
      </c>
      <c r="AG1431" s="67">
        <f t="shared" si="15"/>
        <v>77.2896</v>
      </c>
      <c r="AH1431" s="67">
        <f t="shared" si="16"/>
        <v>560.3496</v>
      </c>
      <c r="AI1431" s="67">
        <f t="shared" si="17"/>
        <v>465.6</v>
      </c>
      <c r="AJ1431" s="68">
        <f t="shared" si="47"/>
        <v>74.496</v>
      </c>
      <c r="AK1431" s="68">
        <f t="shared" si="48"/>
        <v>540.096</v>
      </c>
      <c r="AL1431" s="70"/>
      <c r="AM1431" s="70"/>
      <c r="AN1431" s="71"/>
      <c r="AO1431" s="71"/>
      <c r="AP1431" s="71"/>
      <c r="AQ1431" s="71"/>
      <c r="AR1431" s="71"/>
      <c r="AS1431" s="71"/>
      <c r="AT1431" s="71"/>
      <c r="AU1431" s="71"/>
      <c r="AV1431" s="71"/>
      <c r="AW1431" s="71"/>
      <c r="AX1431" s="71"/>
      <c r="AY1431" s="71"/>
      <c r="AZ1431" s="71"/>
      <c r="BA1431" s="71"/>
      <c r="BB1431" s="71"/>
      <c r="BC1431" s="71"/>
      <c r="BD1431" s="71"/>
      <c r="BE1431" s="71"/>
      <c r="BF1431" s="71"/>
      <c r="BG1431" s="71"/>
      <c r="BH1431" s="71"/>
      <c r="BI1431" s="71"/>
      <c r="BJ1431" s="71"/>
      <c r="BK1431" s="71"/>
      <c r="BL1431" s="71"/>
      <c r="BM1431" s="71"/>
      <c r="BN1431" s="71"/>
      <c r="BO1431" s="71"/>
      <c r="BP1431" s="71"/>
      <c r="BQ1431" s="71"/>
      <c r="BR1431" s="71"/>
      <c r="BS1431" s="71"/>
      <c r="BT1431" s="71"/>
      <c r="BU1431" s="71"/>
      <c r="BV1431" s="71"/>
    </row>
    <row r="1432">
      <c r="A1432" s="53"/>
      <c r="B1432" s="53"/>
      <c r="C1432" s="53" t="s">
        <v>36</v>
      </c>
      <c r="D1432" s="85" t="s">
        <v>3556</v>
      </c>
      <c r="E1432" s="54" t="s">
        <v>38</v>
      </c>
      <c r="F1432" s="55" t="s">
        <v>39</v>
      </c>
      <c r="G1432" s="86" t="s">
        <v>3557</v>
      </c>
      <c r="H1432" s="55"/>
      <c r="I1432" s="54">
        <f t="shared" si="24"/>
        <v>0</v>
      </c>
      <c r="J1432" s="56"/>
      <c r="K1432" s="57"/>
      <c r="L1432" s="76"/>
      <c r="M1432" s="59"/>
      <c r="N1432" s="60"/>
      <c r="O1432" s="61">
        <v>259.2</v>
      </c>
      <c r="P1432" s="62">
        <v>279.936</v>
      </c>
      <c r="Q1432" s="63">
        <v>279.936</v>
      </c>
      <c r="R1432" s="64">
        <v>294.0</v>
      </c>
      <c r="S1432" s="107">
        <v>309.0</v>
      </c>
      <c r="T1432" s="65">
        <f t="shared" si="39"/>
        <v>49.44</v>
      </c>
      <c r="U1432" s="65">
        <f t="shared" si="40"/>
        <v>358.44</v>
      </c>
      <c r="V1432" s="66">
        <f t="shared" si="42"/>
        <v>0.05102040816</v>
      </c>
      <c r="W1432" s="67">
        <f t="shared" si="5"/>
        <v>293.55</v>
      </c>
      <c r="X1432" s="67">
        <f t="shared" si="43"/>
        <v>46.968</v>
      </c>
      <c r="Y1432" s="67">
        <f t="shared" si="44"/>
        <v>340.518</v>
      </c>
      <c r="Z1432" s="67">
        <f t="shared" si="8"/>
        <v>278.1</v>
      </c>
      <c r="AA1432" s="67">
        <f t="shared" si="45"/>
        <v>44.496</v>
      </c>
      <c r="AB1432" s="67">
        <f t="shared" si="46"/>
        <v>322.596</v>
      </c>
      <c r="AC1432" s="67">
        <f t="shared" si="11"/>
        <v>262.65</v>
      </c>
      <c r="AD1432" s="67">
        <f t="shared" si="12"/>
        <v>42.024</v>
      </c>
      <c r="AE1432" s="67">
        <f t="shared" si="13"/>
        <v>304.674</v>
      </c>
      <c r="AF1432" s="67">
        <f t="shared" si="33"/>
        <v>256.47</v>
      </c>
      <c r="AG1432" s="67">
        <f t="shared" si="15"/>
        <v>41.0352</v>
      </c>
      <c r="AH1432" s="67">
        <f t="shared" si="16"/>
        <v>297.5052</v>
      </c>
      <c r="AI1432" s="67">
        <f t="shared" si="17"/>
        <v>247.2</v>
      </c>
      <c r="AJ1432" s="68">
        <f t="shared" si="47"/>
        <v>39.552</v>
      </c>
      <c r="AK1432" s="68">
        <f t="shared" si="48"/>
        <v>286.752</v>
      </c>
      <c r="AL1432" s="70"/>
      <c r="AM1432" s="70"/>
      <c r="AN1432" s="71"/>
      <c r="AO1432" s="71"/>
      <c r="AP1432" s="71"/>
      <c r="AQ1432" s="71"/>
      <c r="AR1432" s="71"/>
      <c r="AS1432" s="71"/>
      <c r="AT1432" s="71"/>
      <c r="AU1432" s="71"/>
      <c r="AV1432" s="71"/>
      <c r="AW1432" s="71"/>
      <c r="AX1432" s="71"/>
      <c r="AY1432" s="71"/>
      <c r="AZ1432" s="71"/>
      <c r="BA1432" s="71"/>
      <c r="BB1432" s="71"/>
      <c r="BC1432" s="71"/>
      <c r="BD1432" s="71"/>
      <c r="BE1432" s="71"/>
      <c r="BF1432" s="71"/>
      <c r="BG1432" s="71"/>
      <c r="BH1432" s="71"/>
      <c r="BI1432" s="71"/>
      <c r="BJ1432" s="71"/>
      <c r="BK1432" s="71"/>
      <c r="BL1432" s="71"/>
      <c r="BM1432" s="71"/>
      <c r="BN1432" s="71"/>
      <c r="BO1432" s="71"/>
      <c r="BP1432" s="71"/>
      <c r="BQ1432" s="71"/>
      <c r="BR1432" s="71"/>
      <c r="BS1432" s="71"/>
      <c r="BT1432" s="71"/>
      <c r="BU1432" s="71"/>
      <c r="BV1432" s="71"/>
    </row>
    <row r="1433">
      <c r="A1433" s="53"/>
      <c r="B1433" s="53"/>
      <c r="C1433" s="53" t="s">
        <v>36</v>
      </c>
      <c r="D1433" s="85" t="s">
        <v>3558</v>
      </c>
      <c r="E1433" s="54" t="s">
        <v>38</v>
      </c>
      <c r="F1433" s="55" t="s">
        <v>39</v>
      </c>
      <c r="G1433" s="86" t="s">
        <v>3559</v>
      </c>
      <c r="H1433" s="55"/>
      <c r="I1433" s="54">
        <f t="shared" si="24"/>
        <v>0</v>
      </c>
      <c r="J1433" s="56"/>
      <c r="K1433" s="57"/>
      <c r="L1433" s="76"/>
      <c r="M1433" s="59"/>
      <c r="N1433" s="60"/>
      <c r="O1433" s="61">
        <v>259.2</v>
      </c>
      <c r="P1433" s="62">
        <v>279.936</v>
      </c>
      <c r="Q1433" s="63">
        <v>279.936</v>
      </c>
      <c r="R1433" s="64">
        <v>294.0</v>
      </c>
      <c r="S1433" s="107">
        <v>309.0</v>
      </c>
      <c r="T1433" s="65">
        <f t="shared" si="39"/>
        <v>49.44</v>
      </c>
      <c r="U1433" s="65">
        <f t="shared" si="40"/>
        <v>358.44</v>
      </c>
      <c r="V1433" s="66">
        <f t="shared" si="42"/>
        <v>0.05102040816</v>
      </c>
      <c r="W1433" s="67">
        <f t="shared" si="5"/>
        <v>293.55</v>
      </c>
      <c r="X1433" s="67">
        <f t="shared" si="43"/>
        <v>46.968</v>
      </c>
      <c r="Y1433" s="67">
        <f t="shared" si="44"/>
        <v>340.518</v>
      </c>
      <c r="Z1433" s="67">
        <f t="shared" si="8"/>
        <v>278.1</v>
      </c>
      <c r="AA1433" s="67">
        <f t="shared" si="45"/>
        <v>44.496</v>
      </c>
      <c r="AB1433" s="67">
        <f t="shared" si="46"/>
        <v>322.596</v>
      </c>
      <c r="AC1433" s="67">
        <f t="shared" si="11"/>
        <v>262.65</v>
      </c>
      <c r="AD1433" s="67">
        <f t="shared" si="12"/>
        <v>42.024</v>
      </c>
      <c r="AE1433" s="67">
        <f t="shared" si="13"/>
        <v>304.674</v>
      </c>
      <c r="AF1433" s="67">
        <f t="shared" si="33"/>
        <v>256.47</v>
      </c>
      <c r="AG1433" s="67">
        <f t="shared" si="15"/>
        <v>41.0352</v>
      </c>
      <c r="AH1433" s="67">
        <f t="shared" si="16"/>
        <v>297.5052</v>
      </c>
      <c r="AI1433" s="67">
        <f t="shared" si="17"/>
        <v>247.2</v>
      </c>
      <c r="AJ1433" s="68">
        <f t="shared" si="47"/>
        <v>39.552</v>
      </c>
      <c r="AK1433" s="68">
        <f t="shared" si="48"/>
        <v>286.752</v>
      </c>
      <c r="AL1433" s="70"/>
      <c r="AM1433" s="70"/>
      <c r="AN1433" s="71"/>
      <c r="AO1433" s="71"/>
      <c r="AP1433" s="71"/>
      <c r="AQ1433" s="71"/>
      <c r="AR1433" s="71"/>
      <c r="AS1433" s="71"/>
      <c r="AT1433" s="71"/>
      <c r="AU1433" s="71"/>
      <c r="AV1433" s="71"/>
      <c r="AW1433" s="71"/>
      <c r="AX1433" s="71"/>
      <c r="AY1433" s="71"/>
      <c r="AZ1433" s="71"/>
      <c r="BA1433" s="71"/>
      <c r="BB1433" s="71"/>
      <c r="BC1433" s="71"/>
      <c r="BD1433" s="71"/>
      <c r="BE1433" s="71"/>
      <c r="BF1433" s="71"/>
      <c r="BG1433" s="71"/>
      <c r="BH1433" s="71"/>
      <c r="BI1433" s="71"/>
      <c r="BJ1433" s="71"/>
      <c r="BK1433" s="71"/>
      <c r="BL1433" s="71"/>
      <c r="BM1433" s="71"/>
      <c r="BN1433" s="71"/>
      <c r="BO1433" s="71"/>
      <c r="BP1433" s="71"/>
      <c r="BQ1433" s="71"/>
      <c r="BR1433" s="71"/>
      <c r="BS1433" s="71"/>
      <c r="BT1433" s="71"/>
      <c r="BU1433" s="71"/>
      <c r="BV1433" s="71"/>
    </row>
    <row r="1434">
      <c r="A1434" s="53">
        <v>1.0</v>
      </c>
      <c r="B1434" s="72"/>
      <c r="C1434" s="73" t="s">
        <v>53</v>
      </c>
      <c r="D1434" s="74" t="s">
        <v>3560</v>
      </c>
      <c r="E1434" s="54" t="s">
        <v>38</v>
      </c>
      <c r="F1434" s="54" t="s">
        <v>42</v>
      </c>
      <c r="G1434" s="88" t="s">
        <v>3561</v>
      </c>
      <c r="H1434" s="54" t="s">
        <v>3561</v>
      </c>
      <c r="I1434" s="54">
        <f t="shared" si="24"/>
        <v>31</v>
      </c>
      <c r="J1434" s="56"/>
      <c r="K1434" s="57"/>
      <c r="L1434" s="87"/>
      <c r="M1434" s="59"/>
      <c r="N1434" s="60">
        <v>134.0</v>
      </c>
      <c r="O1434" s="61">
        <v>144.0</v>
      </c>
      <c r="P1434" s="62">
        <v>155.52</v>
      </c>
      <c r="Q1434" s="63">
        <v>155.52</v>
      </c>
      <c r="R1434" s="64">
        <v>174.0</v>
      </c>
      <c r="S1434" s="111">
        <v>183.0</v>
      </c>
      <c r="T1434" s="65">
        <f t="shared" si="39"/>
        <v>29.28</v>
      </c>
      <c r="U1434" s="65">
        <f t="shared" si="40"/>
        <v>212.28</v>
      </c>
      <c r="V1434" s="66">
        <f t="shared" si="42"/>
        <v>0.05172413793</v>
      </c>
      <c r="W1434" s="67">
        <f t="shared" si="5"/>
        <v>173.85</v>
      </c>
      <c r="X1434" s="67">
        <f t="shared" si="43"/>
        <v>27.816</v>
      </c>
      <c r="Y1434" s="67">
        <f t="shared" si="44"/>
        <v>201.666</v>
      </c>
      <c r="Z1434" s="67">
        <f t="shared" si="8"/>
        <v>164.7</v>
      </c>
      <c r="AA1434" s="67">
        <f t="shared" si="45"/>
        <v>26.352</v>
      </c>
      <c r="AB1434" s="67">
        <f t="shared" si="46"/>
        <v>191.052</v>
      </c>
      <c r="AC1434" s="67">
        <f t="shared" si="11"/>
        <v>155.55</v>
      </c>
      <c r="AD1434" s="67">
        <f t="shared" si="12"/>
        <v>24.888</v>
      </c>
      <c r="AE1434" s="67">
        <f t="shared" si="13"/>
        <v>180.438</v>
      </c>
      <c r="AF1434" s="67">
        <f t="shared" si="33"/>
        <v>151.89</v>
      </c>
      <c r="AG1434" s="67">
        <f t="shared" si="15"/>
        <v>24.3024</v>
      </c>
      <c r="AH1434" s="67">
        <f t="shared" si="16"/>
        <v>176.1924</v>
      </c>
      <c r="AI1434" s="67">
        <f t="shared" si="17"/>
        <v>146.4</v>
      </c>
      <c r="AJ1434" s="68">
        <f t="shared" si="47"/>
        <v>23.424</v>
      </c>
      <c r="AK1434" s="68">
        <f t="shared" si="48"/>
        <v>169.824</v>
      </c>
      <c r="AL1434" s="70"/>
      <c r="AM1434" s="70"/>
      <c r="AN1434" s="71"/>
      <c r="AO1434" s="71"/>
      <c r="AP1434" s="71"/>
      <c r="AQ1434" s="71"/>
      <c r="AR1434" s="71"/>
      <c r="AS1434" s="71"/>
      <c r="AT1434" s="71"/>
      <c r="AU1434" s="71"/>
      <c r="AV1434" s="71"/>
      <c r="AW1434" s="71"/>
      <c r="AX1434" s="71"/>
      <c r="AY1434" s="71"/>
      <c r="AZ1434" s="71"/>
      <c r="BA1434" s="71"/>
      <c r="BB1434" s="71"/>
      <c r="BC1434" s="71"/>
      <c r="BD1434" s="71"/>
      <c r="BE1434" s="71"/>
      <c r="BF1434" s="71"/>
      <c r="BG1434" s="71"/>
      <c r="BH1434" s="71"/>
      <c r="BI1434" s="71"/>
      <c r="BJ1434" s="71"/>
      <c r="BK1434" s="71"/>
      <c r="BL1434" s="71"/>
      <c r="BM1434" s="71"/>
      <c r="BN1434" s="71"/>
      <c r="BO1434" s="71"/>
      <c r="BP1434" s="71"/>
      <c r="BQ1434" s="71"/>
      <c r="BR1434" s="71"/>
      <c r="BS1434" s="71"/>
      <c r="BT1434" s="71"/>
      <c r="BU1434" s="71"/>
      <c r="BV1434" s="71"/>
    </row>
    <row r="1435">
      <c r="A1435" s="53">
        <v>1.0</v>
      </c>
      <c r="B1435" s="72"/>
      <c r="C1435" s="73" t="s">
        <v>53</v>
      </c>
      <c r="D1435" s="74" t="s">
        <v>3562</v>
      </c>
      <c r="E1435" s="54" t="s">
        <v>38</v>
      </c>
      <c r="F1435" s="54" t="s">
        <v>42</v>
      </c>
      <c r="G1435" s="88" t="s">
        <v>3563</v>
      </c>
      <c r="H1435" s="54" t="s">
        <v>3563</v>
      </c>
      <c r="I1435" s="54">
        <f t="shared" si="24"/>
        <v>33</v>
      </c>
      <c r="J1435" s="56"/>
      <c r="K1435" s="57"/>
      <c r="L1435" s="87"/>
      <c r="M1435" s="59"/>
      <c r="N1435" s="60">
        <v>136.0</v>
      </c>
      <c r="O1435" s="61">
        <v>146.0</v>
      </c>
      <c r="P1435" s="62">
        <v>157.68</v>
      </c>
      <c r="Q1435" s="63">
        <v>157.68</v>
      </c>
      <c r="R1435" s="64">
        <v>177.0</v>
      </c>
      <c r="S1435" s="111">
        <v>186.0</v>
      </c>
      <c r="T1435" s="65">
        <f t="shared" si="39"/>
        <v>29.76</v>
      </c>
      <c r="U1435" s="65">
        <f t="shared" si="40"/>
        <v>215.76</v>
      </c>
      <c r="V1435" s="66">
        <f t="shared" si="42"/>
        <v>0.05084745763</v>
      </c>
      <c r="W1435" s="67">
        <f t="shared" si="5"/>
        <v>176.7</v>
      </c>
      <c r="X1435" s="67">
        <f t="shared" si="43"/>
        <v>28.272</v>
      </c>
      <c r="Y1435" s="67">
        <f t="shared" si="44"/>
        <v>204.972</v>
      </c>
      <c r="Z1435" s="67">
        <f t="shared" si="8"/>
        <v>167.4</v>
      </c>
      <c r="AA1435" s="67">
        <f t="shared" si="45"/>
        <v>26.784</v>
      </c>
      <c r="AB1435" s="67">
        <f t="shared" si="46"/>
        <v>194.184</v>
      </c>
      <c r="AC1435" s="67">
        <f t="shared" si="11"/>
        <v>158.1</v>
      </c>
      <c r="AD1435" s="67">
        <f t="shared" si="12"/>
        <v>25.296</v>
      </c>
      <c r="AE1435" s="67">
        <f t="shared" si="13"/>
        <v>183.396</v>
      </c>
      <c r="AF1435" s="67">
        <f t="shared" si="33"/>
        <v>154.38</v>
      </c>
      <c r="AG1435" s="67">
        <f t="shared" si="15"/>
        <v>24.7008</v>
      </c>
      <c r="AH1435" s="67">
        <f t="shared" si="16"/>
        <v>179.0808</v>
      </c>
      <c r="AI1435" s="67">
        <f t="shared" si="17"/>
        <v>148.8</v>
      </c>
      <c r="AJ1435" s="68">
        <f t="shared" si="47"/>
        <v>23.808</v>
      </c>
      <c r="AK1435" s="68">
        <f t="shared" si="48"/>
        <v>172.608</v>
      </c>
      <c r="AL1435" s="70"/>
      <c r="AM1435" s="70"/>
      <c r="AN1435" s="71"/>
      <c r="AO1435" s="71"/>
      <c r="AP1435" s="71"/>
      <c r="AQ1435" s="71"/>
      <c r="AR1435" s="71"/>
      <c r="AS1435" s="71"/>
      <c r="AT1435" s="71"/>
      <c r="AU1435" s="71"/>
      <c r="AV1435" s="71"/>
      <c r="AW1435" s="71"/>
      <c r="AX1435" s="71"/>
      <c r="AY1435" s="71"/>
      <c r="AZ1435" s="71"/>
      <c r="BA1435" s="71"/>
      <c r="BB1435" s="71"/>
      <c r="BC1435" s="71"/>
      <c r="BD1435" s="71"/>
      <c r="BE1435" s="71"/>
      <c r="BF1435" s="71"/>
      <c r="BG1435" s="71"/>
      <c r="BH1435" s="71"/>
      <c r="BI1435" s="71"/>
      <c r="BJ1435" s="71"/>
      <c r="BK1435" s="71"/>
      <c r="BL1435" s="71"/>
      <c r="BM1435" s="71"/>
      <c r="BN1435" s="71"/>
      <c r="BO1435" s="71"/>
      <c r="BP1435" s="71"/>
      <c r="BQ1435" s="71"/>
      <c r="BR1435" s="71"/>
      <c r="BS1435" s="71"/>
      <c r="BT1435" s="71"/>
      <c r="BU1435" s="71"/>
      <c r="BV1435" s="71"/>
    </row>
    <row r="1436">
      <c r="A1436" s="53">
        <v>1.0</v>
      </c>
      <c r="B1436" s="72"/>
      <c r="C1436" s="73" t="s">
        <v>53</v>
      </c>
      <c r="D1436" s="74" t="s">
        <v>3564</v>
      </c>
      <c r="E1436" s="54" t="s">
        <v>38</v>
      </c>
      <c r="F1436" s="54" t="s">
        <v>42</v>
      </c>
      <c r="G1436" s="88" t="s">
        <v>3565</v>
      </c>
      <c r="H1436" s="54" t="s">
        <v>3565</v>
      </c>
      <c r="I1436" s="54">
        <f t="shared" si="24"/>
        <v>32</v>
      </c>
      <c r="J1436" s="56"/>
      <c r="K1436" s="57"/>
      <c r="L1436" s="87"/>
      <c r="M1436" s="59"/>
      <c r="N1436" s="60">
        <v>300.0</v>
      </c>
      <c r="O1436" s="61">
        <v>324.0</v>
      </c>
      <c r="P1436" s="62">
        <v>349.92</v>
      </c>
      <c r="Q1436" s="63">
        <v>349.92</v>
      </c>
      <c r="R1436" s="64">
        <v>387.0</v>
      </c>
      <c r="S1436" s="111">
        <v>406.0</v>
      </c>
      <c r="T1436" s="65">
        <f t="shared" si="39"/>
        <v>64.96</v>
      </c>
      <c r="U1436" s="65">
        <f t="shared" si="40"/>
        <v>470.96</v>
      </c>
      <c r="V1436" s="66">
        <f t="shared" si="42"/>
        <v>0.04909560724</v>
      </c>
      <c r="W1436" s="67">
        <f t="shared" si="5"/>
        <v>385.7</v>
      </c>
      <c r="X1436" s="67">
        <f t="shared" si="43"/>
        <v>61.712</v>
      </c>
      <c r="Y1436" s="67">
        <f t="shared" si="44"/>
        <v>447.412</v>
      </c>
      <c r="Z1436" s="67">
        <f t="shared" si="8"/>
        <v>365.4</v>
      </c>
      <c r="AA1436" s="67">
        <f t="shared" si="45"/>
        <v>58.464</v>
      </c>
      <c r="AB1436" s="67">
        <f t="shared" si="46"/>
        <v>423.864</v>
      </c>
      <c r="AC1436" s="67">
        <f t="shared" si="11"/>
        <v>345.1</v>
      </c>
      <c r="AD1436" s="67">
        <f t="shared" si="12"/>
        <v>55.216</v>
      </c>
      <c r="AE1436" s="67">
        <f t="shared" si="13"/>
        <v>400.316</v>
      </c>
      <c r="AF1436" s="67">
        <f t="shared" si="33"/>
        <v>336.98</v>
      </c>
      <c r="AG1436" s="67">
        <f t="shared" si="15"/>
        <v>53.9168</v>
      </c>
      <c r="AH1436" s="67">
        <f t="shared" si="16"/>
        <v>390.8968</v>
      </c>
      <c r="AI1436" s="67">
        <f t="shared" si="17"/>
        <v>324.8</v>
      </c>
      <c r="AJ1436" s="68">
        <f t="shared" si="47"/>
        <v>51.968</v>
      </c>
      <c r="AK1436" s="68">
        <f t="shared" si="48"/>
        <v>376.768</v>
      </c>
      <c r="AL1436" s="70"/>
      <c r="AM1436" s="70"/>
      <c r="AN1436" s="71"/>
      <c r="AO1436" s="71"/>
      <c r="AP1436" s="71"/>
      <c r="AQ1436" s="71"/>
      <c r="AR1436" s="71"/>
      <c r="AS1436" s="71"/>
      <c r="AT1436" s="71"/>
      <c r="AU1436" s="71"/>
      <c r="AV1436" s="71"/>
      <c r="AW1436" s="71"/>
      <c r="AX1436" s="71"/>
      <c r="AY1436" s="71"/>
      <c r="AZ1436" s="71"/>
      <c r="BA1436" s="71"/>
      <c r="BB1436" s="71"/>
      <c r="BC1436" s="71"/>
      <c r="BD1436" s="71"/>
      <c r="BE1436" s="71"/>
      <c r="BF1436" s="71"/>
      <c r="BG1436" s="71"/>
      <c r="BH1436" s="71"/>
      <c r="BI1436" s="71"/>
      <c r="BJ1436" s="71"/>
      <c r="BK1436" s="71"/>
      <c r="BL1436" s="71"/>
      <c r="BM1436" s="71"/>
      <c r="BN1436" s="71"/>
      <c r="BO1436" s="71"/>
      <c r="BP1436" s="71"/>
      <c r="BQ1436" s="71"/>
      <c r="BR1436" s="71"/>
      <c r="BS1436" s="71"/>
      <c r="BT1436" s="71"/>
      <c r="BU1436" s="71"/>
      <c r="BV1436" s="71"/>
    </row>
    <row r="1437">
      <c r="A1437" s="53">
        <v>1.0</v>
      </c>
      <c r="B1437" s="72"/>
      <c r="C1437" s="73" t="s">
        <v>53</v>
      </c>
      <c r="D1437" s="74" t="s">
        <v>3566</v>
      </c>
      <c r="E1437" s="54" t="s">
        <v>38</v>
      </c>
      <c r="F1437" s="54" t="s">
        <v>42</v>
      </c>
      <c r="G1437" s="88" t="s">
        <v>3567</v>
      </c>
      <c r="H1437" s="54" t="s">
        <v>3567</v>
      </c>
      <c r="I1437" s="54">
        <f t="shared" si="24"/>
        <v>34</v>
      </c>
      <c r="J1437" s="56"/>
      <c r="K1437" s="57"/>
      <c r="L1437" s="87"/>
      <c r="M1437" s="59"/>
      <c r="N1437" s="60">
        <v>300.0</v>
      </c>
      <c r="O1437" s="61">
        <v>324.0</v>
      </c>
      <c r="P1437" s="62">
        <v>349.92</v>
      </c>
      <c r="Q1437" s="63">
        <v>349.92</v>
      </c>
      <c r="R1437" s="64">
        <v>387.0</v>
      </c>
      <c r="S1437" s="111">
        <v>406.0</v>
      </c>
      <c r="T1437" s="65">
        <f t="shared" si="39"/>
        <v>64.96</v>
      </c>
      <c r="U1437" s="65">
        <f t="shared" si="40"/>
        <v>470.96</v>
      </c>
      <c r="V1437" s="66">
        <f t="shared" si="42"/>
        <v>0.04909560724</v>
      </c>
      <c r="W1437" s="67">
        <f t="shared" si="5"/>
        <v>385.7</v>
      </c>
      <c r="X1437" s="67">
        <f t="shared" si="43"/>
        <v>61.712</v>
      </c>
      <c r="Y1437" s="67">
        <f t="shared" si="44"/>
        <v>447.412</v>
      </c>
      <c r="Z1437" s="67">
        <f t="shared" si="8"/>
        <v>365.4</v>
      </c>
      <c r="AA1437" s="67">
        <f t="shared" si="45"/>
        <v>58.464</v>
      </c>
      <c r="AB1437" s="67">
        <f t="shared" si="46"/>
        <v>423.864</v>
      </c>
      <c r="AC1437" s="67">
        <f t="shared" si="11"/>
        <v>345.1</v>
      </c>
      <c r="AD1437" s="67">
        <f t="shared" si="12"/>
        <v>55.216</v>
      </c>
      <c r="AE1437" s="67">
        <f t="shared" si="13"/>
        <v>400.316</v>
      </c>
      <c r="AF1437" s="67">
        <f t="shared" si="33"/>
        <v>336.98</v>
      </c>
      <c r="AG1437" s="67">
        <f t="shared" si="15"/>
        <v>53.9168</v>
      </c>
      <c r="AH1437" s="67">
        <f t="shared" si="16"/>
        <v>390.8968</v>
      </c>
      <c r="AI1437" s="67">
        <f t="shared" si="17"/>
        <v>324.8</v>
      </c>
      <c r="AJ1437" s="68">
        <f t="shared" si="47"/>
        <v>51.968</v>
      </c>
      <c r="AK1437" s="68">
        <f t="shared" si="48"/>
        <v>376.768</v>
      </c>
      <c r="AL1437" s="70"/>
      <c r="AM1437" s="70"/>
      <c r="AN1437" s="71"/>
      <c r="AO1437" s="71"/>
      <c r="AP1437" s="71"/>
      <c r="AQ1437" s="71"/>
      <c r="AR1437" s="71"/>
      <c r="AS1437" s="71"/>
      <c r="AT1437" s="71"/>
      <c r="AU1437" s="71"/>
      <c r="AV1437" s="71"/>
      <c r="AW1437" s="71"/>
      <c r="AX1437" s="71"/>
      <c r="AY1437" s="71"/>
      <c r="AZ1437" s="71"/>
      <c r="BA1437" s="71"/>
      <c r="BB1437" s="71"/>
      <c r="BC1437" s="71"/>
      <c r="BD1437" s="71"/>
      <c r="BE1437" s="71"/>
      <c r="BF1437" s="71"/>
      <c r="BG1437" s="71"/>
      <c r="BH1437" s="71"/>
      <c r="BI1437" s="71"/>
      <c r="BJ1437" s="71"/>
      <c r="BK1437" s="71"/>
      <c r="BL1437" s="71"/>
      <c r="BM1437" s="71"/>
      <c r="BN1437" s="71"/>
      <c r="BO1437" s="71"/>
      <c r="BP1437" s="71"/>
      <c r="BQ1437" s="71"/>
      <c r="BR1437" s="71"/>
      <c r="BS1437" s="71"/>
      <c r="BT1437" s="71"/>
      <c r="BU1437" s="71"/>
      <c r="BV1437" s="71"/>
    </row>
    <row r="1438">
      <c r="A1438" s="53">
        <v>1.0</v>
      </c>
      <c r="B1438" s="72"/>
      <c r="C1438" s="73" t="s">
        <v>53</v>
      </c>
      <c r="D1438" s="74" t="s">
        <v>3568</v>
      </c>
      <c r="E1438" s="54" t="s">
        <v>38</v>
      </c>
      <c r="F1438" s="54" t="s">
        <v>42</v>
      </c>
      <c r="G1438" s="88" t="s">
        <v>3569</v>
      </c>
      <c r="H1438" s="54" t="s">
        <v>3569</v>
      </c>
      <c r="I1438" s="54">
        <f t="shared" si="24"/>
        <v>40</v>
      </c>
      <c r="J1438" s="56"/>
      <c r="K1438" s="57"/>
      <c r="L1438" s="87"/>
      <c r="M1438" s="59"/>
      <c r="N1438" s="60">
        <v>2541.0</v>
      </c>
      <c r="O1438" s="61">
        <v>2744.0</v>
      </c>
      <c r="P1438" s="62">
        <v>2963.52</v>
      </c>
      <c r="Q1438" s="63">
        <v>2963.52</v>
      </c>
      <c r="R1438" s="64">
        <v>3300.0</v>
      </c>
      <c r="S1438" s="111">
        <v>3465.0</v>
      </c>
      <c r="T1438" s="65">
        <f t="shared" si="39"/>
        <v>554.4</v>
      </c>
      <c r="U1438" s="65">
        <f t="shared" si="40"/>
        <v>4019.4</v>
      </c>
      <c r="V1438" s="66">
        <f t="shared" si="42"/>
        <v>0.05</v>
      </c>
      <c r="W1438" s="67">
        <f t="shared" si="5"/>
        <v>3291.75</v>
      </c>
      <c r="X1438" s="67">
        <f t="shared" si="43"/>
        <v>526.68</v>
      </c>
      <c r="Y1438" s="67">
        <f t="shared" si="44"/>
        <v>3818.43</v>
      </c>
      <c r="Z1438" s="67">
        <f t="shared" si="8"/>
        <v>3118.5</v>
      </c>
      <c r="AA1438" s="67">
        <f t="shared" si="45"/>
        <v>498.96</v>
      </c>
      <c r="AB1438" s="67">
        <f t="shared" si="46"/>
        <v>3617.46</v>
      </c>
      <c r="AC1438" s="67">
        <f t="shared" si="11"/>
        <v>2945.25</v>
      </c>
      <c r="AD1438" s="67">
        <f t="shared" si="12"/>
        <v>471.24</v>
      </c>
      <c r="AE1438" s="67">
        <f t="shared" si="13"/>
        <v>3416.49</v>
      </c>
      <c r="AF1438" s="67">
        <f t="shared" si="33"/>
        <v>2875.95</v>
      </c>
      <c r="AG1438" s="67">
        <f t="shared" si="15"/>
        <v>460.152</v>
      </c>
      <c r="AH1438" s="67">
        <f t="shared" si="16"/>
        <v>3336.102</v>
      </c>
      <c r="AI1438" s="67">
        <f t="shared" si="17"/>
        <v>2772</v>
      </c>
      <c r="AJ1438" s="68">
        <f t="shared" si="47"/>
        <v>443.52</v>
      </c>
      <c r="AK1438" s="68">
        <f t="shared" si="48"/>
        <v>3215.52</v>
      </c>
      <c r="AL1438" s="70"/>
      <c r="AM1438" s="70"/>
      <c r="AN1438" s="71"/>
      <c r="AO1438" s="71"/>
      <c r="AP1438" s="71"/>
      <c r="AQ1438" s="71"/>
      <c r="AR1438" s="71"/>
      <c r="AS1438" s="71"/>
      <c r="AT1438" s="71"/>
      <c r="AU1438" s="71"/>
      <c r="AV1438" s="71"/>
      <c r="AW1438" s="71"/>
      <c r="AX1438" s="71"/>
      <c r="AY1438" s="71"/>
      <c r="AZ1438" s="71"/>
      <c r="BA1438" s="71"/>
      <c r="BB1438" s="71"/>
      <c r="BC1438" s="71"/>
      <c r="BD1438" s="71"/>
      <c r="BE1438" s="71"/>
      <c r="BF1438" s="71"/>
      <c r="BG1438" s="71"/>
      <c r="BH1438" s="71"/>
      <c r="BI1438" s="71"/>
      <c r="BJ1438" s="71"/>
      <c r="BK1438" s="71"/>
      <c r="BL1438" s="71"/>
      <c r="BM1438" s="71"/>
      <c r="BN1438" s="71"/>
      <c r="BO1438" s="71"/>
      <c r="BP1438" s="71"/>
      <c r="BQ1438" s="71"/>
      <c r="BR1438" s="71"/>
      <c r="BS1438" s="71"/>
      <c r="BT1438" s="71"/>
      <c r="BU1438" s="71"/>
      <c r="BV1438" s="71"/>
    </row>
    <row r="1439">
      <c r="A1439" s="53">
        <v>1.0</v>
      </c>
      <c r="B1439" s="72"/>
      <c r="C1439" s="73" t="s">
        <v>53</v>
      </c>
      <c r="D1439" s="74" t="s">
        <v>3570</v>
      </c>
      <c r="E1439" s="54" t="s">
        <v>38</v>
      </c>
      <c r="F1439" s="54" t="s">
        <v>42</v>
      </c>
      <c r="G1439" s="88" t="s">
        <v>3571</v>
      </c>
      <c r="H1439" s="54" t="s">
        <v>3572</v>
      </c>
      <c r="I1439" s="54">
        <f t="shared" si="24"/>
        <v>33</v>
      </c>
      <c r="J1439" s="56"/>
      <c r="K1439" s="57"/>
      <c r="L1439" s="87"/>
      <c r="M1439" s="59"/>
      <c r="N1439" s="60">
        <v>2697.0</v>
      </c>
      <c r="O1439" s="61">
        <v>2912.0</v>
      </c>
      <c r="P1439" s="62">
        <v>3144.96</v>
      </c>
      <c r="Q1439" s="63">
        <v>3144.96</v>
      </c>
      <c r="R1439" s="64">
        <v>3501.0</v>
      </c>
      <c r="S1439" s="111">
        <v>3676.0</v>
      </c>
      <c r="T1439" s="65">
        <f t="shared" si="39"/>
        <v>588.16</v>
      </c>
      <c r="U1439" s="65">
        <f t="shared" si="40"/>
        <v>4264.16</v>
      </c>
      <c r="V1439" s="66">
        <f t="shared" si="42"/>
        <v>0.04998571837</v>
      </c>
      <c r="W1439" s="67">
        <f t="shared" si="5"/>
        <v>3492.2</v>
      </c>
      <c r="X1439" s="67">
        <f t="shared" si="43"/>
        <v>558.752</v>
      </c>
      <c r="Y1439" s="67">
        <f t="shared" si="44"/>
        <v>4050.952</v>
      </c>
      <c r="Z1439" s="67">
        <f t="shared" si="8"/>
        <v>3308.4</v>
      </c>
      <c r="AA1439" s="67">
        <f t="shared" si="45"/>
        <v>529.344</v>
      </c>
      <c r="AB1439" s="67">
        <f t="shared" si="46"/>
        <v>3837.744</v>
      </c>
      <c r="AC1439" s="67">
        <f t="shared" si="11"/>
        <v>3124.6</v>
      </c>
      <c r="AD1439" s="67">
        <f t="shared" si="12"/>
        <v>499.936</v>
      </c>
      <c r="AE1439" s="67">
        <f t="shared" si="13"/>
        <v>3624.536</v>
      </c>
      <c r="AF1439" s="67">
        <f t="shared" si="33"/>
        <v>3051.08</v>
      </c>
      <c r="AG1439" s="67">
        <f t="shared" si="15"/>
        <v>488.1728</v>
      </c>
      <c r="AH1439" s="67">
        <f t="shared" si="16"/>
        <v>3539.2528</v>
      </c>
      <c r="AI1439" s="67">
        <f t="shared" si="17"/>
        <v>2940.8</v>
      </c>
      <c r="AJ1439" s="68">
        <f t="shared" si="47"/>
        <v>470.528</v>
      </c>
      <c r="AK1439" s="68">
        <f t="shared" si="48"/>
        <v>3411.328</v>
      </c>
      <c r="AL1439" s="70"/>
      <c r="AM1439" s="70"/>
      <c r="AN1439" s="71"/>
      <c r="AO1439" s="71"/>
      <c r="AP1439" s="71"/>
      <c r="AQ1439" s="71"/>
      <c r="AR1439" s="71"/>
      <c r="AS1439" s="71"/>
      <c r="AT1439" s="71"/>
      <c r="AU1439" s="71"/>
      <c r="AV1439" s="71"/>
      <c r="AW1439" s="71"/>
      <c r="AX1439" s="71"/>
      <c r="AY1439" s="71"/>
      <c r="AZ1439" s="71"/>
      <c r="BA1439" s="71"/>
      <c r="BB1439" s="71"/>
      <c r="BC1439" s="71"/>
      <c r="BD1439" s="71"/>
      <c r="BE1439" s="71"/>
      <c r="BF1439" s="71"/>
      <c r="BG1439" s="71"/>
      <c r="BH1439" s="71"/>
      <c r="BI1439" s="71"/>
      <c r="BJ1439" s="71"/>
      <c r="BK1439" s="71"/>
      <c r="BL1439" s="71"/>
      <c r="BM1439" s="71"/>
      <c r="BN1439" s="71"/>
      <c r="BO1439" s="71"/>
      <c r="BP1439" s="71"/>
      <c r="BQ1439" s="71"/>
      <c r="BR1439" s="71"/>
      <c r="BS1439" s="71"/>
      <c r="BT1439" s="71"/>
      <c r="BU1439" s="71"/>
      <c r="BV1439" s="71"/>
    </row>
    <row r="1440">
      <c r="A1440" s="53">
        <v>1.0</v>
      </c>
      <c r="B1440" s="72"/>
      <c r="C1440" s="73" t="s">
        <v>53</v>
      </c>
      <c r="D1440" s="74" t="s">
        <v>3573</v>
      </c>
      <c r="E1440" s="54" t="s">
        <v>38</v>
      </c>
      <c r="F1440" s="54" t="s">
        <v>42</v>
      </c>
      <c r="G1440" s="88" t="s">
        <v>3574</v>
      </c>
      <c r="H1440" s="54" t="s">
        <v>3574</v>
      </c>
      <c r="I1440" s="54">
        <f t="shared" si="24"/>
        <v>40</v>
      </c>
      <c r="J1440" s="56"/>
      <c r="K1440" s="57"/>
      <c r="L1440" s="87"/>
      <c r="M1440" s="59"/>
      <c r="N1440" s="60">
        <v>2355.0</v>
      </c>
      <c r="O1440" s="61">
        <v>2543.0</v>
      </c>
      <c r="P1440" s="62">
        <v>2746.44</v>
      </c>
      <c r="Q1440" s="63">
        <v>2746.44</v>
      </c>
      <c r="R1440" s="64">
        <v>3058.0</v>
      </c>
      <c r="S1440" s="111">
        <v>3211.0</v>
      </c>
      <c r="T1440" s="65">
        <f t="shared" si="39"/>
        <v>513.76</v>
      </c>
      <c r="U1440" s="65">
        <f t="shared" si="40"/>
        <v>3724.76</v>
      </c>
      <c r="V1440" s="66">
        <f t="shared" si="42"/>
        <v>0.05003270111</v>
      </c>
      <c r="W1440" s="67">
        <f t="shared" si="5"/>
        <v>3050.45</v>
      </c>
      <c r="X1440" s="67">
        <f t="shared" si="43"/>
        <v>488.072</v>
      </c>
      <c r="Y1440" s="67">
        <f t="shared" si="44"/>
        <v>3538.522</v>
      </c>
      <c r="Z1440" s="67">
        <f t="shared" si="8"/>
        <v>2889.9</v>
      </c>
      <c r="AA1440" s="67">
        <f t="shared" si="45"/>
        <v>462.384</v>
      </c>
      <c r="AB1440" s="67">
        <f t="shared" si="46"/>
        <v>3352.284</v>
      </c>
      <c r="AC1440" s="67">
        <f t="shared" si="11"/>
        <v>2729.35</v>
      </c>
      <c r="AD1440" s="67">
        <f t="shared" si="12"/>
        <v>436.696</v>
      </c>
      <c r="AE1440" s="67">
        <f t="shared" si="13"/>
        <v>3166.046</v>
      </c>
      <c r="AF1440" s="67">
        <f t="shared" si="33"/>
        <v>2665.13</v>
      </c>
      <c r="AG1440" s="67">
        <f t="shared" si="15"/>
        <v>426.4208</v>
      </c>
      <c r="AH1440" s="67">
        <f t="shared" si="16"/>
        <v>3091.5508</v>
      </c>
      <c r="AI1440" s="67">
        <f t="shared" si="17"/>
        <v>2568.8</v>
      </c>
      <c r="AJ1440" s="68">
        <f t="shared" si="47"/>
        <v>411.008</v>
      </c>
      <c r="AK1440" s="68">
        <f t="shared" si="48"/>
        <v>2979.808</v>
      </c>
      <c r="AL1440" s="70"/>
      <c r="AM1440" s="70"/>
      <c r="AN1440" s="71"/>
      <c r="AO1440" s="71"/>
      <c r="AP1440" s="71"/>
      <c r="AQ1440" s="71"/>
      <c r="AR1440" s="71"/>
      <c r="AS1440" s="71"/>
      <c r="AT1440" s="71"/>
      <c r="AU1440" s="71"/>
      <c r="AV1440" s="71"/>
      <c r="AW1440" s="71"/>
      <c r="AX1440" s="71"/>
      <c r="AY1440" s="71"/>
      <c r="AZ1440" s="71"/>
      <c r="BA1440" s="71"/>
      <c r="BB1440" s="71"/>
      <c r="BC1440" s="71"/>
      <c r="BD1440" s="71"/>
      <c r="BE1440" s="71"/>
      <c r="BF1440" s="71"/>
      <c r="BG1440" s="71"/>
      <c r="BH1440" s="71"/>
      <c r="BI1440" s="71"/>
      <c r="BJ1440" s="71"/>
      <c r="BK1440" s="71"/>
      <c r="BL1440" s="71"/>
      <c r="BM1440" s="71"/>
      <c r="BN1440" s="71"/>
      <c r="BO1440" s="71"/>
      <c r="BP1440" s="71"/>
      <c r="BQ1440" s="71"/>
      <c r="BR1440" s="71"/>
      <c r="BS1440" s="71"/>
      <c r="BT1440" s="71"/>
      <c r="BU1440" s="71"/>
      <c r="BV1440" s="71"/>
    </row>
    <row r="1441">
      <c r="A1441" s="53">
        <v>1.0</v>
      </c>
      <c r="B1441" s="72"/>
      <c r="C1441" s="73" t="s">
        <v>53</v>
      </c>
      <c r="D1441" s="74" t="s">
        <v>3575</v>
      </c>
      <c r="E1441" s="54" t="s">
        <v>38</v>
      </c>
      <c r="F1441" s="54" t="s">
        <v>42</v>
      </c>
      <c r="G1441" s="88" t="s">
        <v>3576</v>
      </c>
      <c r="H1441" s="54" t="s">
        <v>3577</v>
      </c>
      <c r="I1441" s="54">
        <f t="shared" si="24"/>
        <v>33</v>
      </c>
      <c r="J1441" s="56"/>
      <c r="K1441" s="57"/>
      <c r="L1441" s="87"/>
      <c r="M1441" s="59"/>
      <c r="N1441" s="60">
        <v>2471.0</v>
      </c>
      <c r="O1441" s="61">
        <v>2668.0</v>
      </c>
      <c r="P1441" s="62">
        <v>2881.44</v>
      </c>
      <c r="Q1441" s="63">
        <v>2881.44</v>
      </c>
      <c r="R1441" s="64">
        <v>3208.0</v>
      </c>
      <c r="S1441" s="111">
        <v>3368.0</v>
      </c>
      <c r="T1441" s="65">
        <f t="shared" si="39"/>
        <v>538.88</v>
      </c>
      <c r="U1441" s="65">
        <f t="shared" si="40"/>
        <v>3906.88</v>
      </c>
      <c r="V1441" s="66">
        <f t="shared" si="42"/>
        <v>0.04987531172</v>
      </c>
      <c r="W1441" s="67">
        <f t="shared" si="5"/>
        <v>3199.6</v>
      </c>
      <c r="X1441" s="67">
        <f t="shared" si="43"/>
        <v>511.936</v>
      </c>
      <c r="Y1441" s="67">
        <f t="shared" si="44"/>
        <v>3711.536</v>
      </c>
      <c r="Z1441" s="67">
        <f t="shared" si="8"/>
        <v>3031.2</v>
      </c>
      <c r="AA1441" s="67">
        <f t="shared" si="45"/>
        <v>484.992</v>
      </c>
      <c r="AB1441" s="67">
        <f t="shared" si="46"/>
        <v>3516.192</v>
      </c>
      <c r="AC1441" s="67">
        <f t="shared" si="11"/>
        <v>2862.8</v>
      </c>
      <c r="AD1441" s="67">
        <f t="shared" si="12"/>
        <v>458.048</v>
      </c>
      <c r="AE1441" s="67">
        <f t="shared" si="13"/>
        <v>3320.848</v>
      </c>
      <c r="AF1441" s="67">
        <f t="shared" si="33"/>
        <v>2795.44</v>
      </c>
      <c r="AG1441" s="67">
        <f t="shared" si="15"/>
        <v>447.2704</v>
      </c>
      <c r="AH1441" s="67">
        <f t="shared" si="16"/>
        <v>3242.7104</v>
      </c>
      <c r="AI1441" s="67">
        <f t="shared" si="17"/>
        <v>2694.4</v>
      </c>
      <c r="AJ1441" s="68">
        <f t="shared" si="47"/>
        <v>431.104</v>
      </c>
      <c r="AK1441" s="68">
        <f t="shared" si="48"/>
        <v>3125.504</v>
      </c>
      <c r="AL1441" s="70"/>
      <c r="AM1441" s="70"/>
      <c r="AN1441" s="71"/>
      <c r="AO1441" s="71"/>
      <c r="AP1441" s="71"/>
      <c r="AQ1441" s="71"/>
      <c r="AR1441" s="71"/>
      <c r="AS1441" s="71"/>
      <c r="AT1441" s="71"/>
      <c r="AU1441" s="71"/>
      <c r="AV1441" s="71"/>
      <c r="AW1441" s="71"/>
      <c r="AX1441" s="71"/>
      <c r="AY1441" s="71"/>
      <c r="AZ1441" s="71"/>
      <c r="BA1441" s="71"/>
      <c r="BB1441" s="71"/>
      <c r="BC1441" s="71"/>
      <c r="BD1441" s="71"/>
      <c r="BE1441" s="71"/>
      <c r="BF1441" s="71"/>
      <c r="BG1441" s="71"/>
      <c r="BH1441" s="71"/>
      <c r="BI1441" s="71"/>
      <c r="BJ1441" s="71"/>
      <c r="BK1441" s="71"/>
      <c r="BL1441" s="71"/>
      <c r="BM1441" s="71"/>
      <c r="BN1441" s="71"/>
      <c r="BO1441" s="71"/>
      <c r="BP1441" s="71"/>
      <c r="BQ1441" s="71"/>
      <c r="BR1441" s="71"/>
      <c r="BS1441" s="71"/>
      <c r="BT1441" s="71"/>
      <c r="BU1441" s="71"/>
      <c r="BV1441" s="71"/>
    </row>
    <row r="1442">
      <c r="A1442" s="53"/>
      <c r="B1442" s="53"/>
      <c r="C1442" s="53" t="s">
        <v>36</v>
      </c>
      <c r="D1442" s="85" t="s">
        <v>3578</v>
      </c>
      <c r="E1442" s="54" t="s">
        <v>38</v>
      </c>
      <c r="F1442" s="55" t="s">
        <v>39</v>
      </c>
      <c r="G1442" s="86" t="s">
        <v>3579</v>
      </c>
      <c r="H1442" s="55"/>
      <c r="I1442" s="54">
        <f t="shared" si="24"/>
        <v>0</v>
      </c>
      <c r="J1442" s="56"/>
      <c r="K1442" s="57"/>
      <c r="L1442" s="76"/>
      <c r="M1442" s="59"/>
      <c r="N1442" s="60"/>
      <c r="O1442" s="61">
        <v>844.8</v>
      </c>
      <c r="P1442" s="62">
        <v>912.384</v>
      </c>
      <c r="Q1442" s="63">
        <v>912.384</v>
      </c>
      <c r="R1442" s="64">
        <v>958.0</v>
      </c>
      <c r="S1442" s="107">
        <v>1006.0</v>
      </c>
      <c r="T1442" s="65">
        <f t="shared" si="39"/>
        <v>160.96</v>
      </c>
      <c r="U1442" s="65">
        <f t="shared" si="40"/>
        <v>1166.96</v>
      </c>
      <c r="V1442" s="66">
        <f t="shared" si="42"/>
        <v>0.05010438413</v>
      </c>
      <c r="W1442" s="67">
        <f t="shared" si="5"/>
        <v>955.7</v>
      </c>
      <c r="X1442" s="67">
        <f t="shared" si="43"/>
        <v>152.912</v>
      </c>
      <c r="Y1442" s="67">
        <f t="shared" si="44"/>
        <v>1108.612</v>
      </c>
      <c r="Z1442" s="67">
        <f t="shared" si="8"/>
        <v>905.4</v>
      </c>
      <c r="AA1442" s="67">
        <f t="shared" si="45"/>
        <v>144.864</v>
      </c>
      <c r="AB1442" s="67">
        <f t="shared" si="46"/>
        <v>1050.264</v>
      </c>
      <c r="AC1442" s="67">
        <f t="shared" si="11"/>
        <v>855.1</v>
      </c>
      <c r="AD1442" s="67">
        <f t="shared" si="12"/>
        <v>136.816</v>
      </c>
      <c r="AE1442" s="67">
        <f t="shared" si="13"/>
        <v>991.916</v>
      </c>
      <c r="AF1442" s="67">
        <f t="shared" si="33"/>
        <v>834.98</v>
      </c>
      <c r="AG1442" s="67">
        <f t="shared" si="15"/>
        <v>133.5968</v>
      </c>
      <c r="AH1442" s="67">
        <f t="shared" si="16"/>
        <v>968.5768</v>
      </c>
      <c r="AI1442" s="67">
        <f t="shared" si="17"/>
        <v>804.8</v>
      </c>
      <c r="AJ1442" s="68">
        <f t="shared" si="47"/>
        <v>128.768</v>
      </c>
      <c r="AK1442" s="68">
        <f t="shared" si="48"/>
        <v>933.568</v>
      </c>
      <c r="AL1442" s="70"/>
      <c r="AM1442" s="70"/>
      <c r="AN1442" s="71"/>
      <c r="AO1442" s="71"/>
      <c r="AP1442" s="71"/>
      <c r="AQ1442" s="71"/>
      <c r="AR1442" s="71"/>
      <c r="AS1442" s="71"/>
      <c r="AT1442" s="71"/>
      <c r="AU1442" s="71"/>
      <c r="AV1442" s="71"/>
      <c r="AW1442" s="71"/>
      <c r="AX1442" s="71"/>
      <c r="AY1442" s="71"/>
      <c r="AZ1442" s="71"/>
      <c r="BA1442" s="71"/>
      <c r="BB1442" s="71"/>
      <c r="BC1442" s="71"/>
      <c r="BD1442" s="71"/>
      <c r="BE1442" s="71"/>
      <c r="BF1442" s="71"/>
      <c r="BG1442" s="71"/>
      <c r="BH1442" s="71"/>
      <c r="BI1442" s="71"/>
      <c r="BJ1442" s="71"/>
      <c r="BK1442" s="71"/>
      <c r="BL1442" s="71"/>
      <c r="BM1442" s="71"/>
      <c r="BN1442" s="71"/>
      <c r="BO1442" s="71"/>
      <c r="BP1442" s="71"/>
      <c r="BQ1442" s="71"/>
      <c r="BR1442" s="71"/>
      <c r="BS1442" s="71"/>
      <c r="BT1442" s="71"/>
      <c r="BU1442" s="71"/>
      <c r="BV1442" s="71"/>
    </row>
    <row r="1443">
      <c r="A1443" s="53"/>
      <c r="B1443" s="53">
        <v>3.0</v>
      </c>
      <c r="C1443" s="53" t="s">
        <v>36</v>
      </c>
      <c r="D1443" s="98" t="s">
        <v>3580</v>
      </c>
      <c r="E1443" s="54" t="s">
        <v>38</v>
      </c>
      <c r="F1443" s="55" t="s">
        <v>866</v>
      </c>
      <c r="G1443" s="138" t="s">
        <v>3581</v>
      </c>
      <c r="H1443" s="55"/>
      <c r="I1443" s="54">
        <f t="shared" si="24"/>
        <v>0</v>
      </c>
      <c r="J1443" s="56"/>
      <c r="K1443" s="57"/>
      <c r="L1443" s="76"/>
      <c r="M1443" s="59"/>
      <c r="N1443" s="60"/>
      <c r="O1443" s="61">
        <v>57111.0</v>
      </c>
      <c r="P1443" s="62">
        <v>53999.0</v>
      </c>
      <c r="Q1443" s="63">
        <v>53999.0</v>
      </c>
      <c r="R1443" s="64">
        <v>56699.0</v>
      </c>
      <c r="S1443" s="107">
        <v>59534.0</v>
      </c>
      <c r="T1443" s="65">
        <f t="shared" si="39"/>
        <v>9525.44</v>
      </c>
      <c r="U1443" s="65">
        <f t="shared" si="40"/>
        <v>69059.44</v>
      </c>
      <c r="V1443" s="66">
        <f t="shared" si="42"/>
        <v>0.05000088185</v>
      </c>
      <c r="W1443" s="67">
        <f t="shared" si="5"/>
        <v>56557.3</v>
      </c>
      <c r="X1443" s="67">
        <f t="shared" si="43"/>
        <v>9049.168</v>
      </c>
      <c r="Y1443" s="67">
        <f t="shared" si="44"/>
        <v>65606.468</v>
      </c>
      <c r="Z1443" s="67">
        <f t="shared" si="8"/>
        <v>53580.6</v>
      </c>
      <c r="AA1443" s="67">
        <f t="shared" si="45"/>
        <v>8572.896</v>
      </c>
      <c r="AB1443" s="67">
        <f t="shared" si="46"/>
        <v>62153.496</v>
      </c>
      <c r="AC1443" s="67">
        <f t="shared" si="11"/>
        <v>53580.6</v>
      </c>
      <c r="AD1443" s="67">
        <f t="shared" si="12"/>
        <v>8572.896</v>
      </c>
      <c r="AE1443" s="67">
        <f t="shared" si="13"/>
        <v>62153.496</v>
      </c>
      <c r="AF1443" s="67">
        <f t="shared" si="33"/>
        <v>53580.6</v>
      </c>
      <c r="AG1443" s="67">
        <f t="shared" si="15"/>
        <v>8572.896</v>
      </c>
      <c r="AH1443" s="67">
        <f t="shared" si="16"/>
        <v>62153.496</v>
      </c>
      <c r="AI1443" s="67">
        <f t="shared" si="17"/>
        <v>53580.6</v>
      </c>
      <c r="AJ1443" s="68">
        <f t="shared" si="47"/>
        <v>8572.896</v>
      </c>
      <c r="AK1443" s="68">
        <f t="shared" si="48"/>
        <v>62153.496</v>
      </c>
      <c r="AL1443" s="70"/>
      <c r="AM1443" s="70"/>
      <c r="AN1443" s="71"/>
      <c r="AO1443" s="71"/>
      <c r="AP1443" s="71"/>
      <c r="AQ1443" s="71"/>
      <c r="AR1443" s="71"/>
      <c r="AS1443" s="71"/>
      <c r="AT1443" s="71"/>
      <c r="AU1443" s="71"/>
      <c r="AV1443" s="71"/>
      <c r="AW1443" s="71"/>
      <c r="AX1443" s="71"/>
      <c r="AY1443" s="71"/>
      <c r="AZ1443" s="71"/>
      <c r="BA1443" s="71"/>
      <c r="BB1443" s="71"/>
      <c r="BC1443" s="71"/>
      <c r="BD1443" s="71"/>
      <c r="BE1443" s="71"/>
      <c r="BF1443" s="71"/>
      <c r="BG1443" s="71"/>
      <c r="BH1443" s="71"/>
      <c r="BI1443" s="71"/>
      <c r="BJ1443" s="71"/>
      <c r="BK1443" s="71"/>
      <c r="BL1443" s="71"/>
      <c r="BM1443" s="71"/>
      <c r="BN1443" s="71"/>
      <c r="BO1443" s="71"/>
      <c r="BP1443" s="71"/>
      <c r="BQ1443" s="71"/>
      <c r="BR1443" s="71"/>
      <c r="BS1443" s="71"/>
      <c r="BT1443" s="71"/>
      <c r="BU1443" s="71"/>
      <c r="BV1443" s="71"/>
    </row>
    <row r="1444">
      <c r="A1444" s="53"/>
      <c r="B1444" s="53">
        <v>3.0</v>
      </c>
      <c r="C1444" s="53" t="s">
        <v>36</v>
      </c>
      <c r="D1444" s="85" t="s">
        <v>3582</v>
      </c>
      <c r="E1444" s="54" t="s">
        <v>38</v>
      </c>
      <c r="F1444" s="55" t="s">
        <v>866</v>
      </c>
      <c r="G1444" s="138" t="s">
        <v>3583</v>
      </c>
      <c r="H1444" s="55"/>
      <c r="I1444" s="54">
        <f t="shared" si="24"/>
        <v>0</v>
      </c>
      <c r="J1444" s="56"/>
      <c r="K1444" s="57"/>
      <c r="L1444" s="77"/>
      <c r="M1444" s="59"/>
      <c r="N1444" s="60"/>
      <c r="O1444" s="61">
        <v>21580.0</v>
      </c>
      <c r="P1444" s="62">
        <v>23306.4</v>
      </c>
      <c r="Q1444" s="63">
        <v>23306.4</v>
      </c>
      <c r="R1444" s="64">
        <v>24472.0</v>
      </c>
      <c r="S1444" s="107">
        <v>25696.0</v>
      </c>
      <c r="T1444" s="65">
        <f t="shared" si="39"/>
        <v>4111.36</v>
      </c>
      <c r="U1444" s="65">
        <f t="shared" si="40"/>
        <v>29807.36</v>
      </c>
      <c r="V1444" s="66">
        <f t="shared" si="42"/>
        <v>0.05001634521</v>
      </c>
      <c r="W1444" s="67">
        <f t="shared" si="5"/>
        <v>24411.2</v>
      </c>
      <c r="X1444" s="67">
        <f t="shared" si="43"/>
        <v>3905.792</v>
      </c>
      <c r="Y1444" s="67">
        <f t="shared" si="44"/>
        <v>28316.992</v>
      </c>
      <c r="Z1444" s="67">
        <f t="shared" si="8"/>
        <v>23126.4</v>
      </c>
      <c r="AA1444" s="67">
        <f t="shared" si="45"/>
        <v>3700.224</v>
      </c>
      <c r="AB1444" s="67">
        <f t="shared" si="46"/>
        <v>26826.624</v>
      </c>
      <c r="AC1444" s="67">
        <f t="shared" si="11"/>
        <v>23126.4</v>
      </c>
      <c r="AD1444" s="67">
        <f t="shared" si="12"/>
        <v>3700.224</v>
      </c>
      <c r="AE1444" s="67">
        <f t="shared" si="13"/>
        <v>26826.624</v>
      </c>
      <c r="AF1444" s="67">
        <f t="shared" si="33"/>
        <v>23126.4</v>
      </c>
      <c r="AG1444" s="67">
        <f t="shared" si="15"/>
        <v>3700.224</v>
      </c>
      <c r="AH1444" s="67">
        <f t="shared" si="16"/>
        <v>26826.624</v>
      </c>
      <c r="AI1444" s="67">
        <f t="shared" si="17"/>
        <v>23126.4</v>
      </c>
      <c r="AJ1444" s="68">
        <f t="shared" si="47"/>
        <v>3700.224</v>
      </c>
      <c r="AK1444" s="68">
        <f t="shared" si="48"/>
        <v>26826.624</v>
      </c>
      <c r="AL1444" s="70"/>
      <c r="AM1444" s="70"/>
      <c r="AN1444" s="71"/>
      <c r="AO1444" s="71"/>
      <c r="AP1444" s="71"/>
      <c r="AQ1444" s="71"/>
      <c r="AR1444" s="71"/>
      <c r="AS1444" s="71"/>
      <c r="AT1444" s="71"/>
      <c r="AU1444" s="71"/>
      <c r="AV1444" s="71"/>
      <c r="AW1444" s="71"/>
      <c r="AX1444" s="71"/>
      <c r="AY1444" s="71"/>
      <c r="AZ1444" s="71"/>
      <c r="BA1444" s="71"/>
      <c r="BB1444" s="71"/>
      <c r="BC1444" s="71"/>
      <c r="BD1444" s="71"/>
      <c r="BE1444" s="71"/>
      <c r="BF1444" s="71"/>
      <c r="BG1444" s="71"/>
      <c r="BH1444" s="71"/>
      <c r="BI1444" s="71"/>
      <c r="BJ1444" s="71"/>
      <c r="BK1444" s="71"/>
      <c r="BL1444" s="71"/>
      <c r="BM1444" s="71"/>
      <c r="BN1444" s="71"/>
      <c r="BO1444" s="71"/>
      <c r="BP1444" s="71"/>
      <c r="BQ1444" s="71"/>
      <c r="BR1444" s="71"/>
      <c r="BS1444" s="71"/>
      <c r="BT1444" s="71"/>
      <c r="BU1444" s="71"/>
      <c r="BV1444" s="71"/>
    </row>
    <row r="1445">
      <c r="A1445" s="53"/>
      <c r="B1445" s="53">
        <v>3.0</v>
      </c>
      <c r="C1445" s="53" t="s">
        <v>36</v>
      </c>
      <c r="D1445" s="85" t="s">
        <v>3584</v>
      </c>
      <c r="E1445" s="54" t="s">
        <v>38</v>
      </c>
      <c r="F1445" s="55" t="s">
        <v>866</v>
      </c>
      <c r="G1445" s="138" t="s">
        <v>3583</v>
      </c>
      <c r="H1445" s="55" t="s">
        <v>3585</v>
      </c>
      <c r="I1445" s="54">
        <f t="shared" si="24"/>
        <v>39</v>
      </c>
      <c r="J1445" s="56"/>
      <c r="K1445" s="57"/>
      <c r="L1445" s="76"/>
      <c r="M1445" s="59"/>
      <c r="N1445" s="60"/>
      <c r="O1445" s="61">
        <v>26975.0</v>
      </c>
      <c r="P1445" s="62">
        <v>29133.000000000004</v>
      </c>
      <c r="Q1445" s="63">
        <v>29133.000000000004</v>
      </c>
      <c r="R1445" s="64">
        <v>30590.0</v>
      </c>
      <c r="S1445" s="107">
        <v>32120.0</v>
      </c>
      <c r="T1445" s="65">
        <f t="shared" si="39"/>
        <v>5139.2</v>
      </c>
      <c r="U1445" s="65">
        <f t="shared" si="40"/>
        <v>37259.2</v>
      </c>
      <c r="V1445" s="66">
        <f t="shared" si="42"/>
        <v>0.05001634521</v>
      </c>
      <c r="W1445" s="67">
        <f t="shared" si="5"/>
        <v>30514</v>
      </c>
      <c r="X1445" s="67">
        <f t="shared" si="43"/>
        <v>4882.24</v>
      </c>
      <c r="Y1445" s="67">
        <f t="shared" si="44"/>
        <v>35396.24</v>
      </c>
      <c r="Z1445" s="67">
        <f t="shared" si="8"/>
        <v>28908</v>
      </c>
      <c r="AA1445" s="67">
        <f t="shared" si="45"/>
        <v>4625.28</v>
      </c>
      <c r="AB1445" s="67">
        <f t="shared" si="46"/>
        <v>33533.28</v>
      </c>
      <c r="AC1445" s="67">
        <f t="shared" si="11"/>
        <v>28908</v>
      </c>
      <c r="AD1445" s="67">
        <f t="shared" si="12"/>
        <v>4625.28</v>
      </c>
      <c r="AE1445" s="67">
        <f t="shared" si="13"/>
        <v>33533.28</v>
      </c>
      <c r="AF1445" s="67">
        <f t="shared" si="33"/>
        <v>28908</v>
      </c>
      <c r="AG1445" s="67">
        <f t="shared" si="15"/>
        <v>4625.28</v>
      </c>
      <c r="AH1445" s="67">
        <f t="shared" si="16"/>
        <v>33533.28</v>
      </c>
      <c r="AI1445" s="67">
        <f t="shared" si="17"/>
        <v>28908</v>
      </c>
      <c r="AJ1445" s="68">
        <f t="shared" si="47"/>
        <v>4625.28</v>
      </c>
      <c r="AK1445" s="68">
        <f t="shared" si="48"/>
        <v>33533.28</v>
      </c>
      <c r="AL1445" s="70"/>
      <c r="AM1445" s="70"/>
      <c r="AN1445" s="71"/>
      <c r="AO1445" s="71"/>
      <c r="AP1445" s="71"/>
      <c r="AQ1445" s="71"/>
      <c r="AR1445" s="71"/>
      <c r="AS1445" s="71"/>
      <c r="AT1445" s="71"/>
      <c r="AU1445" s="71"/>
      <c r="AV1445" s="71"/>
      <c r="AW1445" s="71"/>
      <c r="AX1445" s="71"/>
      <c r="AY1445" s="71"/>
      <c r="AZ1445" s="71"/>
      <c r="BA1445" s="71"/>
      <c r="BB1445" s="71"/>
      <c r="BC1445" s="71"/>
      <c r="BD1445" s="71"/>
      <c r="BE1445" s="71"/>
      <c r="BF1445" s="71"/>
      <c r="BG1445" s="71"/>
      <c r="BH1445" s="71"/>
      <c r="BI1445" s="71"/>
      <c r="BJ1445" s="71"/>
      <c r="BK1445" s="71"/>
      <c r="BL1445" s="71"/>
      <c r="BM1445" s="71"/>
      <c r="BN1445" s="71"/>
      <c r="BO1445" s="71"/>
      <c r="BP1445" s="71"/>
      <c r="BQ1445" s="71"/>
      <c r="BR1445" s="71"/>
      <c r="BS1445" s="71"/>
      <c r="BT1445" s="71"/>
      <c r="BU1445" s="71"/>
      <c r="BV1445" s="71"/>
    </row>
    <row r="1446">
      <c r="A1446" s="53">
        <v>1.0</v>
      </c>
      <c r="B1446" s="72"/>
      <c r="C1446" s="73" t="s">
        <v>53</v>
      </c>
      <c r="D1446" s="53" t="s">
        <v>3586</v>
      </c>
      <c r="E1446" s="54" t="s">
        <v>38</v>
      </c>
      <c r="F1446" s="54" t="s">
        <v>42</v>
      </c>
      <c r="G1446" s="88" t="s">
        <v>3587</v>
      </c>
      <c r="H1446" s="54" t="s">
        <v>3587</v>
      </c>
      <c r="I1446" s="54">
        <f t="shared" si="24"/>
        <v>36</v>
      </c>
      <c r="J1446" s="56"/>
      <c r="K1446" s="57"/>
      <c r="L1446" s="87"/>
      <c r="M1446" s="59"/>
      <c r="N1446" s="60">
        <v>231.0</v>
      </c>
      <c r="O1446" s="61">
        <v>282.0</v>
      </c>
      <c r="P1446" s="62">
        <v>304.56</v>
      </c>
      <c r="Q1446" s="63">
        <v>304.56</v>
      </c>
      <c r="R1446" s="64">
        <v>346.0</v>
      </c>
      <c r="S1446" s="111">
        <v>363.0</v>
      </c>
      <c r="T1446" s="65">
        <f t="shared" si="39"/>
        <v>58.08</v>
      </c>
      <c r="U1446" s="65">
        <f t="shared" si="40"/>
        <v>421.08</v>
      </c>
      <c r="V1446" s="66">
        <f t="shared" si="42"/>
        <v>0.04913294798</v>
      </c>
      <c r="W1446" s="67">
        <f t="shared" si="5"/>
        <v>344.85</v>
      </c>
      <c r="X1446" s="67">
        <f t="shared" si="43"/>
        <v>55.176</v>
      </c>
      <c r="Y1446" s="67">
        <f t="shared" si="44"/>
        <v>400.026</v>
      </c>
      <c r="Z1446" s="67">
        <f t="shared" si="8"/>
        <v>326.7</v>
      </c>
      <c r="AA1446" s="67">
        <f t="shared" si="45"/>
        <v>52.272</v>
      </c>
      <c r="AB1446" s="67">
        <f t="shared" si="46"/>
        <v>378.972</v>
      </c>
      <c r="AC1446" s="67">
        <f t="shared" si="11"/>
        <v>308.55</v>
      </c>
      <c r="AD1446" s="67">
        <f t="shared" si="12"/>
        <v>49.368</v>
      </c>
      <c r="AE1446" s="67">
        <f t="shared" si="13"/>
        <v>357.918</v>
      </c>
      <c r="AF1446" s="67">
        <f t="shared" si="33"/>
        <v>301.29</v>
      </c>
      <c r="AG1446" s="67">
        <f t="shared" si="15"/>
        <v>48.2064</v>
      </c>
      <c r="AH1446" s="67">
        <f t="shared" si="16"/>
        <v>349.4964</v>
      </c>
      <c r="AI1446" s="67">
        <f t="shared" si="17"/>
        <v>290.4</v>
      </c>
      <c r="AJ1446" s="68">
        <f t="shared" si="47"/>
        <v>46.464</v>
      </c>
      <c r="AK1446" s="68">
        <f t="shared" si="48"/>
        <v>336.864</v>
      </c>
      <c r="AL1446" s="70"/>
      <c r="AM1446" s="70"/>
      <c r="AN1446" s="71"/>
      <c r="AO1446" s="71"/>
      <c r="AP1446" s="71"/>
      <c r="AQ1446" s="71"/>
      <c r="AR1446" s="71"/>
      <c r="AS1446" s="71"/>
      <c r="AT1446" s="71"/>
      <c r="AU1446" s="71"/>
      <c r="AV1446" s="71"/>
      <c r="AW1446" s="71"/>
      <c r="AX1446" s="71"/>
      <c r="AY1446" s="71"/>
      <c r="AZ1446" s="71"/>
      <c r="BA1446" s="71"/>
      <c r="BB1446" s="71"/>
      <c r="BC1446" s="71"/>
      <c r="BD1446" s="71"/>
      <c r="BE1446" s="71"/>
      <c r="BF1446" s="71"/>
      <c r="BG1446" s="71"/>
      <c r="BH1446" s="71"/>
      <c r="BI1446" s="71"/>
      <c r="BJ1446" s="71"/>
      <c r="BK1446" s="71"/>
      <c r="BL1446" s="71"/>
      <c r="BM1446" s="71"/>
      <c r="BN1446" s="71"/>
      <c r="BO1446" s="71"/>
      <c r="BP1446" s="71"/>
      <c r="BQ1446" s="71"/>
      <c r="BR1446" s="71"/>
      <c r="BS1446" s="71"/>
      <c r="BT1446" s="71"/>
      <c r="BU1446" s="71"/>
      <c r="BV1446" s="71"/>
    </row>
    <row r="1447">
      <c r="A1447" s="53">
        <v>1.0</v>
      </c>
      <c r="B1447" s="53"/>
      <c r="C1447" s="73" t="s">
        <v>53</v>
      </c>
      <c r="D1447" s="53" t="s">
        <v>3588</v>
      </c>
      <c r="E1447" s="54" t="s">
        <v>38</v>
      </c>
      <c r="F1447" s="54" t="s">
        <v>42</v>
      </c>
      <c r="G1447" s="88" t="s">
        <v>3589</v>
      </c>
      <c r="H1447" s="54" t="s">
        <v>3589</v>
      </c>
      <c r="I1447" s="54">
        <f t="shared" si="24"/>
        <v>37</v>
      </c>
      <c r="J1447" s="56"/>
      <c r="K1447" s="57"/>
      <c r="L1447" s="87"/>
      <c r="M1447" s="59"/>
      <c r="N1447" s="60">
        <v>312.0</v>
      </c>
      <c r="O1447" s="61">
        <v>336.0</v>
      </c>
      <c r="P1447" s="62">
        <v>362.88</v>
      </c>
      <c r="Q1447" s="63">
        <v>362.88</v>
      </c>
      <c r="R1447" s="64">
        <v>412.0</v>
      </c>
      <c r="S1447" s="111">
        <v>433.0</v>
      </c>
      <c r="T1447" s="65">
        <f t="shared" si="39"/>
        <v>69.28</v>
      </c>
      <c r="U1447" s="65">
        <f t="shared" si="40"/>
        <v>502.28</v>
      </c>
      <c r="V1447" s="66">
        <f t="shared" si="42"/>
        <v>0.05097087379</v>
      </c>
      <c r="W1447" s="67">
        <f t="shared" si="5"/>
        <v>411.35</v>
      </c>
      <c r="X1447" s="67">
        <f t="shared" si="43"/>
        <v>65.816</v>
      </c>
      <c r="Y1447" s="67">
        <f t="shared" si="44"/>
        <v>477.166</v>
      </c>
      <c r="Z1447" s="67">
        <f t="shared" si="8"/>
        <v>389.7</v>
      </c>
      <c r="AA1447" s="67">
        <f t="shared" si="45"/>
        <v>62.352</v>
      </c>
      <c r="AB1447" s="67">
        <f t="shared" si="46"/>
        <v>452.052</v>
      </c>
      <c r="AC1447" s="67">
        <f t="shared" si="11"/>
        <v>368.05</v>
      </c>
      <c r="AD1447" s="67">
        <f t="shared" si="12"/>
        <v>58.888</v>
      </c>
      <c r="AE1447" s="67">
        <f t="shared" si="13"/>
        <v>426.938</v>
      </c>
      <c r="AF1447" s="67">
        <f t="shared" si="33"/>
        <v>359.39</v>
      </c>
      <c r="AG1447" s="67">
        <f t="shared" si="15"/>
        <v>57.5024</v>
      </c>
      <c r="AH1447" s="67">
        <f t="shared" si="16"/>
        <v>416.8924</v>
      </c>
      <c r="AI1447" s="67">
        <f t="shared" si="17"/>
        <v>346.4</v>
      </c>
      <c r="AJ1447" s="68">
        <f t="shared" si="47"/>
        <v>55.424</v>
      </c>
      <c r="AK1447" s="68">
        <f t="shared" si="48"/>
        <v>401.824</v>
      </c>
      <c r="AL1447" s="70"/>
      <c r="AM1447" s="70"/>
      <c r="AN1447" s="71"/>
      <c r="AO1447" s="71"/>
      <c r="AP1447" s="71"/>
      <c r="AQ1447" s="71"/>
      <c r="AR1447" s="71"/>
      <c r="AS1447" s="71"/>
      <c r="AT1447" s="71"/>
      <c r="AU1447" s="71"/>
      <c r="AV1447" s="71"/>
      <c r="AW1447" s="71"/>
      <c r="AX1447" s="71"/>
      <c r="AY1447" s="71"/>
      <c r="AZ1447" s="71"/>
      <c r="BA1447" s="71"/>
      <c r="BB1447" s="71"/>
      <c r="BC1447" s="71"/>
      <c r="BD1447" s="71"/>
      <c r="BE1447" s="71"/>
      <c r="BF1447" s="71"/>
      <c r="BG1447" s="71"/>
      <c r="BH1447" s="71"/>
      <c r="BI1447" s="71"/>
      <c r="BJ1447" s="71"/>
      <c r="BK1447" s="71"/>
      <c r="BL1447" s="71"/>
      <c r="BM1447" s="71"/>
      <c r="BN1447" s="71"/>
      <c r="BO1447" s="71"/>
      <c r="BP1447" s="71"/>
      <c r="BQ1447" s="71"/>
      <c r="BR1447" s="71"/>
      <c r="BS1447" s="71"/>
      <c r="BT1447" s="71"/>
      <c r="BU1447" s="71"/>
      <c r="BV1447" s="71"/>
    </row>
    <row r="1448">
      <c r="A1448" s="53">
        <v>1.0</v>
      </c>
      <c r="B1448" s="53"/>
      <c r="C1448" s="73" t="s">
        <v>53</v>
      </c>
      <c r="D1448" s="53" t="s">
        <v>3590</v>
      </c>
      <c r="E1448" s="54" t="s">
        <v>38</v>
      </c>
      <c r="F1448" s="54" t="s">
        <v>42</v>
      </c>
      <c r="G1448" s="55" t="s">
        <v>3591</v>
      </c>
      <c r="H1448" s="54" t="s">
        <v>3592</v>
      </c>
      <c r="I1448" s="54">
        <f t="shared" si="24"/>
        <v>23</v>
      </c>
      <c r="J1448" s="56"/>
      <c r="K1448" s="57"/>
      <c r="L1448" s="87"/>
      <c r="M1448" s="59"/>
      <c r="N1448" s="60">
        <v>437.0</v>
      </c>
      <c r="O1448" s="61">
        <v>581.0</v>
      </c>
      <c r="P1448" s="62">
        <v>627.48</v>
      </c>
      <c r="Q1448" s="63">
        <v>627.48</v>
      </c>
      <c r="R1448" s="64">
        <v>712.0</v>
      </c>
      <c r="S1448" s="111">
        <v>748.0</v>
      </c>
      <c r="T1448" s="65">
        <f t="shared" si="39"/>
        <v>119.68</v>
      </c>
      <c r="U1448" s="65">
        <f t="shared" si="40"/>
        <v>867.68</v>
      </c>
      <c r="V1448" s="66">
        <f t="shared" si="42"/>
        <v>0.05056179775</v>
      </c>
      <c r="W1448" s="67">
        <f t="shared" si="5"/>
        <v>710.6</v>
      </c>
      <c r="X1448" s="67">
        <f t="shared" si="43"/>
        <v>113.696</v>
      </c>
      <c r="Y1448" s="67">
        <f t="shared" si="44"/>
        <v>824.296</v>
      </c>
      <c r="Z1448" s="67">
        <f t="shared" si="8"/>
        <v>673.2</v>
      </c>
      <c r="AA1448" s="67">
        <f t="shared" si="45"/>
        <v>107.712</v>
      </c>
      <c r="AB1448" s="67">
        <f t="shared" si="46"/>
        <v>780.912</v>
      </c>
      <c r="AC1448" s="67">
        <f t="shared" si="11"/>
        <v>635.8</v>
      </c>
      <c r="AD1448" s="67">
        <f t="shared" si="12"/>
        <v>101.728</v>
      </c>
      <c r="AE1448" s="67">
        <f t="shared" si="13"/>
        <v>737.528</v>
      </c>
      <c r="AF1448" s="67">
        <f t="shared" si="33"/>
        <v>620.84</v>
      </c>
      <c r="AG1448" s="67">
        <f t="shared" si="15"/>
        <v>99.3344</v>
      </c>
      <c r="AH1448" s="67">
        <f t="shared" si="16"/>
        <v>720.1744</v>
      </c>
      <c r="AI1448" s="67">
        <f t="shared" si="17"/>
        <v>598.4</v>
      </c>
      <c r="AJ1448" s="68">
        <f t="shared" si="47"/>
        <v>95.744</v>
      </c>
      <c r="AK1448" s="68">
        <f t="shared" si="48"/>
        <v>694.144</v>
      </c>
      <c r="AL1448" s="70"/>
      <c r="AM1448" s="70"/>
      <c r="AN1448" s="71"/>
      <c r="AO1448" s="71"/>
      <c r="AP1448" s="71"/>
      <c r="AQ1448" s="71"/>
      <c r="AR1448" s="71"/>
      <c r="AS1448" s="71"/>
      <c r="AT1448" s="71"/>
      <c r="AU1448" s="71"/>
      <c r="AV1448" s="71"/>
      <c r="AW1448" s="71"/>
      <c r="AX1448" s="71"/>
      <c r="AY1448" s="71"/>
      <c r="AZ1448" s="71"/>
      <c r="BA1448" s="71"/>
      <c r="BB1448" s="71"/>
      <c r="BC1448" s="71"/>
      <c r="BD1448" s="71"/>
      <c r="BE1448" s="71"/>
      <c r="BF1448" s="71"/>
      <c r="BG1448" s="71"/>
      <c r="BH1448" s="71"/>
      <c r="BI1448" s="71"/>
      <c r="BJ1448" s="71"/>
      <c r="BK1448" s="71"/>
      <c r="BL1448" s="71"/>
      <c r="BM1448" s="71"/>
      <c r="BN1448" s="71"/>
      <c r="BO1448" s="71"/>
      <c r="BP1448" s="71"/>
      <c r="BQ1448" s="71"/>
      <c r="BR1448" s="71"/>
      <c r="BS1448" s="71"/>
      <c r="BT1448" s="71"/>
      <c r="BU1448" s="71"/>
      <c r="BV1448" s="71"/>
    </row>
    <row r="1449">
      <c r="A1449" s="53">
        <v>1.0</v>
      </c>
      <c r="B1449" s="53"/>
      <c r="C1449" s="73" t="s">
        <v>12</v>
      </c>
      <c r="D1449" s="53" t="s">
        <v>3593</v>
      </c>
      <c r="E1449" s="54" t="s">
        <v>38</v>
      </c>
      <c r="F1449" s="54" t="s">
        <v>42</v>
      </c>
      <c r="G1449" s="55" t="s">
        <v>3594</v>
      </c>
      <c r="H1449" s="54" t="s">
        <v>3595</v>
      </c>
      <c r="I1449" s="54">
        <f t="shared" si="24"/>
        <v>27</v>
      </c>
      <c r="J1449" s="56"/>
      <c r="K1449" s="57"/>
      <c r="L1449" s="87"/>
      <c r="M1449" s="59"/>
      <c r="N1449" s="60">
        <v>1036.0</v>
      </c>
      <c r="O1449" s="61">
        <v>1118.0</v>
      </c>
      <c r="P1449" s="62">
        <v>1207.44</v>
      </c>
      <c r="Q1449" s="63">
        <v>1207.44</v>
      </c>
      <c r="R1449" s="64">
        <v>1371.0</v>
      </c>
      <c r="S1449" s="111">
        <v>1440.0</v>
      </c>
      <c r="T1449" s="65">
        <f t="shared" si="39"/>
        <v>230.4</v>
      </c>
      <c r="U1449" s="65">
        <f t="shared" si="40"/>
        <v>1670.4</v>
      </c>
      <c r="V1449" s="66">
        <f t="shared" si="42"/>
        <v>0.05032822757</v>
      </c>
      <c r="W1449" s="67">
        <f t="shared" si="5"/>
        <v>1368</v>
      </c>
      <c r="X1449" s="67">
        <f t="shared" si="43"/>
        <v>218.88</v>
      </c>
      <c r="Y1449" s="67">
        <f t="shared" si="44"/>
        <v>1586.88</v>
      </c>
      <c r="Z1449" s="67">
        <f t="shared" si="8"/>
        <v>1296</v>
      </c>
      <c r="AA1449" s="67">
        <f t="shared" si="45"/>
        <v>207.36</v>
      </c>
      <c r="AB1449" s="67">
        <f t="shared" si="46"/>
        <v>1503.36</v>
      </c>
      <c r="AC1449" s="67">
        <f t="shared" si="11"/>
        <v>1224</v>
      </c>
      <c r="AD1449" s="67">
        <f t="shared" si="12"/>
        <v>195.84</v>
      </c>
      <c r="AE1449" s="67">
        <f t="shared" si="13"/>
        <v>1419.84</v>
      </c>
      <c r="AF1449" s="67">
        <f t="shared" si="33"/>
        <v>1195.2</v>
      </c>
      <c r="AG1449" s="67">
        <f t="shared" si="15"/>
        <v>191.232</v>
      </c>
      <c r="AH1449" s="67">
        <f t="shared" si="16"/>
        <v>1386.432</v>
      </c>
      <c r="AI1449" s="67">
        <f t="shared" si="17"/>
        <v>1152</v>
      </c>
      <c r="AJ1449" s="68">
        <f t="shared" si="47"/>
        <v>184.32</v>
      </c>
      <c r="AK1449" s="68">
        <f t="shared" si="48"/>
        <v>1336.32</v>
      </c>
      <c r="AL1449" s="70"/>
      <c r="AM1449" s="70"/>
      <c r="AN1449" s="71"/>
      <c r="AO1449" s="71"/>
      <c r="AP1449" s="71"/>
      <c r="AQ1449" s="71"/>
      <c r="AR1449" s="71"/>
      <c r="AS1449" s="71"/>
      <c r="AT1449" s="71"/>
      <c r="AU1449" s="71"/>
      <c r="AV1449" s="71"/>
      <c r="AW1449" s="71"/>
      <c r="AX1449" s="71"/>
      <c r="AY1449" s="71"/>
      <c r="AZ1449" s="71"/>
      <c r="BA1449" s="71"/>
      <c r="BB1449" s="71"/>
      <c r="BC1449" s="71"/>
      <c r="BD1449" s="71"/>
      <c r="BE1449" s="71"/>
      <c r="BF1449" s="71"/>
      <c r="BG1449" s="71"/>
      <c r="BH1449" s="71"/>
      <c r="BI1449" s="71"/>
      <c r="BJ1449" s="71"/>
      <c r="BK1449" s="71"/>
      <c r="BL1449" s="71"/>
      <c r="BM1449" s="71"/>
      <c r="BN1449" s="71"/>
      <c r="BO1449" s="71"/>
      <c r="BP1449" s="71"/>
      <c r="BQ1449" s="71"/>
      <c r="BR1449" s="71"/>
      <c r="BS1449" s="71"/>
      <c r="BT1449" s="71"/>
      <c r="BU1449" s="71"/>
      <c r="BV1449" s="71"/>
    </row>
    <row r="1450">
      <c r="A1450" s="53">
        <v>1.0</v>
      </c>
      <c r="B1450" s="72"/>
      <c r="C1450" s="73" t="s">
        <v>53</v>
      </c>
      <c r="D1450" s="74" t="s">
        <v>3596</v>
      </c>
      <c r="E1450" s="54" t="s">
        <v>38</v>
      </c>
      <c r="F1450" s="54" t="s">
        <v>42</v>
      </c>
      <c r="G1450" s="88" t="s">
        <v>3597</v>
      </c>
      <c r="H1450" s="54" t="s">
        <v>3597</v>
      </c>
      <c r="I1450" s="54">
        <f t="shared" si="24"/>
        <v>13</v>
      </c>
      <c r="J1450" s="56"/>
      <c r="K1450" s="57"/>
      <c r="L1450" s="87"/>
      <c r="M1450" s="59"/>
      <c r="N1450" s="60">
        <v>63.0</v>
      </c>
      <c r="O1450" s="61">
        <v>74.0</v>
      </c>
      <c r="P1450" s="62">
        <v>79.92</v>
      </c>
      <c r="Q1450" s="63">
        <v>79.92</v>
      </c>
      <c r="R1450" s="64">
        <v>92.0</v>
      </c>
      <c r="S1450" s="111">
        <v>97.0</v>
      </c>
      <c r="T1450" s="65">
        <f t="shared" si="39"/>
        <v>15.52</v>
      </c>
      <c r="U1450" s="65">
        <f t="shared" si="40"/>
        <v>112.52</v>
      </c>
      <c r="V1450" s="66">
        <f t="shared" si="42"/>
        <v>0.05434782609</v>
      </c>
      <c r="W1450" s="67">
        <f t="shared" si="5"/>
        <v>92.15</v>
      </c>
      <c r="X1450" s="67">
        <f t="shared" si="43"/>
        <v>14.744</v>
      </c>
      <c r="Y1450" s="67">
        <f t="shared" si="44"/>
        <v>106.894</v>
      </c>
      <c r="Z1450" s="67">
        <f t="shared" si="8"/>
        <v>87.3</v>
      </c>
      <c r="AA1450" s="67">
        <f t="shared" si="45"/>
        <v>13.968</v>
      </c>
      <c r="AB1450" s="67">
        <f t="shared" si="46"/>
        <v>101.268</v>
      </c>
      <c r="AC1450" s="67">
        <f t="shared" si="11"/>
        <v>82.45</v>
      </c>
      <c r="AD1450" s="67">
        <f t="shared" si="12"/>
        <v>13.192</v>
      </c>
      <c r="AE1450" s="67">
        <f t="shared" si="13"/>
        <v>95.642</v>
      </c>
      <c r="AF1450" s="67">
        <f t="shared" si="33"/>
        <v>80.51</v>
      </c>
      <c r="AG1450" s="67">
        <f t="shared" si="15"/>
        <v>12.8816</v>
      </c>
      <c r="AH1450" s="67">
        <f t="shared" si="16"/>
        <v>93.3916</v>
      </c>
      <c r="AI1450" s="67">
        <f t="shared" si="17"/>
        <v>77.6</v>
      </c>
      <c r="AJ1450" s="68">
        <f t="shared" si="47"/>
        <v>12.416</v>
      </c>
      <c r="AK1450" s="68">
        <f t="shared" si="48"/>
        <v>90.016</v>
      </c>
      <c r="AL1450" s="70"/>
      <c r="AM1450" s="70"/>
      <c r="AN1450" s="71"/>
      <c r="AO1450" s="71"/>
      <c r="AP1450" s="71"/>
      <c r="AQ1450" s="71"/>
      <c r="AR1450" s="71"/>
      <c r="AS1450" s="71"/>
      <c r="AT1450" s="71"/>
      <c r="AU1450" s="71"/>
      <c r="AV1450" s="71"/>
      <c r="AW1450" s="71"/>
      <c r="AX1450" s="71"/>
      <c r="AY1450" s="71"/>
      <c r="AZ1450" s="71"/>
      <c r="BA1450" s="71"/>
      <c r="BB1450" s="71"/>
      <c r="BC1450" s="71"/>
      <c r="BD1450" s="71"/>
      <c r="BE1450" s="71"/>
      <c r="BF1450" s="71"/>
      <c r="BG1450" s="71"/>
      <c r="BH1450" s="71"/>
      <c r="BI1450" s="71"/>
      <c r="BJ1450" s="71"/>
      <c r="BK1450" s="71"/>
      <c r="BL1450" s="71"/>
      <c r="BM1450" s="71"/>
      <c r="BN1450" s="71"/>
      <c r="BO1450" s="71"/>
      <c r="BP1450" s="71"/>
      <c r="BQ1450" s="71"/>
      <c r="BR1450" s="71"/>
      <c r="BS1450" s="71"/>
      <c r="BT1450" s="71"/>
      <c r="BU1450" s="71"/>
      <c r="BV1450" s="71"/>
    </row>
    <row r="1451">
      <c r="A1451" s="53">
        <v>1.0</v>
      </c>
      <c r="B1451" s="53"/>
      <c r="C1451" s="73" t="s">
        <v>53</v>
      </c>
      <c r="D1451" s="74" t="s">
        <v>3598</v>
      </c>
      <c r="E1451" s="54" t="s">
        <v>38</v>
      </c>
      <c r="F1451" s="54" t="s">
        <v>42</v>
      </c>
      <c r="G1451" s="54" t="s">
        <v>3599</v>
      </c>
      <c r="H1451" s="54" t="s">
        <v>3600</v>
      </c>
      <c r="I1451" s="54">
        <f t="shared" si="24"/>
        <v>21</v>
      </c>
      <c r="J1451" s="56"/>
      <c r="K1451" s="57"/>
      <c r="L1451" s="87"/>
      <c r="M1451" s="59"/>
      <c r="N1451" s="60">
        <v>188.0</v>
      </c>
      <c r="O1451" s="61">
        <v>250.0</v>
      </c>
      <c r="P1451" s="62">
        <v>270.0</v>
      </c>
      <c r="Q1451" s="63">
        <v>270.0</v>
      </c>
      <c r="R1451" s="64">
        <v>307.0</v>
      </c>
      <c r="S1451" s="111">
        <v>322.0</v>
      </c>
      <c r="T1451" s="65">
        <f t="shared" si="39"/>
        <v>51.52</v>
      </c>
      <c r="U1451" s="65">
        <f t="shared" si="40"/>
        <v>373.52</v>
      </c>
      <c r="V1451" s="66">
        <f t="shared" si="42"/>
        <v>0.04885993485</v>
      </c>
      <c r="W1451" s="67">
        <f t="shared" si="5"/>
        <v>305.9</v>
      </c>
      <c r="X1451" s="67">
        <f t="shared" si="43"/>
        <v>48.944</v>
      </c>
      <c r="Y1451" s="67">
        <f t="shared" si="44"/>
        <v>354.844</v>
      </c>
      <c r="Z1451" s="67">
        <f t="shared" si="8"/>
        <v>289.8</v>
      </c>
      <c r="AA1451" s="67">
        <f t="shared" si="45"/>
        <v>46.368</v>
      </c>
      <c r="AB1451" s="67">
        <f t="shared" si="46"/>
        <v>336.168</v>
      </c>
      <c r="AC1451" s="67">
        <f t="shared" si="11"/>
        <v>273.7</v>
      </c>
      <c r="AD1451" s="67">
        <f t="shared" si="12"/>
        <v>43.792</v>
      </c>
      <c r="AE1451" s="67">
        <f t="shared" si="13"/>
        <v>317.492</v>
      </c>
      <c r="AF1451" s="67">
        <f t="shared" si="33"/>
        <v>267.26</v>
      </c>
      <c r="AG1451" s="67">
        <f t="shared" si="15"/>
        <v>42.7616</v>
      </c>
      <c r="AH1451" s="67">
        <f t="shared" si="16"/>
        <v>310.0216</v>
      </c>
      <c r="AI1451" s="67">
        <f t="shared" si="17"/>
        <v>257.6</v>
      </c>
      <c r="AJ1451" s="68">
        <f t="shared" si="47"/>
        <v>41.216</v>
      </c>
      <c r="AK1451" s="68">
        <f t="shared" si="48"/>
        <v>298.816</v>
      </c>
      <c r="AL1451" s="70"/>
      <c r="AM1451" s="70"/>
      <c r="AN1451" s="71"/>
      <c r="AO1451" s="71"/>
      <c r="AP1451" s="71"/>
      <c r="AQ1451" s="71"/>
      <c r="AR1451" s="71"/>
      <c r="AS1451" s="71"/>
      <c r="AT1451" s="71"/>
      <c r="AU1451" s="71"/>
      <c r="AV1451" s="71"/>
      <c r="AW1451" s="71"/>
      <c r="AX1451" s="71"/>
      <c r="AY1451" s="71"/>
      <c r="AZ1451" s="71"/>
      <c r="BA1451" s="71"/>
      <c r="BB1451" s="71"/>
      <c r="BC1451" s="71"/>
      <c r="BD1451" s="71"/>
      <c r="BE1451" s="71"/>
      <c r="BF1451" s="71"/>
      <c r="BG1451" s="71"/>
      <c r="BH1451" s="71"/>
      <c r="BI1451" s="71"/>
      <c r="BJ1451" s="71"/>
      <c r="BK1451" s="71"/>
      <c r="BL1451" s="71"/>
      <c r="BM1451" s="71"/>
      <c r="BN1451" s="71"/>
      <c r="BO1451" s="71"/>
      <c r="BP1451" s="71"/>
      <c r="BQ1451" s="71"/>
      <c r="BR1451" s="71"/>
      <c r="BS1451" s="71"/>
      <c r="BT1451" s="71"/>
      <c r="BU1451" s="71"/>
      <c r="BV1451" s="71"/>
    </row>
    <row r="1452">
      <c r="A1452" s="53"/>
      <c r="B1452" s="72"/>
      <c r="C1452" s="73" t="s">
        <v>53</v>
      </c>
      <c r="D1452" s="53" t="s">
        <v>3601</v>
      </c>
      <c r="E1452" s="54" t="s">
        <v>38</v>
      </c>
      <c r="F1452" s="54" t="s">
        <v>42</v>
      </c>
      <c r="G1452" s="54" t="s">
        <v>3602</v>
      </c>
      <c r="H1452" s="54" t="s">
        <v>3602</v>
      </c>
      <c r="I1452" s="54">
        <f t="shared" si="24"/>
        <v>35</v>
      </c>
      <c r="J1452" s="56"/>
      <c r="K1452" s="57"/>
      <c r="L1452" s="76"/>
      <c r="M1452" s="59"/>
      <c r="N1452" s="60"/>
      <c r="O1452" s="61">
        <v>1206.0</v>
      </c>
      <c r="P1452" s="62">
        <v>1302.48</v>
      </c>
      <c r="Q1452" s="63">
        <v>1302.48</v>
      </c>
      <c r="R1452" s="64">
        <v>1368.0</v>
      </c>
      <c r="S1452" s="111">
        <v>1436.0</v>
      </c>
      <c r="T1452" s="65">
        <f t="shared" si="39"/>
        <v>229.76</v>
      </c>
      <c r="U1452" s="65">
        <f t="shared" si="40"/>
        <v>1665.76</v>
      </c>
      <c r="V1452" s="66">
        <f t="shared" si="42"/>
        <v>0.04970760234</v>
      </c>
      <c r="W1452" s="67">
        <f t="shared" si="5"/>
        <v>1364.2</v>
      </c>
      <c r="X1452" s="67">
        <f t="shared" si="43"/>
        <v>218.272</v>
      </c>
      <c r="Y1452" s="67">
        <f t="shared" si="44"/>
        <v>1582.472</v>
      </c>
      <c r="Z1452" s="67">
        <f t="shared" si="8"/>
        <v>1292.4</v>
      </c>
      <c r="AA1452" s="67">
        <f t="shared" si="45"/>
        <v>206.784</v>
      </c>
      <c r="AB1452" s="67">
        <f t="shared" si="46"/>
        <v>1499.184</v>
      </c>
      <c r="AC1452" s="67">
        <f t="shared" si="11"/>
        <v>1220.6</v>
      </c>
      <c r="AD1452" s="67">
        <f t="shared" si="12"/>
        <v>195.296</v>
      </c>
      <c r="AE1452" s="67">
        <f t="shared" si="13"/>
        <v>1415.896</v>
      </c>
      <c r="AF1452" s="67">
        <f t="shared" si="33"/>
        <v>1191.88</v>
      </c>
      <c r="AG1452" s="67">
        <f t="shared" si="15"/>
        <v>190.7008</v>
      </c>
      <c r="AH1452" s="67">
        <f t="shared" si="16"/>
        <v>1382.5808</v>
      </c>
      <c r="AI1452" s="67">
        <f t="shared" si="17"/>
        <v>1148.8</v>
      </c>
      <c r="AJ1452" s="68">
        <f t="shared" si="47"/>
        <v>183.808</v>
      </c>
      <c r="AK1452" s="68">
        <f t="shared" si="48"/>
        <v>1332.608</v>
      </c>
      <c r="AL1452" s="70"/>
      <c r="AM1452" s="70"/>
      <c r="AN1452" s="71"/>
      <c r="AO1452" s="71"/>
      <c r="AP1452" s="71"/>
      <c r="AQ1452" s="71"/>
      <c r="AR1452" s="71"/>
      <c r="AS1452" s="71"/>
      <c r="AT1452" s="71"/>
      <c r="AU1452" s="71"/>
      <c r="AV1452" s="71"/>
      <c r="AW1452" s="71"/>
      <c r="AX1452" s="71"/>
      <c r="AY1452" s="71"/>
      <c r="AZ1452" s="71"/>
      <c r="BA1452" s="71"/>
      <c r="BB1452" s="71"/>
      <c r="BC1452" s="71"/>
      <c r="BD1452" s="71"/>
      <c r="BE1452" s="71"/>
      <c r="BF1452" s="71"/>
      <c r="BG1452" s="71"/>
      <c r="BH1452" s="71"/>
      <c r="BI1452" s="71"/>
      <c r="BJ1452" s="71"/>
      <c r="BK1452" s="71"/>
      <c r="BL1452" s="71"/>
      <c r="BM1452" s="71"/>
      <c r="BN1452" s="71"/>
      <c r="BO1452" s="71"/>
      <c r="BP1452" s="71"/>
      <c r="BQ1452" s="71"/>
      <c r="BR1452" s="71"/>
      <c r="BS1452" s="71"/>
      <c r="BT1452" s="71"/>
      <c r="BU1452" s="71"/>
      <c r="BV1452" s="71"/>
    </row>
    <row r="1453">
      <c r="A1453" s="53">
        <v>1.0</v>
      </c>
      <c r="B1453" s="72"/>
      <c r="C1453" s="73" t="s">
        <v>53</v>
      </c>
      <c r="D1453" s="74" t="s">
        <v>3603</v>
      </c>
      <c r="E1453" s="54" t="s">
        <v>38</v>
      </c>
      <c r="F1453" s="54" t="s">
        <v>42</v>
      </c>
      <c r="G1453" s="88" t="s">
        <v>3604</v>
      </c>
      <c r="H1453" s="54" t="s">
        <v>3605</v>
      </c>
      <c r="I1453" s="54">
        <f t="shared" si="24"/>
        <v>9</v>
      </c>
      <c r="J1453" s="56"/>
      <c r="K1453" s="57"/>
      <c r="L1453" s="87"/>
      <c r="M1453" s="59"/>
      <c r="N1453" s="60">
        <v>241.0</v>
      </c>
      <c r="O1453" s="61">
        <v>260.0</v>
      </c>
      <c r="P1453" s="62">
        <v>280.8</v>
      </c>
      <c r="Q1453" s="63">
        <v>280.8</v>
      </c>
      <c r="R1453" s="64">
        <v>313.0</v>
      </c>
      <c r="S1453" s="111">
        <v>329.0</v>
      </c>
      <c r="T1453" s="65">
        <f t="shared" si="39"/>
        <v>52.64</v>
      </c>
      <c r="U1453" s="65">
        <f t="shared" si="40"/>
        <v>381.64</v>
      </c>
      <c r="V1453" s="66">
        <f t="shared" si="42"/>
        <v>0.05111821086</v>
      </c>
      <c r="W1453" s="67">
        <f t="shared" si="5"/>
        <v>312.55</v>
      </c>
      <c r="X1453" s="67">
        <f t="shared" si="43"/>
        <v>50.008</v>
      </c>
      <c r="Y1453" s="67">
        <f t="shared" si="44"/>
        <v>362.558</v>
      </c>
      <c r="Z1453" s="67">
        <f t="shared" si="8"/>
        <v>296.1</v>
      </c>
      <c r="AA1453" s="67">
        <f t="shared" si="45"/>
        <v>47.376</v>
      </c>
      <c r="AB1453" s="67">
        <f t="shared" si="46"/>
        <v>343.476</v>
      </c>
      <c r="AC1453" s="67">
        <f t="shared" si="11"/>
        <v>279.65</v>
      </c>
      <c r="AD1453" s="67">
        <f t="shared" si="12"/>
        <v>44.744</v>
      </c>
      <c r="AE1453" s="67">
        <f t="shared" si="13"/>
        <v>324.394</v>
      </c>
      <c r="AF1453" s="67">
        <f t="shared" si="33"/>
        <v>273.07</v>
      </c>
      <c r="AG1453" s="67">
        <f t="shared" si="15"/>
        <v>43.6912</v>
      </c>
      <c r="AH1453" s="67">
        <f t="shared" si="16"/>
        <v>316.7612</v>
      </c>
      <c r="AI1453" s="67">
        <f t="shared" si="17"/>
        <v>263.2</v>
      </c>
      <c r="AJ1453" s="68">
        <f t="shared" si="47"/>
        <v>42.112</v>
      </c>
      <c r="AK1453" s="68">
        <f t="shared" si="48"/>
        <v>305.312</v>
      </c>
      <c r="AL1453" s="70"/>
      <c r="AM1453" s="70"/>
      <c r="AN1453" s="71"/>
      <c r="AO1453" s="71"/>
      <c r="AP1453" s="71"/>
      <c r="AQ1453" s="71"/>
      <c r="AR1453" s="71"/>
      <c r="AS1453" s="71"/>
      <c r="AT1453" s="71"/>
      <c r="AU1453" s="71"/>
      <c r="AV1453" s="71"/>
      <c r="AW1453" s="71"/>
      <c r="AX1453" s="71"/>
      <c r="AY1453" s="71"/>
      <c r="AZ1453" s="71"/>
      <c r="BA1453" s="71"/>
      <c r="BB1453" s="71"/>
      <c r="BC1453" s="71"/>
      <c r="BD1453" s="71"/>
      <c r="BE1453" s="71"/>
      <c r="BF1453" s="71"/>
      <c r="BG1453" s="71"/>
      <c r="BH1453" s="71"/>
      <c r="BI1453" s="71"/>
      <c r="BJ1453" s="71"/>
      <c r="BK1453" s="71"/>
      <c r="BL1453" s="71"/>
      <c r="BM1453" s="71"/>
      <c r="BN1453" s="71"/>
      <c r="BO1453" s="71"/>
      <c r="BP1453" s="71"/>
      <c r="BQ1453" s="71"/>
      <c r="BR1453" s="71"/>
      <c r="BS1453" s="71"/>
      <c r="BT1453" s="71"/>
      <c r="BU1453" s="71"/>
      <c r="BV1453" s="71"/>
    </row>
    <row r="1454">
      <c r="A1454" s="53"/>
      <c r="B1454" s="72"/>
      <c r="C1454" s="73" t="s">
        <v>53</v>
      </c>
      <c r="D1454" s="74" t="s">
        <v>3606</v>
      </c>
      <c r="E1454" s="54" t="s">
        <v>38</v>
      </c>
      <c r="F1454" s="54" t="s">
        <v>42</v>
      </c>
      <c r="G1454" s="88" t="s">
        <v>3607</v>
      </c>
      <c r="H1454" s="54" t="s">
        <v>3608</v>
      </c>
      <c r="I1454" s="54">
        <f t="shared" si="24"/>
        <v>16</v>
      </c>
      <c r="J1454" s="56"/>
      <c r="K1454" s="57"/>
      <c r="L1454" s="87"/>
      <c r="M1454" s="59"/>
      <c r="N1454" s="60">
        <v>198.0</v>
      </c>
      <c r="O1454" s="61">
        <v>213.0</v>
      </c>
      <c r="P1454" s="62">
        <v>230.04000000000002</v>
      </c>
      <c r="Q1454" s="63">
        <v>230.04000000000002</v>
      </c>
      <c r="R1454" s="64">
        <v>257.0</v>
      </c>
      <c r="S1454" s="111">
        <v>270.0</v>
      </c>
      <c r="T1454" s="65">
        <f t="shared" si="39"/>
        <v>43.2</v>
      </c>
      <c r="U1454" s="65">
        <f t="shared" si="40"/>
        <v>313.2</v>
      </c>
      <c r="V1454" s="66">
        <f t="shared" si="42"/>
        <v>0.05058365759</v>
      </c>
      <c r="W1454" s="67">
        <f t="shared" si="5"/>
        <v>256.5</v>
      </c>
      <c r="X1454" s="67">
        <f t="shared" si="43"/>
        <v>41.04</v>
      </c>
      <c r="Y1454" s="67">
        <f t="shared" si="44"/>
        <v>297.54</v>
      </c>
      <c r="Z1454" s="67">
        <f t="shared" si="8"/>
        <v>243</v>
      </c>
      <c r="AA1454" s="67">
        <f t="shared" si="45"/>
        <v>38.88</v>
      </c>
      <c r="AB1454" s="67">
        <f t="shared" si="46"/>
        <v>281.88</v>
      </c>
      <c r="AC1454" s="67">
        <f t="shared" si="11"/>
        <v>229.5</v>
      </c>
      <c r="AD1454" s="67">
        <f t="shared" si="12"/>
        <v>36.72</v>
      </c>
      <c r="AE1454" s="67">
        <f t="shared" si="13"/>
        <v>266.22</v>
      </c>
      <c r="AF1454" s="67">
        <f t="shared" si="33"/>
        <v>224.1</v>
      </c>
      <c r="AG1454" s="67">
        <f t="shared" si="15"/>
        <v>35.856</v>
      </c>
      <c r="AH1454" s="67">
        <f t="shared" si="16"/>
        <v>259.956</v>
      </c>
      <c r="AI1454" s="67">
        <f t="shared" si="17"/>
        <v>216</v>
      </c>
      <c r="AJ1454" s="68">
        <f t="shared" si="47"/>
        <v>34.56</v>
      </c>
      <c r="AK1454" s="68">
        <f t="shared" si="48"/>
        <v>250.56</v>
      </c>
      <c r="AL1454" s="70"/>
      <c r="AM1454" s="70"/>
      <c r="AN1454" s="71"/>
      <c r="AO1454" s="71"/>
      <c r="AP1454" s="71"/>
      <c r="AQ1454" s="71"/>
      <c r="AR1454" s="71"/>
      <c r="AS1454" s="71"/>
      <c r="AT1454" s="71"/>
      <c r="AU1454" s="71"/>
      <c r="AV1454" s="71"/>
      <c r="AW1454" s="71"/>
      <c r="AX1454" s="71"/>
      <c r="AY1454" s="71"/>
      <c r="AZ1454" s="71"/>
      <c r="BA1454" s="71"/>
      <c r="BB1454" s="71"/>
      <c r="BC1454" s="71"/>
      <c r="BD1454" s="71"/>
      <c r="BE1454" s="71"/>
      <c r="BF1454" s="71"/>
      <c r="BG1454" s="71"/>
      <c r="BH1454" s="71"/>
      <c r="BI1454" s="71"/>
      <c r="BJ1454" s="71"/>
      <c r="BK1454" s="71"/>
      <c r="BL1454" s="71"/>
      <c r="BM1454" s="71"/>
      <c r="BN1454" s="71"/>
      <c r="BO1454" s="71"/>
      <c r="BP1454" s="71"/>
      <c r="BQ1454" s="71"/>
      <c r="BR1454" s="71"/>
      <c r="BS1454" s="71"/>
      <c r="BT1454" s="71"/>
      <c r="BU1454" s="71"/>
      <c r="BV1454" s="71"/>
    </row>
    <row r="1455">
      <c r="A1455" s="53">
        <v>1.0</v>
      </c>
      <c r="B1455" s="72"/>
      <c r="C1455" s="73" t="s">
        <v>53</v>
      </c>
      <c r="D1455" s="74" t="s">
        <v>3609</v>
      </c>
      <c r="E1455" s="54" t="s">
        <v>38</v>
      </c>
      <c r="F1455" s="54" t="s">
        <v>42</v>
      </c>
      <c r="G1455" s="88" t="s">
        <v>3610</v>
      </c>
      <c r="H1455" s="54" t="s">
        <v>3611</v>
      </c>
      <c r="I1455" s="54">
        <f t="shared" si="24"/>
        <v>26</v>
      </c>
      <c r="J1455" s="56"/>
      <c r="K1455" s="57"/>
      <c r="L1455" s="87"/>
      <c r="M1455" s="59"/>
      <c r="N1455" s="60">
        <v>203.0</v>
      </c>
      <c r="O1455" s="61">
        <v>219.0</v>
      </c>
      <c r="P1455" s="62">
        <v>236.52</v>
      </c>
      <c r="Q1455" s="63">
        <v>236.52</v>
      </c>
      <c r="R1455" s="64">
        <v>264.0</v>
      </c>
      <c r="S1455" s="111">
        <v>277.0</v>
      </c>
      <c r="T1455" s="65">
        <f t="shared" si="39"/>
        <v>44.32</v>
      </c>
      <c r="U1455" s="65">
        <f t="shared" si="40"/>
        <v>321.32</v>
      </c>
      <c r="V1455" s="66">
        <f t="shared" si="42"/>
        <v>0.04924242424</v>
      </c>
      <c r="W1455" s="67">
        <f t="shared" si="5"/>
        <v>263.15</v>
      </c>
      <c r="X1455" s="67">
        <f t="shared" si="43"/>
        <v>42.104</v>
      </c>
      <c r="Y1455" s="67">
        <f t="shared" si="44"/>
        <v>305.254</v>
      </c>
      <c r="Z1455" s="67">
        <f t="shared" si="8"/>
        <v>249.3</v>
      </c>
      <c r="AA1455" s="67">
        <f t="shared" si="45"/>
        <v>39.888</v>
      </c>
      <c r="AB1455" s="67">
        <f t="shared" si="46"/>
        <v>289.188</v>
      </c>
      <c r="AC1455" s="67">
        <f t="shared" si="11"/>
        <v>235.45</v>
      </c>
      <c r="AD1455" s="67">
        <f t="shared" si="12"/>
        <v>37.672</v>
      </c>
      <c r="AE1455" s="67">
        <f t="shared" si="13"/>
        <v>273.122</v>
      </c>
      <c r="AF1455" s="67">
        <f t="shared" si="33"/>
        <v>229.91</v>
      </c>
      <c r="AG1455" s="67">
        <f t="shared" si="15"/>
        <v>36.7856</v>
      </c>
      <c r="AH1455" s="67">
        <f t="shared" si="16"/>
        <v>266.6956</v>
      </c>
      <c r="AI1455" s="67">
        <f t="shared" si="17"/>
        <v>221.6</v>
      </c>
      <c r="AJ1455" s="68">
        <f t="shared" si="47"/>
        <v>35.456</v>
      </c>
      <c r="AK1455" s="68">
        <f t="shared" si="48"/>
        <v>257.056</v>
      </c>
      <c r="AL1455" s="70"/>
      <c r="AM1455" s="70"/>
      <c r="AN1455" s="71"/>
      <c r="AO1455" s="71"/>
      <c r="AP1455" s="71"/>
      <c r="AQ1455" s="71"/>
      <c r="AR1455" s="71"/>
      <c r="AS1455" s="71"/>
      <c r="AT1455" s="71"/>
      <c r="AU1455" s="71"/>
      <c r="AV1455" s="71"/>
      <c r="AW1455" s="71"/>
      <c r="AX1455" s="71"/>
      <c r="AY1455" s="71"/>
      <c r="AZ1455" s="71"/>
      <c r="BA1455" s="71"/>
      <c r="BB1455" s="71"/>
      <c r="BC1455" s="71"/>
      <c r="BD1455" s="71"/>
      <c r="BE1455" s="71"/>
      <c r="BF1455" s="71"/>
      <c r="BG1455" s="71"/>
      <c r="BH1455" s="71"/>
      <c r="BI1455" s="71"/>
      <c r="BJ1455" s="71"/>
      <c r="BK1455" s="71"/>
      <c r="BL1455" s="71"/>
      <c r="BM1455" s="71"/>
      <c r="BN1455" s="71"/>
      <c r="BO1455" s="71"/>
      <c r="BP1455" s="71"/>
      <c r="BQ1455" s="71"/>
      <c r="BR1455" s="71"/>
      <c r="BS1455" s="71"/>
      <c r="BT1455" s="71"/>
      <c r="BU1455" s="71"/>
      <c r="BV1455" s="71"/>
    </row>
    <row r="1456">
      <c r="A1456" s="53">
        <v>1.0</v>
      </c>
      <c r="B1456" s="72"/>
      <c r="C1456" s="73" t="s">
        <v>53</v>
      </c>
      <c r="D1456" s="74" t="s">
        <v>3612</v>
      </c>
      <c r="E1456" s="54" t="s">
        <v>38</v>
      </c>
      <c r="F1456" s="54" t="s">
        <v>42</v>
      </c>
      <c r="G1456" s="88" t="s">
        <v>3613</v>
      </c>
      <c r="H1456" s="54" t="s">
        <v>3614</v>
      </c>
      <c r="I1456" s="54">
        <f t="shared" si="24"/>
        <v>32</v>
      </c>
      <c r="J1456" s="56"/>
      <c r="K1456" s="57"/>
      <c r="L1456" s="87"/>
      <c r="M1456" s="59"/>
      <c r="N1456" s="60">
        <v>208.0</v>
      </c>
      <c r="O1456" s="61">
        <v>224.0</v>
      </c>
      <c r="P1456" s="62">
        <v>241.92000000000002</v>
      </c>
      <c r="Q1456" s="63">
        <v>241.92000000000002</v>
      </c>
      <c r="R1456" s="64">
        <v>270.0</v>
      </c>
      <c r="S1456" s="111">
        <v>284.0</v>
      </c>
      <c r="T1456" s="65">
        <f t="shared" si="39"/>
        <v>45.44</v>
      </c>
      <c r="U1456" s="65">
        <f t="shared" si="40"/>
        <v>329.44</v>
      </c>
      <c r="V1456" s="66">
        <f t="shared" si="42"/>
        <v>0.05185185185</v>
      </c>
      <c r="W1456" s="67">
        <f t="shared" si="5"/>
        <v>269.8</v>
      </c>
      <c r="X1456" s="67">
        <f t="shared" si="43"/>
        <v>43.168</v>
      </c>
      <c r="Y1456" s="67">
        <f t="shared" si="44"/>
        <v>312.968</v>
      </c>
      <c r="Z1456" s="67">
        <f t="shared" si="8"/>
        <v>255.6</v>
      </c>
      <c r="AA1456" s="67">
        <f t="shared" si="45"/>
        <v>40.896</v>
      </c>
      <c r="AB1456" s="67">
        <f t="shared" si="46"/>
        <v>296.496</v>
      </c>
      <c r="AC1456" s="67">
        <f t="shared" si="11"/>
        <v>241.4</v>
      </c>
      <c r="AD1456" s="67">
        <f t="shared" si="12"/>
        <v>38.624</v>
      </c>
      <c r="AE1456" s="67">
        <f t="shared" si="13"/>
        <v>280.024</v>
      </c>
      <c r="AF1456" s="67">
        <f t="shared" si="33"/>
        <v>235.72</v>
      </c>
      <c r="AG1456" s="67">
        <f t="shared" si="15"/>
        <v>37.7152</v>
      </c>
      <c r="AH1456" s="67">
        <f t="shared" si="16"/>
        <v>273.4352</v>
      </c>
      <c r="AI1456" s="67">
        <f t="shared" si="17"/>
        <v>227.2</v>
      </c>
      <c r="AJ1456" s="68">
        <f t="shared" si="47"/>
        <v>36.352</v>
      </c>
      <c r="AK1456" s="68">
        <f t="shared" si="48"/>
        <v>263.552</v>
      </c>
      <c r="AL1456" s="70"/>
      <c r="AM1456" s="70"/>
      <c r="AN1456" s="71"/>
      <c r="AO1456" s="71"/>
      <c r="AP1456" s="71"/>
      <c r="AQ1456" s="71"/>
      <c r="AR1456" s="71"/>
      <c r="AS1456" s="71"/>
      <c r="AT1456" s="71"/>
      <c r="AU1456" s="71"/>
      <c r="AV1456" s="71"/>
      <c r="AW1456" s="71"/>
      <c r="AX1456" s="71"/>
      <c r="AY1456" s="71"/>
      <c r="AZ1456" s="71"/>
      <c r="BA1456" s="71"/>
      <c r="BB1456" s="71"/>
      <c r="BC1456" s="71"/>
      <c r="BD1456" s="71"/>
      <c r="BE1456" s="71"/>
      <c r="BF1456" s="71"/>
      <c r="BG1456" s="71"/>
      <c r="BH1456" s="71"/>
      <c r="BI1456" s="71"/>
      <c r="BJ1456" s="71"/>
      <c r="BK1456" s="71"/>
      <c r="BL1456" s="71"/>
      <c r="BM1456" s="71"/>
      <c r="BN1456" s="71"/>
      <c r="BO1456" s="71"/>
      <c r="BP1456" s="71"/>
      <c r="BQ1456" s="71"/>
      <c r="BR1456" s="71"/>
      <c r="BS1456" s="71"/>
      <c r="BT1456" s="71"/>
      <c r="BU1456" s="71"/>
      <c r="BV1456" s="71"/>
    </row>
    <row r="1457">
      <c r="A1457" s="53">
        <v>1.0</v>
      </c>
      <c r="B1457" s="72"/>
      <c r="C1457" s="73" t="s">
        <v>53</v>
      </c>
      <c r="D1457" s="74" t="s">
        <v>3615</v>
      </c>
      <c r="E1457" s="54" t="s">
        <v>38</v>
      </c>
      <c r="F1457" s="54" t="s">
        <v>42</v>
      </c>
      <c r="G1457" s="88" t="s">
        <v>3616</v>
      </c>
      <c r="H1457" s="54" t="s">
        <v>3617</v>
      </c>
      <c r="I1457" s="54">
        <f t="shared" si="24"/>
        <v>26</v>
      </c>
      <c r="J1457" s="56"/>
      <c r="K1457" s="57"/>
      <c r="L1457" s="87"/>
      <c r="M1457" s="59"/>
      <c r="N1457" s="60">
        <v>244.0</v>
      </c>
      <c r="O1457" s="61">
        <v>263.0</v>
      </c>
      <c r="P1457" s="62">
        <v>284.04</v>
      </c>
      <c r="Q1457" s="63">
        <v>284.04</v>
      </c>
      <c r="R1457" s="64">
        <v>318.0</v>
      </c>
      <c r="S1457" s="111">
        <v>334.0</v>
      </c>
      <c r="T1457" s="65">
        <f t="shared" si="39"/>
        <v>53.44</v>
      </c>
      <c r="U1457" s="65">
        <f t="shared" si="40"/>
        <v>387.44</v>
      </c>
      <c r="V1457" s="66">
        <f t="shared" si="42"/>
        <v>0.05031446541</v>
      </c>
      <c r="W1457" s="67">
        <f t="shared" si="5"/>
        <v>317.3</v>
      </c>
      <c r="X1457" s="67">
        <f t="shared" si="43"/>
        <v>50.768</v>
      </c>
      <c r="Y1457" s="67">
        <f t="shared" si="44"/>
        <v>368.068</v>
      </c>
      <c r="Z1457" s="67">
        <f t="shared" si="8"/>
        <v>300.6</v>
      </c>
      <c r="AA1457" s="67">
        <f t="shared" si="45"/>
        <v>48.096</v>
      </c>
      <c r="AB1457" s="67">
        <f t="shared" si="46"/>
        <v>348.696</v>
      </c>
      <c r="AC1457" s="67">
        <f t="shared" si="11"/>
        <v>283.9</v>
      </c>
      <c r="AD1457" s="67">
        <f t="shared" si="12"/>
        <v>45.424</v>
      </c>
      <c r="AE1457" s="67">
        <f t="shared" si="13"/>
        <v>329.324</v>
      </c>
      <c r="AF1457" s="67">
        <f t="shared" si="33"/>
        <v>277.22</v>
      </c>
      <c r="AG1457" s="67">
        <f t="shared" si="15"/>
        <v>44.3552</v>
      </c>
      <c r="AH1457" s="67">
        <f t="shared" si="16"/>
        <v>321.5752</v>
      </c>
      <c r="AI1457" s="67">
        <f t="shared" si="17"/>
        <v>267.2</v>
      </c>
      <c r="AJ1457" s="68">
        <f t="shared" si="47"/>
        <v>42.752</v>
      </c>
      <c r="AK1457" s="68">
        <f t="shared" si="48"/>
        <v>309.952</v>
      </c>
      <c r="AL1457" s="70"/>
      <c r="AM1457" s="70"/>
      <c r="AN1457" s="71"/>
      <c r="AO1457" s="71"/>
      <c r="AP1457" s="71"/>
      <c r="AQ1457" s="71"/>
      <c r="AR1457" s="71"/>
      <c r="AS1457" s="71"/>
      <c r="AT1457" s="71"/>
      <c r="AU1457" s="71"/>
      <c r="AV1457" s="71"/>
      <c r="AW1457" s="71"/>
      <c r="AX1457" s="71"/>
      <c r="AY1457" s="71"/>
      <c r="AZ1457" s="71"/>
      <c r="BA1457" s="71"/>
      <c r="BB1457" s="71"/>
      <c r="BC1457" s="71"/>
      <c r="BD1457" s="71"/>
      <c r="BE1457" s="71"/>
      <c r="BF1457" s="71"/>
      <c r="BG1457" s="71"/>
      <c r="BH1457" s="71"/>
      <c r="BI1457" s="71"/>
      <c r="BJ1457" s="71"/>
      <c r="BK1457" s="71"/>
      <c r="BL1457" s="71"/>
      <c r="BM1457" s="71"/>
      <c r="BN1457" s="71"/>
      <c r="BO1457" s="71"/>
      <c r="BP1457" s="71"/>
      <c r="BQ1457" s="71"/>
      <c r="BR1457" s="71"/>
      <c r="BS1457" s="71"/>
      <c r="BT1457" s="71"/>
      <c r="BU1457" s="71"/>
      <c r="BV1457" s="71"/>
    </row>
    <row r="1458">
      <c r="A1458" s="53">
        <v>1.0</v>
      </c>
      <c r="B1458" s="72"/>
      <c r="C1458" s="73" t="s">
        <v>53</v>
      </c>
      <c r="D1458" s="74" t="s">
        <v>3618</v>
      </c>
      <c r="E1458" s="54" t="s">
        <v>38</v>
      </c>
      <c r="F1458" s="54" t="s">
        <v>42</v>
      </c>
      <c r="G1458" s="55" t="s">
        <v>3619</v>
      </c>
      <c r="H1458" s="54" t="s">
        <v>3620</v>
      </c>
      <c r="I1458" s="54">
        <f t="shared" si="24"/>
        <v>35</v>
      </c>
      <c r="J1458" s="56"/>
      <c r="K1458" s="57"/>
      <c r="L1458" s="87"/>
      <c r="M1458" s="59"/>
      <c r="N1458" s="60">
        <v>244.0</v>
      </c>
      <c r="O1458" s="61">
        <v>263.0</v>
      </c>
      <c r="P1458" s="62">
        <v>284.04</v>
      </c>
      <c r="Q1458" s="63">
        <v>284.04</v>
      </c>
      <c r="R1458" s="64">
        <v>318.0</v>
      </c>
      <c r="S1458" s="111">
        <v>334.0</v>
      </c>
      <c r="T1458" s="65">
        <f t="shared" si="39"/>
        <v>53.44</v>
      </c>
      <c r="U1458" s="65">
        <f t="shared" si="40"/>
        <v>387.44</v>
      </c>
      <c r="V1458" s="66">
        <f t="shared" si="42"/>
        <v>0.05031446541</v>
      </c>
      <c r="W1458" s="67">
        <f t="shared" si="5"/>
        <v>317.3</v>
      </c>
      <c r="X1458" s="67">
        <f t="shared" si="43"/>
        <v>50.768</v>
      </c>
      <c r="Y1458" s="67">
        <f t="shared" si="44"/>
        <v>368.068</v>
      </c>
      <c r="Z1458" s="67">
        <f t="shared" si="8"/>
        <v>300.6</v>
      </c>
      <c r="AA1458" s="67">
        <f t="shared" si="45"/>
        <v>48.096</v>
      </c>
      <c r="AB1458" s="67">
        <f t="shared" si="46"/>
        <v>348.696</v>
      </c>
      <c r="AC1458" s="67">
        <f t="shared" si="11"/>
        <v>283.9</v>
      </c>
      <c r="AD1458" s="67">
        <f t="shared" si="12"/>
        <v>45.424</v>
      </c>
      <c r="AE1458" s="67">
        <f t="shared" si="13"/>
        <v>329.324</v>
      </c>
      <c r="AF1458" s="67">
        <f t="shared" si="33"/>
        <v>277.22</v>
      </c>
      <c r="AG1458" s="67">
        <f t="shared" si="15"/>
        <v>44.3552</v>
      </c>
      <c r="AH1458" s="67">
        <f t="shared" si="16"/>
        <v>321.5752</v>
      </c>
      <c r="AI1458" s="67">
        <f t="shared" si="17"/>
        <v>267.2</v>
      </c>
      <c r="AJ1458" s="68">
        <f t="shared" si="47"/>
        <v>42.752</v>
      </c>
      <c r="AK1458" s="68">
        <f t="shared" si="48"/>
        <v>309.952</v>
      </c>
      <c r="AL1458" s="70"/>
      <c r="AM1458" s="70"/>
      <c r="AN1458" s="71"/>
      <c r="AO1458" s="71"/>
      <c r="AP1458" s="71"/>
      <c r="AQ1458" s="71"/>
      <c r="AR1458" s="71"/>
      <c r="AS1458" s="71"/>
      <c r="AT1458" s="71"/>
      <c r="AU1458" s="71"/>
      <c r="AV1458" s="71"/>
      <c r="AW1458" s="71"/>
      <c r="AX1458" s="71"/>
      <c r="AY1458" s="71"/>
      <c r="AZ1458" s="71"/>
      <c r="BA1458" s="71"/>
      <c r="BB1458" s="71"/>
      <c r="BC1458" s="71"/>
      <c r="BD1458" s="71"/>
      <c r="BE1458" s="71"/>
      <c r="BF1458" s="71"/>
      <c r="BG1458" s="71"/>
      <c r="BH1458" s="71"/>
      <c r="BI1458" s="71"/>
      <c r="BJ1458" s="71"/>
      <c r="BK1458" s="71"/>
      <c r="BL1458" s="71"/>
      <c r="BM1458" s="71"/>
      <c r="BN1458" s="71"/>
      <c r="BO1458" s="71"/>
      <c r="BP1458" s="71"/>
      <c r="BQ1458" s="71"/>
      <c r="BR1458" s="71"/>
      <c r="BS1458" s="71"/>
      <c r="BT1458" s="71"/>
      <c r="BU1458" s="71"/>
      <c r="BV1458" s="71"/>
    </row>
    <row r="1459">
      <c r="A1459" s="53"/>
      <c r="B1459" s="53"/>
      <c r="C1459" s="73" t="s">
        <v>53</v>
      </c>
      <c r="D1459" s="53" t="s">
        <v>3621</v>
      </c>
      <c r="E1459" s="54" t="s">
        <v>38</v>
      </c>
      <c r="F1459" s="54" t="s">
        <v>42</v>
      </c>
      <c r="G1459" s="55" t="s">
        <v>3622</v>
      </c>
      <c r="H1459" s="55" t="s">
        <v>3623</v>
      </c>
      <c r="I1459" s="54">
        <f t="shared" si="24"/>
        <v>39</v>
      </c>
      <c r="J1459" s="56"/>
      <c r="K1459" s="57"/>
      <c r="L1459" s="76"/>
      <c r="M1459" s="59"/>
      <c r="N1459" s="60"/>
      <c r="O1459" s="61">
        <v>3776.0</v>
      </c>
      <c r="P1459" s="62">
        <v>4078.0800000000004</v>
      </c>
      <c r="Q1459" s="63">
        <v>4078.0800000000004</v>
      </c>
      <c r="R1459" s="64">
        <v>4282.0</v>
      </c>
      <c r="S1459" s="111">
        <v>4496.0</v>
      </c>
      <c r="T1459" s="65">
        <f t="shared" si="39"/>
        <v>719.36</v>
      </c>
      <c r="U1459" s="65">
        <f t="shared" si="40"/>
        <v>5215.36</v>
      </c>
      <c r="V1459" s="66">
        <f t="shared" si="42"/>
        <v>0.04997664643</v>
      </c>
      <c r="W1459" s="67">
        <f t="shared" si="5"/>
        <v>4271.2</v>
      </c>
      <c r="X1459" s="67">
        <f t="shared" si="43"/>
        <v>683.392</v>
      </c>
      <c r="Y1459" s="67">
        <f t="shared" si="44"/>
        <v>4954.592</v>
      </c>
      <c r="Z1459" s="67">
        <f t="shared" si="8"/>
        <v>4046.4</v>
      </c>
      <c r="AA1459" s="67">
        <f t="shared" si="45"/>
        <v>647.424</v>
      </c>
      <c r="AB1459" s="67">
        <f t="shared" si="46"/>
        <v>4693.824</v>
      </c>
      <c r="AC1459" s="67">
        <f t="shared" si="11"/>
        <v>3821.6</v>
      </c>
      <c r="AD1459" s="67">
        <f t="shared" si="12"/>
        <v>611.456</v>
      </c>
      <c r="AE1459" s="67">
        <f t="shared" si="13"/>
        <v>4433.056</v>
      </c>
      <c r="AF1459" s="67">
        <f t="shared" si="33"/>
        <v>3731.68</v>
      </c>
      <c r="AG1459" s="67">
        <f t="shared" si="15"/>
        <v>597.0688</v>
      </c>
      <c r="AH1459" s="67">
        <f t="shared" si="16"/>
        <v>4328.7488</v>
      </c>
      <c r="AI1459" s="67">
        <f t="shared" si="17"/>
        <v>3596.8</v>
      </c>
      <c r="AJ1459" s="68">
        <f t="shared" si="47"/>
        <v>575.488</v>
      </c>
      <c r="AK1459" s="68">
        <f t="shared" si="48"/>
        <v>4172.288</v>
      </c>
      <c r="AL1459" s="70"/>
      <c r="AM1459" s="70"/>
      <c r="AN1459" s="71"/>
      <c r="AO1459" s="71"/>
      <c r="AP1459" s="71"/>
      <c r="AQ1459" s="71"/>
      <c r="AR1459" s="71"/>
      <c r="AS1459" s="71"/>
      <c r="AT1459" s="71"/>
      <c r="AU1459" s="71"/>
      <c r="AV1459" s="71"/>
      <c r="AW1459" s="71"/>
      <c r="AX1459" s="71"/>
      <c r="AY1459" s="71"/>
      <c r="AZ1459" s="71"/>
      <c r="BA1459" s="71"/>
      <c r="BB1459" s="71"/>
      <c r="BC1459" s="71"/>
      <c r="BD1459" s="71"/>
      <c r="BE1459" s="71"/>
      <c r="BF1459" s="71"/>
      <c r="BG1459" s="71"/>
      <c r="BH1459" s="71"/>
      <c r="BI1459" s="71"/>
      <c r="BJ1459" s="71"/>
      <c r="BK1459" s="71"/>
      <c r="BL1459" s="71"/>
      <c r="BM1459" s="71"/>
      <c r="BN1459" s="71"/>
      <c r="BO1459" s="71"/>
      <c r="BP1459" s="71"/>
      <c r="BQ1459" s="71"/>
      <c r="BR1459" s="71"/>
      <c r="BS1459" s="71"/>
      <c r="BT1459" s="71"/>
      <c r="BU1459" s="71"/>
      <c r="BV1459" s="71"/>
    </row>
    <row r="1460">
      <c r="A1460" s="53"/>
      <c r="B1460" s="53"/>
      <c r="C1460" s="73" t="s">
        <v>53</v>
      </c>
      <c r="D1460" s="53" t="s">
        <v>3624</v>
      </c>
      <c r="E1460" s="54" t="s">
        <v>38</v>
      </c>
      <c r="F1460" s="54" t="s">
        <v>42</v>
      </c>
      <c r="G1460" s="55" t="s">
        <v>3625</v>
      </c>
      <c r="H1460" s="54" t="s">
        <v>3625</v>
      </c>
      <c r="I1460" s="54">
        <f t="shared" si="24"/>
        <v>39</v>
      </c>
      <c r="J1460" s="56"/>
      <c r="K1460" s="57"/>
      <c r="L1460" s="76"/>
      <c r="M1460" s="59"/>
      <c r="N1460" s="60">
        <v>178.101</v>
      </c>
      <c r="O1460" s="61">
        <v>192.0</v>
      </c>
      <c r="P1460" s="62">
        <v>207.36</v>
      </c>
      <c r="Q1460" s="63">
        <v>207.36</v>
      </c>
      <c r="R1460" s="64">
        <v>218.0</v>
      </c>
      <c r="S1460" s="111">
        <v>229.0</v>
      </c>
      <c r="T1460" s="65">
        <f t="shared" si="39"/>
        <v>36.64</v>
      </c>
      <c r="U1460" s="65">
        <f t="shared" si="40"/>
        <v>265.64</v>
      </c>
      <c r="V1460" s="66">
        <f t="shared" si="42"/>
        <v>0.0504587156</v>
      </c>
      <c r="W1460" s="67">
        <f t="shared" si="5"/>
        <v>217.55</v>
      </c>
      <c r="X1460" s="67">
        <f t="shared" si="43"/>
        <v>34.808</v>
      </c>
      <c r="Y1460" s="67">
        <f t="shared" si="44"/>
        <v>252.358</v>
      </c>
      <c r="Z1460" s="67">
        <f t="shared" si="8"/>
        <v>206.1</v>
      </c>
      <c r="AA1460" s="67">
        <f t="shared" si="45"/>
        <v>32.976</v>
      </c>
      <c r="AB1460" s="67">
        <f t="shared" si="46"/>
        <v>239.076</v>
      </c>
      <c r="AC1460" s="67">
        <f t="shared" si="11"/>
        <v>194.65</v>
      </c>
      <c r="AD1460" s="67">
        <f t="shared" si="12"/>
        <v>31.144</v>
      </c>
      <c r="AE1460" s="67">
        <f t="shared" si="13"/>
        <v>225.794</v>
      </c>
      <c r="AF1460" s="67">
        <f t="shared" si="33"/>
        <v>190.07</v>
      </c>
      <c r="AG1460" s="67">
        <f t="shared" si="15"/>
        <v>30.4112</v>
      </c>
      <c r="AH1460" s="67">
        <f t="shared" si="16"/>
        <v>220.4812</v>
      </c>
      <c r="AI1460" s="67">
        <f t="shared" si="17"/>
        <v>183.2</v>
      </c>
      <c r="AJ1460" s="68">
        <f t="shared" si="47"/>
        <v>29.312</v>
      </c>
      <c r="AK1460" s="68">
        <f t="shared" si="48"/>
        <v>212.512</v>
      </c>
      <c r="AL1460" s="70"/>
      <c r="AM1460" s="70"/>
      <c r="AN1460" s="71"/>
      <c r="AO1460" s="71"/>
      <c r="AP1460" s="71"/>
      <c r="AQ1460" s="71"/>
      <c r="AR1460" s="71"/>
      <c r="AS1460" s="71"/>
      <c r="AT1460" s="71"/>
      <c r="AU1460" s="71"/>
      <c r="AV1460" s="71"/>
      <c r="AW1460" s="71"/>
      <c r="AX1460" s="71"/>
      <c r="AY1460" s="71"/>
      <c r="AZ1460" s="71"/>
      <c r="BA1460" s="71"/>
      <c r="BB1460" s="71"/>
      <c r="BC1460" s="71"/>
      <c r="BD1460" s="71"/>
      <c r="BE1460" s="71"/>
      <c r="BF1460" s="71"/>
      <c r="BG1460" s="71"/>
      <c r="BH1460" s="71"/>
      <c r="BI1460" s="71"/>
      <c r="BJ1460" s="71"/>
      <c r="BK1460" s="71"/>
      <c r="BL1460" s="71"/>
      <c r="BM1460" s="71"/>
      <c r="BN1460" s="71"/>
      <c r="BO1460" s="71"/>
      <c r="BP1460" s="71"/>
      <c r="BQ1460" s="71"/>
      <c r="BR1460" s="71"/>
      <c r="BS1460" s="71"/>
      <c r="BT1460" s="71"/>
      <c r="BU1460" s="71"/>
      <c r="BV1460" s="71"/>
    </row>
    <row r="1461">
      <c r="A1461" s="53">
        <v>1.0</v>
      </c>
      <c r="B1461" s="72"/>
      <c r="C1461" s="73" t="s">
        <v>12</v>
      </c>
      <c r="D1461" s="74" t="s">
        <v>3626</v>
      </c>
      <c r="E1461" s="54" t="s">
        <v>38</v>
      </c>
      <c r="F1461" s="54" t="s">
        <v>42</v>
      </c>
      <c r="G1461" s="88" t="s">
        <v>3627</v>
      </c>
      <c r="H1461" s="54" t="s">
        <v>3627</v>
      </c>
      <c r="I1461" s="54">
        <f t="shared" si="24"/>
        <v>21</v>
      </c>
      <c r="J1461" s="56"/>
      <c r="K1461" s="57"/>
      <c r="L1461" s="87"/>
      <c r="M1461" s="59"/>
      <c r="N1461" s="60">
        <v>11.0</v>
      </c>
      <c r="O1461" s="61">
        <v>6.0</v>
      </c>
      <c r="P1461" s="62">
        <v>6.48</v>
      </c>
      <c r="Q1461" s="63">
        <v>6.48</v>
      </c>
      <c r="R1461" s="64">
        <v>8.0</v>
      </c>
      <c r="S1461" s="111">
        <v>8.4</v>
      </c>
      <c r="T1461" s="65">
        <f t="shared" si="39"/>
        <v>1.344</v>
      </c>
      <c r="U1461" s="65">
        <f t="shared" si="40"/>
        <v>9.744</v>
      </c>
      <c r="V1461" s="66">
        <f t="shared" si="42"/>
        <v>0.05</v>
      </c>
      <c r="W1461" s="67">
        <f t="shared" si="5"/>
        <v>7.98</v>
      </c>
      <c r="X1461" s="67">
        <f t="shared" si="43"/>
        <v>1.2768</v>
      </c>
      <c r="Y1461" s="67">
        <f t="shared" si="44"/>
        <v>9.2568</v>
      </c>
      <c r="Z1461" s="67">
        <f t="shared" si="8"/>
        <v>7.56</v>
      </c>
      <c r="AA1461" s="67">
        <f t="shared" si="45"/>
        <v>1.2096</v>
      </c>
      <c r="AB1461" s="67">
        <f t="shared" si="46"/>
        <v>8.7696</v>
      </c>
      <c r="AC1461" s="67">
        <f t="shared" si="11"/>
        <v>7.14</v>
      </c>
      <c r="AD1461" s="67">
        <f t="shared" si="12"/>
        <v>1.1424</v>
      </c>
      <c r="AE1461" s="67">
        <f t="shared" si="13"/>
        <v>8.2824</v>
      </c>
      <c r="AF1461" s="67">
        <f t="shared" si="33"/>
        <v>6.972</v>
      </c>
      <c r="AG1461" s="67">
        <f t="shared" si="15"/>
        <v>1.11552</v>
      </c>
      <c r="AH1461" s="67">
        <f t="shared" si="16"/>
        <v>8.08752</v>
      </c>
      <c r="AI1461" s="67">
        <f t="shared" si="17"/>
        <v>6.72</v>
      </c>
      <c r="AJ1461" s="68">
        <f t="shared" si="47"/>
        <v>1.0752</v>
      </c>
      <c r="AK1461" s="68">
        <f t="shared" si="48"/>
        <v>7.7952</v>
      </c>
      <c r="AL1461" s="70"/>
      <c r="AM1461" s="70"/>
      <c r="AN1461" s="71"/>
      <c r="AO1461" s="71"/>
      <c r="AP1461" s="71"/>
      <c r="AQ1461" s="71"/>
      <c r="AR1461" s="71"/>
      <c r="AS1461" s="71"/>
      <c r="AT1461" s="71"/>
      <c r="AU1461" s="71"/>
      <c r="AV1461" s="71"/>
      <c r="AW1461" s="71"/>
      <c r="AX1461" s="71"/>
      <c r="AY1461" s="71"/>
      <c r="AZ1461" s="71"/>
      <c r="BA1461" s="71"/>
      <c r="BB1461" s="71"/>
      <c r="BC1461" s="71"/>
      <c r="BD1461" s="71"/>
      <c r="BE1461" s="71"/>
      <c r="BF1461" s="71"/>
      <c r="BG1461" s="71"/>
      <c r="BH1461" s="71"/>
      <c r="BI1461" s="71"/>
      <c r="BJ1461" s="71"/>
      <c r="BK1461" s="71"/>
      <c r="BL1461" s="71"/>
      <c r="BM1461" s="71"/>
      <c r="BN1461" s="71"/>
      <c r="BO1461" s="71"/>
      <c r="BP1461" s="71"/>
      <c r="BQ1461" s="71"/>
      <c r="BR1461" s="71"/>
      <c r="BS1461" s="71"/>
      <c r="BT1461" s="71"/>
      <c r="BU1461" s="71"/>
      <c r="BV1461" s="71"/>
    </row>
    <row r="1462">
      <c r="A1462" s="53">
        <v>1.0</v>
      </c>
      <c r="B1462" s="72"/>
      <c r="C1462" s="73" t="s">
        <v>12</v>
      </c>
      <c r="D1462" s="74" t="s">
        <v>3628</v>
      </c>
      <c r="E1462" s="54" t="s">
        <v>38</v>
      </c>
      <c r="F1462" s="54" t="s">
        <v>42</v>
      </c>
      <c r="G1462" s="88" t="s">
        <v>3629</v>
      </c>
      <c r="H1462" s="54" t="s">
        <v>3629</v>
      </c>
      <c r="I1462" s="54">
        <f t="shared" si="24"/>
        <v>21</v>
      </c>
      <c r="J1462" s="56"/>
      <c r="K1462" s="57"/>
      <c r="L1462" s="87"/>
      <c r="M1462" s="59"/>
      <c r="N1462" s="60">
        <v>29.0</v>
      </c>
      <c r="O1462" s="61">
        <v>31.0</v>
      </c>
      <c r="P1462" s="62">
        <v>33.480000000000004</v>
      </c>
      <c r="Q1462" s="63">
        <v>33.480000000000004</v>
      </c>
      <c r="R1462" s="64">
        <v>38.0</v>
      </c>
      <c r="S1462" s="111">
        <v>40.0</v>
      </c>
      <c r="T1462" s="65">
        <f t="shared" si="39"/>
        <v>6.4</v>
      </c>
      <c r="U1462" s="65">
        <f t="shared" si="40"/>
        <v>46.4</v>
      </c>
      <c r="V1462" s="66">
        <f t="shared" si="42"/>
        <v>0.05263157895</v>
      </c>
      <c r="W1462" s="67">
        <f t="shared" si="5"/>
        <v>38</v>
      </c>
      <c r="X1462" s="67">
        <f t="shared" si="43"/>
        <v>6.08</v>
      </c>
      <c r="Y1462" s="67">
        <f t="shared" si="44"/>
        <v>44.08</v>
      </c>
      <c r="Z1462" s="67">
        <f t="shared" si="8"/>
        <v>36</v>
      </c>
      <c r="AA1462" s="67">
        <f t="shared" si="45"/>
        <v>5.76</v>
      </c>
      <c r="AB1462" s="67">
        <f t="shared" si="46"/>
        <v>41.76</v>
      </c>
      <c r="AC1462" s="67">
        <f t="shared" si="11"/>
        <v>34</v>
      </c>
      <c r="AD1462" s="67">
        <f t="shared" si="12"/>
        <v>5.44</v>
      </c>
      <c r="AE1462" s="67">
        <f t="shared" si="13"/>
        <v>39.44</v>
      </c>
      <c r="AF1462" s="67">
        <f t="shared" si="33"/>
        <v>33.2</v>
      </c>
      <c r="AG1462" s="67">
        <f t="shared" si="15"/>
        <v>5.312</v>
      </c>
      <c r="AH1462" s="67">
        <f t="shared" si="16"/>
        <v>38.512</v>
      </c>
      <c r="AI1462" s="67">
        <f t="shared" si="17"/>
        <v>32</v>
      </c>
      <c r="AJ1462" s="68">
        <f t="shared" si="47"/>
        <v>5.12</v>
      </c>
      <c r="AK1462" s="68">
        <f t="shared" si="48"/>
        <v>37.12</v>
      </c>
      <c r="AL1462" s="70"/>
      <c r="AM1462" s="70"/>
      <c r="AN1462" s="71"/>
      <c r="AO1462" s="71"/>
      <c r="AP1462" s="71"/>
      <c r="AQ1462" s="71"/>
      <c r="AR1462" s="71"/>
      <c r="AS1462" s="71"/>
      <c r="AT1462" s="71"/>
      <c r="AU1462" s="71"/>
      <c r="AV1462" s="71"/>
      <c r="AW1462" s="71"/>
      <c r="AX1462" s="71"/>
      <c r="AY1462" s="71"/>
      <c r="AZ1462" s="71"/>
      <c r="BA1462" s="71"/>
      <c r="BB1462" s="71"/>
      <c r="BC1462" s="71"/>
      <c r="BD1462" s="71"/>
      <c r="BE1462" s="71"/>
      <c r="BF1462" s="71"/>
      <c r="BG1462" s="71"/>
      <c r="BH1462" s="71"/>
      <c r="BI1462" s="71"/>
      <c r="BJ1462" s="71"/>
      <c r="BK1462" s="71"/>
      <c r="BL1462" s="71"/>
      <c r="BM1462" s="71"/>
      <c r="BN1462" s="71"/>
      <c r="BO1462" s="71"/>
      <c r="BP1462" s="71"/>
      <c r="BQ1462" s="71"/>
      <c r="BR1462" s="71"/>
      <c r="BS1462" s="71"/>
      <c r="BT1462" s="71"/>
      <c r="BU1462" s="71"/>
      <c r="BV1462" s="71"/>
    </row>
    <row r="1463">
      <c r="A1463" s="53">
        <v>1.0</v>
      </c>
      <c r="B1463" s="72"/>
      <c r="C1463" s="73" t="s">
        <v>12</v>
      </c>
      <c r="D1463" s="74" t="s">
        <v>3630</v>
      </c>
      <c r="E1463" s="54" t="s">
        <v>38</v>
      </c>
      <c r="F1463" s="54" t="s">
        <v>42</v>
      </c>
      <c r="G1463" s="88" t="s">
        <v>3631</v>
      </c>
      <c r="H1463" s="54" t="s">
        <v>3631</v>
      </c>
      <c r="I1463" s="54">
        <f t="shared" si="24"/>
        <v>22</v>
      </c>
      <c r="J1463" s="56"/>
      <c r="K1463" s="57"/>
      <c r="L1463" s="87"/>
      <c r="M1463" s="59"/>
      <c r="N1463" s="60">
        <v>15.0</v>
      </c>
      <c r="O1463" s="61">
        <v>16.0</v>
      </c>
      <c r="P1463" s="62">
        <v>17.28</v>
      </c>
      <c r="Q1463" s="63">
        <v>17.28</v>
      </c>
      <c r="R1463" s="64">
        <v>20.0</v>
      </c>
      <c r="S1463" s="111">
        <v>21.0</v>
      </c>
      <c r="T1463" s="65">
        <f t="shared" si="39"/>
        <v>3.36</v>
      </c>
      <c r="U1463" s="65">
        <f t="shared" si="40"/>
        <v>24.36</v>
      </c>
      <c r="V1463" s="66">
        <f t="shared" si="42"/>
        <v>0.05</v>
      </c>
      <c r="W1463" s="67">
        <f t="shared" si="5"/>
        <v>19.95</v>
      </c>
      <c r="X1463" s="67">
        <f t="shared" si="43"/>
        <v>3.192</v>
      </c>
      <c r="Y1463" s="67">
        <f t="shared" si="44"/>
        <v>23.142</v>
      </c>
      <c r="Z1463" s="67">
        <f t="shared" si="8"/>
        <v>18.9</v>
      </c>
      <c r="AA1463" s="67">
        <f t="shared" si="45"/>
        <v>3.024</v>
      </c>
      <c r="AB1463" s="67">
        <f t="shared" si="46"/>
        <v>21.924</v>
      </c>
      <c r="AC1463" s="67">
        <f t="shared" si="11"/>
        <v>17.85</v>
      </c>
      <c r="AD1463" s="67">
        <f t="shared" si="12"/>
        <v>2.856</v>
      </c>
      <c r="AE1463" s="67">
        <f t="shared" si="13"/>
        <v>20.706</v>
      </c>
      <c r="AF1463" s="67">
        <f t="shared" si="33"/>
        <v>17.43</v>
      </c>
      <c r="AG1463" s="67">
        <f t="shared" si="15"/>
        <v>2.7888</v>
      </c>
      <c r="AH1463" s="67">
        <f t="shared" si="16"/>
        <v>20.2188</v>
      </c>
      <c r="AI1463" s="67">
        <f t="shared" si="17"/>
        <v>16.8</v>
      </c>
      <c r="AJ1463" s="68">
        <f t="shared" si="47"/>
        <v>2.688</v>
      </c>
      <c r="AK1463" s="68">
        <f t="shared" si="48"/>
        <v>19.488</v>
      </c>
      <c r="AL1463" s="70"/>
      <c r="AM1463" s="70"/>
      <c r="AN1463" s="71"/>
      <c r="AO1463" s="71"/>
      <c r="AP1463" s="71"/>
      <c r="AQ1463" s="71"/>
      <c r="AR1463" s="71"/>
      <c r="AS1463" s="71"/>
      <c r="AT1463" s="71"/>
      <c r="AU1463" s="71"/>
      <c r="AV1463" s="71"/>
      <c r="AW1463" s="71"/>
      <c r="AX1463" s="71"/>
      <c r="AY1463" s="71"/>
      <c r="AZ1463" s="71"/>
      <c r="BA1463" s="71"/>
      <c r="BB1463" s="71"/>
      <c r="BC1463" s="71"/>
      <c r="BD1463" s="71"/>
      <c r="BE1463" s="71"/>
      <c r="BF1463" s="71"/>
      <c r="BG1463" s="71"/>
      <c r="BH1463" s="71"/>
      <c r="BI1463" s="71"/>
      <c r="BJ1463" s="71"/>
      <c r="BK1463" s="71"/>
      <c r="BL1463" s="71"/>
      <c r="BM1463" s="71"/>
      <c r="BN1463" s="71"/>
      <c r="BO1463" s="71"/>
      <c r="BP1463" s="71"/>
      <c r="BQ1463" s="71"/>
      <c r="BR1463" s="71"/>
      <c r="BS1463" s="71"/>
      <c r="BT1463" s="71"/>
      <c r="BU1463" s="71"/>
      <c r="BV1463" s="71"/>
    </row>
    <row r="1464">
      <c r="A1464" s="53">
        <v>1.0</v>
      </c>
      <c r="B1464" s="72"/>
      <c r="C1464" s="73" t="s">
        <v>12</v>
      </c>
      <c r="D1464" s="74" t="s">
        <v>3632</v>
      </c>
      <c r="E1464" s="54" t="s">
        <v>38</v>
      </c>
      <c r="F1464" s="54" t="s">
        <v>42</v>
      </c>
      <c r="G1464" s="88" t="s">
        <v>3633</v>
      </c>
      <c r="H1464" s="54" t="s">
        <v>3633</v>
      </c>
      <c r="I1464" s="54">
        <f t="shared" si="24"/>
        <v>22</v>
      </c>
      <c r="J1464" s="56"/>
      <c r="K1464" s="57"/>
      <c r="L1464" s="87"/>
      <c r="M1464" s="59"/>
      <c r="N1464" s="60">
        <v>25.0</v>
      </c>
      <c r="O1464" s="61">
        <v>27.0</v>
      </c>
      <c r="P1464" s="62">
        <v>29.160000000000004</v>
      </c>
      <c r="Q1464" s="63">
        <v>29.160000000000004</v>
      </c>
      <c r="R1464" s="64">
        <v>33.0</v>
      </c>
      <c r="S1464" s="111">
        <v>35.0</v>
      </c>
      <c r="T1464" s="65">
        <f t="shared" si="39"/>
        <v>5.6</v>
      </c>
      <c r="U1464" s="65">
        <f t="shared" si="40"/>
        <v>40.6</v>
      </c>
      <c r="V1464" s="66">
        <f t="shared" si="42"/>
        <v>0.06060606061</v>
      </c>
      <c r="W1464" s="67">
        <f t="shared" si="5"/>
        <v>33.25</v>
      </c>
      <c r="X1464" s="67">
        <f t="shared" si="43"/>
        <v>5.32</v>
      </c>
      <c r="Y1464" s="67">
        <f t="shared" si="44"/>
        <v>38.57</v>
      </c>
      <c r="Z1464" s="67">
        <f t="shared" si="8"/>
        <v>31.5</v>
      </c>
      <c r="AA1464" s="67">
        <f t="shared" si="45"/>
        <v>5.04</v>
      </c>
      <c r="AB1464" s="67">
        <f t="shared" si="46"/>
        <v>36.54</v>
      </c>
      <c r="AC1464" s="67">
        <f t="shared" si="11"/>
        <v>29.75</v>
      </c>
      <c r="AD1464" s="67">
        <f t="shared" si="12"/>
        <v>4.76</v>
      </c>
      <c r="AE1464" s="67">
        <f t="shared" si="13"/>
        <v>34.51</v>
      </c>
      <c r="AF1464" s="67">
        <f t="shared" si="33"/>
        <v>29.05</v>
      </c>
      <c r="AG1464" s="67">
        <f t="shared" si="15"/>
        <v>4.648</v>
      </c>
      <c r="AH1464" s="67">
        <f t="shared" si="16"/>
        <v>33.698</v>
      </c>
      <c r="AI1464" s="67">
        <f t="shared" si="17"/>
        <v>28</v>
      </c>
      <c r="AJ1464" s="68">
        <f t="shared" si="47"/>
        <v>4.48</v>
      </c>
      <c r="AK1464" s="68">
        <f t="shared" si="48"/>
        <v>32.48</v>
      </c>
      <c r="AL1464" s="70"/>
      <c r="AM1464" s="70"/>
      <c r="AN1464" s="71"/>
      <c r="AO1464" s="71"/>
      <c r="AP1464" s="71"/>
      <c r="AQ1464" s="71"/>
      <c r="AR1464" s="71"/>
      <c r="AS1464" s="71"/>
      <c r="AT1464" s="71"/>
      <c r="AU1464" s="71"/>
      <c r="AV1464" s="71"/>
      <c r="AW1464" s="71"/>
      <c r="AX1464" s="71"/>
      <c r="AY1464" s="71"/>
      <c r="AZ1464" s="71"/>
      <c r="BA1464" s="71"/>
      <c r="BB1464" s="71"/>
      <c r="BC1464" s="71"/>
      <c r="BD1464" s="71"/>
      <c r="BE1464" s="71"/>
      <c r="BF1464" s="71"/>
      <c r="BG1464" s="71"/>
      <c r="BH1464" s="71"/>
      <c r="BI1464" s="71"/>
      <c r="BJ1464" s="71"/>
      <c r="BK1464" s="71"/>
      <c r="BL1464" s="71"/>
      <c r="BM1464" s="71"/>
      <c r="BN1464" s="71"/>
      <c r="BO1464" s="71"/>
      <c r="BP1464" s="71"/>
      <c r="BQ1464" s="71"/>
      <c r="BR1464" s="71"/>
      <c r="BS1464" s="71"/>
      <c r="BT1464" s="71"/>
      <c r="BU1464" s="71"/>
      <c r="BV1464" s="71"/>
    </row>
    <row r="1465">
      <c r="A1465" s="53">
        <v>1.0</v>
      </c>
      <c r="B1465" s="72"/>
      <c r="C1465" s="73" t="s">
        <v>12</v>
      </c>
      <c r="D1465" s="74" t="s">
        <v>3634</v>
      </c>
      <c r="E1465" s="54" t="s">
        <v>38</v>
      </c>
      <c r="F1465" s="54" t="s">
        <v>42</v>
      </c>
      <c r="G1465" s="88" t="s">
        <v>3635</v>
      </c>
      <c r="H1465" s="54" t="s">
        <v>3635</v>
      </c>
      <c r="I1465" s="54">
        <f t="shared" si="24"/>
        <v>22</v>
      </c>
      <c r="J1465" s="56"/>
      <c r="K1465" s="57"/>
      <c r="L1465" s="87"/>
      <c r="M1465" s="59"/>
      <c r="N1465" s="60">
        <v>10.0</v>
      </c>
      <c r="O1465" s="61">
        <v>8.0</v>
      </c>
      <c r="P1465" s="62">
        <v>8.64</v>
      </c>
      <c r="Q1465" s="63">
        <v>8.64</v>
      </c>
      <c r="R1465" s="78">
        <v>10.0</v>
      </c>
      <c r="S1465" s="111">
        <v>10.5</v>
      </c>
      <c r="T1465" s="65">
        <f t="shared" si="39"/>
        <v>1.68</v>
      </c>
      <c r="U1465" s="65">
        <f t="shared" si="40"/>
        <v>12.18</v>
      </c>
      <c r="V1465" s="66">
        <f t="shared" si="42"/>
        <v>0.05</v>
      </c>
      <c r="W1465" s="67">
        <f t="shared" si="5"/>
        <v>9.975</v>
      </c>
      <c r="X1465" s="67">
        <f t="shared" si="43"/>
        <v>1.596</v>
      </c>
      <c r="Y1465" s="67">
        <f t="shared" si="44"/>
        <v>11.571</v>
      </c>
      <c r="Z1465" s="67">
        <f t="shared" si="8"/>
        <v>9.45</v>
      </c>
      <c r="AA1465" s="67">
        <f t="shared" si="45"/>
        <v>1.512</v>
      </c>
      <c r="AB1465" s="67">
        <f t="shared" si="46"/>
        <v>10.962</v>
      </c>
      <c r="AC1465" s="67">
        <f t="shared" si="11"/>
        <v>8.925</v>
      </c>
      <c r="AD1465" s="67">
        <f t="shared" si="12"/>
        <v>1.428</v>
      </c>
      <c r="AE1465" s="67">
        <f t="shared" si="13"/>
        <v>10.353</v>
      </c>
      <c r="AF1465" s="67">
        <f t="shared" si="33"/>
        <v>8.715</v>
      </c>
      <c r="AG1465" s="67">
        <f t="shared" si="15"/>
        <v>1.3944</v>
      </c>
      <c r="AH1465" s="67">
        <f t="shared" si="16"/>
        <v>10.1094</v>
      </c>
      <c r="AI1465" s="67">
        <f t="shared" si="17"/>
        <v>8.4</v>
      </c>
      <c r="AJ1465" s="68">
        <f t="shared" si="47"/>
        <v>1.344</v>
      </c>
      <c r="AK1465" s="68">
        <f t="shared" si="48"/>
        <v>9.744</v>
      </c>
      <c r="AL1465" s="70"/>
      <c r="AM1465" s="70"/>
      <c r="AN1465" s="71"/>
      <c r="AO1465" s="71"/>
      <c r="AP1465" s="71"/>
      <c r="AQ1465" s="71"/>
      <c r="AR1465" s="71"/>
      <c r="AS1465" s="71"/>
      <c r="AT1465" s="71"/>
      <c r="AU1465" s="71"/>
      <c r="AV1465" s="71"/>
      <c r="AW1465" s="71"/>
      <c r="AX1465" s="71"/>
      <c r="AY1465" s="71"/>
      <c r="AZ1465" s="71"/>
      <c r="BA1465" s="71"/>
      <c r="BB1465" s="71"/>
      <c r="BC1465" s="71"/>
      <c r="BD1465" s="71"/>
      <c r="BE1465" s="71"/>
      <c r="BF1465" s="71"/>
      <c r="BG1465" s="71"/>
      <c r="BH1465" s="71"/>
      <c r="BI1465" s="71"/>
      <c r="BJ1465" s="71"/>
      <c r="BK1465" s="71"/>
      <c r="BL1465" s="71"/>
      <c r="BM1465" s="71"/>
      <c r="BN1465" s="71"/>
      <c r="BO1465" s="71"/>
      <c r="BP1465" s="71"/>
      <c r="BQ1465" s="71"/>
      <c r="BR1465" s="71"/>
      <c r="BS1465" s="71"/>
      <c r="BT1465" s="71"/>
      <c r="BU1465" s="71"/>
      <c r="BV1465" s="71"/>
    </row>
    <row r="1466">
      <c r="A1466" s="53">
        <v>1.0</v>
      </c>
      <c r="B1466" s="72"/>
      <c r="C1466" s="73" t="s">
        <v>53</v>
      </c>
      <c r="D1466" s="74" t="s">
        <v>3636</v>
      </c>
      <c r="E1466" s="54" t="s">
        <v>38</v>
      </c>
      <c r="F1466" s="54" t="s">
        <v>42</v>
      </c>
      <c r="G1466" s="88" t="s">
        <v>3637</v>
      </c>
      <c r="H1466" s="54" t="s">
        <v>3637</v>
      </c>
      <c r="I1466" s="54">
        <f t="shared" si="24"/>
        <v>15</v>
      </c>
      <c r="J1466" s="56"/>
      <c r="K1466" s="57"/>
      <c r="L1466" s="87"/>
      <c r="M1466" s="59"/>
      <c r="N1466" s="60">
        <v>29.0</v>
      </c>
      <c r="O1466" s="61">
        <v>31.0</v>
      </c>
      <c r="P1466" s="62">
        <v>33.480000000000004</v>
      </c>
      <c r="Q1466" s="63">
        <v>33.480000000000004</v>
      </c>
      <c r="R1466" s="64">
        <v>38.0</v>
      </c>
      <c r="S1466" s="111">
        <v>40.0</v>
      </c>
      <c r="T1466" s="65">
        <f t="shared" si="39"/>
        <v>6.4</v>
      </c>
      <c r="U1466" s="65">
        <f t="shared" si="40"/>
        <v>46.4</v>
      </c>
      <c r="V1466" s="66">
        <f t="shared" si="42"/>
        <v>0.05263157895</v>
      </c>
      <c r="W1466" s="67">
        <f t="shared" si="5"/>
        <v>38</v>
      </c>
      <c r="X1466" s="67">
        <f t="shared" si="43"/>
        <v>6.08</v>
      </c>
      <c r="Y1466" s="67">
        <f t="shared" si="44"/>
        <v>44.08</v>
      </c>
      <c r="Z1466" s="67">
        <f t="shared" si="8"/>
        <v>36</v>
      </c>
      <c r="AA1466" s="67">
        <f t="shared" si="45"/>
        <v>5.76</v>
      </c>
      <c r="AB1466" s="67">
        <f t="shared" si="46"/>
        <v>41.76</v>
      </c>
      <c r="AC1466" s="67">
        <f t="shared" si="11"/>
        <v>34</v>
      </c>
      <c r="AD1466" s="67">
        <f t="shared" si="12"/>
        <v>5.44</v>
      </c>
      <c r="AE1466" s="67">
        <f t="shared" si="13"/>
        <v>39.44</v>
      </c>
      <c r="AF1466" s="67">
        <f t="shared" si="33"/>
        <v>33.2</v>
      </c>
      <c r="AG1466" s="67">
        <f t="shared" si="15"/>
        <v>5.312</v>
      </c>
      <c r="AH1466" s="67">
        <f t="shared" si="16"/>
        <v>38.512</v>
      </c>
      <c r="AI1466" s="67">
        <f t="shared" si="17"/>
        <v>32</v>
      </c>
      <c r="AJ1466" s="68">
        <f t="shared" si="47"/>
        <v>5.12</v>
      </c>
      <c r="AK1466" s="68">
        <f t="shared" si="48"/>
        <v>37.12</v>
      </c>
      <c r="AL1466" s="70"/>
      <c r="AM1466" s="70"/>
      <c r="AN1466" s="71"/>
      <c r="AO1466" s="71"/>
      <c r="AP1466" s="71"/>
      <c r="AQ1466" s="71"/>
      <c r="AR1466" s="71"/>
      <c r="AS1466" s="71"/>
      <c r="AT1466" s="71"/>
      <c r="AU1466" s="71"/>
      <c r="AV1466" s="71"/>
      <c r="AW1466" s="71"/>
      <c r="AX1466" s="71"/>
      <c r="AY1466" s="71"/>
      <c r="AZ1466" s="71"/>
      <c r="BA1466" s="71"/>
      <c r="BB1466" s="71"/>
      <c r="BC1466" s="71"/>
      <c r="BD1466" s="71"/>
      <c r="BE1466" s="71"/>
      <c r="BF1466" s="71"/>
      <c r="BG1466" s="71"/>
      <c r="BH1466" s="71"/>
      <c r="BI1466" s="71"/>
      <c r="BJ1466" s="71"/>
      <c r="BK1466" s="71"/>
      <c r="BL1466" s="71"/>
      <c r="BM1466" s="71"/>
      <c r="BN1466" s="71"/>
      <c r="BO1466" s="71"/>
      <c r="BP1466" s="71"/>
      <c r="BQ1466" s="71"/>
      <c r="BR1466" s="71"/>
      <c r="BS1466" s="71"/>
      <c r="BT1466" s="71"/>
      <c r="BU1466" s="71"/>
      <c r="BV1466" s="71"/>
    </row>
    <row r="1467">
      <c r="A1467" s="53"/>
      <c r="B1467" s="53"/>
      <c r="C1467" s="73" t="s">
        <v>12</v>
      </c>
      <c r="D1467" s="53" t="s">
        <v>3638</v>
      </c>
      <c r="E1467" s="54" t="s">
        <v>38</v>
      </c>
      <c r="F1467" s="54" t="s">
        <v>42</v>
      </c>
      <c r="G1467" s="55" t="s">
        <v>3639</v>
      </c>
      <c r="H1467" s="54" t="s">
        <v>3640</v>
      </c>
      <c r="I1467" s="54">
        <f t="shared" si="24"/>
        <v>40</v>
      </c>
      <c r="J1467" s="56"/>
      <c r="K1467" s="57"/>
      <c r="L1467" s="76"/>
      <c r="M1467" s="59"/>
      <c r="N1467" s="79">
        <v>1849.0</v>
      </c>
      <c r="O1467" s="61">
        <v>1996.0</v>
      </c>
      <c r="P1467" s="62">
        <v>2155.6800000000003</v>
      </c>
      <c r="Q1467" s="63">
        <v>2155.6800000000003</v>
      </c>
      <c r="R1467" s="64">
        <v>2264.0</v>
      </c>
      <c r="S1467" s="111">
        <v>2377.0</v>
      </c>
      <c r="T1467" s="65">
        <f t="shared" si="39"/>
        <v>380.32</v>
      </c>
      <c r="U1467" s="65">
        <f t="shared" si="40"/>
        <v>2757.32</v>
      </c>
      <c r="V1467" s="66">
        <f t="shared" si="42"/>
        <v>0.04991166078</v>
      </c>
      <c r="W1467" s="67">
        <f t="shared" si="5"/>
        <v>2258.15</v>
      </c>
      <c r="X1467" s="67">
        <f t="shared" si="43"/>
        <v>361.304</v>
      </c>
      <c r="Y1467" s="67">
        <f t="shared" si="44"/>
        <v>2619.454</v>
      </c>
      <c r="Z1467" s="67">
        <f t="shared" si="8"/>
        <v>2139.3</v>
      </c>
      <c r="AA1467" s="67">
        <f t="shared" si="45"/>
        <v>342.288</v>
      </c>
      <c r="AB1467" s="67">
        <f t="shared" si="46"/>
        <v>2481.588</v>
      </c>
      <c r="AC1467" s="67">
        <f t="shared" si="11"/>
        <v>2020.45</v>
      </c>
      <c r="AD1467" s="67">
        <f t="shared" si="12"/>
        <v>323.272</v>
      </c>
      <c r="AE1467" s="67">
        <f t="shared" si="13"/>
        <v>2343.722</v>
      </c>
      <c r="AF1467" s="67">
        <f t="shared" si="33"/>
        <v>1972.91</v>
      </c>
      <c r="AG1467" s="67">
        <f t="shared" si="15"/>
        <v>315.6656</v>
      </c>
      <c r="AH1467" s="67">
        <f t="shared" si="16"/>
        <v>2288.5756</v>
      </c>
      <c r="AI1467" s="67">
        <f t="shared" si="17"/>
        <v>1901.6</v>
      </c>
      <c r="AJ1467" s="68">
        <f t="shared" si="47"/>
        <v>304.256</v>
      </c>
      <c r="AK1467" s="68">
        <f t="shared" si="48"/>
        <v>2205.856</v>
      </c>
      <c r="AL1467" s="70"/>
      <c r="AM1467" s="70"/>
      <c r="AN1467" s="71"/>
      <c r="AO1467" s="71"/>
      <c r="AP1467" s="71"/>
      <c r="AQ1467" s="71"/>
      <c r="AR1467" s="71"/>
      <c r="AS1467" s="71"/>
      <c r="AT1467" s="71"/>
      <c r="AU1467" s="71"/>
      <c r="AV1467" s="71"/>
      <c r="AW1467" s="71"/>
      <c r="AX1467" s="71"/>
      <c r="AY1467" s="71"/>
      <c r="AZ1467" s="71"/>
      <c r="BA1467" s="71"/>
      <c r="BB1467" s="71"/>
      <c r="BC1467" s="71"/>
      <c r="BD1467" s="71"/>
      <c r="BE1467" s="71"/>
      <c r="BF1467" s="71"/>
      <c r="BG1467" s="71"/>
      <c r="BH1467" s="71"/>
      <c r="BI1467" s="71"/>
      <c r="BJ1467" s="71"/>
      <c r="BK1467" s="71"/>
      <c r="BL1467" s="71"/>
      <c r="BM1467" s="71"/>
      <c r="BN1467" s="71"/>
      <c r="BO1467" s="71"/>
      <c r="BP1467" s="71"/>
      <c r="BQ1467" s="71"/>
      <c r="BR1467" s="71"/>
      <c r="BS1467" s="71"/>
      <c r="BT1467" s="71"/>
      <c r="BU1467" s="71"/>
      <c r="BV1467" s="71"/>
    </row>
    <row r="1468">
      <c r="A1468" s="53">
        <v>1.0</v>
      </c>
      <c r="B1468" s="72"/>
      <c r="C1468" s="73" t="s">
        <v>53</v>
      </c>
      <c r="D1468" s="74" t="s">
        <v>3641</v>
      </c>
      <c r="E1468" s="54" t="s">
        <v>38</v>
      </c>
      <c r="F1468" s="54" t="s">
        <v>42</v>
      </c>
      <c r="G1468" s="55" t="s">
        <v>3642</v>
      </c>
      <c r="H1468" s="54" t="s">
        <v>3643</v>
      </c>
      <c r="I1468" s="54">
        <f t="shared" si="24"/>
        <v>39</v>
      </c>
      <c r="J1468" s="56"/>
      <c r="K1468" s="57"/>
      <c r="L1468" s="87"/>
      <c r="M1468" s="59"/>
      <c r="N1468" s="60">
        <v>792.0</v>
      </c>
      <c r="O1468" s="61">
        <v>855.0</v>
      </c>
      <c r="P1468" s="62">
        <v>923.4000000000001</v>
      </c>
      <c r="Q1468" s="63">
        <v>923.4000000000001</v>
      </c>
      <c r="R1468" s="64">
        <v>1028.0</v>
      </c>
      <c r="S1468" s="111">
        <v>1079.0</v>
      </c>
      <c r="T1468" s="65">
        <f t="shared" si="39"/>
        <v>172.64</v>
      </c>
      <c r="U1468" s="65">
        <f t="shared" si="40"/>
        <v>1251.64</v>
      </c>
      <c r="V1468" s="66">
        <f t="shared" si="42"/>
        <v>0.04961089494</v>
      </c>
      <c r="W1468" s="67">
        <f t="shared" si="5"/>
        <v>1025.05</v>
      </c>
      <c r="X1468" s="67">
        <f t="shared" si="43"/>
        <v>164.008</v>
      </c>
      <c r="Y1468" s="67">
        <f t="shared" si="44"/>
        <v>1189.058</v>
      </c>
      <c r="Z1468" s="67">
        <f t="shared" si="8"/>
        <v>971.1</v>
      </c>
      <c r="AA1468" s="67">
        <f t="shared" si="45"/>
        <v>155.376</v>
      </c>
      <c r="AB1468" s="67">
        <f t="shared" si="46"/>
        <v>1126.476</v>
      </c>
      <c r="AC1468" s="67">
        <f t="shared" si="11"/>
        <v>917.15</v>
      </c>
      <c r="AD1468" s="67">
        <f t="shared" si="12"/>
        <v>146.744</v>
      </c>
      <c r="AE1468" s="67">
        <f t="shared" si="13"/>
        <v>1063.894</v>
      </c>
      <c r="AF1468" s="67">
        <f t="shared" si="33"/>
        <v>895.57</v>
      </c>
      <c r="AG1468" s="67">
        <f t="shared" si="15"/>
        <v>143.2912</v>
      </c>
      <c r="AH1468" s="67">
        <f t="shared" si="16"/>
        <v>1038.8612</v>
      </c>
      <c r="AI1468" s="67">
        <f t="shared" si="17"/>
        <v>863.2</v>
      </c>
      <c r="AJ1468" s="68">
        <f t="shared" si="47"/>
        <v>138.112</v>
      </c>
      <c r="AK1468" s="68">
        <f t="shared" si="48"/>
        <v>1001.312</v>
      </c>
      <c r="AL1468" s="70"/>
      <c r="AM1468" s="70"/>
      <c r="AN1468" s="71"/>
      <c r="AO1468" s="71"/>
      <c r="AP1468" s="71"/>
      <c r="AQ1468" s="71"/>
      <c r="AR1468" s="71"/>
      <c r="AS1468" s="71"/>
      <c r="AT1468" s="71"/>
      <c r="AU1468" s="71"/>
      <c r="AV1468" s="71"/>
      <c r="AW1468" s="71"/>
      <c r="AX1468" s="71"/>
      <c r="AY1468" s="71"/>
      <c r="AZ1468" s="71"/>
      <c r="BA1468" s="71"/>
      <c r="BB1468" s="71"/>
      <c r="BC1468" s="71"/>
      <c r="BD1468" s="71"/>
      <c r="BE1468" s="71"/>
      <c r="BF1468" s="71"/>
      <c r="BG1468" s="71"/>
      <c r="BH1468" s="71"/>
      <c r="BI1468" s="71"/>
      <c r="BJ1468" s="71"/>
      <c r="BK1468" s="71"/>
      <c r="BL1468" s="71"/>
      <c r="BM1468" s="71"/>
      <c r="BN1468" s="71"/>
      <c r="BO1468" s="71"/>
      <c r="BP1468" s="71"/>
      <c r="BQ1468" s="71"/>
      <c r="BR1468" s="71"/>
      <c r="BS1468" s="71"/>
      <c r="BT1468" s="71"/>
      <c r="BU1468" s="71"/>
      <c r="BV1468" s="71"/>
    </row>
    <row r="1469">
      <c r="A1469" s="53">
        <v>1.0</v>
      </c>
      <c r="B1469" s="72"/>
      <c r="C1469" s="73" t="s">
        <v>12</v>
      </c>
      <c r="D1469" s="74" t="s">
        <v>3644</v>
      </c>
      <c r="E1469" s="54" t="s">
        <v>38</v>
      </c>
      <c r="F1469" s="54" t="s">
        <v>42</v>
      </c>
      <c r="G1469" s="88" t="s">
        <v>3645</v>
      </c>
      <c r="H1469" s="54" t="s">
        <v>3646</v>
      </c>
      <c r="I1469" s="54">
        <f t="shared" si="24"/>
        <v>40</v>
      </c>
      <c r="J1469" s="56"/>
      <c r="K1469" s="57"/>
      <c r="L1469" s="87"/>
      <c r="M1469" s="59"/>
      <c r="N1469" s="60">
        <v>968.0</v>
      </c>
      <c r="O1469" s="61">
        <v>1045.0</v>
      </c>
      <c r="P1469" s="62">
        <v>1128.6000000000001</v>
      </c>
      <c r="Q1469" s="63">
        <v>1128.6000000000001</v>
      </c>
      <c r="R1469" s="64">
        <v>1257.0</v>
      </c>
      <c r="S1469" s="111">
        <v>1320.0</v>
      </c>
      <c r="T1469" s="65">
        <f t="shared" si="39"/>
        <v>211.2</v>
      </c>
      <c r="U1469" s="65">
        <f t="shared" si="40"/>
        <v>1531.2</v>
      </c>
      <c r="V1469" s="66">
        <f t="shared" si="42"/>
        <v>0.05011933174</v>
      </c>
      <c r="W1469" s="67">
        <f t="shared" si="5"/>
        <v>1254</v>
      </c>
      <c r="X1469" s="67">
        <f t="shared" si="43"/>
        <v>200.64</v>
      </c>
      <c r="Y1469" s="67">
        <f t="shared" si="44"/>
        <v>1454.64</v>
      </c>
      <c r="Z1469" s="67">
        <f t="shared" si="8"/>
        <v>1188</v>
      </c>
      <c r="AA1469" s="67">
        <f t="shared" si="45"/>
        <v>190.08</v>
      </c>
      <c r="AB1469" s="67">
        <f t="shared" si="46"/>
        <v>1378.08</v>
      </c>
      <c r="AC1469" s="67">
        <f t="shared" si="11"/>
        <v>1122</v>
      </c>
      <c r="AD1469" s="67">
        <f t="shared" si="12"/>
        <v>179.52</v>
      </c>
      <c r="AE1469" s="67">
        <f t="shared" si="13"/>
        <v>1301.52</v>
      </c>
      <c r="AF1469" s="67">
        <f t="shared" si="33"/>
        <v>1095.6</v>
      </c>
      <c r="AG1469" s="67">
        <f t="shared" si="15"/>
        <v>175.296</v>
      </c>
      <c r="AH1469" s="67">
        <f t="shared" si="16"/>
        <v>1270.896</v>
      </c>
      <c r="AI1469" s="67">
        <f t="shared" si="17"/>
        <v>1056</v>
      </c>
      <c r="AJ1469" s="68">
        <f t="shared" si="47"/>
        <v>168.96</v>
      </c>
      <c r="AK1469" s="68">
        <f t="shared" si="48"/>
        <v>1224.96</v>
      </c>
      <c r="AL1469" s="70"/>
      <c r="AM1469" s="70"/>
      <c r="AN1469" s="71"/>
      <c r="AO1469" s="71"/>
      <c r="AP1469" s="71"/>
      <c r="AQ1469" s="71"/>
      <c r="AR1469" s="71"/>
      <c r="AS1469" s="71"/>
      <c r="AT1469" s="71"/>
      <c r="AU1469" s="71"/>
      <c r="AV1469" s="71"/>
      <c r="AW1469" s="71"/>
      <c r="AX1469" s="71"/>
      <c r="AY1469" s="71"/>
      <c r="AZ1469" s="71"/>
      <c r="BA1469" s="71"/>
      <c r="BB1469" s="71"/>
      <c r="BC1469" s="71"/>
      <c r="BD1469" s="71"/>
      <c r="BE1469" s="71"/>
      <c r="BF1469" s="71"/>
      <c r="BG1469" s="71"/>
      <c r="BH1469" s="71"/>
      <c r="BI1469" s="71"/>
      <c r="BJ1469" s="71"/>
      <c r="BK1469" s="71"/>
      <c r="BL1469" s="71"/>
      <c r="BM1469" s="71"/>
      <c r="BN1469" s="71"/>
      <c r="BO1469" s="71"/>
      <c r="BP1469" s="71"/>
      <c r="BQ1469" s="71"/>
      <c r="BR1469" s="71"/>
      <c r="BS1469" s="71"/>
      <c r="BT1469" s="71"/>
      <c r="BU1469" s="71"/>
      <c r="BV1469" s="71"/>
    </row>
    <row r="1470">
      <c r="A1470" s="53"/>
      <c r="B1470" s="53"/>
      <c r="C1470" s="73" t="s">
        <v>12</v>
      </c>
      <c r="D1470" s="53" t="s">
        <v>3647</v>
      </c>
      <c r="E1470" s="54" t="s">
        <v>38</v>
      </c>
      <c r="F1470" s="54" t="s">
        <v>42</v>
      </c>
      <c r="G1470" s="55" t="s">
        <v>3648</v>
      </c>
      <c r="H1470" s="54" t="s">
        <v>3649</v>
      </c>
      <c r="I1470" s="54">
        <f t="shared" si="24"/>
        <v>40</v>
      </c>
      <c r="J1470" s="56"/>
      <c r="K1470" s="57"/>
      <c r="L1470" s="76" t="s">
        <v>661</v>
      </c>
      <c r="M1470" s="59"/>
      <c r="N1470" s="79">
        <v>17258.0</v>
      </c>
      <c r="O1470" s="61">
        <v>18638.0</v>
      </c>
      <c r="P1470" s="62">
        <v>20129.04</v>
      </c>
      <c r="Q1470" s="63">
        <v>20129.04</v>
      </c>
      <c r="R1470" s="64">
        <v>21136.0</v>
      </c>
      <c r="S1470" s="111">
        <v>22193.0</v>
      </c>
      <c r="T1470" s="65">
        <f t="shared" si="39"/>
        <v>3550.88</v>
      </c>
      <c r="U1470" s="65">
        <f t="shared" si="40"/>
        <v>25743.88</v>
      </c>
      <c r="V1470" s="66">
        <f t="shared" si="42"/>
        <v>0.05000946253</v>
      </c>
      <c r="W1470" s="67">
        <f t="shared" si="5"/>
        <v>21083.35</v>
      </c>
      <c r="X1470" s="67">
        <f t="shared" si="43"/>
        <v>3373.336</v>
      </c>
      <c r="Y1470" s="67">
        <f t="shared" si="44"/>
        <v>24456.686</v>
      </c>
      <c r="Z1470" s="67">
        <f t="shared" si="8"/>
        <v>19973.7</v>
      </c>
      <c r="AA1470" s="67">
        <f t="shared" si="45"/>
        <v>3195.792</v>
      </c>
      <c r="AB1470" s="67">
        <f t="shared" si="46"/>
        <v>23169.492</v>
      </c>
      <c r="AC1470" s="67">
        <f t="shared" si="11"/>
        <v>18864.05</v>
      </c>
      <c r="AD1470" s="67">
        <f t="shared" si="12"/>
        <v>3018.248</v>
      </c>
      <c r="AE1470" s="67">
        <f t="shared" si="13"/>
        <v>21882.298</v>
      </c>
      <c r="AF1470" s="67">
        <f t="shared" si="33"/>
        <v>18420.19</v>
      </c>
      <c r="AG1470" s="67">
        <f t="shared" si="15"/>
        <v>2947.2304</v>
      </c>
      <c r="AH1470" s="67">
        <f t="shared" si="16"/>
        <v>21367.4204</v>
      </c>
      <c r="AI1470" s="67">
        <f t="shared" si="17"/>
        <v>17754.4</v>
      </c>
      <c r="AJ1470" s="68">
        <f t="shared" si="47"/>
        <v>2840.704</v>
      </c>
      <c r="AK1470" s="68">
        <f t="shared" si="48"/>
        <v>20595.104</v>
      </c>
      <c r="AL1470" s="70"/>
      <c r="AM1470" s="70"/>
      <c r="AN1470" s="71"/>
      <c r="AO1470" s="71"/>
      <c r="AP1470" s="71"/>
      <c r="AQ1470" s="71"/>
      <c r="AR1470" s="71"/>
      <c r="AS1470" s="71"/>
      <c r="AT1470" s="71"/>
      <c r="AU1470" s="71"/>
      <c r="AV1470" s="71"/>
      <c r="AW1470" s="71"/>
      <c r="AX1470" s="71"/>
      <c r="AY1470" s="71"/>
      <c r="AZ1470" s="71"/>
      <c r="BA1470" s="71"/>
      <c r="BB1470" s="71"/>
      <c r="BC1470" s="71"/>
      <c r="BD1470" s="71"/>
      <c r="BE1470" s="71"/>
      <c r="BF1470" s="71"/>
      <c r="BG1470" s="71"/>
      <c r="BH1470" s="71"/>
      <c r="BI1470" s="71"/>
      <c r="BJ1470" s="71"/>
      <c r="BK1470" s="71"/>
      <c r="BL1470" s="71"/>
      <c r="BM1470" s="71"/>
      <c r="BN1470" s="71"/>
      <c r="BO1470" s="71"/>
      <c r="BP1470" s="71"/>
      <c r="BQ1470" s="71"/>
      <c r="BR1470" s="71"/>
      <c r="BS1470" s="71"/>
      <c r="BT1470" s="71"/>
      <c r="BU1470" s="71"/>
      <c r="BV1470" s="71"/>
    </row>
    <row r="1471">
      <c r="A1471" s="53">
        <v>1.0</v>
      </c>
      <c r="B1471" s="72"/>
      <c r="C1471" s="73" t="s">
        <v>12</v>
      </c>
      <c r="D1471" s="53" t="s">
        <v>3650</v>
      </c>
      <c r="E1471" s="54" t="s">
        <v>38</v>
      </c>
      <c r="F1471" s="54" t="s">
        <v>42</v>
      </c>
      <c r="G1471" s="88" t="s">
        <v>3651</v>
      </c>
      <c r="H1471" s="54" t="s">
        <v>3652</v>
      </c>
      <c r="I1471" s="54">
        <f t="shared" si="24"/>
        <v>32</v>
      </c>
      <c r="J1471" s="56"/>
      <c r="K1471" s="57"/>
      <c r="L1471" s="87"/>
      <c r="M1471" s="59"/>
      <c r="N1471" s="60">
        <v>1588.0</v>
      </c>
      <c r="O1471" s="61">
        <v>1715.0</v>
      </c>
      <c r="P1471" s="62">
        <v>1852.2</v>
      </c>
      <c r="Q1471" s="63">
        <v>1852.2</v>
      </c>
      <c r="R1471" s="64">
        <v>2063.0</v>
      </c>
      <c r="S1471" s="111">
        <v>2166.0</v>
      </c>
      <c r="T1471" s="65">
        <f t="shared" si="39"/>
        <v>346.56</v>
      </c>
      <c r="U1471" s="65">
        <f t="shared" si="40"/>
        <v>2512.56</v>
      </c>
      <c r="V1471" s="66">
        <f t="shared" si="42"/>
        <v>0.04992729035</v>
      </c>
      <c r="W1471" s="67">
        <f t="shared" si="5"/>
        <v>2057.7</v>
      </c>
      <c r="X1471" s="67">
        <f t="shared" si="43"/>
        <v>329.232</v>
      </c>
      <c r="Y1471" s="67">
        <f t="shared" si="44"/>
        <v>2386.932</v>
      </c>
      <c r="Z1471" s="67">
        <f t="shared" si="8"/>
        <v>1949.4</v>
      </c>
      <c r="AA1471" s="67">
        <f t="shared" si="45"/>
        <v>311.904</v>
      </c>
      <c r="AB1471" s="67">
        <f t="shared" si="46"/>
        <v>2261.304</v>
      </c>
      <c r="AC1471" s="67">
        <f t="shared" si="11"/>
        <v>1841.1</v>
      </c>
      <c r="AD1471" s="67">
        <f t="shared" si="12"/>
        <v>294.576</v>
      </c>
      <c r="AE1471" s="67">
        <f t="shared" si="13"/>
        <v>2135.676</v>
      </c>
      <c r="AF1471" s="67">
        <f t="shared" si="33"/>
        <v>1797.78</v>
      </c>
      <c r="AG1471" s="67">
        <f t="shared" si="15"/>
        <v>287.6448</v>
      </c>
      <c r="AH1471" s="67">
        <f t="shared" si="16"/>
        <v>2085.4248</v>
      </c>
      <c r="AI1471" s="67">
        <f t="shared" si="17"/>
        <v>1732.8</v>
      </c>
      <c r="AJ1471" s="68">
        <f t="shared" si="47"/>
        <v>277.248</v>
      </c>
      <c r="AK1471" s="68">
        <f t="shared" si="48"/>
        <v>2010.048</v>
      </c>
      <c r="AL1471" s="70"/>
      <c r="AM1471" s="70"/>
      <c r="AN1471" s="71"/>
      <c r="AO1471" s="71"/>
      <c r="AP1471" s="71"/>
      <c r="AQ1471" s="71"/>
      <c r="AR1471" s="71"/>
      <c r="AS1471" s="71"/>
      <c r="AT1471" s="71"/>
      <c r="AU1471" s="71"/>
      <c r="AV1471" s="71"/>
      <c r="AW1471" s="71"/>
      <c r="AX1471" s="71"/>
      <c r="AY1471" s="71"/>
      <c r="AZ1471" s="71"/>
      <c r="BA1471" s="71"/>
      <c r="BB1471" s="71"/>
      <c r="BC1471" s="71"/>
      <c r="BD1471" s="71"/>
      <c r="BE1471" s="71"/>
      <c r="BF1471" s="71"/>
      <c r="BG1471" s="71"/>
      <c r="BH1471" s="71"/>
      <c r="BI1471" s="71"/>
      <c r="BJ1471" s="71"/>
      <c r="BK1471" s="71"/>
      <c r="BL1471" s="71"/>
      <c r="BM1471" s="71"/>
      <c r="BN1471" s="71"/>
      <c r="BO1471" s="71"/>
      <c r="BP1471" s="71"/>
      <c r="BQ1471" s="71"/>
      <c r="BR1471" s="71"/>
      <c r="BS1471" s="71"/>
      <c r="BT1471" s="71"/>
      <c r="BU1471" s="71"/>
      <c r="BV1471" s="71"/>
    </row>
    <row r="1472">
      <c r="A1472" s="53">
        <v>1.0</v>
      </c>
      <c r="B1472" s="72"/>
      <c r="C1472" s="73" t="s">
        <v>12</v>
      </c>
      <c r="D1472" s="74" t="s">
        <v>3653</v>
      </c>
      <c r="E1472" s="54" t="s">
        <v>38</v>
      </c>
      <c r="F1472" s="54" t="s">
        <v>42</v>
      </c>
      <c r="G1472" s="88" t="s">
        <v>3654</v>
      </c>
      <c r="H1472" s="54" t="s">
        <v>3655</v>
      </c>
      <c r="I1472" s="54">
        <f t="shared" si="24"/>
        <v>32</v>
      </c>
      <c r="J1472" s="56"/>
      <c r="K1472" s="57"/>
      <c r="L1472" s="87"/>
      <c r="M1472" s="59"/>
      <c r="N1472" s="60">
        <v>1701.0</v>
      </c>
      <c r="O1472" s="61">
        <v>1837.0</v>
      </c>
      <c r="P1472" s="62">
        <v>1983.96</v>
      </c>
      <c r="Q1472" s="63">
        <v>1983.96</v>
      </c>
      <c r="R1472" s="64">
        <v>2209.0</v>
      </c>
      <c r="S1472" s="111">
        <v>2319.0</v>
      </c>
      <c r="T1472" s="65">
        <f t="shared" si="39"/>
        <v>371.04</v>
      </c>
      <c r="U1472" s="65">
        <f t="shared" si="40"/>
        <v>2690.04</v>
      </c>
      <c r="V1472" s="66">
        <f t="shared" si="42"/>
        <v>0.04979628791</v>
      </c>
      <c r="W1472" s="67">
        <f t="shared" si="5"/>
        <v>2203.05</v>
      </c>
      <c r="X1472" s="67">
        <f t="shared" si="43"/>
        <v>352.488</v>
      </c>
      <c r="Y1472" s="67">
        <f t="shared" si="44"/>
        <v>2555.538</v>
      </c>
      <c r="Z1472" s="67">
        <f t="shared" si="8"/>
        <v>2087.1</v>
      </c>
      <c r="AA1472" s="67">
        <f t="shared" si="45"/>
        <v>333.936</v>
      </c>
      <c r="AB1472" s="67">
        <f t="shared" si="46"/>
        <v>2421.036</v>
      </c>
      <c r="AC1472" s="67">
        <f t="shared" si="11"/>
        <v>1971.15</v>
      </c>
      <c r="AD1472" s="67">
        <f t="shared" si="12"/>
        <v>315.384</v>
      </c>
      <c r="AE1472" s="67">
        <f t="shared" si="13"/>
        <v>2286.534</v>
      </c>
      <c r="AF1472" s="67">
        <f t="shared" si="33"/>
        <v>1924.77</v>
      </c>
      <c r="AG1472" s="67">
        <f t="shared" si="15"/>
        <v>307.9632</v>
      </c>
      <c r="AH1472" s="67">
        <f t="shared" si="16"/>
        <v>2232.7332</v>
      </c>
      <c r="AI1472" s="67">
        <f t="shared" si="17"/>
        <v>1855.2</v>
      </c>
      <c r="AJ1472" s="68">
        <f t="shared" si="47"/>
        <v>296.832</v>
      </c>
      <c r="AK1472" s="68">
        <f t="shared" si="48"/>
        <v>2152.032</v>
      </c>
      <c r="AL1472" s="70"/>
      <c r="AM1472" s="70"/>
      <c r="AN1472" s="71"/>
      <c r="AO1472" s="71"/>
      <c r="AP1472" s="71"/>
      <c r="AQ1472" s="71"/>
      <c r="AR1472" s="71"/>
      <c r="AS1472" s="71"/>
      <c r="AT1472" s="71"/>
      <c r="AU1472" s="71"/>
      <c r="AV1472" s="71"/>
      <c r="AW1472" s="71"/>
      <c r="AX1472" s="71"/>
      <c r="AY1472" s="71"/>
      <c r="AZ1472" s="71"/>
      <c r="BA1472" s="71"/>
      <c r="BB1472" s="71"/>
      <c r="BC1472" s="71"/>
      <c r="BD1472" s="71"/>
      <c r="BE1472" s="71"/>
      <c r="BF1472" s="71"/>
      <c r="BG1472" s="71"/>
      <c r="BH1472" s="71"/>
      <c r="BI1472" s="71"/>
      <c r="BJ1472" s="71"/>
      <c r="BK1472" s="71"/>
      <c r="BL1472" s="71"/>
      <c r="BM1472" s="71"/>
      <c r="BN1472" s="71"/>
      <c r="BO1472" s="71"/>
      <c r="BP1472" s="71"/>
      <c r="BQ1472" s="71"/>
      <c r="BR1472" s="71"/>
      <c r="BS1472" s="71"/>
      <c r="BT1472" s="71"/>
      <c r="BU1472" s="71"/>
      <c r="BV1472" s="71"/>
    </row>
    <row r="1473">
      <c r="A1473" s="53"/>
      <c r="B1473" s="53"/>
      <c r="C1473" s="53" t="s">
        <v>603</v>
      </c>
      <c r="D1473" s="53" t="s">
        <v>3656</v>
      </c>
      <c r="E1473" s="54" t="s">
        <v>38</v>
      </c>
      <c r="F1473" s="55" t="s">
        <v>39</v>
      </c>
      <c r="G1473" s="55" t="s">
        <v>3657</v>
      </c>
      <c r="H1473" s="55" t="s">
        <v>3658</v>
      </c>
      <c r="I1473" s="54">
        <f t="shared" si="24"/>
        <v>38</v>
      </c>
      <c r="J1473" s="56"/>
      <c r="K1473" s="57"/>
      <c r="L1473" s="76"/>
      <c r="M1473" s="59"/>
      <c r="N1473" s="60"/>
      <c r="O1473" s="61">
        <v>2989.0</v>
      </c>
      <c r="P1473" s="62">
        <v>3228.1200000000003</v>
      </c>
      <c r="Q1473" s="63">
        <v>3228.1200000000003</v>
      </c>
      <c r="R1473" s="64">
        <v>3390.0</v>
      </c>
      <c r="S1473" s="111">
        <v>3560.0</v>
      </c>
      <c r="T1473" s="65">
        <f t="shared" si="39"/>
        <v>569.6</v>
      </c>
      <c r="U1473" s="65">
        <f t="shared" si="40"/>
        <v>4129.6</v>
      </c>
      <c r="V1473" s="66">
        <f t="shared" si="42"/>
        <v>0.05014749263</v>
      </c>
      <c r="W1473" s="67">
        <f t="shared" si="5"/>
        <v>3382</v>
      </c>
      <c r="X1473" s="67">
        <f t="shared" si="43"/>
        <v>541.12</v>
      </c>
      <c r="Y1473" s="67">
        <f t="shared" si="44"/>
        <v>3923.12</v>
      </c>
      <c r="Z1473" s="67">
        <f t="shared" si="8"/>
        <v>3204</v>
      </c>
      <c r="AA1473" s="67">
        <f t="shared" si="45"/>
        <v>512.64</v>
      </c>
      <c r="AB1473" s="67">
        <f t="shared" si="46"/>
        <v>3716.64</v>
      </c>
      <c r="AC1473" s="67">
        <f t="shared" si="11"/>
        <v>3026</v>
      </c>
      <c r="AD1473" s="67">
        <f t="shared" si="12"/>
        <v>484.16</v>
      </c>
      <c r="AE1473" s="67">
        <f t="shared" si="13"/>
        <v>3510.16</v>
      </c>
      <c r="AF1473" s="67">
        <f t="shared" si="33"/>
        <v>2954.8</v>
      </c>
      <c r="AG1473" s="67">
        <f t="shared" si="15"/>
        <v>472.768</v>
      </c>
      <c r="AH1473" s="67">
        <f t="shared" si="16"/>
        <v>3427.568</v>
      </c>
      <c r="AI1473" s="67">
        <f t="shared" si="17"/>
        <v>2848</v>
      </c>
      <c r="AJ1473" s="68">
        <f t="shared" si="47"/>
        <v>455.68</v>
      </c>
      <c r="AK1473" s="68">
        <f t="shared" si="48"/>
        <v>3303.68</v>
      </c>
      <c r="AL1473" s="70"/>
      <c r="AM1473" s="70"/>
      <c r="AN1473" s="71"/>
      <c r="AO1473" s="71"/>
      <c r="AP1473" s="71"/>
      <c r="AQ1473" s="71"/>
      <c r="AR1473" s="71"/>
      <c r="AS1473" s="71"/>
      <c r="AT1473" s="71"/>
      <c r="AU1473" s="71"/>
      <c r="AV1473" s="71"/>
      <c r="AW1473" s="71"/>
      <c r="AX1473" s="71"/>
      <c r="AY1473" s="71"/>
      <c r="AZ1473" s="71"/>
      <c r="BA1473" s="71"/>
      <c r="BB1473" s="71"/>
      <c r="BC1473" s="71"/>
      <c r="BD1473" s="71"/>
      <c r="BE1473" s="71"/>
      <c r="BF1473" s="71"/>
      <c r="BG1473" s="71"/>
      <c r="BH1473" s="71"/>
      <c r="BI1473" s="71"/>
      <c r="BJ1473" s="71"/>
      <c r="BK1473" s="71"/>
      <c r="BL1473" s="71"/>
      <c r="BM1473" s="71"/>
      <c r="BN1473" s="71"/>
      <c r="BO1473" s="71"/>
      <c r="BP1473" s="71"/>
      <c r="BQ1473" s="71"/>
      <c r="BR1473" s="71"/>
      <c r="BS1473" s="71"/>
      <c r="BT1473" s="71"/>
      <c r="BU1473" s="71"/>
      <c r="BV1473" s="71"/>
    </row>
    <row r="1474">
      <c r="A1474" s="53"/>
      <c r="B1474" s="53"/>
      <c r="C1474" s="53" t="s">
        <v>36</v>
      </c>
      <c r="D1474" s="85" t="s">
        <v>3659</v>
      </c>
      <c r="E1474" s="54" t="s">
        <v>38</v>
      </c>
      <c r="F1474" s="55" t="s">
        <v>39</v>
      </c>
      <c r="G1474" s="86" t="s">
        <v>3660</v>
      </c>
      <c r="H1474" s="55" t="s">
        <v>3661</v>
      </c>
      <c r="I1474" s="54">
        <f t="shared" si="24"/>
        <v>39</v>
      </c>
      <c r="J1474" s="56"/>
      <c r="K1474" s="57"/>
      <c r="L1474" s="76"/>
      <c r="M1474" s="59"/>
      <c r="N1474" s="60"/>
      <c r="O1474" s="61">
        <v>3711.6</v>
      </c>
      <c r="P1474" s="62">
        <v>4008.5280000000002</v>
      </c>
      <c r="Q1474" s="63">
        <v>4008.5280000000002</v>
      </c>
      <c r="R1474" s="64">
        <v>4210.0</v>
      </c>
      <c r="S1474" s="107">
        <v>4421.0</v>
      </c>
      <c r="T1474" s="65">
        <f t="shared" si="39"/>
        <v>707.36</v>
      </c>
      <c r="U1474" s="65">
        <f t="shared" si="40"/>
        <v>5128.36</v>
      </c>
      <c r="V1474" s="66">
        <f t="shared" si="42"/>
        <v>0.05011876485</v>
      </c>
      <c r="W1474" s="67">
        <f t="shared" si="5"/>
        <v>4199.95</v>
      </c>
      <c r="X1474" s="67">
        <f t="shared" si="43"/>
        <v>671.992</v>
      </c>
      <c r="Y1474" s="67">
        <f t="shared" si="44"/>
        <v>4871.942</v>
      </c>
      <c r="Z1474" s="67">
        <f t="shared" si="8"/>
        <v>3978.9</v>
      </c>
      <c r="AA1474" s="67">
        <f t="shared" si="45"/>
        <v>636.624</v>
      </c>
      <c r="AB1474" s="67">
        <f t="shared" si="46"/>
        <v>4615.524</v>
      </c>
      <c r="AC1474" s="67">
        <f t="shared" si="11"/>
        <v>3757.85</v>
      </c>
      <c r="AD1474" s="67">
        <f t="shared" si="12"/>
        <v>601.256</v>
      </c>
      <c r="AE1474" s="67">
        <f t="shared" si="13"/>
        <v>4359.106</v>
      </c>
      <c r="AF1474" s="67">
        <f t="shared" si="33"/>
        <v>3669.43</v>
      </c>
      <c r="AG1474" s="67">
        <f t="shared" si="15"/>
        <v>587.1088</v>
      </c>
      <c r="AH1474" s="67">
        <f t="shared" si="16"/>
        <v>4256.5388</v>
      </c>
      <c r="AI1474" s="67">
        <f t="shared" si="17"/>
        <v>3536.8</v>
      </c>
      <c r="AJ1474" s="68">
        <f t="shared" si="47"/>
        <v>565.888</v>
      </c>
      <c r="AK1474" s="68">
        <f t="shared" si="48"/>
        <v>4102.688</v>
      </c>
      <c r="AL1474" s="70"/>
      <c r="AM1474" s="70"/>
      <c r="AN1474" s="71"/>
      <c r="AO1474" s="71"/>
      <c r="AP1474" s="71"/>
      <c r="AQ1474" s="71"/>
      <c r="AR1474" s="71"/>
      <c r="AS1474" s="71"/>
      <c r="AT1474" s="71"/>
      <c r="AU1474" s="71"/>
      <c r="AV1474" s="71"/>
      <c r="AW1474" s="71"/>
      <c r="AX1474" s="71"/>
      <c r="AY1474" s="71"/>
      <c r="AZ1474" s="71"/>
      <c r="BA1474" s="71"/>
      <c r="BB1474" s="71"/>
      <c r="BC1474" s="71"/>
      <c r="BD1474" s="71"/>
      <c r="BE1474" s="71"/>
      <c r="BF1474" s="71"/>
      <c r="BG1474" s="71"/>
      <c r="BH1474" s="71"/>
      <c r="BI1474" s="71"/>
      <c r="BJ1474" s="71"/>
      <c r="BK1474" s="71"/>
      <c r="BL1474" s="71"/>
      <c r="BM1474" s="71"/>
      <c r="BN1474" s="71"/>
      <c r="BO1474" s="71"/>
      <c r="BP1474" s="71"/>
      <c r="BQ1474" s="71"/>
      <c r="BR1474" s="71"/>
      <c r="BS1474" s="71"/>
      <c r="BT1474" s="71"/>
      <c r="BU1474" s="71"/>
      <c r="BV1474" s="71"/>
    </row>
    <row r="1475">
      <c r="A1475" s="53">
        <v>1.0</v>
      </c>
      <c r="B1475" s="72"/>
      <c r="C1475" s="73" t="s">
        <v>12</v>
      </c>
      <c r="D1475" s="74" t="s">
        <v>3662</v>
      </c>
      <c r="E1475" s="160" t="s">
        <v>38</v>
      </c>
      <c r="F1475" s="160" t="s">
        <v>42</v>
      </c>
      <c r="G1475" s="54" t="s">
        <v>3663</v>
      </c>
      <c r="H1475" s="54" t="s">
        <v>3664</v>
      </c>
      <c r="I1475" s="54">
        <f t="shared" si="24"/>
        <v>37</v>
      </c>
      <c r="J1475" s="161"/>
      <c r="K1475" s="162"/>
      <c r="L1475" s="163"/>
      <c r="M1475" s="59"/>
      <c r="N1475" s="164">
        <v>2042.0</v>
      </c>
      <c r="O1475" s="165">
        <v>2205.0</v>
      </c>
      <c r="P1475" s="166">
        <v>2381.4</v>
      </c>
      <c r="Q1475" s="167">
        <v>2381.4</v>
      </c>
      <c r="R1475" s="168">
        <v>2652.0</v>
      </c>
      <c r="S1475" s="111">
        <v>2785.0</v>
      </c>
      <c r="T1475" s="65">
        <f t="shared" si="39"/>
        <v>445.6</v>
      </c>
      <c r="U1475" s="65">
        <f t="shared" si="40"/>
        <v>3230.6</v>
      </c>
      <c r="V1475" s="66">
        <f t="shared" si="42"/>
        <v>0.05015082956</v>
      </c>
      <c r="W1475" s="67">
        <f t="shared" si="5"/>
        <v>2645.75</v>
      </c>
      <c r="X1475" s="67">
        <f t="shared" si="43"/>
        <v>423.32</v>
      </c>
      <c r="Y1475" s="67">
        <f t="shared" si="44"/>
        <v>3069.07</v>
      </c>
      <c r="Z1475" s="67">
        <f t="shared" si="8"/>
        <v>2506.5</v>
      </c>
      <c r="AA1475" s="67">
        <f t="shared" si="45"/>
        <v>401.04</v>
      </c>
      <c r="AB1475" s="67">
        <f t="shared" si="46"/>
        <v>2907.54</v>
      </c>
      <c r="AC1475" s="67">
        <f t="shared" si="11"/>
        <v>2367.25</v>
      </c>
      <c r="AD1475" s="67">
        <f t="shared" si="12"/>
        <v>378.76</v>
      </c>
      <c r="AE1475" s="67">
        <f t="shared" si="13"/>
        <v>2746.01</v>
      </c>
      <c r="AF1475" s="67">
        <f t="shared" si="33"/>
        <v>2311.55</v>
      </c>
      <c r="AG1475" s="67">
        <f t="shared" si="15"/>
        <v>369.848</v>
      </c>
      <c r="AH1475" s="67">
        <f t="shared" si="16"/>
        <v>2681.398</v>
      </c>
      <c r="AI1475" s="67">
        <f t="shared" si="17"/>
        <v>2228</v>
      </c>
      <c r="AJ1475" s="68">
        <f t="shared" si="47"/>
        <v>356.48</v>
      </c>
      <c r="AK1475" s="68">
        <f t="shared" si="48"/>
        <v>2584.48</v>
      </c>
      <c r="AL1475" s="169"/>
      <c r="AM1475" s="169"/>
      <c r="AN1475" s="170"/>
      <c r="AO1475" s="170"/>
      <c r="AP1475" s="170"/>
      <c r="AQ1475" s="170"/>
      <c r="AR1475" s="170"/>
      <c r="AS1475" s="170"/>
      <c r="AT1475" s="170"/>
      <c r="AU1475" s="170"/>
      <c r="AV1475" s="170"/>
      <c r="AW1475" s="170"/>
      <c r="AX1475" s="170"/>
      <c r="AY1475" s="170"/>
      <c r="AZ1475" s="170"/>
      <c r="BA1475" s="170"/>
      <c r="BB1475" s="170"/>
      <c r="BC1475" s="170"/>
      <c r="BD1475" s="170"/>
      <c r="BE1475" s="170"/>
      <c r="BF1475" s="170"/>
      <c r="BG1475" s="170"/>
      <c r="BH1475" s="170"/>
      <c r="BI1475" s="170"/>
      <c r="BJ1475" s="170"/>
      <c r="BK1475" s="170"/>
      <c r="BL1475" s="170"/>
      <c r="BM1475" s="170"/>
      <c r="BN1475" s="170"/>
      <c r="BO1475" s="170"/>
      <c r="BP1475" s="170"/>
      <c r="BQ1475" s="170"/>
      <c r="BR1475" s="170"/>
      <c r="BS1475" s="170"/>
      <c r="BT1475" s="170"/>
      <c r="BU1475" s="170"/>
      <c r="BV1475" s="170"/>
    </row>
    <row r="1476">
      <c r="A1476" s="53"/>
      <c r="B1476" s="53"/>
      <c r="C1476" s="73" t="s">
        <v>12</v>
      </c>
      <c r="D1476" s="128" t="s">
        <v>3665</v>
      </c>
      <c r="E1476" s="54" t="s">
        <v>38</v>
      </c>
      <c r="F1476" s="54" t="s">
        <v>42</v>
      </c>
      <c r="G1476" s="130" t="s">
        <v>3666</v>
      </c>
      <c r="H1476" s="54" t="s">
        <v>3667</v>
      </c>
      <c r="I1476" s="54">
        <f t="shared" si="24"/>
        <v>33</v>
      </c>
      <c r="J1476" s="56"/>
      <c r="K1476" s="57"/>
      <c r="L1476" s="76" t="s">
        <v>661</v>
      </c>
      <c r="M1476" s="59"/>
      <c r="N1476" s="60">
        <v>978.6</v>
      </c>
      <c r="O1476" s="129">
        <v>1056.0</v>
      </c>
      <c r="P1476" s="62">
        <v>1140.48</v>
      </c>
      <c r="Q1476" s="63">
        <v>1140.48</v>
      </c>
      <c r="R1476" s="64">
        <v>1197.0</v>
      </c>
      <c r="S1476" s="111">
        <v>1257.0</v>
      </c>
      <c r="T1476" s="65">
        <f t="shared" si="39"/>
        <v>201.12</v>
      </c>
      <c r="U1476" s="65">
        <f t="shared" si="40"/>
        <v>1458.12</v>
      </c>
      <c r="V1476" s="66">
        <f t="shared" si="42"/>
        <v>0.05012531328</v>
      </c>
      <c r="W1476" s="67">
        <f t="shared" si="5"/>
        <v>1194.15</v>
      </c>
      <c r="X1476" s="67">
        <f t="shared" si="43"/>
        <v>191.064</v>
      </c>
      <c r="Y1476" s="67">
        <f t="shared" si="44"/>
        <v>1385.214</v>
      </c>
      <c r="Z1476" s="67">
        <f t="shared" si="8"/>
        <v>1131.3</v>
      </c>
      <c r="AA1476" s="67">
        <f t="shared" si="45"/>
        <v>181.008</v>
      </c>
      <c r="AB1476" s="67">
        <f t="shared" si="46"/>
        <v>1312.308</v>
      </c>
      <c r="AC1476" s="67">
        <f t="shared" si="11"/>
        <v>1068.45</v>
      </c>
      <c r="AD1476" s="67">
        <f t="shared" si="12"/>
        <v>170.952</v>
      </c>
      <c r="AE1476" s="67">
        <f t="shared" si="13"/>
        <v>1239.402</v>
      </c>
      <c r="AF1476" s="67">
        <f t="shared" si="33"/>
        <v>1043.31</v>
      </c>
      <c r="AG1476" s="67">
        <f t="shared" si="15"/>
        <v>166.9296</v>
      </c>
      <c r="AH1476" s="67">
        <f t="shared" si="16"/>
        <v>1210.2396</v>
      </c>
      <c r="AI1476" s="67">
        <f t="shared" si="17"/>
        <v>1005.6</v>
      </c>
      <c r="AJ1476" s="68">
        <f t="shared" si="47"/>
        <v>160.896</v>
      </c>
      <c r="AK1476" s="68">
        <f t="shared" si="48"/>
        <v>1166.496</v>
      </c>
      <c r="AL1476" s="70"/>
      <c r="AM1476" s="70"/>
      <c r="AN1476" s="71"/>
      <c r="AO1476" s="71"/>
      <c r="AP1476" s="71"/>
      <c r="AQ1476" s="71"/>
      <c r="AR1476" s="71"/>
      <c r="AS1476" s="71"/>
      <c r="AT1476" s="71"/>
      <c r="AU1476" s="71"/>
      <c r="AV1476" s="71"/>
      <c r="AW1476" s="71"/>
      <c r="AX1476" s="71"/>
      <c r="AY1476" s="71"/>
      <c r="AZ1476" s="71"/>
      <c r="BA1476" s="71"/>
      <c r="BB1476" s="71"/>
      <c r="BC1476" s="71"/>
      <c r="BD1476" s="71"/>
      <c r="BE1476" s="71"/>
      <c r="BF1476" s="71"/>
      <c r="BG1476" s="71"/>
      <c r="BH1476" s="71"/>
      <c r="BI1476" s="71"/>
      <c r="BJ1476" s="71"/>
      <c r="BK1476" s="71"/>
      <c r="BL1476" s="71"/>
      <c r="BM1476" s="71"/>
      <c r="BN1476" s="71"/>
      <c r="BO1476" s="71"/>
      <c r="BP1476" s="71"/>
      <c r="BQ1476" s="71"/>
      <c r="BR1476" s="71"/>
      <c r="BS1476" s="71"/>
      <c r="BT1476" s="71"/>
      <c r="BU1476" s="71"/>
      <c r="BV1476" s="71"/>
    </row>
    <row r="1477">
      <c r="A1477" s="53"/>
      <c r="B1477" s="53"/>
      <c r="C1477" s="73" t="s">
        <v>12</v>
      </c>
      <c r="D1477" s="53" t="s">
        <v>3668</v>
      </c>
      <c r="E1477" s="54" t="s">
        <v>38</v>
      </c>
      <c r="F1477" s="54" t="s">
        <v>42</v>
      </c>
      <c r="G1477" s="55" t="s">
        <v>3669</v>
      </c>
      <c r="H1477" s="55" t="s">
        <v>3670</v>
      </c>
      <c r="I1477" s="54">
        <f t="shared" si="24"/>
        <v>37</v>
      </c>
      <c r="J1477" s="56"/>
      <c r="K1477" s="57"/>
      <c r="L1477" s="76" t="s">
        <v>661</v>
      </c>
      <c r="M1477" s="59"/>
      <c r="N1477" s="60"/>
      <c r="O1477" s="90"/>
      <c r="P1477" s="62">
        <v>931.67</v>
      </c>
      <c r="Q1477" s="63">
        <v>931.67</v>
      </c>
      <c r="R1477" s="64">
        <v>979.0</v>
      </c>
      <c r="S1477" s="111">
        <v>1028.0</v>
      </c>
      <c r="T1477" s="65">
        <f t="shared" si="39"/>
        <v>164.48</v>
      </c>
      <c r="U1477" s="65">
        <f t="shared" si="40"/>
        <v>1192.48</v>
      </c>
      <c r="V1477" s="66">
        <f t="shared" si="42"/>
        <v>0.05005107252</v>
      </c>
      <c r="W1477" s="67">
        <f t="shared" si="5"/>
        <v>976.6</v>
      </c>
      <c r="X1477" s="67">
        <f t="shared" si="43"/>
        <v>156.256</v>
      </c>
      <c r="Y1477" s="67">
        <f t="shared" si="44"/>
        <v>1132.856</v>
      </c>
      <c r="Z1477" s="67">
        <f t="shared" si="8"/>
        <v>925.2</v>
      </c>
      <c r="AA1477" s="67">
        <f t="shared" si="45"/>
        <v>148.032</v>
      </c>
      <c r="AB1477" s="67">
        <f t="shared" si="46"/>
        <v>1073.232</v>
      </c>
      <c r="AC1477" s="67">
        <f t="shared" si="11"/>
        <v>873.8</v>
      </c>
      <c r="AD1477" s="67">
        <f t="shared" si="12"/>
        <v>139.808</v>
      </c>
      <c r="AE1477" s="67">
        <f t="shared" si="13"/>
        <v>1013.608</v>
      </c>
      <c r="AF1477" s="67">
        <f t="shared" si="33"/>
        <v>853.24</v>
      </c>
      <c r="AG1477" s="67">
        <f t="shared" si="15"/>
        <v>136.5184</v>
      </c>
      <c r="AH1477" s="67">
        <f t="shared" si="16"/>
        <v>989.7584</v>
      </c>
      <c r="AI1477" s="67">
        <f t="shared" si="17"/>
        <v>822.4</v>
      </c>
      <c r="AJ1477" s="68">
        <f t="shared" si="47"/>
        <v>131.584</v>
      </c>
      <c r="AK1477" s="68">
        <f t="shared" si="48"/>
        <v>953.984</v>
      </c>
      <c r="AL1477" s="70"/>
      <c r="AM1477" s="70"/>
      <c r="AN1477" s="71"/>
      <c r="AO1477" s="71"/>
      <c r="AP1477" s="71"/>
      <c r="AQ1477" s="71"/>
      <c r="AR1477" s="71"/>
      <c r="AS1477" s="71"/>
      <c r="AT1477" s="71"/>
      <c r="AU1477" s="71"/>
      <c r="AV1477" s="71"/>
      <c r="AW1477" s="71"/>
      <c r="AX1477" s="71"/>
      <c r="AY1477" s="71"/>
      <c r="AZ1477" s="71"/>
      <c r="BA1477" s="71"/>
      <c r="BB1477" s="71"/>
      <c r="BC1477" s="71"/>
      <c r="BD1477" s="71"/>
      <c r="BE1477" s="71"/>
      <c r="BF1477" s="71"/>
      <c r="BG1477" s="71"/>
      <c r="BH1477" s="71"/>
      <c r="BI1477" s="71"/>
      <c r="BJ1477" s="71"/>
      <c r="BK1477" s="71"/>
      <c r="BL1477" s="71"/>
      <c r="BM1477" s="71"/>
      <c r="BN1477" s="71"/>
      <c r="BO1477" s="71"/>
      <c r="BP1477" s="71"/>
      <c r="BQ1477" s="71"/>
      <c r="BR1477" s="71"/>
      <c r="BS1477" s="71"/>
      <c r="BT1477" s="71"/>
      <c r="BU1477" s="71"/>
      <c r="BV1477" s="71"/>
    </row>
    <row r="1478">
      <c r="A1478" s="53"/>
      <c r="B1478" s="53"/>
      <c r="C1478" s="73" t="s">
        <v>12</v>
      </c>
      <c r="D1478" s="53" t="s">
        <v>3671</v>
      </c>
      <c r="E1478" s="54" t="s">
        <v>38</v>
      </c>
      <c r="F1478" s="54" t="s">
        <v>42</v>
      </c>
      <c r="G1478" s="55" t="s">
        <v>3672</v>
      </c>
      <c r="H1478" s="54" t="s">
        <v>3673</v>
      </c>
      <c r="I1478" s="54">
        <f t="shared" si="24"/>
        <v>37</v>
      </c>
      <c r="J1478" s="56"/>
      <c r="K1478" s="57"/>
      <c r="L1478" s="76" t="s">
        <v>661</v>
      </c>
      <c r="M1478" s="59"/>
      <c r="N1478" s="79"/>
      <c r="O1478" s="61">
        <v>53250.0</v>
      </c>
      <c r="P1478" s="62">
        <v>57510.00000000001</v>
      </c>
      <c r="Q1478" s="63">
        <v>57510.00000000001</v>
      </c>
      <c r="R1478" s="64">
        <v>60386.0</v>
      </c>
      <c r="S1478" s="111">
        <v>63405.0</v>
      </c>
      <c r="T1478" s="65">
        <f t="shared" si="39"/>
        <v>10144.8</v>
      </c>
      <c r="U1478" s="65">
        <f t="shared" si="40"/>
        <v>73549.8</v>
      </c>
      <c r="V1478" s="66">
        <f t="shared" si="42"/>
        <v>0.04999503196</v>
      </c>
      <c r="W1478" s="67">
        <f t="shared" si="5"/>
        <v>60234.75</v>
      </c>
      <c r="X1478" s="67">
        <f t="shared" si="43"/>
        <v>9637.56</v>
      </c>
      <c r="Y1478" s="67">
        <f t="shared" si="44"/>
        <v>69872.31</v>
      </c>
      <c r="Z1478" s="67">
        <f t="shared" si="8"/>
        <v>57064.5</v>
      </c>
      <c r="AA1478" s="67">
        <f t="shared" si="45"/>
        <v>9130.32</v>
      </c>
      <c r="AB1478" s="67">
        <f t="shared" si="46"/>
        <v>66194.82</v>
      </c>
      <c r="AC1478" s="67">
        <f t="shared" si="11"/>
        <v>53894.25</v>
      </c>
      <c r="AD1478" s="67">
        <f t="shared" si="12"/>
        <v>8623.08</v>
      </c>
      <c r="AE1478" s="67">
        <f t="shared" si="13"/>
        <v>62517.33</v>
      </c>
      <c r="AF1478" s="67">
        <f t="shared" si="33"/>
        <v>52626.15</v>
      </c>
      <c r="AG1478" s="67">
        <f t="shared" si="15"/>
        <v>8420.184</v>
      </c>
      <c r="AH1478" s="67">
        <f t="shared" si="16"/>
        <v>61046.334</v>
      </c>
      <c r="AI1478" s="67">
        <f t="shared" si="17"/>
        <v>50724</v>
      </c>
      <c r="AJ1478" s="68">
        <f t="shared" si="47"/>
        <v>8115.84</v>
      </c>
      <c r="AK1478" s="68">
        <f t="shared" si="48"/>
        <v>58839.84</v>
      </c>
      <c r="AL1478" s="70"/>
      <c r="AM1478" s="70"/>
      <c r="AN1478" s="71"/>
      <c r="AO1478" s="71"/>
      <c r="AP1478" s="71"/>
      <c r="AQ1478" s="71"/>
      <c r="AR1478" s="71"/>
      <c r="AS1478" s="71"/>
      <c r="AT1478" s="71"/>
      <c r="AU1478" s="71"/>
      <c r="AV1478" s="71"/>
      <c r="AW1478" s="71"/>
      <c r="AX1478" s="71"/>
      <c r="AY1478" s="71"/>
      <c r="AZ1478" s="71"/>
      <c r="BA1478" s="71"/>
      <c r="BB1478" s="71"/>
      <c r="BC1478" s="71"/>
      <c r="BD1478" s="71"/>
      <c r="BE1478" s="71"/>
      <c r="BF1478" s="71"/>
      <c r="BG1478" s="71"/>
      <c r="BH1478" s="71"/>
      <c r="BI1478" s="71"/>
      <c r="BJ1478" s="71"/>
      <c r="BK1478" s="71"/>
      <c r="BL1478" s="71"/>
      <c r="BM1478" s="71"/>
      <c r="BN1478" s="71"/>
      <c r="BO1478" s="71"/>
      <c r="BP1478" s="71"/>
      <c r="BQ1478" s="71"/>
      <c r="BR1478" s="71"/>
      <c r="BS1478" s="71"/>
      <c r="BT1478" s="71"/>
      <c r="BU1478" s="71"/>
      <c r="BV1478" s="71"/>
    </row>
    <row r="1479">
      <c r="A1479" s="53"/>
      <c r="B1479" s="53"/>
      <c r="C1479" s="53" t="s">
        <v>12</v>
      </c>
      <c r="D1479" s="53" t="s">
        <v>3674</v>
      </c>
      <c r="E1479" s="86" t="s">
        <v>1177</v>
      </c>
      <c r="F1479" s="91" t="s">
        <v>42</v>
      </c>
      <c r="G1479" s="84" t="s">
        <v>3675</v>
      </c>
      <c r="H1479" s="84" t="s">
        <v>3675</v>
      </c>
      <c r="I1479" s="54">
        <f t="shared" si="24"/>
        <v>40</v>
      </c>
      <c r="J1479" s="56"/>
      <c r="K1479" s="57"/>
      <c r="L1479" s="76"/>
      <c r="M1479" s="59"/>
      <c r="N1479" s="60"/>
      <c r="O1479" s="90"/>
      <c r="P1479" s="62">
        <v>144.0</v>
      </c>
      <c r="Q1479" s="63">
        <v>144.0</v>
      </c>
      <c r="R1479" s="64">
        <v>152.0</v>
      </c>
      <c r="S1479" s="111">
        <v>160.0</v>
      </c>
      <c r="T1479" s="65">
        <f t="shared" si="39"/>
        <v>25.6</v>
      </c>
      <c r="U1479" s="65">
        <f t="shared" si="40"/>
        <v>185.6</v>
      </c>
      <c r="V1479" s="66">
        <f t="shared" si="42"/>
        <v>0.05263157895</v>
      </c>
      <c r="W1479" s="67">
        <f t="shared" si="5"/>
        <v>152</v>
      </c>
      <c r="X1479" s="67">
        <f t="shared" si="43"/>
        <v>24.32</v>
      </c>
      <c r="Y1479" s="67">
        <f t="shared" si="44"/>
        <v>176.32</v>
      </c>
      <c r="Z1479" s="67">
        <f t="shared" si="8"/>
        <v>144</v>
      </c>
      <c r="AA1479" s="67">
        <f t="shared" si="45"/>
        <v>23.04</v>
      </c>
      <c r="AB1479" s="67">
        <f t="shared" si="46"/>
        <v>167.04</v>
      </c>
      <c r="AC1479" s="67">
        <f t="shared" si="11"/>
        <v>136</v>
      </c>
      <c r="AD1479" s="67">
        <f t="shared" si="12"/>
        <v>21.76</v>
      </c>
      <c r="AE1479" s="67">
        <f t="shared" si="13"/>
        <v>157.76</v>
      </c>
      <c r="AF1479" s="67">
        <f t="shared" si="33"/>
        <v>132.8</v>
      </c>
      <c r="AG1479" s="67">
        <f t="shared" si="15"/>
        <v>21.248</v>
      </c>
      <c r="AH1479" s="67">
        <f t="shared" si="16"/>
        <v>154.048</v>
      </c>
      <c r="AI1479" s="67">
        <f t="shared" si="17"/>
        <v>128</v>
      </c>
      <c r="AJ1479" s="68">
        <f t="shared" si="47"/>
        <v>20.48</v>
      </c>
      <c r="AK1479" s="68">
        <f t="shared" si="48"/>
        <v>148.48</v>
      </c>
      <c r="AL1479" s="70"/>
      <c r="AM1479" s="70"/>
      <c r="AN1479" s="71"/>
      <c r="AO1479" s="71"/>
      <c r="AP1479" s="71"/>
      <c r="AQ1479" s="71"/>
      <c r="AR1479" s="71"/>
      <c r="AS1479" s="71"/>
      <c r="AT1479" s="71"/>
      <c r="AU1479" s="71"/>
      <c r="AV1479" s="71"/>
      <c r="AW1479" s="71"/>
      <c r="AX1479" s="71"/>
      <c r="AY1479" s="71"/>
      <c r="AZ1479" s="71"/>
      <c r="BA1479" s="71"/>
      <c r="BB1479" s="71"/>
      <c r="BC1479" s="71"/>
      <c r="BD1479" s="71"/>
      <c r="BE1479" s="71"/>
      <c r="BF1479" s="71"/>
      <c r="BG1479" s="71"/>
      <c r="BH1479" s="71"/>
      <c r="BI1479" s="71"/>
      <c r="BJ1479" s="71"/>
      <c r="BK1479" s="71"/>
      <c r="BL1479" s="71"/>
      <c r="BM1479" s="71"/>
      <c r="BN1479" s="71"/>
      <c r="BO1479" s="71"/>
      <c r="BP1479" s="71"/>
      <c r="BQ1479" s="71"/>
      <c r="BR1479" s="71"/>
      <c r="BS1479" s="71"/>
      <c r="BT1479" s="71"/>
      <c r="BU1479" s="71"/>
      <c r="BV1479" s="71"/>
    </row>
    <row r="1480">
      <c r="A1480" s="53"/>
      <c r="B1480" s="53"/>
      <c r="C1480" s="53" t="s">
        <v>12</v>
      </c>
      <c r="D1480" s="53" t="s">
        <v>3676</v>
      </c>
      <c r="E1480" s="86" t="s">
        <v>1177</v>
      </c>
      <c r="F1480" s="91" t="s">
        <v>42</v>
      </c>
      <c r="G1480" s="84" t="s">
        <v>3677</v>
      </c>
      <c r="H1480" s="84" t="s">
        <v>3677</v>
      </c>
      <c r="I1480" s="54">
        <f t="shared" si="24"/>
        <v>34</v>
      </c>
      <c r="J1480" s="56"/>
      <c r="K1480" s="57"/>
      <c r="L1480" s="76"/>
      <c r="M1480" s="59"/>
      <c r="N1480" s="79"/>
      <c r="O1480" s="90"/>
      <c r="P1480" s="90"/>
      <c r="Q1480" s="94"/>
      <c r="R1480" s="64">
        <v>294.0</v>
      </c>
      <c r="S1480" s="111">
        <v>309.0</v>
      </c>
      <c r="T1480" s="65">
        <f t="shared" si="39"/>
        <v>49.44</v>
      </c>
      <c r="U1480" s="65">
        <f t="shared" si="40"/>
        <v>358.44</v>
      </c>
      <c r="V1480" s="66">
        <f t="shared" si="42"/>
        <v>0.05102040816</v>
      </c>
      <c r="W1480" s="67">
        <f t="shared" si="5"/>
        <v>293.55</v>
      </c>
      <c r="X1480" s="67">
        <f t="shared" si="43"/>
        <v>46.968</v>
      </c>
      <c r="Y1480" s="67">
        <f t="shared" si="44"/>
        <v>340.518</v>
      </c>
      <c r="Z1480" s="67">
        <f t="shared" si="8"/>
        <v>278.1</v>
      </c>
      <c r="AA1480" s="67">
        <f t="shared" si="45"/>
        <v>44.496</v>
      </c>
      <c r="AB1480" s="67">
        <f t="shared" si="46"/>
        <v>322.596</v>
      </c>
      <c r="AC1480" s="67">
        <f t="shared" si="11"/>
        <v>262.65</v>
      </c>
      <c r="AD1480" s="67">
        <f t="shared" si="12"/>
        <v>42.024</v>
      </c>
      <c r="AE1480" s="67">
        <f t="shared" si="13"/>
        <v>304.674</v>
      </c>
      <c r="AF1480" s="67">
        <f t="shared" si="33"/>
        <v>256.47</v>
      </c>
      <c r="AG1480" s="67">
        <f t="shared" si="15"/>
        <v>41.0352</v>
      </c>
      <c r="AH1480" s="67">
        <f t="shared" si="16"/>
        <v>297.5052</v>
      </c>
      <c r="AI1480" s="67">
        <f t="shared" si="17"/>
        <v>247.2</v>
      </c>
      <c r="AJ1480" s="68">
        <f t="shared" si="47"/>
        <v>39.552</v>
      </c>
      <c r="AK1480" s="68">
        <f t="shared" si="48"/>
        <v>286.752</v>
      </c>
      <c r="AL1480" s="70"/>
      <c r="AM1480" s="70"/>
      <c r="AN1480" s="71"/>
      <c r="AO1480" s="71"/>
      <c r="AP1480" s="71"/>
      <c r="AQ1480" s="71"/>
      <c r="AR1480" s="71"/>
      <c r="AS1480" s="71"/>
      <c r="AT1480" s="71"/>
      <c r="AU1480" s="71"/>
      <c r="AV1480" s="71"/>
      <c r="AW1480" s="71"/>
      <c r="AX1480" s="71"/>
      <c r="AY1480" s="71"/>
      <c r="AZ1480" s="71"/>
      <c r="BA1480" s="71"/>
      <c r="BB1480" s="71"/>
      <c r="BC1480" s="71"/>
      <c r="BD1480" s="71"/>
      <c r="BE1480" s="71"/>
      <c r="BF1480" s="71"/>
      <c r="BG1480" s="71"/>
      <c r="BH1480" s="71"/>
      <c r="BI1480" s="71"/>
      <c r="BJ1480" s="71"/>
      <c r="BK1480" s="71"/>
      <c r="BL1480" s="71"/>
      <c r="BM1480" s="71"/>
      <c r="BN1480" s="71"/>
      <c r="BO1480" s="71"/>
      <c r="BP1480" s="71"/>
      <c r="BQ1480" s="71"/>
      <c r="BR1480" s="71"/>
      <c r="BS1480" s="71"/>
      <c r="BT1480" s="71"/>
      <c r="BU1480" s="71"/>
      <c r="BV1480" s="71"/>
    </row>
    <row r="1481">
      <c r="A1481" s="53">
        <v>1.0</v>
      </c>
      <c r="B1481" s="53"/>
      <c r="C1481" s="53" t="s">
        <v>12</v>
      </c>
      <c r="D1481" s="53" t="s">
        <v>3678</v>
      </c>
      <c r="E1481" s="86" t="s">
        <v>1177</v>
      </c>
      <c r="F1481" s="91" t="s">
        <v>42</v>
      </c>
      <c r="G1481" s="84" t="s">
        <v>3679</v>
      </c>
      <c r="H1481" s="55" t="s">
        <v>3680</v>
      </c>
      <c r="I1481" s="54">
        <f t="shared" si="24"/>
        <v>35</v>
      </c>
      <c r="J1481" s="56"/>
      <c r="K1481" s="57"/>
      <c r="L1481" s="126"/>
      <c r="M1481" s="59"/>
      <c r="N1481" s="93"/>
      <c r="O1481" s="61"/>
      <c r="P1481" s="90"/>
      <c r="Q1481" s="94"/>
      <c r="R1481" s="95">
        <v>152.0</v>
      </c>
      <c r="S1481" s="111">
        <v>160.0</v>
      </c>
      <c r="T1481" s="65">
        <f t="shared" si="39"/>
        <v>25.6</v>
      </c>
      <c r="U1481" s="65">
        <f t="shared" si="40"/>
        <v>185.6</v>
      </c>
      <c r="V1481" s="66">
        <f t="shared" si="42"/>
        <v>0.05263157895</v>
      </c>
      <c r="W1481" s="67">
        <f t="shared" si="5"/>
        <v>152</v>
      </c>
      <c r="X1481" s="67">
        <f t="shared" si="43"/>
        <v>24.32</v>
      </c>
      <c r="Y1481" s="67">
        <f t="shared" si="44"/>
        <v>176.32</v>
      </c>
      <c r="Z1481" s="67">
        <f t="shared" si="8"/>
        <v>144</v>
      </c>
      <c r="AA1481" s="67">
        <f t="shared" si="45"/>
        <v>23.04</v>
      </c>
      <c r="AB1481" s="67">
        <f t="shared" si="46"/>
        <v>167.04</v>
      </c>
      <c r="AC1481" s="67">
        <f t="shared" si="11"/>
        <v>136</v>
      </c>
      <c r="AD1481" s="67">
        <f t="shared" si="12"/>
        <v>21.76</v>
      </c>
      <c r="AE1481" s="67">
        <f t="shared" si="13"/>
        <v>157.76</v>
      </c>
      <c r="AF1481" s="67">
        <f t="shared" si="33"/>
        <v>132.8</v>
      </c>
      <c r="AG1481" s="67">
        <f t="shared" si="15"/>
        <v>21.248</v>
      </c>
      <c r="AH1481" s="67">
        <f t="shared" si="16"/>
        <v>154.048</v>
      </c>
      <c r="AI1481" s="67">
        <f t="shared" si="17"/>
        <v>128</v>
      </c>
      <c r="AJ1481" s="96"/>
      <c r="AK1481" s="96"/>
      <c r="AL1481" s="70"/>
      <c r="AM1481" s="70"/>
      <c r="AN1481" s="71"/>
      <c r="AO1481" s="71"/>
      <c r="AP1481" s="71"/>
      <c r="AQ1481" s="71"/>
      <c r="AR1481" s="71"/>
      <c r="AS1481" s="71"/>
      <c r="AT1481" s="71"/>
      <c r="AU1481" s="71"/>
      <c r="AV1481" s="71"/>
      <c r="AW1481" s="71"/>
      <c r="AX1481" s="71"/>
      <c r="AY1481" s="71"/>
      <c r="AZ1481" s="71"/>
      <c r="BA1481" s="71"/>
      <c r="BB1481" s="71"/>
      <c r="BC1481" s="71"/>
      <c r="BD1481" s="71"/>
      <c r="BE1481" s="71"/>
      <c r="BF1481" s="71"/>
      <c r="BG1481" s="71"/>
      <c r="BH1481" s="71"/>
      <c r="BI1481" s="71"/>
      <c r="BJ1481" s="71"/>
      <c r="BK1481" s="71"/>
      <c r="BL1481" s="71"/>
      <c r="BM1481" s="71"/>
      <c r="BN1481" s="71"/>
      <c r="BO1481" s="71"/>
      <c r="BP1481" s="71"/>
      <c r="BQ1481" s="71"/>
      <c r="BR1481" s="71"/>
      <c r="BS1481" s="71"/>
      <c r="BT1481" s="71"/>
      <c r="BU1481" s="71"/>
      <c r="BV1481" s="71"/>
    </row>
    <row r="1482">
      <c r="A1482" s="53"/>
      <c r="B1482" s="53"/>
      <c r="C1482" s="53" t="s">
        <v>12</v>
      </c>
      <c r="D1482" s="53" t="s">
        <v>3681</v>
      </c>
      <c r="E1482" s="55" t="s">
        <v>1177</v>
      </c>
      <c r="F1482" s="91" t="s">
        <v>42</v>
      </c>
      <c r="G1482" s="84" t="s">
        <v>3682</v>
      </c>
      <c r="H1482" s="84" t="s">
        <v>3683</v>
      </c>
      <c r="I1482" s="54">
        <f t="shared" si="24"/>
        <v>32</v>
      </c>
      <c r="J1482" s="56"/>
      <c r="K1482" s="57"/>
      <c r="L1482" s="76"/>
      <c r="M1482" s="59"/>
      <c r="N1482" s="60"/>
      <c r="O1482" s="90"/>
      <c r="P1482" s="62">
        <v>460.8</v>
      </c>
      <c r="Q1482" s="63">
        <v>460.8</v>
      </c>
      <c r="R1482" s="64">
        <v>485.0</v>
      </c>
      <c r="S1482" s="111">
        <v>509.0</v>
      </c>
      <c r="T1482" s="65">
        <f t="shared" si="39"/>
        <v>81.44</v>
      </c>
      <c r="U1482" s="65">
        <f t="shared" si="40"/>
        <v>590.44</v>
      </c>
      <c r="V1482" s="66">
        <f t="shared" si="42"/>
        <v>0.04948453608</v>
      </c>
      <c r="W1482" s="67">
        <f t="shared" si="5"/>
        <v>483.55</v>
      </c>
      <c r="X1482" s="67">
        <f t="shared" si="43"/>
        <v>77.368</v>
      </c>
      <c r="Y1482" s="67">
        <f t="shared" si="44"/>
        <v>560.918</v>
      </c>
      <c r="Z1482" s="67">
        <f t="shared" si="8"/>
        <v>458.1</v>
      </c>
      <c r="AA1482" s="67">
        <f t="shared" si="45"/>
        <v>73.296</v>
      </c>
      <c r="AB1482" s="67">
        <f t="shared" si="46"/>
        <v>531.396</v>
      </c>
      <c r="AC1482" s="67">
        <f t="shared" si="11"/>
        <v>432.65</v>
      </c>
      <c r="AD1482" s="67">
        <f t="shared" si="12"/>
        <v>69.224</v>
      </c>
      <c r="AE1482" s="67">
        <f t="shared" si="13"/>
        <v>501.874</v>
      </c>
      <c r="AF1482" s="67">
        <f t="shared" si="33"/>
        <v>422.47</v>
      </c>
      <c r="AG1482" s="67">
        <f t="shared" si="15"/>
        <v>67.5952</v>
      </c>
      <c r="AH1482" s="67">
        <f t="shared" si="16"/>
        <v>490.0652</v>
      </c>
      <c r="AI1482" s="67">
        <f t="shared" si="17"/>
        <v>407.2</v>
      </c>
      <c r="AJ1482" s="68">
        <f t="shared" ref="AJ1482:AJ1490" si="49">AI1482*0.16</f>
        <v>65.152</v>
      </c>
      <c r="AK1482" s="68">
        <f t="shared" ref="AK1482:AK1490" si="50">AI1482+AJ1482</f>
        <v>472.352</v>
      </c>
      <c r="AL1482" s="70"/>
      <c r="AM1482" s="70"/>
      <c r="AN1482" s="71"/>
      <c r="AO1482" s="71"/>
      <c r="AP1482" s="71"/>
      <c r="AQ1482" s="71"/>
      <c r="AR1482" s="71"/>
      <c r="AS1482" s="71"/>
      <c r="AT1482" s="71"/>
      <c r="AU1482" s="71"/>
      <c r="AV1482" s="71"/>
      <c r="AW1482" s="71"/>
      <c r="AX1482" s="71"/>
      <c r="AY1482" s="71"/>
      <c r="AZ1482" s="71"/>
      <c r="BA1482" s="71"/>
      <c r="BB1482" s="71"/>
      <c r="BC1482" s="71"/>
      <c r="BD1482" s="71"/>
      <c r="BE1482" s="71"/>
      <c r="BF1482" s="71"/>
      <c r="BG1482" s="71"/>
      <c r="BH1482" s="71"/>
      <c r="BI1482" s="71"/>
      <c r="BJ1482" s="71"/>
      <c r="BK1482" s="71"/>
      <c r="BL1482" s="71"/>
      <c r="BM1482" s="71"/>
      <c r="BN1482" s="71"/>
      <c r="BO1482" s="71"/>
      <c r="BP1482" s="71"/>
      <c r="BQ1482" s="71"/>
      <c r="BR1482" s="71"/>
      <c r="BS1482" s="71"/>
      <c r="BT1482" s="71"/>
      <c r="BU1482" s="71"/>
      <c r="BV1482" s="71"/>
    </row>
    <row r="1483">
      <c r="A1483" s="53"/>
      <c r="B1483" s="53"/>
      <c r="C1483" s="53" t="s">
        <v>12</v>
      </c>
      <c r="D1483" s="53" t="s">
        <v>3684</v>
      </c>
      <c r="E1483" s="86" t="s">
        <v>1177</v>
      </c>
      <c r="F1483" s="91" t="s">
        <v>42</v>
      </c>
      <c r="G1483" s="84" t="s">
        <v>3685</v>
      </c>
      <c r="H1483" s="84" t="s">
        <v>3686</v>
      </c>
      <c r="I1483" s="54">
        <f t="shared" si="24"/>
        <v>34</v>
      </c>
      <c r="J1483" s="56"/>
      <c r="K1483" s="57"/>
      <c r="L1483" s="76"/>
      <c r="M1483" s="59"/>
      <c r="N1483" s="60"/>
      <c r="O1483" s="90"/>
      <c r="P1483" s="62">
        <v>264.0</v>
      </c>
      <c r="Q1483" s="63">
        <v>264.0</v>
      </c>
      <c r="R1483" s="64">
        <v>278.0</v>
      </c>
      <c r="S1483" s="111">
        <v>292.0</v>
      </c>
      <c r="T1483" s="65">
        <f t="shared" si="39"/>
        <v>46.72</v>
      </c>
      <c r="U1483" s="65">
        <f t="shared" si="40"/>
        <v>338.72</v>
      </c>
      <c r="V1483" s="66">
        <f t="shared" si="42"/>
        <v>0.05035971223</v>
      </c>
      <c r="W1483" s="67">
        <f t="shared" si="5"/>
        <v>277.4</v>
      </c>
      <c r="X1483" s="67">
        <f t="shared" si="43"/>
        <v>44.384</v>
      </c>
      <c r="Y1483" s="67">
        <f t="shared" si="44"/>
        <v>321.784</v>
      </c>
      <c r="Z1483" s="67">
        <f t="shared" si="8"/>
        <v>262.8</v>
      </c>
      <c r="AA1483" s="67">
        <f t="shared" si="45"/>
        <v>42.048</v>
      </c>
      <c r="AB1483" s="67">
        <f t="shared" si="46"/>
        <v>304.848</v>
      </c>
      <c r="AC1483" s="67">
        <f t="shared" si="11"/>
        <v>248.2</v>
      </c>
      <c r="AD1483" s="67">
        <f t="shared" si="12"/>
        <v>39.712</v>
      </c>
      <c r="AE1483" s="67">
        <f t="shared" si="13"/>
        <v>287.912</v>
      </c>
      <c r="AF1483" s="67">
        <f t="shared" si="33"/>
        <v>242.36</v>
      </c>
      <c r="AG1483" s="67">
        <f t="shared" si="15"/>
        <v>38.7776</v>
      </c>
      <c r="AH1483" s="67">
        <f t="shared" si="16"/>
        <v>281.1376</v>
      </c>
      <c r="AI1483" s="67">
        <f t="shared" si="17"/>
        <v>233.6</v>
      </c>
      <c r="AJ1483" s="68">
        <f t="shared" si="49"/>
        <v>37.376</v>
      </c>
      <c r="AK1483" s="68">
        <f t="shared" si="50"/>
        <v>270.976</v>
      </c>
      <c r="AL1483" s="70"/>
      <c r="AM1483" s="70"/>
      <c r="AN1483" s="71"/>
      <c r="AO1483" s="71"/>
      <c r="AP1483" s="71"/>
      <c r="AQ1483" s="71"/>
      <c r="AR1483" s="71"/>
      <c r="AS1483" s="71"/>
      <c r="AT1483" s="71"/>
      <c r="AU1483" s="71"/>
      <c r="AV1483" s="71"/>
      <c r="AW1483" s="71"/>
      <c r="AX1483" s="71"/>
      <c r="AY1483" s="71"/>
      <c r="AZ1483" s="71"/>
      <c r="BA1483" s="71"/>
      <c r="BB1483" s="71"/>
      <c r="BC1483" s="71"/>
      <c r="BD1483" s="71"/>
      <c r="BE1483" s="71"/>
      <c r="BF1483" s="71"/>
      <c r="BG1483" s="71"/>
      <c r="BH1483" s="71"/>
      <c r="BI1483" s="71"/>
      <c r="BJ1483" s="71"/>
      <c r="BK1483" s="71"/>
      <c r="BL1483" s="71"/>
      <c r="BM1483" s="71"/>
      <c r="BN1483" s="71"/>
      <c r="BO1483" s="71"/>
      <c r="BP1483" s="71"/>
      <c r="BQ1483" s="71"/>
      <c r="BR1483" s="71"/>
      <c r="BS1483" s="71"/>
      <c r="BT1483" s="71"/>
      <c r="BU1483" s="71"/>
      <c r="BV1483" s="71"/>
    </row>
    <row r="1484">
      <c r="A1484" s="53"/>
      <c r="B1484" s="53"/>
      <c r="C1484" s="73" t="s">
        <v>12</v>
      </c>
      <c r="D1484" s="53" t="s">
        <v>3687</v>
      </c>
      <c r="E1484" s="54" t="s">
        <v>1177</v>
      </c>
      <c r="F1484" s="54" t="s">
        <v>42</v>
      </c>
      <c r="G1484" s="84" t="s">
        <v>3688</v>
      </c>
      <c r="H1484" s="84" t="s">
        <v>3689</v>
      </c>
      <c r="I1484" s="54">
        <f t="shared" si="24"/>
        <v>38</v>
      </c>
      <c r="J1484" s="56"/>
      <c r="K1484" s="57"/>
      <c r="L1484" s="76"/>
      <c r="M1484" s="59"/>
      <c r="N1484" s="60"/>
      <c r="O1484" s="90"/>
      <c r="P1484" s="62">
        <v>1536.0</v>
      </c>
      <c r="Q1484" s="63">
        <v>1536.0</v>
      </c>
      <c r="R1484" s="64">
        <v>1613.0</v>
      </c>
      <c r="S1484" s="111">
        <v>1694.0</v>
      </c>
      <c r="T1484" s="65">
        <f t="shared" si="39"/>
        <v>271.04</v>
      </c>
      <c r="U1484" s="65">
        <f t="shared" si="40"/>
        <v>1965.04</v>
      </c>
      <c r="V1484" s="66"/>
      <c r="W1484" s="67">
        <f t="shared" si="5"/>
        <v>1609.3</v>
      </c>
      <c r="X1484" s="67">
        <f t="shared" si="43"/>
        <v>257.488</v>
      </c>
      <c r="Y1484" s="67">
        <f t="shared" si="44"/>
        <v>1866.788</v>
      </c>
      <c r="Z1484" s="67">
        <f t="shared" si="8"/>
        <v>1524.6</v>
      </c>
      <c r="AA1484" s="67">
        <f t="shared" si="45"/>
        <v>243.936</v>
      </c>
      <c r="AB1484" s="67">
        <f t="shared" si="46"/>
        <v>1768.536</v>
      </c>
      <c r="AC1484" s="67">
        <f t="shared" si="11"/>
        <v>1439.9</v>
      </c>
      <c r="AD1484" s="67">
        <f t="shared" si="12"/>
        <v>230.384</v>
      </c>
      <c r="AE1484" s="67">
        <f t="shared" si="13"/>
        <v>1670.284</v>
      </c>
      <c r="AF1484" s="67">
        <f t="shared" si="33"/>
        <v>1406.02</v>
      </c>
      <c r="AG1484" s="67">
        <f t="shared" si="15"/>
        <v>224.9632</v>
      </c>
      <c r="AH1484" s="67">
        <f t="shared" si="16"/>
        <v>1630.9832</v>
      </c>
      <c r="AI1484" s="67">
        <f t="shared" si="17"/>
        <v>1355.2</v>
      </c>
      <c r="AJ1484" s="68">
        <f t="shared" si="49"/>
        <v>216.832</v>
      </c>
      <c r="AK1484" s="68">
        <f t="shared" si="50"/>
        <v>1572.032</v>
      </c>
      <c r="AL1484" s="70"/>
      <c r="AM1484" s="70"/>
      <c r="AN1484" s="71"/>
      <c r="AO1484" s="71"/>
      <c r="AP1484" s="71"/>
      <c r="AQ1484" s="71"/>
      <c r="AR1484" s="71"/>
      <c r="AS1484" s="71"/>
      <c r="AT1484" s="71"/>
      <c r="AU1484" s="71"/>
      <c r="AV1484" s="71"/>
      <c r="AW1484" s="71"/>
      <c r="AX1484" s="71"/>
      <c r="AY1484" s="71"/>
      <c r="AZ1484" s="71"/>
      <c r="BA1484" s="71"/>
      <c r="BB1484" s="71"/>
      <c r="BC1484" s="71"/>
      <c r="BD1484" s="71"/>
      <c r="BE1484" s="71"/>
      <c r="BF1484" s="71"/>
      <c r="BG1484" s="71"/>
      <c r="BH1484" s="71"/>
      <c r="BI1484" s="71"/>
      <c r="BJ1484" s="71"/>
      <c r="BK1484" s="71"/>
      <c r="BL1484" s="71"/>
      <c r="BM1484" s="71"/>
      <c r="BN1484" s="71"/>
      <c r="BO1484" s="71"/>
      <c r="BP1484" s="71"/>
      <c r="BQ1484" s="71"/>
      <c r="BR1484" s="71"/>
      <c r="BS1484" s="71"/>
      <c r="BT1484" s="71"/>
      <c r="BU1484" s="71"/>
      <c r="BV1484" s="71"/>
    </row>
    <row r="1485">
      <c r="A1485" s="53"/>
      <c r="B1485" s="53"/>
      <c r="C1485" s="53" t="s">
        <v>12</v>
      </c>
      <c r="D1485" s="53" t="s">
        <v>3690</v>
      </c>
      <c r="E1485" s="54" t="s">
        <v>1177</v>
      </c>
      <c r="F1485" s="54" t="s">
        <v>42</v>
      </c>
      <c r="G1485" s="84" t="s">
        <v>3691</v>
      </c>
      <c r="H1485" s="84" t="s">
        <v>3692</v>
      </c>
      <c r="I1485" s="54">
        <f t="shared" si="24"/>
        <v>38</v>
      </c>
      <c r="J1485" s="56"/>
      <c r="K1485" s="57"/>
      <c r="L1485" s="76"/>
      <c r="M1485" s="59"/>
      <c r="N1485" s="60"/>
      <c r="O1485" s="90"/>
      <c r="P1485" s="62">
        <v>6290.0</v>
      </c>
      <c r="Q1485" s="63">
        <v>6290.0</v>
      </c>
      <c r="R1485" s="64">
        <v>6605.0</v>
      </c>
      <c r="S1485" s="111">
        <v>6935.0</v>
      </c>
      <c r="T1485" s="65">
        <f t="shared" si="39"/>
        <v>1109.6</v>
      </c>
      <c r="U1485" s="65">
        <f t="shared" si="40"/>
        <v>8044.6</v>
      </c>
      <c r="V1485" s="66"/>
      <c r="W1485" s="67">
        <f t="shared" si="5"/>
        <v>6588.25</v>
      </c>
      <c r="X1485" s="67">
        <f t="shared" si="43"/>
        <v>1054.12</v>
      </c>
      <c r="Y1485" s="67">
        <f t="shared" si="44"/>
        <v>7642.37</v>
      </c>
      <c r="Z1485" s="67">
        <f t="shared" si="8"/>
        <v>6241.5</v>
      </c>
      <c r="AA1485" s="67">
        <f t="shared" si="45"/>
        <v>998.64</v>
      </c>
      <c r="AB1485" s="67">
        <f t="shared" si="46"/>
        <v>7240.14</v>
      </c>
      <c r="AC1485" s="67">
        <f t="shared" si="11"/>
        <v>5894.75</v>
      </c>
      <c r="AD1485" s="67">
        <f t="shared" si="12"/>
        <v>943.16</v>
      </c>
      <c r="AE1485" s="67">
        <f t="shared" si="13"/>
        <v>6837.91</v>
      </c>
      <c r="AF1485" s="67">
        <f t="shared" si="33"/>
        <v>5756.05</v>
      </c>
      <c r="AG1485" s="67">
        <f t="shared" si="15"/>
        <v>920.968</v>
      </c>
      <c r="AH1485" s="67">
        <f t="shared" si="16"/>
        <v>6677.018</v>
      </c>
      <c r="AI1485" s="67">
        <f t="shared" si="17"/>
        <v>5548</v>
      </c>
      <c r="AJ1485" s="68">
        <f t="shared" si="49"/>
        <v>887.68</v>
      </c>
      <c r="AK1485" s="68">
        <f t="shared" si="50"/>
        <v>6435.68</v>
      </c>
      <c r="AL1485" s="70"/>
      <c r="AM1485" s="70"/>
      <c r="AN1485" s="71"/>
      <c r="AO1485" s="71"/>
      <c r="AP1485" s="71"/>
      <c r="AQ1485" s="71"/>
      <c r="AR1485" s="71"/>
      <c r="AS1485" s="71"/>
      <c r="AT1485" s="71"/>
      <c r="AU1485" s="71"/>
      <c r="AV1485" s="71"/>
      <c r="AW1485" s="71"/>
      <c r="AX1485" s="71"/>
      <c r="AY1485" s="71"/>
      <c r="AZ1485" s="71"/>
      <c r="BA1485" s="71"/>
      <c r="BB1485" s="71"/>
      <c r="BC1485" s="71"/>
      <c r="BD1485" s="71"/>
      <c r="BE1485" s="71"/>
      <c r="BF1485" s="71"/>
      <c r="BG1485" s="71"/>
      <c r="BH1485" s="71"/>
      <c r="BI1485" s="71"/>
      <c r="BJ1485" s="71"/>
      <c r="BK1485" s="71"/>
      <c r="BL1485" s="71"/>
      <c r="BM1485" s="71"/>
      <c r="BN1485" s="71"/>
      <c r="BO1485" s="71"/>
      <c r="BP1485" s="71"/>
      <c r="BQ1485" s="71"/>
      <c r="BR1485" s="71"/>
      <c r="BS1485" s="71"/>
      <c r="BT1485" s="71"/>
      <c r="BU1485" s="71"/>
      <c r="BV1485" s="71"/>
    </row>
    <row r="1486">
      <c r="A1486" s="53"/>
      <c r="B1486" s="53"/>
      <c r="C1486" s="53" t="s">
        <v>53</v>
      </c>
      <c r="D1486" s="53" t="s">
        <v>3693</v>
      </c>
      <c r="E1486" s="54" t="s">
        <v>38</v>
      </c>
      <c r="F1486" s="54" t="s">
        <v>42</v>
      </c>
      <c r="G1486" s="55" t="s">
        <v>3694</v>
      </c>
      <c r="H1486" s="55" t="s">
        <v>3694</v>
      </c>
      <c r="I1486" s="54">
        <f t="shared" si="24"/>
        <v>14</v>
      </c>
      <c r="J1486" s="56"/>
      <c r="K1486" s="57"/>
      <c r="L1486" s="76"/>
      <c r="M1486" s="59"/>
      <c r="N1486" s="60"/>
      <c r="O1486" s="90"/>
      <c r="P1486" s="62">
        <v>1000.0</v>
      </c>
      <c r="Q1486" s="63">
        <v>1000.0</v>
      </c>
      <c r="R1486" s="64">
        <v>1050.0</v>
      </c>
      <c r="S1486" s="111">
        <v>1103.0</v>
      </c>
      <c r="T1486" s="65">
        <f t="shared" si="39"/>
        <v>176.48</v>
      </c>
      <c r="U1486" s="65">
        <f t="shared" si="40"/>
        <v>1279.48</v>
      </c>
      <c r="V1486" s="66">
        <f>(S1486-R1486)/R1486</f>
        <v>0.05047619048</v>
      </c>
      <c r="W1486" s="67">
        <f t="shared" si="5"/>
        <v>1047.85</v>
      </c>
      <c r="X1486" s="67">
        <f t="shared" si="43"/>
        <v>167.656</v>
      </c>
      <c r="Y1486" s="67">
        <f t="shared" si="44"/>
        <v>1215.506</v>
      </c>
      <c r="Z1486" s="67">
        <f t="shared" si="8"/>
        <v>992.7</v>
      </c>
      <c r="AA1486" s="67">
        <f t="shared" si="45"/>
        <v>158.832</v>
      </c>
      <c r="AB1486" s="67">
        <f t="shared" si="46"/>
        <v>1151.532</v>
      </c>
      <c r="AC1486" s="67">
        <f t="shared" si="11"/>
        <v>937.55</v>
      </c>
      <c r="AD1486" s="67">
        <f t="shared" si="12"/>
        <v>150.008</v>
      </c>
      <c r="AE1486" s="67">
        <f t="shared" si="13"/>
        <v>1087.558</v>
      </c>
      <c r="AF1486" s="67">
        <f t="shared" si="33"/>
        <v>915.49</v>
      </c>
      <c r="AG1486" s="67">
        <f t="shared" si="15"/>
        <v>146.4784</v>
      </c>
      <c r="AH1486" s="67">
        <f t="shared" si="16"/>
        <v>1061.9684</v>
      </c>
      <c r="AI1486" s="67">
        <f t="shared" si="17"/>
        <v>882.4</v>
      </c>
      <c r="AJ1486" s="68">
        <f t="shared" si="49"/>
        <v>141.184</v>
      </c>
      <c r="AK1486" s="68">
        <f t="shared" si="50"/>
        <v>1023.584</v>
      </c>
      <c r="AL1486" s="70"/>
      <c r="AM1486" s="70"/>
      <c r="AN1486" s="71"/>
      <c r="AO1486" s="71"/>
      <c r="AP1486" s="71"/>
      <c r="AQ1486" s="71"/>
      <c r="AR1486" s="71"/>
      <c r="AS1486" s="71"/>
      <c r="AT1486" s="71"/>
      <c r="AU1486" s="71"/>
      <c r="AV1486" s="71"/>
      <c r="AW1486" s="71"/>
      <c r="AX1486" s="71"/>
      <c r="AY1486" s="71"/>
      <c r="AZ1486" s="71"/>
      <c r="BA1486" s="71"/>
      <c r="BB1486" s="71"/>
      <c r="BC1486" s="71"/>
      <c r="BD1486" s="71"/>
      <c r="BE1486" s="71"/>
      <c r="BF1486" s="71"/>
      <c r="BG1486" s="71"/>
      <c r="BH1486" s="71"/>
      <c r="BI1486" s="71"/>
      <c r="BJ1486" s="71"/>
      <c r="BK1486" s="71"/>
      <c r="BL1486" s="71"/>
      <c r="BM1486" s="71"/>
      <c r="BN1486" s="71"/>
      <c r="BO1486" s="71"/>
      <c r="BP1486" s="71"/>
      <c r="BQ1486" s="71"/>
      <c r="BR1486" s="71"/>
      <c r="BS1486" s="71"/>
      <c r="BT1486" s="71"/>
      <c r="BU1486" s="71"/>
      <c r="BV1486" s="71"/>
    </row>
    <row r="1487">
      <c r="A1487" s="53"/>
      <c r="B1487" s="53"/>
      <c r="C1487" s="53" t="s">
        <v>12</v>
      </c>
      <c r="D1487" s="53" t="s">
        <v>3695</v>
      </c>
      <c r="E1487" s="86" t="s">
        <v>1177</v>
      </c>
      <c r="F1487" s="91" t="s">
        <v>42</v>
      </c>
      <c r="G1487" s="84" t="s">
        <v>3696</v>
      </c>
      <c r="H1487" s="84" t="s">
        <v>3696</v>
      </c>
      <c r="I1487" s="54">
        <f t="shared" si="24"/>
        <v>37</v>
      </c>
      <c r="J1487" s="56"/>
      <c r="K1487" s="57"/>
      <c r="L1487" s="76"/>
      <c r="M1487" s="59"/>
      <c r="N1487" s="60"/>
      <c r="O1487" s="90"/>
      <c r="P1487" s="62">
        <v>1536.0</v>
      </c>
      <c r="Q1487" s="63">
        <v>1536.0</v>
      </c>
      <c r="R1487" s="64">
        <v>1613.0</v>
      </c>
      <c r="S1487" s="111">
        <v>1694.0</v>
      </c>
      <c r="T1487" s="65">
        <f t="shared" si="39"/>
        <v>271.04</v>
      </c>
      <c r="U1487" s="65">
        <f t="shared" si="40"/>
        <v>1965.04</v>
      </c>
      <c r="V1487" s="66"/>
      <c r="W1487" s="67">
        <f t="shared" si="5"/>
        <v>1609.3</v>
      </c>
      <c r="X1487" s="67"/>
      <c r="Y1487" s="67"/>
      <c r="Z1487" s="67">
        <f t="shared" si="8"/>
        <v>1524.6</v>
      </c>
      <c r="AA1487" s="67"/>
      <c r="AB1487" s="67"/>
      <c r="AC1487" s="67">
        <f t="shared" si="11"/>
        <v>1439.9</v>
      </c>
      <c r="AD1487" s="67">
        <f t="shared" si="12"/>
        <v>230.384</v>
      </c>
      <c r="AE1487" s="67">
        <f t="shared" si="13"/>
        <v>1670.284</v>
      </c>
      <c r="AF1487" s="67">
        <f t="shared" si="33"/>
        <v>1406.02</v>
      </c>
      <c r="AG1487" s="67">
        <f t="shared" si="15"/>
        <v>224.9632</v>
      </c>
      <c r="AH1487" s="67">
        <f t="shared" si="16"/>
        <v>1630.9832</v>
      </c>
      <c r="AI1487" s="67">
        <f t="shared" si="17"/>
        <v>1355.2</v>
      </c>
      <c r="AJ1487" s="68">
        <f t="shared" si="49"/>
        <v>216.832</v>
      </c>
      <c r="AK1487" s="68">
        <f t="shared" si="50"/>
        <v>1572.032</v>
      </c>
      <c r="AL1487" s="70"/>
      <c r="AM1487" s="70"/>
      <c r="AN1487" s="71"/>
      <c r="AO1487" s="71"/>
      <c r="AP1487" s="71"/>
      <c r="AQ1487" s="71"/>
      <c r="AR1487" s="71"/>
      <c r="AS1487" s="71"/>
      <c r="AT1487" s="71"/>
      <c r="AU1487" s="71"/>
      <c r="AV1487" s="71"/>
      <c r="AW1487" s="71"/>
      <c r="AX1487" s="71"/>
      <c r="AY1487" s="71"/>
      <c r="AZ1487" s="71"/>
      <c r="BA1487" s="71"/>
      <c r="BB1487" s="71"/>
      <c r="BC1487" s="71"/>
      <c r="BD1487" s="71"/>
      <c r="BE1487" s="71"/>
      <c r="BF1487" s="71"/>
      <c r="BG1487" s="71"/>
      <c r="BH1487" s="71"/>
      <c r="BI1487" s="71"/>
      <c r="BJ1487" s="71"/>
      <c r="BK1487" s="71"/>
      <c r="BL1487" s="71"/>
      <c r="BM1487" s="71"/>
      <c r="BN1487" s="71"/>
      <c r="BO1487" s="71"/>
      <c r="BP1487" s="71"/>
      <c r="BQ1487" s="71"/>
      <c r="BR1487" s="71"/>
      <c r="BS1487" s="71"/>
      <c r="BT1487" s="71"/>
      <c r="BU1487" s="71"/>
      <c r="BV1487" s="71"/>
    </row>
    <row r="1488">
      <c r="A1488" s="53"/>
      <c r="B1488" s="53"/>
      <c r="C1488" s="53" t="s">
        <v>12</v>
      </c>
      <c r="D1488" s="53" t="s">
        <v>3697</v>
      </c>
      <c r="E1488" s="86" t="s">
        <v>1177</v>
      </c>
      <c r="F1488" s="91" t="s">
        <v>42</v>
      </c>
      <c r="G1488" s="84" t="s">
        <v>3698</v>
      </c>
      <c r="H1488" s="84" t="s">
        <v>3698</v>
      </c>
      <c r="I1488" s="54">
        <f t="shared" si="24"/>
        <v>37</v>
      </c>
      <c r="J1488" s="56"/>
      <c r="K1488" s="57"/>
      <c r="L1488" s="76"/>
      <c r="M1488" s="59"/>
      <c r="N1488" s="60"/>
      <c r="O1488" s="90"/>
      <c r="P1488" s="62">
        <v>1344.0</v>
      </c>
      <c r="Q1488" s="63">
        <v>1344.0</v>
      </c>
      <c r="R1488" s="64">
        <v>1412.0</v>
      </c>
      <c r="S1488" s="111">
        <v>1483.0</v>
      </c>
      <c r="T1488" s="65">
        <f t="shared" si="39"/>
        <v>237.28</v>
      </c>
      <c r="U1488" s="65">
        <f t="shared" si="40"/>
        <v>1720.28</v>
      </c>
      <c r="V1488" s="66"/>
      <c r="W1488" s="67">
        <f t="shared" si="5"/>
        <v>1408.85</v>
      </c>
      <c r="X1488" s="67"/>
      <c r="Y1488" s="67"/>
      <c r="Z1488" s="67">
        <f t="shared" si="8"/>
        <v>1334.7</v>
      </c>
      <c r="AA1488" s="67"/>
      <c r="AB1488" s="67"/>
      <c r="AC1488" s="67">
        <f t="shared" si="11"/>
        <v>1260.55</v>
      </c>
      <c r="AD1488" s="67"/>
      <c r="AE1488" s="67"/>
      <c r="AF1488" s="67">
        <f t="shared" si="33"/>
        <v>1230.89</v>
      </c>
      <c r="AG1488" s="67"/>
      <c r="AH1488" s="67"/>
      <c r="AI1488" s="67">
        <f t="shared" si="17"/>
        <v>1186.4</v>
      </c>
      <c r="AJ1488" s="68">
        <f t="shared" si="49"/>
        <v>189.824</v>
      </c>
      <c r="AK1488" s="68">
        <f t="shared" si="50"/>
        <v>1376.224</v>
      </c>
      <c r="AL1488" s="70"/>
      <c r="AM1488" s="70"/>
      <c r="AN1488" s="71"/>
      <c r="AO1488" s="71"/>
      <c r="AP1488" s="71"/>
      <c r="AQ1488" s="71"/>
      <c r="AR1488" s="71"/>
      <c r="AS1488" s="71"/>
      <c r="AT1488" s="71"/>
      <c r="AU1488" s="71"/>
      <c r="AV1488" s="71"/>
      <c r="AW1488" s="71"/>
      <c r="AX1488" s="71"/>
      <c r="AY1488" s="71"/>
      <c r="AZ1488" s="71"/>
      <c r="BA1488" s="71"/>
      <c r="BB1488" s="71"/>
      <c r="BC1488" s="71"/>
      <c r="BD1488" s="71"/>
      <c r="BE1488" s="71"/>
      <c r="BF1488" s="71"/>
      <c r="BG1488" s="71"/>
      <c r="BH1488" s="71"/>
      <c r="BI1488" s="71"/>
      <c r="BJ1488" s="71"/>
      <c r="BK1488" s="71"/>
      <c r="BL1488" s="71"/>
      <c r="BM1488" s="71"/>
      <c r="BN1488" s="71"/>
      <c r="BO1488" s="71"/>
      <c r="BP1488" s="71"/>
      <c r="BQ1488" s="71"/>
      <c r="BR1488" s="71"/>
      <c r="BS1488" s="71"/>
      <c r="BT1488" s="71"/>
      <c r="BU1488" s="71"/>
      <c r="BV1488" s="71"/>
    </row>
    <row r="1489">
      <c r="A1489" s="53"/>
      <c r="B1489" s="53"/>
      <c r="C1489" s="53" t="s">
        <v>12</v>
      </c>
      <c r="D1489" s="53" t="s">
        <v>3699</v>
      </c>
      <c r="E1489" s="86" t="s">
        <v>1177</v>
      </c>
      <c r="F1489" s="91" t="s">
        <v>42</v>
      </c>
      <c r="G1489" s="84" t="s">
        <v>3700</v>
      </c>
      <c r="H1489" s="84" t="s">
        <v>3700</v>
      </c>
      <c r="I1489" s="54">
        <f t="shared" si="24"/>
        <v>29</v>
      </c>
      <c r="J1489" s="56"/>
      <c r="K1489" s="57"/>
      <c r="L1489" s="58"/>
      <c r="M1489" s="59"/>
      <c r="N1489" s="79"/>
      <c r="O1489" s="90"/>
      <c r="P1489" s="90"/>
      <c r="Q1489" s="94"/>
      <c r="R1489" s="64">
        <v>436.0</v>
      </c>
      <c r="S1489" s="111">
        <v>458.0</v>
      </c>
      <c r="T1489" s="65">
        <f t="shared" si="39"/>
        <v>73.28</v>
      </c>
      <c r="U1489" s="65">
        <f t="shared" si="40"/>
        <v>531.28</v>
      </c>
      <c r="V1489" s="66">
        <f t="shared" ref="V1489:V1491" si="51">(S1489-R1489)/R1489</f>
        <v>0.0504587156</v>
      </c>
      <c r="W1489" s="67">
        <f t="shared" si="5"/>
        <v>435.1</v>
      </c>
      <c r="X1489" s="67">
        <f t="shared" ref="X1489:X1491" si="52">W1489*0.16</f>
        <v>69.616</v>
      </c>
      <c r="Y1489" s="67">
        <f t="shared" ref="Y1489:Y1491" si="53">W1489+X1489</f>
        <v>504.716</v>
      </c>
      <c r="Z1489" s="67">
        <f t="shared" si="8"/>
        <v>412.2</v>
      </c>
      <c r="AA1489" s="67">
        <f t="shared" ref="AA1489:AA1753" si="54">Z1489*0.16</f>
        <v>65.952</v>
      </c>
      <c r="AB1489" s="67">
        <f t="shared" ref="AB1489:AB1753" si="55">Z1489+AA1489</f>
        <v>478.152</v>
      </c>
      <c r="AC1489" s="67">
        <f t="shared" si="11"/>
        <v>389.3</v>
      </c>
      <c r="AD1489" s="67">
        <f t="shared" ref="AD1489:AD1753" si="56">AC1489*0.16</f>
        <v>62.288</v>
      </c>
      <c r="AE1489" s="67">
        <f t="shared" ref="AE1489:AE1753" si="57">AC1489+AD1489</f>
        <v>451.588</v>
      </c>
      <c r="AF1489" s="67">
        <f t="shared" si="33"/>
        <v>380.14</v>
      </c>
      <c r="AG1489" s="67">
        <f t="shared" ref="AG1489:AG1753" si="58">AF1489*0.16</f>
        <v>60.8224</v>
      </c>
      <c r="AH1489" s="67">
        <f t="shared" ref="AH1489:AH1753" si="59">AF1489+AG1489</f>
        <v>440.9624</v>
      </c>
      <c r="AI1489" s="67">
        <f t="shared" si="17"/>
        <v>366.4</v>
      </c>
      <c r="AJ1489" s="68">
        <f t="shared" si="49"/>
        <v>58.624</v>
      </c>
      <c r="AK1489" s="68">
        <f t="shared" si="50"/>
        <v>425.024</v>
      </c>
      <c r="AL1489" s="70"/>
      <c r="AM1489" s="70"/>
      <c r="AN1489" s="71"/>
      <c r="AO1489" s="71"/>
      <c r="AP1489" s="71"/>
      <c r="AQ1489" s="71"/>
      <c r="AR1489" s="71"/>
      <c r="AS1489" s="71"/>
      <c r="AT1489" s="71"/>
      <c r="AU1489" s="71"/>
      <c r="AV1489" s="71"/>
      <c r="AW1489" s="71"/>
      <c r="AX1489" s="71"/>
      <c r="AY1489" s="71"/>
      <c r="AZ1489" s="71"/>
      <c r="BA1489" s="71"/>
      <c r="BB1489" s="71"/>
      <c r="BC1489" s="71"/>
      <c r="BD1489" s="71"/>
      <c r="BE1489" s="71"/>
      <c r="BF1489" s="71"/>
      <c r="BG1489" s="71"/>
      <c r="BH1489" s="71"/>
      <c r="BI1489" s="71"/>
      <c r="BJ1489" s="71"/>
      <c r="BK1489" s="71"/>
      <c r="BL1489" s="71"/>
      <c r="BM1489" s="71"/>
      <c r="BN1489" s="71"/>
      <c r="BO1489" s="71"/>
      <c r="BP1489" s="71"/>
      <c r="BQ1489" s="71"/>
      <c r="BR1489" s="71"/>
      <c r="BS1489" s="71"/>
      <c r="BT1489" s="71"/>
      <c r="BU1489" s="71"/>
      <c r="BV1489" s="71"/>
    </row>
    <row r="1490">
      <c r="A1490" s="53"/>
      <c r="B1490" s="53"/>
      <c r="C1490" s="53" t="s">
        <v>12</v>
      </c>
      <c r="D1490" s="53" t="s">
        <v>3701</v>
      </c>
      <c r="E1490" s="55" t="s">
        <v>1177</v>
      </c>
      <c r="F1490" s="91" t="s">
        <v>42</v>
      </c>
      <c r="G1490" s="84" t="s">
        <v>3702</v>
      </c>
      <c r="H1490" s="84" t="s">
        <v>3702</v>
      </c>
      <c r="I1490" s="54">
        <f t="shared" si="24"/>
        <v>29</v>
      </c>
      <c r="J1490" s="56"/>
      <c r="K1490" s="57"/>
      <c r="L1490" s="76"/>
      <c r="M1490" s="59"/>
      <c r="N1490" s="60"/>
      <c r="O1490" s="90"/>
      <c r="P1490" s="62">
        <v>928.0</v>
      </c>
      <c r="Q1490" s="63">
        <v>928.0</v>
      </c>
      <c r="R1490" s="64">
        <v>975.0</v>
      </c>
      <c r="S1490" s="111">
        <v>1024.0</v>
      </c>
      <c r="T1490" s="65">
        <f t="shared" si="39"/>
        <v>163.84</v>
      </c>
      <c r="U1490" s="65">
        <f t="shared" si="40"/>
        <v>1187.84</v>
      </c>
      <c r="V1490" s="66">
        <f t="shared" si="51"/>
        <v>0.05025641026</v>
      </c>
      <c r="W1490" s="67">
        <f t="shared" si="5"/>
        <v>972.8</v>
      </c>
      <c r="X1490" s="67">
        <f t="shared" si="52"/>
        <v>155.648</v>
      </c>
      <c r="Y1490" s="67">
        <f t="shared" si="53"/>
        <v>1128.448</v>
      </c>
      <c r="Z1490" s="67">
        <f t="shared" si="8"/>
        <v>921.6</v>
      </c>
      <c r="AA1490" s="67">
        <f t="shared" si="54"/>
        <v>147.456</v>
      </c>
      <c r="AB1490" s="67">
        <f t="shared" si="55"/>
        <v>1069.056</v>
      </c>
      <c r="AC1490" s="67">
        <f t="shared" si="11"/>
        <v>870.4</v>
      </c>
      <c r="AD1490" s="67">
        <f t="shared" si="56"/>
        <v>139.264</v>
      </c>
      <c r="AE1490" s="67">
        <f t="shared" si="57"/>
        <v>1009.664</v>
      </c>
      <c r="AF1490" s="67">
        <f t="shared" si="33"/>
        <v>849.92</v>
      </c>
      <c r="AG1490" s="67">
        <f t="shared" si="58"/>
        <v>135.9872</v>
      </c>
      <c r="AH1490" s="67">
        <f t="shared" si="59"/>
        <v>985.9072</v>
      </c>
      <c r="AI1490" s="67">
        <f t="shared" si="17"/>
        <v>819.2</v>
      </c>
      <c r="AJ1490" s="68">
        <f t="shared" si="49"/>
        <v>131.072</v>
      </c>
      <c r="AK1490" s="68">
        <f t="shared" si="50"/>
        <v>950.272</v>
      </c>
      <c r="AL1490" s="70"/>
      <c r="AM1490" s="70"/>
      <c r="AN1490" s="71"/>
      <c r="AO1490" s="71"/>
      <c r="AP1490" s="71"/>
      <c r="AQ1490" s="71"/>
      <c r="AR1490" s="71"/>
      <c r="AS1490" s="71"/>
      <c r="AT1490" s="71"/>
      <c r="AU1490" s="71"/>
      <c r="AV1490" s="71"/>
      <c r="AW1490" s="71"/>
      <c r="AX1490" s="71"/>
      <c r="AY1490" s="71"/>
      <c r="AZ1490" s="71"/>
      <c r="BA1490" s="71"/>
      <c r="BB1490" s="71"/>
      <c r="BC1490" s="71"/>
      <c r="BD1490" s="71"/>
      <c r="BE1490" s="71"/>
      <c r="BF1490" s="71"/>
      <c r="BG1490" s="71"/>
      <c r="BH1490" s="71"/>
      <c r="BI1490" s="71"/>
      <c r="BJ1490" s="71"/>
      <c r="BK1490" s="71"/>
      <c r="BL1490" s="71"/>
      <c r="BM1490" s="71"/>
      <c r="BN1490" s="71"/>
      <c r="BO1490" s="71"/>
      <c r="BP1490" s="71"/>
      <c r="BQ1490" s="71"/>
      <c r="BR1490" s="71"/>
      <c r="BS1490" s="71"/>
      <c r="BT1490" s="71"/>
      <c r="BU1490" s="71"/>
      <c r="BV1490" s="71"/>
    </row>
    <row r="1491">
      <c r="A1491" s="53">
        <v>1.0</v>
      </c>
      <c r="B1491" s="53"/>
      <c r="C1491" s="53" t="s">
        <v>12</v>
      </c>
      <c r="D1491" s="53" t="s">
        <v>3703</v>
      </c>
      <c r="E1491" s="86" t="s">
        <v>1177</v>
      </c>
      <c r="F1491" s="91" t="s">
        <v>42</v>
      </c>
      <c r="G1491" s="84" t="s">
        <v>3704</v>
      </c>
      <c r="H1491" s="84" t="s">
        <v>3705</v>
      </c>
      <c r="I1491" s="54">
        <f t="shared" si="24"/>
        <v>35</v>
      </c>
      <c r="J1491" s="56"/>
      <c r="K1491" s="57"/>
      <c r="L1491" s="126"/>
      <c r="M1491" s="59"/>
      <c r="N1491" s="93"/>
      <c r="O1491" s="61"/>
      <c r="P1491" s="90"/>
      <c r="Q1491" s="94"/>
      <c r="R1491" s="95">
        <v>551.0</v>
      </c>
      <c r="S1491" s="111">
        <v>579.0</v>
      </c>
      <c r="T1491" s="65">
        <f t="shared" si="39"/>
        <v>92.64</v>
      </c>
      <c r="U1491" s="65">
        <f t="shared" si="40"/>
        <v>671.64</v>
      </c>
      <c r="V1491" s="66">
        <f t="shared" si="51"/>
        <v>0.05081669691</v>
      </c>
      <c r="W1491" s="67">
        <f t="shared" si="5"/>
        <v>550.05</v>
      </c>
      <c r="X1491" s="67">
        <f t="shared" si="52"/>
        <v>88.008</v>
      </c>
      <c r="Y1491" s="67">
        <f t="shared" si="53"/>
        <v>638.058</v>
      </c>
      <c r="Z1491" s="67">
        <f t="shared" si="8"/>
        <v>521.1</v>
      </c>
      <c r="AA1491" s="67">
        <f t="shared" si="54"/>
        <v>83.376</v>
      </c>
      <c r="AB1491" s="67">
        <f t="shared" si="55"/>
        <v>604.476</v>
      </c>
      <c r="AC1491" s="67">
        <f t="shared" si="11"/>
        <v>492.15</v>
      </c>
      <c r="AD1491" s="67">
        <f t="shared" si="56"/>
        <v>78.744</v>
      </c>
      <c r="AE1491" s="67">
        <f t="shared" si="57"/>
        <v>570.894</v>
      </c>
      <c r="AF1491" s="67">
        <f t="shared" si="33"/>
        <v>480.57</v>
      </c>
      <c r="AG1491" s="67">
        <f t="shared" si="58"/>
        <v>76.8912</v>
      </c>
      <c r="AH1491" s="67">
        <f t="shared" si="59"/>
        <v>557.4612</v>
      </c>
      <c r="AI1491" s="67">
        <f t="shared" si="17"/>
        <v>463.2</v>
      </c>
      <c r="AJ1491" s="96"/>
      <c r="AK1491" s="96"/>
      <c r="AL1491" s="70"/>
      <c r="AM1491" s="70"/>
      <c r="AN1491" s="71"/>
      <c r="AO1491" s="71"/>
      <c r="AP1491" s="71"/>
      <c r="AQ1491" s="71"/>
      <c r="AR1491" s="71"/>
      <c r="AS1491" s="71"/>
      <c r="AT1491" s="71"/>
      <c r="AU1491" s="71"/>
      <c r="AV1491" s="71"/>
      <c r="AW1491" s="71"/>
      <c r="AX1491" s="71"/>
      <c r="AY1491" s="71"/>
      <c r="AZ1491" s="71"/>
      <c r="BA1491" s="71"/>
      <c r="BB1491" s="71"/>
      <c r="BC1491" s="71"/>
      <c r="BD1491" s="71"/>
      <c r="BE1491" s="71"/>
      <c r="BF1491" s="71"/>
      <c r="BG1491" s="71"/>
      <c r="BH1491" s="71"/>
      <c r="BI1491" s="71"/>
      <c r="BJ1491" s="71"/>
      <c r="BK1491" s="71"/>
      <c r="BL1491" s="71"/>
      <c r="BM1491" s="71"/>
      <c r="BN1491" s="71"/>
      <c r="BO1491" s="71"/>
      <c r="BP1491" s="71"/>
      <c r="BQ1491" s="71"/>
      <c r="BR1491" s="71"/>
      <c r="BS1491" s="71"/>
      <c r="BT1491" s="71"/>
      <c r="BU1491" s="71"/>
      <c r="BV1491" s="71"/>
    </row>
    <row r="1492">
      <c r="A1492" s="53"/>
      <c r="B1492" s="53"/>
      <c r="C1492" s="53" t="s">
        <v>12</v>
      </c>
      <c r="D1492" s="53" t="s">
        <v>3706</v>
      </c>
      <c r="E1492" s="86" t="s">
        <v>1177</v>
      </c>
      <c r="F1492" s="91" t="s">
        <v>42</v>
      </c>
      <c r="G1492" s="84" t="s">
        <v>3707</v>
      </c>
      <c r="H1492" s="84" t="s">
        <v>3708</v>
      </c>
      <c r="I1492" s="54">
        <f t="shared" si="24"/>
        <v>35</v>
      </c>
      <c r="J1492" s="56"/>
      <c r="K1492" s="57"/>
      <c r="L1492" s="76"/>
      <c r="M1492" s="59"/>
      <c r="N1492" s="60"/>
      <c r="O1492" s="90"/>
      <c r="P1492" s="62">
        <v>1135.71</v>
      </c>
      <c r="Q1492" s="63">
        <v>1135.71</v>
      </c>
      <c r="R1492" s="64">
        <v>1193.0</v>
      </c>
      <c r="S1492" s="111">
        <v>1253.0</v>
      </c>
      <c r="T1492" s="65">
        <f t="shared" si="39"/>
        <v>200.48</v>
      </c>
      <c r="U1492" s="65">
        <f t="shared" si="40"/>
        <v>1453.48</v>
      </c>
      <c r="V1492" s="66"/>
      <c r="W1492" s="67">
        <f t="shared" si="5"/>
        <v>1190.35</v>
      </c>
      <c r="X1492" s="67"/>
      <c r="Y1492" s="67"/>
      <c r="Z1492" s="67">
        <f t="shared" si="8"/>
        <v>1127.7</v>
      </c>
      <c r="AA1492" s="67">
        <f t="shared" si="54"/>
        <v>180.432</v>
      </c>
      <c r="AB1492" s="67">
        <f t="shared" si="55"/>
        <v>1308.132</v>
      </c>
      <c r="AC1492" s="67">
        <f t="shared" si="11"/>
        <v>1065.05</v>
      </c>
      <c r="AD1492" s="67">
        <f t="shared" si="56"/>
        <v>170.408</v>
      </c>
      <c r="AE1492" s="67">
        <f t="shared" si="57"/>
        <v>1235.458</v>
      </c>
      <c r="AF1492" s="67">
        <f t="shared" si="33"/>
        <v>1039.99</v>
      </c>
      <c r="AG1492" s="67">
        <f t="shared" si="58"/>
        <v>166.3984</v>
      </c>
      <c r="AH1492" s="67">
        <f t="shared" si="59"/>
        <v>1206.3884</v>
      </c>
      <c r="AI1492" s="67">
        <f t="shared" si="17"/>
        <v>1002.4</v>
      </c>
      <c r="AJ1492" s="68">
        <f>AI1492*0.16</f>
        <v>160.384</v>
      </c>
      <c r="AK1492" s="68">
        <f>AI1492+AJ1492</f>
        <v>1162.784</v>
      </c>
      <c r="AL1492" s="70"/>
      <c r="AM1492" s="70"/>
      <c r="AN1492" s="71"/>
      <c r="AO1492" s="71"/>
      <c r="AP1492" s="71"/>
      <c r="AQ1492" s="71"/>
      <c r="AR1492" s="71"/>
      <c r="AS1492" s="71"/>
      <c r="AT1492" s="71"/>
      <c r="AU1492" s="71"/>
      <c r="AV1492" s="71"/>
      <c r="AW1492" s="71"/>
      <c r="AX1492" s="71"/>
      <c r="AY1492" s="71"/>
      <c r="AZ1492" s="71"/>
      <c r="BA1492" s="71"/>
      <c r="BB1492" s="71"/>
      <c r="BC1492" s="71"/>
      <c r="BD1492" s="71"/>
      <c r="BE1492" s="71"/>
      <c r="BF1492" s="71"/>
      <c r="BG1492" s="71"/>
      <c r="BH1492" s="71"/>
      <c r="BI1492" s="71"/>
      <c r="BJ1492" s="71"/>
      <c r="BK1492" s="71"/>
      <c r="BL1492" s="71"/>
      <c r="BM1492" s="71"/>
      <c r="BN1492" s="71"/>
      <c r="BO1492" s="71"/>
      <c r="BP1492" s="71"/>
      <c r="BQ1492" s="71"/>
      <c r="BR1492" s="71"/>
      <c r="BS1492" s="71"/>
      <c r="BT1492" s="71"/>
      <c r="BU1492" s="71"/>
      <c r="BV1492" s="71"/>
    </row>
    <row r="1493">
      <c r="A1493" s="53">
        <v>1.0</v>
      </c>
      <c r="B1493" s="53"/>
      <c r="C1493" s="53" t="s">
        <v>12</v>
      </c>
      <c r="D1493" s="53" t="s">
        <v>3709</v>
      </c>
      <c r="E1493" s="86" t="s">
        <v>1177</v>
      </c>
      <c r="F1493" s="91" t="s">
        <v>42</v>
      </c>
      <c r="G1493" s="84" t="s">
        <v>3710</v>
      </c>
      <c r="H1493" s="84" t="s">
        <v>3711</v>
      </c>
      <c r="I1493" s="54">
        <f t="shared" si="24"/>
        <v>38</v>
      </c>
      <c r="J1493" s="56"/>
      <c r="K1493" s="57"/>
      <c r="L1493" s="126"/>
      <c r="M1493" s="59"/>
      <c r="N1493" s="93"/>
      <c r="O1493" s="61"/>
      <c r="P1493" s="90"/>
      <c r="Q1493" s="94"/>
      <c r="R1493" s="95">
        <v>730.0</v>
      </c>
      <c r="S1493" s="111">
        <v>767.0</v>
      </c>
      <c r="T1493" s="65">
        <f t="shared" si="39"/>
        <v>122.72</v>
      </c>
      <c r="U1493" s="65">
        <f t="shared" si="40"/>
        <v>889.72</v>
      </c>
      <c r="V1493" s="66">
        <f t="shared" ref="V1493:V1497" si="60">(S1493-R1493)/R1493</f>
        <v>0.05068493151</v>
      </c>
      <c r="W1493" s="67">
        <f t="shared" si="5"/>
        <v>728.65</v>
      </c>
      <c r="X1493" s="67">
        <f t="shared" ref="X1493:X1753" si="61">W1493*0.16</f>
        <v>116.584</v>
      </c>
      <c r="Y1493" s="67">
        <f t="shared" ref="Y1493:Y1753" si="62">W1493+X1493</f>
        <v>845.234</v>
      </c>
      <c r="Z1493" s="67">
        <f t="shared" si="8"/>
        <v>690.3</v>
      </c>
      <c r="AA1493" s="67">
        <f t="shared" si="54"/>
        <v>110.448</v>
      </c>
      <c r="AB1493" s="67">
        <f t="shared" si="55"/>
        <v>800.748</v>
      </c>
      <c r="AC1493" s="67">
        <f t="shared" si="11"/>
        <v>651.95</v>
      </c>
      <c r="AD1493" s="67">
        <f t="shared" si="56"/>
        <v>104.312</v>
      </c>
      <c r="AE1493" s="67">
        <f t="shared" si="57"/>
        <v>756.262</v>
      </c>
      <c r="AF1493" s="67">
        <f t="shared" si="33"/>
        <v>636.61</v>
      </c>
      <c r="AG1493" s="67">
        <f t="shared" si="58"/>
        <v>101.8576</v>
      </c>
      <c r="AH1493" s="67">
        <f t="shared" si="59"/>
        <v>738.4676</v>
      </c>
      <c r="AI1493" s="67">
        <f t="shared" si="17"/>
        <v>613.6</v>
      </c>
      <c r="AJ1493" s="96"/>
      <c r="AK1493" s="96"/>
      <c r="AL1493" s="70"/>
      <c r="AM1493" s="70"/>
      <c r="AN1493" s="71"/>
      <c r="AO1493" s="71"/>
      <c r="AP1493" s="71"/>
      <c r="AQ1493" s="71"/>
      <c r="AR1493" s="71"/>
      <c r="AS1493" s="71"/>
      <c r="AT1493" s="71"/>
      <c r="AU1493" s="71"/>
      <c r="AV1493" s="71"/>
      <c r="AW1493" s="71"/>
      <c r="AX1493" s="71"/>
      <c r="AY1493" s="71"/>
      <c r="AZ1493" s="71"/>
      <c r="BA1493" s="71"/>
      <c r="BB1493" s="71"/>
      <c r="BC1493" s="71"/>
      <c r="BD1493" s="71"/>
      <c r="BE1493" s="71"/>
      <c r="BF1493" s="71"/>
      <c r="BG1493" s="71"/>
      <c r="BH1493" s="71"/>
      <c r="BI1493" s="71"/>
      <c r="BJ1493" s="71"/>
      <c r="BK1493" s="71"/>
      <c r="BL1493" s="71"/>
      <c r="BM1493" s="71"/>
      <c r="BN1493" s="71"/>
      <c r="BO1493" s="71"/>
      <c r="BP1493" s="71"/>
      <c r="BQ1493" s="71"/>
      <c r="BR1493" s="71"/>
      <c r="BS1493" s="71"/>
      <c r="BT1493" s="71"/>
      <c r="BU1493" s="71"/>
      <c r="BV1493" s="71"/>
    </row>
    <row r="1494">
      <c r="A1494" s="53"/>
      <c r="B1494" s="53"/>
      <c r="C1494" s="53" t="s">
        <v>12</v>
      </c>
      <c r="D1494" s="53" t="s">
        <v>3712</v>
      </c>
      <c r="E1494" s="86" t="s">
        <v>1177</v>
      </c>
      <c r="F1494" s="91" t="s">
        <v>42</v>
      </c>
      <c r="G1494" s="84" t="s">
        <v>3713</v>
      </c>
      <c r="H1494" s="86" t="s">
        <v>3713</v>
      </c>
      <c r="I1494" s="54">
        <f t="shared" si="24"/>
        <v>36</v>
      </c>
      <c r="J1494" s="56"/>
      <c r="K1494" s="57"/>
      <c r="L1494" s="87"/>
      <c r="M1494" s="59"/>
      <c r="N1494" s="79"/>
      <c r="O1494" s="90"/>
      <c r="P1494" s="90"/>
      <c r="Q1494" s="94"/>
      <c r="R1494" s="64">
        <v>1260.0</v>
      </c>
      <c r="S1494" s="111">
        <v>1323.0</v>
      </c>
      <c r="T1494" s="65">
        <f t="shared" si="39"/>
        <v>211.68</v>
      </c>
      <c r="U1494" s="65">
        <f t="shared" si="40"/>
        <v>1534.68</v>
      </c>
      <c r="V1494" s="66">
        <f t="shared" si="60"/>
        <v>0.05</v>
      </c>
      <c r="W1494" s="67">
        <f t="shared" si="5"/>
        <v>1256.85</v>
      </c>
      <c r="X1494" s="67">
        <f t="shared" si="61"/>
        <v>201.096</v>
      </c>
      <c r="Y1494" s="67">
        <f t="shared" si="62"/>
        <v>1457.946</v>
      </c>
      <c r="Z1494" s="67">
        <f t="shared" si="8"/>
        <v>1190.7</v>
      </c>
      <c r="AA1494" s="67">
        <f t="shared" si="54"/>
        <v>190.512</v>
      </c>
      <c r="AB1494" s="67">
        <f t="shared" si="55"/>
        <v>1381.212</v>
      </c>
      <c r="AC1494" s="67">
        <f t="shared" si="11"/>
        <v>1124.55</v>
      </c>
      <c r="AD1494" s="67">
        <f t="shared" si="56"/>
        <v>179.928</v>
      </c>
      <c r="AE1494" s="67">
        <f t="shared" si="57"/>
        <v>1304.478</v>
      </c>
      <c r="AF1494" s="67">
        <f t="shared" si="33"/>
        <v>1098.09</v>
      </c>
      <c r="AG1494" s="67">
        <f t="shared" si="58"/>
        <v>175.6944</v>
      </c>
      <c r="AH1494" s="67">
        <f t="shared" si="59"/>
        <v>1273.7844</v>
      </c>
      <c r="AI1494" s="67">
        <f t="shared" si="17"/>
        <v>1058.4</v>
      </c>
      <c r="AJ1494" s="68">
        <f t="shared" ref="AJ1494:AJ1497" si="63">AI1494*0.16</f>
        <v>169.344</v>
      </c>
      <c r="AK1494" s="68">
        <f t="shared" ref="AK1494:AK1497" si="64">AI1494+AJ1494</f>
        <v>1227.744</v>
      </c>
      <c r="AL1494" s="70"/>
      <c r="AM1494" s="70"/>
      <c r="AN1494" s="71"/>
      <c r="AO1494" s="71"/>
      <c r="AP1494" s="71"/>
      <c r="AQ1494" s="71"/>
      <c r="AR1494" s="71"/>
      <c r="AS1494" s="71"/>
      <c r="AT1494" s="71"/>
      <c r="AU1494" s="71"/>
      <c r="AV1494" s="71"/>
      <c r="AW1494" s="71"/>
      <c r="AX1494" s="71"/>
      <c r="AY1494" s="71"/>
      <c r="AZ1494" s="71"/>
      <c r="BA1494" s="71"/>
      <c r="BB1494" s="71"/>
      <c r="BC1494" s="71"/>
      <c r="BD1494" s="71"/>
      <c r="BE1494" s="71"/>
      <c r="BF1494" s="71"/>
      <c r="BG1494" s="71"/>
      <c r="BH1494" s="71"/>
      <c r="BI1494" s="71"/>
      <c r="BJ1494" s="71"/>
      <c r="BK1494" s="71"/>
      <c r="BL1494" s="71"/>
      <c r="BM1494" s="71"/>
      <c r="BN1494" s="71"/>
      <c r="BO1494" s="71"/>
      <c r="BP1494" s="71"/>
      <c r="BQ1494" s="71"/>
      <c r="BR1494" s="71"/>
      <c r="BS1494" s="71"/>
      <c r="BT1494" s="71"/>
      <c r="BU1494" s="71"/>
      <c r="BV1494" s="71"/>
    </row>
    <row r="1495">
      <c r="A1495" s="53"/>
      <c r="B1495" s="53"/>
      <c r="C1495" s="53" t="s">
        <v>12</v>
      </c>
      <c r="D1495" s="53" t="s">
        <v>3714</v>
      </c>
      <c r="E1495" s="86" t="s">
        <v>1177</v>
      </c>
      <c r="F1495" s="91" t="s">
        <v>42</v>
      </c>
      <c r="G1495" s="84" t="s">
        <v>3715</v>
      </c>
      <c r="H1495" s="86" t="s">
        <v>3715</v>
      </c>
      <c r="I1495" s="54">
        <f t="shared" si="24"/>
        <v>36</v>
      </c>
      <c r="J1495" s="56"/>
      <c r="K1495" s="57"/>
      <c r="L1495" s="87"/>
      <c r="M1495" s="59"/>
      <c r="N1495" s="79"/>
      <c r="O1495" s="90"/>
      <c r="P1495" s="90"/>
      <c r="Q1495" s="94"/>
      <c r="R1495" s="64">
        <v>1314.0</v>
      </c>
      <c r="S1495" s="111">
        <v>1380.0</v>
      </c>
      <c r="T1495" s="65">
        <f t="shared" si="39"/>
        <v>220.8</v>
      </c>
      <c r="U1495" s="65">
        <f t="shared" si="40"/>
        <v>1600.8</v>
      </c>
      <c r="V1495" s="66">
        <f t="shared" si="60"/>
        <v>0.0502283105</v>
      </c>
      <c r="W1495" s="67">
        <f t="shared" si="5"/>
        <v>1311</v>
      </c>
      <c r="X1495" s="67">
        <f t="shared" si="61"/>
        <v>209.76</v>
      </c>
      <c r="Y1495" s="67">
        <f t="shared" si="62"/>
        <v>1520.76</v>
      </c>
      <c r="Z1495" s="67">
        <f t="shared" si="8"/>
        <v>1242</v>
      </c>
      <c r="AA1495" s="67">
        <f t="shared" si="54"/>
        <v>198.72</v>
      </c>
      <c r="AB1495" s="67">
        <f t="shared" si="55"/>
        <v>1440.72</v>
      </c>
      <c r="AC1495" s="67">
        <f t="shared" si="11"/>
        <v>1173</v>
      </c>
      <c r="AD1495" s="67">
        <f t="shared" si="56"/>
        <v>187.68</v>
      </c>
      <c r="AE1495" s="67">
        <f t="shared" si="57"/>
        <v>1360.68</v>
      </c>
      <c r="AF1495" s="67">
        <f t="shared" si="33"/>
        <v>1145.4</v>
      </c>
      <c r="AG1495" s="67">
        <f t="shared" si="58"/>
        <v>183.264</v>
      </c>
      <c r="AH1495" s="67">
        <f t="shared" si="59"/>
        <v>1328.664</v>
      </c>
      <c r="AI1495" s="67">
        <f t="shared" si="17"/>
        <v>1104</v>
      </c>
      <c r="AJ1495" s="68">
        <f t="shared" si="63"/>
        <v>176.64</v>
      </c>
      <c r="AK1495" s="68">
        <f t="shared" si="64"/>
        <v>1280.64</v>
      </c>
      <c r="AL1495" s="70"/>
      <c r="AM1495" s="70"/>
      <c r="AN1495" s="71"/>
      <c r="AO1495" s="71"/>
      <c r="AP1495" s="71"/>
      <c r="AQ1495" s="71"/>
      <c r="AR1495" s="71"/>
      <c r="AS1495" s="71"/>
      <c r="AT1495" s="71"/>
      <c r="AU1495" s="71"/>
      <c r="AV1495" s="71"/>
      <c r="AW1495" s="71"/>
      <c r="AX1495" s="71"/>
      <c r="AY1495" s="71"/>
      <c r="AZ1495" s="71"/>
      <c r="BA1495" s="71"/>
      <c r="BB1495" s="71"/>
      <c r="BC1495" s="71"/>
      <c r="BD1495" s="71"/>
      <c r="BE1495" s="71"/>
      <c r="BF1495" s="71"/>
      <c r="BG1495" s="71"/>
      <c r="BH1495" s="71"/>
      <c r="BI1495" s="71"/>
      <c r="BJ1495" s="71"/>
      <c r="BK1495" s="71"/>
      <c r="BL1495" s="71"/>
      <c r="BM1495" s="71"/>
      <c r="BN1495" s="71"/>
      <c r="BO1495" s="71"/>
      <c r="BP1495" s="71"/>
      <c r="BQ1495" s="71"/>
      <c r="BR1495" s="71"/>
      <c r="BS1495" s="71"/>
      <c r="BT1495" s="71"/>
      <c r="BU1495" s="71"/>
      <c r="BV1495" s="71"/>
    </row>
    <row r="1496">
      <c r="A1496" s="53"/>
      <c r="B1496" s="53"/>
      <c r="C1496" s="53" t="s">
        <v>12</v>
      </c>
      <c r="D1496" s="53" t="s">
        <v>3716</v>
      </c>
      <c r="E1496" s="55" t="s">
        <v>1177</v>
      </c>
      <c r="F1496" s="91" t="s">
        <v>42</v>
      </c>
      <c r="G1496" s="84" t="s">
        <v>3717</v>
      </c>
      <c r="H1496" s="84" t="s">
        <v>3717</v>
      </c>
      <c r="I1496" s="54">
        <f t="shared" si="24"/>
        <v>27</v>
      </c>
      <c r="J1496" s="56"/>
      <c r="K1496" s="57"/>
      <c r="L1496" s="55"/>
      <c r="M1496" s="59"/>
      <c r="N1496" s="60"/>
      <c r="O1496" s="90"/>
      <c r="P1496" s="62">
        <v>1760.0</v>
      </c>
      <c r="Q1496" s="63">
        <v>1760.0</v>
      </c>
      <c r="R1496" s="64">
        <v>1848.0</v>
      </c>
      <c r="S1496" s="111">
        <v>1940.0</v>
      </c>
      <c r="T1496" s="65">
        <f t="shared" si="39"/>
        <v>310.4</v>
      </c>
      <c r="U1496" s="65">
        <f t="shared" si="40"/>
        <v>2250.4</v>
      </c>
      <c r="V1496" s="66">
        <f t="shared" si="60"/>
        <v>0.04978354978</v>
      </c>
      <c r="W1496" s="67">
        <f t="shared" si="5"/>
        <v>1843</v>
      </c>
      <c r="X1496" s="67">
        <f t="shared" si="61"/>
        <v>294.88</v>
      </c>
      <c r="Y1496" s="67">
        <f t="shared" si="62"/>
        <v>2137.88</v>
      </c>
      <c r="Z1496" s="67">
        <f t="shared" si="8"/>
        <v>1746</v>
      </c>
      <c r="AA1496" s="67">
        <f t="shared" si="54"/>
        <v>279.36</v>
      </c>
      <c r="AB1496" s="67">
        <f t="shared" si="55"/>
        <v>2025.36</v>
      </c>
      <c r="AC1496" s="67">
        <f t="shared" si="11"/>
        <v>1649</v>
      </c>
      <c r="AD1496" s="67">
        <f t="shared" si="56"/>
        <v>263.84</v>
      </c>
      <c r="AE1496" s="67">
        <f t="shared" si="57"/>
        <v>1912.84</v>
      </c>
      <c r="AF1496" s="67">
        <f t="shared" si="33"/>
        <v>1610.2</v>
      </c>
      <c r="AG1496" s="67">
        <f t="shared" si="58"/>
        <v>257.632</v>
      </c>
      <c r="AH1496" s="67">
        <f t="shared" si="59"/>
        <v>1867.832</v>
      </c>
      <c r="AI1496" s="67">
        <f t="shared" si="17"/>
        <v>1552</v>
      </c>
      <c r="AJ1496" s="68">
        <f t="shared" si="63"/>
        <v>248.32</v>
      </c>
      <c r="AK1496" s="68">
        <f t="shared" si="64"/>
        <v>1800.32</v>
      </c>
      <c r="AL1496" s="70"/>
      <c r="AM1496" s="70"/>
      <c r="AN1496" s="71"/>
      <c r="AO1496" s="71"/>
      <c r="AP1496" s="71"/>
      <c r="AQ1496" s="71"/>
      <c r="AR1496" s="71"/>
      <c r="AS1496" s="71"/>
      <c r="AT1496" s="71"/>
      <c r="AU1496" s="71"/>
      <c r="AV1496" s="71"/>
      <c r="AW1496" s="71"/>
      <c r="AX1496" s="71"/>
      <c r="AY1496" s="71"/>
      <c r="AZ1496" s="71"/>
      <c r="BA1496" s="71"/>
      <c r="BB1496" s="71"/>
      <c r="BC1496" s="71"/>
      <c r="BD1496" s="71"/>
      <c r="BE1496" s="71"/>
      <c r="BF1496" s="71"/>
      <c r="BG1496" s="71"/>
      <c r="BH1496" s="71"/>
      <c r="BI1496" s="71"/>
      <c r="BJ1496" s="71"/>
      <c r="BK1496" s="71"/>
      <c r="BL1496" s="71"/>
      <c r="BM1496" s="71"/>
      <c r="BN1496" s="71"/>
      <c r="BO1496" s="71"/>
      <c r="BP1496" s="71"/>
      <c r="BQ1496" s="71"/>
      <c r="BR1496" s="71"/>
      <c r="BS1496" s="71"/>
      <c r="BT1496" s="71"/>
      <c r="BU1496" s="71"/>
      <c r="BV1496" s="71"/>
    </row>
    <row r="1497">
      <c r="A1497" s="53"/>
      <c r="B1497" s="53"/>
      <c r="C1497" s="53" t="s">
        <v>12</v>
      </c>
      <c r="D1497" s="53" t="s">
        <v>3718</v>
      </c>
      <c r="E1497" s="55" t="s">
        <v>1177</v>
      </c>
      <c r="F1497" s="91" t="s">
        <v>42</v>
      </c>
      <c r="G1497" s="84" t="s">
        <v>3719</v>
      </c>
      <c r="H1497" s="84" t="s">
        <v>3719</v>
      </c>
      <c r="I1497" s="54">
        <f t="shared" si="24"/>
        <v>28</v>
      </c>
      <c r="J1497" s="56"/>
      <c r="K1497" s="57"/>
      <c r="L1497" s="55"/>
      <c r="M1497" s="59"/>
      <c r="N1497" s="60"/>
      <c r="O1497" s="90"/>
      <c r="P1497" s="62">
        <v>1029.0</v>
      </c>
      <c r="Q1497" s="63">
        <v>1029.0</v>
      </c>
      <c r="R1497" s="64">
        <v>1081.0</v>
      </c>
      <c r="S1497" s="111">
        <v>1135.0</v>
      </c>
      <c r="T1497" s="65">
        <f t="shared" si="39"/>
        <v>181.6</v>
      </c>
      <c r="U1497" s="65">
        <f t="shared" si="40"/>
        <v>1316.6</v>
      </c>
      <c r="V1497" s="66">
        <f t="shared" si="60"/>
        <v>0.04995374653</v>
      </c>
      <c r="W1497" s="67">
        <f t="shared" si="5"/>
        <v>1078.25</v>
      </c>
      <c r="X1497" s="67">
        <f t="shared" si="61"/>
        <v>172.52</v>
      </c>
      <c r="Y1497" s="67">
        <f t="shared" si="62"/>
        <v>1250.77</v>
      </c>
      <c r="Z1497" s="67">
        <f t="shared" si="8"/>
        <v>1021.5</v>
      </c>
      <c r="AA1497" s="67">
        <f t="shared" si="54"/>
        <v>163.44</v>
      </c>
      <c r="AB1497" s="67">
        <f t="shared" si="55"/>
        <v>1184.94</v>
      </c>
      <c r="AC1497" s="67">
        <f t="shared" si="11"/>
        <v>964.75</v>
      </c>
      <c r="AD1497" s="67">
        <f t="shared" si="56"/>
        <v>154.36</v>
      </c>
      <c r="AE1497" s="67">
        <f t="shared" si="57"/>
        <v>1119.11</v>
      </c>
      <c r="AF1497" s="67">
        <f t="shared" si="33"/>
        <v>942.05</v>
      </c>
      <c r="AG1497" s="67">
        <f t="shared" si="58"/>
        <v>150.728</v>
      </c>
      <c r="AH1497" s="67">
        <f t="shared" si="59"/>
        <v>1092.778</v>
      </c>
      <c r="AI1497" s="67">
        <f t="shared" si="17"/>
        <v>908</v>
      </c>
      <c r="AJ1497" s="68">
        <f t="shared" si="63"/>
        <v>145.28</v>
      </c>
      <c r="AK1497" s="68">
        <f t="shared" si="64"/>
        <v>1053.28</v>
      </c>
      <c r="AL1497" s="70"/>
      <c r="AM1497" s="70"/>
      <c r="AN1497" s="71"/>
      <c r="AO1497" s="71"/>
      <c r="AP1497" s="71"/>
      <c r="AQ1497" s="71"/>
      <c r="AR1497" s="71"/>
      <c r="AS1497" s="71"/>
      <c r="AT1497" s="71"/>
      <c r="AU1497" s="71"/>
      <c r="AV1497" s="71"/>
      <c r="AW1497" s="71"/>
      <c r="AX1497" s="71"/>
      <c r="AY1497" s="71"/>
      <c r="AZ1497" s="71"/>
      <c r="BA1497" s="71"/>
      <c r="BB1497" s="71"/>
      <c r="BC1497" s="71"/>
      <c r="BD1497" s="71"/>
      <c r="BE1497" s="71"/>
      <c r="BF1497" s="71"/>
      <c r="BG1497" s="71"/>
      <c r="BH1497" s="71"/>
      <c r="BI1497" s="71"/>
      <c r="BJ1497" s="71"/>
      <c r="BK1497" s="71"/>
      <c r="BL1497" s="71"/>
      <c r="BM1497" s="71"/>
      <c r="BN1497" s="71"/>
      <c r="BO1497" s="71"/>
      <c r="BP1497" s="71"/>
      <c r="BQ1497" s="71"/>
      <c r="BR1497" s="71"/>
      <c r="BS1497" s="71"/>
      <c r="BT1497" s="71"/>
      <c r="BU1497" s="71"/>
      <c r="BV1497" s="71"/>
    </row>
    <row r="1498">
      <c r="A1498" s="53"/>
      <c r="B1498" s="53"/>
      <c r="C1498" s="53" t="s">
        <v>12</v>
      </c>
      <c r="D1498" s="53" t="s">
        <v>3720</v>
      </c>
      <c r="E1498" s="86" t="s">
        <v>1177</v>
      </c>
      <c r="F1498" s="91" t="s">
        <v>42</v>
      </c>
      <c r="G1498" s="84" t="s">
        <v>3721</v>
      </c>
      <c r="H1498" s="84" t="s">
        <v>3721</v>
      </c>
      <c r="I1498" s="54">
        <f t="shared" si="24"/>
        <v>29</v>
      </c>
      <c r="J1498" s="56"/>
      <c r="K1498" s="57"/>
      <c r="L1498" s="76"/>
      <c r="M1498" s="59"/>
      <c r="N1498" s="60"/>
      <c r="O1498" s="90"/>
      <c r="P1498" s="62">
        <v>2160.0</v>
      </c>
      <c r="Q1498" s="63">
        <v>2160.0</v>
      </c>
      <c r="R1498" s="64">
        <v>2268.0</v>
      </c>
      <c r="S1498" s="111">
        <v>2381.0</v>
      </c>
      <c r="T1498" s="65">
        <f t="shared" si="39"/>
        <v>380.96</v>
      </c>
      <c r="U1498" s="65">
        <f t="shared" si="40"/>
        <v>2761.96</v>
      </c>
      <c r="V1498" s="66"/>
      <c r="W1498" s="67">
        <f t="shared" si="5"/>
        <v>2261.95</v>
      </c>
      <c r="X1498" s="67">
        <f t="shared" si="61"/>
        <v>361.912</v>
      </c>
      <c r="Y1498" s="67">
        <f t="shared" si="62"/>
        <v>2623.862</v>
      </c>
      <c r="Z1498" s="67">
        <f t="shared" si="8"/>
        <v>2142.9</v>
      </c>
      <c r="AA1498" s="67">
        <f t="shared" si="54"/>
        <v>342.864</v>
      </c>
      <c r="AB1498" s="67">
        <f t="shared" si="55"/>
        <v>2485.764</v>
      </c>
      <c r="AC1498" s="67">
        <f t="shared" si="11"/>
        <v>2023.85</v>
      </c>
      <c r="AD1498" s="67">
        <f t="shared" si="56"/>
        <v>323.816</v>
      </c>
      <c r="AE1498" s="67">
        <f t="shared" si="57"/>
        <v>2347.666</v>
      </c>
      <c r="AF1498" s="67">
        <f t="shared" si="33"/>
        <v>1976.23</v>
      </c>
      <c r="AG1498" s="67">
        <f t="shared" si="58"/>
        <v>316.1968</v>
      </c>
      <c r="AH1498" s="67">
        <f t="shared" si="59"/>
        <v>2292.4268</v>
      </c>
      <c r="AI1498" s="67">
        <f t="shared" si="17"/>
        <v>1904.8</v>
      </c>
      <c r="AJ1498" s="68"/>
      <c r="AK1498" s="68"/>
      <c r="AL1498" s="70"/>
      <c r="AM1498" s="70"/>
      <c r="AN1498" s="71"/>
      <c r="AO1498" s="71"/>
      <c r="AP1498" s="71"/>
      <c r="AQ1498" s="71"/>
      <c r="AR1498" s="71"/>
      <c r="AS1498" s="71"/>
      <c r="AT1498" s="71"/>
      <c r="AU1498" s="71"/>
      <c r="AV1498" s="71"/>
      <c r="AW1498" s="71"/>
      <c r="AX1498" s="71"/>
      <c r="AY1498" s="71"/>
      <c r="AZ1498" s="71"/>
      <c r="BA1498" s="71"/>
      <c r="BB1498" s="71"/>
      <c r="BC1498" s="71"/>
      <c r="BD1498" s="71"/>
      <c r="BE1498" s="71"/>
      <c r="BF1498" s="71"/>
      <c r="BG1498" s="71"/>
      <c r="BH1498" s="71"/>
      <c r="BI1498" s="71"/>
      <c r="BJ1498" s="71"/>
      <c r="BK1498" s="71"/>
      <c r="BL1498" s="71"/>
      <c r="BM1498" s="71"/>
      <c r="BN1498" s="71"/>
      <c r="BO1498" s="71"/>
      <c r="BP1498" s="71"/>
      <c r="BQ1498" s="71"/>
      <c r="BR1498" s="71"/>
      <c r="BS1498" s="71"/>
      <c r="BT1498" s="71"/>
      <c r="BU1498" s="71"/>
      <c r="BV1498" s="71"/>
    </row>
    <row r="1499">
      <c r="A1499" s="53"/>
      <c r="B1499" s="53"/>
      <c r="C1499" s="53" t="s">
        <v>36</v>
      </c>
      <c r="D1499" s="85" t="s">
        <v>3722</v>
      </c>
      <c r="E1499" s="54" t="s">
        <v>38</v>
      </c>
      <c r="F1499" s="55" t="s">
        <v>39</v>
      </c>
      <c r="G1499" s="86" t="s">
        <v>3723</v>
      </c>
      <c r="H1499" s="86" t="s">
        <v>3723</v>
      </c>
      <c r="I1499" s="54">
        <f t="shared" si="24"/>
        <v>40</v>
      </c>
      <c r="J1499" s="56"/>
      <c r="K1499" s="57"/>
      <c r="L1499" s="76"/>
      <c r="M1499" s="59"/>
      <c r="N1499" s="60"/>
      <c r="O1499" s="61">
        <v>345.6</v>
      </c>
      <c r="P1499" s="62">
        <v>373.24800000000005</v>
      </c>
      <c r="Q1499" s="63">
        <v>373.24800000000005</v>
      </c>
      <c r="R1499" s="64">
        <v>392.0</v>
      </c>
      <c r="S1499" s="107">
        <v>412.0</v>
      </c>
      <c r="T1499" s="65">
        <f t="shared" si="39"/>
        <v>65.92</v>
      </c>
      <c r="U1499" s="65">
        <f t="shared" si="40"/>
        <v>477.92</v>
      </c>
      <c r="V1499" s="66">
        <f t="shared" ref="V1499:V1504" si="65">(S1499-R1499)/R1499</f>
        <v>0.05102040816</v>
      </c>
      <c r="W1499" s="67">
        <f t="shared" si="5"/>
        <v>391.4</v>
      </c>
      <c r="X1499" s="67">
        <f t="shared" si="61"/>
        <v>62.624</v>
      </c>
      <c r="Y1499" s="67">
        <f t="shared" si="62"/>
        <v>454.024</v>
      </c>
      <c r="Z1499" s="67">
        <f t="shared" si="8"/>
        <v>370.8</v>
      </c>
      <c r="AA1499" s="67">
        <f t="shared" si="54"/>
        <v>59.328</v>
      </c>
      <c r="AB1499" s="67">
        <f t="shared" si="55"/>
        <v>430.128</v>
      </c>
      <c r="AC1499" s="67">
        <f t="shared" si="11"/>
        <v>350.2</v>
      </c>
      <c r="AD1499" s="67">
        <f t="shared" si="56"/>
        <v>56.032</v>
      </c>
      <c r="AE1499" s="67">
        <f t="shared" si="57"/>
        <v>406.232</v>
      </c>
      <c r="AF1499" s="67">
        <f t="shared" si="33"/>
        <v>341.96</v>
      </c>
      <c r="AG1499" s="67">
        <f t="shared" si="58"/>
        <v>54.7136</v>
      </c>
      <c r="AH1499" s="67">
        <f t="shared" si="59"/>
        <v>396.6736</v>
      </c>
      <c r="AI1499" s="67">
        <f t="shared" si="17"/>
        <v>329.6</v>
      </c>
      <c r="AJ1499" s="68">
        <f t="shared" ref="AJ1499:AJ1753" si="66">AI1499*0.16</f>
        <v>52.736</v>
      </c>
      <c r="AK1499" s="68">
        <f t="shared" ref="AK1499:AK1753" si="67">AI1499+AJ1499</f>
        <v>382.336</v>
      </c>
      <c r="AL1499" s="70"/>
      <c r="AM1499" s="70"/>
      <c r="AN1499" s="71"/>
      <c r="AO1499" s="71"/>
      <c r="AP1499" s="71"/>
      <c r="AQ1499" s="71"/>
      <c r="AR1499" s="71"/>
      <c r="AS1499" s="71"/>
      <c r="AT1499" s="71"/>
      <c r="AU1499" s="71"/>
      <c r="AV1499" s="71"/>
      <c r="AW1499" s="71"/>
      <c r="AX1499" s="71"/>
      <c r="AY1499" s="71"/>
      <c r="AZ1499" s="71"/>
      <c r="BA1499" s="71"/>
      <c r="BB1499" s="71"/>
      <c r="BC1499" s="71"/>
      <c r="BD1499" s="71"/>
      <c r="BE1499" s="71"/>
      <c r="BF1499" s="71"/>
      <c r="BG1499" s="71"/>
      <c r="BH1499" s="71"/>
      <c r="BI1499" s="71"/>
      <c r="BJ1499" s="71"/>
      <c r="BK1499" s="71"/>
      <c r="BL1499" s="71"/>
      <c r="BM1499" s="71"/>
      <c r="BN1499" s="71"/>
      <c r="BO1499" s="71"/>
      <c r="BP1499" s="71"/>
      <c r="BQ1499" s="71"/>
      <c r="BR1499" s="71"/>
      <c r="BS1499" s="71"/>
      <c r="BT1499" s="71"/>
      <c r="BU1499" s="71"/>
      <c r="BV1499" s="71"/>
    </row>
    <row r="1500">
      <c r="A1500" s="53"/>
      <c r="B1500" s="53"/>
      <c r="C1500" s="73" t="s">
        <v>12</v>
      </c>
      <c r="D1500" s="53" t="s">
        <v>3724</v>
      </c>
      <c r="E1500" s="54" t="s">
        <v>38</v>
      </c>
      <c r="F1500" s="54" t="s">
        <v>42</v>
      </c>
      <c r="G1500" s="55" t="s">
        <v>3725</v>
      </c>
      <c r="H1500" s="54" t="s">
        <v>3726</v>
      </c>
      <c r="I1500" s="54">
        <f t="shared" si="24"/>
        <v>40</v>
      </c>
      <c r="J1500" s="56"/>
      <c r="K1500" s="57"/>
      <c r="L1500" s="76"/>
      <c r="M1500" s="59"/>
      <c r="N1500" s="79">
        <v>360.0</v>
      </c>
      <c r="O1500" s="61">
        <v>388.0</v>
      </c>
      <c r="P1500" s="62">
        <v>419.04</v>
      </c>
      <c r="Q1500" s="63">
        <v>419.04</v>
      </c>
      <c r="R1500" s="64">
        <v>440.0</v>
      </c>
      <c r="S1500" s="111">
        <v>462.0</v>
      </c>
      <c r="T1500" s="65">
        <f t="shared" si="39"/>
        <v>73.92</v>
      </c>
      <c r="U1500" s="65">
        <f t="shared" si="40"/>
        <v>535.92</v>
      </c>
      <c r="V1500" s="66">
        <f t="shared" si="65"/>
        <v>0.05</v>
      </c>
      <c r="W1500" s="67">
        <f t="shared" si="5"/>
        <v>438.9</v>
      </c>
      <c r="X1500" s="67">
        <f t="shared" si="61"/>
        <v>70.224</v>
      </c>
      <c r="Y1500" s="67">
        <f t="shared" si="62"/>
        <v>509.124</v>
      </c>
      <c r="Z1500" s="67">
        <f t="shared" si="8"/>
        <v>415.8</v>
      </c>
      <c r="AA1500" s="67">
        <f t="shared" si="54"/>
        <v>66.528</v>
      </c>
      <c r="AB1500" s="67">
        <f t="shared" si="55"/>
        <v>482.328</v>
      </c>
      <c r="AC1500" s="67">
        <f t="shared" si="11"/>
        <v>392.7</v>
      </c>
      <c r="AD1500" s="67">
        <f t="shared" si="56"/>
        <v>62.832</v>
      </c>
      <c r="AE1500" s="67">
        <f t="shared" si="57"/>
        <v>455.532</v>
      </c>
      <c r="AF1500" s="67">
        <f t="shared" si="33"/>
        <v>383.46</v>
      </c>
      <c r="AG1500" s="67">
        <f t="shared" si="58"/>
        <v>61.3536</v>
      </c>
      <c r="AH1500" s="67">
        <f t="shared" si="59"/>
        <v>444.8136</v>
      </c>
      <c r="AI1500" s="67">
        <f t="shared" si="17"/>
        <v>369.6</v>
      </c>
      <c r="AJ1500" s="68">
        <f t="shared" si="66"/>
        <v>59.136</v>
      </c>
      <c r="AK1500" s="68">
        <f t="shared" si="67"/>
        <v>428.736</v>
      </c>
      <c r="AL1500" s="70"/>
      <c r="AM1500" s="70"/>
      <c r="AN1500" s="71"/>
      <c r="AO1500" s="71"/>
      <c r="AP1500" s="71"/>
      <c r="AQ1500" s="71"/>
      <c r="AR1500" s="71"/>
      <c r="AS1500" s="71"/>
      <c r="AT1500" s="71"/>
      <c r="AU1500" s="71"/>
      <c r="AV1500" s="71"/>
      <c r="AW1500" s="71"/>
      <c r="AX1500" s="71"/>
      <c r="AY1500" s="71"/>
      <c r="AZ1500" s="71"/>
      <c r="BA1500" s="71"/>
      <c r="BB1500" s="71"/>
      <c r="BC1500" s="71"/>
      <c r="BD1500" s="71"/>
      <c r="BE1500" s="71"/>
      <c r="BF1500" s="71"/>
      <c r="BG1500" s="71"/>
      <c r="BH1500" s="71"/>
      <c r="BI1500" s="71"/>
      <c r="BJ1500" s="71"/>
      <c r="BK1500" s="71"/>
      <c r="BL1500" s="71"/>
      <c r="BM1500" s="71"/>
      <c r="BN1500" s="71"/>
      <c r="BO1500" s="71"/>
      <c r="BP1500" s="71"/>
      <c r="BQ1500" s="71"/>
      <c r="BR1500" s="71"/>
      <c r="BS1500" s="71"/>
      <c r="BT1500" s="71"/>
      <c r="BU1500" s="71"/>
      <c r="BV1500" s="71"/>
    </row>
    <row r="1501">
      <c r="A1501" s="53"/>
      <c r="B1501" s="53"/>
      <c r="C1501" s="53" t="s">
        <v>12</v>
      </c>
      <c r="D1501" s="53" t="s">
        <v>3727</v>
      </c>
      <c r="E1501" s="54" t="s">
        <v>38</v>
      </c>
      <c r="F1501" s="55" t="s">
        <v>42</v>
      </c>
      <c r="G1501" s="55" t="s">
        <v>3728</v>
      </c>
      <c r="H1501" s="55" t="s">
        <v>3728</v>
      </c>
      <c r="I1501" s="54">
        <f t="shared" si="24"/>
        <v>35</v>
      </c>
      <c r="J1501" s="56"/>
      <c r="K1501" s="57"/>
      <c r="L1501" s="76"/>
      <c r="M1501" s="59"/>
      <c r="N1501" s="60"/>
      <c r="O1501" s="61">
        <v>2136.0</v>
      </c>
      <c r="P1501" s="62">
        <v>2306.88</v>
      </c>
      <c r="Q1501" s="63">
        <v>2306.88</v>
      </c>
      <c r="R1501" s="64">
        <v>2423.0</v>
      </c>
      <c r="S1501" s="111">
        <v>2544.0</v>
      </c>
      <c r="T1501" s="65">
        <f t="shared" si="39"/>
        <v>407.04</v>
      </c>
      <c r="U1501" s="65">
        <f t="shared" si="40"/>
        <v>2951.04</v>
      </c>
      <c r="V1501" s="66">
        <f t="shared" si="65"/>
        <v>0.04993809327</v>
      </c>
      <c r="W1501" s="67">
        <f t="shared" si="5"/>
        <v>2416.8</v>
      </c>
      <c r="X1501" s="67">
        <f t="shared" si="61"/>
        <v>386.688</v>
      </c>
      <c r="Y1501" s="67">
        <f t="shared" si="62"/>
        <v>2803.488</v>
      </c>
      <c r="Z1501" s="67">
        <f t="shared" si="8"/>
        <v>2289.6</v>
      </c>
      <c r="AA1501" s="67">
        <f t="shared" si="54"/>
        <v>366.336</v>
      </c>
      <c r="AB1501" s="67">
        <f t="shared" si="55"/>
        <v>2655.936</v>
      </c>
      <c r="AC1501" s="67">
        <f t="shared" si="11"/>
        <v>2162.4</v>
      </c>
      <c r="AD1501" s="67">
        <f t="shared" si="56"/>
        <v>345.984</v>
      </c>
      <c r="AE1501" s="67">
        <f t="shared" si="57"/>
        <v>2508.384</v>
      </c>
      <c r="AF1501" s="67">
        <f t="shared" si="33"/>
        <v>2111.52</v>
      </c>
      <c r="AG1501" s="67">
        <f t="shared" si="58"/>
        <v>337.8432</v>
      </c>
      <c r="AH1501" s="67">
        <f t="shared" si="59"/>
        <v>2449.3632</v>
      </c>
      <c r="AI1501" s="67">
        <f t="shared" si="17"/>
        <v>2035.2</v>
      </c>
      <c r="AJ1501" s="68">
        <f t="shared" si="66"/>
        <v>325.632</v>
      </c>
      <c r="AK1501" s="68">
        <f t="shared" si="67"/>
        <v>2360.832</v>
      </c>
      <c r="AL1501" s="70"/>
      <c r="AM1501" s="70"/>
      <c r="AN1501" s="71"/>
      <c r="AO1501" s="71"/>
      <c r="AP1501" s="71"/>
      <c r="AQ1501" s="71"/>
      <c r="AR1501" s="71"/>
      <c r="AS1501" s="71"/>
      <c r="AT1501" s="71"/>
      <c r="AU1501" s="71"/>
      <c r="AV1501" s="71"/>
      <c r="AW1501" s="71"/>
      <c r="AX1501" s="71"/>
      <c r="AY1501" s="71"/>
      <c r="AZ1501" s="71"/>
      <c r="BA1501" s="71"/>
      <c r="BB1501" s="71"/>
      <c r="BC1501" s="71"/>
      <c r="BD1501" s="71"/>
      <c r="BE1501" s="71"/>
      <c r="BF1501" s="71"/>
      <c r="BG1501" s="71"/>
      <c r="BH1501" s="71"/>
      <c r="BI1501" s="71"/>
      <c r="BJ1501" s="71"/>
      <c r="BK1501" s="71"/>
      <c r="BL1501" s="71"/>
      <c r="BM1501" s="71"/>
      <c r="BN1501" s="71"/>
      <c r="BO1501" s="71"/>
      <c r="BP1501" s="71"/>
      <c r="BQ1501" s="71"/>
      <c r="BR1501" s="71"/>
      <c r="BS1501" s="71"/>
      <c r="BT1501" s="71"/>
      <c r="BU1501" s="71"/>
      <c r="BV1501" s="71"/>
    </row>
    <row r="1502">
      <c r="A1502" s="53"/>
      <c r="B1502" s="53"/>
      <c r="C1502" s="53" t="s">
        <v>12</v>
      </c>
      <c r="D1502" s="53" t="s">
        <v>3729</v>
      </c>
      <c r="E1502" s="86" t="s">
        <v>1177</v>
      </c>
      <c r="F1502" s="91" t="s">
        <v>42</v>
      </c>
      <c r="G1502" s="84" t="s">
        <v>3730</v>
      </c>
      <c r="H1502" s="84" t="s">
        <v>3731</v>
      </c>
      <c r="I1502" s="54">
        <f t="shared" si="24"/>
        <v>40</v>
      </c>
      <c r="J1502" s="56"/>
      <c r="K1502" s="57"/>
      <c r="L1502" s="76"/>
      <c r="M1502" s="59"/>
      <c r="N1502" s="79"/>
      <c r="O1502" s="90"/>
      <c r="P1502" s="90"/>
      <c r="Q1502" s="94"/>
      <c r="R1502" s="64">
        <v>194.0</v>
      </c>
      <c r="S1502" s="111">
        <v>204.0</v>
      </c>
      <c r="T1502" s="65">
        <f t="shared" si="39"/>
        <v>32.64</v>
      </c>
      <c r="U1502" s="65">
        <f t="shared" si="40"/>
        <v>236.64</v>
      </c>
      <c r="V1502" s="66">
        <f t="shared" si="65"/>
        <v>0.05154639175</v>
      </c>
      <c r="W1502" s="67">
        <f t="shared" si="5"/>
        <v>193.8</v>
      </c>
      <c r="X1502" s="67">
        <f t="shared" si="61"/>
        <v>31.008</v>
      </c>
      <c r="Y1502" s="67">
        <f t="shared" si="62"/>
        <v>224.808</v>
      </c>
      <c r="Z1502" s="67">
        <f t="shared" si="8"/>
        <v>183.6</v>
      </c>
      <c r="AA1502" s="67">
        <f t="shared" si="54"/>
        <v>29.376</v>
      </c>
      <c r="AB1502" s="67">
        <f t="shared" si="55"/>
        <v>212.976</v>
      </c>
      <c r="AC1502" s="67">
        <f t="shared" si="11"/>
        <v>173.4</v>
      </c>
      <c r="AD1502" s="67">
        <f t="shared" si="56"/>
        <v>27.744</v>
      </c>
      <c r="AE1502" s="67">
        <f t="shared" si="57"/>
        <v>201.144</v>
      </c>
      <c r="AF1502" s="67">
        <f t="shared" si="33"/>
        <v>169.32</v>
      </c>
      <c r="AG1502" s="67">
        <f t="shared" si="58"/>
        <v>27.0912</v>
      </c>
      <c r="AH1502" s="67">
        <f t="shared" si="59"/>
        <v>196.4112</v>
      </c>
      <c r="AI1502" s="67">
        <f t="shared" si="17"/>
        <v>163.2</v>
      </c>
      <c r="AJ1502" s="68">
        <f t="shared" si="66"/>
        <v>26.112</v>
      </c>
      <c r="AK1502" s="68">
        <f t="shared" si="67"/>
        <v>189.312</v>
      </c>
      <c r="AL1502" s="70"/>
      <c r="AM1502" s="70"/>
      <c r="AN1502" s="71"/>
      <c r="AO1502" s="71"/>
      <c r="AP1502" s="71"/>
      <c r="AQ1502" s="71"/>
      <c r="AR1502" s="71"/>
      <c r="AS1502" s="71"/>
      <c r="AT1502" s="71"/>
      <c r="AU1502" s="71"/>
      <c r="AV1502" s="71"/>
      <c r="AW1502" s="71"/>
      <c r="AX1502" s="71"/>
      <c r="AY1502" s="71"/>
      <c r="AZ1502" s="71"/>
      <c r="BA1502" s="71"/>
      <c r="BB1502" s="71"/>
      <c r="BC1502" s="71"/>
      <c r="BD1502" s="71"/>
      <c r="BE1502" s="71"/>
      <c r="BF1502" s="71"/>
      <c r="BG1502" s="71"/>
      <c r="BH1502" s="71"/>
      <c r="BI1502" s="71"/>
      <c r="BJ1502" s="71"/>
      <c r="BK1502" s="71"/>
      <c r="BL1502" s="71"/>
      <c r="BM1502" s="71"/>
      <c r="BN1502" s="71"/>
      <c r="BO1502" s="71"/>
      <c r="BP1502" s="71"/>
      <c r="BQ1502" s="71"/>
      <c r="BR1502" s="71"/>
      <c r="BS1502" s="71"/>
      <c r="BT1502" s="71"/>
      <c r="BU1502" s="71"/>
      <c r="BV1502" s="71"/>
    </row>
    <row r="1503">
      <c r="A1503" s="53"/>
      <c r="B1503" s="53"/>
      <c r="C1503" s="53" t="s">
        <v>12</v>
      </c>
      <c r="D1503" s="53" t="s">
        <v>3732</v>
      </c>
      <c r="E1503" s="86" t="s">
        <v>1177</v>
      </c>
      <c r="F1503" s="91" t="s">
        <v>42</v>
      </c>
      <c r="G1503" s="84" t="s">
        <v>3733</v>
      </c>
      <c r="H1503" s="84" t="s">
        <v>3734</v>
      </c>
      <c r="I1503" s="54">
        <f t="shared" si="24"/>
        <v>40</v>
      </c>
      <c r="J1503" s="56"/>
      <c r="K1503" s="57"/>
      <c r="L1503" s="76"/>
      <c r="M1503" s="59"/>
      <c r="N1503" s="79"/>
      <c r="O1503" s="90"/>
      <c r="P1503" s="90"/>
      <c r="Q1503" s="94"/>
      <c r="R1503" s="64">
        <v>208.0</v>
      </c>
      <c r="S1503" s="111">
        <v>218.0</v>
      </c>
      <c r="T1503" s="65">
        <f t="shared" si="39"/>
        <v>34.88</v>
      </c>
      <c r="U1503" s="65">
        <f t="shared" si="40"/>
        <v>252.88</v>
      </c>
      <c r="V1503" s="66">
        <f t="shared" si="65"/>
        <v>0.04807692308</v>
      </c>
      <c r="W1503" s="67">
        <f t="shared" si="5"/>
        <v>207.1</v>
      </c>
      <c r="X1503" s="67">
        <f t="shared" si="61"/>
        <v>33.136</v>
      </c>
      <c r="Y1503" s="67">
        <f t="shared" si="62"/>
        <v>240.236</v>
      </c>
      <c r="Z1503" s="67">
        <f t="shared" si="8"/>
        <v>196.2</v>
      </c>
      <c r="AA1503" s="67">
        <f t="shared" si="54"/>
        <v>31.392</v>
      </c>
      <c r="AB1503" s="67">
        <f t="shared" si="55"/>
        <v>227.592</v>
      </c>
      <c r="AC1503" s="67">
        <f t="shared" si="11"/>
        <v>185.3</v>
      </c>
      <c r="AD1503" s="67">
        <f t="shared" si="56"/>
        <v>29.648</v>
      </c>
      <c r="AE1503" s="67">
        <f t="shared" si="57"/>
        <v>214.948</v>
      </c>
      <c r="AF1503" s="67">
        <f t="shared" si="33"/>
        <v>180.94</v>
      </c>
      <c r="AG1503" s="67">
        <f t="shared" si="58"/>
        <v>28.9504</v>
      </c>
      <c r="AH1503" s="67">
        <f t="shared" si="59"/>
        <v>209.8904</v>
      </c>
      <c r="AI1503" s="67">
        <f t="shared" si="17"/>
        <v>174.4</v>
      </c>
      <c r="AJ1503" s="68">
        <f t="shared" si="66"/>
        <v>27.904</v>
      </c>
      <c r="AK1503" s="68">
        <f t="shared" si="67"/>
        <v>202.304</v>
      </c>
      <c r="AL1503" s="70"/>
      <c r="AM1503" s="70"/>
      <c r="AN1503" s="71"/>
      <c r="AO1503" s="71"/>
      <c r="AP1503" s="71"/>
      <c r="AQ1503" s="71"/>
      <c r="AR1503" s="71"/>
      <c r="AS1503" s="71"/>
      <c r="AT1503" s="71"/>
      <c r="AU1503" s="71"/>
      <c r="AV1503" s="71"/>
      <c r="AW1503" s="71"/>
      <c r="AX1503" s="71"/>
      <c r="AY1503" s="71"/>
      <c r="AZ1503" s="71"/>
      <c r="BA1503" s="71"/>
      <c r="BB1503" s="71"/>
      <c r="BC1503" s="71"/>
      <c r="BD1503" s="71"/>
      <c r="BE1503" s="71"/>
      <c r="BF1503" s="71"/>
      <c r="BG1503" s="71"/>
      <c r="BH1503" s="71"/>
      <c r="BI1503" s="71"/>
      <c r="BJ1503" s="71"/>
      <c r="BK1503" s="71"/>
      <c r="BL1503" s="71"/>
      <c r="BM1503" s="71"/>
      <c r="BN1503" s="71"/>
      <c r="BO1503" s="71"/>
      <c r="BP1503" s="71"/>
      <c r="BQ1503" s="71"/>
      <c r="BR1503" s="71"/>
      <c r="BS1503" s="71"/>
      <c r="BT1503" s="71"/>
      <c r="BU1503" s="71"/>
      <c r="BV1503" s="71"/>
    </row>
    <row r="1504">
      <c r="A1504" s="53"/>
      <c r="B1504" s="53"/>
      <c r="C1504" s="53" t="s">
        <v>12</v>
      </c>
      <c r="D1504" s="53" t="s">
        <v>3735</v>
      </c>
      <c r="E1504" s="86" t="s">
        <v>1177</v>
      </c>
      <c r="F1504" s="91" t="s">
        <v>3736</v>
      </c>
      <c r="G1504" s="84" t="s">
        <v>3737</v>
      </c>
      <c r="H1504" s="84" t="s">
        <v>3737</v>
      </c>
      <c r="I1504" s="54">
        <f t="shared" si="24"/>
        <v>37</v>
      </c>
      <c r="J1504" s="56"/>
      <c r="K1504" s="57"/>
      <c r="L1504" s="119"/>
      <c r="M1504" s="59"/>
      <c r="N1504" s="93"/>
      <c r="O1504" s="61"/>
      <c r="P1504" s="90"/>
      <c r="Q1504" s="94"/>
      <c r="R1504" s="95"/>
      <c r="S1504" s="65">
        <v>752.0</v>
      </c>
      <c r="T1504" s="65">
        <f t="shared" si="39"/>
        <v>120.32</v>
      </c>
      <c r="U1504" s="65">
        <f t="shared" si="40"/>
        <v>872.32</v>
      </c>
      <c r="V1504" s="66" t="str">
        <f t="shared" si="65"/>
        <v>#DIV/0!</v>
      </c>
      <c r="W1504" s="67">
        <f t="shared" si="5"/>
        <v>714.4</v>
      </c>
      <c r="X1504" s="67">
        <f t="shared" si="61"/>
        <v>114.304</v>
      </c>
      <c r="Y1504" s="67">
        <f t="shared" si="62"/>
        <v>828.704</v>
      </c>
      <c r="Z1504" s="67">
        <f t="shared" si="8"/>
        <v>676.8</v>
      </c>
      <c r="AA1504" s="67">
        <f t="shared" si="54"/>
        <v>108.288</v>
      </c>
      <c r="AB1504" s="67">
        <f t="shared" si="55"/>
        <v>785.088</v>
      </c>
      <c r="AC1504" s="67">
        <f t="shared" si="11"/>
        <v>639.2</v>
      </c>
      <c r="AD1504" s="67">
        <f t="shared" si="56"/>
        <v>102.272</v>
      </c>
      <c r="AE1504" s="67">
        <f t="shared" si="57"/>
        <v>741.472</v>
      </c>
      <c r="AF1504" s="67">
        <f t="shared" si="33"/>
        <v>624.16</v>
      </c>
      <c r="AG1504" s="67">
        <f t="shared" si="58"/>
        <v>99.8656</v>
      </c>
      <c r="AH1504" s="67">
        <f t="shared" si="59"/>
        <v>724.0256</v>
      </c>
      <c r="AI1504" s="67">
        <f t="shared" si="17"/>
        <v>601.6</v>
      </c>
      <c r="AJ1504" s="68">
        <f t="shared" si="66"/>
        <v>96.256</v>
      </c>
      <c r="AK1504" s="68">
        <f t="shared" si="67"/>
        <v>697.856</v>
      </c>
      <c r="AL1504" s="70"/>
      <c r="AM1504" s="70"/>
      <c r="AN1504" s="71"/>
      <c r="AO1504" s="71"/>
      <c r="AP1504" s="71"/>
      <c r="AQ1504" s="71"/>
      <c r="AR1504" s="71"/>
      <c r="AS1504" s="71"/>
      <c r="AT1504" s="71"/>
      <c r="AU1504" s="71"/>
      <c r="AV1504" s="71"/>
      <c r="AW1504" s="71"/>
      <c r="AX1504" s="71"/>
      <c r="AY1504" s="71"/>
      <c r="AZ1504" s="71"/>
      <c r="BA1504" s="71"/>
      <c r="BB1504" s="71"/>
      <c r="BC1504" s="71"/>
      <c r="BD1504" s="71"/>
      <c r="BE1504" s="71"/>
      <c r="BF1504" s="71"/>
      <c r="BG1504" s="71"/>
      <c r="BH1504" s="71"/>
      <c r="BI1504" s="71"/>
      <c r="BJ1504" s="71"/>
      <c r="BK1504" s="71"/>
      <c r="BL1504" s="71"/>
      <c r="BM1504" s="71"/>
      <c r="BN1504" s="71"/>
      <c r="BO1504" s="71"/>
      <c r="BP1504" s="71"/>
      <c r="BQ1504" s="71"/>
      <c r="BR1504" s="71"/>
      <c r="BS1504" s="71"/>
      <c r="BT1504" s="71"/>
      <c r="BU1504" s="71"/>
      <c r="BV1504" s="71"/>
    </row>
    <row r="1505">
      <c r="A1505" s="53"/>
      <c r="B1505" s="53"/>
      <c r="C1505" s="53" t="s">
        <v>12</v>
      </c>
      <c r="D1505" s="53" t="s">
        <v>3738</v>
      </c>
      <c r="E1505" s="86" t="s">
        <v>1177</v>
      </c>
      <c r="F1505" s="91" t="s">
        <v>42</v>
      </c>
      <c r="G1505" s="84" t="s">
        <v>3739</v>
      </c>
      <c r="H1505" s="55" t="s">
        <v>3740</v>
      </c>
      <c r="I1505" s="54">
        <f t="shared" si="24"/>
        <v>40</v>
      </c>
      <c r="J1505" s="56"/>
      <c r="K1505" s="57"/>
      <c r="L1505" s="76"/>
      <c r="M1505" s="59"/>
      <c r="N1505" s="79"/>
      <c r="O1505" s="90"/>
      <c r="P1505" s="90"/>
      <c r="Q1505" s="94"/>
      <c r="R1505" s="64">
        <v>1294.0</v>
      </c>
      <c r="S1505" s="111">
        <v>1359.0</v>
      </c>
      <c r="T1505" s="65">
        <f t="shared" si="39"/>
        <v>217.44</v>
      </c>
      <c r="U1505" s="65">
        <f t="shared" si="40"/>
        <v>1576.44</v>
      </c>
      <c r="V1505" s="66"/>
      <c r="W1505" s="67">
        <f t="shared" si="5"/>
        <v>1291.05</v>
      </c>
      <c r="X1505" s="67">
        <f t="shared" si="61"/>
        <v>206.568</v>
      </c>
      <c r="Y1505" s="67">
        <f t="shared" si="62"/>
        <v>1497.618</v>
      </c>
      <c r="Z1505" s="67">
        <f t="shared" si="8"/>
        <v>1223.1</v>
      </c>
      <c r="AA1505" s="67">
        <f t="shared" si="54"/>
        <v>195.696</v>
      </c>
      <c r="AB1505" s="67">
        <f t="shared" si="55"/>
        <v>1418.796</v>
      </c>
      <c r="AC1505" s="67">
        <f t="shared" si="11"/>
        <v>1155.15</v>
      </c>
      <c r="AD1505" s="67">
        <f t="shared" si="56"/>
        <v>184.824</v>
      </c>
      <c r="AE1505" s="67">
        <f t="shared" si="57"/>
        <v>1339.974</v>
      </c>
      <c r="AF1505" s="67">
        <f t="shared" si="33"/>
        <v>1127.97</v>
      </c>
      <c r="AG1505" s="67">
        <f t="shared" si="58"/>
        <v>180.4752</v>
      </c>
      <c r="AH1505" s="67">
        <f t="shared" si="59"/>
        <v>1308.4452</v>
      </c>
      <c r="AI1505" s="67">
        <f t="shared" si="17"/>
        <v>1087.2</v>
      </c>
      <c r="AJ1505" s="68">
        <f t="shared" si="66"/>
        <v>173.952</v>
      </c>
      <c r="AK1505" s="68">
        <f t="shared" si="67"/>
        <v>1261.152</v>
      </c>
      <c r="AL1505" s="70"/>
      <c r="AM1505" s="70"/>
      <c r="AN1505" s="71"/>
      <c r="AO1505" s="71"/>
      <c r="AP1505" s="71"/>
      <c r="AQ1505" s="71"/>
      <c r="AR1505" s="71"/>
      <c r="AS1505" s="71"/>
      <c r="AT1505" s="71"/>
      <c r="AU1505" s="71"/>
      <c r="AV1505" s="71"/>
      <c r="AW1505" s="71"/>
      <c r="AX1505" s="71"/>
      <c r="AY1505" s="71"/>
      <c r="AZ1505" s="71"/>
      <c r="BA1505" s="71"/>
      <c r="BB1505" s="71"/>
      <c r="BC1505" s="71"/>
      <c r="BD1505" s="71"/>
      <c r="BE1505" s="71"/>
      <c r="BF1505" s="71"/>
      <c r="BG1505" s="71"/>
      <c r="BH1505" s="71"/>
      <c r="BI1505" s="71"/>
      <c r="BJ1505" s="71"/>
      <c r="BK1505" s="71"/>
      <c r="BL1505" s="71"/>
      <c r="BM1505" s="71"/>
      <c r="BN1505" s="71"/>
      <c r="BO1505" s="71"/>
      <c r="BP1505" s="71"/>
      <c r="BQ1505" s="71"/>
      <c r="BR1505" s="71"/>
      <c r="BS1505" s="71"/>
      <c r="BT1505" s="71"/>
      <c r="BU1505" s="71"/>
      <c r="BV1505" s="71"/>
    </row>
    <row r="1506">
      <c r="A1506" s="53"/>
      <c r="B1506" s="53"/>
      <c r="C1506" s="73" t="s">
        <v>12</v>
      </c>
      <c r="D1506" s="53" t="s">
        <v>3741</v>
      </c>
      <c r="E1506" s="54" t="s">
        <v>38</v>
      </c>
      <c r="F1506" s="54" t="s">
        <v>42</v>
      </c>
      <c r="G1506" s="55" t="s">
        <v>3742</v>
      </c>
      <c r="H1506" s="54" t="s">
        <v>3743</v>
      </c>
      <c r="I1506" s="54">
        <f t="shared" si="24"/>
        <v>34</v>
      </c>
      <c r="J1506" s="56"/>
      <c r="K1506" s="57"/>
      <c r="L1506" s="76"/>
      <c r="M1506" s="59"/>
      <c r="N1506" s="79"/>
      <c r="O1506" s="61">
        <v>832.0</v>
      </c>
      <c r="P1506" s="62">
        <v>898.5600000000001</v>
      </c>
      <c r="Q1506" s="63">
        <v>898.5600000000001</v>
      </c>
      <c r="R1506" s="64">
        <v>944.0</v>
      </c>
      <c r="S1506" s="111">
        <v>991.0</v>
      </c>
      <c r="T1506" s="65">
        <f t="shared" si="39"/>
        <v>158.56</v>
      </c>
      <c r="U1506" s="65">
        <f t="shared" si="40"/>
        <v>1149.56</v>
      </c>
      <c r="V1506" s="66">
        <f t="shared" ref="V1506:V1753" si="68">(S1506-R1506)/R1506</f>
        <v>0.04978813559</v>
      </c>
      <c r="W1506" s="67">
        <f t="shared" si="5"/>
        <v>941.45</v>
      </c>
      <c r="X1506" s="67">
        <f t="shared" si="61"/>
        <v>150.632</v>
      </c>
      <c r="Y1506" s="67">
        <f t="shared" si="62"/>
        <v>1092.082</v>
      </c>
      <c r="Z1506" s="67">
        <f t="shared" si="8"/>
        <v>891.9</v>
      </c>
      <c r="AA1506" s="67">
        <f t="shared" si="54"/>
        <v>142.704</v>
      </c>
      <c r="AB1506" s="67">
        <f t="shared" si="55"/>
        <v>1034.604</v>
      </c>
      <c r="AC1506" s="67">
        <f t="shared" si="11"/>
        <v>842.35</v>
      </c>
      <c r="AD1506" s="67">
        <f t="shared" si="56"/>
        <v>134.776</v>
      </c>
      <c r="AE1506" s="67">
        <f t="shared" si="57"/>
        <v>977.126</v>
      </c>
      <c r="AF1506" s="67">
        <f t="shared" si="33"/>
        <v>822.53</v>
      </c>
      <c r="AG1506" s="67">
        <f t="shared" si="58"/>
        <v>131.6048</v>
      </c>
      <c r="AH1506" s="67">
        <f t="shared" si="59"/>
        <v>954.1348</v>
      </c>
      <c r="AI1506" s="67">
        <f t="shared" si="17"/>
        <v>792.8</v>
      </c>
      <c r="AJ1506" s="68">
        <f t="shared" si="66"/>
        <v>126.848</v>
      </c>
      <c r="AK1506" s="68">
        <f t="shared" si="67"/>
        <v>919.648</v>
      </c>
      <c r="AL1506" s="70"/>
      <c r="AM1506" s="70"/>
      <c r="AN1506" s="71"/>
      <c r="AO1506" s="71"/>
      <c r="AP1506" s="71"/>
      <c r="AQ1506" s="71"/>
      <c r="AR1506" s="71"/>
      <c r="AS1506" s="71"/>
      <c r="AT1506" s="71"/>
      <c r="AU1506" s="71"/>
      <c r="AV1506" s="71"/>
      <c r="AW1506" s="71"/>
      <c r="AX1506" s="71"/>
      <c r="AY1506" s="71"/>
      <c r="AZ1506" s="71"/>
      <c r="BA1506" s="71"/>
      <c r="BB1506" s="71"/>
      <c r="BC1506" s="71"/>
      <c r="BD1506" s="71"/>
      <c r="BE1506" s="71"/>
      <c r="BF1506" s="71"/>
      <c r="BG1506" s="71"/>
      <c r="BH1506" s="71"/>
      <c r="BI1506" s="71"/>
      <c r="BJ1506" s="71"/>
      <c r="BK1506" s="71"/>
      <c r="BL1506" s="71"/>
      <c r="BM1506" s="71"/>
      <c r="BN1506" s="71"/>
      <c r="BO1506" s="71"/>
      <c r="BP1506" s="71"/>
      <c r="BQ1506" s="71"/>
      <c r="BR1506" s="71"/>
      <c r="BS1506" s="71"/>
      <c r="BT1506" s="71"/>
      <c r="BU1506" s="71"/>
      <c r="BV1506" s="71"/>
    </row>
    <row r="1507">
      <c r="A1507" s="53"/>
      <c r="B1507" s="53"/>
      <c r="C1507" s="73" t="s">
        <v>12</v>
      </c>
      <c r="D1507" s="53" t="s">
        <v>3744</v>
      </c>
      <c r="E1507" s="54" t="s">
        <v>38</v>
      </c>
      <c r="F1507" s="54" t="s">
        <v>42</v>
      </c>
      <c r="G1507" s="55" t="s">
        <v>3745</v>
      </c>
      <c r="H1507" s="55" t="s">
        <v>3746</v>
      </c>
      <c r="I1507" s="54">
        <f t="shared" si="24"/>
        <v>29</v>
      </c>
      <c r="J1507" s="56"/>
      <c r="K1507" s="57"/>
      <c r="L1507" s="87"/>
      <c r="M1507" s="59"/>
      <c r="N1507" s="60"/>
      <c r="O1507" s="90"/>
      <c r="P1507" s="62">
        <v>1865.0</v>
      </c>
      <c r="Q1507" s="63">
        <v>1865.0</v>
      </c>
      <c r="R1507" s="64">
        <v>1959.0</v>
      </c>
      <c r="S1507" s="111">
        <v>2057.0</v>
      </c>
      <c r="T1507" s="65">
        <f t="shared" si="39"/>
        <v>329.12</v>
      </c>
      <c r="U1507" s="65">
        <f t="shared" si="40"/>
        <v>2386.12</v>
      </c>
      <c r="V1507" s="66">
        <f t="shared" si="68"/>
        <v>0.05002552323</v>
      </c>
      <c r="W1507" s="67">
        <f t="shared" si="5"/>
        <v>1954.15</v>
      </c>
      <c r="X1507" s="67">
        <f t="shared" si="61"/>
        <v>312.664</v>
      </c>
      <c r="Y1507" s="67">
        <f t="shared" si="62"/>
        <v>2266.814</v>
      </c>
      <c r="Z1507" s="67">
        <f t="shared" si="8"/>
        <v>1851.3</v>
      </c>
      <c r="AA1507" s="67">
        <f t="shared" si="54"/>
        <v>296.208</v>
      </c>
      <c r="AB1507" s="67">
        <f t="shared" si="55"/>
        <v>2147.508</v>
      </c>
      <c r="AC1507" s="67">
        <f t="shared" si="11"/>
        <v>1748.45</v>
      </c>
      <c r="AD1507" s="67">
        <f t="shared" si="56"/>
        <v>279.752</v>
      </c>
      <c r="AE1507" s="67">
        <f t="shared" si="57"/>
        <v>2028.202</v>
      </c>
      <c r="AF1507" s="67">
        <f t="shared" si="33"/>
        <v>1707.31</v>
      </c>
      <c r="AG1507" s="67">
        <f t="shared" si="58"/>
        <v>273.1696</v>
      </c>
      <c r="AH1507" s="67">
        <f t="shared" si="59"/>
        <v>1980.4796</v>
      </c>
      <c r="AI1507" s="67">
        <f t="shared" si="17"/>
        <v>1645.6</v>
      </c>
      <c r="AJ1507" s="68">
        <f t="shared" si="66"/>
        <v>263.296</v>
      </c>
      <c r="AK1507" s="68">
        <f t="shared" si="67"/>
        <v>1908.896</v>
      </c>
      <c r="AL1507" s="70"/>
      <c r="AM1507" s="70"/>
      <c r="AN1507" s="71"/>
      <c r="AO1507" s="71"/>
      <c r="AP1507" s="71"/>
      <c r="AQ1507" s="71"/>
      <c r="AR1507" s="71"/>
      <c r="AS1507" s="71"/>
      <c r="AT1507" s="71"/>
      <c r="AU1507" s="71"/>
      <c r="AV1507" s="71"/>
      <c r="AW1507" s="71"/>
      <c r="AX1507" s="71"/>
      <c r="AY1507" s="71"/>
      <c r="AZ1507" s="71"/>
      <c r="BA1507" s="71"/>
      <c r="BB1507" s="71"/>
      <c r="BC1507" s="71"/>
      <c r="BD1507" s="71"/>
      <c r="BE1507" s="71"/>
      <c r="BF1507" s="71"/>
      <c r="BG1507" s="71"/>
      <c r="BH1507" s="71"/>
      <c r="BI1507" s="71"/>
      <c r="BJ1507" s="71"/>
      <c r="BK1507" s="71"/>
      <c r="BL1507" s="71"/>
      <c r="BM1507" s="71"/>
      <c r="BN1507" s="71"/>
      <c r="BO1507" s="71"/>
      <c r="BP1507" s="71"/>
      <c r="BQ1507" s="71"/>
      <c r="BR1507" s="71"/>
      <c r="BS1507" s="71"/>
      <c r="BT1507" s="71"/>
      <c r="BU1507" s="71"/>
      <c r="BV1507" s="71"/>
    </row>
    <row r="1508">
      <c r="A1508" s="53">
        <v>1.0</v>
      </c>
      <c r="B1508" s="72"/>
      <c r="C1508" s="73" t="s">
        <v>12</v>
      </c>
      <c r="D1508" s="74" t="s">
        <v>3747</v>
      </c>
      <c r="E1508" s="54" t="s">
        <v>38</v>
      </c>
      <c r="F1508" s="54" t="s">
        <v>42</v>
      </c>
      <c r="G1508" s="88" t="s">
        <v>3748</v>
      </c>
      <c r="H1508" s="54" t="s">
        <v>3749</v>
      </c>
      <c r="I1508" s="54">
        <f t="shared" si="24"/>
        <v>40</v>
      </c>
      <c r="J1508" s="56"/>
      <c r="K1508" s="57"/>
      <c r="L1508" s="87"/>
      <c r="M1508" s="59"/>
      <c r="N1508" s="60">
        <v>454.0</v>
      </c>
      <c r="O1508" s="61">
        <v>490.0</v>
      </c>
      <c r="P1508" s="62">
        <v>529.2</v>
      </c>
      <c r="Q1508" s="63">
        <v>529.2</v>
      </c>
      <c r="R1508" s="64">
        <v>590.0</v>
      </c>
      <c r="S1508" s="111">
        <v>620.0</v>
      </c>
      <c r="T1508" s="65">
        <f t="shared" si="39"/>
        <v>99.2</v>
      </c>
      <c r="U1508" s="65">
        <f t="shared" si="40"/>
        <v>719.2</v>
      </c>
      <c r="V1508" s="66">
        <f t="shared" si="68"/>
        <v>0.05084745763</v>
      </c>
      <c r="W1508" s="67">
        <f t="shared" si="5"/>
        <v>589</v>
      </c>
      <c r="X1508" s="67">
        <f t="shared" si="61"/>
        <v>94.24</v>
      </c>
      <c r="Y1508" s="67">
        <f t="shared" si="62"/>
        <v>683.24</v>
      </c>
      <c r="Z1508" s="67">
        <f t="shared" si="8"/>
        <v>558</v>
      </c>
      <c r="AA1508" s="67">
        <f t="shared" si="54"/>
        <v>89.28</v>
      </c>
      <c r="AB1508" s="67">
        <f t="shared" si="55"/>
        <v>647.28</v>
      </c>
      <c r="AC1508" s="67">
        <f t="shared" si="11"/>
        <v>527</v>
      </c>
      <c r="AD1508" s="67">
        <f t="shared" si="56"/>
        <v>84.32</v>
      </c>
      <c r="AE1508" s="67">
        <f t="shared" si="57"/>
        <v>611.32</v>
      </c>
      <c r="AF1508" s="67">
        <f t="shared" si="33"/>
        <v>514.6</v>
      </c>
      <c r="AG1508" s="67">
        <f t="shared" si="58"/>
        <v>82.336</v>
      </c>
      <c r="AH1508" s="67">
        <f t="shared" si="59"/>
        <v>596.936</v>
      </c>
      <c r="AI1508" s="67">
        <f t="shared" si="17"/>
        <v>496</v>
      </c>
      <c r="AJ1508" s="68">
        <f t="shared" si="66"/>
        <v>79.36</v>
      </c>
      <c r="AK1508" s="68">
        <f t="shared" si="67"/>
        <v>575.36</v>
      </c>
      <c r="AL1508" s="70"/>
      <c r="AM1508" s="70"/>
      <c r="AN1508" s="71"/>
      <c r="AO1508" s="71"/>
      <c r="AP1508" s="71"/>
      <c r="AQ1508" s="71"/>
      <c r="AR1508" s="71"/>
      <c r="AS1508" s="71"/>
      <c r="AT1508" s="71"/>
      <c r="AU1508" s="71"/>
      <c r="AV1508" s="71"/>
      <c r="AW1508" s="71"/>
      <c r="AX1508" s="71"/>
      <c r="AY1508" s="71"/>
      <c r="AZ1508" s="71"/>
      <c r="BA1508" s="71"/>
      <c r="BB1508" s="71"/>
      <c r="BC1508" s="71"/>
      <c r="BD1508" s="71"/>
      <c r="BE1508" s="71"/>
      <c r="BF1508" s="71"/>
      <c r="BG1508" s="71"/>
      <c r="BH1508" s="71"/>
      <c r="BI1508" s="71"/>
      <c r="BJ1508" s="71"/>
      <c r="BK1508" s="71"/>
      <c r="BL1508" s="71"/>
      <c r="BM1508" s="71"/>
      <c r="BN1508" s="71"/>
      <c r="BO1508" s="71"/>
      <c r="BP1508" s="71"/>
      <c r="BQ1508" s="71"/>
      <c r="BR1508" s="71"/>
      <c r="BS1508" s="71"/>
      <c r="BT1508" s="71"/>
      <c r="BU1508" s="71"/>
      <c r="BV1508" s="71"/>
    </row>
    <row r="1509">
      <c r="A1509" s="53">
        <v>1.0</v>
      </c>
      <c r="B1509" s="72"/>
      <c r="C1509" s="73" t="s">
        <v>12</v>
      </c>
      <c r="D1509" s="74" t="s">
        <v>3750</v>
      </c>
      <c r="E1509" s="54" t="s">
        <v>38</v>
      </c>
      <c r="F1509" s="54" t="s">
        <v>42</v>
      </c>
      <c r="G1509" s="88" t="s">
        <v>3751</v>
      </c>
      <c r="H1509" s="54" t="s">
        <v>3752</v>
      </c>
      <c r="I1509" s="54">
        <f t="shared" si="24"/>
        <v>38</v>
      </c>
      <c r="J1509" s="56"/>
      <c r="K1509" s="57"/>
      <c r="L1509" s="87"/>
      <c r="M1509" s="59"/>
      <c r="N1509" s="60">
        <v>504.0</v>
      </c>
      <c r="O1509" s="61">
        <v>544.0</v>
      </c>
      <c r="P1509" s="62">
        <v>587.52</v>
      </c>
      <c r="Q1509" s="63">
        <v>587.52</v>
      </c>
      <c r="R1509" s="64">
        <v>655.0</v>
      </c>
      <c r="S1509" s="111">
        <v>688.0</v>
      </c>
      <c r="T1509" s="65">
        <f t="shared" si="39"/>
        <v>110.08</v>
      </c>
      <c r="U1509" s="65">
        <f t="shared" si="40"/>
        <v>798.08</v>
      </c>
      <c r="V1509" s="66">
        <f t="shared" si="68"/>
        <v>0.05038167939</v>
      </c>
      <c r="W1509" s="67">
        <f t="shared" si="5"/>
        <v>653.6</v>
      </c>
      <c r="X1509" s="67">
        <f t="shared" si="61"/>
        <v>104.576</v>
      </c>
      <c r="Y1509" s="67">
        <f t="shared" si="62"/>
        <v>758.176</v>
      </c>
      <c r="Z1509" s="67">
        <f t="shared" si="8"/>
        <v>619.2</v>
      </c>
      <c r="AA1509" s="67">
        <f t="shared" si="54"/>
        <v>99.072</v>
      </c>
      <c r="AB1509" s="67">
        <f t="shared" si="55"/>
        <v>718.272</v>
      </c>
      <c r="AC1509" s="67">
        <f t="shared" si="11"/>
        <v>584.8</v>
      </c>
      <c r="AD1509" s="67">
        <f t="shared" si="56"/>
        <v>93.568</v>
      </c>
      <c r="AE1509" s="67">
        <f t="shared" si="57"/>
        <v>678.368</v>
      </c>
      <c r="AF1509" s="67">
        <f t="shared" si="33"/>
        <v>571.04</v>
      </c>
      <c r="AG1509" s="67">
        <f t="shared" si="58"/>
        <v>91.3664</v>
      </c>
      <c r="AH1509" s="67">
        <f t="shared" si="59"/>
        <v>662.4064</v>
      </c>
      <c r="AI1509" s="67">
        <f t="shared" si="17"/>
        <v>550.4</v>
      </c>
      <c r="AJ1509" s="68">
        <f t="shared" si="66"/>
        <v>88.064</v>
      </c>
      <c r="AK1509" s="68">
        <f t="shared" si="67"/>
        <v>638.464</v>
      </c>
      <c r="AL1509" s="70"/>
      <c r="AM1509" s="70"/>
      <c r="AN1509" s="71"/>
      <c r="AO1509" s="71"/>
      <c r="AP1509" s="71"/>
      <c r="AQ1509" s="71"/>
      <c r="AR1509" s="71"/>
      <c r="AS1509" s="71"/>
      <c r="AT1509" s="71"/>
      <c r="AU1509" s="71"/>
      <c r="AV1509" s="71"/>
      <c r="AW1509" s="71"/>
      <c r="AX1509" s="71"/>
      <c r="AY1509" s="71"/>
      <c r="AZ1509" s="71"/>
      <c r="BA1509" s="71"/>
      <c r="BB1509" s="71"/>
      <c r="BC1509" s="71"/>
      <c r="BD1509" s="71"/>
      <c r="BE1509" s="71"/>
      <c r="BF1509" s="71"/>
      <c r="BG1509" s="71"/>
      <c r="BH1509" s="71"/>
      <c r="BI1509" s="71"/>
      <c r="BJ1509" s="71"/>
      <c r="BK1509" s="71"/>
      <c r="BL1509" s="71"/>
      <c r="BM1509" s="71"/>
      <c r="BN1509" s="71"/>
      <c r="BO1509" s="71"/>
      <c r="BP1509" s="71"/>
      <c r="BQ1509" s="71"/>
      <c r="BR1509" s="71"/>
      <c r="BS1509" s="71"/>
      <c r="BT1509" s="71"/>
      <c r="BU1509" s="71"/>
      <c r="BV1509" s="71"/>
    </row>
    <row r="1510">
      <c r="A1510" s="53"/>
      <c r="B1510" s="53"/>
      <c r="C1510" s="73" t="s">
        <v>12</v>
      </c>
      <c r="D1510" s="53" t="s">
        <v>3753</v>
      </c>
      <c r="E1510" s="54" t="s">
        <v>38</v>
      </c>
      <c r="F1510" s="54" t="s">
        <v>42</v>
      </c>
      <c r="G1510" s="55" t="s">
        <v>3754</v>
      </c>
      <c r="H1510" s="54" t="s">
        <v>3755</v>
      </c>
      <c r="I1510" s="54">
        <f t="shared" si="24"/>
        <v>33</v>
      </c>
      <c r="J1510" s="56"/>
      <c r="K1510" s="57"/>
      <c r="L1510" s="76"/>
      <c r="M1510" s="59"/>
      <c r="N1510" s="79">
        <v>710.0</v>
      </c>
      <c r="O1510" s="61">
        <v>766.0</v>
      </c>
      <c r="P1510" s="62">
        <v>827.2800000000001</v>
      </c>
      <c r="Q1510" s="63">
        <v>827.2800000000001</v>
      </c>
      <c r="R1510" s="64">
        <v>869.0</v>
      </c>
      <c r="S1510" s="111">
        <v>912.0</v>
      </c>
      <c r="T1510" s="65">
        <f t="shared" si="39"/>
        <v>145.92</v>
      </c>
      <c r="U1510" s="65">
        <f t="shared" si="40"/>
        <v>1057.92</v>
      </c>
      <c r="V1510" s="66">
        <f t="shared" si="68"/>
        <v>0.04948216341</v>
      </c>
      <c r="W1510" s="67">
        <f t="shared" si="5"/>
        <v>866.4</v>
      </c>
      <c r="X1510" s="67">
        <f t="shared" si="61"/>
        <v>138.624</v>
      </c>
      <c r="Y1510" s="67">
        <f t="shared" si="62"/>
        <v>1005.024</v>
      </c>
      <c r="Z1510" s="67">
        <f t="shared" si="8"/>
        <v>820.8</v>
      </c>
      <c r="AA1510" s="67">
        <f t="shared" si="54"/>
        <v>131.328</v>
      </c>
      <c r="AB1510" s="67">
        <f t="shared" si="55"/>
        <v>952.128</v>
      </c>
      <c r="AC1510" s="67">
        <f t="shared" si="11"/>
        <v>775.2</v>
      </c>
      <c r="AD1510" s="67">
        <f t="shared" si="56"/>
        <v>124.032</v>
      </c>
      <c r="AE1510" s="67">
        <f t="shared" si="57"/>
        <v>899.232</v>
      </c>
      <c r="AF1510" s="67">
        <f t="shared" si="33"/>
        <v>756.96</v>
      </c>
      <c r="AG1510" s="67">
        <f t="shared" si="58"/>
        <v>121.1136</v>
      </c>
      <c r="AH1510" s="67">
        <f t="shared" si="59"/>
        <v>878.0736</v>
      </c>
      <c r="AI1510" s="67">
        <f t="shared" si="17"/>
        <v>729.6</v>
      </c>
      <c r="AJ1510" s="68">
        <f t="shared" si="66"/>
        <v>116.736</v>
      </c>
      <c r="AK1510" s="68">
        <f t="shared" si="67"/>
        <v>846.336</v>
      </c>
      <c r="AL1510" s="70"/>
      <c r="AM1510" s="70"/>
      <c r="AN1510" s="71"/>
      <c r="AO1510" s="71"/>
      <c r="AP1510" s="71"/>
      <c r="AQ1510" s="71"/>
      <c r="AR1510" s="71"/>
      <c r="AS1510" s="71"/>
      <c r="AT1510" s="71"/>
      <c r="AU1510" s="71"/>
      <c r="AV1510" s="71"/>
      <c r="AW1510" s="71"/>
      <c r="AX1510" s="71"/>
      <c r="AY1510" s="71"/>
      <c r="AZ1510" s="71"/>
      <c r="BA1510" s="71"/>
      <c r="BB1510" s="71"/>
      <c r="BC1510" s="71"/>
      <c r="BD1510" s="71"/>
      <c r="BE1510" s="71"/>
      <c r="BF1510" s="71"/>
      <c r="BG1510" s="71"/>
      <c r="BH1510" s="71"/>
      <c r="BI1510" s="71"/>
      <c r="BJ1510" s="71"/>
      <c r="BK1510" s="71"/>
      <c r="BL1510" s="71"/>
      <c r="BM1510" s="71"/>
      <c r="BN1510" s="71"/>
      <c r="BO1510" s="71"/>
      <c r="BP1510" s="71"/>
      <c r="BQ1510" s="71"/>
      <c r="BR1510" s="71"/>
      <c r="BS1510" s="71"/>
      <c r="BT1510" s="71"/>
      <c r="BU1510" s="71"/>
      <c r="BV1510" s="71"/>
    </row>
    <row r="1511">
      <c r="A1511" s="53"/>
      <c r="B1511" s="53"/>
      <c r="C1511" s="73" t="s">
        <v>12</v>
      </c>
      <c r="D1511" s="53" t="s">
        <v>3756</v>
      </c>
      <c r="E1511" s="54" t="s">
        <v>38</v>
      </c>
      <c r="F1511" s="54" t="s">
        <v>42</v>
      </c>
      <c r="G1511" s="55" t="s">
        <v>3757</v>
      </c>
      <c r="H1511" s="54" t="s">
        <v>3758</v>
      </c>
      <c r="I1511" s="54">
        <f t="shared" si="24"/>
        <v>34</v>
      </c>
      <c r="J1511" s="56"/>
      <c r="K1511" s="57"/>
      <c r="L1511" s="76"/>
      <c r="M1511" s="59"/>
      <c r="N1511" s="79"/>
      <c r="O1511" s="61">
        <v>1053.0</v>
      </c>
      <c r="P1511" s="62">
        <v>1137.24</v>
      </c>
      <c r="Q1511" s="63">
        <v>1137.24</v>
      </c>
      <c r="R1511" s="64">
        <v>1194.0</v>
      </c>
      <c r="S1511" s="111">
        <v>1254.0</v>
      </c>
      <c r="T1511" s="65">
        <f t="shared" si="39"/>
        <v>200.64</v>
      </c>
      <c r="U1511" s="65">
        <f t="shared" si="40"/>
        <v>1454.64</v>
      </c>
      <c r="V1511" s="66">
        <f t="shared" si="68"/>
        <v>0.05025125628</v>
      </c>
      <c r="W1511" s="67">
        <f t="shared" si="5"/>
        <v>1191.3</v>
      </c>
      <c r="X1511" s="67">
        <f t="shared" si="61"/>
        <v>190.608</v>
      </c>
      <c r="Y1511" s="67">
        <f t="shared" si="62"/>
        <v>1381.908</v>
      </c>
      <c r="Z1511" s="67">
        <f t="shared" si="8"/>
        <v>1128.6</v>
      </c>
      <c r="AA1511" s="67">
        <f t="shared" si="54"/>
        <v>180.576</v>
      </c>
      <c r="AB1511" s="67">
        <f t="shared" si="55"/>
        <v>1309.176</v>
      </c>
      <c r="AC1511" s="67">
        <f t="shared" si="11"/>
        <v>1065.9</v>
      </c>
      <c r="AD1511" s="67">
        <f t="shared" si="56"/>
        <v>170.544</v>
      </c>
      <c r="AE1511" s="67">
        <f t="shared" si="57"/>
        <v>1236.444</v>
      </c>
      <c r="AF1511" s="67">
        <f t="shared" si="33"/>
        <v>1040.82</v>
      </c>
      <c r="AG1511" s="67">
        <f t="shared" si="58"/>
        <v>166.5312</v>
      </c>
      <c r="AH1511" s="67">
        <f t="shared" si="59"/>
        <v>1207.3512</v>
      </c>
      <c r="AI1511" s="67">
        <f t="shared" si="17"/>
        <v>1003.2</v>
      </c>
      <c r="AJ1511" s="68">
        <f t="shared" si="66"/>
        <v>160.512</v>
      </c>
      <c r="AK1511" s="68">
        <f t="shared" si="67"/>
        <v>1163.712</v>
      </c>
      <c r="AL1511" s="70"/>
      <c r="AM1511" s="70"/>
      <c r="AN1511" s="71"/>
      <c r="AO1511" s="71"/>
      <c r="AP1511" s="71"/>
      <c r="AQ1511" s="71"/>
      <c r="AR1511" s="71"/>
      <c r="AS1511" s="71"/>
      <c r="AT1511" s="71"/>
      <c r="AU1511" s="71"/>
      <c r="AV1511" s="71"/>
      <c r="AW1511" s="71"/>
      <c r="AX1511" s="71"/>
      <c r="AY1511" s="71"/>
      <c r="AZ1511" s="71"/>
      <c r="BA1511" s="71"/>
      <c r="BB1511" s="71"/>
      <c r="BC1511" s="71"/>
      <c r="BD1511" s="71"/>
      <c r="BE1511" s="71"/>
      <c r="BF1511" s="71"/>
      <c r="BG1511" s="71"/>
      <c r="BH1511" s="71"/>
      <c r="BI1511" s="71"/>
      <c r="BJ1511" s="71"/>
      <c r="BK1511" s="71"/>
      <c r="BL1511" s="71"/>
      <c r="BM1511" s="71"/>
      <c r="BN1511" s="71"/>
      <c r="BO1511" s="71"/>
      <c r="BP1511" s="71"/>
      <c r="BQ1511" s="71"/>
      <c r="BR1511" s="71"/>
      <c r="BS1511" s="71"/>
      <c r="BT1511" s="71"/>
      <c r="BU1511" s="71"/>
      <c r="BV1511" s="71"/>
    </row>
    <row r="1512">
      <c r="A1512" s="53"/>
      <c r="B1512" s="53"/>
      <c r="C1512" s="73" t="s">
        <v>12</v>
      </c>
      <c r="D1512" s="53" t="s">
        <v>3759</v>
      </c>
      <c r="E1512" s="54" t="s">
        <v>38</v>
      </c>
      <c r="F1512" s="54" t="s">
        <v>42</v>
      </c>
      <c r="G1512" s="54" t="s">
        <v>3760</v>
      </c>
      <c r="H1512" s="54" t="s">
        <v>3761</v>
      </c>
      <c r="I1512" s="54">
        <f t="shared" si="24"/>
        <v>34</v>
      </c>
      <c r="J1512" s="56"/>
      <c r="K1512" s="57"/>
      <c r="L1512" s="76"/>
      <c r="M1512" s="59"/>
      <c r="N1512" s="60"/>
      <c r="O1512" s="61">
        <v>1869.0</v>
      </c>
      <c r="P1512" s="62">
        <v>2018.5200000000002</v>
      </c>
      <c r="Q1512" s="63">
        <v>2018.5200000000002</v>
      </c>
      <c r="R1512" s="64">
        <v>2120.0</v>
      </c>
      <c r="S1512" s="111">
        <v>2226.0</v>
      </c>
      <c r="T1512" s="65">
        <f t="shared" si="39"/>
        <v>356.16</v>
      </c>
      <c r="U1512" s="65">
        <f t="shared" si="40"/>
        <v>2582.16</v>
      </c>
      <c r="V1512" s="66">
        <f t="shared" si="68"/>
        <v>0.05</v>
      </c>
      <c r="W1512" s="67">
        <f t="shared" si="5"/>
        <v>2114.7</v>
      </c>
      <c r="X1512" s="67">
        <f t="shared" si="61"/>
        <v>338.352</v>
      </c>
      <c r="Y1512" s="67">
        <f t="shared" si="62"/>
        <v>2453.052</v>
      </c>
      <c r="Z1512" s="67">
        <f t="shared" si="8"/>
        <v>2003.4</v>
      </c>
      <c r="AA1512" s="67">
        <f t="shared" si="54"/>
        <v>320.544</v>
      </c>
      <c r="AB1512" s="67">
        <f t="shared" si="55"/>
        <v>2323.944</v>
      </c>
      <c r="AC1512" s="67">
        <f t="shared" si="11"/>
        <v>1892.1</v>
      </c>
      <c r="AD1512" s="67">
        <f t="shared" si="56"/>
        <v>302.736</v>
      </c>
      <c r="AE1512" s="67">
        <f t="shared" si="57"/>
        <v>2194.836</v>
      </c>
      <c r="AF1512" s="67">
        <f t="shared" si="33"/>
        <v>1847.58</v>
      </c>
      <c r="AG1512" s="67">
        <f t="shared" si="58"/>
        <v>295.6128</v>
      </c>
      <c r="AH1512" s="67">
        <f t="shared" si="59"/>
        <v>2143.1928</v>
      </c>
      <c r="AI1512" s="67">
        <f t="shared" si="17"/>
        <v>1780.8</v>
      </c>
      <c r="AJ1512" s="68">
        <f t="shared" si="66"/>
        <v>284.928</v>
      </c>
      <c r="AK1512" s="68">
        <f t="shared" si="67"/>
        <v>2065.728</v>
      </c>
      <c r="AL1512" s="70"/>
      <c r="AM1512" s="70"/>
      <c r="AN1512" s="71"/>
      <c r="AO1512" s="71"/>
      <c r="AP1512" s="71"/>
      <c r="AQ1512" s="71"/>
      <c r="AR1512" s="71"/>
      <c r="AS1512" s="71"/>
      <c r="AT1512" s="71"/>
      <c r="AU1512" s="71"/>
      <c r="AV1512" s="71"/>
      <c r="AW1512" s="71"/>
      <c r="AX1512" s="71"/>
      <c r="AY1512" s="71"/>
      <c r="AZ1512" s="71"/>
      <c r="BA1512" s="71"/>
      <c r="BB1512" s="71"/>
      <c r="BC1512" s="71"/>
      <c r="BD1512" s="71"/>
      <c r="BE1512" s="71"/>
      <c r="BF1512" s="71"/>
      <c r="BG1512" s="71"/>
      <c r="BH1512" s="71"/>
      <c r="BI1512" s="71"/>
      <c r="BJ1512" s="71"/>
      <c r="BK1512" s="71"/>
      <c r="BL1512" s="71"/>
      <c r="BM1512" s="71"/>
      <c r="BN1512" s="71"/>
      <c r="BO1512" s="71"/>
      <c r="BP1512" s="71"/>
      <c r="BQ1512" s="71"/>
      <c r="BR1512" s="71"/>
      <c r="BS1512" s="71"/>
      <c r="BT1512" s="71"/>
      <c r="BU1512" s="71"/>
      <c r="BV1512" s="71"/>
    </row>
    <row r="1513">
      <c r="A1513" s="53"/>
      <c r="B1513" s="53"/>
      <c r="C1513" s="53" t="s">
        <v>12</v>
      </c>
      <c r="D1513" s="53" t="s">
        <v>3762</v>
      </c>
      <c r="E1513" s="54" t="s">
        <v>38</v>
      </c>
      <c r="F1513" s="55" t="s">
        <v>39</v>
      </c>
      <c r="G1513" s="55" t="s">
        <v>3763</v>
      </c>
      <c r="H1513" s="55" t="s">
        <v>3764</v>
      </c>
      <c r="I1513" s="54">
        <f t="shared" si="24"/>
        <v>36</v>
      </c>
      <c r="J1513" s="56"/>
      <c r="K1513" s="57"/>
      <c r="L1513" s="76"/>
      <c r="M1513" s="59"/>
      <c r="N1513" s="60"/>
      <c r="O1513" s="61">
        <v>723.84</v>
      </c>
      <c r="P1513" s="62">
        <v>781.7472000000001</v>
      </c>
      <c r="Q1513" s="63">
        <v>781.7472000000001</v>
      </c>
      <c r="R1513" s="64">
        <v>822.0</v>
      </c>
      <c r="S1513" s="111">
        <v>863.0</v>
      </c>
      <c r="T1513" s="65">
        <f t="shared" si="39"/>
        <v>138.08</v>
      </c>
      <c r="U1513" s="65">
        <f t="shared" si="40"/>
        <v>1001.08</v>
      </c>
      <c r="V1513" s="66">
        <f t="shared" si="68"/>
        <v>0.0498783455</v>
      </c>
      <c r="W1513" s="67">
        <f t="shared" si="5"/>
        <v>819.85</v>
      </c>
      <c r="X1513" s="67">
        <f t="shared" si="61"/>
        <v>131.176</v>
      </c>
      <c r="Y1513" s="67">
        <f t="shared" si="62"/>
        <v>951.026</v>
      </c>
      <c r="Z1513" s="67">
        <f t="shared" si="8"/>
        <v>776.7</v>
      </c>
      <c r="AA1513" s="67">
        <f t="shared" si="54"/>
        <v>124.272</v>
      </c>
      <c r="AB1513" s="67">
        <f t="shared" si="55"/>
        <v>900.972</v>
      </c>
      <c r="AC1513" s="67">
        <f t="shared" si="11"/>
        <v>733.55</v>
      </c>
      <c r="AD1513" s="67">
        <f t="shared" si="56"/>
        <v>117.368</v>
      </c>
      <c r="AE1513" s="67">
        <f t="shared" si="57"/>
        <v>850.918</v>
      </c>
      <c r="AF1513" s="67">
        <f t="shared" si="33"/>
        <v>716.29</v>
      </c>
      <c r="AG1513" s="67">
        <f t="shared" si="58"/>
        <v>114.6064</v>
      </c>
      <c r="AH1513" s="67">
        <f t="shared" si="59"/>
        <v>830.8964</v>
      </c>
      <c r="AI1513" s="67">
        <f t="shared" si="17"/>
        <v>690.4</v>
      </c>
      <c r="AJ1513" s="68">
        <f t="shared" si="66"/>
        <v>110.464</v>
      </c>
      <c r="AK1513" s="68">
        <f t="shared" si="67"/>
        <v>800.864</v>
      </c>
      <c r="AL1513" s="70"/>
      <c r="AM1513" s="70"/>
      <c r="AN1513" s="71"/>
      <c r="AO1513" s="71"/>
      <c r="AP1513" s="71"/>
      <c r="AQ1513" s="71"/>
      <c r="AR1513" s="71"/>
      <c r="AS1513" s="71"/>
      <c r="AT1513" s="71"/>
      <c r="AU1513" s="71"/>
      <c r="AV1513" s="71"/>
      <c r="AW1513" s="71"/>
      <c r="AX1513" s="71"/>
      <c r="AY1513" s="71"/>
      <c r="AZ1513" s="71"/>
      <c r="BA1513" s="71"/>
      <c r="BB1513" s="71"/>
      <c r="BC1513" s="71"/>
      <c r="BD1513" s="71"/>
      <c r="BE1513" s="71"/>
      <c r="BF1513" s="71"/>
      <c r="BG1513" s="71"/>
      <c r="BH1513" s="71"/>
      <c r="BI1513" s="71"/>
      <c r="BJ1513" s="71"/>
      <c r="BK1513" s="71"/>
      <c r="BL1513" s="71"/>
      <c r="BM1513" s="71"/>
      <c r="BN1513" s="71"/>
      <c r="BO1513" s="71"/>
      <c r="BP1513" s="71"/>
      <c r="BQ1513" s="71"/>
      <c r="BR1513" s="71"/>
      <c r="BS1513" s="71"/>
      <c r="BT1513" s="71"/>
      <c r="BU1513" s="71"/>
      <c r="BV1513" s="71"/>
    </row>
    <row r="1514">
      <c r="A1514" s="53"/>
      <c r="B1514" s="53"/>
      <c r="C1514" s="73" t="s">
        <v>12</v>
      </c>
      <c r="D1514" s="53" t="s">
        <v>3765</v>
      </c>
      <c r="E1514" s="54" t="s">
        <v>38</v>
      </c>
      <c r="F1514" s="54" t="s">
        <v>42</v>
      </c>
      <c r="G1514" s="55" t="s">
        <v>3766</v>
      </c>
      <c r="H1514" s="54" t="s">
        <v>3767</v>
      </c>
      <c r="I1514" s="54">
        <f t="shared" si="24"/>
        <v>33</v>
      </c>
      <c r="J1514" s="56"/>
      <c r="K1514" s="57"/>
      <c r="L1514" s="76"/>
      <c r="M1514" s="59"/>
      <c r="N1514" s="79"/>
      <c r="O1514" s="61">
        <v>568.0</v>
      </c>
      <c r="P1514" s="62">
        <v>613.44</v>
      </c>
      <c r="Q1514" s="63">
        <v>613.44</v>
      </c>
      <c r="R1514" s="64">
        <v>644.0</v>
      </c>
      <c r="S1514" s="111">
        <v>676.0</v>
      </c>
      <c r="T1514" s="65">
        <f t="shared" si="39"/>
        <v>108.16</v>
      </c>
      <c r="U1514" s="65">
        <f t="shared" si="40"/>
        <v>784.16</v>
      </c>
      <c r="V1514" s="66">
        <f t="shared" si="68"/>
        <v>0.04968944099</v>
      </c>
      <c r="W1514" s="67">
        <f t="shared" si="5"/>
        <v>642.2</v>
      </c>
      <c r="X1514" s="67">
        <f t="shared" si="61"/>
        <v>102.752</v>
      </c>
      <c r="Y1514" s="67">
        <f t="shared" si="62"/>
        <v>744.952</v>
      </c>
      <c r="Z1514" s="67">
        <f t="shared" si="8"/>
        <v>608.4</v>
      </c>
      <c r="AA1514" s="67">
        <f t="shared" si="54"/>
        <v>97.344</v>
      </c>
      <c r="AB1514" s="67">
        <f t="shared" si="55"/>
        <v>705.744</v>
      </c>
      <c r="AC1514" s="67">
        <f t="shared" si="11"/>
        <v>574.6</v>
      </c>
      <c r="AD1514" s="67">
        <f t="shared" si="56"/>
        <v>91.936</v>
      </c>
      <c r="AE1514" s="67">
        <f t="shared" si="57"/>
        <v>666.536</v>
      </c>
      <c r="AF1514" s="67">
        <f t="shared" si="33"/>
        <v>561.08</v>
      </c>
      <c r="AG1514" s="67">
        <f t="shared" si="58"/>
        <v>89.7728</v>
      </c>
      <c r="AH1514" s="67">
        <f t="shared" si="59"/>
        <v>650.8528</v>
      </c>
      <c r="AI1514" s="67">
        <f t="shared" si="17"/>
        <v>540.8</v>
      </c>
      <c r="AJ1514" s="68">
        <f t="shared" si="66"/>
        <v>86.528</v>
      </c>
      <c r="AK1514" s="68">
        <f t="shared" si="67"/>
        <v>627.328</v>
      </c>
      <c r="AL1514" s="70"/>
      <c r="AM1514" s="70"/>
      <c r="AN1514" s="71"/>
      <c r="AO1514" s="71"/>
      <c r="AP1514" s="71"/>
      <c r="AQ1514" s="71"/>
      <c r="AR1514" s="71"/>
      <c r="AS1514" s="71"/>
      <c r="AT1514" s="71"/>
      <c r="AU1514" s="71"/>
      <c r="AV1514" s="71"/>
      <c r="AW1514" s="71"/>
      <c r="AX1514" s="71"/>
      <c r="AY1514" s="71"/>
      <c r="AZ1514" s="71"/>
      <c r="BA1514" s="71"/>
      <c r="BB1514" s="71"/>
      <c r="BC1514" s="71"/>
      <c r="BD1514" s="71"/>
      <c r="BE1514" s="71"/>
      <c r="BF1514" s="71"/>
      <c r="BG1514" s="71"/>
      <c r="BH1514" s="71"/>
      <c r="BI1514" s="71"/>
      <c r="BJ1514" s="71"/>
      <c r="BK1514" s="71"/>
      <c r="BL1514" s="71"/>
      <c r="BM1514" s="71"/>
      <c r="BN1514" s="71"/>
      <c r="BO1514" s="71"/>
      <c r="BP1514" s="71"/>
      <c r="BQ1514" s="71"/>
      <c r="BR1514" s="71"/>
      <c r="BS1514" s="71"/>
      <c r="BT1514" s="71"/>
      <c r="BU1514" s="71"/>
      <c r="BV1514" s="71"/>
    </row>
    <row r="1515">
      <c r="A1515" s="53"/>
      <c r="B1515" s="53"/>
      <c r="C1515" s="73" t="s">
        <v>12</v>
      </c>
      <c r="D1515" s="53" t="s">
        <v>3768</v>
      </c>
      <c r="E1515" s="54" t="s">
        <v>38</v>
      </c>
      <c r="F1515" s="54" t="s">
        <v>42</v>
      </c>
      <c r="G1515" s="55" t="s">
        <v>3769</v>
      </c>
      <c r="H1515" s="54" t="s">
        <v>3770</v>
      </c>
      <c r="I1515" s="54">
        <f t="shared" si="24"/>
        <v>31</v>
      </c>
      <c r="J1515" s="56"/>
      <c r="K1515" s="57"/>
      <c r="L1515" s="76"/>
      <c r="M1515" s="59"/>
      <c r="N1515" s="79"/>
      <c r="O1515" s="61">
        <v>2998.0</v>
      </c>
      <c r="P1515" s="62">
        <v>3237.84</v>
      </c>
      <c r="Q1515" s="63">
        <v>3237.84</v>
      </c>
      <c r="R1515" s="64">
        <v>3400.0</v>
      </c>
      <c r="S1515" s="111">
        <v>3570.0</v>
      </c>
      <c r="T1515" s="65">
        <f t="shared" si="39"/>
        <v>571.2</v>
      </c>
      <c r="U1515" s="65">
        <f t="shared" si="40"/>
        <v>4141.2</v>
      </c>
      <c r="V1515" s="66">
        <f t="shared" si="68"/>
        <v>0.05</v>
      </c>
      <c r="W1515" s="67">
        <f t="shared" si="5"/>
        <v>3391.5</v>
      </c>
      <c r="X1515" s="67">
        <f t="shared" si="61"/>
        <v>542.64</v>
      </c>
      <c r="Y1515" s="67">
        <f t="shared" si="62"/>
        <v>3934.14</v>
      </c>
      <c r="Z1515" s="67">
        <f t="shared" si="8"/>
        <v>3213</v>
      </c>
      <c r="AA1515" s="67">
        <f t="shared" si="54"/>
        <v>514.08</v>
      </c>
      <c r="AB1515" s="67">
        <f t="shared" si="55"/>
        <v>3727.08</v>
      </c>
      <c r="AC1515" s="67">
        <f t="shared" si="11"/>
        <v>3034.5</v>
      </c>
      <c r="AD1515" s="67">
        <f t="shared" si="56"/>
        <v>485.52</v>
      </c>
      <c r="AE1515" s="67">
        <f t="shared" si="57"/>
        <v>3520.02</v>
      </c>
      <c r="AF1515" s="67">
        <f t="shared" si="33"/>
        <v>2963.1</v>
      </c>
      <c r="AG1515" s="67">
        <f t="shared" si="58"/>
        <v>474.096</v>
      </c>
      <c r="AH1515" s="67">
        <f t="shared" si="59"/>
        <v>3437.196</v>
      </c>
      <c r="AI1515" s="67">
        <f t="shared" si="17"/>
        <v>2856</v>
      </c>
      <c r="AJ1515" s="68">
        <f t="shared" si="66"/>
        <v>456.96</v>
      </c>
      <c r="AK1515" s="68">
        <f t="shared" si="67"/>
        <v>3312.96</v>
      </c>
      <c r="AL1515" s="70"/>
      <c r="AM1515" s="70"/>
      <c r="AN1515" s="71"/>
      <c r="AO1515" s="71"/>
      <c r="AP1515" s="71"/>
      <c r="AQ1515" s="71"/>
      <c r="AR1515" s="71"/>
      <c r="AS1515" s="71"/>
      <c r="AT1515" s="71"/>
      <c r="AU1515" s="71"/>
      <c r="AV1515" s="71"/>
      <c r="AW1515" s="71"/>
      <c r="AX1515" s="71"/>
      <c r="AY1515" s="71"/>
      <c r="AZ1515" s="71"/>
      <c r="BA1515" s="71"/>
      <c r="BB1515" s="71"/>
      <c r="BC1515" s="71"/>
      <c r="BD1515" s="71"/>
      <c r="BE1515" s="71"/>
      <c r="BF1515" s="71"/>
      <c r="BG1515" s="71"/>
      <c r="BH1515" s="71"/>
      <c r="BI1515" s="71"/>
      <c r="BJ1515" s="71"/>
      <c r="BK1515" s="71"/>
      <c r="BL1515" s="71"/>
      <c r="BM1515" s="71"/>
      <c r="BN1515" s="71"/>
      <c r="BO1515" s="71"/>
      <c r="BP1515" s="71"/>
      <c r="BQ1515" s="71"/>
      <c r="BR1515" s="71"/>
      <c r="BS1515" s="71"/>
      <c r="BT1515" s="71"/>
      <c r="BU1515" s="71"/>
      <c r="BV1515" s="71"/>
    </row>
    <row r="1516">
      <c r="A1516" s="53"/>
      <c r="B1516" s="53"/>
      <c r="C1516" s="73" t="s">
        <v>12</v>
      </c>
      <c r="D1516" s="53" t="s">
        <v>3771</v>
      </c>
      <c r="E1516" s="54" t="s">
        <v>38</v>
      </c>
      <c r="F1516" s="54" t="s">
        <v>42</v>
      </c>
      <c r="G1516" s="55" t="s">
        <v>3772</v>
      </c>
      <c r="H1516" s="54" t="s">
        <v>3773</v>
      </c>
      <c r="I1516" s="54">
        <f t="shared" si="24"/>
        <v>33</v>
      </c>
      <c r="J1516" s="56"/>
      <c r="K1516" s="57"/>
      <c r="L1516" s="76"/>
      <c r="M1516" s="59"/>
      <c r="N1516" s="79"/>
      <c r="O1516" s="61">
        <v>760.0</v>
      </c>
      <c r="P1516" s="62">
        <v>820.8000000000001</v>
      </c>
      <c r="Q1516" s="63">
        <v>820.8000000000001</v>
      </c>
      <c r="R1516" s="64">
        <v>863.0</v>
      </c>
      <c r="S1516" s="111">
        <v>906.0</v>
      </c>
      <c r="T1516" s="65">
        <f t="shared" si="39"/>
        <v>144.96</v>
      </c>
      <c r="U1516" s="65">
        <f t="shared" si="40"/>
        <v>1050.96</v>
      </c>
      <c r="V1516" s="66">
        <f t="shared" si="68"/>
        <v>0.04982618772</v>
      </c>
      <c r="W1516" s="67">
        <f t="shared" si="5"/>
        <v>860.7</v>
      </c>
      <c r="X1516" s="67">
        <f t="shared" si="61"/>
        <v>137.712</v>
      </c>
      <c r="Y1516" s="67">
        <f t="shared" si="62"/>
        <v>998.412</v>
      </c>
      <c r="Z1516" s="67">
        <f t="shared" si="8"/>
        <v>815.4</v>
      </c>
      <c r="AA1516" s="67">
        <f t="shared" si="54"/>
        <v>130.464</v>
      </c>
      <c r="AB1516" s="67">
        <f t="shared" si="55"/>
        <v>945.864</v>
      </c>
      <c r="AC1516" s="67">
        <f t="shared" si="11"/>
        <v>770.1</v>
      </c>
      <c r="AD1516" s="67">
        <f t="shared" si="56"/>
        <v>123.216</v>
      </c>
      <c r="AE1516" s="67">
        <f t="shared" si="57"/>
        <v>893.316</v>
      </c>
      <c r="AF1516" s="67">
        <f t="shared" si="33"/>
        <v>751.98</v>
      </c>
      <c r="AG1516" s="67">
        <f t="shared" si="58"/>
        <v>120.3168</v>
      </c>
      <c r="AH1516" s="67">
        <f t="shared" si="59"/>
        <v>872.2968</v>
      </c>
      <c r="AI1516" s="67">
        <f t="shared" si="17"/>
        <v>724.8</v>
      </c>
      <c r="AJ1516" s="68">
        <f t="shared" si="66"/>
        <v>115.968</v>
      </c>
      <c r="AK1516" s="68">
        <f t="shared" si="67"/>
        <v>840.768</v>
      </c>
      <c r="AL1516" s="70"/>
      <c r="AM1516" s="70"/>
      <c r="AN1516" s="71"/>
      <c r="AO1516" s="71"/>
      <c r="AP1516" s="71"/>
      <c r="AQ1516" s="71"/>
      <c r="AR1516" s="71"/>
      <c r="AS1516" s="71"/>
      <c r="AT1516" s="71"/>
      <c r="AU1516" s="71"/>
      <c r="AV1516" s="71"/>
      <c r="AW1516" s="71"/>
      <c r="AX1516" s="71"/>
      <c r="AY1516" s="71"/>
      <c r="AZ1516" s="71"/>
      <c r="BA1516" s="71"/>
      <c r="BB1516" s="71"/>
      <c r="BC1516" s="71"/>
      <c r="BD1516" s="71"/>
      <c r="BE1516" s="71"/>
      <c r="BF1516" s="71"/>
      <c r="BG1516" s="71"/>
      <c r="BH1516" s="71"/>
      <c r="BI1516" s="71"/>
      <c r="BJ1516" s="71"/>
      <c r="BK1516" s="71"/>
      <c r="BL1516" s="71"/>
      <c r="BM1516" s="71"/>
      <c r="BN1516" s="71"/>
      <c r="BO1516" s="71"/>
      <c r="BP1516" s="71"/>
      <c r="BQ1516" s="71"/>
      <c r="BR1516" s="71"/>
      <c r="BS1516" s="71"/>
      <c r="BT1516" s="71"/>
      <c r="BU1516" s="71"/>
      <c r="BV1516" s="71"/>
    </row>
    <row r="1517">
      <c r="A1517" s="53"/>
      <c r="B1517" s="53"/>
      <c r="C1517" s="73" t="s">
        <v>12</v>
      </c>
      <c r="D1517" s="53" t="s">
        <v>3774</v>
      </c>
      <c r="E1517" s="54" t="s">
        <v>38</v>
      </c>
      <c r="F1517" s="54" t="s">
        <v>42</v>
      </c>
      <c r="G1517" s="55" t="s">
        <v>3775</v>
      </c>
      <c r="H1517" s="54" t="s">
        <v>3776</v>
      </c>
      <c r="I1517" s="54">
        <f t="shared" si="24"/>
        <v>33</v>
      </c>
      <c r="J1517" s="56"/>
      <c r="K1517" s="57"/>
      <c r="L1517" s="76"/>
      <c r="M1517" s="59"/>
      <c r="N1517" s="79">
        <v>325.0</v>
      </c>
      <c r="O1517" s="61">
        <v>351.0</v>
      </c>
      <c r="P1517" s="62">
        <v>379.08000000000004</v>
      </c>
      <c r="Q1517" s="63">
        <v>379.08000000000004</v>
      </c>
      <c r="R1517" s="64">
        <v>398.0</v>
      </c>
      <c r="S1517" s="111">
        <v>418.0</v>
      </c>
      <c r="T1517" s="65">
        <f t="shared" si="39"/>
        <v>66.88</v>
      </c>
      <c r="U1517" s="65">
        <f t="shared" si="40"/>
        <v>484.88</v>
      </c>
      <c r="V1517" s="66">
        <f t="shared" si="68"/>
        <v>0.05025125628</v>
      </c>
      <c r="W1517" s="67">
        <f t="shared" si="5"/>
        <v>397.1</v>
      </c>
      <c r="X1517" s="67">
        <f t="shared" si="61"/>
        <v>63.536</v>
      </c>
      <c r="Y1517" s="67">
        <f t="shared" si="62"/>
        <v>460.636</v>
      </c>
      <c r="Z1517" s="67">
        <f t="shared" si="8"/>
        <v>376.2</v>
      </c>
      <c r="AA1517" s="67">
        <f t="shared" si="54"/>
        <v>60.192</v>
      </c>
      <c r="AB1517" s="67">
        <f t="shared" si="55"/>
        <v>436.392</v>
      </c>
      <c r="AC1517" s="67">
        <f t="shared" si="11"/>
        <v>355.3</v>
      </c>
      <c r="AD1517" s="67">
        <f t="shared" si="56"/>
        <v>56.848</v>
      </c>
      <c r="AE1517" s="67">
        <f t="shared" si="57"/>
        <v>412.148</v>
      </c>
      <c r="AF1517" s="67">
        <f t="shared" si="33"/>
        <v>346.94</v>
      </c>
      <c r="AG1517" s="67">
        <f t="shared" si="58"/>
        <v>55.5104</v>
      </c>
      <c r="AH1517" s="67">
        <f t="shared" si="59"/>
        <v>402.4504</v>
      </c>
      <c r="AI1517" s="67">
        <f t="shared" si="17"/>
        <v>334.4</v>
      </c>
      <c r="AJ1517" s="68">
        <f t="shared" si="66"/>
        <v>53.504</v>
      </c>
      <c r="AK1517" s="68">
        <f t="shared" si="67"/>
        <v>387.904</v>
      </c>
      <c r="AL1517" s="70"/>
      <c r="AM1517" s="70"/>
      <c r="AN1517" s="71"/>
      <c r="AO1517" s="71"/>
      <c r="AP1517" s="71"/>
      <c r="AQ1517" s="71"/>
      <c r="AR1517" s="71"/>
      <c r="AS1517" s="71"/>
      <c r="AT1517" s="71"/>
      <c r="AU1517" s="71"/>
      <c r="AV1517" s="71"/>
      <c r="AW1517" s="71"/>
      <c r="AX1517" s="71"/>
      <c r="AY1517" s="71"/>
      <c r="AZ1517" s="71"/>
      <c r="BA1517" s="71"/>
      <c r="BB1517" s="71"/>
      <c r="BC1517" s="71"/>
      <c r="BD1517" s="71"/>
      <c r="BE1517" s="71"/>
      <c r="BF1517" s="71"/>
      <c r="BG1517" s="71"/>
      <c r="BH1517" s="71"/>
      <c r="BI1517" s="71"/>
      <c r="BJ1517" s="71"/>
      <c r="BK1517" s="71"/>
      <c r="BL1517" s="71"/>
      <c r="BM1517" s="71"/>
      <c r="BN1517" s="71"/>
      <c r="BO1517" s="71"/>
      <c r="BP1517" s="71"/>
      <c r="BQ1517" s="71"/>
      <c r="BR1517" s="71"/>
      <c r="BS1517" s="71"/>
      <c r="BT1517" s="71"/>
      <c r="BU1517" s="71"/>
      <c r="BV1517" s="71"/>
    </row>
    <row r="1518">
      <c r="A1518" s="53"/>
      <c r="B1518" s="53"/>
      <c r="C1518" s="73" t="s">
        <v>12</v>
      </c>
      <c r="D1518" s="53" t="s">
        <v>3777</v>
      </c>
      <c r="E1518" s="54" t="s">
        <v>38</v>
      </c>
      <c r="F1518" s="54" t="s">
        <v>42</v>
      </c>
      <c r="G1518" s="55" t="s">
        <v>3778</v>
      </c>
      <c r="H1518" s="54" t="s">
        <v>3779</v>
      </c>
      <c r="I1518" s="54">
        <f t="shared" si="24"/>
        <v>35</v>
      </c>
      <c r="J1518" s="56"/>
      <c r="K1518" s="57"/>
      <c r="L1518" s="76"/>
      <c r="M1518" s="59"/>
      <c r="N1518" s="79">
        <v>720.0</v>
      </c>
      <c r="O1518" s="61">
        <v>777.0</v>
      </c>
      <c r="P1518" s="62">
        <v>839.1600000000001</v>
      </c>
      <c r="Q1518" s="63">
        <v>839.1600000000001</v>
      </c>
      <c r="R1518" s="64">
        <v>881.0</v>
      </c>
      <c r="S1518" s="111">
        <v>925.0</v>
      </c>
      <c r="T1518" s="65">
        <f t="shared" si="39"/>
        <v>148</v>
      </c>
      <c r="U1518" s="65">
        <f t="shared" si="40"/>
        <v>1073</v>
      </c>
      <c r="V1518" s="66">
        <f t="shared" si="68"/>
        <v>0.04994324631</v>
      </c>
      <c r="W1518" s="67">
        <f t="shared" si="5"/>
        <v>878.75</v>
      </c>
      <c r="X1518" s="67">
        <f t="shared" si="61"/>
        <v>140.6</v>
      </c>
      <c r="Y1518" s="67">
        <f t="shared" si="62"/>
        <v>1019.35</v>
      </c>
      <c r="Z1518" s="67">
        <f t="shared" si="8"/>
        <v>832.5</v>
      </c>
      <c r="AA1518" s="67">
        <f t="shared" si="54"/>
        <v>133.2</v>
      </c>
      <c r="AB1518" s="67">
        <f t="shared" si="55"/>
        <v>965.7</v>
      </c>
      <c r="AC1518" s="67">
        <f t="shared" si="11"/>
        <v>786.25</v>
      </c>
      <c r="AD1518" s="67">
        <f t="shared" si="56"/>
        <v>125.8</v>
      </c>
      <c r="AE1518" s="67">
        <f t="shared" si="57"/>
        <v>912.05</v>
      </c>
      <c r="AF1518" s="67">
        <f t="shared" si="33"/>
        <v>767.75</v>
      </c>
      <c r="AG1518" s="67">
        <f t="shared" si="58"/>
        <v>122.84</v>
      </c>
      <c r="AH1518" s="67">
        <f t="shared" si="59"/>
        <v>890.59</v>
      </c>
      <c r="AI1518" s="67">
        <f t="shared" si="17"/>
        <v>740</v>
      </c>
      <c r="AJ1518" s="68">
        <f t="shared" si="66"/>
        <v>118.4</v>
      </c>
      <c r="AK1518" s="68">
        <f t="shared" si="67"/>
        <v>858.4</v>
      </c>
      <c r="AL1518" s="70"/>
      <c r="AM1518" s="70"/>
      <c r="AN1518" s="71"/>
      <c r="AO1518" s="71"/>
      <c r="AP1518" s="71"/>
      <c r="AQ1518" s="71"/>
      <c r="AR1518" s="71"/>
      <c r="AS1518" s="71"/>
      <c r="AT1518" s="71"/>
      <c r="AU1518" s="71"/>
      <c r="AV1518" s="71"/>
      <c r="AW1518" s="71"/>
      <c r="AX1518" s="71"/>
      <c r="AY1518" s="71"/>
      <c r="AZ1518" s="71"/>
      <c r="BA1518" s="71"/>
      <c r="BB1518" s="71"/>
      <c r="BC1518" s="71"/>
      <c r="BD1518" s="71"/>
      <c r="BE1518" s="71"/>
      <c r="BF1518" s="71"/>
      <c r="BG1518" s="71"/>
      <c r="BH1518" s="71"/>
      <c r="BI1518" s="71"/>
      <c r="BJ1518" s="71"/>
      <c r="BK1518" s="71"/>
      <c r="BL1518" s="71"/>
      <c r="BM1518" s="71"/>
      <c r="BN1518" s="71"/>
      <c r="BO1518" s="71"/>
      <c r="BP1518" s="71"/>
      <c r="BQ1518" s="71"/>
      <c r="BR1518" s="71"/>
      <c r="BS1518" s="71"/>
      <c r="BT1518" s="71"/>
      <c r="BU1518" s="71"/>
      <c r="BV1518" s="71"/>
    </row>
    <row r="1519">
      <c r="A1519" s="53">
        <v>1.0</v>
      </c>
      <c r="B1519" s="72"/>
      <c r="C1519" s="73" t="s">
        <v>12</v>
      </c>
      <c r="D1519" s="74" t="s">
        <v>3780</v>
      </c>
      <c r="E1519" s="54" t="s">
        <v>38</v>
      </c>
      <c r="F1519" s="54" t="s">
        <v>42</v>
      </c>
      <c r="G1519" s="55" t="s">
        <v>3781</v>
      </c>
      <c r="H1519" s="54" t="s">
        <v>3782</v>
      </c>
      <c r="I1519" s="54">
        <f t="shared" si="24"/>
        <v>38</v>
      </c>
      <c r="J1519" s="56"/>
      <c r="K1519" s="57"/>
      <c r="L1519" s="87"/>
      <c r="M1519" s="59"/>
      <c r="N1519" s="60">
        <v>1242.0</v>
      </c>
      <c r="O1519" s="61">
        <v>1341.0</v>
      </c>
      <c r="P1519" s="62">
        <v>1448.2800000000002</v>
      </c>
      <c r="Q1519" s="63">
        <v>1448.2800000000002</v>
      </c>
      <c r="R1519" s="64">
        <v>1613.0</v>
      </c>
      <c r="S1519" s="111">
        <v>1694.0</v>
      </c>
      <c r="T1519" s="65">
        <f t="shared" si="39"/>
        <v>271.04</v>
      </c>
      <c r="U1519" s="65">
        <f t="shared" si="40"/>
        <v>1965.04</v>
      </c>
      <c r="V1519" s="66">
        <f t="shared" si="68"/>
        <v>0.05021698698</v>
      </c>
      <c r="W1519" s="67">
        <f t="shared" si="5"/>
        <v>1609.3</v>
      </c>
      <c r="X1519" s="67">
        <f t="shared" si="61"/>
        <v>257.488</v>
      </c>
      <c r="Y1519" s="67">
        <f t="shared" si="62"/>
        <v>1866.788</v>
      </c>
      <c r="Z1519" s="67">
        <f t="shared" si="8"/>
        <v>1524.6</v>
      </c>
      <c r="AA1519" s="67">
        <f t="shared" si="54"/>
        <v>243.936</v>
      </c>
      <c r="AB1519" s="67">
        <f t="shared" si="55"/>
        <v>1768.536</v>
      </c>
      <c r="AC1519" s="67">
        <f t="shared" si="11"/>
        <v>1439.9</v>
      </c>
      <c r="AD1519" s="67">
        <f t="shared" si="56"/>
        <v>230.384</v>
      </c>
      <c r="AE1519" s="67">
        <f t="shared" si="57"/>
        <v>1670.284</v>
      </c>
      <c r="AF1519" s="67">
        <f t="shared" si="33"/>
        <v>1406.02</v>
      </c>
      <c r="AG1519" s="67">
        <f t="shared" si="58"/>
        <v>224.9632</v>
      </c>
      <c r="AH1519" s="67">
        <f t="shared" si="59"/>
        <v>1630.9832</v>
      </c>
      <c r="AI1519" s="67">
        <f t="shared" si="17"/>
        <v>1355.2</v>
      </c>
      <c r="AJ1519" s="68">
        <f t="shared" si="66"/>
        <v>216.832</v>
      </c>
      <c r="AK1519" s="68">
        <f t="shared" si="67"/>
        <v>1572.032</v>
      </c>
      <c r="AL1519" s="70"/>
      <c r="AM1519" s="70"/>
      <c r="AN1519" s="71"/>
      <c r="AO1519" s="71"/>
      <c r="AP1519" s="71"/>
      <c r="AQ1519" s="71"/>
      <c r="AR1519" s="71"/>
      <c r="AS1519" s="71"/>
      <c r="AT1519" s="71"/>
      <c r="AU1519" s="71"/>
      <c r="AV1519" s="71"/>
      <c r="AW1519" s="71"/>
      <c r="AX1519" s="71"/>
      <c r="AY1519" s="71"/>
      <c r="AZ1519" s="71"/>
      <c r="BA1519" s="71"/>
      <c r="BB1519" s="71"/>
      <c r="BC1519" s="71"/>
      <c r="BD1519" s="71"/>
      <c r="BE1519" s="71"/>
      <c r="BF1519" s="71"/>
      <c r="BG1519" s="71"/>
      <c r="BH1519" s="71"/>
      <c r="BI1519" s="71"/>
      <c r="BJ1519" s="71"/>
      <c r="BK1519" s="71"/>
      <c r="BL1519" s="71"/>
      <c r="BM1519" s="71"/>
      <c r="BN1519" s="71"/>
      <c r="BO1519" s="71"/>
      <c r="BP1519" s="71"/>
      <c r="BQ1519" s="71"/>
      <c r="BR1519" s="71"/>
      <c r="BS1519" s="71"/>
      <c r="BT1519" s="71"/>
      <c r="BU1519" s="71"/>
      <c r="BV1519" s="71"/>
    </row>
    <row r="1520">
      <c r="A1520" s="53">
        <v>1.0</v>
      </c>
      <c r="B1520" s="72"/>
      <c r="C1520" s="73" t="s">
        <v>12</v>
      </c>
      <c r="D1520" s="74" t="s">
        <v>3783</v>
      </c>
      <c r="E1520" s="54" t="s">
        <v>38</v>
      </c>
      <c r="F1520" s="54" t="s">
        <v>42</v>
      </c>
      <c r="G1520" s="88" t="s">
        <v>3784</v>
      </c>
      <c r="H1520" s="54" t="s">
        <v>3785</v>
      </c>
      <c r="I1520" s="54">
        <f t="shared" si="24"/>
        <v>40</v>
      </c>
      <c r="J1520" s="56"/>
      <c r="K1520" s="57"/>
      <c r="L1520" s="87"/>
      <c r="M1520" s="59"/>
      <c r="N1520" s="60">
        <v>297.0</v>
      </c>
      <c r="O1520" s="61">
        <v>320.0</v>
      </c>
      <c r="P1520" s="62">
        <v>345.6</v>
      </c>
      <c r="Q1520" s="63">
        <v>345.6</v>
      </c>
      <c r="R1520" s="64">
        <v>386.0</v>
      </c>
      <c r="S1520" s="111">
        <v>405.0</v>
      </c>
      <c r="T1520" s="65">
        <f t="shared" si="39"/>
        <v>64.8</v>
      </c>
      <c r="U1520" s="65">
        <f t="shared" si="40"/>
        <v>469.8</v>
      </c>
      <c r="V1520" s="66">
        <f t="shared" si="68"/>
        <v>0.04922279793</v>
      </c>
      <c r="W1520" s="67">
        <f t="shared" si="5"/>
        <v>384.75</v>
      </c>
      <c r="X1520" s="67">
        <f t="shared" si="61"/>
        <v>61.56</v>
      </c>
      <c r="Y1520" s="67">
        <f t="shared" si="62"/>
        <v>446.31</v>
      </c>
      <c r="Z1520" s="67">
        <f t="shared" si="8"/>
        <v>364.5</v>
      </c>
      <c r="AA1520" s="67">
        <f t="shared" si="54"/>
        <v>58.32</v>
      </c>
      <c r="AB1520" s="67">
        <f t="shared" si="55"/>
        <v>422.82</v>
      </c>
      <c r="AC1520" s="67">
        <f t="shared" si="11"/>
        <v>344.25</v>
      </c>
      <c r="AD1520" s="67">
        <f t="shared" si="56"/>
        <v>55.08</v>
      </c>
      <c r="AE1520" s="67">
        <f t="shared" si="57"/>
        <v>399.33</v>
      </c>
      <c r="AF1520" s="67">
        <f t="shared" si="33"/>
        <v>336.15</v>
      </c>
      <c r="AG1520" s="67">
        <f t="shared" si="58"/>
        <v>53.784</v>
      </c>
      <c r="AH1520" s="67">
        <f t="shared" si="59"/>
        <v>389.934</v>
      </c>
      <c r="AI1520" s="67">
        <f t="shared" si="17"/>
        <v>324</v>
      </c>
      <c r="AJ1520" s="68">
        <f t="shared" si="66"/>
        <v>51.84</v>
      </c>
      <c r="AK1520" s="68">
        <f t="shared" si="67"/>
        <v>375.84</v>
      </c>
      <c r="AL1520" s="70"/>
      <c r="AM1520" s="70"/>
      <c r="AN1520" s="71"/>
      <c r="AO1520" s="71"/>
      <c r="AP1520" s="71"/>
      <c r="AQ1520" s="71"/>
      <c r="AR1520" s="71"/>
      <c r="AS1520" s="71"/>
      <c r="AT1520" s="71"/>
      <c r="AU1520" s="71"/>
      <c r="AV1520" s="71"/>
      <c r="AW1520" s="71"/>
      <c r="AX1520" s="71"/>
      <c r="AY1520" s="71"/>
      <c r="AZ1520" s="71"/>
      <c r="BA1520" s="71"/>
      <c r="BB1520" s="71"/>
      <c r="BC1520" s="71"/>
      <c r="BD1520" s="71"/>
      <c r="BE1520" s="71"/>
      <c r="BF1520" s="71"/>
      <c r="BG1520" s="71"/>
      <c r="BH1520" s="71"/>
      <c r="BI1520" s="71"/>
      <c r="BJ1520" s="71"/>
      <c r="BK1520" s="71"/>
      <c r="BL1520" s="71"/>
      <c r="BM1520" s="71"/>
      <c r="BN1520" s="71"/>
      <c r="BO1520" s="71"/>
      <c r="BP1520" s="71"/>
      <c r="BQ1520" s="71"/>
      <c r="BR1520" s="71"/>
      <c r="BS1520" s="71"/>
      <c r="BT1520" s="71"/>
      <c r="BU1520" s="71"/>
      <c r="BV1520" s="71"/>
    </row>
    <row r="1521">
      <c r="A1521" s="53"/>
      <c r="B1521" s="53"/>
      <c r="C1521" s="73" t="s">
        <v>53</v>
      </c>
      <c r="D1521" s="53" t="s">
        <v>3786</v>
      </c>
      <c r="E1521" s="54" t="s">
        <v>38</v>
      </c>
      <c r="F1521" s="54" t="s">
        <v>42</v>
      </c>
      <c r="G1521" s="55" t="s">
        <v>3787</v>
      </c>
      <c r="H1521" s="55" t="s">
        <v>3787</v>
      </c>
      <c r="I1521" s="54">
        <f t="shared" si="24"/>
        <v>40</v>
      </c>
      <c r="J1521" s="56"/>
      <c r="K1521" s="57"/>
      <c r="L1521" s="76"/>
      <c r="M1521" s="59"/>
      <c r="N1521" s="60"/>
      <c r="O1521" s="90"/>
      <c r="P1521" s="62">
        <v>931.67</v>
      </c>
      <c r="Q1521" s="63">
        <v>931.67</v>
      </c>
      <c r="R1521" s="64">
        <v>979.0</v>
      </c>
      <c r="S1521" s="111">
        <v>1028.0</v>
      </c>
      <c r="T1521" s="65">
        <f t="shared" si="39"/>
        <v>164.48</v>
      </c>
      <c r="U1521" s="65">
        <f t="shared" si="40"/>
        <v>1192.48</v>
      </c>
      <c r="V1521" s="66">
        <f t="shared" si="68"/>
        <v>0.05005107252</v>
      </c>
      <c r="W1521" s="67">
        <f t="shared" si="5"/>
        <v>976.6</v>
      </c>
      <c r="X1521" s="67">
        <f t="shared" si="61"/>
        <v>156.256</v>
      </c>
      <c r="Y1521" s="67">
        <f t="shared" si="62"/>
        <v>1132.856</v>
      </c>
      <c r="Z1521" s="67">
        <f t="shared" si="8"/>
        <v>925.2</v>
      </c>
      <c r="AA1521" s="67">
        <f t="shared" si="54"/>
        <v>148.032</v>
      </c>
      <c r="AB1521" s="67">
        <f t="shared" si="55"/>
        <v>1073.232</v>
      </c>
      <c r="AC1521" s="67">
        <f t="shared" si="11"/>
        <v>873.8</v>
      </c>
      <c r="AD1521" s="67">
        <f t="shared" si="56"/>
        <v>139.808</v>
      </c>
      <c r="AE1521" s="67">
        <f t="shared" si="57"/>
        <v>1013.608</v>
      </c>
      <c r="AF1521" s="67">
        <f t="shared" si="33"/>
        <v>853.24</v>
      </c>
      <c r="AG1521" s="67">
        <f t="shared" si="58"/>
        <v>136.5184</v>
      </c>
      <c r="AH1521" s="67">
        <f t="shared" si="59"/>
        <v>989.7584</v>
      </c>
      <c r="AI1521" s="67">
        <f t="shared" si="17"/>
        <v>822.4</v>
      </c>
      <c r="AJ1521" s="68">
        <f t="shared" si="66"/>
        <v>131.584</v>
      </c>
      <c r="AK1521" s="68">
        <f t="shared" si="67"/>
        <v>953.984</v>
      </c>
      <c r="AL1521" s="70"/>
      <c r="AM1521" s="70"/>
      <c r="AN1521" s="71"/>
      <c r="AO1521" s="71"/>
      <c r="AP1521" s="71"/>
      <c r="AQ1521" s="71"/>
      <c r="AR1521" s="71"/>
      <c r="AS1521" s="71"/>
      <c r="AT1521" s="71"/>
      <c r="AU1521" s="71"/>
      <c r="AV1521" s="71"/>
      <c r="AW1521" s="71"/>
      <c r="AX1521" s="71"/>
      <c r="AY1521" s="71"/>
      <c r="AZ1521" s="71"/>
      <c r="BA1521" s="71"/>
      <c r="BB1521" s="71"/>
      <c r="BC1521" s="71"/>
      <c r="BD1521" s="71"/>
      <c r="BE1521" s="71"/>
      <c r="BF1521" s="71"/>
      <c r="BG1521" s="71"/>
      <c r="BH1521" s="71"/>
      <c r="BI1521" s="71"/>
      <c r="BJ1521" s="71"/>
      <c r="BK1521" s="71"/>
      <c r="BL1521" s="71"/>
      <c r="BM1521" s="71"/>
      <c r="BN1521" s="71"/>
      <c r="BO1521" s="71"/>
      <c r="BP1521" s="71"/>
      <c r="BQ1521" s="71"/>
      <c r="BR1521" s="71"/>
      <c r="BS1521" s="71"/>
      <c r="BT1521" s="71"/>
      <c r="BU1521" s="71"/>
      <c r="BV1521" s="71"/>
    </row>
    <row r="1522">
      <c r="A1522" s="53">
        <v>1.0</v>
      </c>
      <c r="B1522" s="72"/>
      <c r="C1522" s="73" t="s">
        <v>12</v>
      </c>
      <c r="D1522" s="74" t="s">
        <v>3788</v>
      </c>
      <c r="E1522" s="54" t="s">
        <v>38</v>
      </c>
      <c r="F1522" s="54" t="s">
        <v>42</v>
      </c>
      <c r="G1522" s="88" t="s">
        <v>3789</v>
      </c>
      <c r="H1522" s="54" t="s">
        <v>3790</v>
      </c>
      <c r="I1522" s="54">
        <f t="shared" si="24"/>
        <v>38</v>
      </c>
      <c r="J1522" s="56"/>
      <c r="K1522" s="57"/>
      <c r="L1522" s="87"/>
      <c r="M1522" s="59"/>
      <c r="N1522" s="60">
        <v>329.0</v>
      </c>
      <c r="O1522" s="61">
        <v>355.0</v>
      </c>
      <c r="P1522" s="62">
        <v>383.40000000000003</v>
      </c>
      <c r="Q1522" s="63">
        <v>383.40000000000003</v>
      </c>
      <c r="R1522" s="64">
        <v>428.0</v>
      </c>
      <c r="S1522" s="111">
        <v>449.0</v>
      </c>
      <c r="T1522" s="65">
        <f t="shared" si="39"/>
        <v>71.84</v>
      </c>
      <c r="U1522" s="65">
        <f t="shared" si="40"/>
        <v>520.84</v>
      </c>
      <c r="V1522" s="66">
        <f t="shared" si="68"/>
        <v>0.04906542056</v>
      </c>
      <c r="W1522" s="67">
        <f t="shared" si="5"/>
        <v>426.55</v>
      </c>
      <c r="X1522" s="67">
        <f t="shared" si="61"/>
        <v>68.248</v>
      </c>
      <c r="Y1522" s="67">
        <f t="shared" si="62"/>
        <v>494.798</v>
      </c>
      <c r="Z1522" s="67">
        <f t="shared" si="8"/>
        <v>404.1</v>
      </c>
      <c r="AA1522" s="67">
        <f t="shared" si="54"/>
        <v>64.656</v>
      </c>
      <c r="AB1522" s="67">
        <f t="shared" si="55"/>
        <v>468.756</v>
      </c>
      <c r="AC1522" s="67">
        <f t="shared" si="11"/>
        <v>381.65</v>
      </c>
      <c r="AD1522" s="67">
        <f t="shared" si="56"/>
        <v>61.064</v>
      </c>
      <c r="AE1522" s="67">
        <f t="shared" si="57"/>
        <v>442.714</v>
      </c>
      <c r="AF1522" s="67">
        <f t="shared" si="33"/>
        <v>372.67</v>
      </c>
      <c r="AG1522" s="67">
        <f t="shared" si="58"/>
        <v>59.6272</v>
      </c>
      <c r="AH1522" s="67">
        <f t="shared" si="59"/>
        <v>432.2972</v>
      </c>
      <c r="AI1522" s="67">
        <f t="shared" si="17"/>
        <v>359.2</v>
      </c>
      <c r="AJ1522" s="68">
        <f t="shared" si="66"/>
        <v>57.472</v>
      </c>
      <c r="AK1522" s="68">
        <f t="shared" si="67"/>
        <v>416.672</v>
      </c>
      <c r="AL1522" s="70"/>
      <c r="AM1522" s="70"/>
      <c r="AN1522" s="71"/>
      <c r="AO1522" s="71"/>
      <c r="AP1522" s="71"/>
      <c r="AQ1522" s="71"/>
      <c r="AR1522" s="71"/>
      <c r="AS1522" s="71"/>
      <c r="AT1522" s="71"/>
      <c r="AU1522" s="71"/>
      <c r="AV1522" s="71"/>
      <c r="AW1522" s="71"/>
      <c r="AX1522" s="71"/>
      <c r="AY1522" s="71"/>
      <c r="AZ1522" s="71"/>
      <c r="BA1522" s="71"/>
      <c r="BB1522" s="71"/>
      <c r="BC1522" s="71"/>
      <c r="BD1522" s="71"/>
      <c r="BE1522" s="71"/>
      <c r="BF1522" s="71"/>
      <c r="BG1522" s="71"/>
      <c r="BH1522" s="71"/>
      <c r="BI1522" s="71"/>
      <c r="BJ1522" s="71"/>
      <c r="BK1522" s="71"/>
      <c r="BL1522" s="71"/>
      <c r="BM1522" s="71"/>
      <c r="BN1522" s="71"/>
      <c r="BO1522" s="71"/>
      <c r="BP1522" s="71"/>
      <c r="BQ1522" s="71"/>
      <c r="BR1522" s="71"/>
      <c r="BS1522" s="71"/>
      <c r="BT1522" s="71"/>
      <c r="BU1522" s="71"/>
      <c r="BV1522" s="71"/>
    </row>
    <row r="1523">
      <c r="A1523" s="53">
        <v>1.0</v>
      </c>
      <c r="B1523" s="72"/>
      <c r="C1523" s="73" t="s">
        <v>12</v>
      </c>
      <c r="D1523" s="53" t="s">
        <v>3791</v>
      </c>
      <c r="E1523" s="54" t="s">
        <v>38</v>
      </c>
      <c r="F1523" s="54" t="s">
        <v>42</v>
      </c>
      <c r="G1523" s="54" t="s">
        <v>3792</v>
      </c>
      <c r="H1523" s="54" t="s">
        <v>3793</v>
      </c>
      <c r="I1523" s="54">
        <f t="shared" si="24"/>
        <v>38</v>
      </c>
      <c r="J1523" s="56"/>
      <c r="K1523" s="57"/>
      <c r="L1523" s="87"/>
      <c r="M1523" s="59"/>
      <c r="N1523" s="60">
        <v>458.0</v>
      </c>
      <c r="O1523" s="61">
        <v>494.0</v>
      </c>
      <c r="P1523" s="62">
        <v>533.52</v>
      </c>
      <c r="Q1523" s="63">
        <v>533.52</v>
      </c>
      <c r="R1523" s="64">
        <v>595.0</v>
      </c>
      <c r="S1523" s="111">
        <v>625.0</v>
      </c>
      <c r="T1523" s="65">
        <f t="shared" si="39"/>
        <v>100</v>
      </c>
      <c r="U1523" s="65">
        <f t="shared" si="40"/>
        <v>725</v>
      </c>
      <c r="V1523" s="66">
        <f t="shared" si="68"/>
        <v>0.05042016807</v>
      </c>
      <c r="W1523" s="67">
        <f t="shared" si="5"/>
        <v>593.75</v>
      </c>
      <c r="X1523" s="67">
        <f t="shared" si="61"/>
        <v>95</v>
      </c>
      <c r="Y1523" s="67">
        <f t="shared" si="62"/>
        <v>688.75</v>
      </c>
      <c r="Z1523" s="67">
        <f t="shared" si="8"/>
        <v>562.5</v>
      </c>
      <c r="AA1523" s="67">
        <f t="shared" si="54"/>
        <v>90</v>
      </c>
      <c r="AB1523" s="67">
        <f t="shared" si="55"/>
        <v>652.5</v>
      </c>
      <c r="AC1523" s="67">
        <f t="shared" si="11"/>
        <v>531.25</v>
      </c>
      <c r="AD1523" s="67">
        <f t="shared" si="56"/>
        <v>85</v>
      </c>
      <c r="AE1523" s="67">
        <f t="shared" si="57"/>
        <v>616.25</v>
      </c>
      <c r="AF1523" s="67">
        <f t="shared" si="33"/>
        <v>518.75</v>
      </c>
      <c r="AG1523" s="67">
        <f t="shared" si="58"/>
        <v>83</v>
      </c>
      <c r="AH1523" s="67">
        <f t="shared" si="59"/>
        <v>601.75</v>
      </c>
      <c r="AI1523" s="67">
        <f t="shared" si="17"/>
        <v>500</v>
      </c>
      <c r="AJ1523" s="68">
        <f t="shared" si="66"/>
        <v>80</v>
      </c>
      <c r="AK1523" s="68">
        <f t="shared" si="67"/>
        <v>580</v>
      </c>
      <c r="AL1523" s="70"/>
      <c r="AM1523" s="70"/>
      <c r="AN1523" s="71"/>
      <c r="AO1523" s="71"/>
      <c r="AP1523" s="71"/>
      <c r="AQ1523" s="71"/>
      <c r="AR1523" s="71"/>
      <c r="AS1523" s="71"/>
      <c r="AT1523" s="71"/>
      <c r="AU1523" s="71"/>
      <c r="AV1523" s="71"/>
      <c r="AW1523" s="71"/>
      <c r="AX1523" s="71"/>
      <c r="AY1523" s="71"/>
      <c r="AZ1523" s="71"/>
      <c r="BA1523" s="71"/>
      <c r="BB1523" s="71"/>
      <c r="BC1523" s="71"/>
      <c r="BD1523" s="71"/>
      <c r="BE1523" s="71"/>
      <c r="BF1523" s="71"/>
      <c r="BG1523" s="71"/>
      <c r="BH1523" s="71"/>
      <c r="BI1523" s="71"/>
      <c r="BJ1523" s="71"/>
      <c r="BK1523" s="71"/>
      <c r="BL1523" s="71"/>
      <c r="BM1523" s="71"/>
      <c r="BN1523" s="71"/>
      <c r="BO1523" s="71"/>
      <c r="BP1523" s="71"/>
      <c r="BQ1523" s="71"/>
      <c r="BR1523" s="71"/>
      <c r="BS1523" s="71"/>
      <c r="BT1523" s="71"/>
      <c r="BU1523" s="71"/>
      <c r="BV1523" s="71"/>
    </row>
    <row r="1524">
      <c r="A1524" s="53"/>
      <c r="B1524" s="53"/>
      <c r="C1524" s="73" t="s">
        <v>12</v>
      </c>
      <c r="D1524" s="53" t="s">
        <v>3794</v>
      </c>
      <c r="E1524" s="54" t="s">
        <v>38</v>
      </c>
      <c r="F1524" s="54" t="s">
        <v>42</v>
      </c>
      <c r="G1524" s="55" t="s">
        <v>3795</v>
      </c>
      <c r="H1524" s="54" t="s">
        <v>3796</v>
      </c>
      <c r="I1524" s="54">
        <f t="shared" si="24"/>
        <v>38</v>
      </c>
      <c r="J1524" s="56"/>
      <c r="K1524" s="57"/>
      <c r="L1524" s="76"/>
      <c r="M1524" s="59"/>
      <c r="N1524" s="79">
        <v>4627.0</v>
      </c>
      <c r="O1524" s="61">
        <v>4997.0</v>
      </c>
      <c r="P1524" s="62">
        <v>5396.76</v>
      </c>
      <c r="Q1524" s="63">
        <v>5396.76</v>
      </c>
      <c r="R1524" s="64">
        <v>5667.0</v>
      </c>
      <c r="S1524" s="111">
        <v>5950.0</v>
      </c>
      <c r="T1524" s="65">
        <f t="shared" si="39"/>
        <v>952</v>
      </c>
      <c r="U1524" s="65">
        <f t="shared" si="40"/>
        <v>6902</v>
      </c>
      <c r="V1524" s="66">
        <f t="shared" si="68"/>
        <v>0.04993823893</v>
      </c>
      <c r="W1524" s="67">
        <f t="shared" si="5"/>
        <v>5652.5</v>
      </c>
      <c r="X1524" s="67">
        <f t="shared" si="61"/>
        <v>904.4</v>
      </c>
      <c r="Y1524" s="67">
        <f t="shared" si="62"/>
        <v>6556.9</v>
      </c>
      <c r="Z1524" s="67">
        <f t="shared" si="8"/>
        <v>5355</v>
      </c>
      <c r="AA1524" s="67">
        <f t="shared" si="54"/>
        <v>856.8</v>
      </c>
      <c r="AB1524" s="67">
        <f t="shared" si="55"/>
        <v>6211.8</v>
      </c>
      <c r="AC1524" s="67">
        <f t="shared" si="11"/>
        <v>5057.5</v>
      </c>
      <c r="AD1524" s="67">
        <f t="shared" si="56"/>
        <v>809.2</v>
      </c>
      <c r="AE1524" s="67">
        <f t="shared" si="57"/>
        <v>5866.7</v>
      </c>
      <c r="AF1524" s="67">
        <f t="shared" si="33"/>
        <v>4938.5</v>
      </c>
      <c r="AG1524" s="67">
        <f t="shared" si="58"/>
        <v>790.16</v>
      </c>
      <c r="AH1524" s="67">
        <f t="shared" si="59"/>
        <v>5728.66</v>
      </c>
      <c r="AI1524" s="67">
        <f t="shared" si="17"/>
        <v>4760</v>
      </c>
      <c r="AJ1524" s="68">
        <f t="shared" si="66"/>
        <v>761.6</v>
      </c>
      <c r="AK1524" s="68">
        <f t="shared" si="67"/>
        <v>5521.6</v>
      </c>
      <c r="AL1524" s="70"/>
      <c r="AM1524" s="70"/>
      <c r="AN1524" s="71"/>
      <c r="AO1524" s="71"/>
      <c r="AP1524" s="71"/>
      <c r="AQ1524" s="71"/>
      <c r="AR1524" s="71"/>
      <c r="AS1524" s="71"/>
      <c r="AT1524" s="71"/>
      <c r="AU1524" s="71"/>
      <c r="AV1524" s="71"/>
      <c r="AW1524" s="71"/>
      <c r="AX1524" s="71"/>
      <c r="AY1524" s="71"/>
      <c r="AZ1524" s="71"/>
      <c r="BA1524" s="71"/>
      <c r="BB1524" s="71"/>
      <c r="BC1524" s="71"/>
      <c r="BD1524" s="71"/>
      <c r="BE1524" s="71"/>
      <c r="BF1524" s="71"/>
      <c r="BG1524" s="71"/>
      <c r="BH1524" s="71"/>
      <c r="BI1524" s="71"/>
      <c r="BJ1524" s="71"/>
      <c r="BK1524" s="71"/>
      <c r="BL1524" s="71"/>
      <c r="BM1524" s="71"/>
      <c r="BN1524" s="71"/>
      <c r="BO1524" s="71"/>
      <c r="BP1524" s="71"/>
      <c r="BQ1524" s="71"/>
      <c r="BR1524" s="71"/>
      <c r="BS1524" s="71"/>
      <c r="BT1524" s="71"/>
      <c r="BU1524" s="71"/>
      <c r="BV1524" s="71"/>
    </row>
    <row r="1525">
      <c r="A1525" s="53"/>
      <c r="B1525" s="53"/>
      <c r="C1525" s="73" t="s">
        <v>12</v>
      </c>
      <c r="D1525" s="53" t="s">
        <v>3797</v>
      </c>
      <c r="E1525" s="54" t="s">
        <v>38</v>
      </c>
      <c r="F1525" s="54" t="s">
        <v>42</v>
      </c>
      <c r="G1525" s="55" t="s">
        <v>3798</v>
      </c>
      <c r="H1525" s="54" t="s">
        <v>3799</v>
      </c>
      <c r="I1525" s="54">
        <f t="shared" si="24"/>
        <v>36</v>
      </c>
      <c r="J1525" s="56"/>
      <c r="K1525" s="57"/>
      <c r="L1525" s="76"/>
      <c r="M1525" s="59"/>
      <c r="N1525" s="79">
        <v>2776.0</v>
      </c>
      <c r="O1525" s="61">
        <v>2998.0</v>
      </c>
      <c r="P1525" s="62">
        <v>3237.84</v>
      </c>
      <c r="Q1525" s="63">
        <v>3237.84</v>
      </c>
      <c r="R1525" s="64">
        <v>3400.0</v>
      </c>
      <c r="S1525" s="111">
        <v>3570.0</v>
      </c>
      <c r="T1525" s="65">
        <f t="shared" si="39"/>
        <v>571.2</v>
      </c>
      <c r="U1525" s="65">
        <f t="shared" si="40"/>
        <v>4141.2</v>
      </c>
      <c r="V1525" s="66">
        <f t="shared" si="68"/>
        <v>0.05</v>
      </c>
      <c r="W1525" s="67">
        <f t="shared" si="5"/>
        <v>3391.5</v>
      </c>
      <c r="X1525" s="67">
        <f t="shared" si="61"/>
        <v>542.64</v>
      </c>
      <c r="Y1525" s="67">
        <f t="shared" si="62"/>
        <v>3934.14</v>
      </c>
      <c r="Z1525" s="67">
        <f t="shared" si="8"/>
        <v>3213</v>
      </c>
      <c r="AA1525" s="67">
        <f t="shared" si="54"/>
        <v>514.08</v>
      </c>
      <c r="AB1525" s="67">
        <f t="shared" si="55"/>
        <v>3727.08</v>
      </c>
      <c r="AC1525" s="67">
        <f t="shared" si="11"/>
        <v>3034.5</v>
      </c>
      <c r="AD1525" s="67">
        <f t="shared" si="56"/>
        <v>485.52</v>
      </c>
      <c r="AE1525" s="67">
        <f t="shared" si="57"/>
        <v>3520.02</v>
      </c>
      <c r="AF1525" s="67">
        <f t="shared" si="33"/>
        <v>2963.1</v>
      </c>
      <c r="AG1525" s="67">
        <f t="shared" si="58"/>
        <v>474.096</v>
      </c>
      <c r="AH1525" s="67">
        <f t="shared" si="59"/>
        <v>3437.196</v>
      </c>
      <c r="AI1525" s="67">
        <f t="shared" si="17"/>
        <v>2856</v>
      </c>
      <c r="AJ1525" s="68">
        <f t="shared" si="66"/>
        <v>456.96</v>
      </c>
      <c r="AK1525" s="68">
        <f t="shared" si="67"/>
        <v>3312.96</v>
      </c>
      <c r="AL1525" s="70"/>
      <c r="AM1525" s="70"/>
      <c r="AN1525" s="71"/>
      <c r="AO1525" s="71"/>
      <c r="AP1525" s="71"/>
      <c r="AQ1525" s="71"/>
      <c r="AR1525" s="71"/>
      <c r="AS1525" s="71"/>
      <c r="AT1525" s="71"/>
      <c r="AU1525" s="71"/>
      <c r="AV1525" s="71"/>
      <c r="AW1525" s="71"/>
      <c r="AX1525" s="71"/>
      <c r="AY1525" s="71"/>
      <c r="AZ1525" s="71"/>
      <c r="BA1525" s="71"/>
      <c r="BB1525" s="71"/>
      <c r="BC1525" s="71"/>
      <c r="BD1525" s="71"/>
      <c r="BE1525" s="71"/>
      <c r="BF1525" s="71"/>
      <c r="BG1525" s="71"/>
      <c r="BH1525" s="71"/>
      <c r="BI1525" s="71"/>
      <c r="BJ1525" s="71"/>
      <c r="BK1525" s="71"/>
      <c r="BL1525" s="71"/>
      <c r="BM1525" s="71"/>
      <c r="BN1525" s="71"/>
      <c r="BO1525" s="71"/>
      <c r="BP1525" s="71"/>
      <c r="BQ1525" s="71"/>
      <c r="BR1525" s="71"/>
      <c r="BS1525" s="71"/>
      <c r="BT1525" s="71"/>
      <c r="BU1525" s="71"/>
      <c r="BV1525" s="71"/>
    </row>
    <row r="1526">
      <c r="A1526" s="53"/>
      <c r="B1526" s="53"/>
      <c r="C1526" s="73" t="s">
        <v>12</v>
      </c>
      <c r="D1526" s="53" t="s">
        <v>3800</v>
      </c>
      <c r="E1526" s="54" t="s">
        <v>38</v>
      </c>
      <c r="F1526" s="54" t="s">
        <v>42</v>
      </c>
      <c r="G1526" s="55" t="s">
        <v>3801</v>
      </c>
      <c r="H1526" s="54" t="s">
        <v>3802</v>
      </c>
      <c r="I1526" s="54">
        <f t="shared" si="24"/>
        <v>37</v>
      </c>
      <c r="J1526" s="56"/>
      <c r="K1526" s="57"/>
      <c r="L1526" s="76"/>
      <c r="M1526" s="59"/>
      <c r="N1526" s="79">
        <v>3702.0</v>
      </c>
      <c r="O1526" s="61">
        <v>3998.0</v>
      </c>
      <c r="P1526" s="62">
        <v>4317.84</v>
      </c>
      <c r="Q1526" s="63">
        <v>4317.84</v>
      </c>
      <c r="R1526" s="64">
        <v>4534.0</v>
      </c>
      <c r="S1526" s="111">
        <v>4761.0</v>
      </c>
      <c r="T1526" s="65">
        <f t="shared" si="39"/>
        <v>761.76</v>
      </c>
      <c r="U1526" s="65">
        <f t="shared" si="40"/>
        <v>5522.76</v>
      </c>
      <c r="V1526" s="66">
        <f t="shared" si="68"/>
        <v>0.05006616674</v>
      </c>
      <c r="W1526" s="67">
        <f t="shared" si="5"/>
        <v>4522.95</v>
      </c>
      <c r="X1526" s="67">
        <f t="shared" si="61"/>
        <v>723.672</v>
      </c>
      <c r="Y1526" s="67">
        <f t="shared" si="62"/>
        <v>5246.622</v>
      </c>
      <c r="Z1526" s="67">
        <f t="shared" si="8"/>
        <v>4284.9</v>
      </c>
      <c r="AA1526" s="67">
        <f t="shared" si="54"/>
        <v>685.584</v>
      </c>
      <c r="AB1526" s="67">
        <f t="shared" si="55"/>
        <v>4970.484</v>
      </c>
      <c r="AC1526" s="67">
        <f t="shared" si="11"/>
        <v>4046.85</v>
      </c>
      <c r="AD1526" s="67">
        <f t="shared" si="56"/>
        <v>647.496</v>
      </c>
      <c r="AE1526" s="67">
        <f t="shared" si="57"/>
        <v>4694.346</v>
      </c>
      <c r="AF1526" s="67">
        <f t="shared" si="33"/>
        <v>3951.63</v>
      </c>
      <c r="AG1526" s="67">
        <f t="shared" si="58"/>
        <v>632.2608</v>
      </c>
      <c r="AH1526" s="67">
        <f t="shared" si="59"/>
        <v>4583.8908</v>
      </c>
      <c r="AI1526" s="67">
        <f t="shared" si="17"/>
        <v>3808.8</v>
      </c>
      <c r="AJ1526" s="68">
        <f t="shared" si="66"/>
        <v>609.408</v>
      </c>
      <c r="AK1526" s="68">
        <f t="shared" si="67"/>
        <v>4418.208</v>
      </c>
      <c r="AL1526" s="70"/>
      <c r="AM1526" s="70"/>
      <c r="AN1526" s="71"/>
      <c r="AO1526" s="71"/>
      <c r="AP1526" s="71"/>
      <c r="AQ1526" s="71"/>
      <c r="AR1526" s="71"/>
      <c r="AS1526" s="71"/>
      <c r="AT1526" s="71"/>
      <c r="AU1526" s="71"/>
      <c r="AV1526" s="71"/>
      <c r="AW1526" s="71"/>
      <c r="AX1526" s="71"/>
      <c r="AY1526" s="71"/>
      <c r="AZ1526" s="71"/>
      <c r="BA1526" s="71"/>
      <c r="BB1526" s="71"/>
      <c r="BC1526" s="71"/>
      <c r="BD1526" s="71"/>
      <c r="BE1526" s="71"/>
      <c r="BF1526" s="71"/>
      <c r="BG1526" s="71"/>
      <c r="BH1526" s="71"/>
      <c r="BI1526" s="71"/>
      <c r="BJ1526" s="71"/>
      <c r="BK1526" s="71"/>
      <c r="BL1526" s="71"/>
      <c r="BM1526" s="71"/>
      <c r="BN1526" s="71"/>
      <c r="BO1526" s="71"/>
      <c r="BP1526" s="71"/>
      <c r="BQ1526" s="71"/>
      <c r="BR1526" s="71"/>
      <c r="BS1526" s="71"/>
      <c r="BT1526" s="71"/>
      <c r="BU1526" s="71"/>
      <c r="BV1526" s="71"/>
    </row>
    <row r="1527">
      <c r="A1527" s="53"/>
      <c r="B1527" s="53"/>
      <c r="C1527" s="73" t="s">
        <v>12</v>
      </c>
      <c r="D1527" s="53" t="s">
        <v>3803</v>
      </c>
      <c r="E1527" s="54" t="s">
        <v>38</v>
      </c>
      <c r="F1527" s="54" t="s">
        <v>42</v>
      </c>
      <c r="G1527" s="55" t="s">
        <v>3804</v>
      </c>
      <c r="H1527" s="54" t="s">
        <v>3805</v>
      </c>
      <c r="I1527" s="54">
        <f t="shared" si="24"/>
        <v>38</v>
      </c>
      <c r="J1527" s="56"/>
      <c r="K1527" s="57"/>
      <c r="L1527" s="76"/>
      <c r="M1527" s="59"/>
      <c r="N1527" s="79">
        <v>5553.0</v>
      </c>
      <c r="O1527" s="61">
        <v>5997.0</v>
      </c>
      <c r="P1527" s="62">
        <v>6476.76</v>
      </c>
      <c r="Q1527" s="63">
        <v>6476.76</v>
      </c>
      <c r="R1527" s="64">
        <v>6801.0</v>
      </c>
      <c r="S1527" s="111">
        <v>7141.0</v>
      </c>
      <c r="T1527" s="65">
        <f t="shared" si="39"/>
        <v>1142.56</v>
      </c>
      <c r="U1527" s="65">
        <f t="shared" si="40"/>
        <v>8283.56</v>
      </c>
      <c r="V1527" s="66">
        <f t="shared" si="68"/>
        <v>0.04999264814</v>
      </c>
      <c r="W1527" s="67">
        <f t="shared" si="5"/>
        <v>6783.95</v>
      </c>
      <c r="X1527" s="67">
        <f t="shared" si="61"/>
        <v>1085.432</v>
      </c>
      <c r="Y1527" s="67">
        <f t="shared" si="62"/>
        <v>7869.382</v>
      </c>
      <c r="Z1527" s="67">
        <f t="shared" si="8"/>
        <v>6426.9</v>
      </c>
      <c r="AA1527" s="67">
        <f t="shared" si="54"/>
        <v>1028.304</v>
      </c>
      <c r="AB1527" s="67">
        <f t="shared" si="55"/>
        <v>7455.204</v>
      </c>
      <c r="AC1527" s="67">
        <f t="shared" si="11"/>
        <v>6069.85</v>
      </c>
      <c r="AD1527" s="67">
        <f t="shared" si="56"/>
        <v>971.176</v>
      </c>
      <c r="AE1527" s="67">
        <f t="shared" si="57"/>
        <v>7041.026</v>
      </c>
      <c r="AF1527" s="67">
        <f t="shared" si="33"/>
        <v>5927.03</v>
      </c>
      <c r="AG1527" s="67">
        <f t="shared" si="58"/>
        <v>948.3248</v>
      </c>
      <c r="AH1527" s="67">
        <f t="shared" si="59"/>
        <v>6875.3548</v>
      </c>
      <c r="AI1527" s="67">
        <f t="shared" si="17"/>
        <v>5712.8</v>
      </c>
      <c r="AJ1527" s="68">
        <f t="shared" si="66"/>
        <v>914.048</v>
      </c>
      <c r="AK1527" s="68">
        <f t="shared" si="67"/>
        <v>6626.848</v>
      </c>
      <c r="AL1527" s="70"/>
      <c r="AM1527" s="70"/>
      <c r="AN1527" s="71"/>
      <c r="AO1527" s="71"/>
      <c r="AP1527" s="71"/>
      <c r="AQ1527" s="71"/>
      <c r="AR1527" s="71"/>
      <c r="AS1527" s="71"/>
      <c r="AT1527" s="71"/>
      <c r="AU1527" s="71"/>
      <c r="AV1527" s="71"/>
      <c r="AW1527" s="71"/>
      <c r="AX1527" s="71"/>
      <c r="AY1527" s="71"/>
      <c r="AZ1527" s="71"/>
      <c r="BA1527" s="71"/>
      <c r="BB1527" s="71"/>
      <c r="BC1527" s="71"/>
      <c r="BD1527" s="71"/>
      <c r="BE1527" s="71"/>
      <c r="BF1527" s="71"/>
      <c r="BG1527" s="71"/>
      <c r="BH1527" s="71"/>
      <c r="BI1527" s="71"/>
      <c r="BJ1527" s="71"/>
      <c r="BK1527" s="71"/>
      <c r="BL1527" s="71"/>
      <c r="BM1527" s="71"/>
      <c r="BN1527" s="71"/>
      <c r="BO1527" s="71"/>
      <c r="BP1527" s="71"/>
      <c r="BQ1527" s="71"/>
      <c r="BR1527" s="71"/>
      <c r="BS1527" s="71"/>
      <c r="BT1527" s="71"/>
      <c r="BU1527" s="71"/>
      <c r="BV1527" s="71"/>
    </row>
    <row r="1528">
      <c r="A1528" s="53"/>
      <c r="B1528" s="72"/>
      <c r="C1528" s="73" t="s">
        <v>12</v>
      </c>
      <c r="D1528" s="53" t="s">
        <v>3806</v>
      </c>
      <c r="E1528" s="54" t="s">
        <v>38</v>
      </c>
      <c r="F1528" s="54" t="s">
        <v>42</v>
      </c>
      <c r="G1528" s="54" t="s">
        <v>3807</v>
      </c>
      <c r="H1528" s="54" t="s">
        <v>3808</v>
      </c>
      <c r="I1528" s="54">
        <f t="shared" si="24"/>
        <v>37</v>
      </c>
      <c r="J1528" s="56"/>
      <c r="K1528" s="57"/>
      <c r="L1528" s="76"/>
      <c r="M1528" s="59"/>
      <c r="N1528" s="60"/>
      <c r="O1528" s="61">
        <v>16320.0</v>
      </c>
      <c r="P1528" s="62">
        <v>17625.600000000002</v>
      </c>
      <c r="Q1528" s="63">
        <v>17625.600000000002</v>
      </c>
      <c r="R1528" s="64">
        <v>18508.0</v>
      </c>
      <c r="S1528" s="111">
        <v>19433.0</v>
      </c>
      <c r="T1528" s="65">
        <f t="shared" si="39"/>
        <v>3109.28</v>
      </c>
      <c r="U1528" s="65">
        <f t="shared" si="40"/>
        <v>22542.28</v>
      </c>
      <c r="V1528" s="66">
        <f t="shared" si="68"/>
        <v>0.04997838772</v>
      </c>
      <c r="W1528" s="67">
        <f t="shared" si="5"/>
        <v>18461.35</v>
      </c>
      <c r="X1528" s="67">
        <f t="shared" si="61"/>
        <v>2953.816</v>
      </c>
      <c r="Y1528" s="67">
        <f t="shared" si="62"/>
        <v>21415.166</v>
      </c>
      <c r="Z1528" s="67">
        <f t="shared" si="8"/>
        <v>17489.7</v>
      </c>
      <c r="AA1528" s="67">
        <f t="shared" si="54"/>
        <v>2798.352</v>
      </c>
      <c r="AB1528" s="67">
        <f t="shared" si="55"/>
        <v>20288.052</v>
      </c>
      <c r="AC1528" s="67">
        <f t="shared" si="11"/>
        <v>16518.05</v>
      </c>
      <c r="AD1528" s="67">
        <f t="shared" si="56"/>
        <v>2642.888</v>
      </c>
      <c r="AE1528" s="67">
        <f t="shared" si="57"/>
        <v>19160.938</v>
      </c>
      <c r="AF1528" s="67">
        <f t="shared" si="33"/>
        <v>16129.39</v>
      </c>
      <c r="AG1528" s="67">
        <f t="shared" si="58"/>
        <v>2580.7024</v>
      </c>
      <c r="AH1528" s="67">
        <f t="shared" si="59"/>
        <v>18710.0924</v>
      </c>
      <c r="AI1528" s="67">
        <f t="shared" si="17"/>
        <v>15546.4</v>
      </c>
      <c r="AJ1528" s="68">
        <f t="shared" si="66"/>
        <v>2487.424</v>
      </c>
      <c r="AK1528" s="68">
        <f t="shared" si="67"/>
        <v>18033.824</v>
      </c>
      <c r="AL1528" s="70"/>
      <c r="AM1528" s="70"/>
      <c r="AN1528" s="71"/>
      <c r="AO1528" s="71"/>
      <c r="AP1528" s="71"/>
      <c r="AQ1528" s="71"/>
      <c r="AR1528" s="71"/>
      <c r="AS1528" s="71"/>
      <c r="AT1528" s="71"/>
      <c r="AU1528" s="71"/>
      <c r="AV1528" s="71"/>
      <c r="AW1528" s="71"/>
      <c r="AX1528" s="71"/>
      <c r="AY1528" s="71"/>
      <c r="AZ1528" s="71"/>
      <c r="BA1528" s="71"/>
      <c r="BB1528" s="71"/>
      <c r="BC1528" s="71"/>
      <c r="BD1528" s="71"/>
      <c r="BE1528" s="71"/>
      <c r="BF1528" s="71"/>
      <c r="BG1528" s="71"/>
      <c r="BH1528" s="71"/>
      <c r="BI1528" s="71"/>
      <c r="BJ1528" s="71"/>
      <c r="BK1528" s="71"/>
      <c r="BL1528" s="71"/>
      <c r="BM1528" s="71"/>
      <c r="BN1528" s="71"/>
      <c r="BO1528" s="71"/>
      <c r="BP1528" s="71"/>
      <c r="BQ1528" s="71"/>
      <c r="BR1528" s="71"/>
      <c r="BS1528" s="71"/>
      <c r="BT1528" s="71"/>
      <c r="BU1528" s="71"/>
      <c r="BV1528" s="71"/>
    </row>
    <row r="1529">
      <c r="A1529" s="53"/>
      <c r="B1529" s="72"/>
      <c r="C1529" s="73" t="s">
        <v>12</v>
      </c>
      <c r="D1529" s="53" t="s">
        <v>3809</v>
      </c>
      <c r="E1529" s="54" t="s">
        <v>38</v>
      </c>
      <c r="F1529" s="54" t="s">
        <v>42</v>
      </c>
      <c r="G1529" s="54" t="s">
        <v>3810</v>
      </c>
      <c r="H1529" s="54" t="s">
        <v>3811</v>
      </c>
      <c r="I1529" s="54">
        <f t="shared" si="24"/>
        <v>40</v>
      </c>
      <c r="J1529" s="56"/>
      <c r="K1529" s="57"/>
      <c r="L1529" s="87"/>
      <c r="M1529" s="59"/>
      <c r="N1529" s="60"/>
      <c r="O1529" s="61">
        <v>2350.0</v>
      </c>
      <c r="P1529" s="62">
        <v>2538.0</v>
      </c>
      <c r="Q1529" s="63">
        <v>2538.0</v>
      </c>
      <c r="R1529" s="64">
        <v>2665.0</v>
      </c>
      <c r="S1529" s="111">
        <v>2798.0</v>
      </c>
      <c r="T1529" s="65">
        <f t="shared" si="39"/>
        <v>447.68</v>
      </c>
      <c r="U1529" s="65">
        <f t="shared" si="40"/>
        <v>3245.68</v>
      </c>
      <c r="V1529" s="66">
        <f t="shared" si="68"/>
        <v>0.04990619137</v>
      </c>
      <c r="W1529" s="67">
        <f t="shared" si="5"/>
        <v>2658.1</v>
      </c>
      <c r="X1529" s="67">
        <f t="shared" si="61"/>
        <v>425.296</v>
      </c>
      <c r="Y1529" s="67">
        <f t="shared" si="62"/>
        <v>3083.396</v>
      </c>
      <c r="Z1529" s="67">
        <f t="shared" si="8"/>
        <v>2518.2</v>
      </c>
      <c r="AA1529" s="67">
        <f t="shared" si="54"/>
        <v>402.912</v>
      </c>
      <c r="AB1529" s="67">
        <f t="shared" si="55"/>
        <v>2921.112</v>
      </c>
      <c r="AC1529" s="67">
        <f t="shared" si="11"/>
        <v>2378.3</v>
      </c>
      <c r="AD1529" s="67">
        <f t="shared" si="56"/>
        <v>380.528</v>
      </c>
      <c r="AE1529" s="67">
        <f t="shared" si="57"/>
        <v>2758.828</v>
      </c>
      <c r="AF1529" s="67">
        <f t="shared" si="33"/>
        <v>2322.34</v>
      </c>
      <c r="AG1529" s="67">
        <f t="shared" si="58"/>
        <v>371.5744</v>
      </c>
      <c r="AH1529" s="67">
        <f t="shared" si="59"/>
        <v>2693.9144</v>
      </c>
      <c r="AI1529" s="67">
        <f t="shared" si="17"/>
        <v>2238.4</v>
      </c>
      <c r="AJ1529" s="68">
        <f t="shared" si="66"/>
        <v>358.144</v>
      </c>
      <c r="AK1529" s="68">
        <f t="shared" si="67"/>
        <v>2596.544</v>
      </c>
      <c r="AL1529" s="70"/>
      <c r="AM1529" s="70"/>
      <c r="AN1529" s="71"/>
      <c r="AO1529" s="71"/>
      <c r="AP1529" s="71"/>
      <c r="AQ1529" s="71"/>
      <c r="AR1529" s="71"/>
      <c r="AS1529" s="71"/>
      <c r="AT1529" s="71"/>
      <c r="AU1529" s="71"/>
      <c r="AV1529" s="71"/>
      <c r="AW1529" s="71"/>
      <c r="AX1529" s="71"/>
      <c r="AY1529" s="71"/>
      <c r="AZ1529" s="71"/>
      <c r="BA1529" s="71"/>
      <c r="BB1529" s="71"/>
      <c r="BC1529" s="71"/>
      <c r="BD1529" s="71"/>
      <c r="BE1529" s="71"/>
      <c r="BF1529" s="71"/>
      <c r="BG1529" s="71"/>
      <c r="BH1529" s="71"/>
      <c r="BI1529" s="71"/>
      <c r="BJ1529" s="71"/>
      <c r="BK1529" s="71"/>
      <c r="BL1529" s="71"/>
      <c r="BM1529" s="71"/>
      <c r="BN1529" s="71"/>
      <c r="BO1529" s="71"/>
      <c r="BP1529" s="71"/>
      <c r="BQ1529" s="71"/>
      <c r="BR1529" s="71"/>
      <c r="BS1529" s="71"/>
      <c r="BT1529" s="71"/>
      <c r="BU1529" s="71"/>
      <c r="BV1529" s="71"/>
    </row>
    <row r="1530">
      <c r="A1530" s="53">
        <v>1.0</v>
      </c>
      <c r="B1530" s="72"/>
      <c r="C1530" s="73" t="s">
        <v>12</v>
      </c>
      <c r="D1530" s="74" t="s">
        <v>3812</v>
      </c>
      <c r="E1530" s="54" t="s">
        <v>38</v>
      </c>
      <c r="F1530" s="54" t="s">
        <v>42</v>
      </c>
      <c r="G1530" s="54" t="s">
        <v>3813</v>
      </c>
      <c r="H1530" s="54" t="s">
        <v>3814</v>
      </c>
      <c r="I1530" s="54">
        <f t="shared" si="24"/>
        <v>40</v>
      </c>
      <c r="J1530" s="56"/>
      <c r="K1530" s="57"/>
      <c r="L1530" s="76"/>
      <c r="M1530" s="59"/>
      <c r="N1530" s="60">
        <v>178.0</v>
      </c>
      <c r="O1530" s="61">
        <v>192.0</v>
      </c>
      <c r="P1530" s="62">
        <v>207.36</v>
      </c>
      <c r="Q1530" s="63">
        <v>207.36</v>
      </c>
      <c r="R1530" s="64">
        <v>231.0</v>
      </c>
      <c r="S1530" s="111">
        <v>243.0</v>
      </c>
      <c r="T1530" s="65">
        <f t="shared" si="39"/>
        <v>38.88</v>
      </c>
      <c r="U1530" s="65">
        <f t="shared" si="40"/>
        <v>281.88</v>
      </c>
      <c r="V1530" s="66">
        <f t="shared" si="68"/>
        <v>0.05194805195</v>
      </c>
      <c r="W1530" s="67">
        <f t="shared" si="5"/>
        <v>230.85</v>
      </c>
      <c r="X1530" s="67">
        <f t="shared" si="61"/>
        <v>36.936</v>
      </c>
      <c r="Y1530" s="67">
        <f t="shared" si="62"/>
        <v>267.786</v>
      </c>
      <c r="Z1530" s="67">
        <f t="shared" si="8"/>
        <v>218.7</v>
      </c>
      <c r="AA1530" s="67">
        <f t="shared" si="54"/>
        <v>34.992</v>
      </c>
      <c r="AB1530" s="67">
        <f t="shared" si="55"/>
        <v>253.692</v>
      </c>
      <c r="AC1530" s="67">
        <f t="shared" si="11"/>
        <v>206.55</v>
      </c>
      <c r="AD1530" s="67">
        <f t="shared" si="56"/>
        <v>33.048</v>
      </c>
      <c r="AE1530" s="67">
        <f t="shared" si="57"/>
        <v>239.598</v>
      </c>
      <c r="AF1530" s="67">
        <f t="shared" si="33"/>
        <v>201.69</v>
      </c>
      <c r="AG1530" s="67">
        <f t="shared" si="58"/>
        <v>32.2704</v>
      </c>
      <c r="AH1530" s="67">
        <f t="shared" si="59"/>
        <v>233.9604</v>
      </c>
      <c r="AI1530" s="67">
        <f t="shared" si="17"/>
        <v>194.4</v>
      </c>
      <c r="AJ1530" s="68">
        <f t="shared" si="66"/>
        <v>31.104</v>
      </c>
      <c r="AK1530" s="68">
        <f t="shared" si="67"/>
        <v>225.504</v>
      </c>
      <c r="AL1530" s="70"/>
      <c r="AM1530" s="70"/>
      <c r="AN1530" s="71"/>
      <c r="AO1530" s="71"/>
      <c r="AP1530" s="71"/>
      <c r="AQ1530" s="71"/>
      <c r="AR1530" s="71"/>
      <c r="AS1530" s="71"/>
      <c r="AT1530" s="71"/>
      <c r="AU1530" s="71"/>
      <c r="AV1530" s="71"/>
      <c r="AW1530" s="71"/>
      <c r="AX1530" s="71"/>
      <c r="AY1530" s="71"/>
      <c r="AZ1530" s="71"/>
      <c r="BA1530" s="71"/>
      <c r="BB1530" s="71"/>
      <c r="BC1530" s="71"/>
      <c r="BD1530" s="71"/>
      <c r="BE1530" s="71"/>
      <c r="BF1530" s="71"/>
      <c r="BG1530" s="71"/>
      <c r="BH1530" s="71"/>
      <c r="BI1530" s="71"/>
      <c r="BJ1530" s="71"/>
      <c r="BK1530" s="71"/>
      <c r="BL1530" s="71"/>
      <c r="BM1530" s="71"/>
      <c r="BN1530" s="71"/>
      <c r="BO1530" s="71"/>
      <c r="BP1530" s="71"/>
      <c r="BQ1530" s="71"/>
      <c r="BR1530" s="71"/>
      <c r="BS1530" s="71"/>
      <c r="BT1530" s="71"/>
      <c r="BU1530" s="71"/>
      <c r="BV1530" s="71"/>
    </row>
    <row r="1531">
      <c r="A1531" s="53"/>
      <c r="B1531" s="53"/>
      <c r="C1531" s="53" t="s">
        <v>12</v>
      </c>
      <c r="D1531" s="53" t="s">
        <v>3815</v>
      </c>
      <c r="E1531" s="86" t="s">
        <v>38</v>
      </c>
      <c r="F1531" s="91" t="s">
        <v>42</v>
      </c>
      <c r="G1531" s="84" t="s">
        <v>3816</v>
      </c>
      <c r="H1531" s="84" t="s">
        <v>3817</v>
      </c>
      <c r="I1531" s="54">
        <f t="shared" si="24"/>
        <v>38</v>
      </c>
      <c r="J1531" s="56"/>
      <c r="K1531" s="57"/>
      <c r="L1531" s="76"/>
      <c r="M1531" s="59"/>
      <c r="N1531" s="60"/>
      <c r="O1531" s="90"/>
      <c r="P1531" s="62">
        <v>231.0</v>
      </c>
      <c r="Q1531" s="63">
        <v>231.0</v>
      </c>
      <c r="R1531" s="64">
        <v>243.0</v>
      </c>
      <c r="S1531" s="111">
        <v>255.0</v>
      </c>
      <c r="T1531" s="65">
        <f t="shared" si="39"/>
        <v>40.8</v>
      </c>
      <c r="U1531" s="65">
        <f t="shared" si="40"/>
        <v>295.8</v>
      </c>
      <c r="V1531" s="66">
        <f t="shared" si="68"/>
        <v>0.04938271605</v>
      </c>
      <c r="W1531" s="67">
        <f t="shared" si="5"/>
        <v>242.25</v>
      </c>
      <c r="X1531" s="67">
        <f t="shared" si="61"/>
        <v>38.76</v>
      </c>
      <c r="Y1531" s="67">
        <f t="shared" si="62"/>
        <v>281.01</v>
      </c>
      <c r="Z1531" s="67">
        <f t="shared" si="8"/>
        <v>229.5</v>
      </c>
      <c r="AA1531" s="67">
        <f t="shared" si="54"/>
        <v>36.72</v>
      </c>
      <c r="AB1531" s="67">
        <f t="shared" si="55"/>
        <v>266.22</v>
      </c>
      <c r="AC1531" s="67">
        <f t="shared" si="11"/>
        <v>216.75</v>
      </c>
      <c r="AD1531" s="67">
        <f t="shared" si="56"/>
        <v>34.68</v>
      </c>
      <c r="AE1531" s="67">
        <f t="shared" si="57"/>
        <v>251.43</v>
      </c>
      <c r="AF1531" s="67">
        <f t="shared" si="33"/>
        <v>211.65</v>
      </c>
      <c r="AG1531" s="67">
        <f t="shared" si="58"/>
        <v>33.864</v>
      </c>
      <c r="AH1531" s="67">
        <f t="shared" si="59"/>
        <v>245.514</v>
      </c>
      <c r="AI1531" s="67">
        <f t="shared" si="17"/>
        <v>204</v>
      </c>
      <c r="AJ1531" s="68">
        <f t="shared" si="66"/>
        <v>32.64</v>
      </c>
      <c r="AK1531" s="68">
        <f t="shared" si="67"/>
        <v>236.64</v>
      </c>
      <c r="AL1531" s="70"/>
      <c r="AM1531" s="70"/>
      <c r="AN1531" s="71"/>
      <c r="AO1531" s="71"/>
      <c r="AP1531" s="71"/>
      <c r="AQ1531" s="71"/>
      <c r="AR1531" s="71"/>
      <c r="AS1531" s="71"/>
      <c r="AT1531" s="71"/>
      <c r="AU1531" s="71"/>
      <c r="AV1531" s="71"/>
      <c r="AW1531" s="71"/>
      <c r="AX1531" s="71"/>
      <c r="AY1531" s="71"/>
      <c r="AZ1531" s="71"/>
      <c r="BA1531" s="71"/>
      <c r="BB1531" s="71"/>
      <c r="BC1531" s="71"/>
      <c r="BD1531" s="71"/>
      <c r="BE1531" s="71"/>
      <c r="BF1531" s="71"/>
      <c r="BG1531" s="71"/>
      <c r="BH1531" s="71"/>
      <c r="BI1531" s="71"/>
      <c r="BJ1531" s="71"/>
      <c r="BK1531" s="71"/>
      <c r="BL1531" s="71"/>
      <c r="BM1531" s="71"/>
      <c r="BN1531" s="71"/>
      <c r="BO1531" s="71"/>
      <c r="BP1531" s="71"/>
      <c r="BQ1531" s="71"/>
      <c r="BR1531" s="71"/>
      <c r="BS1531" s="71"/>
      <c r="BT1531" s="71"/>
      <c r="BU1531" s="71"/>
      <c r="BV1531" s="71"/>
    </row>
    <row r="1532">
      <c r="A1532" s="53"/>
      <c r="B1532" s="53"/>
      <c r="C1532" s="73" t="s">
        <v>12</v>
      </c>
      <c r="D1532" s="53" t="s">
        <v>3818</v>
      </c>
      <c r="E1532" s="54" t="s">
        <v>38</v>
      </c>
      <c r="F1532" s="54" t="s">
        <v>42</v>
      </c>
      <c r="G1532" s="55" t="s">
        <v>3819</v>
      </c>
      <c r="H1532" s="54" t="s">
        <v>3820</v>
      </c>
      <c r="I1532" s="54">
        <f t="shared" si="24"/>
        <v>40</v>
      </c>
      <c r="J1532" s="56"/>
      <c r="K1532" s="57"/>
      <c r="L1532" s="77"/>
      <c r="M1532" s="59"/>
      <c r="N1532" s="79">
        <v>432.0</v>
      </c>
      <c r="O1532" s="61">
        <v>466.0</v>
      </c>
      <c r="P1532" s="62">
        <v>503.28000000000003</v>
      </c>
      <c r="Q1532" s="63">
        <v>503.28000000000003</v>
      </c>
      <c r="R1532" s="64">
        <v>529.0</v>
      </c>
      <c r="S1532" s="111">
        <v>555.0</v>
      </c>
      <c r="T1532" s="65">
        <f t="shared" si="39"/>
        <v>88.8</v>
      </c>
      <c r="U1532" s="65">
        <f t="shared" si="40"/>
        <v>643.8</v>
      </c>
      <c r="V1532" s="66">
        <f t="shared" si="68"/>
        <v>0.04914933837</v>
      </c>
      <c r="W1532" s="67">
        <f t="shared" si="5"/>
        <v>527.25</v>
      </c>
      <c r="X1532" s="67">
        <f t="shared" si="61"/>
        <v>84.36</v>
      </c>
      <c r="Y1532" s="67">
        <f t="shared" si="62"/>
        <v>611.61</v>
      </c>
      <c r="Z1532" s="67">
        <f t="shared" si="8"/>
        <v>499.5</v>
      </c>
      <c r="AA1532" s="67">
        <f t="shared" si="54"/>
        <v>79.92</v>
      </c>
      <c r="AB1532" s="67">
        <f t="shared" si="55"/>
        <v>579.42</v>
      </c>
      <c r="AC1532" s="67">
        <f t="shared" si="11"/>
        <v>471.75</v>
      </c>
      <c r="AD1532" s="67">
        <f t="shared" si="56"/>
        <v>75.48</v>
      </c>
      <c r="AE1532" s="67">
        <f t="shared" si="57"/>
        <v>547.23</v>
      </c>
      <c r="AF1532" s="67">
        <f t="shared" si="33"/>
        <v>460.65</v>
      </c>
      <c r="AG1532" s="67">
        <f t="shared" si="58"/>
        <v>73.704</v>
      </c>
      <c r="AH1532" s="67">
        <f t="shared" si="59"/>
        <v>534.354</v>
      </c>
      <c r="AI1532" s="67">
        <f t="shared" si="17"/>
        <v>444</v>
      </c>
      <c r="AJ1532" s="68">
        <f t="shared" si="66"/>
        <v>71.04</v>
      </c>
      <c r="AK1532" s="68">
        <f t="shared" si="67"/>
        <v>515.04</v>
      </c>
      <c r="AL1532" s="70"/>
      <c r="AM1532" s="70"/>
      <c r="AN1532" s="71"/>
      <c r="AO1532" s="71"/>
      <c r="AP1532" s="71"/>
      <c r="AQ1532" s="71"/>
      <c r="AR1532" s="71"/>
      <c r="AS1532" s="71"/>
      <c r="AT1532" s="71"/>
      <c r="AU1532" s="71"/>
      <c r="AV1532" s="71"/>
      <c r="AW1532" s="71"/>
      <c r="AX1532" s="71"/>
      <c r="AY1532" s="71"/>
      <c r="AZ1532" s="71"/>
      <c r="BA1532" s="71"/>
      <c r="BB1532" s="71"/>
      <c r="BC1532" s="71"/>
      <c r="BD1532" s="71"/>
      <c r="BE1532" s="71"/>
      <c r="BF1532" s="71"/>
      <c r="BG1532" s="71"/>
      <c r="BH1532" s="71"/>
      <c r="BI1532" s="71"/>
      <c r="BJ1532" s="71"/>
      <c r="BK1532" s="71"/>
      <c r="BL1532" s="71"/>
      <c r="BM1532" s="71"/>
      <c r="BN1532" s="71"/>
      <c r="BO1532" s="71"/>
      <c r="BP1532" s="71"/>
      <c r="BQ1532" s="71"/>
      <c r="BR1532" s="71"/>
      <c r="BS1532" s="71"/>
      <c r="BT1532" s="71"/>
      <c r="BU1532" s="71"/>
      <c r="BV1532" s="71"/>
    </row>
    <row r="1533">
      <c r="A1533" s="53">
        <v>1.0</v>
      </c>
      <c r="B1533" s="72"/>
      <c r="C1533" s="73" t="s">
        <v>12</v>
      </c>
      <c r="D1533" s="74" t="s">
        <v>3821</v>
      </c>
      <c r="E1533" s="54" t="s">
        <v>38</v>
      </c>
      <c r="F1533" s="54" t="s">
        <v>42</v>
      </c>
      <c r="G1533" s="54" t="s">
        <v>3822</v>
      </c>
      <c r="H1533" s="54" t="s">
        <v>3823</v>
      </c>
      <c r="I1533" s="54">
        <f t="shared" si="24"/>
        <v>40</v>
      </c>
      <c r="J1533" s="56"/>
      <c r="K1533" s="57"/>
      <c r="L1533" s="76"/>
      <c r="M1533" s="59"/>
      <c r="N1533" s="60">
        <v>139.0</v>
      </c>
      <c r="O1533" s="61">
        <v>168.0</v>
      </c>
      <c r="P1533" s="62">
        <v>181.44</v>
      </c>
      <c r="Q1533" s="63">
        <v>181.44</v>
      </c>
      <c r="R1533" s="64">
        <v>203.0</v>
      </c>
      <c r="S1533" s="111">
        <v>213.0</v>
      </c>
      <c r="T1533" s="65">
        <f t="shared" si="39"/>
        <v>34.08</v>
      </c>
      <c r="U1533" s="65">
        <f t="shared" si="40"/>
        <v>247.08</v>
      </c>
      <c r="V1533" s="66">
        <f t="shared" si="68"/>
        <v>0.04926108374</v>
      </c>
      <c r="W1533" s="67">
        <f t="shared" si="5"/>
        <v>202.35</v>
      </c>
      <c r="X1533" s="67">
        <f t="shared" si="61"/>
        <v>32.376</v>
      </c>
      <c r="Y1533" s="67">
        <f t="shared" si="62"/>
        <v>234.726</v>
      </c>
      <c r="Z1533" s="67">
        <f t="shared" si="8"/>
        <v>191.7</v>
      </c>
      <c r="AA1533" s="67">
        <f t="shared" si="54"/>
        <v>30.672</v>
      </c>
      <c r="AB1533" s="67">
        <f t="shared" si="55"/>
        <v>222.372</v>
      </c>
      <c r="AC1533" s="67">
        <f t="shared" si="11"/>
        <v>181.05</v>
      </c>
      <c r="AD1533" s="67">
        <f t="shared" si="56"/>
        <v>28.968</v>
      </c>
      <c r="AE1533" s="67">
        <f t="shared" si="57"/>
        <v>210.018</v>
      </c>
      <c r="AF1533" s="67">
        <f t="shared" si="33"/>
        <v>176.79</v>
      </c>
      <c r="AG1533" s="67">
        <f t="shared" si="58"/>
        <v>28.2864</v>
      </c>
      <c r="AH1533" s="67">
        <f t="shared" si="59"/>
        <v>205.0764</v>
      </c>
      <c r="AI1533" s="67">
        <f t="shared" si="17"/>
        <v>170.4</v>
      </c>
      <c r="AJ1533" s="68">
        <f t="shared" si="66"/>
        <v>27.264</v>
      </c>
      <c r="AK1533" s="68">
        <f t="shared" si="67"/>
        <v>197.664</v>
      </c>
      <c r="AL1533" s="70"/>
      <c r="AM1533" s="70"/>
      <c r="AN1533" s="71"/>
      <c r="AO1533" s="71"/>
      <c r="AP1533" s="71"/>
      <c r="AQ1533" s="71"/>
      <c r="AR1533" s="71"/>
      <c r="AS1533" s="71"/>
      <c r="AT1533" s="71"/>
      <c r="AU1533" s="71"/>
      <c r="AV1533" s="71"/>
      <c r="AW1533" s="71"/>
      <c r="AX1533" s="71"/>
      <c r="AY1533" s="71"/>
      <c r="AZ1533" s="71"/>
      <c r="BA1533" s="71"/>
      <c r="BB1533" s="71"/>
      <c r="BC1533" s="71"/>
      <c r="BD1533" s="71"/>
      <c r="BE1533" s="71"/>
      <c r="BF1533" s="71"/>
      <c r="BG1533" s="71"/>
      <c r="BH1533" s="71"/>
      <c r="BI1533" s="71"/>
      <c r="BJ1533" s="71"/>
      <c r="BK1533" s="71"/>
      <c r="BL1533" s="71"/>
      <c r="BM1533" s="71"/>
      <c r="BN1533" s="71"/>
      <c r="BO1533" s="71"/>
      <c r="BP1533" s="71"/>
      <c r="BQ1533" s="71"/>
      <c r="BR1533" s="71"/>
      <c r="BS1533" s="71"/>
      <c r="BT1533" s="71"/>
      <c r="BU1533" s="71"/>
      <c r="BV1533" s="71"/>
    </row>
    <row r="1534">
      <c r="A1534" s="53"/>
      <c r="B1534" s="53"/>
      <c r="C1534" s="53" t="s">
        <v>12</v>
      </c>
      <c r="D1534" s="53" t="s">
        <v>3824</v>
      </c>
      <c r="E1534" s="86" t="s">
        <v>38</v>
      </c>
      <c r="F1534" s="91" t="s">
        <v>42</v>
      </c>
      <c r="G1534" s="84" t="s">
        <v>3825</v>
      </c>
      <c r="H1534" s="84" t="s">
        <v>3826</v>
      </c>
      <c r="I1534" s="54">
        <f t="shared" si="24"/>
        <v>40</v>
      </c>
      <c r="J1534" s="56"/>
      <c r="K1534" s="57"/>
      <c r="L1534" s="76"/>
      <c r="M1534" s="59"/>
      <c r="N1534" s="60"/>
      <c r="O1534" s="90"/>
      <c r="P1534" s="62">
        <v>201.0</v>
      </c>
      <c r="Q1534" s="63">
        <v>201.0</v>
      </c>
      <c r="R1534" s="64">
        <v>212.0</v>
      </c>
      <c r="S1534" s="111">
        <v>223.0</v>
      </c>
      <c r="T1534" s="65">
        <f t="shared" si="39"/>
        <v>35.68</v>
      </c>
      <c r="U1534" s="65">
        <f t="shared" si="40"/>
        <v>258.68</v>
      </c>
      <c r="V1534" s="66">
        <f t="shared" si="68"/>
        <v>0.05188679245</v>
      </c>
      <c r="W1534" s="67">
        <f t="shared" si="5"/>
        <v>211.85</v>
      </c>
      <c r="X1534" s="67">
        <f t="shared" si="61"/>
        <v>33.896</v>
      </c>
      <c r="Y1534" s="67">
        <f t="shared" si="62"/>
        <v>245.746</v>
      </c>
      <c r="Z1534" s="67">
        <f t="shared" si="8"/>
        <v>200.7</v>
      </c>
      <c r="AA1534" s="67">
        <f t="shared" si="54"/>
        <v>32.112</v>
      </c>
      <c r="AB1534" s="67">
        <f t="shared" si="55"/>
        <v>232.812</v>
      </c>
      <c r="AC1534" s="67">
        <f t="shared" si="11"/>
        <v>189.55</v>
      </c>
      <c r="AD1534" s="67">
        <f t="shared" si="56"/>
        <v>30.328</v>
      </c>
      <c r="AE1534" s="67">
        <f t="shared" si="57"/>
        <v>219.878</v>
      </c>
      <c r="AF1534" s="67">
        <f t="shared" si="33"/>
        <v>185.09</v>
      </c>
      <c r="AG1534" s="67">
        <f t="shared" si="58"/>
        <v>29.6144</v>
      </c>
      <c r="AH1534" s="67">
        <f t="shared" si="59"/>
        <v>214.7044</v>
      </c>
      <c r="AI1534" s="67">
        <f t="shared" si="17"/>
        <v>178.4</v>
      </c>
      <c r="AJ1534" s="68">
        <f t="shared" si="66"/>
        <v>28.544</v>
      </c>
      <c r="AK1534" s="68">
        <f t="shared" si="67"/>
        <v>206.944</v>
      </c>
      <c r="AL1534" s="70"/>
      <c r="AM1534" s="70"/>
      <c r="AN1534" s="71"/>
      <c r="AO1534" s="71"/>
      <c r="AP1534" s="71"/>
      <c r="AQ1534" s="71"/>
      <c r="AR1534" s="71"/>
      <c r="AS1534" s="71"/>
      <c r="AT1534" s="71"/>
      <c r="AU1534" s="71"/>
      <c r="AV1534" s="71"/>
      <c r="AW1534" s="71"/>
      <c r="AX1534" s="71"/>
      <c r="AY1534" s="71"/>
      <c r="AZ1534" s="71"/>
      <c r="BA1534" s="71"/>
      <c r="BB1534" s="71"/>
      <c r="BC1534" s="71"/>
      <c r="BD1534" s="71"/>
      <c r="BE1534" s="71"/>
      <c r="BF1534" s="71"/>
      <c r="BG1534" s="71"/>
      <c r="BH1534" s="71"/>
      <c r="BI1534" s="71"/>
      <c r="BJ1534" s="71"/>
      <c r="BK1534" s="71"/>
      <c r="BL1534" s="71"/>
      <c r="BM1534" s="71"/>
      <c r="BN1534" s="71"/>
      <c r="BO1534" s="71"/>
      <c r="BP1534" s="71"/>
      <c r="BQ1534" s="71"/>
      <c r="BR1534" s="71"/>
      <c r="BS1534" s="71"/>
      <c r="BT1534" s="71"/>
      <c r="BU1534" s="71"/>
      <c r="BV1534" s="71"/>
    </row>
    <row r="1535">
      <c r="A1535" s="53"/>
      <c r="B1535" s="53"/>
      <c r="C1535" s="73" t="s">
        <v>12</v>
      </c>
      <c r="D1535" s="53" t="s">
        <v>3827</v>
      </c>
      <c r="E1535" s="54" t="s">
        <v>38</v>
      </c>
      <c r="F1535" s="54" t="s">
        <v>42</v>
      </c>
      <c r="G1535" s="55" t="s">
        <v>3828</v>
      </c>
      <c r="H1535" s="54" t="s">
        <v>3829</v>
      </c>
      <c r="I1535" s="54">
        <f t="shared" si="24"/>
        <v>37</v>
      </c>
      <c r="J1535" s="56"/>
      <c r="K1535" s="57"/>
      <c r="L1535" s="76"/>
      <c r="M1535" s="59"/>
      <c r="N1535" s="79"/>
      <c r="O1535" s="61">
        <v>806.0</v>
      </c>
      <c r="P1535" s="62">
        <v>870.48</v>
      </c>
      <c r="Q1535" s="63">
        <v>870.48</v>
      </c>
      <c r="R1535" s="64">
        <v>914.0</v>
      </c>
      <c r="S1535" s="111">
        <v>960.0</v>
      </c>
      <c r="T1535" s="65">
        <f t="shared" si="39"/>
        <v>153.6</v>
      </c>
      <c r="U1535" s="65">
        <f t="shared" si="40"/>
        <v>1113.6</v>
      </c>
      <c r="V1535" s="66">
        <f t="shared" si="68"/>
        <v>0.05032822757</v>
      </c>
      <c r="W1535" s="67">
        <f t="shared" si="5"/>
        <v>912</v>
      </c>
      <c r="X1535" s="67">
        <f t="shared" si="61"/>
        <v>145.92</v>
      </c>
      <c r="Y1535" s="67">
        <f t="shared" si="62"/>
        <v>1057.92</v>
      </c>
      <c r="Z1535" s="67">
        <f t="shared" si="8"/>
        <v>864</v>
      </c>
      <c r="AA1535" s="67">
        <f t="shared" si="54"/>
        <v>138.24</v>
      </c>
      <c r="AB1535" s="67">
        <f t="shared" si="55"/>
        <v>1002.24</v>
      </c>
      <c r="AC1535" s="67">
        <f t="shared" si="11"/>
        <v>816</v>
      </c>
      <c r="AD1535" s="67">
        <f t="shared" si="56"/>
        <v>130.56</v>
      </c>
      <c r="AE1535" s="67">
        <f t="shared" si="57"/>
        <v>946.56</v>
      </c>
      <c r="AF1535" s="67">
        <f t="shared" si="33"/>
        <v>796.8</v>
      </c>
      <c r="AG1535" s="67">
        <f t="shared" si="58"/>
        <v>127.488</v>
      </c>
      <c r="AH1535" s="67">
        <f t="shared" si="59"/>
        <v>924.288</v>
      </c>
      <c r="AI1535" s="67">
        <f t="shared" si="17"/>
        <v>768</v>
      </c>
      <c r="AJ1535" s="68">
        <f t="shared" si="66"/>
        <v>122.88</v>
      </c>
      <c r="AK1535" s="68">
        <f t="shared" si="67"/>
        <v>890.88</v>
      </c>
      <c r="AL1535" s="70"/>
      <c r="AM1535" s="70"/>
      <c r="AN1535" s="71"/>
      <c r="AO1535" s="71"/>
      <c r="AP1535" s="71"/>
      <c r="AQ1535" s="71"/>
      <c r="AR1535" s="71"/>
      <c r="AS1535" s="71"/>
      <c r="AT1535" s="71"/>
      <c r="AU1535" s="71"/>
      <c r="AV1535" s="71"/>
      <c r="AW1535" s="71"/>
      <c r="AX1535" s="71"/>
      <c r="AY1535" s="71"/>
      <c r="AZ1535" s="71"/>
      <c r="BA1535" s="71"/>
      <c r="BB1535" s="71"/>
      <c r="BC1535" s="71"/>
      <c r="BD1535" s="71"/>
      <c r="BE1535" s="71"/>
      <c r="BF1535" s="71"/>
      <c r="BG1535" s="71"/>
      <c r="BH1535" s="71"/>
      <c r="BI1535" s="71"/>
      <c r="BJ1535" s="71"/>
      <c r="BK1535" s="71"/>
      <c r="BL1535" s="71"/>
      <c r="BM1535" s="71"/>
      <c r="BN1535" s="71"/>
      <c r="BO1535" s="71"/>
      <c r="BP1535" s="71"/>
      <c r="BQ1535" s="71"/>
      <c r="BR1535" s="71"/>
      <c r="BS1535" s="71"/>
      <c r="BT1535" s="71"/>
      <c r="BU1535" s="71"/>
      <c r="BV1535" s="71"/>
    </row>
    <row r="1536">
      <c r="A1536" s="53"/>
      <c r="B1536" s="53"/>
      <c r="C1536" s="73" t="s">
        <v>12</v>
      </c>
      <c r="D1536" s="53" t="s">
        <v>3830</v>
      </c>
      <c r="E1536" s="54" t="s">
        <v>38</v>
      </c>
      <c r="F1536" s="54" t="s">
        <v>42</v>
      </c>
      <c r="G1536" s="55" t="s">
        <v>3831</v>
      </c>
      <c r="H1536" s="54" t="s">
        <v>3832</v>
      </c>
      <c r="I1536" s="54">
        <f t="shared" si="24"/>
        <v>39</v>
      </c>
      <c r="J1536" s="56"/>
      <c r="K1536" s="57"/>
      <c r="L1536" s="76"/>
      <c r="M1536" s="59"/>
      <c r="N1536" s="79">
        <v>5428.0</v>
      </c>
      <c r="O1536" s="61">
        <v>5862.0</v>
      </c>
      <c r="P1536" s="62">
        <v>6330.96</v>
      </c>
      <c r="Q1536" s="63">
        <v>6330.96</v>
      </c>
      <c r="R1536" s="64">
        <v>6648.0</v>
      </c>
      <c r="S1536" s="111">
        <v>6980.0</v>
      </c>
      <c r="T1536" s="65">
        <f t="shared" si="39"/>
        <v>1116.8</v>
      </c>
      <c r="U1536" s="65">
        <f t="shared" si="40"/>
        <v>8096.8</v>
      </c>
      <c r="V1536" s="66">
        <f t="shared" si="68"/>
        <v>0.04993983153</v>
      </c>
      <c r="W1536" s="67">
        <f t="shared" si="5"/>
        <v>6631</v>
      </c>
      <c r="X1536" s="67">
        <f t="shared" si="61"/>
        <v>1060.96</v>
      </c>
      <c r="Y1536" s="67">
        <f t="shared" si="62"/>
        <v>7691.96</v>
      </c>
      <c r="Z1536" s="67">
        <f t="shared" si="8"/>
        <v>6282</v>
      </c>
      <c r="AA1536" s="67">
        <f t="shared" si="54"/>
        <v>1005.12</v>
      </c>
      <c r="AB1536" s="67">
        <f t="shared" si="55"/>
        <v>7287.12</v>
      </c>
      <c r="AC1536" s="67">
        <f t="shared" si="11"/>
        <v>5933</v>
      </c>
      <c r="AD1536" s="67">
        <f t="shared" si="56"/>
        <v>949.28</v>
      </c>
      <c r="AE1536" s="67">
        <f t="shared" si="57"/>
        <v>6882.28</v>
      </c>
      <c r="AF1536" s="67">
        <f t="shared" si="33"/>
        <v>5793.4</v>
      </c>
      <c r="AG1536" s="67">
        <f t="shared" si="58"/>
        <v>926.944</v>
      </c>
      <c r="AH1536" s="67">
        <f t="shared" si="59"/>
        <v>6720.344</v>
      </c>
      <c r="AI1536" s="67">
        <f t="shared" si="17"/>
        <v>5584</v>
      </c>
      <c r="AJ1536" s="68">
        <f t="shared" si="66"/>
        <v>893.44</v>
      </c>
      <c r="AK1536" s="68">
        <f t="shared" si="67"/>
        <v>6477.44</v>
      </c>
      <c r="AL1536" s="70"/>
      <c r="AM1536" s="70"/>
      <c r="AN1536" s="71"/>
      <c r="AO1536" s="71"/>
      <c r="AP1536" s="71"/>
      <c r="AQ1536" s="71"/>
      <c r="AR1536" s="71"/>
      <c r="AS1536" s="71"/>
      <c r="AT1536" s="71"/>
      <c r="AU1536" s="71"/>
      <c r="AV1536" s="71"/>
      <c r="AW1536" s="71"/>
      <c r="AX1536" s="71"/>
      <c r="AY1536" s="71"/>
      <c r="AZ1536" s="71"/>
      <c r="BA1536" s="71"/>
      <c r="BB1536" s="71"/>
      <c r="BC1536" s="71"/>
      <c r="BD1536" s="71"/>
      <c r="BE1536" s="71"/>
      <c r="BF1536" s="71"/>
      <c r="BG1536" s="71"/>
      <c r="BH1536" s="71"/>
      <c r="BI1536" s="71"/>
      <c r="BJ1536" s="71"/>
      <c r="BK1536" s="71"/>
      <c r="BL1536" s="71"/>
      <c r="BM1536" s="71"/>
      <c r="BN1536" s="71"/>
      <c r="BO1536" s="71"/>
      <c r="BP1536" s="71"/>
      <c r="BQ1536" s="71"/>
      <c r="BR1536" s="71"/>
      <c r="BS1536" s="71"/>
      <c r="BT1536" s="71"/>
      <c r="BU1536" s="71"/>
      <c r="BV1536" s="71"/>
    </row>
    <row r="1537">
      <c r="A1537" s="53"/>
      <c r="B1537" s="53"/>
      <c r="C1537" s="73" t="s">
        <v>12</v>
      </c>
      <c r="D1537" s="53" t="s">
        <v>3833</v>
      </c>
      <c r="E1537" s="54" t="s">
        <v>38</v>
      </c>
      <c r="F1537" s="54" t="s">
        <v>42</v>
      </c>
      <c r="G1537" s="55" t="s">
        <v>3834</v>
      </c>
      <c r="H1537" s="54" t="s">
        <v>3835</v>
      </c>
      <c r="I1537" s="54">
        <f t="shared" si="24"/>
        <v>40</v>
      </c>
      <c r="J1537" s="56"/>
      <c r="K1537" s="57"/>
      <c r="L1537" s="87"/>
      <c r="M1537" s="59"/>
      <c r="N1537" s="79"/>
      <c r="O1537" s="61">
        <v>2900.0</v>
      </c>
      <c r="P1537" s="62">
        <v>3132.0</v>
      </c>
      <c r="Q1537" s="63">
        <v>3132.0</v>
      </c>
      <c r="R1537" s="64">
        <v>3289.0</v>
      </c>
      <c r="S1537" s="111">
        <v>3453.0</v>
      </c>
      <c r="T1537" s="65">
        <f t="shared" si="39"/>
        <v>552.48</v>
      </c>
      <c r="U1537" s="65">
        <f t="shared" si="40"/>
        <v>4005.48</v>
      </c>
      <c r="V1537" s="66">
        <f t="shared" si="68"/>
        <v>0.0498631803</v>
      </c>
      <c r="W1537" s="67">
        <f t="shared" si="5"/>
        <v>3280.35</v>
      </c>
      <c r="X1537" s="67">
        <f t="shared" si="61"/>
        <v>524.856</v>
      </c>
      <c r="Y1537" s="67">
        <f t="shared" si="62"/>
        <v>3805.206</v>
      </c>
      <c r="Z1537" s="67">
        <f t="shared" si="8"/>
        <v>3107.7</v>
      </c>
      <c r="AA1537" s="67">
        <f t="shared" si="54"/>
        <v>497.232</v>
      </c>
      <c r="AB1537" s="67">
        <f t="shared" si="55"/>
        <v>3604.932</v>
      </c>
      <c r="AC1537" s="67">
        <f t="shared" si="11"/>
        <v>2935.05</v>
      </c>
      <c r="AD1537" s="67">
        <f t="shared" si="56"/>
        <v>469.608</v>
      </c>
      <c r="AE1537" s="67">
        <f t="shared" si="57"/>
        <v>3404.658</v>
      </c>
      <c r="AF1537" s="67">
        <f t="shared" si="33"/>
        <v>2865.99</v>
      </c>
      <c r="AG1537" s="67">
        <f t="shared" si="58"/>
        <v>458.5584</v>
      </c>
      <c r="AH1537" s="67">
        <f t="shared" si="59"/>
        <v>3324.5484</v>
      </c>
      <c r="AI1537" s="67">
        <f t="shared" si="17"/>
        <v>2762.4</v>
      </c>
      <c r="AJ1537" s="68">
        <f t="shared" si="66"/>
        <v>441.984</v>
      </c>
      <c r="AK1537" s="68">
        <f t="shared" si="67"/>
        <v>3204.384</v>
      </c>
      <c r="AL1537" s="70"/>
      <c r="AM1537" s="70"/>
      <c r="AN1537" s="71"/>
      <c r="AO1537" s="71"/>
      <c r="AP1537" s="71"/>
      <c r="AQ1537" s="71"/>
      <c r="AR1537" s="71"/>
      <c r="AS1537" s="71"/>
      <c r="AT1537" s="71"/>
      <c r="AU1537" s="71"/>
      <c r="AV1537" s="71"/>
      <c r="AW1537" s="71"/>
      <c r="AX1537" s="71"/>
      <c r="AY1537" s="71"/>
      <c r="AZ1537" s="71"/>
      <c r="BA1537" s="71"/>
      <c r="BB1537" s="71"/>
      <c r="BC1537" s="71"/>
      <c r="BD1537" s="71"/>
      <c r="BE1537" s="71"/>
      <c r="BF1537" s="71"/>
      <c r="BG1537" s="71"/>
      <c r="BH1537" s="71"/>
      <c r="BI1537" s="71"/>
      <c r="BJ1537" s="71"/>
      <c r="BK1537" s="71"/>
      <c r="BL1537" s="71"/>
      <c r="BM1537" s="71"/>
      <c r="BN1537" s="71"/>
      <c r="BO1537" s="71"/>
      <c r="BP1537" s="71"/>
      <c r="BQ1537" s="71"/>
      <c r="BR1537" s="71"/>
      <c r="BS1537" s="71"/>
      <c r="BT1537" s="71"/>
      <c r="BU1537" s="71"/>
      <c r="BV1537" s="71"/>
    </row>
    <row r="1538">
      <c r="A1538" s="53"/>
      <c r="B1538" s="53"/>
      <c r="C1538" s="73" t="s">
        <v>12</v>
      </c>
      <c r="D1538" s="53" t="s">
        <v>3836</v>
      </c>
      <c r="E1538" s="54" t="s">
        <v>38</v>
      </c>
      <c r="F1538" s="54" t="s">
        <v>42</v>
      </c>
      <c r="G1538" s="55" t="s">
        <v>3837</v>
      </c>
      <c r="H1538" s="54" t="s">
        <v>3838</v>
      </c>
      <c r="I1538" s="54">
        <f t="shared" si="24"/>
        <v>36</v>
      </c>
      <c r="J1538" s="56"/>
      <c r="K1538" s="57"/>
      <c r="L1538" s="87"/>
      <c r="M1538" s="59"/>
      <c r="N1538" s="79"/>
      <c r="O1538" s="61">
        <v>23200.0</v>
      </c>
      <c r="P1538" s="62">
        <v>25056.0</v>
      </c>
      <c r="Q1538" s="63">
        <v>25056.0</v>
      </c>
      <c r="R1538" s="64">
        <v>26309.0</v>
      </c>
      <c r="S1538" s="111">
        <v>27624.0</v>
      </c>
      <c r="T1538" s="65">
        <f t="shared" si="39"/>
        <v>4419.84</v>
      </c>
      <c r="U1538" s="65">
        <f t="shared" si="40"/>
        <v>32043.84</v>
      </c>
      <c r="V1538" s="66">
        <f t="shared" si="68"/>
        <v>0.04998289559</v>
      </c>
      <c r="W1538" s="67">
        <f t="shared" si="5"/>
        <v>26242.8</v>
      </c>
      <c r="X1538" s="67">
        <f t="shared" si="61"/>
        <v>4198.848</v>
      </c>
      <c r="Y1538" s="67">
        <f t="shared" si="62"/>
        <v>30441.648</v>
      </c>
      <c r="Z1538" s="67">
        <f t="shared" si="8"/>
        <v>24861.6</v>
      </c>
      <c r="AA1538" s="67">
        <f t="shared" si="54"/>
        <v>3977.856</v>
      </c>
      <c r="AB1538" s="67">
        <f t="shared" si="55"/>
        <v>28839.456</v>
      </c>
      <c r="AC1538" s="67">
        <f t="shared" si="11"/>
        <v>23480.4</v>
      </c>
      <c r="AD1538" s="67">
        <f t="shared" si="56"/>
        <v>3756.864</v>
      </c>
      <c r="AE1538" s="67">
        <f t="shared" si="57"/>
        <v>27237.264</v>
      </c>
      <c r="AF1538" s="67">
        <f t="shared" si="33"/>
        <v>22927.92</v>
      </c>
      <c r="AG1538" s="67">
        <f t="shared" si="58"/>
        <v>3668.4672</v>
      </c>
      <c r="AH1538" s="67">
        <f t="shared" si="59"/>
        <v>26596.3872</v>
      </c>
      <c r="AI1538" s="67">
        <f t="shared" si="17"/>
        <v>22099.2</v>
      </c>
      <c r="AJ1538" s="68">
        <f t="shared" si="66"/>
        <v>3535.872</v>
      </c>
      <c r="AK1538" s="68">
        <f t="shared" si="67"/>
        <v>25635.072</v>
      </c>
      <c r="AL1538" s="70"/>
      <c r="AM1538" s="70"/>
      <c r="AN1538" s="71"/>
      <c r="AO1538" s="71"/>
      <c r="AP1538" s="71"/>
      <c r="AQ1538" s="71"/>
      <c r="AR1538" s="71"/>
      <c r="AS1538" s="71"/>
      <c r="AT1538" s="71"/>
      <c r="AU1538" s="71"/>
      <c r="AV1538" s="71"/>
      <c r="AW1538" s="71"/>
      <c r="AX1538" s="71"/>
      <c r="AY1538" s="71"/>
      <c r="AZ1538" s="71"/>
      <c r="BA1538" s="71"/>
      <c r="BB1538" s="71"/>
      <c r="BC1538" s="71"/>
      <c r="BD1538" s="71"/>
      <c r="BE1538" s="71"/>
      <c r="BF1538" s="71"/>
      <c r="BG1538" s="71"/>
      <c r="BH1538" s="71"/>
      <c r="BI1538" s="71"/>
      <c r="BJ1538" s="71"/>
      <c r="BK1538" s="71"/>
      <c r="BL1538" s="71"/>
      <c r="BM1538" s="71"/>
      <c r="BN1538" s="71"/>
      <c r="BO1538" s="71"/>
      <c r="BP1538" s="71"/>
      <c r="BQ1538" s="71"/>
      <c r="BR1538" s="71"/>
      <c r="BS1538" s="71"/>
      <c r="BT1538" s="71"/>
      <c r="BU1538" s="71"/>
      <c r="BV1538" s="71"/>
    </row>
    <row r="1539">
      <c r="A1539" s="53"/>
      <c r="B1539" s="53"/>
      <c r="C1539" s="73" t="s">
        <v>12</v>
      </c>
      <c r="D1539" s="53" t="s">
        <v>3839</v>
      </c>
      <c r="E1539" s="54" t="s">
        <v>38</v>
      </c>
      <c r="F1539" s="54" t="s">
        <v>42</v>
      </c>
      <c r="G1539" s="55" t="s">
        <v>3840</v>
      </c>
      <c r="H1539" s="54" t="s">
        <v>3841</v>
      </c>
      <c r="I1539" s="54">
        <f t="shared" si="24"/>
        <v>33</v>
      </c>
      <c r="J1539" s="56"/>
      <c r="K1539" s="57"/>
      <c r="L1539" s="76"/>
      <c r="M1539" s="59"/>
      <c r="N1539" s="79"/>
      <c r="O1539" s="61">
        <v>8813.0</v>
      </c>
      <c r="P1539" s="62">
        <v>9518.04</v>
      </c>
      <c r="Q1539" s="63">
        <v>9518.04</v>
      </c>
      <c r="R1539" s="64">
        <v>9994.0</v>
      </c>
      <c r="S1539" s="111">
        <v>10494.0</v>
      </c>
      <c r="T1539" s="65">
        <f t="shared" si="39"/>
        <v>1679.04</v>
      </c>
      <c r="U1539" s="65">
        <f t="shared" si="40"/>
        <v>12173.04</v>
      </c>
      <c r="V1539" s="66">
        <f t="shared" si="68"/>
        <v>0.05003001801</v>
      </c>
      <c r="W1539" s="67">
        <f t="shared" si="5"/>
        <v>9969.3</v>
      </c>
      <c r="X1539" s="67">
        <f t="shared" si="61"/>
        <v>1595.088</v>
      </c>
      <c r="Y1539" s="67">
        <f t="shared" si="62"/>
        <v>11564.388</v>
      </c>
      <c r="Z1539" s="67">
        <f t="shared" si="8"/>
        <v>9444.6</v>
      </c>
      <c r="AA1539" s="67">
        <f t="shared" si="54"/>
        <v>1511.136</v>
      </c>
      <c r="AB1539" s="67">
        <f t="shared" si="55"/>
        <v>10955.736</v>
      </c>
      <c r="AC1539" s="67">
        <f t="shared" si="11"/>
        <v>8919.9</v>
      </c>
      <c r="AD1539" s="67">
        <f t="shared" si="56"/>
        <v>1427.184</v>
      </c>
      <c r="AE1539" s="67">
        <f t="shared" si="57"/>
        <v>10347.084</v>
      </c>
      <c r="AF1539" s="67">
        <f t="shared" si="33"/>
        <v>8710.02</v>
      </c>
      <c r="AG1539" s="67">
        <f t="shared" si="58"/>
        <v>1393.6032</v>
      </c>
      <c r="AH1539" s="67">
        <f t="shared" si="59"/>
        <v>10103.6232</v>
      </c>
      <c r="AI1539" s="67">
        <f t="shared" si="17"/>
        <v>8395.2</v>
      </c>
      <c r="AJ1539" s="68">
        <f t="shared" si="66"/>
        <v>1343.232</v>
      </c>
      <c r="AK1539" s="68">
        <f t="shared" si="67"/>
        <v>9738.432</v>
      </c>
      <c r="AL1539" s="70"/>
      <c r="AM1539" s="70"/>
      <c r="AN1539" s="71"/>
      <c r="AO1539" s="71"/>
      <c r="AP1539" s="71"/>
      <c r="AQ1539" s="71"/>
      <c r="AR1539" s="71"/>
      <c r="AS1539" s="71"/>
      <c r="AT1539" s="71"/>
      <c r="AU1539" s="71"/>
      <c r="AV1539" s="71"/>
      <c r="AW1539" s="71"/>
      <c r="AX1539" s="71"/>
      <c r="AY1539" s="71"/>
      <c r="AZ1539" s="71"/>
      <c r="BA1539" s="71"/>
      <c r="BB1539" s="71"/>
      <c r="BC1539" s="71"/>
      <c r="BD1539" s="71"/>
      <c r="BE1539" s="71"/>
      <c r="BF1539" s="71"/>
      <c r="BG1539" s="71"/>
      <c r="BH1539" s="71"/>
      <c r="BI1539" s="71"/>
      <c r="BJ1539" s="71"/>
      <c r="BK1539" s="71"/>
      <c r="BL1539" s="71"/>
      <c r="BM1539" s="71"/>
      <c r="BN1539" s="71"/>
      <c r="BO1539" s="71"/>
      <c r="BP1539" s="71"/>
      <c r="BQ1539" s="71"/>
      <c r="BR1539" s="71"/>
      <c r="BS1539" s="71"/>
      <c r="BT1539" s="71"/>
      <c r="BU1539" s="71"/>
      <c r="BV1539" s="71"/>
    </row>
    <row r="1540">
      <c r="A1540" s="53"/>
      <c r="B1540" s="53"/>
      <c r="C1540" s="73" t="s">
        <v>12</v>
      </c>
      <c r="D1540" s="53" t="s">
        <v>3842</v>
      </c>
      <c r="E1540" s="54" t="s">
        <v>38</v>
      </c>
      <c r="F1540" s="54" t="s">
        <v>42</v>
      </c>
      <c r="G1540" s="55" t="s">
        <v>3843</v>
      </c>
      <c r="H1540" s="54" t="s">
        <v>3844</v>
      </c>
      <c r="I1540" s="54">
        <f t="shared" si="24"/>
        <v>34</v>
      </c>
      <c r="J1540" s="56"/>
      <c r="K1540" s="57"/>
      <c r="L1540" s="76"/>
      <c r="M1540" s="59"/>
      <c r="N1540" s="79">
        <v>3399.0</v>
      </c>
      <c r="O1540" s="61">
        <v>3670.0</v>
      </c>
      <c r="P1540" s="62">
        <v>3963.6000000000004</v>
      </c>
      <c r="Q1540" s="63">
        <v>3963.6000000000004</v>
      </c>
      <c r="R1540" s="64">
        <v>4163.0</v>
      </c>
      <c r="S1540" s="111">
        <v>4371.0</v>
      </c>
      <c r="T1540" s="65">
        <f t="shared" si="39"/>
        <v>699.36</v>
      </c>
      <c r="U1540" s="65">
        <f t="shared" si="40"/>
        <v>5070.36</v>
      </c>
      <c r="V1540" s="66">
        <f t="shared" si="68"/>
        <v>0.04996396829</v>
      </c>
      <c r="W1540" s="67">
        <f t="shared" si="5"/>
        <v>4152.45</v>
      </c>
      <c r="X1540" s="67">
        <f t="shared" si="61"/>
        <v>664.392</v>
      </c>
      <c r="Y1540" s="67">
        <f t="shared" si="62"/>
        <v>4816.842</v>
      </c>
      <c r="Z1540" s="67">
        <f t="shared" si="8"/>
        <v>3933.9</v>
      </c>
      <c r="AA1540" s="67">
        <f t="shared" si="54"/>
        <v>629.424</v>
      </c>
      <c r="AB1540" s="67">
        <f t="shared" si="55"/>
        <v>4563.324</v>
      </c>
      <c r="AC1540" s="67">
        <f t="shared" si="11"/>
        <v>3715.35</v>
      </c>
      <c r="AD1540" s="67">
        <f t="shared" si="56"/>
        <v>594.456</v>
      </c>
      <c r="AE1540" s="67">
        <f t="shared" si="57"/>
        <v>4309.806</v>
      </c>
      <c r="AF1540" s="67">
        <f t="shared" si="33"/>
        <v>3627.93</v>
      </c>
      <c r="AG1540" s="67">
        <f t="shared" si="58"/>
        <v>580.4688</v>
      </c>
      <c r="AH1540" s="67">
        <f t="shared" si="59"/>
        <v>4208.3988</v>
      </c>
      <c r="AI1540" s="67">
        <f t="shared" si="17"/>
        <v>3496.8</v>
      </c>
      <c r="AJ1540" s="68">
        <f t="shared" si="66"/>
        <v>559.488</v>
      </c>
      <c r="AK1540" s="68">
        <f t="shared" si="67"/>
        <v>4056.288</v>
      </c>
      <c r="AL1540" s="70"/>
      <c r="AM1540" s="70"/>
      <c r="AN1540" s="71"/>
      <c r="AO1540" s="71"/>
      <c r="AP1540" s="71"/>
      <c r="AQ1540" s="71"/>
      <c r="AR1540" s="71"/>
      <c r="AS1540" s="71"/>
      <c r="AT1540" s="71"/>
      <c r="AU1540" s="71"/>
      <c r="AV1540" s="71"/>
      <c r="AW1540" s="71"/>
      <c r="AX1540" s="71"/>
      <c r="AY1540" s="71"/>
      <c r="AZ1540" s="71"/>
      <c r="BA1540" s="71"/>
      <c r="BB1540" s="71"/>
      <c r="BC1540" s="71"/>
      <c r="BD1540" s="71"/>
      <c r="BE1540" s="71"/>
      <c r="BF1540" s="71"/>
      <c r="BG1540" s="71"/>
      <c r="BH1540" s="71"/>
      <c r="BI1540" s="71"/>
      <c r="BJ1540" s="71"/>
      <c r="BK1540" s="71"/>
      <c r="BL1540" s="71"/>
      <c r="BM1540" s="71"/>
      <c r="BN1540" s="71"/>
      <c r="BO1540" s="71"/>
      <c r="BP1540" s="71"/>
      <c r="BQ1540" s="71"/>
      <c r="BR1540" s="71"/>
      <c r="BS1540" s="71"/>
      <c r="BT1540" s="71"/>
      <c r="BU1540" s="71"/>
      <c r="BV1540" s="71"/>
    </row>
    <row r="1541">
      <c r="A1541" s="53"/>
      <c r="B1541" s="53"/>
      <c r="C1541" s="73" t="s">
        <v>12</v>
      </c>
      <c r="D1541" s="53" t="s">
        <v>3845</v>
      </c>
      <c r="E1541" s="54" t="s">
        <v>38</v>
      </c>
      <c r="F1541" s="54" t="s">
        <v>42</v>
      </c>
      <c r="G1541" s="55" t="s">
        <v>3846</v>
      </c>
      <c r="H1541" s="54" t="s">
        <v>3847</v>
      </c>
      <c r="I1541" s="54">
        <f t="shared" si="24"/>
        <v>33</v>
      </c>
      <c r="J1541" s="56"/>
      <c r="K1541" s="57"/>
      <c r="L1541" s="76"/>
      <c r="M1541" s="59"/>
      <c r="N1541" s="79">
        <v>9020.0</v>
      </c>
      <c r="O1541" s="61">
        <v>9741.0</v>
      </c>
      <c r="P1541" s="62">
        <v>10520.28</v>
      </c>
      <c r="Q1541" s="63">
        <v>10520.28</v>
      </c>
      <c r="R1541" s="64">
        <v>11046.0</v>
      </c>
      <c r="S1541" s="111">
        <v>11598.0</v>
      </c>
      <c r="T1541" s="65">
        <f t="shared" si="39"/>
        <v>1855.68</v>
      </c>
      <c r="U1541" s="65">
        <f t="shared" si="40"/>
        <v>13453.68</v>
      </c>
      <c r="V1541" s="66">
        <f t="shared" si="68"/>
        <v>0.04997284085</v>
      </c>
      <c r="W1541" s="67">
        <f t="shared" si="5"/>
        <v>11018.1</v>
      </c>
      <c r="X1541" s="67">
        <f t="shared" si="61"/>
        <v>1762.896</v>
      </c>
      <c r="Y1541" s="67">
        <f t="shared" si="62"/>
        <v>12780.996</v>
      </c>
      <c r="Z1541" s="67">
        <f t="shared" si="8"/>
        <v>10438.2</v>
      </c>
      <c r="AA1541" s="67">
        <f t="shared" si="54"/>
        <v>1670.112</v>
      </c>
      <c r="AB1541" s="67">
        <f t="shared" si="55"/>
        <v>12108.312</v>
      </c>
      <c r="AC1541" s="67">
        <f t="shared" si="11"/>
        <v>9858.3</v>
      </c>
      <c r="AD1541" s="67">
        <f t="shared" si="56"/>
        <v>1577.328</v>
      </c>
      <c r="AE1541" s="67">
        <f t="shared" si="57"/>
        <v>11435.628</v>
      </c>
      <c r="AF1541" s="67">
        <f t="shared" si="33"/>
        <v>9626.34</v>
      </c>
      <c r="AG1541" s="67">
        <f t="shared" si="58"/>
        <v>1540.2144</v>
      </c>
      <c r="AH1541" s="67">
        <f t="shared" si="59"/>
        <v>11166.5544</v>
      </c>
      <c r="AI1541" s="67">
        <f t="shared" si="17"/>
        <v>9278.4</v>
      </c>
      <c r="AJ1541" s="68">
        <f t="shared" si="66"/>
        <v>1484.544</v>
      </c>
      <c r="AK1541" s="68">
        <f t="shared" si="67"/>
        <v>10762.944</v>
      </c>
      <c r="AL1541" s="70"/>
      <c r="AM1541" s="70"/>
      <c r="AN1541" s="71"/>
      <c r="AO1541" s="71"/>
      <c r="AP1541" s="71"/>
      <c r="AQ1541" s="71"/>
      <c r="AR1541" s="71"/>
      <c r="AS1541" s="71"/>
      <c r="AT1541" s="71"/>
      <c r="AU1541" s="71"/>
      <c r="AV1541" s="71"/>
      <c r="AW1541" s="71"/>
      <c r="AX1541" s="71"/>
      <c r="AY1541" s="71"/>
      <c r="AZ1541" s="71"/>
      <c r="BA1541" s="71"/>
      <c r="BB1541" s="71"/>
      <c r="BC1541" s="71"/>
      <c r="BD1541" s="71"/>
      <c r="BE1541" s="71"/>
      <c r="BF1541" s="71"/>
      <c r="BG1541" s="71"/>
      <c r="BH1541" s="71"/>
      <c r="BI1541" s="71"/>
      <c r="BJ1541" s="71"/>
      <c r="BK1541" s="71"/>
      <c r="BL1541" s="71"/>
      <c r="BM1541" s="71"/>
      <c r="BN1541" s="71"/>
      <c r="BO1541" s="71"/>
      <c r="BP1541" s="71"/>
      <c r="BQ1541" s="71"/>
      <c r="BR1541" s="71"/>
      <c r="BS1541" s="71"/>
      <c r="BT1541" s="71"/>
      <c r="BU1541" s="71"/>
      <c r="BV1541" s="71"/>
    </row>
    <row r="1542">
      <c r="A1542" s="53"/>
      <c r="B1542" s="53"/>
      <c r="C1542" s="73" t="s">
        <v>12</v>
      </c>
      <c r="D1542" s="53" t="s">
        <v>3848</v>
      </c>
      <c r="E1542" s="54" t="s">
        <v>38</v>
      </c>
      <c r="F1542" s="54" t="s">
        <v>42</v>
      </c>
      <c r="G1542" s="55" t="s">
        <v>3849</v>
      </c>
      <c r="H1542" s="54" t="s">
        <v>3850</v>
      </c>
      <c r="I1542" s="54">
        <f t="shared" si="24"/>
        <v>33</v>
      </c>
      <c r="J1542" s="56"/>
      <c r="K1542" s="57"/>
      <c r="L1542" s="76"/>
      <c r="M1542" s="59"/>
      <c r="N1542" s="79">
        <v>3505.0</v>
      </c>
      <c r="O1542" s="61">
        <v>3785.0</v>
      </c>
      <c r="P1542" s="62">
        <v>4087.8</v>
      </c>
      <c r="Q1542" s="63">
        <v>4087.8</v>
      </c>
      <c r="R1542" s="64">
        <v>4293.0</v>
      </c>
      <c r="S1542" s="111">
        <v>4508.0</v>
      </c>
      <c r="T1542" s="65">
        <f t="shared" si="39"/>
        <v>721.28</v>
      </c>
      <c r="U1542" s="65">
        <f t="shared" si="40"/>
        <v>5229.28</v>
      </c>
      <c r="V1542" s="66">
        <f t="shared" si="68"/>
        <v>0.05008152807</v>
      </c>
      <c r="W1542" s="67">
        <f t="shared" si="5"/>
        <v>4282.6</v>
      </c>
      <c r="X1542" s="67">
        <f t="shared" si="61"/>
        <v>685.216</v>
      </c>
      <c r="Y1542" s="67">
        <f t="shared" si="62"/>
        <v>4967.816</v>
      </c>
      <c r="Z1542" s="67">
        <f t="shared" si="8"/>
        <v>4057.2</v>
      </c>
      <c r="AA1542" s="67">
        <f t="shared" si="54"/>
        <v>649.152</v>
      </c>
      <c r="AB1542" s="67">
        <f t="shared" si="55"/>
        <v>4706.352</v>
      </c>
      <c r="AC1542" s="67">
        <f t="shared" si="11"/>
        <v>3831.8</v>
      </c>
      <c r="AD1542" s="67">
        <f t="shared" si="56"/>
        <v>613.088</v>
      </c>
      <c r="AE1542" s="67">
        <f t="shared" si="57"/>
        <v>4444.888</v>
      </c>
      <c r="AF1542" s="67">
        <f t="shared" si="33"/>
        <v>3741.64</v>
      </c>
      <c r="AG1542" s="67">
        <f t="shared" si="58"/>
        <v>598.6624</v>
      </c>
      <c r="AH1542" s="67">
        <f t="shared" si="59"/>
        <v>4340.3024</v>
      </c>
      <c r="AI1542" s="67">
        <f t="shared" si="17"/>
        <v>3606.4</v>
      </c>
      <c r="AJ1542" s="68">
        <f t="shared" si="66"/>
        <v>577.024</v>
      </c>
      <c r="AK1542" s="68">
        <f t="shared" si="67"/>
        <v>4183.424</v>
      </c>
      <c r="AL1542" s="70"/>
      <c r="AM1542" s="70"/>
      <c r="AN1542" s="71"/>
      <c r="AO1542" s="71"/>
      <c r="AP1542" s="71"/>
      <c r="AQ1542" s="71"/>
      <c r="AR1542" s="71"/>
      <c r="AS1542" s="71"/>
      <c r="AT1542" s="71"/>
      <c r="AU1542" s="71"/>
      <c r="AV1542" s="71"/>
      <c r="AW1542" s="71"/>
      <c r="AX1542" s="71"/>
      <c r="AY1542" s="71"/>
      <c r="AZ1542" s="71"/>
      <c r="BA1542" s="71"/>
      <c r="BB1542" s="71"/>
      <c r="BC1542" s="71"/>
      <c r="BD1542" s="71"/>
      <c r="BE1542" s="71"/>
      <c r="BF1542" s="71"/>
      <c r="BG1542" s="71"/>
      <c r="BH1542" s="71"/>
      <c r="BI1542" s="71"/>
      <c r="BJ1542" s="71"/>
      <c r="BK1542" s="71"/>
      <c r="BL1542" s="71"/>
      <c r="BM1542" s="71"/>
      <c r="BN1542" s="71"/>
      <c r="BO1542" s="71"/>
      <c r="BP1542" s="71"/>
      <c r="BQ1542" s="71"/>
      <c r="BR1542" s="71"/>
      <c r="BS1542" s="71"/>
      <c r="BT1542" s="71"/>
      <c r="BU1542" s="71"/>
      <c r="BV1542" s="71"/>
    </row>
    <row r="1543">
      <c r="A1543" s="53"/>
      <c r="B1543" s="53"/>
      <c r="C1543" s="73" t="s">
        <v>12</v>
      </c>
      <c r="D1543" s="53" t="s">
        <v>3851</v>
      </c>
      <c r="E1543" s="54" t="s">
        <v>38</v>
      </c>
      <c r="F1543" s="54" t="s">
        <v>42</v>
      </c>
      <c r="G1543" s="55" t="s">
        <v>3852</v>
      </c>
      <c r="H1543" s="54" t="s">
        <v>3853</v>
      </c>
      <c r="I1543" s="54">
        <f t="shared" si="24"/>
        <v>34</v>
      </c>
      <c r="J1543" s="56"/>
      <c r="K1543" s="57"/>
      <c r="L1543" s="76"/>
      <c r="M1543" s="59"/>
      <c r="N1543" s="60">
        <v>2973.6</v>
      </c>
      <c r="O1543" s="61">
        <v>3211.0</v>
      </c>
      <c r="P1543" s="62">
        <v>3467.88</v>
      </c>
      <c r="Q1543" s="63">
        <v>3467.88</v>
      </c>
      <c r="R1543" s="64">
        <v>3642.0</v>
      </c>
      <c r="S1543" s="111">
        <v>3824.0</v>
      </c>
      <c r="T1543" s="65">
        <f t="shared" si="39"/>
        <v>611.84</v>
      </c>
      <c r="U1543" s="65">
        <f t="shared" si="40"/>
        <v>4435.84</v>
      </c>
      <c r="V1543" s="66">
        <f t="shared" si="68"/>
        <v>0.04997254256</v>
      </c>
      <c r="W1543" s="67">
        <f t="shared" si="5"/>
        <v>3632.8</v>
      </c>
      <c r="X1543" s="67">
        <f t="shared" si="61"/>
        <v>581.248</v>
      </c>
      <c r="Y1543" s="67">
        <f t="shared" si="62"/>
        <v>4214.048</v>
      </c>
      <c r="Z1543" s="67">
        <f t="shared" si="8"/>
        <v>3441.6</v>
      </c>
      <c r="AA1543" s="67">
        <f t="shared" si="54"/>
        <v>550.656</v>
      </c>
      <c r="AB1543" s="67">
        <f t="shared" si="55"/>
        <v>3992.256</v>
      </c>
      <c r="AC1543" s="67">
        <f t="shared" si="11"/>
        <v>3250.4</v>
      </c>
      <c r="AD1543" s="67">
        <f t="shared" si="56"/>
        <v>520.064</v>
      </c>
      <c r="AE1543" s="67">
        <f t="shared" si="57"/>
        <v>3770.464</v>
      </c>
      <c r="AF1543" s="67">
        <f t="shared" si="33"/>
        <v>3173.92</v>
      </c>
      <c r="AG1543" s="67">
        <f t="shared" si="58"/>
        <v>507.8272</v>
      </c>
      <c r="AH1543" s="67">
        <f t="shared" si="59"/>
        <v>3681.7472</v>
      </c>
      <c r="AI1543" s="67">
        <f t="shared" si="17"/>
        <v>3059.2</v>
      </c>
      <c r="AJ1543" s="68">
        <f t="shared" si="66"/>
        <v>489.472</v>
      </c>
      <c r="AK1543" s="68">
        <f t="shared" si="67"/>
        <v>3548.672</v>
      </c>
      <c r="AL1543" s="70"/>
      <c r="AM1543" s="70"/>
      <c r="AN1543" s="71"/>
      <c r="AO1543" s="71"/>
      <c r="AP1543" s="71"/>
      <c r="AQ1543" s="71"/>
      <c r="AR1543" s="71"/>
      <c r="AS1543" s="71"/>
      <c r="AT1543" s="71"/>
      <c r="AU1543" s="71"/>
      <c r="AV1543" s="71"/>
      <c r="AW1543" s="71"/>
      <c r="AX1543" s="71"/>
      <c r="AY1543" s="71"/>
      <c r="AZ1543" s="71"/>
      <c r="BA1543" s="71"/>
      <c r="BB1543" s="71"/>
      <c r="BC1543" s="71"/>
      <c r="BD1543" s="71"/>
      <c r="BE1543" s="71"/>
      <c r="BF1543" s="71"/>
      <c r="BG1543" s="71"/>
      <c r="BH1543" s="71"/>
      <c r="BI1543" s="71"/>
      <c r="BJ1543" s="71"/>
      <c r="BK1543" s="71"/>
      <c r="BL1543" s="71"/>
      <c r="BM1543" s="71"/>
      <c r="BN1543" s="71"/>
      <c r="BO1543" s="71"/>
      <c r="BP1543" s="71"/>
      <c r="BQ1543" s="71"/>
      <c r="BR1543" s="71"/>
      <c r="BS1543" s="71"/>
      <c r="BT1543" s="71"/>
      <c r="BU1543" s="71"/>
      <c r="BV1543" s="71"/>
    </row>
    <row r="1544">
      <c r="A1544" s="53"/>
      <c r="B1544" s="53"/>
      <c r="C1544" s="73" t="s">
        <v>12</v>
      </c>
      <c r="D1544" s="53" t="s">
        <v>3854</v>
      </c>
      <c r="E1544" s="54" t="s">
        <v>38</v>
      </c>
      <c r="F1544" s="54" t="s">
        <v>42</v>
      </c>
      <c r="G1544" s="55" t="s">
        <v>3855</v>
      </c>
      <c r="H1544" s="54" t="s">
        <v>3856</v>
      </c>
      <c r="I1544" s="54">
        <f t="shared" si="24"/>
        <v>32</v>
      </c>
      <c r="J1544" s="56"/>
      <c r="K1544" s="57"/>
      <c r="L1544" s="76"/>
      <c r="M1544" s="59"/>
      <c r="N1544" s="79">
        <v>31104.0</v>
      </c>
      <c r="O1544" s="61">
        <v>33592.0</v>
      </c>
      <c r="P1544" s="62">
        <v>36279.36</v>
      </c>
      <c r="Q1544" s="63">
        <v>36279.36</v>
      </c>
      <c r="R1544" s="64">
        <v>38093.0</v>
      </c>
      <c r="S1544" s="111">
        <v>39998.0</v>
      </c>
      <c r="T1544" s="65">
        <f t="shared" si="39"/>
        <v>6399.68</v>
      </c>
      <c r="U1544" s="65">
        <f t="shared" si="40"/>
        <v>46397.68</v>
      </c>
      <c r="V1544" s="66">
        <f t="shared" si="68"/>
        <v>0.05000918804</v>
      </c>
      <c r="W1544" s="67">
        <f t="shared" si="5"/>
        <v>37998.1</v>
      </c>
      <c r="X1544" s="67">
        <f t="shared" si="61"/>
        <v>6079.696</v>
      </c>
      <c r="Y1544" s="67">
        <f t="shared" si="62"/>
        <v>44077.796</v>
      </c>
      <c r="Z1544" s="67">
        <f t="shared" si="8"/>
        <v>35998.2</v>
      </c>
      <c r="AA1544" s="67">
        <f t="shared" si="54"/>
        <v>5759.712</v>
      </c>
      <c r="AB1544" s="67">
        <f t="shared" si="55"/>
        <v>41757.912</v>
      </c>
      <c r="AC1544" s="67">
        <f t="shared" si="11"/>
        <v>33998.3</v>
      </c>
      <c r="AD1544" s="67">
        <f t="shared" si="56"/>
        <v>5439.728</v>
      </c>
      <c r="AE1544" s="67">
        <f t="shared" si="57"/>
        <v>39438.028</v>
      </c>
      <c r="AF1544" s="67">
        <f t="shared" si="33"/>
        <v>33198.34</v>
      </c>
      <c r="AG1544" s="67">
        <f t="shared" si="58"/>
        <v>5311.7344</v>
      </c>
      <c r="AH1544" s="67">
        <f t="shared" si="59"/>
        <v>38510.0744</v>
      </c>
      <c r="AI1544" s="67">
        <f t="shared" si="17"/>
        <v>31998.4</v>
      </c>
      <c r="AJ1544" s="68">
        <f t="shared" si="66"/>
        <v>5119.744</v>
      </c>
      <c r="AK1544" s="68">
        <f t="shared" si="67"/>
        <v>37118.144</v>
      </c>
      <c r="AL1544" s="70"/>
      <c r="AM1544" s="70"/>
      <c r="AN1544" s="71"/>
      <c r="AO1544" s="71"/>
      <c r="AP1544" s="71"/>
      <c r="AQ1544" s="71"/>
      <c r="AR1544" s="71"/>
      <c r="AS1544" s="71"/>
      <c r="AT1544" s="71"/>
      <c r="AU1544" s="71"/>
      <c r="AV1544" s="71"/>
      <c r="AW1544" s="71"/>
      <c r="AX1544" s="71"/>
      <c r="AY1544" s="71"/>
      <c r="AZ1544" s="71"/>
      <c r="BA1544" s="71"/>
      <c r="BB1544" s="71"/>
      <c r="BC1544" s="71"/>
      <c r="BD1544" s="71"/>
      <c r="BE1544" s="71"/>
      <c r="BF1544" s="71"/>
      <c r="BG1544" s="71"/>
      <c r="BH1544" s="71"/>
      <c r="BI1544" s="71"/>
      <c r="BJ1544" s="71"/>
      <c r="BK1544" s="71"/>
      <c r="BL1544" s="71"/>
      <c r="BM1544" s="71"/>
      <c r="BN1544" s="71"/>
      <c r="BO1544" s="71"/>
      <c r="BP1544" s="71"/>
      <c r="BQ1544" s="71"/>
      <c r="BR1544" s="71"/>
      <c r="BS1544" s="71"/>
      <c r="BT1544" s="71"/>
      <c r="BU1544" s="71"/>
      <c r="BV1544" s="71"/>
    </row>
    <row r="1545">
      <c r="A1545" s="53"/>
      <c r="B1545" s="53"/>
      <c r="C1545" s="73" t="s">
        <v>12</v>
      </c>
      <c r="D1545" s="53" t="s">
        <v>3857</v>
      </c>
      <c r="E1545" s="54" t="s">
        <v>38</v>
      </c>
      <c r="F1545" s="54" t="s">
        <v>42</v>
      </c>
      <c r="G1545" s="55" t="s">
        <v>3858</v>
      </c>
      <c r="H1545" s="54" t="s">
        <v>3859</v>
      </c>
      <c r="I1545" s="54">
        <f t="shared" si="24"/>
        <v>27</v>
      </c>
      <c r="J1545" s="56"/>
      <c r="K1545" s="57"/>
      <c r="L1545" s="76"/>
      <c r="M1545" s="59"/>
      <c r="N1545" s="79">
        <v>15300.0</v>
      </c>
      <c r="O1545" s="61">
        <v>16524.0</v>
      </c>
      <c r="P1545" s="62">
        <v>17845.920000000002</v>
      </c>
      <c r="Q1545" s="63">
        <v>17845.920000000002</v>
      </c>
      <c r="R1545" s="64">
        <v>18739.0</v>
      </c>
      <c r="S1545" s="111">
        <v>19676.0</v>
      </c>
      <c r="T1545" s="65">
        <f t="shared" si="39"/>
        <v>3148.16</v>
      </c>
      <c r="U1545" s="65">
        <f t="shared" si="40"/>
        <v>22824.16</v>
      </c>
      <c r="V1545" s="66">
        <f t="shared" si="68"/>
        <v>0.05000266823</v>
      </c>
      <c r="W1545" s="67">
        <f t="shared" si="5"/>
        <v>18692.2</v>
      </c>
      <c r="X1545" s="67">
        <f t="shared" si="61"/>
        <v>2990.752</v>
      </c>
      <c r="Y1545" s="67">
        <f t="shared" si="62"/>
        <v>21682.952</v>
      </c>
      <c r="Z1545" s="67">
        <f t="shared" si="8"/>
        <v>17708.4</v>
      </c>
      <c r="AA1545" s="67">
        <f t="shared" si="54"/>
        <v>2833.344</v>
      </c>
      <c r="AB1545" s="67">
        <f t="shared" si="55"/>
        <v>20541.744</v>
      </c>
      <c r="AC1545" s="67">
        <f t="shared" si="11"/>
        <v>16724.6</v>
      </c>
      <c r="AD1545" s="67">
        <f t="shared" si="56"/>
        <v>2675.936</v>
      </c>
      <c r="AE1545" s="67">
        <f t="shared" si="57"/>
        <v>19400.536</v>
      </c>
      <c r="AF1545" s="67">
        <f t="shared" si="33"/>
        <v>16331.08</v>
      </c>
      <c r="AG1545" s="67">
        <f t="shared" si="58"/>
        <v>2612.9728</v>
      </c>
      <c r="AH1545" s="67">
        <f t="shared" si="59"/>
        <v>18944.0528</v>
      </c>
      <c r="AI1545" s="67">
        <f t="shared" si="17"/>
        <v>15740.8</v>
      </c>
      <c r="AJ1545" s="68">
        <f t="shared" si="66"/>
        <v>2518.528</v>
      </c>
      <c r="AK1545" s="68">
        <f t="shared" si="67"/>
        <v>18259.328</v>
      </c>
      <c r="AL1545" s="70"/>
      <c r="AM1545" s="70"/>
      <c r="AN1545" s="71"/>
      <c r="AO1545" s="71"/>
      <c r="AP1545" s="71"/>
      <c r="AQ1545" s="71"/>
      <c r="AR1545" s="71"/>
      <c r="AS1545" s="71"/>
      <c r="AT1545" s="71"/>
      <c r="AU1545" s="71"/>
      <c r="AV1545" s="71"/>
      <c r="AW1545" s="71"/>
      <c r="AX1545" s="71"/>
      <c r="AY1545" s="71"/>
      <c r="AZ1545" s="71"/>
      <c r="BA1545" s="71"/>
      <c r="BB1545" s="71"/>
      <c r="BC1545" s="71"/>
      <c r="BD1545" s="71"/>
      <c r="BE1545" s="71"/>
      <c r="BF1545" s="71"/>
      <c r="BG1545" s="71"/>
      <c r="BH1545" s="71"/>
      <c r="BI1545" s="71"/>
      <c r="BJ1545" s="71"/>
      <c r="BK1545" s="71"/>
      <c r="BL1545" s="71"/>
      <c r="BM1545" s="71"/>
      <c r="BN1545" s="71"/>
      <c r="BO1545" s="71"/>
      <c r="BP1545" s="71"/>
      <c r="BQ1545" s="71"/>
      <c r="BR1545" s="71"/>
      <c r="BS1545" s="71"/>
      <c r="BT1545" s="71"/>
      <c r="BU1545" s="71"/>
      <c r="BV1545" s="71"/>
    </row>
    <row r="1546">
      <c r="A1546" s="53"/>
      <c r="B1546" s="53"/>
      <c r="C1546" s="73" t="s">
        <v>12</v>
      </c>
      <c r="D1546" s="53" t="s">
        <v>3860</v>
      </c>
      <c r="E1546" s="54" t="s">
        <v>38</v>
      </c>
      <c r="F1546" s="54" t="s">
        <v>42</v>
      </c>
      <c r="G1546" s="55" t="s">
        <v>3861</v>
      </c>
      <c r="H1546" s="54" t="s">
        <v>3862</v>
      </c>
      <c r="I1546" s="54">
        <f t="shared" si="24"/>
        <v>32</v>
      </c>
      <c r="J1546" s="56"/>
      <c r="K1546" s="57"/>
      <c r="L1546" s="76"/>
      <c r="M1546" s="59"/>
      <c r="N1546" s="79">
        <v>3240.0</v>
      </c>
      <c r="O1546" s="61">
        <v>3499.0</v>
      </c>
      <c r="P1546" s="62">
        <v>3778.92</v>
      </c>
      <c r="Q1546" s="63">
        <v>3778.92</v>
      </c>
      <c r="R1546" s="64">
        <v>3968.0</v>
      </c>
      <c r="S1546" s="111">
        <v>4166.0</v>
      </c>
      <c r="T1546" s="65">
        <f t="shared" si="39"/>
        <v>666.56</v>
      </c>
      <c r="U1546" s="65">
        <f t="shared" si="40"/>
        <v>4832.56</v>
      </c>
      <c r="V1546" s="66">
        <f t="shared" si="68"/>
        <v>0.04989919355</v>
      </c>
      <c r="W1546" s="67">
        <f t="shared" si="5"/>
        <v>3957.7</v>
      </c>
      <c r="X1546" s="67">
        <f t="shared" si="61"/>
        <v>633.232</v>
      </c>
      <c r="Y1546" s="67">
        <f t="shared" si="62"/>
        <v>4590.932</v>
      </c>
      <c r="Z1546" s="67">
        <f t="shared" si="8"/>
        <v>3749.4</v>
      </c>
      <c r="AA1546" s="67">
        <f t="shared" si="54"/>
        <v>599.904</v>
      </c>
      <c r="AB1546" s="67">
        <f t="shared" si="55"/>
        <v>4349.304</v>
      </c>
      <c r="AC1546" s="67">
        <f t="shared" si="11"/>
        <v>3541.1</v>
      </c>
      <c r="AD1546" s="67">
        <f t="shared" si="56"/>
        <v>566.576</v>
      </c>
      <c r="AE1546" s="67">
        <f t="shared" si="57"/>
        <v>4107.676</v>
      </c>
      <c r="AF1546" s="67">
        <f t="shared" si="33"/>
        <v>3457.78</v>
      </c>
      <c r="AG1546" s="67">
        <f t="shared" si="58"/>
        <v>553.2448</v>
      </c>
      <c r="AH1546" s="67">
        <f t="shared" si="59"/>
        <v>4011.0248</v>
      </c>
      <c r="AI1546" s="67">
        <f t="shared" si="17"/>
        <v>3332.8</v>
      </c>
      <c r="AJ1546" s="68">
        <f t="shared" si="66"/>
        <v>533.248</v>
      </c>
      <c r="AK1546" s="68">
        <f t="shared" si="67"/>
        <v>3866.048</v>
      </c>
      <c r="AL1546" s="70"/>
      <c r="AM1546" s="70"/>
      <c r="AN1546" s="71"/>
      <c r="AO1546" s="71"/>
      <c r="AP1546" s="71"/>
      <c r="AQ1546" s="71"/>
      <c r="AR1546" s="71"/>
      <c r="AS1546" s="71"/>
      <c r="AT1546" s="71"/>
      <c r="AU1546" s="71"/>
      <c r="AV1546" s="71"/>
      <c r="AW1546" s="71"/>
      <c r="AX1546" s="71"/>
      <c r="AY1546" s="71"/>
      <c r="AZ1546" s="71"/>
      <c r="BA1546" s="71"/>
      <c r="BB1546" s="71"/>
      <c r="BC1546" s="71"/>
      <c r="BD1546" s="71"/>
      <c r="BE1546" s="71"/>
      <c r="BF1546" s="71"/>
      <c r="BG1546" s="71"/>
      <c r="BH1546" s="71"/>
      <c r="BI1546" s="71"/>
      <c r="BJ1546" s="71"/>
      <c r="BK1546" s="71"/>
      <c r="BL1546" s="71"/>
      <c r="BM1546" s="71"/>
      <c r="BN1546" s="71"/>
      <c r="BO1546" s="71"/>
      <c r="BP1546" s="71"/>
      <c r="BQ1546" s="71"/>
      <c r="BR1546" s="71"/>
      <c r="BS1546" s="71"/>
      <c r="BT1546" s="71"/>
      <c r="BU1546" s="71"/>
      <c r="BV1546" s="71"/>
    </row>
    <row r="1547">
      <c r="A1547" s="53"/>
      <c r="B1547" s="53"/>
      <c r="C1547" s="73" t="s">
        <v>12</v>
      </c>
      <c r="D1547" s="53" t="s">
        <v>3863</v>
      </c>
      <c r="E1547" s="54" t="s">
        <v>38</v>
      </c>
      <c r="F1547" s="54" t="s">
        <v>42</v>
      </c>
      <c r="G1547" s="55" t="s">
        <v>3864</v>
      </c>
      <c r="H1547" s="54" t="s">
        <v>3865</v>
      </c>
      <c r="I1547" s="54">
        <f t="shared" si="24"/>
        <v>31</v>
      </c>
      <c r="J1547" s="56"/>
      <c r="K1547" s="57"/>
      <c r="L1547" s="76"/>
      <c r="M1547" s="59"/>
      <c r="N1547" s="79"/>
      <c r="O1547" s="61">
        <v>1056.0</v>
      </c>
      <c r="P1547" s="62">
        <v>1140.48</v>
      </c>
      <c r="Q1547" s="63">
        <v>1140.48</v>
      </c>
      <c r="R1547" s="64">
        <v>1197.0</v>
      </c>
      <c r="S1547" s="111">
        <v>1257.0</v>
      </c>
      <c r="T1547" s="65">
        <f t="shared" si="39"/>
        <v>201.12</v>
      </c>
      <c r="U1547" s="65">
        <f t="shared" si="40"/>
        <v>1458.12</v>
      </c>
      <c r="V1547" s="66">
        <f t="shared" si="68"/>
        <v>0.05012531328</v>
      </c>
      <c r="W1547" s="67">
        <f t="shared" si="5"/>
        <v>1194.15</v>
      </c>
      <c r="X1547" s="67">
        <f t="shared" si="61"/>
        <v>191.064</v>
      </c>
      <c r="Y1547" s="67">
        <f t="shared" si="62"/>
        <v>1385.214</v>
      </c>
      <c r="Z1547" s="67">
        <f t="shared" si="8"/>
        <v>1131.3</v>
      </c>
      <c r="AA1547" s="67">
        <f t="shared" si="54"/>
        <v>181.008</v>
      </c>
      <c r="AB1547" s="67">
        <f t="shared" si="55"/>
        <v>1312.308</v>
      </c>
      <c r="AC1547" s="67">
        <f t="shared" si="11"/>
        <v>1068.45</v>
      </c>
      <c r="AD1547" s="67">
        <f t="shared" si="56"/>
        <v>170.952</v>
      </c>
      <c r="AE1547" s="67">
        <f t="shared" si="57"/>
        <v>1239.402</v>
      </c>
      <c r="AF1547" s="67">
        <f t="shared" si="33"/>
        <v>1043.31</v>
      </c>
      <c r="AG1547" s="67">
        <f t="shared" si="58"/>
        <v>166.9296</v>
      </c>
      <c r="AH1547" s="67">
        <f t="shared" si="59"/>
        <v>1210.2396</v>
      </c>
      <c r="AI1547" s="67">
        <f t="shared" si="17"/>
        <v>1005.6</v>
      </c>
      <c r="AJ1547" s="68">
        <f t="shared" si="66"/>
        <v>160.896</v>
      </c>
      <c r="AK1547" s="68">
        <f t="shared" si="67"/>
        <v>1166.496</v>
      </c>
      <c r="AL1547" s="70"/>
      <c r="AM1547" s="70"/>
      <c r="AN1547" s="71"/>
      <c r="AO1547" s="71"/>
      <c r="AP1547" s="71"/>
      <c r="AQ1547" s="71"/>
      <c r="AR1547" s="71"/>
      <c r="AS1547" s="71"/>
      <c r="AT1547" s="71"/>
      <c r="AU1547" s="71"/>
      <c r="AV1547" s="71"/>
      <c r="AW1547" s="71"/>
      <c r="AX1547" s="71"/>
      <c r="AY1547" s="71"/>
      <c r="AZ1547" s="71"/>
      <c r="BA1547" s="71"/>
      <c r="BB1547" s="71"/>
      <c r="BC1547" s="71"/>
      <c r="BD1547" s="71"/>
      <c r="BE1547" s="71"/>
      <c r="BF1547" s="71"/>
      <c r="BG1547" s="71"/>
      <c r="BH1547" s="71"/>
      <c r="BI1547" s="71"/>
      <c r="BJ1547" s="71"/>
      <c r="BK1547" s="71"/>
      <c r="BL1547" s="71"/>
      <c r="BM1547" s="71"/>
      <c r="BN1547" s="71"/>
      <c r="BO1547" s="71"/>
      <c r="BP1547" s="71"/>
      <c r="BQ1547" s="71"/>
      <c r="BR1547" s="71"/>
      <c r="BS1547" s="71"/>
      <c r="BT1547" s="71"/>
      <c r="BU1547" s="71"/>
      <c r="BV1547" s="71"/>
    </row>
    <row r="1548">
      <c r="A1548" s="53"/>
      <c r="B1548" s="53"/>
      <c r="C1548" s="73" t="s">
        <v>12</v>
      </c>
      <c r="D1548" s="53" t="s">
        <v>3866</v>
      </c>
      <c r="E1548" s="54" t="s">
        <v>38</v>
      </c>
      <c r="F1548" s="54" t="s">
        <v>42</v>
      </c>
      <c r="G1548" s="55" t="s">
        <v>3867</v>
      </c>
      <c r="H1548" s="54" t="s">
        <v>3868</v>
      </c>
      <c r="I1548" s="54">
        <f t="shared" si="24"/>
        <v>27</v>
      </c>
      <c r="J1548" s="56"/>
      <c r="K1548" s="57"/>
      <c r="L1548" s="76"/>
      <c r="M1548" s="59"/>
      <c r="N1548" s="79">
        <v>8308.0</v>
      </c>
      <c r="O1548" s="61">
        <v>8972.0</v>
      </c>
      <c r="P1548" s="62">
        <v>9689.76</v>
      </c>
      <c r="Q1548" s="63">
        <v>9689.76</v>
      </c>
      <c r="R1548" s="64">
        <v>10175.0</v>
      </c>
      <c r="S1548" s="111">
        <v>10684.0</v>
      </c>
      <c r="T1548" s="65">
        <f t="shared" si="39"/>
        <v>1709.44</v>
      </c>
      <c r="U1548" s="65">
        <f t="shared" si="40"/>
        <v>12393.44</v>
      </c>
      <c r="V1548" s="66">
        <f t="shared" si="68"/>
        <v>0.05002457002</v>
      </c>
      <c r="W1548" s="67">
        <f t="shared" si="5"/>
        <v>10149.8</v>
      </c>
      <c r="X1548" s="67">
        <f t="shared" si="61"/>
        <v>1623.968</v>
      </c>
      <c r="Y1548" s="67">
        <f t="shared" si="62"/>
        <v>11773.768</v>
      </c>
      <c r="Z1548" s="67">
        <f t="shared" si="8"/>
        <v>9615.6</v>
      </c>
      <c r="AA1548" s="67">
        <f t="shared" si="54"/>
        <v>1538.496</v>
      </c>
      <c r="AB1548" s="67">
        <f t="shared" si="55"/>
        <v>11154.096</v>
      </c>
      <c r="AC1548" s="67">
        <f t="shared" si="11"/>
        <v>9081.4</v>
      </c>
      <c r="AD1548" s="67">
        <f t="shared" si="56"/>
        <v>1453.024</v>
      </c>
      <c r="AE1548" s="67">
        <f t="shared" si="57"/>
        <v>10534.424</v>
      </c>
      <c r="AF1548" s="67">
        <f t="shared" si="33"/>
        <v>8867.72</v>
      </c>
      <c r="AG1548" s="67">
        <f t="shared" si="58"/>
        <v>1418.8352</v>
      </c>
      <c r="AH1548" s="67">
        <f t="shared" si="59"/>
        <v>10286.5552</v>
      </c>
      <c r="AI1548" s="67">
        <f t="shared" si="17"/>
        <v>8547.2</v>
      </c>
      <c r="AJ1548" s="68">
        <f t="shared" si="66"/>
        <v>1367.552</v>
      </c>
      <c r="AK1548" s="68">
        <f t="shared" si="67"/>
        <v>9914.752</v>
      </c>
      <c r="AL1548" s="70"/>
      <c r="AM1548" s="70"/>
      <c r="AN1548" s="71"/>
      <c r="AO1548" s="71"/>
      <c r="AP1548" s="71"/>
      <c r="AQ1548" s="71"/>
      <c r="AR1548" s="71"/>
      <c r="AS1548" s="71"/>
      <c r="AT1548" s="71"/>
      <c r="AU1548" s="71"/>
      <c r="AV1548" s="71"/>
      <c r="AW1548" s="71"/>
      <c r="AX1548" s="71"/>
      <c r="AY1548" s="71"/>
      <c r="AZ1548" s="71"/>
      <c r="BA1548" s="71"/>
      <c r="BB1548" s="71"/>
      <c r="BC1548" s="71"/>
      <c r="BD1548" s="71"/>
      <c r="BE1548" s="71"/>
      <c r="BF1548" s="71"/>
      <c r="BG1548" s="71"/>
      <c r="BH1548" s="71"/>
      <c r="BI1548" s="71"/>
      <c r="BJ1548" s="71"/>
      <c r="BK1548" s="71"/>
      <c r="BL1548" s="71"/>
      <c r="BM1548" s="71"/>
      <c r="BN1548" s="71"/>
      <c r="BO1548" s="71"/>
      <c r="BP1548" s="71"/>
      <c r="BQ1548" s="71"/>
      <c r="BR1548" s="71"/>
      <c r="BS1548" s="71"/>
      <c r="BT1548" s="71"/>
      <c r="BU1548" s="71"/>
      <c r="BV1548" s="71"/>
    </row>
    <row r="1549">
      <c r="A1549" s="53">
        <v>1.0</v>
      </c>
      <c r="B1549" s="72"/>
      <c r="C1549" s="73" t="s">
        <v>12</v>
      </c>
      <c r="D1549" s="74" t="s">
        <v>3869</v>
      </c>
      <c r="E1549" s="54" t="s">
        <v>38</v>
      </c>
      <c r="F1549" s="54" t="s">
        <v>42</v>
      </c>
      <c r="G1549" s="88" t="s">
        <v>3870</v>
      </c>
      <c r="H1549" s="54" t="s">
        <v>3871</v>
      </c>
      <c r="I1549" s="54">
        <f t="shared" si="24"/>
        <v>40</v>
      </c>
      <c r="J1549" s="56"/>
      <c r="K1549" s="57"/>
      <c r="L1549" s="87"/>
      <c r="M1549" s="59"/>
      <c r="N1549" s="79">
        <v>1520.0</v>
      </c>
      <c r="O1549" s="61">
        <v>1641.0</v>
      </c>
      <c r="P1549" s="62">
        <v>1772.2800000000002</v>
      </c>
      <c r="Q1549" s="63">
        <v>1772.2800000000002</v>
      </c>
      <c r="R1549" s="64">
        <v>1973.0</v>
      </c>
      <c r="S1549" s="111">
        <v>2072.0</v>
      </c>
      <c r="T1549" s="65">
        <f t="shared" si="39"/>
        <v>331.52</v>
      </c>
      <c r="U1549" s="65">
        <f t="shared" si="40"/>
        <v>2403.52</v>
      </c>
      <c r="V1549" s="66">
        <f t="shared" si="68"/>
        <v>0.05017739483</v>
      </c>
      <c r="W1549" s="67">
        <f t="shared" si="5"/>
        <v>1968.4</v>
      </c>
      <c r="X1549" s="67">
        <f t="shared" si="61"/>
        <v>314.944</v>
      </c>
      <c r="Y1549" s="67">
        <f t="shared" si="62"/>
        <v>2283.344</v>
      </c>
      <c r="Z1549" s="67">
        <f t="shared" si="8"/>
        <v>1864.8</v>
      </c>
      <c r="AA1549" s="67">
        <f t="shared" si="54"/>
        <v>298.368</v>
      </c>
      <c r="AB1549" s="67">
        <f t="shared" si="55"/>
        <v>2163.168</v>
      </c>
      <c r="AC1549" s="67">
        <f t="shared" si="11"/>
        <v>1761.2</v>
      </c>
      <c r="AD1549" s="67">
        <f t="shared" si="56"/>
        <v>281.792</v>
      </c>
      <c r="AE1549" s="67">
        <f t="shared" si="57"/>
        <v>2042.992</v>
      </c>
      <c r="AF1549" s="67">
        <f t="shared" si="33"/>
        <v>1719.76</v>
      </c>
      <c r="AG1549" s="67">
        <f t="shared" si="58"/>
        <v>275.1616</v>
      </c>
      <c r="AH1549" s="67">
        <f t="shared" si="59"/>
        <v>1994.9216</v>
      </c>
      <c r="AI1549" s="67">
        <f t="shared" si="17"/>
        <v>1657.6</v>
      </c>
      <c r="AJ1549" s="68">
        <f t="shared" si="66"/>
        <v>265.216</v>
      </c>
      <c r="AK1549" s="68">
        <f t="shared" si="67"/>
        <v>1922.816</v>
      </c>
      <c r="AL1549" s="70"/>
      <c r="AM1549" s="70"/>
      <c r="AN1549" s="71"/>
      <c r="AO1549" s="71"/>
      <c r="AP1549" s="71"/>
      <c r="AQ1549" s="71"/>
      <c r="AR1549" s="71"/>
      <c r="AS1549" s="71"/>
      <c r="AT1549" s="71"/>
      <c r="AU1549" s="71"/>
      <c r="AV1549" s="71"/>
      <c r="AW1549" s="71"/>
      <c r="AX1549" s="71"/>
      <c r="AY1549" s="71"/>
      <c r="AZ1549" s="71"/>
      <c r="BA1549" s="71"/>
      <c r="BB1549" s="71"/>
      <c r="BC1549" s="71"/>
      <c r="BD1549" s="71"/>
      <c r="BE1549" s="71"/>
      <c r="BF1549" s="71"/>
      <c r="BG1549" s="71"/>
      <c r="BH1549" s="71"/>
      <c r="BI1549" s="71"/>
      <c r="BJ1549" s="71"/>
      <c r="BK1549" s="71"/>
      <c r="BL1549" s="71"/>
      <c r="BM1549" s="71"/>
      <c r="BN1549" s="71"/>
      <c r="BO1549" s="71"/>
      <c r="BP1549" s="71"/>
      <c r="BQ1549" s="71"/>
      <c r="BR1549" s="71"/>
      <c r="BS1549" s="71"/>
      <c r="BT1549" s="71"/>
      <c r="BU1549" s="71"/>
      <c r="BV1549" s="71"/>
    </row>
    <row r="1550">
      <c r="A1550" s="53">
        <v>1.0</v>
      </c>
      <c r="B1550" s="72"/>
      <c r="C1550" s="73" t="s">
        <v>12</v>
      </c>
      <c r="D1550" s="74" t="s">
        <v>3872</v>
      </c>
      <c r="E1550" s="54" t="s">
        <v>38</v>
      </c>
      <c r="F1550" s="54" t="s">
        <v>42</v>
      </c>
      <c r="G1550" s="55" t="s">
        <v>3873</v>
      </c>
      <c r="H1550" s="54" t="s">
        <v>3874</v>
      </c>
      <c r="I1550" s="54">
        <f t="shared" si="24"/>
        <v>40</v>
      </c>
      <c r="J1550" s="56"/>
      <c r="K1550" s="57"/>
      <c r="L1550" s="87"/>
      <c r="M1550" s="59"/>
      <c r="N1550" s="60">
        <v>1028.0</v>
      </c>
      <c r="O1550" s="61">
        <v>1110.0</v>
      </c>
      <c r="P1550" s="62">
        <v>1198.8000000000002</v>
      </c>
      <c r="Q1550" s="63">
        <v>1198.8000000000002</v>
      </c>
      <c r="R1550" s="64">
        <v>1322.0</v>
      </c>
      <c r="S1550" s="111">
        <v>1388.0</v>
      </c>
      <c r="T1550" s="65">
        <f t="shared" si="39"/>
        <v>222.08</v>
      </c>
      <c r="U1550" s="65">
        <f t="shared" si="40"/>
        <v>1610.08</v>
      </c>
      <c r="V1550" s="66">
        <f t="shared" si="68"/>
        <v>0.04992435703</v>
      </c>
      <c r="W1550" s="67">
        <f t="shared" si="5"/>
        <v>1318.6</v>
      </c>
      <c r="X1550" s="67">
        <f t="shared" si="61"/>
        <v>210.976</v>
      </c>
      <c r="Y1550" s="67">
        <f t="shared" si="62"/>
        <v>1529.576</v>
      </c>
      <c r="Z1550" s="67">
        <f t="shared" si="8"/>
        <v>1249.2</v>
      </c>
      <c r="AA1550" s="67">
        <f t="shared" si="54"/>
        <v>199.872</v>
      </c>
      <c r="AB1550" s="67">
        <f t="shared" si="55"/>
        <v>1449.072</v>
      </c>
      <c r="AC1550" s="67">
        <f t="shared" si="11"/>
        <v>1179.8</v>
      </c>
      <c r="AD1550" s="67">
        <f t="shared" si="56"/>
        <v>188.768</v>
      </c>
      <c r="AE1550" s="67">
        <f t="shared" si="57"/>
        <v>1368.568</v>
      </c>
      <c r="AF1550" s="67">
        <f t="shared" si="33"/>
        <v>1152.04</v>
      </c>
      <c r="AG1550" s="67">
        <f t="shared" si="58"/>
        <v>184.3264</v>
      </c>
      <c r="AH1550" s="67">
        <f t="shared" si="59"/>
        <v>1336.3664</v>
      </c>
      <c r="AI1550" s="67">
        <f t="shared" si="17"/>
        <v>1110.4</v>
      </c>
      <c r="AJ1550" s="68">
        <f t="shared" si="66"/>
        <v>177.664</v>
      </c>
      <c r="AK1550" s="68">
        <f t="shared" si="67"/>
        <v>1288.064</v>
      </c>
      <c r="AL1550" s="70"/>
      <c r="AM1550" s="70"/>
      <c r="AN1550" s="71"/>
      <c r="AO1550" s="71"/>
      <c r="AP1550" s="71"/>
      <c r="AQ1550" s="71"/>
      <c r="AR1550" s="71"/>
      <c r="AS1550" s="71"/>
      <c r="AT1550" s="71"/>
      <c r="AU1550" s="71"/>
      <c r="AV1550" s="71"/>
      <c r="AW1550" s="71"/>
      <c r="AX1550" s="71"/>
      <c r="AY1550" s="71"/>
      <c r="AZ1550" s="71"/>
      <c r="BA1550" s="71"/>
      <c r="BB1550" s="71"/>
      <c r="BC1550" s="71"/>
      <c r="BD1550" s="71"/>
      <c r="BE1550" s="71"/>
      <c r="BF1550" s="71"/>
      <c r="BG1550" s="71"/>
      <c r="BH1550" s="71"/>
      <c r="BI1550" s="71"/>
      <c r="BJ1550" s="71"/>
      <c r="BK1550" s="71"/>
      <c r="BL1550" s="71"/>
      <c r="BM1550" s="71"/>
      <c r="BN1550" s="71"/>
      <c r="BO1550" s="71"/>
      <c r="BP1550" s="71"/>
      <c r="BQ1550" s="71"/>
      <c r="BR1550" s="71"/>
      <c r="BS1550" s="71"/>
      <c r="BT1550" s="71"/>
      <c r="BU1550" s="71"/>
      <c r="BV1550" s="71"/>
    </row>
    <row r="1551">
      <c r="A1551" s="53">
        <v>1.0</v>
      </c>
      <c r="B1551" s="72"/>
      <c r="C1551" s="73" t="s">
        <v>12</v>
      </c>
      <c r="D1551" s="74" t="s">
        <v>3875</v>
      </c>
      <c r="E1551" s="54" t="s">
        <v>38</v>
      </c>
      <c r="F1551" s="54" t="s">
        <v>42</v>
      </c>
      <c r="G1551" s="54" t="s">
        <v>3876</v>
      </c>
      <c r="H1551" s="54" t="s">
        <v>3877</v>
      </c>
      <c r="I1551" s="54">
        <f t="shared" si="24"/>
        <v>40</v>
      </c>
      <c r="J1551" s="56"/>
      <c r="K1551" s="57"/>
      <c r="L1551" s="87"/>
      <c r="M1551" s="59"/>
      <c r="N1551" s="60">
        <v>4820.0</v>
      </c>
      <c r="O1551" s="61">
        <v>5205.0</v>
      </c>
      <c r="P1551" s="62">
        <v>5621.400000000001</v>
      </c>
      <c r="Q1551" s="63">
        <v>5621.400000000001</v>
      </c>
      <c r="R1551" s="64">
        <v>6257.0</v>
      </c>
      <c r="S1551" s="111">
        <v>6570.0</v>
      </c>
      <c r="T1551" s="65">
        <f t="shared" si="39"/>
        <v>1051.2</v>
      </c>
      <c r="U1551" s="65">
        <f t="shared" si="40"/>
        <v>7621.2</v>
      </c>
      <c r="V1551" s="66">
        <f t="shared" si="68"/>
        <v>0.05002397315</v>
      </c>
      <c r="W1551" s="67">
        <f t="shared" si="5"/>
        <v>6241.5</v>
      </c>
      <c r="X1551" s="67">
        <f t="shared" si="61"/>
        <v>998.64</v>
      </c>
      <c r="Y1551" s="67">
        <f t="shared" si="62"/>
        <v>7240.14</v>
      </c>
      <c r="Z1551" s="67">
        <f t="shared" si="8"/>
        <v>5913</v>
      </c>
      <c r="AA1551" s="67">
        <f t="shared" si="54"/>
        <v>946.08</v>
      </c>
      <c r="AB1551" s="67">
        <f t="shared" si="55"/>
        <v>6859.08</v>
      </c>
      <c r="AC1551" s="67">
        <f t="shared" si="11"/>
        <v>5584.5</v>
      </c>
      <c r="AD1551" s="67">
        <f t="shared" si="56"/>
        <v>893.52</v>
      </c>
      <c r="AE1551" s="67">
        <f t="shared" si="57"/>
        <v>6478.02</v>
      </c>
      <c r="AF1551" s="67">
        <f t="shared" si="33"/>
        <v>5453.1</v>
      </c>
      <c r="AG1551" s="67">
        <f t="shared" si="58"/>
        <v>872.496</v>
      </c>
      <c r="AH1551" s="67">
        <f t="shared" si="59"/>
        <v>6325.596</v>
      </c>
      <c r="AI1551" s="67">
        <f t="shared" si="17"/>
        <v>5256</v>
      </c>
      <c r="AJ1551" s="68">
        <f t="shared" si="66"/>
        <v>840.96</v>
      </c>
      <c r="AK1551" s="68">
        <f t="shared" si="67"/>
        <v>6096.96</v>
      </c>
      <c r="AL1551" s="70"/>
      <c r="AM1551" s="70"/>
      <c r="AN1551" s="71"/>
      <c r="AO1551" s="71"/>
      <c r="AP1551" s="71"/>
      <c r="AQ1551" s="71"/>
      <c r="AR1551" s="71"/>
      <c r="AS1551" s="71"/>
      <c r="AT1551" s="71"/>
      <c r="AU1551" s="71"/>
      <c r="AV1551" s="71"/>
      <c r="AW1551" s="71"/>
      <c r="AX1551" s="71"/>
      <c r="AY1551" s="71"/>
      <c r="AZ1551" s="71"/>
      <c r="BA1551" s="71"/>
      <c r="BB1551" s="71"/>
      <c r="BC1551" s="71"/>
      <c r="BD1551" s="71"/>
      <c r="BE1551" s="71"/>
      <c r="BF1551" s="71"/>
      <c r="BG1551" s="71"/>
      <c r="BH1551" s="71"/>
      <c r="BI1551" s="71"/>
      <c r="BJ1551" s="71"/>
      <c r="BK1551" s="71"/>
      <c r="BL1551" s="71"/>
      <c r="BM1551" s="71"/>
      <c r="BN1551" s="71"/>
      <c r="BO1551" s="71"/>
      <c r="BP1551" s="71"/>
      <c r="BQ1551" s="71"/>
      <c r="BR1551" s="71"/>
      <c r="BS1551" s="71"/>
      <c r="BT1551" s="71"/>
      <c r="BU1551" s="71"/>
      <c r="BV1551" s="71"/>
    </row>
    <row r="1552">
      <c r="A1552" s="53"/>
      <c r="B1552" s="53"/>
      <c r="C1552" s="73" t="s">
        <v>12</v>
      </c>
      <c r="D1552" s="53" t="s">
        <v>3878</v>
      </c>
      <c r="E1552" s="54" t="s">
        <v>38</v>
      </c>
      <c r="F1552" s="54" t="s">
        <v>42</v>
      </c>
      <c r="G1552" s="55" t="s">
        <v>3879</v>
      </c>
      <c r="H1552" s="55" t="s">
        <v>3880</v>
      </c>
      <c r="I1552" s="54">
        <f t="shared" si="24"/>
        <v>37</v>
      </c>
      <c r="J1552" s="56"/>
      <c r="K1552" s="57"/>
      <c r="L1552" s="87"/>
      <c r="M1552" s="59"/>
      <c r="N1552" s="60"/>
      <c r="O1552" s="61">
        <v>1915.0</v>
      </c>
      <c r="P1552" s="62">
        <v>2080.0</v>
      </c>
      <c r="Q1552" s="63">
        <v>2080.0</v>
      </c>
      <c r="R1552" s="64">
        <v>2184.0</v>
      </c>
      <c r="S1552" s="111">
        <v>2293.0</v>
      </c>
      <c r="T1552" s="65">
        <f t="shared" si="39"/>
        <v>366.88</v>
      </c>
      <c r="U1552" s="65">
        <f t="shared" si="40"/>
        <v>2659.88</v>
      </c>
      <c r="V1552" s="66">
        <f t="shared" si="68"/>
        <v>0.04990842491</v>
      </c>
      <c r="W1552" s="67">
        <f t="shared" si="5"/>
        <v>2178.35</v>
      </c>
      <c r="X1552" s="67">
        <f t="shared" si="61"/>
        <v>348.536</v>
      </c>
      <c r="Y1552" s="67">
        <f t="shared" si="62"/>
        <v>2526.886</v>
      </c>
      <c r="Z1552" s="67">
        <f t="shared" si="8"/>
        <v>2063.7</v>
      </c>
      <c r="AA1552" s="67">
        <f t="shared" si="54"/>
        <v>330.192</v>
      </c>
      <c r="AB1552" s="67">
        <f t="shared" si="55"/>
        <v>2393.892</v>
      </c>
      <c r="AC1552" s="67">
        <f t="shared" si="11"/>
        <v>1949.05</v>
      </c>
      <c r="AD1552" s="67">
        <f t="shared" si="56"/>
        <v>311.848</v>
      </c>
      <c r="AE1552" s="67">
        <f t="shared" si="57"/>
        <v>2260.898</v>
      </c>
      <c r="AF1552" s="67">
        <f t="shared" si="33"/>
        <v>1903.19</v>
      </c>
      <c r="AG1552" s="67">
        <f t="shared" si="58"/>
        <v>304.5104</v>
      </c>
      <c r="AH1552" s="67">
        <f t="shared" si="59"/>
        <v>2207.7004</v>
      </c>
      <c r="AI1552" s="67">
        <f t="shared" si="17"/>
        <v>1834.4</v>
      </c>
      <c r="AJ1552" s="68">
        <f t="shared" si="66"/>
        <v>293.504</v>
      </c>
      <c r="AK1552" s="68">
        <f t="shared" si="67"/>
        <v>2127.904</v>
      </c>
      <c r="AL1552" s="70"/>
      <c r="AM1552" s="70"/>
      <c r="AN1552" s="71"/>
      <c r="AO1552" s="71"/>
      <c r="AP1552" s="71"/>
      <c r="AQ1552" s="71"/>
      <c r="AR1552" s="71"/>
      <c r="AS1552" s="71"/>
      <c r="AT1552" s="71"/>
      <c r="AU1552" s="71"/>
      <c r="AV1552" s="71"/>
      <c r="AW1552" s="71"/>
      <c r="AX1552" s="71"/>
      <c r="AY1552" s="71"/>
      <c r="AZ1552" s="71"/>
      <c r="BA1552" s="71"/>
      <c r="BB1552" s="71"/>
      <c r="BC1552" s="71"/>
      <c r="BD1552" s="71"/>
      <c r="BE1552" s="71"/>
      <c r="BF1552" s="71"/>
      <c r="BG1552" s="71"/>
      <c r="BH1552" s="71"/>
      <c r="BI1552" s="71"/>
      <c r="BJ1552" s="71"/>
      <c r="BK1552" s="71"/>
      <c r="BL1552" s="71"/>
      <c r="BM1552" s="71"/>
      <c r="BN1552" s="71"/>
      <c r="BO1552" s="71"/>
      <c r="BP1552" s="71"/>
      <c r="BQ1552" s="71"/>
      <c r="BR1552" s="71"/>
      <c r="BS1552" s="71"/>
      <c r="BT1552" s="71"/>
      <c r="BU1552" s="71"/>
      <c r="BV1552" s="71"/>
    </row>
    <row r="1553">
      <c r="A1553" s="53"/>
      <c r="B1553" s="53"/>
      <c r="C1553" s="73" t="s">
        <v>12</v>
      </c>
      <c r="D1553" s="53" t="s">
        <v>3881</v>
      </c>
      <c r="E1553" s="54" t="s">
        <v>38</v>
      </c>
      <c r="F1553" s="54" t="s">
        <v>42</v>
      </c>
      <c r="G1553" s="55" t="s">
        <v>3882</v>
      </c>
      <c r="H1553" s="55" t="s">
        <v>3883</v>
      </c>
      <c r="I1553" s="54">
        <f t="shared" si="24"/>
        <v>37</v>
      </c>
      <c r="J1553" s="56"/>
      <c r="K1553" s="57"/>
      <c r="L1553" s="87"/>
      <c r="M1553" s="59"/>
      <c r="N1553" s="60"/>
      <c r="O1553" s="61">
        <v>1125.0</v>
      </c>
      <c r="P1553" s="62">
        <v>1215.0</v>
      </c>
      <c r="Q1553" s="63">
        <v>1215.0</v>
      </c>
      <c r="R1553" s="64">
        <v>1276.0</v>
      </c>
      <c r="S1553" s="111">
        <v>1340.0</v>
      </c>
      <c r="T1553" s="65">
        <f t="shared" si="39"/>
        <v>214.4</v>
      </c>
      <c r="U1553" s="65">
        <f t="shared" si="40"/>
        <v>1554.4</v>
      </c>
      <c r="V1553" s="66">
        <f t="shared" si="68"/>
        <v>0.05015673981</v>
      </c>
      <c r="W1553" s="67">
        <f t="shared" si="5"/>
        <v>1273</v>
      </c>
      <c r="X1553" s="67">
        <f t="shared" si="61"/>
        <v>203.68</v>
      </c>
      <c r="Y1553" s="67">
        <f t="shared" si="62"/>
        <v>1476.68</v>
      </c>
      <c r="Z1553" s="67">
        <f t="shared" si="8"/>
        <v>1206</v>
      </c>
      <c r="AA1553" s="67">
        <f t="shared" si="54"/>
        <v>192.96</v>
      </c>
      <c r="AB1553" s="67">
        <f t="shared" si="55"/>
        <v>1398.96</v>
      </c>
      <c r="AC1553" s="67">
        <f t="shared" si="11"/>
        <v>1139</v>
      </c>
      <c r="AD1553" s="67">
        <f t="shared" si="56"/>
        <v>182.24</v>
      </c>
      <c r="AE1553" s="67">
        <f t="shared" si="57"/>
        <v>1321.24</v>
      </c>
      <c r="AF1553" s="67">
        <f t="shared" si="33"/>
        <v>1112.2</v>
      </c>
      <c r="AG1553" s="67">
        <f t="shared" si="58"/>
        <v>177.952</v>
      </c>
      <c r="AH1553" s="67">
        <f t="shared" si="59"/>
        <v>1290.152</v>
      </c>
      <c r="AI1553" s="67">
        <f t="shared" si="17"/>
        <v>1072</v>
      </c>
      <c r="AJ1553" s="68">
        <f t="shared" si="66"/>
        <v>171.52</v>
      </c>
      <c r="AK1553" s="68">
        <f t="shared" si="67"/>
        <v>1243.52</v>
      </c>
      <c r="AL1553" s="70"/>
      <c r="AM1553" s="70"/>
      <c r="AN1553" s="71"/>
      <c r="AO1553" s="71"/>
      <c r="AP1553" s="71"/>
      <c r="AQ1553" s="71"/>
      <c r="AR1553" s="71"/>
      <c r="AS1553" s="71"/>
      <c r="AT1553" s="71"/>
      <c r="AU1553" s="71"/>
      <c r="AV1553" s="71"/>
      <c r="AW1553" s="71"/>
      <c r="AX1553" s="71"/>
      <c r="AY1553" s="71"/>
      <c r="AZ1553" s="71"/>
      <c r="BA1553" s="71"/>
      <c r="BB1553" s="71"/>
      <c r="BC1553" s="71"/>
      <c r="BD1553" s="71"/>
      <c r="BE1553" s="71"/>
      <c r="BF1553" s="71"/>
      <c r="BG1553" s="71"/>
      <c r="BH1553" s="71"/>
      <c r="BI1553" s="71"/>
      <c r="BJ1553" s="71"/>
      <c r="BK1553" s="71"/>
      <c r="BL1553" s="71"/>
      <c r="BM1553" s="71"/>
      <c r="BN1553" s="71"/>
      <c r="BO1553" s="71"/>
      <c r="BP1553" s="71"/>
      <c r="BQ1553" s="71"/>
      <c r="BR1553" s="71"/>
      <c r="BS1553" s="71"/>
      <c r="BT1553" s="71"/>
      <c r="BU1553" s="71"/>
      <c r="BV1553" s="71"/>
    </row>
    <row r="1554">
      <c r="A1554" s="53"/>
      <c r="B1554" s="53"/>
      <c r="C1554" s="73" t="s">
        <v>12</v>
      </c>
      <c r="D1554" s="53" t="s">
        <v>3884</v>
      </c>
      <c r="E1554" s="54" t="s">
        <v>38</v>
      </c>
      <c r="F1554" s="54" t="s">
        <v>42</v>
      </c>
      <c r="G1554" s="55" t="s">
        <v>3885</v>
      </c>
      <c r="H1554" s="54" t="s">
        <v>3886</v>
      </c>
      <c r="I1554" s="54">
        <f t="shared" si="24"/>
        <v>31</v>
      </c>
      <c r="J1554" s="56"/>
      <c r="K1554" s="57"/>
      <c r="L1554" s="76"/>
      <c r="M1554" s="59"/>
      <c r="N1554" s="60">
        <v>12693.45</v>
      </c>
      <c r="O1554" s="61">
        <v>13708.0</v>
      </c>
      <c r="P1554" s="62">
        <v>14804.640000000001</v>
      </c>
      <c r="Q1554" s="63">
        <v>14804.640000000001</v>
      </c>
      <c r="R1554" s="64">
        <v>15546.0</v>
      </c>
      <c r="S1554" s="111">
        <v>16323.0</v>
      </c>
      <c r="T1554" s="65">
        <f t="shared" si="39"/>
        <v>2611.68</v>
      </c>
      <c r="U1554" s="65">
        <f t="shared" si="40"/>
        <v>18934.68</v>
      </c>
      <c r="V1554" s="66">
        <f t="shared" si="68"/>
        <v>0.04998070243</v>
      </c>
      <c r="W1554" s="67">
        <f t="shared" si="5"/>
        <v>15506.85</v>
      </c>
      <c r="X1554" s="67">
        <f t="shared" si="61"/>
        <v>2481.096</v>
      </c>
      <c r="Y1554" s="67">
        <f t="shared" si="62"/>
        <v>17987.946</v>
      </c>
      <c r="Z1554" s="67">
        <f t="shared" si="8"/>
        <v>14690.7</v>
      </c>
      <c r="AA1554" s="67">
        <f t="shared" si="54"/>
        <v>2350.512</v>
      </c>
      <c r="AB1554" s="67">
        <f t="shared" si="55"/>
        <v>17041.212</v>
      </c>
      <c r="AC1554" s="67">
        <f t="shared" si="11"/>
        <v>13874.55</v>
      </c>
      <c r="AD1554" s="67">
        <f t="shared" si="56"/>
        <v>2219.928</v>
      </c>
      <c r="AE1554" s="67">
        <f t="shared" si="57"/>
        <v>16094.478</v>
      </c>
      <c r="AF1554" s="67">
        <f t="shared" si="33"/>
        <v>13548.09</v>
      </c>
      <c r="AG1554" s="67">
        <f t="shared" si="58"/>
        <v>2167.6944</v>
      </c>
      <c r="AH1554" s="67">
        <f t="shared" si="59"/>
        <v>15715.7844</v>
      </c>
      <c r="AI1554" s="67">
        <f t="shared" si="17"/>
        <v>13058.4</v>
      </c>
      <c r="AJ1554" s="68">
        <f t="shared" si="66"/>
        <v>2089.344</v>
      </c>
      <c r="AK1554" s="68">
        <f t="shared" si="67"/>
        <v>15147.744</v>
      </c>
      <c r="AL1554" s="70"/>
      <c r="AM1554" s="70"/>
      <c r="AN1554" s="71"/>
      <c r="AO1554" s="71"/>
      <c r="AP1554" s="71"/>
      <c r="AQ1554" s="71"/>
      <c r="AR1554" s="71"/>
      <c r="AS1554" s="71"/>
      <c r="AT1554" s="71"/>
      <c r="AU1554" s="71"/>
      <c r="AV1554" s="71"/>
      <c r="AW1554" s="71"/>
      <c r="AX1554" s="71"/>
      <c r="AY1554" s="71"/>
      <c r="AZ1554" s="71"/>
      <c r="BA1554" s="71"/>
      <c r="BB1554" s="71"/>
      <c r="BC1554" s="71"/>
      <c r="BD1554" s="71"/>
      <c r="BE1554" s="71"/>
      <c r="BF1554" s="71"/>
      <c r="BG1554" s="71"/>
      <c r="BH1554" s="71"/>
      <c r="BI1554" s="71"/>
      <c r="BJ1554" s="71"/>
      <c r="BK1554" s="71"/>
      <c r="BL1554" s="71"/>
      <c r="BM1554" s="71"/>
      <c r="BN1554" s="71"/>
      <c r="BO1554" s="71"/>
      <c r="BP1554" s="71"/>
      <c r="BQ1554" s="71"/>
      <c r="BR1554" s="71"/>
      <c r="BS1554" s="71"/>
      <c r="BT1554" s="71"/>
      <c r="BU1554" s="71"/>
      <c r="BV1554" s="71"/>
    </row>
    <row r="1555">
      <c r="A1555" s="53"/>
      <c r="B1555" s="53"/>
      <c r="C1555" s="73" t="s">
        <v>12</v>
      </c>
      <c r="D1555" s="53" t="s">
        <v>3887</v>
      </c>
      <c r="E1555" s="54" t="s">
        <v>38</v>
      </c>
      <c r="F1555" s="54" t="s">
        <v>42</v>
      </c>
      <c r="G1555" s="55" t="s">
        <v>3888</v>
      </c>
      <c r="H1555" s="54" t="s">
        <v>3889</v>
      </c>
      <c r="I1555" s="54">
        <f t="shared" si="24"/>
        <v>38</v>
      </c>
      <c r="J1555" s="56"/>
      <c r="K1555" s="57"/>
      <c r="L1555" s="76"/>
      <c r="M1555" s="59"/>
      <c r="N1555" s="79">
        <v>5242.0</v>
      </c>
      <c r="O1555" s="61">
        <v>5661.0</v>
      </c>
      <c r="P1555" s="62">
        <v>6113.88</v>
      </c>
      <c r="Q1555" s="63">
        <v>6113.88</v>
      </c>
      <c r="R1555" s="64">
        <v>6420.0</v>
      </c>
      <c r="S1555" s="111">
        <v>6741.0</v>
      </c>
      <c r="T1555" s="65">
        <f t="shared" si="39"/>
        <v>1078.56</v>
      </c>
      <c r="U1555" s="65">
        <f t="shared" si="40"/>
        <v>7819.56</v>
      </c>
      <c r="V1555" s="66">
        <f t="shared" si="68"/>
        <v>0.05</v>
      </c>
      <c r="W1555" s="67">
        <f t="shared" si="5"/>
        <v>6403.95</v>
      </c>
      <c r="X1555" s="67">
        <f t="shared" si="61"/>
        <v>1024.632</v>
      </c>
      <c r="Y1555" s="67">
        <f t="shared" si="62"/>
        <v>7428.582</v>
      </c>
      <c r="Z1555" s="67">
        <f t="shared" si="8"/>
        <v>6066.9</v>
      </c>
      <c r="AA1555" s="67">
        <f t="shared" si="54"/>
        <v>970.704</v>
      </c>
      <c r="AB1555" s="67">
        <f t="shared" si="55"/>
        <v>7037.604</v>
      </c>
      <c r="AC1555" s="67">
        <f t="shared" si="11"/>
        <v>5729.85</v>
      </c>
      <c r="AD1555" s="67">
        <f t="shared" si="56"/>
        <v>916.776</v>
      </c>
      <c r="AE1555" s="67">
        <f t="shared" si="57"/>
        <v>6646.626</v>
      </c>
      <c r="AF1555" s="67">
        <f t="shared" si="33"/>
        <v>5595.03</v>
      </c>
      <c r="AG1555" s="67">
        <f t="shared" si="58"/>
        <v>895.2048</v>
      </c>
      <c r="AH1555" s="67">
        <f t="shared" si="59"/>
        <v>6490.2348</v>
      </c>
      <c r="AI1555" s="67">
        <f t="shared" si="17"/>
        <v>5392.8</v>
      </c>
      <c r="AJ1555" s="68">
        <f t="shared" si="66"/>
        <v>862.848</v>
      </c>
      <c r="AK1555" s="68">
        <f t="shared" si="67"/>
        <v>6255.648</v>
      </c>
      <c r="AL1555" s="70"/>
      <c r="AM1555" s="70"/>
      <c r="AN1555" s="71"/>
      <c r="AO1555" s="71"/>
      <c r="AP1555" s="71"/>
      <c r="AQ1555" s="71"/>
      <c r="AR1555" s="71"/>
      <c r="AS1555" s="71"/>
      <c r="AT1555" s="71"/>
      <c r="AU1555" s="71"/>
      <c r="AV1555" s="71"/>
      <c r="AW1555" s="71"/>
      <c r="AX1555" s="71"/>
      <c r="AY1555" s="71"/>
      <c r="AZ1555" s="71"/>
      <c r="BA1555" s="71"/>
      <c r="BB1555" s="71"/>
      <c r="BC1555" s="71"/>
      <c r="BD1555" s="71"/>
      <c r="BE1555" s="71"/>
      <c r="BF1555" s="71"/>
      <c r="BG1555" s="71"/>
      <c r="BH1555" s="71"/>
      <c r="BI1555" s="71"/>
      <c r="BJ1555" s="71"/>
      <c r="BK1555" s="71"/>
      <c r="BL1555" s="71"/>
      <c r="BM1555" s="71"/>
      <c r="BN1555" s="71"/>
      <c r="BO1555" s="71"/>
      <c r="BP1555" s="71"/>
      <c r="BQ1555" s="71"/>
      <c r="BR1555" s="71"/>
      <c r="BS1555" s="71"/>
      <c r="BT1555" s="71"/>
      <c r="BU1555" s="71"/>
      <c r="BV1555" s="71"/>
    </row>
    <row r="1556">
      <c r="A1556" s="53"/>
      <c r="B1556" s="72"/>
      <c r="C1556" s="73" t="s">
        <v>12</v>
      </c>
      <c r="D1556" s="53" t="s">
        <v>3890</v>
      </c>
      <c r="E1556" s="54" t="s">
        <v>38</v>
      </c>
      <c r="F1556" s="54" t="s">
        <v>42</v>
      </c>
      <c r="G1556" s="54" t="s">
        <v>3891</v>
      </c>
      <c r="H1556" s="54" t="s">
        <v>3892</v>
      </c>
      <c r="I1556" s="54">
        <f t="shared" si="24"/>
        <v>32</v>
      </c>
      <c r="J1556" s="56"/>
      <c r="K1556" s="57"/>
      <c r="L1556" s="76"/>
      <c r="M1556" s="59"/>
      <c r="N1556" s="60"/>
      <c r="O1556" s="61">
        <v>4680.0</v>
      </c>
      <c r="P1556" s="62">
        <v>5054.400000000001</v>
      </c>
      <c r="Q1556" s="63">
        <v>5054.400000000001</v>
      </c>
      <c r="R1556" s="64">
        <v>5307.0</v>
      </c>
      <c r="S1556" s="111">
        <v>5572.0</v>
      </c>
      <c r="T1556" s="65">
        <f t="shared" si="39"/>
        <v>891.52</v>
      </c>
      <c r="U1556" s="65">
        <f t="shared" si="40"/>
        <v>6463.52</v>
      </c>
      <c r="V1556" s="66">
        <f t="shared" si="68"/>
        <v>0.04993404937</v>
      </c>
      <c r="W1556" s="67">
        <f t="shared" si="5"/>
        <v>5293.4</v>
      </c>
      <c r="X1556" s="67">
        <f t="shared" si="61"/>
        <v>846.944</v>
      </c>
      <c r="Y1556" s="67">
        <f t="shared" si="62"/>
        <v>6140.344</v>
      </c>
      <c r="Z1556" s="67">
        <f t="shared" si="8"/>
        <v>5014.8</v>
      </c>
      <c r="AA1556" s="67">
        <f t="shared" si="54"/>
        <v>802.368</v>
      </c>
      <c r="AB1556" s="67">
        <f t="shared" si="55"/>
        <v>5817.168</v>
      </c>
      <c r="AC1556" s="67">
        <f t="shared" si="11"/>
        <v>4736.2</v>
      </c>
      <c r="AD1556" s="67">
        <f t="shared" si="56"/>
        <v>757.792</v>
      </c>
      <c r="AE1556" s="67">
        <f t="shared" si="57"/>
        <v>5493.992</v>
      </c>
      <c r="AF1556" s="67">
        <f t="shared" si="33"/>
        <v>4624.76</v>
      </c>
      <c r="AG1556" s="67">
        <f t="shared" si="58"/>
        <v>739.9616</v>
      </c>
      <c r="AH1556" s="67">
        <f t="shared" si="59"/>
        <v>5364.7216</v>
      </c>
      <c r="AI1556" s="67">
        <f t="shared" si="17"/>
        <v>4457.6</v>
      </c>
      <c r="AJ1556" s="68">
        <f t="shared" si="66"/>
        <v>713.216</v>
      </c>
      <c r="AK1556" s="68">
        <f t="shared" si="67"/>
        <v>5170.816</v>
      </c>
      <c r="AL1556" s="70"/>
      <c r="AM1556" s="70"/>
      <c r="AN1556" s="71"/>
      <c r="AO1556" s="71"/>
      <c r="AP1556" s="71"/>
      <c r="AQ1556" s="71"/>
      <c r="AR1556" s="71"/>
      <c r="AS1556" s="71"/>
      <c r="AT1556" s="71"/>
      <c r="AU1556" s="71"/>
      <c r="AV1556" s="71"/>
      <c r="AW1556" s="71"/>
      <c r="AX1556" s="71"/>
      <c r="AY1556" s="71"/>
      <c r="AZ1556" s="71"/>
      <c r="BA1556" s="71"/>
      <c r="BB1556" s="71"/>
      <c r="BC1556" s="71"/>
      <c r="BD1556" s="71"/>
      <c r="BE1556" s="71"/>
      <c r="BF1556" s="71"/>
      <c r="BG1556" s="71"/>
      <c r="BH1556" s="71"/>
      <c r="BI1556" s="71"/>
      <c r="BJ1556" s="71"/>
      <c r="BK1556" s="71"/>
      <c r="BL1556" s="71"/>
      <c r="BM1556" s="71"/>
      <c r="BN1556" s="71"/>
      <c r="BO1556" s="71"/>
      <c r="BP1556" s="71"/>
      <c r="BQ1556" s="71"/>
      <c r="BR1556" s="71"/>
      <c r="BS1556" s="71"/>
      <c r="BT1556" s="71"/>
      <c r="BU1556" s="71"/>
      <c r="BV1556" s="71"/>
    </row>
    <row r="1557">
      <c r="A1557" s="53"/>
      <c r="B1557" s="72"/>
      <c r="C1557" s="73" t="s">
        <v>12</v>
      </c>
      <c r="D1557" s="53" t="s">
        <v>3893</v>
      </c>
      <c r="E1557" s="54" t="s">
        <v>38</v>
      </c>
      <c r="F1557" s="54" t="s">
        <v>42</v>
      </c>
      <c r="G1557" s="54" t="s">
        <v>3894</v>
      </c>
      <c r="H1557" s="54" t="s">
        <v>3895</v>
      </c>
      <c r="I1557" s="54">
        <f t="shared" si="24"/>
        <v>40</v>
      </c>
      <c r="J1557" s="56"/>
      <c r="K1557" s="57"/>
      <c r="L1557" s="76"/>
      <c r="M1557" s="59"/>
      <c r="N1557" s="60"/>
      <c r="O1557" s="61">
        <v>606.0</v>
      </c>
      <c r="P1557" s="62">
        <v>654.48</v>
      </c>
      <c r="Q1557" s="63">
        <v>654.48</v>
      </c>
      <c r="R1557" s="64">
        <v>687.0</v>
      </c>
      <c r="S1557" s="111">
        <v>721.0</v>
      </c>
      <c r="T1557" s="65">
        <f t="shared" si="39"/>
        <v>115.36</v>
      </c>
      <c r="U1557" s="65">
        <f t="shared" si="40"/>
        <v>836.36</v>
      </c>
      <c r="V1557" s="66">
        <f t="shared" si="68"/>
        <v>0.04949053857</v>
      </c>
      <c r="W1557" s="67">
        <f t="shared" si="5"/>
        <v>684.95</v>
      </c>
      <c r="X1557" s="67">
        <f t="shared" si="61"/>
        <v>109.592</v>
      </c>
      <c r="Y1557" s="67">
        <f t="shared" si="62"/>
        <v>794.542</v>
      </c>
      <c r="Z1557" s="67">
        <f t="shared" si="8"/>
        <v>648.9</v>
      </c>
      <c r="AA1557" s="67">
        <f t="shared" si="54"/>
        <v>103.824</v>
      </c>
      <c r="AB1557" s="67">
        <f t="shared" si="55"/>
        <v>752.724</v>
      </c>
      <c r="AC1557" s="67">
        <f t="shared" si="11"/>
        <v>612.85</v>
      </c>
      <c r="AD1557" s="67">
        <f t="shared" si="56"/>
        <v>98.056</v>
      </c>
      <c r="AE1557" s="67">
        <f t="shared" si="57"/>
        <v>710.906</v>
      </c>
      <c r="AF1557" s="67">
        <f t="shared" si="33"/>
        <v>598.43</v>
      </c>
      <c r="AG1557" s="67">
        <f t="shared" si="58"/>
        <v>95.7488</v>
      </c>
      <c r="AH1557" s="67">
        <f t="shared" si="59"/>
        <v>694.1788</v>
      </c>
      <c r="AI1557" s="67">
        <f t="shared" si="17"/>
        <v>576.8</v>
      </c>
      <c r="AJ1557" s="68">
        <f t="shared" si="66"/>
        <v>92.288</v>
      </c>
      <c r="AK1557" s="68">
        <f t="shared" si="67"/>
        <v>669.088</v>
      </c>
      <c r="AL1557" s="70"/>
      <c r="AM1557" s="70"/>
      <c r="AN1557" s="71"/>
      <c r="AO1557" s="71"/>
      <c r="AP1557" s="71"/>
      <c r="AQ1557" s="71"/>
      <c r="AR1557" s="71"/>
      <c r="AS1557" s="71"/>
      <c r="AT1557" s="71"/>
      <c r="AU1557" s="71"/>
      <c r="AV1557" s="71"/>
      <c r="AW1557" s="71"/>
      <c r="AX1557" s="71"/>
      <c r="AY1557" s="71"/>
      <c r="AZ1557" s="71"/>
      <c r="BA1557" s="71"/>
      <c r="BB1557" s="71"/>
      <c r="BC1557" s="71"/>
      <c r="BD1557" s="71"/>
      <c r="BE1557" s="71"/>
      <c r="BF1557" s="71"/>
      <c r="BG1557" s="71"/>
      <c r="BH1557" s="71"/>
      <c r="BI1557" s="71"/>
      <c r="BJ1557" s="71"/>
      <c r="BK1557" s="71"/>
      <c r="BL1557" s="71"/>
      <c r="BM1557" s="71"/>
      <c r="BN1557" s="71"/>
      <c r="BO1557" s="71"/>
      <c r="BP1557" s="71"/>
      <c r="BQ1557" s="71"/>
      <c r="BR1557" s="71"/>
      <c r="BS1557" s="71"/>
      <c r="BT1557" s="71"/>
      <c r="BU1557" s="71"/>
      <c r="BV1557" s="71"/>
    </row>
    <row r="1558">
      <c r="A1558" s="53">
        <v>1.0</v>
      </c>
      <c r="B1558" s="72"/>
      <c r="C1558" s="73" t="s">
        <v>12</v>
      </c>
      <c r="D1558" s="74" t="s">
        <v>3896</v>
      </c>
      <c r="E1558" s="54" t="s">
        <v>38</v>
      </c>
      <c r="F1558" s="54" t="s">
        <v>42</v>
      </c>
      <c r="G1558" s="88" t="s">
        <v>3897</v>
      </c>
      <c r="H1558" s="54" t="s">
        <v>3898</v>
      </c>
      <c r="I1558" s="54">
        <f t="shared" si="24"/>
        <v>40</v>
      </c>
      <c r="J1558" s="56"/>
      <c r="K1558" s="57"/>
      <c r="L1558" s="87"/>
      <c r="M1558" s="59"/>
      <c r="N1558" s="60">
        <v>217.0</v>
      </c>
      <c r="O1558" s="61">
        <v>234.0</v>
      </c>
      <c r="P1558" s="62">
        <v>252.72000000000003</v>
      </c>
      <c r="Q1558" s="63">
        <v>252.72000000000003</v>
      </c>
      <c r="R1558" s="64">
        <v>282.0</v>
      </c>
      <c r="S1558" s="111">
        <v>296.0</v>
      </c>
      <c r="T1558" s="65">
        <f t="shared" si="39"/>
        <v>47.36</v>
      </c>
      <c r="U1558" s="65">
        <f t="shared" si="40"/>
        <v>343.36</v>
      </c>
      <c r="V1558" s="66">
        <f t="shared" si="68"/>
        <v>0.04964539007</v>
      </c>
      <c r="W1558" s="67">
        <f t="shared" si="5"/>
        <v>281.2</v>
      </c>
      <c r="X1558" s="67">
        <f t="shared" si="61"/>
        <v>44.992</v>
      </c>
      <c r="Y1558" s="67">
        <f t="shared" si="62"/>
        <v>326.192</v>
      </c>
      <c r="Z1558" s="67">
        <f t="shared" si="8"/>
        <v>266.4</v>
      </c>
      <c r="AA1558" s="67">
        <f t="shared" si="54"/>
        <v>42.624</v>
      </c>
      <c r="AB1558" s="67">
        <f t="shared" si="55"/>
        <v>309.024</v>
      </c>
      <c r="AC1558" s="67">
        <f t="shared" si="11"/>
        <v>251.6</v>
      </c>
      <c r="AD1558" s="67">
        <f t="shared" si="56"/>
        <v>40.256</v>
      </c>
      <c r="AE1558" s="67">
        <f t="shared" si="57"/>
        <v>291.856</v>
      </c>
      <c r="AF1558" s="67">
        <f t="shared" si="33"/>
        <v>245.68</v>
      </c>
      <c r="AG1558" s="67">
        <f t="shared" si="58"/>
        <v>39.3088</v>
      </c>
      <c r="AH1558" s="67">
        <f t="shared" si="59"/>
        <v>284.9888</v>
      </c>
      <c r="AI1558" s="67">
        <f t="shared" si="17"/>
        <v>236.8</v>
      </c>
      <c r="AJ1558" s="68">
        <f t="shared" si="66"/>
        <v>37.888</v>
      </c>
      <c r="AK1558" s="68">
        <f t="shared" si="67"/>
        <v>274.688</v>
      </c>
      <c r="AL1558" s="70"/>
      <c r="AM1558" s="70"/>
      <c r="AN1558" s="71"/>
      <c r="AO1558" s="71"/>
      <c r="AP1558" s="71"/>
      <c r="AQ1558" s="71"/>
      <c r="AR1558" s="71"/>
      <c r="AS1558" s="71"/>
      <c r="AT1558" s="71"/>
      <c r="AU1558" s="71"/>
      <c r="AV1558" s="71"/>
      <c r="AW1558" s="71"/>
      <c r="AX1558" s="71"/>
      <c r="AY1558" s="71"/>
      <c r="AZ1558" s="71"/>
      <c r="BA1558" s="71"/>
      <c r="BB1558" s="71"/>
      <c r="BC1558" s="71"/>
      <c r="BD1558" s="71"/>
      <c r="BE1558" s="71"/>
      <c r="BF1558" s="71"/>
      <c r="BG1558" s="71"/>
      <c r="BH1558" s="71"/>
      <c r="BI1558" s="71"/>
      <c r="BJ1558" s="71"/>
      <c r="BK1558" s="71"/>
      <c r="BL1558" s="71"/>
      <c r="BM1558" s="71"/>
      <c r="BN1558" s="71"/>
      <c r="BO1558" s="71"/>
      <c r="BP1558" s="71"/>
      <c r="BQ1558" s="71"/>
      <c r="BR1558" s="71"/>
      <c r="BS1558" s="71"/>
      <c r="BT1558" s="71"/>
      <c r="BU1558" s="71"/>
      <c r="BV1558" s="71"/>
    </row>
    <row r="1559">
      <c r="A1559" s="53"/>
      <c r="B1559" s="72"/>
      <c r="C1559" s="73" t="s">
        <v>12</v>
      </c>
      <c r="D1559" s="53" t="s">
        <v>3899</v>
      </c>
      <c r="E1559" s="54" t="s">
        <v>38</v>
      </c>
      <c r="F1559" s="54" t="s">
        <v>42</v>
      </c>
      <c r="G1559" s="54" t="s">
        <v>3900</v>
      </c>
      <c r="H1559" s="54" t="s">
        <v>3901</v>
      </c>
      <c r="I1559" s="54">
        <f t="shared" si="24"/>
        <v>39</v>
      </c>
      <c r="J1559" s="56"/>
      <c r="K1559" s="57"/>
      <c r="L1559" s="76"/>
      <c r="M1559" s="59"/>
      <c r="N1559" s="60"/>
      <c r="O1559" s="61">
        <v>3812.0</v>
      </c>
      <c r="P1559" s="62">
        <v>4116.96</v>
      </c>
      <c r="Q1559" s="63">
        <v>4116.96</v>
      </c>
      <c r="R1559" s="64">
        <v>4323.0</v>
      </c>
      <c r="S1559" s="111">
        <v>4539.0</v>
      </c>
      <c r="T1559" s="65">
        <f t="shared" si="39"/>
        <v>726.24</v>
      </c>
      <c r="U1559" s="65">
        <f t="shared" si="40"/>
        <v>5265.24</v>
      </c>
      <c r="V1559" s="66">
        <f t="shared" si="68"/>
        <v>0.04996530187</v>
      </c>
      <c r="W1559" s="67">
        <f t="shared" si="5"/>
        <v>4312.05</v>
      </c>
      <c r="X1559" s="67">
        <f t="shared" si="61"/>
        <v>689.928</v>
      </c>
      <c r="Y1559" s="67">
        <f t="shared" si="62"/>
        <v>5001.978</v>
      </c>
      <c r="Z1559" s="67">
        <f t="shared" si="8"/>
        <v>4085.1</v>
      </c>
      <c r="AA1559" s="67">
        <f t="shared" si="54"/>
        <v>653.616</v>
      </c>
      <c r="AB1559" s="67">
        <f t="shared" si="55"/>
        <v>4738.716</v>
      </c>
      <c r="AC1559" s="67">
        <f t="shared" si="11"/>
        <v>3858.15</v>
      </c>
      <c r="AD1559" s="67">
        <f t="shared" si="56"/>
        <v>617.304</v>
      </c>
      <c r="AE1559" s="67">
        <f t="shared" si="57"/>
        <v>4475.454</v>
      </c>
      <c r="AF1559" s="67">
        <f t="shared" si="33"/>
        <v>3767.37</v>
      </c>
      <c r="AG1559" s="67">
        <f t="shared" si="58"/>
        <v>602.7792</v>
      </c>
      <c r="AH1559" s="67">
        <f t="shared" si="59"/>
        <v>4370.1492</v>
      </c>
      <c r="AI1559" s="67">
        <f t="shared" si="17"/>
        <v>3631.2</v>
      </c>
      <c r="AJ1559" s="68">
        <f t="shared" si="66"/>
        <v>580.992</v>
      </c>
      <c r="AK1559" s="68">
        <f t="shared" si="67"/>
        <v>4212.192</v>
      </c>
      <c r="AL1559" s="70"/>
      <c r="AM1559" s="70"/>
      <c r="AN1559" s="71"/>
      <c r="AO1559" s="71"/>
      <c r="AP1559" s="71"/>
      <c r="AQ1559" s="71"/>
      <c r="AR1559" s="71"/>
      <c r="AS1559" s="71"/>
      <c r="AT1559" s="71"/>
      <c r="AU1559" s="71"/>
      <c r="AV1559" s="71"/>
      <c r="AW1559" s="71"/>
      <c r="AX1559" s="71"/>
      <c r="AY1559" s="71"/>
      <c r="AZ1559" s="71"/>
      <c r="BA1559" s="71"/>
      <c r="BB1559" s="71"/>
      <c r="BC1559" s="71"/>
      <c r="BD1559" s="71"/>
      <c r="BE1559" s="71"/>
      <c r="BF1559" s="71"/>
      <c r="BG1559" s="71"/>
      <c r="BH1559" s="71"/>
      <c r="BI1559" s="71"/>
      <c r="BJ1559" s="71"/>
      <c r="BK1559" s="71"/>
      <c r="BL1559" s="71"/>
      <c r="BM1559" s="71"/>
      <c r="BN1559" s="71"/>
      <c r="BO1559" s="71"/>
      <c r="BP1559" s="71"/>
      <c r="BQ1559" s="71"/>
      <c r="BR1559" s="71"/>
      <c r="BS1559" s="71"/>
      <c r="BT1559" s="71"/>
      <c r="BU1559" s="71"/>
      <c r="BV1559" s="71"/>
    </row>
    <row r="1560">
      <c r="A1560" s="53">
        <v>1.0</v>
      </c>
      <c r="B1560" s="72"/>
      <c r="C1560" s="73" t="s">
        <v>12</v>
      </c>
      <c r="D1560" s="74" t="s">
        <v>3902</v>
      </c>
      <c r="E1560" s="54" t="s">
        <v>38</v>
      </c>
      <c r="F1560" s="54" t="s">
        <v>42</v>
      </c>
      <c r="G1560" s="88" t="s">
        <v>3903</v>
      </c>
      <c r="H1560" s="54" t="s">
        <v>3904</v>
      </c>
      <c r="I1560" s="54">
        <f t="shared" si="24"/>
        <v>39</v>
      </c>
      <c r="J1560" s="56"/>
      <c r="K1560" s="57"/>
      <c r="L1560" s="87"/>
      <c r="M1560" s="59"/>
      <c r="N1560" s="60">
        <v>119.0</v>
      </c>
      <c r="O1560" s="61">
        <v>128.0</v>
      </c>
      <c r="P1560" s="62">
        <v>138.24</v>
      </c>
      <c r="Q1560" s="63">
        <v>138.24</v>
      </c>
      <c r="R1560" s="64">
        <v>155.0</v>
      </c>
      <c r="S1560" s="111">
        <v>163.0</v>
      </c>
      <c r="T1560" s="65">
        <f t="shared" si="39"/>
        <v>26.08</v>
      </c>
      <c r="U1560" s="65">
        <f t="shared" si="40"/>
        <v>189.08</v>
      </c>
      <c r="V1560" s="66">
        <f t="shared" si="68"/>
        <v>0.05161290323</v>
      </c>
      <c r="W1560" s="67">
        <f t="shared" si="5"/>
        <v>154.85</v>
      </c>
      <c r="X1560" s="67">
        <f t="shared" si="61"/>
        <v>24.776</v>
      </c>
      <c r="Y1560" s="67">
        <f t="shared" si="62"/>
        <v>179.626</v>
      </c>
      <c r="Z1560" s="67">
        <f t="shared" si="8"/>
        <v>146.7</v>
      </c>
      <c r="AA1560" s="67">
        <f t="shared" si="54"/>
        <v>23.472</v>
      </c>
      <c r="AB1560" s="67">
        <f t="shared" si="55"/>
        <v>170.172</v>
      </c>
      <c r="AC1560" s="67">
        <f t="shared" si="11"/>
        <v>138.55</v>
      </c>
      <c r="AD1560" s="67">
        <f t="shared" si="56"/>
        <v>22.168</v>
      </c>
      <c r="AE1560" s="67">
        <f t="shared" si="57"/>
        <v>160.718</v>
      </c>
      <c r="AF1560" s="67">
        <f t="shared" si="33"/>
        <v>135.29</v>
      </c>
      <c r="AG1560" s="67">
        <f t="shared" si="58"/>
        <v>21.6464</v>
      </c>
      <c r="AH1560" s="67">
        <f t="shared" si="59"/>
        <v>156.9364</v>
      </c>
      <c r="AI1560" s="67">
        <f t="shared" si="17"/>
        <v>130.4</v>
      </c>
      <c r="AJ1560" s="68">
        <f t="shared" si="66"/>
        <v>20.864</v>
      </c>
      <c r="AK1560" s="68">
        <f t="shared" si="67"/>
        <v>151.264</v>
      </c>
      <c r="AL1560" s="70"/>
      <c r="AM1560" s="70"/>
      <c r="AN1560" s="71"/>
      <c r="AO1560" s="71"/>
      <c r="AP1560" s="71"/>
      <c r="AQ1560" s="71"/>
      <c r="AR1560" s="71"/>
      <c r="AS1560" s="71"/>
      <c r="AT1560" s="71"/>
      <c r="AU1560" s="71"/>
      <c r="AV1560" s="71"/>
      <c r="AW1560" s="71"/>
      <c r="AX1560" s="71"/>
      <c r="AY1560" s="71"/>
      <c r="AZ1560" s="71"/>
      <c r="BA1560" s="71"/>
      <c r="BB1560" s="71"/>
      <c r="BC1560" s="71"/>
      <c r="BD1560" s="71"/>
      <c r="BE1560" s="71"/>
      <c r="BF1560" s="71"/>
      <c r="BG1560" s="71"/>
      <c r="BH1560" s="71"/>
      <c r="BI1560" s="71"/>
      <c r="BJ1560" s="71"/>
      <c r="BK1560" s="71"/>
      <c r="BL1560" s="71"/>
      <c r="BM1560" s="71"/>
      <c r="BN1560" s="71"/>
      <c r="BO1560" s="71"/>
      <c r="BP1560" s="71"/>
      <c r="BQ1560" s="71"/>
      <c r="BR1560" s="71"/>
      <c r="BS1560" s="71"/>
      <c r="BT1560" s="71"/>
      <c r="BU1560" s="71"/>
      <c r="BV1560" s="71"/>
    </row>
    <row r="1561">
      <c r="A1561" s="53"/>
      <c r="B1561" s="53"/>
      <c r="C1561" s="73" t="s">
        <v>12</v>
      </c>
      <c r="D1561" s="53" t="s">
        <v>3905</v>
      </c>
      <c r="E1561" s="54" t="s">
        <v>38</v>
      </c>
      <c r="F1561" s="54" t="s">
        <v>42</v>
      </c>
      <c r="G1561" s="55" t="s">
        <v>3906</v>
      </c>
      <c r="H1561" s="54" t="s">
        <v>3907</v>
      </c>
      <c r="I1561" s="54">
        <f t="shared" si="24"/>
        <v>40</v>
      </c>
      <c r="J1561" s="56"/>
      <c r="K1561" s="57"/>
      <c r="L1561" s="76"/>
      <c r="M1561" s="59"/>
      <c r="N1561" s="79"/>
      <c r="O1561" s="61">
        <v>320.0</v>
      </c>
      <c r="P1561" s="62">
        <v>345.6</v>
      </c>
      <c r="Q1561" s="63">
        <v>345.6</v>
      </c>
      <c r="R1561" s="64">
        <v>364.0</v>
      </c>
      <c r="S1561" s="111">
        <v>382.0</v>
      </c>
      <c r="T1561" s="65">
        <f t="shared" si="39"/>
        <v>61.12</v>
      </c>
      <c r="U1561" s="65">
        <f t="shared" si="40"/>
        <v>443.12</v>
      </c>
      <c r="V1561" s="66">
        <f t="shared" si="68"/>
        <v>0.04945054945</v>
      </c>
      <c r="W1561" s="67">
        <f t="shared" si="5"/>
        <v>362.9</v>
      </c>
      <c r="X1561" s="67">
        <f t="shared" si="61"/>
        <v>58.064</v>
      </c>
      <c r="Y1561" s="67">
        <f t="shared" si="62"/>
        <v>420.964</v>
      </c>
      <c r="Z1561" s="67">
        <f t="shared" si="8"/>
        <v>343.8</v>
      </c>
      <c r="AA1561" s="67">
        <f t="shared" si="54"/>
        <v>55.008</v>
      </c>
      <c r="AB1561" s="67">
        <f t="shared" si="55"/>
        <v>398.808</v>
      </c>
      <c r="AC1561" s="67">
        <f t="shared" si="11"/>
        <v>324.7</v>
      </c>
      <c r="AD1561" s="67">
        <f t="shared" si="56"/>
        <v>51.952</v>
      </c>
      <c r="AE1561" s="67">
        <f t="shared" si="57"/>
        <v>376.652</v>
      </c>
      <c r="AF1561" s="67">
        <f t="shared" si="33"/>
        <v>317.06</v>
      </c>
      <c r="AG1561" s="67">
        <f t="shared" si="58"/>
        <v>50.7296</v>
      </c>
      <c r="AH1561" s="67">
        <f t="shared" si="59"/>
        <v>367.7896</v>
      </c>
      <c r="AI1561" s="67">
        <f t="shared" si="17"/>
        <v>305.6</v>
      </c>
      <c r="AJ1561" s="68">
        <f t="shared" si="66"/>
        <v>48.896</v>
      </c>
      <c r="AK1561" s="68">
        <f t="shared" si="67"/>
        <v>354.496</v>
      </c>
      <c r="AL1561" s="70"/>
      <c r="AM1561" s="70"/>
      <c r="AN1561" s="71"/>
      <c r="AO1561" s="71"/>
      <c r="AP1561" s="71"/>
      <c r="AQ1561" s="71"/>
      <c r="AR1561" s="71"/>
      <c r="AS1561" s="71"/>
      <c r="AT1561" s="71"/>
      <c r="AU1561" s="71"/>
      <c r="AV1561" s="71"/>
      <c r="AW1561" s="71"/>
      <c r="AX1561" s="71"/>
      <c r="AY1561" s="71"/>
      <c r="AZ1561" s="71"/>
      <c r="BA1561" s="71"/>
      <c r="BB1561" s="71"/>
      <c r="BC1561" s="71"/>
      <c r="BD1561" s="71"/>
      <c r="BE1561" s="71"/>
      <c r="BF1561" s="71"/>
      <c r="BG1561" s="71"/>
      <c r="BH1561" s="71"/>
      <c r="BI1561" s="71"/>
      <c r="BJ1561" s="71"/>
      <c r="BK1561" s="71"/>
      <c r="BL1561" s="71"/>
      <c r="BM1561" s="71"/>
      <c r="BN1561" s="71"/>
      <c r="BO1561" s="71"/>
      <c r="BP1561" s="71"/>
      <c r="BQ1561" s="71"/>
      <c r="BR1561" s="71"/>
      <c r="BS1561" s="71"/>
      <c r="BT1561" s="71"/>
      <c r="BU1561" s="71"/>
      <c r="BV1561" s="71"/>
    </row>
    <row r="1562">
      <c r="A1562" s="53"/>
      <c r="B1562" s="53"/>
      <c r="C1562" s="73" t="s">
        <v>12</v>
      </c>
      <c r="D1562" s="53" t="s">
        <v>3908</v>
      </c>
      <c r="E1562" s="54" t="s">
        <v>38</v>
      </c>
      <c r="F1562" s="54" t="s">
        <v>42</v>
      </c>
      <c r="G1562" s="55" t="s">
        <v>3909</v>
      </c>
      <c r="H1562" s="55" t="s">
        <v>3910</v>
      </c>
      <c r="I1562" s="54">
        <f t="shared" si="24"/>
        <v>34</v>
      </c>
      <c r="J1562" s="56"/>
      <c r="K1562" s="57"/>
      <c r="L1562" s="76"/>
      <c r="M1562" s="59"/>
      <c r="N1562" s="79">
        <v>540.0</v>
      </c>
      <c r="O1562" s="61">
        <v>583.0</v>
      </c>
      <c r="P1562" s="62">
        <v>629.64</v>
      </c>
      <c r="Q1562" s="63">
        <v>629.64</v>
      </c>
      <c r="R1562" s="64">
        <v>662.0</v>
      </c>
      <c r="S1562" s="111">
        <v>695.0</v>
      </c>
      <c r="T1562" s="65">
        <f t="shared" si="39"/>
        <v>111.2</v>
      </c>
      <c r="U1562" s="65">
        <f t="shared" si="40"/>
        <v>806.2</v>
      </c>
      <c r="V1562" s="66">
        <f t="shared" si="68"/>
        <v>0.0498489426</v>
      </c>
      <c r="W1562" s="67">
        <f t="shared" si="5"/>
        <v>660.25</v>
      </c>
      <c r="X1562" s="67">
        <f t="shared" si="61"/>
        <v>105.64</v>
      </c>
      <c r="Y1562" s="67">
        <f t="shared" si="62"/>
        <v>765.89</v>
      </c>
      <c r="Z1562" s="67">
        <f t="shared" si="8"/>
        <v>625.5</v>
      </c>
      <c r="AA1562" s="67">
        <f t="shared" si="54"/>
        <v>100.08</v>
      </c>
      <c r="AB1562" s="67">
        <f t="shared" si="55"/>
        <v>725.58</v>
      </c>
      <c r="AC1562" s="67">
        <f t="shared" si="11"/>
        <v>590.75</v>
      </c>
      <c r="AD1562" s="67">
        <f t="shared" si="56"/>
        <v>94.52</v>
      </c>
      <c r="AE1562" s="67">
        <f t="shared" si="57"/>
        <v>685.27</v>
      </c>
      <c r="AF1562" s="67">
        <f t="shared" si="33"/>
        <v>576.85</v>
      </c>
      <c r="AG1562" s="67">
        <f t="shared" si="58"/>
        <v>92.296</v>
      </c>
      <c r="AH1562" s="67">
        <f t="shared" si="59"/>
        <v>669.146</v>
      </c>
      <c r="AI1562" s="67">
        <f t="shared" si="17"/>
        <v>556</v>
      </c>
      <c r="AJ1562" s="68">
        <f t="shared" si="66"/>
        <v>88.96</v>
      </c>
      <c r="AK1562" s="68">
        <f t="shared" si="67"/>
        <v>644.96</v>
      </c>
      <c r="AL1562" s="70"/>
      <c r="AM1562" s="70"/>
      <c r="AN1562" s="71"/>
      <c r="AO1562" s="71"/>
      <c r="AP1562" s="71"/>
      <c r="AQ1562" s="71"/>
      <c r="AR1562" s="71"/>
      <c r="AS1562" s="71"/>
      <c r="AT1562" s="71"/>
      <c r="AU1562" s="71"/>
      <c r="AV1562" s="71"/>
      <c r="AW1562" s="71"/>
      <c r="AX1562" s="71"/>
      <c r="AY1562" s="71"/>
      <c r="AZ1562" s="71"/>
      <c r="BA1562" s="71"/>
      <c r="BB1562" s="71"/>
      <c r="BC1562" s="71"/>
      <c r="BD1562" s="71"/>
      <c r="BE1562" s="71"/>
      <c r="BF1562" s="71"/>
      <c r="BG1562" s="71"/>
      <c r="BH1562" s="71"/>
      <c r="BI1562" s="71"/>
      <c r="BJ1562" s="71"/>
      <c r="BK1562" s="71"/>
      <c r="BL1562" s="71"/>
      <c r="BM1562" s="71"/>
      <c r="BN1562" s="71"/>
      <c r="BO1562" s="71"/>
      <c r="BP1562" s="71"/>
      <c r="BQ1562" s="71"/>
      <c r="BR1562" s="71"/>
      <c r="BS1562" s="71"/>
      <c r="BT1562" s="71"/>
      <c r="BU1562" s="71"/>
      <c r="BV1562" s="71"/>
    </row>
    <row r="1563">
      <c r="A1563" s="53"/>
      <c r="B1563" s="53"/>
      <c r="C1563" s="73" t="s">
        <v>12</v>
      </c>
      <c r="D1563" s="53" t="s">
        <v>3911</v>
      </c>
      <c r="E1563" s="54" t="s">
        <v>38</v>
      </c>
      <c r="F1563" s="54" t="s">
        <v>42</v>
      </c>
      <c r="G1563" s="55" t="s">
        <v>3912</v>
      </c>
      <c r="H1563" s="54" t="s">
        <v>3913</v>
      </c>
      <c r="I1563" s="54">
        <f t="shared" si="24"/>
        <v>40</v>
      </c>
      <c r="J1563" s="56"/>
      <c r="K1563" s="57"/>
      <c r="L1563" s="76"/>
      <c r="M1563" s="59"/>
      <c r="N1563" s="79">
        <v>1411.0</v>
      </c>
      <c r="O1563" s="61">
        <v>1523.0</v>
      </c>
      <c r="P1563" s="62">
        <v>1644.8400000000001</v>
      </c>
      <c r="Q1563" s="63">
        <v>1644.8400000000001</v>
      </c>
      <c r="R1563" s="64">
        <v>1728.0</v>
      </c>
      <c r="S1563" s="111">
        <v>1814.0</v>
      </c>
      <c r="T1563" s="65">
        <f t="shared" si="39"/>
        <v>290.24</v>
      </c>
      <c r="U1563" s="65">
        <f t="shared" si="40"/>
        <v>2104.24</v>
      </c>
      <c r="V1563" s="66">
        <f t="shared" si="68"/>
        <v>0.04976851852</v>
      </c>
      <c r="W1563" s="67">
        <f t="shared" si="5"/>
        <v>1723.3</v>
      </c>
      <c r="X1563" s="67">
        <f t="shared" si="61"/>
        <v>275.728</v>
      </c>
      <c r="Y1563" s="67">
        <f t="shared" si="62"/>
        <v>1999.028</v>
      </c>
      <c r="Z1563" s="67">
        <f t="shared" si="8"/>
        <v>1632.6</v>
      </c>
      <c r="AA1563" s="67">
        <f t="shared" si="54"/>
        <v>261.216</v>
      </c>
      <c r="AB1563" s="67">
        <f t="shared" si="55"/>
        <v>1893.816</v>
      </c>
      <c r="AC1563" s="67">
        <f t="shared" si="11"/>
        <v>1541.9</v>
      </c>
      <c r="AD1563" s="67">
        <f t="shared" si="56"/>
        <v>246.704</v>
      </c>
      <c r="AE1563" s="67">
        <f t="shared" si="57"/>
        <v>1788.604</v>
      </c>
      <c r="AF1563" s="67">
        <f t="shared" si="33"/>
        <v>1505.62</v>
      </c>
      <c r="AG1563" s="67">
        <f t="shared" si="58"/>
        <v>240.8992</v>
      </c>
      <c r="AH1563" s="67">
        <f t="shared" si="59"/>
        <v>1746.5192</v>
      </c>
      <c r="AI1563" s="67">
        <f t="shared" si="17"/>
        <v>1451.2</v>
      </c>
      <c r="AJ1563" s="68">
        <f t="shared" si="66"/>
        <v>232.192</v>
      </c>
      <c r="AK1563" s="68">
        <f t="shared" si="67"/>
        <v>1683.392</v>
      </c>
      <c r="AL1563" s="70"/>
      <c r="AM1563" s="70"/>
      <c r="AN1563" s="71"/>
      <c r="AO1563" s="71"/>
      <c r="AP1563" s="71"/>
      <c r="AQ1563" s="71"/>
      <c r="AR1563" s="71"/>
      <c r="AS1563" s="71"/>
      <c r="AT1563" s="71"/>
      <c r="AU1563" s="71"/>
      <c r="AV1563" s="71"/>
      <c r="AW1563" s="71"/>
      <c r="AX1563" s="71"/>
      <c r="AY1563" s="71"/>
      <c r="AZ1563" s="71"/>
      <c r="BA1563" s="71"/>
      <c r="BB1563" s="71"/>
      <c r="BC1563" s="71"/>
      <c r="BD1563" s="71"/>
      <c r="BE1563" s="71"/>
      <c r="BF1563" s="71"/>
      <c r="BG1563" s="71"/>
      <c r="BH1563" s="71"/>
      <c r="BI1563" s="71"/>
      <c r="BJ1563" s="71"/>
      <c r="BK1563" s="71"/>
      <c r="BL1563" s="71"/>
      <c r="BM1563" s="71"/>
      <c r="BN1563" s="71"/>
      <c r="BO1563" s="71"/>
      <c r="BP1563" s="71"/>
      <c r="BQ1563" s="71"/>
      <c r="BR1563" s="71"/>
      <c r="BS1563" s="71"/>
      <c r="BT1563" s="71"/>
      <c r="BU1563" s="71"/>
      <c r="BV1563" s="71"/>
    </row>
    <row r="1564">
      <c r="A1564" s="53">
        <v>1.0</v>
      </c>
      <c r="B1564" s="72"/>
      <c r="C1564" s="73" t="s">
        <v>53</v>
      </c>
      <c r="D1564" s="74" t="s">
        <v>3914</v>
      </c>
      <c r="E1564" s="54" t="s">
        <v>38</v>
      </c>
      <c r="F1564" s="54" t="s">
        <v>42</v>
      </c>
      <c r="G1564" s="88" t="s">
        <v>3915</v>
      </c>
      <c r="H1564" s="54" t="s">
        <v>3915</v>
      </c>
      <c r="I1564" s="54">
        <f t="shared" si="24"/>
        <v>28</v>
      </c>
      <c r="J1564" s="56"/>
      <c r="K1564" s="57"/>
      <c r="L1564" s="87"/>
      <c r="M1564" s="59"/>
      <c r="N1564" s="60">
        <v>42.0</v>
      </c>
      <c r="O1564" s="61">
        <v>45.0</v>
      </c>
      <c r="P1564" s="62">
        <v>48.6</v>
      </c>
      <c r="Q1564" s="63">
        <v>48.6</v>
      </c>
      <c r="R1564" s="64">
        <v>55.0</v>
      </c>
      <c r="S1564" s="111">
        <v>58.0</v>
      </c>
      <c r="T1564" s="65">
        <f t="shared" si="39"/>
        <v>9.28</v>
      </c>
      <c r="U1564" s="65">
        <f t="shared" si="40"/>
        <v>67.28</v>
      </c>
      <c r="V1564" s="66">
        <f t="shared" si="68"/>
        <v>0.05454545455</v>
      </c>
      <c r="W1564" s="67">
        <f t="shared" si="5"/>
        <v>55.1</v>
      </c>
      <c r="X1564" s="67">
        <f t="shared" si="61"/>
        <v>8.816</v>
      </c>
      <c r="Y1564" s="67">
        <f t="shared" si="62"/>
        <v>63.916</v>
      </c>
      <c r="Z1564" s="67">
        <f t="shared" si="8"/>
        <v>52.2</v>
      </c>
      <c r="AA1564" s="67">
        <f t="shared" si="54"/>
        <v>8.352</v>
      </c>
      <c r="AB1564" s="67">
        <f t="shared" si="55"/>
        <v>60.552</v>
      </c>
      <c r="AC1564" s="67">
        <f t="shared" si="11"/>
        <v>49.3</v>
      </c>
      <c r="AD1564" s="67">
        <f t="shared" si="56"/>
        <v>7.888</v>
      </c>
      <c r="AE1564" s="67">
        <f t="shared" si="57"/>
        <v>57.188</v>
      </c>
      <c r="AF1564" s="67">
        <f t="shared" si="33"/>
        <v>48.14</v>
      </c>
      <c r="AG1564" s="67">
        <f t="shared" si="58"/>
        <v>7.7024</v>
      </c>
      <c r="AH1564" s="67">
        <f t="shared" si="59"/>
        <v>55.8424</v>
      </c>
      <c r="AI1564" s="67">
        <f t="shared" si="17"/>
        <v>46.4</v>
      </c>
      <c r="AJ1564" s="68">
        <f t="shared" si="66"/>
        <v>7.424</v>
      </c>
      <c r="AK1564" s="68">
        <f t="shared" si="67"/>
        <v>53.824</v>
      </c>
      <c r="AL1564" s="70"/>
      <c r="AM1564" s="70"/>
      <c r="AN1564" s="71"/>
      <c r="AO1564" s="71"/>
      <c r="AP1564" s="71"/>
      <c r="AQ1564" s="71"/>
      <c r="AR1564" s="71"/>
      <c r="AS1564" s="71"/>
      <c r="AT1564" s="71"/>
      <c r="AU1564" s="71"/>
      <c r="AV1564" s="71"/>
      <c r="AW1564" s="71"/>
      <c r="AX1564" s="71"/>
      <c r="AY1564" s="71"/>
      <c r="AZ1564" s="71"/>
      <c r="BA1564" s="71"/>
      <c r="BB1564" s="71"/>
      <c r="BC1564" s="71"/>
      <c r="BD1564" s="71"/>
      <c r="BE1564" s="71"/>
      <c r="BF1564" s="71"/>
      <c r="BG1564" s="71"/>
      <c r="BH1564" s="71"/>
      <c r="BI1564" s="71"/>
      <c r="BJ1564" s="71"/>
      <c r="BK1564" s="71"/>
      <c r="BL1564" s="71"/>
      <c r="BM1564" s="71"/>
      <c r="BN1564" s="71"/>
      <c r="BO1564" s="71"/>
      <c r="BP1564" s="71"/>
      <c r="BQ1564" s="71"/>
      <c r="BR1564" s="71"/>
      <c r="BS1564" s="71"/>
      <c r="BT1564" s="71"/>
      <c r="BU1564" s="71"/>
      <c r="BV1564" s="71"/>
    </row>
    <row r="1565">
      <c r="A1565" s="53"/>
      <c r="B1565" s="53"/>
      <c r="C1565" s="53" t="s">
        <v>36</v>
      </c>
      <c r="D1565" s="85" t="s">
        <v>3916</v>
      </c>
      <c r="E1565" s="54" t="s">
        <v>38</v>
      </c>
      <c r="F1565" s="55" t="s">
        <v>39</v>
      </c>
      <c r="G1565" s="86" t="s">
        <v>3917</v>
      </c>
      <c r="H1565" s="55"/>
      <c r="I1565" s="54">
        <f t="shared" si="24"/>
        <v>0</v>
      </c>
      <c r="J1565" s="56"/>
      <c r="K1565" s="57"/>
      <c r="L1565" s="76"/>
      <c r="M1565" s="59"/>
      <c r="N1565" s="60"/>
      <c r="O1565" s="61">
        <v>337.92</v>
      </c>
      <c r="P1565" s="62">
        <v>364.95360000000005</v>
      </c>
      <c r="Q1565" s="63">
        <v>364.95360000000005</v>
      </c>
      <c r="R1565" s="64">
        <v>384.0</v>
      </c>
      <c r="S1565" s="107">
        <v>403.0</v>
      </c>
      <c r="T1565" s="65">
        <f t="shared" si="39"/>
        <v>64.48</v>
      </c>
      <c r="U1565" s="65">
        <f t="shared" si="40"/>
        <v>467.48</v>
      </c>
      <c r="V1565" s="66">
        <f t="shared" si="68"/>
        <v>0.04947916667</v>
      </c>
      <c r="W1565" s="67">
        <f t="shared" si="5"/>
        <v>382.85</v>
      </c>
      <c r="X1565" s="67">
        <f t="shared" si="61"/>
        <v>61.256</v>
      </c>
      <c r="Y1565" s="67">
        <f t="shared" si="62"/>
        <v>444.106</v>
      </c>
      <c r="Z1565" s="67">
        <f t="shared" si="8"/>
        <v>362.7</v>
      </c>
      <c r="AA1565" s="67">
        <f t="shared" si="54"/>
        <v>58.032</v>
      </c>
      <c r="AB1565" s="67">
        <f t="shared" si="55"/>
        <v>420.732</v>
      </c>
      <c r="AC1565" s="67">
        <f t="shared" si="11"/>
        <v>342.55</v>
      </c>
      <c r="AD1565" s="67">
        <f t="shared" si="56"/>
        <v>54.808</v>
      </c>
      <c r="AE1565" s="67">
        <f t="shared" si="57"/>
        <v>397.358</v>
      </c>
      <c r="AF1565" s="67">
        <f t="shared" si="33"/>
        <v>334.49</v>
      </c>
      <c r="AG1565" s="67">
        <f t="shared" si="58"/>
        <v>53.5184</v>
      </c>
      <c r="AH1565" s="67">
        <f t="shared" si="59"/>
        <v>388.0084</v>
      </c>
      <c r="AI1565" s="67">
        <f t="shared" si="17"/>
        <v>322.4</v>
      </c>
      <c r="AJ1565" s="68">
        <f t="shared" si="66"/>
        <v>51.584</v>
      </c>
      <c r="AK1565" s="68">
        <f t="shared" si="67"/>
        <v>373.984</v>
      </c>
      <c r="AL1565" s="70"/>
      <c r="AM1565" s="70"/>
      <c r="AN1565" s="71"/>
      <c r="AO1565" s="71"/>
      <c r="AP1565" s="71"/>
      <c r="AQ1565" s="71"/>
      <c r="AR1565" s="71"/>
      <c r="AS1565" s="71"/>
      <c r="AT1565" s="71"/>
      <c r="AU1565" s="71"/>
      <c r="AV1565" s="71"/>
      <c r="AW1565" s="71"/>
      <c r="AX1565" s="71"/>
      <c r="AY1565" s="71"/>
      <c r="AZ1565" s="71"/>
      <c r="BA1565" s="71"/>
      <c r="BB1565" s="71"/>
      <c r="BC1565" s="71"/>
      <c r="BD1565" s="71"/>
      <c r="BE1565" s="71"/>
      <c r="BF1565" s="71"/>
      <c r="BG1565" s="71"/>
      <c r="BH1565" s="71"/>
      <c r="BI1565" s="71"/>
      <c r="BJ1565" s="71"/>
      <c r="BK1565" s="71"/>
      <c r="BL1565" s="71"/>
      <c r="BM1565" s="71"/>
      <c r="BN1565" s="71"/>
      <c r="BO1565" s="71"/>
      <c r="BP1565" s="71"/>
      <c r="BQ1565" s="71"/>
      <c r="BR1565" s="71"/>
      <c r="BS1565" s="71"/>
      <c r="BT1565" s="71"/>
      <c r="BU1565" s="71"/>
      <c r="BV1565" s="71"/>
    </row>
    <row r="1566">
      <c r="A1566" s="53"/>
      <c r="B1566" s="53"/>
      <c r="C1566" s="73" t="s">
        <v>53</v>
      </c>
      <c r="D1566" s="53" t="s">
        <v>3918</v>
      </c>
      <c r="E1566" s="54" t="s">
        <v>38</v>
      </c>
      <c r="F1566" s="54" t="s">
        <v>42</v>
      </c>
      <c r="G1566" s="55" t="s">
        <v>3919</v>
      </c>
      <c r="H1566" s="54" t="s">
        <v>3920</v>
      </c>
      <c r="I1566" s="54">
        <f t="shared" si="24"/>
        <v>38</v>
      </c>
      <c r="J1566" s="56"/>
      <c r="K1566" s="57"/>
      <c r="L1566" s="76"/>
      <c r="M1566" s="59"/>
      <c r="N1566" s="79">
        <v>174.0</v>
      </c>
      <c r="O1566" s="61">
        <v>187.0</v>
      </c>
      <c r="P1566" s="62">
        <v>201.96</v>
      </c>
      <c r="Q1566" s="63">
        <v>201.96</v>
      </c>
      <c r="R1566" s="64">
        <v>213.0</v>
      </c>
      <c r="S1566" s="111">
        <v>224.0</v>
      </c>
      <c r="T1566" s="65">
        <f t="shared" si="39"/>
        <v>35.84</v>
      </c>
      <c r="U1566" s="65">
        <f t="shared" si="40"/>
        <v>259.84</v>
      </c>
      <c r="V1566" s="66">
        <f t="shared" si="68"/>
        <v>0.05164319249</v>
      </c>
      <c r="W1566" s="67">
        <f t="shared" si="5"/>
        <v>212.8</v>
      </c>
      <c r="X1566" s="67">
        <f t="shared" si="61"/>
        <v>34.048</v>
      </c>
      <c r="Y1566" s="67">
        <f t="shared" si="62"/>
        <v>246.848</v>
      </c>
      <c r="Z1566" s="67">
        <f t="shared" si="8"/>
        <v>201.6</v>
      </c>
      <c r="AA1566" s="67">
        <f t="shared" si="54"/>
        <v>32.256</v>
      </c>
      <c r="AB1566" s="67">
        <f t="shared" si="55"/>
        <v>233.856</v>
      </c>
      <c r="AC1566" s="67">
        <f t="shared" si="11"/>
        <v>190.4</v>
      </c>
      <c r="AD1566" s="67">
        <f t="shared" si="56"/>
        <v>30.464</v>
      </c>
      <c r="AE1566" s="67">
        <f t="shared" si="57"/>
        <v>220.864</v>
      </c>
      <c r="AF1566" s="67">
        <f t="shared" si="33"/>
        <v>185.92</v>
      </c>
      <c r="AG1566" s="67">
        <f t="shared" si="58"/>
        <v>29.7472</v>
      </c>
      <c r="AH1566" s="67">
        <f t="shared" si="59"/>
        <v>215.6672</v>
      </c>
      <c r="AI1566" s="67">
        <f t="shared" si="17"/>
        <v>179.2</v>
      </c>
      <c r="AJ1566" s="68">
        <f t="shared" si="66"/>
        <v>28.672</v>
      </c>
      <c r="AK1566" s="68">
        <f t="shared" si="67"/>
        <v>207.872</v>
      </c>
      <c r="AL1566" s="70"/>
      <c r="AM1566" s="70"/>
      <c r="AN1566" s="71"/>
      <c r="AO1566" s="71"/>
      <c r="AP1566" s="71"/>
      <c r="AQ1566" s="71"/>
      <c r="AR1566" s="71"/>
      <c r="AS1566" s="71"/>
      <c r="AT1566" s="71"/>
      <c r="AU1566" s="71"/>
      <c r="AV1566" s="71"/>
      <c r="AW1566" s="71"/>
      <c r="AX1566" s="71"/>
      <c r="AY1566" s="71"/>
      <c r="AZ1566" s="71"/>
      <c r="BA1566" s="71"/>
      <c r="BB1566" s="71"/>
      <c r="BC1566" s="71"/>
      <c r="BD1566" s="71"/>
      <c r="BE1566" s="71"/>
      <c r="BF1566" s="71"/>
      <c r="BG1566" s="71"/>
      <c r="BH1566" s="71"/>
      <c r="BI1566" s="71"/>
      <c r="BJ1566" s="71"/>
      <c r="BK1566" s="71"/>
      <c r="BL1566" s="71"/>
      <c r="BM1566" s="71"/>
      <c r="BN1566" s="71"/>
      <c r="BO1566" s="71"/>
      <c r="BP1566" s="71"/>
      <c r="BQ1566" s="71"/>
      <c r="BR1566" s="71"/>
      <c r="BS1566" s="71"/>
      <c r="BT1566" s="71"/>
      <c r="BU1566" s="71"/>
      <c r="BV1566" s="71"/>
    </row>
    <row r="1567">
      <c r="A1567" s="53"/>
      <c r="B1567" s="53"/>
      <c r="C1567" s="53" t="s">
        <v>36</v>
      </c>
      <c r="D1567" s="85" t="s">
        <v>3921</v>
      </c>
      <c r="E1567" s="54" t="s">
        <v>38</v>
      </c>
      <c r="F1567" s="55" t="s">
        <v>39</v>
      </c>
      <c r="G1567" s="86" t="s">
        <v>3922</v>
      </c>
      <c r="H1567" s="55"/>
      <c r="I1567" s="54">
        <f t="shared" si="24"/>
        <v>0</v>
      </c>
      <c r="J1567" s="56"/>
      <c r="K1567" s="57"/>
      <c r="L1567" s="76"/>
      <c r="M1567" s="59"/>
      <c r="N1567" s="60"/>
      <c r="O1567" s="61">
        <v>1057.92</v>
      </c>
      <c r="P1567" s="62">
        <v>1142.5536000000002</v>
      </c>
      <c r="Q1567" s="63">
        <v>1142.5536000000002</v>
      </c>
      <c r="R1567" s="64">
        <v>1201.0</v>
      </c>
      <c r="S1567" s="107">
        <v>1261.0</v>
      </c>
      <c r="T1567" s="65">
        <f t="shared" si="39"/>
        <v>201.76</v>
      </c>
      <c r="U1567" s="65">
        <f t="shared" si="40"/>
        <v>1462.76</v>
      </c>
      <c r="V1567" s="66">
        <f t="shared" si="68"/>
        <v>0.04995836803</v>
      </c>
      <c r="W1567" s="67">
        <f t="shared" si="5"/>
        <v>1197.95</v>
      </c>
      <c r="X1567" s="67">
        <f t="shared" si="61"/>
        <v>191.672</v>
      </c>
      <c r="Y1567" s="67">
        <f t="shared" si="62"/>
        <v>1389.622</v>
      </c>
      <c r="Z1567" s="67">
        <f t="shared" si="8"/>
        <v>1134.9</v>
      </c>
      <c r="AA1567" s="67">
        <f t="shared" si="54"/>
        <v>181.584</v>
      </c>
      <c r="AB1567" s="67">
        <f t="shared" si="55"/>
        <v>1316.484</v>
      </c>
      <c r="AC1567" s="67">
        <f t="shared" si="11"/>
        <v>1071.85</v>
      </c>
      <c r="AD1567" s="67">
        <f t="shared" si="56"/>
        <v>171.496</v>
      </c>
      <c r="AE1567" s="67">
        <f t="shared" si="57"/>
        <v>1243.346</v>
      </c>
      <c r="AF1567" s="67">
        <f t="shared" si="33"/>
        <v>1046.63</v>
      </c>
      <c r="AG1567" s="67">
        <f t="shared" si="58"/>
        <v>167.4608</v>
      </c>
      <c r="AH1567" s="67">
        <f t="shared" si="59"/>
        <v>1214.0908</v>
      </c>
      <c r="AI1567" s="67">
        <f t="shared" si="17"/>
        <v>1008.8</v>
      </c>
      <c r="AJ1567" s="68">
        <f t="shared" si="66"/>
        <v>161.408</v>
      </c>
      <c r="AK1567" s="68">
        <f t="shared" si="67"/>
        <v>1170.208</v>
      </c>
      <c r="AL1567" s="70"/>
      <c r="AM1567" s="70"/>
      <c r="AN1567" s="71"/>
      <c r="AO1567" s="71"/>
      <c r="AP1567" s="71"/>
      <c r="AQ1567" s="71"/>
      <c r="AR1567" s="71"/>
      <c r="AS1567" s="71"/>
      <c r="AT1567" s="71"/>
      <c r="AU1567" s="71"/>
      <c r="AV1567" s="71"/>
      <c r="AW1567" s="71"/>
      <c r="AX1567" s="71"/>
      <c r="AY1567" s="71"/>
      <c r="AZ1567" s="71"/>
      <c r="BA1567" s="71"/>
      <c r="BB1567" s="71"/>
      <c r="BC1567" s="71"/>
      <c r="BD1567" s="71"/>
      <c r="BE1567" s="71"/>
      <c r="BF1567" s="71"/>
      <c r="BG1567" s="71"/>
      <c r="BH1567" s="71"/>
      <c r="BI1567" s="71"/>
      <c r="BJ1567" s="71"/>
      <c r="BK1567" s="71"/>
      <c r="BL1567" s="71"/>
      <c r="BM1567" s="71"/>
      <c r="BN1567" s="71"/>
      <c r="BO1567" s="71"/>
      <c r="BP1567" s="71"/>
      <c r="BQ1567" s="71"/>
      <c r="BR1567" s="71"/>
      <c r="BS1567" s="71"/>
      <c r="BT1567" s="71"/>
      <c r="BU1567" s="71"/>
      <c r="BV1567" s="71"/>
    </row>
    <row r="1568">
      <c r="A1568" s="53"/>
      <c r="B1568" s="53"/>
      <c r="C1568" s="53"/>
      <c r="D1568" s="53" t="s">
        <v>3923</v>
      </c>
      <c r="E1568" s="55" t="s">
        <v>38</v>
      </c>
      <c r="F1568" s="89"/>
      <c r="G1568" s="84" t="s">
        <v>3924</v>
      </c>
      <c r="H1568" s="55"/>
      <c r="I1568" s="54">
        <f t="shared" si="24"/>
        <v>0</v>
      </c>
      <c r="J1568" s="56"/>
      <c r="K1568" s="57"/>
      <c r="L1568" s="55"/>
      <c r="M1568" s="59"/>
      <c r="N1568" s="60"/>
      <c r="O1568" s="90"/>
      <c r="P1568" s="62">
        <v>316050.0</v>
      </c>
      <c r="Q1568" s="63">
        <v>316050.0</v>
      </c>
      <c r="R1568" s="64">
        <v>348446.0</v>
      </c>
      <c r="S1568" s="111">
        <v>365868.0</v>
      </c>
      <c r="T1568" s="65">
        <f t="shared" si="39"/>
        <v>58538.88</v>
      </c>
      <c r="U1568" s="65">
        <f t="shared" si="40"/>
        <v>424406.88</v>
      </c>
      <c r="V1568" s="66">
        <f t="shared" si="68"/>
        <v>0.04999913903</v>
      </c>
      <c r="W1568" s="67">
        <f t="shared" si="5"/>
        <v>347574.6</v>
      </c>
      <c r="X1568" s="67">
        <f t="shared" si="61"/>
        <v>55611.936</v>
      </c>
      <c r="Y1568" s="67">
        <f t="shared" si="62"/>
        <v>403186.536</v>
      </c>
      <c r="Z1568" s="67">
        <f t="shared" si="8"/>
        <v>329281.2</v>
      </c>
      <c r="AA1568" s="67">
        <f t="shared" si="54"/>
        <v>52684.992</v>
      </c>
      <c r="AB1568" s="67">
        <f t="shared" si="55"/>
        <v>381966.192</v>
      </c>
      <c r="AC1568" s="67">
        <f t="shared" si="11"/>
        <v>310987.8</v>
      </c>
      <c r="AD1568" s="67">
        <f t="shared" si="56"/>
        <v>49758.048</v>
      </c>
      <c r="AE1568" s="67">
        <f t="shared" si="57"/>
        <v>360745.848</v>
      </c>
      <c r="AF1568" s="67">
        <f t="shared" si="33"/>
        <v>303670.44</v>
      </c>
      <c r="AG1568" s="67">
        <f t="shared" si="58"/>
        <v>48587.2704</v>
      </c>
      <c r="AH1568" s="67">
        <f t="shared" si="59"/>
        <v>352257.7104</v>
      </c>
      <c r="AI1568" s="67">
        <f t="shared" si="17"/>
        <v>292694.4</v>
      </c>
      <c r="AJ1568" s="68">
        <f t="shared" si="66"/>
        <v>46831.104</v>
      </c>
      <c r="AK1568" s="68">
        <f t="shared" si="67"/>
        <v>339525.504</v>
      </c>
      <c r="AL1568" s="70"/>
      <c r="AM1568" s="70"/>
      <c r="AN1568" s="71"/>
      <c r="AO1568" s="71"/>
      <c r="AP1568" s="71"/>
      <c r="AQ1568" s="71"/>
      <c r="AR1568" s="71"/>
      <c r="AS1568" s="71"/>
      <c r="AT1568" s="71"/>
      <c r="AU1568" s="71"/>
      <c r="AV1568" s="71"/>
      <c r="AW1568" s="71"/>
      <c r="AX1568" s="71"/>
      <c r="AY1568" s="71"/>
      <c r="AZ1568" s="71"/>
      <c r="BA1568" s="71"/>
      <c r="BB1568" s="71"/>
      <c r="BC1568" s="71"/>
      <c r="BD1568" s="71"/>
      <c r="BE1568" s="71"/>
      <c r="BF1568" s="71"/>
      <c r="BG1568" s="71"/>
      <c r="BH1568" s="71"/>
      <c r="BI1568" s="71"/>
      <c r="BJ1568" s="71"/>
      <c r="BK1568" s="71"/>
      <c r="BL1568" s="71"/>
      <c r="BM1568" s="71"/>
      <c r="BN1568" s="71"/>
      <c r="BO1568" s="71"/>
      <c r="BP1568" s="71"/>
      <c r="BQ1568" s="71"/>
      <c r="BR1568" s="71"/>
      <c r="BS1568" s="71"/>
      <c r="BT1568" s="71"/>
      <c r="BU1568" s="71"/>
      <c r="BV1568" s="71"/>
    </row>
    <row r="1569">
      <c r="A1569" s="53"/>
      <c r="B1569" s="53"/>
      <c r="C1569" s="53"/>
      <c r="D1569" s="53" t="s">
        <v>3925</v>
      </c>
      <c r="E1569" s="55" t="s">
        <v>38</v>
      </c>
      <c r="F1569" s="89"/>
      <c r="G1569" s="84" t="s">
        <v>3926</v>
      </c>
      <c r="H1569" s="55"/>
      <c r="I1569" s="54">
        <f t="shared" si="24"/>
        <v>0</v>
      </c>
      <c r="J1569" s="56"/>
      <c r="K1569" s="57"/>
      <c r="L1569" s="55"/>
      <c r="M1569" s="59"/>
      <c r="N1569" s="60"/>
      <c r="O1569" s="90"/>
      <c r="P1569" s="62">
        <v>432450.0</v>
      </c>
      <c r="Q1569" s="63">
        <v>432450.0</v>
      </c>
      <c r="R1569" s="64">
        <v>476777.0</v>
      </c>
      <c r="S1569" s="111">
        <v>500616.0</v>
      </c>
      <c r="T1569" s="65">
        <f t="shared" si="39"/>
        <v>80098.56</v>
      </c>
      <c r="U1569" s="65">
        <f t="shared" si="40"/>
        <v>580714.56</v>
      </c>
      <c r="V1569" s="66">
        <f t="shared" si="68"/>
        <v>0.05000031461</v>
      </c>
      <c r="W1569" s="67">
        <f t="shared" si="5"/>
        <v>475585.2</v>
      </c>
      <c r="X1569" s="67">
        <f t="shared" si="61"/>
        <v>76093.632</v>
      </c>
      <c r="Y1569" s="67">
        <f t="shared" si="62"/>
        <v>551678.832</v>
      </c>
      <c r="Z1569" s="67">
        <f t="shared" si="8"/>
        <v>450554.4</v>
      </c>
      <c r="AA1569" s="67">
        <f t="shared" si="54"/>
        <v>72088.704</v>
      </c>
      <c r="AB1569" s="67">
        <f t="shared" si="55"/>
        <v>522643.104</v>
      </c>
      <c r="AC1569" s="67">
        <f t="shared" si="11"/>
        <v>425523.6</v>
      </c>
      <c r="AD1569" s="67">
        <f t="shared" si="56"/>
        <v>68083.776</v>
      </c>
      <c r="AE1569" s="67">
        <f t="shared" si="57"/>
        <v>493607.376</v>
      </c>
      <c r="AF1569" s="67">
        <f t="shared" si="33"/>
        <v>415511.28</v>
      </c>
      <c r="AG1569" s="67">
        <f t="shared" si="58"/>
        <v>66481.8048</v>
      </c>
      <c r="AH1569" s="67">
        <f t="shared" si="59"/>
        <v>481993.0848</v>
      </c>
      <c r="AI1569" s="67">
        <f t="shared" si="17"/>
        <v>400492.8</v>
      </c>
      <c r="AJ1569" s="68">
        <f t="shared" si="66"/>
        <v>64078.848</v>
      </c>
      <c r="AK1569" s="68">
        <f t="shared" si="67"/>
        <v>464571.648</v>
      </c>
      <c r="AL1569" s="70"/>
      <c r="AM1569" s="70"/>
      <c r="AN1569" s="71"/>
      <c r="AO1569" s="71"/>
      <c r="AP1569" s="71"/>
      <c r="AQ1569" s="71"/>
      <c r="AR1569" s="71"/>
      <c r="AS1569" s="71"/>
      <c r="AT1569" s="71"/>
      <c r="AU1569" s="71"/>
      <c r="AV1569" s="71"/>
      <c r="AW1569" s="71"/>
      <c r="AX1569" s="71"/>
      <c r="AY1569" s="71"/>
      <c r="AZ1569" s="71"/>
      <c r="BA1569" s="71"/>
      <c r="BB1569" s="71"/>
      <c r="BC1569" s="71"/>
      <c r="BD1569" s="71"/>
      <c r="BE1569" s="71"/>
      <c r="BF1569" s="71"/>
      <c r="BG1569" s="71"/>
      <c r="BH1569" s="71"/>
      <c r="BI1569" s="71"/>
      <c r="BJ1569" s="71"/>
      <c r="BK1569" s="71"/>
      <c r="BL1569" s="71"/>
      <c r="BM1569" s="71"/>
      <c r="BN1569" s="71"/>
      <c r="BO1569" s="71"/>
      <c r="BP1569" s="71"/>
      <c r="BQ1569" s="71"/>
      <c r="BR1569" s="71"/>
      <c r="BS1569" s="71"/>
      <c r="BT1569" s="71"/>
      <c r="BU1569" s="71"/>
      <c r="BV1569" s="71"/>
    </row>
    <row r="1570">
      <c r="A1570" s="53"/>
      <c r="B1570" s="53">
        <v>3.0</v>
      </c>
      <c r="C1570" s="53" t="s">
        <v>36</v>
      </c>
      <c r="D1570" s="120" t="s">
        <v>3927</v>
      </c>
      <c r="E1570" s="54" t="s">
        <v>38</v>
      </c>
      <c r="F1570" s="55" t="s">
        <v>187</v>
      </c>
      <c r="G1570" s="138" t="s">
        <v>3928</v>
      </c>
      <c r="H1570" s="55"/>
      <c r="I1570" s="54">
        <f t="shared" si="24"/>
        <v>0</v>
      </c>
      <c r="J1570" s="56"/>
      <c r="K1570" s="57"/>
      <c r="L1570" s="76"/>
      <c r="M1570" s="59"/>
      <c r="N1570" s="60"/>
      <c r="O1570" s="61">
        <v>316501.0</v>
      </c>
      <c r="P1570" s="62">
        <v>341821.08</v>
      </c>
      <c r="Q1570" s="63">
        <v>341821.08</v>
      </c>
      <c r="R1570" s="64">
        <v>376858.0</v>
      </c>
      <c r="S1570" s="107">
        <v>395701.0</v>
      </c>
      <c r="T1570" s="65">
        <f t="shared" si="39"/>
        <v>63312.16</v>
      </c>
      <c r="U1570" s="65">
        <f t="shared" si="40"/>
        <v>459013.16</v>
      </c>
      <c r="V1570" s="66">
        <f t="shared" si="68"/>
        <v>0.05000026535</v>
      </c>
      <c r="W1570" s="67">
        <f t="shared" si="5"/>
        <v>375915.95</v>
      </c>
      <c r="X1570" s="67">
        <f t="shared" si="61"/>
        <v>60146.552</v>
      </c>
      <c r="Y1570" s="67">
        <f t="shared" si="62"/>
        <v>436062.502</v>
      </c>
      <c r="Z1570" s="67">
        <f t="shared" si="8"/>
        <v>356130.9</v>
      </c>
      <c r="AA1570" s="67">
        <f t="shared" si="54"/>
        <v>56980.944</v>
      </c>
      <c r="AB1570" s="67">
        <f t="shared" si="55"/>
        <v>413111.844</v>
      </c>
      <c r="AC1570" s="67">
        <f t="shared" si="11"/>
        <v>356130.9</v>
      </c>
      <c r="AD1570" s="67">
        <f t="shared" si="56"/>
        <v>56980.944</v>
      </c>
      <c r="AE1570" s="67">
        <f t="shared" si="57"/>
        <v>413111.844</v>
      </c>
      <c r="AF1570" s="67">
        <f t="shared" si="33"/>
        <v>356130.9</v>
      </c>
      <c r="AG1570" s="67">
        <f t="shared" si="58"/>
        <v>56980.944</v>
      </c>
      <c r="AH1570" s="67">
        <f t="shared" si="59"/>
        <v>413111.844</v>
      </c>
      <c r="AI1570" s="67">
        <f t="shared" si="17"/>
        <v>356130.9</v>
      </c>
      <c r="AJ1570" s="68">
        <f t="shared" si="66"/>
        <v>56980.944</v>
      </c>
      <c r="AK1570" s="68">
        <f t="shared" si="67"/>
        <v>413111.844</v>
      </c>
      <c r="AL1570" s="70"/>
      <c r="AM1570" s="70"/>
      <c r="AN1570" s="71"/>
      <c r="AO1570" s="71"/>
      <c r="AP1570" s="71"/>
      <c r="AQ1570" s="71"/>
      <c r="AR1570" s="71"/>
      <c r="AS1570" s="71"/>
      <c r="AT1570" s="71"/>
      <c r="AU1570" s="71"/>
      <c r="AV1570" s="71"/>
      <c r="AW1570" s="71"/>
      <c r="AX1570" s="71"/>
      <c r="AY1570" s="71"/>
      <c r="AZ1570" s="71"/>
      <c r="BA1570" s="71"/>
      <c r="BB1570" s="71"/>
      <c r="BC1570" s="71"/>
      <c r="BD1570" s="71"/>
      <c r="BE1570" s="71"/>
      <c r="BF1570" s="71"/>
      <c r="BG1570" s="71"/>
      <c r="BH1570" s="71"/>
      <c r="BI1570" s="71"/>
      <c r="BJ1570" s="71"/>
      <c r="BK1570" s="71"/>
      <c r="BL1570" s="71"/>
      <c r="BM1570" s="71"/>
      <c r="BN1570" s="71"/>
      <c r="BO1570" s="71"/>
      <c r="BP1570" s="71"/>
      <c r="BQ1570" s="71"/>
      <c r="BR1570" s="71"/>
      <c r="BS1570" s="71"/>
      <c r="BT1570" s="71"/>
      <c r="BU1570" s="71"/>
      <c r="BV1570" s="71"/>
    </row>
    <row r="1571">
      <c r="A1571" s="53"/>
      <c r="B1571" s="53">
        <v>3.0</v>
      </c>
      <c r="C1571" s="53" t="s">
        <v>36</v>
      </c>
      <c r="D1571" s="120" t="s">
        <v>3929</v>
      </c>
      <c r="E1571" s="54" t="s">
        <v>38</v>
      </c>
      <c r="F1571" s="55" t="s">
        <v>187</v>
      </c>
      <c r="G1571" s="138" t="s">
        <v>3930</v>
      </c>
      <c r="H1571" s="55"/>
      <c r="I1571" s="54">
        <f t="shared" si="24"/>
        <v>0</v>
      </c>
      <c r="J1571" s="56"/>
      <c r="K1571" s="57"/>
      <c r="L1571" s="76"/>
      <c r="M1571" s="59"/>
      <c r="N1571" s="60"/>
      <c r="O1571" s="61">
        <v>316501.0</v>
      </c>
      <c r="P1571" s="62">
        <v>341821.08</v>
      </c>
      <c r="Q1571" s="63">
        <v>341821.08</v>
      </c>
      <c r="R1571" s="64">
        <v>376858.0</v>
      </c>
      <c r="S1571" s="107">
        <v>395701.0</v>
      </c>
      <c r="T1571" s="65">
        <f t="shared" si="39"/>
        <v>63312.16</v>
      </c>
      <c r="U1571" s="65">
        <f t="shared" si="40"/>
        <v>459013.16</v>
      </c>
      <c r="V1571" s="66">
        <f t="shared" si="68"/>
        <v>0.05000026535</v>
      </c>
      <c r="W1571" s="67">
        <f t="shared" si="5"/>
        <v>375915.95</v>
      </c>
      <c r="X1571" s="67">
        <f t="shared" si="61"/>
        <v>60146.552</v>
      </c>
      <c r="Y1571" s="67">
        <f t="shared" si="62"/>
        <v>436062.502</v>
      </c>
      <c r="Z1571" s="67">
        <f t="shared" si="8"/>
        <v>356130.9</v>
      </c>
      <c r="AA1571" s="67">
        <f t="shared" si="54"/>
        <v>56980.944</v>
      </c>
      <c r="AB1571" s="67">
        <f t="shared" si="55"/>
        <v>413111.844</v>
      </c>
      <c r="AC1571" s="67">
        <f t="shared" si="11"/>
        <v>356130.9</v>
      </c>
      <c r="AD1571" s="67">
        <f t="shared" si="56"/>
        <v>56980.944</v>
      </c>
      <c r="AE1571" s="67">
        <f t="shared" si="57"/>
        <v>413111.844</v>
      </c>
      <c r="AF1571" s="67">
        <f t="shared" si="33"/>
        <v>356130.9</v>
      </c>
      <c r="AG1571" s="67">
        <f t="shared" si="58"/>
        <v>56980.944</v>
      </c>
      <c r="AH1571" s="67">
        <f t="shared" si="59"/>
        <v>413111.844</v>
      </c>
      <c r="AI1571" s="67">
        <f t="shared" si="17"/>
        <v>356130.9</v>
      </c>
      <c r="AJ1571" s="68">
        <f t="shared" si="66"/>
        <v>56980.944</v>
      </c>
      <c r="AK1571" s="68">
        <f t="shared" si="67"/>
        <v>413111.844</v>
      </c>
      <c r="AL1571" s="70"/>
      <c r="AM1571" s="70"/>
      <c r="AN1571" s="71"/>
      <c r="AO1571" s="71"/>
      <c r="AP1571" s="71"/>
      <c r="AQ1571" s="71"/>
      <c r="AR1571" s="71"/>
      <c r="AS1571" s="71"/>
      <c r="AT1571" s="71"/>
      <c r="AU1571" s="71"/>
      <c r="AV1571" s="71"/>
      <c r="AW1571" s="71"/>
      <c r="AX1571" s="71"/>
      <c r="AY1571" s="71"/>
      <c r="AZ1571" s="71"/>
      <c r="BA1571" s="71"/>
      <c r="BB1571" s="71"/>
      <c r="BC1571" s="71"/>
      <c r="BD1571" s="71"/>
      <c r="BE1571" s="71"/>
      <c r="BF1571" s="71"/>
      <c r="BG1571" s="71"/>
      <c r="BH1571" s="71"/>
      <c r="BI1571" s="71"/>
      <c r="BJ1571" s="71"/>
      <c r="BK1571" s="71"/>
      <c r="BL1571" s="71"/>
      <c r="BM1571" s="71"/>
      <c r="BN1571" s="71"/>
      <c r="BO1571" s="71"/>
      <c r="BP1571" s="71"/>
      <c r="BQ1571" s="71"/>
      <c r="BR1571" s="71"/>
      <c r="BS1571" s="71"/>
      <c r="BT1571" s="71"/>
      <c r="BU1571" s="71"/>
      <c r="BV1571" s="71"/>
    </row>
    <row r="1572">
      <c r="A1572" s="53"/>
      <c r="B1572" s="53"/>
      <c r="C1572" s="53"/>
      <c r="D1572" s="53" t="s">
        <v>3931</v>
      </c>
      <c r="E1572" s="55" t="s">
        <v>38</v>
      </c>
      <c r="F1572" s="89"/>
      <c r="G1572" s="84" t="s">
        <v>3932</v>
      </c>
      <c r="H1572" s="55"/>
      <c r="I1572" s="54">
        <f t="shared" si="24"/>
        <v>0</v>
      </c>
      <c r="J1572" s="56"/>
      <c r="K1572" s="57"/>
      <c r="L1572" s="76"/>
      <c r="M1572" s="59"/>
      <c r="N1572" s="60"/>
      <c r="O1572" s="90"/>
      <c r="P1572" s="62">
        <v>388849.5</v>
      </c>
      <c r="Q1572" s="63">
        <v>388849.5</v>
      </c>
      <c r="R1572" s="64">
        <v>428708.0</v>
      </c>
      <c r="S1572" s="111">
        <v>450143.0</v>
      </c>
      <c r="T1572" s="65">
        <f t="shared" si="39"/>
        <v>72022.88</v>
      </c>
      <c r="U1572" s="65">
        <f t="shared" si="40"/>
        <v>522165.88</v>
      </c>
      <c r="V1572" s="66">
        <f t="shared" si="68"/>
        <v>0.04999906696</v>
      </c>
      <c r="W1572" s="67">
        <f t="shared" si="5"/>
        <v>427635.85</v>
      </c>
      <c r="X1572" s="67">
        <f t="shared" si="61"/>
        <v>68421.736</v>
      </c>
      <c r="Y1572" s="67">
        <f t="shared" si="62"/>
        <v>496057.586</v>
      </c>
      <c r="Z1572" s="67">
        <f t="shared" si="8"/>
        <v>405128.7</v>
      </c>
      <c r="AA1572" s="67">
        <f t="shared" si="54"/>
        <v>64820.592</v>
      </c>
      <c r="AB1572" s="67">
        <f t="shared" si="55"/>
        <v>469949.292</v>
      </c>
      <c r="AC1572" s="67">
        <f t="shared" si="11"/>
        <v>382621.55</v>
      </c>
      <c r="AD1572" s="67">
        <f t="shared" si="56"/>
        <v>61219.448</v>
      </c>
      <c r="AE1572" s="67">
        <f t="shared" si="57"/>
        <v>443840.998</v>
      </c>
      <c r="AF1572" s="67">
        <f t="shared" si="33"/>
        <v>373618.69</v>
      </c>
      <c r="AG1572" s="67">
        <f t="shared" si="58"/>
        <v>59778.9904</v>
      </c>
      <c r="AH1572" s="67">
        <f t="shared" si="59"/>
        <v>433397.6804</v>
      </c>
      <c r="AI1572" s="67">
        <f t="shared" si="17"/>
        <v>360114.4</v>
      </c>
      <c r="AJ1572" s="68">
        <f t="shared" si="66"/>
        <v>57618.304</v>
      </c>
      <c r="AK1572" s="68">
        <f t="shared" si="67"/>
        <v>417732.704</v>
      </c>
      <c r="AL1572" s="70"/>
      <c r="AM1572" s="70"/>
      <c r="AN1572" s="71"/>
      <c r="AO1572" s="71"/>
      <c r="AP1572" s="71"/>
      <c r="AQ1572" s="71"/>
      <c r="AR1572" s="71"/>
      <c r="AS1572" s="71"/>
      <c r="AT1572" s="71"/>
      <c r="AU1572" s="71"/>
      <c r="AV1572" s="71"/>
      <c r="AW1572" s="71"/>
      <c r="AX1572" s="71"/>
      <c r="AY1572" s="71"/>
      <c r="AZ1572" s="71"/>
      <c r="BA1572" s="71"/>
      <c r="BB1572" s="71"/>
      <c r="BC1572" s="71"/>
      <c r="BD1572" s="71"/>
      <c r="BE1572" s="71"/>
      <c r="BF1572" s="71"/>
      <c r="BG1572" s="71"/>
      <c r="BH1572" s="71"/>
      <c r="BI1572" s="71"/>
      <c r="BJ1572" s="71"/>
      <c r="BK1572" s="71"/>
      <c r="BL1572" s="71"/>
      <c r="BM1572" s="71"/>
      <c r="BN1572" s="71"/>
      <c r="BO1572" s="71"/>
      <c r="BP1572" s="71"/>
      <c r="BQ1572" s="71"/>
      <c r="BR1572" s="71"/>
      <c r="BS1572" s="71"/>
      <c r="BT1572" s="71"/>
      <c r="BU1572" s="71"/>
      <c r="BV1572" s="71"/>
    </row>
    <row r="1573">
      <c r="A1573" s="53"/>
      <c r="B1573" s="53"/>
      <c r="C1573" s="53"/>
      <c r="D1573" s="53" t="s">
        <v>3933</v>
      </c>
      <c r="E1573" s="55" t="s">
        <v>38</v>
      </c>
      <c r="F1573" s="89"/>
      <c r="G1573" s="84" t="s">
        <v>3934</v>
      </c>
      <c r="H1573" s="55"/>
      <c r="I1573" s="54">
        <f t="shared" si="24"/>
        <v>0</v>
      </c>
      <c r="J1573" s="56"/>
      <c r="K1573" s="57"/>
      <c r="L1573" s="55"/>
      <c r="M1573" s="59"/>
      <c r="N1573" s="60"/>
      <c r="O1573" s="90"/>
      <c r="P1573" s="62">
        <v>1066820.0</v>
      </c>
      <c r="Q1573" s="63">
        <v>1066820.0</v>
      </c>
      <c r="R1573" s="64">
        <v>1176170.0</v>
      </c>
      <c r="S1573" s="111">
        <v>1234979.0</v>
      </c>
      <c r="T1573" s="65">
        <f t="shared" si="39"/>
        <v>197596.64</v>
      </c>
      <c r="U1573" s="65">
        <f t="shared" si="40"/>
        <v>1432575.64</v>
      </c>
      <c r="V1573" s="66">
        <f t="shared" si="68"/>
        <v>0.05000042511</v>
      </c>
      <c r="W1573" s="67">
        <f t="shared" si="5"/>
        <v>1173230.05</v>
      </c>
      <c r="X1573" s="67">
        <f t="shared" si="61"/>
        <v>187716.808</v>
      </c>
      <c r="Y1573" s="67">
        <f t="shared" si="62"/>
        <v>1360946.858</v>
      </c>
      <c r="Z1573" s="67">
        <f t="shared" si="8"/>
        <v>1111481.1</v>
      </c>
      <c r="AA1573" s="67">
        <f t="shared" si="54"/>
        <v>177836.976</v>
      </c>
      <c r="AB1573" s="67">
        <f t="shared" si="55"/>
        <v>1289318.076</v>
      </c>
      <c r="AC1573" s="67">
        <f t="shared" si="11"/>
        <v>1049732.15</v>
      </c>
      <c r="AD1573" s="67">
        <f t="shared" si="56"/>
        <v>167957.144</v>
      </c>
      <c r="AE1573" s="67">
        <f t="shared" si="57"/>
        <v>1217689.294</v>
      </c>
      <c r="AF1573" s="67">
        <f t="shared" si="33"/>
        <v>1025032.57</v>
      </c>
      <c r="AG1573" s="67">
        <f t="shared" si="58"/>
        <v>164005.2112</v>
      </c>
      <c r="AH1573" s="67">
        <f t="shared" si="59"/>
        <v>1189037.781</v>
      </c>
      <c r="AI1573" s="67">
        <f t="shared" si="17"/>
        <v>987983.2</v>
      </c>
      <c r="AJ1573" s="68">
        <f t="shared" si="66"/>
        <v>158077.312</v>
      </c>
      <c r="AK1573" s="68">
        <f t="shared" si="67"/>
        <v>1146060.512</v>
      </c>
      <c r="AL1573" s="70"/>
      <c r="AM1573" s="70"/>
      <c r="AN1573" s="71"/>
      <c r="AO1573" s="71"/>
      <c r="AP1573" s="71"/>
      <c r="AQ1573" s="71"/>
      <c r="AR1573" s="71"/>
      <c r="AS1573" s="71"/>
      <c r="AT1573" s="71"/>
      <c r="AU1573" s="71"/>
      <c r="AV1573" s="71"/>
      <c r="AW1573" s="71"/>
      <c r="AX1573" s="71"/>
      <c r="AY1573" s="71"/>
      <c r="AZ1573" s="71"/>
      <c r="BA1573" s="71"/>
      <c r="BB1573" s="71"/>
      <c r="BC1573" s="71"/>
      <c r="BD1573" s="71"/>
      <c r="BE1573" s="71"/>
      <c r="BF1573" s="71"/>
      <c r="BG1573" s="71"/>
      <c r="BH1573" s="71"/>
      <c r="BI1573" s="71"/>
      <c r="BJ1573" s="71"/>
      <c r="BK1573" s="71"/>
      <c r="BL1573" s="71"/>
      <c r="BM1573" s="71"/>
      <c r="BN1573" s="71"/>
      <c r="BO1573" s="71"/>
      <c r="BP1573" s="71"/>
      <c r="BQ1573" s="71"/>
      <c r="BR1573" s="71"/>
      <c r="BS1573" s="71"/>
      <c r="BT1573" s="71"/>
      <c r="BU1573" s="71"/>
      <c r="BV1573" s="71"/>
    </row>
    <row r="1574">
      <c r="A1574" s="53"/>
      <c r="B1574" s="53">
        <v>3.0</v>
      </c>
      <c r="C1574" s="53" t="s">
        <v>36</v>
      </c>
      <c r="D1574" s="120" t="s">
        <v>3935</v>
      </c>
      <c r="E1574" s="54" t="s">
        <v>38</v>
      </c>
      <c r="F1574" s="55" t="s">
        <v>187</v>
      </c>
      <c r="G1574" s="138" t="s">
        <v>3936</v>
      </c>
      <c r="H1574" s="55"/>
      <c r="I1574" s="54">
        <f t="shared" si="24"/>
        <v>0</v>
      </c>
      <c r="J1574" s="56"/>
      <c r="K1574" s="57"/>
      <c r="L1574" s="76"/>
      <c r="M1574" s="59"/>
      <c r="N1574" s="60"/>
      <c r="O1574" s="61">
        <v>233934.0</v>
      </c>
      <c r="P1574" s="62">
        <v>252648.72000000003</v>
      </c>
      <c r="Q1574" s="63">
        <v>252648.72000000003</v>
      </c>
      <c r="R1574" s="64">
        <v>278546.0</v>
      </c>
      <c r="S1574" s="107">
        <v>292473.0</v>
      </c>
      <c r="T1574" s="65">
        <f t="shared" si="39"/>
        <v>46795.68</v>
      </c>
      <c r="U1574" s="65">
        <f t="shared" si="40"/>
        <v>339268.68</v>
      </c>
      <c r="V1574" s="66">
        <f t="shared" si="68"/>
        <v>0.04999892298</v>
      </c>
      <c r="W1574" s="67">
        <f t="shared" si="5"/>
        <v>277849.35</v>
      </c>
      <c r="X1574" s="67">
        <f t="shared" si="61"/>
        <v>44455.896</v>
      </c>
      <c r="Y1574" s="67">
        <f t="shared" si="62"/>
        <v>322305.246</v>
      </c>
      <c r="Z1574" s="67">
        <f t="shared" si="8"/>
        <v>263225.7</v>
      </c>
      <c r="AA1574" s="67">
        <f t="shared" si="54"/>
        <v>42116.112</v>
      </c>
      <c r="AB1574" s="67">
        <f t="shared" si="55"/>
        <v>305341.812</v>
      </c>
      <c r="AC1574" s="67">
        <f t="shared" si="11"/>
        <v>263225.7</v>
      </c>
      <c r="AD1574" s="67">
        <f t="shared" si="56"/>
        <v>42116.112</v>
      </c>
      <c r="AE1574" s="67">
        <f t="shared" si="57"/>
        <v>305341.812</v>
      </c>
      <c r="AF1574" s="67">
        <f t="shared" si="33"/>
        <v>263225.7</v>
      </c>
      <c r="AG1574" s="67">
        <f t="shared" si="58"/>
        <v>42116.112</v>
      </c>
      <c r="AH1574" s="67">
        <f t="shared" si="59"/>
        <v>305341.812</v>
      </c>
      <c r="AI1574" s="67">
        <f t="shared" si="17"/>
        <v>263225.7</v>
      </c>
      <c r="AJ1574" s="68">
        <f t="shared" si="66"/>
        <v>42116.112</v>
      </c>
      <c r="AK1574" s="68">
        <f t="shared" si="67"/>
        <v>305341.812</v>
      </c>
      <c r="AL1574" s="70"/>
      <c r="AM1574" s="70"/>
      <c r="AN1574" s="71"/>
      <c r="AO1574" s="71"/>
      <c r="AP1574" s="71"/>
      <c r="AQ1574" s="71"/>
      <c r="AR1574" s="71"/>
      <c r="AS1574" s="71"/>
      <c r="AT1574" s="71"/>
      <c r="AU1574" s="71"/>
      <c r="AV1574" s="71"/>
      <c r="AW1574" s="71"/>
      <c r="AX1574" s="71"/>
      <c r="AY1574" s="71"/>
      <c r="AZ1574" s="71"/>
      <c r="BA1574" s="71"/>
      <c r="BB1574" s="71"/>
      <c r="BC1574" s="71"/>
      <c r="BD1574" s="71"/>
      <c r="BE1574" s="71"/>
      <c r="BF1574" s="71"/>
      <c r="BG1574" s="71"/>
      <c r="BH1574" s="71"/>
      <c r="BI1574" s="71"/>
      <c r="BJ1574" s="71"/>
      <c r="BK1574" s="71"/>
      <c r="BL1574" s="71"/>
      <c r="BM1574" s="71"/>
      <c r="BN1574" s="71"/>
      <c r="BO1574" s="71"/>
      <c r="BP1574" s="71"/>
      <c r="BQ1574" s="71"/>
      <c r="BR1574" s="71"/>
      <c r="BS1574" s="71"/>
      <c r="BT1574" s="71"/>
      <c r="BU1574" s="71"/>
      <c r="BV1574" s="71"/>
    </row>
    <row r="1575">
      <c r="A1575" s="53"/>
      <c r="B1575" s="53">
        <v>3.0</v>
      </c>
      <c r="C1575" s="53" t="s">
        <v>36</v>
      </c>
      <c r="D1575" s="121" t="s">
        <v>3937</v>
      </c>
      <c r="E1575" s="54" t="s">
        <v>38</v>
      </c>
      <c r="F1575" s="55" t="s">
        <v>187</v>
      </c>
      <c r="G1575" s="138" t="s">
        <v>3938</v>
      </c>
      <c r="H1575" s="55"/>
      <c r="I1575" s="54">
        <f t="shared" si="24"/>
        <v>0</v>
      </c>
      <c r="J1575" s="56"/>
      <c r="K1575" s="57"/>
      <c r="L1575" s="76"/>
      <c r="M1575" s="59"/>
      <c r="N1575" s="60"/>
      <c r="O1575" s="61">
        <v>137906.0</v>
      </c>
      <c r="P1575" s="62">
        <v>148938.48</v>
      </c>
      <c r="Q1575" s="63">
        <v>148938.48</v>
      </c>
      <c r="R1575" s="64">
        <v>164205.0</v>
      </c>
      <c r="S1575" s="107">
        <v>172415.0</v>
      </c>
      <c r="T1575" s="65">
        <f t="shared" si="39"/>
        <v>27586.4</v>
      </c>
      <c r="U1575" s="65">
        <f t="shared" si="40"/>
        <v>200001.4</v>
      </c>
      <c r="V1575" s="66">
        <f t="shared" si="68"/>
        <v>0.04999847751</v>
      </c>
      <c r="W1575" s="67">
        <f t="shared" si="5"/>
        <v>163794.25</v>
      </c>
      <c r="X1575" s="67">
        <f t="shared" si="61"/>
        <v>26207.08</v>
      </c>
      <c r="Y1575" s="67">
        <f t="shared" si="62"/>
        <v>190001.33</v>
      </c>
      <c r="Z1575" s="67">
        <f t="shared" si="8"/>
        <v>155173.5</v>
      </c>
      <c r="AA1575" s="67">
        <f t="shared" si="54"/>
        <v>24827.76</v>
      </c>
      <c r="AB1575" s="67">
        <f t="shared" si="55"/>
        <v>180001.26</v>
      </c>
      <c r="AC1575" s="67">
        <f t="shared" si="11"/>
        <v>155173.5</v>
      </c>
      <c r="AD1575" s="67">
        <f t="shared" si="56"/>
        <v>24827.76</v>
      </c>
      <c r="AE1575" s="67">
        <f t="shared" si="57"/>
        <v>180001.26</v>
      </c>
      <c r="AF1575" s="67">
        <f t="shared" si="33"/>
        <v>155173.5</v>
      </c>
      <c r="AG1575" s="67">
        <f t="shared" si="58"/>
        <v>24827.76</v>
      </c>
      <c r="AH1575" s="67">
        <f t="shared" si="59"/>
        <v>180001.26</v>
      </c>
      <c r="AI1575" s="67">
        <f t="shared" si="17"/>
        <v>155173.5</v>
      </c>
      <c r="AJ1575" s="68">
        <f t="shared" si="66"/>
        <v>24827.76</v>
      </c>
      <c r="AK1575" s="68">
        <f t="shared" si="67"/>
        <v>180001.26</v>
      </c>
      <c r="AL1575" s="70"/>
      <c r="AM1575" s="70"/>
      <c r="AN1575" s="71"/>
      <c r="AO1575" s="71"/>
      <c r="AP1575" s="71"/>
      <c r="AQ1575" s="71"/>
      <c r="AR1575" s="71"/>
      <c r="AS1575" s="71"/>
      <c r="AT1575" s="71"/>
      <c r="AU1575" s="71"/>
      <c r="AV1575" s="71"/>
      <c r="AW1575" s="71"/>
      <c r="AX1575" s="71"/>
      <c r="AY1575" s="71"/>
      <c r="AZ1575" s="71"/>
      <c r="BA1575" s="71"/>
      <c r="BB1575" s="71"/>
      <c r="BC1575" s="71"/>
      <c r="BD1575" s="71"/>
      <c r="BE1575" s="71"/>
      <c r="BF1575" s="71"/>
      <c r="BG1575" s="71"/>
      <c r="BH1575" s="71"/>
      <c r="BI1575" s="71"/>
      <c r="BJ1575" s="71"/>
      <c r="BK1575" s="71"/>
      <c r="BL1575" s="71"/>
      <c r="BM1575" s="71"/>
      <c r="BN1575" s="71"/>
      <c r="BO1575" s="71"/>
      <c r="BP1575" s="71"/>
      <c r="BQ1575" s="71"/>
      <c r="BR1575" s="71"/>
      <c r="BS1575" s="71"/>
      <c r="BT1575" s="71"/>
      <c r="BU1575" s="71"/>
      <c r="BV1575" s="71"/>
    </row>
    <row r="1576">
      <c r="A1576" s="53"/>
      <c r="B1576" s="53"/>
      <c r="C1576" s="53"/>
      <c r="D1576" s="53" t="s">
        <v>3939</v>
      </c>
      <c r="E1576" s="55" t="s">
        <v>38</v>
      </c>
      <c r="F1576" s="89"/>
      <c r="G1576" s="84" t="s">
        <v>3940</v>
      </c>
      <c r="H1576" s="55"/>
      <c r="I1576" s="54">
        <f t="shared" si="24"/>
        <v>0</v>
      </c>
      <c r="J1576" s="56"/>
      <c r="K1576" s="57"/>
      <c r="L1576" s="55"/>
      <c r="M1576" s="59"/>
      <c r="N1576" s="60"/>
      <c r="O1576" s="90"/>
      <c r="P1576" s="62">
        <v>447440.0</v>
      </c>
      <c r="Q1576" s="63">
        <v>447440.0</v>
      </c>
      <c r="R1576" s="64">
        <v>493303.0</v>
      </c>
      <c r="S1576" s="111">
        <v>517968.0</v>
      </c>
      <c r="T1576" s="65">
        <f t="shared" si="39"/>
        <v>82874.88</v>
      </c>
      <c r="U1576" s="65">
        <f t="shared" si="40"/>
        <v>600842.88</v>
      </c>
      <c r="V1576" s="66">
        <f t="shared" si="68"/>
        <v>0.04999969593</v>
      </c>
      <c r="W1576" s="67">
        <f t="shared" si="5"/>
        <v>492069.6</v>
      </c>
      <c r="X1576" s="67">
        <f t="shared" si="61"/>
        <v>78731.136</v>
      </c>
      <c r="Y1576" s="67">
        <f t="shared" si="62"/>
        <v>570800.736</v>
      </c>
      <c r="Z1576" s="67">
        <f t="shared" si="8"/>
        <v>466171.2</v>
      </c>
      <c r="AA1576" s="67">
        <f t="shared" si="54"/>
        <v>74587.392</v>
      </c>
      <c r="AB1576" s="67">
        <f t="shared" si="55"/>
        <v>540758.592</v>
      </c>
      <c r="AC1576" s="67">
        <f t="shared" si="11"/>
        <v>440272.8</v>
      </c>
      <c r="AD1576" s="67">
        <f t="shared" si="56"/>
        <v>70443.648</v>
      </c>
      <c r="AE1576" s="67">
        <f t="shared" si="57"/>
        <v>510716.448</v>
      </c>
      <c r="AF1576" s="67">
        <f t="shared" si="33"/>
        <v>429913.44</v>
      </c>
      <c r="AG1576" s="67">
        <f t="shared" si="58"/>
        <v>68786.1504</v>
      </c>
      <c r="AH1576" s="67">
        <f t="shared" si="59"/>
        <v>498699.5904</v>
      </c>
      <c r="AI1576" s="67">
        <f t="shared" si="17"/>
        <v>414374.4</v>
      </c>
      <c r="AJ1576" s="68">
        <f t="shared" si="66"/>
        <v>66299.904</v>
      </c>
      <c r="AK1576" s="68">
        <f t="shared" si="67"/>
        <v>480674.304</v>
      </c>
      <c r="AL1576" s="70"/>
      <c r="AM1576" s="70"/>
      <c r="AN1576" s="71"/>
      <c r="AO1576" s="71"/>
      <c r="AP1576" s="71"/>
      <c r="AQ1576" s="71"/>
      <c r="AR1576" s="71"/>
      <c r="AS1576" s="71"/>
      <c r="AT1576" s="71"/>
      <c r="AU1576" s="71"/>
      <c r="AV1576" s="71"/>
      <c r="AW1576" s="71"/>
      <c r="AX1576" s="71"/>
      <c r="AY1576" s="71"/>
      <c r="AZ1576" s="71"/>
      <c r="BA1576" s="71"/>
      <c r="BB1576" s="71"/>
      <c r="BC1576" s="71"/>
      <c r="BD1576" s="71"/>
      <c r="BE1576" s="71"/>
      <c r="BF1576" s="71"/>
      <c r="BG1576" s="71"/>
      <c r="BH1576" s="71"/>
      <c r="BI1576" s="71"/>
      <c r="BJ1576" s="71"/>
      <c r="BK1576" s="71"/>
      <c r="BL1576" s="71"/>
      <c r="BM1576" s="71"/>
      <c r="BN1576" s="71"/>
      <c r="BO1576" s="71"/>
      <c r="BP1576" s="71"/>
      <c r="BQ1576" s="71"/>
      <c r="BR1576" s="71"/>
      <c r="BS1576" s="71"/>
      <c r="BT1576" s="71"/>
      <c r="BU1576" s="71"/>
      <c r="BV1576" s="71"/>
    </row>
    <row r="1577">
      <c r="A1577" s="53"/>
      <c r="B1577" s="53"/>
      <c r="C1577" s="53"/>
      <c r="D1577" s="53" t="s">
        <v>3941</v>
      </c>
      <c r="E1577" s="55" t="s">
        <v>38</v>
      </c>
      <c r="F1577" s="89"/>
      <c r="G1577" s="84" t="s">
        <v>3942</v>
      </c>
      <c r="H1577" s="55"/>
      <c r="I1577" s="54">
        <f t="shared" si="24"/>
        <v>0</v>
      </c>
      <c r="J1577" s="56"/>
      <c r="K1577" s="57"/>
      <c r="L1577" s="55"/>
      <c r="M1577" s="59"/>
      <c r="N1577" s="60"/>
      <c r="O1577" s="90"/>
      <c r="P1577" s="62">
        <v>184331.0</v>
      </c>
      <c r="Q1577" s="63">
        <v>184331.0</v>
      </c>
      <c r="R1577" s="64">
        <v>203226.0</v>
      </c>
      <c r="S1577" s="111">
        <v>213387.0</v>
      </c>
      <c r="T1577" s="65">
        <f t="shared" si="39"/>
        <v>34141.92</v>
      </c>
      <c r="U1577" s="65">
        <f t="shared" si="40"/>
        <v>247528.92</v>
      </c>
      <c r="V1577" s="66">
        <f t="shared" si="68"/>
        <v>0.04999852381</v>
      </c>
      <c r="W1577" s="67">
        <f t="shared" si="5"/>
        <v>202717.65</v>
      </c>
      <c r="X1577" s="67">
        <f t="shared" si="61"/>
        <v>32434.824</v>
      </c>
      <c r="Y1577" s="67">
        <f t="shared" si="62"/>
        <v>235152.474</v>
      </c>
      <c r="Z1577" s="67">
        <f t="shared" si="8"/>
        <v>192048.3</v>
      </c>
      <c r="AA1577" s="67">
        <f t="shared" si="54"/>
        <v>30727.728</v>
      </c>
      <c r="AB1577" s="67">
        <f t="shared" si="55"/>
        <v>222776.028</v>
      </c>
      <c r="AC1577" s="67">
        <f t="shared" si="11"/>
        <v>181378.95</v>
      </c>
      <c r="AD1577" s="67">
        <f t="shared" si="56"/>
        <v>29020.632</v>
      </c>
      <c r="AE1577" s="67">
        <f t="shared" si="57"/>
        <v>210399.582</v>
      </c>
      <c r="AF1577" s="67">
        <f t="shared" si="33"/>
        <v>177111.21</v>
      </c>
      <c r="AG1577" s="67">
        <f t="shared" si="58"/>
        <v>28337.7936</v>
      </c>
      <c r="AH1577" s="67">
        <f t="shared" si="59"/>
        <v>205449.0036</v>
      </c>
      <c r="AI1577" s="67">
        <f t="shared" si="17"/>
        <v>170709.6</v>
      </c>
      <c r="AJ1577" s="68">
        <f t="shared" si="66"/>
        <v>27313.536</v>
      </c>
      <c r="AK1577" s="68">
        <f t="shared" si="67"/>
        <v>198023.136</v>
      </c>
      <c r="AL1577" s="70"/>
      <c r="AM1577" s="70"/>
      <c r="AN1577" s="71"/>
      <c r="AO1577" s="71"/>
      <c r="AP1577" s="71"/>
      <c r="AQ1577" s="71"/>
      <c r="AR1577" s="71"/>
      <c r="AS1577" s="71"/>
      <c r="AT1577" s="71"/>
      <c r="AU1577" s="71"/>
      <c r="AV1577" s="71"/>
      <c r="AW1577" s="71"/>
      <c r="AX1577" s="71"/>
      <c r="AY1577" s="71"/>
      <c r="AZ1577" s="71"/>
      <c r="BA1577" s="71"/>
      <c r="BB1577" s="71"/>
      <c r="BC1577" s="71"/>
      <c r="BD1577" s="71"/>
      <c r="BE1577" s="71"/>
      <c r="BF1577" s="71"/>
      <c r="BG1577" s="71"/>
      <c r="BH1577" s="71"/>
      <c r="BI1577" s="71"/>
      <c r="BJ1577" s="71"/>
      <c r="BK1577" s="71"/>
      <c r="BL1577" s="71"/>
      <c r="BM1577" s="71"/>
      <c r="BN1577" s="71"/>
      <c r="BO1577" s="71"/>
      <c r="BP1577" s="71"/>
      <c r="BQ1577" s="71"/>
      <c r="BR1577" s="71"/>
      <c r="BS1577" s="71"/>
      <c r="BT1577" s="71"/>
      <c r="BU1577" s="71"/>
      <c r="BV1577" s="71"/>
    </row>
    <row r="1578">
      <c r="A1578" s="53"/>
      <c r="B1578" s="53"/>
      <c r="C1578" s="53"/>
      <c r="D1578" s="53" t="s">
        <v>3943</v>
      </c>
      <c r="E1578" s="55" t="s">
        <v>38</v>
      </c>
      <c r="F1578" s="89"/>
      <c r="G1578" s="84" t="s">
        <v>3944</v>
      </c>
      <c r="H1578" s="55"/>
      <c r="I1578" s="54">
        <f t="shared" si="24"/>
        <v>0</v>
      </c>
      <c r="J1578" s="56"/>
      <c r="K1578" s="57"/>
      <c r="L1578" s="55"/>
      <c r="M1578" s="59"/>
      <c r="N1578" s="60"/>
      <c r="O1578" s="90"/>
      <c r="P1578" s="62">
        <v>316050.0</v>
      </c>
      <c r="Q1578" s="63">
        <v>316050.0</v>
      </c>
      <c r="R1578" s="64">
        <v>348446.0</v>
      </c>
      <c r="S1578" s="111">
        <v>365868.0</v>
      </c>
      <c r="T1578" s="65">
        <f t="shared" si="39"/>
        <v>58538.88</v>
      </c>
      <c r="U1578" s="65">
        <f t="shared" si="40"/>
        <v>424406.88</v>
      </c>
      <c r="V1578" s="66">
        <f t="shared" si="68"/>
        <v>0.04999913903</v>
      </c>
      <c r="W1578" s="67">
        <f t="shared" si="5"/>
        <v>347574.6</v>
      </c>
      <c r="X1578" s="67">
        <f t="shared" si="61"/>
        <v>55611.936</v>
      </c>
      <c r="Y1578" s="67">
        <f t="shared" si="62"/>
        <v>403186.536</v>
      </c>
      <c r="Z1578" s="67">
        <f t="shared" si="8"/>
        <v>329281.2</v>
      </c>
      <c r="AA1578" s="67">
        <f t="shared" si="54"/>
        <v>52684.992</v>
      </c>
      <c r="AB1578" s="67">
        <f t="shared" si="55"/>
        <v>381966.192</v>
      </c>
      <c r="AC1578" s="67">
        <f t="shared" si="11"/>
        <v>310987.8</v>
      </c>
      <c r="AD1578" s="67">
        <f t="shared" si="56"/>
        <v>49758.048</v>
      </c>
      <c r="AE1578" s="67">
        <f t="shared" si="57"/>
        <v>360745.848</v>
      </c>
      <c r="AF1578" s="67">
        <f t="shared" si="33"/>
        <v>303670.44</v>
      </c>
      <c r="AG1578" s="67">
        <f t="shared" si="58"/>
        <v>48587.2704</v>
      </c>
      <c r="AH1578" s="67">
        <f t="shared" si="59"/>
        <v>352257.7104</v>
      </c>
      <c r="AI1578" s="67">
        <f t="shared" si="17"/>
        <v>292694.4</v>
      </c>
      <c r="AJ1578" s="68">
        <f t="shared" si="66"/>
        <v>46831.104</v>
      </c>
      <c r="AK1578" s="68">
        <f t="shared" si="67"/>
        <v>339525.504</v>
      </c>
      <c r="AL1578" s="70"/>
      <c r="AM1578" s="70"/>
      <c r="AN1578" s="71"/>
      <c r="AO1578" s="71"/>
      <c r="AP1578" s="71"/>
      <c r="AQ1578" s="71"/>
      <c r="AR1578" s="71"/>
      <c r="AS1578" s="71"/>
      <c r="AT1578" s="71"/>
      <c r="AU1578" s="71"/>
      <c r="AV1578" s="71"/>
      <c r="AW1578" s="71"/>
      <c r="AX1578" s="71"/>
      <c r="AY1578" s="71"/>
      <c r="AZ1578" s="71"/>
      <c r="BA1578" s="71"/>
      <c r="BB1578" s="71"/>
      <c r="BC1578" s="71"/>
      <c r="BD1578" s="71"/>
      <c r="BE1578" s="71"/>
      <c r="BF1578" s="71"/>
      <c r="BG1578" s="71"/>
      <c r="BH1578" s="71"/>
      <c r="BI1578" s="71"/>
      <c r="BJ1578" s="71"/>
      <c r="BK1578" s="71"/>
      <c r="BL1578" s="71"/>
      <c r="BM1578" s="71"/>
      <c r="BN1578" s="71"/>
      <c r="BO1578" s="71"/>
      <c r="BP1578" s="71"/>
      <c r="BQ1578" s="71"/>
      <c r="BR1578" s="71"/>
      <c r="BS1578" s="71"/>
      <c r="BT1578" s="71"/>
      <c r="BU1578" s="71"/>
      <c r="BV1578" s="71"/>
    </row>
    <row r="1579">
      <c r="A1579" s="53"/>
      <c r="B1579" s="53">
        <v>3.0</v>
      </c>
      <c r="C1579" s="53" t="s">
        <v>36</v>
      </c>
      <c r="D1579" s="171" t="s">
        <v>3945</v>
      </c>
      <c r="E1579" s="54" t="s">
        <v>38</v>
      </c>
      <c r="F1579" s="55" t="s">
        <v>61</v>
      </c>
      <c r="G1579" s="147" t="s">
        <v>3946</v>
      </c>
      <c r="H1579" s="55"/>
      <c r="I1579" s="54">
        <f t="shared" si="24"/>
        <v>0</v>
      </c>
      <c r="J1579" s="56"/>
      <c r="K1579" s="57"/>
      <c r="L1579" s="76"/>
      <c r="M1579" s="59"/>
      <c r="N1579" s="60"/>
      <c r="O1579" s="61">
        <v>156782.0</v>
      </c>
      <c r="P1579" s="62">
        <v>169324.56</v>
      </c>
      <c r="Q1579" s="63">
        <v>169324.56</v>
      </c>
      <c r="R1579" s="64">
        <v>186681.0</v>
      </c>
      <c r="S1579" s="107">
        <v>196015.0</v>
      </c>
      <c r="T1579" s="65">
        <f t="shared" si="39"/>
        <v>31362.4</v>
      </c>
      <c r="U1579" s="65">
        <f t="shared" si="40"/>
        <v>227377.4</v>
      </c>
      <c r="V1579" s="66">
        <f t="shared" si="68"/>
        <v>0.04999973216</v>
      </c>
      <c r="W1579" s="67">
        <f t="shared" si="5"/>
        <v>186214.25</v>
      </c>
      <c r="X1579" s="67">
        <f t="shared" si="61"/>
        <v>29794.28</v>
      </c>
      <c r="Y1579" s="67">
        <f t="shared" si="62"/>
        <v>216008.53</v>
      </c>
      <c r="Z1579" s="67">
        <f t="shared" si="8"/>
        <v>176413.5</v>
      </c>
      <c r="AA1579" s="67">
        <f t="shared" si="54"/>
        <v>28226.16</v>
      </c>
      <c r="AB1579" s="67">
        <f t="shared" si="55"/>
        <v>204639.66</v>
      </c>
      <c r="AC1579" s="67">
        <f t="shared" si="11"/>
        <v>176413.5</v>
      </c>
      <c r="AD1579" s="67">
        <f t="shared" si="56"/>
        <v>28226.16</v>
      </c>
      <c r="AE1579" s="67">
        <f t="shared" si="57"/>
        <v>204639.66</v>
      </c>
      <c r="AF1579" s="67">
        <f t="shared" si="33"/>
        <v>176413.5</v>
      </c>
      <c r="AG1579" s="67">
        <f t="shared" si="58"/>
        <v>28226.16</v>
      </c>
      <c r="AH1579" s="67">
        <f t="shared" si="59"/>
        <v>204639.66</v>
      </c>
      <c r="AI1579" s="67">
        <f t="shared" si="17"/>
        <v>176413.5</v>
      </c>
      <c r="AJ1579" s="68">
        <f t="shared" si="66"/>
        <v>28226.16</v>
      </c>
      <c r="AK1579" s="68">
        <f t="shared" si="67"/>
        <v>204639.66</v>
      </c>
      <c r="AL1579" s="70"/>
      <c r="AM1579" s="70"/>
      <c r="AN1579" s="71"/>
      <c r="AO1579" s="71"/>
      <c r="AP1579" s="71"/>
      <c r="AQ1579" s="71"/>
      <c r="AR1579" s="71"/>
      <c r="AS1579" s="71"/>
      <c r="AT1579" s="71"/>
      <c r="AU1579" s="71"/>
      <c r="AV1579" s="71"/>
      <c r="AW1579" s="71"/>
      <c r="AX1579" s="71"/>
      <c r="AY1579" s="71"/>
      <c r="AZ1579" s="71"/>
      <c r="BA1579" s="71"/>
      <c r="BB1579" s="71"/>
      <c r="BC1579" s="71"/>
      <c r="BD1579" s="71"/>
      <c r="BE1579" s="71"/>
      <c r="BF1579" s="71"/>
      <c r="BG1579" s="71"/>
      <c r="BH1579" s="71"/>
      <c r="BI1579" s="71"/>
      <c r="BJ1579" s="71"/>
      <c r="BK1579" s="71"/>
      <c r="BL1579" s="71"/>
      <c r="BM1579" s="71"/>
      <c r="BN1579" s="71"/>
      <c r="BO1579" s="71"/>
      <c r="BP1579" s="71"/>
      <c r="BQ1579" s="71"/>
      <c r="BR1579" s="71"/>
      <c r="BS1579" s="71"/>
      <c r="BT1579" s="71"/>
      <c r="BU1579" s="71"/>
      <c r="BV1579" s="71"/>
    </row>
    <row r="1580">
      <c r="A1580" s="53"/>
      <c r="B1580" s="53">
        <v>3.0</v>
      </c>
      <c r="C1580" s="53" t="s">
        <v>36</v>
      </c>
      <c r="D1580" s="172" t="s">
        <v>3947</v>
      </c>
      <c r="E1580" s="54" t="s">
        <v>38</v>
      </c>
      <c r="F1580" s="55" t="s">
        <v>61</v>
      </c>
      <c r="G1580" s="147" t="s">
        <v>3948</v>
      </c>
      <c r="H1580" s="55"/>
      <c r="I1580" s="54">
        <f t="shared" si="24"/>
        <v>0</v>
      </c>
      <c r="J1580" s="56"/>
      <c r="K1580" s="57"/>
      <c r="L1580" s="76"/>
      <c r="M1580" s="59"/>
      <c r="N1580" s="60"/>
      <c r="O1580" s="61">
        <v>155270.0</v>
      </c>
      <c r="P1580" s="62">
        <v>167691.6</v>
      </c>
      <c r="Q1580" s="63">
        <v>167691.6</v>
      </c>
      <c r="R1580" s="64">
        <v>184881.0</v>
      </c>
      <c r="S1580" s="107">
        <v>194125.0</v>
      </c>
      <c r="T1580" s="65">
        <f t="shared" si="39"/>
        <v>31060</v>
      </c>
      <c r="U1580" s="65">
        <f t="shared" si="40"/>
        <v>225185</v>
      </c>
      <c r="V1580" s="66">
        <f t="shared" si="68"/>
        <v>0.04999972956</v>
      </c>
      <c r="W1580" s="67">
        <f t="shared" si="5"/>
        <v>184418.75</v>
      </c>
      <c r="X1580" s="67">
        <f t="shared" si="61"/>
        <v>29507</v>
      </c>
      <c r="Y1580" s="67">
        <f t="shared" si="62"/>
        <v>213925.75</v>
      </c>
      <c r="Z1580" s="67">
        <f t="shared" si="8"/>
        <v>174712.5</v>
      </c>
      <c r="AA1580" s="67">
        <f t="shared" si="54"/>
        <v>27954</v>
      </c>
      <c r="AB1580" s="67">
        <f t="shared" si="55"/>
        <v>202666.5</v>
      </c>
      <c r="AC1580" s="67">
        <f t="shared" si="11"/>
        <v>174712.5</v>
      </c>
      <c r="AD1580" s="67">
        <f t="shared" si="56"/>
        <v>27954</v>
      </c>
      <c r="AE1580" s="67">
        <f t="shared" si="57"/>
        <v>202666.5</v>
      </c>
      <c r="AF1580" s="67">
        <f t="shared" si="33"/>
        <v>174712.5</v>
      </c>
      <c r="AG1580" s="67">
        <f t="shared" si="58"/>
        <v>27954</v>
      </c>
      <c r="AH1580" s="67">
        <f t="shared" si="59"/>
        <v>202666.5</v>
      </c>
      <c r="AI1580" s="67">
        <f t="shared" si="17"/>
        <v>174712.5</v>
      </c>
      <c r="AJ1580" s="68">
        <f t="shared" si="66"/>
        <v>27954</v>
      </c>
      <c r="AK1580" s="68">
        <f t="shared" si="67"/>
        <v>202666.5</v>
      </c>
      <c r="AL1580" s="70"/>
      <c r="AM1580" s="70"/>
      <c r="AN1580" s="71"/>
      <c r="AO1580" s="71"/>
      <c r="AP1580" s="71"/>
      <c r="AQ1580" s="71"/>
      <c r="AR1580" s="71"/>
      <c r="AS1580" s="71"/>
      <c r="AT1580" s="71"/>
      <c r="AU1580" s="71"/>
      <c r="AV1580" s="71"/>
      <c r="AW1580" s="71"/>
      <c r="AX1580" s="71"/>
      <c r="AY1580" s="71"/>
      <c r="AZ1580" s="71"/>
      <c r="BA1580" s="71"/>
      <c r="BB1580" s="71"/>
      <c r="BC1580" s="71"/>
      <c r="BD1580" s="71"/>
      <c r="BE1580" s="71"/>
      <c r="BF1580" s="71"/>
      <c r="BG1580" s="71"/>
      <c r="BH1580" s="71"/>
      <c r="BI1580" s="71"/>
      <c r="BJ1580" s="71"/>
      <c r="BK1580" s="71"/>
      <c r="BL1580" s="71"/>
      <c r="BM1580" s="71"/>
      <c r="BN1580" s="71"/>
      <c r="BO1580" s="71"/>
      <c r="BP1580" s="71"/>
      <c r="BQ1580" s="71"/>
      <c r="BR1580" s="71"/>
      <c r="BS1580" s="71"/>
      <c r="BT1580" s="71"/>
      <c r="BU1580" s="71"/>
      <c r="BV1580" s="71"/>
    </row>
    <row r="1581">
      <c r="A1581" s="53"/>
      <c r="B1581" s="53">
        <v>3.0</v>
      </c>
      <c r="C1581" s="53" t="s">
        <v>36</v>
      </c>
      <c r="D1581" s="172" t="s">
        <v>3949</v>
      </c>
      <c r="E1581" s="54" t="s">
        <v>38</v>
      </c>
      <c r="F1581" s="55" t="s">
        <v>61</v>
      </c>
      <c r="G1581" s="147" t="s">
        <v>3950</v>
      </c>
      <c r="H1581" s="55"/>
      <c r="I1581" s="54">
        <f t="shared" si="24"/>
        <v>0</v>
      </c>
      <c r="J1581" s="56"/>
      <c r="K1581" s="57"/>
      <c r="L1581" s="76"/>
      <c r="M1581" s="59"/>
      <c r="N1581" s="60"/>
      <c r="O1581" s="61">
        <v>145274.0</v>
      </c>
      <c r="P1581" s="62">
        <v>156895.92</v>
      </c>
      <c r="Q1581" s="63">
        <v>156895.92</v>
      </c>
      <c r="R1581" s="64">
        <v>172979.0</v>
      </c>
      <c r="S1581" s="107">
        <v>181628.0</v>
      </c>
      <c r="T1581" s="65">
        <f t="shared" si="39"/>
        <v>29060.48</v>
      </c>
      <c r="U1581" s="65">
        <f t="shared" si="40"/>
        <v>210688.48</v>
      </c>
      <c r="V1581" s="66">
        <f t="shared" si="68"/>
        <v>0.05000028905</v>
      </c>
      <c r="W1581" s="67">
        <f t="shared" si="5"/>
        <v>172546.6</v>
      </c>
      <c r="X1581" s="67">
        <f t="shared" si="61"/>
        <v>27607.456</v>
      </c>
      <c r="Y1581" s="67">
        <f t="shared" si="62"/>
        <v>200154.056</v>
      </c>
      <c r="Z1581" s="67">
        <f t="shared" si="8"/>
        <v>163465.2</v>
      </c>
      <c r="AA1581" s="67">
        <f t="shared" si="54"/>
        <v>26154.432</v>
      </c>
      <c r="AB1581" s="67">
        <f t="shared" si="55"/>
        <v>189619.632</v>
      </c>
      <c r="AC1581" s="67">
        <f t="shared" si="11"/>
        <v>163465.2</v>
      </c>
      <c r="AD1581" s="67">
        <f t="shared" si="56"/>
        <v>26154.432</v>
      </c>
      <c r="AE1581" s="67">
        <f t="shared" si="57"/>
        <v>189619.632</v>
      </c>
      <c r="AF1581" s="67">
        <f t="shared" si="33"/>
        <v>163465.2</v>
      </c>
      <c r="AG1581" s="67">
        <f t="shared" si="58"/>
        <v>26154.432</v>
      </c>
      <c r="AH1581" s="67">
        <f t="shared" si="59"/>
        <v>189619.632</v>
      </c>
      <c r="AI1581" s="67">
        <f t="shared" si="17"/>
        <v>163465.2</v>
      </c>
      <c r="AJ1581" s="68">
        <f t="shared" si="66"/>
        <v>26154.432</v>
      </c>
      <c r="AK1581" s="68">
        <f t="shared" si="67"/>
        <v>189619.632</v>
      </c>
      <c r="AL1581" s="70"/>
      <c r="AM1581" s="70"/>
      <c r="AN1581" s="71"/>
      <c r="AO1581" s="71"/>
      <c r="AP1581" s="71"/>
      <c r="AQ1581" s="71"/>
      <c r="AR1581" s="71"/>
      <c r="AS1581" s="71"/>
      <c r="AT1581" s="71"/>
      <c r="AU1581" s="71"/>
      <c r="AV1581" s="71"/>
      <c r="AW1581" s="71"/>
      <c r="AX1581" s="71"/>
      <c r="AY1581" s="71"/>
      <c r="AZ1581" s="71"/>
      <c r="BA1581" s="71"/>
      <c r="BB1581" s="71"/>
      <c r="BC1581" s="71"/>
      <c r="BD1581" s="71"/>
      <c r="BE1581" s="71"/>
      <c r="BF1581" s="71"/>
      <c r="BG1581" s="71"/>
      <c r="BH1581" s="71"/>
      <c r="BI1581" s="71"/>
      <c r="BJ1581" s="71"/>
      <c r="BK1581" s="71"/>
      <c r="BL1581" s="71"/>
      <c r="BM1581" s="71"/>
      <c r="BN1581" s="71"/>
      <c r="BO1581" s="71"/>
      <c r="BP1581" s="71"/>
      <c r="BQ1581" s="71"/>
      <c r="BR1581" s="71"/>
      <c r="BS1581" s="71"/>
      <c r="BT1581" s="71"/>
      <c r="BU1581" s="71"/>
      <c r="BV1581" s="71"/>
    </row>
    <row r="1582">
      <c r="A1582" s="53"/>
      <c r="B1582" s="53">
        <v>3.0</v>
      </c>
      <c r="C1582" s="53" t="s">
        <v>36</v>
      </c>
      <c r="D1582" s="171" t="s">
        <v>3951</v>
      </c>
      <c r="E1582" s="54" t="s">
        <v>38</v>
      </c>
      <c r="F1582" s="55" t="s">
        <v>61</v>
      </c>
      <c r="G1582" s="147" t="s">
        <v>3952</v>
      </c>
      <c r="H1582" s="55"/>
      <c r="I1582" s="54">
        <f t="shared" si="24"/>
        <v>0</v>
      </c>
      <c r="J1582" s="56"/>
      <c r="K1582" s="57"/>
      <c r="L1582" s="76"/>
      <c r="M1582" s="59"/>
      <c r="N1582" s="60"/>
      <c r="O1582" s="61">
        <v>146786.0</v>
      </c>
      <c r="P1582" s="62">
        <v>158528.88</v>
      </c>
      <c r="Q1582" s="63">
        <v>158528.88</v>
      </c>
      <c r="R1582" s="64">
        <v>174778.0</v>
      </c>
      <c r="S1582" s="107">
        <v>183517.0</v>
      </c>
      <c r="T1582" s="65">
        <f t="shared" si="39"/>
        <v>29362.72</v>
      </c>
      <c r="U1582" s="65">
        <f t="shared" si="40"/>
        <v>212879.72</v>
      </c>
      <c r="V1582" s="66">
        <f t="shared" si="68"/>
        <v>0.05000057215</v>
      </c>
      <c r="W1582" s="67">
        <f t="shared" si="5"/>
        <v>174341.15</v>
      </c>
      <c r="X1582" s="67">
        <f t="shared" si="61"/>
        <v>27894.584</v>
      </c>
      <c r="Y1582" s="67">
        <f t="shared" si="62"/>
        <v>202235.734</v>
      </c>
      <c r="Z1582" s="67">
        <f t="shared" si="8"/>
        <v>165165.3</v>
      </c>
      <c r="AA1582" s="67">
        <f t="shared" si="54"/>
        <v>26426.448</v>
      </c>
      <c r="AB1582" s="67">
        <f t="shared" si="55"/>
        <v>191591.748</v>
      </c>
      <c r="AC1582" s="67">
        <f t="shared" si="11"/>
        <v>165165.3</v>
      </c>
      <c r="AD1582" s="67">
        <f t="shared" si="56"/>
        <v>26426.448</v>
      </c>
      <c r="AE1582" s="67">
        <f t="shared" si="57"/>
        <v>191591.748</v>
      </c>
      <c r="AF1582" s="67">
        <f t="shared" si="33"/>
        <v>165165.3</v>
      </c>
      <c r="AG1582" s="67">
        <f t="shared" si="58"/>
        <v>26426.448</v>
      </c>
      <c r="AH1582" s="67">
        <f t="shared" si="59"/>
        <v>191591.748</v>
      </c>
      <c r="AI1582" s="67">
        <f t="shared" si="17"/>
        <v>165165.3</v>
      </c>
      <c r="AJ1582" s="68">
        <f t="shared" si="66"/>
        <v>26426.448</v>
      </c>
      <c r="AK1582" s="68">
        <f t="shared" si="67"/>
        <v>191591.748</v>
      </c>
      <c r="AL1582" s="70"/>
      <c r="AM1582" s="70"/>
      <c r="AN1582" s="71"/>
      <c r="AO1582" s="71"/>
      <c r="AP1582" s="71"/>
      <c r="AQ1582" s="71"/>
      <c r="AR1582" s="71"/>
      <c r="AS1582" s="71"/>
      <c r="AT1582" s="71"/>
      <c r="AU1582" s="71"/>
      <c r="AV1582" s="71"/>
      <c r="AW1582" s="71"/>
      <c r="AX1582" s="71"/>
      <c r="AY1582" s="71"/>
      <c r="AZ1582" s="71"/>
      <c r="BA1582" s="71"/>
      <c r="BB1582" s="71"/>
      <c r="BC1582" s="71"/>
      <c r="BD1582" s="71"/>
      <c r="BE1582" s="71"/>
      <c r="BF1582" s="71"/>
      <c r="BG1582" s="71"/>
      <c r="BH1582" s="71"/>
      <c r="BI1582" s="71"/>
      <c r="BJ1582" s="71"/>
      <c r="BK1582" s="71"/>
      <c r="BL1582" s="71"/>
      <c r="BM1582" s="71"/>
      <c r="BN1582" s="71"/>
      <c r="BO1582" s="71"/>
      <c r="BP1582" s="71"/>
      <c r="BQ1582" s="71"/>
      <c r="BR1582" s="71"/>
      <c r="BS1582" s="71"/>
      <c r="BT1582" s="71"/>
      <c r="BU1582" s="71"/>
      <c r="BV1582" s="71"/>
    </row>
    <row r="1583">
      <c r="A1583" s="53"/>
      <c r="B1583" s="53">
        <v>3.0</v>
      </c>
      <c r="C1583" s="53" t="s">
        <v>36</v>
      </c>
      <c r="D1583" s="53" t="s">
        <v>3953</v>
      </c>
      <c r="E1583" s="54" t="s">
        <v>38</v>
      </c>
      <c r="F1583" s="55" t="s">
        <v>39</v>
      </c>
      <c r="G1583" s="84" t="s">
        <v>3954</v>
      </c>
      <c r="H1583" s="55"/>
      <c r="I1583" s="54">
        <f t="shared" si="24"/>
        <v>0</v>
      </c>
      <c r="J1583" s="56"/>
      <c r="K1583" s="57"/>
      <c r="L1583" s="76"/>
      <c r="M1583" s="59"/>
      <c r="N1583" s="60"/>
      <c r="O1583" s="90">
        <v>258006.07</v>
      </c>
      <c r="P1583" s="62">
        <v>279041.49</v>
      </c>
      <c r="Q1583" s="63">
        <v>279041.49</v>
      </c>
      <c r="R1583" s="64">
        <v>292994.0</v>
      </c>
      <c r="S1583" s="107">
        <v>307644.0</v>
      </c>
      <c r="T1583" s="65">
        <f t="shared" si="39"/>
        <v>49223.04</v>
      </c>
      <c r="U1583" s="65">
        <f t="shared" si="40"/>
        <v>356867.04</v>
      </c>
      <c r="V1583" s="66">
        <f t="shared" si="68"/>
        <v>0.05000102391</v>
      </c>
      <c r="W1583" s="67">
        <f t="shared" si="5"/>
        <v>292261.8</v>
      </c>
      <c r="X1583" s="67">
        <f t="shared" si="61"/>
        <v>46761.888</v>
      </c>
      <c r="Y1583" s="67">
        <f t="shared" si="62"/>
        <v>339023.688</v>
      </c>
      <c r="Z1583" s="67">
        <f t="shared" si="8"/>
        <v>276879.6</v>
      </c>
      <c r="AA1583" s="67">
        <f t="shared" si="54"/>
        <v>44300.736</v>
      </c>
      <c r="AB1583" s="67">
        <f t="shared" si="55"/>
        <v>321180.336</v>
      </c>
      <c r="AC1583" s="67">
        <f t="shared" si="11"/>
        <v>276879.6</v>
      </c>
      <c r="AD1583" s="67">
        <f t="shared" si="56"/>
        <v>44300.736</v>
      </c>
      <c r="AE1583" s="67">
        <f t="shared" si="57"/>
        <v>321180.336</v>
      </c>
      <c r="AF1583" s="67">
        <f t="shared" si="33"/>
        <v>276879.6</v>
      </c>
      <c r="AG1583" s="67">
        <f t="shared" si="58"/>
        <v>44300.736</v>
      </c>
      <c r="AH1583" s="67">
        <f t="shared" si="59"/>
        <v>321180.336</v>
      </c>
      <c r="AI1583" s="67">
        <f t="shared" si="17"/>
        <v>276879.6</v>
      </c>
      <c r="AJ1583" s="111">
        <f t="shared" si="66"/>
        <v>44300.736</v>
      </c>
      <c r="AK1583" s="111">
        <f t="shared" si="67"/>
        <v>321180.336</v>
      </c>
      <c r="AL1583" s="70"/>
      <c r="AM1583" s="70"/>
      <c r="AN1583" s="71"/>
      <c r="AO1583" s="71"/>
      <c r="AP1583" s="71"/>
      <c r="AQ1583" s="71"/>
      <c r="AR1583" s="71"/>
      <c r="AS1583" s="71"/>
      <c r="AT1583" s="71"/>
      <c r="AU1583" s="71"/>
      <c r="AV1583" s="71"/>
      <c r="AW1583" s="71"/>
      <c r="AX1583" s="71"/>
      <c r="AY1583" s="71"/>
      <c r="AZ1583" s="71"/>
      <c r="BA1583" s="71"/>
      <c r="BB1583" s="71"/>
      <c r="BC1583" s="71"/>
      <c r="BD1583" s="71"/>
      <c r="BE1583" s="71"/>
      <c r="BF1583" s="71"/>
      <c r="BG1583" s="71"/>
      <c r="BH1583" s="71"/>
      <c r="BI1583" s="71"/>
      <c r="BJ1583" s="71"/>
      <c r="BK1583" s="71"/>
      <c r="BL1583" s="71"/>
      <c r="BM1583" s="71"/>
      <c r="BN1583" s="71"/>
      <c r="BO1583" s="71"/>
      <c r="BP1583" s="71"/>
      <c r="BQ1583" s="71"/>
      <c r="BR1583" s="71"/>
      <c r="BS1583" s="71"/>
      <c r="BT1583" s="71"/>
      <c r="BU1583" s="71"/>
      <c r="BV1583" s="71"/>
    </row>
    <row r="1584">
      <c r="A1584" s="53"/>
      <c r="B1584" s="53">
        <v>3.0</v>
      </c>
      <c r="C1584" s="53" t="s">
        <v>36</v>
      </c>
      <c r="D1584" s="53" t="s">
        <v>3955</v>
      </c>
      <c r="E1584" s="54" t="s">
        <v>38</v>
      </c>
      <c r="F1584" s="55" t="s">
        <v>39</v>
      </c>
      <c r="G1584" s="84" t="s">
        <v>3956</v>
      </c>
      <c r="H1584" s="55"/>
      <c r="I1584" s="54">
        <f t="shared" si="24"/>
        <v>0</v>
      </c>
      <c r="J1584" s="56"/>
      <c r="K1584" s="57"/>
      <c r="L1584" s="76"/>
      <c r="M1584" s="59"/>
      <c r="N1584" s="60"/>
      <c r="O1584" s="90">
        <v>193732.66</v>
      </c>
      <c r="P1584" s="62">
        <v>218986.85</v>
      </c>
      <c r="Q1584" s="63">
        <v>218986.85</v>
      </c>
      <c r="R1584" s="64">
        <v>229937.0</v>
      </c>
      <c r="S1584" s="107">
        <v>241434.0</v>
      </c>
      <c r="T1584" s="65">
        <f t="shared" si="39"/>
        <v>38629.44</v>
      </c>
      <c r="U1584" s="65">
        <f t="shared" si="40"/>
        <v>280063.44</v>
      </c>
      <c r="V1584" s="66">
        <f t="shared" si="68"/>
        <v>0.05000065235</v>
      </c>
      <c r="W1584" s="67">
        <f t="shared" si="5"/>
        <v>229362.3</v>
      </c>
      <c r="X1584" s="67">
        <f t="shared" si="61"/>
        <v>36697.968</v>
      </c>
      <c r="Y1584" s="67">
        <f t="shared" si="62"/>
        <v>266060.268</v>
      </c>
      <c r="Z1584" s="67">
        <f t="shared" si="8"/>
        <v>217290.6</v>
      </c>
      <c r="AA1584" s="67">
        <f t="shared" si="54"/>
        <v>34766.496</v>
      </c>
      <c r="AB1584" s="67">
        <f t="shared" si="55"/>
        <v>252057.096</v>
      </c>
      <c r="AC1584" s="67">
        <f t="shared" si="11"/>
        <v>217290.6</v>
      </c>
      <c r="AD1584" s="67">
        <f t="shared" si="56"/>
        <v>34766.496</v>
      </c>
      <c r="AE1584" s="67">
        <f t="shared" si="57"/>
        <v>252057.096</v>
      </c>
      <c r="AF1584" s="67">
        <f t="shared" si="33"/>
        <v>217290.6</v>
      </c>
      <c r="AG1584" s="67">
        <f t="shared" si="58"/>
        <v>34766.496</v>
      </c>
      <c r="AH1584" s="67">
        <f t="shared" si="59"/>
        <v>252057.096</v>
      </c>
      <c r="AI1584" s="67">
        <f t="shared" si="17"/>
        <v>217290.6</v>
      </c>
      <c r="AJ1584" s="111">
        <f t="shared" si="66"/>
        <v>34766.496</v>
      </c>
      <c r="AK1584" s="111">
        <f t="shared" si="67"/>
        <v>252057.096</v>
      </c>
      <c r="AL1584" s="70"/>
      <c r="AM1584" s="70"/>
      <c r="AN1584" s="71"/>
      <c r="AO1584" s="71"/>
      <c r="AP1584" s="71"/>
      <c r="AQ1584" s="71"/>
      <c r="AR1584" s="71"/>
      <c r="AS1584" s="71"/>
      <c r="AT1584" s="71"/>
      <c r="AU1584" s="71"/>
      <c r="AV1584" s="71"/>
      <c r="AW1584" s="71"/>
      <c r="AX1584" s="71"/>
      <c r="AY1584" s="71"/>
      <c r="AZ1584" s="71"/>
      <c r="BA1584" s="71"/>
      <c r="BB1584" s="71"/>
      <c r="BC1584" s="71"/>
      <c r="BD1584" s="71"/>
      <c r="BE1584" s="71"/>
      <c r="BF1584" s="71"/>
      <c r="BG1584" s="71"/>
      <c r="BH1584" s="71"/>
      <c r="BI1584" s="71"/>
      <c r="BJ1584" s="71"/>
      <c r="BK1584" s="71"/>
      <c r="BL1584" s="71"/>
      <c r="BM1584" s="71"/>
      <c r="BN1584" s="71"/>
      <c r="BO1584" s="71"/>
      <c r="BP1584" s="71"/>
      <c r="BQ1584" s="71"/>
      <c r="BR1584" s="71"/>
      <c r="BS1584" s="71"/>
      <c r="BT1584" s="71"/>
      <c r="BU1584" s="71"/>
      <c r="BV1584" s="71"/>
    </row>
    <row r="1585">
      <c r="A1585" s="53"/>
      <c r="B1585" s="53">
        <v>3.0</v>
      </c>
      <c r="C1585" s="53" t="s">
        <v>36</v>
      </c>
      <c r="D1585" s="98" t="s">
        <v>3957</v>
      </c>
      <c r="E1585" s="54" t="s">
        <v>38</v>
      </c>
      <c r="F1585" s="55" t="s">
        <v>61</v>
      </c>
      <c r="G1585" s="84" t="s">
        <v>3958</v>
      </c>
      <c r="H1585" s="55"/>
      <c r="I1585" s="54">
        <f t="shared" si="24"/>
        <v>0</v>
      </c>
      <c r="J1585" s="56"/>
      <c r="K1585" s="57"/>
      <c r="L1585" s="76"/>
      <c r="M1585" s="59"/>
      <c r="N1585" s="60"/>
      <c r="O1585" s="61">
        <v>257046.0</v>
      </c>
      <c r="P1585" s="62">
        <v>277609.68</v>
      </c>
      <c r="Q1585" s="63">
        <v>277609.68</v>
      </c>
      <c r="R1585" s="78">
        <v>312461.0</v>
      </c>
      <c r="S1585" s="107">
        <v>328084.0</v>
      </c>
      <c r="T1585" s="65">
        <f t="shared" si="39"/>
        <v>52493.44</v>
      </c>
      <c r="U1585" s="65">
        <f t="shared" si="40"/>
        <v>380577.44</v>
      </c>
      <c r="V1585" s="66">
        <f t="shared" si="68"/>
        <v>0.04999983998</v>
      </c>
      <c r="W1585" s="67">
        <f t="shared" si="5"/>
        <v>311679.8</v>
      </c>
      <c r="X1585" s="67">
        <f t="shared" si="61"/>
        <v>49868.768</v>
      </c>
      <c r="Y1585" s="67">
        <f t="shared" si="62"/>
        <v>361548.568</v>
      </c>
      <c r="Z1585" s="67">
        <f t="shared" si="8"/>
        <v>295275.6</v>
      </c>
      <c r="AA1585" s="67">
        <f t="shared" si="54"/>
        <v>47244.096</v>
      </c>
      <c r="AB1585" s="67">
        <f t="shared" si="55"/>
        <v>342519.696</v>
      </c>
      <c r="AC1585" s="67">
        <f t="shared" si="11"/>
        <v>295275.6</v>
      </c>
      <c r="AD1585" s="67">
        <f t="shared" si="56"/>
        <v>47244.096</v>
      </c>
      <c r="AE1585" s="67">
        <f t="shared" si="57"/>
        <v>342519.696</v>
      </c>
      <c r="AF1585" s="67">
        <f t="shared" si="33"/>
        <v>295275.6</v>
      </c>
      <c r="AG1585" s="67">
        <f t="shared" si="58"/>
        <v>47244.096</v>
      </c>
      <c r="AH1585" s="67">
        <f t="shared" si="59"/>
        <v>342519.696</v>
      </c>
      <c r="AI1585" s="67">
        <f t="shared" si="17"/>
        <v>295275.6</v>
      </c>
      <c r="AJ1585" s="68">
        <f t="shared" si="66"/>
        <v>47244.096</v>
      </c>
      <c r="AK1585" s="68">
        <f t="shared" si="67"/>
        <v>342519.696</v>
      </c>
      <c r="AL1585" s="70"/>
      <c r="AM1585" s="70"/>
      <c r="AN1585" s="71"/>
      <c r="AO1585" s="71"/>
      <c r="AP1585" s="71"/>
      <c r="AQ1585" s="71"/>
      <c r="AR1585" s="71"/>
      <c r="AS1585" s="71"/>
      <c r="AT1585" s="71"/>
      <c r="AU1585" s="71"/>
      <c r="AV1585" s="71"/>
      <c r="AW1585" s="71"/>
      <c r="AX1585" s="71"/>
      <c r="AY1585" s="71"/>
      <c r="AZ1585" s="71"/>
      <c r="BA1585" s="71"/>
      <c r="BB1585" s="71"/>
      <c r="BC1585" s="71"/>
      <c r="BD1585" s="71"/>
      <c r="BE1585" s="71"/>
      <c r="BF1585" s="71"/>
      <c r="BG1585" s="71"/>
      <c r="BH1585" s="71"/>
      <c r="BI1585" s="71"/>
      <c r="BJ1585" s="71"/>
      <c r="BK1585" s="71"/>
      <c r="BL1585" s="71"/>
      <c r="BM1585" s="71"/>
      <c r="BN1585" s="71"/>
      <c r="BO1585" s="71"/>
      <c r="BP1585" s="71"/>
      <c r="BQ1585" s="71"/>
      <c r="BR1585" s="71"/>
      <c r="BS1585" s="71"/>
      <c r="BT1585" s="71"/>
      <c r="BU1585" s="71"/>
      <c r="BV1585" s="71"/>
    </row>
    <row r="1586">
      <c r="A1586" s="53"/>
      <c r="B1586" s="53">
        <v>3.0</v>
      </c>
      <c r="C1586" s="53" t="s">
        <v>36</v>
      </c>
      <c r="D1586" s="120" t="s">
        <v>3959</v>
      </c>
      <c r="E1586" s="54" t="s">
        <v>38</v>
      </c>
      <c r="F1586" s="55" t="s">
        <v>61</v>
      </c>
      <c r="G1586" s="84" t="s">
        <v>3960</v>
      </c>
      <c r="H1586" s="55"/>
      <c r="I1586" s="54">
        <f t="shared" si="24"/>
        <v>0</v>
      </c>
      <c r="J1586" s="56"/>
      <c r="K1586" s="57"/>
      <c r="L1586" s="76"/>
      <c r="M1586" s="59"/>
      <c r="N1586" s="60"/>
      <c r="O1586" s="61">
        <v>267268.0</v>
      </c>
      <c r="P1586" s="62">
        <v>288649.44</v>
      </c>
      <c r="Q1586" s="63">
        <v>288649.44</v>
      </c>
      <c r="R1586" s="78">
        <v>310236.0</v>
      </c>
      <c r="S1586" s="107">
        <v>325748.0</v>
      </c>
      <c r="T1586" s="65">
        <f t="shared" si="39"/>
        <v>52119.68</v>
      </c>
      <c r="U1586" s="65">
        <f t="shared" si="40"/>
        <v>377867.68</v>
      </c>
      <c r="V1586" s="66">
        <f t="shared" si="68"/>
        <v>0.05000064467</v>
      </c>
      <c r="W1586" s="67">
        <f t="shared" si="5"/>
        <v>309460.6</v>
      </c>
      <c r="X1586" s="67">
        <f t="shared" si="61"/>
        <v>49513.696</v>
      </c>
      <c r="Y1586" s="67">
        <f t="shared" si="62"/>
        <v>358974.296</v>
      </c>
      <c r="Z1586" s="67">
        <f t="shared" si="8"/>
        <v>293173.2</v>
      </c>
      <c r="AA1586" s="67">
        <f t="shared" si="54"/>
        <v>46907.712</v>
      </c>
      <c r="AB1586" s="67">
        <f t="shared" si="55"/>
        <v>340080.912</v>
      </c>
      <c r="AC1586" s="67">
        <f t="shared" si="11"/>
        <v>293173.2</v>
      </c>
      <c r="AD1586" s="67">
        <f t="shared" si="56"/>
        <v>46907.712</v>
      </c>
      <c r="AE1586" s="67">
        <f t="shared" si="57"/>
        <v>340080.912</v>
      </c>
      <c r="AF1586" s="67">
        <f t="shared" si="33"/>
        <v>293173.2</v>
      </c>
      <c r="AG1586" s="67">
        <f t="shared" si="58"/>
        <v>46907.712</v>
      </c>
      <c r="AH1586" s="67">
        <f t="shared" si="59"/>
        <v>340080.912</v>
      </c>
      <c r="AI1586" s="67">
        <f t="shared" si="17"/>
        <v>293173.2</v>
      </c>
      <c r="AJ1586" s="68">
        <f t="shared" si="66"/>
        <v>46907.712</v>
      </c>
      <c r="AK1586" s="68">
        <f t="shared" si="67"/>
        <v>340080.912</v>
      </c>
      <c r="AL1586" s="70"/>
      <c r="AM1586" s="70"/>
      <c r="AN1586" s="71"/>
      <c r="AO1586" s="71"/>
      <c r="AP1586" s="71"/>
      <c r="AQ1586" s="71"/>
      <c r="AR1586" s="71"/>
      <c r="AS1586" s="71"/>
      <c r="AT1586" s="71"/>
      <c r="AU1586" s="71"/>
      <c r="AV1586" s="71"/>
      <c r="AW1586" s="71"/>
      <c r="AX1586" s="71"/>
      <c r="AY1586" s="71"/>
      <c r="AZ1586" s="71"/>
      <c r="BA1586" s="71"/>
      <c r="BB1586" s="71"/>
      <c r="BC1586" s="71"/>
      <c r="BD1586" s="71"/>
      <c r="BE1586" s="71"/>
      <c r="BF1586" s="71"/>
      <c r="BG1586" s="71"/>
      <c r="BH1586" s="71"/>
      <c r="BI1586" s="71"/>
      <c r="BJ1586" s="71"/>
      <c r="BK1586" s="71"/>
      <c r="BL1586" s="71"/>
      <c r="BM1586" s="71"/>
      <c r="BN1586" s="71"/>
      <c r="BO1586" s="71"/>
      <c r="BP1586" s="71"/>
      <c r="BQ1586" s="71"/>
      <c r="BR1586" s="71"/>
      <c r="BS1586" s="71"/>
      <c r="BT1586" s="71"/>
      <c r="BU1586" s="71"/>
      <c r="BV1586" s="71"/>
    </row>
    <row r="1587">
      <c r="A1587" s="53"/>
      <c r="B1587" s="53">
        <v>3.0</v>
      </c>
      <c r="C1587" s="53" t="s">
        <v>36</v>
      </c>
      <c r="D1587" s="171" t="s">
        <v>3961</v>
      </c>
      <c r="E1587" s="54" t="s">
        <v>38</v>
      </c>
      <c r="F1587" s="55" t="s">
        <v>61</v>
      </c>
      <c r="G1587" s="84" t="s">
        <v>3962</v>
      </c>
      <c r="H1587" s="55"/>
      <c r="I1587" s="54">
        <f t="shared" si="24"/>
        <v>0</v>
      </c>
      <c r="J1587" s="56"/>
      <c r="K1587" s="57"/>
      <c r="L1587" s="76"/>
      <c r="M1587" s="59"/>
      <c r="N1587" s="60"/>
      <c r="O1587" s="61">
        <v>250032.0</v>
      </c>
      <c r="P1587" s="62">
        <v>270034.56</v>
      </c>
      <c r="Q1587" s="63">
        <v>270034.56</v>
      </c>
      <c r="R1587" s="64">
        <v>297714.0</v>
      </c>
      <c r="S1587" s="107">
        <v>312600.0</v>
      </c>
      <c r="T1587" s="65">
        <f t="shared" si="39"/>
        <v>50016</v>
      </c>
      <c r="U1587" s="65">
        <f t="shared" si="40"/>
        <v>362616</v>
      </c>
      <c r="V1587" s="66">
        <f t="shared" si="68"/>
        <v>0.05000100768</v>
      </c>
      <c r="W1587" s="67">
        <f t="shared" si="5"/>
        <v>296970</v>
      </c>
      <c r="X1587" s="67">
        <f t="shared" si="61"/>
        <v>47515.2</v>
      </c>
      <c r="Y1587" s="67">
        <f t="shared" si="62"/>
        <v>344485.2</v>
      </c>
      <c r="Z1587" s="67">
        <f t="shared" si="8"/>
        <v>281340</v>
      </c>
      <c r="AA1587" s="67">
        <f t="shared" si="54"/>
        <v>45014.4</v>
      </c>
      <c r="AB1587" s="67">
        <f t="shared" si="55"/>
        <v>326354.4</v>
      </c>
      <c r="AC1587" s="67">
        <f t="shared" si="11"/>
        <v>281340</v>
      </c>
      <c r="AD1587" s="67">
        <f t="shared" si="56"/>
        <v>45014.4</v>
      </c>
      <c r="AE1587" s="67">
        <f t="shared" si="57"/>
        <v>326354.4</v>
      </c>
      <c r="AF1587" s="67">
        <f t="shared" si="33"/>
        <v>281340</v>
      </c>
      <c r="AG1587" s="67">
        <f t="shared" si="58"/>
        <v>45014.4</v>
      </c>
      <c r="AH1587" s="67">
        <f t="shared" si="59"/>
        <v>326354.4</v>
      </c>
      <c r="AI1587" s="67">
        <f t="shared" si="17"/>
        <v>281340</v>
      </c>
      <c r="AJ1587" s="68">
        <f t="shared" si="66"/>
        <v>45014.4</v>
      </c>
      <c r="AK1587" s="68">
        <f t="shared" si="67"/>
        <v>326354.4</v>
      </c>
      <c r="AL1587" s="70"/>
      <c r="AM1587" s="70"/>
      <c r="AN1587" s="71"/>
      <c r="AO1587" s="71"/>
      <c r="AP1587" s="71"/>
      <c r="AQ1587" s="71"/>
      <c r="AR1587" s="71"/>
      <c r="AS1587" s="71"/>
      <c r="AT1587" s="71"/>
      <c r="AU1587" s="71"/>
      <c r="AV1587" s="71"/>
      <c r="AW1587" s="71"/>
      <c r="AX1587" s="71"/>
      <c r="AY1587" s="71"/>
      <c r="AZ1587" s="71"/>
      <c r="BA1587" s="71"/>
      <c r="BB1587" s="71"/>
      <c r="BC1587" s="71"/>
      <c r="BD1587" s="71"/>
      <c r="BE1587" s="71"/>
      <c r="BF1587" s="71"/>
      <c r="BG1587" s="71"/>
      <c r="BH1587" s="71"/>
      <c r="BI1587" s="71"/>
      <c r="BJ1587" s="71"/>
      <c r="BK1587" s="71"/>
      <c r="BL1587" s="71"/>
      <c r="BM1587" s="71"/>
      <c r="BN1587" s="71"/>
      <c r="BO1587" s="71"/>
      <c r="BP1587" s="71"/>
      <c r="BQ1587" s="71"/>
      <c r="BR1587" s="71"/>
      <c r="BS1587" s="71"/>
      <c r="BT1587" s="71"/>
      <c r="BU1587" s="71"/>
      <c r="BV1587" s="71"/>
    </row>
    <row r="1588">
      <c r="A1588" s="53"/>
      <c r="B1588" s="53">
        <v>3.0</v>
      </c>
      <c r="C1588" s="53" t="s">
        <v>36</v>
      </c>
      <c r="D1588" s="98" t="s">
        <v>3963</v>
      </c>
      <c r="E1588" s="54" t="s">
        <v>38</v>
      </c>
      <c r="F1588" s="55" t="s">
        <v>61</v>
      </c>
      <c r="G1588" s="84" t="s">
        <v>3964</v>
      </c>
      <c r="H1588" s="55"/>
      <c r="I1588" s="54">
        <f t="shared" si="24"/>
        <v>0</v>
      </c>
      <c r="J1588" s="56"/>
      <c r="K1588" s="57"/>
      <c r="L1588" s="76"/>
      <c r="M1588" s="59"/>
      <c r="N1588" s="60"/>
      <c r="O1588" s="61">
        <v>248520.0</v>
      </c>
      <c r="P1588" s="62">
        <v>268401.60000000003</v>
      </c>
      <c r="Q1588" s="63">
        <v>268401.60000000003</v>
      </c>
      <c r="R1588" s="64">
        <v>295914.0</v>
      </c>
      <c r="S1588" s="107">
        <v>310710.0</v>
      </c>
      <c r="T1588" s="65">
        <f t="shared" si="39"/>
        <v>49713.6</v>
      </c>
      <c r="U1588" s="65">
        <f t="shared" si="40"/>
        <v>360423.6</v>
      </c>
      <c r="V1588" s="66">
        <f t="shared" si="68"/>
        <v>0.05000101381</v>
      </c>
      <c r="W1588" s="67">
        <f t="shared" si="5"/>
        <v>295174.5</v>
      </c>
      <c r="X1588" s="67">
        <f t="shared" si="61"/>
        <v>47227.92</v>
      </c>
      <c r="Y1588" s="67">
        <f t="shared" si="62"/>
        <v>342402.42</v>
      </c>
      <c r="Z1588" s="67">
        <f t="shared" si="8"/>
        <v>279639</v>
      </c>
      <c r="AA1588" s="67">
        <f t="shared" si="54"/>
        <v>44742.24</v>
      </c>
      <c r="AB1588" s="67">
        <f t="shared" si="55"/>
        <v>324381.24</v>
      </c>
      <c r="AC1588" s="67">
        <f t="shared" si="11"/>
        <v>279639</v>
      </c>
      <c r="AD1588" s="67">
        <f t="shared" si="56"/>
        <v>44742.24</v>
      </c>
      <c r="AE1588" s="67">
        <f t="shared" si="57"/>
        <v>324381.24</v>
      </c>
      <c r="AF1588" s="67">
        <f t="shared" si="33"/>
        <v>279639</v>
      </c>
      <c r="AG1588" s="67">
        <f t="shared" si="58"/>
        <v>44742.24</v>
      </c>
      <c r="AH1588" s="67">
        <f t="shared" si="59"/>
        <v>324381.24</v>
      </c>
      <c r="AI1588" s="67">
        <f t="shared" si="17"/>
        <v>279639</v>
      </c>
      <c r="AJ1588" s="68">
        <f t="shared" si="66"/>
        <v>44742.24</v>
      </c>
      <c r="AK1588" s="68">
        <f t="shared" si="67"/>
        <v>324381.24</v>
      </c>
      <c r="AL1588" s="70"/>
      <c r="AM1588" s="70"/>
      <c r="AN1588" s="71"/>
      <c r="AO1588" s="71"/>
      <c r="AP1588" s="71"/>
      <c r="AQ1588" s="71"/>
      <c r="AR1588" s="71"/>
      <c r="AS1588" s="71"/>
      <c r="AT1588" s="71"/>
      <c r="AU1588" s="71"/>
      <c r="AV1588" s="71"/>
      <c r="AW1588" s="71"/>
      <c r="AX1588" s="71"/>
      <c r="AY1588" s="71"/>
      <c r="AZ1588" s="71"/>
      <c r="BA1588" s="71"/>
      <c r="BB1588" s="71"/>
      <c r="BC1588" s="71"/>
      <c r="BD1588" s="71"/>
      <c r="BE1588" s="71"/>
      <c r="BF1588" s="71"/>
      <c r="BG1588" s="71"/>
      <c r="BH1588" s="71"/>
      <c r="BI1588" s="71"/>
      <c r="BJ1588" s="71"/>
      <c r="BK1588" s="71"/>
      <c r="BL1588" s="71"/>
      <c r="BM1588" s="71"/>
      <c r="BN1588" s="71"/>
      <c r="BO1588" s="71"/>
      <c r="BP1588" s="71"/>
      <c r="BQ1588" s="71"/>
      <c r="BR1588" s="71"/>
      <c r="BS1588" s="71"/>
      <c r="BT1588" s="71"/>
      <c r="BU1588" s="71"/>
      <c r="BV1588" s="71"/>
    </row>
    <row r="1589">
      <c r="A1589" s="53"/>
      <c r="B1589" s="53">
        <v>0.0</v>
      </c>
      <c r="C1589" s="53" t="s">
        <v>36</v>
      </c>
      <c r="D1589" s="98" t="s">
        <v>3965</v>
      </c>
      <c r="E1589" s="54" t="s">
        <v>38</v>
      </c>
      <c r="F1589" s="55" t="s">
        <v>61</v>
      </c>
      <c r="G1589" s="84" t="s">
        <v>3966</v>
      </c>
      <c r="H1589" s="55"/>
      <c r="I1589" s="54">
        <f t="shared" si="24"/>
        <v>0</v>
      </c>
      <c r="J1589" s="56"/>
      <c r="K1589" s="57"/>
      <c r="L1589" s="76" t="s">
        <v>1369</v>
      </c>
      <c r="M1589" s="59"/>
      <c r="N1589" s="60"/>
      <c r="O1589" s="61">
        <v>257046.0</v>
      </c>
      <c r="P1589" s="62">
        <v>277609.68</v>
      </c>
      <c r="Q1589" s="63">
        <v>277609.68</v>
      </c>
      <c r="R1589" s="64">
        <v>322461.0</v>
      </c>
      <c r="S1589" s="107">
        <v>338584.0</v>
      </c>
      <c r="T1589" s="65">
        <f t="shared" si="39"/>
        <v>54173.44</v>
      </c>
      <c r="U1589" s="65">
        <f t="shared" si="40"/>
        <v>392757.44</v>
      </c>
      <c r="V1589" s="66">
        <f t="shared" si="68"/>
        <v>0.04999984494</v>
      </c>
      <c r="W1589" s="67" t="b">
        <f t="shared" si="5"/>
        <v>0</v>
      </c>
      <c r="X1589" s="67">
        <f t="shared" si="61"/>
        <v>0</v>
      </c>
      <c r="Y1589" s="67">
        <f t="shared" si="62"/>
        <v>0</v>
      </c>
      <c r="Z1589" s="67" t="b">
        <f t="shared" si="8"/>
        <v>0</v>
      </c>
      <c r="AA1589" s="67">
        <f t="shared" si="54"/>
        <v>0</v>
      </c>
      <c r="AB1589" s="67">
        <f t="shared" si="55"/>
        <v>0</v>
      </c>
      <c r="AC1589" s="67" t="b">
        <f t="shared" si="11"/>
        <v>0</v>
      </c>
      <c r="AD1589" s="67">
        <f t="shared" si="56"/>
        <v>0</v>
      </c>
      <c r="AE1589" s="67">
        <f t="shared" si="57"/>
        <v>0</v>
      </c>
      <c r="AF1589" s="67" t="b">
        <f t="shared" si="33"/>
        <v>0</v>
      </c>
      <c r="AG1589" s="67">
        <f t="shared" si="58"/>
        <v>0</v>
      </c>
      <c r="AH1589" s="67">
        <f t="shared" si="59"/>
        <v>0</v>
      </c>
      <c r="AI1589" s="67" t="b">
        <f t="shared" si="17"/>
        <v>0</v>
      </c>
      <c r="AJ1589" s="68">
        <f t="shared" si="66"/>
        <v>0</v>
      </c>
      <c r="AK1589" s="68">
        <f t="shared" si="67"/>
        <v>0</v>
      </c>
      <c r="AL1589" s="70"/>
      <c r="AM1589" s="70"/>
      <c r="AN1589" s="71"/>
      <c r="AO1589" s="71"/>
      <c r="AP1589" s="71"/>
      <c r="AQ1589" s="71"/>
      <c r="AR1589" s="71"/>
      <c r="AS1589" s="71"/>
      <c r="AT1589" s="71"/>
      <c r="AU1589" s="71"/>
      <c r="AV1589" s="71"/>
      <c r="AW1589" s="71"/>
      <c r="AX1589" s="71"/>
      <c r="AY1589" s="71"/>
      <c r="AZ1589" s="71"/>
      <c r="BA1589" s="71"/>
      <c r="BB1589" s="71"/>
      <c r="BC1589" s="71"/>
      <c r="BD1589" s="71"/>
      <c r="BE1589" s="71"/>
      <c r="BF1589" s="71"/>
      <c r="BG1589" s="71"/>
      <c r="BH1589" s="71"/>
      <c r="BI1589" s="71"/>
      <c r="BJ1589" s="71"/>
      <c r="BK1589" s="71"/>
      <c r="BL1589" s="71"/>
      <c r="BM1589" s="71"/>
      <c r="BN1589" s="71"/>
      <c r="BO1589" s="71"/>
      <c r="BP1589" s="71"/>
      <c r="BQ1589" s="71"/>
      <c r="BR1589" s="71"/>
      <c r="BS1589" s="71"/>
      <c r="BT1589" s="71"/>
      <c r="BU1589" s="71"/>
      <c r="BV1589" s="71"/>
    </row>
    <row r="1590">
      <c r="A1590" s="53"/>
      <c r="B1590" s="53">
        <v>3.0</v>
      </c>
      <c r="C1590" s="53" t="s">
        <v>36</v>
      </c>
      <c r="D1590" s="171" t="s">
        <v>3967</v>
      </c>
      <c r="E1590" s="54" t="s">
        <v>38</v>
      </c>
      <c r="F1590" s="55" t="s">
        <v>61</v>
      </c>
      <c r="G1590" s="147" t="s">
        <v>3968</v>
      </c>
      <c r="H1590" s="55"/>
      <c r="I1590" s="54">
        <f t="shared" si="24"/>
        <v>0</v>
      </c>
      <c r="J1590" s="56"/>
      <c r="K1590" s="57"/>
      <c r="L1590" s="76"/>
      <c r="M1590" s="59"/>
      <c r="N1590" s="60"/>
      <c r="O1590" s="61">
        <v>126407.0</v>
      </c>
      <c r="P1590" s="62">
        <v>136519.56</v>
      </c>
      <c r="Q1590" s="63">
        <v>136519.56</v>
      </c>
      <c r="R1590" s="64">
        <v>150514.0</v>
      </c>
      <c r="S1590" s="107">
        <v>158040.0</v>
      </c>
      <c r="T1590" s="65">
        <f t="shared" si="39"/>
        <v>25286.4</v>
      </c>
      <c r="U1590" s="65">
        <f t="shared" si="40"/>
        <v>183326.4</v>
      </c>
      <c r="V1590" s="66">
        <f t="shared" si="68"/>
        <v>0.05000199317</v>
      </c>
      <c r="W1590" s="67">
        <f t="shared" si="5"/>
        <v>150138</v>
      </c>
      <c r="X1590" s="67">
        <f t="shared" si="61"/>
        <v>24022.08</v>
      </c>
      <c r="Y1590" s="67">
        <f t="shared" si="62"/>
        <v>174160.08</v>
      </c>
      <c r="Z1590" s="67">
        <f t="shared" si="8"/>
        <v>142236</v>
      </c>
      <c r="AA1590" s="67">
        <f t="shared" si="54"/>
        <v>22757.76</v>
      </c>
      <c r="AB1590" s="67">
        <f t="shared" si="55"/>
        <v>164993.76</v>
      </c>
      <c r="AC1590" s="67">
        <f t="shared" si="11"/>
        <v>142236</v>
      </c>
      <c r="AD1590" s="67">
        <f t="shared" si="56"/>
        <v>22757.76</v>
      </c>
      <c r="AE1590" s="67">
        <f t="shared" si="57"/>
        <v>164993.76</v>
      </c>
      <c r="AF1590" s="67">
        <f t="shared" si="33"/>
        <v>142236</v>
      </c>
      <c r="AG1590" s="67">
        <f t="shared" si="58"/>
        <v>22757.76</v>
      </c>
      <c r="AH1590" s="67">
        <f t="shared" si="59"/>
        <v>164993.76</v>
      </c>
      <c r="AI1590" s="67">
        <f t="shared" si="17"/>
        <v>142236</v>
      </c>
      <c r="AJ1590" s="68">
        <f t="shared" si="66"/>
        <v>22757.76</v>
      </c>
      <c r="AK1590" s="68">
        <f t="shared" si="67"/>
        <v>164993.76</v>
      </c>
      <c r="AL1590" s="70"/>
      <c r="AM1590" s="70"/>
      <c r="AN1590" s="71"/>
      <c r="AO1590" s="71"/>
      <c r="AP1590" s="71"/>
      <c r="AQ1590" s="71"/>
      <c r="AR1590" s="71"/>
      <c r="AS1590" s="71"/>
      <c r="AT1590" s="71"/>
      <c r="AU1590" s="71"/>
      <c r="AV1590" s="71"/>
      <c r="AW1590" s="71"/>
      <c r="AX1590" s="71"/>
      <c r="AY1590" s="71"/>
      <c r="AZ1590" s="71"/>
      <c r="BA1590" s="71"/>
      <c r="BB1590" s="71"/>
      <c r="BC1590" s="71"/>
      <c r="BD1590" s="71"/>
      <c r="BE1590" s="71"/>
      <c r="BF1590" s="71"/>
      <c r="BG1590" s="71"/>
      <c r="BH1590" s="71"/>
      <c r="BI1590" s="71"/>
      <c r="BJ1590" s="71"/>
      <c r="BK1590" s="71"/>
      <c r="BL1590" s="71"/>
      <c r="BM1590" s="71"/>
      <c r="BN1590" s="71"/>
      <c r="BO1590" s="71"/>
      <c r="BP1590" s="71"/>
      <c r="BQ1590" s="71"/>
      <c r="BR1590" s="71"/>
      <c r="BS1590" s="71"/>
      <c r="BT1590" s="71"/>
      <c r="BU1590" s="71"/>
      <c r="BV1590" s="71"/>
    </row>
    <row r="1591">
      <c r="A1591" s="53"/>
      <c r="B1591" s="53">
        <v>3.0</v>
      </c>
      <c r="C1591" s="53" t="s">
        <v>36</v>
      </c>
      <c r="D1591" s="172" t="s">
        <v>3969</v>
      </c>
      <c r="E1591" s="54" t="s">
        <v>38</v>
      </c>
      <c r="F1591" s="55" t="s">
        <v>61</v>
      </c>
      <c r="G1591" s="147" t="s">
        <v>3970</v>
      </c>
      <c r="H1591" s="55"/>
      <c r="I1591" s="54">
        <f t="shared" si="24"/>
        <v>0</v>
      </c>
      <c r="J1591" s="56"/>
      <c r="K1591" s="57"/>
      <c r="L1591" s="76"/>
      <c r="M1591" s="59"/>
      <c r="N1591" s="60"/>
      <c r="O1591" s="61">
        <v>124895.0</v>
      </c>
      <c r="P1591" s="62">
        <v>134886.6</v>
      </c>
      <c r="Q1591" s="63">
        <v>134886.6</v>
      </c>
      <c r="R1591" s="64">
        <v>148713.0</v>
      </c>
      <c r="S1591" s="107">
        <v>156149.0</v>
      </c>
      <c r="T1591" s="65">
        <f t="shared" si="39"/>
        <v>24983.84</v>
      </c>
      <c r="U1591" s="65">
        <f t="shared" si="40"/>
        <v>181132.84</v>
      </c>
      <c r="V1591" s="66">
        <f t="shared" si="68"/>
        <v>0.05000235353</v>
      </c>
      <c r="W1591" s="67">
        <f t="shared" si="5"/>
        <v>148341.55</v>
      </c>
      <c r="X1591" s="67">
        <f t="shared" si="61"/>
        <v>23734.648</v>
      </c>
      <c r="Y1591" s="67">
        <f t="shared" si="62"/>
        <v>172076.198</v>
      </c>
      <c r="Z1591" s="67">
        <f t="shared" si="8"/>
        <v>140534.1</v>
      </c>
      <c r="AA1591" s="67">
        <f t="shared" si="54"/>
        <v>22485.456</v>
      </c>
      <c r="AB1591" s="67">
        <f t="shared" si="55"/>
        <v>163019.556</v>
      </c>
      <c r="AC1591" s="67">
        <f t="shared" si="11"/>
        <v>140534.1</v>
      </c>
      <c r="AD1591" s="67">
        <f t="shared" si="56"/>
        <v>22485.456</v>
      </c>
      <c r="AE1591" s="67">
        <f t="shared" si="57"/>
        <v>163019.556</v>
      </c>
      <c r="AF1591" s="67">
        <f t="shared" si="33"/>
        <v>140534.1</v>
      </c>
      <c r="AG1591" s="67">
        <f t="shared" si="58"/>
        <v>22485.456</v>
      </c>
      <c r="AH1591" s="67">
        <f t="shared" si="59"/>
        <v>163019.556</v>
      </c>
      <c r="AI1591" s="67">
        <f t="shared" si="17"/>
        <v>140534.1</v>
      </c>
      <c r="AJ1591" s="68">
        <f t="shared" si="66"/>
        <v>22485.456</v>
      </c>
      <c r="AK1591" s="68">
        <f t="shared" si="67"/>
        <v>163019.556</v>
      </c>
      <c r="AL1591" s="70"/>
      <c r="AM1591" s="70"/>
      <c r="AN1591" s="71"/>
      <c r="AO1591" s="71"/>
      <c r="AP1591" s="71"/>
      <c r="AQ1591" s="71"/>
      <c r="AR1591" s="71"/>
      <c r="AS1591" s="71"/>
      <c r="AT1591" s="71"/>
      <c r="AU1591" s="71"/>
      <c r="AV1591" s="71"/>
      <c r="AW1591" s="71"/>
      <c r="AX1591" s="71"/>
      <c r="AY1591" s="71"/>
      <c r="AZ1591" s="71"/>
      <c r="BA1591" s="71"/>
      <c r="BB1591" s="71"/>
      <c r="BC1591" s="71"/>
      <c r="BD1591" s="71"/>
      <c r="BE1591" s="71"/>
      <c r="BF1591" s="71"/>
      <c r="BG1591" s="71"/>
      <c r="BH1591" s="71"/>
      <c r="BI1591" s="71"/>
      <c r="BJ1591" s="71"/>
      <c r="BK1591" s="71"/>
      <c r="BL1591" s="71"/>
      <c r="BM1591" s="71"/>
      <c r="BN1591" s="71"/>
      <c r="BO1591" s="71"/>
      <c r="BP1591" s="71"/>
      <c r="BQ1591" s="71"/>
      <c r="BR1591" s="71"/>
      <c r="BS1591" s="71"/>
      <c r="BT1591" s="71"/>
      <c r="BU1591" s="71"/>
      <c r="BV1591" s="71"/>
    </row>
    <row r="1592">
      <c r="A1592" s="53"/>
      <c r="B1592" s="53">
        <v>3.0</v>
      </c>
      <c r="C1592" s="53" t="s">
        <v>36</v>
      </c>
      <c r="D1592" s="171" t="s">
        <v>3971</v>
      </c>
      <c r="E1592" s="54" t="s">
        <v>38</v>
      </c>
      <c r="F1592" s="55" t="s">
        <v>61</v>
      </c>
      <c r="G1592" s="147" t="s">
        <v>3972</v>
      </c>
      <c r="H1592" s="55"/>
      <c r="I1592" s="54">
        <f t="shared" si="24"/>
        <v>0</v>
      </c>
      <c r="J1592" s="56"/>
      <c r="K1592" s="57"/>
      <c r="L1592" s="76"/>
      <c r="M1592" s="59"/>
      <c r="N1592" s="60"/>
      <c r="O1592" s="61">
        <v>116395.0</v>
      </c>
      <c r="P1592" s="62">
        <v>125706.6</v>
      </c>
      <c r="Q1592" s="63">
        <v>125706.6</v>
      </c>
      <c r="R1592" s="64">
        <v>138592.0</v>
      </c>
      <c r="S1592" s="107">
        <v>145522.0</v>
      </c>
      <c r="T1592" s="65">
        <f t="shared" si="39"/>
        <v>23283.52</v>
      </c>
      <c r="U1592" s="65">
        <f t="shared" si="40"/>
        <v>168805.52</v>
      </c>
      <c r="V1592" s="66">
        <f t="shared" si="68"/>
        <v>0.05000288617</v>
      </c>
      <c r="W1592" s="67">
        <f t="shared" si="5"/>
        <v>138245.9</v>
      </c>
      <c r="X1592" s="67">
        <f t="shared" si="61"/>
        <v>22119.344</v>
      </c>
      <c r="Y1592" s="67">
        <f t="shared" si="62"/>
        <v>160365.244</v>
      </c>
      <c r="Z1592" s="67">
        <f t="shared" si="8"/>
        <v>130969.8</v>
      </c>
      <c r="AA1592" s="67">
        <f t="shared" si="54"/>
        <v>20955.168</v>
      </c>
      <c r="AB1592" s="67">
        <f t="shared" si="55"/>
        <v>151924.968</v>
      </c>
      <c r="AC1592" s="67">
        <f t="shared" si="11"/>
        <v>130969.8</v>
      </c>
      <c r="AD1592" s="67">
        <f t="shared" si="56"/>
        <v>20955.168</v>
      </c>
      <c r="AE1592" s="67">
        <f t="shared" si="57"/>
        <v>151924.968</v>
      </c>
      <c r="AF1592" s="67">
        <f t="shared" si="33"/>
        <v>130969.8</v>
      </c>
      <c r="AG1592" s="67">
        <f t="shared" si="58"/>
        <v>20955.168</v>
      </c>
      <c r="AH1592" s="67">
        <f t="shared" si="59"/>
        <v>151924.968</v>
      </c>
      <c r="AI1592" s="67">
        <f t="shared" si="17"/>
        <v>130969.8</v>
      </c>
      <c r="AJ1592" s="68">
        <f t="shared" si="66"/>
        <v>20955.168</v>
      </c>
      <c r="AK1592" s="68">
        <f t="shared" si="67"/>
        <v>151924.968</v>
      </c>
      <c r="AL1592" s="70"/>
      <c r="AM1592" s="70"/>
      <c r="AN1592" s="71"/>
      <c r="AO1592" s="71"/>
      <c r="AP1592" s="71"/>
      <c r="AQ1592" s="71"/>
      <c r="AR1592" s="71"/>
      <c r="AS1592" s="71"/>
      <c r="AT1592" s="71"/>
      <c r="AU1592" s="71"/>
      <c r="AV1592" s="71"/>
      <c r="AW1592" s="71"/>
      <c r="AX1592" s="71"/>
      <c r="AY1592" s="71"/>
      <c r="AZ1592" s="71"/>
      <c r="BA1592" s="71"/>
      <c r="BB1592" s="71"/>
      <c r="BC1592" s="71"/>
      <c r="BD1592" s="71"/>
      <c r="BE1592" s="71"/>
      <c r="BF1592" s="71"/>
      <c r="BG1592" s="71"/>
      <c r="BH1592" s="71"/>
      <c r="BI1592" s="71"/>
      <c r="BJ1592" s="71"/>
      <c r="BK1592" s="71"/>
      <c r="BL1592" s="71"/>
      <c r="BM1592" s="71"/>
      <c r="BN1592" s="71"/>
      <c r="BO1592" s="71"/>
      <c r="BP1592" s="71"/>
      <c r="BQ1592" s="71"/>
      <c r="BR1592" s="71"/>
      <c r="BS1592" s="71"/>
      <c r="BT1592" s="71"/>
      <c r="BU1592" s="71"/>
      <c r="BV1592" s="71"/>
    </row>
    <row r="1593">
      <c r="A1593" s="53"/>
      <c r="B1593" s="53">
        <v>3.0</v>
      </c>
      <c r="C1593" s="53" t="s">
        <v>36</v>
      </c>
      <c r="D1593" s="172" t="s">
        <v>3973</v>
      </c>
      <c r="E1593" s="54" t="s">
        <v>38</v>
      </c>
      <c r="F1593" s="55" t="s">
        <v>61</v>
      </c>
      <c r="G1593" s="147" t="s">
        <v>3974</v>
      </c>
      <c r="H1593" s="55"/>
      <c r="I1593" s="54">
        <f t="shared" si="24"/>
        <v>0</v>
      </c>
      <c r="J1593" s="56"/>
      <c r="K1593" s="57"/>
      <c r="L1593" s="76"/>
      <c r="M1593" s="59"/>
      <c r="N1593" s="60"/>
      <c r="O1593" s="61">
        <v>114883.0</v>
      </c>
      <c r="P1593" s="62">
        <v>124073.64000000001</v>
      </c>
      <c r="Q1593" s="63">
        <v>124073.64000000001</v>
      </c>
      <c r="R1593" s="64">
        <v>136792.0</v>
      </c>
      <c r="S1593" s="107">
        <v>143632.0</v>
      </c>
      <c r="T1593" s="65">
        <f t="shared" si="39"/>
        <v>22981.12</v>
      </c>
      <c r="U1593" s="65">
        <f t="shared" si="40"/>
        <v>166613.12</v>
      </c>
      <c r="V1593" s="66">
        <f t="shared" si="68"/>
        <v>0.05000292415</v>
      </c>
      <c r="W1593" s="67">
        <f t="shared" si="5"/>
        <v>136450.4</v>
      </c>
      <c r="X1593" s="67">
        <f t="shared" si="61"/>
        <v>21832.064</v>
      </c>
      <c r="Y1593" s="67">
        <f t="shared" si="62"/>
        <v>158282.464</v>
      </c>
      <c r="Z1593" s="67">
        <f t="shared" si="8"/>
        <v>129268.8</v>
      </c>
      <c r="AA1593" s="67">
        <f t="shared" si="54"/>
        <v>20683.008</v>
      </c>
      <c r="AB1593" s="67">
        <f t="shared" si="55"/>
        <v>149951.808</v>
      </c>
      <c r="AC1593" s="67">
        <f t="shared" si="11"/>
        <v>129268.8</v>
      </c>
      <c r="AD1593" s="67">
        <f t="shared" si="56"/>
        <v>20683.008</v>
      </c>
      <c r="AE1593" s="67">
        <f t="shared" si="57"/>
        <v>149951.808</v>
      </c>
      <c r="AF1593" s="67">
        <f t="shared" si="33"/>
        <v>129268.8</v>
      </c>
      <c r="AG1593" s="67">
        <f t="shared" si="58"/>
        <v>20683.008</v>
      </c>
      <c r="AH1593" s="67">
        <f t="shared" si="59"/>
        <v>149951.808</v>
      </c>
      <c r="AI1593" s="67">
        <f t="shared" si="17"/>
        <v>129268.8</v>
      </c>
      <c r="AJ1593" s="68">
        <f t="shared" si="66"/>
        <v>20683.008</v>
      </c>
      <c r="AK1593" s="68">
        <f t="shared" si="67"/>
        <v>149951.808</v>
      </c>
      <c r="AL1593" s="70"/>
      <c r="AM1593" s="70"/>
      <c r="AN1593" s="71"/>
      <c r="AO1593" s="71"/>
      <c r="AP1593" s="71"/>
      <c r="AQ1593" s="71"/>
      <c r="AR1593" s="71"/>
      <c r="AS1593" s="71"/>
      <c r="AT1593" s="71"/>
      <c r="AU1593" s="71"/>
      <c r="AV1593" s="71"/>
      <c r="AW1593" s="71"/>
      <c r="AX1593" s="71"/>
      <c r="AY1593" s="71"/>
      <c r="AZ1593" s="71"/>
      <c r="BA1593" s="71"/>
      <c r="BB1593" s="71"/>
      <c r="BC1593" s="71"/>
      <c r="BD1593" s="71"/>
      <c r="BE1593" s="71"/>
      <c r="BF1593" s="71"/>
      <c r="BG1593" s="71"/>
      <c r="BH1593" s="71"/>
      <c r="BI1593" s="71"/>
      <c r="BJ1593" s="71"/>
      <c r="BK1593" s="71"/>
      <c r="BL1593" s="71"/>
      <c r="BM1593" s="71"/>
      <c r="BN1593" s="71"/>
      <c r="BO1593" s="71"/>
      <c r="BP1593" s="71"/>
      <c r="BQ1593" s="71"/>
      <c r="BR1593" s="71"/>
      <c r="BS1593" s="71"/>
      <c r="BT1593" s="71"/>
      <c r="BU1593" s="71"/>
      <c r="BV1593" s="71"/>
    </row>
    <row r="1594">
      <c r="A1594" s="53"/>
      <c r="B1594" s="53">
        <v>3.0</v>
      </c>
      <c r="C1594" s="53" t="s">
        <v>36</v>
      </c>
      <c r="D1594" s="171" t="s">
        <v>3975</v>
      </c>
      <c r="E1594" s="54" t="s">
        <v>38</v>
      </c>
      <c r="F1594" s="55" t="s">
        <v>61</v>
      </c>
      <c r="G1594" s="147" t="s">
        <v>3976</v>
      </c>
      <c r="H1594" s="55"/>
      <c r="I1594" s="54">
        <f t="shared" si="24"/>
        <v>0</v>
      </c>
      <c r="J1594" s="56"/>
      <c r="K1594" s="57"/>
      <c r="L1594" s="76"/>
      <c r="M1594" s="59"/>
      <c r="N1594" s="60"/>
      <c r="O1594" s="61">
        <v>137256.0</v>
      </c>
      <c r="P1594" s="62">
        <v>148236.48</v>
      </c>
      <c r="Q1594" s="63">
        <v>148236.48</v>
      </c>
      <c r="R1594" s="64">
        <v>163431.0</v>
      </c>
      <c r="S1594" s="107">
        <v>171603.0</v>
      </c>
      <c r="T1594" s="65">
        <f t="shared" si="39"/>
        <v>27456.48</v>
      </c>
      <c r="U1594" s="65">
        <f t="shared" si="40"/>
        <v>199059.48</v>
      </c>
      <c r="V1594" s="66">
        <f t="shared" si="68"/>
        <v>0.05000275346</v>
      </c>
      <c r="W1594" s="67">
        <f t="shared" si="5"/>
        <v>163022.85</v>
      </c>
      <c r="X1594" s="67">
        <f t="shared" si="61"/>
        <v>26083.656</v>
      </c>
      <c r="Y1594" s="67">
        <f t="shared" si="62"/>
        <v>189106.506</v>
      </c>
      <c r="Z1594" s="67">
        <f t="shared" si="8"/>
        <v>154442.7</v>
      </c>
      <c r="AA1594" s="67">
        <f t="shared" si="54"/>
        <v>24710.832</v>
      </c>
      <c r="AB1594" s="67">
        <f t="shared" si="55"/>
        <v>179153.532</v>
      </c>
      <c r="AC1594" s="67">
        <f t="shared" si="11"/>
        <v>154442.7</v>
      </c>
      <c r="AD1594" s="67">
        <f t="shared" si="56"/>
        <v>24710.832</v>
      </c>
      <c r="AE1594" s="67">
        <f t="shared" si="57"/>
        <v>179153.532</v>
      </c>
      <c r="AF1594" s="67">
        <f t="shared" si="33"/>
        <v>154442.7</v>
      </c>
      <c r="AG1594" s="67">
        <f t="shared" si="58"/>
        <v>24710.832</v>
      </c>
      <c r="AH1594" s="67">
        <f t="shared" si="59"/>
        <v>179153.532</v>
      </c>
      <c r="AI1594" s="67">
        <f t="shared" si="17"/>
        <v>154442.7</v>
      </c>
      <c r="AJ1594" s="68">
        <f t="shared" si="66"/>
        <v>24710.832</v>
      </c>
      <c r="AK1594" s="68">
        <f t="shared" si="67"/>
        <v>179153.532</v>
      </c>
      <c r="AL1594" s="70"/>
      <c r="AM1594" s="70"/>
      <c r="AN1594" s="71"/>
      <c r="AO1594" s="71"/>
      <c r="AP1594" s="71"/>
      <c r="AQ1594" s="71"/>
      <c r="AR1594" s="71"/>
      <c r="AS1594" s="71"/>
      <c r="AT1594" s="71"/>
      <c r="AU1594" s="71"/>
      <c r="AV1594" s="71"/>
      <c r="AW1594" s="71"/>
      <c r="AX1594" s="71"/>
      <c r="AY1594" s="71"/>
      <c r="AZ1594" s="71"/>
      <c r="BA1594" s="71"/>
      <c r="BB1594" s="71"/>
      <c r="BC1594" s="71"/>
      <c r="BD1594" s="71"/>
      <c r="BE1594" s="71"/>
      <c r="BF1594" s="71"/>
      <c r="BG1594" s="71"/>
      <c r="BH1594" s="71"/>
      <c r="BI1594" s="71"/>
      <c r="BJ1594" s="71"/>
      <c r="BK1594" s="71"/>
      <c r="BL1594" s="71"/>
      <c r="BM1594" s="71"/>
      <c r="BN1594" s="71"/>
      <c r="BO1594" s="71"/>
      <c r="BP1594" s="71"/>
      <c r="BQ1594" s="71"/>
      <c r="BR1594" s="71"/>
      <c r="BS1594" s="71"/>
      <c r="BT1594" s="71"/>
      <c r="BU1594" s="71"/>
      <c r="BV1594" s="71"/>
    </row>
    <row r="1595">
      <c r="A1595" s="53"/>
      <c r="B1595" s="53">
        <v>3.0</v>
      </c>
      <c r="C1595" s="53" t="s">
        <v>36</v>
      </c>
      <c r="D1595" s="172" t="s">
        <v>3977</v>
      </c>
      <c r="E1595" s="54" t="s">
        <v>38</v>
      </c>
      <c r="F1595" s="55" t="s">
        <v>61</v>
      </c>
      <c r="G1595" s="147" t="s">
        <v>3978</v>
      </c>
      <c r="H1595" s="55"/>
      <c r="I1595" s="54">
        <f t="shared" si="24"/>
        <v>0</v>
      </c>
      <c r="J1595" s="56"/>
      <c r="K1595" s="57"/>
      <c r="L1595" s="76"/>
      <c r="M1595" s="59"/>
      <c r="N1595" s="60"/>
      <c r="O1595" s="61">
        <v>135744.0</v>
      </c>
      <c r="P1595" s="62">
        <v>146603.52000000002</v>
      </c>
      <c r="Q1595" s="63">
        <v>146603.52000000002</v>
      </c>
      <c r="R1595" s="64">
        <v>161631.0</v>
      </c>
      <c r="S1595" s="107">
        <v>169713.0</v>
      </c>
      <c r="T1595" s="65">
        <f t="shared" si="39"/>
        <v>27154.08</v>
      </c>
      <c r="U1595" s="65">
        <f t="shared" si="40"/>
        <v>196867.08</v>
      </c>
      <c r="V1595" s="66">
        <f t="shared" si="68"/>
        <v>0.05000278412</v>
      </c>
      <c r="W1595" s="67">
        <f t="shared" si="5"/>
        <v>161227.35</v>
      </c>
      <c r="X1595" s="67">
        <f t="shared" si="61"/>
        <v>25796.376</v>
      </c>
      <c r="Y1595" s="67">
        <f t="shared" si="62"/>
        <v>187023.726</v>
      </c>
      <c r="Z1595" s="67">
        <f t="shared" si="8"/>
        <v>152741.7</v>
      </c>
      <c r="AA1595" s="67">
        <f t="shared" si="54"/>
        <v>24438.672</v>
      </c>
      <c r="AB1595" s="67">
        <f t="shared" si="55"/>
        <v>177180.372</v>
      </c>
      <c r="AC1595" s="67">
        <f t="shared" si="11"/>
        <v>152741.7</v>
      </c>
      <c r="AD1595" s="67">
        <f t="shared" si="56"/>
        <v>24438.672</v>
      </c>
      <c r="AE1595" s="67">
        <f t="shared" si="57"/>
        <v>177180.372</v>
      </c>
      <c r="AF1595" s="67">
        <f t="shared" si="33"/>
        <v>152741.7</v>
      </c>
      <c r="AG1595" s="67">
        <f t="shared" si="58"/>
        <v>24438.672</v>
      </c>
      <c r="AH1595" s="67">
        <f t="shared" si="59"/>
        <v>177180.372</v>
      </c>
      <c r="AI1595" s="67">
        <f t="shared" si="17"/>
        <v>152741.7</v>
      </c>
      <c r="AJ1595" s="68">
        <f t="shared" si="66"/>
        <v>24438.672</v>
      </c>
      <c r="AK1595" s="68">
        <f t="shared" si="67"/>
        <v>177180.372</v>
      </c>
      <c r="AL1595" s="70"/>
      <c r="AM1595" s="70"/>
      <c r="AN1595" s="71"/>
      <c r="AO1595" s="71"/>
      <c r="AP1595" s="71"/>
      <c r="AQ1595" s="71"/>
      <c r="AR1595" s="71"/>
      <c r="AS1595" s="71"/>
      <c r="AT1595" s="71"/>
      <c r="AU1595" s="71"/>
      <c r="AV1595" s="71"/>
      <c r="AW1595" s="71"/>
      <c r="AX1595" s="71"/>
      <c r="AY1595" s="71"/>
      <c r="AZ1595" s="71"/>
      <c r="BA1595" s="71"/>
      <c r="BB1595" s="71"/>
      <c r="BC1595" s="71"/>
      <c r="BD1595" s="71"/>
      <c r="BE1595" s="71"/>
      <c r="BF1595" s="71"/>
      <c r="BG1595" s="71"/>
      <c r="BH1595" s="71"/>
      <c r="BI1595" s="71"/>
      <c r="BJ1595" s="71"/>
      <c r="BK1595" s="71"/>
      <c r="BL1595" s="71"/>
      <c r="BM1595" s="71"/>
      <c r="BN1595" s="71"/>
      <c r="BO1595" s="71"/>
      <c r="BP1595" s="71"/>
      <c r="BQ1595" s="71"/>
      <c r="BR1595" s="71"/>
      <c r="BS1595" s="71"/>
      <c r="BT1595" s="71"/>
      <c r="BU1595" s="71"/>
      <c r="BV1595" s="71"/>
    </row>
    <row r="1596">
      <c r="A1596" s="53"/>
      <c r="B1596" s="53">
        <v>3.0</v>
      </c>
      <c r="C1596" s="53" t="s">
        <v>36</v>
      </c>
      <c r="D1596" s="171" t="s">
        <v>3979</v>
      </c>
      <c r="E1596" s="54" t="s">
        <v>38</v>
      </c>
      <c r="F1596" s="55" t="s">
        <v>61</v>
      </c>
      <c r="G1596" s="147" t="s">
        <v>3980</v>
      </c>
      <c r="H1596" s="55"/>
      <c r="I1596" s="54">
        <f t="shared" si="24"/>
        <v>0</v>
      </c>
      <c r="J1596" s="56"/>
      <c r="K1596" s="57"/>
      <c r="L1596" s="76"/>
      <c r="M1596" s="59"/>
      <c r="N1596" s="60"/>
      <c r="O1596" s="61">
        <v>127243.0</v>
      </c>
      <c r="P1596" s="62">
        <v>137422.44</v>
      </c>
      <c r="Q1596" s="63">
        <v>137422.44</v>
      </c>
      <c r="R1596" s="64">
        <v>151508.0</v>
      </c>
      <c r="S1596" s="107">
        <v>159083.0</v>
      </c>
      <c r="T1596" s="65">
        <f t="shared" si="39"/>
        <v>25453.28</v>
      </c>
      <c r="U1596" s="65">
        <f t="shared" si="40"/>
        <v>184536.28</v>
      </c>
      <c r="V1596" s="66">
        <f t="shared" si="68"/>
        <v>0.04999735988</v>
      </c>
      <c r="W1596" s="67">
        <f t="shared" si="5"/>
        <v>151128.85</v>
      </c>
      <c r="X1596" s="67">
        <f t="shared" si="61"/>
        <v>24180.616</v>
      </c>
      <c r="Y1596" s="67">
        <f t="shared" si="62"/>
        <v>175309.466</v>
      </c>
      <c r="Z1596" s="67">
        <f t="shared" si="8"/>
        <v>143174.7</v>
      </c>
      <c r="AA1596" s="67">
        <f t="shared" si="54"/>
        <v>22907.952</v>
      </c>
      <c r="AB1596" s="67">
        <f t="shared" si="55"/>
        <v>166082.652</v>
      </c>
      <c r="AC1596" s="67">
        <f t="shared" si="11"/>
        <v>143174.7</v>
      </c>
      <c r="AD1596" s="67">
        <f t="shared" si="56"/>
        <v>22907.952</v>
      </c>
      <c r="AE1596" s="67">
        <f t="shared" si="57"/>
        <v>166082.652</v>
      </c>
      <c r="AF1596" s="67">
        <f t="shared" si="33"/>
        <v>143174.7</v>
      </c>
      <c r="AG1596" s="67">
        <f t="shared" si="58"/>
        <v>22907.952</v>
      </c>
      <c r="AH1596" s="67">
        <f t="shared" si="59"/>
        <v>166082.652</v>
      </c>
      <c r="AI1596" s="67">
        <f t="shared" si="17"/>
        <v>143174.7</v>
      </c>
      <c r="AJ1596" s="68">
        <f t="shared" si="66"/>
        <v>22907.952</v>
      </c>
      <c r="AK1596" s="68">
        <f t="shared" si="67"/>
        <v>166082.652</v>
      </c>
      <c r="AL1596" s="70"/>
      <c r="AM1596" s="70"/>
      <c r="AN1596" s="71"/>
      <c r="AO1596" s="71"/>
      <c r="AP1596" s="71"/>
      <c r="AQ1596" s="71"/>
      <c r="AR1596" s="71"/>
      <c r="AS1596" s="71"/>
      <c r="AT1596" s="71"/>
      <c r="AU1596" s="71"/>
      <c r="AV1596" s="71"/>
      <c r="AW1596" s="71"/>
      <c r="AX1596" s="71"/>
      <c r="AY1596" s="71"/>
      <c r="AZ1596" s="71"/>
      <c r="BA1596" s="71"/>
      <c r="BB1596" s="71"/>
      <c r="BC1596" s="71"/>
      <c r="BD1596" s="71"/>
      <c r="BE1596" s="71"/>
      <c r="BF1596" s="71"/>
      <c r="BG1596" s="71"/>
      <c r="BH1596" s="71"/>
      <c r="BI1596" s="71"/>
      <c r="BJ1596" s="71"/>
      <c r="BK1596" s="71"/>
      <c r="BL1596" s="71"/>
      <c r="BM1596" s="71"/>
      <c r="BN1596" s="71"/>
      <c r="BO1596" s="71"/>
      <c r="BP1596" s="71"/>
      <c r="BQ1596" s="71"/>
      <c r="BR1596" s="71"/>
      <c r="BS1596" s="71"/>
      <c r="BT1596" s="71"/>
      <c r="BU1596" s="71"/>
      <c r="BV1596" s="71"/>
    </row>
    <row r="1597">
      <c r="A1597" s="53"/>
      <c r="B1597" s="53">
        <v>3.0</v>
      </c>
      <c r="C1597" s="53" t="s">
        <v>36</v>
      </c>
      <c r="D1597" s="172" t="s">
        <v>3981</v>
      </c>
      <c r="E1597" s="54" t="s">
        <v>38</v>
      </c>
      <c r="F1597" s="55" t="s">
        <v>61</v>
      </c>
      <c r="G1597" s="147" t="s">
        <v>3982</v>
      </c>
      <c r="H1597" s="55"/>
      <c r="I1597" s="54">
        <f t="shared" si="24"/>
        <v>0</v>
      </c>
      <c r="J1597" s="56"/>
      <c r="K1597" s="57"/>
      <c r="L1597" s="76"/>
      <c r="M1597" s="59"/>
      <c r="N1597" s="60"/>
      <c r="O1597" s="61">
        <v>125731.0</v>
      </c>
      <c r="P1597" s="62">
        <v>135789.48</v>
      </c>
      <c r="Q1597" s="63">
        <v>135789.48</v>
      </c>
      <c r="R1597" s="64">
        <v>149707.0</v>
      </c>
      <c r="S1597" s="107">
        <v>157192.0</v>
      </c>
      <c r="T1597" s="65">
        <f t="shared" si="39"/>
        <v>25150.72</v>
      </c>
      <c r="U1597" s="65">
        <f t="shared" si="40"/>
        <v>182342.72</v>
      </c>
      <c r="V1597" s="66">
        <f t="shared" si="68"/>
        <v>0.0499976621</v>
      </c>
      <c r="W1597" s="67">
        <f t="shared" si="5"/>
        <v>149332.4</v>
      </c>
      <c r="X1597" s="67">
        <f t="shared" si="61"/>
        <v>23893.184</v>
      </c>
      <c r="Y1597" s="67">
        <f t="shared" si="62"/>
        <v>173225.584</v>
      </c>
      <c r="Z1597" s="67">
        <f t="shared" si="8"/>
        <v>141472.8</v>
      </c>
      <c r="AA1597" s="67">
        <f t="shared" si="54"/>
        <v>22635.648</v>
      </c>
      <c r="AB1597" s="67">
        <f t="shared" si="55"/>
        <v>164108.448</v>
      </c>
      <c r="AC1597" s="67">
        <f t="shared" si="11"/>
        <v>141472.8</v>
      </c>
      <c r="AD1597" s="67">
        <f t="shared" si="56"/>
        <v>22635.648</v>
      </c>
      <c r="AE1597" s="67">
        <f t="shared" si="57"/>
        <v>164108.448</v>
      </c>
      <c r="AF1597" s="67">
        <f t="shared" si="33"/>
        <v>141472.8</v>
      </c>
      <c r="AG1597" s="67">
        <f t="shared" si="58"/>
        <v>22635.648</v>
      </c>
      <c r="AH1597" s="67">
        <f t="shared" si="59"/>
        <v>164108.448</v>
      </c>
      <c r="AI1597" s="67">
        <f t="shared" si="17"/>
        <v>141472.8</v>
      </c>
      <c r="AJ1597" s="68">
        <f t="shared" si="66"/>
        <v>22635.648</v>
      </c>
      <c r="AK1597" s="68">
        <f t="shared" si="67"/>
        <v>164108.448</v>
      </c>
      <c r="AL1597" s="70"/>
      <c r="AM1597" s="70"/>
      <c r="AN1597" s="71"/>
      <c r="AO1597" s="71"/>
      <c r="AP1597" s="71"/>
      <c r="AQ1597" s="71"/>
      <c r="AR1597" s="71"/>
      <c r="AS1597" s="71"/>
      <c r="AT1597" s="71"/>
      <c r="AU1597" s="71"/>
      <c r="AV1597" s="71"/>
      <c r="AW1597" s="71"/>
      <c r="AX1597" s="71"/>
      <c r="AY1597" s="71"/>
      <c r="AZ1597" s="71"/>
      <c r="BA1597" s="71"/>
      <c r="BB1597" s="71"/>
      <c r="BC1597" s="71"/>
      <c r="BD1597" s="71"/>
      <c r="BE1597" s="71"/>
      <c r="BF1597" s="71"/>
      <c r="BG1597" s="71"/>
      <c r="BH1597" s="71"/>
      <c r="BI1597" s="71"/>
      <c r="BJ1597" s="71"/>
      <c r="BK1597" s="71"/>
      <c r="BL1597" s="71"/>
      <c r="BM1597" s="71"/>
      <c r="BN1597" s="71"/>
      <c r="BO1597" s="71"/>
      <c r="BP1597" s="71"/>
      <c r="BQ1597" s="71"/>
      <c r="BR1597" s="71"/>
      <c r="BS1597" s="71"/>
      <c r="BT1597" s="71"/>
      <c r="BU1597" s="71"/>
      <c r="BV1597" s="71"/>
    </row>
    <row r="1598">
      <c r="A1598" s="53"/>
      <c r="B1598" s="53">
        <v>3.0</v>
      </c>
      <c r="C1598" s="53" t="s">
        <v>36</v>
      </c>
      <c r="D1598" s="171" t="s">
        <v>3983</v>
      </c>
      <c r="E1598" s="54" t="s">
        <v>38</v>
      </c>
      <c r="F1598" s="55" t="s">
        <v>61</v>
      </c>
      <c r="G1598" s="147" t="s">
        <v>3984</v>
      </c>
      <c r="H1598" s="55"/>
      <c r="I1598" s="54">
        <f t="shared" si="24"/>
        <v>0</v>
      </c>
      <c r="J1598" s="56"/>
      <c r="K1598" s="57"/>
      <c r="L1598" s="76"/>
      <c r="M1598" s="59"/>
      <c r="N1598" s="60"/>
      <c r="O1598" s="61">
        <v>144765.0</v>
      </c>
      <c r="P1598" s="62">
        <v>156346.2</v>
      </c>
      <c r="Q1598" s="63">
        <v>156346.2</v>
      </c>
      <c r="R1598" s="64">
        <v>172372.0</v>
      </c>
      <c r="S1598" s="107">
        <v>180991.0</v>
      </c>
      <c r="T1598" s="65">
        <f t="shared" si="39"/>
        <v>28958.56</v>
      </c>
      <c r="U1598" s="65">
        <f t="shared" si="40"/>
        <v>209949.56</v>
      </c>
      <c r="V1598" s="66">
        <f t="shared" si="68"/>
        <v>0.05000232056</v>
      </c>
      <c r="W1598" s="67">
        <f t="shared" si="5"/>
        <v>171941.45</v>
      </c>
      <c r="X1598" s="67">
        <f t="shared" si="61"/>
        <v>27510.632</v>
      </c>
      <c r="Y1598" s="67">
        <f t="shared" si="62"/>
        <v>199452.082</v>
      </c>
      <c r="Z1598" s="67">
        <f t="shared" si="8"/>
        <v>162891.9</v>
      </c>
      <c r="AA1598" s="67">
        <f t="shared" si="54"/>
        <v>26062.704</v>
      </c>
      <c r="AB1598" s="67">
        <f t="shared" si="55"/>
        <v>188954.604</v>
      </c>
      <c r="AC1598" s="67">
        <f t="shared" si="11"/>
        <v>162891.9</v>
      </c>
      <c r="AD1598" s="67">
        <f t="shared" si="56"/>
        <v>26062.704</v>
      </c>
      <c r="AE1598" s="67">
        <f t="shared" si="57"/>
        <v>188954.604</v>
      </c>
      <c r="AF1598" s="67">
        <f t="shared" si="33"/>
        <v>162891.9</v>
      </c>
      <c r="AG1598" s="67">
        <f t="shared" si="58"/>
        <v>26062.704</v>
      </c>
      <c r="AH1598" s="67">
        <f t="shared" si="59"/>
        <v>188954.604</v>
      </c>
      <c r="AI1598" s="67">
        <f t="shared" si="17"/>
        <v>162891.9</v>
      </c>
      <c r="AJ1598" s="68">
        <f t="shared" si="66"/>
        <v>26062.704</v>
      </c>
      <c r="AK1598" s="68">
        <f t="shared" si="67"/>
        <v>188954.604</v>
      </c>
      <c r="AL1598" s="70"/>
      <c r="AM1598" s="70"/>
      <c r="AN1598" s="71"/>
      <c r="AO1598" s="71"/>
      <c r="AP1598" s="71"/>
      <c r="AQ1598" s="71"/>
      <c r="AR1598" s="71"/>
      <c r="AS1598" s="71"/>
      <c r="AT1598" s="71"/>
      <c r="AU1598" s="71"/>
      <c r="AV1598" s="71"/>
      <c r="AW1598" s="71"/>
      <c r="AX1598" s="71"/>
      <c r="AY1598" s="71"/>
      <c r="AZ1598" s="71"/>
      <c r="BA1598" s="71"/>
      <c r="BB1598" s="71"/>
      <c r="BC1598" s="71"/>
      <c r="BD1598" s="71"/>
      <c r="BE1598" s="71"/>
      <c r="BF1598" s="71"/>
      <c r="BG1598" s="71"/>
      <c r="BH1598" s="71"/>
      <c r="BI1598" s="71"/>
      <c r="BJ1598" s="71"/>
      <c r="BK1598" s="71"/>
      <c r="BL1598" s="71"/>
      <c r="BM1598" s="71"/>
      <c r="BN1598" s="71"/>
      <c r="BO1598" s="71"/>
      <c r="BP1598" s="71"/>
      <c r="BQ1598" s="71"/>
      <c r="BR1598" s="71"/>
      <c r="BS1598" s="71"/>
      <c r="BT1598" s="71"/>
      <c r="BU1598" s="71"/>
      <c r="BV1598" s="71"/>
    </row>
    <row r="1599">
      <c r="A1599" s="53"/>
      <c r="B1599" s="53">
        <v>3.0</v>
      </c>
      <c r="C1599" s="53" t="s">
        <v>36</v>
      </c>
      <c r="D1599" s="172" t="s">
        <v>3985</v>
      </c>
      <c r="E1599" s="54" t="s">
        <v>38</v>
      </c>
      <c r="F1599" s="55" t="s">
        <v>61</v>
      </c>
      <c r="G1599" s="147" t="s">
        <v>3986</v>
      </c>
      <c r="H1599" s="55"/>
      <c r="I1599" s="54">
        <f t="shared" si="24"/>
        <v>0</v>
      </c>
      <c r="J1599" s="56"/>
      <c r="K1599" s="57"/>
      <c r="L1599" s="76"/>
      <c r="M1599" s="59"/>
      <c r="N1599" s="60"/>
      <c r="O1599" s="61">
        <v>143253.0</v>
      </c>
      <c r="P1599" s="62">
        <v>154713.24000000002</v>
      </c>
      <c r="Q1599" s="63">
        <v>154713.24000000002</v>
      </c>
      <c r="R1599" s="64">
        <v>170572.0</v>
      </c>
      <c r="S1599" s="107">
        <v>179101.0</v>
      </c>
      <c r="T1599" s="65">
        <f t="shared" si="39"/>
        <v>28656.16</v>
      </c>
      <c r="U1599" s="65">
        <f t="shared" si="40"/>
        <v>207757.16</v>
      </c>
      <c r="V1599" s="66">
        <f t="shared" si="68"/>
        <v>0.05000234505</v>
      </c>
      <c r="W1599" s="67">
        <f t="shared" si="5"/>
        <v>170145.95</v>
      </c>
      <c r="X1599" s="67">
        <f t="shared" si="61"/>
        <v>27223.352</v>
      </c>
      <c r="Y1599" s="67">
        <f t="shared" si="62"/>
        <v>197369.302</v>
      </c>
      <c r="Z1599" s="67">
        <f t="shared" si="8"/>
        <v>161190.9</v>
      </c>
      <c r="AA1599" s="67">
        <f t="shared" si="54"/>
        <v>25790.544</v>
      </c>
      <c r="AB1599" s="67">
        <f t="shared" si="55"/>
        <v>186981.444</v>
      </c>
      <c r="AC1599" s="67">
        <f t="shared" si="11"/>
        <v>161190.9</v>
      </c>
      <c r="AD1599" s="67">
        <f t="shared" si="56"/>
        <v>25790.544</v>
      </c>
      <c r="AE1599" s="67">
        <f t="shared" si="57"/>
        <v>186981.444</v>
      </c>
      <c r="AF1599" s="67">
        <f t="shared" si="33"/>
        <v>161190.9</v>
      </c>
      <c r="AG1599" s="67">
        <f t="shared" si="58"/>
        <v>25790.544</v>
      </c>
      <c r="AH1599" s="67">
        <f t="shared" si="59"/>
        <v>186981.444</v>
      </c>
      <c r="AI1599" s="67">
        <f t="shared" si="17"/>
        <v>161190.9</v>
      </c>
      <c r="AJ1599" s="68">
        <f t="shared" si="66"/>
        <v>25790.544</v>
      </c>
      <c r="AK1599" s="68">
        <f t="shared" si="67"/>
        <v>186981.444</v>
      </c>
      <c r="AL1599" s="70"/>
      <c r="AM1599" s="70"/>
      <c r="AN1599" s="71"/>
      <c r="AO1599" s="71"/>
      <c r="AP1599" s="71"/>
      <c r="AQ1599" s="71"/>
      <c r="AR1599" s="71"/>
      <c r="AS1599" s="71"/>
      <c r="AT1599" s="71"/>
      <c r="AU1599" s="71"/>
      <c r="AV1599" s="71"/>
      <c r="AW1599" s="71"/>
      <c r="AX1599" s="71"/>
      <c r="AY1599" s="71"/>
      <c r="AZ1599" s="71"/>
      <c r="BA1599" s="71"/>
      <c r="BB1599" s="71"/>
      <c r="BC1599" s="71"/>
      <c r="BD1599" s="71"/>
      <c r="BE1599" s="71"/>
      <c r="BF1599" s="71"/>
      <c r="BG1599" s="71"/>
      <c r="BH1599" s="71"/>
      <c r="BI1599" s="71"/>
      <c r="BJ1599" s="71"/>
      <c r="BK1599" s="71"/>
      <c r="BL1599" s="71"/>
      <c r="BM1599" s="71"/>
      <c r="BN1599" s="71"/>
      <c r="BO1599" s="71"/>
      <c r="BP1599" s="71"/>
      <c r="BQ1599" s="71"/>
      <c r="BR1599" s="71"/>
      <c r="BS1599" s="71"/>
      <c r="BT1599" s="71"/>
      <c r="BU1599" s="71"/>
      <c r="BV1599" s="71"/>
    </row>
    <row r="1600">
      <c r="A1600" s="53"/>
      <c r="B1600" s="53">
        <v>3.0</v>
      </c>
      <c r="C1600" s="53" t="s">
        <v>36</v>
      </c>
      <c r="D1600" s="171" t="s">
        <v>3987</v>
      </c>
      <c r="E1600" s="54" t="s">
        <v>38</v>
      </c>
      <c r="F1600" s="55" t="s">
        <v>61</v>
      </c>
      <c r="G1600" s="147" t="s">
        <v>3988</v>
      </c>
      <c r="H1600" s="55"/>
      <c r="I1600" s="54">
        <f t="shared" si="24"/>
        <v>0</v>
      </c>
      <c r="J1600" s="56"/>
      <c r="K1600" s="57"/>
      <c r="L1600" s="76"/>
      <c r="M1600" s="59"/>
      <c r="N1600" s="60"/>
      <c r="O1600" s="61">
        <v>134752.0</v>
      </c>
      <c r="P1600" s="62">
        <v>145532.16</v>
      </c>
      <c r="Q1600" s="63">
        <v>145532.16</v>
      </c>
      <c r="R1600" s="64">
        <v>160450.0</v>
      </c>
      <c r="S1600" s="107">
        <v>168473.0</v>
      </c>
      <c r="T1600" s="65">
        <f t="shared" si="39"/>
        <v>26955.68</v>
      </c>
      <c r="U1600" s="65">
        <f t="shared" si="40"/>
        <v>195428.68</v>
      </c>
      <c r="V1600" s="66">
        <f t="shared" si="68"/>
        <v>0.05000311624</v>
      </c>
      <c r="W1600" s="67">
        <f t="shared" si="5"/>
        <v>160049.35</v>
      </c>
      <c r="X1600" s="67">
        <f t="shared" si="61"/>
        <v>25607.896</v>
      </c>
      <c r="Y1600" s="67">
        <f t="shared" si="62"/>
        <v>185657.246</v>
      </c>
      <c r="Z1600" s="67">
        <f t="shared" si="8"/>
        <v>151625.7</v>
      </c>
      <c r="AA1600" s="67">
        <f t="shared" si="54"/>
        <v>24260.112</v>
      </c>
      <c r="AB1600" s="67">
        <f t="shared" si="55"/>
        <v>175885.812</v>
      </c>
      <c r="AC1600" s="67">
        <f t="shared" si="11"/>
        <v>151625.7</v>
      </c>
      <c r="AD1600" s="67">
        <f t="shared" si="56"/>
        <v>24260.112</v>
      </c>
      <c r="AE1600" s="67">
        <f t="shared" si="57"/>
        <v>175885.812</v>
      </c>
      <c r="AF1600" s="67">
        <f t="shared" si="33"/>
        <v>151625.7</v>
      </c>
      <c r="AG1600" s="67">
        <f t="shared" si="58"/>
        <v>24260.112</v>
      </c>
      <c r="AH1600" s="67">
        <f t="shared" si="59"/>
        <v>175885.812</v>
      </c>
      <c r="AI1600" s="67">
        <f t="shared" si="17"/>
        <v>151625.7</v>
      </c>
      <c r="AJ1600" s="68">
        <f t="shared" si="66"/>
        <v>24260.112</v>
      </c>
      <c r="AK1600" s="68">
        <f t="shared" si="67"/>
        <v>175885.812</v>
      </c>
      <c r="AL1600" s="70"/>
      <c r="AM1600" s="70"/>
      <c r="AN1600" s="71"/>
      <c r="AO1600" s="71"/>
      <c r="AP1600" s="71"/>
      <c r="AQ1600" s="71"/>
      <c r="AR1600" s="71"/>
      <c r="AS1600" s="71"/>
      <c r="AT1600" s="71"/>
      <c r="AU1600" s="71"/>
      <c r="AV1600" s="71"/>
      <c r="AW1600" s="71"/>
      <c r="AX1600" s="71"/>
      <c r="AY1600" s="71"/>
      <c r="AZ1600" s="71"/>
      <c r="BA1600" s="71"/>
      <c r="BB1600" s="71"/>
      <c r="BC1600" s="71"/>
      <c r="BD1600" s="71"/>
      <c r="BE1600" s="71"/>
      <c r="BF1600" s="71"/>
      <c r="BG1600" s="71"/>
      <c r="BH1600" s="71"/>
      <c r="BI1600" s="71"/>
      <c r="BJ1600" s="71"/>
      <c r="BK1600" s="71"/>
      <c r="BL1600" s="71"/>
      <c r="BM1600" s="71"/>
      <c r="BN1600" s="71"/>
      <c r="BO1600" s="71"/>
      <c r="BP1600" s="71"/>
      <c r="BQ1600" s="71"/>
      <c r="BR1600" s="71"/>
      <c r="BS1600" s="71"/>
      <c r="BT1600" s="71"/>
      <c r="BU1600" s="71"/>
      <c r="BV1600" s="71"/>
    </row>
    <row r="1601">
      <c r="A1601" s="53"/>
      <c r="B1601" s="53">
        <v>3.0</v>
      </c>
      <c r="C1601" s="53" t="s">
        <v>36</v>
      </c>
      <c r="D1601" s="172" t="s">
        <v>3989</v>
      </c>
      <c r="E1601" s="54" t="s">
        <v>38</v>
      </c>
      <c r="F1601" s="55" t="s">
        <v>61</v>
      </c>
      <c r="G1601" s="147" t="s">
        <v>3990</v>
      </c>
      <c r="H1601" s="55"/>
      <c r="I1601" s="54">
        <f t="shared" si="24"/>
        <v>0</v>
      </c>
      <c r="J1601" s="56"/>
      <c r="K1601" s="57"/>
      <c r="L1601" s="76"/>
      <c r="M1601" s="59"/>
      <c r="N1601" s="60"/>
      <c r="O1601" s="61">
        <v>133240.0</v>
      </c>
      <c r="P1601" s="62">
        <v>143899.2</v>
      </c>
      <c r="Q1601" s="63">
        <v>143899.2</v>
      </c>
      <c r="R1601" s="64">
        <v>158649.0</v>
      </c>
      <c r="S1601" s="107">
        <v>166581.0</v>
      </c>
      <c r="T1601" s="65">
        <f t="shared" si="39"/>
        <v>26652.96</v>
      </c>
      <c r="U1601" s="65">
        <f t="shared" si="40"/>
        <v>193233.96</v>
      </c>
      <c r="V1601" s="66">
        <f t="shared" si="68"/>
        <v>0.04999716355</v>
      </c>
      <c r="W1601" s="67">
        <f t="shared" si="5"/>
        <v>158251.95</v>
      </c>
      <c r="X1601" s="67">
        <f t="shared" si="61"/>
        <v>25320.312</v>
      </c>
      <c r="Y1601" s="67">
        <f t="shared" si="62"/>
        <v>183572.262</v>
      </c>
      <c r="Z1601" s="67">
        <f t="shared" si="8"/>
        <v>149922.9</v>
      </c>
      <c r="AA1601" s="67">
        <f t="shared" si="54"/>
        <v>23987.664</v>
      </c>
      <c r="AB1601" s="67">
        <f t="shared" si="55"/>
        <v>173910.564</v>
      </c>
      <c r="AC1601" s="67">
        <f t="shared" si="11"/>
        <v>149922.9</v>
      </c>
      <c r="AD1601" s="67">
        <f t="shared" si="56"/>
        <v>23987.664</v>
      </c>
      <c r="AE1601" s="67">
        <f t="shared" si="57"/>
        <v>173910.564</v>
      </c>
      <c r="AF1601" s="67">
        <f t="shared" si="33"/>
        <v>149922.9</v>
      </c>
      <c r="AG1601" s="67">
        <f t="shared" si="58"/>
        <v>23987.664</v>
      </c>
      <c r="AH1601" s="67">
        <f t="shared" si="59"/>
        <v>173910.564</v>
      </c>
      <c r="AI1601" s="67">
        <f t="shared" si="17"/>
        <v>149922.9</v>
      </c>
      <c r="AJ1601" s="68">
        <f t="shared" si="66"/>
        <v>23987.664</v>
      </c>
      <c r="AK1601" s="68">
        <f t="shared" si="67"/>
        <v>173910.564</v>
      </c>
      <c r="AL1601" s="70"/>
      <c r="AM1601" s="70"/>
      <c r="AN1601" s="71"/>
      <c r="AO1601" s="71"/>
      <c r="AP1601" s="71"/>
      <c r="AQ1601" s="71"/>
      <c r="AR1601" s="71"/>
      <c r="AS1601" s="71"/>
      <c r="AT1601" s="71"/>
      <c r="AU1601" s="71"/>
      <c r="AV1601" s="71"/>
      <c r="AW1601" s="71"/>
      <c r="AX1601" s="71"/>
      <c r="AY1601" s="71"/>
      <c r="AZ1601" s="71"/>
      <c r="BA1601" s="71"/>
      <c r="BB1601" s="71"/>
      <c r="BC1601" s="71"/>
      <c r="BD1601" s="71"/>
      <c r="BE1601" s="71"/>
      <c r="BF1601" s="71"/>
      <c r="BG1601" s="71"/>
      <c r="BH1601" s="71"/>
      <c r="BI1601" s="71"/>
      <c r="BJ1601" s="71"/>
      <c r="BK1601" s="71"/>
      <c r="BL1601" s="71"/>
      <c r="BM1601" s="71"/>
      <c r="BN1601" s="71"/>
      <c r="BO1601" s="71"/>
      <c r="BP1601" s="71"/>
      <c r="BQ1601" s="71"/>
      <c r="BR1601" s="71"/>
      <c r="BS1601" s="71"/>
      <c r="BT1601" s="71"/>
      <c r="BU1601" s="71"/>
      <c r="BV1601" s="71"/>
    </row>
    <row r="1602">
      <c r="A1602" s="53"/>
      <c r="B1602" s="53">
        <v>3.0</v>
      </c>
      <c r="C1602" s="53" t="s">
        <v>36</v>
      </c>
      <c r="D1602" s="171" t="s">
        <v>3991</v>
      </c>
      <c r="E1602" s="54" t="s">
        <v>38</v>
      </c>
      <c r="F1602" s="55" t="s">
        <v>61</v>
      </c>
      <c r="G1602" s="147" t="s">
        <v>3992</v>
      </c>
      <c r="H1602" s="55"/>
      <c r="I1602" s="54">
        <f t="shared" si="24"/>
        <v>0</v>
      </c>
      <c r="J1602" s="56"/>
      <c r="K1602" s="57"/>
      <c r="L1602" s="76"/>
      <c r="M1602" s="59"/>
      <c r="N1602" s="60"/>
      <c r="O1602" s="61">
        <v>134752.0</v>
      </c>
      <c r="P1602" s="62">
        <v>145532.16</v>
      </c>
      <c r="Q1602" s="63">
        <v>145532.16</v>
      </c>
      <c r="R1602" s="64">
        <v>160450.0</v>
      </c>
      <c r="S1602" s="107">
        <v>168473.0</v>
      </c>
      <c r="T1602" s="65">
        <f t="shared" si="39"/>
        <v>26955.68</v>
      </c>
      <c r="U1602" s="65">
        <f t="shared" si="40"/>
        <v>195428.68</v>
      </c>
      <c r="V1602" s="66">
        <f t="shared" si="68"/>
        <v>0.05000311624</v>
      </c>
      <c r="W1602" s="67">
        <f t="shared" si="5"/>
        <v>160049.35</v>
      </c>
      <c r="X1602" s="67">
        <f t="shared" si="61"/>
        <v>25607.896</v>
      </c>
      <c r="Y1602" s="67">
        <f t="shared" si="62"/>
        <v>185657.246</v>
      </c>
      <c r="Z1602" s="67">
        <f t="shared" si="8"/>
        <v>151625.7</v>
      </c>
      <c r="AA1602" s="67">
        <f t="shared" si="54"/>
        <v>24260.112</v>
      </c>
      <c r="AB1602" s="67">
        <f t="shared" si="55"/>
        <v>175885.812</v>
      </c>
      <c r="AC1602" s="67">
        <f t="shared" si="11"/>
        <v>151625.7</v>
      </c>
      <c r="AD1602" s="67">
        <f t="shared" si="56"/>
        <v>24260.112</v>
      </c>
      <c r="AE1602" s="67">
        <f t="shared" si="57"/>
        <v>175885.812</v>
      </c>
      <c r="AF1602" s="67">
        <f t="shared" si="33"/>
        <v>151625.7</v>
      </c>
      <c r="AG1602" s="67">
        <f t="shared" si="58"/>
        <v>24260.112</v>
      </c>
      <c r="AH1602" s="67">
        <f t="shared" si="59"/>
        <v>175885.812</v>
      </c>
      <c r="AI1602" s="67">
        <f t="shared" si="17"/>
        <v>151625.7</v>
      </c>
      <c r="AJ1602" s="68">
        <f t="shared" si="66"/>
        <v>24260.112</v>
      </c>
      <c r="AK1602" s="68">
        <f t="shared" si="67"/>
        <v>175885.812</v>
      </c>
      <c r="AL1602" s="70"/>
      <c r="AM1602" s="70"/>
      <c r="AN1602" s="71"/>
      <c r="AO1602" s="71"/>
      <c r="AP1602" s="71"/>
      <c r="AQ1602" s="71"/>
      <c r="AR1602" s="71"/>
      <c r="AS1602" s="71"/>
      <c r="AT1602" s="71"/>
      <c r="AU1602" s="71"/>
      <c r="AV1602" s="71"/>
      <c r="AW1602" s="71"/>
      <c r="AX1602" s="71"/>
      <c r="AY1602" s="71"/>
      <c r="AZ1602" s="71"/>
      <c r="BA1602" s="71"/>
      <c r="BB1602" s="71"/>
      <c r="BC1602" s="71"/>
      <c r="BD1602" s="71"/>
      <c r="BE1602" s="71"/>
      <c r="BF1602" s="71"/>
      <c r="BG1602" s="71"/>
      <c r="BH1602" s="71"/>
      <c r="BI1602" s="71"/>
      <c r="BJ1602" s="71"/>
      <c r="BK1602" s="71"/>
      <c r="BL1602" s="71"/>
      <c r="BM1602" s="71"/>
      <c r="BN1602" s="71"/>
      <c r="BO1602" s="71"/>
      <c r="BP1602" s="71"/>
      <c r="BQ1602" s="71"/>
      <c r="BR1602" s="71"/>
      <c r="BS1602" s="71"/>
      <c r="BT1602" s="71"/>
      <c r="BU1602" s="71"/>
      <c r="BV1602" s="71"/>
    </row>
    <row r="1603">
      <c r="A1603" s="53"/>
      <c r="B1603" s="53">
        <v>3.0</v>
      </c>
      <c r="C1603" s="53" t="s">
        <v>36</v>
      </c>
      <c r="D1603" s="171" t="s">
        <v>3993</v>
      </c>
      <c r="E1603" s="54" t="s">
        <v>38</v>
      </c>
      <c r="F1603" s="55" t="s">
        <v>61</v>
      </c>
      <c r="G1603" s="147" t="s">
        <v>3994</v>
      </c>
      <c r="H1603" s="55"/>
      <c r="I1603" s="54">
        <f t="shared" si="24"/>
        <v>0</v>
      </c>
      <c r="J1603" s="56"/>
      <c r="K1603" s="57"/>
      <c r="L1603" s="76"/>
      <c r="M1603" s="59"/>
      <c r="N1603" s="60"/>
      <c r="O1603" s="61">
        <v>165126.0</v>
      </c>
      <c r="P1603" s="62">
        <v>178336.08000000002</v>
      </c>
      <c r="Q1603" s="63">
        <v>178336.08000000002</v>
      </c>
      <c r="R1603" s="64">
        <v>196616.0</v>
      </c>
      <c r="S1603" s="107">
        <v>206447.0</v>
      </c>
      <c r="T1603" s="65">
        <f t="shared" si="39"/>
        <v>33031.52</v>
      </c>
      <c r="U1603" s="65">
        <f t="shared" si="40"/>
        <v>239478.52</v>
      </c>
      <c r="V1603" s="66">
        <f t="shared" si="68"/>
        <v>0.05000101721</v>
      </c>
      <c r="W1603" s="67">
        <f t="shared" si="5"/>
        <v>196124.65</v>
      </c>
      <c r="X1603" s="67">
        <f t="shared" si="61"/>
        <v>31379.944</v>
      </c>
      <c r="Y1603" s="67">
        <f t="shared" si="62"/>
        <v>227504.594</v>
      </c>
      <c r="Z1603" s="67">
        <f t="shared" si="8"/>
        <v>185802.3</v>
      </c>
      <c r="AA1603" s="67">
        <f t="shared" si="54"/>
        <v>29728.368</v>
      </c>
      <c r="AB1603" s="67">
        <f t="shared" si="55"/>
        <v>215530.668</v>
      </c>
      <c r="AC1603" s="67">
        <f t="shared" si="11"/>
        <v>185802.3</v>
      </c>
      <c r="AD1603" s="67">
        <f t="shared" si="56"/>
        <v>29728.368</v>
      </c>
      <c r="AE1603" s="67">
        <f t="shared" si="57"/>
        <v>215530.668</v>
      </c>
      <c r="AF1603" s="67">
        <f t="shared" si="33"/>
        <v>185802.3</v>
      </c>
      <c r="AG1603" s="67">
        <f t="shared" si="58"/>
        <v>29728.368</v>
      </c>
      <c r="AH1603" s="67">
        <f t="shared" si="59"/>
        <v>215530.668</v>
      </c>
      <c r="AI1603" s="67">
        <f t="shared" si="17"/>
        <v>185802.3</v>
      </c>
      <c r="AJ1603" s="68">
        <f t="shared" si="66"/>
        <v>29728.368</v>
      </c>
      <c r="AK1603" s="68">
        <f t="shared" si="67"/>
        <v>215530.668</v>
      </c>
      <c r="AL1603" s="70"/>
      <c r="AM1603" s="70"/>
      <c r="AN1603" s="71"/>
      <c r="AO1603" s="71"/>
      <c r="AP1603" s="71"/>
      <c r="AQ1603" s="71"/>
      <c r="AR1603" s="71"/>
      <c r="AS1603" s="71"/>
      <c r="AT1603" s="71"/>
      <c r="AU1603" s="71"/>
      <c r="AV1603" s="71"/>
      <c r="AW1603" s="71"/>
      <c r="AX1603" s="71"/>
      <c r="AY1603" s="71"/>
      <c r="AZ1603" s="71"/>
      <c r="BA1603" s="71"/>
      <c r="BB1603" s="71"/>
      <c r="BC1603" s="71"/>
      <c r="BD1603" s="71"/>
      <c r="BE1603" s="71"/>
      <c r="BF1603" s="71"/>
      <c r="BG1603" s="71"/>
      <c r="BH1603" s="71"/>
      <c r="BI1603" s="71"/>
      <c r="BJ1603" s="71"/>
      <c r="BK1603" s="71"/>
      <c r="BL1603" s="71"/>
      <c r="BM1603" s="71"/>
      <c r="BN1603" s="71"/>
      <c r="BO1603" s="71"/>
      <c r="BP1603" s="71"/>
      <c r="BQ1603" s="71"/>
      <c r="BR1603" s="71"/>
      <c r="BS1603" s="71"/>
      <c r="BT1603" s="71"/>
      <c r="BU1603" s="71"/>
      <c r="BV1603" s="71"/>
    </row>
    <row r="1604">
      <c r="A1604" s="53"/>
      <c r="B1604" s="53">
        <v>3.0</v>
      </c>
      <c r="C1604" s="53" t="s">
        <v>36</v>
      </c>
      <c r="D1604" s="172" t="s">
        <v>3995</v>
      </c>
      <c r="E1604" s="54" t="s">
        <v>38</v>
      </c>
      <c r="F1604" s="55" t="s">
        <v>61</v>
      </c>
      <c r="G1604" s="147" t="s">
        <v>3996</v>
      </c>
      <c r="H1604" s="55"/>
      <c r="I1604" s="54">
        <f t="shared" si="24"/>
        <v>0</v>
      </c>
      <c r="J1604" s="56"/>
      <c r="K1604" s="57"/>
      <c r="L1604" s="76"/>
      <c r="M1604" s="59"/>
      <c r="N1604" s="60"/>
      <c r="O1604" s="61">
        <v>163614.0</v>
      </c>
      <c r="P1604" s="62">
        <v>176703.12000000002</v>
      </c>
      <c r="Q1604" s="63">
        <v>176703.12000000002</v>
      </c>
      <c r="R1604" s="64">
        <v>194815.0</v>
      </c>
      <c r="S1604" s="107">
        <v>204556.0</v>
      </c>
      <c r="T1604" s="65">
        <f t="shared" si="39"/>
        <v>32728.96</v>
      </c>
      <c r="U1604" s="65">
        <f t="shared" si="40"/>
        <v>237284.96</v>
      </c>
      <c r="V1604" s="66">
        <f t="shared" si="68"/>
        <v>0.05000128327</v>
      </c>
      <c r="W1604" s="67">
        <f t="shared" si="5"/>
        <v>194328.2</v>
      </c>
      <c r="X1604" s="67">
        <f t="shared" si="61"/>
        <v>31092.512</v>
      </c>
      <c r="Y1604" s="67">
        <f t="shared" si="62"/>
        <v>225420.712</v>
      </c>
      <c r="Z1604" s="67">
        <f t="shared" si="8"/>
        <v>184100.4</v>
      </c>
      <c r="AA1604" s="67">
        <f t="shared" si="54"/>
        <v>29456.064</v>
      </c>
      <c r="AB1604" s="67">
        <f t="shared" si="55"/>
        <v>213556.464</v>
      </c>
      <c r="AC1604" s="67">
        <f t="shared" si="11"/>
        <v>184100.4</v>
      </c>
      <c r="AD1604" s="67">
        <f t="shared" si="56"/>
        <v>29456.064</v>
      </c>
      <c r="AE1604" s="67">
        <f t="shared" si="57"/>
        <v>213556.464</v>
      </c>
      <c r="AF1604" s="67">
        <f t="shared" si="33"/>
        <v>184100.4</v>
      </c>
      <c r="AG1604" s="67">
        <f t="shared" si="58"/>
        <v>29456.064</v>
      </c>
      <c r="AH1604" s="67">
        <f t="shared" si="59"/>
        <v>213556.464</v>
      </c>
      <c r="AI1604" s="67">
        <f t="shared" si="17"/>
        <v>184100.4</v>
      </c>
      <c r="AJ1604" s="68">
        <f t="shared" si="66"/>
        <v>29456.064</v>
      </c>
      <c r="AK1604" s="68">
        <f t="shared" si="67"/>
        <v>213556.464</v>
      </c>
      <c r="AL1604" s="70"/>
      <c r="AM1604" s="70"/>
      <c r="AN1604" s="71"/>
      <c r="AO1604" s="71"/>
      <c r="AP1604" s="71"/>
      <c r="AQ1604" s="71"/>
      <c r="AR1604" s="71"/>
      <c r="AS1604" s="71"/>
      <c r="AT1604" s="71"/>
      <c r="AU1604" s="71"/>
      <c r="AV1604" s="71"/>
      <c r="AW1604" s="71"/>
      <c r="AX1604" s="71"/>
      <c r="AY1604" s="71"/>
      <c r="AZ1604" s="71"/>
      <c r="BA1604" s="71"/>
      <c r="BB1604" s="71"/>
      <c r="BC1604" s="71"/>
      <c r="BD1604" s="71"/>
      <c r="BE1604" s="71"/>
      <c r="BF1604" s="71"/>
      <c r="BG1604" s="71"/>
      <c r="BH1604" s="71"/>
      <c r="BI1604" s="71"/>
      <c r="BJ1604" s="71"/>
      <c r="BK1604" s="71"/>
      <c r="BL1604" s="71"/>
      <c r="BM1604" s="71"/>
      <c r="BN1604" s="71"/>
      <c r="BO1604" s="71"/>
      <c r="BP1604" s="71"/>
      <c r="BQ1604" s="71"/>
      <c r="BR1604" s="71"/>
      <c r="BS1604" s="71"/>
      <c r="BT1604" s="71"/>
      <c r="BU1604" s="71"/>
      <c r="BV1604" s="71"/>
    </row>
    <row r="1605">
      <c r="A1605" s="53"/>
      <c r="B1605" s="53">
        <v>3.0</v>
      </c>
      <c r="C1605" s="53" t="s">
        <v>36</v>
      </c>
      <c r="D1605" s="171" t="s">
        <v>3997</v>
      </c>
      <c r="E1605" s="54" t="s">
        <v>38</v>
      </c>
      <c r="F1605" s="55" t="s">
        <v>61</v>
      </c>
      <c r="G1605" s="147" t="s">
        <v>3998</v>
      </c>
      <c r="H1605" s="55"/>
      <c r="I1605" s="54">
        <f t="shared" si="24"/>
        <v>0</v>
      </c>
      <c r="J1605" s="56"/>
      <c r="K1605" s="57"/>
      <c r="L1605" s="76"/>
      <c r="M1605" s="59"/>
      <c r="N1605" s="60"/>
      <c r="O1605" s="61">
        <v>155214.0</v>
      </c>
      <c r="P1605" s="62">
        <v>167631.12000000002</v>
      </c>
      <c r="Q1605" s="63">
        <v>167631.12000000002</v>
      </c>
      <c r="R1605" s="64">
        <v>184814.0</v>
      </c>
      <c r="S1605" s="107">
        <v>194055.0</v>
      </c>
      <c r="T1605" s="65">
        <f t="shared" si="39"/>
        <v>31048.8</v>
      </c>
      <c r="U1605" s="65">
        <f t="shared" si="40"/>
        <v>225103.8</v>
      </c>
      <c r="V1605" s="66">
        <f t="shared" si="68"/>
        <v>0.05000162325</v>
      </c>
      <c r="W1605" s="67">
        <f t="shared" si="5"/>
        <v>184352.25</v>
      </c>
      <c r="X1605" s="67">
        <f t="shared" si="61"/>
        <v>29496.36</v>
      </c>
      <c r="Y1605" s="67">
        <f t="shared" si="62"/>
        <v>213848.61</v>
      </c>
      <c r="Z1605" s="67">
        <f t="shared" si="8"/>
        <v>174649.5</v>
      </c>
      <c r="AA1605" s="67">
        <f t="shared" si="54"/>
        <v>27943.92</v>
      </c>
      <c r="AB1605" s="67">
        <f t="shared" si="55"/>
        <v>202593.42</v>
      </c>
      <c r="AC1605" s="67">
        <f t="shared" si="11"/>
        <v>174649.5</v>
      </c>
      <c r="AD1605" s="67">
        <f t="shared" si="56"/>
        <v>27943.92</v>
      </c>
      <c r="AE1605" s="67">
        <f t="shared" si="57"/>
        <v>202593.42</v>
      </c>
      <c r="AF1605" s="67">
        <f t="shared" si="33"/>
        <v>174649.5</v>
      </c>
      <c r="AG1605" s="67">
        <f t="shared" si="58"/>
        <v>27943.92</v>
      </c>
      <c r="AH1605" s="67">
        <f t="shared" si="59"/>
        <v>202593.42</v>
      </c>
      <c r="AI1605" s="67">
        <f t="shared" si="17"/>
        <v>174649.5</v>
      </c>
      <c r="AJ1605" s="68">
        <f t="shared" si="66"/>
        <v>27943.92</v>
      </c>
      <c r="AK1605" s="68">
        <f t="shared" si="67"/>
        <v>202593.42</v>
      </c>
      <c r="AL1605" s="70"/>
      <c r="AM1605" s="70"/>
      <c r="AN1605" s="71"/>
      <c r="AO1605" s="71"/>
      <c r="AP1605" s="71"/>
      <c r="AQ1605" s="71"/>
      <c r="AR1605" s="71"/>
      <c r="AS1605" s="71"/>
      <c r="AT1605" s="71"/>
      <c r="AU1605" s="71"/>
      <c r="AV1605" s="71"/>
      <c r="AW1605" s="71"/>
      <c r="AX1605" s="71"/>
      <c r="AY1605" s="71"/>
      <c r="AZ1605" s="71"/>
      <c r="BA1605" s="71"/>
      <c r="BB1605" s="71"/>
      <c r="BC1605" s="71"/>
      <c r="BD1605" s="71"/>
      <c r="BE1605" s="71"/>
      <c r="BF1605" s="71"/>
      <c r="BG1605" s="71"/>
      <c r="BH1605" s="71"/>
      <c r="BI1605" s="71"/>
      <c r="BJ1605" s="71"/>
      <c r="BK1605" s="71"/>
      <c r="BL1605" s="71"/>
      <c r="BM1605" s="71"/>
      <c r="BN1605" s="71"/>
      <c r="BO1605" s="71"/>
      <c r="BP1605" s="71"/>
      <c r="BQ1605" s="71"/>
      <c r="BR1605" s="71"/>
      <c r="BS1605" s="71"/>
      <c r="BT1605" s="71"/>
      <c r="BU1605" s="71"/>
      <c r="BV1605" s="71"/>
    </row>
    <row r="1606">
      <c r="A1606" s="53"/>
      <c r="B1606" s="53">
        <v>3.0</v>
      </c>
      <c r="C1606" s="53" t="s">
        <v>36</v>
      </c>
      <c r="D1606" s="172" t="s">
        <v>3999</v>
      </c>
      <c r="E1606" s="54" t="s">
        <v>38</v>
      </c>
      <c r="F1606" s="55" t="s">
        <v>61</v>
      </c>
      <c r="G1606" s="147" t="s">
        <v>4000</v>
      </c>
      <c r="H1606" s="55"/>
      <c r="I1606" s="54">
        <f t="shared" si="24"/>
        <v>0</v>
      </c>
      <c r="J1606" s="56"/>
      <c r="K1606" s="57"/>
      <c r="L1606" s="76"/>
      <c r="M1606" s="59"/>
      <c r="N1606" s="60"/>
      <c r="O1606" s="61">
        <v>153702.0</v>
      </c>
      <c r="P1606" s="62">
        <v>165998.16</v>
      </c>
      <c r="Q1606" s="63">
        <v>165998.16</v>
      </c>
      <c r="R1606" s="64">
        <v>183013.0</v>
      </c>
      <c r="S1606" s="107">
        <v>192164.0</v>
      </c>
      <c r="T1606" s="65">
        <f t="shared" si="39"/>
        <v>30746.24</v>
      </c>
      <c r="U1606" s="65">
        <f t="shared" si="40"/>
        <v>222910.24</v>
      </c>
      <c r="V1606" s="66">
        <f t="shared" si="68"/>
        <v>0.05000191243</v>
      </c>
      <c r="W1606" s="67">
        <f t="shared" si="5"/>
        <v>182555.8</v>
      </c>
      <c r="X1606" s="67">
        <f t="shared" si="61"/>
        <v>29208.928</v>
      </c>
      <c r="Y1606" s="67">
        <f t="shared" si="62"/>
        <v>211764.728</v>
      </c>
      <c r="Z1606" s="67">
        <f t="shared" si="8"/>
        <v>172947.6</v>
      </c>
      <c r="AA1606" s="67">
        <f t="shared" si="54"/>
        <v>27671.616</v>
      </c>
      <c r="AB1606" s="67">
        <f t="shared" si="55"/>
        <v>200619.216</v>
      </c>
      <c r="AC1606" s="67">
        <f t="shared" si="11"/>
        <v>172947.6</v>
      </c>
      <c r="AD1606" s="67">
        <f t="shared" si="56"/>
        <v>27671.616</v>
      </c>
      <c r="AE1606" s="67">
        <f t="shared" si="57"/>
        <v>200619.216</v>
      </c>
      <c r="AF1606" s="67">
        <f t="shared" si="33"/>
        <v>172947.6</v>
      </c>
      <c r="AG1606" s="67">
        <f t="shared" si="58"/>
        <v>27671.616</v>
      </c>
      <c r="AH1606" s="67">
        <f t="shared" si="59"/>
        <v>200619.216</v>
      </c>
      <c r="AI1606" s="67">
        <f t="shared" si="17"/>
        <v>172947.6</v>
      </c>
      <c r="AJ1606" s="68">
        <f t="shared" si="66"/>
        <v>27671.616</v>
      </c>
      <c r="AK1606" s="68">
        <f t="shared" si="67"/>
        <v>200619.216</v>
      </c>
      <c r="AL1606" s="70"/>
      <c r="AM1606" s="70"/>
      <c r="AN1606" s="71"/>
      <c r="AO1606" s="71"/>
      <c r="AP1606" s="71"/>
      <c r="AQ1606" s="71"/>
      <c r="AR1606" s="71"/>
      <c r="AS1606" s="71"/>
      <c r="AT1606" s="71"/>
      <c r="AU1606" s="71"/>
      <c r="AV1606" s="71"/>
      <c r="AW1606" s="71"/>
      <c r="AX1606" s="71"/>
      <c r="AY1606" s="71"/>
      <c r="AZ1606" s="71"/>
      <c r="BA1606" s="71"/>
      <c r="BB1606" s="71"/>
      <c r="BC1606" s="71"/>
      <c r="BD1606" s="71"/>
      <c r="BE1606" s="71"/>
      <c r="BF1606" s="71"/>
      <c r="BG1606" s="71"/>
      <c r="BH1606" s="71"/>
      <c r="BI1606" s="71"/>
      <c r="BJ1606" s="71"/>
      <c r="BK1606" s="71"/>
      <c r="BL1606" s="71"/>
      <c r="BM1606" s="71"/>
      <c r="BN1606" s="71"/>
      <c r="BO1606" s="71"/>
      <c r="BP1606" s="71"/>
      <c r="BQ1606" s="71"/>
      <c r="BR1606" s="71"/>
      <c r="BS1606" s="71"/>
      <c r="BT1606" s="71"/>
      <c r="BU1606" s="71"/>
      <c r="BV1606" s="71"/>
    </row>
    <row r="1607">
      <c r="A1607" s="53"/>
      <c r="B1607" s="53">
        <v>3.0</v>
      </c>
      <c r="C1607" s="53" t="s">
        <v>36</v>
      </c>
      <c r="D1607" s="171" t="s">
        <v>4001</v>
      </c>
      <c r="E1607" s="54" t="s">
        <v>38</v>
      </c>
      <c r="F1607" s="55" t="s">
        <v>61</v>
      </c>
      <c r="G1607" s="147" t="s">
        <v>4002</v>
      </c>
      <c r="H1607" s="55"/>
      <c r="I1607" s="54">
        <f t="shared" si="24"/>
        <v>0</v>
      </c>
      <c r="J1607" s="56"/>
      <c r="K1607" s="57"/>
      <c r="L1607" s="76"/>
      <c r="M1607" s="59"/>
      <c r="N1607" s="60"/>
      <c r="O1607" s="61">
        <v>173468.0</v>
      </c>
      <c r="P1607" s="62">
        <v>187345.44</v>
      </c>
      <c r="Q1607" s="63">
        <v>187345.44</v>
      </c>
      <c r="R1607" s="64">
        <v>206548.0</v>
      </c>
      <c r="S1607" s="107">
        <v>216875.0</v>
      </c>
      <c r="T1607" s="65">
        <f t="shared" si="39"/>
        <v>34700</v>
      </c>
      <c r="U1607" s="65">
        <f t="shared" si="40"/>
        <v>251575</v>
      </c>
      <c r="V1607" s="66">
        <f t="shared" si="68"/>
        <v>0.0499980634</v>
      </c>
      <c r="W1607" s="67">
        <f t="shared" si="5"/>
        <v>206031.25</v>
      </c>
      <c r="X1607" s="67">
        <f t="shared" si="61"/>
        <v>32965</v>
      </c>
      <c r="Y1607" s="67">
        <f t="shared" si="62"/>
        <v>238996.25</v>
      </c>
      <c r="Z1607" s="67">
        <f t="shared" si="8"/>
        <v>195187.5</v>
      </c>
      <c r="AA1607" s="67">
        <f t="shared" si="54"/>
        <v>31230</v>
      </c>
      <c r="AB1607" s="67">
        <f t="shared" si="55"/>
        <v>226417.5</v>
      </c>
      <c r="AC1607" s="67">
        <f t="shared" si="11"/>
        <v>195187.5</v>
      </c>
      <c r="AD1607" s="67">
        <f t="shared" si="56"/>
        <v>31230</v>
      </c>
      <c r="AE1607" s="67">
        <f t="shared" si="57"/>
        <v>226417.5</v>
      </c>
      <c r="AF1607" s="67">
        <f t="shared" si="33"/>
        <v>195187.5</v>
      </c>
      <c r="AG1607" s="67">
        <f t="shared" si="58"/>
        <v>31230</v>
      </c>
      <c r="AH1607" s="67">
        <f t="shared" si="59"/>
        <v>226417.5</v>
      </c>
      <c r="AI1607" s="67">
        <f t="shared" si="17"/>
        <v>195187.5</v>
      </c>
      <c r="AJ1607" s="68">
        <f t="shared" si="66"/>
        <v>31230</v>
      </c>
      <c r="AK1607" s="68">
        <f t="shared" si="67"/>
        <v>226417.5</v>
      </c>
      <c r="AL1607" s="70"/>
      <c r="AM1607" s="70"/>
      <c r="AN1607" s="71"/>
      <c r="AO1607" s="71"/>
      <c r="AP1607" s="71"/>
      <c r="AQ1607" s="71"/>
      <c r="AR1607" s="71"/>
      <c r="AS1607" s="71"/>
      <c r="AT1607" s="71"/>
      <c r="AU1607" s="71"/>
      <c r="AV1607" s="71"/>
      <c r="AW1607" s="71"/>
      <c r="AX1607" s="71"/>
      <c r="AY1607" s="71"/>
      <c r="AZ1607" s="71"/>
      <c r="BA1607" s="71"/>
      <c r="BB1607" s="71"/>
      <c r="BC1607" s="71"/>
      <c r="BD1607" s="71"/>
      <c r="BE1607" s="71"/>
      <c r="BF1607" s="71"/>
      <c r="BG1607" s="71"/>
      <c r="BH1607" s="71"/>
      <c r="BI1607" s="71"/>
      <c r="BJ1607" s="71"/>
      <c r="BK1607" s="71"/>
      <c r="BL1607" s="71"/>
      <c r="BM1607" s="71"/>
      <c r="BN1607" s="71"/>
      <c r="BO1607" s="71"/>
      <c r="BP1607" s="71"/>
      <c r="BQ1607" s="71"/>
      <c r="BR1607" s="71"/>
      <c r="BS1607" s="71"/>
      <c r="BT1607" s="71"/>
      <c r="BU1607" s="71"/>
      <c r="BV1607" s="71"/>
    </row>
    <row r="1608">
      <c r="A1608" s="53"/>
      <c r="B1608" s="53">
        <v>3.0</v>
      </c>
      <c r="C1608" s="53" t="s">
        <v>36</v>
      </c>
      <c r="D1608" s="172" t="s">
        <v>4003</v>
      </c>
      <c r="E1608" s="54" t="s">
        <v>38</v>
      </c>
      <c r="F1608" s="55" t="s">
        <v>61</v>
      </c>
      <c r="G1608" s="147" t="s">
        <v>4004</v>
      </c>
      <c r="H1608" s="55"/>
      <c r="I1608" s="54">
        <f t="shared" si="24"/>
        <v>0</v>
      </c>
      <c r="J1608" s="56"/>
      <c r="K1608" s="57"/>
      <c r="L1608" s="76"/>
      <c r="M1608" s="59"/>
      <c r="N1608" s="60"/>
      <c r="O1608" s="61">
        <v>171956.0</v>
      </c>
      <c r="P1608" s="62">
        <v>185712.48</v>
      </c>
      <c r="Q1608" s="63">
        <v>185712.48</v>
      </c>
      <c r="R1608" s="64">
        <v>204748.0</v>
      </c>
      <c r="S1608" s="107">
        <v>214985.0</v>
      </c>
      <c r="T1608" s="65">
        <f t="shared" si="39"/>
        <v>34397.6</v>
      </c>
      <c r="U1608" s="65">
        <f t="shared" si="40"/>
        <v>249382.6</v>
      </c>
      <c r="V1608" s="66">
        <f t="shared" si="68"/>
        <v>0.04999804638</v>
      </c>
      <c r="W1608" s="67">
        <f t="shared" si="5"/>
        <v>204235.75</v>
      </c>
      <c r="X1608" s="67">
        <f t="shared" si="61"/>
        <v>32677.72</v>
      </c>
      <c r="Y1608" s="67">
        <f t="shared" si="62"/>
        <v>236913.47</v>
      </c>
      <c r="Z1608" s="67">
        <f t="shared" si="8"/>
        <v>193486.5</v>
      </c>
      <c r="AA1608" s="67">
        <f t="shared" si="54"/>
        <v>30957.84</v>
      </c>
      <c r="AB1608" s="67">
        <f t="shared" si="55"/>
        <v>224444.34</v>
      </c>
      <c r="AC1608" s="67">
        <f t="shared" si="11"/>
        <v>193486.5</v>
      </c>
      <c r="AD1608" s="67">
        <f t="shared" si="56"/>
        <v>30957.84</v>
      </c>
      <c r="AE1608" s="67">
        <f t="shared" si="57"/>
        <v>224444.34</v>
      </c>
      <c r="AF1608" s="67">
        <f t="shared" si="33"/>
        <v>193486.5</v>
      </c>
      <c r="AG1608" s="67">
        <f t="shared" si="58"/>
        <v>30957.84</v>
      </c>
      <c r="AH1608" s="67">
        <f t="shared" si="59"/>
        <v>224444.34</v>
      </c>
      <c r="AI1608" s="67">
        <f t="shared" si="17"/>
        <v>193486.5</v>
      </c>
      <c r="AJ1608" s="68">
        <f t="shared" si="66"/>
        <v>30957.84</v>
      </c>
      <c r="AK1608" s="68">
        <f t="shared" si="67"/>
        <v>224444.34</v>
      </c>
      <c r="AL1608" s="70"/>
      <c r="AM1608" s="70"/>
      <c r="AN1608" s="71"/>
      <c r="AO1608" s="71"/>
      <c r="AP1608" s="71"/>
      <c r="AQ1608" s="71"/>
      <c r="AR1608" s="71"/>
      <c r="AS1608" s="71"/>
      <c r="AT1608" s="71"/>
      <c r="AU1608" s="71"/>
      <c r="AV1608" s="71"/>
      <c r="AW1608" s="71"/>
      <c r="AX1608" s="71"/>
      <c r="AY1608" s="71"/>
      <c r="AZ1608" s="71"/>
      <c r="BA1608" s="71"/>
      <c r="BB1608" s="71"/>
      <c r="BC1608" s="71"/>
      <c r="BD1608" s="71"/>
      <c r="BE1608" s="71"/>
      <c r="BF1608" s="71"/>
      <c r="BG1608" s="71"/>
      <c r="BH1608" s="71"/>
      <c r="BI1608" s="71"/>
      <c r="BJ1608" s="71"/>
      <c r="BK1608" s="71"/>
      <c r="BL1608" s="71"/>
      <c r="BM1608" s="71"/>
      <c r="BN1608" s="71"/>
      <c r="BO1608" s="71"/>
      <c r="BP1608" s="71"/>
      <c r="BQ1608" s="71"/>
      <c r="BR1608" s="71"/>
      <c r="BS1608" s="71"/>
      <c r="BT1608" s="71"/>
      <c r="BU1608" s="71"/>
      <c r="BV1608" s="71"/>
    </row>
    <row r="1609">
      <c r="A1609" s="53"/>
      <c r="B1609" s="53">
        <v>3.0</v>
      </c>
      <c r="C1609" s="53" t="s">
        <v>36</v>
      </c>
      <c r="D1609" s="171" t="s">
        <v>4005</v>
      </c>
      <c r="E1609" s="54" t="s">
        <v>38</v>
      </c>
      <c r="F1609" s="55" t="s">
        <v>61</v>
      </c>
      <c r="G1609" s="147" t="s">
        <v>4006</v>
      </c>
      <c r="H1609" s="55"/>
      <c r="I1609" s="54">
        <f t="shared" si="24"/>
        <v>0</v>
      </c>
      <c r="J1609" s="56"/>
      <c r="K1609" s="57"/>
      <c r="L1609" s="76"/>
      <c r="M1609" s="59"/>
      <c r="N1609" s="60"/>
      <c r="O1609" s="61">
        <v>163456.0</v>
      </c>
      <c r="P1609" s="62">
        <v>176532.48</v>
      </c>
      <c r="Q1609" s="63">
        <v>176532.48</v>
      </c>
      <c r="R1609" s="64">
        <v>194627.0</v>
      </c>
      <c r="S1609" s="107">
        <v>204358.0</v>
      </c>
      <c r="T1609" s="65">
        <f t="shared" si="39"/>
        <v>32697.28</v>
      </c>
      <c r="U1609" s="65">
        <f t="shared" si="40"/>
        <v>237055.28</v>
      </c>
      <c r="V1609" s="66">
        <f t="shared" si="68"/>
        <v>0.04999820169</v>
      </c>
      <c r="W1609" s="67">
        <f t="shared" si="5"/>
        <v>194140.1</v>
      </c>
      <c r="X1609" s="67">
        <f t="shared" si="61"/>
        <v>31062.416</v>
      </c>
      <c r="Y1609" s="67">
        <f t="shared" si="62"/>
        <v>225202.516</v>
      </c>
      <c r="Z1609" s="67">
        <f t="shared" si="8"/>
        <v>183922.2</v>
      </c>
      <c r="AA1609" s="67">
        <f t="shared" si="54"/>
        <v>29427.552</v>
      </c>
      <c r="AB1609" s="67">
        <f t="shared" si="55"/>
        <v>213349.752</v>
      </c>
      <c r="AC1609" s="67">
        <f t="shared" si="11"/>
        <v>183922.2</v>
      </c>
      <c r="AD1609" s="67">
        <f t="shared" si="56"/>
        <v>29427.552</v>
      </c>
      <c r="AE1609" s="67">
        <f t="shared" si="57"/>
        <v>213349.752</v>
      </c>
      <c r="AF1609" s="67">
        <f t="shared" si="33"/>
        <v>183922.2</v>
      </c>
      <c r="AG1609" s="67">
        <f t="shared" si="58"/>
        <v>29427.552</v>
      </c>
      <c r="AH1609" s="67">
        <f t="shared" si="59"/>
        <v>213349.752</v>
      </c>
      <c r="AI1609" s="67">
        <f t="shared" si="17"/>
        <v>183922.2</v>
      </c>
      <c r="AJ1609" s="68">
        <f t="shared" si="66"/>
        <v>29427.552</v>
      </c>
      <c r="AK1609" s="68">
        <f t="shared" si="67"/>
        <v>213349.752</v>
      </c>
      <c r="AL1609" s="70"/>
      <c r="AM1609" s="70"/>
      <c r="AN1609" s="71"/>
      <c r="AO1609" s="71"/>
      <c r="AP1609" s="71"/>
      <c r="AQ1609" s="71"/>
      <c r="AR1609" s="71"/>
      <c r="AS1609" s="71"/>
      <c r="AT1609" s="71"/>
      <c r="AU1609" s="71"/>
      <c r="AV1609" s="71"/>
      <c r="AW1609" s="71"/>
      <c r="AX1609" s="71"/>
      <c r="AY1609" s="71"/>
      <c r="AZ1609" s="71"/>
      <c r="BA1609" s="71"/>
      <c r="BB1609" s="71"/>
      <c r="BC1609" s="71"/>
      <c r="BD1609" s="71"/>
      <c r="BE1609" s="71"/>
      <c r="BF1609" s="71"/>
      <c r="BG1609" s="71"/>
      <c r="BH1609" s="71"/>
      <c r="BI1609" s="71"/>
      <c r="BJ1609" s="71"/>
      <c r="BK1609" s="71"/>
      <c r="BL1609" s="71"/>
      <c r="BM1609" s="71"/>
      <c r="BN1609" s="71"/>
      <c r="BO1609" s="71"/>
      <c r="BP1609" s="71"/>
      <c r="BQ1609" s="71"/>
      <c r="BR1609" s="71"/>
      <c r="BS1609" s="71"/>
      <c r="BT1609" s="71"/>
      <c r="BU1609" s="71"/>
      <c r="BV1609" s="71"/>
    </row>
    <row r="1610">
      <c r="A1610" s="53"/>
      <c r="B1610" s="53">
        <v>3.0</v>
      </c>
      <c r="C1610" s="53" t="s">
        <v>36</v>
      </c>
      <c r="D1610" s="172" t="s">
        <v>4007</v>
      </c>
      <c r="E1610" s="54" t="s">
        <v>38</v>
      </c>
      <c r="F1610" s="55" t="s">
        <v>61</v>
      </c>
      <c r="G1610" s="147" t="s">
        <v>4008</v>
      </c>
      <c r="H1610" s="55"/>
      <c r="I1610" s="54">
        <f t="shared" si="24"/>
        <v>0</v>
      </c>
      <c r="J1610" s="56"/>
      <c r="K1610" s="57"/>
      <c r="L1610" s="76"/>
      <c r="M1610" s="59"/>
      <c r="N1610" s="60"/>
      <c r="O1610" s="61">
        <v>161944.0</v>
      </c>
      <c r="P1610" s="62">
        <v>174899.52000000002</v>
      </c>
      <c r="Q1610" s="63">
        <v>174899.52000000002</v>
      </c>
      <c r="R1610" s="64">
        <v>192828.0</v>
      </c>
      <c r="S1610" s="107">
        <v>202469.0</v>
      </c>
      <c r="T1610" s="65">
        <f t="shared" si="39"/>
        <v>32395.04</v>
      </c>
      <c r="U1610" s="65">
        <f t="shared" si="40"/>
        <v>234864.04</v>
      </c>
      <c r="V1610" s="66">
        <f t="shared" si="68"/>
        <v>0.04999792561</v>
      </c>
      <c r="W1610" s="67">
        <f t="shared" si="5"/>
        <v>192345.55</v>
      </c>
      <c r="X1610" s="67">
        <f t="shared" si="61"/>
        <v>30775.288</v>
      </c>
      <c r="Y1610" s="67">
        <f t="shared" si="62"/>
        <v>223120.838</v>
      </c>
      <c r="Z1610" s="67">
        <f t="shared" si="8"/>
        <v>182222.1</v>
      </c>
      <c r="AA1610" s="67">
        <f t="shared" si="54"/>
        <v>29155.536</v>
      </c>
      <c r="AB1610" s="67">
        <f t="shared" si="55"/>
        <v>211377.636</v>
      </c>
      <c r="AC1610" s="67">
        <f t="shared" si="11"/>
        <v>182222.1</v>
      </c>
      <c r="AD1610" s="67">
        <f t="shared" si="56"/>
        <v>29155.536</v>
      </c>
      <c r="AE1610" s="67">
        <f t="shared" si="57"/>
        <v>211377.636</v>
      </c>
      <c r="AF1610" s="67">
        <f t="shared" si="33"/>
        <v>182222.1</v>
      </c>
      <c r="AG1610" s="67">
        <f t="shared" si="58"/>
        <v>29155.536</v>
      </c>
      <c r="AH1610" s="67">
        <f t="shared" si="59"/>
        <v>211377.636</v>
      </c>
      <c r="AI1610" s="67">
        <f t="shared" si="17"/>
        <v>182222.1</v>
      </c>
      <c r="AJ1610" s="68">
        <f t="shared" si="66"/>
        <v>29155.536</v>
      </c>
      <c r="AK1610" s="68">
        <f t="shared" si="67"/>
        <v>211377.636</v>
      </c>
      <c r="AL1610" s="70"/>
      <c r="AM1610" s="70"/>
      <c r="AN1610" s="71"/>
      <c r="AO1610" s="71"/>
      <c r="AP1610" s="71"/>
      <c r="AQ1610" s="71"/>
      <c r="AR1610" s="71"/>
      <c r="AS1610" s="71"/>
      <c r="AT1610" s="71"/>
      <c r="AU1610" s="71"/>
      <c r="AV1610" s="71"/>
      <c r="AW1610" s="71"/>
      <c r="AX1610" s="71"/>
      <c r="AY1610" s="71"/>
      <c r="AZ1610" s="71"/>
      <c r="BA1610" s="71"/>
      <c r="BB1610" s="71"/>
      <c r="BC1610" s="71"/>
      <c r="BD1610" s="71"/>
      <c r="BE1610" s="71"/>
      <c r="BF1610" s="71"/>
      <c r="BG1610" s="71"/>
      <c r="BH1610" s="71"/>
      <c r="BI1610" s="71"/>
      <c r="BJ1610" s="71"/>
      <c r="BK1610" s="71"/>
      <c r="BL1610" s="71"/>
      <c r="BM1610" s="71"/>
      <c r="BN1610" s="71"/>
      <c r="BO1610" s="71"/>
      <c r="BP1610" s="71"/>
      <c r="BQ1610" s="71"/>
      <c r="BR1610" s="71"/>
      <c r="BS1610" s="71"/>
      <c r="BT1610" s="71"/>
      <c r="BU1610" s="71"/>
      <c r="BV1610" s="71"/>
    </row>
    <row r="1611">
      <c r="A1611" s="53"/>
      <c r="B1611" s="53"/>
      <c r="C1611" s="53"/>
      <c r="D1611" s="53" t="s">
        <v>4009</v>
      </c>
      <c r="E1611" s="55" t="s">
        <v>38</v>
      </c>
      <c r="F1611" s="89"/>
      <c r="G1611" s="84" t="s">
        <v>4010</v>
      </c>
      <c r="H1611" s="55"/>
      <c r="I1611" s="54">
        <f t="shared" si="24"/>
        <v>0</v>
      </c>
      <c r="J1611" s="56"/>
      <c r="K1611" s="57"/>
      <c r="L1611" s="55"/>
      <c r="M1611" s="59"/>
      <c r="N1611" s="60"/>
      <c r="O1611" s="90"/>
      <c r="P1611" s="62">
        <v>137323.0</v>
      </c>
      <c r="Q1611" s="63">
        <v>137323.0</v>
      </c>
      <c r="R1611" s="64">
        <v>151399.0</v>
      </c>
      <c r="S1611" s="111">
        <v>158969.0</v>
      </c>
      <c r="T1611" s="65">
        <f t="shared" si="39"/>
        <v>25435.04</v>
      </c>
      <c r="U1611" s="65">
        <f t="shared" si="40"/>
        <v>184404.04</v>
      </c>
      <c r="V1611" s="66">
        <f t="shared" si="68"/>
        <v>0.05000033025</v>
      </c>
      <c r="W1611" s="67">
        <f t="shared" si="5"/>
        <v>151020.55</v>
      </c>
      <c r="X1611" s="67">
        <f t="shared" si="61"/>
        <v>24163.288</v>
      </c>
      <c r="Y1611" s="67">
        <f t="shared" si="62"/>
        <v>175183.838</v>
      </c>
      <c r="Z1611" s="67">
        <f t="shared" si="8"/>
        <v>143072.1</v>
      </c>
      <c r="AA1611" s="67">
        <f t="shared" si="54"/>
        <v>22891.536</v>
      </c>
      <c r="AB1611" s="67">
        <f t="shared" si="55"/>
        <v>165963.636</v>
      </c>
      <c r="AC1611" s="67">
        <f t="shared" si="11"/>
        <v>135123.65</v>
      </c>
      <c r="AD1611" s="67">
        <f t="shared" si="56"/>
        <v>21619.784</v>
      </c>
      <c r="AE1611" s="67">
        <f t="shared" si="57"/>
        <v>156743.434</v>
      </c>
      <c r="AF1611" s="67">
        <f t="shared" si="33"/>
        <v>131944.27</v>
      </c>
      <c r="AG1611" s="67">
        <f t="shared" si="58"/>
        <v>21111.0832</v>
      </c>
      <c r="AH1611" s="67">
        <f t="shared" si="59"/>
        <v>153055.3532</v>
      </c>
      <c r="AI1611" s="67">
        <f t="shared" si="17"/>
        <v>127175.2</v>
      </c>
      <c r="AJ1611" s="68">
        <f t="shared" si="66"/>
        <v>20348.032</v>
      </c>
      <c r="AK1611" s="68">
        <f t="shared" si="67"/>
        <v>147523.232</v>
      </c>
      <c r="AL1611" s="70"/>
      <c r="AM1611" s="70"/>
      <c r="AN1611" s="71"/>
      <c r="AO1611" s="71"/>
      <c r="AP1611" s="71"/>
      <c r="AQ1611" s="71"/>
      <c r="AR1611" s="71"/>
      <c r="AS1611" s="71"/>
      <c r="AT1611" s="71"/>
      <c r="AU1611" s="71"/>
      <c r="AV1611" s="71"/>
      <c r="AW1611" s="71"/>
      <c r="AX1611" s="71"/>
      <c r="AY1611" s="71"/>
      <c r="AZ1611" s="71"/>
      <c r="BA1611" s="71"/>
      <c r="BB1611" s="71"/>
      <c r="BC1611" s="71"/>
      <c r="BD1611" s="71"/>
      <c r="BE1611" s="71"/>
      <c r="BF1611" s="71"/>
      <c r="BG1611" s="71"/>
      <c r="BH1611" s="71"/>
      <c r="BI1611" s="71"/>
      <c r="BJ1611" s="71"/>
      <c r="BK1611" s="71"/>
      <c r="BL1611" s="71"/>
      <c r="BM1611" s="71"/>
      <c r="BN1611" s="71"/>
      <c r="BO1611" s="71"/>
      <c r="BP1611" s="71"/>
      <c r="BQ1611" s="71"/>
      <c r="BR1611" s="71"/>
      <c r="BS1611" s="71"/>
      <c r="BT1611" s="71"/>
      <c r="BU1611" s="71"/>
      <c r="BV1611" s="71"/>
    </row>
    <row r="1612">
      <c r="A1612" s="53"/>
      <c r="B1612" s="53"/>
      <c r="C1612" s="53"/>
      <c r="D1612" s="53" t="s">
        <v>4011</v>
      </c>
      <c r="E1612" s="55" t="s">
        <v>38</v>
      </c>
      <c r="F1612" s="89"/>
      <c r="G1612" s="84" t="s">
        <v>4012</v>
      </c>
      <c r="H1612" s="55"/>
      <c r="I1612" s="54">
        <f t="shared" si="24"/>
        <v>0</v>
      </c>
      <c r="J1612" s="56"/>
      <c r="K1612" s="57"/>
      <c r="L1612" s="76"/>
      <c r="M1612" s="59"/>
      <c r="N1612" s="60"/>
      <c r="O1612" s="90"/>
      <c r="P1612" s="62">
        <v>0.0</v>
      </c>
      <c r="Q1612" s="63">
        <v>0.0</v>
      </c>
      <c r="R1612" s="78">
        <v>0.0</v>
      </c>
      <c r="S1612" s="111">
        <v>0.0</v>
      </c>
      <c r="T1612" s="65">
        <f t="shared" si="39"/>
        <v>0</v>
      </c>
      <c r="U1612" s="65">
        <f t="shared" si="40"/>
        <v>0</v>
      </c>
      <c r="V1612" s="66" t="str">
        <f t="shared" si="68"/>
        <v>#DIV/0!</v>
      </c>
      <c r="W1612" s="67">
        <f t="shared" si="5"/>
        <v>0</v>
      </c>
      <c r="X1612" s="67">
        <f t="shared" si="61"/>
        <v>0</v>
      </c>
      <c r="Y1612" s="67">
        <f t="shared" si="62"/>
        <v>0</v>
      </c>
      <c r="Z1612" s="67">
        <f t="shared" si="8"/>
        <v>0</v>
      </c>
      <c r="AA1612" s="67">
        <f t="shared" si="54"/>
        <v>0</v>
      </c>
      <c r="AB1612" s="67">
        <f t="shared" si="55"/>
        <v>0</v>
      </c>
      <c r="AC1612" s="67">
        <f t="shared" si="11"/>
        <v>0</v>
      </c>
      <c r="AD1612" s="67">
        <f t="shared" si="56"/>
        <v>0</v>
      </c>
      <c r="AE1612" s="67">
        <f t="shared" si="57"/>
        <v>0</v>
      </c>
      <c r="AF1612" s="67">
        <f t="shared" si="33"/>
        <v>0</v>
      </c>
      <c r="AG1612" s="67">
        <f t="shared" si="58"/>
        <v>0</v>
      </c>
      <c r="AH1612" s="67">
        <f t="shared" si="59"/>
        <v>0</v>
      </c>
      <c r="AI1612" s="67">
        <f t="shared" si="17"/>
        <v>0</v>
      </c>
      <c r="AJ1612" s="68">
        <f t="shared" si="66"/>
        <v>0</v>
      </c>
      <c r="AK1612" s="68">
        <f t="shared" si="67"/>
        <v>0</v>
      </c>
      <c r="AL1612" s="70"/>
      <c r="AM1612" s="70"/>
      <c r="AN1612" s="71"/>
      <c r="AO1612" s="71"/>
      <c r="AP1612" s="71"/>
      <c r="AQ1612" s="71"/>
      <c r="AR1612" s="71"/>
      <c r="AS1612" s="71"/>
      <c r="AT1612" s="71"/>
      <c r="AU1612" s="71"/>
      <c r="AV1612" s="71"/>
      <c r="AW1612" s="71"/>
      <c r="AX1612" s="71"/>
      <c r="AY1612" s="71"/>
      <c r="AZ1612" s="71"/>
      <c r="BA1612" s="71"/>
      <c r="BB1612" s="71"/>
      <c r="BC1612" s="71"/>
      <c r="BD1612" s="71"/>
      <c r="BE1612" s="71"/>
      <c r="BF1612" s="71"/>
      <c r="BG1612" s="71"/>
      <c r="BH1612" s="71"/>
      <c r="BI1612" s="71"/>
      <c r="BJ1612" s="71"/>
      <c r="BK1612" s="71"/>
      <c r="BL1612" s="71"/>
      <c r="BM1612" s="71"/>
      <c r="BN1612" s="71"/>
      <c r="BO1612" s="71"/>
      <c r="BP1612" s="71"/>
      <c r="BQ1612" s="71"/>
      <c r="BR1612" s="71"/>
      <c r="BS1612" s="71"/>
      <c r="BT1612" s="71"/>
      <c r="BU1612" s="71"/>
      <c r="BV1612" s="71"/>
    </row>
    <row r="1613">
      <c r="A1613" s="53"/>
      <c r="B1613" s="53"/>
      <c r="C1613" s="53" t="s">
        <v>53</v>
      </c>
      <c r="D1613" s="53" t="s">
        <v>4013</v>
      </c>
      <c r="E1613" s="54" t="s">
        <v>38</v>
      </c>
      <c r="F1613" s="54" t="s">
        <v>42</v>
      </c>
      <c r="G1613" s="55" t="s">
        <v>4014</v>
      </c>
      <c r="H1613" s="55" t="s">
        <v>4014</v>
      </c>
      <c r="I1613" s="54">
        <f t="shared" si="24"/>
        <v>29</v>
      </c>
      <c r="J1613" s="56"/>
      <c r="K1613" s="57"/>
      <c r="L1613" s="76"/>
      <c r="M1613" s="59"/>
      <c r="N1613" s="60"/>
      <c r="O1613" s="61">
        <v>48.0</v>
      </c>
      <c r="P1613" s="62">
        <v>51.84</v>
      </c>
      <c r="Q1613" s="63">
        <v>51.84</v>
      </c>
      <c r="R1613" s="64">
        <v>55.0</v>
      </c>
      <c r="S1613" s="111">
        <v>58.0</v>
      </c>
      <c r="T1613" s="65">
        <f t="shared" si="39"/>
        <v>9.28</v>
      </c>
      <c r="U1613" s="65">
        <f t="shared" si="40"/>
        <v>67.28</v>
      </c>
      <c r="V1613" s="66">
        <f t="shared" si="68"/>
        <v>0.05454545455</v>
      </c>
      <c r="W1613" s="67">
        <f t="shared" si="5"/>
        <v>55.1</v>
      </c>
      <c r="X1613" s="67">
        <f t="shared" si="61"/>
        <v>8.816</v>
      </c>
      <c r="Y1613" s="67">
        <f t="shared" si="62"/>
        <v>63.916</v>
      </c>
      <c r="Z1613" s="67">
        <f t="shared" si="8"/>
        <v>52.2</v>
      </c>
      <c r="AA1613" s="67">
        <f t="shared" si="54"/>
        <v>8.352</v>
      </c>
      <c r="AB1613" s="67">
        <f t="shared" si="55"/>
        <v>60.552</v>
      </c>
      <c r="AC1613" s="67">
        <f t="shared" si="11"/>
        <v>49.3</v>
      </c>
      <c r="AD1613" s="67">
        <f t="shared" si="56"/>
        <v>7.888</v>
      </c>
      <c r="AE1613" s="67">
        <f t="shared" si="57"/>
        <v>57.188</v>
      </c>
      <c r="AF1613" s="67">
        <f t="shared" si="33"/>
        <v>48.14</v>
      </c>
      <c r="AG1613" s="67">
        <f t="shared" si="58"/>
        <v>7.7024</v>
      </c>
      <c r="AH1613" s="67">
        <f t="shared" si="59"/>
        <v>55.8424</v>
      </c>
      <c r="AI1613" s="67">
        <f t="shared" si="17"/>
        <v>46.4</v>
      </c>
      <c r="AJ1613" s="68">
        <f t="shared" si="66"/>
        <v>7.424</v>
      </c>
      <c r="AK1613" s="68">
        <f t="shared" si="67"/>
        <v>53.824</v>
      </c>
      <c r="AL1613" s="70"/>
      <c r="AM1613" s="70"/>
      <c r="AN1613" s="71"/>
      <c r="AO1613" s="71"/>
      <c r="AP1613" s="71"/>
      <c r="AQ1613" s="71"/>
      <c r="AR1613" s="71"/>
      <c r="AS1613" s="71"/>
      <c r="AT1613" s="71"/>
      <c r="AU1613" s="71"/>
      <c r="AV1613" s="71"/>
      <c r="AW1613" s="71"/>
      <c r="AX1613" s="71"/>
      <c r="AY1613" s="71"/>
      <c r="AZ1613" s="71"/>
      <c r="BA1613" s="71"/>
      <c r="BB1613" s="71"/>
      <c r="BC1613" s="71"/>
      <c r="BD1613" s="71"/>
      <c r="BE1613" s="71"/>
      <c r="BF1613" s="71"/>
      <c r="BG1613" s="71"/>
      <c r="BH1613" s="71"/>
      <c r="BI1613" s="71"/>
      <c r="BJ1613" s="71"/>
      <c r="BK1613" s="71"/>
      <c r="BL1613" s="71"/>
      <c r="BM1613" s="71"/>
      <c r="BN1613" s="71"/>
      <c r="BO1613" s="71"/>
      <c r="BP1613" s="71"/>
      <c r="BQ1613" s="71"/>
      <c r="BR1613" s="71"/>
      <c r="BS1613" s="71"/>
      <c r="BT1613" s="71"/>
      <c r="BU1613" s="71"/>
      <c r="BV1613" s="71"/>
    </row>
    <row r="1614">
      <c r="A1614" s="53"/>
      <c r="B1614" s="53">
        <v>3.0</v>
      </c>
      <c r="C1614" s="53" t="s">
        <v>36</v>
      </c>
      <c r="D1614" s="98" t="s">
        <v>4015</v>
      </c>
      <c r="E1614" s="54" t="s">
        <v>38</v>
      </c>
      <c r="F1614" s="55" t="s">
        <v>96</v>
      </c>
      <c r="G1614" s="84" t="s">
        <v>4016</v>
      </c>
      <c r="H1614" s="84"/>
      <c r="I1614" s="54">
        <f t="shared" si="24"/>
        <v>0</v>
      </c>
      <c r="J1614" s="102"/>
      <c r="K1614" s="102"/>
      <c r="L1614" s="76"/>
      <c r="M1614" s="59"/>
      <c r="N1614" s="60"/>
      <c r="O1614" s="100">
        <v>13622.0</v>
      </c>
      <c r="P1614" s="62">
        <v>14711.76</v>
      </c>
      <c r="Q1614" s="63">
        <v>14711.76</v>
      </c>
      <c r="R1614" s="64">
        <v>16221.0</v>
      </c>
      <c r="S1614" s="107">
        <v>17032.0</v>
      </c>
      <c r="T1614" s="65">
        <f t="shared" si="39"/>
        <v>2725.12</v>
      </c>
      <c r="U1614" s="65">
        <f t="shared" si="40"/>
        <v>19757.12</v>
      </c>
      <c r="V1614" s="66">
        <f t="shared" si="68"/>
        <v>0.04999691758</v>
      </c>
      <c r="W1614" s="67">
        <f t="shared" si="5"/>
        <v>16180.4</v>
      </c>
      <c r="X1614" s="67">
        <f t="shared" si="61"/>
        <v>2588.864</v>
      </c>
      <c r="Y1614" s="67">
        <f t="shared" si="62"/>
        <v>18769.264</v>
      </c>
      <c r="Z1614" s="67">
        <f t="shared" si="8"/>
        <v>15328.8</v>
      </c>
      <c r="AA1614" s="67">
        <f t="shared" si="54"/>
        <v>2452.608</v>
      </c>
      <c r="AB1614" s="67">
        <f t="shared" si="55"/>
        <v>17781.408</v>
      </c>
      <c r="AC1614" s="67">
        <f t="shared" si="11"/>
        <v>15328.8</v>
      </c>
      <c r="AD1614" s="67">
        <f t="shared" si="56"/>
        <v>2452.608</v>
      </c>
      <c r="AE1614" s="67">
        <f t="shared" si="57"/>
        <v>17781.408</v>
      </c>
      <c r="AF1614" s="67">
        <f t="shared" si="33"/>
        <v>15328.8</v>
      </c>
      <c r="AG1614" s="67">
        <f t="shared" si="58"/>
        <v>2452.608</v>
      </c>
      <c r="AH1614" s="67">
        <f t="shared" si="59"/>
        <v>17781.408</v>
      </c>
      <c r="AI1614" s="67">
        <f t="shared" si="17"/>
        <v>15328.8</v>
      </c>
      <c r="AJ1614" s="68">
        <f t="shared" si="66"/>
        <v>2452.608</v>
      </c>
      <c r="AK1614" s="68">
        <f t="shared" si="67"/>
        <v>17781.408</v>
      </c>
      <c r="AL1614" s="70"/>
      <c r="AM1614" s="70"/>
      <c r="AN1614" s="71"/>
      <c r="AO1614" s="71"/>
      <c r="AP1614" s="71"/>
      <c r="AQ1614" s="71"/>
      <c r="AR1614" s="71"/>
      <c r="AS1614" s="71"/>
      <c r="AT1614" s="71"/>
      <c r="AU1614" s="71"/>
      <c r="AV1614" s="71"/>
      <c r="AW1614" s="71"/>
      <c r="AX1614" s="71"/>
      <c r="AY1614" s="71"/>
      <c r="AZ1614" s="71"/>
      <c r="BA1614" s="71"/>
      <c r="BB1614" s="71"/>
      <c r="BC1614" s="71"/>
      <c r="BD1614" s="71"/>
      <c r="BE1614" s="71"/>
      <c r="BF1614" s="71"/>
      <c r="BG1614" s="71"/>
      <c r="BH1614" s="71"/>
      <c r="BI1614" s="71"/>
      <c r="BJ1614" s="71"/>
      <c r="BK1614" s="71"/>
      <c r="BL1614" s="71"/>
      <c r="BM1614" s="71"/>
      <c r="BN1614" s="71"/>
      <c r="BO1614" s="71"/>
      <c r="BP1614" s="71"/>
      <c r="BQ1614" s="71"/>
      <c r="BR1614" s="71"/>
      <c r="BS1614" s="71"/>
      <c r="BT1614" s="71"/>
      <c r="BU1614" s="71"/>
      <c r="BV1614" s="71"/>
    </row>
    <row r="1615">
      <c r="A1615" s="53"/>
      <c r="B1615" s="53">
        <v>3.0</v>
      </c>
      <c r="C1615" s="53" t="s">
        <v>36</v>
      </c>
      <c r="D1615" s="74" t="s">
        <v>4017</v>
      </c>
      <c r="E1615" s="54" t="s">
        <v>38</v>
      </c>
      <c r="F1615" s="55" t="s">
        <v>96</v>
      </c>
      <c r="G1615" s="81" t="s">
        <v>4018</v>
      </c>
      <c r="H1615" s="81"/>
      <c r="I1615" s="54">
        <f t="shared" si="24"/>
        <v>0</v>
      </c>
      <c r="J1615" s="99"/>
      <c r="K1615" s="99"/>
      <c r="L1615" s="76"/>
      <c r="M1615" s="59"/>
      <c r="N1615" s="60"/>
      <c r="O1615" s="100">
        <v>10870.0</v>
      </c>
      <c r="P1615" s="62">
        <v>11739.6</v>
      </c>
      <c r="Q1615" s="63">
        <v>11739.6</v>
      </c>
      <c r="R1615" s="64">
        <v>12944.0</v>
      </c>
      <c r="S1615" s="107">
        <v>13591.0</v>
      </c>
      <c r="T1615" s="65">
        <f t="shared" si="39"/>
        <v>2174.56</v>
      </c>
      <c r="U1615" s="65">
        <f t="shared" si="40"/>
        <v>15765.56</v>
      </c>
      <c r="V1615" s="66">
        <f t="shared" si="68"/>
        <v>0.04998454883</v>
      </c>
      <c r="W1615" s="67">
        <f t="shared" si="5"/>
        <v>12911.45</v>
      </c>
      <c r="X1615" s="67">
        <f t="shared" si="61"/>
        <v>2065.832</v>
      </c>
      <c r="Y1615" s="67">
        <f t="shared" si="62"/>
        <v>14977.282</v>
      </c>
      <c r="Z1615" s="67">
        <f t="shared" si="8"/>
        <v>12231.9</v>
      </c>
      <c r="AA1615" s="67">
        <f t="shared" si="54"/>
        <v>1957.104</v>
      </c>
      <c r="AB1615" s="67">
        <f t="shared" si="55"/>
        <v>14189.004</v>
      </c>
      <c r="AC1615" s="67">
        <f t="shared" si="11"/>
        <v>12231.9</v>
      </c>
      <c r="AD1615" s="67">
        <f t="shared" si="56"/>
        <v>1957.104</v>
      </c>
      <c r="AE1615" s="67">
        <f t="shared" si="57"/>
        <v>14189.004</v>
      </c>
      <c r="AF1615" s="67">
        <f t="shared" si="33"/>
        <v>12231.9</v>
      </c>
      <c r="AG1615" s="67">
        <f t="shared" si="58"/>
        <v>1957.104</v>
      </c>
      <c r="AH1615" s="67">
        <f t="shared" si="59"/>
        <v>14189.004</v>
      </c>
      <c r="AI1615" s="67">
        <f t="shared" si="17"/>
        <v>12231.9</v>
      </c>
      <c r="AJ1615" s="68">
        <f t="shared" si="66"/>
        <v>1957.104</v>
      </c>
      <c r="AK1615" s="68">
        <f t="shared" si="67"/>
        <v>14189.004</v>
      </c>
      <c r="AL1615" s="70"/>
      <c r="AM1615" s="70"/>
      <c r="AN1615" s="71"/>
      <c r="AO1615" s="71"/>
      <c r="AP1615" s="71"/>
      <c r="AQ1615" s="71"/>
      <c r="AR1615" s="71"/>
      <c r="AS1615" s="71"/>
      <c r="AT1615" s="71"/>
      <c r="AU1615" s="71"/>
      <c r="AV1615" s="71"/>
      <c r="AW1615" s="71"/>
      <c r="AX1615" s="71"/>
      <c r="AY1615" s="71"/>
      <c r="AZ1615" s="71"/>
      <c r="BA1615" s="71"/>
      <c r="BB1615" s="71"/>
      <c r="BC1615" s="71"/>
      <c r="BD1615" s="71"/>
      <c r="BE1615" s="71"/>
      <c r="BF1615" s="71"/>
      <c r="BG1615" s="71"/>
      <c r="BH1615" s="71"/>
      <c r="BI1615" s="71"/>
      <c r="BJ1615" s="71"/>
      <c r="BK1615" s="71"/>
      <c r="BL1615" s="71"/>
      <c r="BM1615" s="71"/>
      <c r="BN1615" s="71"/>
      <c r="BO1615" s="71"/>
      <c r="BP1615" s="71"/>
      <c r="BQ1615" s="71"/>
      <c r="BR1615" s="71"/>
      <c r="BS1615" s="71"/>
      <c r="BT1615" s="71"/>
      <c r="BU1615" s="71"/>
      <c r="BV1615" s="71"/>
    </row>
    <row r="1616">
      <c r="A1616" s="53"/>
      <c r="B1616" s="53"/>
      <c r="C1616" s="53" t="s">
        <v>36</v>
      </c>
      <c r="D1616" s="85" t="s">
        <v>4019</v>
      </c>
      <c r="E1616" s="54" t="s">
        <v>38</v>
      </c>
      <c r="F1616" s="55" t="s">
        <v>39</v>
      </c>
      <c r="G1616" s="86" t="s">
        <v>4020</v>
      </c>
      <c r="H1616" s="55"/>
      <c r="I1616" s="54">
        <f t="shared" si="24"/>
        <v>0</v>
      </c>
      <c r="J1616" s="56"/>
      <c r="K1616" s="57"/>
      <c r="L1616" s="76"/>
      <c r="M1616" s="59"/>
      <c r="N1616" s="60"/>
      <c r="O1616" s="61">
        <v>284.16</v>
      </c>
      <c r="P1616" s="62">
        <v>306.8928</v>
      </c>
      <c r="Q1616" s="63">
        <v>306.8928</v>
      </c>
      <c r="R1616" s="64">
        <v>323.0</v>
      </c>
      <c r="S1616" s="107">
        <v>339.0</v>
      </c>
      <c r="T1616" s="65">
        <f t="shared" si="39"/>
        <v>54.24</v>
      </c>
      <c r="U1616" s="65">
        <f t="shared" si="40"/>
        <v>393.24</v>
      </c>
      <c r="V1616" s="66">
        <f t="shared" si="68"/>
        <v>0.04953560372</v>
      </c>
      <c r="W1616" s="67">
        <f t="shared" si="5"/>
        <v>322.05</v>
      </c>
      <c r="X1616" s="67">
        <f t="shared" si="61"/>
        <v>51.528</v>
      </c>
      <c r="Y1616" s="67">
        <f t="shared" si="62"/>
        <v>373.578</v>
      </c>
      <c r="Z1616" s="67">
        <f t="shared" si="8"/>
        <v>305.1</v>
      </c>
      <c r="AA1616" s="67">
        <f t="shared" si="54"/>
        <v>48.816</v>
      </c>
      <c r="AB1616" s="67">
        <f t="shared" si="55"/>
        <v>353.916</v>
      </c>
      <c r="AC1616" s="67">
        <f t="shared" si="11"/>
        <v>288.15</v>
      </c>
      <c r="AD1616" s="67">
        <f t="shared" si="56"/>
        <v>46.104</v>
      </c>
      <c r="AE1616" s="67">
        <f t="shared" si="57"/>
        <v>334.254</v>
      </c>
      <c r="AF1616" s="67">
        <f t="shared" si="33"/>
        <v>281.37</v>
      </c>
      <c r="AG1616" s="67">
        <f t="shared" si="58"/>
        <v>45.0192</v>
      </c>
      <c r="AH1616" s="67">
        <f t="shared" si="59"/>
        <v>326.3892</v>
      </c>
      <c r="AI1616" s="67">
        <f t="shared" si="17"/>
        <v>271.2</v>
      </c>
      <c r="AJ1616" s="68">
        <f t="shared" si="66"/>
        <v>43.392</v>
      </c>
      <c r="AK1616" s="68">
        <f t="shared" si="67"/>
        <v>314.592</v>
      </c>
      <c r="AL1616" s="70"/>
      <c r="AM1616" s="70"/>
      <c r="AN1616" s="71"/>
      <c r="AO1616" s="71"/>
      <c r="AP1616" s="71"/>
      <c r="AQ1616" s="71"/>
      <c r="AR1616" s="71"/>
      <c r="AS1616" s="71"/>
      <c r="AT1616" s="71"/>
      <c r="AU1616" s="71"/>
      <c r="AV1616" s="71"/>
      <c r="AW1616" s="71"/>
      <c r="AX1616" s="71"/>
      <c r="AY1616" s="71"/>
      <c r="AZ1616" s="71"/>
      <c r="BA1616" s="71"/>
      <c r="BB1616" s="71"/>
      <c r="BC1616" s="71"/>
      <c r="BD1616" s="71"/>
      <c r="BE1616" s="71"/>
      <c r="BF1616" s="71"/>
      <c r="BG1616" s="71"/>
      <c r="BH1616" s="71"/>
      <c r="BI1616" s="71"/>
      <c r="BJ1616" s="71"/>
      <c r="BK1616" s="71"/>
      <c r="BL1616" s="71"/>
      <c r="BM1616" s="71"/>
      <c r="BN1616" s="71"/>
      <c r="BO1616" s="71"/>
      <c r="BP1616" s="71"/>
      <c r="BQ1616" s="71"/>
      <c r="BR1616" s="71"/>
      <c r="BS1616" s="71"/>
      <c r="BT1616" s="71"/>
      <c r="BU1616" s="71"/>
      <c r="BV1616" s="71"/>
    </row>
    <row r="1617">
      <c r="A1617" s="53">
        <v>1.0</v>
      </c>
      <c r="B1617" s="72"/>
      <c r="C1617" s="73" t="s">
        <v>12</v>
      </c>
      <c r="D1617" s="74" t="s">
        <v>4021</v>
      </c>
      <c r="E1617" s="54" t="s">
        <v>38</v>
      </c>
      <c r="F1617" s="54" t="s">
        <v>42</v>
      </c>
      <c r="G1617" s="122" t="s">
        <v>4022</v>
      </c>
      <c r="H1617" s="54" t="s">
        <v>4022</v>
      </c>
      <c r="I1617" s="54">
        <f t="shared" si="24"/>
        <v>17</v>
      </c>
      <c r="J1617" s="56"/>
      <c r="K1617" s="57"/>
      <c r="L1617" s="76"/>
      <c r="M1617" s="59"/>
      <c r="N1617" s="60">
        <v>18.0</v>
      </c>
      <c r="O1617" s="61">
        <v>19.0</v>
      </c>
      <c r="P1617" s="62">
        <v>10.0</v>
      </c>
      <c r="Q1617" s="63">
        <v>10.0</v>
      </c>
      <c r="R1617" s="64">
        <v>24.0</v>
      </c>
      <c r="S1617" s="111">
        <v>25.0</v>
      </c>
      <c r="T1617" s="65">
        <f t="shared" si="39"/>
        <v>4</v>
      </c>
      <c r="U1617" s="65">
        <f t="shared" si="40"/>
        <v>29</v>
      </c>
      <c r="V1617" s="66">
        <f t="shared" si="68"/>
        <v>0.04166666667</v>
      </c>
      <c r="W1617" s="67">
        <f t="shared" si="5"/>
        <v>23.75</v>
      </c>
      <c r="X1617" s="67">
        <f t="shared" si="61"/>
        <v>3.8</v>
      </c>
      <c r="Y1617" s="67">
        <f t="shared" si="62"/>
        <v>27.55</v>
      </c>
      <c r="Z1617" s="67">
        <f t="shared" si="8"/>
        <v>22.5</v>
      </c>
      <c r="AA1617" s="67">
        <f t="shared" si="54"/>
        <v>3.6</v>
      </c>
      <c r="AB1617" s="67">
        <f t="shared" si="55"/>
        <v>26.1</v>
      </c>
      <c r="AC1617" s="67">
        <f t="shared" si="11"/>
        <v>21.25</v>
      </c>
      <c r="AD1617" s="67">
        <f t="shared" si="56"/>
        <v>3.4</v>
      </c>
      <c r="AE1617" s="67">
        <f t="shared" si="57"/>
        <v>24.65</v>
      </c>
      <c r="AF1617" s="67">
        <f t="shared" si="33"/>
        <v>20.75</v>
      </c>
      <c r="AG1617" s="67">
        <f t="shared" si="58"/>
        <v>3.32</v>
      </c>
      <c r="AH1617" s="67">
        <f t="shared" si="59"/>
        <v>24.07</v>
      </c>
      <c r="AI1617" s="67">
        <f t="shared" si="17"/>
        <v>20</v>
      </c>
      <c r="AJ1617" s="68">
        <f t="shared" si="66"/>
        <v>3.2</v>
      </c>
      <c r="AK1617" s="68">
        <f t="shared" si="67"/>
        <v>23.2</v>
      </c>
      <c r="AL1617" s="70"/>
      <c r="AM1617" s="70"/>
      <c r="AN1617" s="71"/>
      <c r="AO1617" s="71"/>
      <c r="AP1617" s="71"/>
      <c r="AQ1617" s="71"/>
      <c r="AR1617" s="71"/>
      <c r="AS1617" s="71"/>
      <c r="AT1617" s="71"/>
      <c r="AU1617" s="71"/>
      <c r="AV1617" s="71"/>
      <c r="AW1617" s="71"/>
      <c r="AX1617" s="71"/>
      <c r="AY1617" s="71"/>
      <c r="AZ1617" s="71"/>
      <c r="BA1617" s="71"/>
      <c r="BB1617" s="71"/>
      <c r="BC1617" s="71"/>
      <c r="BD1617" s="71"/>
      <c r="BE1617" s="71"/>
      <c r="BF1617" s="71"/>
      <c r="BG1617" s="71"/>
      <c r="BH1617" s="71"/>
      <c r="BI1617" s="71"/>
      <c r="BJ1617" s="71"/>
      <c r="BK1617" s="71"/>
      <c r="BL1617" s="71"/>
      <c r="BM1617" s="71"/>
      <c r="BN1617" s="71"/>
      <c r="BO1617" s="71"/>
      <c r="BP1617" s="71"/>
      <c r="BQ1617" s="71"/>
      <c r="BR1617" s="71"/>
      <c r="BS1617" s="71"/>
      <c r="BT1617" s="71"/>
      <c r="BU1617" s="71"/>
      <c r="BV1617" s="71"/>
    </row>
    <row r="1618">
      <c r="A1618" s="53">
        <v>1.0</v>
      </c>
      <c r="B1618" s="72"/>
      <c r="C1618" s="73" t="s">
        <v>12</v>
      </c>
      <c r="D1618" s="74" t="s">
        <v>4023</v>
      </c>
      <c r="E1618" s="54" t="s">
        <v>38</v>
      </c>
      <c r="F1618" s="54" t="s">
        <v>42</v>
      </c>
      <c r="G1618" s="54" t="s">
        <v>4024</v>
      </c>
      <c r="H1618" s="54" t="s">
        <v>4024</v>
      </c>
      <c r="I1618" s="54">
        <f t="shared" si="24"/>
        <v>17</v>
      </c>
      <c r="J1618" s="56"/>
      <c r="K1618" s="57"/>
      <c r="L1618" s="76"/>
      <c r="M1618" s="59"/>
      <c r="N1618" s="60">
        <v>20.0</v>
      </c>
      <c r="O1618" s="61">
        <v>21.0</v>
      </c>
      <c r="P1618" s="62">
        <v>10.0</v>
      </c>
      <c r="Q1618" s="63">
        <v>10.0</v>
      </c>
      <c r="R1618" s="64">
        <v>27.0</v>
      </c>
      <c r="S1618" s="111">
        <v>28.0</v>
      </c>
      <c r="T1618" s="65">
        <f t="shared" si="39"/>
        <v>4.48</v>
      </c>
      <c r="U1618" s="65">
        <f t="shared" si="40"/>
        <v>32.48</v>
      </c>
      <c r="V1618" s="66">
        <f t="shared" si="68"/>
        <v>0.03703703704</v>
      </c>
      <c r="W1618" s="67">
        <f t="shared" si="5"/>
        <v>26.6</v>
      </c>
      <c r="X1618" s="67">
        <f t="shared" si="61"/>
        <v>4.256</v>
      </c>
      <c r="Y1618" s="67">
        <f t="shared" si="62"/>
        <v>30.856</v>
      </c>
      <c r="Z1618" s="67">
        <f t="shared" si="8"/>
        <v>25.2</v>
      </c>
      <c r="AA1618" s="67">
        <f t="shared" si="54"/>
        <v>4.032</v>
      </c>
      <c r="AB1618" s="67">
        <f t="shared" si="55"/>
        <v>29.232</v>
      </c>
      <c r="AC1618" s="67">
        <f t="shared" si="11"/>
        <v>23.8</v>
      </c>
      <c r="AD1618" s="67">
        <f t="shared" si="56"/>
        <v>3.808</v>
      </c>
      <c r="AE1618" s="67">
        <f t="shared" si="57"/>
        <v>27.608</v>
      </c>
      <c r="AF1618" s="67">
        <f t="shared" si="33"/>
        <v>23.24</v>
      </c>
      <c r="AG1618" s="67">
        <f t="shared" si="58"/>
        <v>3.7184</v>
      </c>
      <c r="AH1618" s="67">
        <f t="shared" si="59"/>
        <v>26.9584</v>
      </c>
      <c r="AI1618" s="67">
        <f t="shared" si="17"/>
        <v>22.4</v>
      </c>
      <c r="AJ1618" s="68">
        <f t="shared" si="66"/>
        <v>3.584</v>
      </c>
      <c r="AK1618" s="68">
        <f t="shared" si="67"/>
        <v>25.984</v>
      </c>
      <c r="AL1618" s="70"/>
      <c r="AM1618" s="70"/>
      <c r="AN1618" s="71"/>
      <c r="AO1618" s="71"/>
      <c r="AP1618" s="71"/>
      <c r="AQ1618" s="71"/>
      <c r="AR1618" s="71"/>
      <c r="AS1618" s="71"/>
      <c r="AT1618" s="71"/>
      <c r="AU1618" s="71"/>
      <c r="AV1618" s="71"/>
      <c r="AW1618" s="71"/>
      <c r="AX1618" s="71"/>
      <c r="AY1618" s="71"/>
      <c r="AZ1618" s="71"/>
      <c r="BA1618" s="71"/>
      <c r="BB1618" s="71"/>
      <c r="BC1618" s="71"/>
      <c r="BD1618" s="71"/>
      <c r="BE1618" s="71"/>
      <c r="BF1618" s="71"/>
      <c r="BG1618" s="71"/>
      <c r="BH1618" s="71"/>
      <c r="BI1618" s="71"/>
      <c r="BJ1618" s="71"/>
      <c r="BK1618" s="71"/>
      <c r="BL1618" s="71"/>
      <c r="BM1618" s="71"/>
      <c r="BN1618" s="71"/>
      <c r="BO1618" s="71"/>
      <c r="BP1618" s="71"/>
      <c r="BQ1618" s="71"/>
      <c r="BR1618" s="71"/>
      <c r="BS1618" s="71"/>
      <c r="BT1618" s="71"/>
      <c r="BU1618" s="71"/>
      <c r="BV1618" s="71"/>
    </row>
    <row r="1619">
      <c r="A1619" s="53">
        <v>1.0</v>
      </c>
      <c r="B1619" s="72"/>
      <c r="C1619" s="73" t="s">
        <v>53</v>
      </c>
      <c r="D1619" s="74" t="s">
        <v>4025</v>
      </c>
      <c r="E1619" s="54" t="s">
        <v>38</v>
      </c>
      <c r="F1619" s="54" t="s">
        <v>42</v>
      </c>
      <c r="G1619" s="54" t="s">
        <v>4026</v>
      </c>
      <c r="H1619" s="54" t="s">
        <v>4027</v>
      </c>
      <c r="I1619" s="54">
        <f t="shared" si="24"/>
        <v>37</v>
      </c>
      <c r="J1619" s="56"/>
      <c r="K1619" s="57"/>
      <c r="L1619" s="87"/>
      <c r="M1619" s="59"/>
      <c r="N1619" s="60">
        <v>231.0</v>
      </c>
      <c r="O1619" s="61">
        <v>249.0</v>
      </c>
      <c r="P1619" s="62">
        <v>268.92</v>
      </c>
      <c r="Q1619" s="63">
        <v>268.92</v>
      </c>
      <c r="R1619" s="64">
        <v>301.0</v>
      </c>
      <c r="S1619" s="111">
        <v>316.0</v>
      </c>
      <c r="T1619" s="65">
        <f t="shared" si="39"/>
        <v>50.56</v>
      </c>
      <c r="U1619" s="65">
        <f t="shared" si="40"/>
        <v>366.56</v>
      </c>
      <c r="V1619" s="66">
        <f t="shared" si="68"/>
        <v>0.04983388704</v>
      </c>
      <c r="W1619" s="67">
        <f t="shared" si="5"/>
        <v>300.2</v>
      </c>
      <c r="X1619" s="67">
        <f t="shared" si="61"/>
        <v>48.032</v>
      </c>
      <c r="Y1619" s="67">
        <f t="shared" si="62"/>
        <v>348.232</v>
      </c>
      <c r="Z1619" s="67">
        <f t="shared" si="8"/>
        <v>284.4</v>
      </c>
      <c r="AA1619" s="67">
        <f t="shared" si="54"/>
        <v>45.504</v>
      </c>
      <c r="AB1619" s="67">
        <f t="shared" si="55"/>
        <v>329.904</v>
      </c>
      <c r="AC1619" s="67">
        <f t="shared" si="11"/>
        <v>268.6</v>
      </c>
      <c r="AD1619" s="67">
        <f t="shared" si="56"/>
        <v>42.976</v>
      </c>
      <c r="AE1619" s="67">
        <f t="shared" si="57"/>
        <v>311.576</v>
      </c>
      <c r="AF1619" s="67">
        <f t="shared" si="33"/>
        <v>262.28</v>
      </c>
      <c r="AG1619" s="67">
        <f t="shared" si="58"/>
        <v>41.9648</v>
      </c>
      <c r="AH1619" s="67">
        <f t="shared" si="59"/>
        <v>304.2448</v>
      </c>
      <c r="AI1619" s="67">
        <f t="shared" si="17"/>
        <v>252.8</v>
      </c>
      <c r="AJ1619" s="68">
        <f t="shared" si="66"/>
        <v>40.448</v>
      </c>
      <c r="AK1619" s="68">
        <f t="shared" si="67"/>
        <v>293.248</v>
      </c>
      <c r="AL1619" s="70"/>
      <c r="AM1619" s="70"/>
      <c r="AN1619" s="71"/>
      <c r="AO1619" s="71"/>
      <c r="AP1619" s="71"/>
      <c r="AQ1619" s="71"/>
      <c r="AR1619" s="71"/>
      <c r="AS1619" s="71"/>
      <c r="AT1619" s="71"/>
      <c r="AU1619" s="71"/>
      <c r="AV1619" s="71"/>
      <c r="AW1619" s="71"/>
      <c r="AX1619" s="71"/>
      <c r="AY1619" s="71"/>
      <c r="AZ1619" s="71"/>
      <c r="BA1619" s="71"/>
      <c r="BB1619" s="71"/>
      <c r="BC1619" s="71"/>
      <c r="BD1619" s="71"/>
      <c r="BE1619" s="71"/>
      <c r="BF1619" s="71"/>
      <c r="BG1619" s="71"/>
      <c r="BH1619" s="71"/>
      <c r="BI1619" s="71"/>
      <c r="BJ1619" s="71"/>
      <c r="BK1619" s="71"/>
      <c r="BL1619" s="71"/>
      <c r="BM1619" s="71"/>
      <c r="BN1619" s="71"/>
      <c r="BO1619" s="71"/>
      <c r="BP1619" s="71"/>
      <c r="BQ1619" s="71"/>
      <c r="BR1619" s="71"/>
      <c r="BS1619" s="71"/>
      <c r="BT1619" s="71"/>
      <c r="BU1619" s="71"/>
      <c r="BV1619" s="71"/>
    </row>
    <row r="1620">
      <c r="A1620" s="53">
        <v>1.0</v>
      </c>
      <c r="B1620" s="72"/>
      <c r="C1620" s="73" t="s">
        <v>53</v>
      </c>
      <c r="D1620" s="74" t="s">
        <v>4028</v>
      </c>
      <c r="E1620" s="54" t="s">
        <v>38</v>
      </c>
      <c r="F1620" s="54" t="s">
        <v>42</v>
      </c>
      <c r="G1620" s="88" t="s">
        <v>4029</v>
      </c>
      <c r="H1620" s="54" t="s">
        <v>4030</v>
      </c>
      <c r="I1620" s="54">
        <f t="shared" si="24"/>
        <v>32</v>
      </c>
      <c r="J1620" s="56"/>
      <c r="K1620" s="57"/>
      <c r="L1620" s="76"/>
      <c r="M1620" s="59"/>
      <c r="N1620" s="60">
        <v>263.0</v>
      </c>
      <c r="O1620" s="61">
        <v>284.0</v>
      </c>
      <c r="P1620" s="62">
        <v>899.0</v>
      </c>
      <c r="Q1620" s="63">
        <v>899.0</v>
      </c>
      <c r="R1620" s="64">
        <v>944.0</v>
      </c>
      <c r="S1620" s="111">
        <v>991.0</v>
      </c>
      <c r="T1620" s="65">
        <f t="shared" si="39"/>
        <v>158.56</v>
      </c>
      <c r="U1620" s="65">
        <f t="shared" si="40"/>
        <v>1149.56</v>
      </c>
      <c r="V1620" s="66">
        <f t="shared" si="68"/>
        <v>0.04978813559</v>
      </c>
      <c r="W1620" s="67">
        <f t="shared" si="5"/>
        <v>941.45</v>
      </c>
      <c r="X1620" s="67">
        <f t="shared" si="61"/>
        <v>150.632</v>
      </c>
      <c r="Y1620" s="67">
        <f t="shared" si="62"/>
        <v>1092.082</v>
      </c>
      <c r="Z1620" s="67">
        <f t="shared" si="8"/>
        <v>891.9</v>
      </c>
      <c r="AA1620" s="67">
        <f t="shared" si="54"/>
        <v>142.704</v>
      </c>
      <c r="AB1620" s="67">
        <f t="shared" si="55"/>
        <v>1034.604</v>
      </c>
      <c r="AC1620" s="67">
        <f t="shared" si="11"/>
        <v>842.35</v>
      </c>
      <c r="AD1620" s="67">
        <f t="shared" si="56"/>
        <v>134.776</v>
      </c>
      <c r="AE1620" s="67">
        <f t="shared" si="57"/>
        <v>977.126</v>
      </c>
      <c r="AF1620" s="67">
        <f t="shared" si="33"/>
        <v>822.53</v>
      </c>
      <c r="AG1620" s="67">
        <f t="shared" si="58"/>
        <v>131.6048</v>
      </c>
      <c r="AH1620" s="67">
        <f t="shared" si="59"/>
        <v>954.1348</v>
      </c>
      <c r="AI1620" s="67">
        <f t="shared" si="17"/>
        <v>792.8</v>
      </c>
      <c r="AJ1620" s="68">
        <f t="shared" si="66"/>
        <v>126.848</v>
      </c>
      <c r="AK1620" s="68">
        <f t="shared" si="67"/>
        <v>919.648</v>
      </c>
      <c r="AL1620" s="70"/>
      <c r="AM1620" s="70"/>
      <c r="AN1620" s="71"/>
      <c r="AO1620" s="71"/>
      <c r="AP1620" s="71"/>
      <c r="AQ1620" s="71"/>
      <c r="AR1620" s="71"/>
      <c r="AS1620" s="71"/>
      <c r="AT1620" s="71"/>
      <c r="AU1620" s="71"/>
      <c r="AV1620" s="71"/>
      <c r="AW1620" s="71"/>
      <c r="AX1620" s="71"/>
      <c r="AY1620" s="71"/>
      <c r="AZ1620" s="71"/>
      <c r="BA1620" s="71"/>
      <c r="BB1620" s="71"/>
      <c r="BC1620" s="71"/>
      <c r="BD1620" s="71"/>
      <c r="BE1620" s="71"/>
      <c r="BF1620" s="71"/>
      <c r="BG1620" s="71"/>
      <c r="BH1620" s="71"/>
      <c r="BI1620" s="71"/>
      <c r="BJ1620" s="71"/>
      <c r="BK1620" s="71"/>
      <c r="BL1620" s="71"/>
      <c r="BM1620" s="71"/>
      <c r="BN1620" s="71"/>
      <c r="BO1620" s="71"/>
      <c r="BP1620" s="71"/>
      <c r="BQ1620" s="71"/>
      <c r="BR1620" s="71"/>
      <c r="BS1620" s="71"/>
      <c r="BT1620" s="71"/>
      <c r="BU1620" s="71"/>
      <c r="BV1620" s="71"/>
    </row>
    <row r="1621">
      <c r="A1621" s="53">
        <v>1.0</v>
      </c>
      <c r="B1621" s="72"/>
      <c r="C1621" s="73" t="s">
        <v>53</v>
      </c>
      <c r="D1621" s="74" t="s">
        <v>4031</v>
      </c>
      <c r="E1621" s="54" t="s">
        <v>38</v>
      </c>
      <c r="F1621" s="54" t="s">
        <v>42</v>
      </c>
      <c r="G1621" s="88" t="s">
        <v>4032</v>
      </c>
      <c r="H1621" s="54" t="s">
        <v>4033</v>
      </c>
      <c r="I1621" s="54">
        <f t="shared" si="24"/>
        <v>36</v>
      </c>
      <c r="J1621" s="56"/>
      <c r="K1621" s="57"/>
      <c r="L1621" s="87"/>
      <c r="M1621" s="59"/>
      <c r="N1621" s="60">
        <v>231.0</v>
      </c>
      <c r="O1621" s="61">
        <v>249.0</v>
      </c>
      <c r="P1621" s="62">
        <v>268.92</v>
      </c>
      <c r="Q1621" s="63">
        <v>268.92</v>
      </c>
      <c r="R1621" s="64">
        <v>301.0</v>
      </c>
      <c r="S1621" s="111">
        <v>316.0</v>
      </c>
      <c r="T1621" s="65">
        <f t="shared" si="39"/>
        <v>50.56</v>
      </c>
      <c r="U1621" s="65">
        <f t="shared" si="40"/>
        <v>366.56</v>
      </c>
      <c r="V1621" s="66">
        <f t="shared" si="68"/>
        <v>0.04983388704</v>
      </c>
      <c r="W1621" s="67">
        <f t="shared" si="5"/>
        <v>300.2</v>
      </c>
      <c r="X1621" s="67">
        <f t="shared" si="61"/>
        <v>48.032</v>
      </c>
      <c r="Y1621" s="67">
        <f t="shared" si="62"/>
        <v>348.232</v>
      </c>
      <c r="Z1621" s="67">
        <f t="shared" si="8"/>
        <v>284.4</v>
      </c>
      <c r="AA1621" s="67">
        <f t="shared" si="54"/>
        <v>45.504</v>
      </c>
      <c r="AB1621" s="67">
        <f t="shared" si="55"/>
        <v>329.904</v>
      </c>
      <c r="AC1621" s="67">
        <f t="shared" si="11"/>
        <v>268.6</v>
      </c>
      <c r="AD1621" s="67">
        <f t="shared" si="56"/>
        <v>42.976</v>
      </c>
      <c r="AE1621" s="67">
        <f t="shared" si="57"/>
        <v>311.576</v>
      </c>
      <c r="AF1621" s="67">
        <f t="shared" si="33"/>
        <v>262.28</v>
      </c>
      <c r="AG1621" s="67">
        <f t="shared" si="58"/>
        <v>41.9648</v>
      </c>
      <c r="AH1621" s="67">
        <f t="shared" si="59"/>
        <v>304.2448</v>
      </c>
      <c r="AI1621" s="67">
        <f t="shared" si="17"/>
        <v>252.8</v>
      </c>
      <c r="AJ1621" s="68">
        <f t="shared" si="66"/>
        <v>40.448</v>
      </c>
      <c r="AK1621" s="68">
        <f t="shared" si="67"/>
        <v>293.248</v>
      </c>
      <c r="AL1621" s="70"/>
      <c r="AM1621" s="70"/>
      <c r="AN1621" s="71"/>
      <c r="AO1621" s="71"/>
      <c r="AP1621" s="71"/>
      <c r="AQ1621" s="71"/>
      <c r="AR1621" s="71"/>
      <c r="AS1621" s="71"/>
      <c r="AT1621" s="71"/>
      <c r="AU1621" s="71"/>
      <c r="AV1621" s="71"/>
      <c r="AW1621" s="71"/>
      <c r="AX1621" s="71"/>
      <c r="AY1621" s="71"/>
      <c r="AZ1621" s="71"/>
      <c r="BA1621" s="71"/>
      <c r="BB1621" s="71"/>
      <c r="BC1621" s="71"/>
      <c r="BD1621" s="71"/>
      <c r="BE1621" s="71"/>
      <c r="BF1621" s="71"/>
      <c r="BG1621" s="71"/>
      <c r="BH1621" s="71"/>
      <c r="BI1621" s="71"/>
      <c r="BJ1621" s="71"/>
      <c r="BK1621" s="71"/>
      <c r="BL1621" s="71"/>
      <c r="BM1621" s="71"/>
      <c r="BN1621" s="71"/>
      <c r="BO1621" s="71"/>
      <c r="BP1621" s="71"/>
      <c r="BQ1621" s="71"/>
      <c r="BR1621" s="71"/>
      <c r="BS1621" s="71"/>
      <c r="BT1621" s="71"/>
      <c r="BU1621" s="71"/>
      <c r="BV1621" s="71"/>
    </row>
    <row r="1622">
      <c r="A1622" s="53">
        <v>1.0</v>
      </c>
      <c r="B1622" s="72"/>
      <c r="C1622" s="73" t="s">
        <v>12</v>
      </c>
      <c r="D1622" s="74" t="s">
        <v>4034</v>
      </c>
      <c r="E1622" s="54" t="s">
        <v>38</v>
      </c>
      <c r="F1622" s="54" t="s">
        <v>42</v>
      </c>
      <c r="G1622" s="55" t="s">
        <v>4035</v>
      </c>
      <c r="H1622" s="54" t="s">
        <v>4035</v>
      </c>
      <c r="I1622" s="54">
        <f t="shared" si="24"/>
        <v>25</v>
      </c>
      <c r="J1622" s="56"/>
      <c r="K1622" s="57"/>
      <c r="L1622" s="87"/>
      <c r="M1622" s="59"/>
      <c r="N1622" s="60">
        <v>90.0</v>
      </c>
      <c r="O1622" s="61">
        <v>97.0</v>
      </c>
      <c r="P1622" s="62">
        <v>104.76</v>
      </c>
      <c r="Q1622" s="63">
        <v>104.76</v>
      </c>
      <c r="R1622" s="64">
        <v>118.0</v>
      </c>
      <c r="S1622" s="111">
        <v>124.0</v>
      </c>
      <c r="T1622" s="65">
        <f t="shared" si="39"/>
        <v>19.84</v>
      </c>
      <c r="U1622" s="65">
        <f t="shared" si="40"/>
        <v>143.84</v>
      </c>
      <c r="V1622" s="66">
        <f t="shared" si="68"/>
        <v>0.05084745763</v>
      </c>
      <c r="W1622" s="67">
        <f t="shared" si="5"/>
        <v>117.8</v>
      </c>
      <c r="X1622" s="67">
        <f t="shared" si="61"/>
        <v>18.848</v>
      </c>
      <c r="Y1622" s="67">
        <f t="shared" si="62"/>
        <v>136.648</v>
      </c>
      <c r="Z1622" s="67">
        <f t="shared" si="8"/>
        <v>111.6</v>
      </c>
      <c r="AA1622" s="67">
        <f t="shared" si="54"/>
        <v>17.856</v>
      </c>
      <c r="AB1622" s="67">
        <f t="shared" si="55"/>
        <v>129.456</v>
      </c>
      <c r="AC1622" s="67">
        <f t="shared" si="11"/>
        <v>105.4</v>
      </c>
      <c r="AD1622" s="67">
        <f t="shared" si="56"/>
        <v>16.864</v>
      </c>
      <c r="AE1622" s="67">
        <f t="shared" si="57"/>
        <v>122.264</v>
      </c>
      <c r="AF1622" s="67">
        <f t="shared" si="33"/>
        <v>102.92</v>
      </c>
      <c r="AG1622" s="67">
        <f t="shared" si="58"/>
        <v>16.4672</v>
      </c>
      <c r="AH1622" s="67">
        <f t="shared" si="59"/>
        <v>119.3872</v>
      </c>
      <c r="AI1622" s="67">
        <f t="shared" si="17"/>
        <v>99.2</v>
      </c>
      <c r="AJ1622" s="68">
        <f t="shared" si="66"/>
        <v>15.872</v>
      </c>
      <c r="AK1622" s="68">
        <f t="shared" si="67"/>
        <v>115.072</v>
      </c>
      <c r="AL1622" s="70"/>
      <c r="AM1622" s="70"/>
      <c r="AN1622" s="71"/>
      <c r="AO1622" s="71"/>
      <c r="AP1622" s="71"/>
      <c r="AQ1622" s="71"/>
      <c r="AR1622" s="71"/>
      <c r="AS1622" s="71"/>
      <c r="AT1622" s="71"/>
      <c r="AU1622" s="71"/>
      <c r="AV1622" s="71"/>
      <c r="AW1622" s="71"/>
      <c r="AX1622" s="71"/>
      <c r="AY1622" s="71"/>
      <c r="AZ1622" s="71"/>
      <c r="BA1622" s="71"/>
      <c r="BB1622" s="71"/>
      <c r="BC1622" s="71"/>
      <c r="BD1622" s="71"/>
      <c r="BE1622" s="71"/>
      <c r="BF1622" s="71"/>
      <c r="BG1622" s="71"/>
      <c r="BH1622" s="71"/>
      <c r="BI1622" s="71"/>
      <c r="BJ1622" s="71"/>
      <c r="BK1622" s="71"/>
      <c r="BL1622" s="71"/>
      <c r="BM1622" s="71"/>
      <c r="BN1622" s="71"/>
      <c r="BO1622" s="71"/>
      <c r="BP1622" s="71"/>
      <c r="BQ1622" s="71"/>
      <c r="BR1622" s="71"/>
      <c r="BS1622" s="71"/>
      <c r="BT1622" s="71"/>
      <c r="BU1622" s="71"/>
      <c r="BV1622" s="71"/>
    </row>
    <row r="1623">
      <c r="A1623" s="53">
        <v>1.0</v>
      </c>
      <c r="B1623" s="72"/>
      <c r="C1623" s="73" t="s">
        <v>12</v>
      </c>
      <c r="D1623" s="74" t="s">
        <v>4036</v>
      </c>
      <c r="E1623" s="54" t="s">
        <v>38</v>
      </c>
      <c r="F1623" s="54" t="s">
        <v>42</v>
      </c>
      <c r="G1623" s="55" t="s">
        <v>4037</v>
      </c>
      <c r="H1623" s="54" t="s">
        <v>4037</v>
      </c>
      <c r="I1623" s="54">
        <f t="shared" si="24"/>
        <v>34</v>
      </c>
      <c r="J1623" s="56"/>
      <c r="K1623" s="57"/>
      <c r="L1623" s="87"/>
      <c r="M1623" s="59"/>
      <c r="N1623" s="60">
        <v>2174.0</v>
      </c>
      <c r="O1623" s="61">
        <v>2347.0</v>
      </c>
      <c r="P1623" s="62">
        <v>2534.76</v>
      </c>
      <c r="Q1623" s="63">
        <v>2534.76</v>
      </c>
      <c r="R1623" s="64">
        <v>2822.0</v>
      </c>
      <c r="S1623" s="111">
        <v>2963.0</v>
      </c>
      <c r="T1623" s="65">
        <f t="shared" si="39"/>
        <v>474.08</v>
      </c>
      <c r="U1623" s="65">
        <f t="shared" si="40"/>
        <v>3437.08</v>
      </c>
      <c r="V1623" s="66">
        <f t="shared" si="68"/>
        <v>0.04996456414</v>
      </c>
      <c r="W1623" s="67">
        <f t="shared" si="5"/>
        <v>2814.85</v>
      </c>
      <c r="X1623" s="67">
        <f t="shared" si="61"/>
        <v>450.376</v>
      </c>
      <c r="Y1623" s="67">
        <f t="shared" si="62"/>
        <v>3265.226</v>
      </c>
      <c r="Z1623" s="67">
        <f t="shared" si="8"/>
        <v>2666.7</v>
      </c>
      <c r="AA1623" s="67">
        <f t="shared" si="54"/>
        <v>426.672</v>
      </c>
      <c r="AB1623" s="67">
        <f t="shared" si="55"/>
        <v>3093.372</v>
      </c>
      <c r="AC1623" s="67">
        <f t="shared" si="11"/>
        <v>2518.55</v>
      </c>
      <c r="AD1623" s="67">
        <f t="shared" si="56"/>
        <v>402.968</v>
      </c>
      <c r="AE1623" s="67">
        <f t="shared" si="57"/>
        <v>2921.518</v>
      </c>
      <c r="AF1623" s="67">
        <f t="shared" si="33"/>
        <v>2459.29</v>
      </c>
      <c r="AG1623" s="67">
        <f t="shared" si="58"/>
        <v>393.4864</v>
      </c>
      <c r="AH1623" s="67">
        <f t="shared" si="59"/>
        <v>2852.7764</v>
      </c>
      <c r="AI1623" s="67">
        <f t="shared" si="17"/>
        <v>2370.4</v>
      </c>
      <c r="AJ1623" s="68">
        <f t="shared" si="66"/>
        <v>379.264</v>
      </c>
      <c r="AK1623" s="68">
        <f t="shared" si="67"/>
        <v>2749.664</v>
      </c>
      <c r="AL1623" s="70"/>
      <c r="AM1623" s="70"/>
      <c r="AN1623" s="71"/>
      <c r="AO1623" s="71"/>
      <c r="AP1623" s="71"/>
      <c r="AQ1623" s="71"/>
      <c r="AR1623" s="71"/>
      <c r="AS1623" s="71"/>
      <c r="AT1623" s="71"/>
      <c r="AU1623" s="71"/>
      <c r="AV1623" s="71"/>
      <c r="AW1623" s="71"/>
      <c r="AX1623" s="71"/>
      <c r="AY1623" s="71"/>
      <c r="AZ1623" s="71"/>
      <c r="BA1623" s="71"/>
      <c r="BB1623" s="71"/>
      <c r="BC1623" s="71"/>
      <c r="BD1623" s="71"/>
      <c r="BE1623" s="71"/>
      <c r="BF1623" s="71"/>
      <c r="BG1623" s="71"/>
      <c r="BH1623" s="71"/>
      <c r="BI1623" s="71"/>
      <c r="BJ1623" s="71"/>
      <c r="BK1623" s="71"/>
      <c r="BL1623" s="71"/>
      <c r="BM1623" s="71"/>
      <c r="BN1623" s="71"/>
      <c r="BO1623" s="71"/>
      <c r="BP1623" s="71"/>
      <c r="BQ1623" s="71"/>
      <c r="BR1623" s="71"/>
      <c r="BS1623" s="71"/>
      <c r="BT1623" s="71"/>
      <c r="BU1623" s="71"/>
      <c r="BV1623" s="71"/>
    </row>
    <row r="1624">
      <c r="A1624" s="53">
        <v>1.0</v>
      </c>
      <c r="B1624" s="72"/>
      <c r="C1624" s="73" t="s">
        <v>12</v>
      </c>
      <c r="D1624" s="74" t="s">
        <v>4038</v>
      </c>
      <c r="E1624" s="54" t="s">
        <v>38</v>
      </c>
      <c r="F1624" s="54" t="s">
        <v>42</v>
      </c>
      <c r="G1624" s="55" t="s">
        <v>4039</v>
      </c>
      <c r="H1624" s="54" t="s">
        <v>4039</v>
      </c>
      <c r="I1624" s="54">
        <f t="shared" si="24"/>
        <v>25</v>
      </c>
      <c r="J1624" s="56"/>
      <c r="K1624" s="57"/>
      <c r="L1624" s="87"/>
      <c r="M1624" s="59"/>
      <c r="N1624" s="60">
        <v>439.0</v>
      </c>
      <c r="O1624" s="61">
        <v>474.0</v>
      </c>
      <c r="P1624" s="62">
        <v>511.92</v>
      </c>
      <c r="Q1624" s="63">
        <v>511.92</v>
      </c>
      <c r="R1624" s="64">
        <v>571.0</v>
      </c>
      <c r="S1624" s="111">
        <v>600.0</v>
      </c>
      <c r="T1624" s="65">
        <f t="shared" si="39"/>
        <v>96</v>
      </c>
      <c r="U1624" s="65">
        <f t="shared" si="40"/>
        <v>696</v>
      </c>
      <c r="V1624" s="66">
        <f t="shared" si="68"/>
        <v>0.05078809107</v>
      </c>
      <c r="W1624" s="67">
        <f t="shared" si="5"/>
        <v>570</v>
      </c>
      <c r="X1624" s="67">
        <f t="shared" si="61"/>
        <v>91.2</v>
      </c>
      <c r="Y1624" s="67">
        <f t="shared" si="62"/>
        <v>661.2</v>
      </c>
      <c r="Z1624" s="67">
        <f t="shared" si="8"/>
        <v>540</v>
      </c>
      <c r="AA1624" s="67">
        <f t="shared" si="54"/>
        <v>86.4</v>
      </c>
      <c r="AB1624" s="67">
        <f t="shared" si="55"/>
        <v>626.4</v>
      </c>
      <c r="AC1624" s="67">
        <f t="shared" si="11"/>
        <v>510</v>
      </c>
      <c r="AD1624" s="67">
        <f t="shared" si="56"/>
        <v>81.6</v>
      </c>
      <c r="AE1624" s="67">
        <f t="shared" si="57"/>
        <v>591.6</v>
      </c>
      <c r="AF1624" s="67">
        <f t="shared" si="33"/>
        <v>498</v>
      </c>
      <c r="AG1624" s="67">
        <f t="shared" si="58"/>
        <v>79.68</v>
      </c>
      <c r="AH1624" s="67">
        <f t="shared" si="59"/>
        <v>577.68</v>
      </c>
      <c r="AI1624" s="67">
        <f t="shared" si="17"/>
        <v>480</v>
      </c>
      <c r="AJ1624" s="68">
        <f t="shared" si="66"/>
        <v>76.8</v>
      </c>
      <c r="AK1624" s="68">
        <f t="shared" si="67"/>
        <v>556.8</v>
      </c>
      <c r="AL1624" s="70"/>
      <c r="AM1624" s="70"/>
      <c r="AN1624" s="71"/>
      <c r="AO1624" s="71"/>
      <c r="AP1624" s="71"/>
      <c r="AQ1624" s="71"/>
      <c r="AR1624" s="71"/>
      <c r="AS1624" s="71"/>
      <c r="AT1624" s="71"/>
      <c r="AU1624" s="71"/>
      <c r="AV1624" s="71"/>
      <c r="AW1624" s="71"/>
      <c r="AX1624" s="71"/>
      <c r="AY1624" s="71"/>
      <c r="AZ1624" s="71"/>
      <c r="BA1624" s="71"/>
      <c r="BB1624" s="71"/>
      <c r="BC1624" s="71"/>
      <c r="BD1624" s="71"/>
      <c r="BE1624" s="71"/>
      <c r="BF1624" s="71"/>
      <c r="BG1624" s="71"/>
      <c r="BH1624" s="71"/>
      <c r="BI1624" s="71"/>
      <c r="BJ1624" s="71"/>
      <c r="BK1624" s="71"/>
      <c r="BL1624" s="71"/>
      <c r="BM1624" s="71"/>
      <c r="BN1624" s="71"/>
      <c r="BO1624" s="71"/>
      <c r="BP1624" s="71"/>
      <c r="BQ1624" s="71"/>
      <c r="BR1624" s="71"/>
      <c r="BS1624" s="71"/>
      <c r="BT1624" s="71"/>
      <c r="BU1624" s="71"/>
      <c r="BV1624" s="71"/>
    </row>
    <row r="1625">
      <c r="A1625" s="53"/>
      <c r="B1625" s="53">
        <v>3.0</v>
      </c>
      <c r="C1625" s="53" t="s">
        <v>36</v>
      </c>
      <c r="D1625" s="98" t="s">
        <v>4040</v>
      </c>
      <c r="E1625" s="54" t="s">
        <v>38</v>
      </c>
      <c r="F1625" s="55" t="s">
        <v>187</v>
      </c>
      <c r="G1625" s="117" t="s">
        <v>4041</v>
      </c>
      <c r="H1625" s="55"/>
      <c r="I1625" s="54">
        <f t="shared" si="24"/>
        <v>0</v>
      </c>
      <c r="J1625" s="56"/>
      <c r="K1625" s="57"/>
      <c r="L1625" s="76"/>
      <c r="M1625" s="59"/>
      <c r="N1625" s="60"/>
      <c r="O1625" s="61">
        <v>9178.0</v>
      </c>
      <c r="P1625" s="62">
        <v>9912.24</v>
      </c>
      <c r="Q1625" s="63">
        <v>9912.24</v>
      </c>
      <c r="R1625" s="64">
        <v>10929.0</v>
      </c>
      <c r="S1625" s="107">
        <v>11475.0</v>
      </c>
      <c r="T1625" s="65">
        <f t="shared" si="39"/>
        <v>1836</v>
      </c>
      <c r="U1625" s="65">
        <f t="shared" si="40"/>
        <v>13311</v>
      </c>
      <c r="V1625" s="66">
        <f t="shared" si="68"/>
        <v>0.04995882514</v>
      </c>
      <c r="W1625" s="67">
        <f t="shared" si="5"/>
        <v>10901.25</v>
      </c>
      <c r="X1625" s="67">
        <f t="shared" si="61"/>
        <v>1744.2</v>
      </c>
      <c r="Y1625" s="67">
        <f t="shared" si="62"/>
        <v>12645.45</v>
      </c>
      <c r="Z1625" s="67">
        <f t="shared" si="8"/>
        <v>10327.5</v>
      </c>
      <c r="AA1625" s="67">
        <f t="shared" si="54"/>
        <v>1652.4</v>
      </c>
      <c r="AB1625" s="67">
        <f t="shared" si="55"/>
        <v>11979.9</v>
      </c>
      <c r="AC1625" s="67">
        <f t="shared" si="11"/>
        <v>10327.5</v>
      </c>
      <c r="AD1625" s="67">
        <f t="shared" si="56"/>
        <v>1652.4</v>
      </c>
      <c r="AE1625" s="67">
        <f t="shared" si="57"/>
        <v>11979.9</v>
      </c>
      <c r="AF1625" s="67">
        <f t="shared" si="33"/>
        <v>10327.5</v>
      </c>
      <c r="AG1625" s="67">
        <f t="shared" si="58"/>
        <v>1652.4</v>
      </c>
      <c r="AH1625" s="67">
        <f t="shared" si="59"/>
        <v>11979.9</v>
      </c>
      <c r="AI1625" s="67">
        <f t="shared" si="17"/>
        <v>10327.5</v>
      </c>
      <c r="AJ1625" s="68">
        <f t="shared" si="66"/>
        <v>1652.4</v>
      </c>
      <c r="AK1625" s="68">
        <f t="shared" si="67"/>
        <v>11979.9</v>
      </c>
      <c r="AL1625" s="70"/>
      <c r="AM1625" s="70"/>
      <c r="AN1625" s="71"/>
      <c r="AO1625" s="71"/>
      <c r="AP1625" s="71"/>
      <c r="AQ1625" s="71"/>
      <c r="AR1625" s="71"/>
      <c r="AS1625" s="71"/>
      <c r="AT1625" s="71"/>
      <c r="AU1625" s="71"/>
      <c r="AV1625" s="71"/>
      <c r="AW1625" s="71"/>
      <c r="AX1625" s="71"/>
      <c r="AY1625" s="71"/>
      <c r="AZ1625" s="71"/>
      <c r="BA1625" s="71"/>
      <c r="BB1625" s="71"/>
      <c r="BC1625" s="71"/>
      <c r="BD1625" s="71"/>
      <c r="BE1625" s="71"/>
      <c r="BF1625" s="71"/>
      <c r="BG1625" s="71"/>
      <c r="BH1625" s="71"/>
      <c r="BI1625" s="71"/>
      <c r="BJ1625" s="71"/>
      <c r="BK1625" s="71"/>
      <c r="BL1625" s="71"/>
      <c r="BM1625" s="71"/>
      <c r="BN1625" s="71"/>
      <c r="BO1625" s="71"/>
      <c r="BP1625" s="71"/>
      <c r="BQ1625" s="71"/>
      <c r="BR1625" s="71"/>
      <c r="BS1625" s="71"/>
      <c r="BT1625" s="71"/>
      <c r="BU1625" s="71"/>
      <c r="BV1625" s="71"/>
    </row>
    <row r="1626">
      <c r="A1626" s="53"/>
      <c r="B1626" s="53">
        <v>3.0</v>
      </c>
      <c r="C1626" s="53" t="s">
        <v>36</v>
      </c>
      <c r="D1626" s="98" t="s">
        <v>4042</v>
      </c>
      <c r="E1626" s="54" t="s">
        <v>38</v>
      </c>
      <c r="F1626" s="55" t="s">
        <v>187</v>
      </c>
      <c r="G1626" s="117" t="s">
        <v>4043</v>
      </c>
      <c r="H1626" s="55"/>
      <c r="I1626" s="54">
        <f t="shared" si="24"/>
        <v>0</v>
      </c>
      <c r="J1626" s="56"/>
      <c r="K1626" s="57"/>
      <c r="L1626" s="76"/>
      <c r="M1626" s="59"/>
      <c r="N1626" s="60"/>
      <c r="O1626" s="61">
        <v>12738.0</v>
      </c>
      <c r="P1626" s="62">
        <v>13757.04</v>
      </c>
      <c r="Q1626" s="63">
        <v>13757.04</v>
      </c>
      <c r="R1626" s="64">
        <v>15168.0</v>
      </c>
      <c r="S1626" s="107">
        <v>15926.0</v>
      </c>
      <c r="T1626" s="65">
        <f t="shared" si="39"/>
        <v>2548.16</v>
      </c>
      <c r="U1626" s="65">
        <f t="shared" si="40"/>
        <v>18474.16</v>
      </c>
      <c r="V1626" s="66">
        <f t="shared" si="68"/>
        <v>0.04997362869</v>
      </c>
      <c r="W1626" s="67">
        <f t="shared" si="5"/>
        <v>15129.7</v>
      </c>
      <c r="X1626" s="67">
        <f t="shared" si="61"/>
        <v>2420.752</v>
      </c>
      <c r="Y1626" s="67">
        <f t="shared" si="62"/>
        <v>17550.452</v>
      </c>
      <c r="Z1626" s="67">
        <f t="shared" si="8"/>
        <v>14333.4</v>
      </c>
      <c r="AA1626" s="67">
        <f t="shared" si="54"/>
        <v>2293.344</v>
      </c>
      <c r="AB1626" s="67">
        <f t="shared" si="55"/>
        <v>16626.744</v>
      </c>
      <c r="AC1626" s="67">
        <f t="shared" si="11"/>
        <v>14333.4</v>
      </c>
      <c r="AD1626" s="67">
        <f t="shared" si="56"/>
        <v>2293.344</v>
      </c>
      <c r="AE1626" s="67">
        <f t="shared" si="57"/>
        <v>16626.744</v>
      </c>
      <c r="AF1626" s="67">
        <f t="shared" si="33"/>
        <v>14333.4</v>
      </c>
      <c r="AG1626" s="67">
        <f t="shared" si="58"/>
        <v>2293.344</v>
      </c>
      <c r="AH1626" s="67">
        <f t="shared" si="59"/>
        <v>16626.744</v>
      </c>
      <c r="AI1626" s="67">
        <f t="shared" si="17"/>
        <v>14333.4</v>
      </c>
      <c r="AJ1626" s="68">
        <f t="shared" si="66"/>
        <v>2293.344</v>
      </c>
      <c r="AK1626" s="68">
        <f t="shared" si="67"/>
        <v>16626.744</v>
      </c>
      <c r="AL1626" s="70"/>
      <c r="AM1626" s="70"/>
      <c r="AN1626" s="71"/>
      <c r="AO1626" s="71"/>
      <c r="AP1626" s="71"/>
      <c r="AQ1626" s="71"/>
      <c r="AR1626" s="71"/>
      <c r="AS1626" s="71"/>
      <c r="AT1626" s="71"/>
      <c r="AU1626" s="71"/>
      <c r="AV1626" s="71"/>
      <c r="AW1626" s="71"/>
      <c r="AX1626" s="71"/>
      <c r="AY1626" s="71"/>
      <c r="AZ1626" s="71"/>
      <c r="BA1626" s="71"/>
      <c r="BB1626" s="71"/>
      <c r="BC1626" s="71"/>
      <c r="BD1626" s="71"/>
      <c r="BE1626" s="71"/>
      <c r="BF1626" s="71"/>
      <c r="BG1626" s="71"/>
      <c r="BH1626" s="71"/>
      <c r="BI1626" s="71"/>
      <c r="BJ1626" s="71"/>
      <c r="BK1626" s="71"/>
      <c r="BL1626" s="71"/>
      <c r="BM1626" s="71"/>
      <c r="BN1626" s="71"/>
      <c r="BO1626" s="71"/>
      <c r="BP1626" s="71"/>
      <c r="BQ1626" s="71"/>
      <c r="BR1626" s="71"/>
      <c r="BS1626" s="71"/>
      <c r="BT1626" s="71"/>
      <c r="BU1626" s="71"/>
      <c r="BV1626" s="71"/>
    </row>
    <row r="1627">
      <c r="A1627" s="53"/>
      <c r="B1627" s="53">
        <v>3.0</v>
      </c>
      <c r="C1627" s="53" t="s">
        <v>36</v>
      </c>
      <c r="D1627" s="98" t="s">
        <v>4044</v>
      </c>
      <c r="E1627" s="54" t="s">
        <v>38</v>
      </c>
      <c r="F1627" s="55" t="s">
        <v>187</v>
      </c>
      <c r="G1627" s="117" t="s">
        <v>4045</v>
      </c>
      <c r="H1627" s="55"/>
      <c r="I1627" s="54">
        <f t="shared" si="24"/>
        <v>0</v>
      </c>
      <c r="J1627" s="56"/>
      <c r="K1627" s="57"/>
      <c r="L1627" s="76"/>
      <c r="M1627" s="59"/>
      <c r="N1627" s="60"/>
      <c r="O1627" s="61">
        <v>12738.0</v>
      </c>
      <c r="P1627" s="62">
        <v>13757.04</v>
      </c>
      <c r="Q1627" s="63">
        <v>13757.04</v>
      </c>
      <c r="R1627" s="64">
        <v>15168.0</v>
      </c>
      <c r="S1627" s="107">
        <v>15926.0</v>
      </c>
      <c r="T1627" s="65">
        <f t="shared" si="39"/>
        <v>2548.16</v>
      </c>
      <c r="U1627" s="65">
        <f t="shared" si="40"/>
        <v>18474.16</v>
      </c>
      <c r="V1627" s="66">
        <f t="shared" si="68"/>
        <v>0.04997362869</v>
      </c>
      <c r="W1627" s="67">
        <f t="shared" si="5"/>
        <v>15129.7</v>
      </c>
      <c r="X1627" s="67">
        <f t="shared" si="61"/>
        <v>2420.752</v>
      </c>
      <c r="Y1627" s="67">
        <f t="shared" si="62"/>
        <v>17550.452</v>
      </c>
      <c r="Z1627" s="67">
        <f t="shared" si="8"/>
        <v>14333.4</v>
      </c>
      <c r="AA1627" s="67">
        <f t="shared" si="54"/>
        <v>2293.344</v>
      </c>
      <c r="AB1627" s="67">
        <f t="shared" si="55"/>
        <v>16626.744</v>
      </c>
      <c r="AC1627" s="67">
        <f t="shared" si="11"/>
        <v>14333.4</v>
      </c>
      <c r="AD1627" s="67">
        <f t="shared" si="56"/>
        <v>2293.344</v>
      </c>
      <c r="AE1627" s="67">
        <f t="shared" si="57"/>
        <v>16626.744</v>
      </c>
      <c r="AF1627" s="67">
        <f t="shared" si="33"/>
        <v>14333.4</v>
      </c>
      <c r="AG1627" s="67">
        <f t="shared" si="58"/>
        <v>2293.344</v>
      </c>
      <c r="AH1627" s="67">
        <f t="shared" si="59"/>
        <v>16626.744</v>
      </c>
      <c r="AI1627" s="67">
        <f t="shared" si="17"/>
        <v>14333.4</v>
      </c>
      <c r="AJ1627" s="68">
        <f t="shared" si="66"/>
        <v>2293.344</v>
      </c>
      <c r="AK1627" s="68">
        <f t="shared" si="67"/>
        <v>16626.744</v>
      </c>
      <c r="AL1627" s="70"/>
      <c r="AM1627" s="70"/>
      <c r="AN1627" s="71"/>
      <c r="AO1627" s="71"/>
      <c r="AP1627" s="71"/>
      <c r="AQ1627" s="71"/>
      <c r="AR1627" s="71"/>
      <c r="AS1627" s="71"/>
      <c r="AT1627" s="71"/>
      <c r="AU1627" s="71"/>
      <c r="AV1627" s="71"/>
      <c r="AW1627" s="71"/>
      <c r="AX1627" s="71"/>
      <c r="AY1627" s="71"/>
      <c r="AZ1627" s="71"/>
      <c r="BA1627" s="71"/>
      <c r="BB1627" s="71"/>
      <c r="BC1627" s="71"/>
      <c r="BD1627" s="71"/>
      <c r="BE1627" s="71"/>
      <c r="BF1627" s="71"/>
      <c r="BG1627" s="71"/>
      <c r="BH1627" s="71"/>
      <c r="BI1627" s="71"/>
      <c r="BJ1627" s="71"/>
      <c r="BK1627" s="71"/>
      <c r="BL1627" s="71"/>
      <c r="BM1627" s="71"/>
      <c r="BN1627" s="71"/>
      <c r="BO1627" s="71"/>
      <c r="BP1627" s="71"/>
      <c r="BQ1627" s="71"/>
      <c r="BR1627" s="71"/>
      <c r="BS1627" s="71"/>
      <c r="BT1627" s="71"/>
      <c r="BU1627" s="71"/>
      <c r="BV1627" s="71"/>
    </row>
    <row r="1628">
      <c r="A1628" s="53"/>
      <c r="B1628" s="53">
        <v>3.0</v>
      </c>
      <c r="C1628" s="53" t="s">
        <v>36</v>
      </c>
      <c r="D1628" s="98" t="s">
        <v>4046</v>
      </c>
      <c r="E1628" s="54" t="s">
        <v>38</v>
      </c>
      <c r="F1628" s="55" t="s">
        <v>96</v>
      </c>
      <c r="G1628" s="81" t="s">
        <v>4047</v>
      </c>
      <c r="H1628" s="81"/>
      <c r="I1628" s="54">
        <f t="shared" si="24"/>
        <v>0</v>
      </c>
      <c r="J1628" s="99"/>
      <c r="K1628" s="99"/>
      <c r="L1628" s="76"/>
      <c r="M1628" s="59"/>
      <c r="N1628" s="60"/>
      <c r="O1628" s="100">
        <v>13622.0</v>
      </c>
      <c r="P1628" s="62">
        <v>14711.76</v>
      </c>
      <c r="Q1628" s="63">
        <v>14711.76</v>
      </c>
      <c r="R1628" s="64">
        <v>16221.0</v>
      </c>
      <c r="S1628" s="107">
        <v>17032.0</v>
      </c>
      <c r="T1628" s="65">
        <f t="shared" si="39"/>
        <v>2725.12</v>
      </c>
      <c r="U1628" s="65">
        <f t="shared" si="40"/>
        <v>19757.12</v>
      </c>
      <c r="V1628" s="66">
        <f t="shared" si="68"/>
        <v>0.04999691758</v>
      </c>
      <c r="W1628" s="67">
        <f t="shared" si="5"/>
        <v>16180.4</v>
      </c>
      <c r="X1628" s="67">
        <f t="shared" si="61"/>
        <v>2588.864</v>
      </c>
      <c r="Y1628" s="67">
        <f t="shared" si="62"/>
        <v>18769.264</v>
      </c>
      <c r="Z1628" s="67">
        <f t="shared" si="8"/>
        <v>15328.8</v>
      </c>
      <c r="AA1628" s="67">
        <f t="shared" si="54"/>
        <v>2452.608</v>
      </c>
      <c r="AB1628" s="67">
        <f t="shared" si="55"/>
        <v>17781.408</v>
      </c>
      <c r="AC1628" s="67">
        <f t="shared" si="11"/>
        <v>15328.8</v>
      </c>
      <c r="AD1628" s="67">
        <f t="shared" si="56"/>
        <v>2452.608</v>
      </c>
      <c r="AE1628" s="67">
        <f t="shared" si="57"/>
        <v>17781.408</v>
      </c>
      <c r="AF1628" s="67">
        <f t="shared" si="33"/>
        <v>15328.8</v>
      </c>
      <c r="AG1628" s="67">
        <f t="shared" si="58"/>
        <v>2452.608</v>
      </c>
      <c r="AH1628" s="67">
        <f t="shared" si="59"/>
        <v>17781.408</v>
      </c>
      <c r="AI1628" s="67">
        <f t="shared" si="17"/>
        <v>15328.8</v>
      </c>
      <c r="AJ1628" s="68">
        <f t="shared" si="66"/>
        <v>2452.608</v>
      </c>
      <c r="AK1628" s="68">
        <f t="shared" si="67"/>
        <v>17781.408</v>
      </c>
      <c r="AL1628" s="70"/>
      <c r="AM1628" s="70"/>
      <c r="AN1628" s="71"/>
      <c r="AO1628" s="71"/>
      <c r="AP1628" s="71"/>
      <c r="AQ1628" s="71"/>
      <c r="AR1628" s="71"/>
      <c r="AS1628" s="71"/>
      <c r="AT1628" s="71"/>
      <c r="AU1628" s="71"/>
      <c r="AV1628" s="71"/>
      <c r="AW1628" s="71"/>
      <c r="AX1628" s="71"/>
      <c r="AY1628" s="71"/>
      <c r="AZ1628" s="71"/>
      <c r="BA1628" s="71"/>
      <c r="BB1628" s="71"/>
      <c r="BC1628" s="71"/>
      <c r="BD1628" s="71"/>
      <c r="BE1628" s="71"/>
      <c r="BF1628" s="71"/>
      <c r="BG1628" s="71"/>
      <c r="BH1628" s="71"/>
      <c r="BI1628" s="71"/>
      <c r="BJ1628" s="71"/>
      <c r="BK1628" s="71"/>
      <c r="BL1628" s="71"/>
      <c r="BM1628" s="71"/>
      <c r="BN1628" s="71"/>
      <c r="BO1628" s="71"/>
      <c r="BP1628" s="71"/>
      <c r="BQ1628" s="71"/>
      <c r="BR1628" s="71"/>
      <c r="BS1628" s="71"/>
      <c r="BT1628" s="71"/>
      <c r="BU1628" s="71"/>
      <c r="BV1628" s="71"/>
    </row>
    <row r="1629">
      <c r="A1629" s="53"/>
      <c r="B1629" s="53">
        <v>3.0</v>
      </c>
      <c r="C1629" s="53" t="s">
        <v>36</v>
      </c>
      <c r="D1629" s="85" t="s">
        <v>4048</v>
      </c>
      <c r="E1629" s="54" t="s">
        <v>38</v>
      </c>
      <c r="F1629" s="55" t="s">
        <v>866</v>
      </c>
      <c r="G1629" s="139" t="s">
        <v>4049</v>
      </c>
      <c r="H1629" s="55"/>
      <c r="I1629" s="54">
        <f t="shared" si="24"/>
        <v>0</v>
      </c>
      <c r="J1629" s="56"/>
      <c r="K1629" s="57"/>
      <c r="L1629" s="76"/>
      <c r="M1629" s="59"/>
      <c r="N1629" s="60"/>
      <c r="O1629" s="61">
        <v>7686.0</v>
      </c>
      <c r="P1629" s="62">
        <v>8300.880000000001</v>
      </c>
      <c r="Q1629" s="63">
        <v>8300.880000000001</v>
      </c>
      <c r="R1629" s="64">
        <v>8717.0</v>
      </c>
      <c r="S1629" s="107">
        <v>9153.0</v>
      </c>
      <c r="T1629" s="65">
        <f t="shared" si="39"/>
        <v>1464.48</v>
      </c>
      <c r="U1629" s="65">
        <f t="shared" si="40"/>
        <v>10617.48</v>
      </c>
      <c r="V1629" s="66">
        <f t="shared" si="68"/>
        <v>0.05001720775</v>
      </c>
      <c r="W1629" s="67">
        <f t="shared" si="5"/>
        <v>8695.35</v>
      </c>
      <c r="X1629" s="67">
        <f t="shared" si="61"/>
        <v>1391.256</v>
      </c>
      <c r="Y1629" s="67">
        <f t="shared" si="62"/>
        <v>10086.606</v>
      </c>
      <c r="Z1629" s="67">
        <f t="shared" si="8"/>
        <v>8237.7</v>
      </c>
      <c r="AA1629" s="67">
        <f t="shared" si="54"/>
        <v>1318.032</v>
      </c>
      <c r="AB1629" s="67">
        <f t="shared" si="55"/>
        <v>9555.732</v>
      </c>
      <c r="AC1629" s="67">
        <f t="shared" si="11"/>
        <v>8237.7</v>
      </c>
      <c r="AD1629" s="67">
        <f t="shared" si="56"/>
        <v>1318.032</v>
      </c>
      <c r="AE1629" s="67">
        <f t="shared" si="57"/>
        <v>9555.732</v>
      </c>
      <c r="AF1629" s="67">
        <f t="shared" si="33"/>
        <v>8237.7</v>
      </c>
      <c r="AG1629" s="67">
        <f t="shared" si="58"/>
        <v>1318.032</v>
      </c>
      <c r="AH1629" s="67">
        <f t="shared" si="59"/>
        <v>9555.732</v>
      </c>
      <c r="AI1629" s="67">
        <f t="shared" si="17"/>
        <v>8237.7</v>
      </c>
      <c r="AJ1629" s="68">
        <f t="shared" si="66"/>
        <v>1318.032</v>
      </c>
      <c r="AK1629" s="68">
        <f t="shared" si="67"/>
        <v>9555.732</v>
      </c>
      <c r="AL1629" s="70"/>
      <c r="AM1629" s="70"/>
      <c r="AN1629" s="71"/>
      <c r="AO1629" s="71"/>
      <c r="AP1629" s="71"/>
      <c r="AQ1629" s="71"/>
      <c r="AR1629" s="71"/>
      <c r="AS1629" s="71"/>
      <c r="AT1629" s="71"/>
      <c r="AU1629" s="71"/>
      <c r="AV1629" s="71"/>
      <c r="AW1629" s="71"/>
      <c r="AX1629" s="71"/>
      <c r="AY1629" s="71"/>
      <c r="AZ1629" s="71"/>
      <c r="BA1629" s="71"/>
      <c r="BB1629" s="71"/>
      <c r="BC1629" s="71"/>
      <c r="BD1629" s="71"/>
      <c r="BE1629" s="71"/>
      <c r="BF1629" s="71"/>
      <c r="BG1629" s="71"/>
      <c r="BH1629" s="71"/>
      <c r="BI1629" s="71"/>
      <c r="BJ1629" s="71"/>
      <c r="BK1629" s="71"/>
      <c r="BL1629" s="71"/>
      <c r="BM1629" s="71"/>
      <c r="BN1629" s="71"/>
      <c r="BO1629" s="71"/>
      <c r="BP1629" s="71"/>
      <c r="BQ1629" s="71"/>
      <c r="BR1629" s="71"/>
      <c r="BS1629" s="71"/>
      <c r="BT1629" s="71"/>
      <c r="BU1629" s="71"/>
      <c r="BV1629" s="71"/>
    </row>
    <row r="1630">
      <c r="A1630" s="53"/>
      <c r="B1630" s="53"/>
      <c r="C1630" s="73" t="s">
        <v>12</v>
      </c>
      <c r="D1630" s="128" t="s">
        <v>4050</v>
      </c>
      <c r="E1630" s="54" t="s">
        <v>38</v>
      </c>
      <c r="F1630" s="54" t="s">
        <v>42</v>
      </c>
      <c r="G1630" s="130" t="s">
        <v>4051</v>
      </c>
      <c r="H1630" s="54" t="s">
        <v>4052</v>
      </c>
      <c r="I1630" s="54">
        <f t="shared" si="24"/>
        <v>40</v>
      </c>
      <c r="J1630" s="56"/>
      <c r="K1630" s="57"/>
      <c r="L1630" s="76"/>
      <c r="M1630" s="59"/>
      <c r="N1630" s="60"/>
      <c r="O1630" s="129">
        <v>1427.0</v>
      </c>
      <c r="P1630" s="62">
        <v>1541.16</v>
      </c>
      <c r="Q1630" s="63">
        <v>1541.16</v>
      </c>
      <c r="R1630" s="64">
        <v>1619.0</v>
      </c>
      <c r="S1630" s="111">
        <v>1700.0</v>
      </c>
      <c r="T1630" s="65">
        <f t="shared" si="39"/>
        <v>272</v>
      </c>
      <c r="U1630" s="65">
        <f t="shared" si="40"/>
        <v>1972</v>
      </c>
      <c r="V1630" s="66">
        <f t="shared" si="68"/>
        <v>0.05003088326</v>
      </c>
      <c r="W1630" s="67">
        <f t="shared" si="5"/>
        <v>1615</v>
      </c>
      <c r="X1630" s="67">
        <f t="shared" si="61"/>
        <v>258.4</v>
      </c>
      <c r="Y1630" s="67">
        <f t="shared" si="62"/>
        <v>1873.4</v>
      </c>
      <c r="Z1630" s="67">
        <f t="shared" si="8"/>
        <v>1530</v>
      </c>
      <c r="AA1630" s="67">
        <f t="shared" si="54"/>
        <v>244.8</v>
      </c>
      <c r="AB1630" s="67">
        <f t="shared" si="55"/>
        <v>1774.8</v>
      </c>
      <c r="AC1630" s="67">
        <f t="shared" si="11"/>
        <v>1445</v>
      </c>
      <c r="AD1630" s="67">
        <f t="shared" si="56"/>
        <v>231.2</v>
      </c>
      <c r="AE1630" s="67">
        <f t="shared" si="57"/>
        <v>1676.2</v>
      </c>
      <c r="AF1630" s="67">
        <f t="shared" si="33"/>
        <v>1411</v>
      </c>
      <c r="AG1630" s="67">
        <f t="shared" si="58"/>
        <v>225.76</v>
      </c>
      <c r="AH1630" s="67">
        <f t="shared" si="59"/>
        <v>1636.76</v>
      </c>
      <c r="AI1630" s="67">
        <f t="shared" si="17"/>
        <v>1360</v>
      </c>
      <c r="AJ1630" s="68">
        <f t="shared" si="66"/>
        <v>217.6</v>
      </c>
      <c r="AK1630" s="68">
        <f t="shared" si="67"/>
        <v>1577.6</v>
      </c>
      <c r="AL1630" s="70"/>
      <c r="AM1630" s="70"/>
      <c r="AN1630" s="71"/>
      <c r="AO1630" s="71"/>
      <c r="AP1630" s="71"/>
      <c r="AQ1630" s="71"/>
      <c r="AR1630" s="71"/>
      <c r="AS1630" s="71"/>
      <c r="AT1630" s="71"/>
      <c r="AU1630" s="71"/>
      <c r="AV1630" s="71"/>
      <c r="AW1630" s="71"/>
      <c r="AX1630" s="71"/>
      <c r="AY1630" s="71"/>
      <c r="AZ1630" s="71"/>
      <c r="BA1630" s="71"/>
      <c r="BB1630" s="71"/>
      <c r="BC1630" s="71"/>
      <c r="BD1630" s="71"/>
      <c r="BE1630" s="71"/>
      <c r="BF1630" s="71"/>
      <c r="BG1630" s="71"/>
      <c r="BH1630" s="71"/>
      <c r="BI1630" s="71"/>
      <c r="BJ1630" s="71"/>
      <c r="BK1630" s="71"/>
      <c r="BL1630" s="71"/>
      <c r="BM1630" s="71"/>
      <c r="BN1630" s="71"/>
      <c r="BO1630" s="71"/>
      <c r="BP1630" s="71"/>
      <c r="BQ1630" s="71"/>
      <c r="BR1630" s="71"/>
      <c r="BS1630" s="71"/>
      <c r="BT1630" s="71"/>
      <c r="BU1630" s="71"/>
      <c r="BV1630" s="71"/>
    </row>
    <row r="1631">
      <c r="A1631" s="53"/>
      <c r="B1631" s="53"/>
      <c r="C1631" s="73" t="s">
        <v>12</v>
      </c>
      <c r="D1631" s="128" t="s">
        <v>4053</v>
      </c>
      <c r="E1631" s="54" t="s">
        <v>38</v>
      </c>
      <c r="F1631" s="54" t="s">
        <v>42</v>
      </c>
      <c r="G1631" s="130" t="s">
        <v>4054</v>
      </c>
      <c r="H1631" s="54" t="s">
        <v>4055</v>
      </c>
      <c r="I1631" s="54">
        <f t="shared" si="24"/>
        <v>40</v>
      </c>
      <c r="J1631" s="56"/>
      <c r="K1631" s="57"/>
      <c r="L1631" s="76"/>
      <c r="M1631" s="59"/>
      <c r="N1631" s="60"/>
      <c r="O1631" s="129">
        <v>1346.0</v>
      </c>
      <c r="P1631" s="62">
        <v>1453.68</v>
      </c>
      <c r="Q1631" s="63">
        <v>1453.68</v>
      </c>
      <c r="R1631" s="64">
        <v>1527.0</v>
      </c>
      <c r="S1631" s="111">
        <v>1603.0</v>
      </c>
      <c r="T1631" s="65">
        <f t="shared" si="39"/>
        <v>256.48</v>
      </c>
      <c r="U1631" s="65">
        <f t="shared" si="40"/>
        <v>1859.48</v>
      </c>
      <c r="V1631" s="66">
        <f t="shared" si="68"/>
        <v>0.0497707924</v>
      </c>
      <c r="W1631" s="67">
        <f t="shared" si="5"/>
        <v>1522.85</v>
      </c>
      <c r="X1631" s="67">
        <f t="shared" si="61"/>
        <v>243.656</v>
      </c>
      <c r="Y1631" s="67">
        <f t="shared" si="62"/>
        <v>1766.506</v>
      </c>
      <c r="Z1631" s="67">
        <f t="shared" si="8"/>
        <v>1442.7</v>
      </c>
      <c r="AA1631" s="67">
        <f t="shared" si="54"/>
        <v>230.832</v>
      </c>
      <c r="AB1631" s="67">
        <f t="shared" si="55"/>
        <v>1673.532</v>
      </c>
      <c r="AC1631" s="67">
        <f t="shared" si="11"/>
        <v>1362.55</v>
      </c>
      <c r="AD1631" s="67">
        <f t="shared" si="56"/>
        <v>218.008</v>
      </c>
      <c r="AE1631" s="67">
        <f t="shared" si="57"/>
        <v>1580.558</v>
      </c>
      <c r="AF1631" s="67">
        <f t="shared" si="33"/>
        <v>1330.49</v>
      </c>
      <c r="AG1631" s="67">
        <f t="shared" si="58"/>
        <v>212.8784</v>
      </c>
      <c r="AH1631" s="67">
        <f t="shared" si="59"/>
        <v>1543.3684</v>
      </c>
      <c r="AI1631" s="67">
        <f t="shared" si="17"/>
        <v>1282.4</v>
      </c>
      <c r="AJ1631" s="68">
        <f t="shared" si="66"/>
        <v>205.184</v>
      </c>
      <c r="AK1631" s="68">
        <f t="shared" si="67"/>
        <v>1487.584</v>
      </c>
      <c r="AL1631" s="70"/>
      <c r="AM1631" s="70"/>
      <c r="AN1631" s="71"/>
      <c r="AO1631" s="71"/>
      <c r="AP1631" s="71"/>
      <c r="AQ1631" s="71"/>
      <c r="AR1631" s="71"/>
      <c r="AS1631" s="71"/>
      <c r="AT1631" s="71"/>
      <c r="AU1631" s="71"/>
      <c r="AV1631" s="71"/>
      <c r="AW1631" s="71"/>
      <c r="AX1631" s="71"/>
      <c r="AY1631" s="71"/>
      <c r="AZ1631" s="71"/>
      <c r="BA1631" s="71"/>
      <c r="BB1631" s="71"/>
      <c r="BC1631" s="71"/>
      <c r="BD1631" s="71"/>
      <c r="BE1631" s="71"/>
      <c r="BF1631" s="71"/>
      <c r="BG1631" s="71"/>
      <c r="BH1631" s="71"/>
      <c r="BI1631" s="71"/>
      <c r="BJ1631" s="71"/>
      <c r="BK1631" s="71"/>
      <c r="BL1631" s="71"/>
      <c r="BM1631" s="71"/>
      <c r="BN1631" s="71"/>
      <c r="BO1631" s="71"/>
      <c r="BP1631" s="71"/>
      <c r="BQ1631" s="71"/>
      <c r="BR1631" s="71"/>
      <c r="BS1631" s="71"/>
      <c r="BT1631" s="71"/>
      <c r="BU1631" s="71"/>
      <c r="BV1631" s="71"/>
    </row>
    <row r="1632">
      <c r="A1632" s="53"/>
      <c r="B1632" s="53"/>
      <c r="C1632" s="73" t="s">
        <v>12</v>
      </c>
      <c r="D1632" s="128" t="s">
        <v>4056</v>
      </c>
      <c r="E1632" s="54" t="s">
        <v>1177</v>
      </c>
      <c r="F1632" s="54" t="s">
        <v>42</v>
      </c>
      <c r="G1632" s="130" t="s">
        <v>4057</v>
      </c>
      <c r="H1632" s="54" t="s">
        <v>4058</v>
      </c>
      <c r="I1632" s="54">
        <f t="shared" si="24"/>
        <v>32</v>
      </c>
      <c r="J1632" s="56"/>
      <c r="K1632" s="57"/>
      <c r="L1632" s="76"/>
      <c r="M1632" s="59"/>
      <c r="N1632" s="60">
        <v>181.65</v>
      </c>
      <c r="O1632" s="129">
        <v>196.0</v>
      </c>
      <c r="P1632" s="62">
        <v>211.68</v>
      </c>
      <c r="Q1632" s="63">
        <v>211.68</v>
      </c>
      <c r="R1632" s="64">
        <v>223.0</v>
      </c>
      <c r="S1632" s="111">
        <v>234.0</v>
      </c>
      <c r="T1632" s="65">
        <f t="shared" si="39"/>
        <v>37.44</v>
      </c>
      <c r="U1632" s="65">
        <f t="shared" si="40"/>
        <v>271.44</v>
      </c>
      <c r="V1632" s="66">
        <f t="shared" si="68"/>
        <v>0.04932735426</v>
      </c>
      <c r="W1632" s="67">
        <f t="shared" si="5"/>
        <v>222.3</v>
      </c>
      <c r="X1632" s="67">
        <f t="shared" si="61"/>
        <v>35.568</v>
      </c>
      <c r="Y1632" s="67">
        <f t="shared" si="62"/>
        <v>257.868</v>
      </c>
      <c r="Z1632" s="67">
        <f t="shared" si="8"/>
        <v>210.6</v>
      </c>
      <c r="AA1632" s="67">
        <f t="shared" si="54"/>
        <v>33.696</v>
      </c>
      <c r="AB1632" s="67">
        <f t="shared" si="55"/>
        <v>244.296</v>
      </c>
      <c r="AC1632" s="67">
        <f t="shared" si="11"/>
        <v>198.9</v>
      </c>
      <c r="AD1632" s="67">
        <f t="shared" si="56"/>
        <v>31.824</v>
      </c>
      <c r="AE1632" s="67">
        <f t="shared" si="57"/>
        <v>230.724</v>
      </c>
      <c r="AF1632" s="67">
        <f t="shared" si="33"/>
        <v>194.22</v>
      </c>
      <c r="AG1632" s="67">
        <f t="shared" si="58"/>
        <v>31.0752</v>
      </c>
      <c r="AH1632" s="67">
        <f t="shared" si="59"/>
        <v>225.2952</v>
      </c>
      <c r="AI1632" s="67">
        <f t="shared" si="17"/>
        <v>187.2</v>
      </c>
      <c r="AJ1632" s="68">
        <f t="shared" si="66"/>
        <v>29.952</v>
      </c>
      <c r="AK1632" s="68">
        <f t="shared" si="67"/>
        <v>217.152</v>
      </c>
      <c r="AL1632" s="70"/>
      <c r="AM1632" s="70"/>
      <c r="AN1632" s="71"/>
      <c r="AO1632" s="71"/>
      <c r="AP1632" s="71"/>
      <c r="AQ1632" s="71"/>
      <c r="AR1632" s="71"/>
      <c r="AS1632" s="71"/>
      <c r="AT1632" s="71"/>
      <c r="AU1632" s="71"/>
      <c r="AV1632" s="71"/>
      <c r="AW1632" s="71"/>
      <c r="AX1632" s="71"/>
      <c r="AY1632" s="71"/>
      <c r="AZ1632" s="71"/>
      <c r="BA1632" s="71"/>
      <c r="BB1632" s="71"/>
      <c r="BC1632" s="71"/>
      <c r="BD1632" s="71"/>
      <c r="BE1632" s="71"/>
      <c r="BF1632" s="71"/>
      <c r="BG1632" s="71"/>
      <c r="BH1632" s="71"/>
      <c r="BI1632" s="71"/>
      <c r="BJ1632" s="71"/>
      <c r="BK1632" s="71"/>
      <c r="BL1632" s="71"/>
      <c r="BM1632" s="71"/>
      <c r="BN1632" s="71"/>
      <c r="BO1632" s="71"/>
      <c r="BP1632" s="71"/>
      <c r="BQ1632" s="71"/>
      <c r="BR1632" s="71"/>
      <c r="BS1632" s="71"/>
      <c r="BT1632" s="71"/>
      <c r="BU1632" s="71"/>
      <c r="BV1632" s="71"/>
    </row>
    <row r="1633">
      <c r="A1633" s="53"/>
      <c r="B1633" s="53"/>
      <c r="C1633" s="73" t="s">
        <v>12</v>
      </c>
      <c r="D1633" s="128" t="s">
        <v>4059</v>
      </c>
      <c r="E1633" s="54" t="s">
        <v>1177</v>
      </c>
      <c r="F1633" s="54" t="s">
        <v>42</v>
      </c>
      <c r="G1633" s="130" t="s">
        <v>4060</v>
      </c>
      <c r="H1633" s="54" t="s">
        <v>4061</v>
      </c>
      <c r="I1633" s="54">
        <f t="shared" si="24"/>
        <v>39</v>
      </c>
      <c r="J1633" s="56"/>
      <c r="K1633" s="57"/>
      <c r="L1633" s="76"/>
      <c r="M1633" s="59"/>
      <c r="N1633" s="60"/>
      <c r="O1633" s="129">
        <v>2046.0</v>
      </c>
      <c r="P1633" s="62">
        <v>2209.6800000000003</v>
      </c>
      <c r="Q1633" s="63">
        <v>2209.6800000000003</v>
      </c>
      <c r="R1633" s="64">
        <v>2321.0</v>
      </c>
      <c r="S1633" s="111">
        <v>2437.0</v>
      </c>
      <c r="T1633" s="65">
        <f t="shared" si="39"/>
        <v>389.92</v>
      </c>
      <c r="U1633" s="65">
        <f t="shared" si="40"/>
        <v>2826.92</v>
      </c>
      <c r="V1633" s="66">
        <f t="shared" si="68"/>
        <v>0.04997845756</v>
      </c>
      <c r="W1633" s="67">
        <f t="shared" si="5"/>
        <v>2315.15</v>
      </c>
      <c r="X1633" s="67">
        <f t="shared" si="61"/>
        <v>370.424</v>
      </c>
      <c r="Y1633" s="67">
        <f t="shared" si="62"/>
        <v>2685.574</v>
      </c>
      <c r="Z1633" s="67">
        <f t="shared" si="8"/>
        <v>2193.3</v>
      </c>
      <c r="AA1633" s="67">
        <f t="shared" si="54"/>
        <v>350.928</v>
      </c>
      <c r="AB1633" s="67">
        <f t="shared" si="55"/>
        <v>2544.228</v>
      </c>
      <c r="AC1633" s="67">
        <f t="shared" si="11"/>
        <v>2071.45</v>
      </c>
      <c r="AD1633" s="67">
        <f t="shared" si="56"/>
        <v>331.432</v>
      </c>
      <c r="AE1633" s="67">
        <f t="shared" si="57"/>
        <v>2402.882</v>
      </c>
      <c r="AF1633" s="67">
        <f t="shared" si="33"/>
        <v>2022.71</v>
      </c>
      <c r="AG1633" s="67">
        <f t="shared" si="58"/>
        <v>323.6336</v>
      </c>
      <c r="AH1633" s="67">
        <f t="shared" si="59"/>
        <v>2346.3436</v>
      </c>
      <c r="AI1633" s="67">
        <f t="shared" si="17"/>
        <v>1949.6</v>
      </c>
      <c r="AJ1633" s="68">
        <f t="shared" si="66"/>
        <v>311.936</v>
      </c>
      <c r="AK1633" s="68">
        <f t="shared" si="67"/>
        <v>2261.536</v>
      </c>
      <c r="AL1633" s="70"/>
      <c r="AM1633" s="70"/>
      <c r="AN1633" s="71"/>
      <c r="AO1633" s="71"/>
      <c r="AP1633" s="71"/>
      <c r="AQ1633" s="71"/>
      <c r="AR1633" s="71"/>
      <c r="AS1633" s="71"/>
      <c r="AT1633" s="71"/>
      <c r="AU1633" s="71"/>
      <c r="AV1633" s="71"/>
      <c r="AW1633" s="71"/>
      <c r="AX1633" s="71"/>
      <c r="AY1633" s="71"/>
      <c r="AZ1633" s="71"/>
      <c r="BA1633" s="71"/>
      <c r="BB1633" s="71"/>
      <c r="BC1633" s="71"/>
      <c r="BD1633" s="71"/>
      <c r="BE1633" s="71"/>
      <c r="BF1633" s="71"/>
      <c r="BG1633" s="71"/>
      <c r="BH1633" s="71"/>
      <c r="BI1633" s="71"/>
      <c r="BJ1633" s="71"/>
      <c r="BK1633" s="71"/>
      <c r="BL1633" s="71"/>
      <c r="BM1633" s="71"/>
      <c r="BN1633" s="71"/>
      <c r="BO1633" s="71"/>
      <c r="BP1633" s="71"/>
      <c r="BQ1633" s="71"/>
      <c r="BR1633" s="71"/>
      <c r="BS1633" s="71"/>
      <c r="BT1633" s="71"/>
      <c r="BU1633" s="71"/>
      <c r="BV1633" s="71"/>
    </row>
    <row r="1634">
      <c r="A1634" s="53"/>
      <c r="B1634" s="53"/>
      <c r="C1634" s="73" t="s">
        <v>12</v>
      </c>
      <c r="D1634" s="128" t="s">
        <v>4062</v>
      </c>
      <c r="E1634" s="54" t="s">
        <v>1177</v>
      </c>
      <c r="F1634" s="54" t="s">
        <v>42</v>
      </c>
      <c r="G1634" s="130" t="s">
        <v>4063</v>
      </c>
      <c r="H1634" s="54" t="s">
        <v>4064</v>
      </c>
      <c r="I1634" s="54">
        <f t="shared" si="24"/>
        <v>39</v>
      </c>
      <c r="J1634" s="56"/>
      <c r="K1634" s="57"/>
      <c r="L1634" s="76"/>
      <c r="M1634" s="59"/>
      <c r="N1634" s="60"/>
      <c r="O1634" s="129">
        <v>2176.0</v>
      </c>
      <c r="P1634" s="62">
        <v>2350.08</v>
      </c>
      <c r="Q1634" s="63">
        <v>2350.08</v>
      </c>
      <c r="R1634" s="64">
        <v>2468.0</v>
      </c>
      <c r="S1634" s="111">
        <v>2591.0</v>
      </c>
      <c r="T1634" s="65">
        <f t="shared" si="39"/>
        <v>414.56</v>
      </c>
      <c r="U1634" s="65">
        <f t="shared" si="40"/>
        <v>3005.56</v>
      </c>
      <c r="V1634" s="66">
        <f t="shared" si="68"/>
        <v>0.04983792545</v>
      </c>
      <c r="W1634" s="67">
        <f t="shared" si="5"/>
        <v>2461.45</v>
      </c>
      <c r="X1634" s="67">
        <f t="shared" si="61"/>
        <v>393.832</v>
      </c>
      <c r="Y1634" s="67">
        <f t="shared" si="62"/>
        <v>2855.282</v>
      </c>
      <c r="Z1634" s="67">
        <f t="shared" si="8"/>
        <v>2331.9</v>
      </c>
      <c r="AA1634" s="67">
        <f t="shared" si="54"/>
        <v>373.104</v>
      </c>
      <c r="AB1634" s="67">
        <f t="shared" si="55"/>
        <v>2705.004</v>
      </c>
      <c r="AC1634" s="67">
        <f t="shared" si="11"/>
        <v>2202.35</v>
      </c>
      <c r="AD1634" s="67">
        <f t="shared" si="56"/>
        <v>352.376</v>
      </c>
      <c r="AE1634" s="67">
        <f t="shared" si="57"/>
        <v>2554.726</v>
      </c>
      <c r="AF1634" s="67">
        <f t="shared" si="33"/>
        <v>2150.53</v>
      </c>
      <c r="AG1634" s="67">
        <f t="shared" si="58"/>
        <v>344.0848</v>
      </c>
      <c r="AH1634" s="67">
        <f t="shared" si="59"/>
        <v>2494.6148</v>
      </c>
      <c r="AI1634" s="67">
        <f t="shared" si="17"/>
        <v>2072.8</v>
      </c>
      <c r="AJ1634" s="68">
        <f t="shared" si="66"/>
        <v>331.648</v>
      </c>
      <c r="AK1634" s="68">
        <f t="shared" si="67"/>
        <v>2404.448</v>
      </c>
      <c r="AL1634" s="70"/>
      <c r="AM1634" s="70"/>
      <c r="AN1634" s="71"/>
      <c r="AO1634" s="71"/>
      <c r="AP1634" s="71"/>
      <c r="AQ1634" s="71"/>
      <c r="AR1634" s="71"/>
      <c r="AS1634" s="71"/>
      <c r="AT1634" s="71"/>
      <c r="AU1634" s="71"/>
      <c r="AV1634" s="71"/>
      <c r="AW1634" s="71"/>
      <c r="AX1634" s="71"/>
      <c r="AY1634" s="71"/>
      <c r="AZ1634" s="71"/>
      <c r="BA1634" s="71"/>
      <c r="BB1634" s="71"/>
      <c r="BC1634" s="71"/>
      <c r="BD1634" s="71"/>
      <c r="BE1634" s="71"/>
      <c r="BF1634" s="71"/>
      <c r="BG1634" s="71"/>
      <c r="BH1634" s="71"/>
      <c r="BI1634" s="71"/>
      <c r="BJ1634" s="71"/>
      <c r="BK1634" s="71"/>
      <c r="BL1634" s="71"/>
      <c r="BM1634" s="71"/>
      <c r="BN1634" s="71"/>
      <c r="BO1634" s="71"/>
      <c r="BP1634" s="71"/>
      <c r="BQ1634" s="71"/>
      <c r="BR1634" s="71"/>
      <c r="BS1634" s="71"/>
      <c r="BT1634" s="71"/>
      <c r="BU1634" s="71"/>
      <c r="BV1634" s="71"/>
    </row>
    <row r="1635">
      <c r="A1635" s="53"/>
      <c r="B1635" s="53"/>
      <c r="C1635" s="73" t="s">
        <v>12</v>
      </c>
      <c r="D1635" s="128" t="s">
        <v>4065</v>
      </c>
      <c r="E1635" s="54" t="s">
        <v>1177</v>
      </c>
      <c r="F1635" s="54" t="s">
        <v>42</v>
      </c>
      <c r="G1635" s="130" t="s">
        <v>4066</v>
      </c>
      <c r="H1635" s="54" t="s">
        <v>4067</v>
      </c>
      <c r="I1635" s="54">
        <f t="shared" si="24"/>
        <v>39</v>
      </c>
      <c r="J1635" s="56"/>
      <c r="K1635" s="57"/>
      <c r="L1635" s="76"/>
      <c r="M1635" s="59"/>
      <c r="N1635" s="60"/>
      <c r="O1635" s="129">
        <v>2495.0</v>
      </c>
      <c r="P1635" s="62">
        <v>2694.6000000000004</v>
      </c>
      <c r="Q1635" s="63">
        <v>2694.6000000000004</v>
      </c>
      <c r="R1635" s="64">
        <v>2830.0</v>
      </c>
      <c r="S1635" s="111">
        <v>2972.0</v>
      </c>
      <c r="T1635" s="65">
        <f t="shared" si="39"/>
        <v>475.52</v>
      </c>
      <c r="U1635" s="65">
        <f t="shared" si="40"/>
        <v>3447.52</v>
      </c>
      <c r="V1635" s="66">
        <f t="shared" si="68"/>
        <v>0.05017667845</v>
      </c>
      <c r="W1635" s="67">
        <f t="shared" si="5"/>
        <v>2823.4</v>
      </c>
      <c r="X1635" s="67">
        <f t="shared" si="61"/>
        <v>451.744</v>
      </c>
      <c r="Y1635" s="67">
        <f t="shared" si="62"/>
        <v>3275.144</v>
      </c>
      <c r="Z1635" s="67">
        <f t="shared" si="8"/>
        <v>2674.8</v>
      </c>
      <c r="AA1635" s="67">
        <f t="shared" si="54"/>
        <v>427.968</v>
      </c>
      <c r="AB1635" s="67">
        <f t="shared" si="55"/>
        <v>3102.768</v>
      </c>
      <c r="AC1635" s="67">
        <f t="shared" si="11"/>
        <v>2526.2</v>
      </c>
      <c r="AD1635" s="67">
        <f t="shared" si="56"/>
        <v>404.192</v>
      </c>
      <c r="AE1635" s="67">
        <f t="shared" si="57"/>
        <v>2930.392</v>
      </c>
      <c r="AF1635" s="67">
        <f t="shared" si="33"/>
        <v>2466.76</v>
      </c>
      <c r="AG1635" s="67">
        <f t="shared" si="58"/>
        <v>394.6816</v>
      </c>
      <c r="AH1635" s="67">
        <f t="shared" si="59"/>
        <v>2861.4416</v>
      </c>
      <c r="AI1635" s="67">
        <f t="shared" si="17"/>
        <v>2377.6</v>
      </c>
      <c r="AJ1635" s="68">
        <f t="shared" si="66"/>
        <v>380.416</v>
      </c>
      <c r="AK1635" s="68">
        <f t="shared" si="67"/>
        <v>2758.016</v>
      </c>
      <c r="AL1635" s="70"/>
      <c r="AM1635" s="70"/>
      <c r="AN1635" s="71"/>
      <c r="AO1635" s="71"/>
      <c r="AP1635" s="71"/>
      <c r="AQ1635" s="71"/>
      <c r="AR1635" s="71"/>
      <c r="AS1635" s="71"/>
      <c r="AT1635" s="71"/>
      <c r="AU1635" s="71"/>
      <c r="AV1635" s="71"/>
      <c r="AW1635" s="71"/>
      <c r="AX1635" s="71"/>
      <c r="AY1635" s="71"/>
      <c r="AZ1635" s="71"/>
      <c r="BA1635" s="71"/>
      <c r="BB1635" s="71"/>
      <c r="BC1635" s="71"/>
      <c r="BD1635" s="71"/>
      <c r="BE1635" s="71"/>
      <c r="BF1635" s="71"/>
      <c r="BG1635" s="71"/>
      <c r="BH1635" s="71"/>
      <c r="BI1635" s="71"/>
      <c r="BJ1635" s="71"/>
      <c r="BK1635" s="71"/>
      <c r="BL1635" s="71"/>
      <c r="BM1635" s="71"/>
      <c r="BN1635" s="71"/>
      <c r="BO1635" s="71"/>
      <c r="BP1635" s="71"/>
      <c r="BQ1635" s="71"/>
      <c r="BR1635" s="71"/>
      <c r="BS1635" s="71"/>
      <c r="BT1635" s="71"/>
      <c r="BU1635" s="71"/>
      <c r="BV1635" s="71"/>
    </row>
    <row r="1636">
      <c r="A1636" s="53"/>
      <c r="B1636" s="53"/>
      <c r="C1636" s="73" t="s">
        <v>12</v>
      </c>
      <c r="D1636" s="128" t="s">
        <v>4068</v>
      </c>
      <c r="E1636" s="54" t="s">
        <v>1177</v>
      </c>
      <c r="F1636" s="54" t="s">
        <v>42</v>
      </c>
      <c r="G1636" s="130" t="s">
        <v>4069</v>
      </c>
      <c r="H1636" s="54" t="s">
        <v>4070</v>
      </c>
      <c r="I1636" s="54">
        <f t="shared" si="24"/>
        <v>38</v>
      </c>
      <c r="J1636" s="56"/>
      <c r="K1636" s="57"/>
      <c r="L1636" s="76"/>
      <c r="M1636" s="59"/>
      <c r="N1636" s="60">
        <v>302.40000000000003</v>
      </c>
      <c r="O1636" s="129">
        <v>326.0</v>
      </c>
      <c r="P1636" s="62">
        <v>352.08000000000004</v>
      </c>
      <c r="Q1636" s="63">
        <v>352.08000000000004</v>
      </c>
      <c r="R1636" s="64">
        <v>370.0</v>
      </c>
      <c r="S1636" s="111">
        <v>389.0</v>
      </c>
      <c r="T1636" s="65">
        <f t="shared" si="39"/>
        <v>62.24</v>
      </c>
      <c r="U1636" s="65">
        <f t="shared" si="40"/>
        <v>451.24</v>
      </c>
      <c r="V1636" s="66">
        <f t="shared" si="68"/>
        <v>0.05135135135</v>
      </c>
      <c r="W1636" s="67">
        <f t="shared" si="5"/>
        <v>369.55</v>
      </c>
      <c r="X1636" s="67">
        <f t="shared" si="61"/>
        <v>59.128</v>
      </c>
      <c r="Y1636" s="67">
        <f t="shared" si="62"/>
        <v>428.678</v>
      </c>
      <c r="Z1636" s="67">
        <f t="shared" si="8"/>
        <v>350.1</v>
      </c>
      <c r="AA1636" s="67">
        <f t="shared" si="54"/>
        <v>56.016</v>
      </c>
      <c r="AB1636" s="67">
        <f t="shared" si="55"/>
        <v>406.116</v>
      </c>
      <c r="AC1636" s="67">
        <f t="shared" si="11"/>
        <v>330.65</v>
      </c>
      <c r="AD1636" s="67">
        <f t="shared" si="56"/>
        <v>52.904</v>
      </c>
      <c r="AE1636" s="67">
        <f t="shared" si="57"/>
        <v>383.554</v>
      </c>
      <c r="AF1636" s="67">
        <f t="shared" si="33"/>
        <v>322.87</v>
      </c>
      <c r="AG1636" s="67">
        <f t="shared" si="58"/>
        <v>51.6592</v>
      </c>
      <c r="AH1636" s="67">
        <f t="shared" si="59"/>
        <v>374.5292</v>
      </c>
      <c r="AI1636" s="67">
        <f t="shared" si="17"/>
        <v>311.2</v>
      </c>
      <c r="AJ1636" s="68">
        <f t="shared" si="66"/>
        <v>49.792</v>
      </c>
      <c r="AK1636" s="68">
        <f t="shared" si="67"/>
        <v>360.992</v>
      </c>
      <c r="AL1636" s="70"/>
      <c r="AM1636" s="70"/>
      <c r="AN1636" s="71"/>
      <c r="AO1636" s="71"/>
      <c r="AP1636" s="71"/>
      <c r="AQ1636" s="71"/>
      <c r="AR1636" s="71"/>
      <c r="AS1636" s="71"/>
      <c r="AT1636" s="71"/>
      <c r="AU1636" s="71"/>
      <c r="AV1636" s="71"/>
      <c r="AW1636" s="71"/>
      <c r="AX1636" s="71"/>
      <c r="AY1636" s="71"/>
      <c r="AZ1636" s="71"/>
      <c r="BA1636" s="71"/>
      <c r="BB1636" s="71"/>
      <c r="BC1636" s="71"/>
      <c r="BD1636" s="71"/>
      <c r="BE1636" s="71"/>
      <c r="BF1636" s="71"/>
      <c r="BG1636" s="71"/>
      <c r="BH1636" s="71"/>
      <c r="BI1636" s="71"/>
      <c r="BJ1636" s="71"/>
      <c r="BK1636" s="71"/>
      <c r="BL1636" s="71"/>
      <c r="BM1636" s="71"/>
      <c r="BN1636" s="71"/>
      <c r="BO1636" s="71"/>
      <c r="BP1636" s="71"/>
      <c r="BQ1636" s="71"/>
      <c r="BR1636" s="71"/>
      <c r="BS1636" s="71"/>
      <c r="BT1636" s="71"/>
      <c r="BU1636" s="71"/>
      <c r="BV1636" s="71"/>
    </row>
    <row r="1637">
      <c r="A1637" s="53"/>
      <c r="B1637" s="53"/>
      <c r="C1637" s="73" t="s">
        <v>12</v>
      </c>
      <c r="D1637" s="53" t="s">
        <v>4071</v>
      </c>
      <c r="E1637" s="54" t="s">
        <v>38</v>
      </c>
      <c r="F1637" s="54" t="s">
        <v>42</v>
      </c>
      <c r="G1637" s="55" t="s">
        <v>4072</v>
      </c>
      <c r="H1637" s="55" t="s">
        <v>4073</v>
      </c>
      <c r="I1637" s="54">
        <f t="shared" si="24"/>
        <v>39</v>
      </c>
      <c r="J1637" s="56"/>
      <c r="K1637" s="57"/>
      <c r="L1637" s="87"/>
      <c r="M1637" s="59"/>
      <c r="N1637" s="60"/>
      <c r="O1637" s="90"/>
      <c r="P1637" s="62">
        <v>155.0</v>
      </c>
      <c r="Q1637" s="63">
        <v>155.0</v>
      </c>
      <c r="R1637" s="64">
        <v>163.0</v>
      </c>
      <c r="S1637" s="111">
        <v>171.0</v>
      </c>
      <c r="T1637" s="65">
        <f t="shared" si="39"/>
        <v>27.36</v>
      </c>
      <c r="U1637" s="65">
        <f t="shared" si="40"/>
        <v>198.36</v>
      </c>
      <c r="V1637" s="66">
        <f t="shared" si="68"/>
        <v>0.0490797546</v>
      </c>
      <c r="W1637" s="67">
        <f t="shared" si="5"/>
        <v>162.45</v>
      </c>
      <c r="X1637" s="67">
        <f t="shared" si="61"/>
        <v>25.992</v>
      </c>
      <c r="Y1637" s="67">
        <f t="shared" si="62"/>
        <v>188.442</v>
      </c>
      <c r="Z1637" s="67">
        <f t="shared" si="8"/>
        <v>153.9</v>
      </c>
      <c r="AA1637" s="67">
        <f t="shared" si="54"/>
        <v>24.624</v>
      </c>
      <c r="AB1637" s="67">
        <f t="shared" si="55"/>
        <v>178.524</v>
      </c>
      <c r="AC1637" s="67">
        <f t="shared" si="11"/>
        <v>145.35</v>
      </c>
      <c r="AD1637" s="67">
        <f t="shared" si="56"/>
        <v>23.256</v>
      </c>
      <c r="AE1637" s="67">
        <f t="shared" si="57"/>
        <v>168.606</v>
      </c>
      <c r="AF1637" s="67">
        <f t="shared" si="33"/>
        <v>141.93</v>
      </c>
      <c r="AG1637" s="67">
        <f t="shared" si="58"/>
        <v>22.7088</v>
      </c>
      <c r="AH1637" s="67">
        <f t="shared" si="59"/>
        <v>164.6388</v>
      </c>
      <c r="AI1637" s="67">
        <f t="shared" si="17"/>
        <v>136.8</v>
      </c>
      <c r="AJ1637" s="68">
        <f t="shared" si="66"/>
        <v>21.888</v>
      </c>
      <c r="AK1637" s="68">
        <f t="shared" si="67"/>
        <v>158.688</v>
      </c>
      <c r="AL1637" s="70"/>
      <c r="AM1637" s="70"/>
      <c r="AN1637" s="71"/>
      <c r="AO1637" s="71"/>
      <c r="AP1637" s="71"/>
      <c r="AQ1637" s="71"/>
      <c r="AR1637" s="71"/>
      <c r="AS1637" s="71"/>
      <c r="AT1637" s="71"/>
      <c r="AU1637" s="71"/>
      <c r="AV1637" s="71"/>
      <c r="AW1637" s="71"/>
      <c r="AX1637" s="71"/>
      <c r="AY1637" s="71"/>
      <c r="AZ1637" s="71"/>
      <c r="BA1637" s="71"/>
      <c r="BB1637" s="71"/>
      <c r="BC1637" s="71"/>
      <c r="BD1637" s="71"/>
      <c r="BE1637" s="71"/>
      <c r="BF1637" s="71"/>
      <c r="BG1637" s="71"/>
      <c r="BH1637" s="71"/>
      <c r="BI1637" s="71"/>
      <c r="BJ1637" s="71"/>
      <c r="BK1637" s="71"/>
      <c r="BL1637" s="71"/>
      <c r="BM1637" s="71"/>
      <c r="BN1637" s="71"/>
      <c r="BO1637" s="71"/>
      <c r="BP1637" s="71"/>
      <c r="BQ1637" s="71"/>
      <c r="BR1637" s="71"/>
      <c r="BS1637" s="71"/>
      <c r="BT1637" s="71"/>
      <c r="BU1637" s="71"/>
      <c r="BV1637" s="71"/>
    </row>
    <row r="1638">
      <c r="A1638" s="53"/>
      <c r="B1638" s="53"/>
      <c r="C1638" s="73" t="s">
        <v>12</v>
      </c>
      <c r="D1638" s="53" t="s">
        <v>4074</v>
      </c>
      <c r="E1638" s="54" t="s">
        <v>1177</v>
      </c>
      <c r="F1638" s="54" t="s">
        <v>42</v>
      </c>
      <c r="G1638" s="55" t="s">
        <v>4075</v>
      </c>
      <c r="H1638" s="54" t="s">
        <v>4076</v>
      </c>
      <c r="I1638" s="54">
        <f t="shared" si="24"/>
        <v>34</v>
      </c>
      <c r="J1638" s="56"/>
      <c r="K1638" s="57"/>
      <c r="L1638" s="76"/>
      <c r="M1638" s="59"/>
      <c r="N1638" s="79">
        <v>306.0</v>
      </c>
      <c r="O1638" s="61">
        <v>330.0</v>
      </c>
      <c r="P1638" s="62">
        <v>356.40000000000003</v>
      </c>
      <c r="Q1638" s="63">
        <v>356.40000000000003</v>
      </c>
      <c r="R1638" s="64">
        <v>374.0</v>
      </c>
      <c r="S1638" s="111">
        <v>393.0</v>
      </c>
      <c r="T1638" s="65">
        <f t="shared" si="39"/>
        <v>62.88</v>
      </c>
      <c r="U1638" s="65">
        <f t="shared" si="40"/>
        <v>455.88</v>
      </c>
      <c r="V1638" s="66">
        <f t="shared" si="68"/>
        <v>0.05080213904</v>
      </c>
      <c r="W1638" s="67">
        <f t="shared" si="5"/>
        <v>373.35</v>
      </c>
      <c r="X1638" s="67">
        <f t="shared" si="61"/>
        <v>59.736</v>
      </c>
      <c r="Y1638" s="67">
        <f t="shared" si="62"/>
        <v>433.086</v>
      </c>
      <c r="Z1638" s="67">
        <f t="shared" si="8"/>
        <v>353.7</v>
      </c>
      <c r="AA1638" s="67">
        <f t="shared" si="54"/>
        <v>56.592</v>
      </c>
      <c r="AB1638" s="67">
        <f t="shared" si="55"/>
        <v>410.292</v>
      </c>
      <c r="AC1638" s="67">
        <f t="shared" si="11"/>
        <v>334.05</v>
      </c>
      <c r="AD1638" s="67">
        <f t="shared" si="56"/>
        <v>53.448</v>
      </c>
      <c r="AE1638" s="67">
        <f t="shared" si="57"/>
        <v>387.498</v>
      </c>
      <c r="AF1638" s="67">
        <f t="shared" si="33"/>
        <v>326.19</v>
      </c>
      <c r="AG1638" s="67">
        <f t="shared" si="58"/>
        <v>52.1904</v>
      </c>
      <c r="AH1638" s="67">
        <f t="shared" si="59"/>
        <v>378.3804</v>
      </c>
      <c r="AI1638" s="67">
        <f t="shared" si="17"/>
        <v>314.4</v>
      </c>
      <c r="AJ1638" s="68">
        <f t="shared" si="66"/>
        <v>50.304</v>
      </c>
      <c r="AK1638" s="68">
        <f t="shared" si="67"/>
        <v>364.704</v>
      </c>
      <c r="AL1638" s="70"/>
      <c r="AM1638" s="70"/>
      <c r="AN1638" s="71"/>
      <c r="AO1638" s="71"/>
      <c r="AP1638" s="71"/>
      <c r="AQ1638" s="71"/>
      <c r="AR1638" s="71"/>
      <c r="AS1638" s="71"/>
      <c r="AT1638" s="71"/>
      <c r="AU1638" s="71"/>
      <c r="AV1638" s="71"/>
      <c r="AW1638" s="71"/>
      <c r="AX1638" s="71"/>
      <c r="AY1638" s="71"/>
      <c r="AZ1638" s="71"/>
      <c r="BA1638" s="71"/>
      <c r="BB1638" s="71"/>
      <c r="BC1638" s="71"/>
      <c r="BD1638" s="71"/>
      <c r="BE1638" s="71"/>
      <c r="BF1638" s="71"/>
      <c r="BG1638" s="71"/>
      <c r="BH1638" s="71"/>
      <c r="BI1638" s="71"/>
      <c r="BJ1638" s="71"/>
      <c r="BK1638" s="71"/>
      <c r="BL1638" s="71"/>
      <c r="BM1638" s="71"/>
      <c r="BN1638" s="71"/>
      <c r="BO1638" s="71"/>
      <c r="BP1638" s="71"/>
      <c r="BQ1638" s="71"/>
      <c r="BR1638" s="71"/>
      <c r="BS1638" s="71"/>
      <c r="BT1638" s="71"/>
      <c r="BU1638" s="71"/>
      <c r="BV1638" s="71"/>
    </row>
    <row r="1639">
      <c r="A1639" s="53"/>
      <c r="B1639" s="53"/>
      <c r="C1639" s="73" t="s">
        <v>12</v>
      </c>
      <c r="D1639" s="53" t="s">
        <v>4077</v>
      </c>
      <c r="E1639" s="54" t="s">
        <v>38</v>
      </c>
      <c r="F1639" s="54" t="s">
        <v>42</v>
      </c>
      <c r="G1639" s="130" t="s">
        <v>4078</v>
      </c>
      <c r="H1639" s="130" t="s">
        <v>4079</v>
      </c>
      <c r="I1639" s="54">
        <f t="shared" si="24"/>
        <v>35</v>
      </c>
      <c r="J1639" s="56"/>
      <c r="K1639" s="57"/>
      <c r="L1639" s="87"/>
      <c r="M1639" s="59"/>
      <c r="N1639" s="60"/>
      <c r="O1639" s="90"/>
      <c r="P1639" s="62">
        <v>410.0</v>
      </c>
      <c r="Q1639" s="63">
        <v>410.0</v>
      </c>
      <c r="R1639" s="64">
        <v>431.0</v>
      </c>
      <c r="S1639" s="111">
        <v>453.0</v>
      </c>
      <c r="T1639" s="65">
        <f t="shared" si="39"/>
        <v>72.48</v>
      </c>
      <c r="U1639" s="65">
        <f t="shared" si="40"/>
        <v>525.48</v>
      </c>
      <c r="V1639" s="66">
        <f t="shared" si="68"/>
        <v>0.05104408353</v>
      </c>
      <c r="W1639" s="67">
        <f t="shared" si="5"/>
        <v>430.35</v>
      </c>
      <c r="X1639" s="67">
        <f t="shared" si="61"/>
        <v>68.856</v>
      </c>
      <c r="Y1639" s="67">
        <f t="shared" si="62"/>
        <v>499.206</v>
      </c>
      <c r="Z1639" s="67">
        <f t="shared" si="8"/>
        <v>407.7</v>
      </c>
      <c r="AA1639" s="67">
        <f t="shared" si="54"/>
        <v>65.232</v>
      </c>
      <c r="AB1639" s="67">
        <f t="shared" si="55"/>
        <v>472.932</v>
      </c>
      <c r="AC1639" s="67">
        <f t="shared" si="11"/>
        <v>385.05</v>
      </c>
      <c r="AD1639" s="67">
        <f t="shared" si="56"/>
        <v>61.608</v>
      </c>
      <c r="AE1639" s="67">
        <f t="shared" si="57"/>
        <v>446.658</v>
      </c>
      <c r="AF1639" s="67">
        <f t="shared" si="33"/>
        <v>375.99</v>
      </c>
      <c r="AG1639" s="67">
        <f t="shared" si="58"/>
        <v>60.1584</v>
      </c>
      <c r="AH1639" s="67">
        <f t="shared" si="59"/>
        <v>436.1484</v>
      </c>
      <c r="AI1639" s="67">
        <f t="shared" si="17"/>
        <v>362.4</v>
      </c>
      <c r="AJ1639" s="68">
        <f t="shared" si="66"/>
        <v>57.984</v>
      </c>
      <c r="AK1639" s="68">
        <f t="shared" si="67"/>
        <v>420.384</v>
      </c>
      <c r="AL1639" s="70"/>
      <c r="AM1639" s="70"/>
      <c r="AN1639" s="71"/>
      <c r="AO1639" s="71"/>
      <c r="AP1639" s="71"/>
      <c r="AQ1639" s="71"/>
      <c r="AR1639" s="71"/>
      <c r="AS1639" s="71"/>
      <c r="AT1639" s="71"/>
      <c r="AU1639" s="71"/>
      <c r="AV1639" s="71"/>
      <c r="AW1639" s="71"/>
      <c r="AX1639" s="71"/>
      <c r="AY1639" s="71"/>
      <c r="AZ1639" s="71"/>
      <c r="BA1639" s="71"/>
      <c r="BB1639" s="71"/>
      <c r="BC1639" s="71"/>
      <c r="BD1639" s="71"/>
      <c r="BE1639" s="71"/>
      <c r="BF1639" s="71"/>
      <c r="BG1639" s="71"/>
      <c r="BH1639" s="71"/>
      <c r="BI1639" s="71"/>
      <c r="BJ1639" s="71"/>
      <c r="BK1639" s="71"/>
      <c r="BL1639" s="71"/>
      <c r="BM1639" s="71"/>
      <c r="BN1639" s="71"/>
      <c r="BO1639" s="71"/>
      <c r="BP1639" s="71"/>
      <c r="BQ1639" s="71"/>
      <c r="BR1639" s="71"/>
      <c r="BS1639" s="71"/>
      <c r="BT1639" s="71"/>
      <c r="BU1639" s="71"/>
      <c r="BV1639" s="71"/>
    </row>
    <row r="1640">
      <c r="A1640" s="53"/>
      <c r="B1640" s="53"/>
      <c r="C1640" s="73" t="s">
        <v>12</v>
      </c>
      <c r="D1640" s="53" t="s">
        <v>4080</v>
      </c>
      <c r="E1640" s="54" t="s">
        <v>1177</v>
      </c>
      <c r="F1640" s="54" t="s">
        <v>42</v>
      </c>
      <c r="G1640" s="55" t="s">
        <v>4081</v>
      </c>
      <c r="H1640" s="54" t="s">
        <v>4082</v>
      </c>
      <c r="I1640" s="54">
        <f t="shared" si="24"/>
        <v>39</v>
      </c>
      <c r="J1640" s="56"/>
      <c r="K1640" s="57"/>
      <c r="L1640" s="76"/>
      <c r="M1640" s="59"/>
      <c r="N1640" s="79">
        <v>774.0</v>
      </c>
      <c r="O1640" s="61">
        <v>835.0</v>
      </c>
      <c r="P1640" s="62">
        <v>1248.0</v>
      </c>
      <c r="Q1640" s="63">
        <v>1248.0</v>
      </c>
      <c r="R1640" s="64">
        <v>1311.0</v>
      </c>
      <c r="S1640" s="111">
        <v>1377.0</v>
      </c>
      <c r="T1640" s="65">
        <f t="shared" si="39"/>
        <v>220.32</v>
      </c>
      <c r="U1640" s="65">
        <f t="shared" si="40"/>
        <v>1597.32</v>
      </c>
      <c r="V1640" s="66">
        <f t="shared" si="68"/>
        <v>0.05034324943</v>
      </c>
      <c r="W1640" s="67">
        <f t="shared" si="5"/>
        <v>1308.15</v>
      </c>
      <c r="X1640" s="67">
        <f t="shared" si="61"/>
        <v>209.304</v>
      </c>
      <c r="Y1640" s="67">
        <f t="shared" si="62"/>
        <v>1517.454</v>
      </c>
      <c r="Z1640" s="67">
        <f t="shared" si="8"/>
        <v>1239.3</v>
      </c>
      <c r="AA1640" s="67">
        <f t="shared" si="54"/>
        <v>198.288</v>
      </c>
      <c r="AB1640" s="67">
        <f t="shared" si="55"/>
        <v>1437.588</v>
      </c>
      <c r="AC1640" s="67">
        <f t="shared" si="11"/>
        <v>1170.45</v>
      </c>
      <c r="AD1640" s="67">
        <f t="shared" si="56"/>
        <v>187.272</v>
      </c>
      <c r="AE1640" s="67">
        <f t="shared" si="57"/>
        <v>1357.722</v>
      </c>
      <c r="AF1640" s="67">
        <f t="shared" si="33"/>
        <v>1142.91</v>
      </c>
      <c r="AG1640" s="67">
        <f t="shared" si="58"/>
        <v>182.8656</v>
      </c>
      <c r="AH1640" s="67">
        <f t="shared" si="59"/>
        <v>1325.7756</v>
      </c>
      <c r="AI1640" s="67">
        <f t="shared" si="17"/>
        <v>1101.6</v>
      </c>
      <c r="AJ1640" s="68">
        <f t="shared" si="66"/>
        <v>176.256</v>
      </c>
      <c r="AK1640" s="68">
        <f t="shared" si="67"/>
        <v>1277.856</v>
      </c>
      <c r="AL1640" s="70"/>
      <c r="AM1640" s="70"/>
      <c r="AN1640" s="71"/>
      <c r="AO1640" s="71"/>
      <c r="AP1640" s="71"/>
      <c r="AQ1640" s="71"/>
      <c r="AR1640" s="71"/>
      <c r="AS1640" s="71"/>
      <c r="AT1640" s="71"/>
      <c r="AU1640" s="71"/>
      <c r="AV1640" s="71"/>
      <c r="AW1640" s="71"/>
      <c r="AX1640" s="71"/>
      <c r="AY1640" s="71"/>
      <c r="AZ1640" s="71"/>
      <c r="BA1640" s="71"/>
      <c r="BB1640" s="71"/>
      <c r="BC1640" s="71"/>
      <c r="BD1640" s="71"/>
      <c r="BE1640" s="71"/>
      <c r="BF1640" s="71"/>
      <c r="BG1640" s="71"/>
      <c r="BH1640" s="71"/>
      <c r="BI1640" s="71"/>
      <c r="BJ1640" s="71"/>
      <c r="BK1640" s="71"/>
      <c r="BL1640" s="71"/>
      <c r="BM1640" s="71"/>
      <c r="BN1640" s="71"/>
      <c r="BO1640" s="71"/>
      <c r="BP1640" s="71"/>
      <c r="BQ1640" s="71"/>
      <c r="BR1640" s="71"/>
      <c r="BS1640" s="71"/>
      <c r="BT1640" s="71"/>
      <c r="BU1640" s="71"/>
      <c r="BV1640" s="71"/>
    </row>
    <row r="1641">
      <c r="A1641" s="53"/>
      <c r="B1641" s="53"/>
      <c r="C1641" s="73" t="s">
        <v>12</v>
      </c>
      <c r="D1641" s="53" t="s">
        <v>4083</v>
      </c>
      <c r="E1641" s="54" t="s">
        <v>1177</v>
      </c>
      <c r="F1641" s="54" t="s">
        <v>42</v>
      </c>
      <c r="G1641" s="55" t="s">
        <v>4084</v>
      </c>
      <c r="H1641" s="54" t="s">
        <v>4085</v>
      </c>
      <c r="I1641" s="54">
        <f t="shared" si="24"/>
        <v>36</v>
      </c>
      <c r="J1641" s="56"/>
      <c r="K1641" s="57"/>
      <c r="L1641" s="76"/>
      <c r="M1641" s="59"/>
      <c r="N1641" s="79">
        <v>288.0</v>
      </c>
      <c r="O1641" s="61">
        <v>311.0</v>
      </c>
      <c r="P1641" s="62">
        <v>335.88</v>
      </c>
      <c r="Q1641" s="63">
        <v>335.88</v>
      </c>
      <c r="R1641" s="64">
        <v>353.0</v>
      </c>
      <c r="S1641" s="111">
        <v>371.0</v>
      </c>
      <c r="T1641" s="65">
        <f t="shared" si="39"/>
        <v>59.36</v>
      </c>
      <c r="U1641" s="65">
        <f t="shared" si="40"/>
        <v>430.36</v>
      </c>
      <c r="V1641" s="66">
        <f t="shared" si="68"/>
        <v>0.05099150142</v>
      </c>
      <c r="W1641" s="67">
        <f t="shared" si="5"/>
        <v>352.45</v>
      </c>
      <c r="X1641" s="67">
        <f t="shared" si="61"/>
        <v>56.392</v>
      </c>
      <c r="Y1641" s="67">
        <f t="shared" si="62"/>
        <v>408.842</v>
      </c>
      <c r="Z1641" s="67">
        <f t="shared" si="8"/>
        <v>333.9</v>
      </c>
      <c r="AA1641" s="67">
        <f t="shared" si="54"/>
        <v>53.424</v>
      </c>
      <c r="AB1641" s="67">
        <f t="shared" si="55"/>
        <v>387.324</v>
      </c>
      <c r="AC1641" s="67">
        <f t="shared" si="11"/>
        <v>315.35</v>
      </c>
      <c r="AD1641" s="67">
        <f t="shared" si="56"/>
        <v>50.456</v>
      </c>
      <c r="AE1641" s="67">
        <f t="shared" si="57"/>
        <v>365.806</v>
      </c>
      <c r="AF1641" s="67">
        <f t="shared" si="33"/>
        <v>307.93</v>
      </c>
      <c r="AG1641" s="67">
        <f t="shared" si="58"/>
        <v>49.2688</v>
      </c>
      <c r="AH1641" s="67">
        <f t="shared" si="59"/>
        <v>357.1988</v>
      </c>
      <c r="AI1641" s="67">
        <f t="shared" si="17"/>
        <v>296.8</v>
      </c>
      <c r="AJ1641" s="68">
        <f t="shared" si="66"/>
        <v>47.488</v>
      </c>
      <c r="AK1641" s="68">
        <f t="shared" si="67"/>
        <v>344.288</v>
      </c>
      <c r="AL1641" s="70"/>
      <c r="AM1641" s="70"/>
      <c r="AN1641" s="71"/>
      <c r="AO1641" s="71"/>
      <c r="AP1641" s="71"/>
      <c r="AQ1641" s="71"/>
      <c r="AR1641" s="71"/>
      <c r="AS1641" s="71"/>
      <c r="AT1641" s="71"/>
      <c r="AU1641" s="71"/>
      <c r="AV1641" s="71"/>
      <c r="AW1641" s="71"/>
      <c r="AX1641" s="71"/>
      <c r="AY1641" s="71"/>
      <c r="AZ1641" s="71"/>
      <c r="BA1641" s="71"/>
      <c r="BB1641" s="71"/>
      <c r="BC1641" s="71"/>
      <c r="BD1641" s="71"/>
      <c r="BE1641" s="71"/>
      <c r="BF1641" s="71"/>
      <c r="BG1641" s="71"/>
      <c r="BH1641" s="71"/>
      <c r="BI1641" s="71"/>
      <c r="BJ1641" s="71"/>
      <c r="BK1641" s="71"/>
      <c r="BL1641" s="71"/>
      <c r="BM1641" s="71"/>
      <c r="BN1641" s="71"/>
      <c r="BO1641" s="71"/>
      <c r="BP1641" s="71"/>
      <c r="BQ1641" s="71"/>
      <c r="BR1641" s="71"/>
      <c r="BS1641" s="71"/>
      <c r="BT1641" s="71"/>
      <c r="BU1641" s="71"/>
      <c r="BV1641" s="71"/>
    </row>
    <row r="1642">
      <c r="A1642" s="53"/>
      <c r="B1642" s="53"/>
      <c r="C1642" s="73" t="s">
        <v>12</v>
      </c>
      <c r="D1642" s="53" t="s">
        <v>4086</v>
      </c>
      <c r="E1642" s="54" t="s">
        <v>1177</v>
      </c>
      <c r="F1642" s="54" t="s">
        <v>42</v>
      </c>
      <c r="G1642" s="55" t="s">
        <v>4087</v>
      </c>
      <c r="H1642" s="54" t="s">
        <v>4088</v>
      </c>
      <c r="I1642" s="54">
        <f t="shared" si="24"/>
        <v>38</v>
      </c>
      <c r="J1642" s="56"/>
      <c r="K1642" s="57"/>
      <c r="L1642" s="77"/>
      <c r="M1642" s="59"/>
      <c r="N1642" s="79"/>
      <c r="O1642" s="61">
        <v>504.0</v>
      </c>
      <c r="P1642" s="62">
        <v>544.32</v>
      </c>
      <c r="Q1642" s="63">
        <v>544.32</v>
      </c>
      <c r="R1642" s="64">
        <v>572.0</v>
      </c>
      <c r="S1642" s="111">
        <v>601.0</v>
      </c>
      <c r="T1642" s="65">
        <f t="shared" si="39"/>
        <v>96.16</v>
      </c>
      <c r="U1642" s="65">
        <f t="shared" si="40"/>
        <v>697.16</v>
      </c>
      <c r="V1642" s="66">
        <f t="shared" si="68"/>
        <v>0.0506993007</v>
      </c>
      <c r="W1642" s="67">
        <f t="shared" si="5"/>
        <v>570.95</v>
      </c>
      <c r="X1642" s="67">
        <f t="shared" si="61"/>
        <v>91.352</v>
      </c>
      <c r="Y1642" s="67">
        <f t="shared" si="62"/>
        <v>662.302</v>
      </c>
      <c r="Z1642" s="67">
        <f t="shared" si="8"/>
        <v>540.9</v>
      </c>
      <c r="AA1642" s="67">
        <f t="shared" si="54"/>
        <v>86.544</v>
      </c>
      <c r="AB1642" s="67">
        <f t="shared" si="55"/>
        <v>627.444</v>
      </c>
      <c r="AC1642" s="67">
        <f t="shared" si="11"/>
        <v>510.85</v>
      </c>
      <c r="AD1642" s="67">
        <f t="shared" si="56"/>
        <v>81.736</v>
      </c>
      <c r="AE1642" s="67">
        <f t="shared" si="57"/>
        <v>592.586</v>
      </c>
      <c r="AF1642" s="67">
        <f t="shared" si="33"/>
        <v>498.83</v>
      </c>
      <c r="AG1642" s="67">
        <f t="shared" si="58"/>
        <v>79.8128</v>
      </c>
      <c r="AH1642" s="67">
        <f t="shared" si="59"/>
        <v>578.6428</v>
      </c>
      <c r="AI1642" s="67">
        <f t="shared" si="17"/>
        <v>480.8</v>
      </c>
      <c r="AJ1642" s="68">
        <f t="shared" si="66"/>
        <v>76.928</v>
      </c>
      <c r="AK1642" s="68">
        <f t="shared" si="67"/>
        <v>557.728</v>
      </c>
      <c r="AL1642" s="70"/>
      <c r="AM1642" s="70"/>
      <c r="AN1642" s="71"/>
      <c r="AO1642" s="71"/>
      <c r="AP1642" s="71"/>
      <c r="AQ1642" s="71"/>
      <c r="AR1642" s="71"/>
      <c r="AS1642" s="71"/>
      <c r="AT1642" s="71"/>
      <c r="AU1642" s="71"/>
      <c r="AV1642" s="71"/>
      <c r="AW1642" s="71"/>
      <c r="AX1642" s="71"/>
      <c r="AY1642" s="71"/>
      <c r="AZ1642" s="71"/>
      <c r="BA1642" s="71"/>
      <c r="BB1642" s="71"/>
      <c r="BC1642" s="71"/>
      <c r="BD1642" s="71"/>
      <c r="BE1642" s="71"/>
      <c r="BF1642" s="71"/>
      <c r="BG1642" s="71"/>
      <c r="BH1642" s="71"/>
      <c r="BI1642" s="71"/>
      <c r="BJ1642" s="71"/>
      <c r="BK1642" s="71"/>
      <c r="BL1642" s="71"/>
      <c r="BM1642" s="71"/>
      <c r="BN1642" s="71"/>
      <c r="BO1642" s="71"/>
      <c r="BP1642" s="71"/>
      <c r="BQ1642" s="71"/>
      <c r="BR1642" s="71"/>
      <c r="BS1642" s="71"/>
      <c r="BT1642" s="71"/>
      <c r="BU1642" s="71"/>
      <c r="BV1642" s="71"/>
    </row>
    <row r="1643">
      <c r="A1643" s="53"/>
      <c r="B1643" s="53"/>
      <c r="C1643" s="73" t="s">
        <v>12</v>
      </c>
      <c r="D1643" s="53" t="s">
        <v>4089</v>
      </c>
      <c r="E1643" s="54" t="s">
        <v>1177</v>
      </c>
      <c r="F1643" s="54" t="s">
        <v>42</v>
      </c>
      <c r="G1643" s="55" t="s">
        <v>4090</v>
      </c>
      <c r="H1643" s="54" t="s">
        <v>4091</v>
      </c>
      <c r="I1643" s="54">
        <f t="shared" si="24"/>
        <v>35</v>
      </c>
      <c r="J1643" s="56"/>
      <c r="K1643" s="57"/>
      <c r="L1643" s="76"/>
      <c r="M1643" s="59"/>
      <c r="N1643" s="79">
        <v>324.0</v>
      </c>
      <c r="O1643" s="61">
        <v>349.0</v>
      </c>
      <c r="P1643" s="62">
        <v>376.92</v>
      </c>
      <c r="Q1643" s="63">
        <v>376.92</v>
      </c>
      <c r="R1643" s="64">
        <v>396.0</v>
      </c>
      <c r="S1643" s="111">
        <v>416.0</v>
      </c>
      <c r="T1643" s="65">
        <f t="shared" si="39"/>
        <v>66.56</v>
      </c>
      <c r="U1643" s="65">
        <f t="shared" si="40"/>
        <v>482.56</v>
      </c>
      <c r="V1643" s="66">
        <f t="shared" si="68"/>
        <v>0.05050505051</v>
      </c>
      <c r="W1643" s="67">
        <f t="shared" si="5"/>
        <v>395.2</v>
      </c>
      <c r="X1643" s="67">
        <f t="shared" si="61"/>
        <v>63.232</v>
      </c>
      <c r="Y1643" s="67">
        <f t="shared" si="62"/>
        <v>458.432</v>
      </c>
      <c r="Z1643" s="67">
        <f t="shared" si="8"/>
        <v>374.4</v>
      </c>
      <c r="AA1643" s="67">
        <f t="shared" si="54"/>
        <v>59.904</v>
      </c>
      <c r="AB1643" s="67">
        <f t="shared" si="55"/>
        <v>434.304</v>
      </c>
      <c r="AC1643" s="67">
        <f t="shared" si="11"/>
        <v>353.6</v>
      </c>
      <c r="AD1643" s="67">
        <f t="shared" si="56"/>
        <v>56.576</v>
      </c>
      <c r="AE1643" s="67">
        <f t="shared" si="57"/>
        <v>410.176</v>
      </c>
      <c r="AF1643" s="67">
        <f t="shared" si="33"/>
        <v>345.28</v>
      </c>
      <c r="AG1643" s="67">
        <f t="shared" si="58"/>
        <v>55.2448</v>
      </c>
      <c r="AH1643" s="67">
        <f t="shared" si="59"/>
        <v>400.5248</v>
      </c>
      <c r="AI1643" s="67">
        <f t="shared" si="17"/>
        <v>332.8</v>
      </c>
      <c r="AJ1643" s="68">
        <f t="shared" si="66"/>
        <v>53.248</v>
      </c>
      <c r="AK1643" s="68">
        <f t="shared" si="67"/>
        <v>386.048</v>
      </c>
      <c r="AL1643" s="70"/>
      <c r="AM1643" s="70"/>
      <c r="AN1643" s="71"/>
      <c r="AO1643" s="71"/>
      <c r="AP1643" s="71"/>
      <c r="AQ1643" s="71"/>
      <c r="AR1643" s="71"/>
      <c r="AS1643" s="71"/>
      <c r="AT1643" s="71"/>
      <c r="AU1643" s="71"/>
      <c r="AV1643" s="71"/>
      <c r="AW1643" s="71"/>
      <c r="AX1643" s="71"/>
      <c r="AY1643" s="71"/>
      <c r="AZ1643" s="71"/>
      <c r="BA1643" s="71"/>
      <c r="BB1643" s="71"/>
      <c r="BC1643" s="71"/>
      <c r="BD1643" s="71"/>
      <c r="BE1643" s="71"/>
      <c r="BF1643" s="71"/>
      <c r="BG1643" s="71"/>
      <c r="BH1643" s="71"/>
      <c r="BI1643" s="71"/>
      <c r="BJ1643" s="71"/>
      <c r="BK1643" s="71"/>
      <c r="BL1643" s="71"/>
      <c r="BM1643" s="71"/>
      <c r="BN1643" s="71"/>
      <c r="BO1643" s="71"/>
      <c r="BP1643" s="71"/>
      <c r="BQ1643" s="71"/>
      <c r="BR1643" s="71"/>
      <c r="BS1643" s="71"/>
      <c r="BT1643" s="71"/>
      <c r="BU1643" s="71"/>
      <c r="BV1643" s="71"/>
    </row>
    <row r="1644">
      <c r="A1644" s="53"/>
      <c r="B1644" s="53"/>
      <c r="C1644" s="53" t="s">
        <v>12</v>
      </c>
      <c r="D1644" s="53" t="s">
        <v>4092</v>
      </c>
      <c r="E1644" s="86" t="s">
        <v>38</v>
      </c>
      <c r="F1644" s="91" t="s">
        <v>39</v>
      </c>
      <c r="G1644" s="84" t="s">
        <v>4093</v>
      </c>
      <c r="H1644" s="84" t="s">
        <v>4094</v>
      </c>
      <c r="I1644" s="54">
        <f t="shared" si="24"/>
        <v>38</v>
      </c>
      <c r="J1644" s="56"/>
      <c r="K1644" s="57"/>
      <c r="L1644" s="119"/>
      <c r="M1644" s="59"/>
      <c r="N1644" s="93"/>
      <c r="O1644" s="61"/>
      <c r="P1644" s="90"/>
      <c r="Q1644" s="94"/>
      <c r="R1644" s="95"/>
      <c r="S1644" s="65">
        <v>1050.0</v>
      </c>
      <c r="T1644" s="65">
        <f t="shared" si="39"/>
        <v>168</v>
      </c>
      <c r="U1644" s="65">
        <f t="shared" si="40"/>
        <v>1218</v>
      </c>
      <c r="V1644" s="66" t="str">
        <f t="shared" si="68"/>
        <v>#DIV/0!</v>
      </c>
      <c r="W1644" s="67">
        <f t="shared" si="5"/>
        <v>997.5</v>
      </c>
      <c r="X1644" s="67">
        <f t="shared" si="61"/>
        <v>159.6</v>
      </c>
      <c r="Y1644" s="67">
        <f t="shared" si="62"/>
        <v>1157.1</v>
      </c>
      <c r="Z1644" s="67">
        <f t="shared" si="8"/>
        <v>945</v>
      </c>
      <c r="AA1644" s="67">
        <f t="shared" si="54"/>
        <v>151.2</v>
      </c>
      <c r="AB1644" s="67">
        <f t="shared" si="55"/>
        <v>1096.2</v>
      </c>
      <c r="AC1644" s="67">
        <f t="shared" si="11"/>
        <v>892.5</v>
      </c>
      <c r="AD1644" s="67">
        <f t="shared" si="56"/>
        <v>142.8</v>
      </c>
      <c r="AE1644" s="67">
        <f t="shared" si="57"/>
        <v>1035.3</v>
      </c>
      <c r="AF1644" s="67">
        <f t="shared" si="33"/>
        <v>871.5</v>
      </c>
      <c r="AG1644" s="67">
        <f t="shared" si="58"/>
        <v>139.44</v>
      </c>
      <c r="AH1644" s="67">
        <f t="shared" si="59"/>
        <v>1010.94</v>
      </c>
      <c r="AI1644" s="67">
        <f t="shared" si="17"/>
        <v>840</v>
      </c>
      <c r="AJ1644" s="68">
        <f t="shared" si="66"/>
        <v>134.4</v>
      </c>
      <c r="AK1644" s="68">
        <f t="shared" si="67"/>
        <v>974.4</v>
      </c>
      <c r="AL1644" s="70"/>
      <c r="AM1644" s="70"/>
      <c r="AN1644" s="71"/>
      <c r="AO1644" s="71"/>
      <c r="AP1644" s="71"/>
      <c r="AQ1644" s="71"/>
      <c r="AR1644" s="71"/>
      <c r="AS1644" s="71"/>
      <c r="AT1644" s="71"/>
      <c r="AU1644" s="71"/>
      <c r="AV1644" s="71"/>
      <c r="AW1644" s="71"/>
      <c r="AX1644" s="71"/>
      <c r="AY1644" s="71"/>
      <c r="AZ1644" s="71"/>
      <c r="BA1644" s="71"/>
      <c r="BB1644" s="71"/>
      <c r="BC1644" s="71"/>
      <c r="BD1644" s="71"/>
      <c r="BE1644" s="71"/>
      <c r="BF1644" s="71"/>
      <c r="BG1644" s="71"/>
      <c r="BH1644" s="71"/>
      <c r="BI1644" s="71"/>
      <c r="BJ1644" s="71"/>
      <c r="BK1644" s="71"/>
      <c r="BL1644" s="71"/>
      <c r="BM1644" s="71"/>
      <c r="BN1644" s="71"/>
      <c r="BO1644" s="71"/>
      <c r="BP1644" s="71"/>
      <c r="BQ1644" s="71"/>
      <c r="BR1644" s="71"/>
      <c r="BS1644" s="71"/>
      <c r="BT1644" s="71"/>
      <c r="BU1644" s="71"/>
      <c r="BV1644" s="71"/>
    </row>
    <row r="1645">
      <c r="A1645" s="53"/>
      <c r="B1645" s="53"/>
      <c r="C1645" s="53" t="s">
        <v>36</v>
      </c>
      <c r="D1645" s="85" t="s">
        <v>4095</v>
      </c>
      <c r="E1645" s="54" t="s">
        <v>38</v>
      </c>
      <c r="F1645" s="55" t="s">
        <v>39</v>
      </c>
      <c r="G1645" s="86" t="s">
        <v>4096</v>
      </c>
      <c r="H1645" s="55" t="s">
        <v>4096</v>
      </c>
      <c r="I1645" s="54">
        <f t="shared" si="24"/>
        <v>29</v>
      </c>
      <c r="J1645" s="56"/>
      <c r="K1645" s="57"/>
      <c r="L1645" s="76"/>
      <c r="M1645" s="59"/>
      <c r="N1645" s="60"/>
      <c r="O1645" s="61">
        <v>456.96</v>
      </c>
      <c r="P1645" s="62">
        <v>520.0</v>
      </c>
      <c r="Q1645" s="63">
        <v>520.0</v>
      </c>
      <c r="R1645" s="64">
        <v>546.0</v>
      </c>
      <c r="S1645" s="107">
        <v>573.0</v>
      </c>
      <c r="T1645" s="65">
        <f t="shared" si="39"/>
        <v>91.68</v>
      </c>
      <c r="U1645" s="65">
        <f t="shared" si="40"/>
        <v>664.68</v>
      </c>
      <c r="V1645" s="66">
        <f t="shared" si="68"/>
        <v>0.04945054945</v>
      </c>
      <c r="W1645" s="67">
        <f t="shared" si="5"/>
        <v>544.35</v>
      </c>
      <c r="X1645" s="67">
        <f t="shared" si="61"/>
        <v>87.096</v>
      </c>
      <c r="Y1645" s="67">
        <f t="shared" si="62"/>
        <v>631.446</v>
      </c>
      <c r="Z1645" s="67">
        <f t="shared" si="8"/>
        <v>515.7</v>
      </c>
      <c r="AA1645" s="67">
        <f t="shared" si="54"/>
        <v>82.512</v>
      </c>
      <c r="AB1645" s="67">
        <f t="shared" si="55"/>
        <v>598.212</v>
      </c>
      <c r="AC1645" s="67">
        <f t="shared" si="11"/>
        <v>487.05</v>
      </c>
      <c r="AD1645" s="67">
        <f t="shared" si="56"/>
        <v>77.928</v>
      </c>
      <c r="AE1645" s="67">
        <f t="shared" si="57"/>
        <v>564.978</v>
      </c>
      <c r="AF1645" s="67">
        <f t="shared" si="33"/>
        <v>475.59</v>
      </c>
      <c r="AG1645" s="67">
        <f t="shared" si="58"/>
        <v>76.0944</v>
      </c>
      <c r="AH1645" s="67">
        <f t="shared" si="59"/>
        <v>551.6844</v>
      </c>
      <c r="AI1645" s="67">
        <f t="shared" si="17"/>
        <v>458.4</v>
      </c>
      <c r="AJ1645" s="68">
        <f t="shared" si="66"/>
        <v>73.344</v>
      </c>
      <c r="AK1645" s="68">
        <f t="shared" si="67"/>
        <v>531.744</v>
      </c>
      <c r="AL1645" s="70"/>
      <c r="AM1645" s="70"/>
      <c r="AN1645" s="71"/>
      <c r="AO1645" s="71"/>
      <c r="AP1645" s="71"/>
      <c r="AQ1645" s="71"/>
      <c r="AR1645" s="71"/>
      <c r="AS1645" s="71"/>
      <c r="AT1645" s="71"/>
      <c r="AU1645" s="71"/>
      <c r="AV1645" s="71"/>
      <c r="AW1645" s="71"/>
      <c r="AX1645" s="71"/>
      <c r="AY1645" s="71"/>
      <c r="AZ1645" s="71"/>
      <c r="BA1645" s="71"/>
      <c r="BB1645" s="71"/>
      <c r="BC1645" s="71"/>
      <c r="BD1645" s="71"/>
      <c r="BE1645" s="71"/>
      <c r="BF1645" s="71"/>
      <c r="BG1645" s="71"/>
      <c r="BH1645" s="71"/>
      <c r="BI1645" s="71"/>
      <c r="BJ1645" s="71"/>
      <c r="BK1645" s="71"/>
      <c r="BL1645" s="71"/>
      <c r="BM1645" s="71"/>
      <c r="BN1645" s="71"/>
      <c r="BO1645" s="71"/>
      <c r="BP1645" s="71"/>
      <c r="BQ1645" s="71"/>
      <c r="BR1645" s="71"/>
      <c r="BS1645" s="71"/>
      <c r="BT1645" s="71"/>
      <c r="BU1645" s="71"/>
      <c r="BV1645" s="71"/>
    </row>
    <row r="1646">
      <c r="A1646" s="53"/>
      <c r="B1646" s="53"/>
      <c r="C1646" s="53" t="s">
        <v>12</v>
      </c>
      <c r="D1646" s="53" t="s">
        <v>4097</v>
      </c>
      <c r="E1646" s="86" t="s">
        <v>38</v>
      </c>
      <c r="F1646" s="91" t="s">
        <v>42</v>
      </c>
      <c r="G1646" s="84" t="s">
        <v>4098</v>
      </c>
      <c r="H1646" s="84" t="s">
        <v>4098</v>
      </c>
      <c r="I1646" s="54">
        <f t="shared" si="24"/>
        <v>40</v>
      </c>
      <c r="J1646" s="56"/>
      <c r="K1646" s="57"/>
      <c r="L1646" s="76"/>
      <c r="M1646" s="59"/>
      <c r="N1646" s="60"/>
      <c r="O1646" s="90"/>
      <c r="P1646" s="62">
        <v>2999.0</v>
      </c>
      <c r="Q1646" s="63">
        <v>2999.0</v>
      </c>
      <c r="R1646" s="64">
        <v>3149.0</v>
      </c>
      <c r="S1646" s="111">
        <v>3306.0</v>
      </c>
      <c r="T1646" s="65">
        <f t="shared" si="39"/>
        <v>528.96</v>
      </c>
      <c r="U1646" s="65">
        <f t="shared" si="40"/>
        <v>3834.96</v>
      </c>
      <c r="V1646" s="66">
        <f t="shared" si="68"/>
        <v>0.04985709749</v>
      </c>
      <c r="W1646" s="67">
        <f t="shared" si="5"/>
        <v>3140.7</v>
      </c>
      <c r="X1646" s="67">
        <f t="shared" si="61"/>
        <v>502.512</v>
      </c>
      <c r="Y1646" s="67">
        <f t="shared" si="62"/>
        <v>3643.212</v>
      </c>
      <c r="Z1646" s="67">
        <f t="shared" si="8"/>
        <v>2975.4</v>
      </c>
      <c r="AA1646" s="67">
        <f t="shared" si="54"/>
        <v>476.064</v>
      </c>
      <c r="AB1646" s="67">
        <f t="shared" si="55"/>
        <v>3451.464</v>
      </c>
      <c r="AC1646" s="67">
        <f t="shared" si="11"/>
        <v>2810.1</v>
      </c>
      <c r="AD1646" s="67">
        <f t="shared" si="56"/>
        <v>449.616</v>
      </c>
      <c r="AE1646" s="67">
        <f t="shared" si="57"/>
        <v>3259.716</v>
      </c>
      <c r="AF1646" s="67">
        <f t="shared" si="33"/>
        <v>2743.98</v>
      </c>
      <c r="AG1646" s="67">
        <f t="shared" si="58"/>
        <v>439.0368</v>
      </c>
      <c r="AH1646" s="67">
        <f t="shared" si="59"/>
        <v>3183.0168</v>
      </c>
      <c r="AI1646" s="67">
        <f t="shared" si="17"/>
        <v>2644.8</v>
      </c>
      <c r="AJ1646" s="68">
        <f t="shared" si="66"/>
        <v>423.168</v>
      </c>
      <c r="AK1646" s="68">
        <f t="shared" si="67"/>
        <v>3067.968</v>
      </c>
      <c r="AL1646" s="70"/>
      <c r="AM1646" s="70"/>
      <c r="AN1646" s="71"/>
      <c r="AO1646" s="71"/>
      <c r="AP1646" s="71"/>
      <c r="AQ1646" s="71"/>
      <c r="AR1646" s="71"/>
      <c r="AS1646" s="71"/>
      <c r="AT1646" s="71"/>
      <c r="AU1646" s="71"/>
      <c r="AV1646" s="71"/>
      <c r="AW1646" s="71"/>
      <c r="AX1646" s="71"/>
      <c r="AY1646" s="71"/>
      <c r="AZ1646" s="71"/>
      <c r="BA1646" s="71"/>
      <c r="BB1646" s="71"/>
      <c r="BC1646" s="71"/>
      <c r="BD1646" s="71"/>
      <c r="BE1646" s="71"/>
      <c r="BF1646" s="71"/>
      <c r="BG1646" s="71"/>
      <c r="BH1646" s="71"/>
      <c r="BI1646" s="71"/>
      <c r="BJ1646" s="71"/>
      <c r="BK1646" s="71"/>
      <c r="BL1646" s="71"/>
      <c r="BM1646" s="71"/>
      <c r="BN1646" s="71"/>
      <c r="BO1646" s="71"/>
      <c r="BP1646" s="71"/>
      <c r="BQ1646" s="71"/>
      <c r="BR1646" s="71"/>
      <c r="BS1646" s="71"/>
      <c r="BT1646" s="71"/>
      <c r="BU1646" s="71"/>
      <c r="BV1646" s="71"/>
    </row>
    <row r="1647">
      <c r="A1647" s="53"/>
      <c r="B1647" s="53"/>
      <c r="C1647" s="53" t="s">
        <v>36</v>
      </c>
      <c r="D1647" s="85" t="s">
        <v>4099</v>
      </c>
      <c r="E1647" s="54" t="s">
        <v>38</v>
      </c>
      <c r="F1647" s="55" t="s">
        <v>39</v>
      </c>
      <c r="G1647" s="86" t="s">
        <v>4100</v>
      </c>
      <c r="H1647" s="55"/>
      <c r="I1647" s="54">
        <f t="shared" si="24"/>
        <v>0</v>
      </c>
      <c r="J1647" s="56"/>
      <c r="K1647" s="57"/>
      <c r="L1647" s="76"/>
      <c r="M1647" s="59"/>
      <c r="N1647" s="60"/>
      <c r="O1647" s="61">
        <v>444.0</v>
      </c>
      <c r="P1647" s="62">
        <v>479.52000000000004</v>
      </c>
      <c r="Q1647" s="63">
        <v>479.52000000000004</v>
      </c>
      <c r="R1647" s="64">
        <v>504.0</v>
      </c>
      <c r="S1647" s="107">
        <v>529.0</v>
      </c>
      <c r="T1647" s="65">
        <f t="shared" si="39"/>
        <v>84.64</v>
      </c>
      <c r="U1647" s="65">
        <f t="shared" si="40"/>
        <v>613.64</v>
      </c>
      <c r="V1647" s="66">
        <f t="shared" si="68"/>
        <v>0.0496031746</v>
      </c>
      <c r="W1647" s="67">
        <f t="shared" si="5"/>
        <v>502.55</v>
      </c>
      <c r="X1647" s="67">
        <f t="shared" si="61"/>
        <v>80.408</v>
      </c>
      <c r="Y1647" s="67">
        <f t="shared" si="62"/>
        <v>582.958</v>
      </c>
      <c r="Z1647" s="67">
        <f t="shared" si="8"/>
        <v>476.1</v>
      </c>
      <c r="AA1647" s="67">
        <f t="shared" si="54"/>
        <v>76.176</v>
      </c>
      <c r="AB1647" s="67">
        <f t="shared" si="55"/>
        <v>552.276</v>
      </c>
      <c r="AC1647" s="67">
        <f t="shared" si="11"/>
        <v>449.65</v>
      </c>
      <c r="AD1647" s="67">
        <f t="shared" si="56"/>
        <v>71.944</v>
      </c>
      <c r="AE1647" s="67">
        <f t="shared" si="57"/>
        <v>521.594</v>
      </c>
      <c r="AF1647" s="67">
        <f t="shared" si="33"/>
        <v>439.07</v>
      </c>
      <c r="AG1647" s="67">
        <f t="shared" si="58"/>
        <v>70.2512</v>
      </c>
      <c r="AH1647" s="67">
        <f t="shared" si="59"/>
        <v>509.3212</v>
      </c>
      <c r="AI1647" s="67">
        <f t="shared" si="17"/>
        <v>423.2</v>
      </c>
      <c r="AJ1647" s="68">
        <f t="shared" si="66"/>
        <v>67.712</v>
      </c>
      <c r="AK1647" s="68">
        <f t="shared" si="67"/>
        <v>490.912</v>
      </c>
      <c r="AL1647" s="70"/>
      <c r="AM1647" s="70"/>
      <c r="AN1647" s="71"/>
      <c r="AO1647" s="71"/>
      <c r="AP1647" s="71"/>
      <c r="AQ1647" s="71"/>
      <c r="AR1647" s="71"/>
      <c r="AS1647" s="71"/>
      <c r="AT1647" s="71"/>
      <c r="AU1647" s="71"/>
      <c r="AV1647" s="71"/>
      <c r="AW1647" s="71"/>
      <c r="AX1647" s="71"/>
      <c r="AY1647" s="71"/>
      <c r="AZ1647" s="71"/>
      <c r="BA1647" s="71"/>
      <c r="BB1647" s="71"/>
      <c r="BC1647" s="71"/>
      <c r="BD1647" s="71"/>
      <c r="BE1647" s="71"/>
      <c r="BF1647" s="71"/>
      <c r="BG1647" s="71"/>
      <c r="BH1647" s="71"/>
      <c r="BI1647" s="71"/>
      <c r="BJ1647" s="71"/>
      <c r="BK1647" s="71"/>
      <c r="BL1647" s="71"/>
      <c r="BM1647" s="71"/>
      <c r="BN1647" s="71"/>
      <c r="BO1647" s="71"/>
      <c r="BP1647" s="71"/>
      <c r="BQ1647" s="71"/>
      <c r="BR1647" s="71"/>
      <c r="BS1647" s="71"/>
      <c r="BT1647" s="71"/>
      <c r="BU1647" s="71"/>
      <c r="BV1647" s="71"/>
    </row>
    <row r="1648">
      <c r="A1648" s="53"/>
      <c r="B1648" s="53"/>
      <c r="C1648" s="53" t="s">
        <v>36</v>
      </c>
      <c r="D1648" s="85" t="s">
        <v>4101</v>
      </c>
      <c r="E1648" s="54" t="s">
        <v>38</v>
      </c>
      <c r="F1648" s="55" t="s">
        <v>39</v>
      </c>
      <c r="G1648" s="86" t="s">
        <v>4102</v>
      </c>
      <c r="H1648" s="55"/>
      <c r="I1648" s="54">
        <f t="shared" si="24"/>
        <v>0</v>
      </c>
      <c r="J1648" s="56"/>
      <c r="K1648" s="57"/>
      <c r="L1648" s="76"/>
      <c r="M1648" s="59"/>
      <c r="N1648" s="60"/>
      <c r="O1648" s="61">
        <v>1092.48</v>
      </c>
      <c r="P1648" s="62">
        <v>1179.8784</v>
      </c>
      <c r="Q1648" s="63">
        <v>1179.8784</v>
      </c>
      <c r="R1648" s="64">
        <v>1239.0</v>
      </c>
      <c r="S1648" s="107">
        <v>1301.0</v>
      </c>
      <c r="T1648" s="65">
        <f t="shared" si="39"/>
        <v>208.16</v>
      </c>
      <c r="U1648" s="65">
        <f t="shared" si="40"/>
        <v>1509.16</v>
      </c>
      <c r="V1648" s="66">
        <f t="shared" si="68"/>
        <v>0.05004035513</v>
      </c>
      <c r="W1648" s="67">
        <f t="shared" si="5"/>
        <v>1235.95</v>
      </c>
      <c r="X1648" s="67">
        <f t="shared" si="61"/>
        <v>197.752</v>
      </c>
      <c r="Y1648" s="67">
        <f t="shared" si="62"/>
        <v>1433.702</v>
      </c>
      <c r="Z1648" s="67">
        <f t="shared" si="8"/>
        <v>1170.9</v>
      </c>
      <c r="AA1648" s="67">
        <f t="shared" si="54"/>
        <v>187.344</v>
      </c>
      <c r="AB1648" s="67">
        <f t="shared" si="55"/>
        <v>1358.244</v>
      </c>
      <c r="AC1648" s="67">
        <f t="shared" si="11"/>
        <v>1105.85</v>
      </c>
      <c r="AD1648" s="67">
        <f t="shared" si="56"/>
        <v>176.936</v>
      </c>
      <c r="AE1648" s="67">
        <f t="shared" si="57"/>
        <v>1282.786</v>
      </c>
      <c r="AF1648" s="67">
        <f t="shared" si="33"/>
        <v>1079.83</v>
      </c>
      <c r="AG1648" s="67">
        <f t="shared" si="58"/>
        <v>172.7728</v>
      </c>
      <c r="AH1648" s="67">
        <f t="shared" si="59"/>
        <v>1252.6028</v>
      </c>
      <c r="AI1648" s="67">
        <f t="shared" si="17"/>
        <v>1040.8</v>
      </c>
      <c r="AJ1648" s="68">
        <f t="shared" si="66"/>
        <v>166.528</v>
      </c>
      <c r="AK1648" s="68">
        <f t="shared" si="67"/>
        <v>1207.328</v>
      </c>
      <c r="AL1648" s="70"/>
      <c r="AM1648" s="70"/>
      <c r="AN1648" s="71"/>
      <c r="AO1648" s="71"/>
      <c r="AP1648" s="71"/>
      <c r="AQ1648" s="71"/>
      <c r="AR1648" s="71"/>
      <c r="AS1648" s="71"/>
      <c r="AT1648" s="71"/>
      <c r="AU1648" s="71"/>
      <c r="AV1648" s="71"/>
      <c r="AW1648" s="71"/>
      <c r="AX1648" s="71"/>
      <c r="AY1648" s="71"/>
      <c r="AZ1648" s="71"/>
      <c r="BA1648" s="71"/>
      <c r="BB1648" s="71"/>
      <c r="BC1648" s="71"/>
      <c r="BD1648" s="71"/>
      <c r="BE1648" s="71"/>
      <c r="BF1648" s="71"/>
      <c r="BG1648" s="71"/>
      <c r="BH1648" s="71"/>
      <c r="BI1648" s="71"/>
      <c r="BJ1648" s="71"/>
      <c r="BK1648" s="71"/>
      <c r="BL1648" s="71"/>
      <c r="BM1648" s="71"/>
      <c r="BN1648" s="71"/>
      <c r="BO1648" s="71"/>
      <c r="BP1648" s="71"/>
      <c r="BQ1648" s="71"/>
      <c r="BR1648" s="71"/>
      <c r="BS1648" s="71"/>
      <c r="BT1648" s="71"/>
      <c r="BU1648" s="71"/>
      <c r="BV1648" s="71"/>
    </row>
    <row r="1649">
      <c r="A1649" s="53"/>
      <c r="B1649" s="53"/>
      <c r="C1649" s="73" t="s">
        <v>12</v>
      </c>
      <c r="D1649" s="53" t="s">
        <v>4103</v>
      </c>
      <c r="E1649" s="54" t="s">
        <v>38</v>
      </c>
      <c r="F1649" s="54" t="s">
        <v>42</v>
      </c>
      <c r="G1649" s="55" t="s">
        <v>4102</v>
      </c>
      <c r="H1649" s="54" t="s">
        <v>4102</v>
      </c>
      <c r="I1649" s="54">
        <f t="shared" si="24"/>
        <v>18</v>
      </c>
      <c r="J1649" s="56"/>
      <c r="K1649" s="57"/>
      <c r="L1649" s="76"/>
      <c r="M1649" s="59"/>
      <c r="N1649" s="79">
        <v>360.0</v>
      </c>
      <c r="O1649" s="61">
        <v>388.0</v>
      </c>
      <c r="P1649" s="62">
        <v>419.04</v>
      </c>
      <c r="Q1649" s="63">
        <v>419.04</v>
      </c>
      <c r="R1649" s="64">
        <v>440.0</v>
      </c>
      <c r="S1649" s="111">
        <v>462.0</v>
      </c>
      <c r="T1649" s="65">
        <f t="shared" si="39"/>
        <v>73.92</v>
      </c>
      <c r="U1649" s="65">
        <f t="shared" si="40"/>
        <v>535.92</v>
      </c>
      <c r="V1649" s="66">
        <f t="shared" si="68"/>
        <v>0.05</v>
      </c>
      <c r="W1649" s="67">
        <f t="shared" si="5"/>
        <v>438.9</v>
      </c>
      <c r="X1649" s="67">
        <f t="shared" si="61"/>
        <v>70.224</v>
      </c>
      <c r="Y1649" s="67">
        <f t="shared" si="62"/>
        <v>509.124</v>
      </c>
      <c r="Z1649" s="67">
        <f t="shared" si="8"/>
        <v>415.8</v>
      </c>
      <c r="AA1649" s="67">
        <f t="shared" si="54"/>
        <v>66.528</v>
      </c>
      <c r="AB1649" s="67">
        <f t="shared" si="55"/>
        <v>482.328</v>
      </c>
      <c r="AC1649" s="67">
        <f t="shared" si="11"/>
        <v>392.7</v>
      </c>
      <c r="AD1649" s="67">
        <f t="shared" si="56"/>
        <v>62.832</v>
      </c>
      <c r="AE1649" s="67">
        <f t="shared" si="57"/>
        <v>455.532</v>
      </c>
      <c r="AF1649" s="67">
        <f t="shared" si="33"/>
        <v>383.46</v>
      </c>
      <c r="AG1649" s="67">
        <f t="shared" si="58"/>
        <v>61.3536</v>
      </c>
      <c r="AH1649" s="67">
        <f t="shared" si="59"/>
        <v>444.8136</v>
      </c>
      <c r="AI1649" s="67">
        <f t="shared" si="17"/>
        <v>369.6</v>
      </c>
      <c r="AJ1649" s="68">
        <f t="shared" si="66"/>
        <v>59.136</v>
      </c>
      <c r="AK1649" s="68">
        <f t="shared" si="67"/>
        <v>428.736</v>
      </c>
      <c r="AL1649" s="70"/>
      <c r="AM1649" s="70"/>
      <c r="AN1649" s="71"/>
      <c r="AO1649" s="71"/>
      <c r="AP1649" s="71"/>
      <c r="AQ1649" s="71"/>
      <c r="AR1649" s="71"/>
      <c r="AS1649" s="71"/>
      <c r="AT1649" s="71"/>
      <c r="AU1649" s="71"/>
      <c r="AV1649" s="71"/>
      <c r="AW1649" s="71"/>
      <c r="AX1649" s="71"/>
      <c r="AY1649" s="71"/>
      <c r="AZ1649" s="71"/>
      <c r="BA1649" s="71"/>
      <c r="BB1649" s="71"/>
      <c r="BC1649" s="71"/>
      <c r="BD1649" s="71"/>
      <c r="BE1649" s="71"/>
      <c r="BF1649" s="71"/>
      <c r="BG1649" s="71"/>
      <c r="BH1649" s="71"/>
      <c r="BI1649" s="71"/>
      <c r="BJ1649" s="71"/>
      <c r="BK1649" s="71"/>
      <c r="BL1649" s="71"/>
      <c r="BM1649" s="71"/>
      <c r="BN1649" s="71"/>
      <c r="BO1649" s="71"/>
      <c r="BP1649" s="71"/>
      <c r="BQ1649" s="71"/>
      <c r="BR1649" s="71"/>
      <c r="BS1649" s="71"/>
      <c r="BT1649" s="71"/>
      <c r="BU1649" s="71"/>
      <c r="BV1649" s="71"/>
    </row>
    <row r="1650">
      <c r="A1650" s="53"/>
      <c r="B1650" s="53">
        <v>3.0</v>
      </c>
      <c r="C1650" s="53" t="s">
        <v>36</v>
      </c>
      <c r="D1650" s="85" t="s">
        <v>4104</v>
      </c>
      <c r="E1650" s="54" t="s">
        <v>38</v>
      </c>
      <c r="F1650" s="55" t="s">
        <v>4105</v>
      </c>
      <c r="G1650" s="55" t="s">
        <v>4106</v>
      </c>
      <c r="H1650" s="55"/>
      <c r="I1650" s="54">
        <f t="shared" si="24"/>
        <v>0</v>
      </c>
      <c r="J1650" s="56"/>
      <c r="K1650" s="57"/>
      <c r="L1650" s="76"/>
      <c r="M1650" s="59"/>
      <c r="N1650" s="60"/>
      <c r="O1650" s="61">
        <v>34826.0</v>
      </c>
      <c r="P1650" s="62">
        <v>37612.08</v>
      </c>
      <c r="Q1650" s="63">
        <v>37612.08</v>
      </c>
      <c r="R1650" s="64">
        <v>41468.0</v>
      </c>
      <c r="S1650" s="107">
        <v>43541.0</v>
      </c>
      <c r="T1650" s="65">
        <f t="shared" si="39"/>
        <v>6966.56</v>
      </c>
      <c r="U1650" s="65">
        <f t="shared" si="40"/>
        <v>50507.56</v>
      </c>
      <c r="V1650" s="66">
        <f t="shared" si="68"/>
        <v>0.04999035401</v>
      </c>
      <c r="W1650" s="67">
        <f t="shared" si="5"/>
        <v>41363.95</v>
      </c>
      <c r="X1650" s="67">
        <f t="shared" si="61"/>
        <v>6618.232</v>
      </c>
      <c r="Y1650" s="67">
        <f t="shared" si="62"/>
        <v>47982.182</v>
      </c>
      <c r="Z1650" s="67">
        <f t="shared" si="8"/>
        <v>39186.9</v>
      </c>
      <c r="AA1650" s="67">
        <f t="shared" si="54"/>
        <v>6269.904</v>
      </c>
      <c r="AB1650" s="67">
        <f t="shared" si="55"/>
        <v>45456.804</v>
      </c>
      <c r="AC1650" s="67">
        <f t="shared" si="11"/>
        <v>39186.9</v>
      </c>
      <c r="AD1650" s="67">
        <f t="shared" si="56"/>
        <v>6269.904</v>
      </c>
      <c r="AE1650" s="67">
        <f t="shared" si="57"/>
        <v>45456.804</v>
      </c>
      <c r="AF1650" s="67">
        <f t="shared" si="33"/>
        <v>39186.9</v>
      </c>
      <c r="AG1650" s="67">
        <f t="shared" si="58"/>
        <v>6269.904</v>
      </c>
      <c r="AH1650" s="67">
        <f t="shared" si="59"/>
        <v>45456.804</v>
      </c>
      <c r="AI1650" s="67">
        <f t="shared" si="17"/>
        <v>39186.9</v>
      </c>
      <c r="AJ1650" s="68">
        <f t="shared" si="66"/>
        <v>6269.904</v>
      </c>
      <c r="AK1650" s="68">
        <f t="shared" si="67"/>
        <v>45456.804</v>
      </c>
      <c r="AL1650" s="70"/>
      <c r="AM1650" s="70"/>
      <c r="AN1650" s="71"/>
      <c r="AO1650" s="71"/>
      <c r="AP1650" s="71"/>
      <c r="AQ1650" s="71"/>
      <c r="AR1650" s="71"/>
      <c r="AS1650" s="71"/>
      <c r="AT1650" s="71"/>
      <c r="AU1650" s="71"/>
      <c r="AV1650" s="71"/>
      <c r="AW1650" s="71"/>
      <c r="AX1650" s="71"/>
      <c r="AY1650" s="71"/>
      <c r="AZ1650" s="71"/>
      <c r="BA1650" s="71"/>
      <c r="BB1650" s="71"/>
      <c r="BC1650" s="71"/>
      <c r="BD1650" s="71"/>
      <c r="BE1650" s="71"/>
      <c r="BF1650" s="71"/>
      <c r="BG1650" s="71"/>
      <c r="BH1650" s="71"/>
      <c r="BI1650" s="71"/>
      <c r="BJ1650" s="71"/>
      <c r="BK1650" s="71"/>
      <c r="BL1650" s="71"/>
      <c r="BM1650" s="71"/>
      <c r="BN1650" s="71"/>
      <c r="BO1650" s="71"/>
      <c r="BP1650" s="71"/>
      <c r="BQ1650" s="71"/>
      <c r="BR1650" s="71"/>
      <c r="BS1650" s="71"/>
      <c r="BT1650" s="71"/>
      <c r="BU1650" s="71"/>
      <c r="BV1650" s="71"/>
    </row>
    <row r="1651">
      <c r="A1651" s="53"/>
      <c r="B1651" s="53">
        <v>3.0</v>
      </c>
      <c r="C1651" s="53" t="s">
        <v>36</v>
      </c>
      <c r="D1651" s="98" t="s">
        <v>4107</v>
      </c>
      <c r="E1651" s="54" t="s">
        <v>38</v>
      </c>
      <c r="F1651" s="55" t="s">
        <v>4105</v>
      </c>
      <c r="G1651" s="55" t="s">
        <v>4108</v>
      </c>
      <c r="H1651" s="55"/>
      <c r="I1651" s="54">
        <f t="shared" si="24"/>
        <v>0</v>
      </c>
      <c r="J1651" s="56"/>
      <c r="K1651" s="57"/>
      <c r="L1651" s="76"/>
      <c r="M1651" s="59"/>
      <c r="N1651" s="60"/>
      <c r="O1651" s="61">
        <v>18844.0</v>
      </c>
      <c r="P1651" s="62">
        <v>20351.52</v>
      </c>
      <c r="Q1651" s="63">
        <v>20351.52</v>
      </c>
      <c r="R1651" s="64">
        <v>22439.0</v>
      </c>
      <c r="S1651" s="107">
        <v>23561.0</v>
      </c>
      <c r="T1651" s="65">
        <f t="shared" si="39"/>
        <v>3769.76</v>
      </c>
      <c r="U1651" s="65">
        <f t="shared" si="40"/>
        <v>27330.76</v>
      </c>
      <c r="V1651" s="66">
        <f t="shared" si="68"/>
        <v>0.05000222826</v>
      </c>
      <c r="W1651" s="67">
        <f t="shared" si="5"/>
        <v>22382.95</v>
      </c>
      <c r="X1651" s="67">
        <f t="shared" si="61"/>
        <v>3581.272</v>
      </c>
      <c r="Y1651" s="67">
        <f t="shared" si="62"/>
        <v>25964.222</v>
      </c>
      <c r="Z1651" s="67">
        <f t="shared" si="8"/>
        <v>21204.9</v>
      </c>
      <c r="AA1651" s="67">
        <f t="shared" si="54"/>
        <v>3392.784</v>
      </c>
      <c r="AB1651" s="67">
        <f t="shared" si="55"/>
        <v>24597.684</v>
      </c>
      <c r="AC1651" s="67">
        <f t="shared" si="11"/>
        <v>21204.9</v>
      </c>
      <c r="AD1651" s="67">
        <f t="shared" si="56"/>
        <v>3392.784</v>
      </c>
      <c r="AE1651" s="67">
        <f t="shared" si="57"/>
        <v>24597.684</v>
      </c>
      <c r="AF1651" s="67">
        <f t="shared" si="33"/>
        <v>21204.9</v>
      </c>
      <c r="AG1651" s="67">
        <f t="shared" si="58"/>
        <v>3392.784</v>
      </c>
      <c r="AH1651" s="67">
        <f t="shared" si="59"/>
        <v>24597.684</v>
      </c>
      <c r="AI1651" s="67">
        <f t="shared" si="17"/>
        <v>21204.9</v>
      </c>
      <c r="AJ1651" s="68">
        <f t="shared" si="66"/>
        <v>3392.784</v>
      </c>
      <c r="AK1651" s="68">
        <f t="shared" si="67"/>
        <v>24597.684</v>
      </c>
      <c r="AL1651" s="70"/>
      <c r="AM1651" s="70"/>
      <c r="AN1651" s="71"/>
      <c r="AO1651" s="71"/>
      <c r="AP1651" s="71"/>
      <c r="AQ1651" s="71"/>
      <c r="AR1651" s="71"/>
      <c r="AS1651" s="71"/>
      <c r="AT1651" s="71"/>
      <c r="AU1651" s="71"/>
      <c r="AV1651" s="71"/>
      <c r="AW1651" s="71"/>
      <c r="AX1651" s="71"/>
      <c r="AY1651" s="71"/>
      <c r="AZ1651" s="71"/>
      <c r="BA1651" s="71"/>
      <c r="BB1651" s="71"/>
      <c r="BC1651" s="71"/>
      <c r="BD1651" s="71"/>
      <c r="BE1651" s="71"/>
      <c r="BF1651" s="71"/>
      <c r="BG1651" s="71"/>
      <c r="BH1651" s="71"/>
      <c r="BI1651" s="71"/>
      <c r="BJ1651" s="71"/>
      <c r="BK1651" s="71"/>
      <c r="BL1651" s="71"/>
      <c r="BM1651" s="71"/>
      <c r="BN1651" s="71"/>
      <c r="BO1651" s="71"/>
      <c r="BP1651" s="71"/>
      <c r="BQ1651" s="71"/>
      <c r="BR1651" s="71"/>
      <c r="BS1651" s="71"/>
      <c r="BT1651" s="71"/>
      <c r="BU1651" s="71"/>
      <c r="BV1651" s="71"/>
    </row>
    <row r="1652">
      <c r="A1652" s="53"/>
      <c r="B1652" s="53">
        <v>3.0</v>
      </c>
      <c r="C1652" s="53" t="s">
        <v>36</v>
      </c>
      <c r="D1652" s="98" t="s">
        <v>4109</v>
      </c>
      <c r="E1652" s="54" t="s">
        <v>38</v>
      </c>
      <c r="F1652" s="55" t="s">
        <v>4105</v>
      </c>
      <c r="G1652" s="55" t="s">
        <v>4110</v>
      </c>
      <c r="H1652" s="55"/>
      <c r="I1652" s="54">
        <f t="shared" si="24"/>
        <v>0</v>
      </c>
      <c r="J1652" s="56"/>
      <c r="K1652" s="57"/>
      <c r="L1652" s="76"/>
      <c r="M1652" s="59"/>
      <c r="N1652" s="60"/>
      <c r="O1652" s="61">
        <v>16068.0</v>
      </c>
      <c r="P1652" s="62">
        <v>17353.440000000002</v>
      </c>
      <c r="Q1652" s="63">
        <v>17353.440000000002</v>
      </c>
      <c r="R1652" s="64">
        <v>19133.0</v>
      </c>
      <c r="S1652" s="107">
        <v>20090.0</v>
      </c>
      <c r="T1652" s="65">
        <f t="shared" si="39"/>
        <v>3214.4</v>
      </c>
      <c r="U1652" s="65">
        <f t="shared" si="40"/>
        <v>23304.4</v>
      </c>
      <c r="V1652" s="66">
        <f t="shared" si="68"/>
        <v>0.050018293</v>
      </c>
      <c r="W1652" s="67">
        <f t="shared" si="5"/>
        <v>19085.5</v>
      </c>
      <c r="X1652" s="67">
        <f t="shared" si="61"/>
        <v>3053.68</v>
      </c>
      <c r="Y1652" s="67">
        <f t="shared" si="62"/>
        <v>22139.18</v>
      </c>
      <c r="Z1652" s="67">
        <f t="shared" si="8"/>
        <v>18081</v>
      </c>
      <c r="AA1652" s="67">
        <f t="shared" si="54"/>
        <v>2892.96</v>
      </c>
      <c r="AB1652" s="67">
        <f t="shared" si="55"/>
        <v>20973.96</v>
      </c>
      <c r="AC1652" s="67">
        <f t="shared" si="11"/>
        <v>18081</v>
      </c>
      <c r="AD1652" s="67">
        <f t="shared" si="56"/>
        <v>2892.96</v>
      </c>
      <c r="AE1652" s="67">
        <f t="shared" si="57"/>
        <v>20973.96</v>
      </c>
      <c r="AF1652" s="67">
        <f t="shared" si="33"/>
        <v>18081</v>
      </c>
      <c r="AG1652" s="67">
        <f t="shared" si="58"/>
        <v>2892.96</v>
      </c>
      <c r="AH1652" s="67">
        <f t="shared" si="59"/>
        <v>20973.96</v>
      </c>
      <c r="AI1652" s="67">
        <f t="shared" si="17"/>
        <v>18081</v>
      </c>
      <c r="AJ1652" s="68">
        <f t="shared" si="66"/>
        <v>2892.96</v>
      </c>
      <c r="AK1652" s="68">
        <f t="shared" si="67"/>
        <v>20973.96</v>
      </c>
      <c r="AL1652" s="70"/>
      <c r="AM1652" s="70"/>
      <c r="AN1652" s="71"/>
      <c r="AO1652" s="71"/>
      <c r="AP1652" s="71"/>
      <c r="AQ1652" s="71"/>
      <c r="AR1652" s="71"/>
      <c r="AS1652" s="71"/>
      <c r="AT1652" s="71"/>
      <c r="AU1652" s="71"/>
      <c r="AV1652" s="71"/>
      <c r="AW1652" s="71"/>
      <c r="AX1652" s="71"/>
      <c r="AY1652" s="71"/>
      <c r="AZ1652" s="71"/>
      <c r="BA1652" s="71"/>
      <c r="BB1652" s="71"/>
      <c r="BC1652" s="71"/>
      <c r="BD1652" s="71"/>
      <c r="BE1652" s="71"/>
      <c r="BF1652" s="71"/>
      <c r="BG1652" s="71"/>
      <c r="BH1652" s="71"/>
      <c r="BI1652" s="71"/>
      <c r="BJ1652" s="71"/>
      <c r="BK1652" s="71"/>
      <c r="BL1652" s="71"/>
      <c r="BM1652" s="71"/>
      <c r="BN1652" s="71"/>
      <c r="BO1652" s="71"/>
      <c r="BP1652" s="71"/>
      <c r="BQ1652" s="71"/>
      <c r="BR1652" s="71"/>
      <c r="BS1652" s="71"/>
      <c r="BT1652" s="71"/>
      <c r="BU1652" s="71"/>
      <c r="BV1652" s="71"/>
    </row>
    <row r="1653">
      <c r="A1653" s="53"/>
      <c r="B1653" s="53">
        <v>3.0</v>
      </c>
      <c r="C1653" s="53" t="s">
        <v>36</v>
      </c>
      <c r="D1653" s="98" t="s">
        <v>4111</v>
      </c>
      <c r="E1653" s="54" t="s">
        <v>38</v>
      </c>
      <c r="F1653" s="55" t="s">
        <v>4105</v>
      </c>
      <c r="G1653" s="55" t="s">
        <v>4112</v>
      </c>
      <c r="H1653" s="55"/>
      <c r="I1653" s="54">
        <f t="shared" si="24"/>
        <v>0</v>
      </c>
      <c r="J1653" s="56"/>
      <c r="K1653" s="57"/>
      <c r="L1653" s="76"/>
      <c r="M1653" s="59"/>
      <c r="N1653" s="60"/>
      <c r="O1653" s="61">
        <v>7290.0</v>
      </c>
      <c r="P1653" s="62">
        <v>7873.200000000001</v>
      </c>
      <c r="Q1653" s="63">
        <v>7873.200000000001</v>
      </c>
      <c r="R1653" s="64">
        <v>8681.0</v>
      </c>
      <c r="S1653" s="107">
        <v>9115.0</v>
      </c>
      <c r="T1653" s="65">
        <f t="shared" si="39"/>
        <v>1458.4</v>
      </c>
      <c r="U1653" s="65">
        <f t="shared" si="40"/>
        <v>10573.4</v>
      </c>
      <c r="V1653" s="66">
        <f t="shared" si="68"/>
        <v>0.04999424029</v>
      </c>
      <c r="W1653" s="67">
        <f t="shared" si="5"/>
        <v>8659.25</v>
      </c>
      <c r="X1653" s="67">
        <f t="shared" si="61"/>
        <v>1385.48</v>
      </c>
      <c r="Y1653" s="67">
        <f t="shared" si="62"/>
        <v>10044.73</v>
      </c>
      <c r="Z1653" s="67">
        <f t="shared" si="8"/>
        <v>8203.5</v>
      </c>
      <c r="AA1653" s="67">
        <f t="shared" si="54"/>
        <v>1312.56</v>
      </c>
      <c r="AB1653" s="67">
        <f t="shared" si="55"/>
        <v>9516.06</v>
      </c>
      <c r="AC1653" s="67">
        <f t="shared" si="11"/>
        <v>8203.5</v>
      </c>
      <c r="AD1653" s="67">
        <f t="shared" si="56"/>
        <v>1312.56</v>
      </c>
      <c r="AE1653" s="67">
        <f t="shared" si="57"/>
        <v>9516.06</v>
      </c>
      <c r="AF1653" s="67">
        <f t="shared" si="33"/>
        <v>8203.5</v>
      </c>
      <c r="AG1653" s="67">
        <f t="shared" si="58"/>
        <v>1312.56</v>
      </c>
      <c r="AH1653" s="67">
        <f t="shared" si="59"/>
        <v>9516.06</v>
      </c>
      <c r="AI1653" s="67">
        <f t="shared" si="17"/>
        <v>8203.5</v>
      </c>
      <c r="AJ1653" s="68">
        <f t="shared" si="66"/>
        <v>1312.56</v>
      </c>
      <c r="AK1653" s="68">
        <f t="shared" si="67"/>
        <v>9516.06</v>
      </c>
      <c r="AL1653" s="70"/>
      <c r="AM1653" s="70"/>
      <c r="AN1653" s="71"/>
      <c r="AO1653" s="71"/>
      <c r="AP1653" s="71"/>
      <c r="AQ1653" s="71"/>
      <c r="AR1653" s="71"/>
      <c r="AS1653" s="71"/>
      <c r="AT1653" s="71"/>
      <c r="AU1653" s="71"/>
      <c r="AV1653" s="71"/>
      <c r="AW1653" s="71"/>
      <c r="AX1653" s="71"/>
      <c r="AY1653" s="71"/>
      <c r="AZ1653" s="71"/>
      <c r="BA1653" s="71"/>
      <c r="BB1653" s="71"/>
      <c r="BC1653" s="71"/>
      <c r="BD1653" s="71"/>
      <c r="BE1653" s="71"/>
      <c r="BF1653" s="71"/>
      <c r="BG1653" s="71"/>
      <c r="BH1653" s="71"/>
      <c r="BI1653" s="71"/>
      <c r="BJ1653" s="71"/>
      <c r="BK1653" s="71"/>
      <c r="BL1653" s="71"/>
      <c r="BM1653" s="71"/>
      <c r="BN1653" s="71"/>
      <c r="BO1653" s="71"/>
      <c r="BP1653" s="71"/>
      <c r="BQ1653" s="71"/>
      <c r="BR1653" s="71"/>
      <c r="BS1653" s="71"/>
      <c r="BT1653" s="71"/>
      <c r="BU1653" s="71"/>
      <c r="BV1653" s="71"/>
    </row>
    <row r="1654">
      <c r="A1654" s="53"/>
      <c r="B1654" s="53">
        <v>3.0</v>
      </c>
      <c r="C1654" s="53" t="s">
        <v>36</v>
      </c>
      <c r="D1654" s="98" t="s">
        <v>4113</v>
      </c>
      <c r="E1654" s="54" t="s">
        <v>38</v>
      </c>
      <c r="F1654" s="55" t="s">
        <v>4105</v>
      </c>
      <c r="G1654" s="55" t="s">
        <v>4114</v>
      </c>
      <c r="H1654" s="55"/>
      <c r="I1654" s="54">
        <f t="shared" si="24"/>
        <v>0</v>
      </c>
      <c r="J1654" s="56"/>
      <c r="K1654" s="57"/>
      <c r="L1654" s="76"/>
      <c r="M1654" s="59"/>
      <c r="N1654" s="60"/>
      <c r="O1654" s="61">
        <v>37796.0</v>
      </c>
      <c r="P1654" s="62">
        <v>40819.68</v>
      </c>
      <c r="Q1654" s="63">
        <v>40819.68</v>
      </c>
      <c r="R1654" s="64">
        <v>45005.0</v>
      </c>
      <c r="S1654" s="107">
        <v>47255.0</v>
      </c>
      <c r="T1654" s="65">
        <f t="shared" si="39"/>
        <v>7560.8</v>
      </c>
      <c r="U1654" s="65">
        <f t="shared" si="40"/>
        <v>54815.8</v>
      </c>
      <c r="V1654" s="66">
        <f t="shared" si="68"/>
        <v>0.04999444506</v>
      </c>
      <c r="W1654" s="67">
        <f t="shared" si="5"/>
        <v>44892.25</v>
      </c>
      <c r="X1654" s="67">
        <f t="shared" si="61"/>
        <v>7182.76</v>
      </c>
      <c r="Y1654" s="67">
        <f t="shared" si="62"/>
        <v>52075.01</v>
      </c>
      <c r="Z1654" s="67">
        <f t="shared" si="8"/>
        <v>42529.5</v>
      </c>
      <c r="AA1654" s="67">
        <f t="shared" si="54"/>
        <v>6804.72</v>
      </c>
      <c r="AB1654" s="67">
        <f t="shared" si="55"/>
        <v>49334.22</v>
      </c>
      <c r="AC1654" s="67">
        <f t="shared" si="11"/>
        <v>42529.5</v>
      </c>
      <c r="AD1654" s="67">
        <f t="shared" si="56"/>
        <v>6804.72</v>
      </c>
      <c r="AE1654" s="67">
        <f t="shared" si="57"/>
        <v>49334.22</v>
      </c>
      <c r="AF1654" s="67">
        <f t="shared" si="33"/>
        <v>42529.5</v>
      </c>
      <c r="AG1654" s="67">
        <f t="shared" si="58"/>
        <v>6804.72</v>
      </c>
      <c r="AH1654" s="67">
        <f t="shared" si="59"/>
        <v>49334.22</v>
      </c>
      <c r="AI1654" s="67">
        <f t="shared" si="17"/>
        <v>42529.5</v>
      </c>
      <c r="AJ1654" s="68">
        <f t="shared" si="66"/>
        <v>6804.72</v>
      </c>
      <c r="AK1654" s="68">
        <f t="shared" si="67"/>
        <v>49334.22</v>
      </c>
      <c r="AL1654" s="70"/>
      <c r="AM1654" s="70"/>
      <c r="AN1654" s="71"/>
      <c r="AO1654" s="71"/>
      <c r="AP1654" s="71"/>
      <c r="AQ1654" s="71"/>
      <c r="AR1654" s="71"/>
      <c r="AS1654" s="71"/>
      <c r="AT1654" s="71"/>
      <c r="AU1654" s="71"/>
      <c r="AV1654" s="71"/>
      <c r="AW1654" s="71"/>
      <c r="AX1654" s="71"/>
      <c r="AY1654" s="71"/>
      <c r="AZ1654" s="71"/>
      <c r="BA1654" s="71"/>
      <c r="BB1654" s="71"/>
      <c r="BC1654" s="71"/>
      <c r="BD1654" s="71"/>
      <c r="BE1654" s="71"/>
      <c r="BF1654" s="71"/>
      <c r="BG1654" s="71"/>
      <c r="BH1654" s="71"/>
      <c r="BI1654" s="71"/>
      <c r="BJ1654" s="71"/>
      <c r="BK1654" s="71"/>
      <c r="BL1654" s="71"/>
      <c r="BM1654" s="71"/>
      <c r="BN1654" s="71"/>
      <c r="BO1654" s="71"/>
      <c r="BP1654" s="71"/>
      <c r="BQ1654" s="71"/>
      <c r="BR1654" s="71"/>
      <c r="BS1654" s="71"/>
      <c r="BT1654" s="71"/>
      <c r="BU1654" s="71"/>
      <c r="BV1654" s="71"/>
    </row>
    <row r="1655">
      <c r="A1655" s="53"/>
      <c r="B1655" s="53">
        <v>3.0</v>
      </c>
      <c r="C1655" s="53" t="s">
        <v>36</v>
      </c>
      <c r="D1655" s="98" t="s">
        <v>4115</v>
      </c>
      <c r="E1655" s="54" t="s">
        <v>38</v>
      </c>
      <c r="F1655" s="55" t="s">
        <v>4105</v>
      </c>
      <c r="G1655" s="55" t="s">
        <v>4116</v>
      </c>
      <c r="H1655" s="55"/>
      <c r="I1655" s="54">
        <f t="shared" si="24"/>
        <v>0</v>
      </c>
      <c r="J1655" s="56"/>
      <c r="K1655" s="57"/>
      <c r="L1655" s="76"/>
      <c r="M1655" s="59"/>
      <c r="N1655" s="60"/>
      <c r="O1655" s="61">
        <v>30650.0</v>
      </c>
      <c r="P1655" s="62">
        <v>33102.0</v>
      </c>
      <c r="Q1655" s="63">
        <v>33102.0</v>
      </c>
      <c r="R1655" s="64">
        <v>36495.0</v>
      </c>
      <c r="S1655" s="107">
        <v>38320.0</v>
      </c>
      <c r="T1655" s="65">
        <f t="shared" si="39"/>
        <v>6131.2</v>
      </c>
      <c r="U1655" s="65">
        <f t="shared" si="40"/>
        <v>44451.2</v>
      </c>
      <c r="V1655" s="66">
        <f t="shared" si="68"/>
        <v>0.05000685025</v>
      </c>
      <c r="W1655" s="67">
        <f t="shared" si="5"/>
        <v>36404</v>
      </c>
      <c r="X1655" s="67">
        <f t="shared" si="61"/>
        <v>5824.64</v>
      </c>
      <c r="Y1655" s="67">
        <f t="shared" si="62"/>
        <v>42228.64</v>
      </c>
      <c r="Z1655" s="67">
        <f t="shared" si="8"/>
        <v>34488</v>
      </c>
      <c r="AA1655" s="67">
        <f t="shared" si="54"/>
        <v>5518.08</v>
      </c>
      <c r="AB1655" s="67">
        <f t="shared" si="55"/>
        <v>40006.08</v>
      </c>
      <c r="AC1655" s="67">
        <f t="shared" si="11"/>
        <v>34488</v>
      </c>
      <c r="AD1655" s="67">
        <f t="shared" si="56"/>
        <v>5518.08</v>
      </c>
      <c r="AE1655" s="67">
        <f t="shared" si="57"/>
        <v>40006.08</v>
      </c>
      <c r="AF1655" s="67">
        <f t="shared" si="33"/>
        <v>34488</v>
      </c>
      <c r="AG1655" s="67">
        <f t="shared" si="58"/>
        <v>5518.08</v>
      </c>
      <c r="AH1655" s="67">
        <f t="shared" si="59"/>
        <v>40006.08</v>
      </c>
      <c r="AI1655" s="67">
        <f t="shared" si="17"/>
        <v>34488</v>
      </c>
      <c r="AJ1655" s="68">
        <f t="shared" si="66"/>
        <v>5518.08</v>
      </c>
      <c r="AK1655" s="68">
        <f t="shared" si="67"/>
        <v>40006.08</v>
      </c>
      <c r="AL1655" s="70"/>
      <c r="AM1655" s="70"/>
      <c r="AN1655" s="71"/>
      <c r="AO1655" s="71"/>
      <c r="AP1655" s="71"/>
      <c r="AQ1655" s="71"/>
      <c r="AR1655" s="71"/>
      <c r="AS1655" s="71"/>
      <c r="AT1655" s="71"/>
      <c r="AU1655" s="71"/>
      <c r="AV1655" s="71"/>
      <c r="AW1655" s="71"/>
      <c r="AX1655" s="71"/>
      <c r="AY1655" s="71"/>
      <c r="AZ1655" s="71"/>
      <c r="BA1655" s="71"/>
      <c r="BB1655" s="71"/>
      <c r="BC1655" s="71"/>
      <c r="BD1655" s="71"/>
      <c r="BE1655" s="71"/>
      <c r="BF1655" s="71"/>
      <c r="BG1655" s="71"/>
      <c r="BH1655" s="71"/>
      <c r="BI1655" s="71"/>
      <c r="BJ1655" s="71"/>
      <c r="BK1655" s="71"/>
      <c r="BL1655" s="71"/>
      <c r="BM1655" s="71"/>
      <c r="BN1655" s="71"/>
      <c r="BO1655" s="71"/>
      <c r="BP1655" s="71"/>
      <c r="BQ1655" s="71"/>
      <c r="BR1655" s="71"/>
      <c r="BS1655" s="71"/>
      <c r="BT1655" s="71"/>
      <c r="BU1655" s="71"/>
      <c r="BV1655" s="71"/>
    </row>
    <row r="1656">
      <c r="A1656" s="53"/>
      <c r="B1656" s="53">
        <v>3.0</v>
      </c>
      <c r="C1656" s="53" t="s">
        <v>36</v>
      </c>
      <c r="D1656" s="98" t="s">
        <v>4117</v>
      </c>
      <c r="E1656" s="54" t="s">
        <v>38</v>
      </c>
      <c r="F1656" s="55" t="s">
        <v>4105</v>
      </c>
      <c r="G1656" s="55" t="s">
        <v>4118</v>
      </c>
      <c r="H1656" s="55"/>
      <c r="I1656" s="54">
        <f t="shared" si="24"/>
        <v>0</v>
      </c>
      <c r="J1656" s="56"/>
      <c r="K1656" s="57"/>
      <c r="L1656" s="76"/>
      <c r="M1656" s="59"/>
      <c r="N1656" s="60"/>
      <c r="O1656" s="61">
        <v>31237.0</v>
      </c>
      <c r="P1656" s="62">
        <v>33735.96</v>
      </c>
      <c r="Q1656" s="63">
        <v>33735.96</v>
      </c>
      <c r="R1656" s="64">
        <v>37195.0</v>
      </c>
      <c r="S1656" s="107">
        <v>39055.0</v>
      </c>
      <c r="T1656" s="65">
        <f t="shared" si="39"/>
        <v>6248.8</v>
      </c>
      <c r="U1656" s="65">
        <f t="shared" si="40"/>
        <v>45303.8</v>
      </c>
      <c r="V1656" s="66">
        <f t="shared" si="68"/>
        <v>0.05000672133</v>
      </c>
      <c r="W1656" s="67">
        <f t="shared" si="5"/>
        <v>37102.25</v>
      </c>
      <c r="X1656" s="67">
        <f t="shared" si="61"/>
        <v>5936.36</v>
      </c>
      <c r="Y1656" s="67">
        <f t="shared" si="62"/>
        <v>43038.61</v>
      </c>
      <c r="Z1656" s="67">
        <f t="shared" si="8"/>
        <v>35149.5</v>
      </c>
      <c r="AA1656" s="67">
        <f t="shared" si="54"/>
        <v>5623.92</v>
      </c>
      <c r="AB1656" s="67">
        <f t="shared" si="55"/>
        <v>40773.42</v>
      </c>
      <c r="AC1656" s="67">
        <f t="shared" si="11"/>
        <v>35149.5</v>
      </c>
      <c r="AD1656" s="67">
        <f t="shared" si="56"/>
        <v>5623.92</v>
      </c>
      <c r="AE1656" s="67">
        <f t="shared" si="57"/>
        <v>40773.42</v>
      </c>
      <c r="AF1656" s="67">
        <f t="shared" si="33"/>
        <v>35149.5</v>
      </c>
      <c r="AG1656" s="67">
        <f t="shared" si="58"/>
        <v>5623.92</v>
      </c>
      <c r="AH1656" s="67">
        <f t="shared" si="59"/>
        <v>40773.42</v>
      </c>
      <c r="AI1656" s="67">
        <f t="shared" si="17"/>
        <v>35149.5</v>
      </c>
      <c r="AJ1656" s="68">
        <f t="shared" si="66"/>
        <v>5623.92</v>
      </c>
      <c r="AK1656" s="68">
        <f t="shared" si="67"/>
        <v>40773.42</v>
      </c>
      <c r="AL1656" s="70"/>
      <c r="AM1656" s="70"/>
      <c r="AN1656" s="71"/>
      <c r="AO1656" s="71"/>
      <c r="AP1656" s="71"/>
      <c r="AQ1656" s="71"/>
      <c r="AR1656" s="71"/>
      <c r="AS1656" s="71"/>
      <c r="AT1656" s="71"/>
      <c r="AU1656" s="71"/>
      <c r="AV1656" s="71"/>
      <c r="AW1656" s="71"/>
      <c r="AX1656" s="71"/>
      <c r="AY1656" s="71"/>
      <c r="AZ1656" s="71"/>
      <c r="BA1656" s="71"/>
      <c r="BB1656" s="71"/>
      <c r="BC1656" s="71"/>
      <c r="BD1656" s="71"/>
      <c r="BE1656" s="71"/>
      <c r="BF1656" s="71"/>
      <c r="BG1656" s="71"/>
      <c r="BH1656" s="71"/>
      <c r="BI1656" s="71"/>
      <c r="BJ1656" s="71"/>
      <c r="BK1656" s="71"/>
      <c r="BL1656" s="71"/>
      <c r="BM1656" s="71"/>
      <c r="BN1656" s="71"/>
      <c r="BO1656" s="71"/>
      <c r="BP1656" s="71"/>
      <c r="BQ1656" s="71"/>
      <c r="BR1656" s="71"/>
      <c r="BS1656" s="71"/>
      <c r="BT1656" s="71"/>
      <c r="BU1656" s="71"/>
      <c r="BV1656" s="71"/>
    </row>
    <row r="1657">
      <c r="A1657" s="53"/>
      <c r="B1657" s="53">
        <v>3.0</v>
      </c>
      <c r="C1657" s="53" t="s">
        <v>36</v>
      </c>
      <c r="D1657" s="98" t="s">
        <v>4119</v>
      </c>
      <c r="E1657" s="54" t="s">
        <v>38</v>
      </c>
      <c r="F1657" s="55" t="s">
        <v>4105</v>
      </c>
      <c r="G1657" s="55" t="s">
        <v>4120</v>
      </c>
      <c r="H1657" s="55"/>
      <c r="I1657" s="54">
        <f t="shared" si="24"/>
        <v>0</v>
      </c>
      <c r="J1657" s="56"/>
      <c r="K1657" s="57"/>
      <c r="L1657" s="76"/>
      <c r="M1657" s="59"/>
      <c r="N1657" s="60"/>
      <c r="O1657" s="61">
        <v>26336.0</v>
      </c>
      <c r="P1657" s="62">
        <v>28442.88</v>
      </c>
      <c r="Q1657" s="63">
        <v>28442.88</v>
      </c>
      <c r="R1657" s="64">
        <v>31359.0</v>
      </c>
      <c r="S1657" s="107">
        <v>32927.0</v>
      </c>
      <c r="T1657" s="65">
        <f t="shared" si="39"/>
        <v>5268.32</v>
      </c>
      <c r="U1657" s="65">
        <f t="shared" si="40"/>
        <v>38195.32</v>
      </c>
      <c r="V1657" s="66">
        <f t="shared" si="68"/>
        <v>0.05000159444</v>
      </c>
      <c r="W1657" s="67">
        <f t="shared" si="5"/>
        <v>31280.65</v>
      </c>
      <c r="X1657" s="67">
        <f t="shared" si="61"/>
        <v>5004.904</v>
      </c>
      <c r="Y1657" s="67">
        <f t="shared" si="62"/>
        <v>36285.554</v>
      </c>
      <c r="Z1657" s="67">
        <f t="shared" si="8"/>
        <v>29634.3</v>
      </c>
      <c r="AA1657" s="67">
        <f t="shared" si="54"/>
        <v>4741.488</v>
      </c>
      <c r="AB1657" s="67">
        <f t="shared" si="55"/>
        <v>34375.788</v>
      </c>
      <c r="AC1657" s="67">
        <f t="shared" si="11"/>
        <v>29634.3</v>
      </c>
      <c r="AD1657" s="67">
        <f t="shared" si="56"/>
        <v>4741.488</v>
      </c>
      <c r="AE1657" s="67">
        <f t="shared" si="57"/>
        <v>34375.788</v>
      </c>
      <c r="AF1657" s="67">
        <f t="shared" si="33"/>
        <v>29634.3</v>
      </c>
      <c r="AG1657" s="67">
        <f t="shared" si="58"/>
        <v>4741.488</v>
      </c>
      <c r="AH1657" s="67">
        <f t="shared" si="59"/>
        <v>34375.788</v>
      </c>
      <c r="AI1657" s="67">
        <f t="shared" si="17"/>
        <v>29634.3</v>
      </c>
      <c r="AJ1657" s="68">
        <f t="shared" si="66"/>
        <v>4741.488</v>
      </c>
      <c r="AK1657" s="68">
        <f t="shared" si="67"/>
        <v>34375.788</v>
      </c>
      <c r="AL1657" s="70"/>
      <c r="AM1657" s="70"/>
      <c r="AN1657" s="71"/>
      <c r="AO1657" s="71"/>
      <c r="AP1657" s="71"/>
      <c r="AQ1657" s="71"/>
      <c r="AR1657" s="71"/>
      <c r="AS1657" s="71"/>
      <c r="AT1657" s="71"/>
      <c r="AU1657" s="71"/>
      <c r="AV1657" s="71"/>
      <c r="AW1657" s="71"/>
      <c r="AX1657" s="71"/>
      <c r="AY1657" s="71"/>
      <c r="AZ1657" s="71"/>
      <c r="BA1657" s="71"/>
      <c r="BB1657" s="71"/>
      <c r="BC1657" s="71"/>
      <c r="BD1657" s="71"/>
      <c r="BE1657" s="71"/>
      <c r="BF1657" s="71"/>
      <c r="BG1657" s="71"/>
      <c r="BH1657" s="71"/>
      <c r="BI1657" s="71"/>
      <c r="BJ1657" s="71"/>
      <c r="BK1657" s="71"/>
      <c r="BL1657" s="71"/>
      <c r="BM1657" s="71"/>
      <c r="BN1657" s="71"/>
      <c r="BO1657" s="71"/>
      <c r="BP1657" s="71"/>
      <c r="BQ1657" s="71"/>
      <c r="BR1657" s="71"/>
      <c r="BS1657" s="71"/>
      <c r="BT1657" s="71"/>
      <c r="BU1657" s="71"/>
      <c r="BV1657" s="71"/>
    </row>
    <row r="1658">
      <c r="A1658" s="53"/>
      <c r="B1658" s="53">
        <v>3.0</v>
      </c>
      <c r="C1658" s="53" t="s">
        <v>36</v>
      </c>
      <c r="D1658" s="98" t="s">
        <v>4121</v>
      </c>
      <c r="E1658" s="54" t="s">
        <v>38</v>
      </c>
      <c r="F1658" s="55" t="s">
        <v>4105</v>
      </c>
      <c r="G1658" s="55" t="s">
        <v>4122</v>
      </c>
      <c r="H1658" s="55"/>
      <c r="I1658" s="54">
        <f t="shared" si="24"/>
        <v>0</v>
      </c>
      <c r="J1658" s="56"/>
      <c r="K1658" s="57"/>
      <c r="L1658" s="76"/>
      <c r="M1658" s="59"/>
      <c r="N1658" s="60"/>
      <c r="O1658" s="61">
        <v>15134.0</v>
      </c>
      <c r="P1658" s="62">
        <v>16344.720000000001</v>
      </c>
      <c r="Q1658" s="63">
        <v>16344.720000000001</v>
      </c>
      <c r="R1658" s="64">
        <v>18021.0</v>
      </c>
      <c r="S1658" s="107">
        <v>18922.0</v>
      </c>
      <c r="T1658" s="65">
        <f t="shared" si="39"/>
        <v>3027.52</v>
      </c>
      <c r="U1658" s="65">
        <f t="shared" si="40"/>
        <v>21949.52</v>
      </c>
      <c r="V1658" s="66">
        <f t="shared" si="68"/>
        <v>0.04999722546</v>
      </c>
      <c r="W1658" s="67">
        <f t="shared" si="5"/>
        <v>17975.9</v>
      </c>
      <c r="X1658" s="67">
        <f t="shared" si="61"/>
        <v>2876.144</v>
      </c>
      <c r="Y1658" s="67">
        <f t="shared" si="62"/>
        <v>20852.044</v>
      </c>
      <c r="Z1658" s="67">
        <f t="shared" si="8"/>
        <v>17029.8</v>
      </c>
      <c r="AA1658" s="67">
        <f t="shared" si="54"/>
        <v>2724.768</v>
      </c>
      <c r="AB1658" s="67">
        <f t="shared" si="55"/>
        <v>19754.568</v>
      </c>
      <c r="AC1658" s="67">
        <f t="shared" si="11"/>
        <v>17029.8</v>
      </c>
      <c r="AD1658" s="67">
        <f t="shared" si="56"/>
        <v>2724.768</v>
      </c>
      <c r="AE1658" s="67">
        <f t="shared" si="57"/>
        <v>19754.568</v>
      </c>
      <c r="AF1658" s="67">
        <f t="shared" si="33"/>
        <v>17029.8</v>
      </c>
      <c r="AG1658" s="67">
        <f t="shared" si="58"/>
        <v>2724.768</v>
      </c>
      <c r="AH1658" s="67">
        <f t="shared" si="59"/>
        <v>19754.568</v>
      </c>
      <c r="AI1658" s="67">
        <f t="shared" si="17"/>
        <v>17029.8</v>
      </c>
      <c r="AJ1658" s="68">
        <f t="shared" si="66"/>
        <v>2724.768</v>
      </c>
      <c r="AK1658" s="68">
        <f t="shared" si="67"/>
        <v>19754.568</v>
      </c>
      <c r="AL1658" s="70"/>
      <c r="AM1658" s="70"/>
      <c r="AN1658" s="71"/>
      <c r="AO1658" s="71"/>
      <c r="AP1658" s="71"/>
      <c r="AQ1658" s="71"/>
      <c r="AR1658" s="71"/>
      <c r="AS1658" s="71"/>
      <c r="AT1658" s="71"/>
      <c r="AU1658" s="71"/>
      <c r="AV1658" s="71"/>
      <c r="AW1658" s="71"/>
      <c r="AX1658" s="71"/>
      <c r="AY1658" s="71"/>
      <c r="AZ1658" s="71"/>
      <c r="BA1658" s="71"/>
      <c r="BB1658" s="71"/>
      <c r="BC1658" s="71"/>
      <c r="BD1658" s="71"/>
      <c r="BE1658" s="71"/>
      <c r="BF1658" s="71"/>
      <c r="BG1658" s="71"/>
      <c r="BH1658" s="71"/>
      <c r="BI1658" s="71"/>
      <c r="BJ1658" s="71"/>
      <c r="BK1658" s="71"/>
      <c r="BL1658" s="71"/>
      <c r="BM1658" s="71"/>
      <c r="BN1658" s="71"/>
      <c r="BO1658" s="71"/>
      <c r="BP1658" s="71"/>
      <c r="BQ1658" s="71"/>
      <c r="BR1658" s="71"/>
      <c r="BS1658" s="71"/>
      <c r="BT1658" s="71"/>
      <c r="BU1658" s="71"/>
      <c r="BV1658" s="71"/>
    </row>
    <row r="1659">
      <c r="A1659" s="53"/>
      <c r="B1659" s="53">
        <v>3.0</v>
      </c>
      <c r="C1659" s="53" t="s">
        <v>36</v>
      </c>
      <c r="D1659" s="98" t="s">
        <v>4123</v>
      </c>
      <c r="E1659" s="54" t="s">
        <v>38</v>
      </c>
      <c r="F1659" s="55" t="s">
        <v>4105</v>
      </c>
      <c r="G1659" s="55" t="s">
        <v>4124</v>
      </c>
      <c r="H1659" s="55"/>
      <c r="I1659" s="54">
        <f t="shared" si="24"/>
        <v>0</v>
      </c>
      <c r="J1659" s="56"/>
      <c r="K1659" s="57"/>
      <c r="L1659" s="76"/>
      <c r="M1659" s="59"/>
      <c r="N1659" s="60"/>
      <c r="O1659" s="61">
        <v>10829.0</v>
      </c>
      <c r="P1659" s="62">
        <v>11695.320000000002</v>
      </c>
      <c r="Q1659" s="63">
        <v>11695.320000000002</v>
      </c>
      <c r="R1659" s="64">
        <v>12894.0</v>
      </c>
      <c r="S1659" s="107">
        <v>13539.0</v>
      </c>
      <c r="T1659" s="65">
        <f t="shared" si="39"/>
        <v>2166.24</v>
      </c>
      <c r="U1659" s="65">
        <f t="shared" si="40"/>
        <v>15705.24</v>
      </c>
      <c r="V1659" s="66">
        <f t="shared" si="68"/>
        <v>0.05002326664</v>
      </c>
      <c r="W1659" s="67">
        <f t="shared" si="5"/>
        <v>12862.05</v>
      </c>
      <c r="X1659" s="67">
        <f t="shared" si="61"/>
        <v>2057.928</v>
      </c>
      <c r="Y1659" s="67">
        <f t="shared" si="62"/>
        <v>14919.978</v>
      </c>
      <c r="Z1659" s="67">
        <f t="shared" si="8"/>
        <v>12185.1</v>
      </c>
      <c r="AA1659" s="67">
        <f t="shared" si="54"/>
        <v>1949.616</v>
      </c>
      <c r="AB1659" s="67">
        <f t="shared" si="55"/>
        <v>14134.716</v>
      </c>
      <c r="AC1659" s="67">
        <f t="shared" si="11"/>
        <v>12185.1</v>
      </c>
      <c r="AD1659" s="67">
        <f t="shared" si="56"/>
        <v>1949.616</v>
      </c>
      <c r="AE1659" s="67">
        <f t="shared" si="57"/>
        <v>14134.716</v>
      </c>
      <c r="AF1659" s="67">
        <f t="shared" si="33"/>
        <v>12185.1</v>
      </c>
      <c r="AG1659" s="67">
        <f t="shared" si="58"/>
        <v>1949.616</v>
      </c>
      <c r="AH1659" s="67">
        <f t="shared" si="59"/>
        <v>14134.716</v>
      </c>
      <c r="AI1659" s="67">
        <f t="shared" si="17"/>
        <v>12185.1</v>
      </c>
      <c r="AJ1659" s="68">
        <f t="shared" si="66"/>
        <v>1949.616</v>
      </c>
      <c r="AK1659" s="68">
        <f t="shared" si="67"/>
        <v>14134.716</v>
      </c>
      <c r="AL1659" s="70"/>
      <c r="AM1659" s="70"/>
      <c r="AN1659" s="71"/>
      <c r="AO1659" s="71"/>
      <c r="AP1659" s="71"/>
      <c r="AQ1659" s="71"/>
      <c r="AR1659" s="71"/>
      <c r="AS1659" s="71"/>
      <c r="AT1659" s="71"/>
      <c r="AU1659" s="71"/>
      <c r="AV1659" s="71"/>
      <c r="AW1659" s="71"/>
      <c r="AX1659" s="71"/>
      <c r="AY1659" s="71"/>
      <c r="AZ1659" s="71"/>
      <c r="BA1659" s="71"/>
      <c r="BB1659" s="71"/>
      <c r="BC1659" s="71"/>
      <c r="BD1659" s="71"/>
      <c r="BE1659" s="71"/>
      <c r="BF1659" s="71"/>
      <c r="BG1659" s="71"/>
      <c r="BH1659" s="71"/>
      <c r="BI1659" s="71"/>
      <c r="BJ1659" s="71"/>
      <c r="BK1659" s="71"/>
      <c r="BL1659" s="71"/>
      <c r="BM1659" s="71"/>
      <c r="BN1659" s="71"/>
      <c r="BO1659" s="71"/>
      <c r="BP1659" s="71"/>
      <c r="BQ1659" s="71"/>
      <c r="BR1659" s="71"/>
      <c r="BS1659" s="71"/>
      <c r="BT1659" s="71"/>
      <c r="BU1659" s="71"/>
      <c r="BV1659" s="71"/>
    </row>
    <row r="1660">
      <c r="A1660" s="53"/>
      <c r="B1660" s="53">
        <v>3.0</v>
      </c>
      <c r="C1660" s="53" t="s">
        <v>36</v>
      </c>
      <c r="D1660" s="98" t="s">
        <v>4125</v>
      </c>
      <c r="E1660" s="54" t="s">
        <v>38</v>
      </c>
      <c r="F1660" s="55" t="s">
        <v>4105</v>
      </c>
      <c r="G1660" s="55" t="s">
        <v>4126</v>
      </c>
      <c r="H1660" s="55"/>
      <c r="I1660" s="54">
        <f t="shared" si="24"/>
        <v>0</v>
      </c>
      <c r="J1660" s="56"/>
      <c r="K1660" s="57"/>
      <c r="L1660" s="76"/>
      <c r="M1660" s="59"/>
      <c r="N1660" s="60"/>
      <c r="O1660" s="61">
        <v>10415.0</v>
      </c>
      <c r="P1660" s="62">
        <v>11248.2</v>
      </c>
      <c r="Q1660" s="63">
        <v>11248.2</v>
      </c>
      <c r="R1660" s="64">
        <v>12401.0</v>
      </c>
      <c r="S1660" s="107">
        <v>13021.0</v>
      </c>
      <c r="T1660" s="65">
        <f t="shared" si="39"/>
        <v>2083.36</v>
      </c>
      <c r="U1660" s="65">
        <f t="shared" si="40"/>
        <v>15104.36</v>
      </c>
      <c r="V1660" s="66">
        <f t="shared" si="68"/>
        <v>0.04999596807</v>
      </c>
      <c r="W1660" s="67">
        <f t="shared" si="5"/>
        <v>12369.95</v>
      </c>
      <c r="X1660" s="67">
        <f t="shared" si="61"/>
        <v>1979.192</v>
      </c>
      <c r="Y1660" s="67">
        <f t="shared" si="62"/>
        <v>14349.142</v>
      </c>
      <c r="Z1660" s="67">
        <f t="shared" si="8"/>
        <v>11718.9</v>
      </c>
      <c r="AA1660" s="67">
        <f t="shared" si="54"/>
        <v>1875.024</v>
      </c>
      <c r="AB1660" s="67">
        <f t="shared" si="55"/>
        <v>13593.924</v>
      </c>
      <c r="AC1660" s="67">
        <f t="shared" si="11"/>
        <v>11718.9</v>
      </c>
      <c r="AD1660" s="67">
        <f t="shared" si="56"/>
        <v>1875.024</v>
      </c>
      <c r="AE1660" s="67">
        <f t="shared" si="57"/>
        <v>13593.924</v>
      </c>
      <c r="AF1660" s="67">
        <f t="shared" si="33"/>
        <v>11718.9</v>
      </c>
      <c r="AG1660" s="67">
        <f t="shared" si="58"/>
        <v>1875.024</v>
      </c>
      <c r="AH1660" s="67">
        <f t="shared" si="59"/>
        <v>13593.924</v>
      </c>
      <c r="AI1660" s="67">
        <f t="shared" si="17"/>
        <v>11718.9</v>
      </c>
      <c r="AJ1660" s="68">
        <f t="shared" si="66"/>
        <v>1875.024</v>
      </c>
      <c r="AK1660" s="68">
        <f t="shared" si="67"/>
        <v>13593.924</v>
      </c>
      <c r="AL1660" s="70"/>
      <c r="AM1660" s="70"/>
      <c r="AN1660" s="71"/>
      <c r="AO1660" s="71"/>
      <c r="AP1660" s="71"/>
      <c r="AQ1660" s="71"/>
      <c r="AR1660" s="71"/>
      <c r="AS1660" s="71"/>
      <c r="AT1660" s="71"/>
      <c r="AU1660" s="71"/>
      <c r="AV1660" s="71"/>
      <c r="AW1660" s="71"/>
      <c r="AX1660" s="71"/>
      <c r="AY1660" s="71"/>
      <c r="AZ1660" s="71"/>
      <c r="BA1660" s="71"/>
      <c r="BB1660" s="71"/>
      <c r="BC1660" s="71"/>
      <c r="BD1660" s="71"/>
      <c r="BE1660" s="71"/>
      <c r="BF1660" s="71"/>
      <c r="BG1660" s="71"/>
      <c r="BH1660" s="71"/>
      <c r="BI1660" s="71"/>
      <c r="BJ1660" s="71"/>
      <c r="BK1660" s="71"/>
      <c r="BL1660" s="71"/>
      <c r="BM1660" s="71"/>
      <c r="BN1660" s="71"/>
      <c r="BO1660" s="71"/>
      <c r="BP1660" s="71"/>
      <c r="BQ1660" s="71"/>
      <c r="BR1660" s="71"/>
      <c r="BS1660" s="71"/>
      <c r="BT1660" s="71"/>
      <c r="BU1660" s="71"/>
      <c r="BV1660" s="71"/>
    </row>
    <row r="1661">
      <c r="A1661" s="53"/>
      <c r="B1661" s="53">
        <v>3.0</v>
      </c>
      <c r="C1661" s="53" t="s">
        <v>36</v>
      </c>
      <c r="D1661" s="85" t="s">
        <v>4127</v>
      </c>
      <c r="E1661" s="54" t="s">
        <v>38</v>
      </c>
      <c r="F1661" s="55" t="s">
        <v>4105</v>
      </c>
      <c r="G1661" s="55" t="s">
        <v>4128</v>
      </c>
      <c r="H1661" s="55" t="s">
        <v>4129</v>
      </c>
      <c r="I1661" s="54">
        <f t="shared" si="24"/>
        <v>34</v>
      </c>
      <c r="J1661" s="56"/>
      <c r="K1661" s="57"/>
      <c r="L1661" s="76"/>
      <c r="M1661" s="59"/>
      <c r="N1661" s="60"/>
      <c r="O1661" s="61">
        <v>0.0</v>
      </c>
      <c r="P1661" s="62">
        <v>0.0</v>
      </c>
      <c r="Q1661" s="63">
        <v>0.0</v>
      </c>
      <c r="R1661" s="64">
        <v>0.0</v>
      </c>
      <c r="S1661" s="107">
        <v>0.0</v>
      </c>
      <c r="T1661" s="65">
        <f t="shared" si="39"/>
        <v>0</v>
      </c>
      <c r="U1661" s="65">
        <f t="shared" si="40"/>
        <v>0</v>
      </c>
      <c r="V1661" s="66" t="str">
        <f t="shared" si="68"/>
        <v>#DIV/0!</v>
      </c>
      <c r="W1661" s="67">
        <f t="shared" si="5"/>
        <v>0</v>
      </c>
      <c r="X1661" s="67">
        <f t="shared" si="61"/>
        <v>0</v>
      </c>
      <c r="Y1661" s="67">
        <f t="shared" si="62"/>
        <v>0</v>
      </c>
      <c r="Z1661" s="67">
        <f t="shared" si="8"/>
        <v>0</v>
      </c>
      <c r="AA1661" s="67">
        <f t="shared" si="54"/>
        <v>0</v>
      </c>
      <c r="AB1661" s="67">
        <f t="shared" si="55"/>
        <v>0</v>
      </c>
      <c r="AC1661" s="67">
        <f t="shared" si="11"/>
        <v>0</v>
      </c>
      <c r="AD1661" s="67">
        <f t="shared" si="56"/>
        <v>0</v>
      </c>
      <c r="AE1661" s="67">
        <f t="shared" si="57"/>
        <v>0</v>
      </c>
      <c r="AF1661" s="67">
        <f t="shared" si="33"/>
        <v>0</v>
      </c>
      <c r="AG1661" s="67">
        <f t="shared" si="58"/>
        <v>0</v>
      </c>
      <c r="AH1661" s="67">
        <f t="shared" si="59"/>
        <v>0</v>
      </c>
      <c r="AI1661" s="67">
        <f t="shared" si="17"/>
        <v>0</v>
      </c>
      <c r="AJ1661" s="68">
        <f t="shared" si="66"/>
        <v>0</v>
      </c>
      <c r="AK1661" s="68">
        <f t="shared" si="67"/>
        <v>0</v>
      </c>
      <c r="AL1661" s="70"/>
      <c r="AM1661" s="70"/>
      <c r="AN1661" s="71"/>
      <c r="AO1661" s="71"/>
      <c r="AP1661" s="71"/>
      <c r="AQ1661" s="71"/>
      <c r="AR1661" s="71"/>
      <c r="AS1661" s="71"/>
      <c r="AT1661" s="71"/>
      <c r="AU1661" s="71"/>
      <c r="AV1661" s="71"/>
      <c r="AW1661" s="71"/>
      <c r="AX1661" s="71"/>
      <c r="AY1661" s="71"/>
      <c r="AZ1661" s="71"/>
      <c r="BA1661" s="71"/>
      <c r="BB1661" s="71"/>
      <c r="BC1661" s="71"/>
      <c r="BD1661" s="71"/>
      <c r="BE1661" s="71"/>
      <c r="BF1661" s="71"/>
      <c r="BG1661" s="71"/>
      <c r="BH1661" s="71"/>
      <c r="BI1661" s="71"/>
      <c r="BJ1661" s="71"/>
      <c r="BK1661" s="71"/>
      <c r="BL1661" s="71"/>
      <c r="BM1661" s="71"/>
      <c r="BN1661" s="71"/>
      <c r="BO1661" s="71"/>
      <c r="BP1661" s="71"/>
      <c r="BQ1661" s="71"/>
      <c r="BR1661" s="71"/>
      <c r="BS1661" s="71"/>
      <c r="BT1661" s="71"/>
      <c r="BU1661" s="71"/>
      <c r="BV1661" s="71"/>
    </row>
    <row r="1662">
      <c r="A1662" s="53"/>
      <c r="B1662" s="53">
        <v>3.0</v>
      </c>
      <c r="C1662" s="53" t="s">
        <v>53</v>
      </c>
      <c r="D1662" s="53" t="s">
        <v>4130</v>
      </c>
      <c r="E1662" s="54" t="s">
        <v>38</v>
      </c>
      <c r="F1662" s="54" t="s">
        <v>4105</v>
      </c>
      <c r="G1662" s="55" t="s">
        <v>4131</v>
      </c>
      <c r="H1662" s="54" t="s">
        <v>4132</v>
      </c>
      <c r="I1662" s="54">
        <f t="shared" si="24"/>
        <v>40</v>
      </c>
      <c r="J1662" s="56"/>
      <c r="K1662" s="57"/>
      <c r="L1662" s="76"/>
      <c r="M1662" s="59"/>
      <c r="N1662" s="60"/>
      <c r="O1662" s="90"/>
      <c r="P1662" s="62">
        <v>181237.0</v>
      </c>
      <c r="Q1662" s="63">
        <v>181237.0</v>
      </c>
      <c r="R1662" s="64">
        <v>199814.0</v>
      </c>
      <c r="S1662" s="111">
        <v>209805.0</v>
      </c>
      <c r="T1662" s="65">
        <f t="shared" si="39"/>
        <v>33568.8</v>
      </c>
      <c r="U1662" s="65">
        <f t="shared" si="40"/>
        <v>243373.8</v>
      </c>
      <c r="V1662" s="66">
        <f t="shared" si="68"/>
        <v>0.0500015014</v>
      </c>
      <c r="W1662" s="67">
        <f t="shared" si="5"/>
        <v>199314.75</v>
      </c>
      <c r="X1662" s="67">
        <f t="shared" si="61"/>
        <v>31890.36</v>
      </c>
      <c r="Y1662" s="67">
        <f t="shared" si="62"/>
        <v>231205.11</v>
      </c>
      <c r="Z1662" s="67">
        <f t="shared" si="8"/>
        <v>188824.5</v>
      </c>
      <c r="AA1662" s="67">
        <f t="shared" si="54"/>
        <v>30211.92</v>
      </c>
      <c r="AB1662" s="67">
        <f t="shared" si="55"/>
        <v>219036.42</v>
      </c>
      <c r="AC1662" s="67">
        <f t="shared" si="11"/>
        <v>188824.5</v>
      </c>
      <c r="AD1662" s="67">
        <f t="shared" si="56"/>
        <v>30211.92</v>
      </c>
      <c r="AE1662" s="67">
        <f t="shared" si="57"/>
        <v>219036.42</v>
      </c>
      <c r="AF1662" s="67">
        <f t="shared" si="33"/>
        <v>188824.5</v>
      </c>
      <c r="AG1662" s="67">
        <f t="shared" si="58"/>
        <v>30211.92</v>
      </c>
      <c r="AH1662" s="67">
        <f t="shared" si="59"/>
        <v>219036.42</v>
      </c>
      <c r="AI1662" s="67">
        <f t="shared" si="17"/>
        <v>188824.5</v>
      </c>
      <c r="AJ1662" s="68">
        <f t="shared" si="66"/>
        <v>30211.92</v>
      </c>
      <c r="AK1662" s="68">
        <f t="shared" si="67"/>
        <v>219036.42</v>
      </c>
      <c r="AL1662" s="70"/>
      <c r="AM1662" s="70"/>
      <c r="AN1662" s="71"/>
      <c r="AO1662" s="71"/>
      <c r="AP1662" s="71"/>
      <c r="AQ1662" s="71"/>
      <c r="AR1662" s="71"/>
      <c r="AS1662" s="71"/>
      <c r="AT1662" s="71"/>
      <c r="AU1662" s="71"/>
      <c r="AV1662" s="71"/>
      <c r="AW1662" s="71"/>
      <c r="AX1662" s="71"/>
      <c r="AY1662" s="71"/>
      <c r="AZ1662" s="71"/>
      <c r="BA1662" s="71"/>
      <c r="BB1662" s="71"/>
      <c r="BC1662" s="71"/>
      <c r="BD1662" s="71"/>
      <c r="BE1662" s="71"/>
      <c r="BF1662" s="71"/>
      <c r="BG1662" s="71"/>
      <c r="BH1662" s="71"/>
      <c r="BI1662" s="71"/>
      <c r="BJ1662" s="71"/>
      <c r="BK1662" s="71"/>
      <c r="BL1662" s="71"/>
      <c r="BM1662" s="71"/>
      <c r="BN1662" s="71"/>
      <c r="BO1662" s="71"/>
      <c r="BP1662" s="71"/>
      <c r="BQ1662" s="71"/>
      <c r="BR1662" s="71"/>
      <c r="BS1662" s="71"/>
      <c r="BT1662" s="71"/>
      <c r="BU1662" s="71"/>
      <c r="BV1662" s="71"/>
    </row>
    <row r="1663">
      <c r="A1663" s="53"/>
      <c r="B1663" s="53">
        <v>3.0</v>
      </c>
      <c r="C1663" s="53" t="s">
        <v>53</v>
      </c>
      <c r="D1663" s="53" t="s">
        <v>4133</v>
      </c>
      <c r="E1663" s="54" t="s">
        <v>38</v>
      </c>
      <c r="F1663" s="54" t="s">
        <v>4105</v>
      </c>
      <c r="G1663" s="55" t="s">
        <v>4134</v>
      </c>
      <c r="H1663" s="54" t="s">
        <v>4135</v>
      </c>
      <c r="I1663" s="54">
        <f t="shared" si="24"/>
        <v>40</v>
      </c>
      <c r="J1663" s="56"/>
      <c r="K1663" s="57"/>
      <c r="L1663" s="76"/>
      <c r="M1663" s="59"/>
      <c r="N1663" s="60"/>
      <c r="O1663" s="90"/>
      <c r="P1663" s="62">
        <v>204686.0</v>
      </c>
      <c r="Q1663" s="63">
        <v>204686.0</v>
      </c>
      <c r="R1663" s="64">
        <v>225666.0</v>
      </c>
      <c r="S1663" s="111">
        <v>236949.0</v>
      </c>
      <c r="T1663" s="65">
        <f t="shared" si="39"/>
        <v>37911.84</v>
      </c>
      <c r="U1663" s="65">
        <f t="shared" si="40"/>
        <v>274860.84</v>
      </c>
      <c r="V1663" s="66">
        <f t="shared" si="68"/>
        <v>0.0499986706</v>
      </c>
      <c r="W1663" s="67">
        <f t="shared" si="5"/>
        <v>225101.55</v>
      </c>
      <c r="X1663" s="67">
        <f t="shared" si="61"/>
        <v>36016.248</v>
      </c>
      <c r="Y1663" s="67">
        <f t="shared" si="62"/>
        <v>261117.798</v>
      </c>
      <c r="Z1663" s="67">
        <f t="shared" si="8"/>
        <v>213254.1</v>
      </c>
      <c r="AA1663" s="67">
        <f t="shared" si="54"/>
        <v>34120.656</v>
      </c>
      <c r="AB1663" s="67">
        <f t="shared" si="55"/>
        <v>247374.756</v>
      </c>
      <c r="AC1663" s="67">
        <f t="shared" si="11"/>
        <v>213254.1</v>
      </c>
      <c r="AD1663" s="67">
        <f t="shared" si="56"/>
        <v>34120.656</v>
      </c>
      <c r="AE1663" s="67">
        <f t="shared" si="57"/>
        <v>247374.756</v>
      </c>
      <c r="AF1663" s="67">
        <f t="shared" si="33"/>
        <v>213254.1</v>
      </c>
      <c r="AG1663" s="67">
        <f t="shared" si="58"/>
        <v>34120.656</v>
      </c>
      <c r="AH1663" s="67">
        <f t="shared" si="59"/>
        <v>247374.756</v>
      </c>
      <c r="AI1663" s="67">
        <f t="shared" si="17"/>
        <v>213254.1</v>
      </c>
      <c r="AJ1663" s="68">
        <f t="shared" si="66"/>
        <v>34120.656</v>
      </c>
      <c r="AK1663" s="68">
        <f t="shared" si="67"/>
        <v>247374.756</v>
      </c>
      <c r="AL1663" s="70"/>
      <c r="AM1663" s="70"/>
      <c r="AN1663" s="71"/>
      <c r="AO1663" s="71"/>
      <c r="AP1663" s="71"/>
      <c r="AQ1663" s="71"/>
      <c r="AR1663" s="71"/>
      <c r="AS1663" s="71"/>
      <c r="AT1663" s="71"/>
      <c r="AU1663" s="71"/>
      <c r="AV1663" s="71"/>
      <c r="AW1663" s="71"/>
      <c r="AX1663" s="71"/>
      <c r="AY1663" s="71"/>
      <c r="AZ1663" s="71"/>
      <c r="BA1663" s="71"/>
      <c r="BB1663" s="71"/>
      <c r="BC1663" s="71"/>
      <c r="BD1663" s="71"/>
      <c r="BE1663" s="71"/>
      <c r="BF1663" s="71"/>
      <c r="BG1663" s="71"/>
      <c r="BH1663" s="71"/>
      <c r="BI1663" s="71"/>
      <c r="BJ1663" s="71"/>
      <c r="BK1663" s="71"/>
      <c r="BL1663" s="71"/>
      <c r="BM1663" s="71"/>
      <c r="BN1663" s="71"/>
      <c r="BO1663" s="71"/>
      <c r="BP1663" s="71"/>
      <c r="BQ1663" s="71"/>
      <c r="BR1663" s="71"/>
      <c r="BS1663" s="71"/>
      <c r="BT1663" s="71"/>
      <c r="BU1663" s="71"/>
      <c r="BV1663" s="71"/>
    </row>
    <row r="1664">
      <c r="A1664" s="53"/>
      <c r="B1664" s="53">
        <v>3.0</v>
      </c>
      <c r="C1664" s="53" t="s">
        <v>36</v>
      </c>
      <c r="D1664" s="98" t="s">
        <v>4136</v>
      </c>
      <c r="E1664" s="54" t="s">
        <v>38</v>
      </c>
      <c r="F1664" s="55" t="s">
        <v>4105</v>
      </c>
      <c r="G1664" s="55" t="s">
        <v>4137</v>
      </c>
      <c r="H1664" s="55"/>
      <c r="I1664" s="54">
        <f t="shared" si="24"/>
        <v>0</v>
      </c>
      <c r="J1664" s="56"/>
      <c r="K1664" s="57"/>
      <c r="L1664" s="76"/>
      <c r="M1664" s="59"/>
      <c r="N1664" s="60"/>
      <c r="O1664" s="61">
        <v>54063.0</v>
      </c>
      <c r="P1664" s="62">
        <v>58388.04</v>
      </c>
      <c r="Q1664" s="63">
        <v>58388.04</v>
      </c>
      <c r="R1664" s="64">
        <v>64373.0</v>
      </c>
      <c r="S1664" s="107">
        <v>67592.0</v>
      </c>
      <c r="T1664" s="65">
        <f t="shared" si="39"/>
        <v>10814.72</v>
      </c>
      <c r="U1664" s="65">
        <f t="shared" si="40"/>
        <v>78406.72</v>
      </c>
      <c r="V1664" s="66">
        <f t="shared" si="68"/>
        <v>0.05000543706</v>
      </c>
      <c r="W1664" s="67">
        <f t="shared" si="5"/>
        <v>64212.4</v>
      </c>
      <c r="X1664" s="67">
        <f t="shared" si="61"/>
        <v>10273.984</v>
      </c>
      <c r="Y1664" s="67">
        <f t="shared" si="62"/>
        <v>74486.384</v>
      </c>
      <c r="Z1664" s="67">
        <f t="shared" si="8"/>
        <v>60832.8</v>
      </c>
      <c r="AA1664" s="67">
        <f t="shared" si="54"/>
        <v>9733.248</v>
      </c>
      <c r="AB1664" s="67">
        <f t="shared" si="55"/>
        <v>70566.048</v>
      </c>
      <c r="AC1664" s="67">
        <f t="shared" si="11"/>
        <v>60832.8</v>
      </c>
      <c r="AD1664" s="67">
        <f t="shared" si="56"/>
        <v>9733.248</v>
      </c>
      <c r="AE1664" s="67">
        <f t="shared" si="57"/>
        <v>70566.048</v>
      </c>
      <c r="AF1664" s="67">
        <f t="shared" si="33"/>
        <v>60832.8</v>
      </c>
      <c r="AG1664" s="67">
        <f t="shared" si="58"/>
        <v>9733.248</v>
      </c>
      <c r="AH1664" s="67">
        <f t="shared" si="59"/>
        <v>70566.048</v>
      </c>
      <c r="AI1664" s="67">
        <f t="shared" si="17"/>
        <v>60832.8</v>
      </c>
      <c r="AJ1664" s="68">
        <f t="shared" si="66"/>
        <v>9733.248</v>
      </c>
      <c r="AK1664" s="68">
        <f t="shared" si="67"/>
        <v>70566.048</v>
      </c>
      <c r="AL1664" s="70"/>
      <c r="AM1664" s="70"/>
      <c r="AN1664" s="71"/>
      <c r="AO1664" s="71"/>
      <c r="AP1664" s="71"/>
      <c r="AQ1664" s="71"/>
      <c r="AR1664" s="71"/>
      <c r="AS1664" s="71"/>
      <c r="AT1664" s="71"/>
      <c r="AU1664" s="71"/>
      <c r="AV1664" s="71"/>
      <c r="AW1664" s="71"/>
      <c r="AX1664" s="71"/>
      <c r="AY1664" s="71"/>
      <c r="AZ1664" s="71"/>
      <c r="BA1664" s="71"/>
      <c r="BB1664" s="71"/>
      <c r="BC1664" s="71"/>
      <c r="BD1664" s="71"/>
      <c r="BE1664" s="71"/>
      <c r="BF1664" s="71"/>
      <c r="BG1664" s="71"/>
      <c r="BH1664" s="71"/>
      <c r="BI1664" s="71"/>
      <c r="BJ1664" s="71"/>
      <c r="BK1664" s="71"/>
      <c r="BL1664" s="71"/>
      <c r="BM1664" s="71"/>
      <c r="BN1664" s="71"/>
      <c r="BO1664" s="71"/>
      <c r="BP1664" s="71"/>
      <c r="BQ1664" s="71"/>
      <c r="BR1664" s="71"/>
      <c r="BS1664" s="71"/>
      <c r="BT1664" s="71"/>
      <c r="BU1664" s="71"/>
      <c r="BV1664" s="71"/>
    </row>
    <row r="1665">
      <c r="A1665" s="53"/>
      <c r="B1665" s="53">
        <v>3.0</v>
      </c>
      <c r="C1665" s="53" t="s">
        <v>36</v>
      </c>
      <c r="D1665" s="98" t="s">
        <v>4138</v>
      </c>
      <c r="E1665" s="54" t="s">
        <v>38</v>
      </c>
      <c r="F1665" s="55" t="s">
        <v>4105</v>
      </c>
      <c r="G1665" s="55" t="s">
        <v>4139</v>
      </c>
      <c r="H1665" s="55"/>
      <c r="I1665" s="54">
        <f t="shared" si="24"/>
        <v>0</v>
      </c>
      <c r="J1665" s="56"/>
      <c r="K1665" s="57"/>
      <c r="L1665" s="76"/>
      <c r="M1665" s="59"/>
      <c r="N1665" s="60"/>
      <c r="O1665" s="61">
        <v>51298.0</v>
      </c>
      <c r="P1665" s="62">
        <v>55401.840000000004</v>
      </c>
      <c r="Q1665" s="63">
        <v>55401.840000000004</v>
      </c>
      <c r="R1665" s="64">
        <v>61081.0</v>
      </c>
      <c r="S1665" s="107">
        <v>64135.0</v>
      </c>
      <c r="T1665" s="65">
        <f t="shared" si="39"/>
        <v>10261.6</v>
      </c>
      <c r="U1665" s="65">
        <f t="shared" si="40"/>
        <v>74396.6</v>
      </c>
      <c r="V1665" s="66">
        <f t="shared" si="68"/>
        <v>0.04999918141</v>
      </c>
      <c r="W1665" s="67">
        <f t="shared" si="5"/>
        <v>60928.25</v>
      </c>
      <c r="X1665" s="67">
        <f t="shared" si="61"/>
        <v>9748.52</v>
      </c>
      <c r="Y1665" s="67">
        <f t="shared" si="62"/>
        <v>70676.77</v>
      </c>
      <c r="Z1665" s="67">
        <f t="shared" si="8"/>
        <v>57721.5</v>
      </c>
      <c r="AA1665" s="67">
        <f t="shared" si="54"/>
        <v>9235.44</v>
      </c>
      <c r="AB1665" s="67">
        <f t="shared" si="55"/>
        <v>66956.94</v>
      </c>
      <c r="AC1665" s="67">
        <f t="shared" si="11"/>
        <v>57721.5</v>
      </c>
      <c r="AD1665" s="67">
        <f t="shared" si="56"/>
        <v>9235.44</v>
      </c>
      <c r="AE1665" s="67">
        <f t="shared" si="57"/>
        <v>66956.94</v>
      </c>
      <c r="AF1665" s="67">
        <f t="shared" si="33"/>
        <v>57721.5</v>
      </c>
      <c r="AG1665" s="67">
        <f t="shared" si="58"/>
        <v>9235.44</v>
      </c>
      <c r="AH1665" s="67">
        <f t="shared" si="59"/>
        <v>66956.94</v>
      </c>
      <c r="AI1665" s="67">
        <f t="shared" si="17"/>
        <v>57721.5</v>
      </c>
      <c r="AJ1665" s="68">
        <f t="shared" si="66"/>
        <v>9235.44</v>
      </c>
      <c r="AK1665" s="68">
        <f t="shared" si="67"/>
        <v>66956.94</v>
      </c>
      <c r="AL1665" s="70"/>
      <c r="AM1665" s="70"/>
      <c r="AN1665" s="71"/>
      <c r="AO1665" s="71"/>
      <c r="AP1665" s="71"/>
      <c r="AQ1665" s="71"/>
      <c r="AR1665" s="71"/>
      <c r="AS1665" s="71"/>
      <c r="AT1665" s="71"/>
      <c r="AU1665" s="71"/>
      <c r="AV1665" s="71"/>
      <c r="AW1665" s="71"/>
      <c r="AX1665" s="71"/>
      <c r="AY1665" s="71"/>
      <c r="AZ1665" s="71"/>
      <c r="BA1665" s="71"/>
      <c r="BB1665" s="71"/>
      <c r="BC1665" s="71"/>
      <c r="BD1665" s="71"/>
      <c r="BE1665" s="71"/>
      <c r="BF1665" s="71"/>
      <c r="BG1665" s="71"/>
      <c r="BH1665" s="71"/>
      <c r="BI1665" s="71"/>
      <c r="BJ1665" s="71"/>
      <c r="BK1665" s="71"/>
      <c r="BL1665" s="71"/>
      <c r="BM1665" s="71"/>
      <c r="BN1665" s="71"/>
      <c r="BO1665" s="71"/>
      <c r="BP1665" s="71"/>
      <c r="BQ1665" s="71"/>
      <c r="BR1665" s="71"/>
      <c r="BS1665" s="71"/>
      <c r="BT1665" s="71"/>
      <c r="BU1665" s="71"/>
      <c r="BV1665" s="71"/>
    </row>
    <row r="1666">
      <c r="A1666" s="53"/>
      <c r="B1666" s="53">
        <v>3.0</v>
      </c>
      <c r="C1666" s="53" t="s">
        <v>36</v>
      </c>
      <c r="D1666" s="85" t="s">
        <v>4140</v>
      </c>
      <c r="E1666" s="54" t="s">
        <v>38</v>
      </c>
      <c r="F1666" s="55" t="s">
        <v>4105</v>
      </c>
      <c r="G1666" s="55" t="s">
        <v>4141</v>
      </c>
      <c r="H1666" s="55"/>
      <c r="I1666" s="54">
        <f t="shared" si="24"/>
        <v>0</v>
      </c>
      <c r="J1666" s="56"/>
      <c r="K1666" s="57"/>
      <c r="L1666" s="76"/>
      <c r="M1666" s="59"/>
      <c r="N1666" s="60"/>
      <c r="O1666" s="61">
        <v>0.0</v>
      </c>
      <c r="P1666" s="62">
        <v>0.0</v>
      </c>
      <c r="Q1666" s="63">
        <v>0.0</v>
      </c>
      <c r="R1666" s="64">
        <v>0.0</v>
      </c>
      <c r="S1666" s="107">
        <v>0.0</v>
      </c>
      <c r="T1666" s="65">
        <f t="shared" si="39"/>
        <v>0</v>
      </c>
      <c r="U1666" s="65">
        <f t="shared" si="40"/>
        <v>0</v>
      </c>
      <c r="V1666" s="66" t="str">
        <f t="shared" si="68"/>
        <v>#DIV/0!</v>
      </c>
      <c r="W1666" s="67">
        <f t="shared" si="5"/>
        <v>0</v>
      </c>
      <c r="X1666" s="67">
        <f t="shared" si="61"/>
        <v>0</v>
      </c>
      <c r="Y1666" s="67">
        <f t="shared" si="62"/>
        <v>0</v>
      </c>
      <c r="Z1666" s="67">
        <f t="shared" si="8"/>
        <v>0</v>
      </c>
      <c r="AA1666" s="67">
        <f t="shared" si="54"/>
        <v>0</v>
      </c>
      <c r="AB1666" s="67">
        <f t="shared" si="55"/>
        <v>0</v>
      </c>
      <c r="AC1666" s="67">
        <f t="shared" si="11"/>
        <v>0</v>
      </c>
      <c r="AD1666" s="67">
        <f t="shared" si="56"/>
        <v>0</v>
      </c>
      <c r="AE1666" s="67">
        <f t="shared" si="57"/>
        <v>0</v>
      </c>
      <c r="AF1666" s="67">
        <f t="shared" si="33"/>
        <v>0</v>
      </c>
      <c r="AG1666" s="67">
        <f t="shared" si="58"/>
        <v>0</v>
      </c>
      <c r="AH1666" s="67">
        <f t="shared" si="59"/>
        <v>0</v>
      </c>
      <c r="AI1666" s="67">
        <f t="shared" si="17"/>
        <v>0</v>
      </c>
      <c r="AJ1666" s="68">
        <f t="shared" si="66"/>
        <v>0</v>
      </c>
      <c r="AK1666" s="68">
        <f t="shared" si="67"/>
        <v>0</v>
      </c>
      <c r="AL1666" s="70"/>
      <c r="AM1666" s="70"/>
      <c r="AN1666" s="71"/>
      <c r="AO1666" s="71"/>
      <c r="AP1666" s="71"/>
      <c r="AQ1666" s="71"/>
      <c r="AR1666" s="71"/>
      <c r="AS1666" s="71"/>
      <c r="AT1666" s="71"/>
      <c r="AU1666" s="71"/>
      <c r="AV1666" s="71"/>
      <c r="AW1666" s="71"/>
      <c r="AX1666" s="71"/>
      <c r="AY1666" s="71"/>
      <c r="AZ1666" s="71"/>
      <c r="BA1666" s="71"/>
      <c r="BB1666" s="71"/>
      <c r="BC1666" s="71"/>
      <c r="BD1666" s="71"/>
      <c r="BE1666" s="71"/>
      <c r="BF1666" s="71"/>
      <c r="BG1666" s="71"/>
      <c r="BH1666" s="71"/>
      <c r="BI1666" s="71"/>
      <c r="BJ1666" s="71"/>
      <c r="BK1666" s="71"/>
      <c r="BL1666" s="71"/>
      <c r="BM1666" s="71"/>
      <c r="BN1666" s="71"/>
      <c r="BO1666" s="71"/>
      <c r="BP1666" s="71"/>
      <c r="BQ1666" s="71"/>
      <c r="BR1666" s="71"/>
      <c r="BS1666" s="71"/>
      <c r="BT1666" s="71"/>
      <c r="BU1666" s="71"/>
      <c r="BV1666" s="71"/>
    </row>
    <row r="1667">
      <c r="A1667" s="53"/>
      <c r="B1667" s="53">
        <v>3.0</v>
      </c>
      <c r="C1667" s="53" t="s">
        <v>36</v>
      </c>
      <c r="D1667" s="98" t="s">
        <v>4142</v>
      </c>
      <c r="E1667" s="54" t="s">
        <v>38</v>
      </c>
      <c r="F1667" s="55" t="s">
        <v>4105</v>
      </c>
      <c r="G1667" s="55" t="s">
        <v>4143</v>
      </c>
      <c r="H1667" s="55"/>
      <c r="I1667" s="54">
        <f t="shared" si="24"/>
        <v>0</v>
      </c>
      <c r="J1667" s="56"/>
      <c r="K1667" s="57"/>
      <c r="L1667" s="76"/>
      <c r="M1667" s="59"/>
      <c r="N1667" s="60"/>
      <c r="O1667" s="61">
        <v>59070.0</v>
      </c>
      <c r="P1667" s="62">
        <v>63795.600000000006</v>
      </c>
      <c r="Q1667" s="63">
        <v>63795.600000000006</v>
      </c>
      <c r="R1667" s="64">
        <v>70336.0</v>
      </c>
      <c r="S1667" s="107">
        <v>73853.0</v>
      </c>
      <c r="T1667" s="65">
        <f t="shared" si="39"/>
        <v>11816.48</v>
      </c>
      <c r="U1667" s="65">
        <f t="shared" si="40"/>
        <v>85669.48</v>
      </c>
      <c r="V1667" s="66">
        <f t="shared" si="68"/>
        <v>0.05000284349</v>
      </c>
      <c r="W1667" s="67">
        <f t="shared" si="5"/>
        <v>70160.35</v>
      </c>
      <c r="X1667" s="67">
        <f t="shared" si="61"/>
        <v>11225.656</v>
      </c>
      <c r="Y1667" s="67">
        <f t="shared" si="62"/>
        <v>81386.006</v>
      </c>
      <c r="Z1667" s="67">
        <f t="shared" si="8"/>
        <v>66467.7</v>
      </c>
      <c r="AA1667" s="67">
        <f t="shared" si="54"/>
        <v>10634.832</v>
      </c>
      <c r="AB1667" s="67">
        <f t="shared" si="55"/>
        <v>77102.532</v>
      </c>
      <c r="AC1667" s="67">
        <f t="shared" si="11"/>
        <v>66467.7</v>
      </c>
      <c r="AD1667" s="67">
        <f t="shared" si="56"/>
        <v>10634.832</v>
      </c>
      <c r="AE1667" s="67">
        <f t="shared" si="57"/>
        <v>77102.532</v>
      </c>
      <c r="AF1667" s="67">
        <f t="shared" si="33"/>
        <v>66467.7</v>
      </c>
      <c r="AG1667" s="67">
        <f t="shared" si="58"/>
        <v>10634.832</v>
      </c>
      <c r="AH1667" s="67">
        <f t="shared" si="59"/>
        <v>77102.532</v>
      </c>
      <c r="AI1667" s="67">
        <f t="shared" si="17"/>
        <v>66467.7</v>
      </c>
      <c r="AJ1667" s="68">
        <f t="shared" si="66"/>
        <v>10634.832</v>
      </c>
      <c r="AK1667" s="68">
        <f t="shared" si="67"/>
        <v>77102.532</v>
      </c>
      <c r="AL1667" s="70"/>
      <c r="AM1667" s="70"/>
      <c r="AN1667" s="71"/>
      <c r="AO1667" s="71"/>
      <c r="AP1667" s="71"/>
      <c r="AQ1667" s="71"/>
      <c r="AR1667" s="71"/>
      <c r="AS1667" s="71"/>
      <c r="AT1667" s="71"/>
      <c r="AU1667" s="71"/>
      <c r="AV1667" s="71"/>
      <c r="AW1667" s="71"/>
      <c r="AX1667" s="71"/>
      <c r="AY1667" s="71"/>
      <c r="AZ1667" s="71"/>
      <c r="BA1667" s="71"/>
      <c r="BB1667" s="71"/>
      <c r="BC1667" s="71"/>
      <c r="BD1667" s="71"/>
      <c r="BE1667" s="71"/>
      <c r="BF1667" s="71"/>
      <c r="BG1667" s="71"/>
      <c r="BH1667" s="71"/>
      <c r="BI1667" s="71"/>
      <c r="BJ1667" s="71"/>
      <c r="BK1667" s="71"/>
      <c r="BL1667" s="71"/>
      <c r="BM1667" s="71"/>
      <c r="BN1667" s="71"/>
      <c r="BO1667" s="71"/>
      <c r="BP1667" s="71"/>
      <c r="BQ1667" s="71"/>
      <c r="BR1667" s="71"/>
      <c r="BS1667" s="71"/>
      <c r="BT1667" s="71"/>
      <c r="BU1667" s="71"/>
      <c r="BV1667" s="71"/>
    </row>
    <row r="1668">
      <c r="A1668" s="53"/>
      <c r="B1668" s="53">
        <v>3.0</v>
      </c>
      <c r="C1668" s="53" t="s">
        <v>36</v>
      </c>
      <c r="D1668" s="98" t="s">
        <v>4144</v>
      </c>
      <c r="E1668" s="54" t="s">
        <v>38</v>
      </c>
      <c r="F1668" s="55" t="s">
        <v>4105</v>
      </c>
      <c r="G1668" s="55" t="s">
        <v>4145</v>
      </c>
      <c r="H1668" s="55"/>
      <c r="I1668" s="54">
        <f t="shared" si="24"/>
        <v>0</v>
      </c>
      <c r="J1668" s="56"/>
      <c r="K1668" s="57"/>
      <c r="L1668" s="76"/>
      <c r="M1668" s="59"/>
      <c r="N1668" s="60"/>
      <c r="O1668" s="61">
        <v>58342.0</v>
      </c>
      <c r="P1668" s="62">
        <v>63009.36</v>
      </c>
      <c r="Q1668" s="63">
        <v>63009.36</v>
      </c>
      <c r="R1668" s="64">
        <v>69467.0</v>
      </c>
      <c r="S1668" s="107">
        <v>72940.0</v>
      </c>
      <c r="T1668" s="65">
        <f t="shared" si="39"/>
        <v>11670.4</v>
      </c>
      <c r="U1668" s="65">
        <f t="shared" si="40"/>
        <v>84610.4</v>
      </c>
      <c r="V1668" s="66">
        <f t="shared" si="68"/>
        <v>0.04999496164</v>
      </c>
      <c r="W1668" s="67">
        <f t="shared" si="5"/>
        <v>69293</v>
      </c>
      <c r="X1668" s="67">
        <f t="shared" si="61"/>
        <v>11086.88</v>
      </c>
      <c r="Y1668" s="67">
        <f t="shared" si="62"/>
        <v>80379.88</v>
      </c>
      <c r="Z1668" s="67">
        <f t="shared" si="8"/>
        <v>65646</v>
      </c>
      <c r="AA1668" s="67">
        <f t="shared" si="54"/>
        <v>10503.36</v>
      </c>
      <c r="AB1668" s="67">
        <f t="shared" si="55"/>
        <v>76149.36</v>
      </c>
      <c r="AC1668" s="67">
        <f t="shared" si="11"/>
        <v>65646</v>
      </c>
      <c r="AD1668" s="67">
        <f t="shared" si="56"/>
        <v>10503.36</v>
      </c>
      <c r="AE1668" s="67">
        <f t="shared" si="57"/>
        <v>76149.36</v>
      </c>
      <c r="AF1668" s="67">
        <f t="shared" si="33"/>
        <v>65646</v>
      </c>
      <c r="AG1668" s="67">
        <f t="shared" si="58"/>
        <v>10503.36</v>
      </c>
      <c r="AH1668" s="67">
        <f t="shared" si="59"/>
        <v>76149.36</v>
      </c>
      <c r="AI1668" s="67">
        <f t="shared" si="17"/>
        <v>65646</v>
      </c>
      <c r="AJ1668" s="68">
        <f t="shared" si="66"/>
        <v>10503.36</v>
      </c>
      <c r="AK1668" s="68">
        <f t="shared" si="67"/>
        <v>76149.36</v>
      </c>
      <c r="AL1668" s="70"/>
      <c r="AM1668" s="70"/>
      <c r="AN1668" s="71"/>
      <c r="AO1668" s="71"/>
      <c r="AP1668" s="71"/>
      <c r="AQ1668" s="71"/>
      <c r="AR1668" s="71"/>
      <c r="AS1668" s="71"/>
      <c r="AT1668" s="71"/>
      <c r="AU1668" s="71"/>
      <c r="AV1668" s="71"/>
      <c r="AW1668" s="71"/>
      <c r="AX1668" s="71"/>
      <c r="AY1668" s="71"/>
      <c r="AZ1668" s="71"/>
      <c r="BA1668" s="71"/>
      <c r="BB1668" s="71"/>
      <c r="BC1668" s="71"/>
      <c r="BD1668" s="71"/>
      <c r="BE1668" s="71"/>
      <c r="BF1668" s="71"/>
      <c r="BG1668" s="71"/>
      <c r="BH1668" s="71"/>
      <c r="BI1668" s="71"/>
      <c r="BJ1668" s="71"/>
      <c r="BK1668" s="71"/>
      <c r="BL1668" s="71"/>
      <c r="BM1668" s="71"/>
      <c r="BN1668" s="71"/>
      <c r="BO1668" s="71"/>
      <c r="BP1668" s="71"/>
      <c r="BQ1668" s="71"/>
      <c r="BR1668" s="71"/>
      <c r="BS1668" s="71"/>
      <c r="BT1668" s="71"/>
      <c r="BU1668" s="71"/>
      <c r="BV1668" s="71"/>
    </row>
    <row r="1669">
      <c r="A1669" s="53"/>
      <c r="B1669" s="53">
        <v>3.0</v>
      </c>
      <c r="C1669" s="53" t="s">
        <v>36</v>
      </c>
      <c r="D1669" s="98" t="s">
        <v>4146</v>
      </c>
      <c r="E1669" s="54" t="s">
        <v>38</v>
      </c>
      <c r="F1669" s="55" t="s">
        <v>4105</v>
      </c>
      <c r="G1669" s="55" t="s">
        <v>4147</v>
      </c>
      <c r="H1669" s="55"/>
      <c r="I1669" s="54">
        <f t="shared" si="24"/>
        <v>0</v>
      </c>
      <c r="J1669" s="56"/>
      <c r="K1669" s="57"/>
      <c r="L1669" s="76"/>
      <c r="M1669" s="59"/>
      <c r="N1669" s="60"/>
      <c r="O1669" s="61">
        <v>54169.0</v>
      </c>
      <c r="P1669" s="62">
        <v>58502.520000000004</v>
      </c>
      <c r="Q1669" s="63">
        <v>58502.520000000004</v>
      </c>
      <c r="R1669" s="64">
        <v>64500.0</v>
      </c>
      <c r="S1669" s="107">
        <v>67725.0</v>
      </c>
      <c r="T1669" s="65">
        <f t="shared" si="39"/>
        <v>10836</v>
      </c>
      <c r="U1669" s="65">
        <f t="shared" si="40"/>
        <v>78561</v>
      </c>
      <c r="V1669" s="66">
        <f t="shared" si="68"/>
        <v>0.05</v>
      </c>
      <c r="W1669" s="67">
        <f t="shared" si="5"/>
        <v>64338.75</v>
      </c>
      <c r="X1669" s="67">
        <f t="shared" si="61"/>
        <v>10294.2</v>
      </c>
      <c r="Y1669" s="67">
        <f t="shared" si="62"/>
        <v>74632.95</v>
      </c>
      <c r="Z1669" s="67">
        <f t="shared" si="8"/>
        <v>60952.5</v>
      </c>
      <c r="AA1669" s="67">
        <f t="shared" si="54"/>
        <v>9752.4</v>
      </c>
      <c r="AB1669" s="67">
        <f t="shared" si="55"/>
        <v>70704.9</v>
      </c>
      <c r="AC1669" s="67">
        <f t="shared" si="11"/>
        <v>60952.5</v>
      </c>
      <c r="AD1669" s="67">
        <f t="shared" si="56"/>
        <v>9752.4</v>
      </c>
      <c r="AE1669" s="67">
        <f t="shared" si="57"/>
        <v>70704.9</v>
      </c>
      <c r="AF1669" s="67">
        <f t="shared" si="33"/>
        <v>60952.5</v>
      </c>
      <c r="AG1669" s="67">
        <f t="shared" si="58"/>
        <v>9752.4</v>
      </c>
      <c r="AH1669" s="67">
        <f t="shared" si="59"/>
        <v>70704.9</v>
      </c>
      <c r="AI1669" s="67">
        <f t="shared" si="17"/>
        <v>60952.5</v>
      </c>
      <c r="AJ1669" s="68">
        <f t="shared" si="66"/>
        <v>9752.4</v>
      </c>
      <c r="AK1669" s="68">
        <f t="shared" si="67"/>
        <v>70704.9</v>
      </c>
      <c r="AL1669" s="70"/>
      <c r="AM1669" s="70"/>
      <c r="AN1669" s="71"/>
      <c r="AO1669" s="71"/>
      <c r="AP1669" s="71"/>
      <c r="AQ1669" s="71"/>
      <c r="AR1669" s="71"/>
      <c r="AS1669" s="71"/>
      <c r="AT1669" s="71"/>
      <c r="AU1669" s="71"/>
      <c r="AV1669" s="71"/>
      <c r="AW1669" s="71"/>
      <c r="AX1669" s="71"/>
      <c r="AY1669" s="71"/>
      <c r="AZ1669" s="71"/>
      <c r="BA1669" s="71"/>
      <c r="BB1669" s="71"/>
      <c r="BC1669" s="71"/>
      <c r="BD1669" s="71"/>
      <c r="BE1669" s="71"/>
      <c r="BF1669" s="71"/>
      <c r="BG1669" s="71"/>
      <c r="BH1669" s="71"/>
      <c r="BI1669" s="71"/>
      <c r="BJ1669" s="71"/>
      <c r="BK1669" s="71"/>
      <c r="BL1669" s="71"/>
      <c r="BM1669" s="71"/>
      <c r="BN1669" s="71"/>
      <c r="BO1669" s="71"/>
      <c r="BP1669" s="71"/>
      <c r="BQ1669" s="71"/>
      <c r="BR1669" s="71"/>
      <c r="BS1669" s="71"/>
      <c r="BT1669" s="71"/>
      <c r="BU1669" s="71"/>
      <c r="BV1669" s="71"/>
    </row>
    <row r="1670">
      <c r="A1670" s="53"/>
      <c r="B1670" s="53">
        <v>3.0</v>
      </c>
      <c r="C1670" s="53" t="s">
        <v>36</v>
      </c>
      <c r="D1670" s="85" t="s">
        <v>4148</v>
      </c>
      <c r="E1670" s="54" t="s">
        <v>38</v>
      </c>
      <c r="F1670" s="55" t="s">
        <v>4105</v>
      </c>
      <c r="G1670" s="55" t="s">
        <v>4149</v>
      </c>
      <c r="H1670" s="55"/>
      <c r="I1670" s="54">
        <f t="shared" si="24"/>
        <v>0</v>
      </c>
      <c r="J1670" s="56"/>
      <c r="K1670" s="57"/>
      <c r="L1670" s="76"/>
      <c r="M1670" s="59"/>
      <c r="N1670" s="60"/>
      <c r="O1670" s="61">
        <v>53441.0</v>
      </c>
      <c r="P1670" s="62">
        <v>57716.280000000006</v>
      </c>
      <c r="Q1670" s="63">
        <v>57716.280000000006</v>
      </c>
      <c r="R1670" s="64">
        <v>63633.0</v>
      </c>
      <c r="S1670" s="107">
        <v>66815.0</v>
      </c>
      <c r="T1670" s="65">
        <f t="shared" si="39"/>
        <v>10690.4</v>
      </c>
      <c r="U1670" s="65">
        <f t="shared" si="40"/>
        <v>77505.4</v>
      </c>
      <c r="V1670" s="66">
        <f t="shared" si="68"/>
        <v>0.05000550029</v>
      </c>
      <c r="W1670" s="67">
        <f t="shared" si="5"/>
        <v>63474.25</v>
      </c>
      <c r="X1670" s="67">
        <f t="shared" si="61"/>
        <v>10155.88</v>
      </c>
      <c r="Y1670" s="67">
        <f t="shared" si="62"/>
        <v>73630.13</v>
      </c>
      <c r="Z1670" s="67">
        <f t="shared" si="8"/>
        <v>60133.5</v>
      </c>
      <c r="AA1670" s="67">
        <f t="shared" si="54"/>
        <v>9621.36</v>
      </c>
      <c r="AB1670" s="67">
        <f t="shared" si="55"/>
        <v>69754.86</v>
      </c>
      <c r="AC1670" s="67">
        <f t="shared" si="11"/>
        <v>60133.5</v>
      </c>
      <c r="AD1670" s="67">
        <f t="shared" si="56"/>
        <v>9621.36</v>
      </c>
      <c r="AE1670" s="67">
        <f t="shared" si="57"/>
        <v>69754.86</v>
      </c>
      <c r="AF1670" s="67">
        <f t="shared" si="33"/>
        <v>60133.5</v>
      </c>
      <c r="AG1670" s="67">
        <f t="shared" si="58"/>
        <v>9621.36</v>
      </c>
      <c r="AH1670" s="67">
        <f t="shared" si="59"/>
        <v>69754.86</v>
      </c>
      <c r="AI1670" s="67">
        <f t="shared" si="17"/>
        <v>60133.5</v>
      </c>
      <c r="AJ1670" s="68">
        <f t="shared" si="66"/>
        <v>9621.36</v>
      </c>
      <c r="AK1670" s="68">
        <f t="shared" si="67"/>
        <v>69754.86</v>
      </c>
      <c r="AL1670" s="70"/>
      <c r="AM1670" s="70"/>
      <c r="AN1670" s="71"/>
      <c r="AO1670" s="71"/>
      <c r="AP1670" s="71"/>
      <c r="AQ1670" s="71"/>
      <c r="AR1670" s="71"/>
      <c r="AS1670" s="71"/>
      <c r="AT1670" s="71"/>
      <c r="AU1670" s="71"/>
      <c r="AV1670" s="71"/>
      <c r="AW1670" s="71"/>
      <c r="AX1670" s="71"/>
      <c r="AY1670" s="71"/>
      <c r="AZ1670" s="71"/>
      <c r="BA1670" s="71"/>
      <c r="BB1670" s="71"/>
      <c r="BC1670" s="71"/>
      <c r="BD1670" s="71"/>
      <c r="BE1670" s="71"/>
      <c r="BF1670" s="71"/>
      <c r="BG1670" s="71"/>
      <c r="BH1670" s="71"/>
      <c r="BI1670" s="71"/>
      <c r="BJ1670" s="71"/>
      <c r="BK1670" s="71"/>
      <c r="BL1670" s="71"/>
      <c r="BM1670" s="71"/>
      <c r="BN1670" s="71"/>
      <c r="BO1670" s="71"/>
      <c r="BP1670" s="71"/>
      <c r="BQ1670" s="71"/>
      <c r="BR1670" s="71"/>
      <c r="BS1670" s="71"/>
      <c r="BT1670" s="71"/>
      <c r="BU1670" s="71"/>
      <c r="BV1670" s="71"/>
    </row>
    <row r="1671">
      <c r="A1671" s="53"/>
      <c r="B1671" s="53">
        <v>3.0</v>
      </c>
      <c r="C1671" s="53" t="s">
        <v>36</v>
      </c>
      <c r="D1671" s="98" t="s">
        <v>4150</v>
      </c>
      <c r="E1671" s="54" t="s">
        <v>38</v>
      </c>
      <c r="F1671" s="55" t="s">
        <v>4105</v>
      </c>
      <c r="G1671" s="55" t="s">
        <v>4151</v>
      </c>
      <c r="H1671" s="55"/>
      <c r="I1671" s="54">
        <f t="shared" si="24"/>
        <v>0</v>
      </c>
      <c r="J1671" s="56"/>
      <c r="K1671" s="57"/>
      <c r="L1671" s="76"/>
      <c r="M1671" s="59"/>
      <c r="N1671" s="60"/>
      <c r="O1671" s="61">
        <v>45309.0</v>
      </c>
      <c r="P1671" s="62">
        <v>48933.72</v>
      </c>
      <c r="Q1671" s="63">
        <v>48933.72</v>
      </c>
      <c r="R1671" s="64">
        <v>53951.0</v>
      </c>
      <c r="S1671" s="107">
        <v>56649.0</v>
      </c>
      <c r="T1671" s="65">
        <f t="shared" si="39"/>
        <v>9063.84</v>
      </c>
      <c r="U1671" s="65">
        <f t="shared" si="40"/>
        <v>65712.84</v>
      </c>
      <c r="V1671" s="66">
        <f t="shared" si="68"/>
        <v>0.0500083409</v>
      </c>
      <c r="W1671" s="67">
        <f t="shared" si="5"/>
        <v>53816.55</v>
      </c>
      <c r="X1671" s="67">
        <f t="shared" si="61"/>
        <v>8610.648</v>
      </c>
      <c r="Y1671" s="67">
        <f t="shared" si="62"/>
        <v>62427.198</v>
      </c>
      <c r="Z1671" s="67">
        <f t="shared" si="8"/>
        <v>50984.1</v>
      </c>
      <c r="AA1671" s="67">
        <f t="shared" si="54"/>
        <v>8157.456</v>
      </c>
      <c r="AB1671" s="67">
        <f t="shared" si="55"/>
        <v>59141.556</v>
      </c>
      <c r="AC1671" s="67">
        <f t="shared" si="11"/>
        <v>50984.1</v>
      </c>
      <c r="AD1671" s="67">
        <f t="shared" si="56"/>
        <v>8157.456</v>
      </c>
      <c r="AE1671" s="67">
        <f t="shared" si="57"/>
        <v>59141.556</v>
      </c>
      <c r="AF1671" s="67">
        <f t="shared" si="33"/>
        <v>50984.1</v>
      </c>
      <c r="AG1671" s="67">
        <f t="shared" si="58"/>
        <v>8157.456</v>
      </c>
      <c r="AH1671" s="67">
        <f t="shared" si="59"/>
        <v>59141.556</v>
      </c>
      <c r="AI1671" s="67">
        <f t="shared" si="17"/>
        <v>50984.1</v>
      </c>
      <c r="AJ1671" s="68">
        <f t="shared" si="66"/>
        <v>8157.456</v>
      </c>
      <c r="AK1671" s="68">
        <f t="shared" si="67"/>
        <v>59141.556</v>
      </c>
      <c r="AL1671" s="70"/>
      <c r="AM1671" s="70"/>
      <c r="AN1671" s="71"/>
      <c r="AO1671" s="71"/>
      <c r="AP1671" s="71"/>
      <c r="AQ1671" s="71"/>
      <c r="AR1671" s="71"/>
      <c r="AS1671" s="71"/>
      <c r="AT1671" s="71"/>
      <c r="AU1671" s="71"/>
      <c r="AV1671" s="71"/>
      <c r="AW1671" s="71"/>
      <c r="AX1671" s="71"/>
      <c r="AY1671" s="71"/>
      <c r="AZ1671" s="71"/>
      <c r="BA1671" s="71"/>
      <c r="BB1671" s="71"/>
      <c r="BC1671" s="71"/>
      <c r="BD1671" s="71"/>
      <c r="BE1671" s="71"/>
      <c r="BF1671" s="71"/>
      <c r="BG1671" s="71"/>
      <c r="BH1671" s="71"/>
      <c r="BI1671" s="71"/>
      <c r="BJ1671" s="71"/>
      <c r="BK1671" s="71"/>
      <c r="BL1671" s="71"/>
      <c r="BM1671" s="71"/>
      <c r="BN1671" s="71"/>
      <c r="BO1671" s="71"/>
      <c r="BP1671" s="71"/>
      <c r="BQ1671" s="71"/>
      <c r="BR1671" s="71"/>
      <c r="BS1671" s="71"/>
      <c r="BT1671" s="71"/>
      <c r="BU1671" s="71"/>
      <c r="BV1671" s="71"/>
    </row>
    <row r="1672">
      <c r="A1672" s="53"/>
      <c r="B1672" s="53">
        <v>3.0</v>
      </c>
      <c r="C1672" s="53" t="s">
        <v>36</v>
      </c>
      <c r="D1672" s="98" t="s">
        <v>4152</v>
      </c>
      <c r="E1672" s="54" t="s">
        <v>38</v>
      </c>
      <c r="F1672" s="55" t="s">
        <v>4105</v>
      </c>
      <c r="G1672" s="55" t="s">
        <v>4153</v>
      </c>
      <c r="H1672" s="55"/>
      <c r="I1672" s="54">
        <f t="shared" si="24"/>
        <v>0</v>
      </c>
      <c r="J1672" s="56"/>
      <c r="K1672" s="57"/>
      <c r="L1672" s="76"/>
      <c r="M1672" s="59"/>
      <c r="N1672" s="60"/>
      <c r="O1672" s="61">
        <v>74902.0</v>
      </c>
      <c r="P1672" s="62">
        <v>80894.16</v>
      </c>
      <c r="Q1672" s="63">
        <v>80894.16</v>
      </c>
      <c r="R1672" s="64">
        <v>89186.0</v>
      </c>
      <c r="S1672" s="107">
        <v>93645.0</v>
      </c>
      <c r="T1672" s="65">
        <f t="shared" si="39"/>
        <v>14983.2</v>
      </c>
      <c r="U1672" s="65">
        <f t="shared" si="40"/>
        <v>108628.2</v>
      </c>
      <c r="V1672" s="66">
        <f t="shared" si="68"/>
        <v>0.04999663624</v>
      </c>
      <c r="W1672" s="67">
        <f t="shared" si="5"/>
        <v>88962.75</v>
      </c>
      <c r="X1672" s="67">
        <f t="shared" si="61"/>
        <v>14234.04</v>
      </c>
      <c r="Y1672" s="67">
        <f t="shared" si="62"/>
        <v>103196.79</v>
      </c>
      <c r="Z1672" s="67">
        <f t="shared" si="8"/>
        <v>84280.5</v>
      </c>
      <c r="AA1672" s="67">
        <f t="shared" si="54"/>
        <v>13484.88</v>
      </c>
      <c r="AB1672" s="67">
        <f t="shared" si="55"/>
        <v>97765.38</v>
      </c>
      <c r="AC1672" s="67">
        <f t="shared" si="11"/>
        <v>84280.5</v>
      </c>
      <c r="AD1672" s="67">
        <f t="shared" si="56"/>
        <v>13484.88</v>
      </c>
      <c r="AE1672" s="67">
        <f t="shared" si="57"/>
        <v>97765.38</v>
      </c>
      <c r="AF1672" s="67">
        <f t="shared" si="33"/>
        <v>84280.5</v>
      </c>
      <c r="AG1672" s="67">
        <f t="shared" si="58"/>
        <v>13484.88</v>
      </c>
      <c r="AH1672" s="67">
        <f t="shared" si="59"/>
        <v>97765.38</v>
      </c>
      <c r="AI1672" s="67">
        <f t="shared" si="17"/>
        <v>84280.5</v>
      </c>
      <c r="AJ1672" s="68">
        <f t="shared" si="66"/>
        <v>13484.88</v>
      </c>
      <c r="AK1672" s="68">
        <f t="shared" si="67"/>
        <v>97765.38</v>
      </c>
      <c r="AL1672" s="70"/>
      <c r="AM1672" s="70"/>
      <c r="AN1672" s="71"/>
      <c r="AO1672" s="71"/>
      <c r="AP1672" s="71"/>
      <c r="AQ1672" s="71"/>
      <c r="AR1672" s="71"/>
      <c r="AS1672" s="71"/>
      <c r="AT1672" s="71"/>
      <c r="AU1672" s="71"/>
      <c r="AV1672" s="71"/>
      <c r="AW1672" s="71"/>
      <c r="AX1672" s="71"/>
      <c r="AY1672" s="71"/>
      <c r="AZ1672" s="71"/>
      <c r="BA1672" s="71"/>
      <c r="BB1672" s="71"/>
      <c r="BC1672" s="71"/>
      <c r="BD1672" s="71"/>
      <c r="BE1672" s="71"/>
      <c r="BF1672" s="71"/>
      <c r="BG1672" s="71"/>
      <c r="BH1672" s="71"/>
      <c r="BI1672" s="71"/>
      <c r="BJ1672" s="71"/>
      <c r="BK1672" s="71"/>
      <c r="BL1672" s="71"/>
      <c r="BM1672" s="71"/>
      <c r="BN1672" s="71"/>
      <c r="BO1672" s="71"/>
      <c r="BP1672" s="71"/>
      <c r="BQ1672" s="71"/>
      <c r="BR1672" s="71"/>
      <c r="BS1672" s="71"/>
      <c r="BT1672" s="71"/>
      <c r="BU1672" s="71"/>
      <c r="BV1672" s="71"/>
    </row>
    <row r="1673">
      <c r="A1673" s="53"/>
      <c r="B1673" s="53">
        <v>3.0</v>
      </c>
      <c r="C1673" s="53" t="s">
        <v>36</v>
      </c>
      <c r="D1673" s="98" t="s">
        <v>4154</v>
      </c>
      <c r="E1673" s="54" t="s">
        <v>38</v>
      </c>
      <c r="F1673" s="55" t="s">
        <v>4105</v>
      </c>
      <c r="G1673" s="55" t="s">
        <v>4155</v>
      </c>
      <c r="H1673" s="55"/>
      <c r="I1673" s="54">
        <f t="shared" si="24"/>
        <v>0</v>
      </c>
      <c r="J1673" s="56"/>
      <c r="K1673" s="57"/>
      <c r="L1673" s="76"/>
      <c r="M1673" s="59"/>
      <c r="N1673" s="60"/>
      <c r="O1673" s="61">
        <v>78400.0</v>
      </c>
      <c r="P1673" s="62">
        <v>84672.0</v>
      </c>
      <c r="Q1673" s="63">
        <v>84672.0</v>
      </c>
      <c r="R1673" s="64">
        <v>93352.0</v>
      </c>
      <c r="S1673" s="107">
        <v>98020.0</v>
      </c>
      <c r="T1673" s="65">
        <f t="shared" si="39"/>
        <v>15683.2</v>
      </c>
      <c r="U1673" s="65">
        <f t="shared" si="40"/>
        <v>113703.2</v>
      </c>
      <c r="V1673" s="66">
        <f t="shared" si="68"/>
        <v>0.05000428486</v>
      </c>
      <c r="W1673" s="67">
        <f t="shared" si="5"/>
        <v>93119</v>
      </c>
      <c r="X1673" s="67">
        <f t="shared" si="61"/>
        <v>14899.04</v>
      </c>
      <c r="Y1673" s="67">
        <f t="shared" si="62"/>
        <v>108018.04</v>
      </c>
      <c r="Z1673" s="67">
        <f t="shared" si="8"/>
        <v>88218</v>
      </c>
      <c r="AA1673" s="67">
        <f t="shared" si="54"/>
        <v>14114.88</v>
      </c>
      <c r="AB1673" s="67">
        <f t="shared" si="55"/>
        <v>102332.88</v>
      </c>
      <c r="AC1673" s="67">
        <f t="shared" si="11"/>
        <v>88218</v>
      </c>
      <c r="AD1673" s="67">
        <f t="shared" si="56"/>
        <v>14114.88</v>
      </c>
      <c r="AE1673" s="67">
        <f t="shared" si="57"/>
        <v>102332.88</v>
      </c>
      <c r="AF1673" s="67">
        <f t="shared" si="33"/>
        <v>88218</v>
      </c>
      <c r="AG1673" s="67">
        <f t="shared" si="58"/>
        <v>14114.88</v>
      </c>
      <c r="AH1673" s="67">
        <f t="shared" si="59"/>
        <v>102332.88</v>
      </c>
      <c r="AI1673" s="67">
        <f t="shared" si="17"/>
        <v>88218</v>
      </c>
      <c r="AJ1673" s="68">
        <f t="shared" si="66"/>
        <v>14114.88</v>
      </c>
      <c r="AK1673" s="68">
        <f t="shared" si="67"/>
        <v>102332.88</v>
      </c>
      <c r="AL1673" s="70"/>
      <c r="AM1673" s="70"/>
      <c r="AN1673" s="71"/>
      <c r="AO1673" s="71"/>
      <c r="AP1673" s="71"/>
      <c r="AQ1673" s="71"/>
      <c r="AR1673" s="71"/>
      <c r="AS1673" s="71"/>
      <c r="AT1673" s="71"/>
      <c r="AU1673" s="71"/>
      <c r="AV1673" s="71"/>
      <c r="AW1673" s="71"/>
      <c r="AX1673" s="71"/>
      <c r="AY1673" s="71"/>
      <c r="AZ1673" s="71"/>
      <c r="BA1673" s="71"/>
      <c r="BB1673" s="71"/>
      <c r="BC1673" s="71"/>
      <c r="BD1673" s="71"/>
      <c r="BE1673" s="71"/>
      <c r="BF1673" s="71"/>
      <c r="BG1673" s="71"/>
      <c r="BH1673" s="71"/>
      <c r="BI1673" s="71"/>
      <c r="BJ1673" s="71"/>
      <c r="BK1673" s="71"/>
      <c r="BL1673" s="71"/>
      <c r="BM1673" s="71"/>
      <c r="BN1673" s="71"/>
      <c r="BO1673" s="71"/>
      <c r="BP1673" s="71"/>
      <c r="BQ1673" s="71"/>
      <c r="BR1673" s="71"/>
      <c r="BS1673" s="71"/>
      <c r="BT1673" s="71"/>
      <c r="BU1673" s="71"/>
      <c r="BV1673" s="71"/>
    </row>
    <row r="1674">
      <c r="A1674" s="53"/>
      <c r="B1674" s="53">
        <v>3.0</v>
      </c>
      <c r="C1674" s="53" t="s">
        <v>36</v>
      </c>
      <c r="D1674" s="98" t="s">
        <v>4156</v>
      </c>
      <c r="E1674" s="54" t="s">
        <v>38</v>
      </c>
      <c r="F1674" s="55" t="s">
        <v>4105</v>
      </c>
      <c r="G1674" s="55" t="s">
        <v>4157</v>
      </c>
      <c r="H1674" s="55"/>
      <c r="I1674" s="54">
        <f t="shared" si="24"/>
        <v>0</v>
      </c>
      <c r="J1674" s="56"/>
      <c r="K1674" s="57"/>
      <c r="L1674" s="76"/>
      <c r="M1674" s="59"/>
      <c r="N1674" s="60"/>
      <c r="O1674" s="61">
        <v>70698.0</v>
      </c>
      <c r="P1674" s="62">
        <v>76353.84000000001</v>
      </c>
      <c r="Q1674" s="63">
        <v>76353.84000000001</v>
      </c>
      <c r="R1674" s="64">
        <v>84181.0</v>
      </c>
      <c r="S1674" s="107">
        <v>88390.0</v>
      </c>
      <c r="T1674" s="65">
        <f t="shared" si="39"/>
        <v>14142.4</v>
      </c>
      <c r="U1674" s="65">
        <f t="shared" si="40"/>
        <v>102532.4</v>
      </c>
      <c r="V1674" s="66">
        <f t="shared" si="68"/>
        <v>0.04999940604</v>
      </c>
      <c r="W1674" s="67">
        <f t="shared" si="5"/>
        <v>83970.5</v>
      </c>
      <c r="X1674" s="67">
        <f t="shared" si="61"/>
        <v>13435.28</v>
      </c>
      <c r="Y1674" s="67">
        <f t="shared" si="62"/>
        <v>97405.78</v>
      </c>
      <c r="Z1674" s="67">
        <f t="shared" si="8"/>
        <v>79551</v>
      </c>
      <c r="AA1674" s="67">
        <f t="shared" si="54"/>
        <v>12728.16</v>
      </c>
      <c r="AB1674" s="67">
        <f t="shared" si="55"/>
        <v>92279.16</v>
      </c>
      <c r="AC1674" s="67">
        <f t="shared" si="11"/>
        <v>79551</v>
      </c>
      <c r="AD1674" s="67">
        <f t="shared" si="56"/>
        <v>12728.16</v>
      </c>
      <c r="AE1674" s="67">
        <f t="shared" si="57"/>
        <v>92279.16</v>
      </c>
      <c r="AF1674" s="67">
        <f t="shared" si="33"/>
        <v>79551</v>
      </c>
      <c r="AG1674" s="67">
        <f t="shared" si="58"/>
        <v>12728.16</v>
      </c>
      <c r="AH1674" s="67">
        <f t="shared" si="59"/>
        <v>92279.16</v>
      </c>
      <c r="AI1674" s="67">
        <f t="shared" si="17"/>
        <v>79551</v>
      </c>
      <c r="AJ1674" s="68">
        <f t="shared" si="66"/>
        <v>12728.16</v>
      </c>
      <c r="AK1674" s="68">
        <f t="shared" si="67"/>
        <v>92279.16</v>
      </c>
      <c r="AL1674" s="70"/>
      <c r="AM1674" s="70"/>
      <c r="AN1674" s="71"/>
      <c r="AO1674" s="71"/>
      <c r="AP1674" s="71"/>
      <c r="AQ1674" s="71"/>
      <c r="AR1674" s="71"/>
      <c r="AS1674" s="71"/>
      <c r="AT1674" s="71"/>
      <c r="AU1674" s="71"/>
      <c r="AV1674" s="71"/>
      <c r="AW1674" s="71"/>
      <c r="AX1674" s="71"/>
      <c r="AY1674" s="71"/>
      <c r="AZ1674" s="71"/>
      <c r="BA1674" s="71"/>
      <c r="BB1674" s="71"/>
      <c r="BC1674" s="71"/>
      <c r="BD1674" s="71"/>
      <c r="BE1674" s="71"/>
      <c r="BF1674" s="71"/>
      <c r="BG1674" s="71"/>
      <c r="BH1674" s="71"/>
      <c r="BI1674" s="71"/>
      <c r="BJ1674" s="71"/>
      <c r="BK1674" s="71"/>
      <c r="BL1674" s="71"/>
      <c r="BM1674" s="71"/>
      <c r="BN1674" s="71"/>
      <c r="BO1674" s="71"/>
      <c r="BP1674" s="71"/>
      <c r="BQ1674" s="71"/>
      <c r="BR1674" s="71"/>
      <c r="BS1674" s="71"/>
      <c r="BT1674" s="71"/>
      <c r="BU1674" s="71"/>
      <c r="BV1674" s="71"/>
    </row>
    <row r="1675">
      <c r="A1675" s="53"/>
      <c r="B1675" s="53">
        <v>3.0</v>
      </c>
      <c r="C1675" s="53" t="s">
        <v>36</v>
      </c>
      <c r="D1675" s="98" t="s">
        <v>4158</v>
      </c>
      <c r="E1675" s="54" t="s">
        <v>38</v>
      </c>
      <c r="F1675" s="55" t="s">
        <v>4105</v>
      </c>
      <c r="G1675" s="55" t="s">
        <v>4159</v>
      </c>
      <c r="H1675" s="55"/>
      <c r="I1675" s="54">
        <f t="shared" si="24"/>
        <v>0</v>
      </c>
      <c r="J1675" s="56"/>
      <c r="K1675" s="57"/>
      <c r="L1675" s="76"/>
      <c r="M1675" s="59"/>
      <c r="N1675" s="60"/>
      <c r="O1675" s="61">
        <v>71254.0</v>
      </c>
      <c r="P1675" s="62">
        <v>76954.32</v>
      </c>
      <c r="Q1675" s="63">
        <v>76954.32</v>
      </c>
      <c r="R1675" s="64">
        <v>84843.0</v>
      </c>
      <c r="S1675" s="107">
        <v>89085.0</v>
      </c>
      <c r="T1675" s="65">
        <f t="shared" si="39"/>
        <v>14253.6</v>
      </c>
      <c r="U1675" s="65">
        <f t="shared" si="40"/>
        <v>103338.6</v>
      </c>
      <c r="V1675" s="66">
        <f t="shared" si="68"/>
        <v>0.04999823203</v>
      </c>
      <c r="W1675" s="67">
        <f t="shared" si="5"/>
        <v>84630.75</v>
      </c>
      <c r="X1675" s="67">
        <f t="shared" si="61"/>
        <v>13540.92</v>
      </c>
      <c r="Y1675" s="67">
        <f t="shared" si="62"/>
        <v>98171.67</v>
      </c>
      <c r="Z1675" s="67">
        <f t="shared" si="8"/>
        <v>80176.5</v>
      </c>
      <c r="AA1675" s="67">
        <f t="shared" si="54"/>
        <v>12828.24</v>
      </c>
      <c r="AB1675" s="67">
        <f t="shared" si="55"/>
        <v>93004.74</v>
      </c>
      <c r="AC1675" s="67">
        <f t="shared" si="11"/>
        <v>80176.5</v>
      </c>
      <c r="AD1675" s="67">
        <f t="shared" si="56"/>
        <v>12828.24</v>
      </c>
      <c r="AE1675" s="67">
        <f t="shared" si="57"/>
        <v>93004.74</v>
      </c>
      <c r="AF1675" s="67">
        <f t="shared" si="33"/>
        <v>80176.5</v>
      </c>
      <c r="AG1675" s="67">
        <f t="shared" si="58"/>
        <v>12828.24</v>
      </c>
      <c r="AH1675" s="67">
        <f t="shared" si="59"/>
        <v>93004.74</v>
      </c>
      <c r="AI1675" s="67">
        <f t="shared" si="17"/>
        <v>80176.5</v>
      </c>
      <c r="AJ1675" s="68">
        <f t="shared" si="66"/>
        <v>12828.24</v>
      </c>
      <c r="AK1675" s="68">
        <f t="shared" si="67"/>
        <v>93004.74</v>
      </c>
      <c r="AL1675" s="70"/>
      <c r="AM1675" s="70"/>
      <c r="AN1675" s="71"/>
      <c r="AO1675" s="71"/>
      <c r="AP1675" s="71"/>
      <c r="AQ1675" s="71"/>
      <c r="AR1675" s="71"/>
      <c r="AS1675" s="71"/>
      <c r="AT1675" s="71"/>
      <c r="AU1675" s="71"/>
      <c r="AV1675" s="71"/>
      <c r="AW1675" s="71"/>
      <c r="AX1675" s="71"/>
      <c r="AY1675" s="71"/>
      <c r="AZ1675" s="71"/>
      <c r="BA1675" s="71"/>
      <c r="BB1675" s="71"/>
      <c r="BC1675" s="71"/>
      <c r="BD1675" s="71"/>
      <c r="BE1675" s="71"/>
      <c r="BF1675" s="71"/>
      <c r="BG1675" s="71"/>
      <c r="BH1675" s="71"/>
      <c r="BI1675" s="71"/>
      <c r="BJ1675" s="71"/>
      <c r="BK1675" s="71"/>
      <c r="BL1675" s="71"/>
      <c r="BM1675" s="71"/>
      <c r="BN1675" s="71"/>
      <c r="BO1675" s="71"/>
      <c r="BP1675" s="71"/>
      <c r="BQ1675" s="71"/>
      <c r="BR1675" s="71"/>
      <c r="BS1675" s="71"/>
      <c r="BT1675" s="71"/>
      <c r="BU1675" s="71"/>
      <c r="BV1675" s="71"/>
    </row>
    <row r="1676">
      <c r="A1676" s="53"/>
      <c r="B1676" s="53">
        <v>3.0</v>
      </c>
      <c r="C1676" s="53" t="s">
        <v>36</v>
      </c>
      <c r="D1676" s="98" t="s">
        <v>4160</v>
      </c>
      <c r="E1676" s="54" t="s">
        <v>38</v>
      </c>
      <c r="F1676" s="55" t="s">
        <v>4105</v>
      </c>
      <c r="G1676" s="55" t="s">
        <v>4161</v>
      </c>
      <c r="H1676" s="55"/>
      <c r="I1676" s="54">
        <f t="shared" si="24"/>
        <v>0</v>
      </c>
      <c r="J1676" s="56"/>
      <c r="K1676" s="57"/>
      <c r="L1676" s="76"/>
      <c r="M1676" s="59"/>
      <c r="N1676" s="60"/>
      <c r="O1676" s="61">
        <v>60069.0</v>
      </c>
      <c r="P1676" s="62">
        <v>64874.520000000004</v>
      </c>
      <c r="Q1676" s="63">
        <v>64874.520000000004</v>
      </c>
      <c r="R1676" s="64">
        <v>71525.0</v>
      </c>
      <c r="S1676" s="107">
        <v>75101.0</v>
      </c>
      <c r="T1676" s="65">
        <f t="shared" si="39"/>
        <v>12016.16</v>
      </c>
      <c r="U1676" s="65">
        <f t="shared" si="40"/>
        <v>87117.16</v>
      </c>
      <c r="V1676" s="66">
        <f t="shared" si="68"/>
        <v>0.04999650472</v>
      </c>
      <c r="W1676" s="67">
        <f t="shared" si="5"/>
        <v>71345.95</v>
      </c>
      <c r="X1676" s="67">
        <f t="shared" si="61"/>
        <v>11415.352</v>
      </c>
      <c r="Y1676" s="67">
        <f t="shared" si="62"/>
        <v>82761.302</v>
      </c>
      <c r="Z1676" s="67">
        <f t="shared" si="8"/>
        <v>67590.9</v>
      </c>
      <c r="AA1676" s="67">
        <f t="shared" si="54"/>
        <v>10814.544</v>
      </c>
      <c r="AB1676" s="67">
        <f t="shared" si="55"/>
        <v>78405.444</v>
      </c>
      <c r="AC1676" s="67">
        <f t="shared" si="11"/>
        <v>67590.9</v>
      </c>
      <c r="AD1676" s="67">
        <f t="shared" si="56"/>
        <v>10814.544</v>
      </c>
      <c r="AE1676" s="67">
        <f t="shared" si="57"/>
        <v>78405.444</v>
      </c>
      <c r="AF1676" s="67">
        <f t="shared" si="33"/>
        <v>67590.9</v>
      </c>
      <c r="AG1676" s="67">
        <f t="shared" si="58"/>
        <v>10814.544</v>
      </c>
      <c r="AH1676" s="67">
        <f t="shared" si="59"/>
        <v>78405.444</v>
      </c>
      <c r="AI1676" s="67">
        <f t="shared" si="17"/>
        <v>67590.9</v>
      </c>
      <c r="AJ1676" s="68">
        <f t="shared" si="66"/>
        <v>10814.544</v>
      </c>
      <c r="AK1676" s="68">
        <f t="shared" si="67"/>
        <v>78405.444</v>
      </c>
      <c r="AL1676" s="70"/>
      <c r="AM1676" s="70"/>
      <c r="AN1676" s="71"/>
      <c r="AO1676" s="71"/>
      <c r="AP1676" s="71"/>
      <c r="AQ1676" s="71"/>
      <c r="AR1676" s="71"/>
      <c r="AS1676" s="71"/>
      <c r="AT1676" s="71"/>
      <c r="AU1676" s="71"/>
      <c r="AV1676" s="71"/>
      <c r="AW1676" s="71"/>
      <c r="AX1676" s="71"/>
      <c r="AY1676" s="71"/>
      <c r="AZ1676" s="71"/>
      <c r="BA1676" s="71"/>
      <c r="BB1676" s="71"/>
      <c r="BC1676" s="71"/>
      <c r="BD1676" s="71"/>
      <c r="BE1676" s="71"/>
      <c r="BF1676" s="71"/>
      <c r="BG1676" s="71"/>
      <c r="BH1676" s="71"/>
      <c r="BI1676" s="71"/>
      <c r="BJ1676" s="71"/>
      <c r="BK1676" s="71"/>
      <c r="BL1676" s="71"/>
      <c r="BM1676" s="71"/>
      <c r="BN1676" s="71"/>
      <c r="BO1676" s="71"/>
      <c r="BP1676" s="71"/>
      <c r="BQ1676" s="71"/>
      <c r="BR1676" s="71"/>
      <c r="BS1676" s="71"/>
      <c r="BT1676" s="71"/>
      <c r="BU1676" s="71"/>
      <c r="BV1676" s="71"/>
    </row>
    <row r="1677">
      <c r="A1677" s="53"/>
      <c r="B1677" s="53">
        <v>3.0</v>
      </c>
      <c r="C1677" s="53" t="s">
        <v>36</v>
      </c>
      <c r="D1677" s="98" t="s">
        <v>4162</v>
      </c>
      <c r="E1677" s="54" t="s">
        <v>38</v>
      </c>
      <c r="F1677" s="55" t="s">
        <v>4105</v>
      </c>
      <c r="G1677" s="55" t="s">
        <v>4163</v>
      </c>
      <c r="H1677" s="55"/>
      <c r="I1677" s="54">
        <f t="shared" si="24"/>
        <v>0</v>
      </c>
      <c r="J1677" s="56"/>
      <c r="K1677" s="57"/>
      <c r="L1677" s="76"/>
      <c r="M1677" s="59"/>
      <c r="N1677" s="60"/>
      <c r="O1677" s="61">
        <v>84430.0</v>
      </c>
      <c r="P1677" s="62">
        <v>91184.40000000001</v>
      </c>
      <c r="Q1677" s="63">
        <v>91184.40000000001</v>
      </c>
      <c r="R1677" s="64">
        <v>100531.0</v>
      </c>
      <c r="S1677" s="107">
        <v>105558.0</v>
      </c>
      <c r="T1677" s="65">
        <f t="shared" si="39"/>
        <v>16889.28</v>
      </c>
      <c r="U1677" s="65">
        <f t="shared" si="40"/>
        <v>122447.28</v>
      </c>
      <c r="V1677" s="66">
        <f t="shared" si="68"/>
        <v>0.05000447623</v>
      </c>
      <c r="W1677" s="67">
        <f t="shared" si="5"/>
        <v>100280.1</v>
      </c>
      <c r="X1677" s="67">
        <f t="shared" si="61"/>
        <v>16044.816</v>
      </c>
      <c r="Y1677" s="67">
        <f t="shared" si="62"/>
        <v>116324.916</v>
      </c>
      <c r="Z1677" s="67">
        <f t="shared" si="8"/>
        <v>95002.2</v>
      </c>
      <c r="AA1677" s="67">
        <f t="shared" si="54"/>
        <v>15200.352</v>
      </c>
      <c r="AB1677" s="67">
        <f t="shared" si="55"/>
        <v>110202.552</v>
      </c>
      <c r="AC1677" s="67">
        <f t="shared" si="11"/>
        <v>95002.2</v>
      </c>
      <c r="AD1677" s="67">
        <f t="shared" si="56"/>
        <v>15200.352</v>
      </c>
      <c r="AE1677" s="67">
        <f t="shared" si="57"/>
        <v>110202.552</v>
      </c>
      <c r="AF1677" s="67">
        <f t="shared" si="33"/>
        <v>95002.2</v>
      </c>
      <c r="AG1677" s="67">
        <f t="shared" si="58"/>
        <v>15200.352</v>
      </c>
      <c r="AH1677" s="67">
        <f t="shared" si="59"/>
        <v>110202.552</v>
      </c>
      <c r="AI1677" s="67">
        <f t="shared" si="17"/>
        <v>95002.2</v>
      </c>
      <c r="AJ1677" s="68">
        <f t="shared" si="66"/>
        <v>15200.352</v>
      </c>
      <c r="AK1677" s="68">
        <f t="shared" si="67"/>
        <v>110202.552</v>
      </c>
      <c r="AL1677" s="70"/>
      <c r="AM1677" s="70"/>
      <c r="AN1677" s="71"/>
      <c r="AO1677" s="71"/>
      <c r="AP1677" s="71"/>
      <c r="AQ1677" s="71"/>
      <c r="AR1677" s="71"/>
      <c r="AS1677" s="71"/>
      <c r="AT1677" s="71"/>
      <c r="AU1677" s="71"/>
      <c r="AV1677" s="71"/>
      <c r="AW1677" s="71"/>
      <c r="AX1677" s="71"/>
      <c r="AY1677" s="71"/>
      <c r="AZ1677" s="71"/>
      <c r="BA1677" s="71"/>
      <c r="BB1677" s="71"/>
      <c r="BC1677" s="71"/>
      <c r="BD1677" s="71"/>
      <c r="BE1677" s="71"/>
      <c r="BF1677" s="71"/>
      <c r="BG1677" s="71"/>
      <c r="BH1677" s="71"/>
      <c r="BI1677" s="71"/>
      <c r="BJ1677" s="71"/>
      <c r="BK1677" s="71"/>
      <c r="BL1677" s="71"/>
      <c r="BM1677" s="71"/>
      <c r="BN1677" s="71"/>
      <c r="BO1677" s="71"/>
      <c r="BP1677" s="71"/>
      <c r="BQ1677" s="71"/>
      <c r="BR1677" s="71"/>
      <c r="BS1677" s="71"/>
      <c r="BT1677" s="71"/>
      <c r="BU1677" s="71"/>
      <c r="BV1677" s="71"/>
    </row>
    <row r="1678">
      <c r="A1678" s="53"/>
      <c r="B1678" s="53">
        <v>3.0</v>
      </c>
      <c r="C1678" s="53" t="s">
        <v>36</v>
      </c>
      <c r="D1678" s="98" t="s">
        <v>4164</v>
      </c>
      <c r="E1678" s="54" t="s">
        <v>38</v>
      </c>
      <c r="F1678" s="55" t="s">
        <v>4105</v>
      </c>
      <c r="G1678" s="55" t="s">
        <v>4165</v>
      </c>
      <c r="H1678" s="55"/>
      <c r="I1678" s="54">
        <f t="shared" si="24"/>
        <v>0</v>
      </c>
      <c r="J1678" s="56"/>
      <c r="K1678" s="57"/>
      <c r="L1678" s="76"/>
      <c r="M1678" s="59"/>
      <c r="N1678" s="60"/>
      <c r="O1678" s="61">
        <v>140397.0</v>
      </c>
      <c r="P1678" s="62">
        <v>151628.76</v>
      </c>
      <c r="Q1678" s="63">
        <v>151628.76</v>
      </c>
      <c r="R1678" s="64">
        <v>167171.0</v>
      </c>
      <c r="S1678" s="107">
        <v>175530.0</v>
      </c>
      <c r="T1678" s="65">
        <f t="shared" si="39"/>
        <v>28084.8</v>
      </c>
      <c r="U1678" s="65">
        <f t="shared" si="40"/>
        <v>203614.8</v>
      </c>
      <c r="V1678" s="66">
        <f t="shared" si="68"/>
        <v>0.05000269185</v>
      </c>
      <c r="W1678" s="67">
        <f t="shared" si="5"/>
        <v>166753.5</v>
      </c>
      <c r="X1678" s="67">
        <f t="shared" si="61"/>
        <v>26680.56</v>
      </c>
      <c r="Y1678" s="67">
        <f t="shared" si="62"/>
        <v>193434.06</v>
      </c>
      <c r="Z1678" s="67">
        <f t="shared" si="8"/>
        <v>157977</v>
      </c>
      <c r="AA1678" s="67">
        <f t="shared" si="54"/>
        <v>25276.32</v>
      </c>
      <c r="AB1678" s="67">
        <f t="shared" si="55"/>
        <v>183253.32</v>
      </c>
      <c r="AC1678" s="67">
        <f t="shared" si="11"/>
        <v>157977</v>
      </c>
      <c r="AD1678" s="67">
        <f t="shared" si="56"/>
        <v>25276.32</v>
      </c>
      <c r="AE1678" s="67">
        <f t="shared" si="57"/>
        <v>183253.32</v>
      </c>
      <c r="AF1678" s="67">
        <f t="shared" si="33"/>
        <v>157977</v>
      </c>
      <c r="AG1678" s="67">
        <f t="shared" si="58"/>
        <v>25276.32</v>
      </c>
      <c r="AH1678" s="67">
        <f t="shared" si="59"/>
        <v>183253.32</v>
      </c>
      <c r="AI1678" s="67">
        <f t="shared" si="17"/>
        <v>157977</v>
      </c>
      <c r="AJ1678" s="68">
        <f t="shared" si="66"/>
        <v>25276.32</v>
      </c>
      <c r="AK1678" s="68">
        <f t="shared" si="67"/>
        <v>183253.32</v>
      </c>
      <c r="AL1678" s="70"/>
      <c r="AM1678" s="70"/>
      <c r="AN1678" s="71"/>
      <c r="AO1678" s="71"/>
      <c r="AP1678" s="71"/>
      <c r="AQ1678" s="71"/>
      <c r="AR1678" s="71"/>
      <c r="AS1678" s="71"/>
      <c r="AT1678" s="71"/>
      <c r="AU1678" s="71"/>
      <c r="AV1678" s="71"/>
      <c r="AW1678" s="71"/>
      <c r="AX1678" s="71"/>
      <c r="AY1678" s="71"/>
      <c r="AZ1678" s="71"/>
      <c r="BA1678" s="71"/>
      <c r="BB1678" s="71"/>
      <c r="BC1678" s="71"/>
      <c r="BD1678" s="71"/>
      <c r="BE1678" s="71"/>
      <c r="BF1678" s="71"/>
      <c r="BG1678" s="71"/>
      <c r="BH1678" s="71"/>
      <c r="BI1678" s="71"/>
      <c r="BJ1678" s="71"/>
      <c r="BK1678" s="71"/>
      <c r="BL1678" s="71"/>
      <c r="BM1678" s="71"/>
      <c r="BN1678" s="71"/>
      <c r="BO1678" s="71"/>
      <c r="BP1678" s="71"/>
      <c r="BQ1678" s="71"/>
      <c r="BR1678" s="71"/>
      <c r="BS1678" s="71"/>
      <c r="BT1678" s="71"/>
      <c r="BU1678" s="71"/>
      <c r="BV1678" s="71"/>
    </row>
    <row r="1679">
      <c r="A1679" s="53"/>
      <c r="B1679" s="53">
        <v>3.0</v>
      </c>
      <c r="C1679" s="53" t="s">
        <v>36</v>
      </c>
      <c r="D1679" s="98" t="s">
        <v>4166</v>
      </c>
      <c r="E1679" s="54" t="s">
        <v>38</v>
      </c>
      <c r="F1679" s="55" t="s">
        <v>4105</v>
      </c>
      <c r="G1679" s="55" t="s">
        <v>4167</v>
      </c>
      <c r="H1679" s="55"/>
      <c r="I1679" s="54">
        <f t="shared" si="24"/>
        <v>0</v>
      </c>
      <c r="J1679" s="56"/>
      <c r="K1679" s="57"/>
      <c r="L1679" s="76"/>
      <c r="M1679" s="59"/>
      <c r="N1679" s="60"/>
      <c r="O1679" s="61">
        <v>141119.0</v>
      </c>
      <c r="P1679" s="62">
        <v>152408.52000000002</v>
      </c>
      <c r="Q1679" s="63">
        <v>152408.52000000002</v>
      </c>
      <c r="R1679" s="64">
        <v>168031.0</v>
      </c>
      <c r="S1679" s="107">
        <v>176433.0</v>
      </c>
      <c r="T1679" s="65">
        <f t="shared" si="39"/>
        <v>28229.28</v>
      </c>
      <c r="U1679" s="65">
        <f t="shared" si="40"/>
        <v>204662.28</v>
      </c>
      <c r="V1679" s="66">
        <f t="shared" si="68"/>
        <v>0.05000267808</v>
      </c>
      <c r="W1679" s="67">
        <f t="shared" si="5"/>
        <v>167611.35</v>
      </c>
      <c r="X1679" s="67">
        <f t="shared" si="61"/>
        <v>26817.816</v>
      </c>
      <c r="Y1679" s="67">
        <f t="shared" si="62"/>
        <v>194429.166</v>
      </c>
      <c r="Z1679" s="67">
        <f t="shared" si="8"/>
        <v>158789.7</v>
      </c>
      <c r="AA1679" s="67">
        <f t="shared" si="54"/>
        <v>25406.352</v>
      </c>
      <c r="AB1679" s="67">
        <f t="shared" si="55"/>
        <v>184196.052</v>
      </c>
      <c r="AC1679" s="67">
        <f t="shared" si="11"/>
        <v>158789.7</v>
      </c>
      <c r="AD1679" s="67">
        <f t="shared" si="56"/>
        <v>25406.352</v>
      </c>
      <c r="AE1679" s="67">
        <f t="shared" si="57"/>
        <v>184196.052</v>
      </c>
      <c r="AF1679" s="67">
        <f t="shared" si="33"/>
        <v>158789.7</v>
      </c>
      <c r="AG1679" s="67">
        <f t="shared" si="58"/>
        <v>25406.352</v>
      </c>
      <c r="AH1679" s="67">
        <f t="shared" si="59"/>
        <v>184196.052</v>
      </c>
      <c r="AI1679" s="67">
        <f t="shared" si="17"/>
        <v>158789.7</v>
      </c>
      <c r="AJ1679" s="68">
        <f t="shared" si="66"/>
        <v>25406.352</v>
      </c>
      <c r="AK1679" s="68">
        <f t="shared" si="67"/>
        <v>184196.052</v>
      </c>
      <c r="AL1679" s="70"/>
      <c r="AM1679" s="70"/>
      <c r="AN1679" s="71"/>
      <c r="AO1679" s="71"/>
      <c r="AP1679" s="71"/>
      <c r="AQ1679" s="71"/>
      <c r="AR1679" s="71"/>
      <c r="AS1679" s="71"/>
      <c r="AT1679" s="71"/>
      <c r="AU1679" s="71"/>
      <c r="AV1679" s="71"/>
      <c r="AW1679" s="71"/>
      <c r="AX1679" s="71"/>
      <c r="AY1679" s="71"/>
      <c r="AZ1679" s="71"/>
      <c r="BA1679" s="71"/>
      <c r="BB1679" s="71"/>
      <c r="BC1679" s="71"/>
      <c r="BD1679" s="71"/>
      <c r="BE1679" s="71"/>
      <c r="BF1679" s="71"/>
      <c r="BG1679" s="71"/>
      <c r="BH1679" s="71"/>
      <c r="BI1679" s="71"/>
      <c r="BJ1679" s="71"/>
      <c r="BK1679" s="71"/>
      <c r="BL1679" s="71"/>
      <c r="BM1679" s="71"/>
      <c r="BN1679" s="71"/>
      <c r="BO1679" s="71"/>
      <c r="BP1679" s="71"/>
      <c r="BQ1679" s="71"/>
      <c r="BR1679" s="71"/>
      <c r="BS1679" s="71"/>
      <c r="BT1679" s="71"/>
      <c r="BU1679" s="71"/>
      <c r="BV1679" s="71"/>
    </row>
    <row r="1680">
      <c r="A1680" s="53"/>
      <c r="B1680" s="53">
        <v>3.0</v>
      </c>
      <c r="C1680" s="53" t="s">
        <v>36</v>
      </c>
      <c r="D1680" s="85" t="s">
        <v>4168</v>
      </c>
      <c r="E1680" s="54" t="s">
        <v>38</v>
      </c>
      <c r="F1680" s="55" t="s">
        <v>4105</v>
      </c>
      <c r="G1680" s="55" t="s">
        <v>4169</v>
      </c>
      <c r="H1680" s="55"/>
      <c r="I1680" s="54">
        <f t="shared" si="24"/>
        <v>0</v>
      </c>
      <c r="J1680" s="56"/>
      <c r="K1680" s="57"/>
      <c r="L1680" s="76"/>
      <c r="M1680" s="59"/>
      <c r="N1680" s="60"/>
      <c r="O1680" s="61">
        <v>143042.0</v>
      </c>
      <c r="P1680" s="62">
        <v>154485.36000000002</v>
      </c>
      <c r="Q1680" s="63">
        <v>154485.36000000002</v>
      </c>
      <c r="R1680" s="64">
        <v>170320.0</v>
      </c>
      <c r="S1680" s="107">
        <v>178836.0</v>
      </c>
      <c r="T1680" s="65">
        <f t="shared" si="39"/>
        <v>28613.76</v>
      </c>
      <c r="U1680" s="65">
        <f t="shared" si="40"/>
        <v>207449.76</v>
      </c>
      <c r="V1680" s="66">
        <f t="shared" si="68"/>
        <v>0.05</v>
      </c>
      <c r="W1680" s="67">
        <f t="shared" si="5"/>
        <v>169894.2</v>
      </c>
      <c r="X1680" s="67">
        <f t="shared" si="61"/>
        <v>27183.072</v>
      </c>
      <c r="Y1680" s="67">
        <f t="shared" si="62"/>
        <v>197077.272</v>
      </c>
      <c r="Z1680" s="67">
        <f t="shared" si="8"/>
        <v>160952.4</v>
      </c>
      <c r="AA1680" s="67">
        <f t="shared" si="54"/>
        <v>25752.384</v>
      </c>
      <c r="AB1680" s="67">
        <f t="shared" si="55"/>
        <v>186704.784</v>
      </c>
      <c r="AC1680" s="67">
        <f t="shared" si="11"/>
        <v>160952.4</v>
      </c>
      <c r="AD1680" s="67">
        <f t="shared" si="56"/>
        <v>25752.384</v>
      </c>
      <c r="AE1680" s="67">
        <f t="shared" si="57"/>
        <v>186704.784</v>
      </c>
      <c r="AF1680" s="67">
        <f t="shared" si="33"/>
        <v>160952.4</v>
      </c>
      <c r="AG1680" s="67">
        <f t="shared" si="58"/>
        <v>25752.384</v>
      </c>
      <c r="AH1680" s="67">
        <f t="shared" si="59"/>
        <v>186704.784</v>
      </c>
      <c r="AI1680" s="67">
        <f t="shared" si="17"/>
        <v>160952.4</v>
      </c>
      <c r="AJ1680" s="68">
        <f t="shared" si="66"/>
        <v>25752.384</v>
      </c>
      <c r="AK1680" s="68">
        <f t="shared" si="67"/>
        <v>186704.784</v>
      </c>
      <c r="AL1680" s="70"/>
      <c r="AM1680" s="70"/>
      <c r="AN1680" s="71"/>
      <c r="AO1680" s="71"/>
      <c r="AP1680" s="71"/>
      <c r="AQ1680" s="71"/>
      <c r="AR1680" s="71"/>
      <c r="AS1680" s="71"/>
      <c r="AT1680" s="71"/>
      <c r="AU1680" s="71"/>
      <c r="AV1680" s="71"/>
      <c r="AW1680" s="71"/>
      <c r="AX1680" s="71"/>
      <c r="AY1680" s="71"/>
      <c r="AZ1680" s="71"/>
      <c r="BA1680" s="71"/>
      <c r="BB1680" s="71"/>
      <c r="BC1680" s="71"/>
      <c r="BD1680" s="71"/>
      <c r="BE1680" s="71"/>
      <c r="BF1680" s="71"/>
      <c r="BG1680" s="71"/>
      <c r="BH1680" s="71"/>
      <c r="BI1680" s="71"/>
      <c r="BJ1680" s="71"/>
      <c r="BK1680" s="71"/>
      <c r="BL1680" s="71"/>
      <c r="BM1680" s="71"/>
      <c r="BN1680" s="71"/>
      <c r="BO1680" s="71"/>
      <c r="BP1680" s="71"/>
      <c r="BQ1680" s="71"/>
      <c r="BR1680" s="71"/>
      <c r="BS1680" s="71"/>
      <c r="BT1680" s="71"/>
      <c r="BU1680" s="71"/>
      <c r="BV1680" s="71"/>
    </row>
    <row r="1681">
      <c r="A1681" s="53"/>
      <c r="B1681" s="53">
        <v>3.0</v>
      </c>
      <c r="C1681" s="53" t="s">
        <v>36</v>
      </c>
      <c r="D1681" s="98" t="s">
        <v>4170</v>
      </c>
      <c r="E1681" s="54" t="s">
        <v>38</v>
      </c>
      <c r="F1681" s="55" t="s">
        <v>4105</v>
      </c>
      <c r="G1681" s="55" t="s">
        <v>4171</v>
      </c>
      <c r="H1681" s="55"/>
      <c r="I1681" s="54">
        <f t="shared" si="24"/>
        <v>0</v>
      </c>
      <c r="J1681" s="56"/>
      <c r="K1681" s="57"/>
      <c r="L1681" s="76"/>
      <c r="M1681" s="59"/>
      <c r="N1681" s="60"/>
      <c r="O1681" s="61">
        <v>68146.0</v>
      </c>
      <c r="P1681" s="62">
        <v>73597.68000000001</v>
      </c>
      <c r="Q1681" s="63">
        <v>73597.68000000001</v>
      </c>
      <c r="R1681" s="64">
        <v>81142.0</v>
      </c>
      <c r="S1681" s="107">
        <v>85199.0</v>
      </c>
      <c r="T1681" s="65">
        <f t="shared" si="39"/>
        <v>13631.84</v>
      </c>
      <c r="U1681" s="65">
        <f t="shared" si="40"/>
        <v>98830.84</v>
      </c>
      <c r="V1681" s="66">
        <f t="shared" si="68"/>
        <v>0.04999876759</v>
      </c>
      <c r="W1681" s="67">
        <f t="shared" si="5"/>
        <v>80939.05</v>
      </c>
      <c r="X1681" s="67">
        <f t="shared" si="61"/>
        <v>12950.248</v>
      </c>
      <c r="Y1681" s="67">
        <f t="shared" si="62"/>
        <v>93889.298</v>
      </c>
      <c r="Z1681" s="67">
        <f t="shared" si="8"/>
        <v>76679.1</v>
      </c>
      <c r="AA1681" s="67">
        <f t="shared" si="54"/>
        <v>12268.656</v>
      </c>
      <c r="AB1681" s="67">
        <f t="shared" si="55"/>
        <v>88947.756</v>
      </c>
      <c r="AC1681" s="67">
        <f t="shared" si="11"/>
        <v>76679.1</v>
      </c>
      <c r="AD1681" s="67">
        <f t="shared" si="56"/>
        <v>12268.656</v>
      </c>
      <c r="AE1681" s="67">
        <f t="shared" si="57"/>
        <v>88947.756</v>
      </c>
      <c r="AF1681" s="67">
        <f t="shared" si="33"/>
        <v>76679.1</v>
      </c>
      <c r="AG1681" s="67">
        <f t="shared" si="58"/>
        <v>12268.656</v>
      </c>
      <c r="AH1681" s="67">
        <f t="shared" si="59"/>
        <v>88947.756</v>
      </c>
      <c r="AI1681" s="67">
        <f t="shared" si="17"/>
        <v>76679.1</v>
      </c>
      <c r="AJ1681" s="68">
        <f t="shared" si="66"/>
        <v>12268.656</v>
      </c>
      <c r="AK1681" s="68">
        <f t="shared" si="67"/>
        <v>88947.756</v>
      </c>
      <c r="AL1681" s="70"/>
      <c r="AM1681" s="70"/>
      <c r="AN1681" s="71"/>
      <c r="AO1681" s="71"/>
      <c r="AP1681" s="71"/>
      <c r="AQ1681" s="71"/>
      <c r="AR1681" s="71"/>
      <c r="AS1681" s="71"/>
      <c r="AT1681" s="71"/>
      <c r="AU1681" s="71"/>
      <c r="AV1681" s="71"/>
      <c r="AW1681" s="71"/>
      <c r="AX1681" s="71"/>
      <c r="AY1681" s="71"/>
      <c r="AZ1681" s="71"/>
      <c r="BA1681" s="71"/>
      <c r="BB1681" s="71"/>
      <c r="BC1681" s="71"/>
      <c r="BD1681" s="71"/>
      <c r="BE1681" s="71"/>
      <c r="BF1681" s="71"/>
      <c r="BG1681" s="71"/>
      <c r="BH1681" s="71"/>
      <c r="BI1681" s="71"/>
      <c r="BJ1681" s="71"/>
      <c r="BK1681" s="71"/>
      <c r="BL1681" s="71"/>
      <c r="BM1681" s="71"/>
      <c r="BN1681" s="71"/>
      <c r="BO1681" s="71"/>
      <c r="BP1681" s="71"/>
      <c r="BQ1681" s="71"/>
      <c r="BR1681" s="71"/>
      <c r="BS1681" s="71"/>
      <c r="BT1681" s="71"/>
      <c r="BU1681" s="71"/>
      <c r="BV1681" s="71"/>
    </row>
    <row r="1682">
      <c r="A1682" s="53"/>
      <c r="B1682" s="53">
        <v>3.0</v>
      </c>
      <c r="C1682" s="53" t="s">
        <v>36</v>
      </c>
      <c r="D1682" s="98" t="s">
        <v>4172</v>
      </c>
      <c r="E1682" s="54" t="s">
        <v>38</v>
      </c>
      <c r="F1682" s="55" t="s">
        <v>4105</v>
      </c>
      <c r="G1682" s="55" t="s">
        <v>4171</v>
      </c>
      <c r="H1682" s="55"/>
      <c r="I1682" s="54">
        <f t="shared" si="24"/>
        <v>0</v>
      </c>
      <c r="J1682" s="56"/>
      <c r="K1682" s="57"/>
      <c r="L1682" s="76"/>
      <c r="M1682" s="59"/>
      <c r="N1682" s="60"/>
      <c r="O1682" s="61">
        <v>0.0</v>
      </c>
      <c r="P1682" s="62">
        <v>0.0</v>
      </c>
      <c r="Q1682" s="63">
        <v>0.0</v>
      </c>
      <c r="R1682" s="64">
        <v>0.0</v>
      </c>
      <c r="S1682" s="107">
        <v>0.0</v>
      </c>
      <c r="T1682" s="65">
        <f t="shared" si="39"/>
        <v>0</v>
      </c>
      <c r="U1682" s="65">
        <f t="shared" si="40"/>
        <v>0</v>
      </c>
      <c r="V1682" s="66" t="str">
        <f t="shared" si="68"/>
        <v>#DIV/0!</v>
      </c>
      <c r="W1682" s="67">
        <f t="shared" si="5"/>
        <v>0</v>
      </c>
      <c r="X1682" s="67">
        <f t="shared" si="61"/>
        <v>0</v>
      </c>
      <c r="Y1682" s="67">
        <f t="shared" si="62"/>
        <v>0</v>
      </c>
      <c r="Z1682" s="67">
        <f t="shared" si="8"/>
        <v>0</v>
      </c>
      <c r="AA1682" s="67">
        <f t="shared" si="54"/>
        <v>0</v>
      </c>
      <c r="AB1682" s="67">
        <f t="shared" si="55"/>
        <v>0</v>
      </c>
      <c r="AC1682" s="67">
        <f t="shared" si="11"/>
        <v>0</v>
      </c>
      <c r="AD1682" s="67">
        <f t="shared" si="56"/>
        <v>0</v>
      </c>
      <c r="AE1682" s="67">
        <f t="shared" si="57"/>
        <v>0</v>
      </c>
      <c r="AF1682" s="67">
        <f t="shared" si="33"/>
        <v>0</v>
      </c>
      <c r="AG1682" s="67">
        <f t="shared" si="58"/>
        <v>0</v>
      </c>
      <c r="AH1682" s="67">
        <f t="shared" si="59"/>
        <v>0</v>
      </c>
      <c r="AI1682" s="67">
        <f t="shared" si="17"/>
        <v>0</v>
      </c>
      <c r="AJ1682" s="68">
        <f t="shared" si="66"/>
        <v>0</v>
      </c>
      <c r="AK1682" s="68">
        <f t="shared" si="67"/>
        <v>0</v>
      </c>
      <c r="AL1682" s="70"/>
      <c r="AM1682" s="70"/>
      <c r="AN1682" s="71"/>
      <c r="AO1682" s="71"/>
      <c r="AP1682" s="71"/>
      <c r="AQ1682" s="71"/>
      <c r="AR1682" s="71"/>
      <c r="AS1682" s="71"/>
      <c r="AT1682" s="71"/>
      <c r="AU1682" s="71"/>
      <c r="AV1682" s="71"/>
      <c r="AW1682" s="71"/>
      <c r="AX1682" s="71"/>
      <c r="AY1682" s="71"/>
      <c r="AZ1682" s="71"/>
      <c r="BA1682" s="71"/>
      <c r="BB1682" s="71"/>
      <c r="BC1682" s="71"/>
      <c r="BD1682" s="71"/>
      <c r="BE1682" s="71"/>
      <c r="BF1682" s="71"/>
      <c r="BG1682" s="71"/>
      <c r="BH1682" s="71"/>
      <c r="BI1682" s="71"/>
      <c r="BJ1682" s="71"/>
      <c r="BK1682" s="71"/>
      <c r="BL1682" s="71"/>
      <c r="BM1682" s="71"/>
      <c r="BN1682" s="71"/>
      <c r="BO1682" s="71"/>
      <c r="BP1682" s="71"/>
      <c r="BQ1682" s="71"/>
      <c r="BR1682" s="71"/>
      <c r="BS1682" s="71"/>
      <c r="BT1682" s="71"/>
      <c r="BU1682" s="71"/>
      <c r="BV1682" s="71"/>
    </row>
    <row r="1683">
      <c r="A1683" s="53"/>
      <c r="B1683" s="53">
        <v>3.0</v>
      </c>
      <c r="C1683" s="53" t="s">
        <v>36</v>
      </c>
      <c r="D1683" s="98" t="s">
        <v>4173</v>
      </c>
      <c r="E1683" s="54" t="s">
        <v>38</v>
      </c>
      <c r="F1683" s="55" t="s">
        <v>4105</v>
      </c>
      <c r="G1683" s="55" t="s">
        <v>4174</v>
      </c>
      <c r="H1683" s="55"/>
      <c r="I1683" s="54">
        <f t="shared" si="24"/>
        <v>0</v>
      </c>
      <c r="J1683" s="56"/>
      <c r="K1683" s="57"/>
      <c r="L1683" s="76"/>
      <c r="M1683" s="59"/>
      <c r="N1683" s="60"/>
      <c r="O1683" s="61">
        <v>146648.0</v>
      </c>
      <c r="P1683" s="62">
        <v>158379.84</v>
      </c>
      <c r="Q1683" s="63">
        <v>158379.84</v>
      </c>
      <c r="R1683" s="64">
        <v>174614.0</v>
      </c>
      <c r="S1683" s="107">
        <v>183345.0</v>
      </c>
      <c r="T1683" s="65">
        <f t="shared" si="39"/>
        <v>29335.2</v>
      </c>
      <c r="U1683" s="65">
        <f t="shared" si="40"/>
        <v>212680.2</v>
      </c>
      <c r="V1683" s="66">
        <f t="shared" si="68"/>
        <v>0.05000171808</v>
      </c>
      <c r="W1683" s="67">
        <f t="shared" si="5"/>
        <v>174177.75</v>
      </c>
      <c r="X1683" s="67">
        <f t="shared" si="61"/>
        <v>27868.44</v>
      </c>
      <c r="Y1683" s="67">
        <f t="shared" si="62"/>
        <v>202046.19</v>
      </c>
      <c r="Z1683" s="67">
        <f t="shared" si="8"/>
        <v>165010.5</v>
      </c>
      <c r="AA1683" s="67">
        <f t="shared" si="54"/>
        <v>26401.68</v>
      </c>
      <c r="AB1683" s="67">
        <f t="shared" si="55"/>
        <v>191412.18</v>
      </c>
      <c r="AC1683" s="67">
        <f t="shared" si="11"/>
        <v>165010.5</v>
      </c>
      <c r="AD1683" s="67">
        <f t="shared" si="56"/>
        <v>26401.68</v>
      </c>
      <c r="AE1683" s="67">
        <f t="shared" si="57"/>
        <v>191412.18</v>
      </c>
      <c r="AF1683" s="67">
        <f t="shared" si="33"/>
        <v>165010.5</v>
      </c>
      <c r="AG1683" s="67">
        <f t="shared" si="58"/>
        <v>26401.68</v>
      </c>
      <c r="AH1683" s="67">
        <f t="shared" si="59"/>
        <v>191412.18</v>
      </c>
      <c r="AI1683" s="67">
        <f t="shared" si="17"/>
        <v>165010.5</v>
      </c>
      <c r="AJ1683" s="68">
        <f t="shared" si="66"/>
        <v>26401.68</v>
      </c>
      <c r="AK1683" s="68">
        <f t="shared" si="67"/>
        <v>191412.18</v>
      </c>
      <c r="AL1683" s="70"/>
      <c r="AM1683" s="70"/>
      <c r="AN1683" s="71"/>
      <c r="AO1683" s="71"/>
      <c r="AP1683" s="71"/>
      <c r="AQ1683" s="71"/>
      <c r="AR1683" s="71"/>
      <c r="AS1683" s="71"/>
      <c r="AT1683" s="71"/>
      <c r="AU1683" s="71"/>
      <c r="AV1683" s="71"/>
      <c r="AW1683" s="71"/>
      <c r="AX1683" s="71"/>
      <c r="AY1683" s="71"/>
      <c r="AZ1683" s="71"/>
      <c r="BA1683" s="71"/>
      <c r="BB1683" s="71"/>
      <c r="BC1683" s="71"/>
      <c r="BD1683" s="71"/>
      <c r="BE1683" s="71"/>
      <c r="BF1683" s="71"/>
      <c r="BG1683" s="71"/>
      <c r="BH1683" s="71"/>
      <c r="BI1683" s="71"/>
      <c r="BJ1683" s="71"/>
      <c r="BK1683" s="71"/>
      <c r="BL1683" s="71"/>
      <c r="BM1683" s="71"/>
      <c r="BN1683" s="71"/>
      <c r="BO1683" s="71"/>
      <c r="BP1683" s="71"/>
      <c r="BQ1683" s="71"/>
      <c r="BR1683" s="71"/>
      <c r="BS1683" s="71"/>
      <c r="BT1683" s="71"/>
      <c r="BU1683" s="71"/>
      <c r="BV1683" s="71"/>
    </row>
    <row r="1684">
      <c r="A1684" s="53"/>
      <c r="B1684" s="53">
        <v>3.0</v>
      </c>
      <c r="C1684" s="53" t="s">
        <v>36</v>
      </c>
      <c r="D1684" s="98" t="s">
        <v>4175</v>
      </c>
      <c r="E1684" s="54" t="s">
        <v>38</v>
      </c>
      <c r="F1684" s="55" t="s">
        <v>4105</v>
      </c>
      <c r="G1684" s="55" t="s">
        <v>4176</v>
      </c>
      <c r="H1684" s="55"/>
      <c r="I1684" s="54">
        <f t="shared" si="24"/>
        <v>0</v>
      </c>
      <c r="J1684" s="56"/>
      <c r="K1684" s="57"/>
      <c r="L1684" s="76"/>
      <c r="M1684" s="59"/>
      <c r="N1684" s="60"/>
      <c r="O1684" s="61">
        <v>147970.0</v>
      </c>
      <c r="P1684" s="62">
        <v>159807.6</v>
      </c>
      <c r="Q1684" s="63">
        <v>159807.6</v>
      </c>
      <c r="R1684" s="64">
        <v>176188.0</v>
      </c>
      <c r="S1684" s="107">
        <v>184997.0</v>
      </c>
      <c r="T1684" s="65">
        <f t="shared" si="39"/>
        <v>29599.52</v>
      </c>
      <c r="U1684" s="65">
        <f t="shared" si="40"/>
        <v>214596.52</v>
      </c>
      <c r="V1684" s="66">
        <f t="shared" si="68"/>
        <v>0.0499977297</v>
      </c>
      <c r="W1684" s="67">
        <f t="shared" si="5"/>
        <v>175747.15</v>
      </c>
      <c r="X1684" s="67">
        <f t="shared" si="61"/>
        <v>28119.544</v>
      </c>
      <c r="Y1684" s="67">
        <f t="shared" si="62"/>
        <v>203866.694</v>
      </c>
      <c r="Z1684" s="67">
        <f t="shared" si="8"/>
        <v>166497.3</v>
      </c>
      <c r="AA1684" s="67">
        <f t="shared" si="54"/>
        <v>26639.568</v>
      </c>
      <c r="AB1684" s="67">
        <f t="shared" si="55"/>
        <v>193136.868</v>
      </c>
      <c r="AC1684" s="67">
        <f t="shared" si="11"/>
        <v>166497.3</v>
      </c>
      <c r="AD1684" s="67">
        <f t="shared" si="56"/>
        <v>26639.568</v>
      </c>
      <c r="AE1684" s="67">
        <f t="shared" si="57"/>
        <v>193136.868</v>
      </c>
      <c r="AF1684" s="67">
        <f t="shared" si="33"/>
        <v>166497.3</v>
      </c>
      <c r="AG1684" s="67">
        <f t="shared" si="58"/>
        <v>26639.568</v>
      </c>
      <c r="AH1684" s="67">
        <f t="shared" si="59"/>
        <v>193136.868</v>
      </c>
      <c r="AI1684" s="67">
        <f t="shared" si="17"/>
        <v>166497.3</v>
      </c>
      <c r="AJ1684" s="68">
        <f t="shared" si="66"/>
        <v>26639.568</v>
      </c>
      <c r="AK1684" s="68">
        <f t="shared" si="67"/>
        <v>193136.868</v>
      </c>
      <c r="AL1684" s="70"/>
      <c r="AM1684" s="70"/>
      <c r="AN1684" s="71"/>
      <c r="AO1684" s="71"/>
      <c r="AP1684" s="71"/>
      <c r="AQ1684" s="71"/>
      <c r="AR1684" s="71"/>
      <c r="AS1684" s="71"/>
      <c r="AT1684" s="71"/>
      <c r="AU1684" s="71"/>
      <c r="AV1684" s="71"/>
      <c r="AW1684" s="71"/>
      <c r="AX1684" s="71"/>
      <c r="AY1684" s="71"/>
      <c r="AZ1684" s="71"/>
      <c r="BA1684" s="71"/>
      <c r="BB1684" s="71"/>
      <c r="BC1684" s="71"/>
      <c r="BD1684" s="71"/>
      <c r="BE1684" s="71"/>
      <c r="BF1684" s="71"/>
      <c r="BG1684" s="71"/>
      <c r="BH1684" s="71"/>
      <c r="BI1684" s="71"/>
      <c r="BJ1684" s="71"/>
      <c r="BK1684" s="71"/>
      <c r="BL1684" s="71"/>
      <c r="BM1684" s="71"/>
      <c r="BN1684" s="71"/>
      <c r="BO1684" s="71"/>
      <c r="BP1684" s="71"/>
      <c r="BQ1684" s="71"/>
      <c r="BR1684" s="71"/>
      <c r="BS1684" s="71"/>
      <c r="BT1684" s="71"/>
      <c r="BU1684" s="71"/>
      <c r="BV1684" s="71"/>
    </row>
    <row r="1685">
      <c r="A1685" s="53"/>
      <c r="B1685" s="53">
        <v>3.0</v>
      </c>
      <c r="C1685" s="53" t="s">
        <v>36</v>
      </c>
      <c r="D1685" s="85" t="s">
        <v>4177</v>
      </c>
      <c r="E1685" s="54" t="s">
        <v>38</v>
      </c>
      <c r="F1685" s="55" t="s">
        <v>4105</v>
      </c>
      <c r="G1685" s="55" t="s">
        <v>4178</v>
      </c>
      <c r="H1685" s="55"/>
      <c r="I1685" s="54">
        <f t="shared" si="24"/>
        <v>0</v>
      </c>
      <c r="J1685" s="56"/>
      <c r="K1685" s="57"/>
      <c r="L1685" s="76"/>
      <c r="M1685" s="59"/>
      <c r="N1685" s="60"/>
      <c r="O1685" s="61">
        <v>53724.0</v>
      </c>
      <c r="P1685" s="62">
        <v>58021.920000000006</v>
      </c>
      <c r="Q1685" s="63">
        <v>58021.920000000006</v>
      </c>
      <c r="R1685" s="64">
        <v>63970.0</v>
      </c>
      <c r="S1685" s="107">
        <v>67169.0</v>
      </c>
      <c r="T1685" s="65">
        <f t="shared" si="39"/>
        <v>10747.04</v>
      </c>
      <c r="U1685" s="65">
        <f t="shared" si="40"/>
        <v>77916.04</v>
      </c>
      <c r="V1685" s="66">
        <f t="shared" si="68"/>
        <v>0.05000781616</v>
      </c>
      <c r="W1685" s="67">
        <f t="shared" si="5"/>
        <v>63810.55</v>
      </c>
      <c r="X1685" s="67">
        <f t="shared" si="61"/>
        <v>10209.688</v>
      </c>
      <c r="Y1685" s="67">
        <f t="shared" si="62"/>
        <v>74020.238</v>
      </c>
      <c r="Z1685" s="67">
        <f t="shared" si="8"/>
        <v>60452.1</v>
      </c>
      <c r="AA1685" s="67">
        <f t="shared" si="54"/>
        <v>9672.336</v>
      </c>
      <c r="AB1685" s="67">
        <f t="shared" si="55"/>
        <v>70124.436</v>
      </c>
      <c r="AC1685" s="67">
        <f t="shared" si="11"/>
        <v>60452.1</v>
      </c>
      <c r="AD1685" s="67">
        <f t="shared" si="56"/>
        <v>9672.336</v>
      </c>
      <c r="AE1685" s="67">
        <f t="shared" si="57"/>
        <v>70124.436</v>
      </c>
      <c r="AF1685" s="67">
        <f t="shared" si="33"/>
        <v>60452.1</v>
      </c>
      <c r="AG1685" s="67">
        <f t="shared" si="58"/>
        <v>9672.336</v>
      </c>
      <c r="AH1685" s="67">
        <f t="shared" si="59"/>
        <v>70124.436</v>
      </c>
      <c r="AI1685" s="67">
        <f t="shared" si="17"/>
        <v>60452.1</v>
      </c>
      <c r="AJ1685" s="68">
        <f t="shared" si="66"/>
        <v>9672.336</v>
      </c>
      <c r="AK1685" s="68">
        <f t="shared" si="67"/>
        <v>70124.436</v>
      </c>
      <c r="AL1685" s="70"/>
      <c r="AM1685" s="70"/>
      <c r="AN1685" s="71"/>
      <c r="AO1685" s="71"/>
      <c r="AP1685" s="71"/>
      <c r="AQ1685" s="71"/>
      <c r="AR1685" s="71"/>
      <c r="AS1685" s="71"/>
      <c r="AT1685" s="71"/>
      <c r="AU1685" s="71"/>
      <c r="AV1685" s="71"/>
      <c r="AW1685" s="71"/>
      <c r="AX1685" s="71"/>
      <c r="AY1685" s="71"/>
      <c r="AZ1685" s="71"/>
      <c r="BA1685" s="71"/>
      <c r="BB1685" s="71"/>
      <c r="BC1685" s="71"/>
      <c r="BD1685" s="71"/>
      <c r="BE1685" s="71"/>
      <c r="BF1685" s="71"/>
      <c r="BG1685" s="71"/>
      <c r="BH1685" s="71"/>
      <c r="BI1685" s="71"/>
      <c r="BJ1685" s="71"/>
      <c r="BK1685" s="71"/>
      <c r="BL1685" s="71"/>
      <c r="BM1685" s="71"/>
      <c r="BN1685" s="71"/>
      <c r="BO1685" s="71"/>
      <c r="BP1685" s="71"/>
      <c r="BQ1685" s="71"/>
      <c r="BR1685" s="71"/>
      <c r="BS1685" s="71"/>
      <c r="BT1685" s="71"/>
      <c r="BU1685" s="71"/>
      <c r="BV1685" s="71"/>
    </row>
    <row r="1686">
      <c r="A1686" s="53"/>
      <c r="B1686" s="53">
        <v>3.0</v>
      </c>
      <c r="C1686" s="53" t="s">
        <v>36</v>
      </c>
      <c r="D1686" s="98" t="s">
        <v>4179</v>
      </c>
      <c r="E1686" s="54" t="s">
        <v>38</v>
      </c>
      <c r="F1686" s="55" t="s">
        <v>4105</v>
      </c>
      <c r="G1686" s="55" t="s">
        <v>4180</v>
      </c>
      <c r="H1686" s="55"/>
      <c r="I1686" s="54">
        <f t="shared" si="24"/>
        <v>0</v>
      </c>
      <c r="J1686" s="56"/>
      <c r="K1686" s="57"/>
      <c r="L1686" s="76"/>
      <c r="M1686" s="59"/>
      <c r="N1686" s="60"/>
      <c r="O1686" s="61">
        <v>203745.0</v>
      </c>
      <c r="P1686" s="62">
        <v>220044.6</v>
      </c>
      <c r="Q1686" s="63">
        <v>220044.6</v>
      </c>
      <c r="R1686" s="64">
        <v>242600.0</v>
      </c>
      <c r="S1686" s="107">
        <v>254730.0</v>
      </c>
      <c r="T1686" s="65">
        <f t="shared" si="39"/>
        <v>40756.8</v>
      </c>
      <c r="U1686" s="65">
        <f t="shared" si="40"/>
        <v>295486.8</v>
      </c>
      <c r="V1686" s="66">
        <f t="shared" si="68"/>
        <v>0.05</v>
      </c>
      <c r="W1686" s="67">
        <f t="shared" si="5"/>
        <v>241993.5</v>
      </c>
      <c r="X1686" s="67">
        <f t="shared" si="61"/>
        <v>38718.96</v>
      </c>
      <c r="Y1686" s="67">
        <f t="shared" si="62"/>
        <v>280712.46</v>
      </c>
      <c r="Z1686" s="67">
        <f t="shared" si="8"/>
        <v>229257</v>
      </c>
      <c r="AA1686" s="67">
        <f t="shared" si="54"/>
        <v>36681.12</v>
      </c>
      <c r="AB1686" s="67">
        <f t="shared" si="55"/>
        <v>265938.12</v>
      </c>
      <c r="AC1686" s="67">
        <f t="shared" si="11"/>
        <v>229257</v>
      </c>
      <c r="AD1686" s="67">
        <f t="shared" si="56"/>
        <v>36681.12</v>
      </c>
      <c r="AE1686" s="67">
        <f t="shared" si="57"/>
        <v>265938.12</v>
      </c>
      <c r="AF1686" s="67">
        <f t="shared" si="33"/>
        <v>229257</v>
      </c>
      <c r="AG1686" s="67">
        <f t="shared" si="58"/>
        <v>36681.12</v>
      </c>
      <c r="AH1686" s="67">
        <f t="shared" si="59"/>
        <v>265938.12</v>
      </c>
      <c r="AI1686" s="67">
        <f t="shared" si="17"/>
        <v>229257</v>
      </c>
      <c r="AJ1686" s="68">
        <f t="shared" si="66"/>
        <v>36681.12</v>
      </c>
      <c r="AK1686" s="68">
        <f t="shared" si="67"/>
        <v>265938.12</v>
      </c>
      <c r="AL1686" s="70"/>
      <c r="AM1686" s="70"/>
      <c r="AN1686" s="71"/>
      <c r="AO1686" s="71"/>
      <c r="AP1686" s="71"/>
      <c r="AQ1686" s="71"/>
      <c r="AR1686" s="71"/>
      <c r="AS1686" s="71"/>
      <c r="AT1686" s="71"/>
      <c r="AU1686" s="71"/>
      <c r="AV1686" s="71"/>
      <c r="AW1686" s="71"/>
      <c r="AX1686" s="71"/>
      <c r="AY1686" s="71"/>
      <c r="AZ1686" s="71"/>
      <c r="BA1686" s="71"/>
      <c r="BB1686" s="71"/>
      <c r="BC1686" s="71"/>
      <c r="BD1686" s="71"/>
      <c r="BE1686" s="71"/>
      <c r="BF1686" s="71"/>
      <c r="BG1686" s="71"/>
      <c r="BH1686" s="71"/>
      <c r="BI1686" s="71"/>
      <c r="BJ1686" s="71"/>
      <c r="BK1686" s="71"/>
      <c r="BL1686" s="71"/>
      <c r="BM1686" s="71"/>
      <c r="BN1686" s="71"/>
      <c r="BO1686" s="71"/>
      <c r="BP1686" s="71"/>
      <c r="BQ1686" s="71"/>
      <c r="BR1686" s="71"/>
      <c r="BS1686" s="71"/>
      <c r="BT1686" s="71"/>
      <c r="BU1686" s="71"/>
      <c r="BV1686" s="71"/>
    </row>
    <row r="1687">
      <c r="A1687" s="53"/>
      <c r="B1687" s="53">
        <v>3.0</v>
      </c>
      <c r="C1687" s="53" t="s">
        <v>36</v>
      </c>
      <c r="D1687" s="98" t="s">
        <v>4181</v>
      </c>
      <c r="E1687" s="54" t="s">
        <v>38</v>
      </c>
      <c r="F1687" s="55" t="s">
        <v>4105</v>
      </c>
      <c r="G1687" s="55" t="s">
        <v>4182</v>
      </c>
      <c r="H1687" s="55"/>
      <c r="I1687" s="54">
        <f t="shared" si="24"/>
        <v>0</v>
      </c>
      <c r="J1687" s="56"/>
      <c r="K1687" s="57"/>
      <c r="L1687" s="76"/>
      <c r="M1687" s="59"/>
      <c r="N1687" s="60"/>
      <c r="O1687" s="61">
        <v>201942.0</v>
      </c>
      <c r="P1687" s="62">
        <v>218097.36000000002</v>
      </c>
      <c r="Q1687" s="63">
        <v>218097.36000000002</v>
      </c>
      <c r="R1687" s="64">
        <v>240453.0</v>
      </c>
      <c r="S1687" s="107">
        <v>252476.0</v>
      </c>
      <c r="T1687" s="65">
        <f t="shared" si="39"/>
        <v>40396.16</v>
      </c>
      <c r="U1687" s="65">
        <f t="shared" si="40"/>
        <v>292872.16</v>
      </c>
      <c r="V1687" s="66">
        <f t="shared" si="68"/>
        <v>0.05000145559</v>
      </c>
      <c r="W1687" s="67">
        <f t="shared" si="5"/>
        <v>239852.2</v>
      </c>
      <c r="X1687" s="67">
        <f t="shared" si="61"/>
        <v>38376.352</v>
      </c>
      <c r="Y1687" s="67">
        <f t="shared" si="62"/>
        <v>278228.552</v>
      </c>
      <c r="Z1687" s="67">
        <f t="shared" si="8"/>
        <v>227228.4</v>
      </c>
      <c r="AA1687" s="67">
        <f t="shared" si="54"/>
        <v>36356.544</v>
      </c>
      <c r="AB1687" s="67">
        <f t="shared" si="55"/>
        <v>263584.944</v>
      </c>
      <c r="AC1687" s="67">
        <f t="shared" si="11"/>
        <v>227228.4</v>
      </c>
      <c r="AD1687" s="67">
        <f t="shared" si="56"/>
        <v>36356.544</v>
      </c>
      <c r="AE1687" s="67">
        <f t="shared" si="57"/>
        <v>263584.944</v>
      </c>
      <c r="AF1687" s="67">
        <f t="shared" si="33"/>
        <v>227228.4</v>
      </c>
      <c r="AG1687" s="67">
        <f t="shared" si="58"/>
        <v>36356.544</v>
      </c>
      <c r="AH1687" s="67">
        <f t="shared" si="59"/>
        <v>263584.944</v>
      </c>
      <c r="AI1687" s="67">
        <f t="shared" si="17"/>
        <v>227228.4</v>
      </c>
      <c r="AJ1687" s="68">
        <f t="shared" si="66"/>
        <v>36356.544</v>
      </c>
      <c r="AK1687" s="68">
        <f t="shared" si="67"/>
        <v>263584.944</v>
      </c>
      <c r="AL1687" s="70"/>
      <c r="AM1687" s="70"/>
      <c r="AN1687" s="71"/>
      <c r="AO1687" s="71"/>
      <c r="AP1687" s="71"/>
      <c r="AQ1687" s="71"/>
      <c r="AR1687" s="71"/>
      <c r="AS1687" s="71"/>
      <c r="AT1687" s="71"/>
      <c r="AU1687" s="71"/>
      <c r="AV1687" s="71"/>
      <c r="AW1687" s="71"/>
      <c r="AX1687" s="71"/>
      <c r="AY1687" s="71"/>
      <c r="AZ1687" s="71"/>
      <c r="BA1687" s="71"/>
      <c r="BB1687" s="71"/>
      <c r="BC1687" s="71"/>
      <c r="BD1687" s="71"/>
      <c r="BE1687" s="71"/>
      <c r="BF1687" s="71"/>
      <c r="BG1687" s="71"/>
      <c r="BH1687" s="71"/>
      <c r="BI1687" s="71"/>
      <c r="BJ1687" s="71"/>
      <c r="BK1687" s="71"/>
      <c r="BL1687" s="71"/>
      <c r="BM1687" s="71"/>
      <c r="BN1687" s="71"/>
      <c r="BO1687" s="71"/>
      <c r="BP1687" s="71"/>
      <c r="BQ1687" s="71"/>
      <c r="BR1687" s="71"/>
      <c r="BS1687" s="71"/>
      <c r="BT1687" s="71"/>
      <c r="BU1687" s="71"/>
      <c r="BV1687" s="71"/>
    </row>
    <row r="1688">
      <c r="A1688" s="53"/>
      <c r="B1688" s="53">
        <v>3.0</v>
      </c>
      <c r="C1688" s="53" t="s">
        <v>36</v>
      </c>
      <c r="D1688" s="85" t="s">
        <v>4183</v>
      </c>
      <c r="E1688" s="54" t="s">
        <v>38</v>
      </c>
      <c r="F1688" s="55" t="s">
        <v>4105</v>
      </c>
      <c r="G1688" s="55" t="s">
        <v>4184</v>
      </c>
      <c r="H1688" s="55" t="s">
        <v>4185</v>
      </c>
      <c r="I1688" s="54">
        <f t="shared" si="24"/>
        <v>39</v>
      </c>
      <c r="J1688" s="56"/>
      <c r="K1688" s="57"/>
      <c r="L1688" s="76"/>
      <c r="M1688" s="59"/>
      <c r="N1688" s="60"/>
      <c r="O1688" s="61">
        <v>0.0</v>
      </c>
      <c r="P1688" s="62">
        <v>0.0</v>
      </c>
      <c r="Q1688" s="63">
        <v>0.0</v>
      </c>
      <c r="R1688" s="64">
        <v>0.0</v>
      </c>
      <c r="S1688" s="107">
        <v>0.0</v>
      </c>
      <c r="T1688" s="65">
        <f t="shared" si="39"/>
        <v>0</v>
      </c>
      <c r="U1688" s="65">
        <f t="shared" si="40"/>
        <v>0</v>
      </c>
      <c r="V1688" s="66" t="str">
        <f t="shared" si="68"/>
        <v>#DIV/0!</v>
      </c>
      <c r="W1688" s="67">
        <f t="shared" si="5"/>
        <v>0</v>
      </c>
      <c r="X1688" s="67">
        <f t="shared" si="61"/>
        <v>0</v>
      </c>
      <c r="Y1688" s="67">
        <f t="shared" si="62"/>
        <v>0</v>
      </c>
      <c r="Z1688" s="67">
        <f t="shared" si="8"/>
        <v>0</v>
      </c>
      <c r="AA1688" s="67">
        <f t="shared" si="54"/>
        <v>0</v>
      </c>
      <c r="AB1688" s="67">
        <f t="shared" si="55"/>
        <v>0</v>
      </c>
      <c r="AC1688" s="67">
        <f t="shared" si="11"/>
        <v>0</v>
      </c>
      <c r="AD1688" s="67">
        <f t="shared" si="56"/>
        <v>0</v>
      </c>
      <c r="AE1688" s="67">
        <f t="shared" si="57"/>
        <v>0</v>
      </c>
      <c r="AF1688" s="67">
        <f t="shared" si="33"/>
        <v>0</v>
      </c>
      <c r="AG1688" s="67">
        <f t="shared" si="58"/>
        <v>0</v>
      </c>
      <c r="AH1688" s="67">
        <f t="shared" si="59"/>
        <v>0</v>
      </c>
      <c r="AI1688" s="67">
        <f t="shared" si="17"/>
        <v>0</v>
      </c>
      <c r="AJ1688" s="68">
        <f t="shared" si="66"/>
        <v>0</v>
      </c>
      <c r="AK1688" s="68">
        <f t="shared" si="67"/>
        <v>0</v>
      </c>
      <c r="AL1688" s="70"/>
      <c r="AM1688" s="70"/>
      <c r="AN1688" s="71"/>
      <c r="AO1688" s="71"/>
      <c r="AP1688" s="71"/>
      <c r="AQ1688" s="71"/>
      <c r="AR1688" s="71"/>
      <c r="AS1688" s="71"/>
      <c r="AT1688" s="71"/>
      <c r="AU1688" s="71"/>
      <c r="AV1688" s="71"/>
      <c r="AW1688" s="71"/>
      <c r="AX1688" s="71"/>
      <c r="AY1688" s="71"/>
      <c r="AZ1688" s="71"/>
      <c r="BA1688" s="71"/>
      <c r="BB1688" s="71"/>
      <c r="BC1688" s="71"/>
      <c r="BD1688" s="71"/>
      <c r="BE1688" s="71"/>
      <c r="BF1688" s="71"/>
      <c r="BG1688" s="71"/>
      <c r="BH1688" s="71"/>
      <c r="BI1688" s="71"/>
      <c r="BJ1688" s="71"/>
      <c r="BK1688" s="71"/>
      <c r="BL1688" s="71"/>
      <c r="BM1688" s="71"/>
      <c r="BN1688" s="71"/>
      <c r="BO1688" s="71"/>
      <c r="BP1688" s="71"/>
      <c r="BQ1688" s="71"/>
      <c r="BR1688" s="71"/>
      <c r="BS1688" s="71"/>
      <c r="BT1688" s="71"/>
      <c r="BU1688" s="71"/>
      <c r="BV1688" s="71"/>
    </row>
    <row r="1689">
      <c r="A1689" s="53"/>
      <c r="B1689" s="53">
        <v>3.0</v>
      </c>
      <c r="C1689" s="53" t="s">
        <v>36</v>
      </c>
      <c r="D1689" s="173" t="s">
        <v>4186</v>
      </c>
      <c r="E1689" s="54" t="s">
        <v>38</v>
      </c>
      <c r="F1689" s="55" t="s">
        <v>4105</v>
      </c>
      <c r="G1689" s="55" t="s">
        <v>4187</v>
      </c>
      <c r="H1689" s="55"/>
      <c r="I1689" s="54">
        <f t="shared" si="24"/>
        <v>0</v>
      </c>
      <c r="J1689" s="56"/>
      <c r="K1689" s="57"/>
      <c r="L1689" s="76"/>
      <c r="M1689" s="59"/>
      <c r="N1689" s="60"/>
      <c r="O1689" s="61">
        <v>93847.0</v>
      </c>
      <c r="P1689" s="62">
        <v>101354.76000000001</v>
      </c>
      <c r="Q1689" s="63">
        <v>101354.76000000001</v>
      </c>
      <c r="R1689" s="64">
        <v>111745.0</v>
      </c>
      <c r="S1689" s="107">
        <v>117332.0</v>
      </c>
      <c r="T1689" s="65">
        <f t="shared" si="39"/>
        <v>18773.12</v>
      </c>
      <c r="U1689" s="65">
        <f t="shared" si="40"/>
        <v>136105.12</v>
      </c>
      <c r="V1689" s="66">
        <f t="shared" si="68"/>
        <v>0.04999776276</v>
      </c>
      <c r="W1689" s="67">
        <f t="shared" si="5"/>
        <v>111465.4</v>
      </c>
      <c r="X1689" s="67">
        <f t="shared" si="61"/>
        <v>17834.464</v>
      </c>
      <c r="Y1689" s="67">
        <f t="shared" si="62"/>
        <v>129299.864</v>
      </c>
      <c r="Z1689" s="67">
        <f t="shared" si="8"/>
        <v>105598.8</v>
      </c>
      <c r="AA1689" s="67">
        <f t="shared" si="54"/>
        <v>16895.808</v>
      </c>
      <c r="AB1689" s="67">
        <f t="shared" si="55"/>
        <v>122494.608</v>
      </c>
      <c r="AC1689" s="67">
        <f t="shared" si="11"/>
        <v>105598.8</v>
      </c>
      <c r="AD1689" s="67">
        <f t="shared" si="56"/>
        <v>16895.808</v>
      </c>
      <c r="AE1689" s="67">
        <f t="shared" si="57"/>
        <v>122494.608</v>
      </c>
      <c r="AF1689" s="67">
        <f t="shared" si="33"/>
        <v>105598.8</v>
      </c>
      <c r="AG1689" s="67">
        <f t="shared" si="58"/>
        <v>16895.808</v>
      </c>
      <c r="AH1689" s="67">
        <f t="shared" si="59"/>
        <v>122494.608</v>
      </c>
      <c r="AI1689" s="67">
        <f t="shared" si="17"/>
        <v>105598.8</v>
      </c>
      <c r="AJ1689" s="68">
        <f t="shared" si="66"/>
        <v>16895.808</v>
      </c>
      <c r="AK1689" s="68">
        <f t="shared" si="67"/>
        <v>122494.608</v>
      </c>
      <c r="AL1689" s="70"/>
      <c r="AM1689" s="70"/>
      <c r="AN1689" s="71"/>
      <c r="AO1689" s="71"/>
      <c r="AP1689" s="71"/>
      <c r="AQ1689" s="71"/>
      <c r="AR1689" s="71"/>
      <c r="AS1689" s="71"/>
      <c r="AT1689" s="71"/>
      <c r="AU1689" s="71"/>
      <c r="AV1689" s="71"/>
      <c r="AW1689" s="71"/>
      <c r="AX1689" s="71"/>
      <c r="AY1689" s="71"/>
      <c r="AZ1689" s="71"/>
      <c r="BA1689" s="71"/>
      <c r="BB1689" s="71"/>
      <c r="BC1689" s="71"/>
      <c r="BD1689" s="71"/>
      <c r="BE1689" s="71"/>
      <c r="BF1689" s="71"/>
      <c r="BG1689" s="71"/>
      <c r="BH1689" s="71"/>
      <c r="BI1689" s="71"/>
      <c r="BJ1689" s="71"/>
      <c r="BK1689" s="71"/>
      <c r="BL1689" s="71"/>
      <c r="BM1689" s="71"/>
      <c r="BN1689" s="71"/>
      <c r="BO1689" s="71"/>
      <c r="BP1689" s="71"/>
      <c r="BQ1689" s="71"/>
      <c r="BR1689" s="71"/>
      <c r="BS1689" s="71"/>
      <c r="BT1689" s="71"/>
      <c r="BU1689" s="71"/>
      <c r="BV1689" s="71"/>
    </row>
    <row r="1690">
      <c r="A1690" s="53"/>
      <c r="B1690" s="53">
        <v>3.0</v>
      </c>
      <c r="C1690" s="53" t="s">
        <v>36</v>
      </c>
      <c r="D1690" s="174" t="s">
        <v>4188</v>
      </c>
      <c r="E1690" s="54" t="s">
        <v>38</v>
      </c>
      <c r="F1690" s="55" t="s">
        <v>4105</v>
      </c>
      <c r="G1690" s="55" t="s">
        <v>4189</v>
      </c>
      <c r="H1690" s="55"/>
      <c r="I1690" s="54">
        <f t="shared" si="24"/>
        <v>0</v>
      </c>
      <c r="J1690" s="56"/>
      <c r="K1690" s="57"/>
      <c r="L1690" s="76"/>
      <c r="M1690" s="59"/>
      <c r="N1690" s="60"/>
      <c r="O1690" s="61">
        <v>89307.0</v>
      </c>
      <c r="P1690" s="62">
        <v>96451.56000000001</v>
      </c>
      <c r="Q1690" s="63">
        <v>96451.56000000001</v>
      </c>
      <c r="R1690" s="64">
        <v>106339.0</v>
      </c>
      <c r="S1690" s="107">
        <v>111656.0</v>
      </c>
      <c r="T1690" s="65">
        <f t="shared" si="39"/>
        <v>17864.96</v>
      </c>
      <c r="U1690" s="65">
        <f t="shared" si="40"/>
        <v>129520.96</v>
      </c>
      <c r="V1690" s="66">
        <f t="shared" si="68"/>
        <v>0.05000047019</v>
      </c>
      <c r="W1690" s="67">
        <f t="shared" si="5"/>
        <v>106073.2</v>
      </c>
      <c r="X1690" s="67">
        <f t="shared" si="61"/>
        <v>16971.712</v>
      </c>
      <c r="Y1690" s="67">
        <f t="shared" si="62"/>
        <v>123044.912</v>
      </c>
      <c r="Z1690" s="67">
        <f t="shared" si="8"/>
        <v>100490.4</v>
      </c>
      <c r="AA1690" s="67">
        <f t="shared" si="54"/>
        <v>16078.464</v>
      </c>
      <c r="AB1690" s="67">
        <f t="shared" si="55"/>
        <v>116568.864</v>
      </c>
      <c r="AC1690" s="67">
        <f t="shared" si="11"/>
        <v>100490.4</v>
      </c>
      <c r="AD1690" s="67">
        <f t="shared" si="56"/>
        <v>16078.464</v>
      </c>
      <c r="AE1690" s="67">
        <f t="shared" si="57"/>
        <v>116568.864</v>
      </c>
      <c r="AF1690" s="67">
        <f t="shared" si="33"/>
        <v>100490.4</v>
      </c>
      <c r="AG1690" s="67">
        <f t="shared" si="58"/>
        <v>16078.464</v>
      </c>
      <c r="AH1690" s="67">
        <f t="shared" si="59"/>
        <v>116568.864</v>
      </c>
      <c r="AI1690" s="67">
        <f t="shared" si="17"/>
        <v>100490.4</v>
      </c>
      <c r="AJ1690" s="68">
        <f t="shared" si="66"/>
        <v>16078.464</v>
      </c>
      <c r="AK1690" s="68">
        <f t="shared" si="67"/>
        <v>116568.864</v>
      </c>
      <c r="AL1690" s="70"/>
      <c r="AM1690" s="70"/>
      <c r="AN1690" s="71"/>
      <c r="AO1690" s="71"/>
      <c r="AP1690" s="71"/>
      <c r="AQ1690" s="71"/>
      <c r="AR1690" s="71"/>
      <c r="AS1690" s="71"/>
      <c r="AT1690" s="71"/>
      <c r="AU1690" s="71"/>
      <c r="AV1690" s="71"/>
      <c r="AW1690" s="71"/>
      <c r="AX1690" s="71"/>
      <c r="AY1690" s="71"/>
      <c r="AZ1690" s="71"/>
      <c r="BA1690" s="71"/>
      <c r="BB1690" s="71"/>
      <c r="BC1690" s="71"/>
      <c r="BD1690" s="71"/>
      <c r="BE1690" s="71"/>
      <c r="BF1690" s="71"/>
      <c r="BG1690" s="71"/>
      <c r="BH1690" s="71"/>
      <c r="BI1690" s="71"/>
      <c r="BJ1690" s="71"/>
      <c r="BK1690" s="71"/>
      <c r="BL1690" s="71"/>
      <c r="BM1690" s="71"/>
      <c r="BN1690" s="71"/>
      <c r="BO1690" s="71"/>
      <c r="BP1690" s="71"/>
      <c r="BQ1690" s="71"/>
      <c r="BR1690" s="71"/>
      <c r="BS1690" s="71"/>
      <c r="BT1690" s="71"/>
      <c r="BU1690" s="71"/>
      <c r="BV1690" s="71"/>
    </row>
    <row r="1691">
      <c r="A1691" s="53"/>
      <c r="B1691" s="53">
        <v>3.0</v>
      </c>
      <c r="C1691" s="53" t="s">
        <v>36</v>
      </c>
      <c r="D1691" s="174" t="s">
        <v>4190</v>
      </c>
      <c r="E1691" s="54" t="s">
        <v>38</v>
      </c>
      <c r="F1691" s="55" t="s">
        <v>4105</v>
      </c>
      <c r="G1691" s="55" t="s">
        <v>4191</v>
      </c>
      <c r="H1691" s="55"/>
      <c r="I1691" s="54">
        <f t="shared" si="24"/>
        <v>0</v>
      </c>
      <c r="J1691" s="56"/>
      <c r="K1691" s="57"/>
      <c r="L1691" s="76"/>
      <c r="M1691" s="59"/>
      <c r="N1691" s="60"/>
      <c r="O1691" s="61">
        <v>78008.0</v>
      </c>
      <c r="P1691" s="62">
        <v>84248.64</v>
      </c>
      <c r="Q1691" s="63">
        <v>84248.64</v>
      </c>
      <c r="R1691" s="64">
        <v>92885.0</v>
      </c>
      <c r="S1691" s="107">
        <v>97529.0</v>
      </c>
      <c r="T1691" s="65">
        <f t="shared" si="39"/>
        <v>15604.64</v>
      </c>
      <c r="U1691" s="65">
        <f t="shared" si="40"/>
        <v>113133.64</v>
      </c>
      <c r="V1691" s="66">
        <f t="shared" si="68"/>
        <v>0.0499973085</v>
      </c>
      <c r="W1691" s="67">
        <f t="shared" si="5"/>
        <v>92652.55</v>
      </c>
      <c r="X1691" s="67">
        <f t="shared" si="61"/>
        <v>14824.408</v>
      </c>
      <c r="Y1691" s="67">
        <f t="shared" si="62"/>
        <v>107476.958</v>
      </c>
      <c r="Z1691" s="67">
        <f t="shared" si="8"/>
        <v>87776.1</v>
      </c>
      <c r="AA1691" s="67">
        <f t="shared" si="54"/>
        <v>14044.176</v>
      </c>
      <c r="AB1691" s="67">
        <f t="shared" si="55"/>
        <v>101820.276</v>
      </c>
      <c r="AC1691" s="67">
        <f t="shared" si="11"/>
        <v>87776.1</v>
      </c>
      <c r="AD1691" s="67">
        <f t="shared" si="56"/>
        <v>14044.176</v>
      </c>
      <c r="AE1691" s="67">
        <f t="shared" si="57"/>
        <v>101820.276</v>
      </c>
      <c r="AF1691" s="67">
        <f t="shared" si="33"/>
        <v>87776.1</v>
      </c>
      <c r="AG1691" s="67">
        <f t="shared" si="58"/>
        <v>14044.176</v>
      </c>
      <c r="AH1691" s="67">
        <f t="shared" si="59"/>
        <v>101820.276</v>
      </c>
      <c r="AI1691" s="67">
        <f t="shared" si="17"/>
        <v>87776.1</v>
      </c>
      <c r="AJ1691" s="68">
        <f t="shared" si="66"/>
        <v>14044.176</v>
      </c>
      <c r="AK1691" s="68">
        <f t="shared" si="67"/>
        <v>101820.276</v>
      </c>
      <c r="AL1691" s="70"/>
      <c r="AM1691" s="70"/>
      <c r="AN1691" s="71"/>
      <c r="AO1691" s="71"/>
      <c r="AP1691" s="71"/>
      <c r="AQ1691" s="71"/>
      <c r="AR1691" s="71"/>
      <c r="AS1691" s="71"/>
      <c r="AT1691" s="71"/>
      <c r="AU1691" s="71"/>
      <c r="AV1691" s="71"/>
      <c r="AW1691" s="71"/>
      <c r="AX1691" s="71"/>
      <c r="AY1691" s="71"/>
      <c r="AZ1691" s="71"/>
      <c r="BA1691" s="71"/>
      <c r="BB1691" s="71"/>
      <c r="BC1691" s="71"/>
      <c r="BD1691" s="71"/>
      <c r="BE1691" s="71"/>
      <c r="BF1691" s="71"/>
      <c r="BG1691" s="71"/>
      <c r="BH1691" s="71"/>
      <c r="BI1691" s="71"/>
      <c r="BJ1691" s="71"/>
      <c r="BK1691" s="71"/>
      <c r="BL1691" s="71"/>
      <c r="BM1691" s="71"/>
      <c r="BN1691" s="71"/>
      <c r="BO1691" s="71"/>
      <c r="BP1691" s="71"/>
      <c r="BQ1691" s="71"/>
      <c r="BR1691" s="71"/>
      <c r="BS1691" s="71"/>
      <c r="BT1691" s="71"/>
      <c r="BU1691" s="71"/>
      <c r="BV1691" s="71"/>
    </row>
    <row r="1692">
      <c r="A1692" s="53"/>
      <c r="B1692" s="53"/>
      <c r="C1692" s="53"/>
      <c r="D1692" s="53" t="s">
        <v>4192</v>
      </c>
      <c r="E1692" s="55" t="s">
        <v>38</v>
      </c>
      <c r="F1692" s="89"/>
      <c r="G1692" s="84" t="s">
        <v>4193</v>
      </c>
      <c r="H1692" s="55"/>
      <c r="I1692" s="54">
        <f t="shared" si="24"/>
        <v>0</v>
      </c>
      <c r="J1692" s="56"/>
      <c r="K1692" s="57"/>
      <c r="L1692" s="55"/>
      <c r="M1692" s="59"/>
      <c r="N1692" s="60"/>
      <c r="O1692" s="90"/>
      <c r="P1692" s="62">
        <v>54302.0</v>
      </c>
      <c r="Q1692" s="63">
        <v>54302.0</v>
      </c>
      <c r="R1692" s="64">
        <v>59868.0</v>
      </c>
      <c r="S1692" s="111">
        <v>62861.0</v>
      </c>
      <c r="T1692" s="65">
        <f t="shared" si="39"/>
        <v>10057.76</v>
      </c>
      <c r="U1692" s="65">
        <f t="shared" si="40"/>
        <v>72918.76</v>
      </c>
      <c r="V1692" s="66">
        <f t="shared" si="68"/>
        <v>0.04999331863</v>
      </c>
      <c r="W1692" s="67">
        <f t="shared" si="5"/>
        <v>59717.95</v>
      </c>
      <c r="X1692" s="67">
        <f t="shared" si="61"/>
        <v>9554.872</v>
      </c>
      <c r="Y1692" s="67">
        <f t="shared" si="62"/>
        <v>69272.822</v>
      </c>
      <c r="Z1692" s="67">
        <f t="shared" si="8"/>
        <v>56574.9</v>
      </c>
      <c r="AA1692" s="67">
        <f t="shared" si="54"/>
        <v>9051.984</v>
      </c>
      <c r="AB1692" s="67">
        <f t="shared" si="55"/>
        <v>65626.884</v>
      </c>
      <c r="AC1692" s="67">
        <f t="shared" si="11"/>
        <v>53431.85</v>
      </c>
      <c r="AD1692" s="67">
        <f t="shared" si="56"/>
        <v>8549.096</v>
      </c>
      <c r="AE1692" s="67">
        <f t="shared" si="57"/>
        <v>61980.946</v>
      </c>
      <c r="AF1692" s="67">
        <f t="shared" si="33"/>
        <v>52174.63</v>
      </c>
      <c r="AG1692" s="67">
        <f t="shared" si="58"/>
        <v>8347.9408</v>
      </c>
      <c r="AH1692" s="67">
        <f t="shared" si="59"/>
        <v>60522.5708</v>
      </c>
      <c r="AI1692" s="67">
        <f t="shared" si="17"/>
        <v>50288.8</v>
      </c>
      <c r="AJ1692" s="68">
        <f t="shared" si="66"/>
        <v>8046.208</v>
      </c>
      <c r="AK1692" s="68">
        <f t="shared" si="67"/>
        <v>58335.008</v>
      </c>
      <c r="AL1692" s="70"/>
      <c r="AM1692" s="70"/>
      <c r="AN1692" s="71"/>
      <c r="AO1692" s="71"/>
      <c r="AP1692" s="71"/>
      <c r="AQ1692" s="71"/>
      <c r="AR1692" s="71"/>
      <c r="AS1692" s="71"/>
      <c r="AT1692" s="71"/>
      <c r="AU1692" s="71"/>
      <c r="AV1692" s="71"/>
      <c r="AW1692" s="71"/>
      <c r="AX1692" s="71"/>
      <c r="AY1692" s="71"/>
      <c r="AZ1692" s="71"/>
      <c r="BA1692" s="71"/>
      <c r="BB1692" s="71"/>
      <c r="BC1692" s="71"/>
      <c r="BD1692" s="71"/>
      <c r="BE1692" s="71"/>
      <c r="BF1692" s="71"/>
      <c r="BG1692" s="71"/>
      <c r="BH1692" s="71"/>
      <c r="BI1692" s="71"/>
      <c r="BJ1692" s="71"/>
      <c r="BK1692" s="71"/>
      <c r="BL1692" s="71"/>
      <c r="BM1692" s="71"/>
      <c r="BN1692" s="71"/>
      <c r="BO1692" s="71"/>
      <c r="BP1692" s="71"/>
      <c r="BQ1692" s="71"/>
      <c r="BR1692" s="71"/>
      <c r="BS1692" s="71"/>
      <c r="BT1692" s="71"/>
      <c r="BU1692" s="71"/>
      <c r="BV1692" s="71"/>
    </row>
    <row r="1693">
      <c r="A1693" s="53"/>
      <c r="B1693" s="53">
        <v>3.0</v>
      </c>
      <c r="C1693" s="53" t="s">
        <v>36</v>
      </c>
      <c r="D1693" s="98" t="s">
        <v>4194</v>
      </c>
      <c r="E1693" s="54" t="s">
        <v>38</v>
      </c>
      <c r="F1693" s="55" t="s">
        <v>4105</v>
      </c>
      <c r="G1693" s="55" t="s">
        <v>4195</v>
      </c>
      <c r="H1693" s="55"/>
      <c r="I1693" s="54">
        <f t="shared" si="24"/>
        <v>0</v>
      </c>
      <c r="J1693" s="56"/>
      <c r="K1693" s="57"/>
      <c r="L1693" s="76"/>
      <c r="M1693" s="59"/>
      <c r="N1693" s="60"/>
      <c r="O1693" s="61">
        <v>51906.0</v>
      </c>
      <c r="P1693" s="62">
        <v>56058.48</v>
      </c>
      <c r="Q1693" s="63">
        <v>56058.48</v>
      </c>
      <c r="R1693" s="64">
        <v>61805.0</v>
      </c>
      <c r="S1693" s="107">
        <v>64895.0</v>
      </c>
      <c r="T1693" s="65">
        <f t="shared" si="39"/>
        <v>10383.2</v>
      </c>
      <c r="U1693" s="65">
        <f t="shared" si="40"/>
        <v>75278.2</v>
      </c>
      <c r="V1693" s="66">
        <f t="shared" si="68"/>
        <v>0.04999595502</v>
      </c>
      <c r="W1693" s="67">
        <f t="shared" si="5"/>
        <v>61650.25</v>
      </c>
      <c r="X1693" s="67">
        <f t="shared" si="61"/>
        <v>9864.04</v>
      </c>
      <c r="Y1693" s="67">
        <f t="shared" si="62"/>
        <v>71514.29</v>
      </c>
      <c r="Z1693" s="67">
        <f t="shared" si="8"/>
        <v>58405.5</v>
      </c>
      <c r="AA1693" s="67">
        <f t="shared" si="54"/>
        <v>9344.88</v>
      </c>
      <c r="AB1693" s="67">
        <f t="shared" si="55"/>
        <v>67750.38</v>
      </c>
      <c r="AC1693" s="67">
        <f t="shared" si="11"/>
        <v>58405.5</v>
      </c>
      <c r="AD1693" s="67">
        <f t="shared" si="56"/>
        <v>9344.88</v>
      </c>
      <c r="AE1693" s="67">
        <f t="shared" si="57"/>
        <v>67750.38</v>
      </c>
      <c r="AF1693" s="67">
        <f t="shared" si="33"/>
        <v>58405.5</v>
      </c>
      <c r="AG1693" s="67">
        <f t="shared" si="58"/>
        <v>9344.88</v>
      </c>
      <c r="AH1693" s="67">
        <f t="shared" si="59"/>
        <v>67750.38</v>
      </c>
      <c r="AI1693" s="67">
        <f t="shared" si="17"/>
        <v>58405.5</v>
      </c>
      <c r="AJ1693" s="68">
        <f t="shared" si="66"/>
        <v>9344.88</v>
      </c>
      <c r="AK1693" s="68">
        <f t="shared" si="67"/>
        <v>67750.38</v>
      </c>
      <c r="AL1693" s="70"/>
      <c r="AM1693" s="70"/>
      <c r="AN1693" s="71"/>
      <c r="AO1693" s="71"/>
      <c r="AP1693" s="71"/>
      <c r="AQ1693" s="71"/>
      <c r="AR1693" s="71"/>
      <c r="AS1693" s="71"/>
      <c r="AT1693" s="71"/>
      <c r="AU1693" s="71"/>
      <c r="AV1693" s="71"/>
      <c r="AW1693" s="71"/>
      <c r="AX1693" s="71"/>
      <c r="AY1693" s="71"/>
      <c r="AZ1693" s="71"/>
      <c r="BA1693" s="71"/>
      <c r="BB1693" s="71"/>
      <c r="BC1693" s="71"/>
      <c r="BD1693" s="71"/>
      <c r="BE1693" s="71"/>
      <c r="BF1693" s="71"/>
      <c r="BG1693" s="71"/>
      <c r="BH1693" s="71"/>
      <c r="BI1693" s="71"/>
      <c r="BJ1693" s="71"/>
      <c r="BK1693" s="71"/>
      <c r="BL1693" s="71"/>
      <c r="BM1693" s="71"/>
      <c r="BN1693" s="71"/>
      <c r="BO1693" s="71"/>
      <c r="BP1693" s="71"/>
      <c r="BQ1693" s="71"/>
      <c r="BR1693" s="71"/>
      <c r="BS1693" s="71"/>
      <c r="BT1693" s="71"/>
      <c r="BU1693" s="71"/>
      <c r="BV1693" s="71"/>
    </row>
    <row r="1694">
      <c r="A1694" s="53"/>
      <c r="B1694" s="53">
        <v>3.0</v>
      </c>
      <c r="C1694" s="53" t="s">
        <v>36</v>
      </c>
      <c r="D1694" s="85" t="s">
        <v>4196</v>
      </c>
      <c r="E1694" s="54" t="s">
        <v>38</v>
      </c>
      <c r="F1694" s="55" t="s">
        <v>4105</v>
      </c>
      <c r="G1694" s="55" t="s">
        <v>4197</v>
      </c>
      <c r="H1694" s="55" t="s">
        <v>4198</v>
      </c>
      <c r="I1694" s="54">
        <f t="shared" si="24"/>
        <v>34</v>
      </c>
      <c r="J1694" s="56"/>
      <c r="K1694" s="57"/>
      <c r="L1694" s="76"/>
      <c r="M1694" s="59"/>
      <c r="N1694" s="60"/>
      <c r="O1694" s="61">
        <v>0.0</v>
      </c>
      <c r="P1694" s="62">
        <v>0.0</v>
      </c>
      <c r="Q1694" s="63">
        <v>0.0</v>
      </c>
      <c r="R1694" s="64">
        <v>0.0</v>
      </c>
      <c r="S1694" s="107">
        <v>0.0</v>
      </c>
      <c r="T1694" s="65">
        <f t="shared" si="39"/>
        <v>0</v>
      </c>
      <c r="U1694" s="65">
        <f t="shared" si="40"/>
        <v>0</v>
      </c>
      <c r="V1694" s="66" t="str">
        <f t="shared" si="68"/>
        <v>#DIV/0!</v>
      </c>
      <c r="W1694" s="67">
        <f t="shared" si="5"/>
        <v>0</v>
      </c>
      <c r="X1694" s="67">
        <f t="shared" si="61"/>
        <v>0</v>
      </c>
      <c r="Y1694" s="67">
        <f t="shared" si="62"/>
        <v>0</v>
      </c>
      <c r="Z1694" s="67">
        <f t="shared" si="8"/>
        <v>0</v>
      </c>
      <c r="AA1694" s="67">
        <f t="shared" si="54"/>
        <v>0</v>
      </c>
      <c r="AB1694" s="67">
        <f t="shared" si="55"/>
        <v>0</v>
      </c>
      <c r="AC1694" s="67">
        <f t="shared" si="11"/>
        <v>0</v>
      </c>
      <c r="AD1694" s="67">
        <f t="shared" si="56"/>
        <v>0</v>
      </c>
      <c r="AE1694" s="67">
        <f t="shared" si="57"/>
        <v>0</v>
      </c>
      <c r="AF1694" s="67">
        <f t="shared" si="33"/>
        <v>0</v>
      </c>
      <c r="AG1694" s="67">
        <f t="shared" si="58"/>
        <v>0</v>
      </c>
      <c r="AH1694" s="67">
        <f t="shared" si="59"/>
        <v>0</v>
      </c>
      <c r="AI1694" s="67">
        <f t="shared" si="17"/>
        <v>0</v>
      </c>
      <c r="AJ1694" s="68">
        <f t="shared" si="66"/>
        <v>0</v>
      </c>
      <c r="AK1694" s="68">
        <f t="shared" si="67"/>
        <v>0</v>
      </c>
      <c r="AL1694" s="70"/>
      <c r="AM1694" s="70"/>
      <c r="AN1694" s="71"/>
      <c r="AO1694" s="71"/>
      <c r="AP1694" s="71"/>
      <c r="AQ1694" s="71"/>
      <c r="AR1694" s="71"/>
      <c r="AS1694" s="71"/>
      <c r="AT1694" s="71"/>
      <c r="AU1694" s="71"/>
      <c r="AV1694" s="71"/>
      <c r="AW1694" s="71"/>
      <c r="AX1694" s="71"/>
      <c r="AY1694" s="71"/>
      <c r="AZ1694" s="71"/>
      <c r="BA1694" s="71"/>
      <c r="BB1694" s="71"/>
      <c r="BC1694" s="71"/>
      <c r="BD1694" s="71"/>
      <c r="BE1694" s="71"/>
      <c r="BF1694" s="71"/>
      <c r="BG1694" s="71"/>
      <c r="BH1694" s="71"/>
      <c r="BI1694" s="71"/>
      <c r="BJ1694" s="71"/>
      <c r="BK1694" s="71"/>
      <c r="BL1694" s="71"/>
      <c r="BM1694" s="71"/>
      <c r="BN1694" s="71"/>
      <c r="BO1694" s="71"/>
      <c r="BP1694" s="71"/>
      <c r="BQ1694" s="71"/>
      <c r="BR1694" s="71"/>
      <c r="BS1694" s="71"/>
      <c r="BT1694" s="71"/>
      <c r="BU1694" s="71"/>
      <c r="BV1694" s="71"/>
    </row>
    <row r="1695">
      <c r="A1695" s="53"/>
      <c r="B1695" s="53">
        <v>3.0</v>
      </c>
      <c r="C1695" s="53" t="s">
        <v>36</v>
      </c>
      <c r="D1695" s="98" t="s">
        <v>4199</v>
      </c>
      <c r="E1695" s="54" t="s">
        <v>38</v>
      </c>
      <c r="F1695" s="55" t="s">
        <v>4105</v>
      </c>
      <c r="G1695" s="55" t="s">
        <v>4200</v>
      </c>
      <c r="H1695" s="55"/>
      <c r="I1695" s="54">
        <f t="shared" si="24"/>
        <v>0</v>
      </c>
      <c r="J1695" s="56"/>
      <c r="K1695" s="57"/>
      <c r="L1695" s="76"/>
      <c r="M1695" s="59"/>
      <c r="N1695" s="60"/>
      <c r="O1695" s="61">
        <v>47701.0</v>
      </c>
      <c r="P1695" s="62">
        <v>51517.08</v>
      </c>
      <c r="Q1695" s="63">
        <v>51517.08</v>
      </c>
      <c r="R1695" s="64">
        <v>56798.0</v>
      </c>
      <c r="S1695" s="107">
        <v>59638.0</v>
      </c>
      <c r="T1695" s="65">
        <f t="shared" si="39"/>
        <v>9542.08</v>
      </c>
      <c r="U1695" s="65">
        <f t="shared" si="40"/>
        <v>69180.08</v>
      </c>
      <c r="V1695" s="66">
        <f t="shared" si="68"/>
        <v>0.05000176063</v>
      </c>
      <c r="W1695" s="67">
        <f t="shared" si="5"/>
        <v>56656.1</v>
      </c>
      <c r="X1695" s="67">
        <f t="shared" si="61"/>
        <v>9064.976</v>
      </c>
      <c r="Y1695" s="67">
        <f t="shared" si="62"/>
        <v>65721.076</v>
      </c>
      <c r="Z1695" s="67">
        <f t="shared" si="8"/>
        <v>53674.2</v>
      </c>
      <c r="AA1695" s="67">
        <f t="shared" si="54"/>
        <v>8587.872</v>
      </c>
      <c r="AB1695" s="67">
        <f t="shared" si="55"/>
        <v>62262.072</v>
      </c>
      <c r="AC1695" s="67">
        <f t="shared" si="11"/>
        <v>53674.2</v>
      </c>
      <c r="AD1695" s="67">
        <f t="shared" si="56"/>
        <v>8587.872</v>
      </c>
      <c r="AE1695" s="67">
        <f t="shared" si="57"/>
        <v>62262.072</v>
      </c>
      <c r="AF1695" s="67">
        <f t="shared" si="33"/>
        <v>53674.2</v>
      </c>
      <c r="AG1695" s="67">
        <f t="shared" si="58"/>
        <v>8587.872</v>
      </c>
      <c r="AH1695" s="67">
        <f t="shared" si="59"/>
        <v>62262.072</v>
      </c>
      <c r="AI1695" s="67">
        <f t="shared" si="17"/>
        <v>53674.2</v>
      </c>
      <c r="AJ1695" s="68">
        <f t="shared" si="66"/>
        <v>8587.872</v>
      </c>
      <c r="AK1695" s="68">
        <f t="shared" si="67"/>
        <v>62262.072</v>
      </c>
      <c r="AL1695" s="70"/>
      <c r="AM1695" s="70"/>
      <c r="AN1695" s="71"/>
      <c r="AO1695" s="71"/>
      <c r="AP1695" s="71"/>
      <c r="AQ1695" s="71"/>
      <c r="AR1695" s="71"/>
      <c r="AS1695" s="71"/>
      <c r="AT1695" s="71"/>
      <c r="AU1695" s="71"/>
      <c r="AV1695" s="71"/>
      <c r="AW1695" s="71"/>
      <c r="AX1695" s="71"/>
      <c r="AY1695" s="71"/>
      <c r="AZ1695" s="71"/>
      <c r="BA1695" s="71"/>
      <c r="BB1695" s="71"/>
      <c r="BC1695" s="71"/>
      <c r="BD1695" s="71"/>
      <c r="BE1695" s="71"/>
      <c r="BF1695" s="71"/>
      <c r="BG1695" s="71"/>
      <c r="BH1695" s="71"/>
      <c r="BI1695" s="71"/>
      <c r="BJ1695" s="71"/>
      <c r="BK1695" s="71"/>
      <c r="BL1695" s="71"/>
      <c r="BM1695" s="71"/>
      <c r="BN1695" s="71"/>
      <c r="BO1695" s="71"/>
      <c r="BP1695" s="71"/>
      <c r="BQ1695" s="71"/>
      <c r="BR1695" s="71"/>
      <c r="BS1695" s="71"/>
      <c r="BT1695" s="71"/>
      <c r="BU1695" s="71"/>
      <c r="BV1695" s="71"/>
    </row>
    <row r="1696">
      <c r="A1696" s="53"/>
      <c r="B1696" s="53">
        <v>3.0</v>
      </c>
      <c r="C1696" s="53" t="s">
        <v>36</v>
      </c>
      <c r="D1696" s="85" t="s">
        <v>4201</v>
      </c>
      <c r="E1696" s="54" t="s">
        <v>38</v>
      </c>
      <c r="F1696" s="55" t="s">
        <v>4105</v>
      </c>
      <c r="G1696" s="55" t="s">
        <v>4202</v>
      </c>
      <c r="H1696" s="55" t="s">
        <v>4198</v>
      </c>
      <c r="I1696" s="54">
        <f t="shared" si="24"/>
        <v>34</v>
      </c>
      <c r="J1696" s="56"/>
      <c r="K1696" s="57"/>
      <c r="L1696" s="76"/>
      <c r="M1696" s="59"/>
      <c r="N1696" s="60"/>
      <c r="O1696" s="61">
        <v>0.0</v>
      </c>
      <c r="P1696" s="62">
        <v>0.0</v>
      </c>
      <c r="Q1696" s="63">
        <v>0.0</v>
      </c>
      <c r="R1696" s="64">
        <v>0.0</v>
      </c>
      <c r="S1696" s="107">
        <v>0.0</v>
      </c>
      <c r="T1696" s="65">
        <f t="shared" si="39"/>
        <v>0</v>
      </c>
      <c r="U1696" s="65">
        <f t="shared" si="40"/>
        <v>0</v>
      </c>
      <c r="V1696" s="66" t="str">
        <f t="shared" si="68"/>
        <v>#DIV/0!</v>
      </c>
      <c r="W1696" s="67">
        <f t="shared" si="5"/>
        <v>0</v>
      </c>
      <c r="X1696" s="67">
        <f t="shared" si="61"/>
        <v>0</v>
      </c>
      <c r="Y1696" s="67">
        <f t="shared" si="62"/>
        <v>0</v>
      </c>
      <c r="Z1696" s="67">
        <f t="shared" si="8"/>
        <v>0</v>
      </c>
      <c r="AA1696" s="67">
        <f t="shared" si="54"/>
        <v>0</v>
      </c>
      <c r="AB1696" s="67">
        <f t="shared" si="55"/>
        <v>0</v>
      </c>
      <c r="AC1696" s="67">
        <f t="shared" si="11"/>
        <v>0</v>
      </c>
      <c r="AD1696" s="67">
        <f t="shared" si="56"/>
        <v>0</v>
      </c>
      <c r="AE1696" s="67">
        <f t="shared" si="57"/>
        <v>0</v>
      </c>
      <c r="AF1696" s="67">
        <f t="shared" si="33"/>
        <v>0</v>
      </c>
      <c r="AG1696" s="67">
        <f t="shared" si="58"/>
        <v>0</v>
      </c>
      <c r="AH1696" s="67">
        <f t="shared" si="59"/>
        <v>0</v>
      </c>
      <c r="AI1696" s="67">
        <f t="shared" si="17"/>
        <v>0</v>
      </c>
      <c r="AJ1696" s="68">
        <f t="shared" si="66"/>
        <v>0</v>
      </c>
      <c r="AK1696" s="68">
        <f t="shared" si="67"/>
        <v>0</v>
      </c>
      <c r="AL1696" s="70"/>
      <c r="AM1696" s="70"/>
      <c r="AN1696" s="71"/>
      <c r="AO1696" s="71"/>
      <c r="AP1696" s="71"/>
      <c r="AQ1696" s="71"/>
      <c r="AR1696" s="71"/>
      <c r="AS1696" s="71"/>
      <c r="AT1696" s="71"/>
      <c r="AU1696" s="71"/>
      <c r="AV1696" s="71"/>
      <c r="AW1696" s="71"/>
      <c r="AX1696" s="71"/>
      <c r="AY1696" s="71"/>
      <c r="AZ1696" s="71"/>
      <c r="BA1696" s="71"/>
      <c r="BB1696" s="71"/>
      <c r="BC1696" s="71"/>
      <c r="BD1696" s="71"/>
      <c r="BE1696" s="71"/>
      <c r="BF1696" s="71"/>
      <c r="BG1696" s="71"/>
      <c r="BH1696" s="71"/>
      <c r="BI1696" s="71"/>
      <c r="BJ1696" s="71"/>
      <c r="BK1696" s="71"/>
      <c r="BL1696" s="71"/>
      <c r="BM1696" s="71"/>
      <c r="BN1696" s="71"/>
      <c r="BO1696" s="71"/>
      <c r="BP1696" s="71"/>
      <c r="BQ1696" s="71"/>
      <c r="BR1696" s="71"/>
      <c r="BS1696" s="71"/>
      <c r="BT1696" s="71"/>
      <c r="BU1696" s="71"/>
      <c r="BV1696" s="71"/>
    </row>
    <row r="1697">
      <c r="A1697" s="53"/>
      <c r="B1697" s="53">
        <v>3.0</v>
      </c>
      <c r="C1697" s="53" t="s">
        <v>36</v>
      </c>
      <c r="D1697" s="98" t="s">
        <v>4203</v>
      </c>
      <c r="E1697" s="54" t="s">
        <v>38</v>
      </c>
      <c r="F1697" s="55" t="s">
        <v>4105</v>
      </c>
      <c r="G1697" s="55" t="s">
        <v>4204</v>
      </c>
      <c r="H1697" s="55"/>
      <c r="I1697" s="54">
        <f t="shared" si="24"/>
        <v>0</v>
      </c>
      <c r="J1697" s="56"/>
      <c r="K1697" s="57"/>
      <c r="L1697" s="76"/>
      <c r="M1697" s="59"/>
      <c r="N1697" s="60"/>
      <c r="O1697" s="61">
        <v>50429.0</v>
      </c>
      <c r="P1697" s="62">
        <v>54463.32000000001</v>
      </c>
      <c r="Q1697" s="63">
        <v>54463.32000000001</v>
      </c>
      <c r="R1697" s="64">
        <v>60046.0</v>
      </c>
      <c r="S1697" s="107">
        <v>63048.0</v>
      </c>
      <c r="T1697" s="65">
        <f t="shared" si="39"/>
        <v>10087.68</v>
      </c>
      <c r="U1697" s="65">
        <f t="shared" si="40"/>
        <v>73135.68</v>
      </c>
      <c r="V1697" s="66">
        <f t="shared" si="68"/>
        <v>0.04999500383</v>
      </c>
      <c r="W1697" s="67">
        <f t="shared" si="5"/>
        <v>59895.6</v>
      </c>
      <c r="X1697" s="67">
        <f t="shared" si="61"/>
        <v>9583.296</v>
      </c>
      <c r="Y1697" s="67">
        <f t="shared" si="62"/>
        <v>69478.896</v>
      </c>
      <c r="Z1697" s="67">
        <f t="shared" si="8"/>
        <v>56743.2</v>
      </c>
      <c r="AA1697" s="67">
        <f t="shared" si="54"/>
        <v>9078.912</v>
      </c>
      <c r="AB1697" s="67">
        <f t="shared" si="55"/>
        <v>65822.112</v>
      </c>
      <c r="AC1697" s="67">
        <f t="shared" si="11"/>
        <v>56743.2</v>
      </c>
      <c r="AD1697" s="67">
        <f t="shared" si="56"/>
        <v>9078.912</v>
      </c>
      <c r="AE1697" s="67">
        <f t="shared" si="57"/>
        <v>65822.112</v>
      </c>
      <c r="AF1697" s="67">
        <f t="shared" si="33"/>
        <v>56743.2</v>
      </c>
      <c r="AG1697" s="67">
        <f t="shared" si="58"/>
        <v>9078.912</v>
      </c>
      <c r="AH1697" s="67">
        <f t="shared" si="59"/>
        <v>65822.112</v>
      </c>
      <c r="AI1697" s="67">
        <f t="shared" si="17"/>
        <v>56743.2</v>
      </c>
      <c r="AJ1697" s="68">
        <f t="shared" si="66"/>
        <v>9078.912</v>
      </c>
      <c r="AK1697" s="68">
        <f t="shared" si="67"/>
        <v>65822.112</v>
      </c>
      <c r="AL1697" s="70"/>
      <c r="AM1697" s="70"/>
      <c r="AN1697" s="71"/>
      <c r="AO1697" s="71"/>
      <c r="AP1697" s="71"/>
      <c r="AQ1697" s="71"/>
      <c r="AR1697" s="71"/>
      <c r="AS1697" s="71"/>
      <c r="AT1697" s="71"/>
      <c r="AU1697" s="71"/>
      <c r="AV1697" s="71"/>
      <c r="AW1697" s="71"/>
      <c r="AX1697" s="71"/>
      <c r="AY1697" s="71"/>
      <c r="AZ1697" s="71"/>
      <c r="BA1697" s="71"/>
      <c r="BB1697" s="71"/>
      <c r="BC1697" s="71"/>
      <c r="BD1697" s="71"/>
      <c r="BE1697" s="71"/>
      <c r="BF1697" s="71"/>
      <c r="BG1697" s="71"/>
      <c r="BH1697" s="71"/>
      <c r="BI1697" s="71"/>
      <c r="BJ1697" s="71"/>
      <c r="BK1697" s="71"/>
      <c r="BL1697" s="71"/>
      <c r="BM1697" s="71"/>
      <c r="BN1697" s="71"/>
      <c r="BO1697" s="71"/>
      <c r="BP1697" s="71"/>
      <c r="BQ1697" s="71"/>
      <c r="BR1697" s="71"/>
      <c r="BS1697" s="71"/>
      <c r="BT1697" s="71"/>
      <c r="BU1697" s="71"/>
      <c r="BV1697" s="71"/>
    </row>
    <row r="1698">
      <c r="A1698" s="53"/>
      <c r="B1698" s="53">
        <v>3.0</v>
      </c>
      <c r="C1698" s="53" t="s">
        <v>36</v>
      </c>
      <c r="D1698" s="98" t="s">
        <v>4205</v>
      </c>
      <c r="E1698" s="54" t="s">
        <v>38</v>
      </c>
      <c r="F1698" s="55" t="s">
        <v>4105</v>
      </c>
      <c r="G1698" s="55" t="s">
        <v>4206</v>
      </c>
      <c r="H1698" s="55"/>
      <c r="I1698" s="54">
        <f t="shared" si="24"/>
        <v>0</v>
      </c>
      <c r="J1698" s="56"/>
      <c r="K1698" s="57"/>
      <c r="L1698" s="76"/>
      <c r="M1698" s="59"/>
      <c r="N1698" s="60"/>
      <c r="O1698" s="61">
        <v>45529.0</v>
      </c>
      <c r="P1698" s="62">
        <v>49171.32</v>
      </c>
      <c r="Q1698" s="63">
        <v>49171.32</v>
      </c>
      <c r="R1698" s="64">
        <v>54212.0</v>
      </c>
      <c r="S1698" s="107">
        <v>56923.0</v>
      </c>
      <c r="T1698" s="65">
        <f t="shared" si="39"/>
        <v>9107.68</v>
      </c>
      <c r="U1698" s="65">
        <f t="shared" si="40"/>
        <v>66030.68</v>
      </c>
      <c r="V1698" s="66">
        <f t="shared" si="68"/>
        <v>0.05000737844</v>
      </c>
      <c r="W1698" s="67">
        <f t="shared" si="5"/>
        <v>54076.85</v>
      </c>
      <c r="X1698" s="67">
        <f t="shared" si="61"/>
        <v>8652.296</v>
      </c>
      <c r="Y1698" s="67">
        <f t="shared" si="62"/>
        <v>62729.146</v>
      </c>
      <c r="Z1698" s="67">
        <f t="shared" si="8"/>
        <v>51230.7</v>
      </c>
      <c r="AA1698" s="67">
        <f t="shared" si="54"/>
        <v>8196.912</v>
      </c>
      <c r="AB1698" s="67">
        <f t="shared" si="55"/>
        <v>59427.612</v>
      </c>
      <c r="AC1698" s="67">
        <f t="shared" si="11"/>
        <v>51230.7</v>
      </c>
      <c r="AD1698" s="67">
        <f t="shared" si="56"/>
        <v>8196.912</v>
      </c>
      <c r="AE1698" s="67">
        <f t="shared" si="57"/>
        <v>59427.612</v>
      </c>
      <c r="AF1698" s="67">
        <f t="shared" si="33"/>
        <v>51230.7</v>
      </c>
      <c r="AG1698" s="67">
        <f t="shared" si="58"/>
        <v>8196.912</v>
      </c>
      <c r="AH1698" s="67">
        <f t="shared" si="59"/>
        <v>59427.612</v>
      </c>
      <c r="AI1698" s="67">
        <f t="shared" si="17"/>
        <v>51230.7</v>
      </c>
      <c r="AJ1698" s="68">
        <f t="shared" si="66"/>
        <v>8196.912</v>
      </c>
      <c r="AK1698" s="68">
        <f t="shared" si="67"/>
        <v>59427.612</v>
      </c>
      <c r="AL1698" s="70"/>
      <c r="AM1698" s="70"/>
      <c r="AN1698" s="71"/>
      <c r="AO1698" s="71"/>
      <c r="AP1698" s="71"/>
      <c r="AQ1698" s="71"/>
      <c r="AR1698" s="71"/>
      <c r="AS1698" s="71"/>
      <c r="AT1698" s="71"/>
      <c r="AU1698" s="71"/>
      <c r="AV1698" s="71"/>
      <c r="AW1698" s="71"/>
      <c r="AX1698" s="71"/>
      <c r="AY1698" s="71"/>
      <c r="AZ1698" s="71"/>
      <c r="BA1698" s="71"/>
      <c r="BB1698" s="71"/>
      <c r="BC1698" s="71"/>
      <c r="BD1698" s="71"/>
      <c r="BE1698" s="71"/>
      <c r="BF1698" s="71"/>
      <c r="BG1698" s="71"/>
      <c r="BH1698" s="71"/>
      <c r="BI1698" s="71"/>
      <c r="BJ1698" s="71"/>
      <c r="BK1698" s="71"/>
      <c r="BL1698" s="71"/>
      <c r="BM1698" s="71"/>
      <c r="BN1698" s="71"/>
      <c r="BO1698" s="71"/>
      <c r="BP1698" s="71"/>
      <c r="BQ1698" s="71"/>
      <c r="BR1698" s="71"/>
      <c r="BS1698" s="71"/>
      <c r="BT1698" s="71"/>
      <c r="BU1698" s="71"/>
      <c r="BV1698" s="71"/>
    </row>
    <row r="1699">
      <c r="A1699" s="53"/>
      <c r="B1699" s="53">
        <v>3.0</v>
      </c>
      <c r="C1699" s="53" t="s">
        <v>36</v>
      </c>
      <c r="D1699" s="98" t="s">
        <v>4207</v>
      </c>
      <c r="E1699" s="54" t="s">
        <v>38</v>
      </c>
      <c r="F1699" s="55" t="s">
        <v>4105</v>
      </c>
      <c r="G1699" s="55" t="s">
        <v>4208</v>
      </c>
      <c r="H1699" s="55"/>
      <c r="I1699" s="54">
        <f t="shared" si="24"/>
        <v>0</v>
      </c>
      <c r="J1699" s="56"/>
      <c r="K1699" s="57"/>
      <c r="L1699" s="76"/>
      <c r="M1699" s="59"/>
      <c r="N1699" s="60"/>
      <c r="O1699" s="61">
        <v>36427.0</v>
      </c>
      <c r="P1699" s="62">
        <v>39341.16</v>
      </c>
      <c r="Q1699" s="63">
        <v>39341.16</v>
      </c>
      <c r="R1699" s="64">
        <v>43374.0</v>
      </c>
      <c r="S1699" s="107">
        <v>45543.0</v>
      </c>
      <c r="T1699" s="65">
        <f t="shared" si="39"/>
        <v>7286.88</v>
      </c>
      <c r="U1699" s="65">
        <f t="shared" si="40"/>
        <v>52829.88</v>
      </c>
      <c r="V1699" s="66">
        <f t="shared" si="68"/>
        <v>0.05000691659</v>
      </c>
      <c r="W1699" s="67">
        <f t="shared" si="5"/>
        <v>43265.85</v>
      </c>
      <c r="X1699" s="67">
        <f t="shared" si="61"/>
        <v>6922.536</v>
      </c>
      <c r="Y1699" s="67">
        <f t="shared" si="62"/>
        <v>50188.386</v>
      </c>
      <c r="Z1699" s="67">
        <f t="shared" si="8"/>
        <v>40988.7</v>
      </c>
      <c r="AA1699" s="67">
        <f t="shared" si="54"/>
        <v>6558.192</v>
      </c>
      <c r="AB1699" s="67">
        <f t="shared" si="55"/>
        <v>47546.892</v>
      </c>
      <c r="AC1699" s="67">
        <f t="shared" si="11"/>
        <v>40988.7</v>
      </c>
      <c r="AD1699" s="67">
        <f t="shared" si="56"/>
        <v>6558.192</v>
      </c>
      <c r="AE1699" s="67">
        <f t="shared" si="57"/>
        <v>47546.892</v>
      </c>
      <c r="AF1699" s="67">
        <f t="shared" si="33"/>
        <v>40988.7</v>
      </c>
      <c r="AG1699" s="67">
        <f t="shared" si="58"/>
        <v>6558.192</v>
      </c>
      <c r="AH1699" s="67">
        <f t="shared" si="59"/>
        <v>47546.892</v>
      </c>
      <c r="AI1699" s="67">
        <f t="shared" si="17"/>
        <v>40988.7</v>
      </c>
      <c r="AJ1699" s="68">
        <f t="shared" si="66"/>
        <v>6558.192</v>
      </c>
      <c r="AK1699" s="68">
        <f t="shared" si="67"/>
        <v>47546.892</v>
      </c>
      <c r="AL1699" s="70"/>
      <c r="AM1699" s="70"/>
      <c r="AN1699" s="71"/>
      <c r="AO1699" s="71"/>
      <c r="AP1699" s="71"/>
      <c r="AQ1699" s="71"/>
      <c r="AR1699" s="71"/>
      <c r="AS1699" s="71"/>
      <c r="AT1699" s="71"/>
      <c r="AU1699" s="71"/>
      <c r="AV1699" s="71"/>
      <c r="AW1699" s="71"/>
      <c r="AX1699" s="71"/>
      <c r="AY1699" s="71"/>
      <c r="AZ1699" s="71"/>
      <c r="BA1699" s="71"/>
      <c r="BB1699" s="71"/>
      <c r="BC1699" s="71"/>
      <c r="BD1699" s="71"/>
      <c r="BE1699" s="71"/>
      <c r="BF1699" s="71"/>
      <c r="BG1699" s="71"/>
      <c r="BH1699" s="71"/>
      <c r="BI1699" s="71"/>
      <c r="BJ1699" s="71"/>
      <c r="BK1699" s="71"/>
      <c r="BL1699" s="71"/>
      <c r="BM1699" s="71"/>
      <c r="BN1699" s="71"/>
      <c r="BO1699" s="71"/>
      <c r="BP1699" s="71"/>
      <c r="BQ1699" s="71"/>
      <c r="BR1699" s="71"/>
      <c r="BS1699" s="71"/>
      <c r="BT1699" s="71"/>
      <c r="BU1699" s="71"/>
      <c r="BV1699" s="71"/>
    </row>
    <row r="1700">
      <c r="A1700" s="53"/>
      <c r="B1700" s="53">
        <v>3.0</v>
      </c>
      <c r="C1700" s="53" t="s">
        <v>36</v>
      </c>
      <c r="D1700" s="174" t="s">
        <v>4209</v>
      </c>
      <c r="E1700" s="54" t="s">
        <v>38</v>
      </c>
      <c r="F1700" s="55" t="s">
        <v>4105</v>
      </c>
      <c r="G1700" s="55" t="s">
        <v>4210</v>
      </c>
      <c r="H1700" s="55" t="s">
        <v>4211</v>
      </c>
      <c r="I1700" s="54">
        <f t="shared" si="24"/>
        <v>35</v>
      </c>
      <c r="J1700" s="56"/>
      <c r="K1700" s="57"/>
      <c r="L1700" s="76"/>
      <c r="M1700" s="59"/>
      <c r="N1700" s="60"/>
      <c r="O1700" s="61">
        <v>0.0</v>
      </c>
      <c r="P1700" s="62">
        <v>0.0</v>
      </c>
      <c r="Q1700" s="63">
        <v>0.0</v>
      </c>
      <c r="R1700" s="64">
        <v>0.0</v>
      </c>
      <c r="S1700" s="107">
        <v>0.0</v>
      </c>
      <c r="T1700" s="65">
        <f t="shared" si="39"/>
        <v>0</v>
      </c>
      <c r="U1700" s="65">
        <f t="shared" si="40"/>
        <v>0</v>
      </c>
      <c r="V1700" s="66" t="str">
        <f t="shared" si="68"/>
        <v>#DIV/0!</v>
      </c>
      <c r="W1700" s="67">
        <f t="shared" si="5"/>
        <v>0</v>
      </c>
      <c r="X1700" s="67">
        <f t="shared" si="61"/>
        <v>0</v>
      </c>
      <c r="Y1700" s="67">
        <f t="shared" si="62"/>
        <v>0</v>
      </c>
      <c r="Z1700" s="67">
        <f t="shared" si="8"/>
        <v>0</v>
      </c>
      <c r="AA1700" s="67">
        <f t="shared" si="54"/>
        <v>0</v>
      </c>
      <c r="AB1700" s="67">
        <f t="shared" si="55"/>
        <v>0</v>
      </c>
      <c r="AC1700" s="67">
        <f t="shared" si="11"/>
        <v>0</v>
      </c>
      <c r="AD1700" s="67">
        <f t="shared" si="56"/>
        <v>0</v>
      </c>
      <c r="AE1700" s="67">
        <f t="shared" si="57"/>
        <v>0</v>
      </c>
      <c r="AF1700" s="67">
        <f t="shared" si="33"/>
        <v>0</v>
      </c>
      <c r="AG1700" s="67">
        <f t="shared" si="58"/>
        <v>0</v>
      </c>
      <c r="AH1700" s="67">
        <f t="shared" si="59"/>
        <v>0</v>
      </c>
      <c r="AI1700" s="67">
        <f t="shared" si="17"/>
        <v>0</v>
      </c>
      <c r="AJ1700" s="68">
        <f t="shared" si="66"/>
        <v>0</v>
      </c>
      <c r="AK1700" s="68">
        <f t="shared" si="67"/>
        <v>0</v>
      </c>
      <c r="AL1700" s="70"/>
      <c r="AM1700" s="70"/>
      <c r="AN1700" s="71"/>
      <c r="AO1700" s="71"/>
      <c r="AP1700" s="71"/>
      <c r="AQ1700" s="71"/>
      <c r="AR1700" s="71"/>
      <c r="AS1700" s="71"/>
      <c r="AT1700" s="71"/>
      <c r="AU1700" s="71"/>
      <c r="AV1700" s="71"/>
      <c r="AW1700" s="71"/>
      <c r="AX1700" s="71"/>
      <c r="AY1700" s="71"/>
      <c r="AZ1700" s="71"/>
      <c r="BA1700" s="71"/>
      <c r="BB1700" s="71"/>
      <c r="BC1700" s="71"/>
      <c r="BD1700" s="71"/>
      <c r="BE1700" s="71"/>
      <c r="BF1700" s="71"/>
      <c r="BG1700" s="71"/>
      <c r="BH1700" s="71"/>
      <c r="BI1700" s="71"/>
      <c r="BJ1700" s="71"/>
      <c r="BK1700" s="71"/>
      <c r="BL1700" s="71"/>
      <c r="BM1700" s="71"/>
      <c r="BN1700" s="71"/>
      <c r="BO1700" s="71"/>
      <c r="BP1700" s="71"/>
      <c r="BQ1700" s="71"/>
      <c r="BR1700" s="71"/>
      <c r="BS1700" s="71"/>
      <c r="BT1700" s="71"/>
      <c r="BU1700" s="71"/>
      <c r="BV1700" s="71"/>
    </row>
    <row r="1701">
      <c r="A1701" s="53"/>
      <c r="B1701" s="53">
        <v>3.0</v>
      </c>
      <c r="C1701" s="53" t="s">
        <v>36</v>
      </c>
      <c r="D1701" s="174" t="s">
        <v>4212</v>
      </c>
      <c r="E1701" s="54" t="s">
        <v>38</v>
      </c>
      <c r="F1701" s="55" t="s">
        <v>4105</v>
      </c>
      <c r="G1701" s="55" t="s">
        <v>4213</v>
      </c>
      <c r="H1701" s="55" t="s">
        <v>4214</v>
      </c>
      <c r="I1701" s="54">
        <f t="shared" si="24"/>
        <v>34</v>
      </c>
      <c r="J1701" s="56"/>
      <c r="K1701" s="57"/>
      <c r="L1701" s="76"/>
      <c r="M1701" s="59"/>
      <c r="N1701" s="60"/>
      <c r="O1701" s="61">
        <v>0.0</v>
      </c>
      <c r="P1701" s="62">
        <v>0.0</v>
      </c>
      <c r="Q1701" s="63">
        <v>0.0</v>
      </c>
      <c r="R1701" s="64">
        <v>0.0</v>
      </c>
      <c r="S1701" s="107">
        <v>0.0</v>
      </c>
      <c r="T1701" s="65">
        <f t="shared" si="39"/>
        <v>0</v>
      </c>
      <c r="U1701" s="65">
        <f t="shared" si="40"/>
        <v>0</v>
      </c>
      <c r="V1701" s="66" t="str">
        <f t="shared" si="68"/>
        <v>#DIV/0!</v>
      </c>
      <c r="W1701" s="67">
        <f t="shared" si="5"/>
        <v>0</v>
      </c>
      <c r="X1701" s="67">
        <f t="shared" si="61"/>
        <v>0</v>
      </c>
      <c r="Y1701" s="67">
        <f t="shared" si="62"/>
        <v>0</v>
      </c>
      <c r="Z1701" s="67">
        <f t="shared" si="8"/>
        <v>0</v>
      </c>
      <c r="AA1701" s="67">
        <f t="shared" si="54"/>
        <v>0</v>
      </c>
      <c r="AB1701" s="67">
        <f t="shared" si="55"/>
        <v>0</v>
      </c>
      <c r="AC1701" s="67">
        <f t="shared" si="11"/>
        <v>0</v>
      </c>
      <c r="AD1701" s="67">
        <f t="shared" si="56"/>
        <v>0</v>
      </c>
      <c r="AE1701" s="67">
        <f t="shared" si="57"/>
        <v>0</v>
      </c>
      <c r="AF1701" s="67">
        <f t="shared" si="33"/>
        <v>0</v>
      </c>
      <c r="AG1701" s="67">
        <f t="shared" si="58"/>
        <v>0</v>
      </c>
      <c r="AH1701" s="67">
        <f t="shared" si="59"/>
        <v>0</v>
      </c>
      <c r="AI1701" s="67">
        <f t="shared" si="17"/>
        <v>0</v>
      </c>
      <c r="AJ1701" s="68">
        <f t="shared" si="66"/>
        <v>0</v>
      </c>
      <c r="AK1701" s="68">
        <f t="shared" si="67"/>
        <v>0</v>
      </c>
      <c r="AL1701" s="70"/>
      <c r="AM1701" s="70"/>
      <c r="AN1701" s="71"/>
      <c r="AO1701" s="71"/>
      <c r="AP1701" s="71"/>
      <c r="AQ1701" s="71"/>
      <c r="AR1701" s="71"/>
      <c r="AS1701" s="71"/>
      <c r="AT1701" s="71"/>
      <c r="AU1701" s="71"/>
      <c r="AV1701" s="71"/>
      <c r="AW1701" s="71"/>
      <c r="AX1701" s="71"/>
      <c r="AY1701" s="71"/>
      <c r="AZ1701" s="71"/>
      <c r="BA1701" s="71"/>
      <c r="BB1701" s="71"/>
      <c r="BC1701" s="71"/>
      <c r="BD1701" s="71"/>
      <c r="BE1701" s="71"/>
      <c r="BF1701" s="71"/>
      <c r="BG1701" s="71"/>
      <c r="BH1701" s="71"/>
      <c r="BI1701" s="71"/>
      <c r="BJ1701" s="71"/>
      <c r="BK1701" s="71"/>
      <c r="BL1701" s="71"/>
      <c r="BM1701" s="71"/>
      <c r="BN1701" s="71"/>
      <c r="BO1701" s="71"/>
      <c r="BP1701" s="71"/>
      <c r="BQ1701" s="71"/>
      <c r="BR1701" s="71"/>
      <c r="BS1701" s="71"/>
      <c r="BT1701" s="71"/>
      <c r="BU1701" s="71"/>
      <c r="BV1701" s="71"/>
    </row>
    <row r="1702">
      <c r="A1702" s="53"/>
      <c r="B1702" s="53">
        <v>3.0</v>
      </c>
      <c r="C1702" s="53" t="s">
        <v>36</v>
      </c>
      <c r="D1702" s="174" t="s">
        <v>4215</v>
      </c>
      <c r="E1702" s="54" t="s">
        <v>38</v>
      </c>
      <c r="F1702" s="55" t="s">
        <v>4105</v>
      </c>
      <c r="G1702" s="55" t="s">
        <v>4216</v>
      </c>
      <c r="H1702" s="55" t="s">
        <v>4217</v>
      </c>
      <c r="I1702" s="54">
        <f t="shared" si="24"/>
        <v>35</v>
      </c>
      <c r="J1702" s="56"/>
      <c r="K1702" s="57"/>
      <c r="L1702" s="76"/>
      <c r="M1702" s="59"/>
      <c r="N1702" s="60"/>
      <c r="O1702" s="61">
        <v>0.0</v>
      </c>
      <c r="P1702" s="62">
        <v>0.0</v>
      </c>
      <c r="Q1702" s="63">
        <v>0.0</v>
      </c>
      <c r="R1702" s="64">
        <v>0.0</v>
      </c>
      <c r="S1702" s="107">
        <v>0.0</v>
      </c>
      <c r="T1702" s="65">
        <f t="shared" si="39"/>
        <v>0</v>
      </c>
      <c r="U1702" s="65">
        <f t="shared" si="40"/>
        <v>0</v>
      </c>
      <c r="V1702" s="66" t="str">
        <f t="shared" si="68"/>
        <v>#DIV/0!</v>
      </c>
      <c r="W1702" s="67">
        <f t="shared" si="5"/>
        <v>0</v>
      </c>
      <c r="X1702" s="67">
        <f t="shared" si="61"/>
        <v>0</v>
      </c>
      <c r="Y1702" s="67">
        <f t="shared" si="62"/>
        <v>0</v>
      </c>
      <c r="Z1702" s="67">
        <f t="shared" si="8"/>
        <v>0</v>
      </c>
      <c r="AA1702" s="67">
        <f t="shared" si="54"/>
        <v>0</v>
      </c>
      <c r="AB1702" s="67">
        <f t="shared" si="55"/>
        <v>0</v>
      </c>
      <c r="AC1702" s="67">
        <f t="shared" si="11"/>
        <v>0</v>
      </c>
      <c r="AD1702" s="67">
        <f t="shared" si="56"/>
        <v>0</v>
      </c>
      <c r="AE1702" s="67">
        <f t="shared" si="57"/>
        <v>0</v>
      </c>
      <c r="AF1702" s="67">
        <f t="shared" si="33"/>
        <v>0</v>
      </c>
      <c r="AG1702" s="67">
        <f t="shared" si="58"/>
        <v>0</v>
      </c>
      <c r="AH1702" s="67">
        <f t="shared" si="59"/>
        <v>0</v>
      </c>
      <c r="AI1702" s="67">
        <f t="shared" si="17"/>
        <v>0</v>
      </c>
      <c r="AJ1702" s="68">
        <f t="shared" si="66"/>
        <v>0</v>
      </c>
      <c r="AK1702" s="68">
        <f t="shared" si="67"/>
        <v>0</v>
      </c>
      <c r="AL1702" s="70"/>
      <c r="AM1702" s="70"/>
      <c r="AN1702" s="71"/>
      <c r="AO1702" s="71"/>
      <c r="AP1702" s="71"/>
      <c r="AQ1702" s="71"/>
      <c r="AR1702" s="71"/>
      <c r="AS1702" s="71"/>
      <c r="AT1702" s="71"/>
      <c r="AU1702" s="71"/>
      <c r="AV1702" s="71"/>
      <c r="AW1702" s="71"/>
      <c r="AX1702" s="71"/>
      <c r="AY1702" s="71"/>
      <c r="AZ1702" s="71"/>
      <c r="BA1702" s="71"/>
      <c r="BB1702" s="71"/>
      <c r="BC1702" s="71"/>
      <c r="BD1702" s="71"/>
      <c r="BE1702" s="71"/>
      <c r="BF1702" s="71"/>
      <c r="BG1702" s="71"/>
      <c r="BH1702" s="71"/>
      <c r="BI1702" s="71"/>
      <c r="BJ1702" s="71"/>
      <c r="BK1702" s="71"/>
      <c r="BL1702" s="71"/>
      <c r="BM1702" s="71"/>
      <c r="BN1702" s="71"/>
      <c r="BO1702" s="71"/>
      <c r="BP1702" s="71"/>
      <c r="BQ1702" s="71"/>
      <c r="BR1702" s="71"/>
      <c r="BS1702" s="71"/>
      <c r="BT1702" s="71"/>
      <c r="BU1702" s="71"/>
      <c r="BV1702" s="71"/>
    </row>
    <row r="1703">
      <c r="A1703" s="53"/>
      <c r="B1703" s="53">
        <v>3.0</v>
      </c>
      <c r="C1703" s="53" t="s">
        <v>36</v>
      </c>
      <c r="D1703" s="174" t="s">
        <v>4218</v>
      </c>
      <c r="E1703" s="54" t="s">
        <v>38</v>
      </c>
      <c r="F1703" s="55" t="s">
        <v>4105</v>
      </c>
      <c r="G1703" s="55" t="s">
        <v>4219</v>
      </c>
      <c r="H1703" s="55" t="s">
        <v>4220</v>
      </c>
      <c r="I1703" s="54">
        <f t="shared" si="24"/>
        <v>34</v>
      </c>
      <c r="J1703" s="56"/>
      <c r="K1703" s="57"/>
      <c r="L1703" s="76"/>
      <c r="M1703" s="59"/>
      <c r="N1703" s="60"/>
      <c r="O1703" s="61">
        <v>0.0</v>
      </c>
      <c r="P1703" s="62">
        <v>0.0</v>
      </c>
      <c r="Q1703" s="63">
        <v>0.0</v>
      </c>
      <c r="R1703" s="64">
        <v>0.0</v>
      </c>
      <c r="S1703" s="107">
        <v>0.0</v>
      </c>
      <c r="T1703" s="65">
        <f t="shared" si="39"/>
        <v>0</v>
      </c>
      <c r="U1703" s="65">
        <f t="shared" si="40"/>
        <v>0</v>
      </c>
      <c r="V1703" s="66" t="str">
        <f t="shared" si="68"/>
        <v>#DIV/0!</v>
      </c>
      <c r="W1703" s="67">
        <f t="shared" si="5"/>
        <v>0</v>
      </c>
      <c r="X1703" s="67">
        <f t="shared" si="61"/>
        <v>0</v>
      </c>
      <c r="Y1703" s="67">
        <f t="shared" si="62"/>
        <v>0</v>
      </c>
      <c r="Z1703" s="67">
        <f t="shared" si="8"/>
        <v>0</v>
      </c>
      <c r="AA1703" s="67">
        <f t="shared" si="54"/>
        <v>0</v>
      </c>
      <c r="AB1703" s="67">
        <f t="shared" si="55"/>
        <v>0</v>
      </c>
      <c r="AC1703" s="67">
        <f t="shared" si="11"/>
        <v>0</v>
      </c>
      <c r="AD1703" s="67">
        <f t="shared" si="56"/>
        <v>0</v>
      </c>
      <c r="AE1703" s="67">
        <f t="shared" si="57"/>
        <v>0</v>
      </c>
      <c r="AF1703" s="67">
        <f t="shared" si="33"/>
        <v>0</v>
      </c>
      <c r="AG1703" s="67">
        <f t="shared" si="58"/>
        <v>0</v>
      </c>
      <c r="AH1703" s="67">
        <f t="shared" si="59"/>
        <v>0</v>
      </c>
      <c r="AI1703" s="67">
        <f t="shared" si="17"/>
        <v>0</v>
      </c>
      <c r="AJ1703" s="68">
        <f t="shared" si="66"/>
        <v>0</v>
      </c>
      <c r="AK1703" s="68">
        <f t="shared" si="67"/>
        <v>0</v>
      </c>
      <c r="AL1703" s="70"/>
      <c r="AM1703" s="70"/>
      <c r="AN1703" s="71"/>
      <c r="AO1703" s="71"/>
      <c r="AP1703" s="71"/>
      <c r="AQ1703" s="71"/>
      <c r="AR1703" s="71"/>
      <c r="AS1703" s="71"/>
      <c r="AT1703" s="71"/>
      <c r="AU1703" s="71"/>
      <c r="AV1703" s="71"/>
      <c r="AW1703" s="71"/>
      <c r="AX1703" s="71"/>
      <c r="AY1703" s="71"/>
      <c r="AZ1703" s="71"/>
      <c r="BA1703" s="71"/>
      <c r="BB1703" s="71"/>
      <c r="BC1703" s="71"/>
      <c r="BD1703" s="71"/>
      <c r="BE1703" s="71"/>
      <c r="BF1703" s="71"/>
      <c r="BG1703" s="71"/>
      <c r="BH1703" s="71"/>
      <c r="BI1703" s="71"/>
      <c r="BJ1703" s="71"/>
      <c r="BK1703" s="71"/>
      <c r="BL1703" s="71"/>
      <c r="BM1703" s="71"/>
      <c r="BN1703" s="71"/>
      <c r="BO1703" s="71"/>
      <c r="BP1703" s="71"/>
      <c r="BQ1703" s="71"/>
      <c r="BR1703" s="71"/>
      <c r="BS1703" s="71"/>
      <c r="BT1703" s="71"/>
      <c r="BU1703" s="71"/>
      <c r="BV1703" s="71"/>
    </row>
    <row r="1704">
      <c r="A1704" s="53"/>
      <c r="B1704" s="53">
        <v>3.0</v>
      </c>
      <c r="C1704" s="53" t="s">
        <v>36</v>
      </c>
      <c r="D1704" s="174" t="s">
        <v>4221</v>
      </c>
      <c r="E1704" s="54" t="s">
        <v>38</v>
      </c>
      <c r="F1704" s="55" t="s">
        <v>4105</v>
      </c>
      <c r="G1704" s="55" t="s">
        <v>4222</v>
      </c>
      <c r="H1704" s="55" t="s">
        <v>4223</v>
      </c>
      <c r="I1704" s="54">
        <f t="shared" si="24"/>
        <v>35</v>
      </c>
      <c r="J1704" s="56"/>
      <c r="K1704" s="57"/>
      <c r="L1704" s="76"/>
      <c r="M1704" s="59"/>
      <c r="N1704" s="60"/>
      <c r="O1704" s="61">
        <v>0.0</v>
      </c>
      <c r="P1704" s="62">
        <v>0.0</v>
      </c>
      <c r="Q1704" s="63">
        <v>0.0</v>
      </c>
      <c r="R1704" s="64">
        <v>0.0</v>
      </c>
      <c r="S1704" s="107">
        <v>0.0</v>
      </c>
      <c r="T1704" s="65">
        <f t="shared" si="39"/>
        <v>0</v>
      </c>
      <c r="U1704" s="65">
        <f t="shared" si="40"/>
        <v>0</v>
      </c>
      <c r="V1704" s="66" t="str">
        <f t="shared" si="68"/>
        <v>#DIV/0!</v>
      </c>
      <c r="W1704" s="67">
        <f t="shared" si="5"/>
        <v>0</v>
      </c>
      <c r="X1704" s="67">
        <f t="shared" si="61"/>
        <v>0</v>
      </c>
      <c r="Y1704" s="67">
        <f t="shared" si="62"/>
        <v>0</v>
      </c>
      <c r="Z1704" s="67">
        <f t="shared" si="8"/>
        <v>0</v>
      </c>
      <c r="AA1704" s="67">
        <f t="shared" si="54"/>
        <v>0</v>
      </c>
      <c r="AB1704" s="67">
        <f t="shared" si="55"/>
        <v>0</v>
      </c>
      <c r="AC1704" s="67">
        <f t="shared" si="11"/>
        <v>0</v>
      </c>
      <c r="AD1704" s="67">
        <f t="shared" si="56"/>
        <v>0</v>
      </c>
      <c r="AE1704" s="67">
        <f t="shared" si="57"/>
        <v>0</v>
      </c>
      <c r="AF1704" s="67">
        <f t="shared" si="33"/>
        <v>0</v>
      </c>
      <c r="AG1704" s="67">
        <f t="shared" si="58"/>
        <v>0</v>
      </c>
      <c r="AH1704" s="67">
        <f t="shared" si="59"/>
        <v>0</v>
      </c>
      <c r="AI1704" s="67">
        <f t="shared" si="17"/>
        <v>0</v>
      </c>
      <c r="AJ1704" s="68">
        <f t="shared" si="66"/>
        <v>0</v>
      </c>
      <c r="AK1704" s="68">
        <f t="shared" si="67"/>
        <v>0</v>
      </c>
      <c r="AL1704" s="70"/>
      <c r="AM1704" s="70"/>
      <c r="AN1704" s="71"/>
      <c r="AO1704" s="71"/>
      <c r="AP1704" s="71"/>
      <c r="AQ1704" s="71"/>
      <c r="AR1704" s="71"/>
      <c r="AS1704" s="71"/>
      <c r="AT1704" s="71"/>
      <c r="AU1704" s="71"/>
      <c r="AV1704" s="71"/>
      <c r="AW1704" s="71"/>
      <c r="AX1704" s="71"/>
      <c r="AY1704" s="71"/>
      <c r="AZ1704" s="71"/>
      <c r="BA1704" s="71"/>
      <c r="BB1704" s="71"/>
      <c r="BC1704" s="71"/>
      <c r="BD1704" s="71"/>
      <c r="BE1704" s="71"/>
      <c r="BF1704" s="71"/>
      <c r="BG1704" s="71"/>
      <c r="BH1704" s="71"/>
      <c r="BI1704" s="71"/>
      <c r="BJ1704" s="71"/>
      <c r="BK1704" s="71"/>
      <c r="BL1704" s="71"/>
      <c r="BM1704" s="71"/>
      <c r="BN1704" s="71"/>
      <c r="BO1704" s="71"/>
      <c r="BP1704" s="71"/>
      <c r="BQ1704" s="71"/>
      <c r="BR1704" s="71"/>
      <c r="BS1704" s="71"/>
      <c r="BT1704" s="71"/>
      <c r="BU1704" s="71"/>
      <c r="BV1704" s="71"/>
    </row>
    <row r="1705">
      <c r="A1705" s="53"/>
      <c r="B1705" s="53">
        <v>3.0</v>
      </c>
      <c r="C1705" s="53" t="s">
        <v>36</v>
      </c>
      <c r="D1705" s="174" t="s">
        <v>4224</v>
      </c>
      <c r="E1705" s="54" t="s">
        <v>38</v>
      </c>
      <c r="F1705" s="55" t="s">
        <v>4105</v>
      </c>
      <c r="G1705" s="55" t="s">
        <v>4225</v>
      </c>
      <c r="H1705" s="55" t="s">
        <v>4226</v>
      </c>
      <c r="I1705" s="54">
        <f t="shared" si="24"/>
        <v>35</v>
      </c>
      <c r="J1705" s="56"/>
      <c r="K1705" s="57"/>
      <c r="L1705" s="76"/>
      <c r="M1705" s="59"/>
      <c r="N1705" s="60"/>
      <c r="O1705" s="61">
        <v>0.0</v>
      </c>
      <c r="P1705" s="62">
        <v>0.0</v>
      </c>
      <c r="Q1705" s="63">
        <v>0.0</v>
      </c>
      <c r="R1705" s="64">
        <v>0.0</v>
      </c>
      <c r="S1705" s="107">
        <v>0.0</v>
      </c>
      <c r="T1705" s="65">
        <f t="shared" si="39"/>
        <v>0</v>
      </c>
      <c r="U1705" s="65">
        <f t="shared" si="40"/>
        <v>0</v>
      </c>
      <c r="V1705" s="66" t="str">
        <f t="shared" si="68"/>
        <v>#DIV/0!</v>
      </c>
      <c r="W1705" s="67">
        <f t="shared" si="5"/>
        <v>0</v>
      </c>
      <c r="X1705" s="67">
        <f t="shared" si="61"/>
        <v>0</v>
      </c>
      <c r="Y1705" s="67">
        <f t="shared" si="62"/>
        <v>0</v>
      </c>
      <c r="Z1705" s="67">
        <f t="shared" si="8"/>
        <v>0</v>
      </c>
      <c r="AA1705" s="67">
        <f t="shared" si="54"/>
        <v>0</v>
      </c>
      <c r="AB1705" s="67">
        <f t="shared" si="55"/>
        <v>0</v>
      </c>
      <c r="AC1705" s="67">
        <f t="shared" si="11"/>
        <v>0</v>
      </c>
      <c r="AD1705" s="67">
        <f t="shared" si="56"/>
        <v>0</v>
      </c>
      <c r="AE1705" s="67">
        <f t="shared" si="57"/>
        <v>0</v>
      </c>
      <c r="AF1705" s="67">
        <f t="shared" si="33"/>
        <v>0</v>
      </c>
      <c r="AG1705" s="67">
        <f t="shared" si="58"/>
        <v>0</v>
      </c>
      <c r="AH1705" s="67">
        <f t="shared" si="59"/>
        <v>0</v>
      </c>
      <c r="AI1705" s="67">
        <f t="shared" si="17"/>
        <v>0</v>
      </c>
      <c r="AJ1705" s="68">
        <f t="shared" si="66"/>
        <v>0</v>
      </c>
      <c r="AK1705" s="68">
        <f t="shared" si="67"/>
        <v>0</v>
      </c>
      <c r="AL1705" s="70"/>
      <c r="AM1705" s="70"/>
      <c r="AN1705" s="71"/>
      <c r="AO1705" s="71"/>
      <c r="AP1705" s="71"/>
      <c r="AQ1705" s="71"/>
      <c r="AR1705" s="71"/>
      <c r="AS1705" s="71"/>
      <c r="AT1705" s="71"/>
      <c r="AU1705" s="71"/>
      <c r="AV1705" s="71"/>
      <c r="AW1705" s="71"/>
      <c r="AX1705" s="71"/>
      <c r="AY1705" s="71"/>
      <c r="AZ1705" s="71"/>
      <c r="BA1705" s="71"/>
      <c r="BB1705" s="71"/>
      <c r="BC1705" s="71"/>
      <c r="BD1705" s="71"/>
      <c r="BE1705" s="71"/>
      <c r="BF1705" s="71"/>
      <c r="BG1705" s="71"/>
      <c r="BH1705" s="71"/>
      <c r="BI1705" s="71"/>
      <c r="BJ1705" s="71"/>
      <c r="BK1705" s="71"/>
      <c r="BL1705" s="71"/>
      <c r="BM1705" s="71"/>
      <c r="BN1705" s="71"/>
      <c r="BO1705" s="71"/>
      <c r="BP1705" s="71"/>
      <c r="BQ1705" s="71"/>
      <c r="BR1705" s="71"/>
      <c r="BS1705" s="71"/>
      <c r="BT1705" s="71"/>
      <c r="BU1705" s="71"/>
      <c r="BV1705" s="71"/>
    </row>
    <row r="1706">
      <c r="A1706" s="53"/>
      <c r="B1706" s="53">
        <v>3.0</v>
      </c>
      <c r="C1706" s="53" t="s">
        <v>36</v>
      </c>
      <c r="D1706" s="174" t="s">
        <v>4227</v>
      </c>
      <c r="E1706" s="54" t="s">
        <v>38</v>
      </c>
      <c r="F1706" s="55" t="s">
        <v>4105</v>
      </c>
      <c r="G1706" s="55" t="s">
        <v>4228</v>
      </c>
      <c r="H1706" s="55" t="s">
        <v>4229</v>
      </c>
      <c r="I1706" s="54">
        <f t="shared" si="24"/>
        <v>32</v>
      </c>
      <c r="J1706" s="56"/>
      <c r="K1706" s="57"/>
      <c r="L1706" s="76"/>
      <c r="M1706" s="59"/>
      <c r="N1706" s="60"/>
      <c r="O1706" s="61">
        <v>0.0</v>
      </c>
      <c r="P1706" s="62">
        <v>0.0</v>
      </c>
      <c r="Q1706" s="63">
        <v>0.0</v>
      </c>
      <c r="R1706" s="64">
        <v>0.0</v>
      </c>
      <c r="S1706" s="107">
        <v>0.0</v>
      </c>
      <c r="T1706" s="65">
        <f t="shared" si="39"/>
        <v>0</v>
      </c>
      <c r="U1706" s="65">
        <f t="shared" si="40"/>
        <v>0</v>
      </c>
      <c r="V1706" s="66" t="str">
        <f t="shared" si="68"/>
        <v>#DIV/0!</v>
      </c>
      <c r="W1706" s="67">
        <f t="shared" si="5"/>
        <v>0</v>
      </c>
      <c r="X1706" s="67">
        <f t="shared" si="61"/>
        <v>0</v>
      </c>
      <c r="Y1706" s="67">
        <f t="shared" si="62"/>
        <v>0</v>
      </c>
      <c r="Z1706" s="67">
        <f t="shared" si="8"/>
        <v>0</v>
      </c>
      <c r="AA1706" s="67">
        <f t="shared" si="54"/>
        <v>0</v>
      </c>
      <c r="AB1706" s="67">
        <f t="shared" si="55"/>
        <v>0</v>
      </c>
      <c r="AC1706" s="67">
        <f t="shared" si="11"/>
        <v>0</v>
      </c>
      <c r="AD1706" s="67">
        <f t="shared" si="56"/>
        <v>0</v>
      </c>
      <c r="AE1706" s="67">
        <f t="shared" si="57"/>
        <v>0</v>
      </c>
      <c r="AF1706" s="67">
        <f t="shared" si="33"/>
        <v>0</v>
      </c>
      <c r="AG1706" s="67">
        <f t="shared" si="58"/>
        <v>0</v>
      </c>
      <c r="AH1706" s="67">
        <f t="shared" si="59"/>
        <v>0</v>
      </c>
      <c r="AI1706" s="67">
        <f t="shared" si="17"/>
        <v>0</v>
      </c>
      <c r="AJ1706" s="68">
        <f t="shared" si="66"/>
        <v>0</v>
      </c>
      <c r="AK1706" s="68">
        <f t="shared" si="67"/>
        <v>0</v>
      </c>
      <c r="AL1706" s="70"/>
      <c r="AM1706" s="70"/>
      <c r="AN1706" s="71"/>
      <c r="AO1706" s="71"/>
      <c r="AP1706" s="71"/>
      <c r="AQ1706" s="71"/>
      <c r="AR1706" s="71"/>
      <c r="AS1706" s="71"/>
      <c r="AT1706" s="71"/>
      <c r="AU1706" s="71"/>
      <c r="AV1706" s="71"/>
      <c r="AW1706" s="71"/>
      <c r="AX1706" s="71"/>
      <c r="AY1706" s="71"/>
      <c r="AZ1706" s="71"/>
      <c r="BA1706" s="71"/>
      <c r="BB1706" s="71"/>
      <c r="BC1706" s="71"/>
      <c r="BD1706" s="71"/>
      <c r="BE1706" s="71"/>
      <c r="BF1706" s="71"/>
      <c r="BG1706" s="71"/>
      <c r="BH1706" s="71"/>
      <c r="BI1706" s="71"/>
      <c r="BJ1706" s="71"/>
      <c r="BK1706" s="71"/>
      <c r="BL1706" s="71"/>
      <c r="BM1706" s="71"/>
      <c r="BN1706" s="71"/>
      <c r="BO1706" s="71"/>
      <c r="BP1706" s="71"/>
      <c r="BQ1706" s="71"/>
      <c r="BR1706" s="71"/>
      <c r="BS1706" s="71"/>
      <c r="BT1706" s="71"/>
      <c r="BU1706" s="71"/>
      <c r="BV1706" s="71"/>
    </row>
    <row r="1707">
      <c r="A1707" s="53"/>
      <c r="B1707" s="53">
        <v>3.0</v>
      </c>
      <c r="C1707" s="53" t="s">
        <v>36</v>
      </c>
      <c r="D1707" s="85" t="s">
        <v>4230</v>
      </c>
      <c r="E1707" s="54" t="s">
        <v>38</v>
      </c>
      <c r="F1707" s="55" t="s">
        <v>4105</v>
      </c>
      <c r="G1707" s="55" t="s">
        <v>4231</v>
      </c>
      <c r="H1707" s="55"/>
      <c r="I1707" s="54">
        <f t="shared" si="24"/>
        <v>0</v>
      </c>
      <c r="J1707" s="56"/>
      <c r="K1707" s="57"/>
      <c r="L1707" s="76"/>
      <c r="M1707" s="59"/>
      <c r="N1707" s="60"/>
      <c r="O1707" s="61">
        <v>14061.0</v>
      </c>
      <c r="P1707" s="62">
        <v>15185.880000000001</v>
      </c>
      <c r="Q1707" s="63">
        <v>15185.880000000001</v>
      </c>
      <c r="R1707" s="64">
        <v>16743.0</v>
      </c>
      <c r="S1707" s="107">
        <v>17580.0</v>
      </c>
      <c r="T1707" s="65">
        <f t="shared" si="39"/>
        <v>2812.8</v>
      </c>
      <c r="U1707" s="65">
        <f t="shared" si="40"/>
        <v>20392.8</v>
      </c>
      <c r="V1707" s="66">
        <f t="shared" si="68"/>
        <v>0.04999104103</v>
      </c>
      <c r="W1707" s="67">
        <f t="shared" si="5"/>
        <v>16701</v>
      </c>
      <c r="X1707" s="67">
        <f t="shared" si="61"/>
        <v>2672.16</v>
      </c>
      <c r="Y1707" s="67">
        <f t="shared" si="62"/>
        <v>19373.16</v>
      </c>
      <c r="Z1707" s="67">
        <f t="shared" si="8"/>
        <v>15822</v>
      </c>
      <c r="AA1707" s="67">
        <f t="shared" si="54"/>
        <v>2531.52</v>
      </c>
      <c r="AB1707" s="67">
        <f t="shared" si="55"/>
        <v>18353.52</v>
      </c>
      <c r="AC1707" s="67">
        <f t="shared" si="11"/>
        <v>15822</v>
      </c>
      <c r="AD1707" s="67">
        <f t="shared" si="56"/>
        <v>2531.52</v>
      </c>
      <c r="AE1707" s="67">
        <f t="shared" si="57"/>
        <v>18353.52</v>
      </c>
      <c r="AF1707" s="67">
        <f t="shared" si="33"/>
        <v>15822</v>
      </c>
      <c r="AG1707" s="67">
        <f t="shared" si="58"/>
        <v>2531.52</v>
      </c>
      <c r="AH1707" s="67">
        <f t="shared" si="59"/>
        <v>18353.52</v>
      </c>
      <c r="AI1707" s="67">
        <f t="shared" si="17"/>
        <v>15822</v>
      </c>
      <c r="AJ1707" s="68">
        <f t="shared" si="66"/>
        <v>2531.52</v>
      </c>
      <c r="AK1707" s="68">
        <f t="shared" si="67"/>
        <v>18353.52</v>
      </c>
      <c r="AL1707" s="70"/>
      <c r="AM1707" s="70"/>
      <c r="AN1707" s="71"/>
      <c r="AO1707" s="71"/>
      <c r="AP1707" s="71"/>
      <c r="AQ1707" s="71"/>
      <c r="AR1707" s="71"/>
      <c r="AS1707" s="71"/>
      <c r="AT1707" s="71"/>
      <c r="AU1707" s="71"/>
      <c r="AV1707" s="71"/>
      <c r="AW1707" s="71"/>
      <c r="AX1707" s="71"/>
      <c r="AY1707" s="71"/>
      <c r="AZ1707" s="71"/>
      <c r="BA1707" s="71"/>
      <c r="BB1707" s="71"/>
      <c r="BC1707" s="71"/>
      <c r="BD1707" s="71"/>
      <c r="BE1707" s="71"/>
      <c r="BF1707" s="71"/>
      <c r="BG1707" s="71"/>
      <c r="BH1707" s="71"/>
      <c r="BI1707" s="71"/>
      <c r="BJ1707" s="71"/>
      <c r="BK1707" s="71"/>
      <c r="BL1707" s="71"/>
      <c r="BM1707" s="71"/>
      <c r="BN1707" s="71"/>
      <c r="BO1707" s="71"/>
      <c r="BP1707" s="71"/>
      <c r="BQ1707" s="71"/>
      <c r="BR1707" s="71"/>
      <c r="BS1707" s="71"/>
      <c r="BT1707" s="71"/>
      <c r="BU1707" s="71"/>
      <c r="BV1707" s="71"/>
    </row>
    <row r="1708">
      <c r="A1708" s="53"/>
      <c r="B1708" s="53">
        <v>3.0</v>
      </c>
      <c r="C1708" s="53" t="s">
        <v>36</v>
      </c>
      <c r="D1708" s="85" t="s">
        <v>4232</v>
      </c>
      <c r="E1708" s="54" t="s">
        <v>38</v>
      </c>
      <c r="F1708" s="55" t="s">
        <v>4105</v>
      </c>
      <c r="G1708" s="55" t="s">
        <v>4233</v>
      </c>
      <c r="H1708" s="55"/>
      <c r="I1708" s="54">
        <f t="shared" si="24"/>
        <v>0</v>
      </c>
      <c r="J1708" s="56"/>
      <c r="K1708" s="57"/>
      <c r="L1708" s="76"/>
      <c r="M1708" s="59"/>
      <c r="N1708" s="60"/>
      <c r="O1708" s="61">
        <v>39933.0</v>
      </c>
      <c r="P1708" s="62">
        <v>43127.64</v>
      </c>
      <c r="Q1708" s="63">
        <v>43127.64</v>
      </c>
      <c r="R1708" s="64">
        <v>47549.0</v>
      </c>
      <c r="S1708" s="107">
        <v>49926.0</v>
      </c>
      <c r="T1708" s="65">
        <f t="shared" si="39"/>
        <v>7988.16</v>
      </c>
      <c r="U1708" s="65">
        <f t="shared" si="40"/>
        <v>57914.16</v>
      </c>
      <c r="V1708" s="66">
        <f t="shared" si="68"/>
        <v>0.04999053608</v>
      </c>
      <c r="W1708" s="67">
        <f t="shared" si="5"/>
        <v>47429.7</v>
      </c>
      <c r="X1708" s="67">
        <f t="shared" si="61"/>
        <v>7588.752</v>
      </c>
      <c r="Y1708" s="67">
        <f t="shared" si="62"/>
        <v>55018.452</v>
      </c>
      <c r="Z1708" s="67">
        <f t="shared" si="8"/>
        <v>44933.4</v>
      </c>
      <c r="AA1708" s="67">
        <f t="shared" si="54"/>
        <v>7189.344</v>
      </c>
      <c r="AB1708" s="67">
        <f t="shared" si="55"/>
        <v>52122.744</v>
      </c>
      <c r="AC1708" s="67">
        <f t="shared" si="11"/>
        <v>44933.4</v>
      </c>
      <c r="AD1708" s="67">
        <f t="shared" si="56"/>
        <v>7189.344</v>
      </c>
      <c r="AE1708" s="67">
        <f t="shared" si="57"/>
        <v>52122.744</v>
      </c>
      <c r="AF1708" s="67">
        <f t="shared" si="33"/>
        <v>44933.4</v>
      </c>
      <c r="AG1708" s="67">
        <f t="shared" si="58"/>
        <v>7189.344</v>
      </c>
      <c r="AH1708" s="67">
        <f t="shared" si="59"/>
        <v>52122.744</v>
      </c>
      <c r="AI1708" s="67">
        <f t="shared" si="17"/>
        <v>44933.4</v>
      </c>
      <c r="AJ1708" s="68">
        <f t="shared" si="66"/>
        <v>7189.344</v>
      </c>
      <c r="AK1708" s="68">
        <f t="shared" si="67"/>
        <v>52122.744</v>
      </c>
      <c r="AL1708" s="70"/>
      <c r="AM1708" s="70"/>
      <c r="AN1708" s="71"/>
      <c r="AO1708" s="71"/>
      <c r="AP1708" s="71"/>
      <c r="AQ1708" s="71"/>
      <c r="AR1708" s="71"/>
      <c r="AS1708" s="71"/>
      <c r="AT1708" s="71"/>
      <c r="AU1708" s="71"/>
      <c r="AV1708" s="71"/>
      <c r="AW1708" s="71"/>
      <c r="AX1708" s="71"/>
      <c r="AY1708" s="71"/>
      <c r="AZ1708" s="71"/>
      <c r="BA1708" s="71"/>
      <c r="BB1708" s="71"/>
      <c r="BC1708" s="71"/>
      <c r="BD1708" s="71"/>
      <c r="BE1708" s="71"/>
      <c r="BF1708" s="71"/>
      <c r="BG1708" s="71"/>
      <c r="BH1708" s="71"/>
      <c r="BI1708" s="71"/>
      <c r="BJ1708" s="71"/>
      <c r="BK1708" s="71"/>
      <c r="BL1708" s="71"/>
      <c r="BM1708" s="71"/>
      <c r="BN1708" s="71"/>
      <c r="BO1708" s="71"/>
      <c r="BP1708" s="71"/>
      <c r="BQ1708" s="71"/>
      <c r="BR1708" s="71"/>
      <c r="BS1708" s="71"/>
      <c r="BT1708" s="71"/>
      <c r="BU1708" s="71"/>
      <c r="BV1708" s="71"/>
    </row>
    <row r="1709">
      <c r="A1709" s="53"/>
      <c r="B1709" s="53">
        <v>3.0</v>
      </c>
      <c r="C1709" s="53" t="s">
        <v>36</v>
      </c>
      <c r="D1709" s="85" t="s">
        <v>4234</v>
      </c>
      <c r="E1709" s="54" t="s">
        <v>38</v>
      </c>
      <c r="F1709" s="55" t="s">
        <v>4105</v>
      </c>
      <c r="G1709" s="55" t="s">
        <v>4235</v>
      </c>
      <c r="H1709" s="55"/>
      <c r="I1709" s="54">
        <f t="shared" si="24"/>
        <v>0</v>
      </c>
      <c r="J1709" s="56"/>
      <c r="K1709" s="57"/>
      <c r="L1709" s="76"/>
      <c r="M1709" s="59"/>
      <c r="N1709" s="60"/>
      <c r="O1709" s="61">
        <v>37155.0</v>
      </c>
      <c r="P1709" s="62">
        <v>40127.4</v>
      </c>
      <c r="Q1709" s="63">
        <v>40127.4</v>
      </c>
      <c r="R1709" s="64">
        <v>44240.0</v>
      </c>
      <c r="S1709" s="107">
        <v>46452.0</v>
      </c>
      <c r="T1709" s="65">
        <f t="shared" si="39"/>
        <v>7432.32</v>
      </c>
      <c r="U1709" s="65">
        <f t="shared" si="40"/>
        <v>53884.32</v>
      </c>
      <c r="V1709" s="66">
        <f t="shared" si="68"/>
        <v>0.05</v>
      </c>
      <c r="W1709" s="67">
        <f t="shared" si="5"/>
        <v>44129.4</v>
      </c>
      <c r="X1709" s="67">
        <f t="shared" si="61"/>
        <v>7060.704</v>
      </c>
      <c r="Y1709" s="67">
        <f t="shared" si="62"/>
        <v>51190.104</v>
      </c>
      <c r="Z1709" s="67">
        <f t="shared" si="8"/>
        <v>41806.8</v>
      </c>
      <c r="AA1709" s="67">
        <f t="shared" si="54"/>
        <v>6689.088</v>
      </c>
      <c r="AB1709" s="67">
        <f t="shared" si="55"/>
        <v>48495.888</v>
      </c>
      <c r="AC1709" s="67">
        <f t="shared" si="11"/>
        <v>41806.8</v>
      </c>
      <c r="AD1709" s="67">
        <f t="shared" si="56"/>
        <v>6689.088</v>
      </c>
      <c r="AE1709" s="67">
        <f t="shared" si="57"/>
        <v>48495.888</v>
      </c>
      <c r="AF1709" s="67">
        <f t="shared" si="33"/>
        <v>41806.8</v>
      </c>
      <c r="AG1709" s="67">
        <f t="shared" si="58"/>
        <v>6689.088</v>
      </c>
      <c r="AH1709" s="67">
        <f t="shared" si="59"/>
        <v>48495.888</v>
      </c>
      <c r="AI1709" s="67">
        <f t="shared" si="17"/>
        <v>41806.8</v>
      </c>
      <c r="AJ1709" s="68">
        <f t="shared" si="66"/>
        <v>6689.088</v>
      </c>
      <c r="AK1709" s="68">
        <f t="shared" si="67"/>
        <v>48495.888</v>
      </c>
      <c r="AL1709" s="70"/>
      <c r="AM1709" s="70"/>
      <c r="AN1709" s="71"/>
      <c r="AO1709" s="71"/>
      <c r="AP1709" s="71"/>
      <c r="AQ1709" s="71"/>
      <c r="AR1709" s="71"/>
      <c r="AS1709" s="71"/>
      <c r="AT1709" s="71"/>
      <c r="AU1709" s="71"/>
      <c r="AV1709" s="71"/>
      <c r="AW1709" s="71"/>
      <c r="AX1709" s="71"/>
      <c r="AY1709" s="71"/>
      <c r="AZ1709" s="71"/>
      <c r="BA1709" s="71"/>
      <c r="BB1709" s="71"/>
      <c r="BC1709" s="71"/>
      <c r="BD1709" s="71"/>
      <c r="BE1709" s="71"/>
      <c r="BF1709" s="71"/>
      <c r="BG1709" s="71"/>
      <c r="BH1709" s="71"/>
      <c r="BI1709" s="71"/>
      <c r="BJ1709" s="71"/>
      <c r="BK1709" s="71"/>
      <c r="BL1709" s="71"/>
      <c r="BM1709" s="71"/>
      <c r="BN1709" s="71"/>
      <c r="BO1709" s="71"/>
      <c r="BP1709" s="71"/>
      <c r="BQ1709" s="71"/>
      <c r="BR1709" s="71"/>
      <c r="BS1709" s="71"/>
      <c r="BT1709" s="71"/>
      <c r="BU1709" s="71"/>
      <c r="BV1709" s="71"/>
    </row>
    <row r="1710">
      <c r="A1710" s="53"/>
      <c r="B1710" s="53">
        <v>3.0</v>
      </c>
      <c r="C1710" s="53" t="s">
        <v>36</v>
      </c>
      <c r="D1710" s="85" t="s">
        <v>4236</v>
      </c>
      <c r="E1710" s="54" t="s">
        <v>38</v>
      </c>
      <c r="F1710" s="55" t="s">
        <v>4105</v>
      </c>
      <c r="G1710" s="55" t="s">
        <v>4237</v>
      </c>
      <c r="H1710" s="55" t="s">
        <v>4238</v>
      </c>
      <c r="I1710" s="54">
        <f t="shared" si="24"/>
        <v>38</v>
      </c>
      <c r="J1710" s="56"/>
      <c r="K1710" s="57"/>
      <c r="L1710" s="76"/>
      <c r="M1710" s="59"/>
      <c r="N1710" s="60"/>
      <c r="O1710" s="61">
        <v>0.0</v>
      </c>
      <c r="P1710" s="62">
        <v>0.0</v>
      </c>
      <c r="Q1710" s="63">
        <v>0.0</v>
      </c>
      <c r="R1710" s="64">
        <v>0.0</v>
      </c>
      <c r="S1710" s="107">
        <v>0.0</v>
      </c>
      <c r="T1710" s="65">
        <f t="shared" si="39"/>
        <v>0</v>
      </c>
      <c r="U1710" s="65">
        <f t="shared" si="40"/>
        <v>0</v>
      </c>
      <c r="V1710" s="66" t="str">
        <f t="shared" si="68"/>
        <v>#DIV/0!</v>
      </c>
      <c r="W1710" s="67">
        <f t="shared" si="5"/>
        <v>0</v>
      </c>
      <c r="X1710" s="67">
        <f t="shared" si="61"/>
        <v>0</v>
      </c>
      <c r="Y1710" s="67">
        <f t="shared" si="62"/>
        <v>0</v>
      </c>
      <c r="Z1710" s="67">
        <f t="shared" si="8"/>
        <v>0</v>
      </c>
      <c r="AA1710" s="67">
        <f t="shared" si="54"/>
        <v>0</v>
      </c>
      <c r="AB1710" s="67">
        <f t="shared" si="55"/>
        <v>0</v>
      </c>
      <c r="AC1710" s="67">
        <f t="shared" si="11"/>
        <v>0</v>
      </c>
      <c r="AD1710" s="67">
        <f t="shared" si="56"/>
        <v>0</v>
      </c>
      <c r="AE1710" s="67">
        <f t="shared" si="57"/>
        <v>0</v>
      </c>
      <c r="AF1710" s="67">
        <f t="shared" si="33"/>
        <v>0</v>
      </c>
      <c r="AG1710" s="67">
        <f t="shared" si="58"/>
        <v>0</v>
      </c>
      <c r="AH1710" s="67">
        <f t="shared" si="59"/>
        <v>0</v>
      </c>
      <c r="AI1710" s="67">
        <f t="shared" si="17"/>
        <v>0</v>
      </c>
      <c r="AJ1710" s="68">
        <f t="shared" si="66"/>
        <v>0</v>
      </c>
      <c r="AK1710" s="68">
        <f t="shared" si="67"/>
        <v>0</v>
      </c>
      <c r="AL1710" s="70"/>
      <c r="AM1710" s="70"/>
      <c r="AN1710" s="71"/>
      <c r="AO1710" s="71"/>
      <c r="AP1710" s="71"/>
      <c r="AQ1710" s="71"/>
      <c r="AR1710" s="71"/>
      <c r="AS1710" s="71"/>
      <c r="AT1710" s="71"/>
      <c r="AU1710" s="71"/>
      <c r="AV1710" s="71"/>
      <c r="AW1710" s="71"/>
      <c r="AX1710" s="71"/>
      <c r="AY1710" s="71"/>
      <c r="AZ1710" s="71"/>
      <c r="BA1710" s="71"/>
      <c r="BB1710" s="71"/>
      <c r="BC1710" s="71"/>
      <c r="BD1710" s="71"/>
      <c r="BE1710" s="71"/>
      <c r="BF1710" s="71"/>
      <c r="BG1710" s="71"/>
      <c r="BH1710" s="71"/>
      <c r="BI1710" s="71"/>
      <c r="BJ1710" s="71"/>
      <c r="BK1710" s="71"/>
      <c r="BL1710" s="71"/>
      <c r="BM1710" s="71"/>
      <c r="BN1710" s="71"/>
      <c r="BO1710" s="71"/>
      <c r="BP1710" s="71"/>
      <c r="BQ1710" s="71"/>
      <c r="BR1710" s="71"/>
      <c r="BS1710" s="71"/>
      <c r="BT1710" s="71"/>
      <c r="BU1710" s="71"/>
      <c r="BV1710" s="71"/>
    </row>
    <row r="1711">
      <c r="A1711" s="53"/>
      <c r="B1711" s="53">
        <v>3.0</v>
      </c>
      <c r="C1711" s="53" t="s">
        <v>36</v>
      </c>
      <c r="D1711" s="85" t="s">
        <v>4239</v>
      </c>
      <c r="E1711" s="54" t="s">
        <v>38</v>
      </c>
      <c r="F1711" s="55" t="s">
        <v>4105</v>
      </c>
      <c r="G1711" s="55" t="s">
        <v>4240</v>
      </c>
      <c r="H1711" s="55" t="s">
        <v>4241</v>
      </c>
      <c r="I1711" s="54">
        <f t="shared" si="24"/>
        <v>38</v>
      </c>
      <c r="J1711" s="56"/>
      <c r="K1711" s="57"/>
      <c r="L1711" s="76"/>
      <c r="M1711" s="59"/>
      <c r="N1711" s="60"/>
      <c r="O1711" s="61">
        <v>0.0</v>
      </c>
      <c r="P1711" s="62">
        <v>0.0</v>
      </c>
      <c r="Q1711" s="63">
        <v>0.0</v>
      </c>
      <c r="R1711" s="64">
        <v>0.0</v>
      </c>
      <c r="S1711" s="107">
        <v>0.0</v>
      </c>
      <c r="T1711" s="65">
        <f t="shared" si="39"/>
        <v>0</v>
      </c>
      <c r="U1711" s="65">
        <f t="shared" si="40"/>
        <v>0</v>
      </c>
      <c r="V1711" s="66" t="str">
        <f t="shared" si="68"/>
        <v>#DIV/0!</v>
      </c>
      <c r="W1711" s="67">
        <f t="shared" si="5"/>
        <v>0</v>
      </c>
      <c r="X1711" s="67">
        <f t="shared" si="61"/>
        <v>0</v>
      </c>
      <c r="Y1711" s="67">
        <f t="shared" si="62"/>
        <v>0</v>
      </c>
      <c r="Z1711" s="67">
        <f t="shared" si="8"/>
        <v>0</v>
      </c>
      <c r="AA1711" s="67">
        <f t="shared" si="54"/>
        <v>0</v>
      </c>
      <c r="AB1711" s="67">
        <f t="shared" si="55"/>
        <v>0</v>
      </c>
      <c r="AC1711" s="67">
        <f t="shared" si="11"/>
        <v>0</v>
      </c>
      <c r="AD1711" s="67">
        <f t="shared" si="56"/>
        <v>0</v>
      </c>
      <c r="AE1711" s="67">
        <f t="shared" si="57"/>
        <v>0</v>
      </c>
      <c r="AF1711" s="67">
        <f t="shared" si="33"/>
        <v>0</v>
      </c>
      <c r="AG1711" s="67">
        <f t="shared" si="58"/>
        <v>0</v>
      </c>
      <c r="AH1711" s="67">
        <f t="shared" si="59"/>
        <v>0</v>
      </c>
      <c r="AI1711" s="67">
        <f t="shared" si="17"/>
        <v>0</v>
      </c>
      <c r="AJ1711" s="68">
        <f t="shared" si="66"/>
        <v>0</v>
      </c>
      <c r="AK1711" s="68">
        <f t="shared" si="67"/>
        <v>0</v>
      </c>
      <c r="AL1711" s="70"/>
      <c r="AM1711" s="70"/>
      <c r="AN1711" s="71"/>
      <c r="AO1711" s="71"/>
      <c r="AP1711" s="71"/>
      <c r="AQ1711" s="71"/>
      <c r="AR1711" s="71"/>
      <c r="AS1711" s="71"/>
      <c r="AT1711" s="71"/>
      <c r="AU1711" s="71"/>
      <c r="AV1711" s="71"/>
      <c r="AW1711" s="71"/>
      <c r="AX1711" s="71"/>
      <c r="AY1711" s="71"/>
      <c r="AZ1711" s="71"/>
      <c r="BA1711" s="71"/>
      <c r="BB1711" s="71"/>
      <c r="BC1711" s="71"/>
      <c r="BD1711" s="71"/>
      <c r="BE1711" s="71"/>
      <c r="BF1711" s="71"/>
      <c r="BG1711" s="71"/>
      <c r="BH1711" s="71"/>
      <c r="BI1711" s="71"/>
      <c r="BJ1711" s="71"/>
      <c r="BK1711" s="71"/>
      <c r="BL1711" s="71"/>
      <c r="BM1711" s="71"/>
      <c r="BN1711" s="71"/>
      <c r="BO1711" s="71"/>
      <c r="BP1711" s="71"/>
      <c r="BQ1711" s="71"/>
      <c r="BR1711" s="71"/>
      <c r="BS1711" s="71"/>
      <c r="BT1711" s="71"/>
      <c r="BU1711" s="71"/>
      <c r="BV1711" s="71"/>
    </row>
    <row r="1712">
      <c r="A1712" s="53"/>
      <c r="B1712" s="53">
        <v>3.0</v>
      </c>
      <c r="C1712" s="53" t="s">
        <v>36</v>
      </c>
      <c r="D1712" s="85" t="s">
        <v>4242</v>
      </c>
      <c r="E1712" s="54" t="s">
        <v>38</v>
      </c>
      <c r="F1712" s="55" t="s">
        <v>4105</v>
      </c>
      <c r="G1712" s="55" t="s">
        <v>4243</v>
      </c>
      <c r="H1712" s="55" t="s">
        <v>4244</v>
      </c>
      <c r="I1712" s="54">
        <f t="shared" si="24"/>
        <v>38</v>
      </c>
      <c r="J1712" s="56"/>
      <c r="K1712" s="57"/>
      <c r="L1712" s="76"/>
      <c r="M1712" s="59"/>
      <c r="N1712" s="60"/>
      <c r="O1712" s="61">
        <v>0.0</v>
      </c>
      <c r="P1712" s="62">
        <v>0.0</v>
      </c>
      <c r="Q1712" s="63">
        <v>0.0</v>
      </c>
      <c r="R1712" s="64">
        <v>0.0</v>
      </c>
      <c r="S1712" s="107">
        <v>0.0</v>
      </c>
      <c r="T1712" s="65">
        <f t="shared" si="39"/>
        <v>0</v>
      </c>
      <c r="U1712" s="65">
        <f t="shared" si="40"/>
        <v>0</v>
      </c>
      <c r="V1712" s="66" t="str">
        <f t="shared" si="68"/>
        <v>#DIV/0!</v>
      </c>
      <c r="W1712" s="67">
        <f t="shared" si="5"/>
        <v>0</v>
      </c>
      <c r="X1712" s="67">
        <f t="shared" si="61"/>
        <v>0</v>
      </c>
      <c r="Y1712" s="67">
        <f t="shared" si="62"/>
        <v>0</v>
      </c>
      <c r="Z1712" s="67">
        <f t="shared" si="8"/>
        <v>0</v>
      </c>
      <c r="AA1712" s="67">
        <f t="shared" si="54"/>
        <v>0</v>
      </c>
      <c r="AB1712" s="67">
        <f t="shared" si="55"/>
        <v>0</v>
      </c>
      <c r="AC1712" s="67">
        <f t="shared" si="11"/>
        <v>0</v>
      </c>
      <c r="AD1712" s="67">
        <f t="shared" si="56"/>
        <v>0</v>
      </c>
      <c r="AE1712" s="67">
        <f t="shared" si="57"/>
        <v>0</v>
      </c>
      <c r="AF1712" s="67">
        <f t="shared" si="33"/>
        <v>0</v>
      </c>
      <c r="AG1712" s="67">
        <f t="shared" si="58"/>
        <v>0</v>
      </c>
      <c r="AH1712" s="67">
        <f t="shared" si="59"/>
        <v>0</v>
      </c>
      <c r="AI1712" s="67">
        <f t="shared" si="17"/>
        <v>0</v>
      </c>
      <c r="AJ1712" s="68">
        <f t="shared" si="66"/>
        <v>0</v>
      </c>
      <c r="AK1712" s="68">
        <f t="shared" si="67"/>
        <v>0</v>
      </c>
      <c r="AL1712" s="70"/>
      <c r="AM1712" s="70"/>
      <c r="AN1712" s="71"/>
      <c r="AO1712" s="71"/>
      <c r="AP1712" s="71"/>
      <c r="AQ1712" s="71"/>
      <c r="AR1712" s="71"/>
      <c r="AS1712" s="71"/>
      <c r="AT1712" s="71"/>
      <c r="AU1712" s="71"/>
      <c r="AV1712" s="71"/>
      <c r="AW1712" s="71"/>
      <c r="AX1712" s="71"/>
      <c r="AY1712" s="71"/>
      <c r="AZ1712" s="71"/>
      <c r="BA1712" s="71"/>
      <c r="BB1712" s="71"/>
      <c r="BC1712" s="71"/>
      <c r="BD1712" s="71"/>
      <c r="BE1712" s="71"/>
      <c r="BF1712" s="71"/>
      <c r="BG1712" s="71"/>
      <c r="BH1712" s="71"/>
      <c r="BI1712" s="71"/>
      <c r="BJ1712" s="71"/>
      <c r="BK1712" s="71"/>
      <c r="BL1712" s="71"/>
      <c r="BM1712" s="71"/>
      <c r="BN1712" s="71"/>
      <c r="BO1712" s="71"/>
      <c r="BP1712" s="71"/>
      <c r="BQ1712" s="71"/>
      <c r="BR1712" s="71"/>
      <c r="BS1712" s="71"/>
      <c r="BT1712" s="71"/>
      <c r="BU1712" s="71"/>
      <c r="BV1712" s="71"/>
    </row>
    <row r="1713">
      <c r="A1713" s="53"/>
      <c r="B1713" s="53">
        <v>3.0</v>
      </c>
      <c r="C1713" s="53" t="s">
        <v>36</v>
      </c>
      <c r="D1713" s="85" t="s">
        <v>4245</v>
      </c>
      <c r="E1713" s="54" t="s">
        <v>38</v>
      </c>
      <c r="F1713" s="55" t="s">
        <v>4105</v>
      </c>
      <c r="G1713" s="55" t="s">
        <v>4246</v>
      </c>
      <c r="H1713" s="55"/>
      <c r="I1713" s="54">
        <f t="shared" si="24"/>
        <v>0</v>
      </c>
      <c r="J1713" s="56"/>
      <c r="K1713" s="57"/>
      <c r="L1713" s="76"/>
      <c r="M1713" s="59"/>
      <c r="N1713" s="60"/>
      <c r="O1713" s="61">
        <v>62040.0</v>
      </c>
      <c r="P1713" s="62">
        <v>67003.20000000001</v>
      </c>
      <c r="Q1713" s="63">
        <v>67003.20000000001</v>
      </c>
      <c r="R1713" s="64">
        <v>73871.0</v>
      </c>
      <c r="S1713" s="107">
        <v>77565.0</v>
      </c>
      <c r="T1713" s="65">
        <f t="shared" si="39"/>
        <v>12410.4</v>
      </c>
      <c r="U1713" s="65">
        <f t="shared" si="40"/>
        <v>89975.4</v>
      </c>
      <c r="V1713" s="66">
        <f t="shared" si="68"/>
        <v>0.0500060917</v>
      </c>
      <c r="W1713" s="67">
        <f t="shared" si="5"/>
        <v>73686.75</v>
      </c>
      <c r="X1713" s="67">
        <f t="shared" si="61"/>
        <v>11789.88</v>
      </c>
      <c r="Y1713" s="67">
        <f t="shared" si="62"/>
        <v>85476.63</v>
      </c>
      <c r="Z1713" s="67">
        <f t="shared" si="8"/>
        <v>69808.5</v>
      </c>
      <c r="AA1713" s="67">
        <f t="shared" si="54"/>
        <v>11169.36</v>
      </c>
      <c r="AB1713" s="67">
        <f t="shared" si="55"/>
        <v>80977.86</v>
      </c>
      <c r="AC1713" s="67">
        <f t="shared" si="11"/>
        <v>69808.5</v>
      </c>
      <c r="AD1713" s="67">
        <f t="shared" si="56"/>
        <v>11169.36</v>
      </c>
      <c r="AE1713" s="67">
        <f t="shared" si="57"/>
        <v>80977.86</v>
      </c>
      <c r="AF1713" s="67">
        <f t="shared" si="33"/>
        <v>69808.5</v>
      </c>
      <c r="AG1713" s="67">
        <f t="shared" si="58"/>
        <v>11169.36</v>
      </c>
      <c r="AH1713" s="67">
        <f t="shared" si="59"/>
        <v>80977.86</v>
      </c>
      <c r="AI1713" s="67">
        <f t="shared" si="17"/>
        <v>69808.5</v>
      </c>
      <c r="AJ1713" s="68">
        <f t="shared" si="66"/>
        <v>11169.36</v>
      </c>
      <c r="AK1713" s="68">
        <f t="shared" si="67"/>
        <v>80977.86</v>
      </c>
      <c r="AL1713" s="70"/>
      <c r="AM1713" s="70"/>
      <c r="AN1713" s="71"/>
      <c r="AO1713" s="71"/>
      <c r="AP1713" s="71"/>
      <c r="AQ1713" s="71"/>
      <c r="AR1713" s="71"/>
      <c r="AS1713" s="71"/>
      <c r="AT1713" s="71"/>
      <c r="AU1713" s="71"/>
      <c r="AV1713" s="71"/>
      <c r="AW1713" s="71"/>
      <c r="AX1713" s="71"/>
      <c r="AY1713" s="71"/>
      <c r="AZ1713" s="71"/>
      <c r="BA1713" s="71"/>
      <c r="BB1713" s="71"/>
      <c r="BC1713" s="71"/>
      <c r="BD1713" s="71"/>
      <c r="BE1713" s="71"/>
      <c r="BF1713" s="71"/>
      <c r="BG1713" s="71"/>
      <c r="BH1713" s="71"/>
      <c r="BI1713" s="71"/>
      <c r="BJ1713" s="71"/>
      <c r="BK1713" s="71"/>
      <c r="BL1713" s="71"/>
      <c r="BM1713" s="71"/>
      <c r="BN1713" s="71"/>
      <c r="BO1713" s="71"/>
      <c r="BP1713" s="71"/>
      <c r="BQ1713" s="71"/>
      <c r="BR1713" s="71"/>
      <c r="BS1713" s="71"/>
      <c r="BT1713" s="71"/>
      <c r="BU1713" s="71"/>
      <c r="BV1713" s="71"/>
    </row>
    <row r="1714">
      <c r="A1714" s="53"/>
      <c r="B1714" s="53">
        <v>3.0</v>
      </c>
      <c r="C1714" s="53" t="s">
        <v>36</v>
      </c>
      <c r="D1714" s="85" t="s">
        <v>4247</v>
      </c>
      <c r="E1714" s="54" t="s">
        <v>38</v>
      </c>
      <c r="F1714" s="55" t="s">
        <v>4105</v>
      </c>
      <c r="G1714" s="55" t="s">
        <v>4248</v>
      </c>
      <c r="H1714" s="55"/>
      <c r="I1714" s="54">
        <f t="shared" si="24"/>
        <v>0</v>
      </c>
      <c r="J1714" s="56"/>
      <c r="K1714" s="57"/>
      <c r="L1714" s="76"/>
      <c r="M1714" s="59"/>
      <c r="N1714" s="60"/>
      <c r="O1714" s="61">
        <v>60684.0</v>
      </c>
      <c r="P1714" s="62">
        <v>65538.72</v>
      </c>
      <c r="Q1714" s="63">
        <v>65538.72</v>
      </c>
      <c r="R1714" s="64">
        <v>72257.0</v>
      </c>
      <c r="S1714" s="107">
        <v>75870.0</v>
      </c>
      <c r="T1714" s="65">
        <f t="shared" si="39"/>
        <v>12139.2</v>
      </c>
      <c r="U1714" s="65">
        <f t="shared" si="40"/>
        <v>88009.2</v>
      </c>
      <c r="V1714" s="66">
        <f t="shared" si="68"/>
        <v>0.05000207592</v>
      </c>
      <c r="W1714" s="67">
        <f t="shared" si="5"/>
        <v>72076.5</v>
      </c>
      <c r="X1714" s="67">
        <f t="shared" si="61"/>
        <v>11532.24</v>
      </c>
      <c r="Y1714" s="67">
        <f t="shared" si="62"/>
        <v>83608.74</v>
      </c>
      <c r="Z1714" s="67">
        <f t="shared" si="8"/>
        <v>68283</v>
      </c>
      <c r="AA1714" s="67">
        <f t="shared" si="54"/>
        <v>10925.28</v>
      </c>
      <c r="AB1714" s="67">
        <f t="shared" si="55"/>
        <v>79208.28</v>
      </c>
      <c r="AC1714" s="67">
        <f t="shared" si="11"/>
        <v>68283</v>
      </c>
      <c r="AD1714" s="67">
        <f t="shared" si="56"/>
        <v>10925.28</v>
      </c>
      <c r="AE1714" s="67">
        <f t="shared" si="57"/>
        <v>79208.28</v>
      </c>
      <c r="AF1714" s="67">
        <f t="shared" si="33"/>
        <v>68283</v>
      </c>
      <c r="AG1714" s="67">
        <f t="shared" si="58"/>
        <v>10925.28</v>
      </c>
      <c r="AH1714" s="67">
        <f t="shared" si="59"/>
        <v>79208.28</v>
      </c>
      <c r="AI1714" s="67">
        <f t="shared" si="17"/>
        <v>68283</v>
      </c>
      <c r="AJ1714" s="68">
        <f t="shared" si="66"/>
        <v>10925.28</v>
      </c>
      <c r="AK1714" s="68">
        <f t="shared" si="67"/>
        <v>79208.28</v>
      </c>
      <c r="AL1714" s="70"/>
      <c r="AM1714" s="70"/>
      <c r="AN1714" s="71"/>
      <c r="AO1714" s="71"/>
      <c r="AP1714" s="71"/>
      <c r="AQ1714" s="71"/>
      <c r="AR1714" s="71"/>
      <c r="AS1714" s="71"/>
      <c r="AT1714" s="71"/>
      <c r="AU1714" s="71"/>
      <c r="AV1714" s="71"/>
      <c r="AW1714" s="71"/>
      <c r="AX1714" s="71"/>
      <c r="AY1714" s="71"/>
      <c r="AZ1714" s="71"/>
      <c r="BA1714" s="71"/>
      <c r="BB1714" s="71"/>
      <c r="BC1714" s="71"/>
      <c r="BD1714" s="71"/>
      <c r="BE1714" s="71"/>
      <c r="BF1714" s="71"/>
      <c r="BG1714" s="71"/>
      <c r="BH1714" s="71"/>
      <c r="BI1714" s="71"/>
      <c r="BJ1714" s="71"/>
      <c r="BK1714" s="71"/>
      <c r="BL1714" s="71"/>
      <c r="BM1714" s="71"/>
      <c r="BN1714" s="71"/>
      <c r="BO1714" s="71"/>
      <c r="BP1714" s="71"/>
      <c r="BQ1714" s="71"/>
      <c r="BR1714" s="71"/>
      <c r="BS1714" s="71"/>
      <c r="BT1714" s="71"/>
      <c r="BU1714" s="71"/>
      <c r="BV1714" s="71"/>
    </row>
    <row r="1715">
      <c r="A1715" s="53"/>
      <c r="B1715" s="53">
        <v>3.0</v>
      </c>
      <c r="C1715" s="53" t="s">
        <v>36</v>
      </c>
      <c r="D1715" s="85" t="s">
        <v>4249</v>
      </c>
      <c r="E1715" s="54" t="s">
        <v>38</v>
      </c>
      <c r="F1715" s="55" t="s">
        <v>4105</v>
      </c>
      <c r="G1715" s="55" t="s">
        <v>4250</v>
      </c>
      <c r="H1715" s="55"/>
      <c r="I1715" s="54">
        <f t="shared" si="24"/>
        <v>0</v>
      </c>
      <c r="J1715" s="56"/>
      <c r="K1715" s="57"/>
      <c r="L1715" s="76"/>
      <c r="M1715" s="59"/>
      <c r="N1715" s="60"/>
      <c r="O1715" s="61">
        <v>68190.0</v>
      </c>
      <c r="P1715" s="62">
        <v>73645.20000000001</v>
      </c>
      <c r="Q1715" s="63">
        <v>73645.20000000001</v>
      </c>
      <c r="R1715" s="64">
        <v>81194.0</v>
      </c>
      <c r="S1715" s="107">
        <v>85254.0</v>
      </c>
      <c r="T1715" s="65">
        <f t="shared" si="39"/>
        <v>13640.64</v>
      </c>
      <c r="U1715" s="65">
        <f t="shared" si="40"/>
        <v>98894.64</v>
      </c>
      <c r="V1715" s="66">
        <f t="shared" si="68"/>
        <v>0.05000369485</v>
      </c>
      <c r="W1715" s="67">
        <f t="shared" si="5"/>
        <v>80991.3</v>
      </c>
      <c r="X1715" s="67">
        <f t="shared" si="61"/>
        <v>12958.608</v>
      </c>
      <c r="Y1715" s="67">
        <f t="shared" si="62"/>
        <v>93949.908</v>
      </c>
      <c r="Z1715" s="67">
        <f t="shared" si="8"/>
        <v>76728.6</v>
      </c>
      <c r="AA1715" s="67">
        <f t="shared" si="54"/>
        <v>12276.576</v>
      </c>
      <c r="AB1715" s="67">
        <f t="shared" si="55"/>
        <v>89005.176</v>
      </c>
      <c r="AC1715" s="67">
        <f t="shared" si="11"/>
        <v>76728.6</v>
      </c>
      <c r="AD1715" s="67">
        <f t="shared" si="56"/>
        <v>12276.576</v>
      </c>
      <c r="AE1715" s="67">
        <f t="shared" si="57"/>
        <v>89005.176</v>
      </c>
      <c r="AF1715" s="67">
        <f t="shared" si="33"/>
        <v>76728.6</v>
      </c>
      <c r="AG1715" s="67">
        <f t="shared" si="58"/>
        <v>12276.576</v>
      </c>
      <c r="AH1715" s="67">
        <f t="shared" si="59"/>
        <v>89005.176</v>
      </c>
      <c r="AI1715" s="67">
        <f t="shared" si="17"/>
        <v>76728.6</v>
      </c>
      <c r="AJ1715" s="68">
        <f t="shared" si="66"/>
        <v>12276.576</v>
      </c>
      <c r="AK1715" s="68">
        <f t="shared" si="67"/>
        <v>89005.176</v>
      </c>
      <c r="AL1715" s="70"/>
      <c r="AM1715" s="70"/>
      <c r="AN1715" s="71"/>
      <c r="AO1715" s="71"/>
      <c r="AP1715" s="71"/>
      <c r="AQ1715" s="71"/>
      <c r="AR1715" s="71"/>
      <c r="AS1715" s="71"/>
      <c r="AT1715" s="71"/>
      <c r="AU1715" s="71"/>
      <c r="AV1715" s="71"/>
      <c r="AW1715" s="71"/>
      <c r="AX1715" s="71"/>
      <c r="AY1715" s="71"/>
      <c r="AZ1715" s="71"/>
      <c r="BA1715" s="71"/>
      <c r="BB1715" s="71"/>
      <c r="BC1715" s="71"/>
      <c r="BD1715" s="71"/>
      <c r="BE1715" s="71"/>
      <c r="BF1715" s="71"/>
      <c r="BG1715" s="71"/>
      <c r="BH1715" s="71"/>
      <c r="BI1715" s="71"/>
      <c r="BJ1715" s="71"/>
      <c r="BK1715" s="71"/>
      <c r="BL1715" s="71"/>
      <c r="BM1715" s="71"/>
      <c r="BN1715" s="71"/>
      <c r="BO1715" s="71"/>
      <c r="BP1715" s="71"/>
      <c r="BQ1715" s="71"/>
      <c r="BR1715" s="71"/>
      <c r="BS1715" s="71"/>
      <c r="BT1715" s="71"/>
      <c r="BU1715" s="71"/>
      <c r="BV1715" s="71"/>
    </row>
    <row r="1716">
      <c r="A1716" s="53"/>
      <c r="B1716" s="53">
        <v>3.0</v>
      </c>
      <c r="C1716" s="53" t="s">
        <v>36</v>
      </c>
      <c r="D1716" s="85" t="s">
        <v>4251</v>
      </c>
      <c r="E1716" s="54" t="s">
        <v>38</v>
      </c>
      <c r="F1716" s="55" t="s">
        <v>4105</v>
      </c>
      <c r="G1716" s="55" t="s">
        <v>4252</v>
      </c>
      <c r="H1716" s="55"/>
      <c r="I1716" s="54">
        <f t="shared" si="24"/>
        <v>0</v>
      </c>
      <c r="J1716" s="56"/>
      <c r="K1716" s="57"/>
      <c r="L1716" s="76"/>
      <c r="M1716" s="59"/>
      <c r="N1716" s="60"/>
      <c r="O1716" s="61">
        <v>0.0</v>
      </c>
      <c r="P1716" s="62">
        <v>0.0</v>
      </c>
      <c r="Q1716" s="63">
        <v>0.0</v>
      </c>
      <c r="R1716" s="64">
        <v>0.0</v>
      </c>
      <c r="S1716" s="107">
        <v>0.0</v>
      </c>
      <c r="T1716" s="65">
        <f t="shared" si="39"/>
        <v>0</v>
      </c>
      <c r="U1716" s="65">
        <f t="shared" si="40"/>
        <v>0</v>
      </c>
      <c r="V1716" s="66" t="str">
        <f t="shared" si="68"/>
        <v>#DIV/0!</v>
      </c>
      <c r="W1716" s="67">
        <f t="shared" si="5"/>
        <v>0</v>
      </c>
      <c r="X1716" s="67">
        <f t="shared" si="61"/>
        <v>0</v>
      </c>
      <c r="Y1716" s="67">
        <f t="shared" si="62"/>
        <v>0</v>
      </c>
      <c r="Z1716" s="67">
        <f t="shared" si="8"/>
        <v>0</v>
      </c>
      <c r="AA1716" s="67">
        <f t="shared" si="54"/>
        <v>0</v>
      </c>
      <c r="AB1716" s="67">
        <f t="shared" si="55"/>
        <v>0</v>
      </c>
      <c r="AC1716" s="67">
        <f t="shared" si="11"/>
        <v>0</v>
      </c>
      <c r="AD1716" s="67">
        <f t="shared" si="56"/>
        <v>0</v>
      </c>
      <c r="AE1716" s="67">
        <f t="shared" si="57"/>
        <v>0</v>
      </c>
      <c r="AF1716" s="67">
        <f t="shared" si="33"/>
        <v>0</v>
      </c>
      <c r="AG1716" s="67">
        <f t="shared" si="58"/>
        <v>0</v>
      </c>
      <c r="AH1716" s="67">
        <f t="shared" si="59"/>
        <v>0</v>
      </c>
      <c r="AI1716" s="67">
        <f t="shared" si="17"/>
        <v>0</v>
      </c>
      <c r="AJ1716" s="68">
        <f t="shared" si="66"/>
        <v>0</v>
      </c>
      <c r="AK1716" s="68">
        <f t="shared" si="67"/>
        <v>0</v>
      </c>
      <c r="AL1716" s="70"/>
      <c r="AM1716" s="70"/>
      <c r="AN1716" s="71"/>
      <c r="AO1716" s="71"/>
      <c r="AP1716" s="71"/>
      <c r="AQ1716" s="71"/>
      <c r="AR1716" s="71"/>
      <c r="AS1716" s="71"/>
      <c r="AT1716" s="71"/>
      <c r="AU1716" s="71"/>
      <c r="AV1716" s="71"/>
      <c r="AW1716" s="71"/>
      <c r="AX1716" s="71"/>
      <c r="AY1716" s="71"/>
      <c r="AZ1716" s="71"/>
      <c r="BA1716" s="71"/>
      <c r="BB1716" s="71"/>
      <c r="BC1716" s="71"/>
      <c r="BD1716" s="71"/>
      <c r="BE1716" s="71"/>
      <c r="BF1716" s="71"/>
      <c r="BG1716" s="71"/>
      <c r="BH1716" s="71"/>
      <c r="BI1716" s="71"/>
      <c r="BJ1716" s="71"/>
      <c r="BK1716" s="71"/>
      <c r="BL1716" s="71"/>
      <c r="BM1716" s="71"/>
      <c r="BN1716" s="71"/>
      <c r="BO1716" s="71"/>
      <c r="BP1716" s="71"/>
      <c r="BQ1716" s="71"/>
      <c r="BR1716" s="71"/>
      <c r="BS1716" s="71"/>
      <c r="BT1716" s="71"/>
      <c r="BU1716" s="71"/>
      <c r="BV1716" s="71"/>
    </row>
    <row r="1717">
      <c r="A1717" s="53"/>
      <c r="B1717" s="53">
        <v>3.0</v>
      </c>
      <c r="C1717" s="53" t="s">
        <v>36</v>
      </c>
      <c r="D1717" s="85" t="s">
        <v>4253</v>
      </c>
      <c r="E1717" s="54" t="s">
        <v>38</v>
      </c>
      <c r="F1717" s="55" t="s">
        <v>4105</v>
      </c>
      <c r="G1717" s="55" t="s">
        <v>4254</v>
      </c>
      <c r="H1717" s="55"/>
      <c r="I1717" s="54">
        <f t="shared" si="24"/>
        <v>0</v>
      </c>
      <c r="J1717" s="56"/>
      <c r="K1717" s="57"/>
      <c r="L1717" s="76"/>
      <c r="M1717" s="59"/>
      <c r="N1717" s="60"/>
      <c r="O1717" s="61">
        <v>0.0</v>
      </c>
      <c r="P1717" s="62">
        <v>0.0</v>
      </c>
      <c r="Q1717" s="63">
        <v>0.0</v>
      </c>
      <c r="R1717" s="64">
        <v>0.0</v>
      </c>
      <c r="S1717" s="107">
        <v>0.0</v>
      </c>
      <c r="T1717" s="65">
        <f t="shared" si="39"/>
        <v>0</v>
      </c>
      <c r="U1717" s="65">
        <f t="shared" si="40"/>
        <v>0</v>
      </c>
      <c r="V1717" s="66" t="str">
        <f t="shared" si="68"/>
        <v>#DIV/0!</v>
      </c>
      <c r="W1717" s="67">
        <f t="shared" si="5"/>
        <v>0</v>
      </c>
      <c r="X1717" s="67">
        <f t="shared" si="61"/>
        <v>0</v>
      </c>
      <c r="Y1717" s="67">
        <f t="shared" si="62"/>
        <v>0</v>
      </c>
      <c r="Z1717" s="67">
        <f t="shared" si="8"/>
        <v>0</v>
      </c>
      <c r="AA1717" s="67">
        <f t="shared" si="54"/>
        <v>0</v>
      </c>
      <c r="AB1717" s="67">
        <f t="shared" si="55"/>
        <v>0</v>
      </c>
      <c r="AC1717" s="67">
        <f t="shared" si="11"/>
        <v>0</v>
      </c>
      <c r="AD1717" s="67">
        <f t="shared" si="56"/>
        <v>0</v>
      </c>
      <c r="AE1717" s="67">
        <f t="shared" si="57"/>
        <v>0</v>
      </c>
      <c r="AF1717" s="67">
        <f t="shared" si="33"/>
        <v>0</v>
      </c>
      <c r="AG1717" s="67">
        <f t="shared" si="58"/>
        <v>0</v>
      </c>
      <c r="AH1717" s="67">
        <f t="shared" si="59"/>
        <v>0</v>
      </c>
      <c r="AI1717" s="67">
        <f t="shared" si="17"/>
        <v>0</v>
      </c>
      <c r="AJ1717" s="68">
        <f t="shared" si="66"/>
        <v>0</v>
      </c>
      <c r="AK1717" s="68">
        <f t="shared" si="67"/>
        <v>0</v>
      </c>
      <c r="AL1717" s="70"/>
      <c r="AM1717" s="70"/>
      <c r="AN1717" s="71"/>
      <c r="AO1717" s="71"/>
      <c r="AP1717" s="71"/>
      <c r="AQ1717" s="71"/>
      <c r="AR1717" s="71"/>
      <c r="AS1717" s="71"/>
      <c r="AT1717" s="71"/>
      <c r="AU1717" s="71"/>
      <c r="AV1717" s="71"/>
      <c r="AW1717" s="71"/>
      <c r="AX1717" s="71"/>
      <c r="AY1717" s="71"/>
      <c r="AZ1717" s="71"/>
      <c r="BA1717" s="71"/>
      <c r="BB1717" s="71"/>
      <c r="BC1717" s="71"/>
      <c r="BD1717" s="71"/>
      <c r="BE1717" s="71"/>
      <c r="BF1717" s="71"/>
      <c r="BG1717" s="71"/>
      <c r="BH1717" s="71"/>
      <c r="BI1717" s="71"/>
      <c r="BJ1717" s="71"/>
      <c r="BK1717" s="71"/>
      <c r="BL1717" s="71"/>
      <c r="BM1717" s="71"/>
      <c r="BN1717" s="71"/>
      <c r="BO1717" s="71"/>
      <c r="BP1717" s="71"/>
      <c r="BQ1717" s="71"/>
      <c r="BR1717" s="71"/>
      <c r="BS1717" s="71"/>
      <c r="BT1717" s="71"/>
      <c r="BU1717" s="71"/>
      <c r="BV1717" s="71"/>
    </row>
    <row r="1718">
      <c r="A1718" s="53"/>
      <c r="B1718" s="53">
        <v>3.0</v>
      </c>
      <c r="C1718" s="53" t="s">
        <v>36</v>
      </c>
      <c r="D1718" s="85" t="s">
        <v>4255</v>
      </c>
      <c r="E1718" s="54" t="s">
        <v>38</v>
      </c>
      <c r="F1718" s="55" t="s">
        <v>4105</v>
      </c>
      <c r="G1718" s="55" t="s">
        <v>4256</v>
      </c>
      <c r="H1718" s="55" t="s">
        <v>4257</v>
      </c>
      <c r="I1718" s="54">
        <f t="shared" si="24"/>
        <v>32</v>
      </c>
      <c r="J1718" s="56"/>
      <c r="K1718" s="57"/>
      <c r="L1718" s="76"/>
      <c r="M1718" s="59"/>
      <c r="N1718" s="60"/>
      <c r="O1718" s="61">
        <v>0.0</v>
      </c>
      <c r="P1718" s="62">
        <v>0.0</v>
      </c>
      <c r="Q1718" s="63">
        <v>0.0</v>
      </c>
      <c r="R1718" s="64">
        <v>0.0</v>
      </c>
      <c r="S1718" s="107">
        <v>0.0</v>
      </c>
      <c r="T1718" s="65">
        <f t="shared" si="39"/>
        <v>0</v>
      </c>
      <c r="U1718" s="65">
        <f t="shared" si="40"/>
        <v>0</v>
      </c>
      <c r="V1718" s="66" t="str">
        <f t="shared" si="68"/>
        <v>#DIV/0!</v>
      </c>
      <c r="W1718" s="67">
        <f t="shared" si="5"/>
        <v>0</v>
      </c>
      <c r="X1718" s="67">
        <f t="shared" si="61"/>
        <v>0</v>
      </c>
      <c r="Y1718" s="67">
        <f t="shared" si="62"/>
        <v>0</v>
      </c>
      <c r="Z1718" s="67">
        <f t="shared" si="8"/>
        <v>0</v>
      </c>
      <c r="AA1718" s="67">
        <f t="shared" si="54"/>
        <v>0</v>
      </c>
      <c r="AB1718" s="67">
        <f t="shared" si="55"/>
        <v>0</v>
      </c>
      <c r="AC1718" s="67">
        <f t="shared" si="11"/>
        <v>0</v>
      </c>
      <c r="AD1718" s="67">
        <f t="shared" si="56"/>
        <v>0</v>
      </c>
      <c r="AE1718" s="67">
        <f t="shared" si="57"/>
        <v>0</v>
      </c>
      <c r="AF1718" s="67">
        <f t="shared" si="33"/>
        <v>0</v>
      </c>
      <c r="AG1718" s="67">
        <f t="shared" si="58"/>
        <v>0</v>
      </c>
      <c r="AH1718" s="67">
        <f t="shared" si="59"/>
        <v>0</v>
      </c>
      <c r="AI1718" s="67">
        <f t="shared" si="17"/>
        <v>0</v>
      </c>
      <c r="AJ1718" s="68">
        <f t="shared" si="66"/>
        <v>0</v>
      </c>
      <c r="AK1718" s="68">
        <f t="shared" si="67"/>
        <v>0</v>
      </c>
      <c r="AL1718" s="70"/>
      <c r="AM1718" s="70"/>
      <c r="AN1718" s="71"/>
      <c r="AO1718" s="71"/>
      <c r="AP1718" s="71"/>
      <c r="AQ1718" s="71"/>
      <c r="AR1718" s="71"/>
      <c r="AS1718" s="71"/>
      <c r="AT1718" s="71"/>
      <c r="AU1718" s="71"/>
      <c r="AV1718" s="71"/>
      <c r="AW1718" s="71"/>
      <c r="AX1718" s="71"/>
      <c r="AY1718" s="71"/>
      <c r="AZ1718" s="71"/>
      <c r="BA1718" s="71"/>
      <c r="BB1718" s="71"/>
      <c r="BC1718" s="71"/>
      <c r="BD1718" s="71"/>
      <c r="BE1718" s="71"/>
      <c r="BF1718" s="71"/>
      <c r="BG1718" s="71"/>
      <c r="BH1718" s="71"/>
      <c r="BI1718" s="71"/>
      <c r="BJ1718" s="71"/>
      <c r="BK1718" s="71"/>
      <c r="BL1718" s="71"/>
      <c r="BM1718" s="71"/>
      <c r="BN1718" s="71"/>
      <c r="BO1718" s="71"/>
      <c r="BP1718" s="71"/>
      <c r="BQ1718" s="71"/>
      <c r="BR1718" s="71"/>
      <c r="BS1718" s="71"/>
      <c r="BT1718" s="71"/>
      <c r="BU1718" s="71"/>
      <c r="BV1718" s="71"/>
    </row>
    <row r="1719">
      <c r="A1719" s="53"/>
      <c r="B1719" s="53">
        <v>3.0</v>
      </c>
      <c r="C1719" s="53" t="s">
        <v>36</v>
      </c>
      <c r="D1719" s="98" t="s">
        <v>4258</v>
      </c>
      <c r="E1719" s="54" t="s">
        <v>38</v>
      </c>
      <c r="F1719" s="55" t="s">
        <v>4105</v>
      </c>
      <c r="G1719" s="55" t="s">
        <v>4259</v>
      </c>
      <c r="H1719" s="55"/>
      <c r="I1719" s="54">
        <f t="shared" si="24"/>
        <v>0</v>
      </c>
      <c r="J1719" s="56"/>
      <c r="K1719" s="57"/>
      <c r="L1719" s="76"/>
      <c r="M1719" s="59"/>
      <c r="N1719" s="60"/>
      <c r="O1719" s="61">
        <v>0.0</v>
      </c>
      <c r="P1719" s="62">
        <v>0.0</v>
      </c>
      <c r="Q1719" s="63">
        <v>0.0</v>
      </c>
      <c r="R1719" s="64">
        <v>0.0</v>
      </c>
      <c r="S1719" s="107">
        <v>0.0</v>
      </c>
      <c r="T1719" s="65">
        <f t="shared" si="39"/>
        <v>0</v>
      </c>
      <c r="U1719" s="65">
        <f t="shared" si="40"/>
        <v>0</v>
      </c>
      <c r="V1719" s="66" t="str">
        <f t="shared" si="68"/>
        <v>#DIV/0!</v>
      </c>
      <c r="W1719" s="67">
        <f t="shared" si="5"/>
        <v>0</v>
      </c>
      <c r="X1719" s="67">
        <f t="shared" si="61"/>
        <v>0</v>
      </c>
      <c r="Y1719" s="67">
        <f t="shared" si="62"/>
        <v>0</v>
      </c>
      <c r="Z1719" s="67">
        <f t="shared" si="8"/>
        <v>0</v>
      </c>
      <c r="AA1719" s="67">
        <f t="shared" si="54"/>
        <v>0</v>
      </c>
      <c r="AB1719" s="67">
        <f t="shared" si="55"/>
        <v>0</v>
      </c>
      <c r="AC1719" s="67">
        <f t="shared" si="11"/>
        <v>0</v>
      </c>
      <c r="AD1719" s="67">
        <f t="shared" si="56"/>
        <v>0</v>
      </c>
      <c r="AE1719" s="67">
        <f t="shared" si="57"/>
        <v>0</v>
      </c>
      <c r="AF1719" s="67">
        <f t="shared" si="33"/>
        <v>0</v>
      </c>
      <c r="AG1719" s="67">
        <f t="shared" si="58"/>
        <v>0</v>
      </c>
      <c r="AH1719" s="67">
        <f t="shared" si="59"/>
        <v>0</v>
      </c>
      <c r="AI1719" s="67">
        <f t="shared" si="17"/>
        <v>0</v>
      </c>
      <c r="AJ1719" s="68">
        <f t="shared" si="66"/>
        <v>0</v>
      </c>
      <c r="AK1719" s="68">
        <f t="shared" si="67"/>
        <v>0</v>
      </c>
      <c r="AL1719" s="70"/>
      <c r="AM1719" s="70"/>
      <c r="AN1719" s="71"/>
      <c r="AO1719" s="71"/>
      <c r="AP1719" s="71"/>
      <c r="AQ1719" s="71"/>
      <c r="AR1719" s="71"/>
      <c r="AS1719" s="71"/>
      <c r="AT1719" s="71"/>
      <c r="AU1719" s="71"/>
      <c r="AV1719" s="71"/>
      <c r="AW1719" s="71"/>
      <c r="AX1719" s="71"/>
      <c r="AY1719" s="71"/>
      <c r="AZ1719" s="71"/>
      <c r="BA1719" s="71"/>
      <c r="BB1719" s="71"/>
      <c r="BC1719" s="71"/>
      <c r="BD1719" s="71"/>
      <c r="BE1719" s="71"/>
      <c r="BF1719" s="71"/>
      <c r="BG1719" s="71"/>
      <c r="BH1719" s="71"/>
      <c r="BI1719" s="71"/>
      <c r="BJ1719" s="71"/>
      <c r="BK1719" s="71"/>
      <c r="BL1719" s="71"/>
      <c r="BM1719" s="71"/>
      <c r="BN1719" s="71"/>
      <c r="BO1719" s="71"/>
      <c r="BP1719" s="71"/>
      <c r="BQ1719" s="71"/>
      <c r="BR1719" s="71"/>
      <c r="BS1719" s="71"/>
      <c r="BT1719" s="71"/>
      <c r="BU1719" s="71"/>
      <c r="BV1719" s="71"/>
    </row>
    <row r="1720">
      <c r="A1720" s="53"/>
      <c r="B1720" s="53">
        <v>3.0</v>
      </c>
      <c r="C1720" s="53" t="s">
        <v>36</v>
      </c>
      <c r="D1720" s="98" t="s">
        <v>4260</v>
      </c>
      <c r="E1720" s="54" t="s">
        <v>38</v>
      </c>
      <c r="F1720" s="55" t="s">
        <v>4105</v>
      </c>
      <c r="G1720" s="55" t="s">
        <v>4261</v>
      </c>
      <c r="H1720" s="55"/>
      <c r="I1720" s="54">
        <f t="shared" si="24"/>
        <v>0</v>
      </c>
      <c r="J1720" s="56"/>
      <c r="K1720" s="57"/>
      <c r="L1720" s="76"/>
      <c r="M1720" s="59"/>
      <c r="N1720" s="60"/>
      <c r="O1720" s="61">
        <v>32369.0</v>
      </c>
      <c r="P1720" s="62">
        <v>34958.520000000004</v>
      </c>
      <c r="Q1720" s="63">
        <v>34958.520000000004</v>
      </c>
      <c r="R1720" s="64">
        <v>38543.0</v>
      </c>
      <c r="S1720" s="107">
        <v>40470.0</v>
      </c>
      <c r="T1720" s="65">
        <f t="shared" si="39"/>
        <v>6475.2</v>
      </c>
      <c r="U1720" s="65">
        <f t="shared" si="40"/>
        <v>46945.2</v>
      </c>
      <c r="V1720" s="66">
        <f t="shared" si="68"/>
        <v>0.04999610824</v>
      </c>
      <c r="W1720" s="67">
        <f t="shared" si="5"/>
        <v>38446.5</v>
      </c>
      <c r="X1720" s="67">
        <f t="shared" si="61"/>
        <v>6151.44</v>
      </c>
      <c r="Y1720" s="67">
        <f t="shared" si="62"/>
        <v>44597.94</v>
      </c>
      <c r="Z1720" s="67">
        <f t="shared" si="8"/>
        <v>36423</v>
      </c>
      <c r="AA1720" s="67">
        <f t="shared" si="54"/>
        <v>5827.68</v>
      </c>
      <c r="AB1720" s="67">
        <f t="shared" si="55"/>
        <v>42250.68</v>
      </c>
      <c r="AC1720" s="67">
        <f t="shared" si="11"/>
        <v>36423</v>
      </c>
      <c r="AD1720" s="67">
        <f t="shared" si="56"/>
        <v>5827.68</v>
      </c>
      <c r="AE1720" s="67">
        <f t="shared" si="57"/>
        <v>42250.68</v>
      </c>
      <c r="AF1720" s="67">
        <f t="shared" si="33"/>
        <v>36423</v>
      </c>
      <c r="AG1720" s="67">
        <f t="shared" si="58"/>
        <v>5827.68</v>
      </c>
      <c r="AH1720" s="67">
        <f t="shared" si="59"/>
        <v>42250.68</v>
      </c>
      <c r="AI1720" s="67">
        <f t="shared" si="17"/>
        <v>36423</v>
      </c>
      <c r="AJ1720" s="68">
        <f t="shared" si="66"/>
        <v>5827.68</v>
      </c>
      <c r="AK1720" s="68">
        <f t="shared" si="67"/>
        <v>42250.68</v>
      </c>
      <c r="AL1720" s="70"/>
      <c r="AM1720" s="70"/>
      <c r="AN1720" s="71"/>
      <c r="AO1720" s="71"/>
      <c r="AP1720" s="71"/>
      <c r="AQ1720" s="71"/>
      <c r="AR1720" s="71"/>
      <c r="AS1720" s="71"/>
      <c r="AT1720" s="71"/>
      <c r="AU1720" s="71"/>
      <c r="AV1720" s="71"/>
      <c r="AW1720" s="71"/>
      <c r="AX1720" s="71"/>
      <c r="AY1720" s="71"/>
      <c r="AZ1720" s="71"/>
      <c r="BA1720" s="71"/>
      <c r="BB1720" s="71"/>
      <c r="BC1720" s="71"/>
      <c r="BD1720" s="71"/>
      <c r="BE1720" s="71"/>
      <c r="BF1720" s="71"/>
      <c r="BG1720" s="71"/>
      <c r="BH1720" s="71"/>
      <c r="BI1720" s="71"/>
      <c r="BJ1720" s="71"/>
      <c r="BK1720" s="71"/>
      <c r="BL1720" s="71"/>
      <c r="BM1720" s="71"/>
      <c r="BN1720" s="71"/>
      <c r="BO1720" s="71"/>
      <c r="BP1720" s="71"/>
      <c r="BQ1720" s="71"/>
      <c r="BR1720" s="71"/>
      <c r="BS1720" s="71"/>
      <c r="BT1720" s="71"/>
      <c r="BU1720" s="71"/>
      <c r="BV1720" s="71"/>
    </row>
    <row r="1721">
      <c r="A1721" s="53"/>
      <c r="B1721" s="53">
        <v>3.0</v>
      </c>
      <c r="C1721" s="53" t="s">
        <v>36</v>
      </c>
      <c r="D1721" s="98" t="s">
        <v>4262</v>
      </c>
      <c r="E1721" s="54" t="s">
        <v>38</v>
      </c>
      <c r="F1721" s="55" t="s">
        <v>4105</v>
      </c>
      <c r="G1721" s="55" t="s">
        <v>4263</v>
      </c>
      <c r="H1721" s="55"/>
      <c r="I1721" s="54">
        <f t="shared" si="24"/>
        <v>0</v>
      </c>
      <c r="J1721" s="56"/>
      <c r="K1721" s="57"/>
      <c r="L1721" s="76"/>
      <c r="M1721" s="59"/>
      <c r="N1721" s="60"/>
      <c r="O1721" s="61">
        <v>31200.0</v>
      </c>
      <c r="P1721" s="62">
        <v>33696.0</v>
      </c>
      <c r="Q1721" s="63">
        <v>33696.0</v>
      </c>
      <c r="R1721" s="64">
        <v>37151.0</v>
      </c>
      <c r="S1721" s="107">
        <v>39009.0</v>
      </c>
      <c r="T1721" s="65">
        <f t="shared" si="39"/>
        <v>6241.44</v>
      </c>
      <c r="U1721" s="65">
        <f t="shared" si="40"/>
        <v>45250.44</v>
      </c>
      <c r="V1721" s="66">
        <f t="shared" si="68"/>
        <v>0.05001211273</v>
      </c>
      <c r="W1721" s="67">
        <f t="shared" si="5"/>
        <v>37058.55</v>
      </c>
      <c r="X1721" s="67">
        <f t="shared" si="61"/>
        <v>5929.368</v>
      </c>
      <c r="Y1721" s="67">
        <f t="shared" si="62"/>
        <v>42987.918</v>
      </c>
      <c r="Z1721" s="67">
        <f t="shared" si="8"/>
        <v>35108.1</v>
      </c>
      <c r="AA1721" s="67">
        <f t="shared" si="54"/>
        <v>5617.296</v>
      </c>
      <c r="AB1721" s="67">
        <f t="shared" si="55"/>
        <v>40725.396</v>
      </c>
      <c r="AC1721" s="67">
        <f t="shared" si="11"/>
        <v>35108.1</v>
      </c>
      <c r="AD1721" s="67">
        <f t="shared" si="56"/>
        <v>5617.296</v>
      </c>
      <c r="AE1721" s="67">
        <f t="shared" si="57"/>
        <v>40725.396</v>
      </c>
      <c r="AF1721" s="67">
        <f t="shared" si="33"/>
        <v>35108.1</v>
      </c>
      <c r="AG1721" s="67">
        <f t="shared" si="58"/>
        <v>5617.296</v>
      </c>
      <c r="AH1721" s="67">
        <f t="shared" si="59"/>
        <v>40725.396</v>
      </c>
      <c r="AI1721" s="67">
        <f t="shared" si="17"/>
        <v>35108.1</v>
      </c>
      <c r="AJ1721" s="68">
        <f t="shared" si="66"/>
        <v>5617.296</v>
      </c>
      <c r="AK1721" s="68">
        <f t="shared" si="67"/>
        <v>40725.396</v>
      </c>
      <c r="AL1721" s="70"/>
      <c r="AM1721" s="70"/>
      <c r="AN1721" s="71"/>
      <c r="AO1721" s="71"/>
      <c r="AP1721" s="71"/>
      <c r="AQ1721" s="71"/>
      <c r="AR1721" s="71"/>
      <c r="AS1721" s="71"/>
      <c r="AT1721" s="71"/>
      <c r="AU1721" s="71"/>
      <c r="AV1721" s="71"/>
      <c r="AW1721" s="71"/>
      <c r="AX1721" s="71"/>
      <c r="AY1721" s="71"/>
      <c r="AZ1721" s="71"/>
      <c r="BA1721" s="71"/>
      <c r="BB1721" s="71"/>
      <c r="BC1721" s="71"/>
      <c r="BD1721" s="71"/>
      <c r="BE1721" s="71"/>
      <c r="BF1721" s="71"/>
      <c r="BG1721" s="71"/>
      <c r="BH1721" s="71"/>
      <c r="BI1721" s="71"/>
      <c r="BJ1721" s="71"/>
      <c r="BK1721" s="71"/>
      <c r="BL1721" s="71"/>
      <c r="BM1721" s="71"/>
      <c r="BN1721" s="71"/>
      <c r="BO1721" s="71"/>
      <c r="BP1721" s="71"/>
      <c r="BQ1721" s="71"/>
      <c r="BR1721" s="71"/>
      <c r="BS1721" s="71"/>
      <c r="BT1721" s="71"/>
      <c r="BU1721" s="71"/>
      <c r="BV1721" s="71"/>
    </row>
    <row r="1722">
      <c r="A1722" s="53"/>
      <c r="B1722" s="53">
        <v>3.0</v>
      </c>
      <c r="C1722" s="53" t="s">
        <v>36</v>
      </c>
      <c r="D1722" s="98" t="s">
        <v>4264</v>
      </c>
      <c r="E1722" s="54" t="s">
        <v>38</v>
      </c>
      <c r="F1722" s="55" t="s">
        <v>4105</v>
      </c>
      <c r="G1722" s="55" t="s">
        <v>4265</v>
      </c>
      <c r="H1722" s="55"/>
      <c r="I1722" s="54">
        <f t="shared" si="24"/>
        <v>0</v>
      </c>
      <c r="J1722" s="56"/>
      <c r="K1722" s="57"/>
      <c r="L1722" s="76"/>
      <c r="M1722" s="59"/>
      <c r="N1722" s="60"/>
      <c r="O1722" s="61">
        <v>26899.0</v>
      </c>
      <c r="P1722" s="62">
        <v>29050.920000000002</v>
      </c>
      <c r="Q1722" s="63">
        <v>29050.920000000002</v>
      </c>
      <c r="R1722" s="64">
        <v>32030.0</v>
      </c>
      <c r="S1722" s="107">
        <v>33632.0</v>
      </c>
      <c r="T1722" s="65">
        <f t="shared" si="39"/>
        <v>5381.12</v>
      </c>
      <c r="U1722" s="65">
        <f t="shared" si="40"/>
        <v>39013.12</v>
      </c>
      <c r="V1722" s="66">
        <f t="shared" si="68"/>
        <v>0.05001561037</v>
      </c>
      <c r="W1722" s="67">
        <f t="shared" si="5"/>
        <v>31950.4</v>
      </c>
      <c r="X1722" s="67">
        <f t="shared" si="61"/>
        <v>5112.064</v>
      </c>
      <c r="Y1722" s="67">
        <f t="shared" si="62"/>
        <v>37062.464</v>
      </c>
      <c r="Z1722" s="67">
        <f t="shared" si="8"/>
        <v>30268.8</v>
      </c>
      <c r="AA1722" s="67">
        <f t="shared" si="54"/>
        <v>4843.008</v>
      </c>
      <c r="AB1722" s="67">
        <f t="shared" si="55"/>
        <v>35111.808</v>
      </c>
      <c r="AC1722" s="67">
        <f t="shared" si="11"/>
        <v>30268.8</v>
      </c>
      <c r="AD1722" s="67">
        <f t="shared" si="56"/>
        <v>4843.008</v>
      </c>
      <c r="AE1722" s="67">
        <f t="shared" si="57"/>
        <v>35111.808</v>
      </c>
      <c r="AF1722" s="67">
        <f t="shared" si="33"/>
        <v>30268.8</v>
      </c>
      <c r="AG1722" s="67">
        <f t="shared" si="58"/>
        <v>4843.008</v>
      </c>
      <c r="AH1722" s="67">
        <f t="shared" si="59"/>
        <v>35111.808</v>
      </c>
      <c r="AI1722" s="67">
        <f t="shared" si="17"/>
        <v>30268.8</v>
      </c>
      <c r="AJ1722" s="68">
        <f t="shared" si="66"/>
        <v>4843.008</v>
      </c>
      <c r="AK1722" s="68">
        <f t="shared" si="67"/>
        <v>35111.808</v>
      </c>
      <c r="AL1722" s="70"/>
      <c r="AM1722" s="70"/>
      <c r="AN1722" s="71"/>
      <c r="AO1722" s="71"/>
      <c r="AP1722" s="71"/>
      <c r="AQ1722" s="71"/>
      <c r="AR1722" s="71"/>
      <c r="AS1722" s="71"/>
      <c r="AT1722" s="71"/>
      <c r="AU1722" s="71"/>
      <c r="AV1722" s="71"/>
      <c r="AW1722" s="71"/>
      <c r="AX1722" s="71"/>
      <c r="AY1722" s="71"/>
      <c r="AZ1722" s="71"/>
      <c r="BA1722" s="71"/>
      <c r="BB1722" s="71"/>
      <c r="BC1722" s="71"/>
      <c r="BD1722" s="71"/>
      <c r="BE1722" s="71"/>
      <c r="BF1722" s="71"/>
      <c r="BG1722" s="71"/>
      <c r="BH1722" s="71"/>
      <c r="BI1722" s="71"/>
      <c r="BJ1722" s="71"/>
      <c r="BK1722" s="71"/>
      <c r="BL1722" s="71"/>
      <c r="BM1722" s="71"/>
      <c r="BN1722" s="71"/>
      <c r="BO1722" s="71"/>
      <c r="BP1722" s="71"/>
      <c r="BQ1722" s="71"/>
      <c r="BR1722" s="71"/>
      <c r="BS1722" s="71"/>
      <c r="BT1722" s="71"/>
      <c r="BU1722" s="71"/>
      <c r="BV1722" s="71"/>
    </row>
    <row r="1723">
      <c r="A1723" s="53"/>
      <c r="B1723" s="53">
        <v>3.0</v>
      </c>
      <c r="C1723" s="53" t="s">
        <v>36</v>
      </c>
      <c r="D1723" s="85" t="s">
        <v>4266</v>
      </c>
      <c r="E1723" s="54" t="s">
        <v>38</v>
      </c>
      <c r="F1723" s="55" t="s">
        <v>4105</v>
      </c>
      <c r="G1723" s="55" t="s">
        <v>4267</v>
      </c>
      <c r="H1723" s="55"/>
      <c r="I1723" s="54">
        <f t="shared" si="24"/>
        <v>0</v>
      </c>
      <c r="J1723" s="56"/>
      <c r="K1723" s="57"/>
      <c r="L1723" s="76"/>
      <c r="M1723" s="59"/>
      <c r="N1723" s="60"/>
      <c r="O1723" s="61">
        <v>40145.0</v>
      </c>
      <c r="P1723" s="62">
        <v>43356.600000000006</v>
      </c>
      <c r="Q1723" s="63">
        <v>43356.600000000006</v>
      </c>
      <c r="R1723" s="64">
        <v>47802.0</v>
      </c>
      <c r="S1723" s="107">
        <v>50192.0</v>
      </c>
      <c r="T1723" s="65">
        <f t="shared" si="39"/>
        <v>8030.72</v>
      </c>
      <c r="U1723" s="65">
        <f t="shared" si="40"/>
        <v>58222.72</v>
      </c>
      <c r="V1723" s="66">
        <f t="shared" si="68"/>
        <v>0.04999790804</v>
      </c>
      <c r="W1723" s="67">
        <f t="shared" si="5"/>
        <v>47682.4</v>
      </c>
      <c r="X1723" s="67">
        <f t="shared" si="61"/>
        <v>7629.184</v>
      </c>
      <c r="Y1723" s="67">
        <f t="shared" si="62"/>
        <v>55311.584</v>
      </c>
      <c r="Z1723" s="67">
        <f t="shared" si="8"/>
        <v>45172.8</v>
      </c>
      <c r="AA1723" s="67">
        <f t="shared" si="54"/>
        <v>7227.648</v>
      </c>
      <c r="AB1723" s="67">
        <f t="shared" si="55"/>
        <v>52400.448</v>
      </c>
      <c r="AC1723" s="67">
        <f t="shared" si="11"/>
        <v>45172.8</v>
      </c>
      <c r="AD1723" s="67">
        <f t="shared" si="56"/>
        <v>7227.648</v>
      </c>
      <c r="AE1723" s="67">
        <f t="shared" si="57"/>
        <v>52400.448</v>
      </c>
      <c r="AF1723" s="67">
        <f t="shared" si="33"/>
        <v>45172.8</v>
      </c>
      <c r="AG1723" s="67">
        <f t="shared" si="58"/>
        <v>7227.648</v>
      </c>
      <c r="AH1723" s="67">
        <f t="shared" si="59"/>
        <v>52400.448</v>
      </c>
      <c r="AI1723" s="67">
        <f t="shared" si="17"/>
        <v>45172.8</v>
      </c>
      <c r="AJ1723" s="68">
        <f t="shared" si="66"/>
        <v>7227.648</v>
      </c>
      <c r="AK1723" s="68">
        <f t="shared" si="67"/>
        <v>52400.448</v>
      </c>
      <c r="AL1723" s="70"/>
      <c r="AM1723" s="70"/>
      <c r="AN1723" s="71"/>
      <c r="AO1723" s="71"/>
      <c r="AP1723" s="71"/>
      <c r="AQ1723" s="71"/>
      <c r="AR1723" s="71"/>
      <c r="AS1723" s="71"/>
      <c r="AT1723" s="71"/>
      <c r="AU1723" s="71"/>
      <c r="AV1723" s="71"/>
      <c r="AW1723" s="71"/>
      <c r="AX1723" s="71"/>
      <c r="AY1723" s="71"/>
      <c r="AZ1723" s="71"/>
      <c r="BA1723" s="71"/>
      <c r="BB1723" s="71"/>
      <c r="BC1723" s="71"/>
      <c r="BD1723" s="71"/>
      <c r="BE1723" s="71"/>
      <c r="BF1723" s="71"/>
      <c r="BG1723" s="71"/>
      <c r="BH1723" s="71"/>
      <c r="BI1723" s="71"/>
      <c r="BJ1723" s="71"/>
      <c r="BK1723" s="71"/>
      <c r="BL1723" s="71"/>
      <c r="BM1723" s="71"/>
      <c r="BN1723" s="71"/>
      <c r="BO1723" s="71"/>
      <c r="BP1723" s="71"/>
      <c r="BQ1723" s="71"/>
      <c r="BR1723" s="71"/>
      <c r="BS1723" s="71"/>
      <c r="BT1723" s="71"/>
      <c r="BU1723" s="71"/>
      <c r="BV1723" s="71"/>
    </row>
    <row r="1724">
      <c r="A1724" s="53"/>
      <c r="B1724" s="53">
        <v>3.0</v>
      </c>
      <c r="C1724" s="53" t="s">
        <v>36</v>
      </c>
      <c r="D1724" s="85" t="s">
        <v>4268</v>
      </c>
      <c r="E1724" s="54" t="s">
        <v>38</v>
      </c>
      <c r="F1724" s="55" t="s">
        <v>4105</v>
      </c>
      <c r="G1724" s="55" t="s">
        <v>4269</v>
      </c>
      <c r="H1724" s="55"/>
      <c r="I1724" s="54">
        <f t="shared" si="24"/>
        <v>0</v>
      </c>
      <c r="J1724" s="56"/>
      <c r="K1724" s="57"/>
      <c r="L1724" s="76"/>
      <c r="M1724" s="59"/>
      <c r="N1724" s="60"/>
      <c r="O1724" s="61">
        <v>41313.0</v>
      </c>
      <c r="P1724" s="62">
        <v>44618.04</v>
      </c>
      <c r="Q1724" s="63">
        <v>44618.04</v>
      </c>
      <c r="R1724" s="64">
        <v>49192.0</v>
      </c>
      <c r="S1724" s="107">
        <v>51652.0</v>
      </c>
      <c r="T1724" s="65">
        <f t="shared" si="39"/>
        <v>8264.32</v>
      </c>
      <c r="U1724" s="65">
        <f t="shared" si="40"/>
        <v>59916.32</v>
      </c>
      <c r="V1724" s="66">
        <f t="shared" si="68"/>
        <v>0.0500081314</v>
      </c>
      <c r="W1724" s="67">
        <f t="shared" si="5"/>
        <v>49069.4</v>
      </c>
      <c r="X1724" s="67">
        <f t="shared" si="61"/>
        <v>7851.104</v>
      </c>
      <c r="Y1724" s="67">
        <f t="shared" si="62"/>
        <v>56920.504</v>
      </c>
      <c r="Z1724" s="67">
        <f t="shared" si="8"/>
        <v>46486.8</v>
      </c>
      <c r="AA1724" s="67">
        <f t="shared" si="54"/>
        <v>7437.888</v>
      </c>
      <c r="AB1724" s="67">
        <f t="shared" si="55"/>
        <v>53924.688</v>
      </c>
      <c r="AC1724" s="67">
        <f t="shared" si="11"/>
        <v>46486.8</v>
      </c>
      <c r="AD1724" s="67">
        <f t="shared" si="56"/>
        <v>7437.888</v>
      </c>
      <c r="AE1724" s="67">
        <f t="shared" si="57"/>
        <v>53924.688</v>
      </c>
      <c r="AF1724" s="67">
        <f t="shared" si="33"/>
        <v>46486.8</v>
      </c>
      <c r="AG1724" s="67">
        <f t="shared" si="58"/>
        <v>7437.888</v>
      </c>
      <c r="AH1724" s="67">
        <f t="shared" si="59"/>
        <v>53924.688</v>
      </c>
      <c r="AI1724" s="67">
        <f t="shared" si="17"/>
        <v>46486.8</v>
      </c>
      <c r="AJ1724" s="68">
        <f t="shared" si="66"/>
        <v>7437.888</v>
      </c>
      <c r="AK1724" s="68">
        <f t="shared" si="67"/>
        <v>53924.688</v>
      </c>
      <c r="AL1724" s="70"/>
      <c r="AM1724" s="70"/>
      <c r="AN1724" s="71"/>
      <c r="AO1724" s="71"/>
      <c r="AP1724" s="71"/>
      <c r="AQ1724" s="71"/>
      <c r="AR1724" s="71"/>
      <c r="AS1724" s="71"/>
      <c r="AT1724" s="71"/>
      <c r="AU1724" s="71"/>
      <c r="AV1724" s="71"/>
      <c r="AW1724" s="71"/>
      <c r="AX1724" s="71"/>
      <c r="AY1724" s="71"/>
      <c r="AZ1724" s="71"/>
      <c r="BA1724" s="71"/>
      <c r="BB1724" s="71"/>
      <c r="BC1724" s="71"/>
      <c r="BD1724" s="71"/>
      <c r="BE1724" s="71"/>
      <c r="BF1724" s="71"/>
      <c r="BG1724" s="71"/>
      <c r="BH1724" s="71"/>
      <c r="BI1724" s="71"/>
      <c r="BJ1724" s="71"/>
      <c r="BK1724" s="71"/>
      <c r="BL1724" s="71"/>
      <c r="BM1724" s="71"/>
      <c r="BN1724" s="71"/>
      <c r="BO1724" s="71"/>
      <c r="BP1724" s="71"/>
      <c r="BQ1724" s="71"/>
      <c r="BR1724" s="71"/>
      <c r="BS1724" s="71"/>
      <c r="BT1724" s="71"/>
      <c r="BU1724" s="71"/>
      <c r="BV1724" s="71"/>
    </row>
    <row r="1725">
      <c r="A1725" s="53"/>
      <c r="B1725" s="53">
        <v>3.0</v>
      </c>
      <c r="C1725" s="53" t="s">
        <v>36</v>
      </c>
      <c r="D1725" s="85" t="s">
        <v>4270</v>
      </c>
      <c r="E1725" s="54" t="s">
        <v>38</v>
      </c>
      <c r="F1725" s="55" t="s">
        <v>4105</v>
      </c>
      <c r="G1725" s="55" t="s">
        <v>4271</v>
      </c>
      <c r="H1725" s="55"/>
      <c r="I1725" s="54">
        <f t="shared" si="24"/>
        <v>0</v>
      </c>
      <c r="J1725" s="56"/>
      <c r="K1725" s="57"/>
      <c r="L1725" s="76"/>
      <c r="M1725" s="59"/>
      <c r="N1725" s="60"/>
      <c r="O1725" s="61">
        <v>37011.0</v>
      </c>
      <c r="P1725" s="62">
        <v>39971.880000000005</v>
      </c>
      <c r="Q1725" s="63">
        <v>39971.880000000005</v>
      </c>
      <c r="R1725" s="64">
        <v>44070.0</v>
      </c>
      <c r="S1725" s="107">
        <v>46274.0</v>
      </c>
      <c r="T1725" s="65">
        <f t="shared" si="39"/>
        <v>7403.84</v>
      </c>
      <c r="U1725" s="65">
        <f t="shared" si="40"/>
        <v>53677.84</v>
      </c>
      <c r="V1725" s="66">
        <f t="shared" si="68"/>
        <v>0.05001134559</v>
      </c>
      <c r="W1725" s="67">
        <f t="shared" si="5"/>
        <v>43960.3</v>
      </c>
      <c r="X1725" s="67">
        <f t="shared" si="61"/>
        <v>7033.648</v>
      </c>
      <c r="Y1725" s="67">
        <f t="shared" si="62"/>
        <v>50993.948</v>
      </c>
      <c r="Z1725" s="67">
        <f t="shared" si="8"/>
        <v>41646.6</v>
      </c>
      <c r="AA1725" s="67">
        <f t="shared" si="54"/>
        <v>6663.456</v>
      </c>
      <c r="AB1725" s="67">
        <f t="shared" si="55"/>
        <v>48310.056</v>
      </c>
      <c r="AC1725" s="67">
        <f t="shared" si="11"/>
        <v>41646.6</v>
      </c>
      <c r="AD1725" s="67">
        <f t="shared" si="56"/>
        <v>6663.456</v>
      </c>
      <c r="AE1725" s="67">
        <f t="shared" si="57"/>
        <v>48310.056</v>
      </c>
      <c r="AF1725" s="67">
        <f t="shared" si="33"/>
        <v>41646.6</v>
      </c>
      <c r="AG1725" s="67">
        <f t="shared" si="58"/>
        <v>6663.456</v>
      </c>
      <c r="AH1725" s="67">
        <f t="shared" si="59"/>
        <v>48310.056</v>
      </c>
      <c r="AI1725" s="67">
        <f t="shared" si="17"/>
        <v>41646.6</v>
      </c>
      <c r="AJ1725" s="68">
        <f t="shared" si="66"/>
        <v>6663.456</v>
      </c>
      <c r="AK1725" s="68">
        <f t="shared" si="67"/>
        <v>48310.056</v>
      </c>
      <c r="AL1725" s="70"/>
      <c r="AM1725" s="70"/>
      <c r="AN1725" s="71"/>
      <c r="AO1725" s="71"/>
      <c r="AP1725" s="71"/>
      <c r="AQ1725" s="71"/>
      <c r="AR1725" s="71"/>
      <c r="AS1725" s="71"/>
      <c r="AT1725" s="71"/>
      <c r="AU1725" s="71"/>
      <c r="AV1725" s="71"/>
      <c r="AW1725" s="71"/>
      <c r="AX1725" s="71"/>
      <c r="AY1725" s="71"/>
      <c r="AZ1725" s="71"/>
      <c r="BA1725" s="71"/>
      <c r="BB1725" s="71"/>
      <c r="BC1725" s="71"/>
      <c r="BD1725" s="71"/>
      <c r="BE1725" s="71"/>
      <c r="BF1725" s="71"/>
      <c r="BG1725" s="71"/>
      <c r="BH1725" s="71"/>
      <c r="BI1725" s="71"/>
      <c r="BJ1725" s="71"/>
      <c r="BK1725" s="71"/>
      <c r="BL1725" s="71"/>
      <c r="BM1725" s="71"/>
      <c r="BN1725" s="71"/>
      <c r="BO1725" s="71"/>
      <c r="BP1725" s="71"/>
      <c r="BQ1725" s="71"/>
      <c r="BR1725" s="71"/>
      <c r="BS1725" s="71"/>
      <c r="BT1725" s="71"/>
      <c r="BU1725" s="71"/>
      <c r="BV1725" s="71"/>
    </row>
    <row r="1726">
      <c r="A1726" s="53"/>
      <c r="B1726" s="53">
        <v>3.0</v>
      </c>
      <c r="C1726" s="53" t="s">
        <v>36</v>
      </c>
      <c r="D1726" s="98" t="s">
        <v>4272</v>
      </c>
      <c r="E1726" s="54" t="s">
        <v>38</v>
      </c>
      <c r="F1726" s="55" t="s">
        <v>4105</v>
      </c>
      <c r="G1726" s="55" t="s">
        <v>4273</v>
      </c>
      <c r="H1726" s="55"/>
      <c r="I1726" s="54">
        <f t="shared" si="24"/>
        <v>0</v>
      </c>
      <c r="J1726" s="56"/>
      <c r="K1726" s="57"/>
      <c r="L1726" s="76"/>
      <c r="M1726" s="59"/>
      <c r="N1726" s="60"/>
      <c r="O1726" s="61">
        <v>0.0</v>
      </c>
      <c r="P1726" s="62">
        <v>0.0</v>
      </c>
      <c r="Q1726" s="63">
        <v>0.0</v>
      </c>
      <c r="R1726" s="64">
        <v>0.0</v>
      </c>
      <c r="S1726" s="107">
        <v>0.0</v>
      </c>
      <c r="T1726" s="65">
        <f t="shared" si="39"/>
        <v>0</v>
      </c>
      <c r="U1726" s="65">
        <f t="shared" si="40"/>
        <v>0</v>
      </c>
      <c r="V1726" s="66" t="str">
        <f t="shared" si="68"/>
        <v>#DIV/0!</v>
      </c>
      <c r="W1726" s="67">
        <f t="shared" si="5"/>
        <v>0</v>
      </c>
      <c r="X1726" s="67">
        <f t="shared" si="61"/>
        <v>0</v>
      </c>
      <c r="Y1726" s="67">
        <f t="shared" si="62"/>
        <v>0</v>
      </c>
      <c r="Z1726" s="67">
        <f t="shared" si="8"/>
        <v>0</v>
      </c>
      <c r="AA1726" s="67">
        <f t="shared" si="54"/>
        <v>0</v>
      </c>
      <c r="AB1726" s="67">
        <f t="shared" si="55"/>
        <v>0</v>
      </c>
      <c r="AC1726" s="67">
        <f t="shared" si="11"/>
        <v>0</v>
      </c>
      <c r="AD1726" s="67">
        <f t="shared" si="56"/>
        <v>0</v>
      </c>
      <c r="AE1726" s="67">
        <f t="shared" si="57"/>
        <v>0</v>
      </c>
      <c r="AF1726" s="67">
        <f t="shared" si="33"/>
        <v>0</v>
      </c>
      <c r="AG1726" s="67">
        <f t="shared" si="58"/>
        <v>0</v>
      </c>
      <c r="AH1726" s="67">
        <f t="shared" si="59"/>
        <v>0</v>
      </c>
      <c r="AI1726" s="67">
        <f t="shared" si="17"/>
        <v>0</v>
      </c>
      <c r="AJ1726" s="68">
        <f t="shared" si="66"/>
        <v>0</v>
      </c>
      <c r="AK1726" s="68">
        <f t="shared" si="67"/>
        <v>0</v>
      </c>
      <c r="AL1726" s="70"/>
      <c r="AM1726" s="70"/>
      <c r="AN1726" s="71"/>
      <c r="AO1726" s="71"/>
      <c r="AP1726" s="71"/>
      <c r="AQ1726" s="71"/>
      <c r="AR1726" s="71"/>
      <c r="AS1726" s="71"/>
      <c r="AT1726" s="71"/>
      <c r="AU1726" s="71"/>
      <c r="AV1726" s="71"/>
      <c r="AW1726" s="71"/>
      <c r="AX1726" s="71"/>
      <c r="AY1726" s="71"/>
      <c r="AZ1726" s="71"/>
      <c r="BA1726" s="71"/>
      <c r="BB1726" s="71"/>
      <c r="BC1726" s="71"/>
      <c r="BD1726" s="71"/>
      <c r="BE1726" s="71"/>
      <c r="BF1726" s="71"/>
      <c r="BG1726" s="71"/>
      <c r="BH1726" s="71"/>
      <c r="BI1726" s="71"/>
      <c r="BJ1726" s="71"/>
      <c r="BK1726" s="71"/>
      <c r="BL1726" s="71"/>
      <c r="BM1726" s="71"/>
      <c r="BN1726" s="71"/>
      <c r="BO1726" s="71"/>
      <c r="BP1726" s="71"/>
      <c r="BQ1726" s="71"/>
      <c r="BR1726" s="71"/>
      <c r="BS1726" s="71"/>
      <c r="BT1726" s="71"/>
      <c r="BU1726" s="71"/>
      <c r="BV1726" s="71"/>
    </row>
    <row r="1727">
      <c r="A1727" s="53"/>
      <c r="B1727" s="53">
        <v>3.0</v>
      </c>
      <c r="C1727" s="53" t="s">
        <v>36</v>
      </c>
      <c r="D1727" s="98" t="s">
        <v>4274</v>
      </c>
      <c r="E1727" s="54" t="s">
        <v>38</v>
      </c>
      <c r="F1727" s="55" t="s">
        <v>4105</v>
      </c>
      <c r="G1727" s="55" t="s">
        <v>4273</v>
      </c>
      <c r="H1727" s="55"/>
      <c r="I1727" s="54">
        <f t="shared" si="24"/>
        <v>0</v>
      </c>
      <c r="J1727" s="56"/>
      <c r="K1727" s="57"/>
      <c r="L1727" s="76"/>
      <c r="M1727" s="59"/>
      <c r="N1727" s="60"/>
      <c r="O1727" s="61">
        <v>0.0</v>
      </c>
      <c r="P1727" s="62">
        <v>0.0</v>
      </c>
      <c r="Q1727" s="63">
        <v>0.0</v>
      </c>
      <c r="R1727" s="64">
        <v>0.0</v>
      </c>
      <c r="S1727" s="107">
        <v>0.0</v>
      </c>
      <c r="T1727" s="65">
        <f t="shared" si="39"/>
        <v>0</v>
      </c>
      <c r="U1727" s="65">
        <f t="shared" si="40"/>
        <v>0</v>
      </c>
      <c r="V1727" s="66" t="str">
        <f t="shared" si="68"/>
        <v>#DIV/0!</v>
      </c>
      <c r="W1727" s="67">
        <f t="shared" si="5"/>
        <v>0</v>
      </c>
      <c r="X1727" s="67">
        <f t="shared" si="61"/>
        <v>0</v>
      </c>
      <c r="Y1727" s="67">
        <f t="shared" si="62"/>
        <v>0</v>
      </c>
      <c r="Z1727" s="67">
        <f t="shared" si="8"/>
        <v>0</v>
      </c>
      <c r="AA1727" s="67">
        <f t="shared" si="54"/>
        <v>0</v>
      </c>
      <c r="AB1727" s="67">
        <f t="shared" si="55"/>
        <v>0</v>
      </c>
      <c r="AC1727" s="67">
        <f t="shared" si="11"/>
        <v>0</v>
      </c>
      <c r="AD1727" s="67">
        <f t="shared" si="56"/>
        <v>0</v>
      </c>
      <c r="AE1727" s="67">
        <f t="shared" si="57"/>
        <v>0</v>
      </c>
      <c r="AF1727" s="67">
        <f t="shared" si="33"/>
        <v>0</v>
      </c>
      <c r="AG1727" s="67">
        <f t="shared" si="58"/>
        <v>0</v>
      </c>
      <c r="AH1727" s="67">
        <f t="shared" si="59"/>
        <v>0</v>
      </c>
      <c r="AI1727" s="67">
        <f t="shared" si="17"/>
        <v>0</v>
      </c>
      <c r="AJ1727" s="68">
        <f t="shared" si="66"/>
        <v>0</v>
      </c>
      <c r="AK1727" s="68">
        <f t="shared" si="67"/>
        <v>0</v>
      </c>
      <c r="AL1727" s="70"/>
      <c r="AM1727" s="70"/>
      <c r="AN1727" s="71"/>
      <c r="AO1727" s="71"/>
      <c r="AP1727" s="71"/>
      <c r="AQ1727" s="71"/>
      <c r="AR1727" s="71"/>
      <c r="AS1727" s="71"/>
      <c r="AT1727" s="71"/>
      <c r="AU1727" s="71"/>
      <c r="AV1727" s="71"/>
      <c r="AW1727" s="71"/>
      <c r="AX1727" s="71"/>
      <c r="AY1727" s="71"/>
      <c r="AZ1727" s="71"/>
      <c r="BA1727" s="71"/>
      <c r="BB1727" s="71"/>
      <c r="BC1727" s="71"/>
      <c r="BD1727" s="71"/>
      <c r="BE1727" s="71"/>
      <c r="BF1727" s="71"/>
      <c r="BG1727" s="71"/>
      <c r="BH1727" s="71"/>
      <c r="BI1727" s="71"/>
      <c r="BJ1727" s="71"/>
      <c r="BK1727" s="71"/>
      <c r="BL1727" s="71"/>
      <c r="BM1727" s="71"/>
      <c r="BN1727" s="71"/>
      <c r="BO1727" s="71"/>
      <c r="BP1727" s="71"/>
      <c r="BQ1727" s="71"/>
      <c r="BR1727" s="71"/>
      <c r="BS1727" s="71"/>
      <c r="BT1727" s="71"/>
      <c r="BU1727" s="71"/>
      <c r="BV1727" s="71"/>
    </row>
    <row r="1728">
      <c r="A1728" s="53"/>
      <c r="B1728" s="53">
        <v>3.0</v>
      </c>
      <c r="C1728" s="53" t="s">
        <v>36</v>
      </c>
      <c r="D1728" s="98" t="s">
        <v>4275</v>
      </c>
      <c r="E1728" s="54" t="s">
        <v>38</v>
      </c>
      <c r="F1728" s="55" t="s">
        <v>4105</v>
      </c>
      <c r="G1728" s="55" t="s">
        <v>4276</v>
      </c>
      <c r="H1728" s="55"/>
      <c r="I1728" s="54">
        <f t="shared" si="24"/>
        <v>0</v>
      </c>
      <c r="J1728" s="56"/>
      <c r="K1728" s="57"/>
      <c r="L1728" s="76"/>
      <c r="M1728" s="59"/>
      <c r="N1728" s="60"/>
      <c r="O1728" s="61">
        <v>40263.0</v>
      </c>
      <c r="P1728" s="62">
        <v>43484.04</v>
      </c>
      <c r="Q1728" s="63">
        <v>43484.04</v>
      </c>
      <c r="R1728" s="64">
        <v>47941.0</v>
      </c>
      <c r="S1728" s="107">
        <v>50338.0</v>
      </c>
      <c r="T1728" s="65">
        <f t="shared" si="39"/>
        <v>8054.08</v>
      </c>
      <c r="U1728" s="65">
        <f t="shared" si="40"/>
        <v>58392.08</v>
      </c>
      <c r="V1728" s="66">
        <f t="shared" si="68"/>
        <v>0.04999895705</v>
      </c>
      <c r="W1728" s="67">
        <f t="shared" si="5"/>
        <v>47821.1</v>
      </c>
      <c r="X1728" s="67">
        <f t="shared" si="61"/>
        <v>7651.376</v>
      </c>
      <c r="Y1728" s="67">
        <f t="shared" si="62"/>
        <v>55472.476</v>
      </c>
      <c r="Z1728" s="67">
        <f t="shared" si="8"/>
        <v>45304.2</v>
      </c>
      <c r="AA1728" s="67">
        <f t="shared" si="54"/>
        <v>7248.672</v>
      </c>
      <c r="AB1728" s="67">
        <f t="shared" si="55"/>
        <v>52552.872</v>
      </c>
      <c r="AC1728" s="67">
        <f t="shared" si="11"/>
        <v>45304.2</v>
      </c>
      <c r="AD1728" s="67">
        <f t="shared" si="56"/>
        <v>7248.672</v>
      </c>
      <c r="AE1728" s="67">
        <f t="shared" si="57"/>
        <v>52552.872</v>
      </c>
      <c r="AF1728" s="67">
        <f t="shared" si="33"/>
        <v>45304.2</v>
      </c>
      <c r="AG1728" s="67">
        <f t="shared" si="58"/>
        <v>7248.672</v>
      </c>
      <c r="AH1728" s="67">
        <f t="shared" si="59"/>
        <v>52552.872</v>
      </c>
      <c r="AI1728" s="67">
        <f t="shared" si="17"/>
        <v>45304.2</v>
      </c>
      <c r="AJ1728" s="68">
        <f t="shared" si="66"/>
        <v>7248.672</v>
      </c>
      <c r="AK1728" s="68">
        <f t="shared" si="67"/>
        <v>52552.872</v>
      </c>
      <c r="AL1728" s="70"/>
      <c r="AM1728" s="70"/>
      <c r="AN1728" s="71"/>
      <c r="AO1728" s="71"/>
      <c r="AP1728" s="71"/>
      <c r="AQ1728" s="71"/>
      <c r="AR1728" s="71"/>
      <c r="AS1728" s="71"/>
      <c r="AT1728" s="71"/>
      <c r="AU1728" s="71"/>
      <c r="AV1728" s="71"/>
      <c r="AW1728" s="71"/>
      <c r="AX1728" s="71"/>
      <c r="AY1728" s="71"/>
      <c r="AZ1728" s="71"/>
      <c r="BA1728" s="71"/>
      <c r="BB1728" s="71"/>
      <c r="BC1728" s="71"/>
      <c r="BD1728" s="71"/>
      <c r="BE1728" s="71"/>
      <c r="BF1728" s="71"/>
      <c r="BG1728" s="71"/>
      <c r="BH1728" s="71"/>
      <c r="BI1728" s="71"/>
      <c r="BJ1728" s="71"/>
      <c r="BK1728" s="71"/>
      <c r="BL1728" s="71"/>
      <c r="BM1728" s="71"/>
      <c r="BN1728" s="71"/>
      <c r="BO1728" s="71"/>
      <c r="BP1728" s="71"/>
      <c r="BQ1728" s="71"/>
      <c r="BR1728" s="71"/>
      <c r="BS1728" s="71"/>
      <c r="BT1728" s="71"/>
      <c r="BU1728" s="71"/>
      <c r="BV1728" s="71"/>
    </row>
    <row r="1729">
      <c r="A1729" s="53"/>
      <c r="B1729" s="53">
        <v>3.0</v>
      </c>
      <c r="C1729" s="53" t="s">
        <v>36</v>
      </c>
      <c r="D1729" s="98" t="s">
        <v>4277</v>
      </c>
      <c r="E1729" s="54" t="s">
        <v>38</v>
      </c>
      <c r="F1729" s="55" t="s">
        <v>4105</v>
      </c>
      <c r="G1729" s="55" t="s">
        <v>4278</v>
      </c>
      <c r="H1729" s="55"/>
      <c r="I1729" s="54">
        <f t="shared" si="24"/>
        <v>0</v>
      </c>
      <c r="J1729" s="56"/>
      <c r="K1729" s="57"/>
      <c r="L1729" s="76"/>
      <c r="M1729" s="59"/>
      <c r="N1729" s="60"/>
      <c r="O1729" s="61">
        <v>38907.0</v>
      </c>
      <c r="P1729" s="62">
        <v>42019.560000000005</v>
      </c>
      <c r="Q1729" s="63">
        <v>42019.560000000005</v>
      </c>
      <c r="R1729" s="64">
        <v>46328.0</v>
      </c>
      <c r="S1729" s="107">
        <v>48644.0</v>
      </c>
      <c r="T1729" s="65">
        <f t="shared" si="39"/>
        <v>7783.04</v>
      </c>
      <c r="U1729" s="65">
        <f t="shared" si="40"/>
        <v>56427.04</v>
      </c>
      <c r="V1729" s="66">
        <f t="shared" si="68"/>
        <v>0.04999136591</v>
      </c>
      <c r="W1729" s="67">
        <f t="shared" si="5"/>
        <v>46211.8</v>
      </c>
      <c r="X1729" s="67">
        <f t="shared" si="61"/>
        <v>7393.888</v>
      </c>
      <c r="Y1729" s="67">
        <f t="shared" si="62"/>
        <v>53605.688</v>
      </c>
      <c r="Z1729" s="67">
        <f t="shared" si="8"/>
        <v>43779.6</v>
      </c>
      <c r="AA1729" s="67">
        <f t="shared" si="54"/>
        <v>7004.736</v>
      </c>
      <c r="AB1729" s="67">
        <f t="shared" si="55"/>
        <v>50784.336</v>
      </c>
      <c r="AC1729" s="67">
        <f t="shared" si="11"/>
        <v>43779.6</v>
      </c>
      <c r="AD1729" s="67">
        <f t="shared" si="56"/>
        <v>7004.736</v>
      </c>
      <c r="AE1729" s="67">
        <f t="shared" si="57"/>
        <v>50784.336</v>
      </c>
      <c r="AF1729" s="67">
        <f t="shared" si="33"/>
        <v>43779.6</v>
      </c>
      <c r="AG1729" s="67">
        <f t="shared" si="58"/>
        <v>7004.736</v>
      </c>
      <c r="AH1729" s="67">
        <f t="shared" si="59"/>
        <v>50784.336</v>
      </c>
      <c r="AI1729" s="67">
        <f t="shared" si="17"/>
        <v>43779.6</v>
      </c>
      <c r="AJ1729" s="68">
        <f t="shared" si="66"/>
        <v>7004.736</v>
      </c>
      <c r="AK1729" s="68">
        <f t="shared" si="67"/>
        <v>50784.336</v>
      </c>
      <c r="AL1729" s="70"/>
      <c r="AM1729" s="70"/>
      <c r="AN1729" s="71"/>
      <c r="AO1729" s="71"/>
      <c r="AP1729" s="71"/>
      <c r="AQ1729" s="71"/>
      <c r="AR1729" s="71"/>
      <c r="AS1729" s="71"/>
      <c r="AT1729" s="71"/>
      <c r="AU1729" s="71"/>
      <c r="AV1729" s="71"/>
      <c r="AW1729" s="71"/>
      <c r="AX1729" s="71"/>
      <c r="AY1729" s="71"/>
      <c r="AZ1729" s="71"/>
      <c r="BA1729" s="71"/>
      <c r="BB1729" s="71"/>
      <c r="BC1729" s="71"/>
      <c r="BD1729" s="71"/>
      <c r="BE1729" s="71"/>
      <c r="BF1729" s="71"/>
      <c r="BG1729" s="71"/>
      <c r="BH1729" s="71"/>
      <c r="BI1729" s="71"/>
      <c r="BJ1729" s="71"/>
      <c r="BK1729" s="71"/>
      <c r="BL1729" s="71"/>
      <c r="BM1729" s="71"/>
      <c r="BN1729" s="71"/>
      <c r="BO1729" s="71"/>
      <c r="BP1729" s="71"/>
      <c r="BQ1729" s="71"/>
      <c r="BR1729" s="71"/>
      <c r="BS1729" s="71"/>
      <c r="BT1729" s="71"/>
      <c r="BU1729" s="71"/>
      <c r="BV1729" s="71"/>
    </row>
    <row r="1730">
      <c r="A1730" s="53"/>
      <c r="B1730" s="53">
        <v>3.0</v>
      </c>
      <c r="C1730" s="53" t="s">
        <v>36</v>
      </c>
      <c r="D1730" s="98" t="s">
        <v>4279</v>
      </c>
      <c r="E1730" s="54" t="s">
        <v>38</v>
      </c>
      <c r="F1730" s="55" t="s">
        <v>4105</v>
      </c>
      <c r="G1730" s="55" t="s">
        <v>4280</v>
      </c>
      <c r="H1730" s="55"/>
      <c r="I1730" s="54">
        <f t="shared" si="24"/>
        <v>0</v>
      </c>
      <c r="J1730" s="56"/>
      <c r="K1730" s="57"/>
      <c r="L1730" s="76"/>
      <c r="M1730" s="59"/>
      <c r="N1730" s="60"/>
      <c r="O1730" s="61">
        <v>37229.0</v>
      </c>
      <c r="P1730" s="62">
        <v>40207.32</v>
      </c>
      <c r="Q1730" s="63">
        <v>40207.32</v>
      </c>
      <c r="R1730" s="64">
        <v>44328.0</v>
      </c>
      <c r="S1730" s="107">
        <v>46544.0</v>
      </c>
      <c r="T1730" s="65">
        <f t="shared" si="39"/>
        <v>7447.04</v>
      </c>
      <c r="U1730" s="65">
        <f t="shared" si="40"/>
        <v>53991.04</v>
      </c>
      <c r="V1730" s="66">
        <f t="shared" si="68"/>
        <v>0.04999097636</v>
      </c>
      <c r="W1730" s="67">
        <f t="shared" si="5"/>
        <v>44216.8</v>
      </c>
      <c r="X1730" s="67">
        <f t="shared" si="61"/>
        <v>7074.688</v>
      </c>
      <c r="Y1730" s="67">
        <f t="shared" si="62"/>
        <v>51291.488</v>
      </c>
      <c r="Z1730" s="67">
        <f t="shared" si="8"/>
        <v>41889.6</v>
      </c>
      <c r="AA1730" s="67">
        <f t="shared" si="54"/>
        <v>6702.336</v>
      </c>
      <c r="AB1730" s="67">
        <f t="shared" si="55"/>
        <v>48591.936</v>
      </c>
      <c r="AC1730" s="67">
        <f t="shared" si="11"/>
        <v>41889.6</v>
      </c>
      <c r="AD1730" s="67">
        <f t="shared" si="56"/>
        <v>6702.336</v>
      </c>
      <c r="AE1730" s="67">
        <f t="shared" si="57"/>
        <v>48591.936</v>
      </c>
      <c r="AF1730" s="67">
        <f t="shared" si="33"/>
        <v>41889.6</v>
      </c>
      <c r="AG1730" s="67">
        <f t="shared" si="58"/>
        <v>6702.336</v>
      </c>
      <c r="AH1730" s="67">
        <f t="shared" si="59"/>
        <v>48591.936</v>
      </c>
      <c r="AI1730" s="67">
        <f t="shared" si="17"/>
        <v>41889.6</v>
      </c>
      <c r="AJ1730" s="68">
        <f t="shared" si="66"/>
        <v>6702.336</v>
      </c>
      <c r="AK1730" s="68">
        <f t="shared" si="67"/>
        <v>48591.936</v>
      </c>
      <c r="AL1730" s="70"/>
      <c r="AM1730" s="70"/>
      <c r="AN1730" s="71"/>
      <c r="AO1730" s="71"/>
      <c r="AP1730" s="71"/>
      <c r="AQ1730" s="71"/>
      <c r="AR1730" s="71"/>
      <c r="AS1730" s="71"/>
      <c r="AT1730" s="71"/>
      <c r="AU1730" s="71"/>
      <c r="AV1730" s="71"/>
      <c r="AW1730" s="71"/>
      <c r="AX1730" s="71"/>
      <c r="AY1730" s="71"/>
      <c r="AZ1730" s="71"/>
      <c r="BA1730" s="71"/>
      <c r="BB1730" s="71"/>
      <c r="BC1730" s="71"/>
      <c r="BD1730" s="71"/>
      <c r="BE1730" s="71"/>
      <c r="BF1730" s="71"/>
      <c r="BG1730" s="71"/>
      <c r="BH1730" s="71"/>
      <c r="BI1730" s="71"/>
      <c r="BJ1730" s="71"/>
      <c r="BK1730" s="71"/>
      <c r="BL1730" s="71"/>
      <c r="BM1730" s="71"/>
      <c r="BN1730" s="71"/>
      <c r="BO1730" s="71"/>
      <c r="BP1730" s="71"/>
      <c r="BQ1730" s="71"/>
      <c r="BR1730" s="71"/>
      <c r="BS1730" s="71"/>
      <c r="BT1730" s="71"/>
      <c r="BU1730" s="71"/>
      <c r="BV1730" s="71"/>
    </row>
    <row r="1731">
      <c r="A1731" s="53"/>
      <c r="B1731" s="53">
        <v>3.0</v>
      </c>
      <c r="C1731" s="53" t="s">
        <v>36</v>
      </c>
      <c r="D1731" s="98" t="s">
        <v>4281</v>
      </c>
      <c r="E1731" s="54" t="s">
        <v>38</v>
      </c>
      <c r="F1731" s="55" t="s">
        <v>4105</v>
      </c>
      <c r="G1731" s="55" t="s">
        <v>4282</v>
      </c>
      <c r="H1731" s="55"/>
      <c r="I1731" s="54">
        <f t="shared" si="24"/>
        <v>0</v>
      </c>
      <c r="J1731" s="56"/>
      <c r="K1731" s="57"/>
      <c r="L1731" s="76"/>
      <c r="M1731" s="59"/>
      <c r="N1731" s="60"/>
      <c r="O1731" s="61">
        <v>36467.0</v>
      </c>
      <c r="P1731" s="62">
        <v>39384.36</v>
      </c>
      <c r="Q1731" s="63">
        <v>39384.36</v>
      </c>
      <c r="R1731" s="64">
        <v>43421.0</v>
      </c>
      <c r="S1731" s="107">
        <v>45592.0</v>
      </c>
      <c r="T1731" s="65">
        <f t="shared" si="39"/>
        <v>7294.72</v>
      </c>
      <c r="U1731" s="65">
        <f t="shared" si="40"/>
        <v>52886.72</v>
      </c>
      <c r="V1731" s="66">
        <f t="shared" si="68"/>
        <v>0.04999884848</v>
      </c>
      <c r="W1731" s="67">
        <f t="shared" si="5"/>
        <v>43312.4</v>
      </c>
      <c r="X1731" s="67">
        <f t="shared" si="61"/>
        <v>6929.984</v>
      </c>
      <c r="Y1731" s="67">
        <f t="shared" si="62"/>
        <v>50242.384</v>
      </c>
      <c r="Z1731" s="67">
        <f t="shared" si="8"/>
        <v>41032.8</v>
      </c>
      <c r="AA1731" s="67">
        <f t="shared" si="54"/>
        <v>6565.248</v>
      </c>
      <c r="AB1731" s="67">
        <f t="shared" si="55"/>
        <v>47598.048</v>
      </c>
      <c r="AC1731" s="67">
        <f t="shared" si="11"/>
        <v>41032.8</v>
      </c>
      <c r="AD1731" s="67">
        <f t="shared" si="56"/>
        <v>6565.248</v>
      </c>
      <c r="AE1731" s="67">
        <f t="shared" si="57"/>
        <v>47598.048</v>
      </c>
      <c r="AF1731" s="67">
        <f t="shared" si="33"/>
        <v>41032.8</v>
      </c>
      <c r="AG1731" s="67">
        <f t="shared" si="58"/>
        <v>6565.248</v>
      </c>
      <c r="AH1731" s="67">
        <f t="shared" si="59"/>
        <v>47598.048</v>
      </c>
      <c r="AI1731" s="67">
        <f t="shared" si="17"/>
        <v>41032.8</v>
      </c>
      <c r="AJ1731" s="68">
        <f t="shared" si="66"/>
        <v>6565.248</v>
      </c>
      <c r="AK1731" s="68">
        <f t="shared" si="67"/>
        <v>47598.048</v>
      </c>
      <c r="AL1731" s="70"/>
      <c r="AM1731" s="70"/>
      <c r="AN1731" s="71"/>
      <c r="AO1731" s="71"/>
      <c r="AP1731" s="71"/>
      <c r="AQ1731" s="71"/>
      <c r="AR1731" s="71"/>
      <c r="AS1731" s="71"/>
      <c r="AT1731" s="71"/>
      <c r="AU1731" s="71"/>
      <c r="AV1731" s="71"/>
      <c r="AW1731" s="71"/>
      <c r="AX1731" s="71"/>
      <c r="AY1731" s="71"/>
      <c r="AZ1731" s="71"/>
      <c r="BA1731" s="71"/>
      <c r="BB1731" s="71"/>
      <c r="BC1731" s="71"/>
      <c r="BD1731" s="71"/>
      <c r="BE1731" s="71"/>
      <c r="BF1731" s="71"/>
      <c r="BG1731" s="71"/>
      <c r="BH1731" s="71"/>
      <c r="BI1731" s="71"/>
      <c r="BJ1731" s="71"/>
      <c r="BK1731" s="71"/>
      <c r="BL1731" s="71"/>
      <c r="BM1731" s="71"/>
      <c r="BN1731" s="71"/>
      <c r="BO1731" s="71"/>
      <c r="BP1731" s="71"/>
      <c r="BQ1731" s="71"/>
      <c r="BR1731" s="71"/>
      <c r="BS1731" s="71"/>
      <c r="BT1731" s="71"/>
      <c r="BU1731" s="71"/>
      <c r="BV1731" s="71"/>
    </row>
    <row r="1732">
      <c r="A1732" s="53"/>
      <c r="B1732" s="53">
        <v>3.0</v>
      </c>
      <c r="C1732" s="53" t="s">
        <v>36</v>
      </c>
      <c r="D1732" s="98" t="s">
        <v>4283</v>
      </c>
      <c r="E1732" s="54" t="s">
        <v>38</v>
      </c>
      <c r="F1732" s="55" t="s">
        <v>4105</v>
      </c>
      <c r="G1732" s="55" t="s">
        <v>4284</v>
      </c>
      <c r="H1732" s="55"/>
      <c r="I1732" s="54">
        <f t="shared" si="24"/>
        <v>0</v>
      </c>
      <c r="J1732" s="56"/>
      <c r="K1732" s="57"/>
      <c r="L1732" s="76"/>
      <c r="M1732" s="59"/>
      <c r="N1732" s="60"/>
      <c r="O1732" s="61">
        <v>30544.0</v>
      </c>
      <c r="P1732" s="62">
        <v>32987.520000000004</v>
      </c>
      <c r="Q1732" s="63">
        <v>32987.520000000004</v>
      </c>
      <c r="R1732" s="64">
        <v>36369.0</v>
      </c>
      <c r="S1732" s="107">
        <v>38187.0</v>
      </c>
      <c r="T1732" s="65">
        <f t="shared" si="39"/>
        <v>6109.92</v>
      </c>
      <c r="U1732" s="65">
        <f t="shared" si="40"/>
        <v>44296.92</v>
      </c>
      <c r="V1732" s="66">
        <f t="shared" si="68"/>
        <v>0.04998762683</v>
      </c>
      <c r="W1732" s="67">
        <f t="shared" si="5"/>
        <v>36277.65</v>
      </c>
      <c r="X1732" s="67">
        <f t="shared" si="61"/>
        <v>5804.424</v>
      </c>
      <c r="Y1732" s="67">
        <f t="shared" si="62"/>
        <v>42082.074</v>
      </c>
      <c r="Z1732" s="67">
        <f t="shared" si="8"/>
        <v>34368.3</v>
      </c>
      <c r="AA1732" s="67">
        <f t="shared" si="54"/>
        <v>5498.928</v>
      </c>
      <c r="AB1732" s="67">
        <f t="shared" si="55"/>
        <v>39867.228</v>
      </c>
      <c r="AC1732" s="67">
        <f t="shared" si="11"/>
        <v>34368.3</v>
      </c>
      <c r="AD1732" s="67">
        <f t="shared" si="56"/>
        <v>5498.928</v>
      </c>
      <c r="AE1732" s="67">
        <f t="shared" si="57"/>
        <v>39867.228</v>
      </c>
      <c r="AF1732" s="67">
        <f t="shared" si="33"/>
        <v>34368.3</v>
      </c>
      <c r="AG1732" s="67">
        <f t="shared" si="58"/>
        <v>5498.928</v>
      </c>
      <c r="AH1732" s="67">
        <f t="shared" si="59"/>
        <v>39867.228</v>
      </c>
      <c r="AI1732" s="67">
        <f t="shared" si="17"/>
        <v>34368.3</v>
      </c>
      <c r="AJ1732" s="68">
        <f t="shared" si="66"/>
        <v>5498.928</v>
      </c>
      <c r="AK1732" s="68">
        <f t="shared" si="67"/>
        <v>39867.228</v>
      </c>
      <c r="AL1732" s="70"/>
      <c r="AM1732" s="70"/>
      <c r="AN1732" s="71"/>
      <c r="AO1732" s="71"/>
      <c r="AP1732" s="71"/>
      <c r="AQ1732" s="71"/>
      <c r="AR1732" s="71"/>
      <c r="AS1732" s="71"/>
      <c r="AT1732" s="71"/>
      <c r="AU1732" s="71"/>
      <c r="AV1732" s="71"/>
      <c r="AW1732" s="71"/>
      <c r="AX1732" s="71"/>
      <c r="AY1732" s="71"/>
      <c r="AZ1732" s="71"/>
      <c r="BA1732" s="71"/>
      <c r="BB1732" s="71"/>
      <c r="BC1732" s="71"/>
      <c r="BD1732" s="71"/>
      <c r="BE1732" s="71"/>
      <c r="BF1732" s="71"/>
      <c r="BG1732" s="71"/>
      <c r="BH1732" s="71"/>
      <c r="BI1732" s="71"/>
      <c r="BJ1732" s="71"/>
      <c r="BK1732" s="71"/>
      <c r="BL1732" s="71"/>
      <c r="BM1732" s="71"/>
      <c r="BN1732" s="71"/>
      <c r="BO1732" s="71"/>
      <c r="BP1732" s="71"/>
      <c r="BQ1732" s="71"/>
      <c r="BR1732" s="71"/>
      <c r="BS1732" s="71"/>
      <c r="BT1732" s="71"/>
      <c r="BU1732" s="71"/>
      <c r="BV1732" s="71"/>
    </row>
    <row r="1733">
      <c r="A1733" s="53"/>
      <c r="B1733" s="53">
        <v>3.0</v>
      </c>
      <c r="C1733" s="53" t="s">
        <v>36</v>
      </c>
      <c r="D1733" s="98" t="s">
        <v>4285</v>
      </c>
      <c r="E1733" s="54" t="s">
        <v>38</v>
      </c>
      <c r="F1733" s="55" t="s">
        <v>4105</v>
      </c>
      <c r="G1733" s="55" t="s">
        <v>4286</v>
      </c>
      <c r="H1733" s="55"/>
      <c r="I1733" s="54">
        <f t="shared" si="24"/>
        <v>0</v>
      </c>
      <c r="J1733" s="56"/>
      <c r="K1733" s="57"/>
      <c r="L1733" s="76"/>
      <c r="M1733" s="59"/>
      <c r="N1733" s="60"/>
      <c r="O1733" s="61">
        <v>41252.0</v>
      </c>
      <c r="P1733" s="62">
        <v>44552.16</v>
      </c>
      <c r="Q1733" s="63">
        <v>44552.16</v>
      </c>
      <c r="R1733" s="64">
        <v>49119.0</v>
      </c>
      <c r="S1733" s="107">
        <v>51575.0</v>
      </c>
      <c r="T1733" s="65">
        <f t="shared" si="39"/>
        <v>8252</v>
      </c>
      <c r="U1733" s="65">
        <f t="shared" si="40"/>
        <v>59827</v>
      </c>
      <c r="V1733" s="66">
        <f t="shared" si="68"/>
        <v>0.05000101794</v>
      </c>
      <c r="W1733" s="67">
        <f t="shared" si="5"/>
        <v>48996.25</v>
      </c>
      <c r="X1733" s="67">
        <f t="shared" si="61"/>
        <v>7839.4</v>
      </c>
      <c r="Y1733" s="67">
        <f t="shared" si="62"/>
        <v>56835.65</v>
      </c>
      <c r="Z1733" s="67">
        <f t="shared" si="8"/>
        <v>46417.5</v>
      </c>
      <c r="AA1733" s="67">
        <f t="shared" si="54"/>
        <v>7426.8</v>
      </c>
      <c r="AB1733" s="67">
        <f t="shared" si="55"/>
        <v>53844.3</v>
      </c>
      <c r="AC1733" s="67">
        <f t="shared" si="11"/>
        <v>46417.5</v>
      </c>
      <c r="AD1733" s="67">
        <f t="shared" si="56"/>
        <v>7426.8</v>
      </c>
      <c r="AE1733" s="67">
        <f t="shared" si="57"/>
        <v>53844.3</v>
      </c>
      <c r="AF1733" s="67">
        <f t="shared" si="33"/>
        <v>46417.5</v>
      </c>
      <c r="AG1733" s="67">
        <f t="shared" si="58"/>
        <v>7426.8</v>
      </c>
      <c r="AH1733" s="67">
        <f t="shared" si="59"/>
        <v>53844.3</v>
      </c>
      <c r="AI1733" s="67">
        <f t="shared" si="17"/>
        <v>46417.5</v>
      </c>
      <c r="AJ1733" s="68">
        <f t="shared" si="66"/>
        <v>7426.8</v>
      </c>
      <c r="AK1733" s="68">
        <f t="shared" si="67"/>
        <v>53844.3</v>
      </c>
      <c r="AL1733" s="70"/>
      <c r="AM1733" s="70"/>
      <c r="AN1733" s="71"/>
      <c r="AO1733" s="71"/>
      <c r="AP1733" s="71"/>
      <c r="AQ1733" s="71"/>
      <c r="AR1733" s="71"/>
      <c r="AS1733" s="71"/>
      <c r="AT1733" s="71"/>
      <c r="AU1733" s="71"/>
      <c r="AV1733" s="71"/>
      <c r="AW1733" s="71"/>
      <c r="AX1733" s="71"/>
      <c r="AY1733" s="71"/>
      <c r="AZ1733" s="71"/>
      <c r="BA1733" s="71"/>
      <c r="BB1733" s="71"/>
      <c r="BC1733" s="71"/>
      <c r="BD1733" s="71"/>
      <c r="BE1733" s="71"/>
      <c r="BF1733" s="71"/>
      <c r="BG1733" s="71"/>
      <c r="BH1733" s="71"/>
      <c r="BI1733" s="71"/>
      <c r="BJ1733" s="71"/>
      <c r="BK1733" s="71"/>
      <c r="BL1733" s="71"/>
      <c r="BM1733" s="71"/>
      <c r="BN1733" s="71"/>
      <c r="BO1733" s="71"/>
      <c r="BP1733" s="71"/>
      <c r="BQ1733" s="71"/>
      <c r="BR1733" s="71"/>
      <c r="BS1733" s="71"/>
      <c r="BT1733" s="71"/>
      <c r="BU1733" s="71"/>
      <c r="BV1733" s="71"/>
    </row>
    <row r="1734">
      <c r="A1734" s="53"/>
      <c r="B1734" s="53">
        <v>3.0</v>
      </c>
      <c r="C1734" s="53" t="s">
        <v>36</v>
      </c>
      <c r="D1734" s="98" t="s">
        <v>4287</v>
      </c>
      <c r="E1734" s="54" t="s">
        <v>38</v>
      </c>
      <c r="F1734" s="55" t="s">
        <v>4105</v>
      </c>
      <c r="G1734" s="55" t="s">
        <v>4288</v>
      </c>
      <c r="H1734" s="55"/>
      <c r="I1734" s="54">
        <f t="shared" si="24"/>
        <v>0</v>
      </c>
      <c r="J1734" s="56"/>
      <c r="K1734" s="57"/>
      <c r="L1734" s="76"/>
      <c r="M1734" s="59"/>
      <c r="N1734" s="60"/>
      <c r="O1734" s="61">
        <v>38913.0</v>
      </c>
      <c r="P1734" s="62">
        <v>42026.04</v>
      </c>
      <c r="Q1734" s="63">
        <v>42026.04</v>
      </c>
      <c r="R1734" s="64">
        <v>46334.0</v>
      </c>
      <c r="S1734" s="107">
        <v>48651.0</v>
      </c>
      <c r="T1734" s="65">
        <f t="shared" si="39"/>
        <v>7784.16</v>
      </c>
      <c r="U1734" s="65">
        <f t="shared" si="40"/>
        <v>56435.16</v>
      </c>
      <c r="V1734" s="66">
        <f t="shared" si="68"/>
        <v>0.05000647473</v>
      </c>
      <c r="W1734" s="67">
        <f t="shared" si="5"/>
        <v>46218.45</v>
      </c>
      <c r="X1734" s="67">
        <f t="shared" si="61"/>
        <v>7394.952</v>
      </c>
      <c r="Y1734" s="67">
        <f t="shared" si="62"/>
        <v>53613.402</v>
      </c>
      <c r="Z1734" s="67">
        <f t="shared" si="8"/>
        <v>43785.9</v>
      </c>
      <c r="AA1734" s="67">
        <f t="shared" si="54"/>
        <v>7005.744</v>
      </c>
      <c r="AB1734" s="67">
        <f t="shared" si="55"/>
        <v>50791.644</v>
      </c>
      <c r="AC1734" s="67">
        <f t="shared" si="11"/>
        <v>43785.9</v>
      </c>
      <c r="AD1734" s="67">
        <f t="shared" si="56"/>
        <v>7005.744</v>
      </c>
      <c r="AE1734" s="67">
        <f t="shared" si="57"/>
        <v>50791.644</v>
      </c>
      <c r="AF1734" s="67">
        <f t="shared" si="33"/>
        <v>43785.9</v>
      </c>
      <c r="AG1734" s="67">
        <f t="shared" si="58"/>
        <v>7005.744</v>
      </c>
      <c r="AH1734" s="67">
        <f t="shared" si="59"/>
        <v>50791.644</v>
      </c>
      <c r="AI1734" s="67">
        <f t="shared" si="17"/>
        <v>43785.9</v>
      </c>
      <c r="AJ1734" s="68">
        <f t="shared" si="66"/>
        <v>7005.744</v>
      </c>
      <c r="AK1734" s="68">
        <f t="shared" si="67"/>
        <v>50791.644</v>
      </c>
      <c r="AL1734" s="70"/>
      <c r="AM1734" s="70"/>
      <c r="AN1734" s="71"/>
      <c r="AO1734" s="71"/>
      <c r="AP1734" s="71"/>
      <c r="AQ1734" s="71"/>
      <c r="AR1734" s="71"/>
      <c r="AS1734" s="71"/>
      <c r="AT1734" s="71"/>
      <c r="AU1734" s="71"/>
      <c r="AV1734" s="71"/>
      <c r="AW1734" s="71"/>
      <c r="AX1734" s="71"/>
      <c r="AY1734" s="71"/>
      <c r="AZ1734" s="71"/>
      <c r="BA1734" s="71"/>
      <c r="BB1734" s="71"/>
      <c r="BC1734" s="71"/>
      <c r="BD1734" s="71"/>
      <c r="BE1734" s="71"/>
      <c r="BF1734" s="71"/>
      <c r="BG1734" s="71"/>
      <c r="BH1734" s="71"/>
      <c r="BI1734" s="71"/>
      <c r="BJ1734" s="71"/>
      <c r="BK1734" s="71"/>
      <c r="BL1734" s="71"/>
      <c r="BM1734" s="71"/>
      <c r="BN1734" s="71"/>
      <c r="BO1734" s="71"/>
      <c r="BP1734" s="71"/>
      <c r="BQ1734" s="71"/>
      <c r="BR1734" s="71"/>
      <c r="BS1734" s="71"/>
      <c r="BT1734" s="71"/>
      <c r="BU1734" s="71"/>
      <c r="BV1734" s="71"/>
    </row>
    <row r="1735">
      <c r="A1735" s="53"/>
      <c r="B1735" s="53">
        <v>3.0</v>
      </c>
      <c r="C1735" s="53" t="s">
        <v>36</v>
      </c>
      <c r="D1735" s="98" t="s">
        <v>4289</v>
      </c>
      <c r="E1735" s="54" t="s">
        <v>38</v>
      </c>
      <c r="F1735" s="55" t="s">
        <v>4105</v>
      </c>
      <c r="G1735" s="55" t="s">
        <v>4290</v>
      </c>
      <c r="H1735" s="55"/>
      <c r="I1735" s="54">
        <f t="shared" si="24"/>
        <v>0</v>
      </c>
      <c r="J1735" s="56"/>
      <c r="K1735" s="57"/>
      <c r="L1735" s="76"/>
      <c r="M1735" s="59"/>
      <c r="N1735" s="60"/>
      <c r="O1735" s="61">
        <v>23717.0</v>
      </c>
      <c r="P1735" s="62">
        <v>25614.36</v>
      </c>
      <c r="Q1735" s="63">
        <v>25614.36</v>
      </c>
      <c r="R1735" s="64">
        <v>28240.0</v>
      </c>
      <c r="S1735" s="107">
        <v>29652.0</v>
      </c>
      <c r="T1735" s="65">
        <f t="shared" si="39"/>
        <v>4744.32</v>
      </c>
      <c r="U1735" s="65">
        <f t="shared" si="40"/>
        <v>34396.32</v>
      </c>
      <c r="V1735" s="66">
        <f t="shared" si="68"/>
        <v>0.05</v>
      </c>
      <c r="W1735" s="67">
        <f t="shared" si="5"/>
        <v>28169.4</v>
      </c>
      <c r="X1735" s="67">
        <f t="shared" si="61"/>
        <v>4507.104</v>
      </c>
      <c r="Y1735" s="67">
        <f t="shared" si="62"/>
        <v>32676.504</v>
      </c>
      <c r="Z1735" s="67">
        <f t="shared" si="8"/>
        <v>26686.8</v>
      </c>
      <c r="AA1735" s="67">
        <f t="shared" si="54"/>
        <v>4269.888</v>
      </c>
      <c r="AB1735" s="67">
        <f t="shared" si="55"/>
        <v>30956.688</v>
      </c>
      <c r="AC1735" s="67">
        <f t="shared" si="11"/>
        <v>26686.8</v>
      </c>
      <c r="AD1735" s="67">
        <f t="shared" si="56"/>
        <v>4269.888</v>
      </c>
      <c r="AE1735" s="67">
        <f t="shared" si="57"/>
        <v>30956.688</v>
      </c>
      <c r="AF1735" s="67">
        <f t="shared" si="33"/>
        <v>26686.8</v>
      </c>
      <c r="AG1735" s="67">
        <f t="shared" si="58"/>
        <v>4269.888</v>
      </c>
      <c r="AH1735" s="67">
        <f t="shared" si="59"/>
        <v>30956.688</v>
      </c>
      <c r="AI1735" s="67">
        <f t="shared" si="17"/>
        <v>26686.8</v>
      </c>
      <c r="AJ1735" s="68">
        <f t="shared" si="66"/>
        <v>4269.888</v>
      </c>
      <c r="AK1735" s="68">
        <f t="shared" si="67"/>
        <v>30956.688</v>
      </c>
      <c r="AL1735" s="70"/>
      <c r="AM1735" s="70"/>
      <c r="AN1735" s="71"/>
      <c r="AO1735" s="71"/>
      <c r="AP1735" s="71"/>
      <c r="AQ1735" s="71"/>
      <c r="AR1735" s="71"/>
      <c r="AS1735" s="71"/>
      <c r="AT1735" s="71"/>
      <c r="AU1735" s="71"/>
      <c r="AV1735" s="71"/>
      <c r="AW1735" s="71"/>
      <c r="AX1735" s="71"/>
      <c r="AY1735" s="71"/>
      <c r="AZ1735" s="71"/>
      <c r="BA1735" s="71"/>
      <c r="BB1735" s="71"/>
      <c r="BC1735" s="71"/>
      <c r="BD1735" s="71"/>
      <c r="BE1735" s="71"/>
      <c r="BF1735" s="71"/>
      <c r="BG1735" s="71"/>
      <c r="BH1735" s="71"/>
      <c r="BI1735" s="71"/>
      <c r="BJ1735" s="71"/>
      <c r="BK1735" s="71"/>
      <c r="BL1735" s="71"/>
      <c r="BM1735" s="71"/>
      <c r="BN1735" s="71"/>
      <c r="BO1735" s="71"/>
      <c r="BP1735" s="71"/>
      <c r="BQ1735" s="71"/>
      <c r="BR1735" s="71"/>
      <c r="BS1735" s="71"/>
      <c r="BT1735" s="71"/>
      <c r="BU1735" s="71"/>
      <c r="BV1735" s="71"/>
    </row>
    <row r="1736">
      <c r="A1736" s="53"/>
      <c r="B1736" s="53">
        <v>3.0</v>
      </c>
      <c r="C1736" s="53" t="s">
        <v>36</v>
      </c>
      <c r="D1736" s="98" t="s">
        <v>4291</v>
      </c>
      <c r="E1736" s="54" t="s">
        <v>38</v>
      </c>
      <c r="F1736" s="55" t="s">
        <v>4105</v>
      </c>
      <c r="G1736" s="55" t="s">
        <v>4292</v>
      </c>
      <c r="H1736" s="55"/>
      <c r="I1736" s="54">
        <f t="shared" si="24"/>
        <v>0</v>
      </c>
      <c r="J1736" s="56"/>
      <c r="K1736" s="57"/>
      <c r="L1736" s="76"/>
      <c r="M1736" s="59"/>
      <c r="N1736" s="60"/>
      <c r="O1736" s="61">
        <v>40318.0</v>
      </c>
      <c r="P1736" s="62">
        <v>43543.44</v>
      </c>
      <c r="Q1736" s="63">
        <v>43543.44</v>
      </c>
      <c r="R1736" s="64">
        <v>48006.0</v>
      </c>
      <c r="S1736" s="107">
        <v>50406.0</v>
      </c>
      <c r="T1736" s="65">
        <f t="shared" si="39"/>
        <v>8064.96</v>
      </c>
      <c r="U1736" s="65">
        <f t="shared" si="40"/>
        <v>58470.96</v>
      </c>
      <c r="V1736" s="66">
        <f t="shared" si="68"/>
        <v>0.04999375078</v>
      </c>
      <c r="W1736" s="67">
        <f t="shared" si="5"/>
        <v>47885.7</v>
      </c>
      <c r="X1736" s="67">
        <f t="shared" si="61"/>
        <v>7661.712</v>
      </c>
      <c r="Y1736" s="67">
        <f t="shared" si="62"/>
        <v>55547.412</v>
      </c>
      <c r="Z1736" s="67">
        <f t="shared" si="8"/>
        <v>45365.4</v>
      </c>
      <c r="AA1736" s="67">
        <f t="shared" si="54"/>
        <v>7258.464</v>
      </c>
      <c r="AB1736" s="67">
        <f t="shared" si="55"/>
        <v>52623.864</v>
      </c>
      <c r="AC1736" s="67">
        <f t="shared" si="11"/>
        <v>45365.4</v>
      </c>
      <c r="AD1736" s="67">
        <f t="shared" si="56"/>
        <v>7258.464</v>
      </c>
      <c r="AE1736" s="67">
        <f t="shared" si="57"/>
        <v>52623.864</v>
      </c>
      <c r="AF1736" s="67">
        <f t="shared" si="33"/>
        <v>45365.4</v>
      </c>
      <c r="AG1736" s="67">
        <f t="shared" si="58"/>
        <v>7258.464</v>
      </c>
      <c r="AH1736" s="67">
        <f t="shared" si="59"/>
        <v>52623.864</v>
      </c>
      <c r="AI1736" s="67">
        <f t="shared" si="17"/>
        <v>45365.4</v>
      </c>
      <c r="AJ1736" s="68">
        <f t="shared" si="66"/>
        <v>7258.464</v>
      </c>
      <c r="AK1736" s="68">
        <f t="shared" si="67"/>
        <v>52623.864</v>
      </c>
      <c r="AL1736" s="70"/>
      <c r="AM1736" s="70"/>
      <c r="AN1736" s="71"/>
      <c r="AO1736" s="71"/>
      <c r="AP1736" s="71"/>
      <c r="AQ1736" s="71"/>
      <c r="AR1736" s="71"/>
      <c r="AS1736" s="71"/>
      <c r="AT1736" s="71"/>
      <c r="AU1736" s="71"/>
      <c r="AV1736" s="71"/>
      <c r="AW1736" s="71"/>
      <c r="AX1736" s="71"/>
      <c r="AY1736" s="71"/>
      <c r="AZ1736" s="71"/>
      <c r="BA1736" s="71"/>
      <c r="BB1736" s="71"/>
      <c r="BC1736" s="71"/>
      <c r="BD1736" s="71"/>
      <c r="BE1736" s="71"/>
      <c r="BF1736" s="71"/>
      <c r="BG1736" s="71"/>
      <c r="BH1736" s="71"/>
      <c r="BI1736" s="71"/>
      <c r="BJ1736" s="71"/>
      <c r="BK1736" s="71"/>
      <c r="BL1736" s="71"/>
      <c r="BM1736" s="71"/>
      <c r="BN1736" s="71"/>
      <c r="BO1736" s="71"/>
      <c r="BP1736" s="71"/>
      <c r="BQ1736" s="71"/>
      <c r="BR1736" s="71"/>
      <c r="BS1736" s="71"/>
      <c r="BT1736" s="71"/>
      <c r="BU1736" s="71"/>
      <c r="BV1736" s="71"/>
    </row>
    <row r="1737">
      <c r="A1737" s="53"/>
      <c r="B1737" s="53">
        <v>3.0</v>
      </c>
      <c r="C1737" s="53" t="s">
        <v>36</v>
      </c>
      <c r="D1737" s="98" t="s">
        <v>4293</v>
      </c>
      <c r="E1737" s="54" t="s">
        <v>38</v>
      </c>
      <c r="F1737" s="55" t="s">
        <v>4105</v>
      </c>
      <c r="G1737" s="55" t="s">
        <v>4294</v>
      </c>
      <c r="H1737" s="55"/>
      <c r="I1737" s="54">
        <f t="shared" si="24"/>
        <v>0</v>
      </c>
      <c r="J1737" s="56"/>
      <c r="K1737" s="57"/>
      <c r="L1737" s="76"/>
      <c r="M1737" s="59"/>
      <c r="N1737" s="60"/>
      <c r="O1737" s="61">
        <v>36768.0</v>
      </c>
      <c r="P1737" s="62">
        <v>39709.44</v>
      </c>
      <c r="Q1737" s="63">
        <v>39709.44</v>
      </c>
      <c r="R1737" s="64">
        <v>43779.0</v>
      </c>
      <c r="S1737" s="107">
        <v>45968.0</v>
      </c>
      <c r="T1737" s="65">
        <f t="shared" si="39"/>
        <v>7354.88</v>
      </c>
      <c r="U1737" s="65">
        <f t="shared" si="40"/>
        <v>53322.88</v>
      </c>
      <c r="V1737" s="66">
        <f t="shared" si="68"/>
        <v>0.0500011421</v>
      </c>
      <c r="W1737" s="67">
        <f t="shared" si="5"/>
        <v>43669.6</v>
      </c>
      <c r="X1737" s="67">
        <f t="shared" si="61"/>
        <v>6987.136</v>
      </c>
      <c r="Y1737" s="67">
        <f t="shared" si="62"/>
        <v>50656.736</v>
      </c>
      <c r="Z1737" s="67">
        <f t="shared" si="8"/>
        <v>41371.2</v>
      </c>
      <c r="AA1737" s="67">
        <f t="shared" si="54"/>
        <v>6619.392</v>
      </c>
      <c r="AB1737" s="67">
        <f t="shared" si="55"/>
        <v>47990.592</v>
      </c>
      <c r="AC1737" s="67">
        <f t="shared" si="11"/>
        <v>41371.2</v>
      </c>
      <c r="AD1737" s="67">
        <f t="shared" si="56"/>
        <v>6619.392</v>
      </c>
      <c r="AE1737" s="67">
        <f t="shared" si="57"/>
        <v>47990.592</v>
      </c>
      <c r="AF1737" s="67">
        <f t="shared" si="33"/>
        <v>41371.2</v>
      </c>
      <c r="AG1737" s="67">
        <f t="shared" si="58"/>
        <v>6619.392</v>
      </c>
      <c r="AH1737" s="67">
        <f t="shared" si="59"/>
        <v>47990.592</v>
      </c>
      <c r="AI1737" s="67">
        <f t="shared" si="17"/>
        <v>41371.2</v>
      </c>
      <c r="AJ1737" s="68">
        <f t="shared" si="66"/>
        <v>6619.392</v>
      </c>
      <c r="AK1737" s="68">
        <f t="shared" si="67"/>
        <v>47990.592</v>
      </c>
      <c r="AL1737" s="70"/>
      <c r="AM1737" s="70"/>
      <c r="AN1737" s="71"/>
      <c r="AO1737" s="71"/>
      <c r="AP1737" s="71"/>
      <c r="AQ1737" s="71"/>
      <c r="AR1737" s="71"/>
      <c r="AS1737" s="71"/>
      <c r="AT1737" s="71"/>
      <c r="AU1737" s="71"/>
      <c r="AV1737" s="71"/>
      <c r="AW1737" s="71"/>
      <c r="AX1737" s="71"/>
      <c r="AY1737" s="71"/>
      <c r="AZ1737" s="71"/>
      <c r="BA1737" s="71"/>
      <c r="BB1737" s="71"/>
      <c r="BC1737" s="71"/>
      <c r="BD1737" s="71"/>
      <c r="BE1737" s="71"/>
      <c r="BF1737" s="71"/>
      <c r="BG1737" s="71"/>
      <c r="BH1737" s="71"/>
      <c r="BI1737" s="71"/>
      <c r="BJ1737" s="71"/>
      <c r="BK1737" s="71"/>
      <c r="BL1737" s="71"/>
      <c r="BM1737" s="71"/>
      <c r="BN1737" s="71"/>
      <c r="BO1737" s="71"/>
      <c r="BP1737" s="71"/>
      <c r="BQ1737" s="71"/>
      <c r="BR1737" s="71"/>
      <c r="BS1737" s="71"/>
      <c r="BT1737" s="71"/>
      <c r="BU1737" s="71"/>
      <c r="BV1737" s="71"/>
    </row>
    <row r="1738">
      <c r="A1738" s="53"/>
      <c r="B1738" s="53">
        <v>3.0</v>
      </c>
      <c r="C1738" s="53" t="s">
        <v>36</v>
      </c>
      <c r="D1738" s="98" t="s">
        <v>4295</v>
      </c>
      <c r="E1738" s="54" t="s">
        <v>38</v>
      </c>
      <c r="F1738" s="55" t="s">
        <v>4105</v>
      </c>
      <c r="G1738" s="55" t="s">
        <v>4296</v>
      </c>
      <c r="H1738" s="55"/>
      <c r="I1738" s="54">
        <f t="shared" si="24"/>
        <v>0</v>
      </c>
      <c r="J1738" s="56"/>
      <c r="K1738" s="57"/>
      <c r="L1738" s="76"/>
      <c r="M1738" s="59"/>
      <c r="N1738" s="60"/>
      <c r="O1738" s="61">
        <v>25122.0</v>
      </c>
      <c r="P1738" s="62">
        <v>27131.760000000002</v>
      </c>
      <c r="Q1738" s="63">
        <v>27131.760000000002</v>
      </c>
      <c r="R1738" s="64">
        <v>29914.0</v>
      </c>
      <c r="S1738" s="107">
        <v>31410.0</v>
      </c>
      <c r="T1738" s="65">
        <f t="shared" si="39"/>
        <v>5025.6</v>
      </c>
      <c r="U1738" s="65">
        <f t="shared" si="40"/>
        <v>36435.6</v>
      </c>
      <c r="V1738" s="66">
        <f t="shared" si="68"/>
        <v>0.05001002875</v>
      </c>
      <c r="W1738" s="67">
        <f t="shared" si="5"/>
        <v>29839.5</v>
      </c>
      <c r="X1738" s="67">
        <f t="shared" si="61"/>
        <v>4774.32</v>
      </c>
      <c r="Y1738" s="67">
        <f t="shared" si="62"/>
        <v>34613.82</v>
      </c>
      <c r="Z1738" s="67">
        <f t="shared" si="8"/>
        <v>28269</v>
      </c>
      <c r="AA1738" s="67">
        <f t="shared" si="54"/>
        <v>4523.04</v>
      </c>
      <c r="AB1738" s="67">
        <f t="shared" si="55"/>
        <v>32792.04</v>
      </c>
      <c r="AC1738" s="67">
        <f t="shared" si="11"/>
        <v>28269</v>
      </c>
      <c r="AD1738" s="67">
        <f t="shared" si="56"/>
        <v>4523.04</v>
      </c>
      <c r="AE1738" s="67">
        <f t="shared" si="57"/>
        <v>32792.04</v>
      </c>
      <c r="AF1738" s="67">
        <f t="shared" si="33"/>
        <v>28269</v>
      </c>
      <c r="AG1738" s="67">
        <f t="shared" si="58"/>
        <v>4523.04</v>
      </c>
      <c r="AH1738" s="67">
        <f t="shared" si="59"/>
        <v>32792.04</v>
      </c>
      <c r="AI1738" s="67">
        <f t="shared" si="17"/>
        <v>28269</v>
      </c>
      <c r="AJ1738" s="68">
        <f t="shared" si="66"/>
        <v>4523.04</v>
      </c>
      <c r="AK1738" s="68">
        <f t="shared" si="67"/>
        <v>32792.04</v>
      </c>
      <c r="AL1738" s="70"/>
      <c r="AM1738" s="70"/>
      <c r="AN1738" s="71"/>
      <c r="AO1738" s="71"/>
      <c r="AP1738" s="71"/>
      <c r="AQ1738" s="71"/>
      <c r="AR1738" s="71"/>
      <c r="AS1738" s="71"/>
      <c r="AT1738" s="71"/>
      <c r="AU1738" s="71"/>
      <c r="AV1738" s="71"/>
      <c r="AW1738" s="71"/>
      <c r="AX1738" s="71"/>
      <c r="AY1738" s="71"/>
      <c r="AZ1738" s="71"/>
      <c r="BA1738" s="71"/>
      <c r="BB1738" s="71"/>
      <c r="BC1738" s="71"/>
      <c r="BD1738" s="71"/>
      <c r="BE1738" s="71"/>
      <c r="BF1738" s="71"/>
      <c r="BG1738" s="71"/>
      <c r="BH1738" s="71"/>
      <c r="BI1738" s="71"/>
      <c r="BJ1738" s="71"/>
      <c r="BK1738" s="71"/>
      <c r="BL1738" s="71"/>
      <c r="BM1738" s="71"/>
      <c r="BN1738" s="71"/>
      <c r="BO1738" s="71"/>
      <c r="BP1738" s="71"/>
      <c r="BQ1738" s="71"/>
      <c r="BR1738" s="71"/>
      <c r="BS1738" s="71"/>
      <c r="BT1738" s="71"/>
      <c r="BU1738" s="71"/>
      <c r="BV1738" s="71"/>
    </row>
    <row r="1739">
      <c r="A1739" s="53"/>
      <c r="B1739" s="53">
        <v>3.0</v>
      </c>
      <c r="C1739" s="53" t="s">
        <v>36</v>
      </c>
      <c r="D1739" s="85" t="s">
        <v>4297</v>
      </c>
      <c r="E1739" s="54" t="s">
        <v>38</v>
      </c>
      <c r="F1739" s="55" t="s">
        <v>4105</v>
      </c>
      <c r="G1739" s="55" t="s">
        <v>4298</v>
      </c>
      <c r="H1739" s="55"/>
      <c r="I1739" s="54">
        <f t="shared" si="24"/>
        <v>0</v>
      </c>
      <c r="J1739" s="56"/>
      <c r="K1739" s="57"/>
      <c r="L1739" s="76"/>
      <c r="M1739" s="59"/>
      <c r="N1739" s="60"/>
      <c r="O1739" s="61">
        <v>8668.0</v>
      </c>
      <c r="P1739" s="62">
        <v>9361.44</v>
      </c>
      <c r="Q1739" s="63">
        <v>9361.44</v>
      </c>
      <c r="R1739" s="64">
        <v>10321.0</v>
      </c>
      <c r="S1739" s="107">
        <v>10837.0</v>
      </c>
      <c r="T1739" s="65">
        <f t="shared" si="39"/>
        <v>1733.92</v>
      </c>
      <c r="U1739" s="65">
        <f t="shared" si="40"/>
        <v>12570.92</v>
      </c>
      <c r="V1739" s="66">
        <f t="shared" si="68"/>
        <v>0.04999515551</v>
      </c>
      <c r="W1739" s="67">
        <f t="shared" si="5"/>
        <v>10295.15</v>
      </c>
      <c r="X1739" s="67">
        <f t="shared" si="61"/>
        <v>1647.224</v>
      </c>
      <c r="Y1739" s="67">
        <f t="shared" si="62"/>
        <v>11942.374</v>
      </c>
      <c r="Z1739" s="67">
        <f t="shared" si="8"/>
        <v>9753.3</v>
      </c>
      <c r="AA1739" s="67">
        <f t="shared" si="54"/>
        <v>1560.528</v>
      </c>
      <c r="AB1739" s="67">
        <f t="shared" si="55"/>
        <v>11313.828</v>
      </c>
      <c r="AC1739" s="67">
        <f t="shared" si="11"/>
        <v>9753.3</v>
      </c>
      <c r="AD1739" s="67">
        <f t="shared" si="56"/>
        <v>1560.528</v>
      </c>
      <c r="AE1739" s="67">
        <f t="shared" si="57"/>
        <v>11313.828</v>
      </c>
      <c r="AF1739" s="67">
        <f t="shared" si="33"/>
        <v>9753.3</v>
      </c>
      <c r="AG1739" s="67">
        <f t="shared" si="58"/>
        <v>1560.528</v>
      </c>
      <c r="AH1739" s="67">
        <f t="shared" si="59"/>
        <v>11313.828</v>
      </c>
      <c r="AI1739" s="67">
        <f t="shared" si="17"/>
        <v>9753.3</v>
      </c>
      <c r="AJ1739" s="68">
        <f t="shared" si="66"/>
        <v>1560.528</v>
      </c>
      <c r="AK1739" s="68">
        <f t="shared" si="67"/>
        <v>11313.828</v>
      </c>
      <c r="AL1739" s="70"/>
      <c r="AM1739" s="70"/>
      <c r="AN1739" s="71"/>
      <c r="AO1739" s="71"/>
      <c r="AP1739" s="71"/>
      <c r="AQ1739" s="71"/>
      <c r="AR1739" s="71"/>
      <c r="AS1739" s="71"/>
      <c r="AT1739" s="71"/>
      <c r="AU1739" s="71"/>
      <c r="AV1739" s="71"/>
      <c r="AW1739" s="71"/>
      <c r="AX1739" s="71"/>
      <c r="AY1739" s="71"/>
      <c r="AZ1739" s="71"/>
      <c r="BA1739" s="71"/>
      <c r="BB1739" s="71"/>
      <c r="BC1739" s="71"/>
      <c r="BD1739" s="71"/>
      <c r="BE1739" s="71"/>
      <c r="BF1739" s="71"/>
      <c r="BG1739" s="71"/>
      <c r="BH1739" s="71"/>
      <c r="BI1739" s="71"/>
      <c r="BJ1739" s="71"/>
      <c r="BK1739" s="71"/>
      <c r="BL1739" s="71"/>
      <c r="BM1739" s="71"/>
      <c r="BN1739" s="71"/>
      <c r="BO1739" s="71"/>
      <c r="BP1739" s="71"/>
      <c r="BQ1739" s="71"/>
      <c r="BR1739" s="71"/>
      <c r="BS1739" s="71"/>
      <c r="BT1739" s="71"/>
      <c r="BU1739" s="71"/>
      <c r="BV1739" s="71"/>
    </row>
    <row r="1740">
      <c r="A1740" s="53"/>
      <c r="B1740" s="53">
        <v>3.0</v>
      </c>
      <c r="C1740" s="53" t="s">
        <v>36</v>
      </c>
      <c r="D1740" s="98" t="s">
        <v>4299</v>
      </c>
      <c r="E1740" s="54" t="s">
        <v>38</v>
      </c>
      <c r="F1740" s="55" t="s">
        <v>4105</v>
      </c>
      <c r="G1740" s="55" t="s">
        <v>4300</v>
      </c>
      <c r="H1740" s="55"/>
      <c r="I1740" s="54">
        <f t="shared" si="24"/>
        <v>0</v>
      </c>
      <c r="J1740" s="56"/>
      <c r="K1740" s="57"/>
      <c r="L1740" s="76"/>
      <c r="M1740" s="59"/>
      <c r="N1740" s="60"/>
      <c r="O1740" s="61">
        <v>7499.0</v>
      </c>
      <c r="P1740" s="62">
        <v>8098.920000000001</v>
      </c>
      <c r="Q1740" s="63">
        <v>8098.920000000001</v>
      </c>
      <c r="R1740" s="64">
        <v>8930.0</v>
      </c>
      <c r="S1740" s="107">
        <v>9377.0</v>
      </c>
      <c r="T1740" s="65">
        <f t="shared" si="39"/>
        <v>1500.32</v>
      </c>
      <c r="U1740" s="65">
        <f t="shared" si="40"/>
        <v>10877.32</v>
      </c>
      <c r="V1740" s="66">
        <f t="shared" si="68"/>
        <v>0.05005599104</v>
      </c>
      <c r="W1740" s="67">
        <f t="shared" si="5"/>
        <v>8908.15</v>
      </c>
      <c r="X1740" s="67">
        <f t="shared" si="61"/>
        <v>1425.304</v>
      </c>
      <c r="Y1740" s="67">
        <f t="shared" si="62"/>
        <v>10333.454</v>
      </c>
      <c r="Z1740" s="67">
        <f t="shared" si="8"/>
        <v>8439.3</v>
      </c>
      <c r="AA1740" s="67">
        <f t="shared" si="54"/>
        <v>1350.288</v>
      </c>
      <c r="AB1740" s="67">
        <f t="shared" si="55"/>
        <v>9789.588</v>
      </c>
      <c r="AC1740" s="67">
        <f t="shared" si="11"/>
        <v>8439.3</v>
      </c>
      <c r="AD1740" s="67">
        <f t="shared" si="56"/>
        <v>1350.288</v>
      </c>
      <c r="AE1740" s="67">
        <f t="shared" si="57"/>
        <v>9789.588</v>
      </c>
      <c r="AF1740" s="67">
        <f t="shared" si="33"/>
        <v>8439.3</v>
      </c>
      <c r="AG1740" s="67">
        <f t="shared" si="58"/>
        <v>1350.288</v>
      </c>
      <c r="AH1740" s="67">
        <f t="shared" si="59"/>
        <v>9789.588</v>
      </c>
      <c r="AI1740" s="67">
        <f t="shared" si="17"/>
        <v>8439.3</v>
      </c>
      <c r="AJ1740" s="68">
        <f t="shared" si="66"/>
        <v>1350.288</v>
      </c>
      <c r="AK1740" s="68">
        <f t="shared" si="67"/>
        <v>9789.588</v>
      </c>
      <c r="AL1740" s="70"/>
      <c r="AM1740" s="70"/>
      <c r="AN1740" s="71"/>
      <c r="AO1740" s="71"/>
      <c r="AP1740" s="71"/>
      <c r="AQ1740" s="71"/>
      <c r="AR1740" s="71"/>
      <c r="AS1740" s="71"/>
      <c r="AT1740" s="71"/>
      <c r="AU1740" s="71"/>
      <c r="AV1740" s="71"/>
      <c r="AW1740" s="71"/>
      <c r="AX1740" s="71"/>
      <c r="AY1740" s="71"/>
      <c r="AZ1740" s="71"/>
      <c r="BA1740" s="71"/>
      <c r="BB1740" s="71"/>
      <c r="BC1740" s="71"/>
      <c r="BD1740" s="71"/>
      <c r="BE1740" s="71"/>
      <c r="BF1740" s="71"/>
      <c r="BG1740" s="71"/>
      <c r="BH1740" s="71"/>
      <c r="BI1740" s="71"/>
      <c r="BJ1740" s="71"/>
      <c r="BK1740" s="71"/>
      <c r="BL1740" s="71"/>
      <c r="BM1740" s="71"/>
      <c r="BN1740" s="71"/>
      <c r="BO1740" s="71"/>
      <c r="BP1740" s="71"/>
      <c r="BQ1740" s="71"/>
      <c r="BR1740" s="71"/>
      <c r="BS1740" s="71"/>
      <c r="BT1740" s="71"/>
      <c r="BU1740" s="71"/>
      <c r="BV1740" s="71"/>
    </row>
    <row r="1741">
      <c r="A1741" s="53"/>
      <c r="B1741" s="53">
        <v>3.0</v>
      </c>
      <c r="C1741" s="53" t="s">
        <v>36</v>
      </c>
      <c r="D1741" s="98" t="s">
        <v>4301</v>
      </c>
      <c r="E1741" s="54" t="s">
        <v>38</v>
      </c>
      <c r="F1741" s="55" t="s">
        <v>4105</v>
      </c>
      <c r="G1741" s="55" t="s">
        <v>4302</v>
      </c>
      <c r="H1741" s="55"/>
      <c r="I1741" s="54">
        <f t="shared" si="24"/>
        <v>0</v>
      </c>
      <c r="J1741" s="56"/>
      <c r="K1741" s="57"/>
      <c r="L1741" s="76"/>
      <c r="M1741" s="59"/>
      <c r="N1741" s="60"/>
      <c r="O1741" s="61">
        <v>4815.0</v>
      </c>
      <c r="P1741" s="62">
        <v>5200.200000000001</v>
      </c>
      <c r="Q1741" s="63">
        <v>5200.200000000001</v>
      </c>
      <c r="R1741" s="64">
        <v>5733.0</v>
      </c>
      <c r="S1741" s="107">
        <v>6020.0</v>
      </c>
      <c r="T1741" s="65">
        <f t="shared" si="39"/>
        <v>963.2</v>
      </c>
      <c r="U1741" s="65">
        <f t="shared" si="40"/>
        <v>6983.2</v>
      </c>
      <c r="V1741" s="66">
        <f t="shared" si="68"/>
        <v>0.05006105006</v>
      </c>
      <c r="W1741" s="67">
        <f t="shared" si="5"/>
        <v>5719</v>
      </c>
      <c r="X1741" s="67">
        <f t="shared" si="61"/>
        <v>915.04</v>
      </c>
      <c r="Y1741" s="67">
        <f t="shared" si="62"/>
        <v>6634.04</v>
      </c>
      <c r="Z1741" s="67">
        <f t="shared" si="8"/>
        <v>5418</v>
      </c>
      <c r="AA1741" s="67">
        <f t="shared" si="54"/>
        <v>866.88</v>
      </c>
      <c r="AB1741" s="67">
        <f t="shared" si="55"/>
        <v>6284.88</v>
      </c>
      <c r="AC1741" s="67">
        <f t="shared" si="11"/>
        <v>5418</v>
      </c>
      <c r="AD1741" s="67">
        <f t="shared" si="56"/>
        <v>866.88</v>
      </c>
      <c r="AE1741" s="67">
        <f t="shared" si="57"/>
        <v>6284.88</v>
      </c>
      <c r="AF1741" s="67">
        <f t="shared" si="33"/>
        <v>5418</v>
      </c>
      <c r="AG1741" s="67">
        <f t="shared" si="58"/>
        <v>866.88</v>
      </c>
      <c r="AH1741" s="67">
        <f t="shared" si="59"/>
        <v>6284.88</v>
      </c>
      <c r="AI1741" s="67">
        <f t="shared" si="17"/>
        <v>5418</v>
      </c>
      <c r="AJ1741" s="68">
        <f t="shared" si="66"/>
        <v>866.88</v>
      </c>
      <c r="AK1741" s="68">
        <f t="shared" si="67"/>
        <v>6284.88</v>
      </c>
      <c r="AL1741" s="70"/>
      <c r="AM1741" s="70"/>
      <c r="AN1741" s="71"/>
      <c r="AO1741" s="71"/>
      <c r="AP1741" s="71"/>
      <c r="AQ1741" s="71"/>
      <c r="AR1741" s="71"/>
      <c r="AS1741" s="71"/>
      <c r="AT1741" s="71"/>
      <c r="AU1741" s="71"/>
      <c r="AV1741" s="71"/>
      <c r="AW1741" s="71"/>
      <c r="AX1741" s="71"/>
      <c r="AY1741" s="71"/>
      <c r="AZ1741" s="71"/>
      <c r="BA1741" s="71"/>
      <c r="BB1741" s="71"/>
      <c r="BC1741" s="71"/>
      <c r="BD1741" s="71"/>
      <c r="BE1741" s="71"/>
      <c r="BF1741" s="71"/>
      <c r="BG1741" s="71"/>
      <c r="BH1741" s="71"/>
      <c r="BI1741" s="71"/>
      <c r="BJ1741" s="71"/>
      <c r="BK1741" s="71"/>
      <c r="BL1741" s="71"/>
      <c r="BM1741" s="71"/>
      <c r="BN1741" s="71"/>
      <c r="BO1741" s="71"/>
      <c r="BP1741" s="71"/>
      <c r="BQ1741" s="71"/>
      <c r="BR1741" s="71"/>
      <c r="BS1741" s="71"/>
      <c r="BT1741" s="71"/>
      <c r="BU1741" s="71"/>
      <c r="BV1741" s="71"/>
    </row>
    <row r="1742">
      <c r="A1742" s="53"/>
      <c r="B1742" s="53"/>
      <c r="C1742" s="53"/>
      <c r="D1742" s="53" t="s">
        <v>4303</v>
      </c>
      <c r="E1742" s="55" t="s">
        <v>38</v>
      </c>
      <c r="F1742" s="89"/>
      <c r="G1742" s="84" t="s">
        <v>4304</v>
      </c>
      <c r="H1742" s="55"/>
      <c r="I1742" s="54">
        <f t="shared" si="24"/>
        <v>0</v>
      </c>
      <c r="J1742" s="56"/>
      <c r="K1742" s="57"/>
      <c r="L1742" s="55"/>
      <c r="M1742" s="59"/>
      <c r="N1742" s="60"/>
      <c r="O1742" s="90"/>
      <c r="P1742" s="62">
        <v>55633.0</v>
      </c>
      <c r="Q1742" s="63">
        <v>55633.0</v>
      </c>
      <c r="R1742" s="64">
        <v>61336.0</v>
      </c>
      <c r="S1742" s="111">
        <v>64403.0</v>
      </c>
      <c r="T1742" s="65">
        <f t="shared" si="39"/>
        <v>10304.48</v>
      </c>
      <c r="U1742" s="65">
        <f t="shared" si="40"/>
        <v>74707.48</v>
      </c>
      <c r="V1742" s="66">
        <f t="shared" si="68"/>
        <v>0.05000326073</v>
      </c>
      <c r="W1742" s="67">
        <f t="shared" si="5"/>
        <v>61182.85</v>
      </c>
      <c r="X1742" s="67">
        <f t="shared" si="61"/>
        <v>9789.256</v>
      </c>
      <c r="Y1742" s="67">
        <f t="shared" si="62"/>
        <v>70972.106</v>
      </c>
      <c r="Z1742" s="67">
        <f t="shared" si="8"/>
        <v>57962.7</v>
      </c>
      <c r="AA1742" s="67">
        <f t="shared" si="54"/>
        <v>9274.032</v>
      </c>
      <c r="AB1742" s="67">
        <f t="shared" si="55"/>
        <v>67236.732</v>
      </c>
      <c r="AC1742" s="67">
        <f t="shared" si="11"/>
        <v>54742.55</v>
      </c>
      <c r="AD1742" s="67">
        <f t="shared" si="56"/>
        <v>8758.808</v>
      </c>
      <c r="AE1742" s="67">
        <f t="shared" si="57"/>
        <v>63501.358</v>
      </c>
      <c r="AF1742" s="67">
        <f t="shared" si="33"/>
        <v>53454.49</v>
      </c>
      <c r="AG1742" s="67">
        <f t="shared" si="58"/>
        <v>8552.7184</v>
      </c>
      <c r="AH1742" s="67">
        <f t="shared" si="59"/>
        <v>62007.2084</v>
      </c>
      <c r="AI1742" s="67">
        <f t="shared" si="17"/>
        <v>51522.4</v>
      </c>
      <c r="AJ1742" s="68">
        <f t="shared" si="66"/>
        <v>8243.584</v>
      </c>
      <c r="AK1742" s="68">
        <f t="shared" si="67"/>
        <v>59765.984</v>
      </c>
      <c r="AL1742" s="70"/>
      <c r="AM1742" s="70"/>
      <c r="AN1742" s="71"/>
      <c r="AO1742" s="71"/>
      <c r="AP1742" s="71"/>
      <c r="AQ1742" s="71"/>
      <c r="AR1742" s="71"/>
      <c r="AS1742" s="71"/>
      <c r="AT1742" s="71"/>
      <c r="AU1742" s="71"/>
      <c r="AV1742" s="71"/>
      <c r="AW1742" s="71"/>
      <c r="AX1742" s="71"/>
      <c r="AY1742" s="71"/>
      <c r="AZ1742" s="71"/>
      <c r="BA1742" s="71"/>
      <c r="BB1742" s="71"/>
      <c r="BC1742" s="71"/>
      <c r="BD1742" s="71"/>
      <c r="BE1742" s="71"/>
      <c r="BF1742" s="71"/>
      <c r="BG1742" s="71"/>
      <c r="BH1742" s="71"/>
      <c r="BI1742" s="71"/>
      <c r="BJ1742" s="71"/>
      <c r="BK1742" s="71"/>
      <c r="BL1742" s="71"/>
      <c r="BM1742" s="71"/>
      <c r="BN1742" s="71"/>
      <c r="BO1742" s="71"/>
      <c r="BP1742" s="71"/>
      <c r="BQ1742" s="71"/>
      <c r="BR1742" s="71"/>
      <c r="BS1742" s="71"/>
      <c r="BT1742" s="71"/>
      <c r="BU1742" s="71"/>
      <c r="BV1742" s="71"/>
    </row>
    <row r="1743">
      <c r="A1743" s="53"/>
      <c r="B1743" s="53"/>
      <c r="C1743" s="53"/>
      <c r="D1743" s="53" t="s">
        <v>4305</v>
      </c>
      <c r="E1743" s="55" t="s">
        <v>38</v>
      </c>
      <c r="F1743" s="89"/>
      <c r="G1743" s="84" t="s">
        <v>4306</v>
      </c>
      <c r="H1743" s="55"/>
      <c r="I1743" s="54">
        <f t="shared" si="24"/>
        <v>0</v>
      </c>
      <c r="J1743" s="56"/>
      <c r="K1743" s="57"/>
      <c r="L1743" s="55"/>
      <c r="M1743" s="59"/>
      <c r="N1743" s="60"/>
      <c r="O1743" s="90"/>
      <c r="P1743" s="62">
        <v>106048.0</v>
      </c>
      <c r="Q1743" s="63">
        <v>106048.0</v>
      </c>
      <c r="R1743" s="64">
        <v>116918.0</v>
      </c>
      <c r="S1743" s="111">
        <v>122764.0</v>
      </c>
      <c r="T1743" s="65">
        <f t="shared" si="39"/>
        <v>19642.24</v>
      </c>
      <c r="U1743" s="65">
        <f t="shared" si="40"/>
        <v>142406.24</v>
      </c>
      <c r="V1743" s="66">
        <f t="shared" si="68"/>
        <v>0.0500008553</v>
      </c>
      <c r="W1743" s="67">
        <f t="shared" si="5"/>
        <v>116625.8</v>
      </c>
      <c r="X1743" s="67">
        <f t="shared" si="61"/>
        <v>18660.128</v>
      </c>
      <c r="Y1743" s="67">
        <f t="shared" si="62"/>
        <v>135285.928</v>
      </c>
      <c r="Z1743" s="67">
        <f t="shared" si="8"/>
        <v>110487.6</v>
      </c>
      <c r="AA1743" s="67">
        <f t="shared" si="54"/>
        <v>17678.016</v>
      </c>
      <c r="AB1743" s="67">
        <f t="shared" si="55"/>
        <v>128165.616</v>
      </c>
      <c r="AC1743" s="67">
        <f t="shared" si="11"/>
        <v>104349.4</v>
      </c>
      <c r="AD1743" s="67">
        <f t="shared" si="56"/>
        <v>16695.904</v>
      </c>
      <c r="AE1743" s="67">
        <f t="shared" si="57"/>
        <v>121045.304</v>
      </c>
      <c r="AF1743" s="67">
        <f t="shared" si="33"/>
        <v>101894.12</v>
      </c>
      <c r="AG1743" s="67">
        <f t="shared" si="58"/>
        <v>16303.0592</v>
      </c>
      <c r="AH1743" s="67">
        <f t="shared" si="59"/>
        <v>118197.1792</v>
      </c>
      <c r="AI1743" s="67">
        <f t="shared" si="17"/>
        <v>98211.2</v>
      </c>
      <c r="AJ1743" s="68">
        <f t="shared" si="66"/>
        <v>15713.792</v>
      </c>
      <c r="AK1743" s="68">
        <f t="shared" si="67"/>
        <v>113924.992</v>
      </c>
      <c r="AL1743" s="70"/>
      <c r="AM1743" s="70"/>
      <c r="AN1743" s="71"/>
      <c r="AO1743" s="71"/>
      <c r="AP1743" s="71"/>
      <c r="AQ1743" s="71"/>
      <c r="AR1743" s="71"/>
      <c r="AS1743" s="71"/>
      <c r="AT1743" s="71"/>
      <c r="AU1743" s="71"/>
      <c r="AV1743" s="71"/>
      <c r="AW1743" s="71"/>
      <c r="AX1743" s="71"/>
      <c r="AY1743" s="71"/>
      <c r="AZ1743" s="71"/>
      <c r="BA1743" s="71"/>
      <c r="BB1743" s="71"/>
      <c r="BC1743" s="71"/>
      <c r="BD1743" s="71"/>
      <c r="BE1743" s="71"/>
      <c r="BF1743" s="71"/>
      <c r="BG1743" s="71"/>
      <c r="BH1743" s="71"/>
      <c r="BI1743" s="71"/>
      <c r="BJ1743" s="71"/>
      <c r="BK1743" s="71"/>
      <c r="BL1743" s="71"/>
      <c r="BM1743" s="71"/>
      <c r="BN1743" s="71"/>
      <c r="BO1743" s="71"/>
      <c r="BP1743" s="71"/>
      <c r="BQ1743" s="71"/>
      <c r="BR1743" s="71"/>
      <c r="BS1743" s="71"/>
      <c r="BT1743" s="71"/>
      <c r="BU1743" s="71"/>
      <c r="BV1743" s="71"/>
    </row>
    <row r="1744">
      <c r="A1744" s="53"/>
      <c r="B1744" s="53">
        <v>3.0</v>
      </c>
      <c r="C1744" s="53" t="s">
        <v>36</v>
      </c>
      <c r="D1744" s="98" t="s">
        <v>4307</v>
      </c>
      <c r="E1744" s="54" t="s">
        <v>38</v>
      </c>
      <c r="F1744" s="55" t="s">
        <v>96</v>
      </c>
      <c r="G1744" s="81" t="s">
        <v>4308</v>
      </c>
      <c r="H1744" s="81"/>
      <c r="I1744" s="54">
        <f t="shared" si="24"/>
        <v>0</v>
      </c>
      <c r="J1744" s="99"/>
      <c r="K1744" s="99"/>
      <c r="L1744" s="76"/>
      <c r="M1744" s="59"/>
      <c r="N1744" s="60"/>
      <c r="O1744" s="100">
        <v>16313.0</v>
      </c>
      <c r="P1744" s="62">
        <v>17618.04</v>
      </c>
      <c r="Q1744" s="63">
        <v>17618.04</v>
      </c>
      <c r="R1744" s="64">
        <v>19424.0</v>
      </c>
      <c r="S1744" s="107">
        <v>20395.0</v>
      </c>
      <c r="T1744" s="65">
        <f t="shared" si="39"/>
        <v>3263.2</v>
      </c>
      <c r="U1744" s="65">
        <f t="shared" si="40"/>
        <v>23658.2</v>
      </c>
      <c r="V1744" s="66">
        <f t="shared" si="68"/>
        <v>0.04998970346</v>
      </c>
      <c r="W1744" s="67">
        <f t="shared" si="5"/>
        <v>19375.25</v>
      </c>
      <c r="X1744" s="67">
        <f t="shared" si="61"/>
        <v>3100.04</v>
      </c>
      <c r="Y1744" s="67">
        <f t="shared" si="62"/>
        <v>22475.29</v>
      </c>
      <c r="Z1744" s="67">
        <f t="shared" si="8"/>
        <v>18355.5</v>
      </c>
      <c r="AA1744" s="67">
        <f t="shared" si="54"/>
        <v>2936.88</v>
      </c>
      <c r="AB1744" s="67">
        <f t="shared" si="55"/>
        <v>21292.38</v>
      </c>
      <c r="AC1744" s="67">
        <f t="shared" si="11"/>
        <v>18355.5</v>
      </c>
      <c r="AD1744" s="67">
        <f t="shared" si="56"/>
        <v>2936.88</v>
      </c>
      <c r="AE1744" s="67">
        <f t="shared" si="57"/>
        <v>21292.38</v>
      </c>
      <c r="AF1744" s="67">
        <f t="shared" si="33"/>
        <v>18355.5</v>
      </c>
      <c r="AG1744" s="67">
        <f t="shared" si="58"/>
        <v>2936.88</v>
      </c>
      <c r="AH1744" s="67">
        <f t="shared" si="59"/>
        <v>21292.38</v>
      </c>
      <c r="AI1744" s="67">
        <f t="shared" si="17"/>
        <v>18355.5</v>
      </c>
      <c r="AJ1744" s="68">
        <f t="shared" si="66"/>
        <v>2936.88</v>
      </c>
      <c r="AK1744" s="68">
        <f t="shared" si="67"/>
        <v>21292.38</v>
      </c>
      <c r="AL1744" s="70"/>
      <c r="AM1744" s="70"/>
      <c r="AN1744" s="71"/>
      <c r="AO1744" s="71"/>
      <c r="AP1744" s="71"/>
      <c r="AQ1744" s="71"/>
      <c r="AR1744" s="71"/>
      <c r="AS1744" s="71"/>
      <c r="AT1744" s="71"/>
      <c r="AU1744" s="71"/>
      <c r="AV1744" s="71"/>
      <c r="AW1744" s="71"/>
      <c r="AX1744" s="71"/>
      <c r="AY1744" s="71"/>
      <c r="AZ1744" s="71"/>
      <c r="BA1744" s="71"/>
      <c r="BB1744" s="71"/>
      <c r="BC1744" s="71"/>
      <c r="BD1744" s="71"/>
      <c r="BE1744" s="71"/>
      <c r="BF1744" s="71"/>
      <c r="BG1744" s="71"/>
      <c r="BH1744" s="71"/>
      <c r="BI1744" s="71"/>
      <c r="BJ1744" s="71"/>
      <c r="BK1744" s="71"/>
      <c r="BL1744" s="71"/>
      <c r="BM1744" s="71"/>
      <c r="BN1744" s="71"/>
      <c r="BO1744" s="71"/>
      <c r="BP1744" s="71"/>
      <c r="BQ1744" s="71"/>
      <c r="BR1744" s="71"/>
      <c r="BS1744" s="71"/>
      <c r="BT1744" s="71"/>
      <c r="BU1744" s="71"/>
      <c r="BV1744" s="71"/>
    </row>
    <row r="1745">
      <c r="A1745" s="53"/>
      <c r="B1745" s="53">
        <v>3.0</v>
      </c>
      <c r="C1745" s="53" t="s">
        <v>36</v>
      </c>
      <c r="D1745" s="98" t="s">
        <v>4309</v>
      </c>
      <c r="E1745" s="54" t="s">
        <v>38</v>
      </c>
      <c r="F1745" s="55" t="s">
        <v>96</v>
      </c>
      <c r="G1745" s="81" t="s">
        <v>4310</v>
      </c>
      <c r="H1745" s="81"/>
      <c r="I1745" s="54">
        <f t="shared" si="24"/>
        <v>0</v>
      </c>
      <c r="J1745" s="99"/>
      <c r="K1745" s="99"/>
      <c r="L1745" s="76"/>
      <c r="M1745" s="59"/>
      <c r="N1745" s="60"/>
      <c r="O1745" s="100">
        <v>13245.0</v>
      </c>
      <c r="P1745" s="62">
        <v>14304.6</v>
      </c>
      <c r="Q1745" s="63">
        <v>14304.6</v>
      </c>
      <c r="R1745" s="64">
        <v>15771.0</v>
      </c>
      <c r="S1745" s="107">
        <v>16560.0</v>
      </c>
      <c r="T1745" s="65">
        <f t="shared" si="39"/>
        <v>2649.6</v>
      </c>
      <c r="U1745" s="65">
        <f t="shared" si="40"/>
        <v>19209.6</v>
      </c>
      <c r="V1745" s="66">
        <f t="shared" si="68"/>
        <v>0.05002853338</v>
      </c>
      <c r="W1745" s="67">
        <f t="shared" si="5"/>
        <v>15732</v>
      </c>
      <c r="X1745" s="67">
        <f t="shared" si="61"/>
        <v>2517.12</v>
      </c>
      <c r="Y1745" s="67">
        <f t="shared" si="62"/>
        <v>18249.12</v>
      </c>
      <c r="Z1745" s="67">
        <f t="shared" si="8"/>
        <v>14904</v>
      </c>
      <c r="AA1745" s="67">
        <f t="shared" si="54"/>
        <v>2384.64</v>
      </c>
      <c r="AB1745" s="67">
        <f t="shared" si="55"/>
        <v>17288.64</v>
      </c>
      <c r="AC1745" s="67">
        <f t="shared" si="11"/>
        <v>14904</v>
      </c>
      <c r="AD1745" s="67">
        <f t="shared" si="56"/>
        <v>2384.64</v>
      </c>
      <c r="AE1745" s="67">
        <f t="shared" si="57"/>
        <v>17288.64</v>
      </c>
      <c r="AF1745" s="67">
        <f t="shared" si="33"/>
        <v>14904</v>
      </c>
      <c r="AG1745" s="67">
        <f t="shared" si="58"/>
        <v>2384.64</v>
      </c>
      <c r="AH1745" s="67">
        <f t="shared" si="59"/>
        <v>17288.64</v>
      </c>
      <c r="AI1745" s="67">
        <f t="shared" si="17"/>
        <v>14904</v>
      </c>
      <c r="AJ1745" s="68">
        <f t="shared" si="66"/>
        <v>2384.64</v>
      </c>
      <c r="AK1745" s="68">
        <f t="shared" si="67"/>
        <v>17288.64</v>
      </c>
      <c r="AL1745" s="70"/>
      <c r="AM1745" s="70"/>
      <c r="AN1745" s="71"/>
      <c r="AO1745" s="71"/>
      <c r="AP1745" s="71"/>
      <c r="AQ1745" s="71"/>
      <c r="AR1745" s="71"/>
      <c r="AS1745" s="71"/>
      <c r="AT1745" s="71"/>
      <c r="AU1745" s="71"/>
      <c r="AV1745" s="71"/>
      <c r="AW1745" s="71"/>
      <c r="AX1745" s="71"/>
      <c r="AY1745" s="71"/>
      <c r="AZ1745" s="71"/>
      <c r="BA1745" s="71"/>
      <c r="BB1745" s="71"/>
      <c r="BC1745" s="71"/>
      <c r="BD1745" s="71"/>
      <c r="BE1745" s="71"/>
      <c r="BF1745" s="71"/>
      <c r="BG1745" s="71"/>
      <c r="BH1745" s="71"/>
      <c r="BI1745" s="71"/>
      <c r="BJ1745" s="71"/>
      <c r="BK1745" s="71"/>
      <c r="BL1745" s="71"/>
      <c r="BM1745" s="71"/>
      <c r="BN1745" s="71"/>
      <c r="BO1745" s="71"/>
      <c r="BP1745" s="71"/>
      <c r="BQ1745" s="71"/>
      <c r="BR1745" s="71"/>
      <c r="BS1745" s="71"/>
      <c r="BT1745" s="71"/>
      <c r="BU1745" s="71"/>
      <c r="BV1745" s="71"/>
    </row>
    <row r="1746">
      <c r="A1746" s="53"/>
      <c r="B1746" s="53">
        <v>3.0</v>
      </c>
      <c r="C1746" s="53" t="s">
        <v>36</v>
      </c>
      <c r="D1746" s="74" t="s">
        <v>4311</v>
      </c>
      <c r="E1746" s="54" t="s">
        <v>38</v>
      </c>
      <c r="F1746" s="55" t="s">
        <v>96</v>
      </c>
      <c r="G1746" s="81" t="s">
        <v>4312</v>
      </c>
      <c r="H1746" s="81"/>
      <c r="I1746" s="54">
        <f t="shared" si="24"/>
        <v>0</v>
      </c>
      <c r="J1746" s="99"/>
      <c r="K1746" s="99"/>
      <c r="L1746" s="76"/>
      <c r="M1746" s="59"/>
      <c r="N1746" s="60"/>
      <c r="O1746" s="100">
        <v>13956.0</v>
      </c>
      <c r="P1746" s="62">
        <v>15072.480000000001</v>
      </c>
      <c r="Q1746" s="63">
        <v>15072.480000000001</v>
      </c>
      <c r="R1746" s="64">
        <v>16618.0</v>
      </c>
      <c r="S1746" s="107">
        <v>17449.0</v>
      </c>
      <c r="T1746" s="65">
        <f t="shared" si="39"/>
        <v>2791.84</v>
      </c>
      <c r="U1746" s="65">
        <f t="shared" si="40"/>
        <v>20240.84</v>
      </c>
      <c r="V1746" s="66">
        <f t="shared" si="68"/>
        <v>0.05000601757</v>
      </c>
      <c r="W1746" s="67">
        <f t="shared" si="5"/>
        <v>16576.55</v>
      </c>
      <c r="X1746" s="67">
        <f t="shared" si="61"/>
        <v>2652.248</v>
      </c>
      <c r="Y1746" s="67">
        <f t="shared" si="62"/>
        <v>19228.798</v>
      </c>
      <c r="Z1746" s="67">
        <f t="shared" si="8"/>
        <v>15704.1</v>
      </c>
      <c r="AA1746" s="67">
        <f t="shared" si="54"/>
        <v>2512.656</v>
      </c>
      <c r="AB1746" s="67">
        <f t="shared" si="55"/>
        <v>18216.756</v>
      </c>
      <c r="AC1746" s="67">
        <f t="shared" si="11"/>
        <v>15704.1</v>
      </c>
      <c r="AD1746" s="67">
        <f t="shared" si="56"/>
        <v>2512.656</v>
      </c>
      <c r="AE1746" s="67">
        <f t="shared" si="57"/>
        <v>18216.756</v>
      </c>
      <c r="AF1746" s="67">
        <f t="shared" si="33"/>
        <v>15704.1</v>
      </c>
      <c r="AG1746" s="67">
        <f t="shared" si="58"/>
        <v>2512.656</v>
      </c>
      <c r="AH1746" s="67">
        <f t="shared" si="59"/>
        <v>18216.756</v>
      </c>
      <c r="AI1746" s="67">
        <f t="shared" si="17"/>
        <v>15704.1</v>
      </c>
      <c r="AJ1746" s="68">
        <f t="shared" si="66"/>
        <v>2512.656</v>
      </c>
      <c r="AK1746" s="68">
        <f t="shared" si="67"/>
        <v>18216.756</v>
      </c>
      <c r="AL1746" s="70"/>
      <c r="AM1746" s="70"/>
      <c r="AN1746" s="71"/>
      <c r="AO1746" s="71"/>
      <c r="AP1746" s="71"/>
      <c r="AQ1746" s="71"/>
      <c r="AR1746" s="71"/>
      <c r="AS1746" s="71"/>
      <c r="AT1746" s="71"/>
      <c r="AU1746" s="71"/>
      <c r="AV1746" s="71"/>
      <c r="AW1746" s="71"/>
      <c r="AX1746" s="71"/>
      <c r="AY1746" s="71"/>
      <c r="AZ1746" s="71"/>
      <c r="BA1746" s="71"/>
      <c r="BB1746" s="71"/>
      <c r="BC1746" s="71"/>
      <c r="BD1746" s="71"/>
      <c r="BE1746" s="71"/>
      <c r="BF1746" s="71"/>
      <c r="BG1746" s="71"/>
      <c r="BH1746" s="71"/>
      <c r="BI1746" s="71"/>
      <c r="BJ1746" s="71"/>
      <c r="BK1746" s="71"/>
      <c r="BL1746" s="71"/>
      <c r="BM1746" s="71"/>
      <c r="BN1746" s="71"/>
      <c r="BO1746" s="71"/>
      <c r="BP1746" s="71"/>
      <c r="BQ1746" s="71"/>
      <c r="BR1746" s="71"/>
      <c r="BS1746" s="71"/>
      <c r="BT1746" s="71"/>
      <c r="BU1746" s="71"/>
      <c r="BV1746" s="71"/>
    </row>
    <row r="1747">
      <c r="A1747" s="53"/>
      <c r="B1747" s="53">
        <v>3.0</v>
      </c>
      <c r="C1747" s="53" t="s">
        <v>36</v>
      </c>
      <c r="D1747" s="53" t="s">
        <v>4313</v>
      </c>
      <c r="E1747" s="54" t="s">
        <v>38</v>
      </c>
      <c r="F1747" s="55" t="s">
        <v>96</v>
      </c>
      <c r="G1747" s="84" t="s">
        <v>4314</v>
      </c>
      <c r="H1747" s="84"/>
      <c r="I1747" s="54">
        <f t="shared" si="24"/>
        <v>0</v>
      </c>
      <c r="J1747" s="102"/>
      <c r="K1747" s="102"/>
      <c r="L1747" s="76"/>
      <c r="M1747" s="59"/>
      <c r="N1747" s="60"/>
      <c r="O1747" s="100">
        <v>20150.0</v>
      </c>
      <c r="P1747" s="62">
        <v>21762.0</v>
      </c>
      <c r="Q1747" s="63">
        <v>21762.0</v>
      </c>
      <c r="R1747" s="64">
        <v>23993.0</v>
      </c>
      <c r="S1747" s="107">
        <v>25193.0</v>
      </c>
      <c r="T1747" s="65">
        <f t="shared" si="39"/>
        <v>4030.88</v>
      </c>
      <c r="U1747" s="65">
        <f t="shared" si="40"/>
        <v>29223.88</v>
      </c>
      <c r="V1747" s="66">
        <f t="shared" si="68"/>
        <v>0.05001458759</v>
      </c>
      <c r="W1747" s="67">
        <f t="shared" si="5"/>
        <v>23933.35</v>
      </c>
      <c r="X1747" s="67">
        <f t="shared" si="61"/>
        <v>3829.336</v>
      </c>
      <c r="Y1747" s="67">
        <f t="shared" si="62"/>
        <v>27762.686</v>
      </c>
      <c r="Z1747" s="67">
        <f t="shared" si="8"/>
        <v>22673.7</v>
      </c>
      <c r="AA1747" s="67">
        <f t="shared" si="54"/>
        <v>3627.792</v>
      </c>
      <c r="AB1747" s="67">
        <f t="shared" si="55"/>
        <v>26301.492</v>
      </c>
      <c r="AC1747" s="67">
        <f t="shared" si="11"/>
        <v>22673.7</v>
      </c>
      <c r="AD1747" s="67">
        <f t="shared" si="56"/>
        <v>3627.792</v>
      </c>
      <c r="AE1747" s="67">
        <f t="shared" si="57"/>
        <v>26301.492</v>
      </c>
      <c r="AF1747" s="67">
        <f t="shared" si="33"/>
        <v>22673.7</v>
      </c>
      <c r="AG1747" s="67">
        <f t="shared" si="58"/>
        <v>3627.792</v>
      </c>
      <c r="AH1747" s="67">
        <f t="shared" si="59"/>
        <v>26301.492</v>
      </c>
      <c r="AI1747" s="67">
        <f t="shared" si="17"/>
        <v>22673.7</v>
      </c>
      <c r="AJ1747" s="68">
        <f t="shared" si="66"/>
        <v>3627.792</v>
      </c>
      <c r="AK1747" s="68">
        <f t="shared" si="67"/>
        <v>26301.492</v>
      </c>
      <c r="AL1747" s="70"/>
      <c r="AM1747" s="70"/>
      <c r="AN1747" s="71"/>
      <c r="AO1747" s="71"/>
      <c r="AP1747" s="71"/>
      <c r="AQ1747" s="71"/>
      <c r="AR1747" s="71"/>
      <c r="AS1747" s="71"/>
      <c r="AT1747" s="71"/>
      <c r="AU1747" s="71"/>
      <c r="AV1747" s="71"/>
      <c r="AW1747" s="71"/>
      <c r="AX1747" s="71"/>
      <c r="AY1747" s="71"/>
      <c r="AZ1747" s="71"/>
      <c r="BA1747" s="71"/>
      <c r="BB1747" s="71"/>
      <c r="BC1747" s="71"/>
      <c r="BD1747" s="71"/>
      <c r="BE1747" s="71"/>
      <c r="BF1747" s="71"/>
      <c r="BG1747" s="71"/>
      <c r="BH1747" s="71"/>
      <c r="BI1747" s="71"/>
      <c r="BJ1747" s="71"/>
      <c r="BK1747" s="71"/>
      <c r="BL1747" s="71"/>
      <c r="BM1747" s="71"/>
      <c r="BN1747" s="71"/>
      <c r="BO1747" s="71"/>
      <c r="BP1747" s="71"/>
      <c r="BQ1747" s="71"/>
      <c r="BR1747" s="71"/>
      <c r="BS1747" s="71"/>
      <c r="BT1747" s="71"/>
      <c r="BU1747" s="71"/>
      <c r="BV1747" s="71"/>
    </row>
    <row r="1748">
      <c r="A1748" s="53"/>
      <c r="B1748" s="53">
        <v>3.0</v>
      </c>
      <c r="C1748" s="53" t="s">
        <v>36</v>
      </c>
      <c r="D1748" s="74" t="s">
        <v>4315</v>
      </c>
      <c r="E1748" s="54" t="s">
        <v>38</v>
      </c>
      <c r="F1748" s="55" t="s">
        <v>96</v>
      </c>
      <c r="G1748" s="81" t="s">
        <v>4316</v>
      </c>
      <c r="H1748" s="81"/>
      <c r="I1748" s="54">
        <f t="shared" si="24"/>
        <v>0</v>
      </c>
      <c r="J1748" s="99"/>
      <c r="K1748" s="99"/>
      <c r="L1748" s="76"/>
      <c r="M1748" s="59"/>
      <c r="N1748" s="60"/>
      <c r="O1748" s="100">
        <v>16581.0</v>
      </c>
      <c r="P1748" s="62">
        <v>17907.48</v>
      </c>
      <c r="Q1748" s="63">
        <v>17907.48</v>
      </c>
      <c r="R1748" s="64">
        <v>19743.0</v>
      </c>
      <c r="S1748" s="107">
        <v>20730.0</v>
      </c>
      <c r="T1748" s="65">
        <f t="shared" si="39"/>
        <v>3316.8</v>
      </c>
      <c r="U1748" s="65">
        <f t="shared" si="40"/>
        <v>24046.8</v>
      </c>
      <c r="V1748" s="66">
        <f t="shared" si="68"/>
        <v>0.04999240237</v>
      </c>
      <c r="W1748" s="67">
        <f t="shared" si="5"/>
        <v>19693.5</v>
      </c>
      <c r="X1748" s="67">
        <f t="shared" si="61"/>
        <v>3150.96</v>
      </c>
      <c r="Y1748" s="67">
        <f t="shared" si="62"/>
        <v>22844.46</v>
      </c>
      <c r="Z1748" s="67">
        <f t="shared" si="8"/>
        <v>18657</v>
      </c>
      <c r="AA1748" s="67">
        <f t="shared" si="54"/>
        <v>2985.12</v>
      </c>
      <c r="AB1748" s="67">
        <f t="shared" si="55"/>
        <v>21642.12</v>
      </c>
      <c r="AC1748" s="67">
        <f t="shared" si="11"/>
        <v>18657</v>
      </c>
      <c r="AD1748" s="67">
        <f t="shared" si="56"/>
        <v>2985.12</v>
      </c>
      <c r="AE1748" s="67">
        <f t="shared" si="57"/>
        <v>21642.12</v>
      </c>
      <c r="AF1748" s="67">
        <f t="shared" si="33"/>
        <v>18657</v>
      </c>
      <c r="AG1748" s="67">
        <f t="shared" si="58"/>
        <v>2985.12</v>
      </c>
      <c r="AH1748" s="67">
        <f t="shared" si="59"/>
        <v>21642.12</v>
      </c>
      <c r="AI1748" s="67">
        <f t="shared" si="17"/>
        <v>18657</v>
      </c>
      <c r="AJ1748" s="68">
        <f t="shared" si="66"/>
        <v>2985.12</v>
      </c>
      <c r="AK1748" s="68">
        <f t="shared" si="67"/>
        <v>21642.12</v>
      </c>
      <c r="AL1748" s="70"/>
      <c r="AM1748" s="70"/>
      <c r="AN1748" s="71"/>
      <c r="AO1748" s="71"/>
      <c r="AP1748" s="71"/>
      <c r="AQ1748" s="71"/>
      <c r="AR1748" s="71"/>
      <c r="AS1748" s="71"/>
      <c r="AT1748" s="71"/>
      <c r="AU1748" s="71"/>
      <c r="AV1748" s="71"/>
      <c r="AW1748" s="71"/>
      <c r="AX1748" s="71"/>
      <c r="AY1748" s="71"/>
      <c r="AZ1748" s="71"/>
      <c r="BA1748" s="71"/>
      <c r="BB1748" s="71"/>
      <c r="BC1748" s="71"/>
      <c r="BD1748" s="71"/>
      <c r="BE1748" s="71"/>
      <c r="BF1748" s="71"/>
      <c r="BG1748" s="71"/>
      <c r="BH1748" s="71"/>
      <c r="BI1748" s="71"/>
      <c r="BJ1748" s="71"/>
      <c r="BK1748" s="71"/>
      <c r="BL1748" s="71"/>
      <c r="BM1748" s="71"/>
      <c r="BN1748" s="71"/>
      <c r="BO1748" s="71"/>
      <c r="BP1748" s="71"/>
      <c r="BQ1748" s="71"/>
      <c r="BR1748" s="71"/>
      <c r="BS1748" s="71"/>
      <c r="BT1748" s="71"/>
      <c r="BU1748" s="71"/>
      <c r="BV1748" s="71"/>
    </row>
    <row r="1749">
      <c r="A1749" s="53"/>
      <c r="B1749" s="53">
        <v>3.0</v>
      </c>
      <c r="C1749" s="53" t="s">
        <v>36</v>
      </c>
      <c r="D1749" s="85" t="s">
        <v>4317</v>
      </c>
      <c r="E1749" s="54" t="s">
        <v>38</v>
      </c>
      <c r="F1749" s="55" t="s">
        <v>96</v>
      </c>
      <c r="G1749" s="81" t="s">
        <v>4318</v>
      </c>
      <c r="H1749" s="81"/>
      <c r="I1749" s="54">
        <f t="shared" si="24"/>
        <v>0</v>
      </c>
      <c r="J1749" s="99"/>
      <c r="K1749" s="99"/>
      <c r="L1749" s="76"/>
      <c r="M1749" s="59"/>
      <c r="N1749" s="60"/>
      <c r="O1749" s="100">
        <v>24875.0</v>
      </c>
      <c r="P1749" s="62">
        <v>26865.0</v>
      </c>
      <c r="Q1749" s="63">
        <v>26865.0</v>
      </c>
      <c r="R1749" s="64">
        <v>29619.0</v>
      </c>
      <c r="S1749" s="107">
        <v>31100.0</v>
      </c>
      <c r="T1749" s="65">
        <f t="shared" si="39"/>
        <v>4976</v>
      </c>
      <c r="U1749" s="65">
        <f t="shared" si="40"/>
        <v>36076</v>
      </c>
      <c r="V1749" s="66">
        <f t="shared" si="68"/>
        <v>0.05000168811</v>
      </c>
      <c r="W1749" s="67">
        <f t="shared" si="5"/>
        <v>29545</v>
      </c>
      <c r="X1749" s="67">
        <f t="shared" si="61"/>
        <v>4727.2</v>
      </c>
      <c r="Y1749" s="67">
        <f t="shared" si="62"/>
        <v>34272.2</v>
      </c>
      <c r="Z1749" s="67">
        <f t="shared" si="8"/>
        <v>27990</v>
      </c>
      <c r="AA1749" s="67">
        <f t="shared" si="54"/>
        <v>4478.4</v>
      </c>
      <c r="AB1749" s="67">
        <f t="shared" si="55"/>
        <v>32468.4</v>
      </c>
      <c r="AC1749" s="67">
        <f t="shared" si="11"/>
        <v>27990</v>
      </c>
      <c r="AD1749" s="67">
        <f t="shared" si="56"/>
        <v>4478.4</v>
      </c>
      <c r="AE1749" s="67">
        <f t="shared" si="57"/>
        <v>32468.4</v>
      </c>
      <c r="AF1749" s="67">
        <f t="shared" si="33"/>
        <v>27990</v>
      </c>
      <c r="AG1749" s="67">
        <f t="shared" si="58"/>
        <v>4478.4</v>
      </c>
      <c r="AH1749" s="67">
        <f t="shared" si="59"/>
        <v>32468.4</v>
      </c>
      <c r="AI1749" s="67">
        <f t="shared" si="17"/>
        <v>27990</v>
      </c>
      <c r="AJ1749" s="68">
        <f t="shared" si="66"/>
        <v>4478.4</v>
      </c>
      <c r="AK1749" s="68">
        <f t="shared" si="67"/>
        <v>32468.4</v>
      </c>
      <c r="AL1749" s="70"/>
      <c r="AM1749" s="70"/>
      <c r="AN1749" s="71"/>
      <c r="AO1749" s="71"/>
      <c r="AP1749" s="71"/>
      <c r="AQ1749" s="71"/>
      <c r="AR1749" s="71"/>
      <c r="AS1749" s="71"/>
      <c r="AT1749" s="71"/>
      <c r="AU1749" s="71"/>
      <c r="AV1749" s="71"/>
      <c r="AW1749" s="71"/>
      <c r="AX1749" s="71"/>
      <c r="AY1749" s="71"/>
      <c r="AZ1749" s="71"/>
      <c r="BA1749" s="71"/>
      <c r="BB1749" s="71"/>
      <c r="BC1749" s="71"/>
      <c r="BD1749" s="71"/>
      <c r="BE1749" s="71"/>
      <c r="BF1749" s="71"/>
      <c r="BG1749" s="71"/>
      <c r="BH1749" s="71"/>
      <c r="BI1749" s="71"/>
      <c r="BJ1749" s="71"/>
      <c r="BK1749" s="71"/>
      <c r="BL1749" s="71"/>
      <c r="BM1749" s="71"/>
      <c r="BN1749" s="71"/>
      <c r="BO1749" s="71"/>
      <c r="BP1749" s="71"/>
      <c r="BQ1749" s="71"/>
      <c r="BR1749" s="71"/>
      <c r="BS1749" s="71"/>
      <c r="BT1749" s="71"/>
      <c r="BU1749" s="71"/>
      <c r="BV1749" s="71"/>
    </row>
    <row r="1750">
      <c r="A1750" s="53"/>
      <c r="B1750" s="53"/>
      <c r="C1750" s="53"/>
      <c r="D1750" s="53" t="s">
        <v>4319</v>
      </c>
      <c r="E1750" s="55" t="s">
        <v>38</v>
      </c>
      <c r="F1750" s="91" t="s">
        <v>42</v>
      </c>
      <c r="G1750" s="84" t="s">
        <v>4320</v>
      </c>
      <c r="H1750" s="55"/>
      <c r="I1750" s="54">
        <f t="shared" si="24"/>
        <v>0</v>
      </c>
      <c r="J1750" s="56"/>
      <c r="K1750" s="57"/>
      <c r="L1750" s="76"/>
      <c r="M1750" s="59"/>
      <c r="N1750" s="60"/>
      <c r="O1750" s="90"/>
      <c r="P1750" s="62">
        <v>38817.79</v>
      </c>
      <c r="Q1750" s="63">
        <v>38817.79</v>
      </c>
      <c r="R1750" s="64">
        <v>40759.0</v>
      </c>
      <c r="S1750" s="111">
        <v>42797.0</v>
      </c>
      <c r="T1750" s="65">
        <f t="shared" si="39"/>
        <v>6847.52</v>
      </c>
      <c r="U1750" s="65">
        <f t="shared" si="40"/>
        <v>49644.52</v>
      </c>
      <c r="V1750" s="66">
        <f t="shared" si="68"/>
        <v>0.05000122672</v>
      </c>
      <c r="W1750" s="67">
        <f t="shared" si="5"/>
        <v>40657.15</v>
      </c>
      <c r="X1750" s="67">
        <f t="shared" si="61"/>
        <v>6505.144</v>
      </c>
      <c r="Y1750" s="67">
        <f t="shared" si="62"/>
        <v>47162.294</v>
      </c>
      <c r="Z1750" s="67">
        <f t="shared" si="8"/>
        <v>38517.3</v>
      </c>
      <c r="AA1750" s="67">
        <f t="shared" si="54"/>
        <v>6162.768</v>
      </c>
      <c r="AB1750" s="67">
        <f t="shared" si="55"/>
        <v>44680.068</v>
      </c>
      <c r="AC1750" s="67">
        <f t="shared" si="11"/>
        <v>36377.45</v>
      </c>
      <c r="AD1750" s="67">
        <f t="shared" si="56"/>
        <v>5820.392</v>
      </c>
      <c r="AE1750" s="67">
        <f t="shared" si="57"/>
        <v>42197.842</v>
      </c>
      <c r="AF1750" s="67">
        <f t="shared" si="33"/>
        <v>35521.51</v>
      </c>
      <c r="AG1750" s="67">
        <f t="shared" si="58"/>
        <v>5683.4416</v>
      </c>
      <c r="AH1750" s="67">
        <f t="shared" si="59"/>
        <v>41204.9516</v>
      </c>
      <c r="AI1750" s="67">
        <f t="shared" si="17"/>
        <v>34237.6</v>
      </c>
      <c r="AJ1750" s="68">
        <f t="shared" si="66"/>
        <v>5478.016</v>
      </c>
      <c r="AK1750" s="68">
        <f t="shared" si="67"/>
        <v>39715.616</v>
      </c>
      <c r="AL1750" s="70"/>
      <c r="AM1750" s="70"/>
      <c r="AN1750" s="71"/>
      <c r="AO1750" s="71"/>
      <c r="AP1750" s="71"/>
      <c r="AQ1750" s="71"/>
      <c r="AR1750" s="71"/>
      <c r="AS1750" s="71"/>
      <c r="AT1750" s="71"/>
      <c r="AU1750" s="71"/>
      <c r="AV1750" s="71"/>
      <c r="AW1750" s="71"/>
      <c r="AX1750" s="71"/>
      <c r="AY1750" s="71"/>
      <c r="AZ1750" s="71"/>
      <c r="BA1750" s="71"/>
      <c r="BB1750" s="71"/>
      <c r="BC1750" s="71"/>
      <c r="BD1750" s="71"/>
      <c r="BE1750" s="71"/>
      <c r="BF1750" s="71"/>
      <c r="BG1750" s="71"/>
      <c r="BH1750" s="71"/>
      <c r="BI1750" s="71"/>
      <c r="BJ1750" s="71"/>
      <c r="BK1750" s="71"/>
      <c r="BL1750" s="71"/>
      <c r="BM1750" s="71"/>
      <c r="BN1750" s="71"/>
      <c r="BO1750" s="71"/>
      <c r="BP1750" s="71"/>
      <c r="BQ1750" s="71"/>
      <c r="BR1750" s="71"/>
      <c r="BS1750" s="71"/>
      <c r="BT1750" s="71"/>
      <c r="BU1750" s="71"/>
      <c r="BV1750" s="71"/>
    </row>
    <row r="1751">
      <c r="A1751" s="53">
        <v>1.0</v>
      </c>
      <c r="B1751" s="72"/>
      <c r="C1751" s="73" t="s">
        <v>12</v>
      </c>
      <c r="D1751" s="74" t="s">
        <v>4321</v>
      </c>
      <c r="E1751" s="54" t="s">
        <v>38</v>
      </c>
      <c r="F1751" s="54" t="s">
        <v>42</v>
      </c>
      <c r="G1751" s="88" t="s">
        <v>4322</v>
      </c>
      <c r="H1751" s="54" t="s">
        <v>4322</v>
      </c>
      <c r="I1751" s="54">
        <f t="shared" si="24"/>
        <v>17</v>
      </c>
      <c r="J1751" s="56"/>
      <c r="K1751" s="57"/>
      <c r="L1751" s="87"/>
      <c r="M1751" s="59"/>
      <c r="N1751" s="60">
        <v>71.0</v>
      </c>
      <c r="O1751" s="61">
        <v>76.0</v>
      </c>
      <c r="P1751" s="62">
        <v>82.08000000000001</v>
      </c>
      <c r="Q1751" s="63">
        <v>82.08000000000001</v>
      </c>
      <c r="R1751" s="64">
        <v>92.0</v>
      </c>
      <c r="S1751" s="111">
        <v>97.0</v>
      </c>
      <c r="T1751" s="65">
        <f t="shared" si="39"/>
        <v>15.52</v>
      </c>
      <c r="U1751" s="65">
        <f t="shared" si="40"/>
        <v>112.52</v>
      </c>
      <c r="V1751" s="66">
        <f t="shared" si="68"/>
        <v>0.05434782609</v>
      </c>
      <c r="W1751" s="67">
        <f t="shared" si="5"/>
        <v>92.15</v>
      </c>
      <c r="X1751" s="67">
        <f t="shared" si="61"/>
        <v>14.744</v>
      </c>
      <c r="Y1751" s="67">
        <f t="shared" si="62"/>
        <v>106.894</v>
      </c>
      <c r="Z1751" s="67">
        <f t="shared" si="8"/>
        <v>87.3</v>
      </c>
      <c r="AA1751" s="67">
        <f t="shared" si="54"/>
        <v>13.968</v>
      </c>
      <c r="AB1751" s="67">
        <f t="shared" si="55"/>
        <v>101.268</v>
      </c>
      <c r="AC1751" s="67">
        <f t="shared" si="11"/>
        <v>82.45</v>
      </c>
      <c r="AD1751" s="67">
        <f t="shared" si="56"/>
        <v>13.192</v>
      </c>
      <c r="AE1751" s="67">
        <f t="shared" si="57"/>
        <v>95.642</v>
      </c>
      <c r="AF1751" s="67">
        <f t="shared" si="33"/>
        <v>80.51</v>
      </c>
      <c r="AG1751" s="67">
        <f t="shared" si="58"/>
        <v>12.8816</v>
      </c>
      <c r="AH1751" s="67">
        <f t="shared" si="59"/>
        <v>93.3916</v>
      </c>
      <c r="AI1751" s="67">
        <f t="shared" si="17"/>
        <v>77.6</v>
      </c>
      <c r="AJ1751" s="68">
        <f t="shared" si="66"/>
        <v>12.416</v>
      </c>
      <c r="AK1751" s="68">
        <f t="shared" si="67"/>
        <v>90.016</v>
      </c>
      <c r="AL1751" s="70"/>
      <c r="AM1751" s="70"/>
      <c r="AN1751" s="71"/>
      <c r="AO1751" s="71"/>
      <c r="AP1751" s="71"/>
      <c r="AQ1751" s="71"/>
      <c r="AR1751" s="71"/>
      <c r="AS1751" s="71"/>
      <c r="AT1751" s="71"/>
      <c r="AU1751" s="71"/>
      <c r="AV1751" s="71"/>
      <c r="AW1751" s="71"/>
      <c r="AX1751" s="71"/>
      <c r="AY1751" s="71"/>
      <c r="AZ1751" s="71"/>
      <c r="BA1751" s="71"/>
      <c r="BB1751" s="71"/>
      <c r="BC1751" s="71"/>
      <c r="BD1751" s="71"/>
      <c r="BE1751" s="71"/>
      <c r="BF1751" s="71"/>
      <c r="BG1751" s="71"/>
      <c r="BH1751" s="71"/>
      <c r="BI1751" s="71"/>
      <c r="BJ1751" s="71"/>
      <c r="BK1751" s="71"/>
      <c r="BL1751" s="71"/>
      <c r="BM1751" s="71"/>
      <c r="BN1751" s="71"/>
      <c r="BO1751" s="71"/>
      <c r="BP1751" s="71"/>
      <c r="BQ1751" s="71"/>
      <c r="BR1751" s="71"/>
      <c r="BS1751" s="71"/>
      <c r="BT1751" s="71"/>
      <c r="BU1751" s="71"/>
      <c r="BV1751" s="71"/>
    </row>
    <row r="1752">
      <c r="A1752" s="53"/>
      <c r="B1752" s="53"/>
      <c r="C1752" s="53" t="s">
        <v>12</v>
      </c>
      <c r="D1752" s="53" t="s">
        <v>4323</v>
      </c>
      <c r="E1752" s="54" t="s">
        <v>38</v>
      </c>
      <c r="F1752" s="55" t="s">
        <v>42</v>
      </c>
      <c r="G1752" s="55" t="s">
        <v>4324</v>
      </c>
      <c r="H1752" s="55" t="s">
        <v>4324</v>
      </c>
      <c r="I1752" s="54">
        <f t="shared" si="24"/>
        <v>31</v>
      </c>
      <c r="J1752" s="56"/>
      <c r="K1752" s="57"/>
      <c r="L1752" s="76"/>
      <c r="M1752" s="59"/>
      <c r="N1752" s="60"/>
      <c r="O1752" s="61">
        <v>5868.67</v>
      </c>
      <c r="P1752" s="62">
        <v>6660.0</v>
      </c>
      <c r="Q1752" s="63">
        <v>6660.0</v>
      </c>
      <c r="R1752" s="64">
        <v>6993.0</v>
      </c>
      <c r="S1752" s="111">
        <v>7343.0</v>
      </c>
      <c r="T1752" s="65">
        <f t="shared" si="39"/>
        <v>1174.88</v>
      </c>
      <c r="U1752" s="65">
        <f t="shared" si="40"/>
        <v>8517.88</v>
      </c>
      <c r="V1752" s="66">
        <f t="shared" si="68"/>
        <v>0.05005005005</v>
      </c>
      <c r="W1752" s="67">
        <f t="shared" si="5"/>
        <v>6975.85</v>
      </c>
      <c r="X1752" s="67">
        <f t="shared" si="61"/>
        <v>1116.136</v>
      </c>
      <c r="Y1752" s="67">
        <f t="shared" si="62"/>
        <v>8091.986</v>
      </c>
      <c r="Z1752" s="67">
        <f t="shared" si="8"/>
        <v>6608.7</v>
      </c>
      <c r="AA1752" s="67">
        <f t="shared" si="54"/>
        <v>1057.392</v>
      </c>
      <c r="AB1752" s="67">
        <f t="shared" si="55"/>
        <v>7666.092</v>
      </c>
      <c r="AC1752" s="67">
        <f t="shared" si="11"/>
        <v>6241.55</v>
      </c>
      <c r="AD1752" s="67">
        <f t="shared" si="56"/>
        <v>998.648</v>
      </c>
      <c r="AE1752" s="67">
        <f t="shared" si="57"/>
        <v>7240.198</v>
      </c>
      <c r="AF1752" s="67">
        <f t="shared" si="33"/>
        <v>6094.69</v>
      </c>
      <c r="AG1752" s="67">
        <f t="shared" si="58"/>
        <v>975.1504</v>
      </c>
      <c r="AH1752" s="67">
        <f t="shared" si="59"/>
        <v>7069.8404</v>
      </c>
      <c r="AI1752" s="67">
        <f t="shared" si="17"/>
        <v>5874.4</v>
      </c>
      <c r="AJ1752" s="68">
        <f t="shared" si="66"/>
        <v>939.904</v>
      </c>
      <c r="AK1752" s="68">
        <f t="shared" si="67"/>
        <v>6814.304</v>
      </c>
      <c r="AL1752" s="70"/>
      <c r="AM1752" s="70"/>
      <c r="AN1752" s="71"/>
      <c r="AO1752" s="71"/>
      <c r="AP1752" s="71"/>
      <c r="AQ1752" s="71"/>
      <c r="AR1752" s="71"/>
      <c r="AS1752" s="71"/>
      <c r="AT1752" s="71"/>
      <c r="AU1752" s="71"/>
      <c r="AV1752" s="71"/>
      <c r="AW1752" s="71"/>
      <c r="AX1752" s="71"/>
      <c r="AY1752" s="71"/>
      <c r="AZ1752" s="71"/>
      <c r="BA1752" s="71"/>
      <c r="BB1752" s="71"/>
      <c r="BC1752" s="71"/>
      <c r="BD1752" s="71"/>
      <c r="BE1752" s="71"/>
      <c r="BF1752" s="71"/>
      <c r="BG1752" s="71"/>
      <c r="BH1752" s="71"/>
      <c r="BI1752" s="71"/>
      <c r="BJ1752" s="71"/>
      <c r="BK1752" s="71"/>
      <c r="BL1752" s="71"/>
      <c r="BM1752" s="71"/>
      <c r="BN1752" s="71"/>
      <c r="BO1752" s="71"/>
      <c r="BP1752" s="71"/>
      <c r="BQ1752" s="71"/>
      <c r="BR1752" s="71"/>
      <c r="BS1752" s="71"/>
      <c r="BT1752" s="71"/>
      <c r="BU1752" s="71"/>
      <c r="BV1752" s="71"/>
    </row>
    <row r="1753">
      <c r="A1753" s="53"/>
      <c r="B1753" s="53"/>
      <c r="C1753" s="53" t="s">
        <v>12</v>
      </c>
      <c r="D1753" s="53" t="s">
        <v>4325</v>
      </c>
      <c r="E1753" s="54" t="s">
        <v>38</v>
      </c>
      <c r="F1753" s="55" t="s">
        <v>39</v>
      </c>
      <c r="G1753" s="55" t="s">
        <v>4326</v>
      </c>
      <c r="H1753" s="55" t="s">
        <v>4327</v>
      </c>
      <c r="I1753" s="54">
        <f t="shared" si="24"/>
        <v>21</v>
      </c>
      <c r="J1753" s="56"/>
      <c r="K1753" s="57"/>
      <c r="L1753" s="76"/>
      <c r="M1753" s="59"/>
      <c r="N1753" s="60"/>
      <c r="O1753" s="61">
        <v>7973.76</v>
      </c>
      <c r="P1753" s="62">
        <v>8611.660800000001</v>
      </c>
      <c r="Q1753" s="63">
        <v>8611.660800000001</v>
      </c>
      <c r="R1753" s="64">
        <v>9043.0</v>
      </c>
      <c r="S1753" s="111">
        <v>9495.0</v>
      </c>
      <c r="T1753" s="65">
        <f t="shared" si="39"/>
        <v>1519.2</v>
      </c>
      <c r="U1753" s="65">
        <f t="shared" si="40"/>
        <v>11014.2</v>
      </c>
      <c r="V1753" s="66">
        <f t="shared" si="68"/>
        <v>0.04998341258</v>
      </c>
      <c r="W1753" s="67">
        <f t="shared" si="5"/>
        <v>9020.25</v>
      </c>
      <c r="X1753" s="67">
        <f t="shared" si="61"/>
        <v>1443.24</v>
      </c>
      <c r="Y1753" s="67">
        <f t="shared" si="62"/>
        <v>10463.49</v>
      </c>
      <c r="Z1753" s="67">
        <f t="shared" si="8"/>
        <v>8545.5</v>
      </c>
      <c r="AA1753" s="67">
        <f t="shared" si="54"/>
        <v>1367.28</v>
      </c>
      <c r="AB1753" s="67">
        <f t="shared" si="55"/>
        <v>9912.78</v>
      </c>
      <c r="AC1753" s="67">
        <f t="shared" si="11"/>
        <v>8070.75</v>
      </c>
      <c r="AD1753" s="67">
        <f t="shared" si="56"/>
        <v>1291.32</v>
      </c>
      <c r="AE1753" s="67">
        <f t="shared" si="57"/>
        <v>9362.07</v>
      </c>
      <c r="AF1753" s="67">
        <f t="shared" si="33"/>
        <v>7880.85</v>
      </c>
      <c r="AG1753" s="67">
        <f t="shared" si="58"/>
        <v>1260.936</v>
      </c>
      <c r="AH1753" s="67">
        <f t="shared" si="59"/>
        <v>9141.786</v>
      </c>
      <c r="AI1753" s="67">
        <f t="shared" si="17"/>
        <v>7596</v>
      </c>
      <c r="AJ1753" s="68">
        <f t="shared" si="66"/>
        <v>1215.36</v>
      </c>
      <c r="AK1753" s="68">
        <f t="shared" si="67"/>
        <v>8811.36</v>
      </c>
      <c r="AL1753" s="70"/>
      <c r="AM1753" s="70"/>
      <c r="AN1753" s="71"/>
      <c r="AO1753" s="71"/>
      <c r="AP1753" s="71"/>
      <c r="AQ1753" s="71"/>
      <c r="AR1753" s="71"/>
      <c r="AS1753" s="71"/>
      <c r="AT1753" s="71"/>
      <c r="AU1753" s="71"/>
      <c r="AV1753" s="71"/>
      <c r="AW1753" s="71"/>
      <c r="AX1753" s="71"/>
      <c r="AY1753" s="71"/>
      <c r="AZ1753" s="71"/>
      <c r="BA1753" s="71"/>
      <c r="BB1753" s="71"/>
      <c r="BC1753" s="71"/>
      <c r="BD1753" s="71"/>
      <c r="BE1753" s="71"/>
      <c r="BF1753" s="71"/>
      <c r="BG1753" s="71"/>
      <c r="BH1753" s="71"/>
      <c r="BI1753" s="71"/>
      <c r="BJ1753" s="71"/>
      <c r="BK1753" s="71"/>
      <c r="BL1753" s="71"/>
      <c r="BM1753" s="71"/>
      <c r="BN1753" s="71"/>
      <c r="BO1753" s="71"/>
      <c r="BP1753" s="71"/>
      <c r="BQ1753" s="71"/>
      <c r="BR1753" s="71"/>
      <c r="BS1753" s="71"/>
      <c r="BT1753" s="71"/>
      <c r="BU1753" s="71"/>
      <c r="BV1753" s="71"/>
    </row>
    <row r="1754">
      <c r="A1754" s="53"/>
      <c r="B1754" s="53"/>
      <c r="C1754" s="53"/>
      <c r="D1754" s="53" t="s">
        <v>4328</v>
      </c>
      <c r="E1754" s="86" t="s">
        <v>38</v>
      </c>
      <c r="F1754" s="91" t="s">
        <v>42</v>
      </c>
      <c r="G1754" s="84" t="s">
        <v>4329</v>
      </c>
      <c r="H1754" s="84" t="s">
        <v>4329</v>
      </c>
      <c r="I1754" s="54">
        <f t="shared" si="24"/>
        <v>36</v>
      </c>
      <c r="J1754" s="56"/>
      <c r="K1754" s="57"/>
      <c r="L1754" s="76"/>
      <c r="M1754" s="59"/>
      <c r="N1754" s="60"/>
      <c r="O1754" s="90"/>
      <c r="P1754" s="62">
        <v>6930.0</v>
      </c>
      <c r="Q1754" s="63">
        <v>6930.0</v>
      </c>
      <c r="R1754" s="64">
        <v>7277.0</v>
      </c>
      <c r="S1754" s="111">
        <v>7641.0</v>
      </c>
      <c r="T1754" s="65">
        <f t="shared" si="39"/>
        <v>1222.56</v>
      </c>
      <c r="U1754" s="65">
        <f t="shared" si="40"/>
        <v>8863.56</v>
      </c>
      <c r="V1754" s="66"/>
      <c r="W1754" s="67">
        <f t="shared" si="5"/>
        <v>7258.95</v>
      </c>
      <c r="X1754" s="67"/>
      <c r="Y1754" s="67"/>
      <c r="Z1754" s="67">
        <f t="shared" si="8"/>
        <v>6876.9</v>
      </c>
      <c r="AA1754" s="67"/>
      <c r="AB1754" s="67"/>
      <c r="AC1754" s="67">
        <f t="shared" si="11"/>
        <v>6494.85</v>
      </c>
      <c r="AD1754" s="67"/>
      <c r="AE1754" s="67"/>
      <c r="AF1754" s="67">
        <f t="shared" si="33"/>
        <v>6342.03</v>
      </c>
      <c r="AG1754" s="67"/>
      <c r="AH1754" s="67"/>
      <c r="AI1754" s="67">
        <f t="shared" si="17"/>
        <v>6112.8</v>
      </c>
      <c r="AJ1754" s="68"/>
      <c r="AK1754" s="68"/>
      <c r="AL1754" s="70"/>
      <c r="AM1754" s="70"/>
      <c r="AN1754" s="71"/>
      <c r="AO1754" s="71"/>
      <c r="AP1754" s="71"/>
      <c r="AQ1754" s="71"/>
      <c r="AR1754" s="71"/>
      <c r="AS1754" s="71"/>
      <c r="AT1754" s="71"/>
      <c r="AU1754" s="71"/>
      <c r="AV1754" s="71"/>
      <c r="AW1754" s="71"/>
      <c r="AX1754" s="71"/>
      <c r="AY1754" s="71"/>
      <c r="AZ1754" s="71"/>
      <c r="BA1754" s="71"/>
      <c r="BB1754" s="71"/>
      <c r="BC1754" s="71"/>
      <c r="BD1754" s="71"/>
      <c r="BE1754" s="71"/>
      <c r="BF1754" s="71"/>
      <c r="BG1754" s="71"/>
      <c r="BH1754" s="71"/>
      <c r="BI1754" s="71"/>
      <c r="BJ1754" s="71"/>
      <c r="BK1754" s="71"/>
      <c r="BL1754" s="71"/>
      <c r="BM1754" s="71"/>
      <c r="BN1754" s="71"/>
      <c r="BO1754" s="71"/>
      <c r="BP1754" s="71"/>
      <c r="BQ1754" s="71"/>
      <c r="BR1754" s="71"/>
      <c r="BS1754" s="71"/>
      <c r="BT1754" s="71"/>
      <c r="BU1754" s="71"/>
      <c r="BV1754" s="71"/>
    </row>
    <row r="1755">
      <c r="A1755" s="53"/>
      <c r="B1755" s="53"/>
      <c r="C1755" s="53"/>
      <c r="D1755" s="53" t="s">
        <v>4330</v>
      </c>
      <c r="E1755" s="86" t="s">
        <v>38</v>
      </c>
      <c r="F1755" s="91" t="s">
        <v>42</v>
      </c>
      <c r="G1755" s="84" t="s">
        <v>4331</v>
      </c>
      <c r="H1755" s="84" t="s">
        <v>4331</v>
      </c>
      <c r="I1755" s="54">
        <f t="shared" si="24"/>
        <v>36</v>
      </c>
      <c r="J1755" s="56"/>
      <c r="K1755" s="57"/>
      <c r="L1755" s="76"/>
      <c r="M1755" s="59"/>
      <c r="N1755" s="60"/>
      <c r="O1755" s="90"/>
      <c r="P1755" s="62">
        <v>7470.0</v>
      </c>
      <c r="Q1755" s="63">
        <v>7470.0</v>
      </c>
      <c r="R1755" s="64">
        <v>7844.0</v>
      </c>
      <c r="S1755" s="111">
        <v>8236.0</v>
      </c>
      <c r="T1755" s="65">
        <f t="shared" si="39"/>
        <v>1317.76</v>
      </c>
      <c r="U1755" s="65">
        <f t="shared" si="40"/>
        <v>9553.76</v>
      </c>
      <c r="V1755" s="66"/>
      <c r="W1755" s="67">
        <f t="shared" si="5"/>
        <v>7824.2</v>
      </c>
      <c r="X1755" s="67"/>
      <c r="Y1755" s="67"/>
      <c r="Z1755" s="67">
        <f t="shared" si="8"/>
        <v>7412.4</v>
      </c>
      <c r="AA1755" s="67"/>
      <c r="AB1755" s="67"/>
      <c r="AC1755" s="67">
        <f t="shared" si="11"/>
        <v>7000.6</v>
      </c>
      <c r="AD1755" s="67"/>
      <c r="AE1755" s="67"/>
      <c r="AF1755" s="67">
        <f t="shared" si="33"/>
        <v>6835.88</v>
      </c>
      <c r="AG1755" s="67"/>
      <c r="AH1755" s="67"/>
      <c r="AI1755" s="67">
        <f t="shared" si="17"/>
        <v>6588.8</v>
      </c>
      <c r="AJ1755" s="68"/>
      <c r="AK1755" s="68"/>
      <c r="AL1755" s="70"/>
      <c r="AM1755" s="70"/>
      <c r="AN1755" s="71"/>
      <c r="AO1755" s="71"/>
      <c r="AP1755" s="71"/>
      <c r="AQ1755" s="71"/>
      <c r="AR1755" s="71"/>
      <c r="AS1755" s="71"/>
      <c r="AT1755" s="71"/>
      <c r="AU1755" s="71"/>
      <c r="AV1755" s="71"/>
      <c r="AW1755" s="71"/>
      <c r="AX1755" s="71"/>
      <c r="AY1755" s="71"/>
      <c r="AZ1755" s="71"/>
      <c r="BA1755" s="71"/>
      <c r="BB1755" s="71"/>
      <c r="BC1755" s="71"/>
      <c r="BD1755" s="71"/>
      <c r="BE1755" s="71"/>
      <c r="BF1755" s="71"/>
      <c r="BG1755" s="71"/>
      <c r="BH1755" s="71"/>
      <c r="BI1755" s="71"/>
      <c r="BJ1755" s="71"/>
      <c r="BK1755" s="71"/>
      <c r="BL1755" s="71"/>
      <c r="BM1755" s="71"/>
      <c r="BN1755" s="71"/>
      <c r="BO1755" s="71"/>
      <c r="BP1755" s="71"/>
      <c r="BQ1755" s="71"/>
      <c r="BR1755" s="71"/>
      <c r="BS1755" s="71"/>
      <c r="BT1755" s="71"/>
      <c r="BU1755" s="71"/>
      <c r="BV1755" s="71"/>
    </row>
    <row r="1756">
      <c r="A1756" s="53">
        <v>1.0</v>
      </c>
      <c r="B1756" s="72">
        <v>3.0</v>
      </c>
      <c r="C1756" s="73" t="s">
        <v>12</v>
      </c>
      <c r="D1756" s="74" t="s">
        <v>4332</v>
      </c>
      <c r="E1756" s="54" t="s">
        <v>38</v>
      </c>
      <c r="F1756" s="54" t="s">
        <v>42</v>
      </c>
      <c r="G1756" s="54" t="s">
        <v>4333</v>
      </c>
      <c r="H1756" s="54" t="s">
        <v>4334</v>
      </c>
      <c r="I1756" s="54">
        <f t="shared" si="24"/>
        <v>22</v>
      </c>
      <c r="J1756" s="56"/>
      <c r="K1756" s="57"/>
      <c r="L1756" s="76" t="s">
        <v>1869</v>
      </c>
      <c r="M1756" s="59"/>
      <c r="N1756" s="79">
        <v>2083.0</v>
      </c>
      <c r="O1756" s="61">
        <v>2920.0</v>
      </c>
      <c r="P1756" s="62">
        <v>3153.6000000000004</v>
      </c>
      <c r="Q1756" s="63">
        <v>3153.6000000000004</v>
      </c>
      <c r="R1756" s="64">
        <v>3312.0</v>
      </c>
      <c r="S1756" s="65">
        <v>3900.0</v>
      </c>
      <c r="T1756" s="65">
        <f t="shared" si="39"/>
        <v>624</v>
      </c>
      <c r="U1756" s="65">
        <f t="shared" si="40"/>
        <v>4524</v>
      </c>
      <c r="V1756" s="66">
        <f t="shared" ref="V1756:V1861" si="69">(S1756-R1756)/R1756</f>
        <v>0.1775362319</v>
      </c>
      <c r="W1756" s="67">
        <f t="shared" si="5"/>
        <v>3705</v>
      </c>
      <c r="X1756" s="67">
        <f t="shared" ref="X1756:X2086" si="70">W1756*0.16</f>
        <v>592.8</v>
      </c>
      <c r="Y1756" s="67">
        <f t="shared" ref="Y1756:Y2086" si="71">W1756+X1756</f>
        <v>4297.8</v>
      </c>
      <c r="Z1756" s="67">
        <f t="shared" si="8"/>
        <v>3510</v>
      </c>
      <c r="AA1756" s="67">
        <f t="shared" ref="AA1756:AA2086" si="72">Z1756*0.16</f>
        <v>561.6</v>
      </c>
      <c r="AB1756" s="67">
        <f t="shared" ref="AB1756:AB2086" si="73">Z1756+AA1756</f>
        <v>4071.6</v>
      </c>
      <c r="AC1756" s="67">
        <f t="shared" si="11"/>
        <v>3510</v>
      </c>
      <c r="AD1756" s="67">
        <f t="shared" ref="AD1756:AD2086" si="74">AC1756*0.16</f>
        <v>561.6</v>
      </c>
      <c r="AE1756" s="67">
        <f t="shared" ref="AE1756:AE2086" si="75">AC1756+AD1756</f>
        <v>4071.6</v>
      </c>
      <c r="AF1756" s="67">
        <f t="shared" si="33"/>
        <v>3510</v>
      </c>
      <c r="AG1756" s="67">
        <f t="shared" ref="AG1756:AG2086" si="76">AF1756*0.16</f>
        <v>561.6</v>
      </c>
      <c r="AH1756" s="67">
        <f t="shared" ref="AH1756:AH2086" si="77">AF1756+AG1756</f>
        <v>4071.6</v>
      </c>
      <c r="AI1756" s="67">
        <f t="shared" si="17"/>
        <v>3510</v>
      </c>
      <c r="AJ1756" s="68">
        <f t="shared" ref="AJ1756:AJ2124" si="78">AI1756*0.16</f>
        <v>561.6</v>
      </c>
      <c r="AK1756" s="68">
        <f t="shared" ref="AK1756:AK2124" si="79">AI1756+AJ1756</f>
        <v>4071.6</v>
      </c>
      <c r="AL1756" s="70"/>
      <c r="AM1756" s="70"/>
      <c r="AN1756" s="71"/>
      <c r="AO1756" s="71"/>
      <c r="AP1756" s="71"/>
      <c r="AQ1756" s="71"/>
      <c r="AR1756" s="71"/>
      <c r="AS1756" s="71"/>
      <c r="AT1756" s="71"/>
      <c r="AU1756" s="71"/>
      <c r="AV1756" s="71"/>
      <c r="AW1756" s="71"/>
      <c r="AX1756" s="71"/>
      <c r="AY1756" s="71"/>
      <c r="AZ1756" s="71"/>
      <c r="BA1756" s="71"/>
      <c r="BB1756" s="71"/>
      <c r="BC1756" s="71"/>
      <c r="BD1756" s="71"/>
      <c r="BE1756" s="71"/>
      <c r="BF1756" s="71"/>
      <c r="BG1756" s="71"/>
      <c r="BH1756" s="71"/>
      <c r="BI1756" s="71"/>
      <c r="BJ1756" s="71"/>
      <c r="BK1756" s="71"/>
      <c r="BL1756" s="71"/>
      <c r="BM1756" s="71"/>
      <c r="BN1756" s="71"/>
      <c r="BO1756" s="71"/>
      <c r="BP1756" s="71"/>
      <c r="BQ1756" s="71"/>
      <c r="BR1756" s="71"/>
      <c r="BS1756" s="71"/>
      <c r="BT1756" s="71"/>
      <c r="BU1756" s="71"/>
      <c r="BV1756" s="71"/>
    </row>
    <row r="1757">
      <c r="A1757" s="53"/>
      <c r="B1757" s="72">
        <v>3.0</v>
      </c>
      <c r="C1757" s="73" t="s">
        <v>12</v>
      </c>
      <c r="D1757" s="74" t="s">
        <v>4335</v>
      </c>
      <c r="E1757" s="54" t="s">
        <v>38</v>
      </c>
      <c r="F1757" s="54" t="s">
        <v>42</v>
      </c>
      <c r="G1757" s="54" t="s">
        <v>4336</v>
      </c>
      <c r="H1757" s="54" t="s">
        <v>4337</v>
      </c>
      <c r="I1757" s="54">
        <f t="shared" si="24"/>
        <v>32</v>
      </c>
      <c r="J1757" s="56"/>
      <c r="K1757" s="57"/>
      <c r="L1757" s="76"/>
      <c r="M1757" s="59"/>
      <c r="N1757" s="60">
        <v>2461.0</v>
      </c>
      <c r="O1757" s="61">
        <v>3209.0</v>
      </c>
      <c r="P1757" s="62">
        <v>3465.7200000000003</v>
      </c>
      <c r="Q1757" s="63">
        <v>3465.7200000000003</v>
      </c>
      <c r="R1757" s="64">
        <v>3640.0</v>
      </c>
      <c r="S1757" s="111">
        <v>3822.0</v>
      </c>
      <c r="T1757" s="65">
        <f t="shared" si="39"/>
        <v>611.52</v>
      </c>
      <c r="U1757" s="65">
        <f t="shared" si="40"/>
        <v>4433.52</v>
      </c>
      <c r="V1757" s="66">
        <f t="shared" si="69"/>
        <v>0.05</v>
      </c>
      <c r="W1757" s="67">
        <f t="shared" si="5"/>
        <v>3630.9</v>
      </c>
      <c r="X1757" s="67">
        <f t="shared" si="70"/>
        <v>580.944</v>
      </c>
      <c r="Y1757" s="67">
        <f t="shared" si="71"/>
        <v>4211.844</v>
      </c>
      <c r="Z1757" s="67">
        <f t="shared" si="8"/>
        <v>3439.8</v>
      </c>
      <c r="AA1757" s="67">
        <f t="shared" si="72"/>
        <v>550.368</v>
      </c>
      <c r="AB1757" s="67">
        <f t="shared" si="73"/>
        <v>3990.168</v>
      </c>
      <c r="AC1757" s="67">
        <f t="shared" si="11"/>
        <v>3439.8</v>
      </c>
      <c r="AD1757" s="67">
        <f t="shared" si="74"/>
        <v>550.368</v>
      </c>
      <c r="AE1757" s="67">
        <f t="shared" si="75"/>
        <v>3990.168</v>
      </c>
      <c r="AF1757" s="67">
        <f t="shared" si="33"/>
        <v>3439.8</v>
      </c>
      <c r="AG1757" s="67">
        <f t="shared" si="76"/>
        <v>550.368</v>
      </c>
      <c r="AH1757" s="67">
        <f t="shared" si="77"/>
        <v>3990.168</v>
      </c>
      <c r="AI1757" s="67">
        <f t="shared" si="17"/>
        <v>3439.8</v>
      </c>
      <c r="AJ1757" s="68">
        <f t="shared" si="78"/>
        <v>550.368</v>
      </c>
      <c r="AK1757" s="68">
        <f t="shared" si="79"/>
        <v>3990.168</v>
      </c>
      <c r="AL1757" s="70"/>
      <c r="AM1757" s="70"/>
      <c r="AN1757" s="71"/>
      <c r="AO1757" s="71"/>
      <c r="AP1757" s="71"/>
      <c r="AQ1757" s="71"/>
      <c r="AR1757" s="71"/>
      <c r="AS1757" s="71"/>
      <c r="AT1757" s="71"/>
      <c r="AU1757" s="71"/>
      <c r="AV1757" s="71"/>
      <c r="AW1757" s="71"/>
      <c r="AX1757" s="71"/>
      <c r="AY1757" s="71"/>
      <c r="AZ1757" s="71"/>
      <c r="BA1757" s="71"/>
      <c r="BB1757" s="71"/>
      <c r="BC1757" s="71"/>
      <c r="BD1757" s="71"/>
      <c r="BE1757" s="71"/>
      <c r="BF1757" s="71"/>
      <c r="BG1757" s="71"/>
      <c r="BH1757" s="71"/>
      <c r="BI1757" s="71"/>
      <c r="BJ1757" s="71"/>
      <c r="BK1757" s="71"/>
      <c r="BL1757" s="71"/>
      <c r="BM1757" s="71"/>
      <c r="BN1757" s="71"/>
      <c r="BO1757" s="71"/>
      <c r="BP1757" s="71"/>
      <c r="BQ1757" s="71"/>
      <c r="BR1757" s="71"/>
      <c r="BS1757" s="71"/>
      <c r="BT1757" s="71"/>
      <c r="BU1757" s="71"/>
      <c r="BV1757" s="71"/>
    </row>
    <row r="1758">
      <c r="A1758" s="53">
        <v>1.0</v>
      </c>
      <c r="B1758" s="72">
        <v>3.0</v>
      </c>
      <c r="C1758" s="73" t="s">
        <v>12</v>
      </c>
      <c r="D1758" s="74" t="s">
        <v>4338</v>
      </c>
      <c r="E1758" s="54" t="s">
        <v>38</v>
      </c>
      <c r="F1758" s="54" t="s">
        <v>42</v>
      </c>
      <c r="G1758" s="54" t="s">
        <v>4339</v>
      </c>
      <c r="H1758" s="54" t="s">
        <v>4340</v>
      </c>
      <c r="I1758" s="54">
        <f t="shared" si="24"/>
        <v>24</v>
      </c>
      <c r="J1758" s="56"/>
      <c r="K1758" s="57"/>
      <c r="L1758" s="76" t="s">
        <v>1869</v>
      </c>
      <c r="M1758" s="59"/>
      <c r="N1758" s="79">
        <v>1712.0</v>
      </c>
      <c r="O1758" s="61">
        <v>2399.0</v>
      </c>
      <c r="P1758" s="62">
        <v>2590.92</v>
      </c>
      <c r="Q1758" s="63">
        <v>2590.92</v>
      </c>
      <c r="R1758" s="64">
        <v>2721.0</v>
      </c>
      <c r="S1758" s="65">
        <v>3200.0</v>
      </c>
      <c r="T1758" s="65">
        <f t="shared" si="39"/>
        <v>512</v>
      </c>
      <c r="U1758" s="65">
        <f t="shared" si="40"/>
        <v>3712</v>
      </c>
      <c r="V1758" s="66">
        <f t="shared" si="69"/>
        <v>0.1760382212</v>
      </c>
      <c r="W1758" s="67">
        <f t="shared" si="5"/>
        <v>3040</v>
      </c>
      <c r="X1758" s="67">
        <f t="shared" si="70"/>
        <v>486.4</v>
      </c>
      <c r="Y1758" s="67">
        <f t="shared" si="71"/>
        <v>3526.4</v>
      </c>
      <c r="Z1758" s="67">
        <f t="shared" si="8"/>
        <v>2880</v>
      </c>
      <c r="AA1758" s="67">
        <f t="shared" si="72"/>
        <v>460.8</v>
      </c>
      <c r="AB1758" s="67">
        <f t="shared" si="73"/>
        <v>3340.8</v>
      </c>
      <c r="AC1758" s="67">
        <f t="shared" si="11"/>
        <v>2880</v>
      </c>
      <c r="AD1758" s="67">
        <f t="shared" si="74"/>
        <v>460.8</v>
      </c>
      <c r="AE1758" s="67">
        <f t="shared" si="75"/>
        <v>3340.8</v>
      </c>
      <c r="AF1758" s="67">
        <f t="shared" si="33"/>
        <v>2880</v>
      </c>
      <c r="AG1758" s="67">
        <f t="shared" si="76"/>
        <v>460.8</v>
      </c>
      <c r="AH1758" s="67">
        <f t="shared" si="77"/>
        <v>3340.8</v>
      </c>
      <c r="AI1758" s="67">
        <f t="shared" si="17"/>
        <v>2880</v>
      </c>
      <c r="AJ1758" s="68">
        <f t="shared" si="78"/>
        <v>460.8</v>
      </c>
      <c r="AK1758" s="68">
        <f t="shared" si="79"/>
        <v>3340.8</v>
      </c>
      <c r="AL1758" s="70"/>
      <c r="AM1758" s="70"/>
      <c r="AN1758" s="71"/>
      <c r="AO1758" s="71"/>
      <c r="AP1758" s="71"/>
      <c r="AQ1758" s="71"/>
      <c r="AR1758" s="71"/>
      <c r="AS1758" s="71"/>
      <c r="AT1758" s="71"/>
      <c r="AU1758" s="71"/>
      <c r="AV1758" s="71"/>
      <c r="AW1758" s="71"/>
      <c r="AX1758" s="71"/>
      <c r="AY1758" s="71"/>
      <c r="AZ1758" s="71"/>
      <c r="BA1758" s="71"/>
      <c r="BB1758" s="71"/>
      <c r="BC1758" s="71"/>
      <c r="BD1758" s="71"/>
      <c r="BE1758" s="71"/>
      <c r="BF1758" s="71"/>
      <c r="BG1758" s="71"/>
      <c r="BH1758" s="71"/>
      <c r="BI1758" s="71"/>
      <c r="BJ1758" s="71"/>
      <c r="BK1758" s="71"/>
      <c r="BL1758" s="71"/>
      <c r="BM1758" s="71"/>
      <c r="BN1758" s="71"/>
      <c r="BO1758" s="71"/>
      <c r="BP1758" s="71"/>
      <c r="BQ1758" s="71"/>
      <c r="BR1758" s="71"/>
      <c r="BS1758" s="71"/>
      <c r="BT1758" s="71"/>
      <c r="BU1758" s="71"/>
      <c r="BV1758" s="71"/>
    </row>
    <row r="1759">
      <c r="A1759" s="53">
        <v>1.0</v>
      </c>
      <c r="B1759" s="72">
        <v>3.0</v>
      </c>
      <c r="C1759" s="73" t="s">
        <v>12</v>
      </c>
      <c r="D1759" s="74" t="s">
        <v>4341</v>
      </c>
      <c r="E1759" s="54" t="s">
        <v>38</v>
      </c>
      <c r="F1759" s="54" t="s">
        <v>42</v>
      </c>
      <c r="G1759" s="54" t="s">
        <v>4342</v>
      </c>
      <c r="H1759" s="54" t="s">
        <v>4343</v>
      </c>
      <c r="I1759" s="54">
        <f t="shared" si="24"/>
        <v>24</v>
      </c>
      <c r="J1759" s="56"/>
      <c r="K1759" s="57"/>
      <c r="L1759" s="76" t="s">
        <v>1869</v>
      </c>
      <c r="M1759" s="59"/>
      <c r="N1759" s="79">
        <v>1543.0</v>
      </c>
      <c r="O1759" s="61">
        <v>2162.0</v>
      </c>
      <c r="P1759" s="62">
        <v>2334.96</v>
      </c>
      <c r="Q1759" s="63">
        <v>2334.96</v>
      </c>
      <c r="R1759" s="64">
        <v>2452.0</v>
      </c>
      <c r="S1759" s="65">
        <v>2900.0</v>
      </c>
      <c r="T1759" s="65">
        <f t="shared" si="39"/>
        <v>464</v>
      </c>
      <c r="U1759" s="65">
        <f t="shared" si="40"/>
        <v>3364</v>
      </c>
      <c r="V1759" s="66">
        <f t="shared" si="69"/>
        <v>0.1827079935</v>
      </c>
      <c r="W1759" s="67">
        <f t="shared" si="5"/>
        <v>2755</v>
      </c>
      <c r="X1759" s="67">
        <f t="shared" si="70"/>
        <v>440.8</v>
      </c>
      <c r="Y1759" s="67">
        <f t="shared" si="71"/>
        <v>3195.8</v>
      </c>
      <c r="Z1759" s="67">
        <f t="shared" si="8"/>
        <v>2610</v>
      </c>
      <c r="AA1759" s="67">
        <f t="shared" si="72"/>
        <v>417.6</v>
      </c>
      <c r="AB1759" s="67">
        <f t="shared" si="73"/>
        <v>3027.6</v>
      </c>
      <c r="AC1759" s="67">
        <f t="shared" si="11"/>
        <v>2610</v>
      </c>
      <c r="AD1759" s="67">
        <f t="shared" si="74"/>
        <v>417.6</v>
      </c>
      <c r="AE1759" s="67">
        <f t="shared" si="75"/>
        <v>3027.6</v>
      </c>
      <c r="AF1759" s="67">
        <f t="shared" si="33"/>
        <v>2610</v>
      </c>
      <c r="AG1759" s="67">
        <f t="shared" si="76"/>
        <v>417.6</v>
      </c>
      <c r="AH1759" s="67">
        <f t="shared" si="77"/>
        <v>3027.6</v>
      </c>
      <c r="AI1759" s="67">
        <f t="shared" si="17"/>
        <v>2610</v>
      </c>
      <c r="AJ1759" s="68">
        <f t="shared" si="78"/>
        <v>417.6</v>
      </c>
      <c r="AK1759" s="68">
        <f t="shared" si="79"/>
        <v>3027.6</v>
      </c>
      <c r="AL1759" s="70"/>
      <c r="AM1759" s="70"/>
      <c r="AN1759" s="71"/>
      <c r="AO1759" s="71"/>
      <c r="AP1759" s="71"/>
      <c r="AQ1759" s="71"/>
      <c r="AR1759" s="71"/>
      <c r="AS1759" s="71"/>
      <c r="AT1759" s="71"/>
      <c r="AU1759" s="71"/>
      <c r="AV1759" s="71"/>
      <c r="AW1759" s="71"/>
      <c r="AX1759" s="71"/>
      <c r="AY1759" s="71"/>
      <c r="AZ1759" s="71"/>
      <c r="BA1759" s="71"/>
      <c r="BB1759" s="71"/>
      <c r="BC1759" s="71"/>
      <c r="BD1759" s="71"/>
      <c r="BE1759" s="71"/>
      <c r="BF1759" s="71"/>
      <c r="BG1759" s="71"/>
      <c r="BH1759" s="71"/>
      <c r="BI1759" s="71"/>
      <c r="BJ1759" s="71"/>
      <c r="BK1759" s="71"/>
      <c r="BL1759" s="71"/>
      <c r="BM1759" s="71"/>
      <c r="BN1759" s="71"/>
      <c r="BO1759" s="71"/>
      <c r="BP1759" s="71"/>
      <c r="BQ1759" s="71"/>
      <c r="BR1759" s="71"/>
      <c r="BS1759" s="71"/>
      <c r="BT1759" s="71"/>
      <c r="BU1759" s="71"/>
      <c r="BV1759" s="71"/>
    </row>
    <row r="1760">
      <c r="A1760" s="53">
        <v>1.0</v>
      </c>
      <c r="B1760" s="72">
        <v>3.0</v>
      </c>
      <c r="C1760" s="73" t="s">
        <v>12</v>
      </c>
      <c r="D1760" s="74" t="s">
        <v>4344</v>
      </c>
      <c r="E1760" s="54" t="s">
        <v>38</v>
      </c>
      <c r="F1760" s="54" t="s">
        <v>42</v>
      </c>
      <c r="G1760" s="54" t="s">
        <v>4345</v>
      </c>
      <c r="H1760" s="54" t="s">
        <v>4346</v>
      </c>
      <c r="I1760" s="54">
        <f t="shared" si="24"/>
        <v>23</v>
      </c>
      <c r="J1760" s="56"/>
      <c r="K1760" s="57"/>
      <c r="L1760" s="76" t="s">
        <v>1869</v>
      </c>
      <c r="M1760" s="59"/>
      <c r="N1760" s="79">
        <v>17483.0</v>
      </c>
      <c r="O1760" s="61">
        <v>23549.0</v>
      </c>
      <c r="P1760" s="62">
        <v>25432.920000000002</v>
      </c>
      <c r="Q1760" s="63">
        <v>25432.920000000002</v>
      </c>
      <c r="R1760" s="64">
        <v>26705.0</v>
      </c>
      <c r="S1760" s="65">
        <v>32700.0</v>
      </c>
      <c r="T1760" s="65">
        <f t="shared" si="39"/>
        <v>5232</v>
      </c>
      <c r="U1760" s="65">
        <f t="shared" si="40"/>
        <v>37932</v>
      </c>
      <c r="V1760" s="66">
        <f t="shared" si="69"/>
        <v>0.2244897959</v>
      </c>
      <c r="W1760" s="67">
        <f t="shared" si="5"/>
        <v>31065</v>
      </c>
      <c r="X1760" s="67">
        <f t="shared" si="70"/>
        <v>4970.4</v>
      </c>
      <c r="Y1760" s="67">
        <f t="shared" si="71"/>
        <v>36035.4</v>
      </c>
      <c r="Z1760" s="67">
        <f t="shared" si="8"/>
        <v>29430</v>
      </c>
      <c r="AA1760" s="67">
        <f t="shared" si="72"/>
        <v>4708.8</v>
      </c>
      <c r="AB1760" s="67">
        <f t="shared" si="73"/>
        <v>34138.8</v>
      </c>
      <c r="AC1760" s="67">
        <f t="shared" si="11"/>
        <v>29430</v>
      </c>
      <c r="AD1760" s="67">
        <f t="shared" si="74"/>
        <v>4708.8</v>
      </c>
      <c r="AE1760" s="67">
        <f t="shared" si="75"/>
        <v>34138.8</v>
      </c>
      <c r="AF1760" s="67">
        <f t="shared" si="33"/>
        <v>29430</v>
      </c>
      <c r="AG1760" s="67">
        <f t="shared" si="76"/>
        <v>4708.8</v>
      </c>
      <c r="AH1760" s="67">
        <f t="shared" si="77"/>
        <v>34138.8</v>
      </c>
      <c r="AI1760" s="67">
        <f t="shared" si="17"/>
        <v>29430</v>
      </c>
      <c r="AJ1760" s="68">
        <f t="shared" si="78"/>
        <v>4708.8</v>
      </c>
      <c r="AK1760" s="68">
        <f t="shared" si="79"/>
        <v>34138.8</v>
      </c>
      <c r="AL1760" s="70"/>
      <c r="AM1760" s="70"/>
      <c r="AN1760" s="71"/>
      <c r="AO1760" s="71"/>
      <c r="AP1760" s="71"/>
      <c r="AQ1760" s="71"/>
      <c r="AR1760" s="71"/>
      <c r="AS1760" s="71"/>
      <c r="AT1760" s="71"/>
      <c r="AU1760" s="71"/>
      <c r="AV1760" s="71"/>
      <c r="AW1760" s="71"/>
      <c r="AX1760" s="71"/>
      <c r="AY1760" s="71"/>
      <c r="AZ1760" s="71"/>
      <c r="BA1760" s="71"/>
      <c r="BB1760" s="71"/>
      <c r="BC1760" s="71"/>
      <c r="BD1760" s="71"/>
      <c r="BE1760" s="71"/>
      <c r="BF1760" s="71"/>
      <c r="BG1760" s="71"/>
      <c r="BH1760" s="71"/>
      <c r="BI1760" s="71"/>
      <c r="BJ1760" s="71"/>
      <c r="BK1760" s="71"/>
      <c r="BL1760" s="71"/>
      <c r="BM1760" s="71"/>
      <c r="BN1760" s="71"/>
      <c r="BO1760" s="71"/>
      <c r="BP1760" s="71"/>
      <c r="BQ1760" s="71"/>
      <c r="BR1760" s="71"/>
      <c r="BS1760" s="71"/>
      <c r="BT1760" s="71"/>
      <c r="BU1760" s="71"/>
      <c r="BV1760" s="71"/>
    </row>
    <row r="1761">
      <c r="A1761" s="53">
        <v>1.0</v>
      </c>
      <c r="B1761" s="72">
        <v>3.0</v>
      </c>
      <c r="C1761" s="73" t="s">
        <v>12</v>
      </c>
      <c r="D1761" s="53" t="s">
        <v>4347</v>
      </c>
      <c r="E1761" s="54" t="s">
        <v>38</v>
      </c>
      <c r="F1761" s="54" t="s">
        <v>42</v>
      </c>
      <c r="G1761" s="54" t="s">
        <v>4348</v>
      </c>
      <c r="H1761" s="54" t="s">
        <v>4349</v>
      </c>
      <c r="I1761" s="54">
        <f t="shared" si="24"/>
        <v>22</v>
      </c>
      <c r="J1761" s="56"/>
      <c r="K1761" s="57"/>
      <c r="L1761" s="76" t="s">
        <v>1869</v>
      </c>
      <c r="M1761" s="59"/>
      <c r="N1761" s="79">
        <v>5328.0</v>
      </c>
      <c r="O1761" s="61">
        <v>7468.0</v>
      </c>
      <c r="P1761" s="62">
        <v>8065.4400000000005</v>
      </c>
      <c r="Q1761" s="63">
        <v>8065.4400000000005</v>
      </c>
      <c r="R1761" s="64">
        <v>8469.0</v>
      </c>
      <c r="S1761" s="65">
        <v>4300.0</v>
      </c>
      <c r="T1761" s="65">
        <f t="shared" si="39"/>
        <v>688</v>
      </c>
      <c r="U1761" s="65">
        <f t="shared" si="40"/>
        <v>4988</v>
      </c>
      <c r="V1761" s="66">
        <f t="shared" si="69"/>
        <v>-0.492265911</v>
      </c>
      <c r="W1761" s="67">
        <f t="shared" si="5"/>
        <v>4085</v>
      </c>
      <c r="X1761" s="67">
        <f t="shared" si="70"/>
        <v>653.6</v>
      </c>
      <c r="Y1761" s="67">
        <f t="shared" si="71"/>
        <v>4738.6</v>
      </c>
      <c r="Z1761" s="67">
        <f t="shared" si="8"/>
        <v>3870</v>
      </c>
      <c r="AA1761" s="67">
        <f t="shared" si="72"/>
        <v>619.2</v>
      </c>
      <c r="AB1761" s="67">
        <f t="shared" si="73"/>
        <v>4489.2</v>
      </c>
      <c r="AC1761" s="67">
        <f t="shared" si="11"/>
        <v>3870</v>
      </c>
      <c r="AD1761" s="67">
        <f t="shared" si="74"/>
        <v>619.2</v>
      </c>
      <c r="AE1761" s="67">
        <f t="shared" si="75"/>
        <v>4489.2</v>
      </c>
      <c r="AF1761" s="67">
        <f t="shared" si="33"/>
        <v>3870</v>
      </c>
      <c r="AG1761" s="67">
        <f t="shared" si="76"/>
        <v>619.2</v>
      </c>
      <c r="AH1761" s="67">
        <f t="shared" si="77"/>
        <v>4489.2</v>
      </c>
      <c r="AI1761" s="67">
        <f t="shared" si="17"/>
        <v>3870</v>
      </c>
      <c r="AJ1761" s="68">
        <f t="shared" si="78"/>
        <v>619.2</v>
      </c>
      <c r="AK1761" s="68">
        <f t="shared" si="79"/>
        <v>4489.2</v>
      </c>
      <c r="AL1761" s="70"/>
      <c r="AM1761" s="70"/>
      <c r="AN1761" s="71"/>
      <c r="AO1761" s="71"/>
      <c r="AP1761" s="71"/>
      <c r="AQ1761" s="71"/>
      <c r="AR1761" s="71"/>
      <c r="AS1761" s="71"/>
      <c r="AT1761" s="71"/>
      <c r="AU1761" s="71"/>
      <c r="AV1761" s="71"/>
      <c r="AW1761" s="71"/>
      <c r="AX1761" s="71"/>
      <c r="AY1761" s="71"/>
      <c r="AZ1761" s="71"/>
      <c r="BA1761" s="71"/>
      <c r="BB1761" s="71"/>
      <c r="BC1761" s="71"/>
      <c r="BD1761" s="71"/>
      <c r="BE1761" s="71"/>
      <c r="BF1761" s="71"/>
      <c r="BG1761" s="71"/>
      <c r="BH1761" s="71"/>
      <c r="BI1761" s="71"/>
      <c r="BJ1761" s="71"/>
      <c r="BK1761" s="71"/>
      <c r="BL1761" s="71"/>
      <c r="BM1761" s="71"/>
      <c r="BN1761" s="71"/>
      <c r="BO1761" s="71"/>
      <c r="BP1761" s="71"/>
      <c r="BQ1761" s="71"/>
      <c r="BR1761" s="71"/>
      <c r="BS1761" s="71"/>
      <c r="BT1761" s="71"/>
      <c r="BU1761" s="71"/>
      <c r="BV1761" s="71"/>
    </row>
    <row r="1762">
      <c r="A1762" s="53"/>
      <c r="B1762" s="72">
        <v>3.0</v>
      </c>
      <c r="C1762" s="73" t="s">
        <v>12</v>
      </c>
      <c r="D1762" s="74" t="s">
        <v>4350</v>
      </c>
      <c r="E1762" s="54" t="s">
        <v>38</v>
      </c>
      <c r="F1762" s="54" t="s">
        <v>42</v>
      </c>
      <c r="G1762" s="54" t="s">
        <v>4351</v>
      </c>
      <c r="H1762" s="54" t="s">
        <v>4351</v>
      </c>
      <c r="I1762" s="54">
        <f t="shared" si="24"/>
        <v>36</v>
      </c>
      <c r="J1762" s="56"/>
      <c r="K1762" s="57"/>
      <c r="L1762" s="76"/>
      <c r="M1762" s="59"/>
      <c r="N1762" s="60">
        <v>3532.0</v>
      </c>
      <c r="O1762" s="61">
        <v>4423.0</v>
      </c>
      <c r="P1762" s="62">
        <v>4776.84</v>
      </c>
      <c r="Q1762" s="63">
        <v>4776.84</v>
      </c>
      <c r="R1762" s="64">
        <v>5016.0</v>
      </c>
      <c r="S1762" s="111">
        <v>5267.0</v>
      </c>
      <c r="T1762" s="65">
        <f t="shared" si="39"/>
        <v>842.72</v>
      </c>
      <c r="U1762" s="65">
        <f t="shared" si="40"/>
        <v>6109.72</v>
      </c>
      <c r="V1762" s="66">
        <f t="shared" si="69"/>
        <v>0.05003987241</v>
      </c>
      <c r="W1762" s="67">
        <f t="shared" si="5"/>
        <v>5003.65</v>
      </c>
      <c r="X1762" s="67">
        <f t="shared" si="70"/>
        <v>800.584</v>
      </c>
      <c r="Y1762" s="67">
        <f t="shared" si="71"/>
        <v>5804.234</v>
      </c>
      <c r="Z1762" s="67">
        <f t="shared" si="8"/>
        <v>4740.3</v>
      </c>
      <c r="AA1762" s="67">
        <f t="shared" si="72"/>
        <v>758.448</v>
      </c>
      <c r="AB1762" s="67">
        <f t="shared" si="73"/>
        <v>5498.748</v>
      </c>
      <c r="AC1762" s="67">
        <f t="shared" si="11"/>
        <v>4740.3</v>
      </c>
      <c r="AD1762" s="67">
        <f t="shared" si="74"/>
        <v>758.448</v>
      </c>
      <c r="AE1762" s="67">
        <f t="shared" si="75"/>
        <v>5498.748</v>
      </c>
      <c r="AF1762" s="67">
        <f t="shared" si="33"/>
        <v>4740.3</v>
      </c>
      <c r="AG1762" s="67">
        <f t="shared" si="76"/>
        <v>758.448</v>
      </c>
      <c r="AH1762" s="67">
        <f t="shared" si="77"/>
        <v>5498.748</v>
      </c>
      <c r="AI1762" s="67">
        <f t="shared" si="17"/>
        <v>4740.3</v>
      </c>
      <c r="AJ1762" s="68">
        <f t="shared" si="78"/>
        <v>758.448</v>
      </c>
      <c r="AK1762" s="68">
        <f t="shared" si="79"/>
        <v>5498.748</v>
      </c>
      <c r="AL1762" s="70"/>
      <c r="AM1762" s="70"/>
      <c r="AN1762" s="71"/>
      <c r="AO1762" s="71"/>
      <c r="AP1762" s="71"/>
      <c r="AQ1762" s="71"/>
      <c r="AR1762" s="71"/>
      <c r="AS1762" s="71"/>
      <c r="AT1762" s="71"/>
      <c r="AU1762" s="71"/>
      <c r="AV1762" s="71"/>
      <c r="AW1762" s="71"/>
      <c r="AX1762" s="71"/>
      <c r="AY1762" s="71"/>
      <c r="AZ1762" s="71"/>
      <c r="BA1762" s="71"/>
      <c r="BB1762" s="71"/>
      <c r="BC1762" s="71"/>
      <c r="BD1762" s="71"/>
      <c r="BE1762" s="71"/>
      <c r="BF1762" s="71"/>
      <c r="BG1762" s="71"/>
      <c r="BH1762" s="71"/>
      <c r="BI1762" s="71"/>
      <c r="BJ1762" s="71"/>
      <c r="BK1762" s="71"/>
      <c r="BL1762" s="71"/>
      <c r="BM1762" s="71"/>
      <c r="BN1762" s="71"/>
      <c r="BO1762" s="71"/>
      <c r="BP1762" s="71"/>
      <c r="BQ1762" s="71"/>
      <c r="BR1762" s="71"/>
      <c r="BS1762" s="71"/>
      <c r="BT1762" s="71"/>
      <c r="BU1762" s="71"/>
      <c r="BV1762" s="71"/>
    </row>
    <row r="1763">
      <c r="A1763" s="53">
        <v>1.0</v>
      </c>
      <c r="B1763" s="72">
        <v>3.0</v>
      </c>
      <c r="C1763" s="73" t="s">
        <v>12</v>
      </c>
      <c r="D1763" s="74" t="s">
        <v>4352</v>
      </c>
      <c r="E1763" s="54" t="s">
        <v>38</v>
      </c>
      <c r="F1763" s="54" t="s">
        <v>42</v>
      </c>
      <c r="G1763" s="54" t="s">
        <v>4353</v>
      </c>
      <c r="H1763" s="54" t="s">
        <v>4354</v>
      </c>
      <c r="I1763" s="54">
        <f t="shared" si="24"/>
        <v>22</v>
      </c>
      <c r="J1763" s="56"/>
      <c r="K1763" s="57"/>
      <c r="L1763" s="76" t="s">
        <v>1869</v>
      </c>
      <c r="M1763" s="59"/>
      <c r="N1763" s="79">
        <v>8371.0</v>
      </c>
      <c r="O1763" s="61">
        <v>10933.0</v>
      </c>
      <c r="P1763" s="62">
        <v>11807.640000000001</v>
      </c>
      <c r="Q1763" s="63">
        <v>11807.640000000001</v>
      </c>
      <c r="R1763" s="64">
        <v>12399.0</v>
      </c>
      <c r="S1763" s="65">
        <v>15650.0</v>
      </c>
      <c r="T1763" s="65">
        <f t="shared" si="39"/>
        <v>2504</v>
      </c>
      <c r="U1763" s="65">
        <f t="shared" si="40"/>
        <v>18154</v>
      </c>
      <c r="V1763" s="66">
        <f t="shared" si="69"/>
        <v>0.2621985644</v>
      </c>
      <c r="W1763" s="67">
        <f t="shared" si="5"/>
        <v>14867.5</v>
      </c>
      <c r="X1763" s="67">
        <f t="shared" si="70"/>
        <v>2378.8</v>
      </c>
      <c r="Y1763" s="67">
        <f t="shared" si="71"/>
        <v>17246.3</v>
      </c>
      <c r="Z1763" s="67">
        <f t="shared" si="8"/>
        <v>14085</v>
      </c>
      <c r="AA1763" s="67">
        <f t="shared" si="72"/>
        <v>2253.6</v>
      </c>
      <c r="AB1763" s="67">
        <f t="shared" si="73"/>
        <v>16338.6</v>
      </c>
      <c r="AC1763" s="67">
        <f t="shared" si="11"/>
        <v>14085</v>
      </c>
      <c r="AD1763" s="67">
        <f t="shared" si="74"/>
        <v>2253.6</v>
      </c>
      <c r="AE1763" s="67">
        <f t="shared" si="75"/>
        <v>16338.6</v>
      </c>
      <c r="AF1763" s="67">
        <f t="shared" si="33"/>
        <v>14085</v>
      </c>
      <c r="AG1763" s="67">
        <f t="shared" si="76"/>
        <v>2253.6</v>
      </c>
      <c r="AH1763" s="67">
        <f t="shared" si="77"/>
        <v>16338.6</v>
      </c>
      <c r="AI1763" s="67">
        <f t="shared" si="17"/>
        <v>14085</v>
      </c>
      <c r="AJ1763" s="68">
        <f t="shared" si="78"/>
        <v>2253.6</v>
      </c>
      <c r="AK1763" s="68">
        <f t="shared" si="79"/>
        <v>16338.6</v>
      </c>
      <c r="AL1763" s="70"/>
      <c r="AM1763" s="70"/>
      <c r="AN1763" s="71"/>
      <c r="AO1763" s="71"/>
      <c r="AP1763" s="71"/>
      <c r="AQ1763" s="71"/>
      <c r="AR1763" s="71"/>
      <c r="AS1763" s="71"/>
      <c r="AT1763" s="71"/>
      <c r="AU1763" s="71"/>
      <c r="AV1763" s="71"/>
      <c r="AW1763" s="71"/>
      <c r="AX1763" s="71"/>
      <c r="AY1763" s="71"/>
      <c r="AZ1763" s="71"/>
      <c r="BA1763" s="71"/>
      <c r="BB1763" s="71"/>
      <c r="BC1763" s="71"/>
      <c r="BD1763" s="71"/>
      <c r="BE1763" s="71"/>
      <c r="BF1763" s="71"/>
      <c r="BG1763" s="71"/>
      <c r="BH1763" s="71"/>
      <c r="BI1763" s="71"/>
      <c r="BJ1763" s="71"/>
      <c r="BK1763" s="71"/>
      <c r="BL1763" s="71"/>
      <c r="BM1763" s="71"/>
      <c r="BN1763" s="71"/>
      <c r="BO1763" s="71"/>
      <c r="BP1763" s="71"/>
      <c r="BQ1763" s="71"/>
      <c r="BR1763" s="71"/>
      <c r="BS1763" s="71"/>
      <c r="BT1763" s="71"/>
      <c r="BU1763" s="71"/>
      <c r="BV1763" s="71"/>
    </row>
    <row r="1764">
      <c r="A1764" s="53">
        <v>1.0</v>
      </c>
      <c r="B1764" s="72">
        <v>3.0</v>
      </c>
      <c r="C1764" s="73" t="s">
        <v>12</v>
      </c>
      <c r="D1764" s="74" t="s">
        <v>4355</v>
      </c>
      <c r="E1764" s="54" t="s">
        <v>38</v>
      </c>
      <c r="F1764" s="54" t="s">
        <v>42</v>
      </c>
      <c r="G1764" s="54" t="s">
        <v>4356</v>
      </c>
      <c r="H1764" s="54" t="s">
        <v>4357</v>
      </c>
      <c r="I1764" s="54">
        <f t="shared" si="24"/>
        <v>22</v>
      </c>
      <c r="J1764" s="56"/>
      <c r="K1764" s="57"/>
      <c r="L1764" s="76" t="s">
        <v>1869</v>
      </c>
      <c r="M1764" s="59"/>
      <c r="N1764" s="79">
        <v>8873.0</v>
      </c>
      <c r="O1764" s="61">
        <v>12436.0</v>
      </c>
      <c r="P1764" s="62">
        <v>13430.880000000001</v>
      </c>
      <c r="Q1764" s="63">
        <v>13430.880000000001</v>
      </c>
      <c r="R1764" s="64">
        <v>14103.0</v>
      </c>
      <c r="S1764" s="65">
        <v>16600.0</v>
      </c>
      <c r="T1764" s="65">
        <f t="shared" si="39"/>
        <v>2656</v>
      </c>
      <c r="U1764" s="65">
        <f t="shared" si="40"/>
        <v>19256</v>
      </c>
      <c r="V1764" s="66">
        <f t="shared" si="69"/>
        <v>0.1770545274</v>
      </c>
      <c r="W1764" s="67">
        <f t="shared" si="5"/>
        <v>15770</v>
      </c>
      <c r="X1764" s="67">
        <f t="shared" si="70"/>
        <v>2523.2</v>
      </c>
      <c r="Y1764" s="67">
        <f t="shared" si="71"/>
        <v>18293.2</v>
      </c>
      <c r="Z1764" s="67">
        <f t="shared" si="8"/>
        <v>14940</v>
      </c>
      <c r="AA1764" s="67">
        <f t="shared" si="72"/>
        <v>2390.4</v>
      </c>
      <c r="AB1764" s="67">
        <f t="shared" si="73"/>
        <v>17330.4</v>
      </c>
      <c r="AC1764" s="67">
        <f t="shared" si="11"/>
        <v>14940</v>
      </c>
      <c r="AD1764" s="67">
        <f t="shared" si="74"/>
        <v>2390.4</v>
      </c>
      <c r="AE1764" s="67">
        <f t="shared" si="75"/>
        <v>17330.4</v>
      </c>
      <c r="AF1764" s="67">
        <f t="shared" si="33"/>
        <v>14940</v>
      </c>
      <c r="AG1764" s="67">
        <f t="shared" si="76"/>
        <v>2390.4</v>
      </c>
      <c r="AH1764" s="67">
        <f t="shared" si="77"/>
        <v>17330.4</v>
      </c>
      <c r="AI1764" s="67">
        <f t="shared" si="17"/>
        <v>14940</v>
      </c>
      <c r="AJ1764" s="68">
        <f t="shared" si="78"/>
        <v>2390.4</v>
      </c>
      <c r="AK1764" s="68">
        <f t="shared" si="79"/>
        <v>17330.4</v>
      </c>
      <c r="AL1764" s="70"/>
      <c r="AM1764" s="70"/>
      <c r="AN1764" s="71"/>
      <c r="AO1764" s="71"/>
      <c r="AP1764" s="71"/>
      <c r="AQ1764" s="71"/>
      <c r="AR1764" s="71"/>
      <c r="AS1764" s="71"/>
      <c r="AT1764" s="71"/>
      <c r="AU1764" s="71"/>
      <c r="AV1764" s="71"/>
      <c r="AW1764" s="71"/>
      <c r="AX1764" s="71"/>
      <c r="AY1764" s="71"/>
      <c r="AZ1764" s="71"/>
      <c r="BA1764" s="71"/>
      <c r="BB1764" s="71"/>
      <c r="BC1764" s="71"/>
      <c r="BD1764" s="71"/>
      <c r="BE1764" s="71"/>
      <c r="BF1764" s="71"/>
      <c r="BG1764" s="71"/>
      <c r="BH1764" s="71"/>
      <c r="BI1764" s="71"/>
      <c r="BJ1764" s="71"/>
      <c r="BK1764" s="71"/>
      <c r="BL1764" s="71"/>
      <c r="BM1764" s="71"/>
      <c r="BN1764" s="71"/>
      <c r="BO1764" s="71"/>
      <c r="BP1764" s="71"/>
      <c r="BQ1764" s="71"/>
      <c r="BR1764" s="71"/>
      <c r="BS1764" s="71"/>
      <c r="BT1764" s="71"/>
      <c r="BU1764" s="71"/>
      <c r="BV1764" s="71"/>
    </row>
    <row r="1765">
      <c r="A1765" s="53">
        <v>1.0</v>
      </c>
      <c r="B1765" s="72">
        <v>3.0</v>
      </c>
      <c r="C1765" s="73" t="s">
        <v>12</v>
      </c>
      <c r="D1765" s="74" t="s">
        <v>4358</v>
      </c>
      <c r="E1765" s="54" t="s">
        <v>38</v>
      </c>
      <c r="F1765" s="54" t="s">
        <v>42</v>
      </c>
      <c r="G1765" s="54" t="s">
        <v>4359</v>
      </c>
      <c r="H1765" s="54" t="s">
        <v>4360</v>
      </c>
      <c r="I1765" s="54">
        <f t="shared" si="24"/>
        <v>24</v>
      </c>
      <c r="J1765" s="56"/>
      <c r="K1765" s="57"/>
      <c r="L1765" s="76" t="s">
        <v>1869</v>
      </c>
      <c r="M1765" s="59"/>
      <c r="N1765" s="79">
        <v>16464.0</v>
      </c>
      <c r="O1765" s="61">
        <v>22178.0</v>
      </c>
      <c r="P1765" s="62">
        <v>23952.24</v>
      </c>
      <c r="Q1765" s="63">
        <v>23952.24</v>
      </c>
      <c r="R1765" s="64">
        <v>25150.0</v>
      </c>
      <c r="S1765" s="65">
        <v>30800.0</v>
      </c>
      <c r="T1765" s="65">
        <f t="shared" si="39"/>
        <v>4928</v>
      </c>
      <c r="U1765" s="65">
        <f t="shared" si="40"/>
        <v>35728</v>
      </c>
      <c r="V1765" s="66">
        <f t="shared" si="69"/>
        <v>0.2246520875</v>
      </c>
      <c r="W1765" s="67">
        <f t="shared" si="5"/>
        <v>29260</v>
      </c>
      <c r="X1765" s="67">
        <f t="shared" si="70"/>
        <v>4681.6</v>
      </c>
      <c r="Y1765" s="67">
        <f t="shared" si="71"/>
        <v>33941.6</v>
      </c>
      <c r="Z1765" s="67">
        <f t="shared" si="8"/>
        <v>27720</v>
      </c>
      <c r="AA1765" s="67">
        <f t="shared" si="72"/>
        <v>4435.2</v>
      </c>
      <c r="AB1765" s="67">
        <f t="shared" si="73"/>
        <v>32155.2</v>
      </c>
      <c r="AC1765" s="67">
        <f t="shared" si="11"/>
        <v>27720</v>
      </c>
      <c r="AD1765" s="67">
        <f t="shared" si="74"/>
        <v>4435.2</v>
      </c>
      <c r="AE1765" s="67">
        <f t="shared" si="75"/>
        <v>32155.2</v>
      </c>
      <c r="AF1765" s="67">
        <f t="shared" si="33"/>
        <v>27720</v>
      </c>
      <c r="AG1765" s="67">
        <f t="shared" si="76"/>
        <v>4435.2</v>
      </c>
      <c r="AH1765" s="67">
        <f t="shared" si="77"/>
        <v>32155.2</v>
      </c>
      <c r="AI1765" s="67">
        <f t="shared" si="17"/>
        <v>27720</v>
      </c>
      <c r="AJ1765" s="68">
        <f t="shared" si="78"/>
        <v>4435.2</v>
      </c>
      <c r="AK1765" s="68">
        <f t="shared" si="79"/>
        <v>32155.2</v>
      </c>
      <c r="AL1765" s="70"/>
      <c r="AM1765" s="70"/>
      <c r="AN1765" s="71"/>
      <c r="AO1765" s="71"/>
      <c r="AP1765" s="71"/>
      <c r="AQ1765" s="71"/>
      <c r="AR1765" s="71"/>
      <c r="AS1765" s="71"/>
      <c r="AT1765" s="71"/>
      <c r="AU1765" s="71"/>
      <c r="AV1765" s="71"/>
      <c r="AW1765" s="71"/>
      <c r="AX1765" s="71"/>
      <c r="AY1765" s="71"/>
      <c r="AZ1765" s="71"/>
      <c r="BA1765" s="71"/>
      <c r="BB1765" s="71"/>
      <c r="BC1765" s="71"/>
      <c r="BD1765" s="71"/>
      <c r="BE1765" s="71"/>
      <c r="BF1765" s="71"/>
      <c r="BG1765" s="71"/>
      <c r="BH1765" s="71"/>
      <c r="BI1765" s="71"/>
      <c r="BJ1765" s="71"/>
      <c r="BK1765" s="71"/>
      <c r="BL1765" s="71"/>
      <c r="BM1765" s="71"/>
      <c r="BN1765" s="71"/>
      <c r="BO1765" s="71"/>
      <c r="BP1765" s="71"/>
      <c r="BQ1765" s="71"/>
      <c r="BR1765" s="71"/>
      <c r="BS1765" s="71"/>
      <c r="BT1765" s="71"/>
      <c r="BU1765" s="71"/>
      <c r="BV1765" s="71"/>
    </row>
    <row r="1766">
      <c r="A1766" s="53">
        <v>1.0</v>
      </c>
      <c r="B1766" s="72">
        <v>3.0</v>
      </c>
      <c r="C1766" s="73" t="s">
        <v>12</v>
      </c>
      <c r="D1766" s="74" t="s">
        <v>4361</v>
      </c>
      <c r="E1766" s="54" t="s">
        <v>38</v>
      </c>
      <c r="F1766" s="54" t="s">
        <v>42</v>
      </c>
      <c r="G1766" s="54" t="s">
        <v>4362</v>
      </c>
      <c r="H1766" s="54" t="s">
        <v>4363</v>
      </c>
      <c r="I1766" s="54">
        <f t="shared" si="24"/>
        <v>21</v>
      </c>
      <c r="J1766" s="56"/>
      <c r="K1766" s="57"/>
      <c r="L1766" s="76" t="s">
        <v>1869</v>
      </c>
      <c r="M1766" s="59"/>
      <c r="N1766" s="79">
        <v>4270.0</v>
      </c>
      <c r="O1766" s="61">
        <v>5985.0</v>
      </c>
      <c r="P1766" s="62">
        <v>6463.8</v>
      </c>
      <c r="Q1766" s="63">
        <v>6463.8</v>
      </c>
      <c r="R1766" s="64">
        <v>6788.0</v>
      </c>
      <c r="S1766" s="65">
        <v>8050.0</v>
      </c>
      <c r="T1766" s="65">
        <f t="shared" si="39"/>
        <v>1288</v>
      </c>
      <c r="U1766" s="65">
        <f t="shared" si="40"/>
        <v>9338</v>
      </c>
      <c r="V1766" s="66">
        <f t="shared" si="69"/>
        <v>0.1859163229</v>
      </c>
      <c r="W1766" s="67">
        <f t="shared" si="5"/>
        <v>7647.5</v>
      </c>
      <c r="X1766" s="67">
        <f t="shared" si="70"/>
        <v>1223.6</v>
      </c>
      <c r="Y1766" s="67">
        <f t="shared" si="71"/>
        <v>8871.1</v>
      </c>
      <c r="Z1766" s="67">
        <f t="shared" si="8"/>
        <v>7245</v>
      </c>
      <c r="AA1766" s="67">
        <f t="shared" si="72"/>
        <v>1159.2</v>
      </c>
      <c r="AB1766" s="67">
        <f t="shared" si="73"/>
        <v>8404.2</v>
      </c>
      <c r="AC1766" s="67">
        <f t="shared" si="11"/>
        <v>7245</v>
      </c>
      <c r="AD1766" s="67">
        <f t="shared" si="74"/>
        <v>1159.2</v>
      </c>
      <c r="AE1766" s="67">
        <f t="shared" si="75"/>
        <v>8404.2</v>
      </c>
      <c r="AF1766" s="67">
        <f t="shared" si="33"/>
        <v>7245</v>
      </c>
      <c r="AG1766" s="67">
        <f t="shared" si="76"/>
        <v>1159.2</v>
      </c>
      <c r="AH1766" s="67">
        <f t="shared" si="77"/>
        <v>8404.2</v>
      </c>
      <c r="AI1766" s="67">
        <f t="shared" si="17"/>
        <v>7245</v>
      </c>
      <c r="AJ1766" s="68">
        <f t="shared" si="78"/>
        <v>1159.2</v>
      </c>
      <c r="AK1766" s="68">
        <f t="shared" si="79"/>
        <v>8404.2</v>
      </c>
      <c r="AL1766" s="70"/>
      <c r="AM1766" s="70"/>
      <c r="AN1766" s="71"/>
      <c r="AO1766" s="71"/>
      <c r="AP1766" s="71"/>
      <c r="AQ1766" s="71"/>
      <c r="AR1766" s="71"/>
      <c r="AS1766" s="71"/>
      <c r="AT1766" s="71"/>
      <c r="AU1766" s="71"/>
      <c r="AV1766" s="71"/>
      <c r="AW1766" s="71"/>
      <c r="AX1766" s="71"/>
      <c r="AY1766" s="71"/>
      <c r="AZ1766" s="71"/>
      <c r="BA1766" s="71"/>
      <c r="BB1766" s="71"/>
      <c r="BC1766" s="71"/>
      <c r="BD1766" s="71"/>
      <c r="BE1766" s="71"/>
      <c r="BF1766" s="71"/>
      <c r="BG1766" s="71"/>
      <c r="BH1766" s="71"/>
      <c r="BI1766" s="71"/>
      <c r="BJ1766" s="71"/>
      <c r="BK1766" s="71"/>
      <c r="BL1766" s="71"/>
      <c r="BM1766" s="71"/>
      <c r="BN1766" s="71"/>
      <c r="BO1766" s="71"/>
      <c r="BP1766" s="71"/>
      <c r="BQ1766" s="71"/>
      <c r="BR1766" s="71"/>
      <c r="BS1766" s="71"/>
      <c r="BT1766" s="71"/>
      <c r="BU1766" s="71"/>
      <c r="BV1766" s="71"/>
    </row>
    <row r="1767">
      <c r="A1767" s="53">
        <v>1.0</v>
      </c>
      <c r="B1767" s="72">
        <v>3.0</v>
      </c>
      <c r="C1767" s="73" t="s">
        <v>12</v>
      </c>
      <c r="D1767" s="74" t="s">
        <v>4364</v>
      </c>
      <c r="E1767" s="54" t="s">
        <v>38</v>
      </c>
      <c r="F1767" s="54" t="s">
        <v>42</v>
      </c>
      <c r="G1767" s="54" t="s">
        <v>4365</v>
      </c>
      <c r="H1767" s="54" t="s">
        <v>4366</v>
      </c>
      <c r="I1767" s="54">
        <f t="shared" si="24"/>
        <v>22</v>
      </c>
      <c r="J1767" s="56"/>
      <c r="K1767" s="57"/>
      <c r="L1767" s="76" t="s">
        <v>1869</v>
      </c>
      <c r="M1767" s="59"/>
      <c r="N1767" s="79">
        <v>10968.0</v>
      </c>
      <c r="O1767" s="61">
        <v>15370.0</v>
      </c>
      <c r="P1767" s="62">
        <v>16599.600000000002</v>
      </c>
      <c r="Q1767" s="63">
        <v>16599.600000000002</v>
      </c>
      <c r="R1767" s="64">
        <v>17430.0</v>
      </c>
      <c r="S1767" s="65">
        <v>20700.0</v>
      </c>
      <c r="T1767" s="65">
        <f t="shared" si="39"/>
        <v>3312</v>
      </c>
      <c r="U1767" s="65">
        <f t="shared" si="40"/>
        <v>24012</v>
      </c>
      <c r="V1767" s="66">
        <f t="shared" si="69"/>
        <v>0.1876075731</v>
      </c>
      <c r="W1767" s="67">
        <f t="shared" si="5"/>
        <v>19665</v>
      </c>
      <c r="X1767" s="67">
        <f t="shared" si="70"/>
        <v>3146.4</v>
      </c>
      <c r="Y1767" s="67">
        <f t="shared" si="71"/>
        <v>22811.4</v>
      </c>
      <c r="Z1767" s="67">
        <f t="shared" si="8"/>
        <v>18630</v>
      </c>
      <c r="AA1767" s="67">
        <f t="shared" si="72"/>
        <v>2980.8</v>
      </c>
      <c r="AB1767" s="67">
        <f t="shared" si="73"/>
        <v>21610.8</v>
      </c>
      <c r="AC1767" s="67">
        <f t="shared" si="11"/>
        <v>18630</v>
      </c>
      <c r="AD1767" s="67">
        <f t="shared" si="74"/>
        <v>2980.8</v>
      </c>
      <c r="AE1767" s="67">
        <f t="shared" si="75"/>
        <v>21610.8</v>
      </c>
      <c r="AF1767" s="67">
        <f t="shared" si="33"/>
        <v>18630</v>
      </c>
      <c r="AG1767" s="67">
        <f t="shared" si="76"/>
        <v>2980.8</v>
      </c>
      <c r="AH1767" s="67">
        <f t="shared" si="77"/>
        <v>21610.8</v>
      </c>
      <c r="AI1767" s="67">
        <f t="shared" si="17"/>
        <v>18630</v>
      </c>
      <c r="AJ1767" s="68">
        <f t="shared" si="78"/>
        <v>2980.8</v>
      </c>
      <c r="AK1767" s="68">
        <f t="shared" si="79"/>
        <v>21610.8</v>
      </c>
      <c r="AL1767" s="70"/>
      <c r="AM1767" s="70"/>
      <c r="AN1767" s="71"/>
      <c r="AO1767" s="71"/>
      <c r="AP1767" s="71"/>
      <c r="AQ1767" s="71"/>
      <c r="AR1767" s="71"/>
      <c r="AS1767" s="71"/>
      <c r="AT1767" s="71"/>
      <c r="AU1767" s="71"/>
      <c r="AV1767" s="71"/>
      <c r="AW1767" s="71"/>
      <c r="AX1767" s="71"/>
      <c r="AY1767" s="71"/>
      <c r="AZ1767" s="71"/>
      <c r="BA1767" s="71"/>
      <c r="BB1767" s="71"/>
      <c r="BC1767" s="71"/>
      <c r="BD1767" s="71"/>
      <c r="BE1767" s="71"/>
      <c r="BF1767" s="71"/>
      <c r="BG1767" s="71"/>
      <c r="BH1767" s="71"/>
      <c r="BI1767" s="71"/>
      <c r="BJ1767" s="71"/>
      <c r="BK1767" s="71"/>
      <c r="BL1767" s="71"/>
      <c r="BM1767" s="71"/>
      <c r="BN1767" s="71"/>
      <c r="BO1767" s="71"/>
      <c r="BP1767" s="71"/>
      <c r="BQ1767" s="71"/>
      <c r="BR1767" s="71"/>
      <c r="BS1767" s="71"/>
      <c r="BT1767" s="71"/>
      <c r="BU1767" s="71"/>
      <c r="BV1767" s="71"/>
    </row>
    <row r="1768">
      <c r="A1768" s="53"/>
      <c r="B1768" s="72">
        <v>3.0</v>
      </c>
      <c r="C1768" s="73" t="s">
        <v>12</v>
      </c>
      <c r="D1768" s="74" t="s">
        <v>4367</v>
      </c>
      <c r="E1768" s="54" t="s">
        <v>38</v>
      </c>
      <c r="F1768" s="54" t="s">
        <v>42</v>
      </c>
      <c r="G1768" s="54" t="s">
        <v>4368</v>
      </c>
      <c r="H1768" s="54" t="s">
        <v>4369</v>
      </c>
      <c r="I1768" s="54">
        <f t="shared" si="24"/>
        <v>22</v>
      </c>
      <c r="J1768" s="56"/>
      <c r="K1768" s="57"/>
      <c r="L1768" s="76"/>
      <c r="M1768" s="59"/>
      <c r="N1768" s="60">
        <v>17332.0</v>
      </c>
      <c r="O1768" s="61">
        <v>28249.0</v>
      </c>
      <c r="P1768" s="62">
        <v>30508.920000000002</v>
      </c>
      <c r="Q1768" s="63">
        <v>30508.920000000002</v>
      </c>
      <c r="R1768" s="64">
        <v>32035.0</v>
      </c>
      <c r="S1768" s="111">
        <v>33637.0</v>
      </c>
      <c r="T1768" s="65">
        <f t="shared" si="39"/>
        <v>5381.92</v>
      </c>
      <c r="U1768" s="65">
        <f t="shared" si="40"/>
        <v>39018.92</v>
      </c>
      <c r="V1768" s="66">
        <f t="shared" si="69"/>
        <v>0.05000780396</v>
      </c>
      <c r="W1768" s="67">
        <f t="shared" si="5"/>
        <v>31955.15</v>
      </c>
      <c r="X1768" s="67">
        <f t="shared" si="70"/>
        <v>5112.824</v>
      </c>
      <c r="Y1768" s="67">
        <f t="shared" si="71"/>
        <v>37067.974</v>
      </c>
      <c r="Z1768" s="67">
        <f t="shared" si="8"/>
        <v>30273.3</v>
      </c>
      <c r="AA1768" s="67">
        <f t="shared" si="72"/>
        <v>4843.728</v>
      </c>
      <c r="AB1768" s="67">
        <f t="shared" si="73"/>
        <v>35117.028</v>
      </c>
      <c r="AC1768" s="67">
        <f t="shared" si="11"/>
        <v>30273.3</v>
      </c>
      <c r="AD1768" s="67">
        <f t="shared" si="74"/>
        <v>4843.728</v>
      </c>
      <c r="AE1768" s="67">
        <f t="shared" si="75"/>
        <v>35117.028</v>
      </c>
      <c r="AF1768" s="67">
        <f t="shared" si="33"/>
        <v>30273.3</v>
      </c>
      <c r="AG1768" s="67">
        <f t="shared" si="76"/>
        <v>4843.728</v>
      </c>
      <c r="AH1768" s="67">
        <f t="shared" si="77"/>
        <v>35117.028</v>
      </c>
      <c r="AI1768" s="67">
        <f t="shared" si="17"/>
        <v>30273.3</v>
      </c>
      <c r="AJ1768" s="68">
        <f t="shared" si="78"/>
        <v>4843.728</v>
      </c>
      <c r="AK1768" s="68">
        <f t="shared" si="79"/>
        <v>35117.028</v>
      </c>
      <c r="AL1768" s="70"/>
      <c r="AM1768" s="70"/>
      <c r="AN1768" s="71"/>
      <c r="AO1768" s="71"/>
      <c r="AP1768" s="71"/>
      <c r="AQ1768" s="71"/>
      <c r="AR1768" s="71"/>
      <c r="AS1768" s="71"/>
      <c r="AT1768" s="71"/>
      <c r="AU1768" s="71"/>
      <c r="AV1768" s="71"/>
      <c r="AW1768" s="71"/>
      <c r="AX1768" s="71"/>
      <c r="AY1768" s="71"/>
      <c r="AZ1768" s="71"/>
      <c r="BA1768" s="71"/>
      <c r="BB1768" s="71"/>
      <c r="BC1768" s="71"/>
      <c r="BD1768" s="71"/>
      <c r="BE1768" s="71"/>
      <c r="BF1768" s="71"/>
      <c r="BG1768" s="71"/>
      <c r="BH1768" s="71"/>
      <c r="BI1768" s="71"/>
      <c r="BJ1768" s="71"/>
      <c r="BK1768" s="71"/>
      <c r="BL1768" s="71"/>
      <c r="BM1768" s="71"/>
      <c r="BN1768" s="71"/>
      <c r="BO1768" s="71"/>
      <c r="BP1768" s="71"/>
      <c r="BQ1768" s="71"/>
      <c r="BR1768" s="71"/>
      <c r="BS1768" s="71"/>
      <c r="BT1768" s="71"/>
      <c r="BU1768" s="71"/>
      <c r="BV1768" s="71"/>
    </row>
    <row r="1769">
      <c r="A1769" s="53">
        <v>1.0</v>
      </c>
      <c r="B1769" s="72">
        <v>3.0</v>
      </c>
      <c r="C1769" s="73" t="s">
        <v>12</v>
      </c>
      <c r="D1769" s="74" t="s">
        <v>4370</v>
      </c>
      <c r="E1769" s="54" t="s">
        <v>38</v>
      </c>
      <c r="F1769" s="54" t="s">
        <v>42</v>
      </c>
      <c r="G1769" s="54" t="s">
        <v>4371</v>
      </c>
      <c r="H1769" s="54" t="s">
        <v>4372</v>
      </c>
      <c r="I1769" s="54">
        <f t="shared" si="24"/>
        <v>21</v>
      </c>
      <c r="J1769" s="56"/>
      <c r="K1769" s="57"/>
      <c r="L1769" s="76" t="s">
        <v>1869</v>
      </c>
      <c r="M1769" s="59"/>
      <c r="N1769" s="79">
        <v>4599.0</v>
      </c>
      <c r="O1769" s="61">
        <v>6446.0</v>
      </c>
      <c r="P1769" s="62">
        <v>6961.68</v>
      </c>
      <c r="Q1769" s="63">
        <v>6961.68</v>
      </c>
      <c r="R1769" s="64">
        <v>7311.0</v>
      </c>
      <c r="S1769" s="65">
        <v>8700.0</v>
      </c>
      <c r="T1769" s="65">
        <f t="shared" si="39"/>
        <v>1392</v>
      </c>
      <c r="U1769" s="65">
        <f t="shared" si="40"/>
        <v>10092</v>
      </c>
      <c r="V1769" s="66">
        <f t="shared" si="69"/>
        <v>0.1899876898</v>
      </c>
      <c r="W1769" s="67">
        <f t="shared" si="5"/>
        <v>8265</v>
      </c>
      <c r="X1769" s="67">
        <f t="shared" si="70"/>
        <v>1322.4</v>
      </c>
      <c r="Y1769" s="67">
        <f t="shared" si="71"/>
        <v>9587.4</v>
      </c>
      <c r="Z1769" s="67">
        <f t="shared" si="8"/>
        <v>7830</v>
      </c>
      <c r="AA1769" s="67">
        <f t="shared" si="72"/>
        <v>1252.8</v>
      </c>
      <c r="AB1769" s="67">
        <f t="shared" si="73"/>
        <v>9082.8</v>
      </c>
      <c r="AC1769" s="67">
        <f t="shared" si="11"/>
        <v>7830</v>
      </c>
      <c r="AD1769" s="67">
        <f t="shared" si="74"/>
        <v>1252.8</v>
      </c>
      <c r="AE1769" s="67">
        <f t="shared" si="75"/>
        <v>9082.8</v>
      </c>
      <c r="AF1769" s="67">
        <f t="shared" si="33"/>
        <v>7830</v>
      </c>
      <c r="AG1769" s="67">
        <f t="shared" si="76"/>
        <v>1252.8</v>
      </c>
      <c r="AH1769" s="67">
        <f t="shared" si="77"/>
        <v>9082.8</v>
      </c>
      <c r="AI1769" s="67">
        <f t="shared" si="17"/>
        <v>7830</v>
      </c>
      <c r="AJ1769" s="68">
        <f t="shared" si="78"/>
        <v>1252.8</v>
      </c>
      <c r="AK1769" s="68">
        <f t="shared" si="79"/>
        <v>9082.8</v>
      </c>
      <c r="AL1769" s="70"/>
      <c r="AM1769" s="70"/>
      <c r="AN1769" s="71"/>
      <c r="AO1769" s="71"/>
      <c r="AP1769" s="71"/>
      <c r="AQ1769" s="71"/>
      <c r="AR1769" s="71"/>
      <c r="AS1769" s="71"/>
      <c r="AT1769" s="71"/>
      <c r="AU1769" s="71"/>
      <c r="AV1769" s="71"/>
      <c r="AW1769" s="71"/>
      <c r="AX1769" s="71"/>
      <c r="AY1769" s="71"/>
      <c r="AZ1769" s="71"/>
      <c r="BA1769" s="71"/>
      <c r="BB1769" s="71"/>
      <c r="BC1769" s="71"/>
      <c r="BD1769" s="71"/>
      <c r="BE1769" s="71"/>
      <c r="BF1769" s="71"/>
      <c r="BG1769" s="71"/>
      <c r="BH1769" s="71"/>
      <c r="BI1769" s="71"/>
      <c r="BJ1769" s="71"/>
      <c r="BK1769" s="71"/>
      <c r="BL1769" s="71"/>
      <c r="BM1769" s="71"/>
      <c r="BN1769" s="71"/>
      <c r="BO1769" s="71"/>
      <c r="BP1769" s="71"/>
      <c r="BQ1769" s="71"/>
      <c r="BR1769" s="71"/>
      <c r="BS1769" s="71"/>
      <c r="BT1769" s="71"/>
      <c r="BU1769" s="71"/>
      <c r="BV1769" s="71"/>
    </row>
    <row r="1770">
      <c r="A1770" s="53"/>
      <c r="B1770" s="72">
        <v>3.0</v>
      </c>
      <c r="C1770" s="73" t="s">
        <v>12</v>
      </c>
      <c r="D1770" s="74" t="s">
        <v>4373</v>
      </c>
      <c r="E1770" s="54" t="s">
        <v>38</v>
      </c>
      <c r="F1770" s="54" t="s">
        <v>42</v>
      </c>
      <c r="G1770" s="54" t="s">
        <v>4374</v>
      </c>
      <c r="H1770" s="54" t="s">
        <v>4375</v>
      </c>
      <c r="I1770" s="54">
        <f t="shared" si="24"/>
        <v>22</v>
      </c>
      <c r="J1770" s="56"/>
      <c r="K1770" s="57"/>
      <c r="L1770" s="76"/>
      <c r="M1770" s="59"/>
      <c r="N1770" s="60">
        <v>25938.0</v>
      </c>
      <c r="O1770" s="61">
        <v>36637.0</v>
      </c>
      <c r="P1770" s="62">
        <v>39567.96</v>
      </c>
      <c r="Q1770" s="63">
        <v>39567.96</v>
      </c>
      <c r="R1770" s="64">
        <v>41547.0</v>
      </c>
      <c r="S1770" s="111">
        <v>43624.0</v>
      </c>
      <c r="T1770" s="65">
        <f t="shared" si="39"/>
        <v>6979.84</v>
      </c>
      <c r="U1770" s="65">
        <f t="shared" si="40"/>
        <v>50603.84</v>
      </c>
      <c r="V1770" s="66">
        <f t="shared" si="69"/>
        <v>0.04999157581</v>
      </c>
      <c r="W1770" s="67">
        <f t="shared" si="5"/>
        <v>41442.8</v>
      </c>
      <c r="X1770" s="67">
        <f t="shared" si="70"/>
        <v>6630.848</v>
      </c>
      <c r="Y1770" s="67">
        <f t="shared" si="71"/>
        <v>48073.648</v>
      </c>
      <c r="Z1770" s="67">
        <f t="shared" si="8"/>
        <v>39261.6</v>
      </c>
      <c r="AA1770" s="67">
        <f t="shared" si="72"/>
        <v>6281.856</v>
      </c>
      <c r="AB1770" s="67">
        <f t="shared" si="73"/>
        <v>45543.456</v>
      </c>
      <c r="AC1770" s="67">
        <f t="shared" si="11"/>
        <v>39261.6</v>
      </c>
      <c r="AD1770" s="67">
        <f t="shared" si="74"/>
        <v>6281.856</v>
      </c>
      <c r="AE1770" s="67">
        <f t="shared" si="75"/>
        <v>45543.456</v>
      </c>
      <c r="AF1770" s="67">
        <f t="shared" si="33"/>
        <v>39261.6</v>
      </c>
      <c r="AG1770" s="67">
        <f t="shared" si="76"/>
        <v>6281.856</v>
      </c>
      <c r="AH1770" s="67">
        <f t="shared" si="77"/>
        <v>45543.456</v>
      </c>
      <c r="AI1770" s="67">
        <f t="shared" si="17"/>
        <v>39261.6</v>
      </c>
      <c r="AJ1770" s="68">
        <f t="shared" si="78"/>
        <v>6281.856</v>
      </c>
      <c r="AK1770" s="68">
        <f t="shared" si="79"/>
        <v>45543.456</v>
      </c>
      <c r="AL1770" s="70"/>
      <c r="AM1770" s="70"/>
      <c r="AN1770" s="71"/>
      <c r="AO1770" s="71"/>
      <c r="AP1770" s="71"/>
      <c r="AQ1770" s="71"/>
      <c r="AR1770" s="71"/>
      <c r="AS1770" s="71"/>
      <c r="AT1770" s="71"/>
      <c r="AU1770" s="71"/>
      <c r="AV1770" s="71"/>
      <c r="AW1770" s="71"/>
      <c r="AX1770" s="71"/>
      <c r="AY1770" s="71"/>
      <c r="AZ1770" s="71"/>
      <c r="BA1770" s="71"/>
      <c r="BB1770" s="71"/>
      <c r="BC1770" s="71"/>
      <c r="BD1770" s="71"/>
      <c r="BE1770" s="71"/>
      <c r="BF1770" s="71"/>
      <c r="BG1770" s="71"/>
      <c r="BH1770" s="71"/>
      <c r="BI1770" s="71"/>
      <c r="BJ1770" s="71"/>
      <c r="BK1770" s="71"/>
      <c r="BL1770" s="71"/>
      <c r="BM1770" s="71"/>
      <c r="BN1770" s="71"/>
      <c r="BO1770" s="71"/>
      <c r="BP1770" s="71"/>
      <c r="BQ1770" s="71"/>
      <c r="BR1770" s="71"/>
      <c r="BS1770" s="71"/>
      <c r="BT1770" s="71"/>
      <c r="BU1770" s="71"/>
      <c r="BV1770" s="71"/>
    </row>
    <row r="1771">
      <c r="A1771" s="53"/>
      <c r="B1771" s="72">
        <v>3.0</v>
      </c>
      <c r="C1771" s="73" t="s">
        <v>12</v>
      </c>
      <c r="D1771" s="74" t="s">
        <v>4376</v>
      </c>
      <c r="E1771" s="54" t="s">
        <v>38</v>
      </c>
      <c r="F1771" s="54" t="s">
        <v>42</v>
      </c>
      <c r="G1771" s="54" t="s">
        <v>4377</v>
      </c>
      <c r="H1771" s="54" t="s">
        <v>4378</v>
      </c>
      <c r="I1771" s="54">
        <f t="shared" si="24"/>
        <v>22</v>
      </c>
      <c r="J1771" s="56"/>
      <c r="K1771" s="57"/>
      <c r="L1771" s="76"/>
      <c r="M1771" s="59"/>
      <c r="N1771" s="60">
        <v>27677.0</v>
      </c>
      <c r="O1771" s="61">
        <v>41231.0</v>
      </c>
      <c r="P1771" s="62">
        <v>44529.48</v>
      </c>
      <c r="Q1771" s="63">
        <v>44529.48</v>
      </c>
      <c r="R1771" s="64">
        <v>46756.0</v>
      </c>
      <c r="S1771" s="111">
        <v>49094.0</v>
      </c>
      <c r="T1771" s="65">
        <f t="shared" si="39"/>
        <v>7855.04</v>
      </c>
      <c r="U1771" s="65">
        <f t="shared" si="40"/>
        <v>56949.04</v>
      </c>
      <c r="V1771" s="66">
        <f t="shared" si="69"/>
        <v>0.05000427753</v>
      </c>
      <c r="W1771" s="67">
        <f t="shared" si="5"/>
        <v>46639.3</v>
      </c>
      <c r="X1771" s="67">
        <f t="shared" si="70"/>
        <v>7462.288</v>
      </c>
      <c r="Y1771" s="67">
        <f t="shared" si="71"/>
        <v>54101.588</v>
      </c>
      <c r="Z1771" s="67">
        <f t="shared" si="8"/>
        <v>44184.6</v>
      </c>
      <c r="AA1771" s="67">
        <f t="shared" si="72"/>
        <v>7069.536</v>
      </c>
      <c r="AB1771" s="67">
        <f t="shared" si="73"/>
        <v>51254.136</v>
      </c>
      <c r="AC1771" s="67">
        <f t="shared" si="11"/>
        <v>44184.6</v>
      </c>
      <c r="AD1771" s="67">
        <f t="shared" si="74"/>
        <v>7069.536</v>
      </c>
      <c r="AE1771" s="67">
        <f t="shared" si="75"/>
        <v>51254.136</v>
      </c>
      <c r="AF1771" s="67">
        <f t="shared" si="33"/>
        <v>44184.6</v>
      </c>
      <c r="AG1771" s="67">
        <f t="shared" si="76"/>
        <v>7069.536</v>
      </c>
      <c r="AH1771" s="67">
        <f t="shared" si="77"/>
        <v>51254.136</v>
      </c>
      <c r="AI1771" s="67">
        <f t="shared" si="17"/>
        <v>44184.6</v>
      </c>
      <c r="AJ1771" s="68">
        <f t="shared" si="78"/>
        <v>7069.536</v>
      </c>
      <c r="AK1771" s="68">
        <f t="shared" si="79"/>
        <v>51254.136</v>
      </c>
      <c r="AL1771" s="70"/>
      <c r="AM1771" s="70"/>
      <c r="AN1771" s="71"/>
      <c r="AO1771" s="71"/>
      <c r="AP1771" s="71"/>
      <c r="AQ1771" s="71"/>
      <c r="AR1771" s="71"/>
      <c r="AS1771" s="71"/>
      <c r="AT1771" s="71"/>
      <c r="AU1771" s="71"/>
      <c r="AV1771" s="71"/>
      <c r="AW1771" s="71"/>
      <c r="AX1771" s="71"/>
      <c r="AY1771" s="71"/>
      <c r="AZ1771" s="71"/>
      <c r="BA1771" s="71"/>
      <c r="BB1771" s="71"/>
      <c r="BC1771" s="71"/>
      <c r="BD1771" s="71"/>
      <c r="BE1771" s="71"/>
      <c r="BF1771" s="71"/>
      <c r="BG1771" s="71"/>
      <c r="BH1771" s="71"/>
      <c r="BI1771" s="71"/>
      <c r="BJ1771" s="71"/>
      <c r="BK1771" s="71"/>
      <c r="BL1771" s="71"/>
      <c r="BM1771" s="71"/>
      <c r="BN1771" s="71"/>
      <c r="BO1771" s="71"/>
      <c r="BP1771" s="71"/>
      <c r="BQ1771" s="71"/>
      <c r="BR1771" s="71"/>
      <c r="BS1771" s="71"/>
      <c r="BT1771" s="71"/>
      <c r="BU1771" s="71"/>
      <c r="BV1771" s="71"/>
    </row>
    <row r="1772">
      <c r="A1772" s="53">
        <v>1.0</v>
      </c>
      <c r="B1772" s="72">
        <v>3.0</v>
      </c>
      <c r="C1772" s="73" t="s">
        <v>12</v>
      </c>
      <c r="D1772" s="74" t="s">
        <v>4379</v>
      </c>
      <c r="E1772" s="54" t="s">
        <v>38</v>
      </c>
      <c r="F1772" s="54" t="s">
        <v>42</v>
      </c>
      <c r="G1772" s="54" t="s">
        <v>4380</v>
      </c>
      <c r="H1772" s="54" t="s">
        <v>4381</v>
      </c>
      <c r="I1772" s="54">
        <f t="shared" si="24"/>
        <v>21</v>
      </c>
      <c r="J1772" s="56"/>
      <c r="K1772" s="57"/>
      <c r="L1772" s="76" t="s">
        <v>1869</v>
      </c>
      <c r="M1772" s="59"/>
      <c r="N1772" s="79">
        <v>5937.0</v>
      </c>
      <c r="O1772" s="61">
        <v>8321.0</v>
      </c>
      <c r="P1772" s="62">
        <v>8986.68</v>
      </c>
      <c r="Q1772" s="63">
        <v>8986.68</v>
      </c>
      <c r="R1772" s="64">
        <v>9437.0</v>
      </c>
      <c r="S1772" s="65">
        <v>15650.0</v>
      </c>
      <c r="T1772" s="65">
        <f t="shared" si="39"/>
        <v>2504</v>
      </c>
      <c r="U1772" s="65">
        <f t="shared" si="40"/>
        <v>18154</v>
      </c>
      <c r="V1772" s="66">
        <f t="shared" si="69"/>
        <v>0.6583660061</v>
      </c>
      <c r="W1772" s="67">
        <f t="shared" si="5"/>
        <v>14867.5</v>
      </c>
      <c r="X1772" s="67">
        <f t="shared" si="70"/>
        <v>2378.8</v>
      </c>
      <c r="Y1772" s="67">
        <f t="shared" si="71"/>
        <v>17246.3</v>
      </c>
      <c r="Z1772" s="67">
        <f t="shared" si="8"/>
        <v>14085</v>
      </c>
      <c r="AA1772" s="67">
        <f t="shared" si="72"/>
        <v>2253.6</v>
      </c>
      <c r="AB1772" s="67">
        <f t="shared" si="73"/>
        <v>16338.6</v>
      </c>
      <c r="AC1772" s="67">
        <f t="shared" si="11"/>
        <v>14085</v>
      </c>
      <c r="AD1772" s="67">
        <f t="shared" si="74"/>
        <v>2253.6</v>
      </c>
      <c r="AE1772" s="67">
        <f t="shared" si="75"/>
        <v>16338.6</v>
      </c>
      <c r="AF1772" s="67">
        <f t="shared" si="33"/>
        <v>14085</v>
      </c>
      <c r="AG1772" s="67">
        <f t="shared" si="76"/>
        <v>2253.6</v>
      </c>
      <c r="AH1772" s="67">
        <f t="shared" si="77"/>
        <v>16338.6</v>
      </c>
      <c r="AI1772" s="67">
        <f t="shared" si="17"/>
        <v>14085</v>
      </c>
      <c r="AJ1772" s="68">
        <f t="shared" si="78"/>
        <v>2253.6</v>
      </c>
      <c r="AK1772" s="68">
        <f t="shared" si="79"/>
        <v>16338.6</v>
      </c>
      <c r="AL1772" s="70"/>
      <c r="AM1772" s="70"/>
      <c r="AN1772" s="71"/>
      <c r="AO1772" s="71"/>
      <c r="AP1772" s="71"/>
      <c r="AQ1772" s="71"/>
      <c r="AR1772" s="71"/>
      <c r="AS1772" s="71"/>
      <c r="AT1772" s="71"/>
      <c r="AU1772" s="71"/>
      <c r="AV1772" s="71"/>
      <c r="AW1772" s="71"/>
      <c r="AX1772" s="71"/>
      <c r="AY1772" s="71"/>
      <c r="AZ1772" s="71"/>
      <c r="BA1772" s="71"/>
      <c r="BB1772" s="71"/>
      <c r="BC1772" s="71"/>
      <c r="BD1772" s="71"/>
      <c r="BE1772" s="71"/>
      <c r="BF1772" s="71"/>
      <c r="BG1772" s="71"/>
      <c r="BH1772" s="71"/>
      <c r="BI1772" s="71"/>
      <c r="BJ1772" s="71"/>
      <c r="BK1772" s="71"/>
      <c r="BL1772" s="71"/>
      <c r="BM1772" s="71"/>
      <c r="BN1772" s="71"/>
      <c r="BO1772" s="71"/>
      <c r="BP1772" s="71"/>
      <c r="BQ1772" s="71"/>
      <c r="BR1772" s="71"/>
      <c r="BS1772" s="71"/>
      <c r="BT1772" s="71"/>
      <c r="BU1772" s="71"/>
      <c r="BV1772" s="71"/>
    </row>
    <row r="1773">
      <c r="A1773" s="53"/>
      <c r="B1773" s="72">
        <v>3.0</v>
      </c>
      <c r="C1773" s="73" t="s">
        <v>12</v>
      </c>
      <c r="D1773" s="74" t="s">
        <v>4382</v>
      </c>
      <c r="E1773" s="54" t="s">
        <v>38</v>
      </c>
      <c r="F1773" s="54" t="s">
        <v>42</v>
      </c>
      <c r="G1773" s="54" t="s">
        <v>4383</v>
      </c>
      <c r="H1773" s="54" t="s">
        <v>4384</v>
      </c>
      <c r="I1773" s="54">
        <f t="shared" si="24"/>
        <v>23</v>
      </c>
      <c r="J1773" s="56"/>
      <c r="K1773" s="57"/>
      <c r="L1773" s="76"/>
      <c r="M1773" s="59"/>
      <c r="N1773" s="60">
        <v>2933.0</v>
      </c>
      <c r="O1773" s="61">
        <v>5783.0</v>
      </c>
      <c r="P1773" s="62">
        <v>6245.64</v>
      </c>
      <c r="Q1773" s="63">
        <v>6245.64</v>
      </c>
      <c r="R1773" s="64">
        <v>6559.0</v>
      </c>
      <c r="S1773" s="111">
        <v>6887.0</v>
      </c>
      <c r="T1773" s="65">
        <f t="shared" si="39"/>
        <v>1101.92</v>
      </c>
      <c r="U1773" s="65">
        <f t="shared" si="40"/>
        <v>7988.92</v>
      </c>
      <c r="V1773" s="66">
        <f t="shared" si="69"/>
        <v>0.05000762311</v>
      </c>
      <c r="W1773" s="67">
        <f t="shared" si="5"/>
        <v>6542.65</v>
      </c>
      <c r="X1773" s="67">
        <f t="shared" si="70"/>
        <v>1046.824</v>
      </c>
      <c r="Y1773" s="67">
        <f t="shared" si="71"/>
        <v>7589.474</v>
      </c>
      <c r="Z1773" s="67">
        <f t="shared" si="8"/>
        <v>6198.3</v>
      </c>
      <c r="AA1773" s="67">
        <f t="shared" si="72"/>
        <v>991.728</v>
      </c>
      <c r="AB1773" s="67">
        <f t="shared" si="73"/>
        <v>7190.028</v>
      </c>
      <c r="AC1773" s="67">
        <f t="shared" si="11"/>
        <v>6198.3</v>
      </c>
      <c r="AD1773" s="67">
        <f t="shared" si="74"/>
        <v>991.728</v>
      </c>
      <c r="AE1773" s="67">
        <f t="shared" si="75"/>
        <v>7190.028</v>
      </c>
      <c r="AF1773" s="67">
        <f t="shared" si="33"/>
        <v>6198.3</v>
      </c>
      <c r="AG1773" s="67">
        <f t="shared" si="76"/>
        <v>991.728</v>
      </c>
      <c r="AH1773" s="67">
        <f t="shared" si="77"/>
        <v>7190.028</v>
      </c>
      <c r="AI1773" s="67">
        <f t="shared" si="17"/>
        <v>6198.3</v>
      </c>
      <c r="AJ1773" s="68">
        <f t="shared" si="78"/>
        <v>991.728</v>
      </c>
      <c r="AK1773" s="68">
        <f t="shared" si="79"/>
        <v>7190.028</v>
      </c>
      <c r="AL1773" s="70"/>
      <c r="AM1773" s="70"/>
      <c r="AN1773" s="71"/>
      <c r="AO1773" s="71"/>
      <c r="AP1773" s="71"/>
      <c r="AQ1773" s="71"/>
      <c r="AR1773" s="71"/>
      <c r="AS1773" s="71"/>
      <c r="AT1773" s="71"/>
      <c r="AU1773" s="71"/>
      <c r="AV1773" s="71"/>
      <c r="AW1773" s="71"/>
      <c r="AX1773" s="71"/>
      <c r="AY1773" s="71"/>
      <c r="AZ1773" s="71"/>
      <c r="BA1773" s="71"/>
      <c r="BB1773" s="71"/>
      <c r="BC1773" s="71"/>
      <c r="BD1773" s="71"/>
      <c r="BE1773" s="71"/>
      <c r="BF1773" s="71"/>
      <c r="BG1773" s="71"/>
      <c r="BH1773" s="71"/>
      <c r="BI1773" s="71"/>
      <c r="BJ1773" s="71"/>
      <c r="BK1773" s="71"/>
      <c r="BL1773" s="71"/>
      <c r="BM1773" s="71"/>
      <c r="BN1773" s="71"/>
      <c r="BO1773" s="71"/>
      <c r="BP1773" s="71"/>
      <c r="BQ1773" s="71"/>
      <c r="BR1773" s="71"/>
      <c r="BS1773" s="71"/>
      <c r="BT1773" s="71"/>
      <c r="BU1773" s="71"/>
      <c r="BV1773" s="71"/>
    </row>
    <row r="1774">
      <c r="A1774" s="53"/>
      <c r="B1774" s="72">
        <v>3.0</v>
      </c>
      <c r="C1774" s="73" t="s">
        <v>12</v>
      </c>
      <c r="D1774" s="74" t="s">
        <v>4385</v>
      </c>
      <c r="E1774" s="54" t="s">
        <v>38</v>
      </c>
      <c r="F1774" s="54" t="s">
        <v>42</v>
      </c>
      <c r="G1774" s="54" t="s">
        <v>4386</v>
      </c>
      <c r="H1774" s="54" t="s">
        <v>4387</v>
      </c>
      <c r="I1774" s="54">
        <f t="shared" si="24"/>
        <v>22</v>
      </c>
      <c r="J1774" s="56"/>
      <c r="K1774" s="57"/>
      <c r="L1774" s="76"/>
      <c r="M1774" s="59"/>
      <c r="N1774" s="60">
        <v>35159.0</v>
      </c>
      <c r="O1774" s="61">
        <v>47318.0</v>
      </c>
      <c r="P1774" s="62">
        <v>51103.44</v>
      </c>
      <c r="Q1774" s="63">
        <v>51103.44</v>
      </c>
      <c r="R1774" s="64">
        <v>53659.0</v>
      </c>
      <c r="S1774" s="111">
        <v>56342.0</v>
      </c>
      <c r="T1774" s="65">
        <f t="shared" si="39"/>
        <v>9014.72</v>
      </c>
      <c r="U1774" s="65">
        <f t="shared" si="40"/>
        <v>65356.72</v>
      </c>
      <c r="V1774" s="66">
        <f t="shared" si="69"/>
        <v>0.05000093181</v>
      </c>
      <c r="W1774" s="67">
        <f t="shared" si="5"/>
        <v>53524.9</v>
      </c>
      <c r="X1774" s="67">
        <f t="shared" si="70"/>
        <v>8563.984</v>
      </c>
      <c r="Y1774" s="67">
        <f t="shared" si="71"/>
        <v>62088.884</v>
      </c>
      <c r="Z1774" s="67">
        <f t="shared" si="8"/>
        <v>50707.8</v>
      </c>
      <c r="AA1774" s="67">
        <f t="shared" si="72"/>
        <v>8113.248</v>
      </c>
      <c r="AB1774" s="67">
        <f t="shared" si="73"/>
        <v>58821.048</v>
      </c>
      <c r="AC1774" s="67">
        <f t="shared" si="11"/>
        <v>50707.8</v>
      </c>
      <c r="AD1774" s="67">
        <f t="shared" si="74"/>
        <v>8113.248</v>
      </c>
      <c r="AE1774" s="67">
        <f t="shared" si="75"/>
        <v>58821.048</v>
      </c>
      <c r="AF1774" s="67">
        <f t="shared" si="33"/>
        <v>50707.8</v>
      </c>
      <c r="AG1774" s="67">
        <f t="shared" si="76"/>
        <v>8113.248</v>
      </c>
      <c r="AH1774" s="67">
        <f t="shared" si="77"/>
        <v>58821.048</v>
      </c>
      <c r="AI1774" s="67">
        <f t="shared" si="17"/>
        <v>50707.8</v>
      </c>
      <c r="AJ1774" s="68">
        <f t="shared" si="78"/>
        <v>8113.248</v>
      </c>
      <c r="AK1774" s="68">
        <f t="shared" si="79"/>
        <v>58821.048</v>
      </c>
      <c r="AL1774" s="70"/>
      <c r="AM1774" s="70"/>
      <c r="AN1774" s="71"/>
      <c r="AO1774" s="71"/>
      <c r="AP1774" s="71"/>
      <c r="AQ1774" s="71"/>
      <c r="AR1774" s="71"/>
      <c r="AS1774" s="71"/>
      <c r="AT1774" s="71"/>
      <c r="AU1774" s="71"/>
      <c r="AV1774" s="71"/>
      <c r="AW1774" s="71"/>
      <c r="AX1774" s="71"/>
      <c r="AY1774" s="71"/>
      <c r="AZ1774" s="71"/>
      <c r="BA1774" s="71"/>
      <c r="BB1774" s="71"/>
      <c r="BC1774" s="71"/>
      <c r="BD1774" s="71"/>
      <c r="BE1774" s="71"/>
      <c r="BF1774" s="71"/>
      <c r="BG1774" s="71"/>
      <c r="BH1774" s="71"/>
      <c r="BI1774" s="71"/>
      <c r="BJ1774" s="71"/>
      <c r="BK1774" s="71"/>
      <c r="BL1774" s="71"/>
      <c r="BM1774" s="71"/>
      <c r="BN1774" s="71"/>
      <c r="BO1774" s="71"/>
      <c r="BP1774" s="71"/>
      <c r="BQ1774" s="71"/>
      <c r="BR1774" s="71"/>
      <c r="BS1774" s="71"/>
      <c r="BT1774" s="71"/>
      <c r="BU1774" s="71"/>
      <c r="BV1774" s="71"/>
    </row>
    <row r="1775">
      <c r="A1775" s="53">
        <v>1.0</v>
      </c>
      <c r="B1775" s="72">
        <v>3.0</v>
      </c>
      <c r="C1775" s="73" t="s">
        <v>12</v>
      </c>
      <c r="D1775" s="74" t="s">
        <v>4388</v>
      </c>
      <c r="E1775" s="54" t="s">
        <v>38</v>
      </c>
      <c r="F1775" s="54" t="s">
        <v>42</v>
      </c>
      <c r="G1775" s="54" t="s">
        <v>4389</v>
      </c>
      <c r="H1775" s="54" t="s">
        <v>4390</v>
      </c>
      <c r="I1775" s="54">
        <f t="shared" si="24"/>
        <v>21</v>
      </c>
      <c r="J1775" s="56"/>
      <c r="K1775" s="57"/>
      <c r="L1775" s="76" t="s">
        <v>1869</v>
      </c>
      <c r="M1775" s="59"/>
      <c r="N1775" s="79">
        <v>6342.0</v>
      </c>
      <c r="O1775" s="61">
        <v>8888.0</v>
      </c>
      <c r="P1775" s="62">
        <v>9599.04</v>
      </c>
      <c r="Q1775" s="63">
        <v>9599.04</v>
      </c>
      <c r="R1775" s="64">
        <v>10079.0</v>
      </c>
      <c r="S1775" s="65">
        <v>12000.0</v>
      </c>
      <c r="T1775" s="65">
        <f t="shared" si="39"/>
        <v>1920</v>
      </c>
      <c r="U1775" s="65">
        <f t="shared" si="40"/>
        <v>13920</v>
      </c>
      <c r="V1775" s="66">
        <f t="shared" si="69"/>
        <v>0.190594305</v>
      </c>
      <c r="W1775" s="67">
        <f t="shared" si="5"/>
        <v>11400</v>
      </c>
      <c r="X1775" s="67">
        <f t="shared" si="70"/>
        <v>1824</v>
      </c>
      <c r="Y1775" s="67">
        <f t="shared" si="71"/>
        <v>13224</v>
      </c>
      <c r="Z1775" s="67">
        <f t="shared" si="8"/>
        <v>10800</v>
      </c>
      <c r="AA1775" s="67">
        <f t="shared" si="72"/>
        <v>1728</v>
      </c>
      <c r="AB1775" s="67">
        <f t="shared" si="73"/>
        <v>12528</v>
      </c>
      <c r="AC1775" s="67">
        <f t="shared" si="11"/>
        <v>10800</v>
      </c>
      <c r="AD1775" s="67">
        <f t="shared" si="74"/>
        <v>1728</v>
      </c>
      <c r="AE1775" s="67">
        <f t="shared" si="75"/>
        <v>12528</v>
      </c>
      <c r="AF1775" s="67">
        <f t="shared" si="33"/>
        <v>10800</v>
      </c>
      <c r="AG1775" s="67">
        <f t="shared" si="76"/>
        <v>1728</v>
      </c>
      <c r="AH1775" s="67">
        <f t="shared" si="77"/>
        <v>12528</v>
      </c>
      <c r="AI1775" s="67">
        <f t="shared" si="17"/>
        <v>10800</v>
      </c>
      <c r="AJ1775" s="68">
        <f t="shared" si="78"/>
        <v>1728</v>
      </c>
      <c r="AK1775" s="68">
        <f t="shared" si="79"/>
        <v>12528</v>
      </c>
      <c r="AL1775" s="70"/>
      <c r="AM1775" s="70"/>
      <c r="AN1775" s="71"/>
      <c r="AO1775" s="71"/>
      <c r="AP1775" s="71"/>
      <c r="AQ1775" s="71"/>
      <c r="AR1775" s="71"/>
      <c r="AS1775" s="71"/>
      <c r="AT1775" s="71"/>
      <c r="AU1775" s="71"/>
      <c r="AV1775" s="71"/>
      <c r="AW1775" s="71"/>
      <c r="AX1775" s="71"/>
      <c r="AY1775" s="71"/>
      <c r="AZ1775" s="71"/>
      <c r="BA1775" s="71"/>
      <c r="BB1775" s="71"/>
      <c r="BC1775" s="71"/>
      <c r="BD1775" s="71"/>
      <c r="BE1775" s="71"/>
      <c r="BF1775" s="71"/>
      <c r="BG1775" s="71"/>
      <c r="BH1775" s="71"/>
      <c r="BI1775" s="71"/>
      <c r="BJ1775" s="71"/>
      <c r="BK1775" s="71"/>
      <c r="BL1775" s="71"/>
      <c r="BM1775" s="71"/>
      <c r="BN1775" s="71"/>
      <c r="BO1775" s="71"/>
      <c r="BP1775" s="71"/>
      <c r="BQ1775" s="71"/>
      <c r="BR1775" s="71"/>
      <c r="BS1775" s="71"/>
      <c r="BT1775" s="71"/>
      <c r="BU1775" s="71"/>
      <c r="BV1775" s="71"/>
    </row>
    <row r="1776">
      <c r="A1776" s="53"/>
      <c r="B1776" s="72">
        <v>3.0</v>
      </c>
      <c r="C1776" s="73" t="s">
        <v>12</v>
      </c>
      <c r="D1776" s="74" t="s">
        <v>4391</v>
      </c>
      <c r="E1776" s="54" t="s">
        <v>38</v>
      </c>
      <c r="F1776" s="54" t="s">
        <v>42</v>
      </c>
      <c r="G1776" s="54" t="s">
        <v>4392</v>
      </c>
      <c r="H1776" s="54" t="s">
        <v>4393</v>
      </c>
      <c r="I1776" s="54">
        <f t="shared" si="24"/>
        <v>22</v>
      </c>
      <c r="J1776" s="56"/>
      <c r="K1776" s="57"/>
      <c r="L1776" s="76"/>
      <c r="M1776" s="59"/>
      <c r="N1776" s="60">
        <v>40971.0</v>
      </c>
      <c r="O1776" s="61">
        <v>69948.0</v>
      </c>
      <c r="P1776" s="62">
        <v>75543.84000000001</v>
      </c>
      <c r="Q1776" s="63">
        <v>75543.84000000001</v>
      </c>
      <c r="R1776" s="64">
        <v>79322.0</v>
      </c>
      <c r="S1776" s="111">
        <v>83288.0</v>
      </c>
      <c r="T1776" s="65">
        <f t="shared" si="39"/>
        <v>13326.08</v>
      </c>
      <c r="U1776" s="65">
        <f t="shared" si="40"/>
        <v>96614.08</v>
      </c>
      <c r="V1776" s="66">
        <f t="shared" si="69"/>
        <v>0.04999873932</v>
      </c>
      <c r="W1776" s="67">
        <f t="shared" si="5"/>
        <v>79123.6</v>
      </c>
      <c r="X1776" s="67">
        <f t="shared" si="70"/>
        <v>12659.776</v>
      </c>
      <c r="Y1776" s="67">
        <f t="shared" si="71"/>
        <v>91783.376</v>
      </c>
      <c r="Z1776" s="67">
        <f t="shared" si="8"/>
        <v>74959.2</v>
      </c>
      <c r="AA1776" s="67">
        <f t="shared" si="72"/>
        <v>11993.472</v>
      </c>
      <c r="AB1776" s="67">
        <f t="shared" si="73"/>
        <v>86952.672</v>
      </c>
      <c r="AC1776" s="67">
        <f t="shared" si="11"/>
        <v>74959.2</v>
      </c>
      <c r="AD1776" s="67">
        <f t="shared" si="74"/>
        <v>11993.472</v>
      </c>
      <c r="AE1776" s="67">
        <f t="shared" si="75"/>
        <v>86952.672</v>
      </c>
      <c r="AF1776" s="67">
        <f t="shared" si="33"/>
        <v>74959.2</v>
      </c>
      <c r="AG1776" s="67">
        <f t="shared" si="76"/>
        <v>11993.472</v>
      </c>
      <c r="AH1776" s="67">
        <f t="shared" si="77"/>
        <v>86952.672</v>
      </c>
      <c r="AI1776" s="67">
        <f t="shared" si="17"/>
        <v>74959.2</v>
      </c>
      <c r="AJ1776" s="68">
        <f t="shared" si="78"/>
        <v>11993.472</v>
      </c>
      <c r="AK1776" s="68">
        <f t="shared" si="79"/>
        <v>86952.672</v>
      </c>
      <c r="AL1776" s="70"/>
      <c r="AM1776" s="70"/>
      <c r="AN1776" s="71"/>
      <c r="AO1776" s="71"/>
      <c r="AP1776" s="71"/>
      <c r="AQ1776" s="71"/>
      <c r="AR1776" s="71"/>
      <c r="AS1776" s="71"/>
      <c r="AT1776" s="71"/>
      <c r="AU1776" s="71"/>
      <c r="AV1776" s="71"/>
      <c r="AW1776" s="71"/>
      <c r="AX1776" s="71"/>
      <c r="AY1776" s="71"/>
      <c r="AZ1776" s="71"/>
      <c r="BA1776" s="71"/>
      <c r="BB1776" s="71"/>
      <c r="BC1776" s="71"/>
      <c r="BD1776" s="71"/>
      <c r="BE1776" s="71"/>
      <c r="BF1776" s="71"/>
      <c r="BG1776" s="71"/>
      <c r="BH1776" s="71"/>
      <c r="BI1776" s="71"/>
      <c r="BJ1776" s="71"/>
      <c r="BK1776" s="71"/>
      <c r="BL1776" s="71"/>
      <c r="BM1776" s="71"/>
      <c r="BN1776" s="71"/>
      <c r="BO1776" s="71"/>
      <c r="BP1776" s="71"/>
      <c r="BQ1776" s="71"/>
      <c r="BR1776" s="71"/>
      <c r="BS1776" s="71"/>
      <c r="BT1776" s="71"/>
      <c r="BU1776" s="71"/>
      <c r="BV1776" s="71"/>
    </row>
    <row r="1777">
      <c r="A1777" s="53">
        <v>1.0</v>
      </c>
      <c r="B1777" s="72">
        <v>3.0</v>
      </c>
      <c r="C1777" s="73" t="s">
        <v>12</v>
      </c>
      <c r="D1777" s="74" t="s">
        <v>4394</v>
      </c>
      <c r="E1777" s="54" t="s">
        <v>38</v>
      </c>
      <c r="F1777" s="54" t="s">
        <v>42</v>
      </c>
      <c r="G1777" s="54" t="s">
        <v>4395</v>
      </c>
      <c r="H1777" s="54" t="s">
        <v>4396</v>
      </c>
      <c r="I1777" s="54">
        <f t="shared" si="24"/>
        <v>23</v>
      </c>
      <c r="J1777" s="56"/>
      <c r="K1777" s="57"/>
      <c r="L1777" s="76" t="s">
        <v>1869</v>
      </c>
      <c r="M1777" s="59"/>
      <c r="N1777" s="79">
        <v>9625.0</v>
      </c>
      <c r="O1777" s="61">
        <v>13489.0</v>
      </c>
      <c r="P1777" s="62">
        <v>14568.12</v>
      </c>
      <c r="Q1777" s="63">
        <v>14568.12</v>
      </c>
      <c r="R1777" s="64">
        <v>15297.0</v>
      </c>
      <c r="S1777" s="65">
        <v>15700.0</v>
      </c>
      <c r="T1777" s="65">
        <f t="shared" si="39"/>
        <v>2512</v>
      </c>
      <c r="U1777" s="65">
        <f t="shared" si="40"/>
        <v>18212</v>
      </c>
      <c r="V1777" s="66">
        <f t="shared" si="69"/>
        <v>0.02634503497</v>
      </c>
      <c r="W1777" s="67">
        <f t="shared" si="5"/>
        <v>14915</v>
      </c>
      <c r="X1777" s="67">
        <f t="shared" si="70"/>
        <v>2386.4</v>
      </c>
      <c r="Y1777" s="67">
        <f t="shared" si="71"/>
        <v>17301.4</v>
      </c>
      <c r="Z1777" s="67">
        <f t="shared" si="8"/>
        <v>14130</v>
      </c>
      <c r="AA1777" s="67">
        <f t="shared" si="72"/>
        <v>2260.8</v>
      </c>
      <c r="AB1777" s="67">
        <f t="shared" si="73"/>
        <v>16390.8</v>
      </c>
      <c r="AC1777" s="67">
        <f t="shared" si="11"/>
        <v>14130</v>
      </c>
      <c r="AD1777" s="67">
        <f t="shared" si="74"/>
        <v>2260.8</v>
      </c>
      <c r="AE1777" s="67">
        <f t="shared" si="75"/>
        <v>16390.8</v>
      </c>
      <c r="AF1777" s="67">
        <f t="shared" si="33"/>
        <v>14130</v>
      </c>
      <c r="AG1777" s="67">
        <f t="shared" si="76"/>
        <v>2260.8</v>
      </c>
      <c r="AH1777" s="67">
        <f t="shared" si="77"/>
        <v>16390.8</v>
      </c>
      <c r="AI1777" s="67">
        <f t="shared" si="17"/>
        <v>14130</v>
      </c>
      <c r="AJ1777" s="68">
        <f t="shared" si="78"/>
        <v>2260.8</v>
      </c>
      <c r="AK1777" s="68">
        <f t="shared" si="79"/>
        <v>16390.8</v>
      </c>
      <c r="AL1777" s="70"/>
      <c r="AM1777" s="70"/>
      <c r="AN1777" s="71"/>
      <c r="AO1777" s="71"/>
      <c r="AP1777" s="71"/>
      <c r="AQ1777" s="71"/>
      <c r="AR1777" s="71"/>
      <c r="AS1777" s="71"/>
      <c r="AT1777" s="71"/>
      <c r="AU1777" s="71"/>
      <c r="AV1777" s="71"/>
      <c r="AW1777" s="71"/>
      <c r="AX1777" s="71"/>
      <c r="AY1777" s="71"/>
      <c r="AZ1777" s="71"/>
      <c r="BA1777" s="71"/>
      <c r="BB1777" s="71"/>
      <c r="BC1777" s="71"/>
      <c r="BD1777" s="71"/>
      <c r="BE1777" s="71"/>
      <c r="BF1777" s="71"/>
      <c r="BG1777" s="71"/>
      <c r="BH1777" s="71"/>
      <c r="BI1777" s="71"/>
      <c r="BJ1777" s="71"/>
      <c r="BK1777" s="71"/>
      <c r="BL1777" s="71"/>
      <c r="BM1777" s="71"/>
      <c r="BN1777" s="71"/>
      <c r="BO1777" s="71"/>
      <c r="BP1777" s="71"/>
      <c r="BQ1777" s="71"/>
      <c r="BR1777" s="71"/>
      <c r="BS1777" s="71"/>
      <c r="BT1777" s="71"/>
      <c r="BU1777" s="71"/>
      <c r="BV1777" s="71"/>
    </row>
    <row r="1778">
      <c r="A1778" s="53"/>
      <c r="B1778" s="53"/>
      <c r="C1778" s="73" t="s">
        <v>12</v>
      </c>
      <c r="D1778" s="53" t="s">
        <v>4397</v>
      </c>
      <c r="E1778" s="54" t="s">
        <v>38</v>
      </c>
      <c r="F1778" s="54" t="s">
        <v>42</v>
      </c>
      <c r="G1778" s="55" t="s">
        <v>4398</v>
      </c>
      <c r="H1778" s="54" t="s">
        <v>4399</v>
      </c>
      <c r="I1778" s="54">
        <f t="shared" si="24"/>
        <v>39</v>
      </c>
      <c r="J1778" s="56"/>
      <c r="K1778" s="57"/>
      <c r="L1778" s="76"/>
      <c r="M1778" s="59"/>
      <c r="N1778" s="79">
        <v>17560.0</v>
      </c>
      <c r="O1778" s="61">
        <v>21895.0</v>
      </c>
      <c r="P1778" s="63">
        <v>21680.0</v>
      </c>
      <c r="Q1778" s="63">
        <v>21680.0</v>
      </c>
      <c r="R1778" s="64">
        <v>22764.0</v>
      </c>
      <c r="S1778" s="111">
        <v>23902.0</v>
      </c>
      <c r="T1778" s="65">
        <f t="shared" si="39"/>
        <v>3824.32</v>
      </c>
      <c r="U1778" s="65">
        <f t="shared" si="40"/>
        <v>27726.32</v>
      </c>
      <c r="V1778" s="66">
        <f t="shared" si="69"/>
        <v>0.0499912142</v>
      </c>
      <c r="W1778" s="67">
        <f t="shared" si="5"/>
        <v>22706.9</v>
      </c>
      <c r="X1778" s="67">
        <f t="shared" si="70"/>
        <v>3633.104</v>
      </c>
      <c r="Y1778" s="67">
        <f t="shared" si="71"/>
        <v>26340.004</v>
      </c>
      <c r="Z1778" s="67">
        <f t="shared" si="8"/>
        <v>21511.8</v>
      </c>
      <c r="AA1778" s="67">
        <f t="shared" si="72"/>
        <v>3441.888</v>
      </c>
      <c r="AB1778" s="67">
        <f t="shared" si="73"/>
        <v>24953.688</v>
      </c>
      <c r="AC1778" s="67">
        <f t="shared" si="11"/>
        <v>20316.7</v>
      </c>
      <c r="AD1778" s="67">
        <f t="shared" si="74"/>
        <v>3250.672</v>
      </c>
      <c r="AE1778" s="67">
        <f t="shared" si="75"/>
        <v>23567.372</v>
      </c>
      <c r="AF1778" s="67">
        <f t="shared" si="33"/>
        <v>19838.66</v>
      </c>
      <c r="AG1778" s="67">
        <f t="shared" si="76"/>
        <v>3174.1856</v>
      </c>
      <c r="AH1778" s="67">
        <f t="shared" si="77"/>
        <v>23012.8456</v>
      </c>
      <c r="AI1778" s="67">
        <f t="shared" si="17"/>
        <v>19121.6</v>
      </c>
      <c r="AJ1778" s="68">
        <f t="shared" si="78"/>
        <v>3059.456</v>
      </c>
      <c r="AK1778" s="68">
        <f t="shared" si="79"/>
        <v>22181.056</v>
      </c>
      <c r="AL1778" s="70"/>
      <c r="AM1778" s="70"/>
      <c r="AN1778" s="71"/>
      <c r="AO1778" s="71"/>
      <c r="AP1778" s="71"/>
      <c r="AQ1778" s="71"/>
      <c r="AR1778" s="71"/>
      <c r="AS1778" s="71"/>
      <c r="AT1778" s="71"/>
      <c r="AU1778" s="71"/>
      <c r="AV1778" s="71"/>
      <c r="AW1778" s="71"/>
      <c r="AX1778" s="71"/>
      <c r="AY1778" s="71"/>
      <c r="AZ1778" s="71"/>
      <c r="BA1778" s="71"/>
      <c r="BB1778" s="71"/>
      <c r="BC1778" s="71"/>
      <c r="BD1778" s="71"/>
      <c r="BE1778" s="71"/>
      <c r="BF1778" s="71"/>
      <c r="BG1778" s="71"/>
      <c r="BH1778" s="71"/>
      <c r="BI1778" s="71"/>
      <c r="BJ1778" s="71"/>
      <c r="BK1778" s="71"/>
      <c r="BL1778" s="71"/>
      <c r="BM1778" s="71"/>
      <c r="BN1778" s="71"/>
      <c r="BO1778" s="71"/>
      <c r="BP1778" s="71"/>
      <c r="BQ1778" s="71"/>
      <c r="BR1778" s="71"/>
      <c r="BS1778" s="71"/>
      <c r="BT1778" s="71"/>
      <c r="BU1778" s="71"/>
      <c r="BV1778" s="71"/>
    </row>
    <row r="1779">
      <c r="A1779" s="53"/>
      <c r="B1779" s="53"/>
      <c r="C1779" s="73" t="s">
        <v>12</v>
      </c>
      <c r="D1779" s="53" t="s">
        <v>4400</v>
      </c>
      <c r="E1779" s="54" t="s">
        <v>38</v>
      </c>
      <c r="F1779" s="54" t="s">
        <v>42</v>
      </c>
      <c r="G1779" s="55" t="s">
        <v>4401</v>
      </c>
      <c r="H1779" s="55" t="s">
        <v>4402</v>
      </c>
      <c r="I1779" s="54">
        <f t="shared" si="24"/>
        <v>39</v>
      </c>
      <c r="J1779" s="56"/>
      <c r="K1779" s="57"/>
      <c r="L1779" s="76"/>
      <c r="M1779" s="59"/>
      <c r="N1779" s="79"/>
      <c r="O1779" s="61">
        <v>17950.0</v>
      </c>
      <c r="P1779" s="63">
        <v>19860.0</v>
      </c>
      <c r="Q1779" s="63">
        <v>19860.0</v>
      </c>
      <c r="R1779" s="64">
        <v>20853.0</v>
      </c>
      <c r="S1779" s="111">
        <v>21896.0</v>
      </c>
      <c r="T1779" s="65">
        <f t="shared" si="39"/>
        <v>3503.36</v>
      </c>
      <c r="U1779" s="65">
        <f t="shared" si="40"/>
        <v>25399.36</v>
      </c>
      <c r="V1779" s="66">
        <f t="shared" si="69"/>
        <v>0.05001678416</v>
      </c>
      <c r="W1779" s="67">
        <f t="shared" si="5"/>
        <v>20801.2</v>
      </c>
      <c r="X1779" s="67">
        <f t="shared" si="70"/>
        <v>3328.192</v>
      </c>
      <c r="Y1779" s="67">
        <f t="shared" si="71"/>
        <v>24129.392</v>
      </c>
      <c r="Z1779" s="67">
        <f t="shared" si="8"/>
        <v>19706.4</v>
      </c>
      <c r="AA1779" s="67">
        <f t="shared" si="72"/>
        <v>3153.024</v>
      </c>
      <c r="AB1779" s="67">
        <f t="shared" si="73"/>
        <v>22859.424</v>
      </c>
      <c r="AC1779" s="67">
        <f t="shared" si="11"/>
        <v>18611.6</v>
      </c>
      <c r="AD1779" s="67">
        <f t="shared" si="74"/>
        <v>2977.856</v>
      </c>
      <c r="AE1779" s="67">
        <f t="shared" si="75"/>
        <v>21589.456</v>
      </c>
      <c r="AF1779" s="67">
        <f t="shared" si="33"/>
        <v>18173.68</v>
      </c>
      <c r="AG1779" s="67">
        <f t="shared" si="76"/>
        <v>2907.7888</v>
      </c>
      <c r="AH1779" s="67">
        <f t="shared" si="77"/>
        <v>21081.4688</v>
      </c>
      <c r="AI1779" s="67">
        <f t="shared" si="17"/>
        <v>17516.8</v>
      </c>
      <c r="AJ1779" s="68">
        <f t="shared" si="78"/>
        <v>2802.688</v>
      </c>
      <c r="AK1779" s="68">
        <f t="shared" si="79"/>
        <v>20319.488</v>
      </c>
      <c r="AL1779" s="70"/>
      <c r="AM1779" s="70"/>
      <c r="AN1779" s="71"/>
      <c r="AO1779" s="71"/>
      <c r="AP1779" s="71"/>
      <c r="AQ1779" s="71"/>
      <c r="AR1779" s="71"/>
      <c r="AS1779" s="71"/>
      <c r="AT1779" s="71"/>
      <c r="AU1779" s="71"/>
      <c r="AV1779" s="71"/>
      <c r="AW1779" s="71"/>
      <c r="AX1779" s="71"/>
      <c r="AY1779" s="71"/>
      <c r="AZ1779" s="71"/>
      <c r="BA1779" s="71"/>
      <c r="BB1779" s="71"/>
      <c r="BC1779" s="71"/>
      <c r="BD1779" s="71"/>
      <c r="BE1779" s="71"/>
      <c r="BF1779" s="71"/>
      <c r="BG1779" s="71"/>
      <c r="BH1779" s="71"/>
      <c r="BI1779" s="71"/>
      <c r="BJ1779" s="71"/>
      <c r="BK1779" s="71"/>
      <c r="BL1779" s="71"/>
      <c r="BM1779" s="71"/>
      <c r="BN1779" s="71"/>
      <c r="BO1779" s="71"/>
      <c r="BP1779" s="71"/>
      <c r="BQ1779" s="71"/>
      <c r="BR1779" s="71"/>
      <c r="BS1779" s="71"/>
      <c r="BT1779" s="71"/>
      <c r="BU1779" s="71"/>
      <c r="BV1779" s="71"/>
    </row>
    <row r="1780">
      <c r="A1780" s="53"/>
      <c r="B1780" s="53"/>
      <c r="C1780" s="73" t="s">
        <v>12</v>
      </c>
      <c r="D1780" s="53" t="s">
        <v>4403</v>
      </c>
      <c r="E1780" s="54" t="s">
        <v>38</v>
      </c>
      <c r="F1780" s="54" t="s">
        <v>42</v>
      </c>
      <c r="G1780" s="55" t="s">
        <v>4404</v>
      </c>
      <c r="H1780" s="54" t="s">
        <v>4404</v>
      </c>
      <c r="I1780" s="54">
        <f t="shared" si="24"/>
        <v>39</v>
      </c>
      <c r="J1780" s="56"/>
      <c r="K1780" s="57"/>
      <c r="L1780" s="76"/>
      <c r="M1780" s="59"/>
      <c r="N1780" s="60"/>
      <c r="O1780" s="61">
        <v>27599.0</v>
      </c>
      <c r="P1780" s="62">
        <v>29806.920000000002</v>
      </c>
      <c r="Q1780" s="63">
        <v>29806.920000000002</v>
      </c>
      <c r="R1780" s="64">
        <v>31298.0</v>
      </c>
      <c r="S1780" s="111">
        <v>32863.0</v>
      </c>
      <c r="T1780" s="65">
        <f t="shared" si="39"/>
        <v>5258.08</v>
      </c>
      <c r="U1780" s="65">
        <f t="shared" si="40"/>
        <v>38121.08</v>
      </c>
      <c r="V1780" s="66">
        <f t="shared" si="69"/>
        <v>0.05000319509</v>
      </c>
      <c r="W1780" s="67">
        <f t="shared" si="5"/>
        <v>31219.85</v>
      </c>
      <c r="X1780" s="67">
        <f t="shared" si="70"/>
        <v>4995.176</v>
      </c>
      <c r="Y1780" s="67">
        <f t="shared" si="71"/>
        <v>36215.026</v>
      </c>
      <c r="Z1780" s="67">
        <f t="shared" si="8"/>
        <v>29576.7</v>
      </c>
      <c r="AA1780" s="67">
        <f t="shared" si="72"/>
        <v>4732.272</v>
      </c>
      <c r="AB1780" s="67">
        <f t="shared" si="73"/>
        <v>34308.972</v>
      </c>
      <c r="AC1780" s="67">
        <f t="shared" si="11"/>
        <v>27933.55</v>
      </c>
      <c r="AD1780" s="67">
        <f t="shared" si="74"/>
        <v>4469.368</v>
      </c>
      <c r="AE1780" s="67">
        <f t="shared" si="75"/>
        <v>32402.918</v>
      </c>
      <c r="AF1780" s="67">
        <f t="shared" si="33"/>
        <v>27276.29</v>
      </c>
      <c r="AG1780" s="67">
        <f t="shared" si="76"/>
        <v>4364.2064</v>
      </c>
      <c r="AH1780" s="67">
        <f t="shared" si="77"/>
        <v>31640.4964</v>
      </c>
      <c r="AI1780" s="67">
        <f t="shared" si="17"/>
        <v>26290.4</v>
      </c>
      <c r="AJ1780" s="68">
        <f t="shared" si="78"/>
        <v>4206.464</v>
      </c>
      <c r="AK1780" s="68">
        <f t="shared" si="79"/>
        <v>30496.864</v>
      </c>
      <c r="AL1780" s="70"/>
      <c r="AM1780" s="70"/>
      <c r="AN1780" s="71"/>
      <c r="AO1780" s="71"/>
      <c r="AP1780" s="71"/>
      <c r="AQ1780" s="71"/>
      <c r="AR1780" s="71"/>
      <c r="AS1780" s="71"/>
      <c r="AT1780" s="71"/>
      <c r="AU1780" s="71"/>
      <c r="AV1780" s="71"/>
      <c r="AW1780" s="71"/>
      <c r="AX1780" s="71"/>
      <c r="AY1780" s="71"/>
      <c r="AZ1780" s="71"/>
      <c r="BA1780" s="71"/>
      <c r="BB1780" s="71"/>
      <c r="BC1780" s="71"/>
      <c r="BD1780" s="71"/>
      <c r="BE1780" s="71"/>
      <c r="BF1780" s="71"/>
      <c r="BG1780" s="71"/>
      <c r="BH1780" s="71"/>
      <c r="BI1780" s="71"/>
      <c r="BJ1780" s="71"/>
      <c r="BK1780" s="71"/>
      <c r="BL1780" s="71"/>
      <c r="BM1780" s="71"/>
      <c r="BN1780" s="71"/>
      <c r="BO1780" s="71"/>
      <c r="BP1780" s="71"/>
      <c r="BQ1780" s="71"/>
      <c r="BR1780" s="71"/>
      <c r="BS1780" s="71"/>
      <c r="BT1780" s="71"/>
      <c r="BU1780" s="71"/>
      <c r="BV1780" s="71"/>
    </row>
    <row r="1781">
      <c r="A1781" s="53">
        <v>1.0</v>
      </c>
      <c r="B1781" s="53"/>
      <c r="C1781" s="53" t="s">
        <v>12</v>
      </c>
      <c r="D1781" s="53" t="s">
        <v>4405</v>
      </c>
      <c r="E1781" s="86" t="s">
        <v>38</v>
      </c>
      <c r="F1781" s="91" t="s">
        <v>42</v>
      </c>
      <c r="G1781" s="84" t="s">
        <v>4406</v>
      </c>
      <c r="H1781" s="84" t="s">
        <v>4407</v>
      </c>
      <c r="I1781" s="54">
        <f t="shared" si="24"/>
        <v>38</v>
      </c>
      <c r="J1781" s="56"/>
      <c r="K1781" s="57"/>
      <c r="L1781" s="119"/>
      <c r="M1781" s="59"/>
      <c r="N1781" s="93"/>
      <c r="O1781" s="61"/>
      <c r="P1781" s="90"/>
      <c r="Q1781" s="94"/>
      <c r="R1781" s="95"/>
      <c r="S1781" s="65">
        <v>4500.0</v>
      </c>
      <c r="T1781" s="65">
        <f t="shared" si="39"/>
        <v>720</v>
      </c>
      <c r="U1781" s="65">
        <f t="shared" si="40"/>
        <v>5220</v>
      </c>
      <c r="V1781" s="66" t="str">
        <f t="shared" si="69"/>
        <v>#DIV/0!</v>
      </c>
      <c r="W1781" s="67">
        <f t="shared" si="5"/>
        <v>4275</v>
      </c>
      <c r="X1781" s="67">
        <f t="shared" si="70"/>
        <v>684</v>
      </c>
      <c r="Y1781" s="67">
        <f t="shared" si="71"/>
        <v>4959</v>
      </c>
      <c r="Z1781" s="67">
        <f t="shared" si="8"/>
        <v>4050</v>
      </c>
      <c r="AA1781" s="67">
        <f t="shared" si="72"/>
        <v>648</v>
      </c>
      <c r="AB1781" s="67">
        <f t="shared" si="73"/>
        <v>4698</v>
      </c>
      <c r="AC1781" s="67">
        <f t="shared" si="11"/>
        <v>3825</v>
      </c>
      <c r="AD1781" s="67">
        <f t="shared" si="74"/>
        <v>612</v>
      </c>
      <c r="AE1781" s="67">
        <f t="shared" si="75"/>
        <v>4437</v>
      </c>
      <c r="AF1781" s="67">
        <f t="shared" si="33"/>
        <v>3735</v>
      </c>
      <c r="AG1781" s="67">
        <f t="shared" si="76"/>
        <v>597.6</v>
      </c>
      <c r="AH1781" s="67">
        <f t="shared" si="77"/>
        <v>4332.6</v>
      </c>
      <c r="AI1781" s="67">
        <f t="shared" si="17"/>
        <v>3600</v>
      </c>
      <c r="AJ1781" s="68">
        <f t="shared" si="78"/>
        <v>576</v>
      </c>
      <c r="AK1781" s="68">
        <f t="shared" si="79"/>
        <v>4176</v>
      </c>
      <c r="AL1781" s="70"/>
      <c r="AM1781" s="70"/>
      <c r="AN1781" s="71"/>
      <c r="AO1781" s="71"/>
      <c r="AP1781" s="71"/>
      <c r="AQ1781" s="71"/>
      <c r="AR1781" s="71"/>
      <c r="AS1781" s="71"/>
      <c r="AT1781" s="71"/>
      <c r="AU1781" s="71"/>
      <c r="AV1781" s="71"/>
      <c r="AW1781" s="71"/>
      <c r="AX1781" s="71"/>
      <c r="AY1781" s="71"/>
      <c r="AZ1781" s="71"/>
      <c r="BA1781" s="71"/>
      <c r="BB1781" s="71"/>
      <c r="BC1781" s="71"/>
      <c r="BD1781" s="71"/>
      <c r="BE1781" s="71"/>
      <c r="BF1781" s="71"/>
      <c r="BG1781" s="71"/>
      <c r="BH1781" s="71"/>
      <c r="BI1781" s="71"/>
      <c r="BJ1781" s="71"/>
      <c r="BK1781" s="71"/>
      <c r="BL1781" s="71"/>
      <c r="BM1781" s="71"/>
      <c r="BN1781" s="71"/>
      <c r="BO1781" s="71"/>
      <c r="BP1781" s="71"/>
      <c r="BQ1781" s="71"/>
      <c r="BR1781" s="71"/>
      <c r="BS1781" s="71"/>
      <c r="BT1781" s="71"/>
      <c r="BU1781" s="71"/>
      <c r="BV1781" s="71"/>
    </row>
    <row r="1782">
      <c r="A1782" s="53">
        <v>1.0</v>
      </c>
      <c r="B1782" s="53"/>
      <c r="C1782" s="73" t="s">
        <v>12</v>
      </c>
      <c r="D1782" s="74" t="s">
        <v>4408</v>
      </c>
      <c r="E1782" s="54" t="s">
        <v>38</v>
      </c>
      <c r="F1782" s="54" t="s">
        <v>42</v>
      </c>
      <c r="G1782" s="55" t="s">
        <v>4409</v>
      </c>
      <c r="H1782" s="54" t="s">
        <v>4409</v>
      </c>
      <c r="I1782" s="54">
        <f t="shared" si="24"/>
        <v>17</v>
      </c>
      <c r="J1782" s="56"/>
      <c r="K1782" s="57"/>
      <c r="L1782" s="87"/>
      <c r="M1782" s="59"/>
      <c r="N1782" s="60">
        <v>12.0</v>
      </c>
      <c r="O1782" s="61">
        <v>12.0</v>
      </c>
      <c r="P1782" s="62">
        <v>12.96</v>
      </c>
      <c r="Q1782" s="63">
        <v>12.96</v>
      </c>
      <c r="R1782" s="64">
        <v>15.0</v>
      </c>
      <c r="S1782" s="111">
        <v>15.75</v>
      </c>
      <c r="T1782" s="65">
        <f t="shared" si="39"/>
        <v>2.52</v>
      </c>
      <c r="U1782" s="65">
        <f t="shared" si="40"/>
        <v>18.27</v>
      </c>
      <c r="V1782" s="66">
        <f t="shared" si="69"/>
        <v>0.05</v>
      </c>
      <c r="W1782" s="67">
        <f t="shared" si="5"/>
        <v>14.9625</v>
      </c>
      <c r="X1782" s="67">
        <f t="shared" si="70"/>
        <v>2.394</v>
      </c>
      <c r="Y1782" s="67">
        <f t="shared" si="71"/>
        <v>17.3565</v>
      </c>
      <c r="Z1782" s="67">
        <f t="shared" si="8"/>
        <v>14.175</v>
      </c>
      <c r="AA1782" s="67">
        <f t="shared" si="72"/>
        <v>2.268</v>
      </c>
      <c r="AB1782" s="67">
        <f t="shared" si="73"/>
        <v>16.443</v>
      </c>
      <c r="AC1782" s="67">
        <f t="shared" si="11"/>
        <v>13.3875</v>
      </c>
      <c r="AD1782" s="67">
        <f t="shared" si="74"/>
        <v>2.142</v>
      </c>
      <c r="AE1782" s="67">
        <f t="shared" si="75"/>
        <v>15.5295</v>
      </c>
      <c r="AF1782" s="67">
        <f t="shared" si="33"/>
        <v>13.0725</v>
      </c>
      <c r="AG1782" s="67">
        <f t="shared" si="76"/>
        <v>2.0916</v>
      </c>
      <c r="AH1782" s="67">
        <f t="shared" si="77"/>
        <v>15.1641</v>
      </c>
      <c r="AI1782" s="67">
        <f t="shared" si="17"/>
        <v>12.6</v>
      </c>
      <c r="AJ1782" s="68">
        <f t="shared" si="78"/>
        <v>2.016</v>
      </c>
      <c r="AK1782" s="68">
        <f t="shared" si="79"/>
        <v>14.616</v>
      </c>
      <c r="AL1782" s="70"/>
      <c r="AM1782" s="70"/>
      <c r="AN1782" s="71"/>
      <c r="AO1782" s="71"/>
      <c r="AP1782" s="71"/>
      <c r="AQ1782" s="71"/>
      <c r="AR1782" s="71"/>
      <c r="AS1782" s="71"/>
      <c r="AT1782" s="71"/>
      <c r="AU1782" s="71"/>
      <c r="AV1782" s="71"/>
      <c r="AW1782" s="71"/>
      <c r="AX1782" s="71"/>
      <c r="AY1782" s="71"/>
      <c r="AZ1782" s="71"/>
      <c r="BA1782" s="71"/>
      <c r="BB1782" s="71"/>
      <c r="BC1782" s="71"/>
      <c r="BD1782" s="71"/>
      <c r="BE1782" s="71"/>
      <c r="BF1782" s="71"/>
      <c r="BG1782" s="71"/>
      <c r="BH1782" s="71"/>
      <c r="BI1782" s="71"/>
      <c r="BJ1782" s="71"/>
      <c r="BK1782" s="71"/>
      <c r="BL1782" s="71"/>
      <c r="BM1782" s="71"/>
      <c r="BN1782" s="71"/>
      <c r="BO1782" s="71"/>
      <c r="BP1782" s="71"/>
      <c r="BQ1782" s="71"/>
      <c r="BR1782" s="71"/>
      <c r="BS1782" s="71"/>
      <c r="BT1782" s="71"/>
      <c r="BU1782" s="71"/>
      <c r="BV1782" s="71"/>
    </row>
    <row r="1783">
      <c r="A1783" s="53"/>
      <c r="B1783" s="53"/>
      <c r="C1783" s="53" t="s">
        <v>36</v>
      </c>
      <c r="D1783" s="85" t="s">
        <v>4410</v>
      </c>
      <c r="E1783" s="54" t="s">
        <v>38</v>
      </c>
      <c r="F1783" s="55" t="s">
        <v>39</v>
      </c>
      <c r="G1783" s="86" t="s">
        <v>4411</v>
      </c>
      <c r="H1783" s="55"/>
      <c r="I1783" s="54">
        <f t="shared" si="24"/>
        <v>0</v>
      </c>
      <c r="J1783" s="56"/>
      <c r="K1783" s="57"/>
      <c r="L1783" s="76"/>
      <c r="M1783" s="59"/>
      <c r="N1783" s="60"/>
      <c r="O1783" s="61">
        <v>13.44</v>
      </c>
      <c r="P1783" s="62">
        <v>14.5152</v>
      </c>
      <c r="Q1783" s="63">
        <v>14.5152</v>
      </c>
      <c r="R1783" s="64">
        <v>16.0</v>
      </c>
      <c r="S1783" s="107">
        <v>16.8</v>
      </c>
      <c r="T1783" s="65">
        <f t="shared" si="39"/>
        <v>2.688</v>
      </c>
      <c r="U1783" s="65">
        <f t="shared" si="40"/>
        <v>19.488</v>
      </c>
      <c r="V1783" s="66">
        <f t="shared" si="69"/>
        <v>0.05</v>
      </c>
      <c r="W1783" s="67">
        <f t="shared" si="5"/>
        <v>15.96</v>
      </c>
      <c r="X1783" s="67">
        <f t="shared" si="70"/>
        <v>2.5536</v>
      </c>
      <c r="Y1783" s="67">
        <f t="shared" si="71"/>
        <v>18.5136</v>
      </c>
      <c r="Z1783" s="67">
        <f t="shared" si="8"/>
        <v>15.12</v>
      </c>
      <c r="AA1783" s="67">
        <f t="shared" si="72"/>
        <v>2.4192</v>
      </c>
      <c r="AB1783" s="67">
        <f t="shared" si="73"/>
        <v>17.5392</v>
      </c>
      <c r="AC1783" s="67">
        <f t="shared" si="11"/>
        <v>14.28</v>
      </c>
      <c r="AD1783" s="67">
        <f t="shared" si="74"/>
        <v>2.2848</v>
      </c>
      <c r="AE1783" s="67">
        <f t="shared" si="75"/>
        <v>16.5648</v>
      </c>
      <c r="AF1783" s="67">
        <f t="shared" si="33"/>
        <v>13.944</v>
      </c>
      <c r="AG1783" s="67">
        <f t="shared" si="76"/>
        <v>2.23104</v>
      </c>
      <c r="AH1783" s="67">
        <f t="shared" si="77"/>
        <v>16.17504</v>
      </c>
      <c r="AI1783" s="67">
        <f t="shared" si="17"/>
        <v>13.44</v>
      </c>
      <c r="AJ1783" s="68">
        <f t="shared" si="78"/>
        <v>2.1504</v>
      </c>
      <c r="AK1783" s="68">
        <f t="shared" si="79"/>
        <v>15.5904</v>
      </c>
      <c r="AL1783" s="70"/>
      <c r="AM1783" s="70"/>
      <c r="AN1783" s="71"/>
      <c r="AO1783" s="71"/>
      <c r="AP1783" s="71"/>
      <c r="AQ1783" s="71"/>
      <c r="AR1783" s="71"/>
      <c r="AS1783" s="71"/>
      <c r="AT1783" s="71"/>
      <c r="AU1783" s="71"/>
      <c r="AV1783" s="71"/>
      <c r="AW1783" s="71"/>
      <c r="AX1783" s="71"/>
      <c r="AY1783" s="71"/>
      <c r="AZ1783" s="71"/>
      <c r="BA1783" s="71"/>
      <c r="BB1783" s="71"/>
      <c r="BC1783" s="71"/>
      <c r="BD1783" s="71"/>
      <c r="BE1783" s="71"/>
      <c r="BF1783" s="71"/>
      <c r="BG1783" s="71"/>
      <c r="BH1783" s="71"/>
      <c r="BI1783" s="71"/>
      <c r="BJ1783" s="71"/>
      <c r="BK1783" s="71"/>
      <c r="BL1783" s="71"/>
      <c r="BM1783" s="71"/>
      <c r="BN1783" s="71"/>
      <c r="BO1783" s="71"/>
      <c r="BP1783" s="71"/>
      <c r="BQ1783" s="71"/>
      <c r="BR1783" s="71"/>
      <c r="BS1783" s="71"/>
      <c r="BT1783" s="71"/>
      <c r="BU1783" s="71"/>
      <c r="BV1783" s="71"/>
    </row>
    <row r="1784">
      <c r="A1784" s="53"/>
      <c r="B1784" s="53"/>
      <c r="C1784" s="53" t="s">
        <v>53</v>
      </c>
      <c r="D1784" s="53" t="s">
        <v>4412</v>
      </c>
      <c r="E1784" s="54" t="s">
        <v>38</v>
      </c>
      <c r="F1784" s="55" t="s">
        <v>39</v>
      </c>
      <c r="G1784" s="55" t="s">
        <v>4413</v>
      </c>
      <c r="H1784" s="55" t="s">
        <v>4411</v>
      </c>
      <c r="I1784" s="54">
        <f t="shared" si="24"/>
        <v>25</v>
      </c>
      <c r="J1784" s="56"/>
      <c r="K1784" s="57"/>
      <c r="L1784" s="76"/>
      <c r="M1784" s="59"/>
      <c r="N1784" s="60"/>
      <c r="O1784" s="61">
        <v>13.44</v>
      </c>
      <c r="P1784" s="62">
        <v>14.5152</v>
      </c>
      <c r="Q1784" s="63">
        <v>14.5152</v>
      </c>
      <c r="R1784" s="64">
        <v>16.0</v>
      </c>
      <c r="S1784" s="111">
        <v>16.8</v>
      </c>
      <c r="T1784" s="65">
        <f t="shared" si="39"/>
        <v>2.688</v>
      </c>
      <c r="U1784" s="65">
        <f t="shared" si="40"/>
        <v>19.488</v>
      </c>
      <c r="V1784" s="66">
        <f t="shared" si="69"/>
        <v>0.05</v>
      </c>
      <c r="W1784" s="67">
        <f t="shared" si="5"/>
        <v>15.96</v>
      </c>
      <c r="X1784" s="67">
        <f t="shared" si="70"/>
        <v>2.5536</v>
      </c>
      <c r="Y1784" s="67">
        <f t="shared" si="71"/>
        <v>18.5136</v>
      </c>
      <c r="Z1784" s="67">
        <f t="shared" si="8"/>
        <v>15.12</v>
      </c>
      <c r="AA1784" s="67">
        <f t="shared" si="72"/>
        <v>2.4192</v>
      </c>
      <c r="AB1784" s="67">
        <f t="shared" si="73"/>
        <v>17.5392</v>
      </c>
      <c r="AC1784" s="67">
        <f t="shared" si="11"/>
        <v>14.28</v>
      </c>
      <c r="AD1784" s="67">
        <f t="shared" si="74"/>
        <v>2.2848</v>
      </c>
      <c r="AE1784" s="67">
        <f t="shared" si="75"/>
        <v>16.5648</v>
      </c>
      <c r="AF1784" s="67">
        <f t="shared" si="33"/>
        <v>13.944</v>
      </c>
      <c r="AG1784" s="67">
        <f t="shared" si="76"/>
        <v>2.23104</v>
      </c>
      <c r="AH1784" s="67">
        <f t="shared" si="77"/>
        <v>16.17504</v>
      </c>
      <c r="AI1784" s="67">
        <f t="shared" si="17"/>
        <v>13.44</v>
      </c>
      <c r="AJ1784" s="68">
        <f t="shared" si="78"/>
        <v>2.1504</v>
      </c>
      <c r="AK1784" s="68">
        <f t="shared" si="79"/>
        <v>15.5904</v>
      </c>
      <c r="AL1784" s="70"/>
      <c r="AM1784" s="70"/>
      <c r="AN1784" s="71"/>
      <c r="AO1784" s="71"/>
      <c r="AP1784" s="71"/>
      <c r="AQ1784" s="71"/>
      <c r="AR1784" s="71"/>
      <c r="AS1784" s="71"/>
      <c r="AT1784" s="71"/>
      <c r="AU1784" s="71"/>
      <c r="AV1784" s="71"/>
      <c r="AW1784" s="71"/>
      <c r="AX1784" s="71"/>
      <c r="AY1784" s="71"/>
      <c r="AZ1784" s="71"/>
      <c r="BA1784" s="71"/>
      <c r="BB1784" s="71"/>
      <c r="BC1784" s="71"/>
      <c r="BD1784" s="71"/>
      <c r="BE1784" s="71"/>
      <c r="BF1784" s="71"/>
      <c r="BG1784" s="71"/>
      <c r="BH1784" s="71"/>
      <c r="BI1784" s="71"/>
      <c r="BJ1784" s="71"/>
      <c r="BK1784" s="71"/>
      <c r="BL1784" s="71"/>
      <c r="BM1784" s="71"/>
      <c r="BN1784" s="71"/>
      <c r="BO1784" s="71"/>
      <c r="BP1784" s="71"/>
      <c r="BQ1784" s="71"/>
      <c r="BR1784" s="71"/>
      <c r="BS1784" s="71"/>
      <c r="BT1784" s="71"/>
      <c r="BU1784" s="71"/>
      <c r="BV1784" s="71"/>
    </row>
    <row r="1785">
      <c r="A1785" s="53"/>
      <c r="B1785" s="53"/>
      <c r="C1785" s="53" t="s">
        <v>36</v>
      </c>
      <c r="D1785" s="85" t="s">
        <v>4414</v>
      </c>
      <c r="E1785" s="54" t="s">
        <v>38</v>
      </c>
      <c r="F1785" s="55" t="s">
        <v>39</v>
      </c>
      <c r="G1785" s="86" t="s">
        <v>4415</v>
      </c>
      <c r="H1785" s="55"/>
      <c r="I1785" s="54">
        <f t="shared" si="24"/>
        <v>0</v>
      </c>
      <c r="J1785" s="56"/>
      <c r="K1785" s="57"/>
      <c r="L1785" s="76"/>
      <c r="M1785" s="59"/>
      <c r="N1785" s="60"/>
      <c r="O1785" s="61">
        <v>34.56</v>
      </c>
      <c r="P1785" s="62">
        <v>37.3248</v>
      </c>
      <c r="Q1785" s="63">
        <v>37.3248</v>
      </c>
      <c r="R1785" s="64">
        <v>39.0</v>
      </c>
      <c r="S1785" s="107">
        <v>41.0</v>
      </c>
      <c r="T1785" s="65">
        <f t="shared" si="39"/>
        <v>6.56</v>
      </c>
      <c r="U1785" s="65">
        <f t="shared" si="40"/>
        <v>47.56</v>
      </c>
      <c r="V1785" s="66">
        <f t="shared" si="69"/>
        <v>0.05128205128</v>
      </c>
      <c r="W1785" s="67">
        <f t="shared" si="5"/>
        <v>38.95</v>
      </c>
      <c r="X1785" s="67">
        <f t="shared" si="70"/>
        <v>6.232</v>
      </c>
      <c r="Y1785" s="67">
        <f t="shared" si="71"/>
        <v>45.182</v>
      </c>
      <c r="Z1785" s="67">
        <f t="shared" si="8"/>
        <v>36.9</v>
      </c>
      <c r="AA1785" s="67">
        <f t="shared" si="72"/>
        <v>5.904</v>
      </c>
      <c r="AB1785" s="67">
        <f t="shared" si="73"/>
        <v>42.804</v>
      </c>
      <c r="AC1785" s="67">
        <f t="shared" si="11"/>
        <v>34.85</v>
      </c>
      <c r="AD1785" s="67">
        <f t="shared" si="74"/>
        <v>5.576</v>
      </c>
      <c r="AE1785" s="67">
        <f t="shared" si="75"/>
        <v>40.426</v>
      </c>
      <c r="AF1785" s="67">
        <f t="shared" si="33"/>
        <v>34.03</v>
      </c>
      <c r="AG1785" s="67">
        <f t="shared" si="76"/>
        <v>5.4448</v>
      </c>
      <c r="AH1785" s="67">
        <f t="shared" si="77"/>
        <v>39.4748</v>
      </c>
      <c r="AI1785" s="67">
        <f t="shared" si="17"/>
        <v>32.8</v>
      </c>
      <c r="AJ1785" s="68">
        <f t="shared" si="78"/>
        <v>5.248</v>
      </c>
      <c r="AK1785" s="68">
        <f t="shared" si="79"/>
        <v>38.048</v>
      </c>
      <c r="AL1785" s="70"/>
      <c r="AM1785" s="70"/>
      <c r="AN1785" s="71"/>
      <c r="AO1785" s="71"/>
      <c r="AP1785" s="71"/>
      <c r="AQ1785" s="71"/>
      <c r="AR1785" s="71"/>
      <c r="AS1785" s="71"/>
      <c r="AT1785" s="71"/>
      <c r="AU1785" s="71"/>
      <c r="AV1785" s="71"/>
      <c r="AW1785" s="71"/>
      <c r="AX1785" s="71"/>
      <c r="AY1785" s="71"/>
      <c r="AZ1785" s="71"/>
      <c r="BA1785" s="71"/>
      <c r="BB1785" s="71"/>
      <c r="BC1785" s="71"/>
      <c r="BD1785" s="71"/>
      <c r="BE1785" s="71"/>
      <c r="BF1785" s="71"/>
      <c r="BG1785" s="71"/>
      <c r="BH1785" s="71"/>
      <c r="BI1785" s="71"/>
      <c r="BJ1785" s="71"/>
      <c r="BK1785" s="71"/>
      <c r="BL1785" s="71"/>
      <c r="BM1785" s="71"/>
      <c r="BN1785" s="71"/>
      <c r="BO1785" s="71"/>
      <c r="BP1785" s="71"/>
      <c r="BQ1785" s="71"/>
      <c r="BR1785" s="71"/>
      <c r="BS1785" s="71"/>
      <c r="BT1785" s="71"/>
      <c r="BU1785" s="71"/>
      <c r="BV1785" s="71"/>
    </row>
    <row r="1786">
      <c r="A1786" s="53"/>
      <c r="B1786" s="53"/>
      <c r="C1786" s="53" t="s">
        <v>36</v>
      </c>
      <c r="D1786" s="85" t="s">
        <v>4416</v>
      </c>
      <c r="E1786" s="54" t="s">
        <v>38</v>
      </c>
      <c r="F1786" s="55" t="s">
        <v>39</v>
      </c>
      <c r="G1786" s="86" t="s">
        <v>4417</v>
      </c>
      <c r="H1786" s="55"/>
      <c r="I1786" s="54">
        <f t="shared" si="24"/>
        <v>0</v>
      </c>
      <c r="J1786" s="56"/>
      <c r="K1786" s="57"/>
      <c r="L1786" s="76"/>
      <c r="M1786" s="59"/>
      <c r="N1786" s="60"/>
      <c r="O1786" s="61">
        <v>32.64</v>
      </c>
      <c r="P1786" s="62">
        <v>35.251200000000004</v>
      </c>
      <c r="Q1786" s="63">
        <v>35.251200000000004</v>
      </c>
      <c r="R1786" s="64">
        <v>37.0</v>
      </c>
      <c r="S1786" s="107">
        <v>39.0</v>
      </c>
      <c r="T1786" s="65">
        <f t="shared" si="39"/>
        <v>6.24</v>
      </c>
      <c r="U1786" s="65">
        <f t="shared" si="40"/>
        <v>45.24</v>
      </c>
      <c r="V1786" s="66">
        <f t="shared" si="69"/>
        <v>0.05405405405</v>
      </c>
      <c r="W1786" s="67">
        <f t="shared" si="5"/>
        <v>37.05</v>
      </c>
      <c r="X1786" s="67">
        <f t="shared" si="70"/>
        <v>5.928</v>
      </c>
      <c r="Y1786" s="67">
        <f t="shared" si="71"/>
        <v>42.978</v>
      </c>
      <c r="Z1786" s="67">
        <f t="shared" si="8"/>
        <v>35.1</v>
      </c>
      <c r="AA1786" s="67">
        <f t="shared" si="72"/>
        <v>5.616</v>
      </c>
      <c r="AB1786" s="67">
        <f t="shared" si="73"/>
        <v>40.716</v>
      </c>
      <c r="AC1786" s="67">
        <f t="shared" si="11"/>
        <v>33.15</v>
      </c>
      <c r="AD1786" s="67">
        <f t="shared" si="74"/>
        <v>5.304</v>
      </c>
      <c r="AE1786" s="67">
        <f t="shared" si="75"/>
        <v>38.454</v>
      </c>
      <c r="AF1786" s="67">
        <f t="shared" si="33"/>
        <v>32.37</v>
      </c>
      <c r="AG1786" s="67">
        <f t="shared" si="76"/>
        <v>5.1792</v>
      </c>
      <c r="AH1786" s="67">
        <f t="shared" si="77"/>
        <v>37.5492</v>
      </c>
      <c r="AI1786" s="67">
        <f t="shared" si="17"/>
        <v>31.2</v>
      </c>
      <c r="AJ1786" s="68">
        <f t="shared" si="78"/>
        <v>4.992</v>
      </c>
      <c r="AK1786" s="68">
        <f t="shared" si="79"/>
        <v>36.192</v>
      </c>
      <c r="AL1786" s="70"/>
      <c r="AM1786" s="70"/>
      <c r="AN1786" s="71"/>
      <c r="AO1786" s="71"/>
      <c r="AP1786" s="71"/>
      <c r="AQ1786" s="71"/>
      <c r="AR1786" s="71"/>
      <c r="AS1786" s="71"/>
      <c r="AT1786" s="71"/>
      <c r="AU1786" s="71"/>
      <c r="AV1786" s="71"/>
      <c r="AW1786" s="71"/>
      <c r="AX1786" s="71"/>
      <c r="AY1786" s="71"/>
      <c r="AZ1786" s="71"/>
      <c r="BA1786" s="71"/>
      <c r="BB1786" s="71"/>
      <c r="BC1786" s="71"/>
      <c r="BD1786" s="71"/>
      <c r="BE1786" s="71"/>
      <c r="BF1786" s="71"/>
      <c r="BG1786" s="71"/>
      <c r="BH1786" s="71"/>
      <c r="BI1786" s="71"/>
      <c r="BJ1786" s="71"/>
      <c r="BK1786" s="71"/>
      <c r="BL1786" s="71"/>
      <c r="BM1786" s="71"/>
      <c r="BN1786" s="71"/>
      <c r="BO1786" s="71"/>
      <c r="BP1786" s="71"/>
      <c r="BQ1786" s="71"/>
      <c r="BR1786" s="71"/>
      <c r="BS1786" s="71"/>
      <c r="BT1786" s="71"/>
      <c r="BU1786" s="71"/>
      <c r="BV1786" s="71"/>
    </row>
    <row r="1787">
      <c r="A1787" s="53"/>
      <c r="B1787" s="53"/>
      <c r="C1787" s="53" t="s">
        <v>36</v>
      </c>
      <c r="D1787" s="85" t="s">
        <v>4418</v>
      </c>
      <c r="E1787" s="54" t="s">
        <v>38</v>
      </c>
      <c r="F1787" s="55" t="s">
        <v>39</v>
      </c>
      <c r="G1787" s="86" t="s">
        <v>4419</v>
      </c>
      <c r="H1787" s="55"/>
      <c r="I1787" s="54">
        <f t="shared" si="24"/>
        <v>0</v>
      </c>
      <c r="J1787" s="56"/>
      <c r="K1787" s="57"/>
      <c r="L1787" s="76"/>
      <c r="M1787" s="59"/>
      <c r="N1787" s="60"/>
      <c r="O1787" s="61">
        <v>32.64</v>
      </c>
      <c r="P1787" s="62">
        <v>35.251200000000004</v>
      </c>
      <c r="Q1787" s="63">
        <v>35.251200000000004</v>
      </c>
      <c r="R1787" s="64">
        <v>37.0</v>
      </c>
      <c r="S1787" s="107">
        <v>39.0</v>
      </c>
      <c r="T1787" s="65">
        <f t="shared" si="39"/>
        <v>6.24</v>
      </c>
      <c r="U1787" s="65">
        <f t="shared" si="40"/>
        <v>45.24</v>
      </c>
      <c r="V1787" s="66">
        <f t="shared" si="69"/>
        <v>0.05405405405</v>
      </c>
      <c r="W1787" s="67">
        <f t="shared" si="5"/>
        <v>37.05</v>
      </c>
      <c r="X1787" s="67">
        <f t="shared" si="70"/>
        <v>5.928</v>
      </c>
      <c r="Y1787" s="67">
        <f t="shared" si="71"/>
        <v>42.978</v>
      </c>
      <c r="Z1787" s="67">
        <f t="shared" si="8"/>
        <v>35.1</v>
      </c>
      <c r="AA1787" s="67">
        <f t="shared" si="72"/>
        <v>5.616</v>
      </c>
      <c r="AB1787" s="67">
        <f t="shared" si="73"/>
        <v>40.716</v>
      </c>
      <c r="AC1787" s="67">
        <f t="shared" si="11"/>
        <v>33.15</v>
      </c>
      <c r="AD1787" s="67">
        <f t="shared" si="74"/>
        <v>5.304</v>
      </c>
      <c r="AE1787" s="67">
        <f t="shared" si="75"/>
        <v>38.454</v>
      </c>
      <c r="AF1787" s="67">
        <f t="shared" si="33"/>
        <v>32.37</v>
      </c>
      <c r="AG1787" s="67">
        <f t="shared" si="76"/>
        <v>5.1792</v>
      </c>
      <c r="AH1787" s="67">
        <f t="shared" si="77"/>
        <v>37.5492</v>
      </c>
      <c r="AI1787" s="67">
        <f t="shared" si="17"/>
        <v>31.2</v>
      </c>
      <c r="AJ1787" s="68">
        <f t="shared" si="78"/>
        <v>4.992</v>
      </c>
      <c r="AK1787" s="68">
        <f t="shared" si="79"/>
        <v>36.192</v>
      </c>
      <c r="AL1787" s="70"/>
      <c r="AM1787" s="70"/>
      <c r="AN1787" s="71"/>
      <c r="AO1787" s="71"/>
      <c r="AP1787" s="71"/>
      <c r="AQ1787" s="71"/>
      <c r="AR1787" s="71"/>
      <c r="AS1787" s="71"/>
      <c r="AT1787" s="71"/>
      <c r="AU1787" s="71"/>
      <c r="AV1787" s="71"/>
      <c r="AW1787" s="71"/>
      <c r="AX1787" s="71"/>
      <c r="AY1787" s="71"/>
      <c r="AZ1787" s="71"/>
      <c r="BA1787" s="71"/>
      <c r="BB1787" s="71"/>
      <c r="BC1787" s="71"/>
      <c r="BD1787" s="71"/>
      <c r="BE1787" s="71"/>
      <c r="BF1787" s="71"/>
      <c r="BG1787" s="71"/>
      <c r="BH1787" s="71"/>
      <c r="BI1787" s="71"/>
      <c r="BJ1787" s="71"/>
      <c r="BK1787" s="71"/>
      <c r="BL1787" s="71"/>
      <c r="BM1787" s="71"/>
      <c r="BN1787" s="71"/>
      <c r="BO1787" s="71"/>
      <c r="BP1787" s="71"/>
      <c r="BQ1787" s="71"/>
      <c r="BR1787" s="71"/>
      <c r="BS1787" s="71"/>
      <c r="BT1787" s="71"/>
      <c r="BU1787" s="71"/>
      <c r="BV1787" s="71"/>
    </row>
    <row r="1788">
      <c r="A1788" s="53"/>
      <c r="B1788" s="53"/>
      <c r="C1788" s="53" t="s">
        <v>36</v>
      </c>
      <c r="D1788" s="85" t="s">
        <v>4420</v>
      </c>
      <c r="E1788" s="54" t="s">
        <v>38</v>
      </c>
      <c r="F1788" s="55" t="s">
        <v>39</v>
      </c>
      <c r="G1788" s="86" t="s">
        <v>4421</v>
      </c>
      <c r="H1788" s="55"/>
      <c r="I1788" s="54">
        <f t="shared" si="24"/>
        <v>0</v>
      </c>
      <c r="J1788" s="56"/>
      <c r="K1788" s="57"/>
      <c r="L1788" s="76"/>
      <c r="M1788" s="59"/>
      <c r="N1788" s="60"/>
      <c r="O1788" s="61">
        <v>245.76</v>
      </c>
      <c r="P1788" s="62">
        <v>265.4208</v>
      </c>
      <c r="Q1788" s="63">
        <v>265.4208</v>
      </c>
      <c r="R1788" s="64">
        <v>279.0</v>
      </c>
      <c r="S1788" s="107">
        <v>293.0</v>
      </c>
      <c r="T1788" s="65">
        <f t="shared" si="39"/>
        <v>46.88</v>
      </c>
      <c r="U1788" s="65">
        <f t="shared" si="40"/>
        <v>339.88</v>
      </c>
      <c r="V1788" s="66">
        <f t="shared" si="69"/>
        <v>0.05017921147</v>
      </c>
      <c r="W1788" s="67">
        <f t="shared" si="5"/>
        <v>278.35</v>
      </c>
      <c r="X1788" s="67">
        <f t="shared" si="70"/>
        <v>44.536</v>
      </c>
      <c r="Y1788" s="67">
        <f t="shared" si="71"/>
        <v>322.886</v>
      </c>
      <c r="Z1788" s="67">
        <f t="shared" si="8"/>
        <v>263.7</v>
      </c>
      <c r="AA1788" s="67">
        <f t="shared" si="72"/>
        <v>42.192</v>
      </c>
      <c r="AB1788" s="67">
        <f t="shared" si="73"/>
        <v>305.892</v>
      </c>
      <c r="AC1788" s="67">
        <f t="shared" si="11"/>
        <v>249.05</v>
      </c>
      <c r="AD1788" s="67">
        <f t="shared" si="74"/>
        <v>39.848</v>
      </c>
      <c r="AE1788" s="67">
        <f t="shared" si="75"/>
        <v>288.898</v>
      </c>
      <c r="AF1788" s="67">
        <f t="shared" si="33"/>
        <v>243.19</v>
      </c>
      <c r="AG1788" s="67">
        <f t="shared" si="76"/>
        <v>38.9104</v>
      </c>
      <c r="AH1788" s="67">
        <f t="shared" si="77"/>
        <v>282.1004</v>
      </c>
      <c r="AI1788" s="67">
        <f t="shared" si="17"/>
        <v>234.4</v>
      </c>
      <c r="AJ1788" s="68">
        <f t="shared" si="78"/>
        <v>37.504</v>
      </c>
      <c r="AK1788" s="68">
        <f t="shared" si="79"/>
        <v>271.904</v>
      </c>
      <c r="AL1788" s="70"/>
      <c r="AM1788" s="70"/>
      <c r="AN1788" s="71"/>
      <c r="AO1788" s="71"/>
      <c r="AP1788" s="71"/>
      <c r="AQ1788" s="71"/>
      <c r="AR1788" s="71"/>
      <c r="AS1788" s="71"/>
      <c r="AT1788" s="71"/>
      <c r="AU1788" s="71"/>
      <c r="AV1788" s="71"/>
      <c r="AW1788" s="71"/>
      <c r="AX1788" s="71"/>
      <c r="AY1788" s="71"/>
      <c r="AZ1788" s="71"/>
      <c r="BA1788" s="71"/>
      <c r="BB1788" s="71"/>
      <c r="BC1788" s="71"/>
      <c r="BD1788" s="71"/>
      <c r="BE1788" s="71"/>
      <c r="BF1788" s="71"/>
      <c r="BG1788" s="71"/>
      <c r="BH1788" s="71"/>
      <c r="BI1788" s="71"/>
      <c r="BJ1788" s="71"/>
      <c r="BK1788" s="71"/>
      <c r="BL1788" s="71"/>
      <c r="BM1788" s="71"/>
      <c r="BN1788" s="71"/>
      <c r="BO1788" s="71"/>
      <c r="BP1788" s="71"/>
      <c r="BQ1788" s="71"/>
      <c r="BR1788" s="71"/>
      <c r="BS1788" s="71"/>
      <c r="BT1788" s="71"/>
      <c r="BU1788" s="71"/>
      <c r="BV1788" s="71"/>
    </row>
    <row r="1789">
      <c r="A1789" s="53"/>
      <c r="B1789" s="53"/>
      <c r="C1789" s="53" t="s">
        <v>36</v>
      </c>
      <c r="D1789" s="85" t="s">
        <v>4422</v>
      </c>
      <c r="E1789" s="54" t="s">
        <v>38</v>
      </c>
      <c r="F1789" s="55" t="s">
        <v>39</v>
      </c>
      <c r="G1789" s="86" t="s">
        <v>4423</v>
      </c>
      <c r="H1789" s="55"/>
      <c r="I1789" s="54">
        <f t="shared" si="24"/>
        <v>0</v>
      </c>
      <c r="J1789" s="56"/>
      <c r="K1789" s="57"/>
      <c r="L1789" s="76"/>
      <c r="M1789" s="59"/>
      <c r="N1789" s="60"/>
      <c r="O1789" s="61">
        <v>67.2</v>
      </c>
      <c r="P1789" s="62">
        <v>72.57600000000001</v>
      </c>
      <c r="Q1789" s="63">
        <v>72.57600000000001</v>
      </c>
      <c r="R1789" s="64">
        <v>77.0</v>
      </c>
      <c r="S1789" s="107">
        <v>81.0</v>
      </c>
      <c r="T1789" s="65">
        <f t="shared" si="39"/>
        <v>12.96</v>
      </c>
      <c r="U1789" s="65">
        <f t="shared" si="40"/>
        <v>93.96</v>
      </c>
      <c r="V1789" s="66">
        <f t="shared" si="69"/>
        <v>0.05194805195</v>
      </c>
      <c r="W1789" s="67">
        <f t="shared" si="5"/>
        <v>76.95</v>
      </c>
      <c r="X1789" s="67">
        <f t="shared" si="70"/>
        <v>12.312</v>
      </c>
      <c r="Y1789" s="67">
        <f t="shared" si="71"/>
        <v>89.262</v>
      </c>
      <c r="Z1789" s="67">
        <f t="shared" si="8"/>
        <v>72.9</v>
      </c>
      <c r="AA1789" s="67">
        <f t="shared" si="72"/>
        <v>11.664</v>
      </c>
      <c r="AB1789" s="67">
        <f t="shared" si="73"/>
        <v>84.564</v>
      </c>
      <c r="AC1789" s="67">
        <f t="shared" si="11"/>
        <v>68.85</v>
      </c>
      <c r="AD1789" s="67">
        <f t="shared" si="74"/>
        <v>11.016</v>
      </c>
      <c r="AE1789" s="67">
        <f t="shared" si="75"/>
        <v>79.866</v>
      </c>
      <c r="AF1789" s="67">
        <f t="shared" si="33"/>
        <v>67.23</v>
      </c>
      <c r="AG1789" s="67">
        <f t="shared" si="76"/>
        <v>10.7568</v>
      </c>
      <c r="AH1789" s="67">
        <f t="shared" si="77"/>
        <v>77.9868</v>
      </c>
      <c r="AI1789" s="67">
        <f t="shared" si="17"/>
        <v>64.8</v>
      </c>
      <c r="AJ1789" s="68">
        <f t="shared" si="78"/>
        <v>10.368</v>
      </c>
      <c r="AK1789" s="68">
        <f t="shared" si="79"/>
        <v>75.168</v>
      </c>
      <c r="AL1789" s="70"/>
      <c r="AM1789" s="70"/>
      <c r="AN1789" s="71"/>
      <c r="AO1789" s="71"/>
      <c r="AP1789" s="71"/>
      <c r="AQ1789" s="71"/>
      <c r="AR1789" s="71"/>
      <c r="AS1789" s="71"/>
      <c r="AT1789" s="71"/>
      <c r="AU1789" s="71"/>
      <c r="AV1789" s="71"/>
      <c r="AW1789" s="71"/>
      <c r="AX1789" s="71"/>
      <c r="AY1789" s="71"/>
      <c r="AZ1789" s="71"/>
      <c r="BA1789" s="71"/>
      <c r="BB1789" s="71"/>
      <c r="BC1789" s="71"/>
      <c r="BD1789" s="71"/>
      <c r="BE1789" s="71"/>
      <c r="BF1789" s="71"/>
      <c r="BG1789" s="71"/>
      <c r="BH1789" s="71"/>
      <c r="BI1789" s="71"/>
      <c r="BJ1789" s="71"/>
      <c r="BK1789" s="71"/>
      <c r="BL1789" s="71"/>
      <c r="BM1789" s="71"/>
      <c r="BN1789" s="71"/>
      <c r="BO1789" s="71"/>
      <c r="BP1789" s="71"/>
      <c r="BQ1789" s="71"/>
      <c r="BR1789" s="71"/>
      <c r="BS1789" s="71"/>
      <c r="BT1789" s="71"/>
      <c r="BU1789" s="71"/>
      <c r="BV1789" s="71"/>
    </row>
    <row r="1790">
      <c r="A1790" s="53"/>
      <c r="B1790" s="53"/>
      <c r="C1790" s="53" t="s">
        <v>36</v>
      </c>
      <c r="D1790" s="85" t="s">
        <v>4424</v>
      </c>
      <c r="E1790" s="54" t="s">
        <v>38</v>
      </c>
      <c r="F1790" s="55" t="s">
        <v>39</v>
      </c>
      <c r="G1790" s="86" t="s">
        <v>4425</v>
      </c>
      <c r="H1790" s="55"/>
      <c r="I1790" s="54">
        <f t="shared" si="24"/>
        <v>0</v>
      </c>
      <c r="J1790" s="56"/>
      <c r="K1790" s="57"/>
      <c r="L1790" s="76"/>
      <c r="M1790" s="59"/>
      <c r="N1790" s="60"/>
      <c r="O1790" s="61">
        <v>44.16</v>
      </c>
      <c r="P1790" s="62">
        <v>47.6928</v>
      </c>
      <c r="Q1790" s="63">
        <v>47.6928</v>
      </c>
      <c r="R1790" s="64">
        <v>51.0</v>
      </c>
      <c r="S1790" s="107">
        <v>54.0</v>
      </c>
      <c r="T1790" s="65">
        <f t="shared" si="39"/>
        <v>8.64</v>
      </c>
      <c r="U1790" s="65">
        <f t="shared" si="40"/>
        <v>62.64</v>
      </c>
      <c r="V1790" s="66">
        <f t="shared" si="69"/>
        <v>0.05882352941</v>
      </c>
      <c r="W1790" s="67">
        <f t="shared" si="5"/>
        <v>51.3</v>
      </c>
      <c r="X1790" s="67">
        <f t="shared" si="70"/>
        <v>8.208</v>
      </c>
      <c r="Y1790" s="67">
        <f t="shared" si="71"/>
        <v>59.508</v>
      </c>
      <c r="Z1790" s="67">
        <f t="shared" si="8"/>
        <v>48.6</v>
      </c>
      <c r="AA1790" s="67">
        <f t="shared" si="72"/>
        <v>7.776</v>
      </c>
      <c r="AB1790" s="67">
        <f t="shared" si="73"/>
        <v>56.376</v>
      </c>
      <c r="AC1790" s="67">
        <f t="shared" si="11"/>
        <v>45.9</v>
      </c>
      <c r="AD1790" s="67">
        <f t="shared" si="74"/>
        <v>7.344</v>
      </c>
      <c r="AE1790" s="67">
        <f t="shared" si="75"/>
        <v>53.244</v>
      </c>
      <c r="AF1790" s="67">
        <f t="shared" si="33"/>
        <v>44.82</v>
      </c>
      <c r="AG1790" s="67">
        <f t="shared" si="76"/>
        <v>7.1712</v>
      </c>
      <c r="AH1790" s="67">
        <f t="shared" si="77"/>
        <v>51.9912</v>
      </c>
      <c r="AI1790" s="67">
        <f t="shared" si="17"/>
        <v>43.2</v>
      </c>
      <c r="AJ1790" s="68">
        <f t="shared" si="78"/>
        <v>6.912</v>
      </c>
      <c r="AK1790" s="68">
        <f t="shared" si="79"/>
        <v>50.112</v>
      </c>
      <c r="AL1790" s="70"/>
      <c r="AM1790" s="70"/>
      <c r="AN1790" s="71"/>
      <c r="AO1790" s="71"/>
      <c r="AP1790" s="71"/>
      <c r="AQ1790" s="71"/>
      <c r="AR1790" s="71"/>
      <c r="AS1790" s="71"/>
      <c r="AT1790" s="71"/>
      <c r="AU1790" s="71"/>
      <c r="AV1790" s="71"/>
      <c r="AW1790" s="71"/>
      <c r="AX1790" s="71"/>
      <c r="AY1790" s="71"/>
      <c r="AZ1790" s="71"/>
      <c r="BA1790" s="71"/>
      <c r="BB1790" s="71"/>
      <c r="BC1790" s="71"/>
      <c r="BD1790" s="71"/>
      <c r="BE1790" s="71"/>
      <c r="BF1790" s="71"/>
      <c r="BG1790" s="71"/>
      <c r="BH1790" s="71"/>
      <c r="BI1790" s="71"/>
      <c r="BJ1790" s="71"/>
      <c r="BK1790" s="71"/>
      <c r="BL1790" s="71"/>
      <c r="BM1790" s="71"/>
      <c r="BN1790" s="71"/>
      <c r="BO1790" s="71"/>
      <c r="BP1790" s="71"/>
      <c r="BQ1790" s="71"/>
      <c r="BR1790" s="71"/>
      <c r="BS1790" s="71"/>
      <c r="BT1790" s="71"/>
      <c r="BU1790" s="71"/>
      <c r="BV1790" s="71"/>
    </row>
    <row r="1791">
      <c r="A1791" s="53"/>
      <c r="B1791" s="53"/>
      <c r="C1791" s="53" t="s">
        <v>36</v>
      </c>
      <c r="D1791" s="85" t="s">
        <v>4426</v>
      </c>
      <c r="E1791" s="54" t="s">
        <v>38</v>
      </c>
      <c r="F1791" s="55" t="s">
        <v>39</v>
      </c>
      <c r="G1791" s="86" t="s">
        <v>4427</v>
      </c>
      <c r="H1791" s="55"/>
      <c r="I1791" s="54">
        <f t="shared" si="24"/>
        <v>0</v>
      </c>
      <c r="J1791" s="56"/>
      <c r="K1791" s="57"/>
      <c r="L1791" s="76"/>
      <c r="M1791" s="59"/>
      <c r="N1791" s="60"/>
      <c r="O1791" s="61">
        <v>72.96</v>
      </c>
      <c r="P1791" s="62">
        <v>78.7968</v>
      </c>
      <c r="Q1791" s="63">
        <v>78.7968</v>
      </c>
      <c r="R1791" s="64">
        <v>83.0</v>
      </c>
      <c r="S1791" s="107">
        <v>87.0</v>
      </c>
      <c r="T1791" s="65">
        <f t="shared" si="39"/>
        <v>13.92</v>
      </c>
      <c r="U1791" s="65">
        <f t="shared" si="40"/>
        <v>100.92</v>
      </c>
      <c r="V1791" s="66">
        <f t="shared" si="69"/>
        <v>0.04819277108</v>
      </c>
      <c r="W1791" s="67">
        <f t="shared" si="5"/>
        <v>82.65</v>
      </c>
      <c r="X1791" s="67">
        <f t="shared" si="70"/>
        <v>13.224</v>
      </c>
      <c r="Y1791" s="67">
        <f t="shared" si="71"/>
        <v>95.874</v>
      </c>
      <c r="Z1791" s="67">
        <f t="shared" si="8"/>
        <v>78.3</v>
      </c>
      <c r="AA1791" s="67">
        <f t="shared" si="72"/>
        <v>12.528</v>
      </c>
      <c r="AB1791" s="67">
        <f t="shared" si="73"/>
        <v>90.828</v>
      </c>
      <c r="AC1791" s="67">
        <f t="shared" si="11"/>
        <v>73.95</v>
      </c>
      <c r="AD1791" s="67">
        <f t="shared" si="74"/>
        <v>11.832</v>
      </c>
      <c r="AE1791" s="67">
        <f t="shared" si="75"/>
        <v>85.782</v>
      </c>
      <c r="AF1791" s="67">
        <f t="shared" si="33"/>
        <v>72.21</v>
      </c>
      <c r="AG1791" s="67">
        <f t="shared" si="76"/>
        <v>11.5536</v>
      </c>
      <c r="AH1791" s="67">
        <f t="shared" si="77"/>
        <v>83.7636</v>
      </c>
      <c r="AI1791" s="67">
        <f t="shared" si="17"/>
        <v>69.6</v>
      </c>
      <c r="AJ1791" s="68">
        <f t="shared" si="78"/>
        <v>11.136</v>
      </c>
      <c r="AK1791" s="68">
        <f t="shared" si="79"/>
        <v>80.736</v>
      </c>
      <c r="AL1791" s="70"/>
      <c r="AM1791" s="70"/>
      <c r="AN1791" s="71"/>
      <c r="AO1791" s="71"/>
      <c r="AP1791" s="71"/>
      <c r="AQ1791" s="71"/>
      <c r="AR1791" s="71"/>
      <c r="AS1791" s="71"/>
      <c r="AT1791" s="71"/>
      <c r="AU1791" s="71"/>
      <c r="AV1791" s="71"/>
      <c r="AW1791" s="71"/>
      <c r="AX1791" s="71"/>
      <c r="AY1791" s="71"/>
      <c r="AZ1791" s="71"/>
      <c r="BA1791" s="71"/>
      <c r="BB1791" s="71"/>
      <c r="BC1791" s="71"/>
      <c r="BD1791" s="71"/>
      <c r="BE1791" s="71"/>
      <c r="BF1791" s="71"/>
      <c r="BG1791" s="71"/>
      <c r="BH1791" s="71"/>
      <c r="BI1791" s="71"/>
      <c r="BJ1791" s="71"/>
      <c r="BK1791" s="71"/>
      <c r="BL1791" s="71"/>
      <c r="BM1791" s="71"/>
      <c r="BN1791" s="71"/>
      <c r="BO1791" s="71"/>
      <c r="BP1791" s="71"/>
      <c r="BQ1791" s="71"/>
      <c r="BR1791" s="71"/>
      <c r="BS1791" s="71"/>
      <c r="BT1791" s="71"/>
      <c r="BU1791" s="71"/>
      <c r="BV1791" s="71"/>
    </row>
    <row r="1792">
      <c r="A1792" s="53"/>
      <c r="B1792" s="53"/>
      <c r="C1792" s="53" t="s">
        <v>36</v>
      </c>
      <c r="D1792" s="85" t="s">
        <v>4428</v>
      </c>
      <c r="E1792" s="54" t="s">
        <v>38</v>
      </c>
      <c r="F1792" s="55" t="s">
        <v>39</v>
      </c>
      <c r="G1792" s="86" t="s">
        <v>4429</v>
      </c>
      <c r="H1792" s="55"/>
      <c r="I1792" s="54">
        <f t="shared" si="24"/>
        <v>0</v>
      </c>
      <c r="J1792" s="56"/>
      <c r="K1792" s="57"/>
      <c r="L1792" s="76"/>
      <c r="M1792" s="59"/>
      <c r="N1792" s="60"/>
      <c r="O1792" s="61">
        <v>49.92</v>
      </c>
      <c r="P1792" s="62">
        <v>53.9136</v>
      </c>
      <c r="Q1792" s="63">
        <v>53.9136</v>
      </c>
      <c r="R1792" s="64">
        <v>57.0</v>
      </c>
      <c r="S1792" s="107">
        <v>60.0</v>
      </c>
      <c r="T1792" s="65">
        <f t="shared" si="39"/>
        <v>9.6</v>
      </c>
      <c r="U1792" s="65">
        <f t="shared" si="40"/>
        <v>69.6</v>
      </c>
      <c r="V1792" s="66">
        <f t="shared" si="69"/>
        <v>0.05263157895</v>
      </c>
      <c r="W1792" s="67">
        <f t="shared" si="5"/>
        <v>57</v>
      </c>
      <c r="X1792" s="67">
        <f t="shared" si="70"/>
        <v>9.12</v>
      </c>
      <c r="Y1792" s="67">
        <f t="shared" si="71"/>
        <v>66.12</v>
      </c>
      <c r="Z1792" s="67">
        <f t="shared" si="8"/>
        <v>54</v>
      </c>
      <c r="AA1792" s="67">
        <f t="shared" si="72"/>
        <v>8.64</v>
      </c>
      <c r="AB1792" s="67">
        <f t="shared" si="73"/>
        <v>62.64</v>
      </c>
      <c r="AC1792" s="67">
        <f t="shared" si="11"/>
        <v>51</v>
      </c>
      <c r="AD1792" s="67">
        <f t="shared" si="74"/>
        <v>8.16</v>
      </c>
      <c r="AE1792" s="67">
        <f t="shared" si="75"/>
        <v>59.16</v>
      </c>
      <c r="AF1792" s="67">
        <f t="shared" si="33"/>
        <v>49.8</v>
      </c>
      <c r="AG1792" s="67">
        <f t="shared" si="76"/>
        <v>7.968</v>
      </c>
      <c r="AH1792" s="67">
        <f t="shared" si="77"/>
        <v>57.768</v>
      </c>
      <c r="AI1792" s="67">
        <f t="shared" si="17"/>
        <v>48</v>
      </c>
      <c r="AJ1792" s="68">
        <f t="shared" si="78"/>
        <v>7.68</v>
      </c>
      <c r="AK1792" s="68">
        <f t="shared" si="79"/>
        <v>55.68</v>
      </c>
      <c r="AL1792" s="70"/>
      <c r="AM1792" s="70"/>
      <c r="AN1792" s="71"/>
      <c r="AO1792" s="71"/>
      <c r="AP1792" s="71"/>
      <c r="AQ1792" s="71"/>
      <c r="AR1792" s="71"/>
      <c r="AS1792" s="71"/>
      <c r="AT1792" s="71"/>
      <c r="AU1792" s="71"/>
      <c r="AV1792" s="71"/>
      <c r="AW1792" s="71"/>
      <c r="AX1792" s="71"/>
      <c r="AY1792" s="71"/>
      <c r="AZ1792" s="71"/>
      <c r="BA1792" s="71"/>
      <c r="BB1792" s="71"/>
      <c r="BC1792" s="71"/>
      <c r="BD1792" s="71"/>
      <c r="BE1792" s="71"/>
      <c r="BF1792" s="71"/>
      <c r="BG1792" s="71"/>
      <c r="BH1792" s="71"/>
      <c r="BI1792" s="71"/>
      <c r="BJ1792" s="71"/>
      <c r="BK1792" s="71"/>
      <c r="BL1792" s="71"/>
      <c r="BM1792" s="71"/>
      <c r="BN1792" s="71"/>
      <c r="BO1792" s="71"/>
      <c r="BP1792" s="71"/>
      <c r="BQ1792" s="71"/>
      <c r="BR1792" s="71"/>
      <c r="BS1792" s="71"/>
      <c r="BT1792" s="71"/>
      <c r="BU1792" s="71"/>
      <c r="BV1792" s="71"/>
    </row>
    <row r="1793">
      <c r="A1793" s="53"/>
      <c r="B1793" s="53"/>
      <c r="C1793" s="73" t="s">
        <v>12</v>
      </c>
      <c r="D1793" s="53" t="s">
        <v>4430</v>
      </c>
      <c r="E1793" s="54" t="s">
        <v>38</v>
      </c>
      <c r="F1793" s="54" t="s">
        <v>42</v>
      </c>
      <c r="G1793" s="54" t="s">
        <v>4431</v>
      </c>
      <c r="H1793" s="54" t="s">
        <v>4431</v>
      </c>
      <c r="I1793" s="54">
        <f t="shared" si="24"/>
        <v>25</v>
      </c>
      <c r="J1793" s="56"/>
      <c r="K1793" s="57"/>
      <c r="L1793" s="76"/>
      <c r="M1793" s="59"/>
      <c r="N1793" s="60"/>
      <c r="O1793" s="61">
        <v>9.0</v>
      </c>
      <c r="P1793" s="62">
        <v>9.72</v>
      </c>
      <c r="Q1793" s="63">
        <v>9.72</v>
      </c>
      <c r="R1793" s="64">
        <v>10.0</v>
      </c>
      <c r="S1793" s="111">
        <v>10.5</v>
      </c>
      <c r="T1793" s="65">
        <f t="shared" si="39"/>
        <v>1.68</v>
      </c>
      <c r="U1793" s="65">
        <f t="shared" si="40"/>
        <v>12.18</v>
      </c>
      <c r="V1793" s="66">
        <f t="shared" si="69"/>
        <v>0.05</v>
      </c>
      <c r="W1793" s="67">
        <f t="shared" si="5"/>
        <v>9.975</v>
      </c>
      <c r="X1793" s="67">
        <f t="shared" si="70"/>
        <v>1.596</v>
      </c>
      <c r="Y1793" s="67">
        <f t="shared" si="71"/>
        <v>11.571</v>
      </c>
      <c r="Z1793" s="67">
        <f t="shared" si="8"/>
        <v>9.45</v>
      </c>
      <c r="AA1793" s="67">
        <f t="shared" si="72"/>
        <v>1.512</v>
      </c>
      <c r="AB1793" s="67">
        <f t="shared" si="73"/>
        <v>10.962</v>
      </c>
      <c r="AC1793" s="67">
        <f t="shared" si="11"/>
        <v>8.925</v>
      </c>
      <c r="AD1793" s="67">
        <f t="shared" si="74"/>
        <v>1.428</v>
      </c>
      <c r="AE1793" s="67">
        <f t="shared" si="75"/>
        <v>10.353</v>
      </c>
      <c r="AF1793" s="67">
        <f t="shared" si="33"/>
        <v>8.715</v>
      </c>
      <c r="AG1793" s="67">
        <f t="shared" si="76"/>
        <v>1.3944</v>
      </c>
      <c r="AH1793" s="67">
        <f t="shared" si="77"/>
        <v>10.1094</v>
      </c>
      <c r="AI1793" s="67">
        <f t="shared" si="17"/>
        <v>8.4</v>
      </c>
      <c r="AJ1793" s="68">
        <f t="shared" si="78"/>
        <v>1.344</v>
      </c>
      <c r="AK1793" s="68">
        <f t="shared" si="79"/>
        <v>9.744</v>
      </c>
      <c r="AL1793" s="70"/>
      <c r="AM1793" s="70"/>
      <c r="AN1793" s="71"/>
      <c r="AO1793" s="71"/>
      <c r="AP1793" s="71"/>
      <c r="AQ1793" s="71"/>
      <c r="AR1793" s="71"/>
      <c r="AS1793" s="71"/>
      <c r="AT1793" s="71"/>
      <c r="AU1793" s="71"/>
      <c r="AV1793" s="71"/>
      <c r="AW1793" s="71"/>
      <c r="AX1793" s="71"/>
      <c r="AY1793" s="71"/>
      <c r="AZ1793" s="71"/>
      <c r="BA1793" s="71"/>
      <c r="BB1793" s="71"/>
      <c r="BC1793" s="71"/>
      <c r="BD1793" s="71"/>
      <c r="BE1793" s="71"/>
      <c r="BF1793" s="71"/>
      <c r="BG1793" s="71"/>
      <c r="BH1793" s="71"/>
      <c r="BI1793" s="71"/>
      <c r="BJ1793" s="71"/>
      <c r="BK1793" s="71"/>
      <c r="BL1793" s="71"/>
      <c r="BM1793" s="71"/>
      <c r="BN1793" s="71"/>
      <c r="BO1793" s="71"/>
      <c r="BP1793" s="71"/>
      <c r="BQ1793" s="71"/>
      <c r="BR1793" s="71"/>
      <c r="BS1793" s="71"/>
      <c r="BT1793" s="71"/>
      <c r="BU1793" s="71"/>
      <c r="BV1793" s="71"/>
    </row>
    <row r="1794">
      <c r="A1794" s="53"/>
      <c r="B1794" s="53"/>
      <c r="C1794" s="73" t="s">
        <v>12</v>
      </c>
      <c r="D1794" s="53" t="s">
        <v>4432</v>
      </c>
      <c r="E1794" s="54" t="s">
        <v>38</v>
      </c>
      <c r="F1794" s="54" t="s">
        <v>42</v>
      </c>
      <c r="G1794" s="54" t="s">
        <v>4433</v>
      </c>
      <c r="H1794" s="54" t="s">
        <v>4433</v>
      </c>
      <c r="I1794" s="54">
        <f t="shared" si="24"/>
        <v>24</v>
      </c>
      <c r="J1794" s="56"/>
      <c r="K1794" s="57"/>
      <c r="L1794" s="76"/>
      <c r="M1794" s="59"/>
      <c r="N1794" s="60"/>
      <c r="O1794" s="61">
        <v>9.0</v>
      </c>
      <c r="P1794" s="62">
        <v>9.72</v>
      </c>
      <c r="Q1794" s="63">
        <v>9.72</v>
      </c>
      <c r="R1794" s="64">
        <v>10.0</v>
      </c>
      <c r="S1794" s="111">
        <v>10.5</v>
      </c>
      <c r="T1794" s="65">
        <f t="shared" si="39"/>
        <v>1.68</v>
      </c>
      <c r="U1794" s="65">
        <f t="shared" si="40"/>
        <v>12.18</v>
      </c>
      <c r="V1794" s="66">
        <f t="shared" si="69"/>
        <v>0.05</v>
      </c>
      <c r="W1794" s="67">
        <f t="shared" si="5"/>
        <v>9.975</v>
      </c>
      <c r="X1794" s="67">
        <f t="shared" si="70"/>
        <v>1.596</v>
      </c>
      <c r="Y1794" s="67">
        <f t="shared" si="71"/>
        <v>11.571</v>
      </c>
      <c r="Z1794" s="67">
        <f t="shared" si="8"/>
        <v>9.45</v>
      </c>
      <c r="AA1794" s="67">
        <f t="shared" si="72"/>
        <v>1.512</v>
      </c>
      <c r="AB1794" s="67">
        <f t="shared" si="73"/>
        <v>10.962</v>
      </c>
      <c r="AC1794" s="67">
        <f t="shared" si="11"/>
        <v>8.925</v>
      </c>
      <c r="AD1794" s="67">
        <f t="shared" si="74"/>
        <v>1.428</v>
      </c>
      <c r="AE1794" s="67">
        <f t="shared" si="75"/>
        <v>10.353</v>
      </c>
      <c r="AF1794" s="67">
        <f t="shared" si="33"/>
        <v>8.715</v>
      </c>
      <c r="AG1794" s="67">
        <f t="shared" si="76"/>
        <v>1.3944</v>
      </c>
      <c r="AH1794" s="67">
        <f t="shared" si="77"/>
        <v>10.1094</v>
      </c>
      <c r="AI1794" s="67">
        <f t="shared" si="17"/>
        <v>8.4</v>
      </c>
      <c r="AJ1794" s="68">
        <f t="shared" si="78"/>
        <v>1.344</v>
      </c>
      <c r="AK1794" s="68">
        <f t="shared" si="79"/>
        <v>9.744</v>
      </c>
      <c r="AL1794" s="70"/>
      <c r="AM1794" s="70"/>
      <c r="AN1794" s="71"/>
      <c r="AO1794" s="71"/>
      <c r="AP1794" s="71"/>
      <c r="AQ1794" s="71"/>
      <c r="AR1794" s="71"/>
      <c r="AS1794" s="71"/>
      <c r="AT1794" s="71"/>
      <c r="AU1794" s="71"/>
      <c r="AV1794" s="71"/>
      <c r="AW1794" s="71"/>
      <c r="AX1794" s="71"/>
      <c r="AY1794" s="71"/>
      <c r="AZ1794" s="71"/>
      <c r="BA1794" s="71"/>
      <c r="BB1794" s="71"/>
      <c r="BC1794" s="71"/>
      <c r="BD1794" s="71"/>
      <c r="BE1794" s="71"/>
      <c r="BF1794" s="71"/>
      <c r="BG1794" s="71"/>
      <c r="BH1794" s="71"/>
      <c r="BI1794" s="71"/>
      <c r="BJ1794" s="71"/>
      <c r="BK1794" s="71"/>
      <c r="BL1794" s="71"/>
      <c r="BM1794" s="71"/>
      <c r="BN1794" s="71"/>
      <c r="BO1794" s="71"/>
      <c r="BP1794" s="71"/>
      <c r="BQ1794" s="71"/>
      <c r="BR1794" s="71"/>
      <c r="BS1794" s="71"/>
      <c r="BT1794" s="71"/>
      <c r="BU1794" s="71"/>
      <c r="BV1794" s="71"/>
    </row>
    <row r="1795">
      <c r="A1795" s="53">
        <v>1.0</v>
      </c>
      <c r="B1795" s="53"/>
      <c r="C1795" s="73" t="s">
        <v>12</v>
      </c>
      <c r="D1795" s="74" t="s">
        <v>4434</v>
      </c>
      <c r="E1795" s="54" t="s">
        <v>38</v>
      </c>
      <c r="F1795" s="54" t="s">
        <v>42</v>
      </c>
      <c r="G1795" s="88" t="s">
        <v>4435</v>
      </c>
      <c r="H1795" s="54" t="s">
        <v>4435</v>
      </c>
      <c r="I1795" s="54">
        <f t="shared" si="24"/>
        <v>22</v>
      </c>
      <c r="J1795" s="56"/>
      <c r="K1795" s="57"/>
      <c r="L1795" s="87"/>
      <c r="M1795" s="59"/>
      <c r="N1795" s="60">
        <v>5.0</v>
      </c>
      <c r="O1795" s="61">
        <v>5.0</v>
      </c>
      <c r="P1795" s="62">
        <v>5.4</v>
      </c>
      <c r="Q1795" s="63">
        <v>5.4</v>
      </c>
      <c r="R1795" s="78">
        <v>6.0</v>
      </c>
      <c r="S1795" s="111">
        <v>6.300000000000001</v>
      </c>
      <c r="T1795" s="65">
        <f t="shared" si="39"/>
        <v>1.008</v>
      </c>
      <c r="U1795" s="65">
        <f t="shared" si="40"/>
        <v>7.308</v>
      </c>
      <c r="V1795" s="66">
        <f t="shared" si="69"/>
        <v>0.05</v>
      </c>
      <c r="W1795" s="67">
        <f t="shared" si="5"/>
        <v>5.985</v>
      </c>
      <c r="X1795" s="67">
        <f t="shared" si="70"/>
        <v>0.9576</v>
      </c>
      <c r="Y1795" s="67">
        <f t="shared" si="71"/>
        <v>6.9426</v>
      </c>
      <c r="Z1795" s="67">
        <f t="shared" si="8"/>
        <v>5.67</v>
      </c>
      <c r="AA1795" s="67">
        <f t="shared" si="72"/>
        <v>0.9072</v>
      </c>
      <c r="AB1795" s="67">
        <f t="shared" si="73"/>
        <v>6.5772</v>
      </c>
      <c r="AC1795" s="67">
        <f t="shared" si="11"/>
        <v>5.355</v>
      </c>
      <c r="AD1795" s="67">
        <f t="shared" si="74"/>
        <v>0.8568</v>
      </c>
      <c r="AE1795" s="67">
        <f t="shared" si="75"/>
        <v>6.2118</v>
      </c>
      <c r="AF1795" s="67">
        <f t="shared" si="33"/>
        <v>5.229</v>
      </c>
      <c r="AG1795" s="67">
        <f t="shared" si="76"/>
        <v>0.83664</v>
      </c>
      <c r="AH1795" s="67">
        <f t="shared" si="77"/>
        <v>6.06564</v>
      </c>
      <c r="AI1795" s="67">
        <f t="shared" si="17"/>
        <v>5.04</v>
      </c>
      <c r="AJ1795" s="68">
        <f t="shared" si="78"/>
        <v>0.8064</v>
      </c>
      <c r="AK1795" s="68">
        <f t="shared" si="79"/>
        <v>5.8464</v>
      </c>
      <c r="AL1795" s="70"/>
      <c r="AM1795" s="70"/>
      <c r="AN1795" s="71"/>
      <c r="AO1795" s="71"/>
      <c r="AP1795" s="71"/>
      <c r="AQ1795" s="71"/>
      <c r="AR1795" s="71"/>
      <c r="AS1795" s="71"/>
      <c r="AT1795" s="71"/>
      <c r="AU1795" s="71"/>
      <c r="AV1795" s="71"/>
      <c r="AW1795" s="71"/>
      <c r="AX1795" s="71"/>
      <c r="AY1795" s="71"/>
      <c r="AZ1795" s="71"/>
      <c r="BA1795" s="71"/>
      <c r="BB1795" s="71"/>
      <c r="BC1795" s="71"/>
      <c r="BD1795" s="71"/>
      <c r="BE1795" s="71"/>
      <c r="BF1795" s="71"/>
      <c r="BG1795" s="71"/>
      <c r="BH1795" s="71"/>
      <c r="BI1795" s="71"/>
      <c r="BJ1795" s="71"/>
      <c r="BK1795" s="71"/>
      <c r="BL1795" s="71"/>
      <c r="BM1795" s="71"/>
      <c r="BN1795" s="71"/>
      <c r="BO1795" s="71"/>
      <c r="BP1795" s="71"/>
      <c r="BQ1795" s="71"/>
      <c r="BR1795" s="71"/>
      <c r="BS1795" s="71"/>
      <c r="BT1795" s="71"/>
      <c r="BU1795" s="71"/>
      <c r="BV1795" s="71"/>
    </row>
    <row r="1796">
      <c r="A1796" s="53">
        <v>1.0</v>
      </c>
      <c r="B1796" s="53"/>
      <c r="C1796" s="73" t="s">
        <v>12</v>
      </c>
      <c r="D1796" s="74" t="s">
        <v>4436</v>
      </c>
      <c r="E1796" s="54" t="s">
        <v>38</v>
      </c>
      <c r="F1796" s="54" t="s">
        <v>42</v>
      </c>
      <c r="G1796" s="54" t="s">
        <v>4437</v>
      </c>
      <c r="H1796" s="54" t="s">
        <v>4438</v>
      </c>
      <c r="I1796" s="54">
        <f t="shared" si="24"/>
        <v>30</v>
      </c>
      <c r="J1796" s="56"/>
      <c r="K1796" s="57"/>
      <c r="L1796" s="87"/>
      <c r="M1796" s="59"/>
      <c r="N1796" s="60">
        <v>9.0</v>
      </c>
      <c r="O1796" s="61">
        <v>9.0</v>
      </c>
      <c r="P1796" s="62">
        <v>9.72</v>
      </c>
      <c r="Q1796" s="63">
        <v>9.72</v>
      </c>
      <c r="R1796" s="64">
        <v>12.0</v>
      </c>
      <c r="S1796" s="111">
        <v>12.600000000000001</v>
      </c>
      <c r="T1796" s="65">
        <f t="shared" si="39"/>
        <v>2.016</v>
      </c>
      <c r="U1796" s="65">
        <f t="shared" si="40"/>
        <v>14.616</v>
      </c>
      <c r="V1796" s="66">
        <f t="shared" si="69"/>
        <v>0.05</v>
      </c>
      <c r="W1796" s="67">
        <f t="shared" si="5"/>
        <v>11.97</v>
      </c>
      <c r="X1796" s="67">
        <f t="shared" si="70"/>
        <v>1.9152</v>
      </c>
      <c r="Y1796" s="67">
        <f t="shared" si="71"/>
        <v>13.8852</v>
      </c>
      <c r="Z1796" s="67">
        <f t="shared" si="8"/>
        <v>11.34</v>
      </c>
      <c r="AA1796" s="67">
        <f t="shared" si="72"/>
        <v>1.8144</v>
      </c>
      <c r="AB1796" s="67">
        <f t="shared" si="73"/>
        <v>13.1544</v>
      </c>
      <c r="AC1796" s="67">
        <f t="shared" si="11"/>
        <v>10.71</v>
      </c>
      <c r="AD1796" s="67">
        <f t="shared" si="74"/>
        <v>1.7136</v>
      </c>
      <c r="AE1796" s="67">
        <f t="shared" si="75"/>
        <v>12.4236</v>
      </c>
      <c r="AF1796" s="67">
        <f t="shared" si="33"/>
        <v>10.458</v>
      </c>
      <c r="AG1796" s="67">
        <f t="shared" si="76"/>
        <v>1.67328</v>
      </c>
      <c r="AH1796" s="67">
        <f t="shared" si="77"/>
        <v>12.13128</v>
      </c>
      <c r="AI1796" s="67">
        <f t="shared" si="17"/>
        <v>10.08</v>
      </c>
      <c r="AJ1796" s="68">
        <f t="shared" si="78"/>
        <v>1.6128</v>
      </c>
      <c r="AK1796" s="68">
        <f t="shared" si="79"/>
        <v>11.6928</v>
      </c>
      <c r="AL1796" s="70"/>
      <c r="AM1796" s="70"/>
      <c r="AN1796" s="71"/>
      <c r="AO1796" s="71"/>
      <c r="AP1796" s="71"/>
      <c r="AQ1796" s="71"/>
      <c r="AR1796" s="71"/>
      <c r="AS1796" s="71"/>
      <c r="AT1796" s="71"/>
      <c r="AU1796" s="71"/>
      <c r="AV1796" s="71"/>
      <c r="AW1796" s="71"/>
      <c r="AX1796" s="71"/>
      <c r="AY1796" s="71"/>
      <c r="AZ1796" s="71"/>
      <c r="BA1796" s="71"/>
      <c r="BB1796" s="71"/>
      <c r="BC1796" s="71"/>
      <c r="BD1796" s="71"/>
      <c r="BE1796" s="71"/>
      <c r="BF1796" s="71"/>
      <c r="BG1796" s="71"/>
      <c r="BH1796" s="71"/>
      <c r="BI1796" s="71"/>
      <c r="BJ1796" s="71"/>
      <c r="BK1796" s="71"/>
      <c r="BL1796" s="71"/>
      <c r="BM1796" s="71"/>
      <c r="BN1796" s="71"/>
      <c r="BO1796" s="71"/>
      <c r="BP1796" s="71"/>
      <c r="BQ1796" s="71"/>
      <c r="BR1796" s="71"/>
      <c r="BS1796" s="71"/>
      <c r="BT1796" s="71"/>
      <c r="BU1796" s="71"/>
      <c r="BV1796" s="71"/>
    </row>
    <row r="1797">
      <c r="A1797" s="53">
        <v>1.0</v>
      </c>
      <c r="B1797" s="53"/>
      <c r="C1797" s="73" t="s">
        <v>12</v>
      </c>
      <c r="D1797" s="74" t="s">
        <v>4439</v>
      </c>
      <c r="E1797" s="54" t="s">
        <v>38</v>
      </c>
      <c r="F1797" s="54" t="s">
        <v>42</v>
      </c>
      <c r="G1797" s="88" t="s">
        <v>4440</v>
      </c>
      <c r="H1797" s="54" t="s">
        <v>4441</v>
      </c>
      <c r="I1797" s="54">
        <f t="shared" si="24"/>
        <v>23</v>
      </c>
      <c r="J1797" s="56"/>
      <c r="K1797" s="57"/>
      <c r="L1797" s="87"/>
      <c r="M1797" s="59"/>
      <c r="N1797" s="60">
        <v>5.0</v>
      </c>
      <c r="O1797" s="61">
        <v>5.0</v>
      </c>
      <c r="P1797" s="62">
        <v>5.4</v>
      </c>
      <c r="Q1797" s="63">
        <v>5.4</v>
      </c>
      <c r="R1797" s="78">
        <v>6.0</v>
      </c>
      <c r="S1797" s="111">
        <v>6.300000000000001</v>
      </c>
      <c r="T1797" s="65">
        <f t="shared" si="39"/>
        <v>1.008</v>
      </c>
      <c r="U1797" s="65">
        <f t="shared" si="40"/>
        <v>7.308</v>
      </c>
      <c r="V1797" s="66">
        <f t="shared" si="69"/>
        <v>0.05</v>
      </c>
      <c r="W1797" s="67">
        <f t="shared" si="5"/>
        <v>5.985</v>
      </c>
      <c r="X1797" s="67">
        <f t="shared" si="70"/>
        <v>0.9576</v>
      </c>
      <c r="Y1797" s="67">
        <f t="shared" si="71"/>
        <v>6.9426</v>
      </c>
      <c r="Z1797" s="67">
        <f t="shared" si="8"/>
        <v>5.67</v>
      </c>
      <c r="AA1797" s="67">
        <f t="shared" si="72"/>
        <v>0.9072</v>
      </c>
      <c r="AB1797" s="67">
        <f t="shared" si="73"/>
        <v>6.5772</v>
      </c>
      <c r="AC1797" s="67">
        <f t="shared" si="11"/>
        <v>5.355</v>
      </c>
      <c r="AD1797" s="67">
        <f t="shared" si="74"/>
        <v>0.8568</v>
      </c>
      <c r="AE1797" s="67">
        <f t="shared" si="75"/>
        <v>6.2118</v>
      </c>
      <c r="AF1797" s="67">
        <f t="shared" si="33"/>
        <v>5.229</v>
      </c>
      <c r="AG1797" s="67">
        <f t="shared" si="76"/>
        <v>0.83664</v>
      </c>
      <c r="AH1797" s="67">
        <f t="shared" si="77"/>
        <v>6.06564</v>
      </c>
      <c r="AI1797" s="67">
        <f t="shared" si="17"/>
        <v>5.04</v>
      </c>
      <c r="AJ1797" s="68">
        <f t="shared" si="78"/>
        <v>0.8064</v>
      </c>
      <c r="AK1797" s="68">
        <f t="shared" si="79"/>
        <v>5.8464</v>
      </c>
      <c r="AL1797" s="70"/>
      <c r="AM1797" s="70"/>
      <c r="AN1797" s="71"/>
      <c r="AO1797" s="71"/>
      <c r="AP1797" s="71"/>
      <c r="AQ1797" s="71"/>
      <c r="AR1797" s="71"/>
      <c r="AS1797" s="71"/>
      <c r="AT1797" s="71"/>
      <c r="AU1797" s="71"/>
      <c r="AV1797" s="71"/>
      <c r="AW1797" s="71"/>
      <c r="AX1797" s="71"/>
      <c r="AY1797" s="71"/>
      <c r="AZ1797" s="71"/>
      <c r="BA1797" s="71"/>
      <c r="BB1797" s="71"/>
      <c r="BC1797" s="71"/>
      <c r="BD1797" s="71"/>
      <c r="BE1797" s="71"/>
      <c r="BF1797" s="71"/>
      <c r="BG1797" s="71"/>
      <c r="BH1797" s="71"/>
      <c r="BI1797" s="71"/>
      <c r="BJ1797" s="71"/>
      <c r="BK1797" s="71"/>
      <c r="BL1797" s="71"/>
      <c r="BM1797" s="71"/>
      <c r="BN1797" s="71"/>
      <c r="BO1797" s="71"/>
      <c r="BP1797" s="71"/>
      <c r="BQ1797" s="71"/>
      <c r="BR1797" s="71"/>
      <c r="BS1797" s="71"/>
      <c r="BT1797" s="71"/>
      <c r="BU1797" s="71"/>
      <c r="BV1797" s="71"/>
    </row>
    <row r="1798">
      <c r="A1798" s="53">
        <v>1.0</v>
      </c>
      <c r="B1798" s="53"/>
      <c r="C1798" s="73" t="s">
        <v>12</v>
      </c>
      <c r="D1798" s="74" t="s">
        <v>4442</v>
      </c>
      <c r="E1798" s="54" t="s">
        <v>38</v>
      </c>
      <c r="F1798" s="54" t="s">
        <v>42</v>
      </c>
      <c r="G1798" s="54" t="s">
        <v>4443</v>
      </c>
      <c r="H1798" s="54" t="s">
        <v>4444</v>
      </c>
      <c r="I1798" s="54">
        <f t="shared" si="24"/>
        <v>28</v>
      </c>
      <c r="J1798" s="56"/>
      <c r="K1798" s="57"/>
      <c r="L1798" s="87"/>
      <c r="M1798" s="59"/>
      <c r="N1798" s="60">
        <v>20.0</v>
      </c>
      <c r="O1798" s="61">
        <v>21.0</v>
      </c>
      <c r="P1798" s="62">
        <v>22.68</v>
      </c>
      <c r="Q1798" s="63">
        <v>22.68</v>
      </c>
      <c r="R1798" s="64">
        <v>27.0</v>
      </c>
      <c r="S1798" s="111">
        <v>28.0</v>
      </c>
      <c r="T1798" s="65">
        <f t="shared" si="39"/>
        <v>4.48</v>
      </c>
      <c r="U1798" s="65">
        <f t="shared" si="40"/>
        <v>32.48</v>
      </c>
      <c r="V1798" s="66">
        <f t="shared" si="69"/>
        <v>0.03703703704</v>
      </c>
      <c r="W1798" s="67">
        <f t="shared" si="5"/>
        <v>26.6</v>
      </c>
      <c r="X1798" s="67">
        <f t="shared" si="70"/>
        <v>4.256</v>
      </c>
      <c r="Y1798" s="67">
        <f t="shared" si="71"/>
        <v>30.856</v>
      </c>
      <c r="Z1798" s="67">
        <f t="shared" si="8"/>
        <v>25.2</v>
      </c>
      <c r="AA1798" s="67">
        <f t="shared" si="72"/>
        <v>4.032</v>
      </c>
      <c r="AB1798" s="67">
        <f t="shared" si="73"/>
        <v>29.232</v>
      </c>
      <c r="AC1798" s="67">
        <f t="shared" si="11"/>
        <v>23.8</v>
      </c>
      <c r="AD1798" s="67">
        <f t="shared" si="74"/>
        <v>3.808</v>
      </c>
      <c r="AE1798" s="67">
        <f t="shared" si="75"/>
        <v>27.608</v>
      </c>
      <c r="AF1798" s="67">
        <f t="shared" si="33"/>
        <v>23.24</v>
      </c>
      <c r="AG1798" s="67">
        <f t="shared" si="76"/>
        <v>3.7184</v>
      </c>
      <c r="AH1798" s="67">
        <f t="shared" si="77"/>
        <v>26.9584</v>
      </c>
      <c r="AI1798" s="67">
        <f t="shared" si="17"/>
        <v>22.4</v>
      </c>
      <c r="AJ1798" s="68">
        <f t="shared" si="78"/>
        <v>3.584</v>
      </c>
      <c r="AK1798" s="68">
        <f t="shared" si="79"/>
        <v>25.984</v>
      </c>
      <c r="AL1798" s="70"/>
      <c r="AM1798" s="70"/>
      <c r="AN1798" s="71"/>
      <c r="AO1798" s="71"/>
      <c r="AP1798" s="71"/>
      <c r="AQ1798" s="71"/>
      <c r="AR1798" s="71"/>
      <c r="AS1798" s="71"/>
      <c r="AT1798" s="71"/>
      <c r="AU1798" s="71"/>
      <c r="AV1798" s="71"/>
      <c r="AW1798" s="71"/>
      <c r="AX1798" s="71"/>
      <c r="AY1798" s="71"/>
      <c r="AZ1798" s="71"/>
      <c r="BA1798" s="71"/>
      <c r="BB1798" s="71"/>
      <c r="BC1798" s="71"/>
      <c r="BD1798" s="71"/>
      <c r="BE1798" s="71"/>
      <c r="BF1798" s="71"/>
      <c r="BG1798" s="71"/>
      <c r="BH1798" s="71"/>
      <c r="BI1798" s="71"/>
      <c r="BJ1798" s="71"/>
      <c r="BK1798" s="71"/>
      <c r="BL1798" s="71"/>
      <c r="BM1798" s="71"/>
      <c r="BN1798" s="71"/>
      <c r="BO1798" s="71"/>
      <c r="BP1798" s="71"/>
      <c r="BQ1798" s="71"/>
      <c r="BR1798" s="71"/>
      <c r="BS1798" s="71"/>
      <c r="BT1798" s="71"/>
      <c r="BU1798" s="71"/>
      <c r="BV1798" s="71"/>
    </row>
    <row r="1799">
      <c r="A1799" s="53"/>
      <c r="B1799" s="53"/>
      <c r="C1799" s="73" t="s">
        <v>12</v>
      </c>
      <c r="D1799" s="53" t="s">
        <v>4445</v>
      </c>
      <c r="E1799" s="54" t="s">
        <v>38</v>
      </c>
      <c r="F1799" s="54" t="s">
        <v>42</v>
      </c>
      <c r="G1799" s="54" t="s">
        <v>4446</v>
      </c>
      <c r="H1799" s="54" t="s">
        <v>4447</v>
      </c>
      <c r="I1799" s="54">
        <f t="shared" si="24"/>
        <v>32</v>
      </c>
      <c r="J1799" s="56"/>
      <c r="K1799" s="57"/>
      <c r="L1799" s="76"/>
      <c r="M1799" s="59"/>
      <c r="N1799" s="60"/>
      <c r="O1799" s="61">
        <v>3.0</v>
      </c>
      <c r="P1799" s="62">
        <v>3.24</v>
      </c>
      <c r="Q1799" s="63">
        <v>3.24</v>
      </c>
      <c r="R1799" s="78">
        <v>3.0</v>
      </c>
      <c r="S1799" s="111">
        <v>3.1500000000000004</v>
      </c>
      <c r="T1799" s="65">
        <f t="shared" si="39"/>
        <v>0.504</v>
      </c>
      <c r="U1799" s="65">
        <f t="shared" si="40"/>
        <v>3.654</v>
      </c>
      <c r="V1799" s="66">
        <f t="shared" si="69"/>
        <v>0.05</v>
      </c>
      <c r="W1799" s="67">
        <f t="shared" si="5"/>
        <v>2.9925</v>
      </c>
      <c r="X1799" s="67">
        <f t="shared" si="70"/>
        <v>0.4788</v>
      </c>
      <c r="Y1799" s="67">
        <f t="shared" si="71"/>
        <v>3.4713</v>
      </c>
      <c r="Z1799" s="67">
        <f t="shared" si="8"/>
        <v>2.835</v>
      </c>
      <c r="AA1799" s="67">
        <f t="shared" si="72"/>
        <v>0.4536</v>
      </c>
      <c r="AB1799" s="67">
        <f t="shared" si="73"/>
        <v>3.2886</v>
      </c>
      <c r="AC1799" s="67">
        <f t="shared" si="11"/>
        <v>2.6775</v>
      </c>
      <c r="AD1799" s="67">
        <f t="shared" si="74"/>
        <v>0.4284</v>
      </c>
      <c r="AE1799" s="67">
        <f t="shared" si="75"/>
        <v>3.1059</v>
      </c>
      <c r="AF1799" s="67">
        <f t="shared" si="33"/>
        <v>2.6145</v>
      </c>
      <c r="AG1799" s="67">
        <f t="shared" si="76"/>
        <v>0.41832</v>
      </c>
      <c r="AH1799" s="67">
        <f t="shared" si="77"/>
        <v>3.03282</v>
      </c>
      <c r="AI1799" s="67">
        <f t="shared" si="17"/>
        <v>2.52</v>
      </c>
      <c r="AJ1799" s="68">
        <f t="shared" si="78"/>
        <v>0.4032</v>
      </c>
      <c r="AK1799" s="68">
        <f t="shared" si="79"/>
        <v>2.9232</v>
      </c>
      <c r="AL1799" s="70"/>
      <c r="AM1799" s="70"/>
      <c r="AN1799" s="71"/>
      <c r="AO1799" s="71"/>
      <c r="AP1799" s="71"/>
      <c r="AQ1799" s="71"/>
      <c r="AR1799" s="71"/>
      <c r="AS1799" s="71"/>
      <c r="AT1799" s="71"/>
      <c r="AU1799" s="71"/>
      <c r="AV1799" s="71"/>
      <c r="AW1799" s="71"/>
      <c r="AX1799" s="71"/>
      <c r="AY1799" s="71"/>
      <c r="AZ1799" s="71"/>
      <c r="BA1799" s="71"/>
      <c r="BB1799" s="71"/>
      <c r="BC1799" s="71"/>
      <c r="BD1799" s="71"/>
      <c r="BE1799" s="71"/>
      <c r="BF1799" s="71"/>
      <c r="BG1799" s="71"/>
      <c r="BH1799" s="71"/>
      <c r="BI1799" s="71"/>
      <c r="BJ1799" s="71"/>
      <c r="BK1799" s="71"/>
      <c r="BL1799" s="71"/>
      <c r="BM1799" s="71"/>
      <c r="BN1799" s="71"/>
      <c r="BO1799" s="71"/>
      <c r="BP1799" s="71"/>
      <c r="BQ1799" s="71"/>
      <c r="BR1799" s="71"/>
      <c r="BS1799" s="71"/>
      <c r="BT1799" s="71"/>
      <c r="BU1799" s="71"/>
      <c r="BV1799" s="71"/>
    </row>
    <row r="1800">
      <c r="A1800" s="53">
        <v>1.0</v>
      </c>
      <c r="B1800" s="53"/>
      <c r="C1800" s="73" t="s">
        <v>12</v>
      </c>
      <c r="D1800" s="74" t="s">
        <v>4448</v>
      </c>
      <c r="E1800" s="54" t="s">
        <v>38</v>
      </c>
      <c r="F1800" s="54" t="s">
        <v>42</v>
      </c>
      <c r="G1800" s="88" t="s">
        <v>4449</v>
      </c>
      <c r="H1800" s="54" t="s">
        <v>4449</v>
      </c>
      <c r="I1800" s="54">
        <f t="shared" si="24"/>
        <v>21</v>
      </c>
      <c r="J1800" s="56"/>
      <c r="K1800" s="57"/>
      <c r="L1800" s="87"/>
      <c r="M1800" s="59"/>
      <c r="N1800" s="60">
        <v>5.0</v>
      </c>
      <c r="O1800" s="61">
        <v>5.0</v>
      </c>
      <c r="P1800" s="62">
        <v>5.4</v>
      </c>
      <c r="Q1800" s="63">
        <v>5.4</v>
      </c>
      <c r="R1800" s="78">
        <v>6.0</v>
      </c>
      <c r="S1800" s="111">
        <v>6.300000000000001</v>
      </c>
      <c r="T1800" s="65">
        <f t="shared" si="39"/>
        <v>1.008</v>
      </c>
      <c r="U1800" s="65">
        <f t="shared" si="40"/>
        <v>7.308</v>
      </c>
      <c r="V1800" s="66">
        <f t="shared" si="69"/>
        <v>0.05</v>
      </c>
      <c r="W1800" s="67">
        <f t="shared" si="5"/>
        <v>5.985</v>
      </c>
      <c r="X1800" s="67">
        <f t="shared" si="70"/>
        <v>0.9576</v>
      </c>
      <c r="Y1800" s="67">
        <f t="shared" si="71"/>
        <v>6.9426</v>
      </c>
      <c r="Z1800" s="67">
        <f t="shared" si="8"/>
        <v>5.67</v>
      </c>
      <c r="AA1800" s="67">
        <f t="shared" si="72"/>
        <v>0.9072</v>
      </c>
      <c r="AB1800" s="67">
        <f t="shared" si="73"/>
        <v>6.5772</v>
      </c>
      <c r="AC1800" s="67">
        <f t="shared" si="11"/>
        <v>5.355</v>
      </c>
      <c r="AD1800" s="67">
        <f t="shared" si="74"/>
        <v>0.8568</v>
      </c>
      <c r="AE1800" s="67">
        <f t="shared" si="75"/>
        <v>6.2118</v>
      </c>
      <c r="AF1800" s="67">
        <f t="shared" si="33"/>
        <v>5.229</v>
      </c>
      <c r="AG1800" s="67">
        <f t="shared" si="76"/>
        <v>0.83664</v>
      </c>
      <c r="AH1800" s="67">
        <f t="shared" si="77"/>
        <v>6.06564</v>
      </c>
      <c r="AI1800" s="67">
        <f t="shared" si="17"/>
        <v>5.04</v>
      </c>
      <c r="AJ1800" s="68">
        <f t="shared" si="78"/>
        <v>0.8064</v>
      </c>
      <c r="AK1800" s="68">
        <f t="shared" si="79"/>
        <v>5.8464</v>
      </c>
      <c r="AL1800" s="70"/>
      <c r="AM1800" s="70"/>
      <c r="AN1800" s="71"/>
      <c r="AO1800" s="71"/>
      <c r="AP1800" s="71"/>
      <c r="AQ1800" s="71"/>
      <c r="AR1800" s="71"/>
      <c r="AS1800" s="71"/>
      <c r="AT1800" s="71"/>
      <c r="AU1800" s="71"/>
      <c r="AV1800" s="71"/>
      <c r="AW1800" s="71"/>
      <c r="AX1800" s="71"/>
      <c r="AY1800" s="71"/>
      <c r="AZ1800" s="71"/>
      <c r="BA1800" s="71"/>
      <c r="BB1800" s="71"/>
      <c r="BC1800" s="71"/>
      <c r="BD1800" s="71"/>
      <c r="BE1800" s="71"/>
      <c r="BF1800" s="71"/>
      <c r="BG1800" s="71"/>
      <c r="BH1800" s="71"/>
      <c r="BI1800" s="71"/>
      <c r="BJ1800" s="71"/>
      <c r="BK1800" s="71"/>
      <c r="BL1800" s="71"/>
      <c r="BM1800" s="71"/>
      <c r="BN1800" s="71"/>
      <c r="BO1800" s="71"/>
      <c r="BP1800" s="71"/>
      <c r="BQ1800" s="71"/>
      <c r="BR1800" s="71"/>
      <c r="BS1800" s="71"/>
      <c r="BT1800" s="71"/>
      <c r="BU1800" s="71"/>
      <c r="BV1800" s="71"/>
    </row>
    <row r="1801">
      <c r="A1801" s="53">
        <v>1.0</v>
      </c>
      <c r="B1801" s="53"/>
      <c r="C1801" s="73" t="s">
        <v>12</v>
      </c>
      <c r="D1801" s="74" t="s">
        <v>4450</v>
      </c>
      <c r="E1801" s="54" t="s">
        <v>38</v>
      </c>
      <c r="F1801" s="54" t="s">
        <v>42</v>
      </c>
      <c r="G1801" s="88" t="s">
        <v>4451</v>
      </c>
      <c r="H1801" s="54" t="s">
        <v>4451</v>
      </c>
      <c r="I1801" s="54">
        <f t="shared" si="24"/>
        <v>24</v>
      </c>
      <c r="J1801" s="56"/>
      <c r="K1801" s="57"/>
      <c r="L1801" s="87"/>
      <c r="M1801" s="59"/>
      <c r="N1801" s="60">
        <v>5.0</v>
      </c>
      <c r="O1801" s="61">
        <v>5.0</v>
      </c>
      <c r="P1801" s="62">
        <v>5.4</v>
      </c>
      <c r="Q1801" s="63">
        <v>5.4</v>
      </c>
      <c r="R1801" s="78">
        <v>6.0</v>
      </c>
      <c r="S1801" s="111">
        <v>6.300000000000001</v>
      </c>
      <c r="T1801" s="65">
        <f t="shared" si="39"/>
        <v>1.008</v>
      </c>
      <c r="U1801" s="65">
        <f t="shared" si="40"/>
        <v>7.308</v>
      </c>
      <c r="V1801" s="66">
        <f t="shared" si="69"/>
        <v>0.05</v>
      </c>
      <c r="W1801" s="67">
        <f t="shared" si="5"/>
        <v>5.985</v>
      </c>
      <c r="X1801" s="67">
        <f t="shared" si="70"/>
        <v>0.9576</v>
      </c>
      <c r="Y1801" s="67">
        <f t="shared" si="71"/>
        <v>6.9426</v>
      </c>
      <c r="Z1801" s="67">
        <f t="shared" si="8"/>
        <v>5.67</v>
      </c>
      <c r="AA1801" s="67">
        <f t="shared" si="72"/>
        <v>0.9072</v>
      </c>
      <c r="AB1801" s="67">
        <f t="shared" si="73"/>
        <v>6.5772</v>
      </c>
      <c r="AC1801" s="67">
        <f t="shared" si="11"/>
        <v>5.355</v>
      </c>
      <c r="AD1801" s="67">
        <f t="shared" si="74"/>
        <v>0.8568</v>
      </c>
      <c r="AE1801" s="67">
        <f t="shared" si="75"/>
        <v>6.2118</v>
      </c>
      <c r="AF1801" s="67">
        <f t="shared" si="33"/>
        <v>5.229</v>
      </c>
      <c r="AG1801" s="67">
        <f t="shared" si="76"/>
        <v>0.83664</v>
      </c>
      <c r="AH1801" s="67">
        <f t="shared" si="77"/>
        <v>6.06564</v>
      </c>
      <c r="AI1801" s="67">
        <f t="shared" si="17"/>
        <v>5.04</v>
      </c>
      <c r="AJ1801" s="68">
        <f t="shared" si="78"/>
        <v>0.8064</v>
      </c>
      <c r="AK1801" s="68">
        <f t="shared" si="79"/>
        <v>5.8464</v>
      </c>
      <c r="AL1801" s="70"/>
      <c r="AM1801" s="70"/>
      <c r="AN1801" s="71"/>
      <c r="AO1801" s="71"/>
      <c r="AP1801" s="71"/>
      <c r="AQ1801" s="71"/>
      <c r="AR1801" s="71"/>
      <c r="AS1801" s="71"/>
      <c r="AT1801" s="71"/>
      <c r="AU1801" s="71"/>
      <c r="AV1801" s="71"/>
      <c r="AW1801" s="71"/>
      <c r="AX1801" s="71"/>
      <c r="AY1801" s="71"/>
      <c r="AZ1801" s="71"/>
      <c r="BA1801" s="71"/>
      <c r="BB1801" s="71"/>
      <c r="BC1801" s="71"/>
      <c r="BD1801" s="71"/>
      <c r="BE1801" s="71"/>
      <c r="BF1801" s="71"/>
      <c r="BG1801" s="71"/>
      <c r="BH1801" s="71"/>
      <c r="BI1801" s="71"/>
      <c r="BJ1801" s="71"/>
      <c r="BK1801" s="71"/>
      <c r="BL1801" s="71"/>
      <c r="BM1801" s="71"/>
      <c r="BN1801" s="71"/>
      <c r="BO1801" s="71"/>
      <c r="BP1801" s="71"/>
      <c r="BQ1801" s="71"/>
      <c r="BR1801" s="71"/>
      <c r="BS1801" s="71"/>
      <c r="BT1801" s="71"/>
      <c r="BU1801" s="71"/>
      <c r="BV1801" s="71"/>
    </row>
    <row r="1802">
      <c r="A1802" s="53">
        <v>1.0</v>
      </c>
      <c r="B1802" s="53"/>
      <c r="C1802" s="73" t="s">
        <v>12</v>
      </c>
      <c r="D1802" s="74" t="s">
        <v>4452</v>
      </c>
      <c r="E1802" s="54" t="s">
        <v>38</v>
      </c>
      <c r="F1802" s="54" t="s">
        <v>42</v>
      </c>
      <c r="G1802" s="54" t="s">
        <v>4453</v>
      </c>
      <c r="H1802" s="54" t="s">
        <v>4454</v>
      </c>
      <c r="I1802" s="54">
        <f t="shared" si="24"/>
        <v>29</v>
      </c>
      <c r="J1802" s="56"/>
      <c r="K1802" s="57"/>
      <c r="L1802" s="87"/>
      <c r="M1802" s="59"/>
      <c r="N1802" s="60">
        <v>20.0</v>
      </c>
      <c r="O1802" s="61">
        <v>21.0</v>
      </c>
      <c r="P1802" s="62">
        <v>22.68</v>
      </c>
      <c r="Q1802" s="63">
        <v>22.68</v>
      </c>
      <c r="R1802" s="64">
        <v>27.0</v>
      </c>
      <c r="S1802" s="111">
        <v>28.0</v>
      </c>
      <c r="T1802" s="65">
        <f t="shared" si="39"/>
        <v>4.48</v>
      </c>
      <c r="U1802" s="65">
        <f t="shared" si="40"/>
        <v>32.48</v>
      </c>
      <c r="V1802" s="66">
        <f t="shared" si="69"/>
        <v>0.03703703704</v>
      </c>
      <c r="W1802" s="67">
        <f t="shared" si="5"/>
        <v>26.6</v>
      </c>
      <c r="X1802" s="67">
        <f t="shared" si="70"/>
        <v>4.256</v>
      </c>
      <c r="Y1802" s="67">
        <f t="shared" si="71"/>
        <v>30.856</v>
      </c>
      <c r="Z1802" s="67">
        <f t="shared" si="8"/>
        <v>25.2</v>
      </c>
      <c r="AA1802" s="67">
        <f t="shared" si="72"/>
        <v>4.032</v>
      </c>
      <c r="AB1802" s="67">
        <f t="shared" si="73"/>
        <v>29.232</v>
      </c>
      <c r="AC1802" s="67">
        <f t="shared" si="11"/>
        <v>23.8</v>
      </c>
      <c r="AD1802" s="67">
        <f t="shared" si="74"/>
        <v>3.808</v>
      </c>
      <c r="AE1802" s="67">
        <f t="shared" si="75"/>
        <v>27.608</v>
      </c>
      <c r="AF1802" s="67">
        <f t="shared" si="33"/>
        <v>23.24</v>
      </c>
      <c r="AG1802" s="67">
        <f t="shared" si="76"/>
        <v>3.7184</v>
      </c>
      <c r="AH1802" s="67">
        <f t="shared" si="77"/>
        <v>26.9584</v>
      </c>
      <c r="AI1802" s="67">
        <f t="shared" si="17"/>
        <v>22.4</v>
      </c>
      <c r="AJ1802" s="68">
        <f t="shared" si="78"/>
        <v>3.584</v>
      </c>
      <c r="AK1802" s="68">
        <f t="shared" si="79"/>
        <v>25.984</v>
      </c>
      <c r="AL1802" s="70"/>
      <c r="AM1802" s="70"/>
      <c r="AN1802" s="71"/>
      <c r="AO1802" s="71"/>
      <c r="AP1802" s="71"/>
      <c r="AQ1802" s="71"/>
      <c r="AR1802" s="71"/>
      <c r="AS1802" s="71"/>
      <c r="AT1802" s="71"/>
      <c r="AU1802" s="71"/>
      <c r="AV1802" s="71"/>
      <c r="AW1802" s="71"/>
      <c r="AX1802" s="71"/>
      <c r="AY1802" s="71"/>
      <c r="AZ1802" s="71"/>
      <c r="BA1802" s="71"/>
      <c r="BB1802" s="71"/>
      <c r="BC1802" s="71"/>
      <c r="BD1802" s="71"/>
      <c r="BE1802" s="71"/>
      <c r="BF1802" s="71"/>
      <c r="BG1802" s="71"/>
      <c r="BH1802" s="71"/>
      <c r="BI1802" s="71"/>
      <c r="BJ1802" s="71"/>
      <c r="BK1802" s="71"/>
      <c r="BL1802" s="71"/>
      <c r="BM1802" s="71"/>
      <c r="BN1802" s="71"/>
      <c r="BO1802" s="71"/>
      <c r="BP1802" s="71"/>
      <c r="BQ1802" s="71"/>
      <c r="BR1802" s="71"/>
      <c r="BS1802" s="71"/>
      <c r="BT1802" s="71"/>
      <c r="BU1802" s="71"/>
      <c r="BV1802" s="71"/>
    </row>
    <row r="1803">
      <c r="A1803" s="53">
        <v>1.0</v>
      </c>
      <c r="B1803" s="53"/>
      <c r="C1803" s="73" t="s">
        <v>12</v>
      </c>
      <c r="D1803" s="74" t="s">
        <v>4455</v>
      </c>
      <c r="E1803" s="54" t="s">
        <v>38</v>
      </c>
      <c r="F1803" s="54" t="s">
        <v>42</v>
      </c>
      <c r="G1803" s="88" t="s">
        <v>4456</v>
      </c>
      <c r="H1803" s="54" t="s">
        <v>4456</v>
      </c>
      <c r="I1803" s="54">
        <f t="shared" si="24"/>
        <v>23</v>
      </c>
      <c r="J1803" s="56"/>
      <c r="K1803" s="57"/>
      <c r="L1803" s="87"/>
      <c r="M1803" s="59"/>
      <c r="N1803" s="60">
        <v>13.0</v>
      </c>
      <c r="O1803" s="61">
        <v>14.0</v>
      </c>
      <c r="P1803" s="62">
        <v>15.120000000000001</v>
      </c>
      <c r="Q1803" s="63">
        <v>15.120000000000001</v>
      </c>
      <c r="R1803" s="64">
        <v>18.0</v>
      </c>
      <c r="S1803" s="111">
        <v>18.900000000000002</v>
      </c>
      <c r="T1803" s="65">
        <f t="shared" si="39"/>
        <v>3.024</v>
      </c>
      <c r="U1803" s="65">
        <f t="shared" si="40"/>
        <v>21.924</v>
      </c>
      <c r="V1803" s="66">
        <f t="shared" si="69"/>
        <v>0.05</v>
      </c>
      <c r="W1803" s="67">
        <f t="shared" si="5"/>
        <v>17.955</v>
      </c>
      <c r="X1803" s="67">
        <f t="shared" si="70"/>
        <v>2.8728</v>
      </c>
      <c r="Y1803" s="67">
        <f t="shared" si="71"/>
        <v>20.8278</v>
      </c>
      <c r="Z1803" s="67">
        <f t="shared" si="8"/>
        <v>17.01</v>
      </c>
      <c r="AA1803" s="67">
        <f t="shared" si="72"/>
        <v>2.7216</v>
      </c>
      <c r="AB1803" s="67">
        <f t="shared" si="73"/>
        <v>19.7316</v>
      </c>
      <c r="AC1803" s="67">
        <f t="shared" si="11"/>
        <v>16.065</v>
      </c>
      <c r="AD1803" s="67">
        <f t="shared" si="74"/>
        <v>2.5704</v>
      </c>
      <c r="AE1803" s="67">
        <f t="shared" si="75"/>
        <v>18.6354</v>
      </c>
      <c r="AF1803" s="67">
        <f t="shared" si="33"/>
        <v>15.687</v>
      </c>
      <c r="AG1803" s="67">
        <f t="shared" si="76"/>
        <v>2.50992</v>
      </c>
      <c r="AH1803" s="67">
        <f t="shared" si="77"/>
        <v>18.19692</v>
      </c>
      <c r="AI1803" s="67">
        <f t="shared" si="17"/>
        <v>15.12</v>
      </c>
      <c r="AJ1803" s="68">
        <f t="shared" si="78"/>
        <v>2.4192</v>
      </c>
      <c r="AK1803" s="68">
        <f t="shared" si="79"/>
        <v>17.5392</v>
      </c>
      <c r="AL1803" s="70"/>
      <c r="AM1803" s="70"/>
      <c r="AN1803" s="71"/>
      <c r="AO1803" s="71"/>
      <c r="AP1803" s="71"/>
      <c r="AQ1803" s="71"/>
      <c r="AR1803" s="71"/>
      <c r="AS1803" s="71"/>
      <c r="AT1803" s="71"/>
      <c r="AU1803" s="71"/>
      <c r="AV1803" s="71"/>
      <c r="AW1803" s="71"/>
      <c r="AX1803" s="71"/>
      <c r="AY1803" s="71"/>
      <c r="AZ1803" s="71"/>
      <c r="BA1803" s="71"/>
      <c r="BB1803" s="71"/>
      <c r="BC1803" s="71"/>
      <c r="BD1803" s="71"/>
      <c r="BE1803" s="71"/>
      <c r="BF1803" s="71"/>
      <c r="BG1803" s="71"/>
      <c r="BH1803" s="71"/>
      <c r="BI1803" s="71"/>
      <c r="BJ1803" s="71"/>
      <c r="BK1803" s="71"/>
      <c r="BL1803" s="71"/>
      <c r="BM1803" s="71"/>
      <c r="BN1803" s="71"/>
      <c r="BO1803" s="71"/>
      <c r="BP1803" s="71"/>
      <c r="BQ1803" s="71"/>
      <c r="BR1803" s="71"/>
      <c r="BS1803" s="71"/>
      <c r="BT1803" s="71"/>
      <c r="BU1803" s="71"/>
      <c r="BV1803" s="71"/>
    </row>
    <row r="1804">
      <c r="A1804" s="53"/>
      <c r="B1804" s="53"/>
      <c r="C1804" s="53" t="s">
        <v>36</v>
      </c>
      <c r="D1804" s="85" t="s">
        <v>4457</v>
      </c>
      <c r="E1804" s="54" t="s">
        <v>38</v>
      </c>
      <c r="F1804" s="55" t="s">
        <v>39</v>
      </c>
      <c r="G1804" s="86" t="s">
        <v>4458</v>
      </c>
      <c r="H1804" s="55"/>
      <c r="I1804" s="54">
        <f t="shared" si="24"/>
        <v>0</v>
      </c>
      <c r="J1804" s="56"/>
      <c r="K1804" s="57"/>
      <c r="L1804" s="76"/>
      <c r="M1804" s="59"/>
      <c r="N1804" s="60"/>
      <c r="O1804" s="61">
        <v>8.4</v>
      </c>
      <c r="P1804" s="62">
        <v>9.072000000000001</v>
      </c>
      <c r="Q1804" s="63">
        <v>9.072000000000001</v>
      </c>
      <c r="R1804" s="64">
        <v>10.0</v>
      </c>
      <c r="S1804" s="107">
        <v>10.5</v>
      </c>
      <c r="T1804" s="65">
        <f t="shared" si="39"/>
        <v>1.68</v>
      </c>
      <c r="U1804" s="65">
        <f t="shared" si="40"/>
        <v>12.18</v>
      </c>
      <c r="V1804" s="66">
        <f t="shared" si="69"/>
        <v>0.05</v>
      </c>
      <c r="W1804" s="67">
        <f t="shared" si="5"/>
        <v>9.975</v>
      </c>
      <c r="X1804" s="67">
        <f t="shared" si="70"/>
        <v>1.596</v>
      </c>
      <c r="Y1804" s="67">
        <f t="shared" si="71"/>
        <v>11.571</v>
      </c>
      <c r="Z1804" s="67">
        <f t="shared" si="8"/>
        <v>9.45</v>
      </c>
      <c r="AA1804" s="67">
        <f t="shared" si="72"/>
        <v>1.512</v>
      </c>
      <c r="AB1804" s="67">
        <f t="shared" si="73"/>
        <v>10.962</v>
      </c>
      <c r="AC1804" s="67">
        <f t="shared" si="11"/>
        <v>8.925</v>
      </c>
      <c r="AD1804" s="67">
        <f t="shared" si="74"/>
        <v>1.428</v>
      </c>
      <c r="AE1804" s="67">
        <f t="shared" si="75"/>
        <v>10.353</v>
      </c>
      <c r="AF1804" s="67">
        <f t="shared" si="33"/>
        <v>8.715</v>
      </c>
      <c r="AG1804" s="67">
        <f t="shared" si="76"/>
        <v>1.3944</v>
      </c>
      <c r="AH1804" s="67">
        <f t="shared" si="77"/>
        <v>10.1094</v>
      </c>
      <c r="AI1804" s="67">
        <f t="shared" si="17"/>
        <v>8.4</v>
      </c>
      <c r="AJ1804" s="68">
        <f t="shared" si="78"/>
        <v>1.344</v>
      </c>
      <c r="AK1804" s="68">
        <f t="shared" si="79"/>
        <v>9.744</v>
      </c>
      <c r="AL1804" s="70"/>
      <c r="AM1804" s="70"/>
      <c r="AN1804" s="71"/>
      <c r="AO1804" s="71"/>
      <c r="AP1804" s="71"/>
      <c r="AQ1804" s="71"/>
      <c r="AR1804" s="71"/>
      <c r="AS1804" s="71"/>
      <c r="AT1804" s="71"/>
      <c r="AU1804" s="71"/>
      <c r="AV1804" s="71"/>
      <c r="AW1804" s="71"/>
      <c r="AX1804" s="71"/>
      <c r="AY1804" s="71"/>
      <c r="AZ1804" s="71"/>
      <c r="BA1804" s="71"/>
      <c r="BB1804" s="71"/>
      <c r="BC1804" s="71"/>
      <c r="BD1804" s="71"/>
      <c r="BE1804" s="71"/>
      <c r="BF1804" s="71"/>
      <c r="BG1804" s="71"/>
      <c r="BH1804" s="71"/>
      <c r="BI1804" s="71"/>
      <c r="BJ1804" s="71"/>
      <c r="BK1804" s="71"/>
      <c r="BL1804" s="71"/>
      <c r="BM1804" s="71"/>
      <c r="BN1804" s="71"/>
      <c r="BO1804" s="71"/>
      <c r="BP1804" s="71"/>
      <c r="BQ1804" s="71"/>
      <c r="BR1804" s="71"/>
      <c r="BS1804" s="71"/>
      <c r="BT1804" s="71"/>
      <c r="BU1804" s="71"/>
      <c r="BV1804" s="71"/>
    </row>
    <row r="1805">
      <c r="A1805" s="53"/>
      <c r="B1805" s="53"/>
      <c r="C1805" s="53" t="s">
        <v>36</v>
      </c>
      <c r="D1805" s="85" t="s">
        <v>4459</v>
      </c>
      <c r="E1805" s="54" t="s">
        <v>38</v>
      </c>
      <c r="F1805" s="55" t="s">
        <v>39</v>
      </c>
      <c r="G1805" s="86" t="s">
        <v>4460</v>
      </c>
      <c r="H1805" s="55"/>
      <c r="I1805" s="54">
        <f t="shared" si="24"/>
        <v>0</v>
      </c>
      <c r="J1805" s="56"/>
      <c r="K1805" s="57"/>
      <c r="L1805" s="76"/>
      <c r="M1805" s="59"/>
      <c r="N1805" s="60"/>
      <c r="O1805" s="61">
        <v>3.2</v>
      </c>
      <c r="P1805" s="62">
        <v>3.4560000000000004</v>
      </c>
      <c r="Q1805" s="63">
        <v>3.4560000000000004</v>
      </c>
      <c r="R1805" s="78">
        <v>3.0</v>
      </c>
      <c r="S1805" s="107">
        <v>3.1500000000000004</v>
      </c>
      <c r="T1805" s="65">
        <f t="shared" si="39"/>
        <v>0.504</v>
      </c>
      <c r="U1805" s="65">
        <f t="shared" si="40"/>
        <v>3.654</v>
      </c>
      <c r="V1805" s="66">
        <f t="shared" si="69"/>
        <v>0.05</v>
      </c>
      <c r="W1805" s="67">
        <f t="shared" si="5"/>
        <v>2.9925</v>
      </c>
      <c r="X1805" s="67">
        <f t="shared" si="70"/>
        <v>0.4788</v>
      </c>
      <c r="Y1805" s="67">
        <f t="shared" si="71"/>
        <v>3.4713</v>
      </c>
      <c r="Z1805" s="67">
        <f t="shared" si="8"/>
        <v>2.835</v>
      </c>
      <c r="AA1805" s="67">
        <f t="shared" si="72"/>
        <v>0.4536</v>
      </c>
      <c r="AB1805" s="67">
        <f t="shared" si="73"/>
        <v>3.2886</v>
      </c>
      <c r="AC1805" s="67">
        <f t="shared" si="11"/>
        <v>2.6775</v>
      </c>
      <c r="AD1805" s="67">
        <f t="shared" si="74"/>
        <v>0.4284</v>
      </c>
      <c r="AE1805" s="67">
        <f t="shared" si="75"/>
        <v>3.1059</v>
      </c>
      <c r="AF1805" s="67">
        <f t="shared" si="33"/>
        <v>2.6145</v>
      </c>
      <c r="AG1805" s="67">
        <f t="shared" si="76"/>
        <v>0.41832</v>
      </c>
      <c r="AH1805" s="67">
        <f t="shared" si="77"/>
        <v>3.03282</v>
      </c>
      <c r="AI1805" s="67">
        <f t="shared" si="17"/>
        <v>2.52</v>
      </c>
      <c r="AJ1805" s="68">
        <f t="shared" si="78"/>
        <v>0.4032</v>
      </c>
      <c r="AK1805" s="68">
        <f t="shared" si="79"/>
        <v>2.9232</v>
      </c>
      <c r="AL1805" s="70"/>
      <c r="AM1805" s="70"/>
      <c r="AN1805" s="71"/>
      <c r="AO1805" s="71"/>
      <c r="AP1805" s="71"/>
      <c r="AQ1805" s="71"/>
      <c r="AR1805" s="71"/>
      <c r="AS1805" s="71"/>
      <c r="AT1805" s="71"/>
      <c r="AU1805" s="71"/>
      <c r="AV1805" s="71"/>
      <c r="AW1805" s="71"/>
      <c r="AX1805" s="71"/>
      <c r="AY1805" s="71"/>
      <c r="AZ1805" s="71"/>
      <c r="BA1805" s="71"/>
      <c r="BB1805" s="71"/>
      <c r="BC1805" s="71"/>
      <c r="BD1805" s="71"/>
      <c r="BE1805" s="71"/>
      <c r="BF1805" s="71"/>
      <c r="BG1805" s="71"/>
      <c r="BH1805" s="71"/>
      <c r="BI1805" s="71"/>
      <c r="BJ1805" s="71"/>
      <c r="BK1805" s="71"/>
      <c r="BL1805" s="71"/>
      <c r="BM1805" s="71"/>
      <c r="BN1805" s="71"/>
      <c r="BO1805" s="71"/>
      <c r="BP1805" s="71"/>
      <c r="BQ1805" s="71"/>
      <c r="BR1805" s="71"/>
      <c r="BS1805" s="71"/>
      <c r="BT1805" s="71"/>
      <c r="BU1805" s="71"/>
      <c r="BV1805" s="71"/>
    </row>
    <row r="1806">
      <c r="A1806" s="53"/>
      <c r="B1806" s="53"/>
      <c r="C1806" s="53" t="s">
        <v>36</v>
      </c>
      <c r="D1806" s="85" t="s">
        <v>4461</v>
      </c>
      <c r="E1806" s="54" t="s">
        <v>38</v>
      </c>
      <c r="F1806" s="55" t="s">
        <v>39</v>
      </c>
      <c r="G1806" s="86" t="s">
        <v>4462</v>
      </c>
      <c r="H1806" s="55"/>
      <c r="I1806" s="54">
        <f t="shared" si="24"/>
        <v>0</v>
      </c>
      <c r="J1806" s="56"/>
      <c r="K1806" s="57"/>
      <c r="L1806" s="76"/>
      <c r="M1806" s="59"/>
      <c r="N1806" s="60"/>
      <c r="O1806" s="61">
        <v>3.0</v>
      </c>
      <c r="P1806" s="62">
        <v>3.24</v>
      </c>
      <c r="Q1806" s="63">
        <v>3.24</v>
      </c>
      <c r="R1806" s="78">
        <v>3.0</v>
      </c>
      <c r="S1806" s="107">
        <v>3.1500000000000004</v>
      </c>
      <c r="T1806" s="65">
        <f t="shared" si="39"/>
        <v>0.504</v>
      </c>
      <c r="U1806" s="65">
        <f t="shared" si="40"/>
        <v>3.654</v>
      </c>
      <c r="V1806" s="66">
        <f t="shared" si="69"/>
        <v>0.05</v>
      </c>
      <c r="W1806" s="67">
        <f t="shared" si="5"/>
        <v>2.9925</v>
      </c>
      <c r="X1806" s="67">
        <f t="shared" si="70"/>
        <v>0.4788</v>
      </c>
      <c r="Y1806" s="67">
        <f t="shared" si="71"/>
        <v>3.4713</v>
      </c>
      <c r="Z1806" s="67">
        <f t="shared" si="8"/>
        <v>2.835</v>
      </c>
      <c r="AA1806" s="67">
        <f t="shared" si="72"/>
        <v>0.4536</v>
      </c>
      <c r="AB1806" s="67">
        <f t="shared" si="73"/>
        <v>3.2886</v>
      </c>
      <c r="AC1806" s="67">
        <f t="shared" si="11"/>
        <v>2.6775</v>
      </c>
      <c r="AD1806" s="67">
        <f t="shared" si="74"/>
        <v>0.4284</v>
      </c>
      <c r="AE1806" s="67">
        <f t="shared" si="75"/>
        <v>3.1059</v>
      </c>
      <c r="AF1806" s="67">
        <f t="shared" si="33"/>
        <v>2.6145</v>
      </c>
      <c r="AG1806" s="67">
        <f t="shared" si="76"/>
        <v>0.41832</v>
      </c>
      <c r="AH1806" s="67">
        <f t="shared" si="77"/>
        <v>3.03282</v>
      </c>
      <c r="AI1806" s="67">
        <f t="shared" si="17"/>
        <v>2.52</v>
      </c>
      <c r="AJ1806" s="68">
        <f t="shared" si="78"/>
        <v>0.4032</v>
      </c>
      <c r="AK1806" s="68">
        <f t="shared" si="79"/>
        <v>2.9232</v>
      </c>
      <c r="AL1806" s="70"/>
      <c r="AM1806" s="70"/>
      <c r="AN1806" s="71"/>
      <c r="AO1806" s="71"/>
      <c r="AP1806" s="71"/>
      <c r="AQ1806" s="71"/>
      <c r="AR1806" s="71"/>
      <c r="AS1806" s="71"/>
      <c r="AT1806" s="71"/>
      <c r="AU1806" s="71"/>
      <c r="AV1806" s="71"/>
      <c r="AW1806" s="71"/>
      <c r="AX1806" s="71"/>
      <c r="AY1806" s="71"/>
      <c r="AZ1806" s="71"/>
      <c r="BA1806" s="71"/>
      <c r="BB1806" s="71"/>
      <c r="BC1806" s="71"/>
      <c r="BD1806" s="71"/>
      <c r="BE1806" s="71"/>
      <c r="BF1806" s="71"/>
      <c r="BG1806" s="71"/>
      <c r="BH1806" s="71"/>
      <c r="BI1806" s="71"/>
      <c r="BJ1806" s="71"/>
      <c r="BK1806" s="71"/>
      <c r="BL1806" s="71"/>
      <c r="BM1806" s="71"/>
      <c r="BN1806" s="71"/>
      <c r="BO1806" s="71"/>
      <c r="BP1806" s="71"/>
      <c r="BQ1806" s="71"/>
      <c r="BR1806" s="71"/>
      <c r="BS1806" s="71"/>
      <c r="BT1806" s="71"/>
      <c r="BU1806" s="71"/>
      <c r="BV1806" s="71"/>
    </row>
    <row r="1807">
      <c r="A1807" s="53"/>
      <c r="B1807" s="53"/>
      <c r="C1807" s="53" t="s">
        <v>36</v>
      </c>
      <c r="D1807" s="85" t="s">
        <v>4463</v>
      </c>
      <c r="E1807" s="54" t="s">
        <v>38</v>
      </c>
      <c r="F1807" s="55" t="s">
        <v>39</v>
      </c>
      <c r="G1807" s="86" t="s">
        <v>4464</v>
      </c>
      <c r="H1807" s="55"/>
      <c r="I1807" s="54">
        <f t="shared" si="24"/>
        <v>0</v>
      </c>
      <c r="J1807" s="56"/>
      <c r="K1807" s="57"/>
      <c r="L1807" s="76"/>
      <c r="M1807" s="59"/>
      <c r="N1807" s="60"/>
      <c r="O1807" s="61">
        <v>7.68</v>
      </c>
      <c r="P1807" s="62">
        <v>8.2944</v>
      </c>
      <c r="Q1807" s="63">
        <v>8.2944</v>
      </c>
      <c r="R1807" s="64">
        <v>9.0</v>
      </c>
      <c r="S1807" s="107">
        <v>9.450000000000001</v>
      </c>
      <c r="T1807" s="65">
        <f t="shared" si="39"/>
        <v>1.512</v>
      </c>
      <c r="U1807" s="65">
        <f t="shared" si="40"/>
        <v>10.962</v>
      </c>
      <c r="V1807" s="66">
        <f t="shared" si="69"/>
        <v>0.05</v>
      </c>
      <c r="W1807" s="67">
        <f t="shared" si="5"/>
        <v>8.9775</v>
      </c>
      <c r="X1807" s="67">
        <f t="shared" si="70"/>
        <v>1.4364</v>
      </c>
      <c r="Y1807" s="67">
        <f t="shared" si="71"/>
        <v>10.4139</v>
      </c>
      <c r="Z1807" s="67">
        <f t="shared" si="8"/>
        <v>8.505</v>
      </c>
      <c r="AA1807" s="67">
        <f t="shared" si="72"/>
        <v>1.3608</v>
      </c>
      <c r="AB1807" s="67">
        <f t="shared" si="73"/>
        <v>9.8658</v>
      </c>
      <c r="AC1807" s="67">
        <f t="shared" si="11"/>
        <v>8.0325</v>
      </c>
      <c r="AD1807" s="67">
        <f t="shared" si="74"/>
        <v>1.2852</v>
      </c>
      <c r="AE1807" s="67">
        <f t="shared" si="75"/>
        <v>9.3177</v>
      </c>
      <c r="AF1807" s="67">
        <f t="shared" si="33"/>
        <v>7.8435</v>
      </c>
      <c r="AG1807" s="67">
        <f t="shared" si="76"/>
        <v>1.25496</v>
      </c>
      <c r="AH1807" s="67">
        <f t="shared" si="77"/>
        <v>9.09846</v>
      </c>
      <c r="AI1807" s="67">
        <f t="shared" si="17"/>
        <v>7.56</v>
      </c>
      <c r="AJ1807" s="68">
        <f t="shared" si="78"/>
        <v>1.2096</v>
      </c>
      <c r="AK1807" s="68">
        <f t="shared" si="79"/>
        <v>8.7696</v>
      </c>
      <c r="AL1807" s="70"/>
      <c r="AM1807" s="70"/>
      <c r="AN1807" s="71"/>
      <c r="AO1807" s="71"/>
      <c r="AP1807" s="71"/>
      <c r="AQ1807" s="71"/>
      <c r="AR1807" s="71"/>
      <c r="AS1807" s="71"/>
      <c r="AT1807" s="71"/>
      <c r="AU1807" s="71"/>
      <c r="AV1807" s="71"/>
      <c r="AW1807" s="71"/>
      <c r="AX1807" s="71"/>
      <c r="AY1807" s="71"/>
      <c r="AZ1807" s="71"/>
      <c r="BA1807" s="71"/>
      <c r="BB1807" s="71"/>
      <c r="BC1807" s="71"/>
      <c r="BD1807" s="71"/>
      <c r="BE1807" s="71"/>
      <c r="BF1807" s="71"/>
      <c r="BG1807" s="71"/>
      <c r="BH1807" s="71"/>
      <c r="BI1807" s="71"/>
      <c r="BJ1807" s="71"/>
      <c r="BK1807" s="71"/>
      <c r="BL1807" s="71"/>
      <c r="BM1807" s="71"/>
      <c r="BN1807" s="71"/>
      <c r="BO1807" s="71"/>
      <c r="BP1807" s="71"/>
      <c r="BQ1807" s="71"/>
      <c r="BR1807" s="71"/>
      <c r="BS1807" s="71"/>
      <c r="BT1807" s="71"/>
      <c r="BU1807" s="71"/>
      <c r="BV1807" s="71"/>
    </row>
    <row r="1808">
      <c r="A1808" s="53"/>
      <c r="B1808" s="53"/>
      <c r="C1808" s="53" t="s">
        <v>12</v>
      </c>
      <c r="D1808" s="53" t="s">
        <v>4465</v>
      </c>
      <c r="E1808" s="54" t="s">
        <v>38</v>
      </c>
      <c r="F1808" s="54" t="s">
        <v>42</v>
      </c>
      <c r="G1808" s="55" t="s">
        <v>4466</v>
      </c>
      <c r="H1808" s="54" t="s">
        <v>4466</v>
      </c>
      <c r="I1808" s="54">
        <f t="shared" si="24"/>
        <v>21</v>
      </c>
      <c r="J1808" s="56"/>
      <c r="K1808" s="57"/>
      <c r="L1808" s="76"/>
      <c r="M1808" s="59"/>
      <c r="N1808" s="79">
        <v>3.0</v>
      </c>
      <c r="O1808" s="61">
        <v>3.0</v>
      </c>
      <c r="P1808" s="63">
        <v>3.24</v>
      </c>
      <c r="Q1808" s="63">
        <v>3.24</v>
      </c>
      <c r="R1808" s="78">
        <v>3.0</v>
      </c>
      <c r="S1808" s="111">
        <v>3.1500000000000004</v>
      </c>
      <c r="T1808" s="65">
        <f t="shared" si="39"/>
        <v>0.504</v>
      </c>
      <c r="U1808" s="65">
        <f t="shared" si="40"/>
        <v>3.654</v>
      </c>
      <c r="V1808" s="66">
        <f t="shared" si="69"/>
        <v>0.05</v>
      </c>
      <c r="W1808" s="67">
        <f t="shared" si="5"/>
        <v>2.9925</v>
      </c>
      <c r="X1808" s="67">
        <f t="shared" si="70"/>
        <v>0.4788</v>
      </c>
      <c r="Y1808" s="67">
        <f t="shared" si="71"/>
        <v>3.4713</v>
      </c>
      <c r="Z1808" s="67">
        <f t="shared" si="8"/>
        <v>2.835</v>
      </c>
      <c r="AA1808" s="67">
        <f t="shared" si="72"/>
        <v>0.4536</v>
      </c>
      <c r="AB1808" s="67">
        <f t="shared" si="73"/>
        <v>3.2886</v>
      </c>
      <c r="AC1808" s="67">
        <f t="shared" si="11"/>
        <v>2.6775</v>
      </c>
      <c r="AD1808" s="67">
        <f t="shared" si="74"/>
        <v>0.4284</v>
      </c>
      <c r="AE1808" s="67">
        <f t="shared" si="75"/>
        <v>3.1059</v>
      </c>
      <c r="AF1808" s="67">
        <f t="shared" si="33"/>
        <v>2.6145</v>
      </c>
      <c r="AG1808" s="67">
        <f t="shared" si="76"/>
        <v>0.41832</v>
      </c>
      <c r="AH1808" s="67">
        <f t="shared" si="77"/>
        <v>3.03282</v>
      </c>
      <c r="AI1808" s="67">
        <f t="shared" si="17"/>
        <v>2.52</v>
      </c>
      <c r="AJ1808" s="68">
        <f t="shared" si="78"/>
        <v>0.4032</v>
      </c>
      <c r="AK1808" s="68">
        <f t="shared" si="79"/>
        <v>2.9232</v>
      </c>
      <c r="AL1808" s="70"/>
      <c r="AM1808" s="70"/>
      <c r="AN1808" s="71"/>
      <c r="AO1808" s="71"/>
      <c r="AP1808" s="71"/>
      <c r="AQ1808" s="71"/>
      <c r="AR1808" s="71"/>
      <c r="AS1808" s="71"/>
      <c r="AT1808" s="71"/>
      <c r="AU1808" s="71"/>
      <c r="AV1808" s="71"/>
      <c r="AW1808" s="71"/>
      <c r="AX1808" s="71"/>
      <c r="AY1808" s="71"/>
      <c r="AZ1808" s="71"/>
      <c r="BA1808" s="71"/>
      <c r="BB1808" s="71"/>
      <c r="BC1808" s="71"/>
      <c r="BD1808" s="71"/>
      <c r="BE1808" s="71"/>
      <c r="BF1808" s="71"/>
      <c r="BG1808" s="71"/>
      <c r="BH1808" s="71"/>
      <c r="BI1808" s="71"/>
      <c r="BJ1808" s="71"/>
      <c r="BK1808" s="71"/>
      <c r="BL1808" s="71"/>
      <c r="BM1808" s="71"/>
      <c r="BN1808" s="71"/>
      <c r="BO1808" s="71"/>
      <c r="BP1808" s="71"/>
      <c r="BQ1808" s="71"/>
      <c r="BR1808" s="71"/>
      <c r="BS1808" s="71"/>
      <c r="BT1808" s="71"/>
      <c r="BU1808" s="71"/>
      <c r="BV1808" s="71"/>
    </row>
    <row r="1809">
      <c r="A1809" s="53">
        <v>1.0</v>
      </c>
      <c r="B1809" s="53"/>
      <c r="C1809" s="73" t="s">
        <v>12</v>
      </c>
      <c r="D1809" s="74" t="s">
        <v>4467</v>
      </c>
      <c r="E1809" s="54" t="s">
        <v>38</v>
      </c>
      <c r="F1809" s="54" t="s">
        <v>42</v>
      </c>
      <c r="G1809" s="54" t="s">
        <v>4468</v>
      </c>
      <c r="H1809" s="54" t="s">
        <v>4469</v>
      </c>
      <c r="I1809" s="54">
        <f t="shared" si="24"/>
        <v>40</v>
      </c>
      <c r="J1809" s="56"/>
      <c r="K1809" s="57"/>
      <c r="L1809" s="87"/>
      <c r="M1809" s="59"/>
      <c r="N1809" s="60">
        <v>26.0</v>
      </c>
      <c r="O1809" s="61">
        <v>64.0</v>
      </c>
      <c r="P1809" s="62">
        <v>69.12</v>
      </c>
      <c r="Q1809" s="63">
        <v>69.12</v>
      </c>
      <c r="R1809" s="64">
        <v>78.0</v>
      </c>
      <c r="S1809" s="111">
        <v>82.0</v>
      </c>
      <c r="T1809" s="65">
        <f t="shared" si="39"/>
        <v>13.12</v>
      </c>
      <c r="U1809" s="65">
        <f t="shared" si="40"/>
        <v>95.12</v>
      </c>
      <c r="V1809" s="66">
        <f t="shared" si="69"/>
        <v>0.05128205128</v>
      </c>
      <c r="W1809" s="67">
        <f t="shared" si="5"/>
        <v>77.9</v>
      </c>
      <c r="X1809" s="67">
        <f t="shared" si="70"/>
        <v>12.464</v>
      </c>
      <c r="Y1809" s="67">
        <f t="shared" si="71"/>
        <v>90.364</v>
      </c>
      <c r="Z1809" s="67">
        <f t="shared" si="8"/>
        <v>73.8</v>
      </c>
      <c r="AA1809" s="67">
        <f t="shared" si="72"/>
        <v>11.808</v>
      </c>
      <c r="AB1809" s="67">
        <f t="shared" si="73"/>
        <v>85.608</v>
      </c>
      <c r="AC1809" s="67">
        <f t="shared" si="11"/>
        <v>69.7</v>
      </c>
      <c r="AD1809" s="67">
        <f t="shared" si="74"/>
        <v>11.152</v>
      </c>
      <c r="AE1809" s="67">
        <f t="shared" si="75"/>
        <v>80.852</v>
      </c>
      <c r="AF1809" s="67">
        <f t="shared" si="33"/>
        <v>68.06</v>
      </c>
      <c r="AG1809" s="67">
        <f t="shared" si="76"/>
        <v>10.8896</v>
      </c>
      <c r="AH1809" s="67">
        <f t="shared" si="77"/>
        <v>78.9496</v>
      </c>
      <c r="AI1809" s="67">
        <f t="shared" si="17"/>
        <v>65.6</v>
      </c>
      <c r="AJ1809" s="68">
        <f t="shared" si="78"/>
        <v>10.496</v>
      </c>
      <c r="AK1809" s="68">
        <f t="shared" si="79"/>
        <v>76.096</v>
      </c>
      <c r="AL1809" s="70"/>
      <c r="AM1809" s="70"/>
      <c r="AN1809" s="71"/>
      <c r="AO1809" s="71"/>
      <c r="AP1809" s="71"/>
      <c r="AQ1809" s="71"/>
      <c r="AR1809" s="71"/>
      <c r="AS1809" s="71"/>
      <c r="AT1809" s="71"/>
      <c r="AU1809" s="71"/>
      <c r="AV1809" s="71"/>
      <c r="AW1809" s="71"/>
      <c r="AX1809" s="71"/>
      <c r="AY1809" s="71"/>
      <c r="AZ1809" s="71"/>
      <c r="BA1809" s="71"/>
      <c r="BB1809" s="71"/>
      <c r="BC1809" s="71"/>
      <c r="BD1809" s="71"/>
      <c r="BE1809" s="71"/>
      <c r="BF1809" s="71"/>
      <c r="BG1809" s="71"/>
      <c r="BH1809" s="71"/>
      <c r="BI1809" s="71"/>
      <c r="BJ1809" s="71"/>
      <c r="BK1809" s="71"/>
      <c r="BL1809" s="71"/>
      <c r="BM1809" s="71"/>
      <c r="BN1809" s="71"/>
      <c r="BO1809" s="71"/>
      <c r="BP1809" s="71"/>
      <c r="BQ1809" s="71"/>
      <c r="BR1809" s="71"/>
      <c r="BS1809" s="71"/>
      <c r="BT1809" s="71"/>
      <c r="BU1809" s="71"/>
      <c r="BV1809" s="71"/>
    </row>
    <row r="1810">
      <c r="A1810" s="53">
        <v>1.0</v>
      </c>
      <c r="B1810" s="53"/>
      <c r="C1810" s="73" t="s">
        <v>12</v>
      </c>
      <c r="D1810" s="74" t="s">
        <v>4470</v>
      </c>
      <c r="E1810" s="54" t="s">
        <v>38</v>
      </c>
      <c r="F1810" s="54" t="s">
        <v>42</v>
      </c>
      <c r="G1810" s="54" t="s">
        <v>4471</v>
      </c>
      <c r="H1810" s="54" t="s">
        <v>4472</v>
      </c>
      <c r="I1810" s="54">
        <f t="shared" si="24"/>
        <v>40</v>
      </c>
      <c r="J1810" s="56"/>
      <c r="K1810" s="57"/>
      <c r="L1810" s="87"/>
      <c r="M1810" s="59"/>
      <c r="N1810" s="60">
        <v>54.0</v>
      </c>
      <c r="O1810" s="61">
        <v>102.0</v>
      </c>
      <c r="P1810" s="62">
        <v>110.16000000000001</v>
      </c>
      <c r="Q1810" s="63">
        <v>110.16000000000001</v>
      </c>
      <c r="R1810" s="64">
        <v>123.0</v>
      </c>
      <c r="S1810" s="111">
        <v>129.0</v>
      </c>
      <c r="T1810" s="65">
        <f t="shared" si="39"/>
        <v>20.64</v>
      </c>
      <c r="U1810" s="65">
        <f t="shared" si="40"/>
        <v>149.64</v>
      </c>
      <c r="V1810" s="66">
        <f t="shared" si="69"/>
        <v>0.0487804878</v>
      </c>
      <c r="W1810" s="67">
        <f t="shared" si="5"/>
        <v>122.55</v>
      </c>
      <c r="X1810" s="67">
        <f t="shared" si="70"/>
        <v>19.608</v>
      </c>
      <c r="Y1810" s="67">
        <f t="shared" si="71"/>
        <v>142.158</v>
      </c>
      <c r="Z1810" s="67">
        <f t="shared" si="8"/>
        <v>116.1</v>
      </c>
      <c r="AA1810" s="67">
        <f t="shared" si="72"/>
        <v>18.576</v>
      </c>
      <c r="AB1810" s="67">
        <f t="shared" si="73"/>
        <v>134.676</v>
      </c>
      <c r="AC1810" s="67">
        <f t="shared" si="11"/>
        <v>109.65</v>
      </c>
      <c r="AD1810" s="67">
        <f t="shared" si="74"/>
        <v>17.544</v>
      </c>
      <c r="AE1810" s="67">
        <f t="shared" si="75"/>
        <v>127.194</v>
      </c>
      <c r="AF1810" s="67">
        <f t="shared" si="33"/>
        <v>107.07</v>
      </c>
      <c r="AG1810" s="67">
        <f t="shared" si="76"/>
        <v>17.1312</v>
      </c>
      <c r="AH1810" s="67">
        <f t="shared" si="77"/>
        <v>124.2012</v>
      </c>
      <c r="AI1810" s="67">
        <f t="shared" si="17"/>
        <v>103.2</v>
      </c>
      <c r="AJ1810" s="68">
        <f t="shared" si="78"/>
        <v>16.512</v>
      </c>
      <c r="AK1810" s="68">
        <f t="shared" si="79"/>
        <v>119.712</v>
      </c>
      <c r="AL1810" s="70"/>
      <c r="AM1810" s="70"/>
      <c r="AN1810" s="71"/>
      <c r="AO1810" s="71"/>
      <c r="AP1810" s="71"/>
      <c r="AQ1810" s="71"/>
      <c r="AR1810" s="71"/>
      <c r="AS1810" s="71"/>
      <c r="AT1810" s="71"/>
      <c r="AU1810" s="71"/>
      <c r="AV1810" s="71"/>
      <c r="AW1810" s="71"/>
      <c r="AX1810" s="71"/>
      <c r="AY1810" s="71"/>
      <c r="AZ1810" s="71"/>
      <c r="BA1810" s="71"/>
      <c r="BB1810" s="71"/>
      <c r="BC1810" s="71"/>
      <c r="BD1810" s="71"/>
      <c r="BE1810" s="71"/>
      <c r="BF1810" s="71"/>
      <c r="BG1810" s="71"/>
      <c r="BH1810" s="71"/>
      <c r="BI1810" s="71"/>
      <c r="BJ1810" s="71"/>
      <c r="BK1810" s="71"/>
      <c r="BL1810" s="71"/>
      <c r="BM1810" s="71"/>
      <c r="BN1810" s="71"/>
      <c r="BO1810" s="71"/>
      <c r="BP1810" s="71"/>
      <c r="BQ1810" s="71"/>
      <c r="BR1810" s="71"/>
      <c r="BS1810" s="71"/>
      <c r="BT1810" s="71"/>
      <c r="BU1810" s="71"/>
      <c r="BV1810" s="71"/>
    </row>
    <row r="1811">
      <c r="A1811" s="53">
        <v>1.0</v>
      </c>
      <c r="B1811" s="53"/>
      <c r="C1811" s="73" t="s">
        <v>12</v>
      </c>
      <c r="D1811" s="74" t="s">
        <v>4473</v>
      </c>
      <c r="E1811" s="54" t="s">
        <v>38</v>
      </c>
      <c r="F1811" s="54" t="s">
        <v>42</v>
      </c>
      <c r="G1811" s="54" t="s">
        <v>4474</v>
      </c>
      <c r="H1811" s="54" t="s">
        <v>4475</v>
      </c>
      <c r="I1811" s="54">
        <f t="shared" si="24"/>
        <v>40</v>
      </c>
      <c r="J1811" s="56"/>
      <c r="K1811" s="57"/>
      <c r="L1811" s="87"/>
      <c r="M1811" s="59"/>
      <c r="N1811" s="60">
        <v>46.0</v>
      </c>
      <c r="O1811" s="61">
        <v>49.0</v>
      </c>
      <c r="P1811" s="62">
        <v>52.92</v>
      </c>
      <c r="Q1811" s="63">
        <v>52.92</v>
      </c>
      <c r="R1811" s="64">
        <v>56.0</v>
      </c>
      <c r="S1811" s="111">
        <v>59.0</v>
      </c>
      <c r="T1811" s="65">
        <f t="shared" si="39"/>
        <v>9.44</v>
      </c>
      <c r="U1811" s="65">
        <f t="shared" si="40"/>
        <v>68.44</v>
      </c>
      <c r="V1811" s="66">
        <f t="shared" si="69"/>
        <v>0.05357142857</v>
      </c>
      <c r="W1811" s="67">
        <f t="shared" si="5"/>
        <v>56.05</v>
      </c>
      <c r="X1811" s="67">
        <f t="shared" si="70"/>
        <v>8.968</v>
      </c>
      <c r="Y1811" s="67">
        <f t="shared" si="71"/>
        <v>65.018</v>
      </c>
      <c r="Z1811" s="67">
        <f t="shared" si="8"/>
        <v>53.1</v>
      </c>
      <c r="AA1811" s="67">
        <f t="shared" si="72"/>
        <v>8.496</v>
      </c>
      <c r="AB1811" s="67">
        <f t="shared" si="73"/>
        <v>61.596</v>
      </c>
      <c r="AC1811" s="67">
        <f t="shared" si="11"/>
        <v>50.15</v>
      </c>
      <c r="AD1811" s="67">
        <f t="shared" si="74"/>
        <v>8.024</v>
      </c>
      <c r="AE1811" s="67">
        <f t="shared" si="75"/>
        <v>58.174</v>
      </c>
      <c r="AF1811" s="67">
        <f t="shared" si="33"/>
        <v>48.97</v>
      </c>
      <c r="AG1811" s="67">
        <f t="shared" si="76"/>
        <v>7.8352</v>
      </c>
      <c r="AH1811" s="67">
        <f t="shared" si="77"/>
        <v>56.8052</v>
      </c>
      <c r="AI1811" s="67">
        <f t="shared" si="17"/>
        <v>47.2</v>
      </c>
      <c r="AJ1811" s="68">
        <f t="shared" si="78"/>
        <v>7.552</v>
      </c>
      <c r="AK1811" s="68">
        <f t="shared" si="79"/>
        <v>54.752</v>
      </c>
      <c r="AL1811" s="70"/>
      <c r="AM1811" s="70"/>
      <c r="AN1811" s="71"/>
      <c r="AO1811" s="71"/>
      <c r="AP1811" s="71"/>
      <c r="AQ1811" s="71"/>
      <c r="AR1811" s="71"/>
      <c r="AS1811" s="71"/>
      <c r="AT1811" s="71"/>
      <c r="AU1811" s="71"/>
      <c r="AV1811" s="71"/>
      <c r="AW1811" s="71"/>
      <c r="AX1811" s="71"/>
      <c r="AY1811" s="71"/>
      <c r="AZ1811" s="71"/>
      <c r="BA1811" s="71"/>
      <c r="BB1811" s="71"/>
      <c r="BC1811" s="71"/>
      <c r="BD1811" s="71"/>
      <c r="BE1811" s="71"/>
      <c r="BF1811" s="71"/>
      <c r="BG1811" s="71"/>
      <c r="BH1811" s="71"/>
      <c r="BI1811" s="71"/>
      <c r="BJ1811" s="71"/>
      <c r="BK1811" s="71"/>
      <c r="BL1811" s="71"/>
      <c r="BM1811" s="71"/>
      <c r="BN1811" s="71"/>
      <c r="BO1811" s="71"/>
      <c r="BP1811" s="71"/>
      <c r="BQ1811" s="71"/>
      <c r="BR1811" s="71"/>
      <c r="BS1811" s="71"/>
      <c r="BT1811" s="71"/>
      <c r="BU1811" s="71"/>
      <c r="BV1811" s="71"/>
    </row>
    <row r="1812">
      <c r="A1812" s="53">
        <v>1.0</v>
      </c>
      <c r="B1812" s="53"/>
      <c r="C1812" s="73" t="s">
        <v>12</v>
      </c>
      <c r="D1812" s="74" t="s">
        <v>4476</v>
      </c>
      <c r="E1812" s="54" t="s">
        <v>38</v>
      </c>
      <c r="F1812" s="54" t="s">
        <v>42</v>
      </c>
      <c r="G1812" s="55" t="s">
        <v>4477</v>
      </c>
      <c r="H1812" s="54" t="s">
        <v>4478</v>
      </c>
      <c r="I1812" s="54">
        <f t="shared" si="24"/>
        <v>38</v>
      </c>
      <c r="J1812" s="56"/>
      <c r="K1812" s="57"/>
      <c r="L1812" s="87"/>
      <c r="M1812" s="59"/>
      <c r="N1812" s="60">
        <v>34.0</v>
      </c>
      <c r="O1812" s="61">
        <v>70.0</v>
      </c>
      <c r="P1812" s="62">
        <v>75.60000000000001</v>
      </c>
      <c r="Q1812" s="63">
        <v>75.60000000000001</v>
      </c>
      <c r="R1812" s="64">
        <v>80.0</v>
      </c>
      <c r="S1812" s="111">
        <v>84.0</v>
      </c>
      <c r="T1812" s="65">
        <f t="shared" si="39"/>
        <v>13.44</v>
      </c>
      <c r="U1812" s="65">
        <f t="shared" si="40"/>
        <v>97.44</v>
      </c>
      <c r="V1812" s="66">
        <f t="shared" si="69"/>
        <v>0.05</v>
      </c>
      <c r="W1812" s="67">
        <f t="shared" si="5"/>
        <v>79.8</v>
      </c>
      <c r="X1812" s="67">
        <f t="shared" si="70"/>
        <v>12.768</v>
      </c>
      <c r="Y1812" s="67">
        <f t="shared" si="71"/>
        <v>92.568</v>
      </c>
      <c r="Z1812" s="67">
        <f t="shared" si="8"/>
        <v>75.6</v>
      </c>
      <c r="AA1812" s="67">
        <f t="shared" si="72"/>
        <v>12.096</v>
      </c>
      <c r="AB1812" s="67">
        <f t="shared" si="73"/>
        <v>87.696</v>
      </c>
      <c r="AC1812" s="67">
        <f t="shared" si="11"/>
        <v>71.4</v>
      </c>
      <c r="AD1812" s="67">
        <f t="shared" si="74"/>
        <v>11.424</v>
      </c>
      <c r="AE1812" s="67">
        <f t="shared" si="75"/>
        <v>82.824</v>
      </c>
      <c r="AF1812" s="67">
        <f t="shared" si="33"/>
        <v>69.72</v>
      </c>
      <c r="AG1812" s="67">
        <f t="shared" si="76"/>
        <v>11.1552</v>
      </c>
      <c r="AH1812" s="67">
        <f t="shared" si="77"/>
        <v>80.8752</v>
      </c>
      <c r="AI1812" s="67">
        <f t="shared" si="17"/>
        <v>67.2</v>
      </c>
      <c r="AJ1812" s="68">
        <f t="shared" si="78"/>
        <v>10.752</v>
      </c>
      <c r="AK1812" s="68">
        <f t="shared" si="79"/>
        <v>77.952</v>
      </c>
      <c r="AL1812" s="70"/>
      <c r="AM1812" s="70"/>
      <c r="AN1812" s="71"/>
      <c r="AO1812" s="71"/>
      <c r="AP1812" s="71"/>
      <c r="AQ1812" s="71"/>
      <c r="AR1812" s="71"/>
      <c r="AS1812" s="71"/>
      <c r="AT1812" s="71"/>
      <c r="AU1812" s="71"/>
      <c r="AV1812" s="71"/>
      <c r="AW1812" s="71"/>
      <c r="AX1812" s="71"/>
      <c r="AY1812" s="71"/>
      <c r="AZ1812" s="71"/>
      <c r="BA1812" s="71"/>
      <c r="BB1812" s="71"/>
      <c r="BC1812" s="71"/>
      <c r="BD1812" s="71"/>
      <c r="BE1812" s="71"/>
      <c r="BF1812" s="71"/>
      <c r="BG1812" s="71"/>
      <c r="BH1812" s="71"/>
      <c r="BI1812" s="71"/>
      <c r="BJ1812" s="71"/>
      <c r="BK1812" s="71"/>
      <c r="BL1812" s="71"/>
      <c r="BM1812" s="71"/>
      <c r="BN1812" s="71"/>
      <c r="BO1812" s="71"/>
      <c r="BP1812" s="71"/>
      <c r="BQ1812" s="71"/>
      <c r="BR1812" s="71"/>
      <c r="BS1812" s="71"/>
      <c r="BT1812" s="71"/>
      <c r="BU1812" s="71"/>
      <c r="BV1812" s="71"/>
    </row>
    <row r="1813">
      <c r="A1813" s="53"/>
      <c r="B1813" s="53"/>
      <c r="C1813" s="53" t="s">
        <v>36</v>
      </c>
      <c r="D1813" s="85" t="s">
        <v>4479</v>
      </c>
      <c r="E1813" s="54" t="s">
        <v>38</v>
      </c>
      <c r="F1813" s="55" t="s">
        <v>39</v>
      </c>
      <c r="G1813" s="86" t="s">
        <v>4480</v>
      </c>
      <c r="H1813" s="55"/>
      <c r="I1813" s="54">
        <f t="shared" si="24"/>
        <v>0</v>
      </c>
      <c r="J1813" s="56"/>
      <c r="K1813" s="57"/>
      <c r="L1813" s="76"/>
      <c r="M1813" s="59"/>
      <c r="N1813" s="60"/>
      <c r="O1813" s="61">
        <v>9.6</v>
      </c>
      <c r="P1813" s="62">
        <v>10.368</v>
      </c>
      <c r="Q1813" s="63">
        <v>10.368</v>
      </c>
      <c r="R1813" s="78">
        <v>10.0</v>
      </c>
      <c r="S1813" s="107">
        <v>10.5</v>
      </c>
      <c r="T1813" s="65">
        <f t="shared" si="39"/>
        <v>1.68</v>
      </c>
      <c r="U1813" s="65">
        <f t="shared" si="40"/>
        <v>12.18</v>
      </c>
      <c r="V1813" s="66">
        <f t="shared" si="69"/>
        <v>0.05</v>
      </c>
      <c r="W1813" s="67">
        <f t="shared" si="5"/>
        <v>9.975</v>
      </c>
      <c r="X1813" s="67">
        <f t="shared" si="70"/>
        <v>1.596</v>
      </c>
      <c r="Y1813" s="67">
        <f t="shared" si="71"/>
        <v>11.571</v>
      </c>
      <c r="Z1813" s="67">
        <f t="shared" si="8"/>
        <v>9.45</v>
      </c>
      <c r="AA1813" s="67">
        <f t="shared" si="72"/>
        <v>1.512</v>
      </c>
      <c r="AB1813" s="67">
        <f t="shared" si="73"/>
        <v>10.962</v>
      </c>
      <c r="AC1813" s="67">
        <f t="shared" si="11"/>
        <v>8.925</v>
      </c>
      <c r="AD1813" s="67">
        <f t="shared" si="74"/>
        <v>1.428</v>
      </c>
      <c r="AE1813" s="67">
        <f t="shared" si="75"/>
        <v>10.353</v>
      </c>
      <c r="AF1813" s="67">
        <f t="shared" si="33"/>
        <v>8.715</v>
      </c>
      <c r="AG1813" s="67">
        <f t="shared" si="76"/>
        <v>1.3944</v>
      </c>
      <c r="AH1813" s="67">
        <f t="shared" si="77"/>
        <v>10.1094</v>
      </c>
      <c r="AI1813" s="67">
        <f t="shared" si="17"/>
        <v>8.4</v>
      </c>
      <c r="AJ1813" s="68">
        <f t="shared" si="78"/>
        <v>1.344</v>
      </c>
      <c r="AK1813" s="68">
        <f t="shared" si="79"/>
        <v>9.744</v>
      </c>
      <c r="AL1813" s="70"/>
      <c r="AM1813" s="70"/>
      <c r="AN1813" s="71"/>
      <c r="AO1813" s="71"/>
      <c r="AP1813" s="71"/>
      <c r="AQ1813" s="71"/>
      <c r="AR1813" s="71"/>
      <c r="AS1813" s="71"/>
      <c r="AT1813" s="71"/>
      <c r="AU1813" s="71"/>
      <c r="AV1813" s="71"/>
      <c r="AW1813" s="71"/>
      <c r="AX1813" s="71"/>
      <c r="AY1813" s="71"/>
      <c r="AZ1813" s="71"/>
      <c r="BA1813" s="71"/>
      <c r="BB1813" s="71"/>
      <c r="BC1813" s="71"/>
      <c r="BD1813" s="71"/>
      <c r="BE1813" s="71"/>
      <c r="BF1813" s="71"/>
      <c r="BG1813" s="71"/>
      <c r="BH1813" s="71"/>
      <c r="BI1813" s="71"/>
      <c r="BJ1813" s="71"/>
      <c r="BK1813" s="71"/>
      <c r="BL1813" s="71"/>
      <c r="BM1813" s="71"/>
      <c r="BN1813" s="71"/>
      <c r="BO1813" s="71"/>
      <c r="BP1813" s="71"/>
      <c r="BQ1813" s="71"/>
      <c r="BR1813" s="71"/>
      <c r="BS1813" s="71"/>
      <c r="BT1813" s="71"/>
      <c r="BU1813" s="71"/>
      <c r="BV1813" s="71"/>
    </row>
    <row r="1814">
      <c r="A1814" s="53">
        <v>1.0</v>
      </c>
      <c r="B1814" s="53"/>
      <c r="C1814" s="73" t="s">
        <v>53</v>
      </c>
      <c r="D1814" s="74" t="s">
        <v>4481</v>
      </c>
      <c r="E1814" s="54" t="s">
        <v>38</v>
      </c>
      <c r="F1814" s="54" t="s">
        <v>42</v>
      </c>
      <c r="G1814" s="54" t="s">
        <v>4482</v>
      </c>
      <c r="H1814" s="54" t="s">
        <v>4483</v>
      </c>
      <c r="I1814" s="54">
        <f t="shared" si="24"/>
        <v>40</v>
      </c>
      <c r="J1814" s="56"/>
      <c r="K1814" s="57"/>
      <c r="L1814" s="87"/>
      <c r="M1814" s="59"/>
      <c r="N1814" s="60">
        <v>37.0</v>
      </c>
      <c r="O1814" s="61">
        <v>39.0</v>
      </c>
      <c r="P1814" s="62">
        <v>42.120000000000005</v>
      </c>
      <c r="Q1814" s="63">
        <v>42.120000000000005</v>
      </c>
      <c r="R1814" s="64">
        <v>48.0</v>
      </c>
      <c r="S1814" s="111">
        <v>50.0</v>
      </c>
      <c r="T1814" s="65">
        <f t="shared" si="39"/>
        <v>8</v>
      </c>
      <c r="U1814" s="65">
        <f t="shared" si="40"/>
        <v>58</v>
      </c>
      <c r="V1814" s="66">
        <f t="shared" si="69"/>
        <v>0.04166666667</v>
      </c>
      <c r="W1814" s="67">
        <f t="shared" si="5"/>
        <v>47.5</v>
      </c>
      <c r="X1814" s="67">
        <f t="shared" si="70"/>
        <v>7.6</v>
      </c>
      <c r="Y1814" s="67">
        <f t="shared" si="71"/>
        <v>55.1</v>
      </c>
      <c r="Z1814" s="67">
        <f t="shared" si="8"/>
        <v>45</v>
      </c>
      <c r="AA1814" s="67">
        <f t="shared" si="72"/>
        <v>7.2</v>
      </c>
      <c r="AB1814" s="67">
        <f t="shared" si="73"/>
        <v>52.2</v>
      </c>
      <c r="AC1814" s="67">
        <f t="shared" si="11"/>
        <v>42.5</v>
      </c>
      <c r="AD1814" s="67">
        <f t="shared" si="74"/>
        <v>6.8</v>
      </c>
      <c r="AE1814" s="67">
        <f t="shared" si="75"/>
        <v>49.3</v>
      </c>
      <c r="AF1814" s="67">
        <f t="shared" si="33"/>
        <v>41.5</v>
      </c>
      <c r="AG1814" s="67">
        <f t="shared" si="76"/>
        <v>6.64</v>
      </c>
      <c r="AH1814" s="67">
        <f t="shared" si="77"/>
        <v>48.14</v>
      </c>
      <c r="AI1814" s="67">
        <f t="shared" si="17"/>
        <v>40</v>
      </c>
      <c r="AJ1814" s="68">
        <f t="shared" si="78"/>
        <v>6.4</v>
      </c>
      <c r="AK1814" s="68">
        <f t="shared" si="79"/>
        <v>46.4</v>
      </c>
      <c r="AL1814" s="70"/>
      <c r="AM1814" s="70"/>
      <c r="AN1814" s="71"/>
      <c r="AO1814" s="71"/>
      <c r="AP1814" s="71"/>
      <c r="AQ1814" s="71"/>
      <c r="AR1814" s="71"/>
      <c r="AS1814" s="71"/>
      <c r="AT1814" s="71"/>
      <c r="AU1814" s="71"/>
      <c r="AV1814" s="71"/>
      <c r="AW1814" s="71"/>
      <c r="AX1814" s="71"/>
      <c r="AY1814" s="71"/>
      <c r="AZ1814" s="71"/>
      <c r="BA1814" s="71"/>
      <c r="BB1814" s="71"/>
      <c r="BC1814" s="71"/>
      <c r="BD1814" s="71"/>
      <c r="BE1814" s="71"/>
      <c r="BF1814" s="71"/>
      <c r="BG1814" s="71"/>
      <c r="BH1814" s="71"/>
      <c r="BI1814" s="71"/>
      <c r="BJ1814" s="71"/>
      <c r="BK1814" s="71"/>
      <c r="BL1814" s="71"/>
      <c r="BM1814" s="71"/>
      <c r="BN1814" s="71"/>
      <c r="BO1814" s="71"/>
      <c r="BP1814" s="71"/>
      <c r="BQ1814" s="71"/>
      <c r="BR1814" s="71"/>
      <c r="BS1814" s="71"/>
      <c r="BT1814" s="71"/>
      <c r="BU1814" s="71"/>
      <c r="BV1814" s="71"/>
    </row>
    <row r="1815">
      <c r="A1815" s="53"/>
      <c r="B1815" s="53"/>
      <c r="C1815" s="53" t="s">
        <v>53</v>
      </c>
      <c r="D1815" s="53" t="s">
        <v>4484</v>
      </c>
      <c r="E1815" s="54" t="s">
        <v>38</v>
      </c>
      <c r="F1815" s="54" t="s">
        <v>42</v>
      </c>
      <c r="G1815" s="55" t="s">
        <v>4485</v>
      </c>
      <c r="H1815" s="55" t="s">
        <v>4485</v>
      </c>
      <c r="I1815" s="54">
        <f t="shared" si="24"/>
        <v>36</v>
      </c>
      <c r="J1815" s="56"/>
      <c r="K1815" s="57"/>
      <c r="L1815" s="76"/>
      <c r="M1815" s="59"/>
      <c r="N1815" s="60"/>
      <c r="O1815" s="61">
        <v>540.0</v>
      </c>
      <c r="P1815" s="62">
        <v>583.2</v>
      </c>
      <c r="Q1815" s="63">
        <v>583.2</v>
      </c>
      <c r="R1815" s="64">
        <v>613.0</v>
      </c>
      <c r="S1815" s="111">
        <v>644.0</v>
      </c>
      <c r="T1815" s="65">
        <f t="shared" si="39"/>
        <v>103.04</v>
      </c>
      <c r="U1815" s="65">
        <f t="shared" si="40"/>
        <v>747.04</v>
      </c>
      <c r="V1815" s="66">
        <f t="shared" si="69"/>
        <v>0.05057096248</v>
      </c>
      <c r="W1815" s="67">
        <f t="shared" si="5"/>
        <v>611.8</v>
      </c>
      <c r="X1815" s="67">
        <f t="shared" si="70"/>
        <v>97.888</v>
      </c>
      <c r="Y1815" s="67">
        <f t="shared" si="71"/>
        <v>709.688</v>
      </c>
      <c r="Z1815" s="67">
        <f t="shared" si="8"/>
        <v>579.6</v>
      </c>
      <c r="AA1815" s="67">
        <f t="shared" si="72"/>
        <v>92.736</v>
      </c>
      <c r="AB1815" s="67">
        <f t="shared" si="73"/>
        <v>672.336</v>
      </c>
      <c r="AC1815" s="67">
        <f t="shared" si="11"/>
        <v>547.4</v>
      </c>
      <c r="AD1815" s="67">
        <f t="shared" si="74"/>
        <v>87.584</v>
      </c>
      <c r="AE1815" s="67">
        <f t="shared" si="75"/>
        <v>634.984</v>
      </c>
      <c r="AF1815" s="67">
        <f t="shared" si="33"/>
        <v>534.52</v>
      </c>
      <c r="AG1815" s="67">
        <f t="shared" si="76"/>
        <v>85.5232</v>
      </c>
      <c r="AH1815" s="67">
        <f t="shared" si="77"/>
        <v>620.0432</v>
      </c>
      <c r="AI1815" s="67">
        <f t="shared" si="17"/>
        <v>515.2</v>
      </c>
      <c r="AJ1815" s="68">
        <f t="shared" si="78"/>
        <v>82.432</v>
      </c>
      <c r="AK1815" s="68">
        <f t="shared" si="79"/>
        <v>597.632</v>
      </c>
      <c r="AL1815" s="70"/>
      <c r="AM1815" s="70"/>
      <c r="AN1815" s="71"/>
      <c r="AO1815" s="71"/>
      <c r="AP1815" s="71"/>
      <c r="AQ1815" s="71"/>
      <c r="AR1815" s="71"/>
      <c r="AS1815" s="71"/>
      <c r="AT1815" s="71"/>
      <c r="AU1815" s="71"/>
      <c r="AV1815" s="71"/>
      <c r="AW1815" s="71"/>
      <c r="AX1815" s="71"/>
      <c r="AY1815" s="71"/>
      <c r="AZ1815" s="71"/>
      <c r="BA1815" s="71"/>
      <c r="BB1815" s="71"/>
      <c r="BC1815" s="71"/>
      <c r="BD1815" s="71"/>
      <c r="BE1815" s="71"/>
      <c r="BF1815" s="71"/>
      <c r="BG1815" s="71"/>
      <c r="BH1815" s="71"/>
      <c r="BI1815" s="71"/>
      <c r="BJ1815" s="71"/>
      <c r="BK1815" s="71"/>
      <c r="BL1815" s="71"/>
      <c r="BM1815" s="71"/>
      <c r="BN1815" s="71"/>
      <c r="BO1815" s="71"/>
      <c r="BP1815" s="71"/>
      <c r="BQ1815" s="71"/>
      <c r="BR1815" s="71"/>
      <c r="BS1815" s="71"/>
      <c r="BT1815" s="71"/>
      <c r="BU1815" s="71"/>
      <c r="BV1815" s="71"/>
    </row>
    <row r="1816">
      <c r="A1816" s="53"/>
      <c r="B1816" s="53"/>
      <c r="C1816" s="53" t="s">
        <v>53</v>
      </c>
      <c r="D1816" s="53" t="s">
        <v>4486</v>
      </c>
      <c r="E1816" s="54" t="s">
        <v>38</v>
      </c>
      <c r="F1816" s="54" t="s">
        <v>42</v>
      </c>
      <c r="G1816" s="55" t="s">
        <v>4487</v>
      </c>
      <c r="H1816" s="55" t="s">
        <v>4487</v>
      </c>
      <c r="I1816" s="54">
        <f t="shared" si="24"/>
        <v>34</v>
      </c>
      <c r="J1816" s="56"/>
      <c r="K1816" s="57"/>
      <c r="L1816" s="76"/>
      <c r="M1816" s="59"/>
      <c r="N1816" s="60"/>
      <c r="O1816" s="61">
        <v>420.0</v>
      </c>
      <c r="P1816" s="62">
        <v>453.6</v>
      </c>
      <c r="Q1816" s="63">
        <v>453.6</v>
      </c>
      <c r="R1816" s="64">
        <v>477.0</v>
      </c>
      <c r="S1816" s="111">
        <v>501.0</v>
      </c>
      <c r="T1816" s="65">
        <f t="shared" si="39"/>
        <v>80.16</v>
      </c>
      <c r="U1816" s="65">
        <f t="shared" si="40"/>
        <v>581.16</v>
      </c>
      <c r="V1816" s="66">
        <f t="shared" si="69"/>
        <v>0.05031446541</v>
      </c>
      <c r="W1816" s="67">
        <f t="shared" si="5"/>
        <v>475.95</v>
      </c>
      <c r="X1816" s="67">
        <f t="shared" si="70"/>
        <v>76.152</v>
      </c>
      <c r="Y1816" s="67">
        <f t="shared" si="71"/>
        <v>552.102</v>
      </c>
      <c r="Z1816" s="67">
        <f t="shared" si="8"/>
        <v>450.9</v>
      </c>
      <c r="AA1816" s="67">
        <f t="shared" si="72"/>
        <v>72.144</v>
      </c>
      <c r="AB1816" s="67">
        <f t="shared" si="73"/>
        <v>523.044</v>
      </c>
      <c r="AC1816" s="67">
        <f t="shared" si="11"/>
        <v>425.85</v>
      </c>
      <c r="AD1816" s="67">
        <f t="shared" si="74"/>
        <v>68.136</v>
      </c>
      <c r="AE1816" s="67">
        <f t="shared" si="75"/>
        <v>493.986</v>
      </c>
      <c r="AF1816" s="67">
        <f t="shared" si="33"/>
        <v>415.83</v>
      </c>
      <c r="AG1816" s="67">
        <f t="shared" si="76"/>
        <v>66.5328</v>
      </c>
      <c r="AH1816" s="67">
        <f t="shared" si="77"/>
        <v>482.3628</v>
      </c>
      <c r="AI1816" s="67">
        <f t="shared" si="17"/>
        <v>400.8</v>
      </c>
      <c r="AJ1816" s="68">
        <f t="shared" si="78"/>
        <v>64.128</v>
      </c>
      <c r="AK1816" s="68">
        <f t="shared" si="79"/>
        <v>464.928</v>
      </c>
      <c r="AL1816" s="70"/>
      <c r="AM1816" s="70"/>
      <c r="AN1816" s="71"/>
      <c r="AO1816" s="71"/>
      <c r="AP1816" s="71"/>
      <c r="AQ1816" s="71"/>
      <c r="AR1816" s="71"/>
      <c r="AS1816" s="71"/>
      <c r="AT1816" s="71"/>
      <c r="AU1816" s="71"/>
      <c r="AV1816" s="71"/>
      <c r="AW1816" s="71"/>
      <c r="AX1816" s="71"/>
      <c r="AY1816" s="71"/>
      <c r="AZ1816" s="71"/>
      <c r="BA1816" s="71"/>
      <c r="BB1816" s="71"/>
      <c r="BC1816" s="71"/>
      <c r="BD1816" s="71"/>
      <c r="BE1816" s="71"/>
      <c r="BF1816" s="71"/>
      <c r="BG1816" s="71"/>
      <c r="BH1816" s="71"/>
      <c r="BI1816" s="71"/>
      <c r="BJ1816" s="71"/>
      <c r="BK1816" s="71"/>
      <c r="BL1816" s="71"/>
      <c r="BM1816" s="71"/>
      <c r="BN1816" s="71"/>
      <c r="BO1816" s="71"/>
      <c r="BP1816" s="71"/>
      <c r="BQ1816" s="71"/>
      <c r="BR1816" s="71"/>
      <c r="BS1816" s="71"/>
      <c r="BT1816" s="71"/>
      <c r="BU1816" s="71"/>
      <c r="BV1816" s="71"/>
    </row>
    <row r="1817">
      <c r="A1817" s="53"/>
      <c r="B1817" s="53"/>
      <c r="C1817" s="53" t="s">
        <v>53</v>
      </c>
      <c r="D1817" s="53" t="s">
        <v>4488</v>
      </c>
      <c r="E1817" s="54" t="s">
        <v>38</v>
      </c>
      <c r="F1817" s="54" t="s">
        <v>42</v>
      </c>
      <c r="G1817" s="55" t="s">
        <v>4489</v>
      </c>
      <c r="H1817" s="54" t="s">
        <v>4489</v>
      </c>
      <c r="I1817" s="54">
        <f t="shared" si="24"/>
        <v>37</v>
      </c>
      <c r="J1817" s="56"/>
      <c r="K1817" s="57"/>
      <c r="L1817" s="87"/>
      <c r="M1817" s="59"/>
      <c r="N1817" s="79"/>
      <c r="O1817" s="61">
        <v>250.0</v>
      </c>
      <c r="P1817" s="63">
        <v>270.0</v>
      </c>
      <c r="Q1817" s="63">
        <v>270.0</v>
      </c>
      <c r="R1817" s="64">
        <v>284.0</v>
      </c>
      <c r="S1817" s="111">
        <v>298.0</v>
      </c>
      <c r="T1817" s="65">
        <f t="shared" si="39"/>
        <v>47.68</v>
      </c>
      <c r="U1817" s="65">
        <f t="shared" si="40"/>
        <v>345.68</v>
      </c>
      <c r="V1817" s="66">
        <f t="shared" si="69"/>
        <v>0.04929577465</v>
      </c>
      <c r="W1817" s="67">
        <f t="shared" si="5"/>
        <v>283.1</v>
      </c>
      <c r="X1817" s="67">
        <f t="shared" si="70"/>
        <v>45.296</v>
      </c>
      <c r="Y1817" s="67">
        <f t="shared" si="71"/>
        <v>328.396</v>
      </c>
      <c r="Z1817" s="67">
        <f t="shared" si="8"/>
        <v>268.2</v>
      </c>
      <c r="AA1817" s="67">
        <f t="shared" si="72"/>
        <v>42.912</v>
      </c>
      <c r="AB1817" s="67">
        <f t="shared" si="73"/>
        <v>311.112</v>
      </c>
      <c r="AC1817" s="67">
        <f t="shared" si="11"/>
        <v>253.3</v>
      </c>
      <c r="AD1817" s="67">
        <f t="shared" si="74"/>
        <v>40.528</v>
      </c>
      <c r="AE1817" s="67">
        <f t="shared" si="75"/>
        <v>293.828</v>
      </c>
      <c r="AF1817" s="67">
        <f t="shared" si="33"/>
        <v>247.34</v>
      </c>
      <c r="AG1817" s="67">
        <f t="shared" si="76"/>
        <v>39.5744</v>
      </c>
      <c r="AH1817" s="67">
        <f t="shared" si="77"/>
        <v>286.9144</v>
      </c>
      <c r="AI1817" s="67">
        <f t="shared" si="17"/>
        <v>238.4</v>
      </c>
      <c r="AJ1817" s="68">
        <f t="shared" si="78"/>
        <v>38.144</v>
      </c>
      <c r="AK1817" s="68">
        <f t="shared" si="79"/>
        <v>276.544</v>
      </c>
      <c r="AL1817" s="70"/>
      <c r="AM1817" s="70"/>
      <c r="AN1817" s="71"/>
      <c r="AO1817" s="71"/>
      <c r="AP1817" s="71"/>
      <c r="AQ1817" s="71"/>
      <c r="AR1817" s="71"/>
      <c r="AS1817" s="71"/>
      <c r="AT1817" s="71"/>
      <c r="AU1817" s="71"/>
      <c r="AV1817" s="71"/>
      <c r="AW1817" s="71"/>
      <c r="AX1817" s="71"/>
      <c r="AY1817" s="71"/>
      <c r="AZ1817" s="71"/>
      <c r="BA1817" s="71"/>
      <c r="BB1817" s="71"/>
      <c r="BC1817" s="71"/>
      <c r="BD1817" s="71"/>
      <c r="BE1817" s="71"/>
      <c r="BF1817" s="71"/>
      <c r="BG1817" s="71"/>
      <c r="BH1817" s="71"/>
      <c r="BI1817" s="71"/>
      <c r="BJ1817" s="71"/>
      <c r="BK1817" s="71"/>
      <c r="BL1817" s="71"/>
      <c r="BM1817" s="71"/>
      <c r="BN1817" s="71"/>
      <c r="BO1817" s="71"/>
      <c r="BP1817" s="71"/>
      <c r="BQ1817" s="71"/>
      <c r="BR1817" s="71"/>
      <c r="BS1817" s="71"/>
      <c r="BT1817" s="71"/>
      <c r="BU1817" s="71"/>
      <c r="BV1817" s="71"/>
    </row>
    <row r="1818">
      <c r="A1818" s="53"/>
      <c r="B1818" s="53"/>
      <c r="C1818" s="53" t="s">
        <v>53</v>
      </c>
      <c r="D1818" s="53" t="s">
        <v>4490</v>
      </c>
      <c r="E1818" s="54" t="s">
        <v>38</v>
      </c>
      <c r="F1818" s="54" t="s">
        <v>42</v>
      </c>
      <c r="G1818" s="55" t="s">
        <v>4491</v>
      </c>
      <c r="H1818" s="54" t="s">
        <v>4491</v>
      </c>
      <c r="I1818" s="54">
        <f t="shared" si="24"/>
        <v>20</v>
      </c>
      <c r="J1818" s="56"/>
      <c r="K1818" s="57"/>
      <c r="L1818" s="76"/>
      <c r="M1818" s="59"/>
      <c r="N1818" s="79">
        <v>220.0</v>
      </c>
      <c r="O1818" s="61">
        <v>237.0</v>
      </c>
      <c r="P1818" s="63">
        <v>255.96</v>
      </c>
      <c r="Q1818" s="63">
        <v>255.96</v>
      </c>
      <c r="R1818" s="64">
        <v>269.0</v>
      </c>
      <c r="S1818" s="111">
        <v>282.0</v>
      </c>
      <c r="T1818" s="65">
        <f t="shared" si="39"/>
        <v>45.12</v>
      </c>
      <c r="U1818" s="65">
        <f t="shared" si="40"/>
        <v>327.12</v>
      </c>
      <c r="V1818" s="66">
        <f t="shared" si="69"/>
        <v>0.04832713755</v>
      </c>
      <c r="W1818" s="67">
        <f t="shared" si="5"/>
        <v>267.9</v>
      </c>
      <c r="X1818" s="67">
        <f t="shared" si="70"/>
        <v>42.864</v>
      </c>
      <c r="Y1818" s="67">
        <f t="shared" si="71"/>
        <v>310.764</v>
      </c>
      <c r="Z1818" s="67">
        <f t="shared" si="8"/>
        <v>253.8</v>
      </c>
      <c r="AA1818" s="67">
        <f t="shared" si="72"/>
        <v>40.608</v>
      </c>
      <c r="AB1818" s="67">
        <f t="shared" si="73"/>
        <v>294.408</v>
      </c>
      <c r="AC1818" s="67">
        <f t="shared" si="11"/>
        <v>239.7</v>
      </c>
      <c r="AD1818" s="67">
        <f t="shared" si="74"/>
        <v>38.352</v>
      </c>
      <c r="AE1818" s="67">
        <f t="shared" si="75"/>
        <v>278.052</v>
      </c>
      <c r="AF1818" s="67">
        <f t="shared" si="33"/>
        <v>234.06</v>
      </c>
      <c r="AG1818" s="67">
        <f t="shared" si="76"/>
        <v>37.4496</v>
      </c>
      <c r="AH1818" s="67">
        <f t="shared" si="77"/>
        <v>271.5096</v>
      </c>
      <c r="AI1818" s="67">
        <f t="shared" si="17"/>
        <v>225.6</v>
      </c>
      <c r="AJ1818" s="68">
        <f t="shared" si="78"/>
        <v>36.096</v>
      </c>
      <c r="AK1818" s="68">
        <f t="shared" si="79"/>
        <v>261.696</v>
      </c>
      <c r="AL1818" s="70"/>
      <c r="AM1818" s="70"/>
      <c r="AN1818" s="71"/>
      <c r="AO1818" s="71"/>
      <c r="AP1818" s="71"/>
      <c r="AQ1818" s="71"/>
      <c r="AR1818" s="71"/>
      <c r="AS1818" s="71"/>
      <c r="AT1818" s="71"/>
      <c r="AU1818" s="71"/>
      <c r="AV1818" s="71"/>
      <c r="AW1818" s="71"/>
      <c r="AX1818" s="71"/>
      <c r="AY1818" s="71"/>
      <c r="AZ1818" s="71"/>
      <c r="BA1818" s="71"/>
      <c r="BB1818" s="71"/>
      <c r="BC1818" s="71"/>
      <c r="BD1818" s="71"/>
      <c r="BE1818" s="71"/>
      <c r="BF1818" s="71"/>
      <c r="BG1818" s="71"/>
      <c r="BH1818" s="71"/>
      <c r="BI1818" s="71"/>
      <c r="BJ1818" s="71"/>
      <c r="BK1818" s="71"/>
      <c r="BL1818" s="71"/>
      <c r="BM1818" s="71"/>
      <c r="BN1818" s="71"/>
      <c r="BO1818" s="71"/>
      <c r="BP1818" s="71"/>
      <c r="BQ1818" s="71"/>
      <c r="BR1818" s="71"/>
      <c r="BS1818" s="71"/>
      <c r="BT1818" s="71"/>
      <c r="BU1818" s="71"/>
      <c r="BV1818" s="71"/>
    </row>
    <row r="1819">
      <c r="A1819" s="53"/>
      <c r="B1819" s="53"/>
      <c r="C1819" s="53"/>
      <c r="D1819" s="53" t="s">
        <v>4492</v>
      </c>
      <c r="E1819" s="55" t="s">
        <v>38</v>
      </c>
      <c r="F1819" s="89"/>
      <c r="G1819" s="84" t="s">
        <v>4493</v>
      </c>
      <c r="H1819" s="55"/>
      <c r="I1819" s="54">
        <f t="shared" si="24"/>
        <v>0</v>
      </c>
      <c r="J1819" s="56"/>
      <c r="K1819" s="57"/>
      <c r="L1819" s="55"/>
      <c r="M1819" s="59"/>
      <c r="N1819" s="60"/>
      <c r="O1819" s="90"/>
      <c r="P1819" s="62">
        <v>451467.0</v>
      </c>
      <c r="Q1819" s="63">
        <v>451467.0</v>
      </c>
      <c r="R1819" s="64">
        <v>497742.0</v>
      </c>
      <c r="S1819" s="111">
        <v>522629.0</v>
      </c>
      <c r="T1819" s="65">
        <f t="shared" si="39"/>
        <v>83620.64</v>
      </c>
      <c r="U1819" s="65">
        <f t="shared" si="40"/>
        <v>606249.64</v>
      </c>
      <c r="V1819" s="66">
        <f t="shared" si="69"/>
        <v>0.04999979909</v>
      </c>
      <c r="W1819" s="67">
        <f t="shared" si="5"/>
        <v>496497.55</v>
      </c>
      <c r="X1819" s="67">
        <f t="shared" si="70"/>
        <v>79439.608</v>
      </c>
      <c r="Y1819" s="67">
        <f t="shared" si="71"/>
        <v>575937.158</v>
      </c>
      <c r="Z1819" s="67">
        <f t="shared" si="8"/>
        <v>470366.1</v>
      </c>
      <c r="AA1819" s="67">
        <f t="shared" si="72"/>
        <v>75258.576</v>
      </c>
      <c r="AB1819" s="67">
        <f t="shared" si="73"/>
        <v>545624.676</v>
      </c>
      <c r="AC1819" s="67">
        <f t="shared" si="11"/>
        <v>444234.65</v>
      </c>
      <c r="AD1819" s="67">
        <f t="shared" si="74"/>
        <v>71077.544</v>
      </c>
      <c r="AE1819" s="67">
        <f t="shared" si="75"/>
        <v>515312.194</v>
      </c>
      <c r="AF1819" s="67">
        <f t="shared" si="33"/>
        <v>433782.07</v>
      </c>
      <c r="AG1819" s="67">
        <f t="shared" si="76"/>
        <v>69405.1312</v>
      </c>
      <c r="AH1819" s="67">
        <f t="shared" si="77"/>
        <v>503187.2012</v>
      </c>
      <c r="AI1819" s="67">
        <f t="shared" si="17"/>
        <v>418103.2</v>
      </c>
      <c r="AJ1819" s="68">
        <f t="shared" si="78"/>
        <v>66896.512</v>
      </c>
      <c r="AK1819" s="68">
        <f t="shared" si="79"/>
        <v>484999.712</v>
      </c>
      <c r="AL1819" s="70"/>
      <c r="AM1819" s="70"/>
      <c r="AN1819" s="71"/>
      <c r="AO1819" s="71"/>
      <c r="AP1819" s="71"/>
      <c r="AQ1819" s="71"/>
      <c r="AR1819" s="71"/>
      <c r="AS1819" s="71"/>
      <c r="AT1819" s="71"/>
      <c r="AU1819" s="71"/>
      <c r="AV1819" s="71"/>
      <c r="AW1819" s="71"/>
      <c r="AX1819" s="71"/>
      <c r="AY1819" s="71"/>
      <c r="AZ1819" s="71"/>
      <c r="BA1819" s="71"/>
      <c r="BB1819" s="71"/>
      <c r="BC1819" s="71"/>
      <c r="BD1819" s="71"/>
      <c r="BE1819" s="71"/>
      <c r="BF1819" s="71"/>
      <c r="BG1819" s="71"/>
      <c r="BH1819" s="71"/>
      <c r="BI1819" s="71"/>
      <c r="BJ1819" s="71"/>
      <c r="BK1819" s="71"/>
      <c r="BL1819" s="71"/>
      <c r="BM1819" s="71"/>
      <c r="BN1819" s="71"/>
      <c r="BO1819" s="71"/>
      <c r="BP1819" s="71"/>
      <c r="BQ1819" s="71"/>
      <c r="BR1819" s="71"/>
      <c r="BS1819" s="71"/>
      <c r="BT1819" s="71"/>
      <c r="BU1819" s="71"/>
      <c r="BV1819" s="71"/>
    </row>
    <row r="1820">
      <c r="A1820" s="53"/>
      <c r="B1820" s="53">
        <v>3.0</v>
      </c>
      <c r="C1820" s="53" t="s">
        <v>36</v>
      </c>
      <c r="D1820" s="85" t="s">
        <v>4494</v>
      </c>
      <c r="E1820" s="54" t="s">
        <v>38</v>
      </c>
      <c r="F1820" s="55" t="s">
        <v>866</v>
      </c>
      <c r="G1820" s="84" t="s">
        <v>4495</v>
      </c>
      <c r="H1820" s="55"/>
      <c r="I1820" s="54">
        <f t="shared" si="24"/>
        <v>0</v>
      </c>
      <c r="J1820" s="56"/>
      <c r="K1820" s="57"/>
      <c r="L1820" s="76"/>
      <c r="M1820" s="59"/>
      <c r="N1820" s="60"/>
      <c r="O1820" s="61">
        <v>83081.0</v>
      </c>
      <c r="P1820" s="62">
        <v>89727.48000000001</v>
      </c>
      <c r="Q1820" s="63">
        <v>89727.48000000001</v>
      </c>
      <c r="R1820" s="64">
        <v>94214.0</v>
      </c>
      <c r="S1820" s="107">
        <v>98925.0</v>
      </c>
      <c r="T1820" s="65">
        <f t="shared" si="39"/>
        <v>15828</v>
      </c>
      <c r="U1820" s="65">
        <f t="shared" si="40"/>
        <v>114753</v>
      </c>
      <c r="V1820" s="66">
        <f t="shared" si="69"/>
        <v>0.05000318424</v>
      </c>
      <c r="W1820" s="67">
        <f t="shared" si="5"/>
        <v>93978.75</v>
      </c>
      <c r="X1820" s="67">
        <f t="shared" si="70"/>
        <v>15036.6</v>
      </c>
      <c r="Y1820" s="67">
        <f t="shared" si="71"/>
        <v>109015.35</v>
      </c>
      <c r="Z1820" s="67">
        <f t="shared" si="8"/>
        <v>89032.5</v>
      </c>
      <c r="AA1820" s="67">
        <f t="shared" si="72"/>
        <v>14245.2</v>
      </c>
      <c r="AB1820" s="67">
        <f t="shared" si="73"/>
        <v>103277.7</v>
      </c>
      <c r="AC1820" s="67">
        <f t="shared" si="11"/>
        <v>89032.5</v>
      </c>
      <c r="AD1820" s="67">
        <f t="shared" si="74"/>
        <v>14245.2</v>
      </c>
      <c r="AE1820" s="67">
        <f t="shared" si="75"/>
        <v>103277.7</v>
      </c>
      <c r="AF1820" s="67">
        <f t="shared" si="33"/>
        <v>89032.5</v>
      </c>
      <c r="AG1820" s="67">
        <f t="shared" si="76"/>
        <v>14245.2</v>
      </c>
      <c r="AH1820" s="67">
        <f t="shared" si="77"/>
        <v>103277.7</v>
      </c>
      <c r="AI1820" s="67">
        <f t="shared" si="17"/>
        <v>89032.5</v>
      </c>
      <c r="AJ1820" s="68">
        <f t="shared" si="78"/>
        <v>14245.2</v>
      </c>
      <c r="AK1820" s="68">
        <f t="shared" si="79"/>
        <v>103277.7</v>
      </c>
      <c r="AL1820" s="70"/>
      <c r="AM1820" s="70"/>
      <c r="AN1820" s="71"/>
      <c r="AO1820" s="71"/>
      <c r="AP1820" s="71"/>
      <c r="AQ1820" s="71"/>
      <c r="AR1820" s="71"/>
      <c r="AS1820" s="71"/>
      <c r="AT1820" s="71"/>
      <c r="AU1820" s="71"/>
      <c r="AV1820" s="71"/>
      <c r="AW1820" s="71"/>
      <c r="AX1820" s="71"/>
      <c r="AY1820" s="71"/>
      <c r="AZ1820" s="71"/>
      <c r="BA1820" s="71"/>
      <c r="BB1820" s="71"/>
      <c r="BC1820" s="71"/>
      <c r="BD1820" s="71"/>
      <c r="BE1820" s="71"/>
      <c r="BF1820" s="71"/>
      <c r="BG1820" s="71"/>
      <c r="BH1820" s="71"/>
      <c r="BI1820" s="71"/>
      <c r="BJ1820" s="71"/>
      <c r="BK1820" s="71"/>
      <c r="BL1820" s="71"/>
      <c r="BM1820" s="71"/>
      <c r="BN1820" s="71"/>
      <c r="BO1820" s="71"/>
      <c r="BP1820" s="71"/>
      <c r="BQ1820" s="71"/>
      <c r="BR1820" s="71"/>
      <c r="BS1820" s="71"/>
      <c r="BT1820" s="71"/>
      <c r="BU1820" s="71"/>
      <c r="BV1820" s="71"/>
    </row>
    <row r="1821">
      <c r="A1821" s="53"/>
      <c r="B1821" s="53">
        <v>3.0</v>
      </c>
      <c r="C1821" s="53" t="s">
        <v>36</v>
      </c>
      <c r="D1821" s="85" t="s">
        <v>4496</v>
      </c>
      <c r="E1821" s="54" t="s">
        <v>38</v>
      </c>
      <c r="F1821" s="55" t="s">
        <v>866</v>
      </c>
      <c r="G1821" s="84" t="s">
        <v>4497</v>
      </c>
      <c r="H1821" s="55"/>
      <c r="I1821" s="54">
        <f t="shared" si="24"/>
        <v>0</v>
      </c>
      <c r="J1821" s="56"/>
      <c r="K1821" s="57"/>
      <c r="L1821" s="76"/>
      <c r="M1821" s="59"/>
      <c r="N1821" s="60"/>
      <c r="O1821" s="61">
        <v>72131.0</v>
      </c>
      <c r="P1821" s="62">
        <v>77901.48000000001</v>
      </c>
      <c r="Q1821" s="63">
        <v>77901.48000000001</v>
      </c>
      <c r="R1821" s="64">
        <v>81797.0</v>
      </c>
      <c r="S1821" s="107">
        <v>85887.0</v>
      </c>
      <c r="T1821" s="65">
        <f t="shared" si="39"/>
        <v>13741.92</v>
      </c>
      <c r="U1821" s="65">
        <f t="shared" si="40"/>
        <v>99628.92</v>
      </c>
      <c r="V1821" s="66">
        <f t="shared" si="69"/>
        <v>0.05000183381</v>
      </c>
      <c r="W1821" s="67">
        <f t="shared" si="5"/>
        <v>81592.65</v>
      </c>
      <c r="X1821" s="67">
        <f t="shared" si="70"/>
        <v>13054.824</v>
      </c>
      <c r="Y1821" s="67">
        <f t="shared" si="71"/>
        <v>94647.474</v>
      </c>
      <c r="Z1821" s="67">
        <f t="shared" si="8"/>
        <v>77298.3</v>
      </c>
      <c r="AA1821" s="67">
        <f t="shared" si="72"/>
        <v>12367.728</v>
      </c>
      <c r="AB1821" s="67">
        <f t="shared" si="73"/>
        <v>89666.028</v>
      </c>
      <c r="AC1821" s="67">
        <f t="shared" si="11"/>
        <v>77298.3</v>
      </c>
      <c r="AD1821" s="67">
        <f t="shared" si="74"/>
        <v>12367.728</v>
      </c>
      <c r="AE1821" s="67">
        <f t="shared" si="75"/>
        <v>89666.028</v>
      </c>
      <c r="AF1821" s="67">
        <f t="shared" si="33"/>
        <v>77298.3</v>
      </c>
      <c r="AG1821" s="67">
        <f t="shared" si="76"/>
        <v>12367.728</v>
      </c>
      <c r="AH1821" s="67">
        <f t="shared" si="77"/>
        <v>89666.028</v>
      </c>
      <c r="AI1821" s="67">
        <f t="shared" si="17"/>
        <v>77298.3</v>
      </c>
      <c r="AJ1821" s="68">
        <f t="shared" si="78"/>
        <v>12367.728</v>
      </c>
      <c r="AK1821" s="68">
        <f t="shared" si="79"/>
        <v>89666.028</v>
      </c>
      <c r="AL1821" s="70"/>
      <c r="AM1821" s="70"/>
      <c r="AN1821" s="71"/>
      <c r="AO1821" s="71"/>
      <c r="AP1821" s="71"/>
      <c r="AQ1821" s="71"/>
      <c r="AR1821" s="71"/>
      <c r="AS1821" s="71"/>
      <c r="AT1821" s="71"/>
      <c r="AU1821" s="71"/>
      <c r="AV1821" s="71"/>
      <c r="AW1821" s="71"/>
      <c r="AX1821" s="71"/>
      <c r="AY1821" s="71"/>
      <c r="AZ1821" s="71"/>
      <c r="BA1821" s="71"/>
      <c r="BB1821" s="71"/>
      <c r="BC1821" s="71"/>
      <c r="BD1821" s="71"/>
      <c r="BE1821" s="71"/>
      <c r="BF1821" s="71"/>
      <c r="BG1821" s="71"/>
      <c r="BH1821" s="71"/>
      <c r="BI1821" s="71"/>
      <c r="BJ1821" s="71"/>
      <c r="BK1821" s="71"/>
      <c r="BL1821" s="71"/>
      <c r="BM1821" s="71"/>
      <c r="BN1821" s="71"/>
      <c r="BO1821" s="71"/>
      <c r="BP1821" s="71"/>
      <c r="BQ1821" s="71"/>
      <c r="BR1821" s="71"/>
      <c r="BS1821" s="71"/>
      <c r="BT1821" s="71"/>
      <c r="BU1821" s="71"/>
      <c r="BV1821" s="71"/>
    </row>
    <row r="1822">
      <c r="A1822" s="53"/>
      <c r="B1822" s="53">
        <v>3.0</v>
      </c>
      <c r="C1822" s="53" t="s">
        <v>36</v>
      </c>
      <c r="D1822" s="85" t="s">
        <v>4498</v>
      </c>
      <c r="E1822" s="54" t="s">
        <v>38</v>
      </c>
      <c r="F1822" s="55" t="s">
        <v>866</v>
      </c>
      <c r="G1822" s="84" t="s">
        <v>4499</v>
      </c>
      <c r="H1822" s="55"/>
      <c r="I1822" s="54">
        <f t="shared" si="24"/>
        <v>0</v>
      </c>
      <c r="J1822" s="56"/>
      <c r="K1822" s="57"/>
      <c r="L1822" s="76"/>
      <c r="M1822" s="59"/>
      <c r="N1822" s="60"/>
      <c r="O1822" s="61">
        <v>25855.0</v>
      </c>
      <c r="P1822" s="62">
        <v>27923.4</v>
      </c>
      <c r="Q1822" s="63">
        <v>27923.4</v>
      </c>
      <c r="R1822" s="64">
        <v>29320.0</v>
      </c>
      <c r="S1822" s="107">
        <v>30786.0</v>
      </c>
      <c r="T1822" s="65">
        <f t="shared" si="39"/>
        <v>4925.76</v>
      </c>
      <c r="U1822" s="65">
        <f t="shared" si="40"/>
        <v>35711.76</v>
      </c>
      <c r="V1822" s="66">
        <f t="shared" si="69"/>
        <v>0.05</v>
      </c>
      <c r="W1822" s="67">
        <f t="shared" si="5"/>
        <v>29246.7</v>
      </c>
      <c r="X1822" s="67">
        <f t="shared" si="70"/>
        <v>4679.472</v>
      </c>
      <c r="Y1822" s="67">
        <f t="shared" si="71"/>
        <v>33926.172</v>
      </c>
      <c r="Z1822" s="67">
        <f t="shared" si="8"/>
        <v>27707.4</v>
      </c>
      <c r="AA1822" s="67">
        <f t="shared" si="72"/>
        <v>4433.184</v>
      </c>
      <c r="AB1822" s="67">
        <f t="shared" si="73"/>
        <v>32140.584</v>
      </c>
      <c r="AC1822" s="67">
        <f t="shared" si="11"/>
        <v>27707.4</v>
      </c>
      <c r="AD1822" s="67">
        <f t="shared" si="74"/>
        <v>4433.184</v>
      </c>
      <c r="AE1822" s="67">
        <f t="shared" si="75"/>
        <v>32140.584</v>
      </c>
      <c r="AF1822" s="67">
        <f t="shared" si="33"/>
        <v>27707.4</v>
      </c>
      <c r="AG1822" s="67">
        <f t="shared" si="76"/>
        <v>4433.184</v>
      </c>
      <c r="AH1822" s="67">
        <f t="shared" si="77"/>
        <v>32140.584</v>
      </c>
      <c r="AI1822" s="67">
        <f t="shared" si="17"/>
        <v>27707.4</v>
      </c>
      <c r="AJ1822" s="68">
        <f t="shared" si="78"/>
        <v>4433.184</v>
      </c>
      <c r="AK1822" s="68">
        <f t="shared" si="79"/>
        <v>32140.584</v>
      </c>
      <c r="AL1822" s="70"/>
      <c r="AM1822" s="70"/>
      <c r="AN1822" s="71"/>
      <c r="AO1822" s="71"/>
      <c r="AP1822" s="71"/>
      <c r="AQ1822" s="71"/>
      <c r="AR1822" s="71"/>
      <c r="AS1822" s="71"/>
      <c r="AT1822" s="71"/>
      <c r="AU1822" s="71"/>
      <c r="AV1822" s="71"/>
      <c r="AW1822" s="71"/>
      <c r="AX1822" s="71"/>
      <c r="AY1822" s="71"/>
      <c r="AZ1822" s="71"/>
      <c r="BA1822" s="71"/>
      <c r="BB1822" s="71"/>
      <c r="BC1822" s="71"/>
      <c r="BD1822" s="71"/>
      <c r="BE1822" s="71"/>
      <c r="BF1822" s="71"/>
      <c r="BG1822" s="71"/>
      <c r="BH1822" s="71"/>
      <c r="BI1822" s="71"/>
      <c r="BJ1822" s="71"/>
      <c r="BK1822" s="71"/>
      <c r="BL1822" s="71"/>
      <c r="BM1822" s="71"/>
      <c r="BN1822" s="71"/>
      <c r="BO1822" s="71"/>
      <c r="BP1822" s="71"/>
      <c r="BQ1822" s="71"/>
      <c r="BR1822" s="71"/>
      <c r="BS1822" s="71"/>
      <c r="BT1822" s="71"/>
      <c r="BU1822" s="71"/>
      <c r="BV1822" s="71"/>
    </row>
    <row r="1823">
      <c r="A1823" s="53"/>
      <c r="B1823" s="53">
        <v>3.0</v>
      </c>
      <c r="C1823" s="53" t="s">
        <v>36</v>
      </c>
      <c r="D1823" s="85" t="s">
        <v>4500</v>
      </c>
      <c r="E1823" s="54" t="s">
        <v>38</v>
      </c>
      <c r="F1823" s="55" t="s">
        <v>866</v>
      </c>
      <c r="G1823" s="84" t="s">
        <v>4501</v>
      </c>
      <c r="H1823" s="55"/>
      <c r="I1823" s="54">
        <f t="shared" si="24"/>
        <v>0</v>
      </c>
      <c r="J1823" s="56"/>
      <c r="K1823" s="57"/>
      <c r="L1823" s="76"/>
      <c r="M1823" s="59"/>
      <c r="N1823" s="60"/>
      <c r="O1823" s="61">
        <v>17178.0</v>
      </c>
      <c r="P1823" s="62">
        <v>18552.24</v>
      </c>
      <c r="Q1823" s="63">
        <v>18552.24</v>
      </c>
      <c r="R1823" s="64">
        <v>19480.0</v>
      </c>
      <c r="S1823" s="107">
        <v>20454.0</v>
      </c>
      <c r="T1823" s="65">
        <f t="shared" si="39"/>
        <v>3272.64</v>
      </c>
      <c r="U1823" s="65">
        <f t="shared" si="40"/>
        <v>23726.64</v>
      </c>
      <c r="V1823" s="66">
        <f t="shared" si="69"/>
        <v>0.05</v>
      </c>
      <c r="W1823" s="67">
        <f t="shared" si="5"/>
        <v>19431.3</v>
      </c>
      <c r="X1823" s="67">
        <f t="shared" si="70"/>
        <v>3109.008</v>
      </c>
      <c r="Y1823" s="67">
        <f t="shared" si="71"/>
        <v>22540.308</v>
      </c>
      <c r="Z1823" s="67">
        <f t="shared" si="8"/>
        <v>18408.6</v>
      </c>
      <c r="AA1823" s="67">
        <f t="shared" si="72"/>
        <v>2945.376</v>
      </c>
      <c r="AB1823" s="67">
        <f t="shared" si="73"/>
        <v>21353.976</v>
      </c>
      <c r="AC1823" s="67">
        <f t="shared" si="11"/>
        <v>18408.6</v>
      </c>
      <c r="AD1823" s="67">
        <f t="shared" si="74"/>
        <v>2945.376</v>
      </c>
      <c r="AE1823" s="67">
        <f t="shared" si="75"/>
        <v>21353.976</v>
      </c>
      <c r="AF1823" s="67">
        <f t="shared" si="33"/>
        <v>18408.6</v>
      </c>
      <c r="AG1823" s="67">
        <f t="shared" si="76"/>
        <v>2945.376</v>
      </c>
      <c r="AH1823" s="67">
        <f t="shared" si="77"/>
        <v>21353.976</v>
      </c>
      <c r="AI1823" s="67">
        <f t="shared" si="17"/>
        <v>18408.6</v>
      </c>
      <c r="AJ1823" s="68">
        <f t="shared" si="78"/>
        <v>2945.376</v>
      </c>
      <c r="AK1823" s="68">
        <f t="shared" si="79"/>
        <v>21353.976</v>
      </c>
      <c r="AL1823" s="70"/>
      <c r="AM1823" s="70"/>
      <c r="AN1823" s="71"/>
      <c r="AO1823" s="71"/>
      <c r="AP1823" s="71"/>
      <c r="AQ1823" s="71"/>
      <c r="AR1823" s="71"/>
      <c r="AS1823" s="71"/>
      <c r="AT1823" s="71"/>
      <c r="AU1823" s="71"/>
      <c r="AV1823" s="71"/>
      <c r="AW1823" s="71"/>
      <c r="AX1823" s="71"/>
      <c r="AY1823" s="71"/>
      <c r="AZ1823" s="71"/>
      <c r="BA1823" s="71"/>
      <c r="BB1823" s="71"/>
      <c r="BC1823" s="71"/>
      <c r="BD1823" s="71"/>
      <c r="BE1823" s="71"/>
      <c r="BF1823" s="71"/>
      <c r="BG1823" s="71"/>
      <c r="BH1823" s="71"/>
      <c r="BI1823" s="71"/>
      <c r="BJ1823" s="71"/>
      <c r="BK1823" s="71"/>
      <c r="BL1823" s="71"/>
      <c r="BM1823" s="71"/>
      <c r="BN1823" s="71"/>
      <c r="BO1823" s="71"/>
      <c r="BP1823" s="71"/>
      <c r="BQ1823" s="71"/>
      <c r="BR1823" s="71"/>
      <c r="BS1823" s="71"/>
      <c r="BT1823" s="71"/>
      <c r="BU1823" s="71"/>
      <c r="BV1823" s="71"/>
    </row>
    <row r="1824">
      <c r="A1824" s="53"/>
      <c r="B1824" s="53">
        <v>3.0</v>
      </c>
      <c r="C1824" s="53" t="s">
        <v>36</v>
      </c>
      <c r="D1824" s="85" t="s">
        <v>4502</v>
      </c>
      <c r="E1824" s="54" t="s">
        <v>38</v>
      </c>
      <c r="F1824" s="55" t="s">
        <v>866</v>
      </c>
      <c r="G1824" s="84" t="s">
        <v>4503</v>
      </c>
      <c r="H1824" s="55"/>
      <c r="I1824" s="54">
        <f t="shared" si="24"/>
        <v>0</v>
      </c>
      <c r="J1824" s="56"/>
      <c r="K1824" s="57"/>
      <c r="L1824" s="76"/>
      <c r="M1824" s="59"/>
      <c r="N1824" s="60"/>
      <c r="O1824" s="61">
        <v>31578.0</v>
      </c>
      <c r="P1824" s="62">
        <v>34104.240000000005</v>
      </c>
      <c r="Q1824" s="63">
        <v>34104.240000000005</v>
      </c>
      <c r="R1824" s="64">
        <v>35810.0</v>
      </c>
      <c r="S1824" s="107">
        <v>37601.0</v>
      </c>
      <c r="T1824" s="65">
        <f t="shared" si="39"/>
        <v>6016.16</v>
      </c>
      <c r="U1824" s="65">
        <f t="shared" si="40"/>
        <v>43617.16</v>
      </c>
      <c r="V1824" s="66">
        <f t="shared" si="69"/>
        <v>0.05001396258</v>
      </c>
      <c r="W1824" s="67">
        <f t="shared" si="5"/>
        <v>35720.95</v>
      </c>
      <c r="X1824" s="67">
        <f t="shared" si="70"/>
        <v>5715.352</v>
      </c>
      <c r="Y1824" s="67">
        <f t="shared" si="71"/>
        <v>41436.302</v>
      </c>
      <c r="Z1824" s="67">
        <f t="shared" si="8"/>
        <v>33840.9</v>
      </c>
      <c r="AA1824" s="67">
        <f t="shared" si="72"/>
        <v>5414.544</v>
      </c>
      <c r="AB1824" s="67">
        <f t="shared" si="73"/>
        <v>39255.444</v>
      </c>
      <c r="AC1824" s="67">
        <f t="shared" si="11"/>
        <v>33840.9</v>
      </c>
      <c r="AD1824" s="67">
        <f t="shared" si="74"/>
        <v>5414.544</v>
      </c>
      <c r="AE1824" s="67">
        <f t="shared" si="75"/>
        <v>39255.444</v>
      </c>
      <c r="AF1824" s="67">
        <f t="shared" si="33"/>
        <v>33840.9</v>
      </c>
      <c r="AG1824" s="67">
        <f t="shared" si="76"/>
        <v>5414.544</v>
      </c>
      <c r="AH1824" s="67">
        <f t="shared" si="77"/>
        <v>39255.444</v>
      </c>
      <c r="AI1824" s="67">
        <f t="shared" si="17"/>
        <v>33840.9</v>
      </c>
      <c r="AJ1824" s="68">
        <f t="shared" si="78"/>
        <v>5414.544</v>
      </c>
      <c r="AK1824" s="68">
        <f t="shared" si="79"/>
        <v>39255.444</v>
      </c>
      <c r="AL1824" s="70"/>
      <c r="AM1824" s="70"/>
      <c r="AN1824" s="71"/>
      <c r="AO1824" s="71"/>
      <c r="AP1824" s="71"/>
      <c r="AQ1824" s="71"/>
      <c r="AR1824" s="71"/>
      <c r="AS1824" s="71"/>
      <c r="AT1824" s="71"/>
      <c r="AU1824" s="71"/>
      <c r="AV1824" s="71"/>
      <c r="AW1824" s="71"/>
      <c r="AX1824" s="71"/>
      <c r="AY1824" s="71"/>
      <c r="AZ1824" s="71"/>
      <c r="BA1824" s="71"/>
      <c r="BB1824" s="71"/>
      <c r="BC1824" s="71"/>
      <c r="BD1824" s="71"/>
      <c r="BE1824" s="71"/>
      <c r="BF1824" s="71"/>
      <c r="BG1824" s="71"/>
      <c r="BH1824" s="71"/>
      <c r="BI1824" s="71"/>
      <c r="BJ1824" s="71"/>
      <c r="BK1824" s="71"/>
      <c r="BL1824" s="71"/>
      <c r="BM1824" s="71"/>
      <c r="BN1824" s="71"/>
      <c r="BO1824" s="71"/>
      <c r="BP1824" s="71"/>
      <c r="BQ1824" s="71"/>
      <c r="BR1824" s="71"/>
      <c r="BS1824" s="71"/>
      <c r="BT1824" s="71"/>
      <c r="BU1824" s="71"/>
      <c r="BV1824" s="71"/>
    </row>
    <row r="1825">
      <c r="A1825" s="53"/>
      <c r="B1825" s="53">
        <v>3.0</v>
      </c>
      <c r="C1825" s="53" t="s">
        <v>36</v>
      </c>
      <c r="D1825" s="85" t="s">
        <v>4504</v>
      </c>
      <c r="E1825" s="54" t="s">
        <v>38</v>
      </c>
      <c r="F1825" s="55" t="s">
        <v>866</v>
      </c>
      <c r="G1825" s="84" t="s">
        <v>4505</v>
      </c>
      <c r="H1825" s="55"/>
      <c r="I1825" s="54">
        <f t="shared" si="24"/>
        <v>0</v>
      </c>
      <c r="J1825" s="56"/>
      <c r="K1825" s="57"/>
      <c r="L1825" s="76"/>
      <c r="M1825" s="59"/>
      <c r="N1825" s="60"/>
      <c r="O1825" s="61">
        <v>19409.0</v>
      </c>
      <c r="P1825" s="62">
        <v>20961.72</v>
      </c>
      <c r="Q1825" s="63">
        <v>20961.72</v>
      </c>
      <c r="R1825" s="64">
        <v>22011.0</v>
      </c>
      <c r="S1825" s="107">
        <v>23112.0</v>
      </c>
      <c r="T1825" s="65">
        <f t="shared" si="39"/>
        <v>3697.92</v>
      </c>
      <c r="U1825" s="65">
        <f t="shared" si="40"/>
        <v>26809.92</v>
      </c>
      <c r="V1825" s="66">
        <f t="shared" si="69"/>
        <v>0.05002044432</v>
      </c>
      <c r="W1825" s="67">
        <f t="shared" si="5"/>
        <v>21956.4</v>
      </c>
      <c r="X1825" s="67">
        <f t="shared" si="70"/>
        <v>3513.024</v>
      </c>
      <c r="Y1825" s="67">
        <f t="shared" si="71"/>
        <v>25469.424</v>
      </c>
      <c r="Z1825" s="67">
        <f t="shared" si="8"/>
        <v>20800.8</v>
      </c>
      <c r="AA1825" s="67">
        <f t="shared" si="72"/>
        <v>3328.128</v>
      </c>
      <c r="AB1825" s="67">
        <f t="shared" si="73"/>
        <v>24128.928</v>
      </c>
      <c r="AC1825" s="67">
        <f t="shared" si="11"/>
        <v>20800.8</v>
      </c>
      <c r="AD1825" s="67">
        <f t="shared" si="74"/>
        <v>3328.128</v>
      </c>
      <c r="AE1825" s="67">
        <f t="shared" si="75"/>
        <v>24128.928</v>
      </c>
      <c r="AF1825" s="67">
        <f t="shared" si="33"/>
        <v>20800.8</v>
      </c>
      <c r="AG1825" s="67">
        <f t="shared" si="76"/>
        <v>3328.128</v>
      </c>
      <c r="AH1825" s="67">
        <f t="shared" si="77"/>
        <v>24128.928</v>
      </c>
      <c r="AI1825" s="67">
        <f t="shared" si="17"/>
        <v>20800.8</v>
      </c>
      <c r="AJ1825" s="68">
        <f t="shared" si="78"/>
        <v>3328.128</v>
      </c>
      <c r="AK1825" s="68">
        <f t="shared" si="79"/>
        <v>24128.928</v>
      </c>
      <c r="AL1825" s="70"/>
      <c r="AM1825" s="70"/>
      <c r="AN1825" s="71"/>
      <c r="AO1825" s="71"/>
      <c r="AP1825" s="71"/>
      <c r="AQ1825" s="71"/>
      <c r="AR1825" s="71"/>
      <c r="AS1825" s="71"/>
      <c r="AT1825" s="71"/>
      <c r="AU1825" s="71"/>
      <c r="AV1825" s="71"/>
      <c r="AW1825" s="71"/>
      <c r="AX1825" s="71"/>
      <c r="AY1825" s="71"/>
      <c r="AZ1825" s="71"/>
      <c r="BA1825" s="71"/>
      <c r="BB1825" s="71"/>
      <c r="BC1825" s="71"/>
      <c r="BD1825" s="71"/>
      <c r="BE1825" s="71"/>
      <c r="BF1825" s="71"/>
      <c r="BG1825" s="71"/>
      <c r="BH1825" s="71"/>
      <c r="BI1825" s="71"/>
      <c r="BJ1825" s="71"/>
      <c r="BK1825" s="71"/>
      <c r="BL1825" s="71"/>
      <c r="BM1825" s="71"/>
      <c r="BN1825" s="71"/>
      <c r="BO1825" s="71"/>
      <c r="BP1825" s="71"/>
      <c r="BQ1825" s="71"/>
      <c r="BR1825" s="71"/>
      <c r="BS1825" s="71"/>
      <c r="BT1825" s="71"/>
      <c r="BU1825" s="71"/>
      <c r="BV1825" s="71"/>
    </row>
    <row r="1826">
      <c r="A1826" s="53"/>
      <c r="B1826" s="53">
        <v>3.0</v>
      </c>
      <c r="C1826" s="53" t="s">
        <v>36</v>
      </c>
      <c r="D1826" s="85" t="s">
        <v>4506</v>
      </c>
      <c r="E1826" s="54" t="s">
        <v>38</v>
      </c>
      <c r="F1826" s="55" t="s">
        <v>866</v>
      </c>
      <c r="G1826" s="84" t="s">
        <v>4507</v>
      </c>
      <c r="H1826" s="55"/>
      <c r="I1826" s="54">
        <f t="shared" si="24"/>
        <v>0</v>
      </c>
      <c r="J1826" s="56"/>
      <c r="K1826" s="57"/>
      <c r="L1826" s="76"/>
      <c r="M1826" s="59"/>
      <c r="N1826" s="60"/>
      <c r="O1826" s="61">
        <v>37127.0</v>
      </c>
      <c r="P1826" s="62">
        <v>40097.16</v>
      </c>
      <c r="Q1826" s="63">
        <v>40097.16</v>
      </c>
      <c r="R1826" s="64">
        <v>42102.0</v>
      </c>
      <c r="S1826" s="107">
        <v>44207.0</v>
      </c>
      <c r="T1826" s="65">
        <f t="shared" si="39"/>
        <v>7073.12</v>
      </c>
      <c r="U1826" s="65">
        <f t="shared" si="40"/>
        <v>51280.12</v>
      </c>
      <c r="V1826" s="66">
        <f t="shared" si="69"/>
        <v>0.04999762482</v>
      </c>
      <c r="W1826" s="67">
        <f t="shared" si="5"/>
        <v>41996.65</v>
      </c>
      <c r="X1826" s="67">
        <f t="shared" si="70"/>
        <v>6719.464</v>
      </c>
      <c r="Y1826" s="67">
        <f t="shared" si="71"/>
        <v>48716.114</v>
      </c>
      <c r="Z1826" s="67">
        <f t="shared" si="8"/>
        <v>39786.3</v>
      </c>
      <c r="AA1826" s="67">
        <f t="shared" si="72"/>
        <v>6365.808</v>
      </c>
      <c r="AB1826" s="67">
        <f t="shared" si="73"/>
        <v>46152.108</v>
      </c>
      <c r="AC1826" s="67">
        <f t="shared" si="11"/>
        <v>39786.3</v>
      </c>
      <c r="AD1826" s="67">
        <f t="shared" si="74"/>
        <v>6365.808</v>
      </c>
      <c r="AE1826" s="67">
        <f t="shared" si="75"/>
        <v>46152.108</v>
      </c>
      <c r="AF1826" s="67">
        <f t="shared" si="33"/>
        <v>39786.3</v>
      </c>
      <c r="AG1826" s="67">
        <f t="shared" si="76"/>
        <v>6365.808</v>
      </c>
      <c r="AH1826" s="67">
        <f t="shared" si="77"/>
        <v>46152.108</v>
      </c>
      <c r="AI1826" s="67">
        <f t="shared" si="17"/>
        <v>39786.3</v>
      </c>
      <c r="AJ1826" s="68">
        <f t="shared" si="78"/>
        <v>6365.808</v>
      </c>
      <c r="AK1826" s="68">
        <f t="shared" si="79"/>
        <v>46152.108</v>
      </c>
      <c r="AL1826" s="70"/>
      <c r="AM1826" s="70"/>
      <c r="AN1826" s="71"/>
      <c r="AO1826" s="71"/>
      <c r="AP1826" s="71"/>
      <c r="AQ1826" s="71"/>
      <c r="AR1826" s="71"/>
      <c r="AS1826" s="71"/>
      <c r="AT1826" s="71"/>
      <c r="AU1826" s="71"/>
      <c r="AV1826" s="71"/>
      <c r="AW1826" s="71"/>
      <c r="AX1826" s="71"/>
      <c r="AY1826" s="71"/>
      <c r="AZ1826" s="71"/>
      <c r="BA1826" s="71"/>
      <c r="BB1826" s="71"/>
      <c r="BC1826" s="71"/>
      <c r="BD1826" s="71"/>
      <c r="BE1826" s="71"/>
      <c r="BF1826" s="71"/>
      <c r="BG1826" s="71"/>
      <c r="BH1826" s="71"/>
      <c r="BI1826" s="71"/>
      <c r="BJ1826" s="71"/>
      <c r="BK1826" s="71"/>
      <c r="BL1826" s="71"/>
      <c r="BM1826" s="71"/>
      <c r="BN1826" s="71"/>
      <c r="BO1826" s="71"/>
      <c r="BP1826" s="71"/>
      <c r="BQ1826" s="71"/>
      <c r="BR1826" s="71"/>
      <c r="BS1826" s="71"/>
      <c r="BT1826" s="71"/>
      <c r="BU1826" s="71"/>
      <c r="BV1826" s="71"/>
    </row>
    <row r="1827">
      <c r="A1827" s="53"/>
      <c r="B1827" s="53">
        <v>3.0</v>
      </c>
      <c r="C1827" s="53" t="s">
        <v>36</v>
      </c>
      <c r="D1827" s="85" t="s">
        <v>4508</v>
      </c>
      <c r="E1827" s="54" t="s">
        <v>38</v>
      </c>
      <c r="F1827" s="55" t="s">
        <v>866</v>
      </c>
      <c r="G1827" s="84" t="s">
        <v>4509</v>
      </c>
      <c r="H1827" s="55"/>
      <c r="I1827" s="54">
        <f t="shared" si="24"/>
        <v>0</v>
      </c>
      <c r="J1827" s="56"/>
      <c r="K1827" s="57"/>
      <c r="L1827" s="76"/>
      <c r="M1827" s="59"/>
      <c r="N1827" s="60"/>
      <c r="O1827" s="61">
        <v>22061.0</v>
      </c>
      <c r="P1827" s="62">
        <v>23825.88</v>
      </c>
      <c r="Q1827" s="63">
        <v>23825.88</v>
      </c>
      <c r="R1827" s="64">
        <v>25018.0</v>
      </c>
      <c r="S1827" s="107">
        <v>26269.0</v>
      </c>
      <c r="T1827" s="65">
        <f t="shared" si="39"/>
        <v>4203.04</v>
      </c>
      <c r="U1827" s="65">
        <f t="shared" si="40"/>
        <v>30472.04</v>
      </c>
      <c r="V1827" s="66">
        <f t="shared" si="69"/>
        <v>0.05000399712</v>
      </c>
      <c r="W1827" s="67">
        <f t="shared" si="5"/>
        <v>24955.55</v>
      </c>
      <c r="X1827" s="67">
        <f t="shared" si="70"/>
        <v>3992.888</v>
      </c>
      <c r="Y1827" s="67">
        <f t="shared" si="71"/>
        <v>28948.438</v>
      </c>
      <c r="Z1827" s="67">
        <f t="shared" si="8"/>
        <v>23642.1</v>
      </c>
      <c r="AA1827" s="67">
        <f t="shared" si="72"/>
        <v>3782.736</v>
      </c>
      <c r="AB1827" s="67">
        <f t="shared" si="73"/>
        <v>27424.836</v>
      </c>
      <c r="AC1827" s="67">
        <f t="shared" si="11"/>
        <v>23642.1</v>
      </c>
      <c r="AD1827" s="67">
        <f t="shared" si="74"/>
        <v>3782.736</v>
      </c>
      <c r="AE1827" s="67">
        <f t="shared" si="75"/>
        <v>27424.836</v>
      </c>
      <c r="AF1827" s="67">
        <f t="shared" si="33"/>
        <v>23642.1</v>
      </c>
      <c r="AG1827" s="67">
        <f t="shared" si="76"/>
        <v>3782.736</v>
      </c>
      <c r="AH1827" s="67">
        <f t="shared" si="77"/>
        <v>27424.836</v>
      </c>
      <c r="AI1827" s="67">
        <f t="shared" si="17"/>
        <v>23642.1</v>
      </c>
      <c r="AJ1827" s="68">
        <f t="shared" si="78"/>
        <v>3782.736</v>
      </c>
      <c r="AK1827" s="68">
        <f t="shared" si="79"/>
        <v>27424.836</v>
      </c>
      <c r="AL1827" s="70"/>
      <c r="AM1827" s="70"/>
      <c r="AN1827" s="71"/>
      <c r="AO1827" s="71"/>
      <c r="AP1827" s="71"/>
      <c r="AQ1827" s="71"/>
      <c r="AR1827" s="71"/>
      <c r="AS1827" s="71"/>
      <c r="AT1827" s="71"/>
      <c r="AU1827" s="71"/>
      <c r="AV1827" s="71"/>
      <c r="AW1827" s="71"/>
      <c r="AX1827" s="71"/>
      <c r="AY1827" s="71"/>
      <c r="AZ1827" s="71"/>
      <c r="BA1827" s="71"/>
      <c r="BB1827" s="71"/>
      <c r="BC1827" s="71"/>
      <c r="BD1827" s="71"/>
      <c r="BE1827" s="71"/>
      <c r="BF1827" s="71"/>
      <c r="BG1827" s="71"/>
      <c r="BH1827" s="71"/>
      <c r="BI1827" s="71"/>
      <c r="BJ1827" s="71"/>
      <c r="BK1827" s="71"/>
      <c r="BL1827" s="71"/>
      <c r="BM1827" s="71"/>
      <c r="BN1827" s="71"/>
      <c r="BO1827" s="71"/>
      <c r="BP1827" s="71"/>
      <c r="BQ1827" s="71"/>
      <c r="BR1827" s="71"/>
      <c r="BS1827" s="71"/>
      <c r="BT1827" s="71"/>
      <c r="BU1827" s="71"/>
      <c r="BV1827" s="71"/>
    </row>
    <row r="1828">
      <c r="A1828" s="53"/>
      <c r="B1828" s="53">
        <v>3.0</v>
      </c>
      <c r="C1828" s="53" t="s">
        <v>36</v>
      </c>
      <c r="D1828" s="85" t="s">
        <v>4510</v>
      </c>
      <c r="E1828" s="54" t="s">
        <v>38</v>
      </c>
      <c r="F1828" s="55" t="s">
        <v>866</v>
      </c>
      <c r="G1828" s="84" t="s">
        <v>4511</v>
      </c>
      <c r="H1828" s="55"/>
      <c r="I1828" s="54">
        <f t="shared" si="24"/>
        <v>0</v>
      </c>
      <c r="J1828" s="56"/>
      <c r="K1828" s="57"/>
      <c r="L1828" s="76"/>
      <c r="M1828" s="59"/>
      <c r="N1828" s="60"/>
      <c r="O1828" s="61">
        <v>53504.0</v>
      </c>
      <c r="P1828" s="62">
        <v>57784.32000000001</v>
      </c>
      <c r="Q1828" s="63">
        <v>57784.32000000001</v>
      </c>
      <c r="R1828" s="64">
        <v>60674.0</v>
      </c>
      <c r="S1828" s="107">
        <v>63708.0</v>
      </c>
      <c r="T1828" s="65">
        <f t="shared" si="39"/>
        <v>10193.28</v>
      </c>
      <c r="U1828" s="65">
        <f t="shared" si="40"/>
        <v>73901.28</v>
      </c>
      <c r="V1828" s="66">
        <f t="shared" si="69"/>
        <v>0.05000494446</v>
      </c>
      <c r="W1828" s="67">
        <f t="shared" si="5"/>
        <v>60522.6</v>
      </c>
      <c r="X1828" s="67">
        <f t="shared" si="70"/>
        <v>9683.616</v>
      </c>
      <c r="Y1828" s="67">
        <f t="shared" si="71"/>
        <v>70206.216</v>
      </c>
      <c r="Z1828" s="67">
        <f t="shared" si="8"/>
        <v>57337.2</v>
      </c>
      <c r="AA1828" s="67">
        <f t="shared" si="72"/>
        <v>9173.952</v>
      </c>
      <c r="AB1828" s="67">
        <f t="shared" si="73"/>
        <v>66511.152</v>
      </c>
      <c r="AC1828" s="67">
        <f t="shared" si="11"/>
        <v>57337.2</v>
      </c>
      <c r="AD1828" s="67">
        <f t="shared" si="74"/>
        <v>9173.952</v>
      </c>
      <c r="AE1828" s="67">
        <f t="shared" si="75"/>
        <v>66511.152</v>
      </c>
      <c r="AF1828" s="67">
        <f t="shared" si="33"/>
        <v>57337.2</v>
      </c>
      <c r="AG1828" s="67">
        <f t="shared" si="76"/>
        <v>9173.952</v>
      </c>
      <c r="AH1828" s="67">
        <f t="shared" si="77"/>
        <v>66511.152</v>
      </c>
      <c r="AI1828" s="67">
        <f t="shared" si="17"/>
        <v>57337.2</v>
      </c>
      <c r="AJ1828" s="68">
        <f t="shared" si="78"/>
        <v>9173.952</v>
      </c>
      <c r="AK1828" s="68">
        <f t="shared" si="79"/>
        <v>66511.152</v>
      </c>
      <c r="AL1828" s="70"/>
      <c r="AM1828" s="70"/>
      <c r="AN1828" s="71"/>
      <c r="AO1828" s="71"/>
      <c r="AP1828" s="71"/>
      <c r="AQ1828" s="71"/>
      <c r="AR1828" s="71"/>
      <c r="AS1828" s="71"/>
      <c r="AT1828" s="71"/>
      <c r="AU1828" s="71"/>
      <c r="AV1828" s="71"/>
      <c r="AW1828" s="71"/>
      <c r="AX1828" s="71"/>
      <c r="AY1828" s="71"/>
      <c r="AZ1828" s="71"/>
      <c r="BA1828" s="71"/>
      <c r="BB1828" s="71"/>
      <c r="BC1828" s="71"/>
      <c r="BD1828" s="71"/>
      <c r="BE1828" s="71"/>
      <c r="BF1828" s="71"/>
      <c r="BG1828" s="71"/>
      <c r="BH1828" s="71"/>
      <c r="BI1828" s="71"/>
      <c r="BJ1828" s="71"/>
      <c r="BK1828" s="71"/>
      <c r="BL1828" s="71"/>
      <c r="BM1828" s="71"/>
      <c r="BN1828" s="71"/>
      <c r="BO1828" s="71"/>
      <c r="BP1828" s="71"/>
      <c r="BQ1828" s="71"/>
      <c r="BR1828" s="71"/>
      <c r="BS1828" s="71"/>
      <c r="BT1828" s="71"/>
      <c r="BU1828" s="71"/>
      <c r="BV1828" s="71"/>
    </row>
    <row r="1829">
      <c r="A1829" s="53"/>
      <c r="B1829" s="53">
        <v>3.0</v>
      </c>
      <c r="C1829" s="53" t="s">
        <v>36</v>
      </c>
      <c r="D1829" s="85" t="s">
        <v>4512</v>
      </c>
      <c r="E1829" s="54" t="s">
        <v>38</v>
      </c>
      <c r="F1829" s="55" t="s">
        <v>866</v>
      </c>
      <c r="G1829" s="84" t="s">
        <v>4513</v>
      </c>
      <c r="H1829" s="55"/>
      <c r="I1829" s="54">
        <f t="shared" si="24"/>
        <v>0</v>
      </c>
      <c r="J1829" s="56"/>
      <c r="K1829" s="57"/>
      <c r="L1829" s="76"/>
      <c r="M1829" s="59"/>
      <c r="N1829" s="60"/>
      <c r="O1829" s="61">
        <v>41136.0</v>
      </c>
      <c r="P1829" s="62">
        <v>44426.880000000005</v>
      </c>
      <c r="Q1829" s="63">
        <v>44426.880000000005</v>
      </c>
      <c r="R1829" s="64">
        <v>46649.0</v>
      </c>
      <c r="S1829" s="107">
        <v>48981.0</v>
      </c>
      <c r="T1829" s="65">
        <f t="shared" si="39"/>
        <v>7836.96</v>
      </c>
      <c r="U1829" s="65">
        <f t="shared" si="40"/>
        <v>56817.96</v>
      </c>
      <c r="V1829" s="66">
        <f t="shared" si="69"/>
        <v>0.04999035349</v>
      </c>
      <c r="W1829" s="67">
        <f t="shared" si="5"/>
        <v>46531.95</v>
      </c>
      <c r="X1829" s="67">
        <f t="shared" si="70"/>
        <v>7445.112</v>
      </c>
      <c r="Y1829" s="67">
        <f t="shared" si="71"/>
        <v>53977.062</v>
      </c>
      <c r="Z1829" s="67">
        <f t="shared" si="8"/>
        <v>44082.9</v>
      </c>
      <c r="AA1829" s="67">
        <f t="shared" si="72"/>
        <v>7053.264</v>
      </c>
      <c r="AB1829" s="67">
        <f t="shared" si="73"/>
        <v>51136.164</v>
      </c>
      <c r="AC1829" s="67">
        <f t="shared" si="11"/>
        <v>44082.9</v>
      </c>
      <c r="AD1829" s="67">
        <f t="shared" si="74"/>
        <v>7053.264</v>
      </c>
      <c r="AE1829" s="67">
        <f t="shared" si="75"/>
        <v>51136.164</v>
      </c>
      <c r="AF1829" s="67">
        <f t="shared" si="33"/>
        <v>44082.9</v>
      </c>
      <c r="AG1829" s="67">
        <f t="shared" si="76"/>
        <v>7053.264</v>
      </c>
      <c r="AH1829" s="67">
        <f t="shared" si="77"/>
        <v>51136.164</v>
      </c>
      <c r="AI1829" s="67">
        <f t="shared" si="17"/>
        <v>44082.9</v>
      </c>
      <c r="AJ1829" s="68">
        <f t="shared" si="78"/>
        <v>7053.264</v>
      </c>
      <c r="AK1829" s="68">
        <f t="shared" si="79"/>
        <v>51136.164</v>
      </c>
      <c r="AL1829" s="70"/>
      <c r="AM1829" s="70"/>
      <c r="AN1829" s="71"/>
      <c r="AO1829" s="71"/>
      <c r="AP1829" s="71"/>
      <c r="AQ1829" s="71"/>
      <c r="AR1829" s="71"/>
      <c r="AS1829" s="71"/>
      <c r="AT1829" s="71"/>
      <c r="AU1829" s="71"/>
      <c r="AV1829" s="71"/>
      <c r="AW1829" s="71"/>
      <c r="AX1829" s="71"/>
      <c r="AY1829" s="71"/>
      <c r="AZ1829" s="71"/>
      <c r="BA1829" s="71"/>
      <c r="BB1829" s="71"/>
      <c r="BC1829" s="71"/>
      <c r="BD1829" s="71"/>
      <c r="BE1829" s="71"/>
      <c r="BF1829" s="71"/>
      <c r="BG1829" s="71"/>
      <c r="BH1829" s="71"/>
      <c r="BI1829" s="71"/>
      <c r="BJ1829" s="71"/>
      <c r="BK1829" s="71"/>
      <c r="BL1829" s="71"/>
      <c r="BM1829" s="71"/>
      <c r="BN1829" s="71"/>
      <c r="BO1829" s="71"/>
      <c r="BP1829" s="71"/>
      <c r="BQ1829" s="71"/>
      <c r="BR1829" s="71"/>
      <c r="BS1829" s="71"/>
      <c r="BT1829" s="71"/>
      <c r="BU1829" s="71"/>
      <c r="BV1829" s="71"/>
    </row>
    <row r="1830">
      <c r="A1830" s="53"/>
      <c r="B1830" s="53">
        <v>3.0</v>
      </c>
      <c r="C1830" s="53" t="s">
        <v>36</v>
      </c>
      <c r="D1830" s="85" t="s">
        <v>4514</v>
      </c>
      <c r="E1830" s="54" t="s">
        <v>38</v>
      </c>
      <c r="F1830" s="55" t="s">
        <v>866</v>
      </c>
      <c r="G1830" s="84" t="s">
        <v>4515</v>
      </c>
      <c r="H1830" s="55"/>
      <c r="I1830" s="54">
        <f t="shared" si="24"/>
        <v>0</v>
      </c>
      <c r="J1830" s="56"/>
      <c r="K1830" s="57"/>
      <c r="L1830" s="76"/>
      <c r="M1830" s="59"/>
      <c r="N1830" s="60"/>
      <c r="O1830" s="61">
        <v>64370.0</v>
      </c>
      <c r="P1830" s="62">
        <v>69519.6</v>
      </c>
      <c r="Q1830" s="63">
        <v>69519.6</v>
      </c>
      <c r="R1830" s="64">
        <v>72996.0</v>
      </c>
      <c r="S1830" s="107">
        <v>76646.0</v>
      </c>
      <c r="T1830" s="65">
        <f t="shared" si="39"/>
        <v>12263.36</v>
      </c>
      <c r="U1830" s="65">
        <f t="shared" si="40"/>
        <v>88909.36</v>
      </c>
      <c r="V1830" s="66">
        <f t="shared" si="69"/>
        <v>0.05000273988</v>
      </c>
      <c r="W1830" s="67">
        <f t="shared" si="5"/>
        <v>72813.7</v>
      </c>
      <c r="X1830" s="67">
        <f t="shared" si="70"/>
        <v>11650.192</v>
      </c>
      <c r="Y1830" s="67">
        <f t="shared" si="71"/>
        <v>84463.892</v>
      </c>
      <c r="Z1830" s="67">
        <f t="shared" si="8"/>
        <v>68981.4</v>
      </c>
      <c r="AA1830" s="67">
        <f t="shared" si="72"/>
        <v>11037.024</v>
      </c>
      <c r="AB1830" s="67">
        <f t="shared" si="73"/>
        <v>80018.424</v>
      </c>
      <c r="AC1830" s="67">
        <f t="shared" si="11"/>
        <v>68981.4</v>
      </c>
      <c r="AD1830" s="67">
        <f t="shared" si="74"/>
        <v>11037.024</v>
      </c>
      <c r="AE1830" s="67">
        <f t="shared" si="75"/>
        <v>80018.424</v>
      </c>
      <c r="AF1830" s="67">
        <f t="shared" si="33"/>
        <v>68981.4</v>
      </c>
      <c r="AG1830" s="67">
        <f t="shared" si="76"/>
        <v>11037.024</v>
      </c>
      <c r="AH1830" s="67">
        <f t="shared" si="77"/>
        <v>80018.424</v>
      </c>
      <c r="AI1830" s="67">
        <f t="shared" si="17"/>
        <v>68981.4</v>
      </c>
      <c r="AJ1830" s="68">
        <f t="shared" si="78"/>
        <v>11037.024</v>
      </c>
      <c r="AK1830" s="68">
        <f t="shared" si="79"/>
        <v>80018.424</v>
      </c>
      <c r="AL1830" s="70"/>
      <c r="AM1830" s="70"/>
      <c r="AN1830" s="71"/>
      <c r="AO1830" s="71"/>
      <c r="AP1830" s="71"/>
      <c r="AQ1830" s="71"/>
      <c r="AR1830" s="71"/>
      <c r="AS1830" s="71"/>
      <c r="AT1830" s="71"/>
      <c r="AU1830" s="71"/>
      <c r="AV1830" s="71"/>
      <c r="AW1830" s="71"/>
      <c r="AX1830" s="71"/>
      <c r="AY1830" s="71"/>
      <c r="AZ1830" s="71"/>
      <c r="BA1830" s="71"/>
      <c r="BB1830" s="71"/>
      <c r="BC1830" s="71"/>
      <c r="BD1830" s="71"/>
      <c r="BE1830" s="71"/>
      <c r="BF1830" s="71"/>
      <c r="BG1830" s="71"/>
      <c r="BH1830" s="71"/>
      <c r="BI1830" s="71"/>
      <c r="BJ1830" s="71"/>
      <c r="BK1830" s="71"/>
      <c r="BL1830" s="71"/>
      <c r="BM1830" s="71"/>
      <c r="BN1830" s="71"/>
      <c r="BO1830" s="71"/>
      <c r="BP1830" s="71"/>
      <c r="BQ1830" s="71"/>
      <c r="BR1830" s="71"/>
      <c r="BS1830" s="71"/>
      <c r="BT1830" s="71"/>
      <c r="BU1830" s="71"/>
      <c r="BV1830" s="71"/>
    </row>
    <row r="1831">
      <c r="A1831" s="53"/>
      <c r="B1831" s="53">
        <v>3.0</v>
      </c>
      <c r="C1831" s="53" t="s">
        <v>36</v>
      </c>
      <c r="D1831" s="85" t="s">
        <v>4516</v>
      </c>
      <c r="E1831" s="54" t="s">
        <v>38</v>
      </c>
      <c r="F1831" s="55" t="s">
        <v>866</v>
      </c>
      <c r="G1831" s="84" t="s">
        <v>4517</v>
      </c>
      <c r="H1831" s="55"/>
      <c r="I1831" s="54">
        <f t="shared" si="24"/>
        <v>0</v>
      </c>
      <c r="J1831" s="56"/>
      <c r="K1831" s="57"/>
      <c r="L1831" s="76"/>
      <c r="M1831" s="59"/>
      <c r="N1831" s="60"/>
      <c r="O1831" s="61">
        <v>55940.0</v>
      </c>
      <c r="P1831" s="62">
        <v>60415.200000000004</v>
      </c>
      <c r="Q1831" s="63">
        <v>60415.200000000004</v>
      </c>
      <c r="R1831" s="64">
        <v>63436.0</v>
      </c>
      <c r="S1831" s="107">
        <v>66608.0</v>
      </c>
      <c r="T1831" s="65">
        <f t="shared" si="39"/>
        <v>10657.28</v>
      </c>
      <c r="U1831" s="65">
        <f t="shared" si="40"/>
        <v>77265.28</v>
      </c>
      <c r="V1831" s="66">
        <f t="shared" si="69"/>
        <v>0.05000315278</v>
      </c>
      <c r="W1831" s="67">
        <f t="shared" si="5"/>
        <v>63277.6</v>
      </c>
      <c r="X1831" s="67">
        <f t="shared" si="70"/>
        <v>10124.416</v>
      </c>
      <c r="Y1831" s="67">
        <f t="shared" si="71"/>
        <v>73402.016</v>
      </c>
      <c r="Z1831" s="67">
        <f t="shared" si="8"/>
        <v>59947.2</v>
      </c>
      <c r="AA1831" s="67">
        <f t="shared" si="72"/>
        <v>9591.552</v>
      </c>
      <c r="AB1831" s="67">
        <f t="shared" si="73"/>
        <v>69538.752</v>
      </c>
      <c r="AC1831" s="67">
        <f t="shared" si="11"/>
        <v>59947.2</v>
      </c>
      <c r="AD1831" s="67">
        <f t="shared" si="74"/>
        <v>9591.552</v>
      </c>
      <c r="AE1831" s="67">
        <f t="shared" si="75"/>
        <v>69538.752</v>
      </c>
      <c r="AF1831" s="67">
        <f t="shared" si="33"/>
        <v>59947.2</v>
      </c>
      <c r="AG1831" s="67">
        <f t="shared" si="76"/>
        <v>9591.552</v>
      </c>
      <c r="AH1831" s="67">
        <f t="shared" si="77"/>
        <v>69538.752</v>
      </c>
      <c r="AI1831" s="67">
        <f t="shared" si="17"/>
        <v>59947.2</v>
      </c>
      <c r="AJ1831" s="68">
        <f t="shared" si="78"/>
        <v>9591.552</v>
      </c>
      <c r="AK1831" s="68">
        <f t="shared" si="79"/>
        <v>69538.752</v>
      </c>
      <c r="AL1831" s="70"/>
      <c r="AM1831" s="70"/>
      <c r="AN1831" s="71"/>
      <c r="AO1831" s="71"/>
      <c r="AP1831" s="71"/>
      <c r="AQ1831" s="71"/>
      <c r="AR1831" s="71"/>
      <c r="AS1831" s="71"/>
      <c r="AT1831" s="71"/>
      <c r="AU1831" s="71"/>
      <c r="AV1831" s="71"/>
      <c r="AW1831" s="71"/>
      <c r="AX1831" s="71"/>
      <c r="AY1831" s="71"/>
      <c r="AZ1831" s="71"/>
      <c r="BA1831" s="71"/>
      <c r="BB1831" s="71"/>
      <c r="BC1831" s="71"/>
      <c r="BD1831" s="71"/>
      <c r="BE1831" s="71"/>
      <c r="BF1831" s="71"/>
      <c r="BG1831" s="71"/>
      <c r="BH1831" s="71"/>
      <c r="BI1831" s="71"/>
      <c r="BJ1831" s="71"/>
      <c r="BK1831" s="71"/>
      <c r="BL1831" s="71"/>
      <c r="BM1831" s="71"/>
      <c r="BN1831" s="71"/>
      <c r="BO1831" s="71"/>
      <c r="BP1831" s="71"/>
      <c r="BQ1831" s="71"/>
      <c r="BR1831" s="71"/>
      <c r="BS1831" s="71"/>
      <c r="BT1831" s="71"/>
      <c r="BU1831" s="71"/>
      <c r="BV1831" s="71"/>
    </row>
    <row r="1832">
      <c r="A1832" s="53"/>
      <c r="B1832" s="53">
        <v>3.0</v>
      </c>
      <c r="C1832" s="53" t="s">
        <v>36</v>
      </c>
      <c r="D1832" s="85" t="s">
        <v>4518</v>
      </c>
      <c r="E1832" s="54" t="s">
        <v>38</v>
      </c>
      <c r="F1832" s="55" t="s">
        <v>866</v>
      </c>
      <c r="G1832" s="84" t="s">
        <v>4519</v>
      </c>
      <c r="H1832" s="55"/>
      <c r="I1832" s="54">
        <f t="shared" si="24"/>
        <v>0</v>
      </c>
      <c r="J1832" s="56"/>
      <c r="K1832" s="57"/>
      <c r="L1832" s="76"/>
      <c r="M1832" s="59"/>
      <c r="N1832" s="60"/>
      <c r="O1832" s="61">
        <v>107880.0</v>
      </c>
      <c r="P1832" s="62">
        <v>116510.40000000001</v>
      </c>
      <c r="Q1832" s="63">
        <v>116510.40000000001</v>
      </c>
      <c r="R1832" s="64">
        <v>122336.0</v>
      </c>
      <c r="S1832" s="107">
        <v>128453.0</v>
      </c>
      <c r="T1832" s="65">
        <f t="shared" si="39"/>
        <v>20552.48</v>
      </c>
      <c r="U1832" s="65">
        <f t="shared" si="40"/>
        <v>149005.48</v>
      </c>
      <c r="V1832" s="66">
        <f t="shared" si="69"/>
        <v>0.05000163484</v>
      </c>
      <c r="W1832" s="67">
        <f t="shared" si="5"/>
        <v>122030.35</v>
      </c>
      <c r="X1832" s="67">
        <f t="shared" si="70"/>
        <v>19524.856</v>
      </c>
      <c r="Y1832" s="67">
        <f t="shared" si="71"/>
        <v>141555.206</v>
      </c>
      <c r="Z1832" s="67">
        <f t="shared" si="8"/>
        <v>115607.7</v>
      </c>
      <c r="AA1832" s="67">
        <f t="shared" si="72"/>
        <v>18497.232</v>
      </c>
      <c r="AB1832" s="67">
        <f t="shared" si="73"/>
        <v>134104.932</v>
      </c>
      <c r="AC1832" s="67">
        <f t="shared" si="11"/>
        <v>115607.7</v>
      </c>
      <c r="AD1832" s="67">
        <f t="shared" si="74"/>
        <v>18497.232</v>
      </c>
      <c r="AE1832" s="67">
        <f t="shared" si="75"/>
        <v>134104.932</v>
      </c>
      <c r="AF1832" s="67">
        <f t="shared" si="33"/>
        <v>115607.7</v>
      </c>
      <c r="AG1832" s="67">
        <f t="shared" si="76"/>
        <v>18497.232</v>
      </c>
      <c r="AH1832" s="67">
        <f t="shared" si="77"/>
        <v>134104.932</v>
      </c>
      <c r="AI1832" s="67">
        <f t="shared" si="17"/>
        <v>115607.7</v>
      </c>
      <c r="AJ1832" s="68">
        <f t="shared" si="78"/>
        <v>18497.232</v>
      </c>
      <c r="AK1832" s="68">
        <f t="shared" si="79"/>
        <v>134104.932</v>
      </c>
      <c r="AL1832" s="70"/>
      <c r="AM1832" s="70"/>
      <c r="AN1832" s="71"/>
      <c r="AO1832" s="71"/>
      <c r="AP1832" s="71"/>
      <c r="AQ1832" s="71"/>
      <c r="AR1832" s="71"/>
      <c r="AS1832" s="71"/>
      <c r="AT1832" s="71"/>
      <c r="AU1832" s="71"/>
      <c r="AV1832" s="71"/>
      <c r="AW1832" s="71"/>
      <c r="AX1832" s="71"/>
      <c r="AY1832" s="71"/>
      <c r="AZ1832" s="71"/>
      <c r="BA1832" s="71"/>
      <c r="BB1832" s="71"/>
      <c r="BC1832" s="71"/>
      <c r="BD1832" s="71"/>
      <c r="BE1832" s="71"/>
      <c r="BF1832" s="71"/>
      <c r="BG1832" s="71"/>
      <c r="BH1832" s="71"/>
      <c r="BI1832" s="71"/>
      <c r="BJ1832" s="71"/>
      <c r="BK1832" s="71"/>
      <c r="BL1832" s="71"/>
      <c r="BM1832" s="71"/>
      <c r="BN1832" s="71"/>
      <c r="BO1832" s="71"/>
      <c r="BP1832" s="71"/>
      <c r="BQ1832" s="71"/>
      <c r="BR1832" s="71"/>
      <c r="BS1832" s="71"/>
      <c r="BT1832" s="71"/>
      <c r="BU1832" s="71"/>
      <c r="BV1832" s="71"/>
    </row>
    <row r="1833">
      <c r="A1833" s="53"/>
      <c r="B1833" s="53">
        <v>3.0</v>
      </c>
      <c r="C1833" s="53" t="s">
        <v>36</v>
      </c>
      <c r="D1833" s="85" t="s">
        <v>4520</v>
      </c>
      <c r="E1833" s="54" t="s">
        <v>38</v>
      </c>
      <c r="F1833" s="55" t="s">
        <v>866</v>
      </c>
      <c r="G1833" s="84" t="s">
        <v>4521</v>
      </c>
      <c r="H1833" s="55"/>
      <c r="I1833" s="54">
        <f t="shared" si="24"/>
        <v>0</v>
      </c>
      <c r="J1833" s="56"/>
      <c r="K1833" s="57"/>
      <c r="L1833" s="76"/>
      <c r="M1833" s="59"/>
      <c r="N1833" s="60"/>
      <c r="O1833" s="61">
        <v>34751.0</v>
      </c>
      <c r="P1833" s="62">
        <v>37531.08</v>
      </c>
      <c r="Q1833" s="63">
        <v>37531.08</v>
      </c>
      <c r="R1833" s="64">
        <v>39408.0</v>
      </c>
      <c r="S1833" s="107">
        <v>41378.0</v>
      </c>
      <c r="T1833" s="65">
        <f t="shared" si="39"/>
        <v>6620.48</v>
      </c>
      <c r="U1833" s="65">
        <f t="shared" si="40"/>
        <v>47998.48</v>
      </c>
      <c r="V1833" s="66">
        <f t="shared" si="69"/>
        <v>0.04998984978</v>
      </c>
      <c r="W1833" s="67">
        <f t="shared" si="5"/>
        <v>39309.1</v>
      </c>
      <c r="X1833" s="67">
        <f t="shared" si="70"/>
        <v>6289.456</v>
      </c>
      <c r="Y1833" s="67">
        <f t="shared" si="71"/>
        <v>45598.556</v>
      </c>
      <c r="Z1833" s="67">
        <f t="shared" si="8"/>
        <v>37240.2</v>
      </c>
      <c r="AA1833" s="67">
        <f t="shared" si="72"/>
        <v>5958.432</v>
      </c>
      <c r="AB1833" s="67">
        <f t="shared" si="73"/>
        <v>43198.632</v>
      </c>
      <c r="AC1833" s="67">
        <f t="shared" si="11"/>
        <v>37240.2</v>
      </c>
      <c r="AD1833" s="67">
        <f t="shared" si="74"/>
        <v>5958.432</v>
      </c>
      <c r="AE1833" s="67">
        <f t="shared" si="75"/>
        <v>43198.632</v>
      </c>
      <c r="AF1833" s="67">
        <f t="shared" si="33"/>
        <v>37240.2</v>
      </c>
      <c r="AG1833" s="67">
        <f t="shared" si="76"/>
        <v>5958.432</v>
      </c>
      <c r="AH1833" s="67">
        <f t="shared" si="77"/>
        <v>43198.632</v>
      </c>
      <c r="AI1833" s="67">
        <f t="shared" si="17"/>
        <v>37240.2</v>
      </c>
      <c r="AJ1833" s="68">
        <f t="shared" si="78"/>
        <v>5958.432</v>
      </c>
      <c r="AK1833" s="68">
        <f t="shared" si="79"/>
        <v>43198.632</v>
      </c>
      <c r="AL1833" s="70"/>
      <c r="AM1833" s="70"/>
      <c r="AN1833" s="71"/>
      <c r="AO1833" s="71"/>
      <c r="AP1833" s="71"/>
      <c r="AQ1833" s="71"/>
      <c r="AR1833" s="71"/>
      <c r="AS1833" s="71"/>
      <c r="AT1833" s="71"/>
      <c r="AU1833" s="71"/>
      <c r="AV1833" s="71"/>
      <c r="AW1833" s="71"/>
      <c r="AX1833" s="71"/>
      <c r="AY1833" s="71"/>
      <c r="AZ1833" s="71"/>
      <c r="BA1833" s="71"/>
      <c r="BB1833" s="71"/>
      <c r="BC1833" s="71"/>
      <c r="BD1833" s="71"/>
      <c r="BE1833" s="71"/>
      <c r="BF1833" s="71"/>
      <c r="BG1833" s="71"/>
      <c r="BH1833" s="71"/>
      <c r="BI1833" s="71"/>
      <c r="BJ1833" s="71"/>
      <c r="BK1833" s="71"/>
      <c r="BL1833" s="71"/>
      <c r="BM1833" s="71"/>
      <c r="BN1833" s="71"/>
      <c r="BO1833" s="71"/>
      <c r="BP1833" s="71"/>
      <c r="BQ1833" s="71"/>
      <c r="BR1833" s="71"/>
      <c r="BS1833" s="71"/>
      <c r="BT1833" s="71"/>
      <c r="BU1833" s="71"/>
      <c r="BV1833" s="71"/>
    </row>
    <row r="1834">
      <c r="A1834" s="53"/>
      <c r="B1834" s="53">
        <v>3.0</v>
      </c>
      <c r="C1834" s="53" t="s">
        <v>36</v>
      </c>
      <c r="D1834" s="85" t="s">
        <v>4522</v>
      </c>
      <c r="E1834" s="54" t="s">
        <v>38</v>
      </c>
      <c r="F1834" s="55" t="s">
        <v>866</v>
      </c>
      <c r="G1834" s="84" t="s">
        <v>4523</v>
      </c>
      <c r="H1834" s="55"/>
      <c r="I1834" s="54">
        <f t="shared" si="24"/>
        <v>0</v>
      </c>
      <c r="J1834" s="56"/>
      <c r="K1834" s="57"/>
      <c r="L1834" s="76"/>
      <c r="M1834" s="59"/>
      <c r="N1834" s="60"/>
      <c r="O1834" s="61">
        <v>42905.0</v>
      </c>
      <c r="P1834" s="62">
        <v>46337.4</v>
      </c>
      <c r="Q1834" s="63">
        <v>46337.4</v>
      </c>
      <c r="R1834" s="64">
        <v>48654.0</v>
      </c>
      <c r="S1834" s="107">
        <v>51087.0</v>
      </c>
      <c r="T1834" s="65">
        <f t="shared" si="39"/>
        <v>8173.92</v>
      </c>
      <c r="U1834" s="65">
        <f t="shared" si="40"/>
        <v>59260.92</v>
      </c>
      <c r="V1834" s="66">
        <f t="shared" si="69"/>
        <v>0.05000616599</v>
      </c>
      <c r="W1834" s="67">
        <f t="shared" si="5"/>
        <v>48532.65</v>
      </c>
      <c r="X1834" s="67">
        <f t="shared" si="70"/>
        <v>7765.224</v>
      </c>
      <c r="Y1834" s="67">
        <f t="shared" si="71"/>
        <v>56297.874</v>
      </c>
      <c r="Z1834" s="67">
        <f t="shared" si="8"/>
        <v>45978.3</v>
      </c>
      <c r="AA1834" s="67">
        <f t="shared" si="72"/>
        <v>7356.528</v>
      </c>
      <c r="AB1834" s="67">
        <f t="shared" si="73"/>
        <v>53334.828</v>
      </c>
      <c r="AC1834" s="67">
        <f t="shared" si="11"/>
        <v>45978.3</v>
      </c>
      <c r="AD1834" s="67">
        <f t="shared" si="74"/>
        <v>7356.528</v>
      </c>
      <c r="AE1834" s="67">
        <f t="shared" si="75"/>
        <v>53334.828</v>
      </c>
      <c r="AF1834" s="67">
        <f t="shared" si="33"/>
        <v>45978.3</v>
      </c>
      <c r="AG1834" s="67">
        <f t="shared" si="76"/>
        <v>7356.528</v>
      </c>
      <c r="AH1834" s="67">
        <f t="shared" si="77"/>
        <v>53334.828</v>
      </c>
      <c r="AI1834" s="67">
        <f t="shared" si="17"/>
        <v>45978.3</v>
      </c>
      <c r="AJ1834" s="68">
        <f t="shared" si="78"/>
        <v>7356.528</v>
      </c>
      <c r="AK1834" s="68">
        <f t="shared" si="79"/>
        <v>53334.828</v>
      </c>
      <c r="AL1834" s="70"/>
      <c r="AM1834" s="70"/>
      <c r="AN1834" s="71"/>
      <c r="AO1834" s="71"/>
      <c r="AP1834" s="71"/>
      <c r="AQ1834" s="71"/>
      <c r="AR1834" s="71"/>
      <c r="AS1834" s="71"/>
      <c r="AT1834" s="71"/>
      <c r="AU1834" s="71"/>
      <c r="AV1834" s="71"/>
      <c r="AW1834" s="71"/>
      <c r="AX1834" s="71"/>
      <c r="AY1834" s="71"/>
      <c r="AZ1834" s="71"/>
      <c r="BA1834" s="71"/>
      <c r="BB1834" s="71"/>
      <c r="BC1834" s="71"/>
      <c r="BD1834" s="71"/>
      <c r="BE1834" s="71"/>
      <c r="BF1834" s="71"/>
      <c r="BG1834" s="71"/>
      <c r="BH1834" s="71"/>
      <c r="BI1834" s="71"/>
      <c r="BJ1834" s="71"/>
      <c r="BK1834" s="71"/>
      <c r="BL1834" s="71"/>
      <c r="BM1834" s="71"/>
      <c r="BN1834" s="71"/>
      <c r="BO1834" s="71"/>
      <c r="BP1834" s="71"/>
      <c r="BQ1834" s="71"/>
      <c r="BR1834" s="71"/>
      <c r="BS1834" s="71"/>
      <c r="BT1834" s="71"/>
      <c r="BU1834" s="71"/>
      <c r="BV1834" s="71"/>
    </row>
    <row r="1835">
      <c r="A1835" s="53"/>
      <c r="B1835" s="53">
        <v>3.0</v>
      </c>
      <c r="C1835" s="53" t="s">
        <v>36</v>
      </c>
      <c r="D1835" s="85" t="s">
        <v>4524</v>
      </c>
      <c r="E1835" s="54" t="s">
        <v>38</v>
      </c>
      <c r="F1835" s="55" t="s">
        <v>866</v>
      </c>
      <c r="G1835" s="84" t="s">
        <v>4525</v>
      </c>
      <c r="H1835" s="55"/>
      <c r="I1835" s="54">
        <f t="shared" si="24"/>
        <v>0</v>
      </c>
      <c r="J1835" s="56"/>
      <c r="K1835" s="57"/>
      <c r="L1835" s="76"/>
      <c r="M1835" s="59"/>
      <c r="N1835" s="60"/>
      <c r="O1835" s="61">
        <v>52326.0</v>
      </c>
      <c r="P1835" s="62">
        <v>56512.08</v>
      </c>
      <c r="Q1835" s="63">
        <v>56512.08</v>
      </c>
      <c r="R1835" s="64">
        <v>59338.0</v>
      </c>
      <c r="S1835" s="107">
        <v>62305.0</v>
      </c>
      <c r="T1835" s="65">
        <f t="shared" si="39"/>
        <v>9968.8</v>
      </c>
      <c r="U1835" s="65">
        <f t="shared" si="40"/>
        <v>72273.8</v>
      </c>
      <c r="V1835" s="66">
        <f t="shared" si="69"/>
        <v>0.05000168526</v>
      </c>
      <c r="W1835" s="67">
        <f t="shared" si="5"/>
        <v>59189.75</v>
      </c>
      <c r="X1835" s="67">
        <f t="shared" si="70"/>
        <v>9470.36</v>
      </c>
      <c r="Y1835" s="67">
        <f t="shared" si="71"/>
        <v>68660.11</v>
      </c>
      <c r="Z1835" s="67">
        <f t="shared" si="8"/>
        <v>56074.5</v>
      </c>
      <c r="AA1835" s="67">
        <f t="shared" si="72"/>
        <v>8971.92</v>
      </c>
      <c r="AB1835" s="67">
        <f t="shared" si="73"/>
        <v>65046.42</v>
      </c>
      <c r="AC1835" s="67">
        <f t="shared" si="11"/>
        <v>56074.5</v>
      </c>
      <c r="AD1835" s="67">
        <f t="shared" si="74"/>
        <v>8971.92</v>
      </c>
      <c r="AE1835" s="67">
        <f t="shared" si="75"/>
        <v>65046.42</v>
      </c>
      <c r="AF1835" s="67">
        <f t="shared" si="33"/>
        <v>56074.5</v>
      </c>
      <c r="AG1835" s="67">
        <f t="shared" si="76"/>
        <v>8971.92</v>
      </c>
      <c r="AH1835" s="67">
        <f t="shared" si="77"/>
        <v>65046.42</v>
      </c>
      <c r="AI1835" s="67">
        <f t="shared" si="17"/>
        <v>56074.5</v>
      </c>
      <c r="AJ1835" s="68">
        <f t="shared" si="78"/>
        <v>8971.92</v>
      </c>
      <c r="AK1835" s="68">
        <f t="shared" si="79"/>
        <v>65046.42</v>
      </c>
      <c r="AL1835" s="70"/>
      <c r="AM1835" s="70"/>
      <c r="AN1835" s="71"/>
      <c r="AO1835" s="71"/>
      <c r="AP1835" s="71"/>
      <c r="AQ1835" s="71"/>
      <c r="AR1835" s="71"/>
      <c r="AS1835" s="71"/>
      <c r="AT1835" s="71"/>
      <c r="AU1835" s="71"/>
      <c r="AV1835" s="71"/>
      <c r="AW1835" s="71"/>
      <c r="AX1835" s="71"/>
      <c r="AY1835" s="71"/>
      <c r="AZ1835" s="71"/>
      <c r="BA1835" s="71"/>
      <c r="BB1835" s="71"/>
      <c r="BC1835" s="71"/>
      <c r="BD1835" s="71"/>
      <c r="BE1835" s="71"/>
      <c r="BF1835" s="71"/>
      <c r="BG1835" s="71"/>
      <c r="BH1835" s="71"/>
      <c r="BI1835" s="71"/>
      <c r="BJ1835" s="71"/>
      <c r="BK1835" s="71"/>
      <c r="BL1835" s="71"/>
      <c r="BM1835" s="71"/>
      <c r="BN1835" s="71"/>
      <c r="BO1835" s="71"/>
      <c r="BP1835" s="71"/>
      <c r="BQ1835" s="71"/>
      <c r="BR1835" s="71"/>
      <c r="BS1835" s="71"/>
      <c r="BT1835" s="71"/>
      <c r="BU1835" s="71"/>
      <c r="BV1835" s="71"/>
    </row>
    <row r="1836">
      <c r="A1836" s="53"/>
      <c r="B1836" s="53">
        <v>3.0</v>
      </c>
      <c r="C1836" s="53" t="s">
        <v>36</v>
      </c>
      <c r="D1836" s="85" t="s">
        <v>4526</v>
      </c>
      <c r="E1836" s="54" t="s">
        <v>38</v>
      </c>
      <c r="F1836" s="55" t="s">
        <v>866</v>
      </c>
      <c r="G1836" s="84" t="s">
        <v>4527</v>
      </c>
      <c r="H1836" s="55"/>
      <c r="I1836" s="54">
        <f t="shared" si="24"/>
        <v>0</v>
      </c>
      <c r="J1836" s="56"/>
      <c r="K1836" s="57"/>
      <c r="L1836" s="76"/>
      <c r="M1836" s="59"/>
      <c r="N1836" s="60"/>
      <c r="O1836" s="61">
        <v>57792.0</v>
      </c>
      <c r="P1836" s="62">
        <v>62415.36</v>
      </c>
      <c r="Q1836" s="63">
        <v>62415.36</v>
      </c>
      <c r="R1836" s="64">
        <v>65536.0</v>
      </c>
      <c r="S1836" s="107">
        <v>68813.0</v>
      </c>
      <c r="T1836" s="65">
        <f t="shared" si="39"/>
        <v>11010.08</v>
      </c>
      <c r="U1836" s="65">
        <f t="shared" si="40"/>
        <v>79823.08</v>
      </c>
      <c r="V1836" s="66">
        <f t="shared" si="69"/>
        <v>0.05000305176</v>
      </c>
      <c r="W1836" s="67">
        <f t="shared" si="5"/>
        <v>65372.35</v>
      </c>
      <c r="X1836" s="67">
        <f t="shared" si="70"/>
        <v>10459.576</v>
      </c>
      <c r="Y1836" s="67">
        <f t="shared" si="71"/>
        <v>75831.926</v>
      </c>
      <c r="Z1836" s="67">
        <f t="shared" si="8"/>
        <v>61931.7</v>
      </c>
      <c r="AA1836" s="67">
        <f t="shared" si="72"/>
        <v>9909.072</v>
      </c>
      <c r="AB1836" s="67">
        <f t="shared" si="73"/>
        <v>71840.772</v>
      </c>
      <c r="AC1836" s="67">
        <f t="shared" si="11"/>
        <v>61931.7</v>
      </c>
      <c r="AD1836" s="67">
        <f t="shared" si="74"/>
        <v>9909.072</v>
      </c>
      <c r="AE1836" s="67">
        <f t="shared" si="75"/>
        <v>71840.772</v>
      </c>
      <c r="AF1836" s="67">
        <f t="shared" si="33"/>
        <v>61931.7</v>
      </c>
      <c r="AG1836" s="67">
        <f t="shared" si="76"/>
        <v>9909.072</v>
      </c>
      <c r="AH1836" s="67">
        <f t="shared" si="77"/>
        <v>71840.772</v>
      </c>
      <c r="AI1836" s="67">
        <f t="shared" si="17"/>
        <v>61931.7</v>
      </c>
      <c r="AJ1836" s="68">
        <f t="shared" si="78"/>
        <v>9909.072</v>
      </c>
      <c r="AK1836" s="68">
        <f t="shared" si="79"/>
        <v>71840.772</v>
      </c>
      <c r="AL1836" s="70"/>
      <c r="AM1836" s="70"/>
      <c r="AN1836" s="71"/>
      <c r="AO1836" s="71"/>
      <c r="AP1836" s="71"/>
      <c r="AQ1836" s="71"/>
      <c r="AR1836" s="71"/>
      <c r="AS1836" s="71"/>
      <c r="AT1836" s="71"/>
      <c r="AU1836" s="71"/>
      <c r="AV1836" s="71"/>
      <c r="AW1836" s="71"/>
      <c r="AX1836" s="71"/>
      <c r="AY1836" s="71"/>
      <c r="AZ1836" s="71"/>
      <c r="BA1836" s="71"/>
      <c r="BB1836" s="71"/>
      <c r="BC1836" s="71"/>
      <c r="BD1836" s="71"/>
      <c r="BE1836" s="71"/>
      <c r="BF1836" s="71"/>
      <c r="BG1836" s="71"/>
      <c r="BH1836" s="71"/>
      <c r="BI1836" s="71"/>
      <c r="BJ1836" s="71"/>
      <c r="BK1836" s="71"/>
      <c r="BL1836" s="71"/>
      <c r="BM1836" s="71"/>
      <c r="BN1836" s="71"/>
      <c r="BO1836" s="71"/>
      <c r="BP1836" s="71"/>
      <c r="BQ1836" s="71"/>
      <c r="BR1836" s="71"/>
      <c r="BS1836" s="71"/>
      <c r="BT1836" s="71"/>
      <c r="BU1836" s="71"/>
      <c r="BV1836" s="71"/>
    </row>
    <row r="1837">
      <c r="A1837" s="53"/>
      <c r="B1837" s="53">
        <v>3.0</v>
      </c>
      <c r="C1837" s="53" t="s">
        <v>36</v>
      </c>
      <c r="D1837" s="85" t="s">
        <v>4528</v>
      </c>
      <c r="E1837" s="54" t="s">
        <v>38</v>
      </c>
      <c r="F1837" s="55" t="s">
        <v>866</v>
      </c>
      <c r="G1837" s="84" t="s">
        <v>4529</v>
      </c>
      <c r="H1837" s="55"/>
      <c r="I1837" s="54">
        <f t="shared" si="24"/>
        <v>0</v>
      </c>
      <c r="J1837" s="56"/>
      <c r="K1837" s="57"/>
      <c r="L1837" s="76"/>
      <c r="M1837" s="59"/>
      <c r="N1837" s="60"/>
      <c r="O1837" s="61">
        <v>80382.0</v>
      </c>
      <c r="P1837" s="62">
        <v>86812.56000000001</v>
      </c>
      <c r="Q1837" s="63">
        <v>86812.56000000001</v>
      </c>
      <c r="R1837" s="64">
        <v>91154.0</v>
      </c>
      <c r="S1837" s="107">
        <v>95712.0</v>
      </c>
      <c r="T1837" s="65">
        <f t="shared" si="39"/>
        <v>15313.92</v>
      </c>
      <c r="U1837" s="65">
        <f t="shared" si="40"/>
        <v>111025.92</v>
      </c>
      <c r="V1837" s="66">
        <f t="shared" si="69"/>
        <v>0.05000329113</v>
      </c>
      <c r="W1837" s="67">
        <f t="shared" si="5"/>
        <v>90926.4</v>
      </c>
      <c r="X1837" s="67">
        <f t="shared" si="70"/>
        <v>14548.224</v>
      </c>
      <c r="Y1837" s="67">
        <f t="shared" si="71"/>
        <v>105474.624</v>
      </c>
      <c r="Z1837" s="67">
        <f t="shared" si="8"/>
        <v>86140.8</v>
      </c>
      <c r="AA1837" s="67">
        <f t="shared" si="72"/>
        <v>13782.528</v>
      </c>
      <c r="AB1837" s="67">
        <f t="shared" si="73"/>
        <v>99923.328</v>
      </c>
      <c r="AC1837" s="67">
        <f t="shared" si="11"/>
        <v>86140.8</v>
      </c>
      <c r="AD1837" s="67">
        <f t="shared" si="74"/>
        <v>13782.528</v>
      </c>
      <c r="AE1837" s="67">
        <f t="shared" si="75"/>
        <v>99923.328</v>
      </c>
      <c r="AF1837" s="67">
        <f t="shared" si="33"/>
        <v>86140.8</v>
      </c>
      <c r="AG1837" s="67">
        <f t="shared" si="76"/>
        <v>13782.528</v>
      </c>
      <c r="AH1837" s="67">
        <f t="shared" si="77"/>
        <v>99923.328</v>
      </c>
      <c r="AI1837" s="67">
        <f t="shared" si="17"/>
        <v>86140.8</v>
      </c>
      <c r="AJ1837" s="68">
        <f t="shared" si="78"/>
        <v>13782.528</v>
      </c>
      <c r="AK1837" s="68">
        <f t="shared" si="79"/>
        <v>99923.328</v>
      </c>
      <c r="AL1837" s="70"/>
      <c r="AM1837" s="70"/>
      <c r="AN1837" s="71"/>
      <c r="AO1837" s="71"/>
      <c r="AP1837" s="71"/>
      <c r="AQ1837" s="71"/>
      <c r="AR1837" s="71"/>
      <c r="AS1837" s="71"/>
      <c r="AT1837" s="71"/>
      <c r="AU1837" s="71"/>
      <c r="AV1837" s="71"/>
      <c r="AW1837" s="71"/>
      <c r="AX1837" s="71"/>
      <c r="AY1837" s="71"/>
      <c r="AZ1837" s="71"/>
      <c r="BA1837" s="71"/>
      <c r="BB1837" s="71"/>
      <c r="BC1837" s="71"/>
      <c r="BD1837" s="71"/>
      <c r="BE1837" s="71"/>
      <c r="BF1837" s="71"/>
      <c r="BG1837" s="71"/>
      <c r="BH1837" s="71"/>
      <c r="BI1837" s="71"/>
      <c r="BJ1837" s="71"/>
      <c r="BK1837" s="71"/>
      <c r="BL1837" s="71"/>
      <c r="BM1837" s="71"/>
      <c r="BN1837" s="71"/>
      <c r="BO1837" s="71"/>
      <c r="BP1837" s="71"/>
      <c r="BQ1837" s="71"/>
      <c r="BR1837" s="71"/>
      <c r="BS1837" s="71"/>
      <c r="BT1837" s="71"/>
      <c r="BU1837" s="71"/>
      <c r="BV1837" s="71"/>
    </row>
    <row r="1838">
      <c r="A1838" s="53"/>
      <c r="B1838" s="53">
        <v>3.0</v>
      </c>
      <c r="C1838" s="53" t="s">
        <v>36</v>
      </c>
      <c r="D1838" s="85" t="s">
        <v>4530</v>
      </c>
      <c r="E1838" s="54" t="s">
        <v>38</v>
      </c>
      <c r="F1838" s="55" t="s">
        <v>866</v>
      </c>
      <c r="G1838" s="84" t="s">
        <v>4531</v>
      </c>
      <c r="H1838" s="55"/>
      <c r="I1838" s="54">
        <f t="shared" si="24"/>
        <v>0</v>
      </c>
      <c r="J1838" s="56"/>
      <c r="K1838" s="57"/>
      <c r="L1838" s="76"/>
      <c r="M1838" s="59"/>
      <c r="N1838" s="60"/>
      <c r="O1838" s="61">
        <v>172154.0</v>
      </c>
      <c r="P1838" s="62">
        <v>185926.32</v>
      </c>
      <c r="Q1838" s="63">
        <v>185926.32</v>
      </c>
      <c r="R1838" s="64">
        <v>195223.0</v>
      </c>
      <c r="S1838" s="107">
        <v>204984.0</v>
      </c>
      <c r="T1838" s="65">
        <f t="shared" si="39"/>
        <v>32797.44</v>
      </c>
      <c r="U1838" s="65">
        <f t="shared" si="40"/>
        <v>237781.44</v>
      </c>
      <c r="V1838" s="66">
        <f t="shared" si="69"/>
        <v>0.04999923165</v>
      </c>
      <c r="W1838" s="67">
        <f t="shared" si="5"/>
        <v>194734.8</v>
      </c>
      <c r="X1838" s="67">
        <f t="shared" si="70"/>
        <v>31157.568</v>
      </c>
      <c r="Y1838" s="67">
        <f t="shared" si="71"/>
        <v>225892.368</v>
      </c>
      <c r="Z1838" s="67">
        <f t="shared" si="8"/>
        <v>184485.6</v>
      </c>
      <c r="AA1838" s="67">
        <f t="shared" si="72"/>
        <v>29517.696</v>
      </c>
      <c r="AB1838" s="67">
        <f t="shared" si="73"/>
        <v>214003.296</v>
      </c>
      <c r="AC1838" s="67">
        <f t="shared" si="11"/>
        <v>184485.6</v>
      </c>
      <c r="AD1838" s="67">
        <f t="shared" si="74"/>
        <v>29517.696</v>
      </c>
      <c r="AE1838" s="67">
        <f t="shared" si="75"/>
        <v>214003.296</v>
      </c>
      <c r="AF1838" s="67">
        <f t="shared" si="33"/>
        <v>184485.6</v>
      </c>
      <c r="AG1838" s="67">
        <f t="shared" si="76"/>
        <v>29517.696</v>
      </c>
      <c r="AH1838" s="67">
        <f t="shared" si="77"/>
        <v>214003.296</v>
      </c>
      <c r="AI1838" s="67">
        <f t="shared" si="17"/>
        <v>184485.6</v>
      </c>
      <c r="AJ1838" s="68">
        <f t="shared" si="78"/>
        <v>29517.696</v>
      </c>
      <c r="AK1838" s="68">
        <f t="shared" si="79"/>
        <v>214003.296</v>
      </c>
      <c r="AL1838" s="70"/>
      <c r="AM1838" s="70"/>
      <c r="AN1838" s="71"/>
      <c r="AO1838" s="71"/>
      <c r="AP1838" s="71"/>
      <c r="AQ1838" s="71"/>
      <c r="AR1838" s="71"/>
      <c r="AS1838" s="71"/>
      <c r="AT1838" s="71"/>
      <c r="AU1838" s="71"/>
      <c r="AV1838" s="71"/>
      <c r="AW1838" s="71"/>
      <c r="AX1838" s="71"/>
      <c r="AY1838" s="71"/>
      <c r="AZ1838" s="71"/>
      <c r="BA1838" s="71"/>
      <c r="BB1838" s="71"/>
      <c r="BC1838" s="71"/>
      <c r="BD1838" s="71"/>
      <c r="BE1838" s="71"/>
      <c r="BF1838" s="71"/>
      <c r="BG1838" s="71"/>
      <c r="BH1838" s="71"/>
      <c r="BI1838" s="71"/>
      <c r="BJ1838" s="71"/>
      <c r="BK1838" s="71"/>
      <c r="BL1838" s="71"/>
      <c r="BM1838" s="71"/>
      <c r="BN1838" s="71"/>
      <c r="BO1838" s="71"/>
      <c r="BP1838" s="71"/>
      <c r="BQ1838" s="71"/>
      <c r="BR1838" s="71"/>
      <c r="BS1838" s="71"/>
      <c r="BT1838" s="71"/>
      <c r="BU1838" s="71"/>
      <c r="BV1838" s="71"/>
    </row>
    <row r="1839">
      <c r="A1839" s="53"/>
      <c r="B1839" s="53">
        <v>3.0</v>
      </c>
      <c r="C1839" s="53" t="s">
        <v>36</v>
      </c>
      <c r="D1839" s="85" t="s">
        <v>4532</v>
      </c>
      <c r="E1839" s="54" t="s">
        <v>38</v>
      </c>
      <c r="F1839" s="55" t="s">
        <v>866</v>
      </c>
      <c r="G1839" s="84" t="s">
        <v>4533</v>
      </c>
      <c r="H1839" s="55"/>
      <c r="I1839" s="54">
        <f t="shared" si="24"/>
        <v>0</v>
      </c>
      <c r="J1839" s="56"/>
      <c r="K1839" s="57"/>
      <c r="L1839" s="76"/>
      <c r="M1839" s="59"/>
      <c r="N1839" s="60"/>
      <c r="O1839" s="61">
        <v>116118.0</v>
      </c>
      <c r="P1839" s="62">
        <v>125407.44</v>
      </c>
      <c r="Q1839" s="63">
        <v>125407.44</v>
      </c>
      <c r="R1839" s="64">
        <v>131678.0</v>
      </c>
      <c r="S1839" s="107">
        <v>138262.0</v>
      </c>
      <c r="T1839" s="65">
        <f t="shared" si="39"/>
        <v>22121.92</v>
      </c>
      <c r="U1839" s="65">
        <f t="shared" si="40"/>
        <v>160383.92</v>
      </c>
      <c r="V1839" s="66">
        <f t="shared" si="69"/>
        <v>0.05000075943</v>
      </c>
      <c r="W1839" s="67">
        <f t="shared" si="5"/>
        <v>131348.9</v>
      </c>
      <c r="X1839" s="67">
        <f t="shared" si="70"/>
        <v>21015.824</v>
      </c>
      <c r="Y1839" s="67">
        <f t="shared" si="71"/>
        <v>152364.724</v>
      </c>
      <c r="Z1839" s="67">
        <f t="shared" si="8"/>
        <v>124435.8</v>
      </c>
      <c r="AA1839" s="67">
        <f t="shared" si="72"/>
        <v>19909.728</v>
      </c>
      <c r="AB1839" s="67">
        <f t="shared" si="73"/>
        <v>144345.528</v>
      </c>
      <c r="AC1839" s="67">
        <f t="shared" si="11"/>
        <v>124435.8</v>
      </c>
      <c r="AD1839" s="67">
        <f t="shared" si="74"/>
        <v>19909.728</v>
      </c>
      <c r="AE1839" s="67">
        <f t="shared" si="75"/>
        <v>144345.528</v>
      </c>
      <c r="AF1839" s="67">
        <f t="shared" si="33"/>
        <v>124435.8</v>
      </c>
      <c r="AG1839" s="67">
        <f t="shared" si="76"/>
        <v>19909.728</v>
      </c>
      <c r="AH1839" s="67">
        <f t="shared" si="77"/>
        <v>144345.528</v>
      </c>
      <c r="AI1839" s="67">
        <f t="shared" si="17"/>
        <v>124435.8</v>
      </c>
      <c r="AJ1839" s="68">
        <f t="shared" si="78"/>
        <v>19909.728</v>
      </c>
      <c r="AK1839" s="68">
        <f t="shared" si="79"/>
        <v>144345.528</v>
      </c>
      <c r="AL1839" s="70"/>
      <c r="AM1839" s="70"/>
      <c r="AN1839" s="71"/>
      <c r="AO1839" s="71"/>
      <c r="AP1839" s="71"/>
      <c r="AQ1839" s="71"/>
      <c r="AR1839" s="71"/>
      <c r="AS1839" s="71"/>
      <c r="AT1839" s="71"/>
      <c r="AU1839" s="71"/>
      <c r="AV1839" s="71"/>
      <c r="AW1839" s="71"/>
      <c r="AX1839" s="71"/>
      <c r="AY1839" s="71"/>
      <c r="AZ1839" s="71"/>
      <c r="BA1839" s="71"/>
      <c r="BB1839" s="71"/>
      <c r="BC1839" s="71"/>
      <c r="BD1839" s="71"/>
      <c r="BE1839" s="71"/>
      <c r="BF1839" s="71"/>
      <c r="BG1839" s="71"/>
      <c r="BH1839" s="71"/>
      <c r="BI1839" s="71"/>
      <c r="BJ1839" s="71"/>
      <c r="BK1839" s="71"/>
      <c r="BL1839" s="71"/>
      <c r="BM1839" s="71"/>
      <c r="BN1839" s="71"/>
      <c r="BO1839" s="71"/>
      <c r="BP1839" s="71"/>
      <c r="BQ1839" s="71"/>
      <c r="BR1839" s="71"/>
      <c r="BS1839" s="71"/>
      <c r="BT1839" s="71"/>
      <c r="BU1839" s="71"/>
      <c r="BV1839" s="71"/>
    </row>
    <row r="1840">
      <c r="A1840" s="53"/>
      <c r="B1840" s="53">
        <v>3.0</v>
      </c>
      <c r="C1840" s="53" t="s">
        <v>36</v>
      </c>
      <c r="D1840" s="85" t="s">
        <v>4534</v>
      </c>
      <c r="E1840" s="54" t="s">
        <v>38</v>
      </c>
      <c r="F1840" s="55" t="s">
        <v>866</v>
      </c>
      <c r="G1840" s="84" t="s">
        <v>4535</v>
      </c>
      <c r="H1840" s="55"/>
      <c r="I1840" s="54">
        <f t="shared" si="24"/>
        <v>0</v>
      </c>
      <c r="J1840" s="56"/>
      <c r="K1840" s="57"/>
      <c r="L1840" s="87"/>
      <c r="M1840" s="59"/>
      <c r="N1840" s="60"/>
      <c r="O1840" s="61">
        <v>141575.0</v>
      </c>
      <c r="P1840" s="62">
        <v>152901.0</v>
      </c>
      <c r="Q1840" s="63">
        <v>152901.0</v>
      </c>
      <c r="R1840" s="64">
        <v>160547.0</v>
      </c>
      <c r="S1840" s="107">
        <v>168574.0</v>
      </c>
      <c r="T1840" s="65">
        <f t="shared" si="39"/>
        <v>26971.84</v>
      </c>
      <c r="U1840" s="65">
        <f t="shared" si="40"/>
        <v>195545.84</v>
      </c>
      <c r="V1840" s="66">
        <f t="shared" si="69"/>
        <v>0.04999781995</v>
      </c>
      <c r="W1840" s="67">
        <f t="shared" si="5"/>
        <v>160145.3</v>
      </c>
      <c r="X1840" s="67">
        <f t="shared" si="70"/>
        <v>25623.248</v>
      </c>
      <c r="Y1840" s="67">
        <f t="shared" si="71"/>
        <v>185768.548</v>
      </c>
      <c r="Z1840" s="67">
        <f t="shared" si="8"/>
        <v>151716.6</v>
      </c>
      <c r="AA1840" s="67">
        <f t="shared" si="72"/>
        <v>24274.656</v>
      </c>
      <c r="AB1840" s="67">
        <f t="shared" si="73"/>
        <v>175991.256</v>
      </c>
      <c r="AC1840" s="67">
        <f t="shared" si="11"/>
        <v>151716.6</v>
      </c>
      <c r="AD1840" s="67">
        <f t="shared" si="74"/>
        <v>24274.656</v>
      </c>
      <c r="AE1840" s="67">
        <f t="shared" si="75"/>
        <v>175991.256</v>
      </c>
      <c r="AF1840" s="67">
        <f t="shared" si="33"/>
        <v>151716.6</v>
      </c>
      <c r="AG1840" s="67">
        <f t="shared" si="76"/>
        <v>24274.656</v>
      </c>
      <c r="AH1840" s="67">
        <f t="shared" si="77"/>
        <v>175991.256</v>
      </c>
      <c r="AI1840" s="67">
        <f t="shared" si="17"/>
        <v>151716.6</v>
      </c>
      <c r="AJ1840" s="68">
        <f t="shared" si="78"/>
        <v>24274.656</v>
      </c>
      <c r="AK1840" s="68">
        <f t="shared" si="79"/>
        <v>175991.256</v>
      </c>
      <c r="AL1840" s="70"/>
      <c r="AM1840" s="70"/>
      <c r="AN1840" s="71"/>
      <c r="AO1840" s="71"/>
      <c r="AP1840" s="71"/>
      <c r="AQ1840" s="71"/>
      <c r="AR1840" s="71"/>
      <c r="AS1840" s="71"/>
      <c r="AT1840" s="71"/>
      <c r="AU1840" s="71"/>
      <c r="AV1840" s="71"/>
      <c r="AW1840" s="71"/>
      <c r="AX1840" s="71"/>
      <c r="AY1840" s="71"/>
      <c r="AZ1840" s="71"/>
      <c r="BA1840" s="71"/>
      <c r="BB1840" s="71"/>
      <c r="BC1840" s="71"/>
      <c r="BD1840" s="71"/>
      <c r="BE1840" s="71"/>
      <c r="BF1840" s="71"/>
      <c r="BG1840" s="71"/>
      <c r="BH1840" s="71"/>
      <c r="BI1840" s="71"/>
      <c r="BJ1840" s="71"/>
      <c r="BK1840" s="71"/>
      <c r="BL1840" s="71"/>
      <c r="BM1840" s="71"/>
      <c r="BN1840" s="71"/>
      <c r="BO1840" s="71"/>
      <c r="BP1840" s="71"/>
      <c r="BQ1840" s="71"/>
      <c r="BR1840" s="71"/>
      <c r="BS1840" s="71"/>
      <c r="BT1840" s="71"/>
      <c r="BU1840" s="71"/>
      <c r="BV1840" s="71"/>
    </row>
    <row r="1841">
      <c r="A1841" s="53"/>
      <c r="B1841" s="53"/>
      <c r="C1841" s="53"/>
      <c r="D1841" s="53" t="s">
        <v>4536</v>
      </c>
      <c r="E1841" s="55" t="s">
        <v>38</v>
      </c>
      <c r="F1841" s="89"/>
      <c r="G1841" s="84" t="s">
        <v>4537</v>
      </c>
      <c r="H1841" s="55"/>
      <c r="I1841" s="54">
        <f t="shared" si="24"/>
        <v>0</v>
      </c>
      <c r="J1841" s="56"/>
      <c r="K1841" s="57"/>
      <c r="L1841" s="55"/>
      <c r="M1841" s="59"/>
      <c r="N1841" s="60"/>
      <c r="O1841" s="90"/>
      <c r="P1841" s="62">
        <v>34282.0</v>
      </c>
      <c r="Q1841" s="63">
        <v>34282.0</v>
      </c>
      <c r="R1841" s="64">
        <v>37796.0</v>
      </c>
      <c r="S1841" s="111">
        <v>39686.0</v>
      </c>
      <c r="T1841" s="65">
        <f t="shared" si="39"/>
        <v>6349.76</v>
      </c>
      <c r="U1841" s="65">
        <f t="shared" si="40"/>
        <v>46035.76</v>
      </c>
      <c r="V1841" s="66">
        <f t="shared" si="69"/>
        <v>0.05000529157</v>
      </c>
      <c r="W1841" s="67">
        <f t="shared" si="5"/>
        <v>37701.7</v>
      </c>
      <c r="X1841" s="67">
        <f t="shared" si="70"/>
        <v>6032.272</v>
      </c>
      <c r="Y1841" s="67">
        <f t="shared" si="71"/>
        <v>43733.972</v>
      </c>
      <c r="Z1841" s="67">
        <f t="shared" si="8"/>
        <v>35717.4</v>
      </c>
      <c r="AA1841" s="67">
        <f t="shared" si="72"/>
        <v>5714.784</v>
      </c>
      <c r="AB1841" s="67">
        <f t="shared" si="73"/>
        <v>41432.184</v>
      </c>
      <c r="AC1841" s="67">
        <f t="shared" si="11"/>
        <v>33733.1</v>
      </c>
      <c r="AD1841" s="67">
        <f t="shared" si="74"/>
        <v>5397.296</v>
      </c>
      <c r="AE1841" s="67">
        <f t="shared" si="75"/>
        <v>39130.396</v>
      </c>
      <c r="AF1841" s="67">
        <f t="shared" si="33"/>
        <v>32939.38</v>
      </c>
      <c r="AG1841" s="67">
        <f t="shared" si="76"/>
        <v>5270.3008</v>
      </c>
      <c r="AH1841" s="67">
        <f t="shared" si="77"/>
        <v>38209.6808</v>
      </c>
      <c r="AI1841" s="67">
        <f t="shared" si="17"/>
        <v>31748.8</v>
      </c>
      <c r="AJ1841" s="68">
        <f t="shared" si="78"/>
        <v>5079.808</v>
      </c>
      <c r="AK1841" s="68">
        <f t="shared" si="79"/>
        <v>36828.608</v>
      </c>
      <c r="AL1841" s="70"/>
      <c r="AM1841" s="70"/>
      <c r="AN1841" s="71"/>
      <c r="AO1841" s="71"/>
      <c r="AP1841" s="71"/>
      <c r="AQ1841" s="71"/>
      <c r="AR1841" s="71"/>
      <c r="AS1841" s="71"/>
      <c r="AT1841" s="71"/>
      <c r="AU1841" s="71"/>
      <c r="AV1841" s="71"/>
      <c r="AW1841" s="71"/>
      <c r="AX1841" s="71"/>
      <c r="AY1841" s="71"/>
      <c r="AZ1841" s="71"/>
      <c r="BA1841" s="71"/>
      <c r="BB1841" s="71"/>
      <c r="BC1841" s="71"/>
      <c r="BD1841" s="71"/>
      <c r="BE1841" s="71"/>
      <c r="BF1841" s="71"/>
      <c r="BG1841" s="71"/>
      <c r="BH1841" s="71"/>
      <c r="BI1841" s="71"/>
      <c r="BJ1841" s="71"/>
      <c r="BK1841" s="71"/>
      <c r="BL1841" s="71"/>
      <c r="BM1841" s="71"/>
      <c r="BN1841" s="71"/>
      <c r="BO1841" s="71"/>
      <c r="BP1841" s="71"/>
      <c r="BQ1841" s="71"/>
      <c r="BR1841" s="71"/>
      <c r="BS1841" s="71"/>
      <c r="BT1841" s="71"/>
      <c r="BU1841" s="71"/>
      <c r="BV1841" s="71"/>
    </row>
    <row r="1842">
      <c r="A1842" s="53"/>
      <c r="B1842" s="53"/>
      <c r="C1842" s="53"/>
      <c r="D1842" s="53" t="s">
        <v>4538</v>
      </c>
      <c r="E1842" s="55" t="s">
        <v>38</v>
      </c>
      <c r="F1842" s="89"/>
      <c r="G1842" s="84" t="s">
        <v>4539</v>
      </c>
      <c r="H1842" s="55"/>
      <c r="I1842" s="54">
        <f t="shared" si="24"/>
        <v>0</v>
      </c>
      <c r="J1842" s="56"/>
      <c r="K1842" s="57"/>
      <c r="L1842" s="55"/>
      <c r="M1842" s="59"/>
      <c r="N1842" s="60"/>
      <c r="O1842" s="90"/>
      <c r="P1842" s="62">
        <v>463200.0</v>
      </c>
      <c r="Q1842" s="63">
        <v>463200.0</v>
      </c>
      <c r="R1842" s="64">
        <v>510678.0</v>
      </c>
      <c r="S1842" s="111">
        <v>536212.0</v>
      </c>
      <c r="T1842" s="65">
        <f t="shared" si="39"/>
        <v>85793.92</v>
      </c>
      <c r="U1842" s="65">
        <f t="shared" si="40"/>
        <v>622005.92</v>
      </c>
      <c r="V1842" s="66">
        <f t="shared" si="69"/>
        <v>0.05000019582</v>
      </c>
      <c r="W1842" s="67">
        <f t="shared" si="5"/>
        <v>509401.4</v>
      </c>
      <c r="X1842" s="67">
        <f t="shared" si="70"/>
        <v>81504.224</v>
      </c>
      <c r="Y1842" s="67">
        <f t="shared" si="71"/>
        <v>590905.624</v>
      </c>
      <c r="Z1842" s="67">
        <f t="shared" si="8"/>
        <v>482590.8</v>
      </c>
      <c r="AA1842" s="67">
        <f t="shared" si="72"/>
        <v>77214.528</v>
      </c>
      <c r="AB1842" s="67">
        <f t="shared" si="73"/>
        <v>559805.328</v>
      </c>
      <c r="AC1842" s="67">
        <f t="shared" si="11"/>
        <v>455780.2</v>
      </c>
      <c r="AD1842" s="67">
        <f t="shared" si="74"/>
        <v>72924.832</v>
      </c>
      <c r="AE1842" s="67">
        <f t="shared" si="75"/>
        <v>528705.032</v>
      </c>
      <c r="AF1842" s="67">
        <f t="shared" si="33"/>
        <v>445055.96</v>
      </c>
      <c r="AG1842" s="67">
        <f t="shared" si="76"/>
        <v>71208.9536</v>
      </c>
      <c r="AH1842" s="67">
        <f t="shared" si="77"/>
        <v>516264.9136</v>
      </c>
      <c r="AI1842" s="67">
        <f t="shared" si="17"/>
        <v>428969.6</v>
      </c>
      <c r="AJ1842" s="68">
        <f t="shared" si="78"/>
        <v>68635.136</v>
      </c>
      <c r="AK1842" s="68">
        <f t="shared" si="79"/>
        <v>497604.736</v>
      </c>
      <c r="AL1842" s="70"/>
      <c r="AM1842" s="70"/>
      <c r="AN1842" s="71"/>
      <c r="AO1842" s="71"/>
      <c r="AP1842" s="71"/>
      <c r="AQ1842" s="71"/>
      <c r="AR1842" s="71"/>
      <c r="AS1842" s="71"/>
      <c r="AT1842" s="71"/>
      <c r="AU1842" s="71"/>
      <c r="AV1842" s="71"/>
      <c r="AW1842" s="71"/>
      <c r="AX1842" s="71"/>
      <c r="AY1842" s="71"/>
      <c r="AZ1842" s="71"/>
      <c r="BA1842" s="71"/>
      <c r="BB1842" s="71"/>
      <c r="BC1842" s="71"/>
      <c r="BD1842" s="71"/>
      <c r="BE1842" s="71"/>
      <c r="BF1842" s="71"/>
      <c r="BG1842" s="71"/>
      <c r="BH1842" s="71"/>
      <c r="BI1842" s="71"/>
      <c r="BJ1842" s="71"/>
      <c r="BK1842" s="71"/>
      <c r="BL1842" s="71"/>
      <c r="BM1842" s="71"/>
      <c r="BN1842" s="71"/>
      <c r="BO1842" s="71"/>
      <c r="BP1842" s="71"/>
      <c r="BQ1842" s="71"/>
      <c r="BR1842" s="71"/>
      <c r="BS1842" s="71"/>
      <c r="BT1842" s="71"/>
      <c r="BU1842" s="71"/>
      <c r="BV1842" s="71"/>
    </row>
    <row r="1843">
      <c r="A1843" s="53"/>
      <c r="B1843" s="53">
        <v>3.0</v>
      </c>
      <c r="C1843" s="53" t="s">
        <v>36</v>
      </c>
      <c r="D1843" s="85" t="s">
        <v>4540</v>
      </c>
      <c r="E1843" s="54" t="s">
        <v>38</v>
      </c>
      <c r="F1843" s="55" t="s">
        <v>866</v>
      </c>
      <c r="G1843" s="84" t="s">
        <v>4541</v>
      </c>
      <c r="H1843" s="55"/>
      <c r="I1843" s="54">
        <f t="shared" si="24"/>
        <v>0</v>
      </c>
      <c r="J1843" s="56"/>
      <c r="K1843" s="57"/>
      <c r="L1843" s="76"/>
      <c r="M1843" s="59"/>
      <c r="N1843" s="60"/>
      <c r="O1843" s="61">
        <v>63938.0</v>
      </c>
      <c r="P1843" s="62">
        <v>69053.04000000001</v>
      </c>
      <c r="Q1843" s="63">
        <v>69053.04000000001</v>
      </c>
      <c r="R1843" s="64">
        <v>72506.0</v>
      </c>
      <c r="S1843" s="107">
        <v>76131.0</v>
      </c>
      <c r="T1843" s="65">
        <f t="shared" si="39"/>
        <v>12180.96</v>
      </c>
      <c r="U1843" s="65">
        <f t="shared" si="40"/>
        <v>88311.96</v>
      </c>
      <c r="V1843" s="66">
        <f t="shared" si="69"/>
        <v>0.04999586241</v>
      </c>
      <c r="W1843" s="67">
        <f t="shared" si="5"/>
        <v>72324.45</v>
      </c>
      <c r="X1843" s="67">
        <f t="shared" si="70"/>
        <v>11571.912</v>
      </c>
      <c r="Y1843" s="67">
        <f t="shared" si="71"/>
        <v>83896.362</v>
      </c>
      <c r="Z1843" s="67">
        <f t="shared" si="8"/>
        <v>68517.9</v>
      </c>
      <c r="AA1843" s="67">
        <f t="shared" si="72"/>
        <v>10962.864</v>
      </c>
      <c r="AB1843" s="67">
        <f t="shared" si="73"/>
        <v>79480.764</v>
      </c>
      <c r="AC1843" s="67">
        <f t="shared" si="11"/>
        <v>68517.9</v>
      </c>
      <c r="AD1843" s="67">
        <f t="shared" si="74"/>
        <v>10962.864</v>
      </c>
      <c r="AE1843" s="67">
        <f t="shared" si="75"/>
        <v>79480.764</v>
      </c>
      <c r="AF1843" s="67">
        <f t="shared" si="33"/>
        <v>68517.9</v>
      </c>
      <c r="AG1843" s="67">
        <f t="shared" si="76"/>
        <v>10962.864</v>
      </c>
      <c r="AH1843" s="67">
        <f t="shared" si="77"/>
        <v>79480.764</v>
      </c>
      <c r="AI1843" s="67">
        <f t="shared" si="17"/>
        <v>68517.9</v>
      </c>
      <c r="AJ1843" s="68">
        <f t="shared" si="78"/>
        <v>10962.864</v>
      </c>
      <c r="AK1843" s="68">
        <f t="shared" si="79"/>
        <v>79480.764</v>
      </c>
      <c r="AL1843" s="70"/>
      <c r="AM1843" s="70"/>
      <c r="AN1843" s="71"/>
      <c r="AO1843" s="71"/>
      <c r="AP1843" s="71"/>
      <c r="AQ1843" s="71"/>
      <c r="AR1843" s="71"/>
      <c r="AS1843" s="71"/>
      <c r="AT1843" s="71"/>
      <c r="AU1843" s="71"/>
      <c r="AV1843" s="71"/>
      <c r="AW1843" s="71"/>
      <c r="AX1843" s="71"/>
      <c r="AY1843" s="71"/>
      <c r="AZ1843" s="71"/>
      <c r="BA1843" s="71"/>
      <c r="BB1843" s="71"/>
      <c r="BC1843" s="71"/>
      <c r="BD1843" s="71"/>
      <c r="BE1843" s="71"/>
      <c r="BF1843" s="71"/>
      <c r="BG1843" s="71"/>
      <c r="BH1843" s="71"/>
      <c r="BI1843" s="71"/>
      <c r="BJ1843" s="71"/>
      <c r="BK1843" s="71"/>
      <c r="BL1843" s="71"/>
      <c r="BM1843" s="71"/>
      <c r="BN1843" s="71"/>
      <c r="BO1843" s="71"/>
      <c r="BP1843" s="71"/>
      <c r="BQ1843" s="71"/>
      <c r="BR1843" s="71"/>
      <c r="BS1843" s="71"/>
      <c r="BT1843" s="71"/>
      <c r="BU1843" s="71"/>
      <c r="BV1843" s="71"/>
    </row>
    <row r="1844">
      <c r="A1844" s="53"/>
      <c r="B1844" s="53">
        <v>3.0</v>
      </c>
      <c r="C1844" s="53" t="s">
        <v>36</v>
      </c>
      <c r="D1844" s="85" t="s">
        <v>4542</v>
      </c>
      <c r="E1844" s="54" t="s">
        <v>38</v>
      </c>
      <c r="F1844" s="55" t="s">
        <v>866</v>
      </c>
      <c r="G1844" s="84" t="s">
        <v>4543</v>
      </c>
      <c r="H1844" s="55"/>
      <c r="I1844" s="54">
        <f t="shared" si="24"/>
        <v>0</v>
      </c>
      <c r="J1844" s="56"/>
      <c r="K1844" s="57"/>
      <c r="L1844" s="76"/>
      <c r="M1844" s="59"/>
      <c r="N1844" s="60"/>
      <c r="O1844" s="61">
        <v>52990.0</v>
      </c>
      <c r="P1844" s="62">
        <v>57229.200000000004</v>
      </c>
      <c r="Q1844" s="63">
        <v>57229.200000000004</v>
      </c>
      <c r="R1844" s="64">
        <v>60091.0</v>
      </c>
      <c r="S1844" s="107">
        <v>63096.0</v>
      </c>
      <c r="T1844" s="65">
        <f t="shared" si="39"/>
        <v>10095.36</v>
      </c>
      <c r="U1844" s="65">
        <f t="shared" si="40"/>
        <v>73191.36</v>
      </c>
      <c r="V1844" s="66">
        <f t="shared" si="69"/>
        <v>0.05000748864</v>
      </c>
      <c r="W1844" s="67">
        <f t="shared" si="5"/>
        <v>59941.2</v>
      </c>
      <c r="X1844" s="67">
        <f t="shared" si="70"/>
        <v>9590.592</v>
      </c>
      <c r="Y1844" s="67">
        <f t="shared" si="71"/>
        <v>69531.792</v>
      </c>
      <c r="Z1844" s="67">
        <f t="shared" si="8"/>
        <v>56786.4</v>
      </c>
      <c r="AA1844" s="67">
        <f t="shared" si="72"/>
        <v>9085.824</v>
      </c>
      <c r="AB1844" s="67">
        <f t="shared" si="73"/>
        <v>65872.224</v>
      </c>
      <c r="AC1844" s="67">
        <f t="shared" si="11"/>
        <v>56786.4</v>
      </c>
      <c r="AD1844" s="67">
        <f t="shared" si="74"/>
        <v>9085.824</v>
      </c>
      <c r="AE1844" s="67">
        <f t="shared" si="75"/>
        <v>65872.224</v>
      </c>
      <c r="AF1844" s="67">
        <f t="shared" si="33"/>
        <v>56786.4</v>
      </c>
      <c r="AG1844" s="67">
        <f t="shared" si="76"/>
        <v>9085.824</v>
      </c>
      <c r="AH1844" s="67">
        <f t="shared" si="77"/>
        <v>65872.224</v>
      </c>
      <c r="AI1844" s="67">
        <f t="shared" si="17"/>
        <v>56786.4</v>
      </c>
      <c r="AJ1844" s="68">
        <f t="shared" si="78"/>
        <v>9085.824</v>
      </c>
      <c r="AK1844" s="68">
        <f t="shared" si="79"/>
        <v>65872.224</v>
      </c>
      <c r="AL1844" s="70"/>
      <c r="AM1844" s="70"/>
      <c r="AN1844" s="71"/>
      <c r="AO1844" s="71"/>
      <c r="AP1844" s="71"/>
      <c r="AQ1844" s="71"/>
      <c r="AR1844" s="71"/>
      <c r="AS1844" s="71"/>
      <c r="AT1844" s="71"/>
      <c r="AU1844" s="71"/>
      <c r="AV1844" s="71"/>
      <c r="AW1844" s="71"/>
      <c r="AX1844" s="71"/>
      <c r="AY1844" s="71"/>
      <c r="AZ1844" s="71"/>
      <c r="BA1844" s="71"/>
      <c r="BB1844" s="71"/>
      <c r="BC1844" s="71"/>
      <c r="BD1844" s="71"/>
      <c r="BE1844" s="71"/>
      <c r="BF1844" s="71"/>
      <c r="BG1844" s="71"/>
      <c r="BH1844" s="71"/>
      <c r="BI1844" s="71"/>
      <c r="BJ1844" s="71"/>
      <c r="BK1844" s="71"/>
      <c r="BL1844" s="71"/>
      <c r="BM1844" s="71"/>
      <c r="BN1844" s="71"/>
      <c r="BO1844" s="71"/>
      <c r="BP1844" s="71"/>
      <c r="BQ1844" s="71"/>
      <c r="BR1844" s="71"/>
      <c r="BS1844" s="71"/>
      <c r="BT1844" s="71"/>
      <c r="BU1844" s="71"/>
      <c r="BV1844" s="71"/>
    </row>
    <row r="1845">
      <c r="A1845" s="53"/>
      <c r="B1845" s="53">
        <v>3.0</v>
      </c>
      <c r="C1845" s="53" t="s">
        <v>36</v>
      </c>
      <c r="D1845" s="85" t="s">
        <v>4544</v>
      </c>
      <c r="E1845" s="54" t="s">
        <v>38</v>
      </c>
      <c r="F1845" s="55" t="s">
        <v>866</v>
      </c>
      <c r="G1845" s="84" t="s">
        <v>4545</v>
      </c>
      <c r="H1845" s="55"/>
      <c r="I1845" s="54">
        <f t="shared" si="24"/>
        <v>0</v>
      </c>
      <c r="J1845" s="56"/>
      <c r="K1845" s="57"/>
      <c r="L1845" s="76"/>
      <c r="M1845" s="59"/>
      <c r="N1845" s="60"/>
      <c r="O1845" s="61">
        <v>19924.0</v>
      </c>
      <c r="P1845" s="62">
        <v>21517.920000000002</v>
      </c>
      <c r="Q1845" s="63">
        <v>21517.920000000002</v>
      </c>
      <c r="R1845" s="64">
        <v>22594.0</v>
      </c>
      <c r="S1845" s="107">
        <v>23724.0</v>
      </c>
      <c r="T1845" s="65">
        <f t="shared" si="39"/>
        <v>3795.84</v>
      </c>
      <c r="U1845" s="65">
        <f t="shared" si="40"/>
        <v>27519.84</v>
      </c>
      <c r="V1845" s="66">
        <f t="shared" si="69"/>
        <v>0.05001327786</v>
      </c>
      <c r="W1845" s="67">
        <f t="shared" si="5"/>
        <v>22537.8</v>
      </c>
      <c r="X1845" s="67">
        <f t="shared" si="70"/>
        <v>3606.048</v>
      </c>
      <c r="Y1845" s="67">
        <f t="shared" si="71"/>
        <v>26143.848</v>
      </c>
      <c r="Z1845" s="67">
        <f t="shared" si="8"/>
        <v>21351.6</v>
      </c>
      <c r="AA1845" s="67">
        <f t="shared" si="72"/>
        <v>3416.256</v>
      </c>
      <c r="AB1845" s="67">
        <f t="shared" si="73"/>
        <v>24767.856</v>
      </c>
      <c r="AC1845" s="67">
        <f t="shared" si="11"/>
        <v>21351.6</v>
      </c>
      <c r="AD1845" s="67">
        <f t="shared" si="74"/>
        <v>3416.256</v>
      </c>
      <c r="AE1845" s="67">
        <f t="shared" si="75"/>
        <v>24767.856</v>
      </c>
      <c r="AF1845" s="67">
        <f t="shared" si="33"/>
        <v>21351.6</v>
      </c>
      <c r="AG1845" s="67">
        <f t="shared" si="76"/>
        <v>3416.256</v>
      </c>
      <c r="AH1845" s="67">
        <f t="shared" si="77"/>
        <v>24767.856</v>
      </c>
      <c r="AI1845" s="67">
        <f t="shared" si="17"/>
        <v>21351.6</v>
      </c>
      <c r="AJ1845" s="68">
        <f t="shared" si="78"/>
        <v>3416.256</v>
      </c>
      <c r="AK1845" s="68">
        <f t="shared" si="79"/>
        <v>24767.856</v>
      </c>
      <c r="AL1845" s="70"/>
      <c r="AM1845" s="70"/>
      <c r="AN1845" s="71"/>
      <c r="AO1845" s="71"/>
      <c r="AP1845" s="71"/>
      <c r="AQ1845" s="71"/>
      <c r="AR1845" s="71"/>
      <c r="AS1845" s="71"/>
      <c r="AT1845" s="71"/>
      <c r="AU1845" s="71"/>
      <c r="AV1845" s="71"/>
      <c r="AW1845" s="71"/>
      <c r="AX1845" s="71"/>
      <c r="AY1845" s="71"/>
      <c r="AZ1845" s="71"/>
      <c r="BA1845" s="71"/>
      <c r="BB1845" s="71"/>
      <c r="BC1845" s="71"/>
      <c r="BD1845" s="71"/>
      <c r="BE1845" s="71"/>
      <c r="BF1845" s="71"/>
      <c r="BG1845" s="71"/>
      <c r="BH1845" s="71"/>
      <c r="BI1845" s="71"/>
      <c r="BJ1845" s="71"/>
      <c r="BK1845" s="71"/>
      <c r="BL1845" s="71"/>
      <c r="BM1845" s="71"/>
      <c r="BN1845" s="71"/>
      <c r="BO1845" s="71"/>
      <c r="BP1845" s="71"/>
      <c r="BQ1845" s="71"/>
      <c r="BR1845" s="71"/>
      <c r="BS1845" s="71"/>
      <c r="BT1845" s="71"/>
      <c r="BU1845" s="71"/>
      <c r="BV1845" s="71"/>
    </row>
    <row r="1846">
      <c r="A1846" s="53"/>
      <c r="B1846" s="53">
        <v>3.0</v>
      </c>
      <c r="C1846" s="53" t="s">
        <v>36</v>
      </c>
      <c r="D1846" s="85" t="s">
        <v>4546</v>
      </c>
      <c r="E1846" s="54" t="s">
        <v>38</v>
      </c>
      <c r="F1846" s="55" t="s">
        <v>866</v>
      </c>
      <c r="G1846" s="84" t="s">
        <v>4547</v>
      </c>
      <c r="H1846" s="55"/>
      <c r="I1846" s="54">
        <f t="shared" si="24"/>
        <v>0</v>
      </c>
      <c r="J1846" s="56"/>
      <c r="K1846" s="57"/>
      <c r="L1846" s="76"/>
      <c r="M1846" s="59"/>
      <c r="N1846" s="60"/>
      <c r="O1846" s="61">
        <v>11249.0</v>
      </c>
      <c r="P1846" s="62">
        <v>12148.92</v>
      </c>
      <c r="Q1846" s="63">
        <v>12148.92</v>
      </c>
      <c r="R1846" s="64">
        <v>12757.0</v>
      </c>
      <c r="S1846" s="107">
        <v>13395.0</v>
      </c>
      <c r="T1846" s="65">
        <f t="shared" si="39"/>
        <v>2143.2</v>
      </c>
      <c r="U1846" s="65">
        <f t="shared" si="40"/>
        <v>15538.2</v>
      </c>
      <c r="V1846" s="66">
        <f t="shared" si="69"/>
        <v>0.05001175825</v>
      </c>
      <c r="W1846" s="67">
        <f t="shared" si="5"/>
        <v>12725.25</v>
      </c>
      <c r="X1846" s="67">
        <f t="shared" si="70"/>
        <v>2036.04</v>
      </c>
      <c r="Y1846" s="67">
        <f t="shared" si="71"/>
        <v>14761.29</v>
      </c>
      <c r="Z1846" s="67">
        <f t="shared" si="8"/>
        <v>12055.5</v>
      </c>
      <c r="AA1846" s="67">
        <f t="shared" si="72"/>
        <v>1928.88</v>
      </c>
      <c r="AB1846" s="67">
        <f t="shared" si="73"/>
        <v>13984.38</v>
      </c>
      <c r="AC1846" s="67">
        <f t="shared" si="11"/>
        <v>12055.5</v>
      </c>
      <c r="AD1846" s="67">
        <f t="shared" si="74"/>
        <v>1928.88</v>
      </c>
      <c r="AE1846" s="67">
        <f t="shared" si="75"/>
        <v>13984.38</v>
      </c>
      <c r="AF1846" s="67">
        <f t="shared" si="33"/>
        <v>12055.5</v>
      </c>
      <c r="AG1846" s="67">
        <f t="shared" si="76"/>
        <v>1928.88</v>
      </c>
      <c r="AH1846" s="67">
        <f t="shared" si="77"/>
        <v>13984.38</v>
      </c>
      <c r="AI1846" s="67">
        <f t="shared" si="17"/>
        <v>12055.5</v>
      </c>
      <c r="AJ1846" s="68">
        <f t="shared" si="78"/>
        <v>1928.88</v>
      </c>
      <c r="AK1846" s="68">
        <f t="shared" si="79"/>
        <v>13984.38</v>
      </c>
      <c r="AL1846" s="70"/>
      <c r="AM1846" s="70"/>
      <c r="AN1846" s="71"/>
      <c r="AO1846" s="71"/>
      <c r="AP1846" s="71"/>
      <c r="AQ1846" s="71"/>
      <c r="AR1846" s="71"/>
      <c r="AS1846" s="71"/>
      <c r="AT1846" s="71"/>
      <c r="AU1846" s="71"/>
      <c r="AV1846" s="71"/>
      <c r="AW1846" s="71"/>
      <c r="AX1846" s="71"/>
      <c r="AY1846" s="71"/>
      <c r="AZ1846" s="71"/>
      <c r="BA1846" s="71"/>
      <c r="BB1846" s="71"/>
      <c r="BC1846" s="71"/>
      <c r="BD1846" s="71"/>
      <c r="BE1846" s="71"/>
      <c r="BF1846" s="71"/>
      <c r="BG1846" s="71"/>
      <c r="BH1846" s="71"/>
      <c r="BI1846" s="71"/>
      <c r="BJ1846" s="71"/>
      <c r="BK1846" s="71"/>
      <c r="BL1846" s="71"/>
      <c r="BM1846" s="71"/>
      <c r="BN1846" s="71"/>
      <c r="BO1846" s="71"/>
      <c r="BP1846" s="71"/>
      <c r="BQ1846" s="71"/>
      <c r="BR1846" s="71"/>
      <c r="BS1846" s="71"/>
      <c r="BT1846" s="71"/>
      <c r="BU1846" s="71"/>
      <c r="BV1846" s="71"/>
    </row>
    <row r="1847">
      <c r="A1847" s="53"/>
      <c r="B1847" s="53">
        <v>3.0</v>
      </c>
      <c r="C1847" s="53" t="s">
        <v>36</v>
      </c>
      <c r="D1847" s="85" t="s">
        <v>4548</v>
      </c>
      <c r="E1847" s="54" t="s">
        <v>38</v>
      </c>
      <c r="F1847" s="55" t="s">
        <v>866</v>
      </c>
      <c r="G1847" s="84" t="s">
        <v>4549</v>
      </c>
      <c r="H1847" s="55"/>
      <c r="I1847" s="54">
        <f t="shared" si="24"/>
        <v>0</v>
      </c>
      <c r="J1847" s="56"/>
      <c r="K1847" s="57"/>
      <c r="L1847" s="76"/>
      <c r="M1847" s="59"/>
      <c r="N1847" s="60"/>
      <c r="O1847" s="61">
        <v>24047.0</v>
      </c>
      <c r="P1847" s="62">
        <v>25970.760000000002</v>
      </c>
      <c r="Q1847" s="63">
        <v>25970.760000000002</v>
      </c>
      <c r="R1847" s="64">
        <v>27270.0</v>
      </c>
      <c r="S1847" s="107">
        <v>28634.0</v>
      </c>
      <c r="T1847" s="65">
        <f t="shared" si="39"/>
        <v>4581.44</v>
      </c>
      <c r="U1847" s="65">
        <f t="shared" si="40"/>
        <v>33215.44</v>
      </c>
      <c r="V1847" s="66">
        <f t="shared" si="69"/>
        <v>0.05001833517</v>
      </c>
      <c r="W1847" s="67">
        <f t="shared" si="5"/>
        <v>27202.3</v>
      </c>
      <c r="X1847" s="67">
        <f t="shared" si="70"/>
        <v>4352.368</v>
      </c>
      <c r="Y1847" s="67">
        <f t="shared" si="71"/>
        <v>31554.668</v>
      </c>
      <c r="Z1847" s="67">
        <f t="shared" si="8"/>
        <v>25770.6</v>
      </c>
      <c r="AA1847" s="67">
        <f t="shared" si="72"/>
        <v>4123.296</v>
      </c>
      <c r="AB1847" s="67">
        <f t="shared" si="73"/>
        <v>29893.896</v>
      </c>
      <c r="AC1847" s="67">
        <f t="shared" si="11"/>
        <v>25770.6</v>
      </c>
      <c r="AD1847" s="67">
        <f t="shared" si="74"/>
        <v>4123.296</v>
      </c>
      <c r="AE1847" s="67">
        <f t="shared" si="75"/>
        <v>29893.896</v>
      </c>
      <c r="AF1847" s="67">
        <f t="shared" si="33"/>
        <v>25770.6</v>
      </c>
      <c r="AG1847" s="67">
        <f t="shared" si="76"/>
        <v>4123.296</v>
      </c>
      <c r="AH1847" s="67">
        <f t="shared" si="77"/>
        <v>29893.896</v>
      </c>
      <c r="AI1847" s="67">
        <f t="shared" si="17"/>
        <v>25770.6</v>
      </c>
      <c r="AJ1847" s="68">
        <f t="shared" si="78"/>
        <v>4123.296</v>
      </c>
      <c r="AK1847" s="68">
        <f t="shared" si="79"/>
        <v>29893.896</v>
      </c>
      <c r="AL1847" s="70"/>
      <c r="AM1847" s="70"/>
      <c r="AN1847" s="71"/>
      <c r="AO1847" s="71"/>
      <c r="AP1847" s="71"/>
      <c r="AQ1847" s="71"/>
      <c r="AR1847" s="71"/>
      <c r="AS1847" s="71"/>
      <c r="AT1847" s="71"/>
      <c r="AU1847" s="71"/>
      <c r="AV1847" s="71"/>
      <c r="AW1847" s="71"/>
      <c r="AX1847" s="71"/>
      <c r="AY1847" s="71"/>
      <c r="AZ1847" s="71"/>
      <c r="BA1847" s="71"/>
      <c r="BB1847" s="71"/>
      <c r="BC1847" s="71"/>
      <c r="BD1847" s="71"/>
      <c r="BE1847" s="71"/>
      <c r="BF1847" s="71"/>
      <c r="BG1847" s="71"/>
      <c r="BH1847" s="71"/>
      <c r="BI1847" s="71"/>
      <c r="BJ1847" s="71"/>
      <c r="BK1847" s="71"/>
      <c r="BL1847" s="71"/>
      <c r="BM1847" s="71"/>
      <c r="BN1847" s="71"/>
      <c r="BO1847" s="71"/>
      <c r="BP1847" s="71"/>
      <c r="BQ1847" s="71"/>
      <c r="BR1847" s="71"/>
      <c r="BS1847" s="71"/>
      <c r="BT1847" s="71"/>
      <c r="BU1847" s="71"/>
      <c r="BV1847" s="71"/>
    </row>
    <row r="1848">
      <c r="A1848" s="53"/>
      <c r="B1848" s="53">
        <v>3.0</v>
      </c>
      <c r="C1848" s="53" t="s">
        <v>36</v>
      </c>
      <c r="D1848" s="85" t="s">
        <v>4550</v>
      </c>
      <c r="E1848" s="54" t="s">
        <v>38</v>
      </c>
      <c r="F1848" s="55" t="s">
        <v>866</v>
      </c>
      <c r="G1848" s="84" t="s">
        <v>4551</v>
      </c>
      <c r="H1848" s="55"/>
      <c r="I1848" s="54">
        <f t="shared" si="24"/>
        <v>0</v>
      </c>
      <c r="J1848" s="56"/>
      <c r="K1848" s="57"/>
      <c r="L1848" s="76"/>
      <c r="M1848" s="59"/>
      <c r="N1848" s="60"/>
      <c r="O1848" s="61">
        <v>11881.0</v>
      </c>
      <c r="P1848" s="62">
        <v>12831.480000000001</v>
      </c>
      <c r="Q1848" s="63">
        <v>12831.480000000001</v>
      </c>
      <c r="R1848" s="64">
        <v>13473.0</v>
      </c>
      <c r="S1848" s="107">
        <v>14147.0</v>
      </c>
      <c r="T1848" s="65">
        <f t="shared" si="39"/>
        <v>2263.52</v>
      </c>
      <c r="U1848" s="65">
        <f t="shared" si="40"/>
        <v>16410.52</v>
      </c>
      <c r="V1848" s="66">
        <f t="shared" si="69"/>
        <v>0.05002597788</v>
      </c>
      <c r="W1848" s="67">
        <f t="shared" si="5"/>
        <v>13439.65</v>
      </c>
      <c r="X1848" s="67">
        <f t="shared" si="70"/>
        <v>2150.344</v>
      </c>
      <c r="Y1848" s="67">
        <f t="shared" si="71"/>
        <v>15589.994</v>
      </c>
      <c r="Z1848" s="67">
        <f t="shared" si="8"/>
        <v>12732.3</v>
      </c>
      <c r="AA1848" s="67">
        <f t="shared" si="72"/>
        <v>2037.168</v>
      </c>
      <c r="AB1848" s="67">
        <f t="shared" si="73"/>
        <v>14769.468</v>
      </c>
      <c r="AC1848" s="67">
        <f t="shared" si="11"/>
        <v>12732.3</v>
      </c>
      <c r="AD1848" s="67">
        <f t="shared" si="74"/>
        <v>2037.168</v>
      </c>
      <c r="AE1848" s="67">
        <f t="shared" si="75"/>
        <v>14769.468</v>
      </c>
      <c r="AF1848" s="67">
        <f t="shared" si="33"/>
        <v>12732.3</v>
      </c>
      <c r="AG1848" s="67">
        <f t="shared" si="76"/>
        <v>2037.168</v>
      </c>
      <c r="AH1848" s="67">
        <f t="shared" si="77"/>
        <v>14769.468</v>
      </c>
      <c r="AI1848" s="67">
        <f t="shared" si="17"/>
        <v>12732.3</v>
      </c>
      <c r="AJ1848" s="68">
        <f t="shared" si="78"/>
        <v>2037.168</v>
      </c>
      <c r="AK1848" s="68">
        <f t="shared" si="79"/>
        <v>14769.468</v>
      </c>
      <c r="AL1848" s="70"/>
      <c r="AM1848" s="70"/>
      <c r="AN1848" s="71"/>
      <c r="AO1848" s="71"/>
      <c r="AP1848" s="71"/>
      <c r="AQ1848" s="71"/>
      <c r="AR1848" s="71"/>
      <c r="AS1848" s="71"/>
      <c r="AT1848" s="71"/>
      <c r="AU1848" s="71"/>
      <c r="AV1848" s="71"/>
      <c r="AW1848" s="71"/>
      <c r="AX1848" s="71"/>
      <c r="AY1848" s="71"/>
      <c r="AZ1848" s="71"/>
      <c r="BA1848" s="71"/>
      <c r="BB1848" s="71"/>
      <c r="BC1848" s="71"/>
      <c r="BD1848" s="71"/>
      <c r="BE1848" s="71"/>
      <c r="BF1848" s="71"/>
      <c r="BG1848" s="71"/>
      <c r="BH1848" s="71"/>
      <c r="BI1848" s="71"/>
      <c r="BJ1848" s="71"/>
      <c r="BK1848" s="71"/>
      <c r="BL1848" s="71"/>
      <c r="BM1848" s="71"/>
      <c r="BN1848" s="71"/>
      <c r="BO1848" s="71"/>
      <c r="BP1848" s="71"/>
      <c r="BQ1848" s="71"/>
      <c r="BR1848" s="71"/>
      <c r="BS1848" s="71"/>
      <c r="BT1848" s="71"/>
      <c r="BU1848" s="71"/>
      <c r="BV1848" s="71"/>
    </row>
    <row r="1849">
      <c r="A1849" s="53"/>
      <c r="B1849" s="53">
        <v>3.0</v>
      </c>
      <c r="C1849" s="53" t="s">
        <v>36</v>
      </c>
      <c r="D1849" s="85" t="s">
        <v>4552</v>
      </c>
      <c r="E1849" s="54" t="s">
        <v>38</v>
      </c>
      <c r="F1849" s="55" t="s">
        <v>866</v>
      </c>
      <c r="G1849" s="84" t="s">
        <v>4553</v>
      </c>
      <c r="H1849" s="55"/>
      <c r="I1849" s="54">
        <f t="shared" si="24"/>
        <v>0</v>
      </c>
      <c r="J1849" s="56"/>
      <c r="K1849" s="57"/>
      <c r="L1849" s="76"/>
      <c r="M1849" s="59"/>
      <c r="N1849" s="60"/>
      <c r="O1849" s="61">
        <v>29594.0</v>
      </c>
      <c r="P1849" s="62">
        <v>31961.52</v>
      </c>
      <c r="Q1849" s="63">
        <v>31961.52</v>
      </c>
      <c r="R1849" s="64">
        <v>33561.0</v>
      </c>
      <c r="S1849" s="107">
        <v>35239.0</v>
      </c>
      <c r="T1849" s="65">
        <f t="shared" si="39"/>
        <v>5638.24</v>
      </c>
      <c r="U1849" s="65">
        <f t="shared" si="40"/>
        <v>40877.24</v>
      </c>
      <c r="V1849" s="66">
        <f t="shared" si="69"/>
        <v>0.04999851018</v>
      </c>
      <c r="W1849" s="67">
        <f t="shared" si="5"/>
        <v>33477.05</v>
      </c>
      <c r="X1849" s="67">
        <f t="shared" si="70"/>
        <v>5356.328</v>
      </c>
      <c r="Y1849" s="67">
        <f t="shared" si="71"/>
        <v>38833.378</v>
      </c>
      <c r="Z1849" s="67">
        <f t="shared" si="8"/>
        <v>31715.1</v>
      </c>
      <c r="AA1849" s="67">
        <f t="shared" si="72"/>
        <v>5074.416</v>
      </c>
      <c r="AB1849" s="67">
        <f t="shared" si="73"/>
        <v>36789.516</v>
      </c>
      <c r="AC1849" s="67">
        <f t="shared" si="11"/>
        <v>31715.1</v>
      </c>
      <c r="AD1849" s="67">
        <f t="shared" si="74"/>
        <v>5074.416</v>
      </c>
      <c r="AE1849" s="67">
        <f t="shared" si="75"/>
        <v>36789.516</v>
      </c>
      <c r="AF1849" s="67">
        <f t="shared" si="33"/>
        <v>31715.1</v>
      </c>
      <c r="AG1849" s="67">
        <f t="shared" si="76"/>
        <v>5074.416</v>
      </c>
      <c r="AH1849" s="67">
        <f t="shared" si="77"/>
        <v>36789.516</v>
      </c>
      <c r="AI1849" s="67">
        <f t="shared" si="17"/>
        <v>31715.1</v>
      </c>
      <c r="AJ1849" s="68">
        <f t="shared" si="78"/>
        <v>5074.416</v>
      </c>
      <c r="AK1849" s="68">
        <f t="shared" si="79"/>
        <v>36789.516</v>
      </c>
      <c r="AL1849" s="70"/>
      <c r="AM1849" s="70"/>
      <c r="AN1849" s="71"/>
      <c r="AO1849" s="71"/>
      <c r="AP1849" s="71"/>
      <c r="AQ1849" s="71"/>
      <c r="AR1849" s="71"/>
      <c r="AS1849" s="71"/>
      <c r="AT1849" s="71"/>
      <c r="AU1849" s="71"/>
      <c r="AV1849" s="71"/>
      <c r="AW1849" s="71"/>
      <c r="AX1849" s="71"/>
      <c r="AY1849" s="71"/>
      <c r="AZ1849" s="71"/>
      <c r="BA1849" s="71"/>
      <c r="BB1849" s="71"/>
      <c r="BC1849" s="71"/>
      <c r="BD1849" s="71"/>
      <c r="BE1849" s="71"/>
      <c r="BF1849" s="71"/>
      <c r="BG1849" s="71"/>
      <c r="BH1849" s="71"/>
      <c r="BI1849" s="71"/>
      <c r="BJ1849" s="71"/>
      <c r="BK1849" s="71"/>
      <c r="BL1849" s="71"/>
      <c r="BM1849" s="71"/>
      <c r="BN1849" s="71"/>
      <c r="BO1849" s="71"/>
      <c r="BP1849" s="71"/>
      <c r="BQ1849" s="71"/>
      <c r="BR1849" s="71"/>
      <c r="BS1849" s="71"/>
      <c r="BT1849" s="71"/>
      <c r="BU1849" s="71"/>
      <c r="BV1849" s="71"/>
    </row>
    <row r="1850">
      <c r="A1850" s="53"/>
      <c r="B1850" s="53">
        <v>3.0</v>
      </c>
      <c r="C1850" s="53" t="s">
        <v>36</v>
      </c>
      <c r="D1850" s="85" t="s">
        <v>4554</v>
      </c>
      <c r="E1850" s="54" t="s">
        <v>38</v>
      </c>
      <c r="F1850" s="55" t="s">
        <v>866</v>
      </c>
      <c r="G1850" s="84" t="s">
        <v>4555</v>
      </c>
      <c r="H1850" s="55"/>
      <c r="I1850" s="54">
        <f t="shared" si="24"/>
        <v>0</v>
      </c>
      <c r="J1850" s="56"/>
      <c r="K1850" s="57"/>
      <c r="L1850" s="76"/>
      <c r="M1850" s="59"/>
      <c r="N1850" s="60"/>
      <c r="O1850" s="61">
        <v>14530.0</v>
      </c>
      <c r="P1850" s="62">
        <v>15692.400000000001</v>
      </c>
      <c r="Q1850" s="63">
        <v>15692.400000000001</v>
      </c>
      <c r="R1850" s="64">
        <v>16477.0</v>
      </c>
      <c r="S1850" s="107">
        <v>17301.0</v>
      </c>
      <c r="T1850" s="65">
        <f t="shared" si="39"/>
        <v>2768.16</v>
      </c>
      <c r="U1850" s="65">
        <f t="shared" si="40"/>
        <v>20069.16</v>
      </c>
      <c r="V1850" s="66">
        <f t="shared" si="69"/>
        <v>0.0500091036</v>
      </c>
      <c r="W1850" s="67">
        <f t="shared" si="5"/>
        <v>16435.95</v>
      </c>
      <c r="X1850" s="67">
        <f t="shared" si="70"/>
        <v>2629.752</v>
      </c>
      <c r="Y1850" s="67">
        <f t="shared" si="71"/>
        <v>19065.702</v>
      </c>
      <c r="Z1850" s="67">
        <f t="shared" si="8"/>
        <v>15570.9</v>
      </c>
      <c r="AA1850" s="67">
        <f t="shared" si="72"/>
        <v>2491.344</v>
      </c>
      <c r="AB1850" s="67">
        <f t="shared" si="73"/>
        <v>18062.244</v>
      </c>
      <c r="AC1850" s="67">
        <f t="shared" si="11"/>
        <v>15570.9</v>
      </c>
      <c r="AD1850" s="67">
        <f t="shared" si="74"/>
        <v>2491.344</v>
      </c>
      <c r="AE1850" s="67">
        <f t="shared" si="75"/>
        <v>18062.244</v>
      </c>
      <c r="AF1850" s="67">
        <f t="shared" si="33"/>
        <v>15570.9</v>
      </c>
      <c r="AG1850" s="67">
        <f t="shared" si="76"/>
        <v>2491.344</v>
      </c>
      <c r="AH1850" s="67">
        <f t="shared" si="77"/>
        <v>18062.244</v>
      </c>
      <c r="AI1850" s="67">
        <f t="shared" si="17"/>
        <v>15570.9</v>
      </c>
      <c r="AJ1850" s="68">
        <f t="shared" si="78"/>
        <v>2491.344</v>
      </c>
      <c r="AK1850" s="68">
        <f t="shared" si="79"/>
        <v>18062.244</v>
      </c>
      <c r="AL1850" s="70"/>
      <c r="AM1850" s="70"/>
      <c r="AN1850" s="71"/>
      <c r="AO1850" s="71"/>
      <c r="AP1850" s="71"/>
      <c r="AQ1850" s="71"/>
      <c r="AR1850" s="71"/>
      <c r="AS1850" s="71"/>
      <c r="AT1850" s="71"/>
      <c r="AU1850" s="71"/>
      <c r="AV1850" s="71"/>
      <c r="AW1850" s="71"/>
      <c r="AX1850" s="71"/>
      <c r="AY1850" s="71"/>
      <c r="AZ1850" s="71"/>
      <c r="BA1850" s="71"/>
      <c r="BB1850" s="71"/>
      <c r="BC1850" s="71"/>
      <c r="BD1850" s="71"/>
      <c r="BE1850" s="71"/>
      <c r="BF1850" s="71"/>
      <c r="BG1850" s="71"/>
      <c r="BH1850" s="71"/>
      <c r="BI1850" s="71"/>
      <c r="BJ1850" s="71"/>
      <c r="BK1850" s="71"/>
      <c r="BL1850" s="71"/>
      <c r="BM1850" s="71"/>
      <c r="BN1850" s="71"/>
      <c r="BO1850" s="71"/>
      <c r="BP1850" s="71"/>
      <c r="BQ1850" s="71"/>
      <c r="BR1850" s="71"/>
      <c r="BS1850" s="71"/>
      <c r="BT1850" s="71"/>
      <c r="BU1850" s="71"/>
      <c r="BV1850" s="71"/>
    </row>
    <row r="1851">
      <c r="A1851" s="53"/>
      <c r="B1851" s="53">
        <v>3.0</v>
      </c>
      <c r="C1851" s="53" t="s">
        <v>36</v>
      </c>
      <c r="D1851" s="85" t="s">
        <v>4556</v>
      </c>
      <c r="E1851" s="54" t="s">
        <v>38</v>
      </c>
      <c r="F1851" s="55" t="s">
        <v>866</v>
      </c>
      <c r="G1851" s="84" t="s">
        <v>4557</v>
      </c>
      <c r="H1851" s="55"/>
      <c r="I1851" s="54">
        <f t="shared" si="24"/>
        <v>0</v>
      </c>
      <c r="J1851" s="56"/>
      <c r="K1851" s="57"/>
      <c r="L1851" s="76"/>
      <c r="M1851" s="59"/>
      <c r="N1851" s="60"/>
      <c r="O1851" s="61">
        <v>34362.0</v>
      </c>
      <c r="P1851" s="62">
        <v>37110.96</v>
      </c>
      <c r="Q1851" s="63">
        <v>37110.96</v>
      </c>
      <c r="R1851" s="64">
        <v>38967.0</v>
      </c>
      <c r="S1851" s="107">
        <v>40915.0</v>
      </c>
      <c r="T1851" s="65">
        <f t="shared" si="39"/>
        <v>6546.4</v>
      </c>
      <c r="U1851" s="65">
        <f t="shared" si="40"/>
        <v>47461.4</v>
      </c>
      <c r="V1851" s="66">
        <f t="shared" si="69"/>
        <v>0.04999101804</v>
      </c>
      <c r="W1851" s="67">
        <f t="shared" si="5"/>
        <v>38869.25</v>
      </c>
      <c r="X1851" s="67">
        <f t="shared" si="70"/>
        <v>6219.08</v>
      </c>
      <c r="Y1851" s="67">
        <f t="shared" si="71"/>
        <v>45088.33</v>
      </c>
      <c r="Z1851" s="67">
        <f t="shared" si="8"/>
        <v>36823.5</v>
      </c>
      <c r="AA1851" s="67">
        <f t="shared" si="72"/>
        <v>5891.76</v>
      </c>
      <c r="AB1851" s="67">
        <f t="shared" si="73"/>
        <v>42715.26</v>
      </c>
      <c r="AC1851" s="67">
        <f t="shared" si="11"/>
        <v>36823.5</v>
      </c>
      <c r="AD1851" s="67">
        <f t="shared" si="74"/>
        <v>5891.76</v>
      </c>
      <c r="AE1851" s="67">
        <f t="shared" si="75"/>
        <v>42715.26</v>
      </c>
      <c r="AF1851" s="67">
        <f t="shared" si="33"/>
        <v>36823.5</v>
      </c>
      <c r="AG1851" s="67">
        <f t="shared" si="76"/>
        <v>5891.76</v>
      </c>
      <c r="AH1851" s="67">
        <f t="shared" si="77"/>
        <v>42715.26</v>
      </c>
      <c r="AI1851" s="67">
        <f t="shared" si="17"/>
        <v>36823.5</v>
      </c>
      <c r="AJ1851" s="68">
        <f t="shared" si="78"/>
        <v>5891.76</v>
      </c>
      <c r="AK1851" s="68">
        <f t="shared" si="79"/>
        <v>42715.26</v>
      </c>
      <c r="AL1851" s="70"/>
      <c r="AM1851" s="70"/>
      <c r="AN1851" s="71"/>
      <c r="AO1851" s="71"/>
      <c r="AP1851" s="71"/>
      <c r="AQ1851" s="71"/>
      <c r="AR1851" s="71"/>
      <c r="AS1851" s="71"/>
      <c r="AT1851" s="71"/>
      <c r="AU1851" s="71"/>
      <c r="AV1851" s="71"/>
      <c r="AW1851" s="71"/>
      <c r="AX1851" s="71"/>
      <c r="AY1851" s="71"/>
      <c r="AZ1851" s="71"/>
      <c r="BA1851" s="71"/>
      <c r="BB1851" s="71"/>
      <c r="BC1851" s="71"/>
      <c r="BD1851" s="71"/>
      <c r="BE1851" s="71"/>
      <c r="BF1851" s="71"/>
      <c r="BG1851" s="71"/>
      <c r="BH1851" s="71"/>
      <c r="BI1851" s="71"/>
      <c r="BJ1851" s="71"/>
      <c r="BK1851" s="71"/>
      <c r="BL1851" s="71"/>
      <c r="BM1851" s="71"/>
      <c r="BN1851" s="71"/>
      <c r="BO1851" s="71"/>
      <c r="BP1851" s="71"/>
      <c r="BQ1851" s="71"/>
      <c r="BR1851" s="71"/>
      <c r="BS1851" s="71"/>
      <c r="BT1851" s="71"/>
      <c r="BU1851" s="71"/>
      <c r="BV1851" s="71"/>
    </row>
    <row r="1852">
      <c r="A1852" s="53"/>
      <c r="B1852" s="53">
        <v>3.0</v>
      </c>
      <c r="C1852" s="53" t="s">
        <v>36</v>
      </c>
      <c r="D1852" s="85" t="s">
        <v>4558</v>
      </c>
      <c r="E1852" s="54" t="s">
        <v>38</v>
      </c>
      <c r="F1852" s="55" t="s">
        <v>866</v>
      </c>
      <c r="G1852" s="84" t="s">
        <v>4559</v>
      </c>
      <c r="H1852" s="55"/>
      <c r="I1852" s="54">
        <f t="shared" si="24"/>
        <v>0</v>
      </c>
      <c r="J1852" s="56"/>
      <c r="K1852" s="57"/>
      <c r="L1852" s="76"/>
      <c r="M1852" s="59"/>
      <c r="N1852" s="60"/>
      <c r="O1852" s="61">
        <v>21993.0</v>
      </c>
      <c r="P1852" s="62">
        <v>23752.440000000002</v>
      </c>
      <c r="Q1852" s="63">
        <v>23752.440000000002</v>
      </c>
      <c r="R1852" s="64">
        <v>24940.0</v>
      </c>
      <c r="S1852" s="107">
        <v>26187.0</v>
      </c>
      <c r="T1852" s="65">
        <f t="shared" si="39"/>
        <v>4189.92</v>
      </c>
      <c r="U1852" s="65">
        <f t="shared" si="40"/>
        <v>30376.92</v>
      </c>
      <c r="V1852" s="66">
        <f t="shared" si="69"/>
        <v>0.05</v>
      </c>
      <c r="W1852" s="67">
        <f t="shared" si="5"/>
        <v>24877.65</v>
      </c>
      <c r="X1852" s="67">
        <f t="shared" si="70"/>
        <v>3980.424</v>
      </c>
      <c r="Y1852" s="67">
        <f t="shared" si="71"/>
        <v>28858.074</v>
      </c>
      <c r="Z1852" s="67">
        <f t="shared" si="8"/>
        <v>23568.3</v>
      </c>
      <c r="AA1852" s="67">
        <f t="shared" si="72"/>
        <v>3770.928</v>
      </c>
      <c r="AB1852" s="67">
        <f t="shared" si="73"/>
        <v>27339.228</v>
      </c>
      <c r="AC1852" s="67">
        <f t="shared" si="11"/>
        <v>23568.3</v>
      </c>
      <c r="AD1852" s="67">
        <f t="shared" si="74"/>
        <v>3770.928</v>
      </c>
      <c r="AE1852" s="67">
        <f t="shared" si="75"/>
        <v>27339.228</v>
      </c>
      <c r="AF1852" s="67">
        <f t="shared" si="33"/>
        <v>23568.3</v>
      </c>
      <c r="AG1852" s="67">
        <f t="shared" si="76"/>
        <v>3770.928</v>
      </c>
      <c r="AH1852" s="67">
        <f t="shared" si="77"/>
        <v>27339.228</v>
      </c>
      <c r="AI1852" s="67">
        <f t="shared" si="17"/>
        <v>23568.3</v>
      </c>
      <c r="AJ1852" s="68">
        <f t="shared" si="78"/>
        <v>3770.928</v>
      </c>
      <c r="AK1852" s="68">
        <f t="shared" si="79"/>
        <v>27339.228</v>
      </c>
      <c r="AL1852" s="70"/>
      <c r="AM1852" s="70"/>
      <c r="AN1852" s="71"/>
      <c r="AO1852" s="71"/>
      <c r="AP1852" s="71"/>
      <c r="AQ1852" s="71"/>
      <c r="AR1852" s="71"/>
      <c r="AS1852" s="71"/>
      <c r="AT1852" s="71"/>
      <c r="AU1852" s="71"/>
      <c r="AV1852" s="71"/>
      <c r="AW1852" s="71"/>
      <c r="AX1852" s="71"/>
      <c r="AY1852" s="71"/>
      <c r="AZ1852" s="71"/>
      <c r="BA1852" s="71"/>
      <c r="BB1852" s="71"/>
      <c r="BC1852" s="71"/>
      <c r="BD1852" s="71"/>
      <c r="BE1852" s="71"/>
      <c r="BF1852" s="71"/>
      <c r="BG1852" s="71"/>
      <c r="BH1852" s="71"/>
      <c r="BI1852" s="71"/>
      <c r="BJ1852" s="71"/>
      <c r="BK1852" s="71"/>
      <c r="BL1852" s="71"/>
      <c r="BM1852" s="71"/>
      <c r="BN1852" s="71"/>
      <c r="BO1852" s="71"/>
      <c r="BP1852" s="71"/>
      <c r="BQ1852" s="71"/>
      <c r="BR1852" s="71"/>
      <c r="BS1852" s="71"/>
      <c r="BT1852" s="71"/>
      <c r="BU1852" s="71"/>
      <c r="BV1852" s="71"/>
    </row>
    <row r="1853">
      <c r="A1853" s="53"/>
      <c r="B1853" s="53">
        <v>3.0</v>
      </c>
      <c r="C1853" s="53" t="s">
        <v>36</v>
      </c>
      <c r="D1853" s="85" t="s">
        <v>4560</v>
      </c>
      <c r="E1853" s="54" t="s">
        <v>38</v>
      </c>
      <c r="F1853" s="55" t="s">
        <v>866</v>
      </c>
      <c r="G1853" s="84" t="s">
        <v>4561</v>
      </c>
      <c r="H1853" s="55"/>
      <c r="I1853" s="54">
        <f t="shared" si="24"/>
        <v>0</v>
      </c>
      <c r="J1853" s="56"/>
      <c r="K1853" s="57"/>
      <c r="L1853" s="76"/>
      <c r="M1853" s="59"/>
      <c r="N1853" s="60"/>
      <c r="O1853" s="61">
        <v>45227.0</v>
      </c>
      <c r="P1853" s="62">
        <v>48845.16</v>
      </c>
      <c r="Q1853" s="63">
        <v>48845.16</v>
      </c>
      <c r="R1853" s="64">
        <v>51288.0</v>
      </c>
      <c r="S1853" s="107">
        <v>53852.0</v>
      </c>
      <c r="T1853" s="65">
        <f t="shared" si="39"/>
        <v>8616.32</v>
      </c>
      <c r="U1853" s="65">
        <f t="shared" si="40"/>
        <v>62468.32</v>
      </c>
      <c r="V1853" s="66">
        <f t="shared" si="69"/>
        <v>0.0499922009</v>
      </c>
      <c r="W1853" s="67">
        <f t="shared" si="5"/>
        <v>51159.4</v>
      </c>
      <c r="X1853" s="67">
        <f t="shared" si="70"/>
        <v>8185.504</v>
      </c>
      <c r="Y1853" s="67">
        <f t="shared" si="71"/>
        <v>59344.904</v>
      </c>
      <c r="Z1853" s="67">
        <f t="shared" si="8"/>
        <v>48466.8</v>
      </c>
      <c r="AA1853" s="67">
        <f t="shared" si="72"/>
        <v>7754.688</v>
      </c>
      <c r="AB1853" s="67">
        <f t="shared" si="73"/>
        <v>56221.488</v>
      </c>
      <c r="AC1853" s="67">
        <f t="shared" si="11"/>
        <v>48466.8</v>
      </c>
      <c r="AD1853" s="67">
        <f t="shared" si="74"/>
        <v>7754.688</v>
      </c>
      <c r="AE1853" s="67">
        <f t="shared" si="75"/>
        <v>56221.488</v>
      </c>
      <c r="AF1853" s="67">
        <f t="shared" si="33"/>
        <v>48466.8</v>
      </c>
      <c r="AG1853" s="67">
        <f t="shared" si="76"/>
        <v>7754.688</v>
      </c>
      <c r="AH1853" s="67">
        <f t="shared" si="77"/>
        <v>56221.488</v>
      </c>
      <c r="AI1853" s="67">
        <f t="shared" si="17"/>
        <v>48466.8</v>
      </c>
      <c r="AJ1853" s="68">
        <f t="shared" si="78"/>
        <v>7754.688</v>
      </c>
      <c r="AK1853" s="68">
        <f t="shared" si="79"/>
        <v>56221.488</v>
      </c>
      <c r="AL1853" s="70"/>
      <c r="AM1853" s="70"/>
      <c r="AN1853" s="71"/>
      <c r="AO1853" s="71"/>
      <c r="AP1853" s="71"/>
      <c r="AQ1853" s="71"/>
      <c r="AR1853" s="71"/>
      <c r="AS1853" s="71"/>
      <c r="AT1853" s="71"/>
      <c r="AU1853" s="71"/>
      <c r="AV1853" s="71"/>
      <c r="AW1853" s="71"/>
      <c r="AX1853" s="71"/>
      <c r="AY1853" s="71"/>
      <c r="AZ1853" s="71"/>
      <c r="BA1853" s="71"/>
      <c r="BB1853" s="71"/>
      <c r="BC1853" s="71"/>
      <c r="BD1853" s="71"/>
      <c r="BE1853" s="71"/>
      <c r="BF1853" s="71"/>
      <c r="BG1853" s="71"/>
      <c r="BH1853" s="71"/>
      <c r="BI1853" s="71"/>
      <c r="BJ1853" s="71"/>
      <c r="BK1853" s="71"/>
      <c r="BL1853" s="71"/>
      <c r="BM1853" s="71"/>
      <c r="BN1853" s="71"/>
      <c r="BO1853" s="71"/>
      <c r="BP1853" s="71"/>
      <c r="BQ1853" s="71"/>
      <c r="BR1853" s="71"/>
      <c r="BS1853" s="71"/>
      <c r="BT1853" s="71"/>
      <c r="BU1853" s="71"/>
      <c r="BV1853" s="71"/>
    </row>
    <row r="1854">
      <c r="A1854" s="53"/>
      <c r="B1854" s="53">
        <v>3.0</v>
      </c>
      <c r="C1854" s="53" t="s">
        <v>36</v>
      </c>
      <c r="D1854" s="85" t="s">
        <v>4562</v>
      </c>
      <c r="E1854" s="54" t="s">
        <v>38</v>
      </c>
      <c r="F1854" s="55" t="s">
        <v>866</v>
      </c>
      <c r="G1854" s="84" t="s">
        <v>4563</v>
      </c>
      <c r="H1854" s="55"/>
      <c r="I1854" s="54">
        <f t="shared" si="24"/>
        <v>0</v>
      </c>
      <c r="J1854" s="56"/>
      <c r="K1854" s="57"/>
      <c r="L1854" s="76"/>
      <c r="M1854" s="59"/>
      <c r="N1854" s="60"/>
      <c r="O1854" s="61">
        <v>36797.0</v>
      </c>
      <c r="P1854" s="62">
        <v>39740.76</v>
      </c>
      <c r="Q1854" s="63">
        <v>39740.76</v>
      </c>
      <c r="R1854" s="64">
        <v>41729.0</v>
      </c>
      <c r="S1854" s="107">
        <v>43815.0</v>
      </c>
      <c r="T1854" s="65">
        <f t="shared" si="39"/>
        <v>7010.4</v>
      </c>
      <c r="U1854" s="65">
        <f t="shared" si="40"/>
        <v>50825.4</v>
      </c>
      <c r="V1854" s="66">
        <f t="shared" si="69"/>
        <v>0.04998921613</v>
      </c>
      <c r="W1854" s="67">
        <f t="shared" si="5"/>
        <v>41624.25</v>
      </c>
      <c r="X1854" s="67">
        <f t="shared" si="70"/>
        <v>6659.88</v>
      </c>
      <c r="Y1854" s="67">
        <f t="shared" si="71"/>
        <v>48284.13</v>
      </c>
      <c r="Z1854" s="67">
        <f t="shared" si="8"/>
        <v>39433.5</v>
      </c>
      <c r="AA1854" s="67">
        <f t="shared" si="72"/>
        <v>6309.36</v>
      </c>
      <c r="AB1854" s="67">
        <f t="shared" si="73"/>
        <v>45742.86</v>
      </c>
      <c r="AC1854" s="67">
        <f t="shared" si="11"/>
        <v>39433.5</v>
      </c>
      <c r="AD1854" s="67">
        <f t="shared" si="74"/>
        <v>6309.36</v>
      </c>
      <c r="AE1854" s="67">
        <f t="shared" si="75"/>
        <v>45742.86</v>
      </c>
      <c r="AF1854" s="67">
        <f t="shared" si="33"/>
        <v>39433.5</v>
      </c>
      <c r="AG1854" s="67">
        <f t="shared" si="76"/>
        <v>6309.36</v>
      </c>
      <c r="AH1854" s="67">
        <f t="shared" si="77"/>
        <v>45742.86</v>
      </c>
      <c r="AI1854" s="67">
        <f t="shared" si="17"/>
        <v>39433.5</v>
      </c>
      <c r="AJ1854" s="68">
        <f t="shared" si="78"/>
        <v>6309.36</v>
      </c>
      <c r="AK1854" s="68">
        <f t="shared" si="79"/>
        <v>45742.86</v>
      </c>
      <c r="AL1854" s="70"/>
      <c r="AM1854" s="70"/>
      <c r="AN1854" s="71"/>
      <c r="AO1854" s="71"/>
      <c r="AP1854" s="71"/>
      <c r="AQ1854" s="71"/>
      <c r="AR1854" s="71"/>
      <c r="AS1854" s="71"/>
      <c r="AT1854" s="71"/>
      <c r="AU1854" s="71"/>
      <c r="AV1854" s="71"/>
      <c r="AW1854" s="71"/>
      <c r="AX1854" s="71"/>
      <c r="AY1854" s="71"/>
      <c r="AZ1854" s="71"/>
      <c r="BA1854" s="71"/>
      <c r="BB1854" s="71"/>
      <c r="BC1854" s="71"/>
      <c r="BD1854" s="71"/>
      <c r="BE1854" s="71"/>
      <c r="BF1854" s="71"/>
      <c r="BG1854" s="71"/>
      <c r="BH1854" s="71"/>
      <c r="BI1854" s="71"/>
      <c r="BJ1854" s="71"/>
      <c r="BK1854" s="71"/>
      <c r="BL1854" s="71"/>
      <c r="BM1854" s="71"/>
      <c r="BN1854" s="71"/>
      <c r="BO1854" s="71"/>
      <c r="BP1854" s="71"/>
      <c r="BQ1854" s="71"/>
      <c r="BR1854" s="71"/>
      <c r="BS1854" s="71"/>
      <c r="BT1854" s="71"/>
      <c r="BU1854" s="71"/>
      <c r="BV1854" s="71"/>
    </row>
    <row r="1855">
      <c r="A1855" s="53"/>
      <c r="B1855" s="53"/>
      <c r="C1855" s="53" t="s">
        <v>36</v>
      </c>
      <c r="D1855" s="85" t="s">
        <v>4564</v>
      </c>
      <c r="E1855" s="54" t="s">
        <v>38</v>
      </c>
      <c r="F1855" s="55" t="s">
        <v>39</v>
      </c>
      <c r="G1855" s="86" t="s">
        <v>4565</v>
      </c>
      <c r="H1855" s="86" t="s">
        <v>4565</v>
      </c>
      <c r="I1855" s="54">
        <f t="shared" si="24"/>
        <v>32</v>
      </c>
      <c r="J1855" s="56"/>
      <c r="K1855" s="57"/>
      <c r="L1855" s="76"/>
      <c r="M1855" s="59"/>
      <c r="N1855" s="60"/>
      <c r="O1855" s="61">
        <v>1075.2</v>
      </c>
      <c r="P1855" s="62">
        <v>1220.0</v>
      </c>
      <c r="Q1855" s="63">
        <v>1220.0</v>
      </c>
      <c r="R1855" s="64">
        <v>1281.0</v>
      </c>
      <c r="S1855" s="107">
        <v>1345.0</v>
      </c>
      <c r="T1855" s="65">
        <f t="shared" si="39"/>
        <v>215.2</v>
      </c>
      <c r="U1855" s="65">
        <f t="shared" si="40"/>
        <v>1560.2</v>
      </c>
      <c r="V1855" s="66">
        <f t="shared" si="69"/>
        <v>0.04996096799</v>
      </c>
      <c r="W1855" s="67">
        <f t="shared" si="5"/>
        <v>1277.75</v>
      </c>
      <c r="X1855" s="67">
        <f t="shared" si="70"/>
        <v>204.44</v>
      </c>
      <c r="Y1855" s="67">
        <f t="shared" si="71"/>
        <v>1482.19</v>
      </c>
      <c r="Z1855" s="67">
        <f t="shared" si="8"/>
        <v>1210.5</v>
      </c>
      <c r="AA1855" s="67">
        <f t="shared" si="72"/>
        <v>193.68</v>
      </c>
      <c r="AB1855" s="67">
        <f t="shared" si="73"/>
        <v>1404.18</v>
      </c>
      <c r="AC1855" s="67">
        <f t="shared" si="11"/>
        <v>1143.25</v>
      </c>
      <c r="AD1855" s="67">
        <f t="shared" si="74"/>
        <v>182.92</v>
      </c>
      <c r="AE1855" s="67">
        <f t="shared" si="75"/>
        <v>1326.17</v>
      </c>
      <c r="AF1855" s="67">
        <f t="shared" si="33"/>
        <v>1116.35</v>
      </c>
      <c r="AG1855" s="67">
        <f t="shared" si="76"/>
        <v>178.616</v>
      </c>
      <c r="AH1855" s="67">
        <f t="shared" si="77"/>
        <v>1294.966</v>
      </c>
      <c r="AI1855" s="67">
        <f t="shared" si="17"/>
        <v>1076</v>
      </c>
      <c r="AJ1855" s="68">
        <f t="shared" si="78"/>
        <v>172.16</v>
      </c>
      <c r="AK1855" s="68">
        <f t="shared" si="79"/>
        <v>1248.16</v>
      </c>
      <c r="AL1855" s="70"/>
      <c r="AM1855" s="70"/>
      <c r="AN1855" s="71"/>
      <c r="AO1855" s="71"/>
      <c r="AP1855" s="71"/>
      <c r="AQ1855" s="71"/>
      <c r="AR1855" s="71"/>
      <c r="AS1855" s="71"/>
      <c r="AT1855" s="71"/>
      <c r="AU1855" s="71"/>
      <c r="AV1855" s="71"/>
      <c r="AW1855" s="71"/>
      <c r="AX1855" s="71"/>
      <c r="AY1855" s="71"/>
      <c r="AZ1855" s="71"/>
      <c r="BA1855" s="71"/>
      <c r="BB1855" s="71"/>
      <c r="BC1855" s="71"/>
      <c r="BD1855" s="71"/>
      <c r="BE1855" s="71"/>
      <c r="BF1855" s="71"/>
      <c r="BG1855" s="71"/>
      <c r="BH1855" s="71"/>
      <c r="BI1855" s="71"/>
      <c r="BJ1855" s="71"/>
      <c r="BK1855" s="71"/>
      <c r="BL1855" s="71"/>
      <c r="BM1855" s="71"/>
      <c r="BN1855" s="71"/>
      <c r="BO1855" s="71"/>
      <c r="BP1855" s="71"/>
      <c r="BQ1855" s="71"/>
      <c r="BR1855" s="71"/>
      <c r="BS1855" s="71"/>
      <c r="BT1855" s="71"/>
      <c r="BU1855" s="71"/>
      <c r="BV1855" s="71"/>
    </row>
    <row r="1856">
      <c r="A1856" s="53">
        <v>1.0</v>
      </c>
      <c r="B1856" s="53"/>
      <c r="C1856" s="73" t="s">
        <v>53</v>
      </c>
      <c r="D1856" s="74" t="s">
        <v>4566</v>
      </c>
      <c r="E1856" s="54" t="s">
        <v>38</v>
      </c>
      <c r="F1856" s="54" t="s">
        <v>42</v>
      </c>
      <c r="G1856" s="88" t="s">
        <v>4567</v>
      </c>
      <c r="H1856" s="54" t="s">
        <v>4568</v>
      </c>
      <c r="I1856" s="54">
        <f t="shared" si="24"/>
        <v>32</v>
      </c>
      <c r="J1856" s="56"/>
      <c r="K1856" s="57"/>
      <c r="L1856" s="87"/>
      <c r="M1856" s="59"/>
      <c r="N1856" s="60">
        <v>182.0</v>
      </c>
      <c r="O1856" s="61">
        <v>196.0</v>
      </c>
      <c r="P1856" s="62">
        <v>211.68</v>
      </c>
      <c r="Q1856" s="63">
        <v>211.68</v>
      </c>
      <c r="R1856" s="64">
        <v>237.0</v>
      </c>
      <c r="S1856" s="111">
        <v>249.0</v>
      </c>
      <c r="T1856" s="65">
        <f t="shared" si="39"/>
        <v>39.84</v>
      </c>
      <c r="U1856" s="65">
        <f t="shared" si="40"/>
        <v>288.84</v>
      </c>
      <c r="V1856" s="66">
        <f t="shared" si="69"/>
        <v>0.05063291139</v>
      </c>
      <c r="W1856" s="67">
        <f t="shared" si="5"/>
        <v>236.55</v>
      </c>
      <c r="X1856" s="67">
        <f t="shared" si="70"/>
        <v>37.848</v>
      </c>
      <c r="Y1856" s="67">
        <f t="shared" si="71"/>
        <v>274.398</v>
      </c>
      <c r="Z1856" s="67">
        <f t="shared" si="8"/>
        <v>224.1</v>
      </c>
      <c r="AA1856" s="67">
        <f t="shared" si="72"/>
        <v>35.856</v>
      </c>
      <c r="AB1856" s="67">
        <f t="shared" si="73"/>
        <v>259.956</v>
      </c>
      <c r="AC1856" s="67">
        <f t="shared" si="11"/>
        <v>211.65</v>
      </c>
      <c r="AD1856" s="67">
        <f t="shared" si="74"/>
        <v>33.864</v>
      </c>
      <c r="AE1856" s="67">
        <f t="shared" si="75"/>
        <v>245.514</v>
      </c>
      <c r="AF1856" s="67">
        <f t="shared" si="33"/>
        <v>206.67</v>
      </c>
      <c r="AG1856" s="67">
        <f t="shared" si="76"/>
        <v>33.0672</v>
      </c>
      <c r="AH1856" s="67">
        <f t="shared" si="77"/>
        <v>239.7372</v>
      </c>
      <c r="AI1856" s="67">
        <f t="shared" si="17"/>
        <v>199.2</v>
      </c>
      <c r="AJ1856" s="68">
        <f t="shared" si="78"/>
        <v>31.872</v>
      </c>
      <c r="AK1856" s="68">
        <f t="shared" si="79"/>
        <v>231.072</v>
      </c>
      <c r="AL1856" s="70"/>
      <c r="AM1856" s="70"/>
      <c r="AN1856" s="71"/>
      <c r="AO1856" s="71"/>
      <c r="AP1856" s="71"/>
      <c r="AQ1856" s="71"/>
      <c r="AR1856" s="71"/>
      <c r="AS1856" s="71"/>
      <c r="AT1856" s="71"/>
      <c r="AU1856" s="71"/>
      <c r="AV1856" s="71"/>
      <c r="AW1856" s="71"/>
      <c r="AX1856" s="71"/>
      <c r="AY1856" s="71"/>
      <c r="AZ1856" s="71"/>
      <c r="BA1856" s="71"/>
      <c r="BB1856" s="71"/>
      <c r="BC1856" s="71"/>
      <c r="BD1856" s="71"/>
      <c r="BE1856" s="71"/>
      <c r="BF1856" s="71"/>
      <c r="BG1856" s="71"/>
      <c r="BH1856" s="71"/>
      <c r="BI1856" s="71"/>
      <c r="BJ1856" s="71"/>
      <c r="BK1856" s="71"/>
      <c r="BL1856" s="71"/>
      <c r="BM1856" s="71"/>
      <c r="BN1856" s="71"/>
      <c r="BO1856" s="71"/>
      <c r="BP1856" s="71"/>
      <c r="BQ1856" s="71"/>
      <c r="BR1856" s="71"/>
      <c r="BS1856" s="71"/>
      <c r="BT1856" s="71"/>
      <c r="BU1856" s="71"/>
      <c r="BV1856" s="71"/>
    </row>
    <row r="1857">
      <c r="A1857" s="53">
        <v>1.0</v>
      </c>
      <c r="B1857" s="53"/>
      <c r="C1857" s="73" t="s">
        <v>53</v>
      </c>
      <c r="D1857" s="74" t="s">
        <v>4569</v>
      </c>
      <c r="E1857" s="54" t="s">
        <v>38</v>
      </c>
      <c r="F1857" s="54" t="s">
        <v>42</v>
      </c>
      <c r="G1857" s="55" t="s">
        <v>4570</v>
      </c>
      <c r="H1857" s="54" t="s">
        <v>4571</v>
      </c>
      <c r="I1857" s="54">
        <f t="shared" si="24"/>
        <v>36</v>
      </c>
      <c r="J1857" s="56"/>
      <c r="K1857" s="57"/>
      <c r="L1857" s="87"/>
      <c r="M1857" s="59"/>
      <c r="N1857" s="60">
        <v>182.0</v>
      </c>
      <c r="O1857" s="61">
        <v>196.0</v>
      </c>
      <c r="P1857" s="62">
        <v>211.68</v>
      </c>
      <c r="Q1857" s="63">
        <v>211.68</v>
      </c>
      <c r="R1857" s="64">
        <v>237.0</v>
      </c>
      <c r="S1857" s="111">
        <v>249.0</v>
      </c>
      <c r="T1857" s="65">
        <f t="shared" si="39"/>
        <v>39.84</v>
      </c>
      <c r="U1857" s="65">
        <f t="shared" si="40"/>
        <v>288.84</v>
      </c>
      <c r="V1857" s="66">
        <f t="shared" si="69"/>
        <v>0.05063291139</v>
      </c>
      <c r="W1857" s="67">
        <f t="shared" si="5"/>
        <v>236.55</v>
      </c>
      <c r="X1857" s="67">
        <f t="shared" si="70"/>
        <v>37.848</v>
      </c>
      <c r="Y1857" s="67">
        <f t="shared" si="71"/>
        <v>274.398</v>
      </c>
      <c r="Z1857" s="67">
        <f t="shared" si="8"/>
        <v>224.1</v>
      </c>
      <c r="AA1857" s="67">
        <f t="shared" si="72"/>
        <v>35.856</v>
      </c>
      <c r="AB1857" s="67">
        <f t="shared" si="73"/>
        <v>259.956</v>
      </c>
      <c r="AC1857" s="67">
        <f t="shared" si="11"/>
        <v>211.65</v>
      </c>
      <c r="AD1857" s="67">
        <f t="shared" si="74"/>
        <v>33.864</v>
      </c>
      <c r="AE1857" s="67">
        <f t="shared" si="75"/>
        <v>245.514</v>
      </c>
      <c r="AF1857" s="67">
        <f t="shared" si="33"/>
        <v>206.67</v>
      </c>
      <c r="AG1857" s="67">
        <f t="shared" si="76"/>
        <v>33.0672</v>
      </c>
      <c r="AH1857" s="67">
        <f t="shared" si="77"/>
        <v>239.7372</v>
      </c>
      <c r="AI1857" s="67">
        <f t="shared" si="17"/>
        <v>199.2</v>
      </c>
      <c r="AJ1857" s="68">
        <f t="shared" si="78"/>
        <v>31.872</v>
      </c>
      <c r="AK1857" s="68">
        <f t="shared" si="79"/>
        <v>231.072</v>
      </c>
      <c r="AL1857" s="70"/>
      <c r="AM1857" s="70"/>
      <c r="AN1857" s="71"/>
      <c r="AO1857" s="71"/>
      <c r="AP1857" s="71"/>
      <c r="AQ1857" s="71"/>
      <c r="AR1857" s="71"/>
      <c r="AS1857" s="71"/>
      <c r="AT1857" s="71"/>
      <c r="AU1857" s="71"/>
      <c r="AV1857" s="71"/>
      <c r="AW1857" s="71"/>
      <c r="AX1857" s="71"/>
      <c r="AY1857" s="71"/>
      <c r="AZ1857" s="71"/>
      <c r="BA1857" s="71"/>
      <c r="BB1857" s="71"/>
      <c r="BC1857" s="71"/>
      <c r="BD1857" s="71"/>
      <c r="BE1857" s="71"/>
      <c r="BF1857" s="71"/>
      <c r="BG1857" s="71"/>
      <c r="BH1857" s="71"/>
      <c r="BI1857" s="71"/>
      <c r="BJ1857" s="71"/>
      <c r="BK1857" s="71"/>
      <c r="BL1857" s="71"/>
      <c r="BM1857" s="71"/>
      <c r="BN1857" s="71"/>
      <c r="BO1857" s="71"/>
      <c r="BP1857" s="71"/>
      <c r="BQ1857" s="71"/>
      <c r="BR1857" s="71"/>
      <c r="BS1857" s="71"/>
      <c r="BT1857" s="71"/>
      <c r="BU1857" s="71"/>
      <c r="BV1857" s="71"/>
    </row>
    <row r="1858">
      <c r="A1858" s="53">
        <v>1.0</v>
      </c>
      <c r="B1858" s="53"/>
      <c r="C1858" s="73" t="s">
        <v>53</v>
      </c>
      <c r="D1858" s="74" t="s">
        <v>4572</v>
      </c>
      <c r="E1858" s="54" t="s">
        <v>38</v>
      </c>
      <c r="F1858" s="54" t="s">
        <v>42</v>
      </c>
      <c r="G1858" s="88" t="s">
        <v>4573</v>
      </c>
      <c r="H1858" s="54" t="s">
        <v>4573</v>
      </c>
      <c r="I1858" s="54">
        <f t="shared" si="24"/>
        <v>19</v>
      </c>
      <c r="J1858" s="56"/>
      <c r="K1858" s="57"/>
      <c r="L1858" s="87"/>
      <c r="M1858" s="59"/>
      <c r="N1858" s="60">
        <v>34.0</v>
      </c>
      <c r="O1858" s="61">
        <v>36.0</v>
      </c>
      <c r="P1858" s="62">
        <v>38.88</v>
      </c>
      <c r="Q1858" s="63">
        <v>38.88</v>
      </c>
      <c r="R1858" s="64">
        <v>45.0</v>
      </c>
      <c r="S1858" s="111">
        <v>47.0</v>
      </c>
      <c r="T1858" s="65">
        <f t="shared" si="39"/>
        <v>7.52</v>
      </c>
      <c r="U1858" s="65">
        <f t="shared" si="40"/>
        <v>54.52</v>
      </c>
      <c r="V1858" s="66">
        <f t="shared" si="69"/>
        <v>0.04444444444</v>
      </c>
      <c r="W1858" s="67">
        <f t="shared" si="5"/>
        <v>44.65</v>
      </c>
      <c r="X1858" s="67">
        <f t="shared" si="70"/>
        <v>7.144</v>
      </c>
      <c r="Y1858" s="67">
        <f t="shared" si="71"/>
        <v>51.794</v>
      </c>
      <c r="Z1858" s="67">
        <f t="shared" si="8"/>
        <v>42.3</v>
      </c>
      <c r="AA1858" s="67">
        <f t="shared" si="72"/>
        <v>6.768</v>
      </c>
      <c r="AB1858" s="67">
        <f t="shared" si="73"/>
        <v>49.068</v>
      </c>
      <c r="AC1858" s="67">
        <f t="shared" si="11"/>
        <v>39.95</v>
      </c>
      <c r="AD1858" s="67">
        <f t="shared" si="74"/>
        <v>6.392</v>
      </c>
      <c r="AE1858" s="67">
        <f t="shared" si="75"/>
        <v>46.342</v>
      </c>
      <c r="AF1858" s="67">
        <f t="shared" si="33"/>
        <v>39.01</v>
      </c>
      <c r="AG1858" s="67">
        <f t="shared" si="76"/>
        <v>6.2416</v>
      </c>
      <c r="AH1858" s="67">
        <f t="shared" si="77"/>
        <v>45.2516</v>
      </c>
      <c r="AI1858" s="67">
        <f t="shared" si="17"/>
        <v>37.6</v>
      </c>
      <c r="AJ1858" s="68">
        <f t="shared" si="78"/>
        <v>6.016</v>
      </c>
      <c r="AK1858" s="68">
        <f t="shared" si="79"/>
        <v>43.616</v>
      </c>
      <c r="AL1858" s="70"/>
      <c r="AM1858" s="70"/>
      <c r="AN1858" s="71"/>
      <c r="AO1858" s="71"/>
      <c r="AP1858" s="71"/>
      <c r="AQ1858" s="71"/>
      <c r="AR1858" s="71"/>
      <c r="AS1858" s="71"/>
      <c r="AT1858" s="71"/>
      <c r="AU1858" s="71"/>
      <c r="AV1858" s="71"/>
      <c r="AW1858" s="71"/>
      <c r="AX1858" s="71"/>
      <c r="AY1858" s="71"/>
      <c r="AZ1858" s="71"/>
      <c r="BA1858" s="71"/>
      <c r="BB1858" s="71"/>
      <c r="BC1858" s="71"/>
      <c r="BD1858" s="71"/>
      <c r="BE1858" s="71"/>
      <c r="BF1858" s="71"/>
      <c r="BG1858" s="71"/>
      <c r="BH1858" s="71"/>
      <c r="BI1858" s="71"/>
      <c r="BJ1858" s="71"/>
      <c r="BK1858" s="71"/>
      <c r="BL1858" s="71"/>
      <c r="BM1858" s="71"/>
      <c r="BN1858" s="71"/>
      <c r="BO1858" s="71"/>
      <c r="BP1858" s="71"/>
      <c r="BQ1858" s="71"/>
      <c r="BR1858" s="71"/>
      <c r="BS1858" s="71"/>
      <c r="BT1858" s="71"/>
      <c r="BU1858" s="71"/>
      <c r="BV1858" s="71"/>
    </row>
    <row r="1859">
      <c r="A1859" s="53"/>
      <c r="B1859" s="53"/>
      <c r="C1859" s="53" t="s">
        <v>53</v>
      </c>
      <c r="D1859" s="53" t="s">
        <v>4574</v>
      </c>
      <c r="E1859" s="54" t="s">
        <v>38</v>
      </c>
      <c r="F1859" s="54" t="s">
        <v>42</v>
      </c>
      <c r="G1859" s="55" t="s">
        <v>4575</v>
      </c>
      <c r="H1859" s="55" t="s">
        <v>4576</v>
      </c>
      <c r="I1859" s="54">
        <f t="shared" si="24"/>
        <v>36</v>
      </c>
      <c r="J1859" s="56"/>
      <c r="K1859" s="57"/>
      <c r="L1859" s="76"/>
      <c r="M1859" s="59"/>
      <c r="N1859" s="60"/>
      <c r="O1859" s="61">
        <v>189.0</v>
      </c>
      <c r="P1859" s="62">
        <v>204.12</v>
      </c>
      <c r="Q1859" s="63">
        <v>204.12</v>
      </c>
      <c r="R1859" s="64">
        <v>215.0</v>
      </c>
      <c r="S1859" s="111">
        <v>226.0</v>
      </c>
      <c r="T1859" s="65">
        <f t="shared" si="39"/>
        <v>36.16</v>
      </c>
      <c r="U1859" s="65">
        <f t="shared" si="40"/>
        <v>262.16</v>
      </c>
      <c r="V1859" s="66">
        <f t="shared" si="69"/>
        <v>0.0511627907</v>
      </c>
      <c r="W1859" s="67">
        <f t="shared" si="5"/>
        <v>214.7</v>
      </c>
      <c r="X1859" s="67">
        <f t="shared" si="70"/>
        <v>34.352</v>
      </c>
      <c r="Y1859" s="67">
        <f t="shared" si="71"/>
        <v>249.052</v>
      </c>
      <c r="Z1859" s="67">
        <f t="shared" si="8"/>
        <v>203.4</v>
      </c>
      <c r="AA1859" s="67">
        <f t="shared" si="72"/>
        <v>32.544</v>
      </c>
      <c r="AB1859" s="67">
        <f t="shared" si="73"/>
        <v>235.944</v>
      </c>
      <c r="AC1859" s="67">
        <f t="shared" si="11"/>
        <v>192.1</v>
      </c>
      <c r="AD1859" s="67">
        <f t="shared" si="74"/>
        <v>30.736</v>
      </c>
      <c r="AE1859" s="67">
        <f t="shared" si="75"/>
        <v>222.836</v>
      </c>
      <c r="AF1859" s="67">
        <f t="shared" si="33"/>
        <v>187.58</v>
      </c>
      <c r="AG1859" s="67">
        <f t="shared" si="76"/>
        <v>30.0128</v>
      </c>
      <c r="AH1859" s="67">
        <f t="shared" si="77"/>
        <v>217.5928</v>
      </c>
      <c r="AI1859" s="67">
        <f t="shared" si="17"/>
        <v>180.8</v>
      </c>
      <c r="AJ1859" s="68">
        <f t="shared" si="78"/>
        <v>28.928</v>
      </c>
      <c r="AK1859" s="68">
        <f t="shared" si="79"/>
        <v>209.728</v>
      </c>
      <c r="AL1859" s="70"/>
      <c r="AM1859" s="70"/>
      <c r="AN1859" s="71"/>
      <c r="AO1859" s="71"/>
      <c r="AP1859" s="71"/>
      <c r="AQ1859" s="71"/>
      <c r="AR1859" s="71"/>
      <c r="AS1859" s="71"/>
      <c r="AT1859" s="71"/>
      <c r="AU1859" s="71"/>
      <c r="AV1859" s="71"/>
      <c r="AW1859" s="71"/>
      <c r="AX1859" s="71"/>
      <c r="AY1859" s="71"/>
      <c r="AZ1859" s="71"/>
      <c r="BA1859" s="71"/>
      <c r="BB1859" s="71"/>
      <c r="BC1859" s="71"/>
      <c r="BD1859" s="71"/>
      <c r="BE1859" s="71"/>
      <c r="BF1859" s="71"/>
      <c r="BG1859" s="71"/>
      <c r="BH1859" s="71"/>
      <c r="BI1859" s="71"/>
      <c r="BJ1859" s="71"/>
      <c r="BK1859" s="71"/>
      <c r="BL1859" s="71"/>
      <c r="BM1859" s="71"/>
      <c r="BN1859" s="71"/>
      <c r="BO1859" s="71"/>
      <c r="BP1859" s="71"/>
      <c r="BQ1859" s="71"/>
      <c r="BR1859" s="71"/>
      <c r="BS1859" s="71"/>
      <c r="BT1859" s="71"/>
      <c r="BU1859" s="71"/>
      <c r="BV1859" s="71"/>
    </row>
    <row r="1860">
      <c r="A1860" s="53"/>
      <c r="B1860" s="53"/>
      <c r="C1860" s="53" t="s">
        <v>36</v>
      </c>
      <c r="D1860" s="85" t="s">
        <v>4577</v>
      </c>
      <c r="E1860" s="54" t="s">
        <v>38</v>
      </c>
      <c r="F1860" s="55" t="s">
        <v>39</v>
      </c>
      <c r="G1860" s="86" t="s">
        <v>4578</v>
      </c>
      <c r="H1860" s="55"/>
      <c r="I1860" s="54">
        <f t="shared" si="24"/>
        <v>0</v>
      </c>
      <c r="J1860" s="56"/>
      <c r="K1860" s="57"/>
      <c r="L1860" s="76"/>
      <c r="M1860" s="59"/>
      <c r="N1860" s="60"/>
      <c r="O1860" s="61">
        <v>422.4</v>
      </c>
      <c r="P1860" s="62">
        <v>456.192</v>
      </c>
      <c r="Q1860" s="63">
        <v>456.192</v>
      </c>
      <c r="R1860" s="64">
        <v>479.0</v>
      </c>
      <c r="S1860" s="107">
        <v>503.0</v>
      </c>
      <c r="T1860" s="65">
        <f t="shared" si="39"/>
        <v>80.48</v>
      </c>
      <c r="U1860" s="65">
        <f t="shared" si="40"/>
        <v>583.48</v>
      </c>
      <c r="V1860" s="66">
        <f t="shared" si="69"/>
        <v>0.05010438413</v>
      </c>
      <c r="W1860" s="67">
        <f t="shared" si="5"/>
        <v>477.85</v>
      </c>
      <c r="X1860" s="67">
        <f t="shared" si="70"/>
        <v>76.456</v>
      </c>
      <c r="Y1860" s="67">
        <f t="shared" si="71"/>
        <v>554.306</v>
      </c>
      <c r="Z1860" s="67">
        <f t="shared" si="8"/>
        <v>452.7</v>
      </c>
      <c r="AA1860" s="67">
        <f t="shared" si="72"/>
        <v>72.432</v>
      </c>
      <c r="AB1860" s="67">
        <f t="shared" si="73"/>
        <v>525.132</v>
      </c>
      <c r="AC1860" s="67">
        <f t="shared" si="11"/>
        <v>427.55</v>
      </c>
      <c r="AD1860" s="67">
        <f t="shared" si="74"/>
        <v>68.408</v>
      </c>
      <c r="AE1860" s="67">
        <f t="shared" si="75"/>
        <v>495.958</v>
      </c>
      <c r="AF1860" s="67">
        <f t="shared" si="33"/>
        <v>417.49</v>
      </c>
      <c r="AG1860" s="67">
        <f t="shared" si="76"/>
        <v>66.7984</v>
      </c>
      <c r="AH1860" s="67">
        <f t="shared" si="77"/>
        <v>484.2884</v>
      </c>
      <c r="AI1860" s="67">
        <f t="shared" si="17"/>
        <v>402.4</v>
      </c>
      <c r="AJ1860" s="68">
        <f t="shared" si="78"/>
        <v>64.384</v>
      </c>
      <c r="AK1860" s="68">
        <f t="shared" si="79"/>
        <v>466.784</v>
      </c>
      <c r="AL1860" s="70"/>
      <c r="AM1860" s="70"/>
      <c r="AN1860" s="71"/>
      <c r="AO1860" s="71"/>
      <c r="AP1860" s="71"/>
      <c r="AQ1860" s="71"/>
      <c r="AR1860" s="71"/>
      <c r="AS1860" s="71"/>
      <c r="AT1860" s="71"/>
      <c r="AU1860" s="71"/>
      <c r="AV1860" s="71"/>
      <c r="AW1860" s="71"/>
      <c r="AX1860" s="71"/>
      <c r="AY1860" s="71"/>
      <c r="AZ1860" s="71"/>
      <c r="BA1860" s="71"/>
      <c r="BB1860" s="71"/>
      <c r="BC1860" s="71"/>
      <c r="BD1860" s="71"/>
      <c r="BE1860" s="71"/>
      <c r="BF1860" s="71"/>
      <c r="BG1860" s="71"/>
      <c r="BH1860" s="71"/>
      <c r="BI1860" s="71"/>
      <c r="BJ1860" s="71"/>
      <c r="BK1860" s="71"/>
      <c r="BL1860" s="71"/>
      <c r="BM1860" s="71"/>
      <c r="BN1860" s="71"/>
      <c r="BO1860" s="71"/>
      <c r="BP1860" s="71"/>
      <c r="BQ1860" s="71"/>
      <c r="BR1860" s="71"/>
      <c r="BS1860" s="71"/>
      <c r="BT1860" s="71"/>
      <c r="BU1860" s="71"/>
      <c r="BV1860" s="71"/>
    </row>
    <row r="1861">
      <c r="A1861" s="53"/>
      <c r="B1861" s="53"/>
      <c r="C1861" s="73" t="s">
        <v>53</v>
      </c>
      <c r="D1861" s="53" t="s">
        <v>4579</v>
      </c>
      <c r="E1861" s="54" t="s">
        <v>38</v>
      </c>
      <c r="F1861" s="55" t="s">
        <v>309</v>
      </c>
      <c r="G1861" s="54" t="s">
        <v>4580</v>
      </c>
      <c r="H1861" s="54" t="s">
        <v>4580</v>
      </c>
      <c r="I1861" s="54">
        <f t="shared" si="24"/>
        <v>27</v>
      </c>
      <c r="J1861" s="56"/>
      <c r="K1861" s="57"/>
      <c r="L1861" s="76"/>
      <c r="M1861" s="59"/>
      <c r="N1861" s="60"/>
      <c r="O1861" s="61">
        <v>36.0</v>
      </c>
      <c r="P1861" s="62">
        <v>38.88</v>
      </c>
      <c r="Q1861" s="63">
        <v>38.88</v>
      </c>
      <c r="R1861" s="64">
        <v>99.0</v>
      </c>
      <c r="S1861" s="111">
        <v>104.0</v>
      </c>
      <c r="T1861" s="65">
        <f t="shared" si="39"/>
        <v>16.64</v>
      </c>
      <c r="U1861" s="65">
        <f t="shared" si="40"/>
        <v>120.64</v>
      </c>
      <c r="V1861" s="66">
        <f t="shared" si="69"/>
        <v>0.05050505051</v>
      </c>
      <c r="W1861" s="67">
        <f t="shared" si="5"/>
        <v>98.8</v>
      </c>
      <c r="X1861" s="67">
        <f t="shared" si="70"/>
        <v>15.808</v>
      </c>
      <c r="Y1861" s="67">
        <f t="shared" si="71"/>
        <v>114.608</v>
      </c>
      <c r="Z1861" s="67">
        <f t="shared" si="8"/>
        <v>93.6</v>
      </c>
      <c r="AA1861" s="67">
        <f t="shared" si="72"/>
        <v>14.976</v>
      </c>
      <c r="AB1861" s="67">
        <f t="shared" si="73"/>
        <v>108.576</v>
      </c>
      <c r="AC1861" s="67">
        <f t="shared" si="11"/>
        <v>88.4</v>
      </c>
      <c r="AD1861" s="67">
        <f t="shared" si="74"/>
        <v>14.144</v>
      </c>
      <c r="AE1861" s="67">
        <f t="shared" si="75"/>
        <v>102.544</v>
      </c>
      <c r="AF1861" s="67">
        <f t="shared" si="33"/>
        <v>86.32</v>
      </c>
      <c r="AG1861" s="67">
        <f t="shared" si="76"/>
        <v>13.8112</v>
      </c>
      <c r="AH1861" s="67">
        <f t="shared" si="77"/>
        <v>100.1312</v>
      </c>
      <c r="AI1861" s="67">
        <f t="shared" si="17"/>
        <v>83.2</v>
      </c>
      <c r="AJ1861" s="68">
        <f t="shared" si="78"/>
        <v>13.312</v>
      </c>
      <c r="AK1861" s="68">
        <f t="shared" si="79"/>
        <v>96.512</v>
      </c>
      <c r="AL1861" s="70"/>
      <c r="AM1861" s="70"/>
      <c r="AN1861" s="71"/>
      <c r="AO1861" s="71"/>
      <c r="AP1861" s="71"/>
      <c r="AQ1861" s="71"/>
      <c r="AR1861" s="71"/>
      <c r="AS1861" s="71"/>
      <c r="AT1861" s="71"/>
      <c r="AU1861" s="71"/>
      <c r="AV1861" s="71"/>
      <c r="AW1861" s="71"/>
      <c r="AX1861" s="71"/>
      <c r="AY1861" s="71"/>
      <c r="AZ1861" s="71"/>
      <c r="BA1861" s="71"/>
      <c r="BB1861" s="71"/>
      <c r="BC1861" s="71"/>
      <c r="BD1861" s="71"/>
      <c r="BE1861" s="71"/>
      <c r="BF1861" s="71"/>
      <c r="BG1861" s="71"/>
      <c r="BH1861" s="71"/>
      <c r="BI1861" s="71"/>
      <c r="BJ1861" s="71"/>
      <c r="BK1861" s="71"/>
      <c r="BL1861" s="71"/>
      <c r="BM1861" s="71"/>
      <c r="BN1861" s="71"/>
      <c r="BO1861" s="71"/>
      <c r="BP1861" s="71"/>
      <c r="BQ1861" s="71"/>
      <c r="BR1861" s="71"/>
      <c r="BS1861" s="71"/>
      <c r="BT1861" s="71"/>
      <c r="BU1861" s="71"/>
      <c r="BV1861" s="71"/>
    </row>
    <row r="1862">
      <c r="A1862" s="53">
        <v>1.0</v>
      </c>
      <c r="B1862" s="53"/>
      <c r="C1862" s="53" t="s">
        <v>53</v>
      </c>
      <c r="D1862" s="53" t="s">
        <v>4581</v>
      </c>
      <c r="E1862" s="86" t="s">
        <v>38</v>
      </c>
      <c r="F1862" s="91" t="s">
        <v>42</v>
      </c>
      <c r="G1862" s="54" t="s">
        <v>4582</v>
      </c>
      <c r="H1862" s="54" t="s">
        <v>4582</v>
      </c>
      <c r="I1862" s="54">
        <f t="shared" si="24"/>
        <v>33</v>
      </c>
      <c r="J1862" s="56"/>
      <c r="K1862" s="75"/>
      <c r="L1862" s="76"/>
      <c r="M1862" s="59"/>
      <c r="N1862" s="60"/>
      <c r="O1862" s="90"/>
      <c r="P1862" s="62">
        <v>1400.0</v>
      </c>
      <c r="Q1862" s="63">
        <v>1400.0</v>
      </c>
      <c r="R1862" s="64">
        <v>1470.0</v>
      </c>
      <c r="S1862" s="111">
        <v>1544.0</v>
      </c>
      <c r="T1862" s="65"/>
      <c r="U1862" s="65"/>
      <c r="V1862" s="66"/>
      <c r="W1862" s="67">
        <f t="shared" si="5"/>
        <v>1466.8</v>
      </c>
      <c r="X1862" s="67">
        <f t="shared" si="70"/>
        <v>234.688</v>
      </c>
      <c r="Y1862" s="67">
        <f t="shared" si="71"/>
        <v>1701.488</v>
      </c>
      <c r="Z1862" s="67">
        <f t="shared" si="8"/>
        <v>1389.6</v>
      </c>
      <c r="AA1862" s="67">
        <f t="shared" si="72"/>
        <v>222.336</v>
      </c>
      <c r="AB1862" s="67">
        <f t="shared" si="73"/>
        <v>1611.936</v>
      </c>
      <c r="AC1862" s="67">
        <f t="shared" si="11"/>
        <v>1312.4</v>
      </c>
      <c r="AD1862" s="67">
        <f t="shared" si="74"/>
        <v>209.984</v>
      </c>
      <c r="AE1862" s="67">
        <f t="shared" si="75"/>
        <v>1522.384</v>
      </c>
      <c r="AF1862" s="67">
        <f t="shared" si="33"/>
        <v>1281.52</v>
      </c>
      <c r="AG1862" s="67">
        <f t="shared" si="76"/>
        <v>205.0432</v>
      </c>
      <c r="AH1862" s="67">
        <f t="shared" si="77"/>
        <v>1486.5632</v>
      </c>
      <c r="AI1862" s="67">
        <f t="shared" si="17"/>
        <v>1235.2</v>
      </c>
      <c r="AJ1862" s="68">
        <f t="shared" si="78"/>
        <v>197.632</v>
      </c>
      <c r="AK1862" s="68">
        <f t="shared" si="79"/>
        <v>1432.832</v>
      </c>
      <c r="AL1862" s="70"/>
      <c r="AM1862" s="70"/>
      <c r="AN1862" s="71"/>
      <c r="AO1862" s="71"/>
      <c r="AP1862" s="71"/>
      <c r="AQ1862" s="71"/>
      <c r="AR1862" s="71"/>
      <c r="AS1862" s="71"/>
      <c r="AT1862" s="71"/>
      <c r="AU1862" s="71"/>
      <c r="AV1862" s="71"/>
      <c r="AW1862" s="71"/>
      <c r="AX1862" s="71"/>
      <c r="AY1862" s="71"/>
      <c r="AZ1862" s="71"/>
      <c r="BA1862" s="71"/>
      <c r="BB1862" s="71"/>
      <c r="BC1862" s="71"/>
      <c r="BD1862" s="71"/>
      <c r="BE1862" s="71"/>
      <c r="BF1862" s="71"/>
      <c r="BG1862" s="71"/>
      <c r="BH1862" s="71"/>
      <c r="BI1862" s="71"/>
      <c r="BJ1862" s="71"/>
      <c r="BK1862" s="71"/>
      <c r="BL1862" s="71"/>
      <c r="BM1862" s="71"/>
      <c r="BN1862" s="71"/>
      <c r="BO1862" s="71"/>
      <c r="BP1862" s="71"/>
      <c r="BQ1862" s="71"/>
      <c r="BR1862" s="71"/>
      <c r="BS1862" s="71"/>
      <c r="BT1862" s="71"/>
      <c r="BU1862" s="71"/>
      <c r="BV1862" s="71"/>
    </row>
    <row r="1863">
      <c r="A1863" s="53">
        <v>1.0</v>
      </c>
      <c r="B1863" s="53"/>
      <c r="C1863" s="53" t="s">
        <v>53</v>
      </c>
      <c r="D1863" s="53" t="s">
        <v>4583</v>
      </c>
      <c r="E1863" s="86" t="s">
        <v>38</v>
      </c>
      <c r="F1863" s="91" t="s">
        <v>42</v>
      </c>
      <c r="G1863" s="54" t="s">
        <v>4584</v>
      </c>
      <c r="H1863" s="54" t="s">
        <v>4584</v>
      </c>
      <c r="I1863" s="54">
        <f t="shared" si="24"/>
        <v>33</v>
      </c>
      <c r="J1863" s="56"/>
      <c r="K1863" s="75"/>
      <c r="L1863" s="76"/>
      <c r="M1863" s="59"/>
      <c r="N1863" s="60"/>
      <c r="O1863" s="90"/>
      <c r="P1863" s="62">
        <v>1400.0</v>
      </c>
      <c r="Q1863" s="63">
        <v>1400.0</v>
      </c>
      <c r="R1863" s="64">
        <v>1470.0</v>
      </c>
      <c r="S1863" s="111">
        <v>1544.0</v>
      </c>
      <c r="T1863" s="65"/>
      <c r="U1863" s="65"/>
      <c r="V1863" s="66"/>
      <c r="W1863" s="67">
        <f t="shared" si="5"/>
        <v>1466.8</v>
      </c>
      <c r="X1863" s="67">
        <f t="shared" si="70"/>
        <v>234.688</v>
      </c>
      <c r="Y1863" s="67">
        <f t="shared" si="71"/>
        <v>1701.488</v>
      </c>
      <c r="Z1863" s="67">
        <f t="shared" si="8"/>
        <v>1389.6</v>
      </c>
      <c r="AA1863" s="67">
        <f t="shared" si="72"/>
        <v>222.336</v>
      </c>
      <c r="AB1863" s="67">
        <f t="shared" si="73"/>
        <v>1611.936</v>
      </c>
      <c r="AC1863" s="67">
        <f t="shared" si="11"/>
        <v>1312.4</v>
      </c>
      <c r="AD1863" s="67">
        <f t="shared" si="74"/>
        <v>209.984</v>
      </c>
      <c r="AE1863" s="67">
        <f t="shared" si="75"/>
        <v>1522.384</v>
      </c>
      <c r="AF1863" s="67">
        <f t="shared" si="33"/>
        <v>1281.52</v>
      </c>
      <c r="AG1863" s="67">
        <f t="shared" si="76"/>
        <v>205.0432</v>
      </c>
      <c r="AH1863" s="67">
        <f t="shared" si="77"/>
        <v>1486.5632</v>
      </c>
      <c r="AI1863" s="67">
        <f t="shared" si="17"/>
        <v>1235.2</v>
      </c>
      <c r="AJ1863" s="68">
        <f t="shared" si="78"/>
        <v>197.632</v>
      </c>
      <c r="AK1863" s="68">
        <f t="shared" si="79"/>
        <v>1432.832</v>
      </c>
      <c r="AL1863" s="70"/>
      <c r="AM1863" s="70"/>
      <c r="AN1863" s="71"/>
      <c r="AO1863" s="71"/>
      <c r="AP1863" s="71"/>
      <c r="AQ1863" s="71"/>
      <c r="AR1863" s="71"/>
      <c r="AS1863" s="71"/>
      <c r="AT1863" s="71"/>
      <c r="AU1863" s="71"/>
      <c r="AV1863" s="71"/>
      <c r="AW1863" s="71"/>
      <c r="AX1863" s="71"/>
      <c r="AY1863" s="71"/>
      <c r="AZ1863" s="71"/>
      <c r="BA1863" s="71"/>
      <c r="BB1863" s="71"/>
      <c r="BC1863" s="71"/>
      <c r="BD1863" s="71"/>
      <c r="BE1863" s="71"/>
      <c r="BF1863" s="71"/>
      <c r="BG1863" s="71"/>
      <c r="BH1863" s="71"/>
      <c r="BI1863" s="71"/>
      <c r="BJ1863" s="71"/>
      <c r="BK1863" s="71"/>
      <c r="BL1863" s="71"/>
      <c r="BM1863" s="71"/>
      <c r="BN1863" s="71"/>
      <c r="BO1863" s="71"/>
      <c r="BP1863" s="71"/>
      <c r="BQ1863" s="71"/>
      <c r="BR1863" s="71"/>
      <c r="BS1863" s="71"/>
      <c r="BT1863" s="71"/>
      <c r="BU1863" s="71"/>
      <c r="BV1863" s="71"/>
    </row>
    <row r="1864">
      <c r="A1864" s="53">
        <v>1.0</v>
      </c>
      <c r="B1864" s="53"/>
      <c r="C1864" s="53" t="s">
        <v>53</v>
      </c>
      <c r="D1864" s="53" t="s">
        <v>4585</v>
      </c>
      <c r="E1864" s="86" t="s">
        <v>38</v>
      </c>
      <c r="F1864" s="91" t="s">
        <v>42</v>
      </c>
      <c r="G1864" s="54" t="s">
        <v>4586</v>
      </c>
      <c r="H1864" s="54" t="s">
        <v>4586</v>
      </c>
      <c r="I1864" s="54">
        <f t="shared" si="24"/>
        <v>33</v>
      </c>
      <c r="J1864" s="56"/>
      <c r="K1864" s="75"/>
      <c r="L1864" s="76"/>
      <c r="M1864" s="59"/>
      <c r="N1864" s="60"/>
      <c r="O1864" s="90"/>
      <c r="P1864" s="62">
        <v>1400.0</v>
      </c>
      <c r="Q1864" s="63">
        <v>1400.0</v>
      </c>
      <c r="R1864" s="64">
        <v>1470.0</v>
      </c>
      <c r="S1864" s="111">
        <v>1544.0</v>
      </c>
      <c r="T1864" s="65"/>
      <c r="U1864" s="65"/>
      <c r="V1864" s="66"/>
      <c r="W1864" s="67">
        <f t="shared" si="5"/>
        <v>1466.8</v>
      </c>
      <c r="X1864" s="67">
        <f t="shared" si="70"/>
        <v>234.688</v>
      </c>
      <c r="Y1864" s="67">
        <f t="shared" si="71"/>
        <v>1701.488</v>
      </c>
      <c r="Z1864" s="67">
        <f t="shared" si="8"/>
        <v>1389.6</v>
      </c>
      <c r="AA1864" s="67">
        <f t="shared" si="72"/>
        <v>222.336</v>
      </c>
      <c r="AB1864" s="67">
        <f t="shared" si="73"/>
        <v>1611.936</v>
      </c>
      <c r="AC1864" s="67">
        <f t="shared" si="11"/>
        <v>1312.4</v>
      </c>
      <c r="AD1864" s="67">
        <f t="shared" si="74"/>
        <v>209.984</v>
      </c>
      <c r="AE1864" s="67">
        <f t="shared" si="75"/>
        <v>1522.384</v>
      </c>
      <c r="AF1864" s="67">
        <f t="shared" si="33"/>
        <v>1281.52</v>
      </c>
      <c r="AG1864" s="67">
        <f t="shared" si="76"/>
        <v>205.0432</v>
      </c>
      <c r="AH1864" s="67">
        <f t="shared" si="77"/>
        <v>1486.5632</v>
      </c>
      <c r="AI1864" s="67">
        <f t="shared" si="17"/>
        <v>1235.2</v>
      </c>
      <c r="AJ1864" s="68">
        <f t="shared" si="78"/>
        <v>197.632</v>
      </c>
      <c r="AK1864" s="68">
        <f t="shared" si="79"/>
        <v>1432.832</v>
      </c>
      <c r="AL1864" s="70"/>
      <c r="AM1864" s="70"/>
      <c r="AN1864" s="71"/>
      <c r="AO1864" s="71"/>
      <c r="AP1864" s="71"/>
      <c r="AQ1864" s="71"/>
      <c r="AR1864" s="71"/>
      <c r="AS1864" s="71"/>
      <c r="AT1864" s="71"/>
      <c r="AU1864" s="71"/>
      <c r="AV1864" s="71"/>
      <c r="AW1864" s="71"/>
      <c r="AX1864" s="71"/>
      <c r="AY1864" s="71"/>
      <c r="AZ1864" s="71"/>
      <c r="BA1864" s="71"/>
      <c r="BB1864" s="71"/>
      <c r="BC1864" s="71"/>
      <c r="BD1864" s="71"/>
      <c r="BE1864" s="71"/>
      <c r="BF1864" s="71"/>
      <c r="BG1864" s="71"/>
      <c r="BH1864" s="71"/>
      <c r="BI1864" s="71"/>
      <c r="BJ1864" s="71"/>
      <c r="BK1864" s="71"/>
      <c r="BL1864" s="71"/>
      <c r="BM1864" s="71"/>
      <c r="BN1864" s="71"/>
      <c r="BO1864" s="71"/>
      <c r="BP1864" s="71"/>
      <c r="BQ1864" s="71"/>
      <c r="BR1864" s="71"/>
      <c r="BS1864" s="71"/>
      <c r="BT1864" s="71"/>
      <c r="BU1864" s="71"/>
      <c r="BV1864" s="71"/>
    </row>
    <row r="1865">
      <c r="A1865" s="53">
        <v>1.0</v>
      </c>
      <c r="B1865" s="53"/>
      <c r="C1865" s="73" t="s">
        <v>53</v>
      </c>
      <c r="D1865" s="74" t="s">
        <v>4587</v>
      </c>
      <c r="E1865" s="54" t="s">
        <v>38</v>
      </c>
      <c r="F1865" s="54" t="s">
        <v>42</v>
      </c>
      <c r="G1865" s="54" t="s">
        <v>4588</v>
      </c>
      <c r="H1865" s="54" t="s">
        <v>4588</v>
      </c>
      <c r="I1865" s="54">
        <f t="shared" si="24"/>
        <v>38</v>
      </c>
      <c r="J1865" s="56"/>
      <c r="K1865" s="57"/>
      <c r="L1865" s="76"/>
      <c r="M1865" s="59"/>
      <c r="N1865" s="60">
        <v>266.0</v>
      </c>
      <c r="O1865" s="61">
        <v>287.0</v>
      </c>
      <c r="P1865" s="62">
        <v>309.96000000000004</v>
      </c>
      <c r="Q1865" s="63">
        <v>309.96000000000004</v>
      </c>
      <c r="R1865" s="64">
        <v>346.0</v>
      </c>
      <c r="S1865" s="111">
        <v>363.0</v>
      </c>
      <c r="T1865" s="65">
        <f t="shared" ref="T1865:T2124" si="80">S1865*0.16</f>
        <v>58.08</v>
      </c>
      <c r="U1865" s="65">
        <f t="shared" ref="U1865:U2124" si="81">S1865+T1865</f>
        <v>421.08</v>
      </c>
      <c r="V1865" s="66">
        <f t="shared" ref="V1865:V2048" si="82">(S1865-R1865)/R1865</f>
        <v>0.04913294798</v>
      </c>
      <c r="W1865" s="67">
        <f t="shared" si="5"/>
        <v>344.85</v>
      </c>
      <c r="X1865" s="67">
        <f t="shared" si="70"/>
        <v>55.176</v>
      </c>
      <c r="Y1865" s="67">
        <f t="shared" si="71"/>
        <v>400.026</v>
      </c>
      <c r="Z1865" s="67">
        <f t="shared" si="8"/>
        <v>326.7</v>
      </c>
      <c r="AA1865" s="67">
        <f t="shared" si="72"/>
        <v>52.272</v>
      </c>
      <c r="AB1865" s="67">
        <f t="shared" si="73"/>
        <v>378.972</v>
      </c>
      <c r="AC1865" s="67">
        <f t="shared" si="11"/>
        <v>308.55</v>
      </c>
      <c r="AD1865" s="67">
        <f t="shared" si="74"/>
        <v>49.368</v>
      </c>
      <c r="AE1865" s="67">
        <f t="shared" si="75"/>
        <v>357.918</v>
      </c>
      <c r="AF1865" s="67">
        <f t="shared" si="33"/>
        <v>301.29</v>
      </c>
      <c r="AG1865" s="67">
        <f t="shared" si="76"/>
        <v>48.2064</v>
      </c>
      <c r="AH1865" s="67">
        <f t="shared" si="77"/>
        <v>349.4964</v>
      </c>
      <c r="AI1865" s="67">
        <f t="shared" si="17"/>
        <v>290.4</v>
      </c>
      <c r="AJ1865" s="68">
        <f t="shared" si="78"/>
        <v>46.464</v>
      </c>
      <c r="AK1865" s="68">
        <f t="shared" si="79"/>
        <v>336.864</v>
      </c>
      <c r="AL1865" s="70"/>
      <c r="AM1865" s="70"/>
      <c r="AN1865" s="71"/>
      <c r="AO1865" s="71"/>
      <c r="AP1865" s="71"/>
      <c r="AQ1865" s="71"/>
      <c r="AR1865" s="71"/>
      <c r="AS1865" s="71"/>
      <c r="AT1865" s="71"/>
      <c r="AU1865" s="71"/>
      <c r="AV1865" s="71"/>
      <c r="AW1865" s="71"/>
      <c r="AX1865" s="71"/>
      <c r="AY1865" s="71"/>
      <c r="AZ1865" s="71"/>
      <c r="BA1865" s="71"/>
      <c r="BB1865" s="71"/>
      <c r="BC1865" s="71"/>
      <c r="BD1865" s="71"/>
      <c r="BE1865" s="71"/>
      <c r="BF1865" s="71"/>
      <c r="BG1865" s="71"/>
      <c r="BH1865" s="71"/>
      <c r="BI1865" s="71"/>
      <c r="BJ1865" s="71"/>
      <c r="BK1865" s="71"/>
      <c r="BL1865" s="71"/>
      <c r="BM1865" s="71"/>
      <c r="BN1865" s="71"/>
      <c r="BO1865" s="71"/>
      <c r="BP1865" s="71"/>
      <c r="BQ1865" s="71"/>
      <c r="BR1865" s="71"/>
      <c r="BS1865" s="71"/>
      <c r="BT1865" s="71"/>
      <c r="BU1865" s="71"/>
      <c r="BV1865" s="71"/>
    </row>
    <row r="1866">
      <c r="A1866" s="53">
        <v>1.0</v>
      </c>
      <c r="B1866" s="53"/>
      <c r="C1866" s="73" t="s">
        <v>53</v>
      </c>
      <c r="D1866" s="74" t="s">
        <v>4589</v>
      </c>
      <c r="E1866" s="54" t="s">
        <v>38</v>
      </c>
      <c r="F1866" s="54" t="s">
        <v>42</v>
      </c>
      <c r="G1866" s="54" t="s">
        <v>4590</v>
      </c>
      <c r="H1866" s="54" t="s">
        <v>4590</v>
      </c>
      <c r="I1866" s="54">
        <f t="shared" si="24"/>
        <v>39</v>
      </c>
      <c r="J1866" s="56"/>
      <c r="K1866" s="57"/>
      <c r="L1866" s="76"/>
      <c r="M1866" s="59"/>
      <c r="N1866" s="60">
        <v>1121.0</v>
      </c>
      <c r="O1866" s="61">
        <v>1210.0</v>
      </c>
      <c r="P1866" s="62">
        <v>1750.0</v>
      </c>
      <c r="Q1866" s="63">
        <v>1750.0</v>
      </c>
      <c r="R1866" s="64">
        <v>1838.0</v>
      </c>
      <c r="S1866" s="111">
        <v>1930.0</v>
      </c>
      <c r="T1866" s="65">
        <f t="shared" si="80"/>
        <v>308.8</v>
      </c>
      <c r="U1866" s="65">
        <f t="shared" si="81"/>
        <v>2238.8</v>
      </c>
      <c r="V1866" s="66">
        <f t="shared" si="82"/>
        <v>0.05005440696</v>
      </c>
      <c r="W1866" s="67">
        <f t="shared" si="5"/>
        <v>1833.5</v>
      </c>
      <c r="X1866" s="67">
        <f t="shared" si="70"/>
        <v>293.36</v>
      </c>
      <c r="Y1866" s="67">
        <f t="shared" si="71"/>
        <v>2126.86</v>
      </c>
      <c r="Z1866" s="67">
        <f t="shared" si="8"/>
        <v>1737</v>
      </c>
      <c r="AA1866" s="67">
        <f t="shared" si="72"/>
        <v>277.92</v>
      </c>
      <c r="AB1866" s="67">
        <f t="shared" si="73"/>
        <v>2014.92</v>
      </c>
      <c r="AC1866" s="67">
        <f t="shared" si="11"/>
        <v>1640.5</v>
      </c>
      <c r="AD1866" s="67">
        <f t="shared" si="74"/>
        <v>262.48</v>
      </c>
      <c r="AE1866" s="67">
        <f t="shared" si="75"/>
        <v>1902.98</v>
      </c>
      <c r="AF1866" s="67">
        <f t="shared" si="33"/>
        <v>1601.9</v>
      </c>
      <c r="AG1866" s="67">
        <f t="shared" si="76"/>
        <v>256.304</v>
      </c>
      <c r="AH1866" s="67">
        <f t="shared" si="77"/>
        <v>1858.204</v>
      </c>
      <c r="AI1866" s="67">
        <f t="shared" si="17"/>
        <v>1544</v>
      </c>
      <c r="AJ1866" s="68">
        <f t="shared" si="78"/>
        <v>247.04</v>
      </c>
      <c r="AK1866" s="68">
        <f t="shared" si="79"/>
        <v>1791.04</v>
      </c>
      <c r="AL1866" s="70"/>
      <c r="AM1866" s="70"/>
      <c r="AN1866" s="71"/>
      <c r="AO1866" s="71"/>
      <c r="AP1866" s="71"/>
      <c r="AQ1866" s="71"/>
      <c r="AR1866" s="71"/>
      <c r="AS1866" s="71"/>
      <c r="AT1866" s="71"/>
      <c r="AU1866" s="71"/>
      <c r="AV1866" s="71"/>
      <c r="AW1866" s="71"/>
      <c r="AX1866" s="71"/>
      <c r="AY1866" s="71"/>
      <c r="AZ1866" s="71"/>
      <c r="BA1866" s="71"/>
      <c r="BB1866" s="71"/>
      <c r="BC1866" s="71"/>
      <c r="BD1866" s="71"/>
      <c r="BE1866" s="71"/>
      <c r="BF1866" s="71"/>
      <c r="BG1866" s="71"/>
      <c r="BH1866" s="71"/>
      <c r="BI1866" s="71"/>
      <c r="BJ1866" s="71"/>
      <c r="BK1866" s="71"/>
      <c r="BL1866" s="71"/>
      <c r="BM1866" s="71"/>
      <c r="BN1866" s="71"/>
      <c r="BO1866" s="71"/>
      <c r="BP1866" s="71"/>
      <c r="BQ1866" s="71"/>
      <c r="BR1866" s="71"/>
      <c r="BS1866" s="71"/>
      <c r="BT1866" s="71"/>
      <c r="BU1866" s="71"/>
      <c r="BV1866" s="71"/>
    </row>
    <row r="1867">
      <c r="A1867" s="53">
        <v>1.0</v>
      </c>
      <c r="B1867" s="53"/>
      <c r="C1867" s="73" t="s">
        <v>53</v>
      </c>
      <c r="D1867" s="74" t="s">
        <v>4591</v>
      </c>
      <c r="E1867" s="54" t="s">
        <v>38</v>
      </c>
      <c r="F1867" s="54" t="s">
        <v>42</v>
      </c>
      <c r="G1867" s="54" t="s">
        <v>4592</v>
      </c>
      <c r="H1867" s="54" t="s">
        <v>4592</v>
      </c>
      <c r="I1867" s="54">
        <f t="shared" si="24"/>
        <v>38</v>
      </c>
      <c r="J1867" s="56"/>
      <c r="K1867" s="57"/>
      <c r="L1867" s="76"/>
      <c r="M1867" s="59"/>
      <c r="N1867" s="60">
        <v>266.0</v>
      </c>
      <c r="O1867" s="61">
        <v>287.0</v>
      </c>
      <c r="P1867" s="62">
        <v>309.96000000000004</v>
      </c>
      <c r="Q1867" s="63">
        <v>309.96000000000004</v>
      </c>
      <c r="R1867" s="64">
        <v>346.0</v>
      </c>
      <c r="S1867" s="111">
        <v>363.0</v>
      </c>
      <c r="T1867" s="65">
        <f t="shared" si="80"/>
        <v>58.08</v>
      </c>
      <c r="U1867" s="65">
        <f t="shared" si="81"/>
        <v>421.08</v>
      </c>
      <c r="V1867" s="66">
        <f t="shared" si="82"/>
        <v>0.04913294798</v>
      </c>
      <c r="W1867" s="67">
        <f t="shared" si="5"/>
        <v>344.85</v>
      </c>
      <c r="X1867" s="67">
        <f t="shared" si="70"/>
        <v>55.176</v>
      </c>
      <c r="Y1867" s="67">
        <f t="shared" si="71"/>
        <v>400.026</v>
      </c>
      <c r="Z1867" s="67">
        <f t="shared" si="8"/>
        <v>326.7</v>
      </c>
      <c r="AA1867" s="67">
        <f t="shared" si="72"/>
        <v>52.272</v>
      </c>
      <c r="AB1867" s="67">
        <f t="shared" si="73"/>
        <v>378.972</v>
      </c>
      <c r="AC1867" s="67">
        <f t="shared" si="11"/>
        <v>308.55</v>
      </c>
      <c r="AD1867" s="67">
        <f t="shared" si="74"/>
        <v>49.368</v>
      </c>
      <c r="AE1867" s="67">
        <f t="shared" si="75"/>
        <v>357.918</v>
      </c>
      <c r="AF1867" s="67">
        <f t="shared" si="33"/>
        <v>301.29</v>
      </c>
      <c r="AG1867" s="67">
        <f t="shared" si="76"/>
        <v>48.2064</v>
      </c>
      <c r="AH1867" s="67">
        <f t="shared" si="77"/>
        <v>349.4964</v>
      </c>
      <c r="AI1867" s="67">
        <f t="shared" si="17"/>
        <v>290.4</v>
      </c>
      <c r="AJ1867" s="68">
        <f t="shared" si="78"/>
        <v>46.464</v>
      </c>
      <c r="AK1867" s="68">
        <f t="shared" si="79"/>
        <v>336.864</v>
      </c>
      <c r="AL1867" s="70"/>
      <c r="AM1867" s="70"/>
      <c r="AN1867" s="71"/>
      <c r="AO1867" s="71"/>
      <c r="AP1867" s="71"/>
      <c r="AQ1867" s="71"/>
      <c r="AR1867" s="71"/>
      <c r="AS1867" s="71"/>
      <c r="AT1867" s="71"/>
      <c r="AU1867" s="71"/>
      <c r="AV1867" s="71"/>
      <c r="AW1867" s="71"/>
      <c r="AX1867" s="71"/>
      <c r="AY1867" s="71"/>
      <c r="AZ1867" s="71"/>
      <c r="BA1867" s="71"/>
      <c r="BB1867" s="71"/>
      <c r="BC1867" s="71"/>
      <c r="BD1867" s="71"/>
      <c r="BE1867" s="71"/>
      <c r="BF1867" s="71"/>
      <c r="BG1867" s="71"/>
      <c r="BH1867" s="71"/>
      <c r="BI1867" s="71"/>
      <c r="BJ1867" s="71"/>
      <c r="BK1867" s="71"/>
      <c r="BL1867" s="71"/>
      <c r="BM1867" s="71"/>
      <c r="BN1867" s="71"/>
      <c r="BO1867" s="71"/>
      <c r="BP1867" s="71"/>
      <c r="BQ1867" s="71"/>
      <c r="BR1867" s="71"/>
      <c r="BS1867" s="71"/>
      <c r="BT1867" s="71"/>
      <c r="BU1867" s="71"/>
      <c r="BV1867" s="71"/>
    </row>
    <row r="1868">
      <c r="A1868" s="53">
        <v>1.0</v>
      </c>
      <c r="B1868" s="53"/>
      <c r="C1868" s="73" t="s">
        <v>53</v>
      </c>
      <c r="D1868" s="74" t="s">
        <v>4593</v>
      </c>
      <c r="E1868" s="54" t="s">
        <v>38</v>
      </c>
      <c r="F1868" s="54" t="s">
        <v>42</v>
      </c>
      <c r="G1868" s="54" t="s">
        <v>4594</v>
      </c>
      <c r="H1868" s="54" t="s">
        <v>4594</v>
      </c>
      <c r="I1868" s="54">
        <f t="shared" si="24"/>
        <v>39</v>
      </c>
      <c r="J1868" s="56"/>
      <c r="K1868" s="57"/>
      <c r="L1868" s="76"/>
      <c r="M1868" s="59"/>
      <c r="N1868" s="60">
        <v>1121.0</v>
      </c>
      <c r="O1868" s="61">
        <v>1210.0</v>
      </c>
      <c r="P1868" s="62">
        <v>1750.0</v>
      </c>
      <c r="Q1868" s="63">
        <v>1750.0</v>
      </c>
      <c r="R1868" s="64">
        <v>1838.0</v>
      </c>
      <c r="S1868" s="111">
        <v>1930.0</v>
      </c>
      <c r="T1868" s="65">
        <f t="shared" si="80"/>
        <v>308.8</v>
      </c>
      <c r="U1868" s="65">
        <f t="shared" si="81"/>
        <v>2238.8</v>
      </c>
      <c r="V1868" s="66">
        <f t="shared" si="82"/>
        <v>0.05005440696</v>
      </c>
      <c r="W1868" s="67">
        <f t="shared" si="5"/>
        <v>1833.5</v>
      </c>
      <c r="X1868" s="67">
        <f t="shared" si="70"/>
        <v>293.36</v>
      </c>
      <c r="Y1868" s="67">
        <f t="shared" si="71"/>
        <v>2126.86</v>
      </c>
      <c r="Z1868" s="67">
        <f t="shared" si="8"/>
        <v>1737</v>
      </c>
      <c r="AA1868" s="67">
        <f t="shared" si="72"/>
        <v>277.92</v>
      </c>
      <c r="AB1868" s="67">
        <f t="shared" si="73"/>
        <v>2014.92</v>
      </c>
      <c r="AC1868" s="67">
        <f t="shared" si="11"/>
        <v>1640.5</v>
      </c>
      <c r="AD1868" s="67">
        <f t="shared" si="74"/>
        <v>262.48</v>
      </c>
      <c r="AE1868" s="67">
        <f t="shared" si="75"/>
        <v>1902.98</v>
      </c>
      <c r="AF1868" s="67">
        <f t="shared" si="33"/>
        <v>1601.9</v>
      </c>
      <c r="AG1868" s="67">
        <f t="shared" si="76"/>
        <v>256.304</v>
      </c>
      <c r="AH1868" s="67">
        <f t="shared" si="77"/>
        <v>1858.204</v>
      </c>
      <c r="AI1868" s="67">
        <f t="shared" si="17"/>
        <v>1544</v>
      </c>
      <c r="AJ1868" s="68">
        <f t="shared" si="78"/>
        <v>247.04</v>
      </c>
      <c r="AK1868" s="68">
        <f t="shared" si="79"/>
        <v>1791.04</v>
      </c>
      <c r="AL1868" s="70"/>
      <c r="AM1868" s="70"/>
      <c r="AN1868" s="71"/>
      <c r="AO1868" s="71"/>
      <c r="AP1868" s="71"/>
      <c r="AQ1868" s="71"/>
      <c r="AR1868" s="71"/>
      <c r="AS1868" s="71"/>
      <c r="AT1868" s="71"/>
      <c r="AU1868" s="71"/>
      <c r="AV1868" s="71"/>
      <c r="AW1868" s="71"/>
      <c r="AX1868" s="71"/>
      <c r="AY1868" s="71"/>
      <c r="AZ1868" s="71"/>
      <c r="BA1868" s="71"/>
      <c r="BB1868" s="71"/>
      <c r="BC1868" s="71"/>
      <c r="BD1868" s="71"/>
      <c r="BE1868" s="71"/>
      <c r="BF1868" s="71"/>
      <c r="BG1868" s="71"/>
      <c r="BH1868" s="71"/>
      <c r="BI1868" s="71"/>
      <c r="BJ1868" s="71"/>
      <c r="BK1868" s="71"/>
      <c r="BL1868" s="71"/>
      <c r="BM1868" s="71"/>
      <c r="BN1868" s="71"/>
      <c r="BO1868" s="71"/>
      <c r="BP1868" s="71"/>
      <c r="BQ1868" s="71"/>
      <c r="BR1868" s="71"/>
      <c r="BS1868" s="71"/>
      <c r="BT1868" s="71"/>
      <c r="BU1868" s="71"/>
      <c r="BV1868" s="71"/>
    </row>
    <row r="1869">
      <c r="A1869" s="53">
        <v>1.0</v>
      </c>
      <c r="B1869" s="53"/>
      <c r="C1869" s="73" t="s">
        <v>53</v>
      </c>
      <c r="D1869" s="74" t="s">
        <v>4595</v>
      </c>
      <c r="E1869" s="54" t="s">
        <v>38</v>
      </c>
      <c r="F1869" s="54" t="s">
        <v>42</v>
      </c>
      <c r="G1869" s="54" t="s">
        <v>4596</v>
      </c>
      <c r="H1869" s="54" t="s">
        <v>4596</v>
      </c>
      <c r="I1869" s="54">
        <f t="shared" si="24"/>
        <v>38</v>
      </c>
      <c r="J1869" s="56"/>
      <c r="K1869" s="57"/>
      <c r="L1869" s="76"/>
      <c r="M1869" s="59"/>
      <c r="N1869" s="60">
        <v>266.0</v>
      </c>
      <c r="O1869" s="61">
        <v>287.0</v>
      </c>
      <c r="P1869" s="62">
        <v>309.96000000000004</v>
      </c>
      <c r="Q1869" s="63">
        <v>309.96000000000004</v>
      </c>
      <c r="R1869" s="64">
        <v>346.0</v>
      </c>
      <c r="S1869" s="111">
        <v>363.0</v>
      </c>
      <c r="T1869" s="65">
        <f t="shared" si="80"/>
        <v>58.08</v>
      </c>
      <c r="U1869" s="65">
        <f t="shared" si="81"/>
        <v>421.08</v>
      </c>
      <c r="V1869" s="66">
        <f t="shared" si="82"/>
        <v>0.04913294798</v>
      </c>
      <c r="W1869" s="67">
        <f t="shared" si="5"/>
        <v>344.85</v>
      </c>
      <c r="X1869" s="67">
        <f t="shared" si="70"/>
        <v>55.176</v>
      </c>
      <c r="Y1869" s="67">
        <f t="shared" si="71"/>
        <v>400.026</v>
      </c>
      <c r="Z1869" s="67">
        <f t="shared" si="8"/>
        <v>326.7</v>
      </c>
      <c r="AA1869" s="67">
        <f t="shared" si="72"/>
        <v>52.272</v>
      </c>
      <c r="AB1869" s="67">
        <f t="shared" si="73"/>
        <v>378.972</v>
      </c>
      <c r="AC1869" s="67">
        <f t="shared" si="11"/>
        <v>308.55</v>
      </c>
      <c r="AD1869" s="67">
        <f t="shared" si="74"/>
        <v>49.368</v>
      </c>
      <c r="AE1869" s="67">
        <f t="shared" si="75"/>
        <v>357.918</v>
      </c>
      <c r="AF1869" s="67">
        <f t="shared" si="33"/>
        <v>301.29</v>
      </c>
      <c r="AG1869" s="67">
        <f t="shared" si="76"/>
        <v>48.2064</v>
      </c>
      <c r="AH1869" s="67">
        <f t="shared" si="77"/>
        <v>349.4964</v>
      </c>
      <c r="AI1869" s="67">
        <f t="shared" si="17"/>
        <v>290.4</v>
      </c>
      <c r="AJ1869" s="68">
        <f t="shared" si="78"/>
        <v>46.464</v>
      </c>
      <c r="AK1869" s="68">
        <f t="shared" si="79"/>
        <v>336.864</v>
      </c>
      <c r="AL1869" s="70"/>
      <c r="AM1869" s="70"/>
      <c r="AN1869" s="71"/>
      <c r="AO1869" s="71"/>
      <c r="AP1869" s="71"/>
      <c r="AQ1869" s="71"/>
      <c r="AR1869" s="71"/>
      <c r="AS1869" s="71"/>
      <c r="AT1869" s="71"/>
      <c r="AU1869" s="71"/>
      <c r="AV1869" s="71"/>
      <c r="AW1869" s="71"/>
      <c r="AX1869" s="71"/>
      <c r="AY1869" s="71"/>
      <c r="AZ1869" s="71"/>
      <c r="BA1869" s="71"/>
      <c r="BB1869" s="71"/>
      <c r="BC1869" s="71"/>
      <c r="BD1869" s="71"/>
      <c r="BE1869" s="71"/>
      <c r="BF1869" s="71"/>
      <c r="BG1869" s="71"/>
      <c r="BH1869" s="71"/>
      <c r="BI1869" s="71"/>
      <c r="BJ1869" s="71"/>
      <c r="BK1869" s="71"/>
      <c r="BL1869" s="71"/>
      <c r="BM1869" s="71"/>
      <c r="BN1869" s="71"/>
      <c r="BO1869" s="71"/>
      <c r="BP1869" s="71"/>
      <c r="BQ1869" s="71"/>
      <c r="BR1869" s="71"/>
      <c r="BS1869" s="71"/>
      <c r="BT1869" s="71"/>
      <c r="BU1869" s="71"/>
      <c r="BV1869" s="71"/>
    </row>
    <row r="1870">
      <c r="A1870" s="53">
        <v>1.0</v>
      </c>
      <c r="B1870" s="53"/>
      <c r="C1870" s="73" t="s">
        <v>53</v>
      </c>
      <c r="D1870" s="74" t="s">
        <v>4597</v>
      </c>
      <c r="E1870" s="54" t="s">
        <v>38</v>
      </c>
      <c r="F1870" s="54" t="s">
        <v>42</v>
      </c>
      <c r="G1870" s="54" t="s">
        <v>4598</v>
      </c>
      <c r="H1870" s="54" t="s">
        <v>4598</v>
      </c>
      <c r="I1870" s="54">
        <f t="shared" si="24"/>
        <v>39</v>
      </c>
      <c r="J1870" s="56"/>
      <c r="K1870" s="57"/>
      <c r="L1870" s="76"/>
      <c r="M1870" s="59"/>
      <c r="N1870" s="60">
        <v>1121.0</v>
      </c>
      <c r="O1870" s="61">
        <v>1210.0</v>
      </c>
      <c r="P1870" s="62">
        <v>1750.0</v>
      </c>
      <c r="Q1870" s="63">
        <v>1750.0</v>
      </c>
      <c r="R1870" s="64">
        <v>1838.0</v>
      </c>
      <c r="S1870" s="111">
        <v>1930.0</v>
      </c>
      <c r="T1870" s="65">
        <f t="shared" si="80"/>
        <v>308.8</v>
      </c>
      <c r="U1870" s="65">
        <f t="shared" si="81"/>
        <v>2238.8</v>
      </c>
      <c r="V1870" s="66">
        <f t="shared" si="82"/>
        <v>0.05005440696</v>
      </c>
      <c r="W1870" s="67">
        <f t="shared" si="5"/>
        <v>1833.5</v>
      </c>
      <c r="X1870" s="67">
        <f t="shared" si="70"/>
        <v>293.36</v>
      </c>
      <c r="Y1870" s="67">
        <f t="shared" si="71"/>
        <v>2126.86</v>
      </c>
      <c r="Z1870" s="67">
        <f t="shared" si="8"/>
        <v>1737</v>
      </c>
      <c r="AA1870" s="67">
        <f t="shared" si="72"/>
        <v>277.92</v>
      </c>
      <c r="AB1870" s="67">
        <f t="shared" si="73"/>
        <v>2014.92</v>
      </c>
      <c r="AC1870" s="67">
        <f t="shared" si="11"/>
        <v>1640.5</v>
      </c>
      <c r="AD1870" s="67">
        <f t="shared" si="74"/>
        <v>262.48</v>
      </c>
      <c r="AE1870" s="67">
        <f t="shared" si="75"/>
        <v>1902.98</v>
      </c>
      <c r="AF1870" s="67">
        <f t="shared" si="33"/>
        <v>1601.9</v>
      </c>
      <c r="AG1870" s="67">
        <f t="shared" si="76"/>
        <v>256.304</v>
      </c>
      <c r="AH1870" s="67">
        <f t="shared" si="77"/>
        <v>1858.204</v>
      </c>
      <c r="AI1870" s="67">
        <f t="shared" si="17"/>
        <v>1544</v>
      </c>
      <c r="AJ1870" s="68">
        <f t="shared" si="78"/>
        <v>247.04</v>
      </c>
      <c r="AK1870" s="68">
        <f t="shared" si="79"/>
        <v>1791.04</v>
      </c>
      <c r="AL1870" s="70"/>
      <c r="AM1870" s="70"/>
      <c r="AN1870" s="71"/>
      <c r="AO1870" s="71"/>
      <c r="AP1870" s="71"/>
      <c r="AQ1870" s="71"/>
      <c r="AR1870" s="71"/>
      <c r="AS1870" s="71"/>
      <c r="AT1870" s="71"/>
      <c r="AU1870" s="71"/>
      <c r="AV1870" s="71"/>
      <c r="AW1870" s="71"/>
      <c r="AX1870" s="71"/>
      <c r="AY1870" s="71"/>
      <c r="AZ1870" s="71"/>
      <c r="BA1870" s="71"/>
      <c r="BB1870" s="71"/>
      <c r="BC1870" s="71"/>
      <c r="BD1870" s="71"/>
      <c r="BE1870" s="71"/>
      <c r="BF1870" s="71"/>
      <c r="BG1870" s="71"/>
      <c r="BH1870" s="71"/>
      <c r="BI1870" s="71"/>
      <c r="BJ1870" s="71"/>
      <c r="BK1870" s="71"/>
      <c r="BL1870" s="71"/>
      <c r="BM1870" s="71"/>
      <c r="BN1870" s="71"/>
      <c r="BO1870" s="71"/>
      <c r="BP1870" s="71"/>
      <c r="BQ1870" s="71"/>
      <c r="BR1870" s="71"/>
      <c r="BS1870" s="71"/>
      <c r="BT1870" s="71"/>
      <c r="BU1870" s="71"/>
      <c r="BV1870" s="71"/>
    </row>
    <row r="1871">
      <c r="A1871" s="53">
        <v>1.0</v>
      </c>
      <c r="B1871" s="53"/>
      <c r="C1871" s="73" t="s">
        <v>53</v>
      </c>
      <c r="D1871" s="74" t="s">
        <v>4599</v>
      </c>
      <c r="E1871" s="54" t="s">
        <v>38</v>
      </c>
      <c r="F1871" s="54" t="s">
        <v>42</v>
      </c>
      <c r="G1871" s="54" t="s">
        <v>4600</v>
      </c>
      <c r="H1871" s="54" t="s">
        <v>4600</v>
      </c>
      <c r="I1871" s="54">
        <f t="shared" si="24"/>
        <v>37</v>
      </c>
      <c r="J1871" s="56"/>
      <c r="K1871" s="57"/>
      <c r="L1871" s="76"/>
      <c r="M1871" s="59"/>
      <c r="N1871" s="60">
        <v>138.0</v>
      </c>
      <c r="O1871" s="61">
        <v>149.0</v>
      </c>
      <c r="P1871" s="62">
        <v>160.92000000000002</v>
      </c>
      <c r="Q1871" s="63">
        <v>160.92000000000002</v>
      </c>
      <c r="R1871" s="64">
        <v>180.0</v>
      </c>
      <c r="S1871" s="111">
        <v>189.0</v>
      </c>
      <c r="T1871" s="65">
        <f t="shared" si="80"/>
        <v>30.24</v>
      </c>
      <c r="U1871" s="65">
        <f t="shared" si="81"/>
        <v>219.24</v>
      </c>
      <c r="V1871" s="66">
        <f t="shared" si="82"/>
        <v>0.05</v>
      </c>
      <c r="W1871" s="67">
        <f t="shared" si="5"/>
        <v>179.55</v>
      </c>
      <c r="X1871" s="67">
        <f t="shared" si="70"/>
        <v>28.728</v>
      </c>
      <c r="Y1871" s="67">
        <f t="shared" si="71"/>
        <v>208.278</v>
      </c>
      <c r="Z1871" s="67">
        <f t="shared" si="8"/>
        <v>170.1</v>
      </c>
      <c r="AA1871" s="67">
        <f t="shared" si="72"/>
        <v>27.216</v>
      </c>
      <c r="AB1871" s="67">
        <f t="shared" si="73"/>
        <v>197.316</v>
      </c>
      <c r="AC1871" s="67">
        <f t="shared" si="11"/>
        <v>160.65</v>
      </c>
      <c r="AD1871" s="67">
        <f t="shared" si="74"/>
        <v>25.704</v>
      </c>
      <c r="AE1871" s="67">
        <f t="shared" si="75"/>
        <v>186.354</v>
      </c>
      <c r="AF1871" s="67">
        <f t="shared" si="33"/>
        <v>156.87</v>
      </c>
      <c r="AG1871" s="67">
        <f t="shared" si="76"/>
        <v>25.0992</v>
      </c>
      <c r="AH1871" s="67">
        <f t="shared" si="77"/>
        <v>181.9692</v>
      </c>
      <c r="AI1871" s="67">
        <f t="shared" si="17"/>
        <v>151.2</v>
      </c>
      <c r="AJ1871" s="68">
        <f t="shared" si="78"/>
        <v>24.192</v>
      </c>
      <c r="AK1871" s="68">
        <f t="shared" si="79"/>
        <v>175.392</v>
      </c>
      <c r="AL1871" s="70"/>
      <c r="AM1871" s="70"/>
      <c r="AN1871" s="71"/>
      <c r="AO1871" s="71"/>
      <c r="AP1871" s="71"/>
      <c r="AQ1871" s="71"/>
      <c r="AR1871" s="71"/>
      <c r="AS1871" s="71"/>
      <c r="AT1871" s="71"/>
      <c r="AU1871" s="71"/>
      <c r="AV1871" s="71"/>
      <c r="AW1871" s="71"/>
      <c r="AX1871" s="71"/>
      <c r="AY1871" s="71"/>
      <c r="AZ1871" s="71"/>
      <c r="BA1871" s="71"/>
      <c r="BB1871" s="71"/>
      <c r="BC1871" s="71"/>
      <c r="BD1871" s="71"/>
      <c r="BE1871" s="71"/>
      <c r="BF1871" s="71"/>
      <c r="BG1871" s="71"/>
      <c r="BH1871" s="71"/>
      <c r="BI1871" s="71"/>
      <c r="BJ1871" s="71"/>
      <c r="BK1871" s="71"/>
      <c r="BL1871" s="71"/>
      <c r="BM1871" s="71"/>
      <c r="BN1871" s="71"/>
      <c r="BO1871" s="71"/>
      <c r="BP1871" s="71"/>
      <c r="BQ1871" s="71"/>
      <c r="BR1871" s="71"/>
      <c r="BS1871" s="71"/>
      <c r="BT1871" s="71"/>
      <c r="BU1871" s="71"/>
      <c r="BV1871" s="71"/>
    </row>
    <row r="1872">
      <c r="A1872" s="53">
        <v>1.0</v>
      </c>
      <c r="B1872" s="53"/>
      <c r="C1872" s="73" t="s">
        <v>53</v>
      </c>
      <c r="D1872" s="74" t="s">
        <v>4601</v>
      </c>
      <c r="E1872" s="54" t="s">
        <v>38</v>
      </c>
      <c r="F1872" s="54" t="s">
        <v>42</v>
      </c>
      <c r="G1872" s="54" t="s">
        <v>4602</v>
      </c>
      <c r="H1872" s="54" t="s">
        <v>4602</v>
      </c>
      <c r="I1872" s="54">
        <f t="shared" si="24"/>
        <v>38</v>
      </c>
      <c r="J1872" s="56"/>
      <c r="K1872" s="57"/>
      <c r="L1872" s="76"/>
      <c r="M1872" s="59"/>
      <c r="N1872" s="60">
        <v>890.0</v>
      </c>
      <c r="O1872" s="61">
        <v>961.0</v>
      </c>
      <c r="P1872" s="62">
        <v>1300.0</v>
      </c>
      <c r="Q1872" s="63">
        <v>1300.0</v>
      </c>
      <c r="R1872" s="64">
        <v>1365.0</v>
      </c>
      <c r="S1872" s="111">
        <v>1433.0</v>
      </c>
      <c r="T1872" s="65">
        <f t="shared" si="80"/>
        <v>229.28</v>
      </c>
      <c r="U1872" s="65">
        <f t="shared" si="81"/>
        <v>1662.28</v>
      </c>
      <c r="V1872" s="66">
        <f t="shared" si="82"/>
        <v>0.04981684982</v>
      </c>
      <c r="W1872" s="67">
        <f t="shared" si="5"/>
        <v>1361.35</v>
      </c>
      <c r="X1872" s="67">
        <f t="shared" si="70"/>
        <v>217.816</v>
      </c>
      <c r="Y1872" s="67">
        <f t="shared" si="71"/>
        <v>1579.166</v>
      </c>
      <c r="Z1872" s="67">
        <f t="shared" si="8"/>
        <v>1289.7</v>
      </c>
      <c r="AA1872" s="67">
        <f t="shared" si="72"/>
        <v>206.352</v>
      </c>
      <c r="AB1872" s="67">
        <f t="shared" si="73"/>
        <v>1496.052</v>
      </c>
      <c r="AC1872" s="67">
        <f t="shared" si="11"/>
        <v>1218.05</v>
      </c>
      <c r="AD1872" s="67">
        <f t="shared" si="74"/>
        <v>194.888</v>
      </c>
      <c r="AE1872" s="67">
        <f t="shared" si="75"/>
        <v>1412.938</v>
      </c>
      <c r="AF1872" s="67">
        <f t="shared" si="33"/>
        <v>1189.39</v>
      </c>
      <c r="AG1872" s="67">
        <f t="shared" si="76"/>
        <v>190.3024</v>
      </c>
      <c r="AH1872" s="67">
        <f t="shared" si="77"/>
        <v>1379.6924</v>
      </c>
      <c r="AI1872" s="67">
        <f t="shared" si="17"/>
        <v>1146.4</v>
      </c>
      <c r="AJ1872" s="68">
        <f t="shared" si="78"/>
        <v>183.424</v>
      </c>
      <c r="AK1872" s="68">
        <f t="shared" si="79"/>
        <v>1329.824</v>
      </c>
      <c r="AL1872" s="70"/>
      <c r="AM1872" s="70"/>
      <c r="AN1872" s="71"/>
      <c r="AO1872" s="71"/>
      <c r="AP1872" s="71"/>
      <c r="AQ1872" s="71"/>
      <c r="AR1872" s="71"/>
      <c r="AS1872" s="71"/>
      <c r="AT1872" s="71"/>
      <c r="AU1872" s="71"/>
      <c r="AV1872" s="71"/>
      <c r="AW1872" s="71"/>
      <c r="AX1872" s="71"/>
      <c r="AY1872" s="71"/>
      <c r="AZ1872" s="71"/>
      <c r="BA1872" s="71"/>
      <c r="BB1872" s="71"/>
      <c r="BC1872" s="71"/>
      <c r="BD1872" s="71"/>
      <c r="BE1872" s="71"/>
      <c r="BF1872" s="71"/>
      <c r="BG1872" s="71"/>
      <c r="BH1872" s="71"/>
      <c r="BI1872" s="71"/>
      <c r="BJ1872" s="71"/>
      <c r="BK1872" s="71"/>
      <c r="BL1872" s="71"/>
      <c r="BM1872" s="71"/>
      <c r="BN1872" s="71"/>
      <c r="BO1872" s="71"/>
      <c r="BP1872" s="71"/>
      <c r="BQ1872" s="71"/>
      <c r="BR1872" s="71"/>
      <c r="BS1872" s="71"/>
      <c r="BT1872" s="71"/>
      <c r="BU1872" s="71"/>
      <c r="BV1872" s="71"/>
    </row>
    <row r="1873">
      <c r="A1873" s="53">
        <v>1.0</v>
      </c>
      <c r="B1873" s="53"/>
      <c r="C1873" s="73" t="s">
        <v>53</v>
      </c>
      <c r="D1873" s="74" t="s">
        <v>4603</v>
      </c>
      <c r="E1873" s="54" t="s">
        <v>38</v>
      </c>
      <c r="F1873" s="54" t="s">
        <v>42</v>
      </c>
      <c r="G1873" s="54" t="s">
        <v>4604</v>
      </c>
      <c r="H1873" s="54" t="s">
        <v>4604</v>
      </c>
      <c r="I1873" s="54">
        <f t="shared" si="24"/>
        <v>37</v>
      </c>
      <c r="J1873" s="56"/>
      <c r="K1873" s="57"/>
      <c r="L1873" s="76"/>
      <c r="M1873" s="59"/>
      <c r="N1873" s="60">
        <v>138.0</v>
      </c>
      <c r="O1873" s="61">
        <v>149.0</v>
      </c>
      <c r="P1873" s="62">
        <v>160.92000000000002</v>
      </c>
      <c r="Q1873" s="63">
        <v>160.92000000000002</v>
      </c>
      <c r="R1873" s="64">
        <v>180.0</v>
      </c>
      <c r="S1873" s="111">
        <v>189.0</v>
      </c>
      <c r="T1873" s="65">
        <f t="shared" si="80"/>
        <v>30.24</v>
      </c>
      <c r="U1873" s="65">
        <f t="shared" si="81"/>
        <v>219.24</v>
      </c>
      <c r="V1873" s="66">
        <f t="shared" si="82"/>
        <v>0.05</v>
      </c>
      <c r="W1873" s="67">
        <f t="shared" si="5"/>
        <v>179.55</v>
      </c>
      <c r="X1873" s="67">
        <f t="shared" si="70"/>
        <v>28.728</v>
      </c>
      <c r="Y1873" s="67">
        <f t="shared" si="71"/>
        <v>208.278</v>
      </c>
      <c r="Z1873" s="67">
        <f t="shared" si="8"/>
        <v>170.1</v>
      </c>
      <c r="AA1873" s="67">
        <f t="shared" si="72"/>
        <v>27.216</v>
      </c>
      <c r="AB1873" s="67">
        <f t="shared" si="73"/>
        <v>197.316</v>
      </c>
      <c r="AC1873" s="67">
        <f t="shared" si="11"/>
        <v>160.65</v>
      </c>
      <c r="AD1873" s="67">
        <f t="shared" si="74"/>
        <v>25.704</v>
      </c>
      <c r="AE1873" s="67">
        <f t="shared" si="75"/>
        <v>186.354</v>
      </c>
      <c r="AF1873" s="67">
        <f t="shared" si="33"/>
        <v>156.87</v>
      </c>
      <c r="AG1873" s="67">
        <f t="shared" si="76"/>
        <v>25.0992</v>
      </c>
      <c r="AH1873" s="67">
        <f t="shared" si="77"/>
        <v>181.9692</v>
      </c>
      <c r="AI1873" s="67">
        <f t="shared" si="17"/>
        <v>151.2</v>
      </c>
      <c r="AJ1873" s="68">
        <f t="shared" si="78"/>
        <v>24.192</v>
      </c>
      <c r="AK1873" s="68">
        <f t="shared" si="79"/>
        <v>175.392</v>
      </c>
      <c r="AL1873" s="70"/>
      <c r="AM1873" s="70"/>
      <c r="AN1873" s="71"/>
      <c r="AO1873" s="71"/>
      <c r="AP1873" s="71"/>
      <c r="AQ1873" s="71"/>
      <c r="AR1873" s="71"/>
      <c r="AS1873" s="71"/>
      <c r="AT1873" s="71"/>
      <c r="AU1873" s="71"/>
      <c r="AV1873" s="71"/>
      <c r="AW1873" s="71"/>
      <c r="AX1873" s="71"/>
      <c r="AY1873" s="71"/>
      <c r="AZ1873" s="71"/>
      <c r="BA1873" s="71"/>
      <c r="BB1873" s="71"/>
      <c r="BC1873" s="71"/>
      <c r="BD1873" s="71"/>
      <c r="BE1873" s="71"/>
      <c r="BF1873" s="71"/>
      <c r="BG1873" s="71"/>
      <c r="BH1873" s="71"/>
      <c r="BI1873" s="71"/>
      <c r="BJ1873" s="71"/>
      <c r="BK1873" s="71"/>
      <c r="BL1873" s="71"/>
      <c r="BM1873" s="71"/>
      <c r="BN1873" s="71"/>
      <c r="BO1873" s="71"/>
      <c r="BP1873" s="71"/>
      <c r="BQ1873" s="71"/>
      <c r="BR1873" s="71"/>
      <c r="BS1873" s="71"/>
      <c r="BT1873" s="71"/>
      <c r="BU1873" s="71"/>
      <c r="BV1873" s="71"/>
    </row>
    <row r="1874">
      <c r="A1874" s="53">
        <v>1.0</v>
      </c>
      <c r="B1874" s="53"/>
      <c r="C1874" s="73" t="s">
        <v>53</v>
      </c>
      <c r="D1874" s="74" t="s">
        <v>4605</v>
      </c>
      <c r="E1874" s="54" t="s">
        <v>38</v>
      </c>
      <c r="F1874" s="54" t="s">
        <v>42</v>
      </c>
      <c r="G1874" s="54" t="s">
        <v>4606</v>
      </c>
      <c r="H1874" s="54" t="s">
        <v>4606</v>
      </c>
      <c r="I1874" s="54">
        <f t="shared" si="24"/>
        <v>38</v>
      </c>
      <c r="J1874" s="56"/>
      <c r="K1874" s="57"/>
      <c r="L1874" s="76"/>
      <c r="M1874" s="59"/>
      <c r="N1874" s="60">
        <v>890.0</v>
      </c>
      <c r="O1874" s="61">
        <v>961.0</v>
      </c>
      <c r="P1874" s="62">
        <v>1300.0</v>
      </c>
      <c r="Q1874" s="63">
        <v>1300.0</v>
      </c>
      <c r="R1874" s="64">
        <v>1365.0</v>
      </c>
      <c r="S1874" s="111">
        <v>1433.0</v>
      </c>
      <c r="T1874" s="65">
        <f t="shared" si="80"/>
        <v>229.28</v>
      </c>
      <c r="U1874" s="65">
        <f t="shared" si="81"/>
        <v>1662.28</v>
      </c>
      <c r="V1874" s="66">
        <f t="shared" si="82"/>
        <v>0.04981684982</v>
      </c>
      <c r="W1874" s="67">
        <f t="shared" si="5"/>
        <v>1361.35</v>
      </c>
      <c r="X1874" s="67">
        <f t="shared" si="70"/>
        <v>217.816</v>
      </c>
      <c r="Y1874" s="67">
        <f t="shared" si="71"/>
        <v>1579.166</v>
      </c>
      <c r="Z1874" s="67">
        <f t="shared" si="8"/>
        <v>1289.7</v>
      </c>
      <c r="AA1874" s="67">
        <f t="shared" si="72"/>
        <v>206.352</v>
      </c>
      <c r="AB1874" s="67">
        <f t="shared" si="73"/>
        <v>1496.052</v>
      </c>
      <c r="AC1874" s="67">
        <f t="shared" si="11"/>
        <v>1218.05</v>
      </c>
      <c r="AD1874" s="67">
        <f t="shared" si="74"/>
        <v>194.888</v>
      </c>
      <c r="AE1874" s="67">
        <f t="shared" si="75"/>
        <v>1412.938</v>
      </c>
      <c r="AF1874" s="67">
        <f t="shared" si="33"/>
        <v>1189.39</v>
      </c>
      <c r="AG1874" s="67">
        <f t="shared" si="76"/>
        <v>190.3024</v>
      </c>
      <c r="AH1874" s="67">
        <f t="shared" si="77"/>
        <v>1379.6924</v>
      </c>
      <c r="AI1874" s="67">
        <f t="shared" si="17"/>
        <v>1146.4</v>
      </c>
      <c r="AJ1874" s="68">
        <f t="shared" si="78"/>
        <v>183.424</v>
      </c>
      <c r="AK1874" s="68">
        <f t="shared" si="79"/>
        <v>1329.824</v>
      </c>
      <c r="AL1874" s="70"/>
      <c r="AM1874" s="70"/>
      <c r="AN1874" s="71"/>
      <c r="AO1874" s="71"/>
      <c r="AP1874" s="71"/>
      <c r="AQ1874" s="71"/>
      <c r="AR1874" s="71"/>
      <c r="AS1874" s="71"/>
      <c r="AT1874" s="71"/>
      <c r="AU1874" s="71"/>
      <c r="AV1874" s="71"/>
      <c r="AW1874" s="71"/>
      <c r="AX1874" s="71"/>
      <c r="AY1874" s="71"/>
      <c r="AZ1874" s="71"/>
      <c r="BA1874" s="71"/>
      <c r="BB1874" s="71"/>
      <c r="BC1874" s="71"/>
      <c r="BD1874" s="71"/>
      <c r="BE1874" s="71"/>
      <c r="BF1874" s="71"/>
      <c r="BG1874" s="71"/>
      <c r="BH1874" s="71"/>
      <c r="BI1874" s="71"/>
      <c r="BJ1874" s="71"/>
      <c r="BK1874" s="71"/>
      <c r="BL1874" s="71"/>
      <c r="BM1874" s="71"/>
      <c r="BN1874" s="71"/>
      <c r="BO1874" s="71"/>
      <c r="BP1874" s="71"/>
      <c r="BQ1874" s="71"/>
      <c r="BR1874" s="71"/>
      <c r="BS1874" s="71"/>
      <c r="BT1874" s="71"/>
      <c r="BU1874" s="71"/>
      <c r="BV1874" s="71"/>
    </row>
    <row r="1875">
      <c r="A1875" s="53">
        <v>1.0</v>
      </c>
      <c r="B1875" s="53"/>
      <c r="C1875" s="73" t="s">
        <v>53</v>
      </c>
      <c r="D1875" s="74" t="s">
        <v>4607</v>
      </c>
      <c r="E1875" s="54" t="s">
        <v>38</v>
      </c>
      <c r="F1875" s="54" t="s">
        <v>42</v>
      </c>
      <c r="G1875" s="54" t="s">
        <v>4608</v>
      </c>
      <c r="H1875" s="54" t="s">
        <v>4608</v>
      </c>
      <c r="I1875" s="54">
        <f t="shared" si="24"/>
        <v>37</v>
      </c>
      <c r="J1875" s="56"/>
      <c r="K1875" s="57"/>
      <c r="L1875" s="76"/>
      <c r="M1875" s="59"/>
      <c r="N1875" s="60">
        <v>138.0</v>
      </c>
      <c r="O1875" s="61">
        <v>149.0</v>
      </c>
      <c r="P1875" s="62">
        <v>160.92000000000002</v>
      </c>
      <c r="Q1875" s="63">
        <v>160.92000000000002</v>
      </c>
      <c r="R1875" s="64">
        <v>180.0</v>
      </c>
      <c r="S1875" s="111">
        <v>189.0</v>
      </c>
      <c r="T1875" s="65">
        <f t="shared" si="80"/>
        <v>30.24</v>
      </c>
      <c r="U1875" s="65">
        <f t="shared" si="81"/>
        <v>219.24</v>
      </c>
      <c r="V1875" s="66">
        <f t="shared" si="82"/>
        <v>0.05</v>
      </c>
      <c r="W1875" s="67">
        <f t="shared" si="5"/>
        <v>179.55</v>
      </c>
      <c r="X1875" s="67">
        <f t="shared" si="70"/>
        <v>28.728</v>
      </c>
      <c r="Y1875" s="67">
        <f t="shared" si="71"/>
        <v>208.278</v>
      </c>
      <c r="Z1875" s="67">
        <f t="shared" si="8"/>
        <v>170.1</v>
      </c>
      <c r="AA1875" s="67">
        <f t="shared" si="72"/>
        <v>27.216</v>
      </c>
      <c r="AB1875" s="67">
        <f t="shared" si="73"/>
        <v>197.316</v>
      </c>
      <c r="AC1875" s="67">
        <f t="shared" si="11"/>
        <v>160.65</v>
      </c>
      <c r="AD1875" s="67">
        <f t="shared" si="74"/>
        <v>25.704</v>
      </c>
      <c r="AE1875" s="67">
        <f t="shared" si="75"/>
        <v>186.354</v>
      </c>
      <c r="AF1875" s="67">
        <f t="shared" si="33"/>
        <v>156.87</v>
      </c>
      <c r="AG1875" s="67">
        <f t="shared" si="76"/>
        <v>25.0992</v>
      </c>
      <c r="AH1875" s="67">
        <f t="shared" si="77"/>
        <v>181.9692</v>
      </c>
      <c r="AI1875" s="67">
        <f t="shared" si="17"/>
        <v>151.2</v>
      </c>
      <c r="AJ1875" s="68">
        <f t="shared" si="78"/>
        <v>24.192</v>
      </c>
      <c r="AK1875" s="68">
        <f t="shared" si="79"/>
        <v>175.392</v>
      </c>
      <c r="AL1875" s="70"/>
      <c r="AM1875" s="70"/>
      <c r="AN1875" s="71"/>
      <c r="AO1875" s="71"/>
      <c r="AP1875" s="71"/>
      <c r="AQ1875" s="71"/>
      <c r="AR1875" s="71"/>
      <c r="AS1875" s="71"/>
      <c r="AT1875" s="71"/>
      <c r="AU1875" s="71"/>
      <c r="AV1875" s="71"/>
      <c r="AW1875" s="71"/>
      <c r="AX1875" s="71"/>
      <c r="AY1875" s="71"/>
      <c r="AZ1875" s="71"/>
      <c r="BA1875" s="71"/>
      <c r="BB1875" s="71"/>
      <c r="BC1875" s="71"/>
      <c r="BD1875" s="71"/>
      <c r="BE1875" s="71"/>
      <c r="BF1875" s="71"/>
      <c r="BG1875" s="71"/>
      <c r="BH1875" s="71"/>
      <c r="BI1875" s="71"/>
      <c r="BJ1875" s="71"/>
      <c r="BK1875" s="71"/>
      <c r="BL1875" s="71"/>
      <c r="BM1875" s="71"/>
      <c r="BN1875" s="71"/>
      <c r="BO1875" s="71"/>
      <c r="BP1875" s="71"/>
      <c r="BQ1875" s="71"/>
      <c r="BR1875" s="71"/>
      <c r="BS1875" s="71"/>
      <c r="BT1875" s="71"/>
      <c r="BU1875" s="71"/>
      <c r="BV1875" s="71"/>
    </row>
    <row r="1876">
      <c r="A1876" s="53">
        <v>1.0</v>
      </c>
      <c r="B1876" s="53"/>
      <c r="C1876" s="73" t="s">
        <v>53</v>
      </c>
      <c r="D1876" s="74" t="s">
        <v>4609</v>
      </c>
      <c r="E1876" s="54" t="s">
        <v>38</v>
      </c>
      <c r="F1876" s="54" t="s">
        <v>42</v>
      </c>
      <c r="G1876" s="54" t="s">
        <v>4610</v>
      </c>
      <c r="H1876" s="54" t="s">
        <v>4610</v>
      </c>
      <c r="I1876" s="54">
        <f t="shared" si="24"/>
        <v>38</v>
      </c>
      <c r="J1876" s="56"/>
      <c r="K1876" s="57"/>
      <c r="L1876" s="76"/>
      <c r="M1876" s="59"/>
      <c r="N1876" s="60">
        <v>890.0</v>
      </c>
      <c r="O1876" s="61">
        <v>961.0</v>
      </c>
      <c r="P1876" s="62">
        <v>1300.0</v>
      </c>
      <c r="Q1876" s="63">
        <v>1300.0</v>
      </c>
      <c r="R1876" s="64">
        <v>1365.0</v>
      </c>
      <c r="S1876" s="111">
        <v>1433.0</v>
      </c>
      <c r="T1876" s="65">
        <f t="shared" si="80"/>
        <v>229.28</v>
      </c>
      <c r="U1876" s="65">
        <f t="shared" si="81"/>
        <v>1662.28</v>
      </c>
      <c r="V1876" s="66">
        <f t="shared" si="82"/>
        <v>0.04981684982</v>
      </c>
      <c r="W1876" s="67">
        <f t="shared" si="5"/>
        <v>1361.35</v>
      </c>
      <c r="X1876" s="67">
        <f t="shared" si="70"/>
        <v>217.816</v>
      </c>
      <c r="Y1876" s="67">
        <f t="shared" si="71"/>
        <v>1579.166</v>
      </c>
      <c r="Z1876" s="67">
        <f t="shared" si="8"/>
        <v>1289.7</v>
      </c>
      <c r="AA1876" s="67">
        <f t="shared" si="72"/>
        <v>206.352</v>
      </c>
      <c r="AB1876" s="67">
        <f t="shared" si="73"/>
        <v>1496.052</v>
      </c>
      <c r="AC1876" s="67">
        <f t="shared" si="11"/>
        <v>1218.05</v>
      </c>
      <c r="AD1876" s="67">
        <f t="shared" si="74"/>
        <v>194.888</v>
      </c>
      <c r="AE1876" s="67">
        <f t="shared" si="75"/>
        <v>1412.938</v>
      </c>
      <c r="AF1876" s="67">
        <f t="shared" si="33"/>
        <v>1189.39</v>
      </c>
      <c r="AG1876" s="67">
        <f t="shared" si="76"/>
        <v>190.3024</v>
      </c>
      <c r="AH1876" s="67">
        <f t="shared" si="77"/>
        <v>1379.6924</v>
      </c>
      <c r="AI1876" s="67">
        <f t="shared" si="17"/>
        <v>1146.4</v>
      </c>
      <c r="AJ1876" s="68">
        <f t="shared" si="78"/>
        <v>183.424</v>
      </c>
      <c r="AK1876" s="68">
        <f t="shared" si="79"/>
        <v>1329.824</v>
      </c>
      <c r="AL1876" s="70"/>
      <c r="AM1876" s="70"/>
      <c r="AN1876" s="71"/>
      <c r="AO1876" s="71"/>
      <c r="AP1876" s="71"/>
      <c r="AQ1876" s="71"/>
      <c r="AR1876" s="71"/>
      <c r="AS1876" s="71"/>
      <c r="AT1876" s="71"/>
      <c r="AU1876" s="71"/>
      <c r="AV1876" s="71"/>
      <c r="AW1876" s="71"/>
      <c r="AX1876" s="71"/>
      <c r="AY1876" s="71"/>
      <c r="AZ1876" s="71"/>
      <c r="BA1876" s="71"/>
      <c r="BB1876" s="71"/>
      <c r="BC1876" s="71"/>
      <c r="BD1876" s="71"/>
      <c r="BE1876" s="71"/>
      <c r="BF1876" s="71"/>
      <c r="BG1876" s="71"/>
      <c r="BH1876" s="71"/>
      <c r="BI1876" s="71"/>
      <c r="BJ1876" s="71"/>
      <c r="BK1876" s="71"/>
      <c r="BL1876" s="71"/>
      <c r="BM1876" s="71"/>
      <c r="BN1876" s="71"/>
      <c r="BO1876" s="71"/>
      <c r="BP1876" s="71"/>
      <c r="BQ1876" s="71"/>
      <c r="BR1876" s="71"/>
      <c r="BS1876" s="71"/>
      <c r="BT1876" s="71"/>
      <c r="BU1876" s="71"/>
      <c r="BV1876" s="71"/>
    </row>
    <row r="1877">
      <c r="A1877" s="53">
        <v>1.0</v>
      </c>
      <c r="B1877" s="53"/>
      <c r="C1877" s="73" t="s">
        <v>53</v>
      </c>
      <c r="D1877" s="74" t="s">
        <v>4611</v>
      </c>
      <c r="E1877" s="54" t="s">
        <v>38</v>
      </c>
      <c r="F1877" s="54" t="s">
        <v>42</v>
      </c>
      <c r="G1877" s="54" t="s">
        <v>4612</v>
      </c>
      <c r="H1877" s="54" t="s">
        <v>4612</v>
      </c>
      <c r="I1877" s="54">
        <f t="shared" si="24"/>
        <v>37</v>
      </c>
      <c r="J1877" s="56"/>
      <c r="K1877" s="57"/>
      <c r="L1877" s="76"/>
      <c r="M1877" s="59"/>
      <c r="N1877" s="60">
        <v>202.0</v>
      </c>
      <c r="O1877" s="61">
        <v>218.0</v>
      </c>
      <c r="P1877" s="62">
        <v>235.44000000000003</v>
      </c>
      <c r="Q1877" s="63">
        <v>235.44000000000003</v>
      </c>
      <c r="R1877" s="64">
        <v>263.0</v>
      </c>
      <c r="S1877" s="111">
        <v>276.0</v>
      </c>
      <c r="T1877" s="65">
        <f t="shared" si="80"/>
        <v>44.16</v>
      </c>
      <c r="U1877" s="65">
        <f t="shared" si="81"/>
        <v>320.16</v>
      </c>
      <c r="V1877" s="66">
        <f t="shared" si="82"/>
        <v>0.04942965779</v>
      </c>
      <c r="W1877" s="67">
        <f t="shared" si="5"/>
        <v>262.2</v>
      </c>
      <c r="X1877" s="67">
        <f t="shared" si="70"/>
        <v>41.952</v>
      </c>
      <c r="Y1877" s="67">
        <f t="shared" si="71"/>
        <v>304.152</v>
      </c>
      <c r="Z1877" s="67">
        <f t="shared" si="8"/>
        <v>248.4</v>
      </c>
      <c r="AA1877" s="67">
        <f t="shared" si="72"/>
        <v>39.744</v>
      </c>
      <c r="AB1877" s="67">
        <f t="shared" si="73"/>
        <v>288.144</v>
      </c>
      <c r="AC1877" s="67">
        <f t="shared" si="11"/>
        <v>234.6</v>
      </c>
      <c r="AD1877" s="67">
        <f t="shared" si="74"/>
        <v>37.536</v>
      </c>
      <c r="AE1877" s="67">
        <f t="shared" si="75"/>
        <v>272.136</v>
      </c>
      <c r="AF1877" s="67">
        <f t="shared" si="33"/>
        <v>229.08</v>
      </c>
      <c r="AG1877" s="67">
        <f t="shared" si="76"/>
        <v>36.6528</v>
      </c>
      <c r="AH1877" s="67">
        <f t="shared" si="77"/>
        <v>265.7328</v>
      </c>
      <c r="AI1877" s="67">
        <f t="shared" si="17"/>
        <v>220.8</v>
      </c>
      <c r="AJ1877" s="68">
        <f t="shared" si="78"/>
        <v>35.328</v>
      </c>
      <c r="AK1877" s="68">
        <f t="shared" si="79"/>
        <v>256.128</v>
      </c>
      <c r="AL1877" s="70"/>
      <c r="AM1877" s="70"/>
      <c r="AN1877" s="71"/>
      <c r="AO1877" s="71"/>
      <c r="AP1877" s="71"/>
      <c r="AQ1877" s="71"/>
      <c r="AR1877" s="71"/>
      <c r="AS1877" s="71"/>
      <c r="AT1877" s="71"/>
      <c r="AU1877" s="71"/>
      <c r="AV1877" s="71"/>
      <c r="AW1877" s="71"/>
      <c r="AX1877" s="71"/>
      <c r="AY1877" s="71"/>
      <c r="AZ1877" s="71"/>
      <c r="BA1877" s="71"/>
      <c r="BB1877" s="71"/>
      <c r="BC1877" s="71"/>
      <c r="BD1877" s="71"/>
      <c r="BE1877" s="71"/>
      <c r="BF1877" s="71"/>
      <c r="BG1877" s="71"/>
      <c r="BH1877" s="71"/>
      <c r="BI1877" s="71"/>
      <c r="BJ1877" s="71"/>
      <c r="BK1877" s="71"/>
      <c r="BL1877" s="71"/>
      <c r="BM1877" s="71"/>
      <c r="BN1877" s="71"/>
      <c r="BO1877" s="71"/>
      <c r="BP1877" s="71"/>
      <c r="BQ1877" s="71"/>
      <c r="BR1877" s="71"/>
      <c r="BS1877" s="71"/>
      <c r="BT1877" s="71"/>
      <c r="BU1877" s="71"/>
      <c r="BV1877" s="71"/>
    </row>
    <row r="1878">
      <c r="A1878" s="53">
        <v>1.0</v>
      </c>
      <c r="B1878" s="53"/>
      <c r="C1878" s="73" t="s">
        <v>53</v>
      </c>
      <c r="D1878" s="74" t="s">
        <v>4613</v>
      </c>
      <c r="E1878" s="54" t="s">
        <v>38</v>
      </c>
      <c r="F1878" s="54" t="s">
        <v>42</v>
      </c>
      <c r="G1878" s="54" t="s">
        <v>4614</v>
      </c>
      <c r="H1878" s="54" t="s">
        <v>4614</v>
      </c>
      <c r="I1878" s="54">
        <f t="shared" si="24"/>
        <v>38</v>
      </c>
      <c r="J1878" s="56"/>
      <c r="K1878" s="57"/>
      <c r="L1878" s="76"/>
      <c r="M1878" s="59"/>
      <c r="N1878" s="60">
        <v>965.0</v>
      </c>
      <c r="O1878" s="61">
        <v>1042.0</v>
      </c>
      <c r="P1878" s="62">
        <v>1450.0</v>
      </c>
      <c r="Q1878" s="63">
        <v>1450.0</v>
      </c>
      <c r="R1878" s="64">
        <v>1523.0</v>
      </c>
      <c r="S1878" s="111">
        <v>1599.0</v>
      </c>
      <c r="T1878" s="65">
        <f t="shared" si="80"/>
        <v>255.84</v>
      </c>
      <c r="U1878" s="65">
        <f t="shared" si="81"/>
        <v>1854.84</v>
      </c>
      <c r="V1878" s="66">
        <f t="shared" si="82"/>
        <v>0.04990151018</v>
      </c>
      <c r="W1878" s="67">
        <f t="shared" si="5"/>
        <v>1519.05</v>
      </c>
      <c r="X1878" s="67">
        <f t="shared" si="70"/>
        <v>243.048</v>
      </c>
      <c r="Y1878" s="67">
        <f t="shared" si="71"/>
        <v>1762.098</v>
      </c>
      <c r="Z1878" s="67">
        <f t="shared" si="8"/>
        <v>1439.1</v>
      </c>
      <c r="AA1878" s="67">
        <f t="shared" si="72"/>
        <v>230.256</v>
      </c>
      <c r="AB1878" s="67">
        <f t="shared" si="73"/>
        <v>1669.356</v>
      </c>
      <c r="AC1878" s="67">
        <f t="shared" si="11"/>
        <v>1359.15</v>
      </c>
      <c r="AD1878" s="67">
        <f t="shared" si="74"/>
        <v>217.464</v>
      </c>
      <c r="AE1878" s="67">
        <f t="shared" si="75"/>
        <v>1576.614</v>
      </c>
      <c r="AF1878" s="67">
        <f t="shared" si="33"/>
        <v>1327.17</v>
      </c>
      <c r="AG1878" s="67">
        <f t="shared" si="76"/>
        <v>212.3472</v>
      </c>
      <c r="AH1878" s="67">
        <f t="shared" si="77"/>
        <v>1539.5172</v>
      </c>
      <c r="AI1878" s="67">
        <f t="shared" si="17"/>
        <v>1279.2</v>
      </c>
      <c r="AJ1878" s="68">
        <f t="shared" si="78"/>
        <v>204.672</v>
      </c>
      <c r="AK1878" s="68">
        <f t="shared" si="79"/>
        <v>1483.872</v>
      </c>
      <c r="AL1878" s="70"/>
      <c r="AM1878" s="70"/>
      <c r="AN1878" s="71"/>
      <c r="AO1878" s="71"/>
      <c r="AP1878" s="71"/>
      <c r="AQ1878" s="71"/>
      <c r="AR1878" s="71"/>
      <c r="AS1878" s="71"/>
      <c r="AT1878" s="71"/>
      <c r="AU1878" s="71"/>
      <c r="AV1878" s="71"/>
      <c r="AW1878" s="71"/>
      <c r="AX1878" s="71"/>
      <c r="AY1878" s="71"/>
      <c r="AZ1878" s="71"/>
      <c r="BA1878" s="71"/>
      <c r="BB1878" s="71"/>
      <c r="BC1878" s="71"/>
      <c r="BD1878" s="71"/>
      <c r="BE1878" s="71"/>
      <c r="BF1878" s="71"/>
      <c r="BG1878" s="71"/>
      <c r="BH1878" s="71"/>
      <c r="BI1878" s="71"/>
      <c r="BJ1878" s="71"/>
      <c r="BK1878" s="71"/>
      <c r="BL1878" s="71"/>
      <c r="BM1878" s="71"/>
      <c r="BN1878" s="71"/>
      <c r="BO1878" s="71"/>
      <c r="BP1878" s="71"/>
      <c r="BQ1878" s="71"/>
      <c r="BR1878" s="71"/>
      <c r="BS1878" s="71"/>
      <c r="BT1878" s="71"/>
      <c r="BU1878" s="71"/>
      <c r="BV1878" s="71"/>
    </row>
    <row r="1879">
      <c r="A1879" s="53">
        <v>1.0</v>
      </c>
      <c r="B1879" s="53"/>
      <c r="C1879" s="73" t="s">
        <v>53</v>
      </c>
      <c r="D1879" s="74" t="s">
        <v>4615</v>
      </c>
      <c r="E1879" s="54" t="s">
        <v>38</v>
      </c>
      <c r="F1879" s="54" t="s">
        <v>42</v>
      </c>
      <c r="G1879" s="54" t="s">
        <v>4616</v>
      </c>
      <c r="H1879" s="54" t="s">
        <v>4616</v>
      </c>
      <c r="I1879" s="54">
        <f t="shared" si="24"/>
        <v>37</v>
      </c>
      <c r="J1879" s="56"/>
      <c r="K1879" s="57"/>
      <c r="L1879" s="76"/>
      <c r="M1879" s="59"/>
      <c r="N1879" s="60">
        <v>202.0</v>
      </c>
      <c r="O1879" s="61">
        <v>218.0</v>
      </c>
      <c r="P1879" s="62">
        <v>235.44000000000003</v>
      </c>
      <c r="Q1879" s="63">
        <v>235.44000000000003</v>
      </c>
      <c r="R1879" s="64">
        <v>263.0</v>
      </c>
      <c r="S1879" s="111">
        <v>276.0</v>
      </c>
      <c r="T1879" s="65">
        <f t="shared" si="80"/>
        <v>44.16</v>
      </c>
      <c r="U1879" s="65">
        <f t="shared" si="81"/>
        <v>320.16</v>
      </c>
      <c r="V1879" s="66">
        <f t="shared" si="82"/>
        <v>0.04942965779</v>
      </c>
      <c r="W1879" s="67">
        <f t="shared" si="5"/>
        <v>262.2</v>
      </c>
      <c r="X1879" s="67">
        <f t="shared" si="70"/>
        <v>41.952</v>
      </c>
      <c r="Y1879" s="67">
        <f t="shared" si="71"/>
        <v>304.152</v>
      </c>
      <c r="Z1879" s="67">
        <f t="shared" si="8"/>
        <v>248.4</v>
      </c>
      <c r="AA1879" s="67">
        <f t="shared" si="72"/>
        <v>39.744</v>
      </c>
      <c r="AB1879" s="67">
        <f t="shared" si="73"/>
        <v>288.144</v>
      </c>
      <c r="AC1879" s="67">
        <f t="shared" si="11"/>
        <v>234.6</v>
      </c>
      <c r="AD1879" s="67">
        <f t="shared" si="74"/>
        <v>37.536</v>
      </c>
      <c r="AE1879" s="67">
        <f t="shared" si="75"/>
        <v>272.136</v>
      </c>
      <c r="AF1879" s="67">
        <f t="shared" si="33"/>
        <v>229.08</v>
      </c>
      <c r="AG1879" s="67">
        <f t="shared" si="76"/>
        <v>36.6528</v>
      </c>
      <c r="AH1879" s="67">
        <f t="shared" si="77"/>
        <v>265.7328</v>
      </c>
      <c r="AI1879" s="67">
        <f t="shared" si="17"/>
        <v>220.8</v>
      </c>
      <c r="AJ1879" s="68">
        <f t="shared" si="78"/>
        <v>35.328</v>
      </c>
      <c r="AK1879" s="68">
        <f t="shared" si="79"/>
        <v>256.128</v>
      </c>
      <c r="AL1879" s="70"/>
      <c r="AM1879" s="70"/>
      <c r="AN1879" s="71"/>
      <c r="AO1879" s="71"/>
      <c r="AP1879" s="71"/>
      <c r="AQ1879" s="71"/>
      <c r="AR1879" s="71"/>
      <c r="AS1879" s="71"/>
      <c r="AT1879" s="71"/>
      <c r="AU1879" s="71"/>
      <c r="AV1879" s="71"/>
      <c r="AW1879" s="71"/>
      <c r="AX1879" s="71"/>
      <c r="AY1879" s="71"/>
      <c r="AZ1879" s="71"/>
      <c r="BA1879" s="71"/>
      <c r="BB1879" s="71"/>
      <c r="BC1879" s="71"/>
      <c r="BD1879" s="71"/>
      <c r="BE1879" s="71"/>
      <c r="BF1879" s="71"/>
      <c r="BG1879" s="71"/>
      <c r="BH1879" s="71"/>
      <c r="BI1879" s="71"/>
      <c r="BJ1879" s="71"/>
      <c r="BK1879" s="71"/>
      <c r="BL1879" s="71"/>
      <c r="BM1879" s="71"/>
      <c r="BN1879" s="71"/>
      <c r="BO1879" s="71"/>
      <c r="BP1879" s="71"/>
      <c r="BQ1879" s="71"/>
      <c r="BR1879" s="71"/>
      <c r="BS1879" s="71"/>
      <c r="BT1879" s="71"/>
      <c r="BU1879" s="71"/>
      <c r="BV1879" s="71"/>
    </row>
    <row r="1880">
      <c r="A1880" s="53">
        <v>1.0</v>
      </c>
      <c r="B1880" s="53"/>
      <c r="C1880" s="73" t="s">
        <v>53</v>
      </c>
      <c r="D1880" s="74" t="s">
        <v>4617</v>
      </c>
      <c r="E1880" s="54" t="s">
        <v>38</v>
      </c>
      <c r="F1880" s="54" t="s">
        <v>42</v>
      </c>
      <c r="G1880" s="54" t="s">
        <v>4618</v>
      </c>
      <c r="H1880" s="54" t="s">
        <v>4618</v>
      </c>
      <c r="I1880" s="54">
        <f t="shared" si="24"/>
        <v>38</v>
      </c>
      <c r="J1880" s="56"/>
      <c r="K1880" s="57"/>
      <c r="L1880" s="76"/>
      <c r="M1880" s="59"/>
      <c r="N1880" s="60">
        <v>965.0</v>
      </c>
      <c r="O1880" s="61">
        <v>1042.0</v>
      </c>
      <c r="P1880" s="62">
        <v>1450.0</v>
      </c>
      <c r="Q1880" s="63">
        <v>1450.0</v>
      </c>
      <c r="R1880" s="64">
        <v>1523.0</v>
      </c>
      <c r="S1880" s="111">
        <v>1599.0</v>
      </c>
      <c r="T1880" s="65">
        <f t="shared" si="80"/>
        <v>255.84</v>
      </c>
      <c r="U1880" s="65">
        <f t="shared" si="81"/>
        <v>1854.84</v>
      </c>
      <c r="V1880" s="66">
        <f t="shared" si="82"/>
        <v>0.04990151018</v>
      </c>
      <c r="W1880" s="67">
        <f t="shared" si="5"/>
        <v>1519.05</v>
      </c>
      <c r="X1880" s="67">
        <f t="shared" si="70"/>
        <v>243.048</v>
      </c>
      <c r="Y1880" s="67">
        <f t="shared" si="71"/>
        <v>1762.098</v>
      </c>
      <c r="Z1880" s="67">
        <f t="shared" si="8"/>
        <v>1439.1</v>
      </c>
      <c r="AA1880" s="67">
        <f t="shared" si="72"/>
        <v>230.256</v>
      </c>
      <c r="AB1880" s="67">
        <f t="shared" si="73"/>
        <v>1669.356</v>
      </c>
      <c r="AC1880" s="67">
        <f t="shared" si="11"/>
        <v>1359.15</v>
      </c>
      <c r="AD1880" s="67">
        <f t="shared" si="74"/>
        <v>217.464</v>
      </c>
      <c r="AE1880" s="67">
        <f t="shared" si="75"/>
        <v>1576.614</v>
      </c>
      <c r="AF1880" s="67">
        <f t="shared" si="33"/>
        <v>1327.17</v>
      </c>
      <c r="AG1880" s="67">
        <f t="shared" si="76"/>
        <v>212.3472</v>
      </c>
      <c r="AH1880" s="67">
        <f t="shared" si="77"/>
        <v>1539.5172</v>
      </c>
      <c r="AI1880" s="67">
        <f t="shared" si="17"/>
        <v>1279.2</v>
      </c>
      <c r="AJ1880" s="68">
        <f t="shared" si="78"/>
        <v>204.672</v>
      </c>
      <c r="AK1880" s="68">
        <f t="shared" si="79"/>
        <v>1483.872</v>
      </c>
      <c r="AL1880" s="70"/>
      <c r="AM1880" s="70"/>
      <c r="AN1880" s="71"/>
      <c r="AO1880" s="71"/>
      <c r="AP1880" s="71"/>
      <c r="AQ1880" s="71"/>
      <c r="AR1880" s="71"/>
      <c r="AS1880" s="71"/>
      <c r="AT1880" s="71"/>
      <c r="AU1880" s="71"/>
      <c r="AV1880" s="71"/>
      <c r="AW1880" s="71"/>
      <c r="AX1880" s="71"/>
      <c r="AY1880" s="71"/>
      <c r="AZ1880" s="71"/>
      <c r="BA1880" s="71"/>
      <c r="BB1880" s="71"/>
      <c r="BC1880" s="71"/>
      <c r="BD1880" s="71"/>
      <c r="BE1880" s="71"/>
      <c r="BF1880" s="71"/>
      <c r="BG1880" s="71"/>
      <c r="BH1880" s="71"/>
      <c r="BI1880" s="71"/>
      <c r="BJ1880" s="71"/>
      <c r="BK1880" s="71"/>
      <c r="BL1880" s="71"/>
      <c r="BM1880" s="71"/>
      <c r="BN1880" s="71"/>
      <c r="BO1880" s="71"/>
      <c r="BP1880" s="71"/>
      <c r="BQ1880" s="71"/>
      <c r="BR1880" s="71"/>
      <c r="BS1880" s="71"/>
      <c r="BT1880" s="71"/>
      <c r="BU1880" s="71"/>
      <c r="BV1880" s="71"/>
    </row>
    <row r="1881">
      <c r="A1881" s="53">
        <v>1.0</v>
      </c>
      <c r="B1881" s="53"/>
      <c r="C1881" s="73" t="s">
        <v>53</v>
      </c>
      <c r="D1881" s="74" t="s">
        <v>4619</v>
      </c>
      <c r="E1881" s="54" t="s">
        <v>38</v>
      </c>
      <c r="F1881" s="54" t="s">
        <v>42</v>
      </c>
      <c r="G1881" s="54" t="s">
        <v>4620</v>
      </c>
      <c r="H1881" s="54" t="s">
        <v>4620</v>
      </c>
      <c r="I1881" s="54">
        <f t="shared" si="24"/>
        <v>37</v>
      </c>
      <c r="J1881" s="56"/>
      <c r="K1881" s="57"/>
      <c r="L1881" s="76"/>
      <c r="M1881" s="59"/>
      <c r="N1881" s="60">
        <v>202.0</v>
      </c>
      <c r="O1881" s="61">
        <v>218.0</v>
      </c>
      <c r="P1881" s="62">
        <v>235.44000000000003</v>
      </c>
      <c r="Q1881" s="63">
        <v>235.44000000000003</v>
      </c>
      <c r="R1881" s="64">
        <v>263.0</v>
      </c>
      <c r="S1881" s="111">
        <v>276.0</v>
      </c>
      <c r="T1881" s="65">
        <f t="shared" si="80"/>
        <v>44.16</v>
      </c>
      <c r="U1881" s="65">
        <f t="shared" si="81"/>
        <v>320.16</v>
      </c>
      <c r="V1881" s="66">
        <f t="shared" si="82"/>
        <v>0.04942965779</v>
      </c>
      <c r="W1881" s="67">
        <f t="shared" si="5"/>
        <v>262.2</v>
      </c>
      <c r="X1881" s="67">
        <f t="shared" si="70"/>
        <v>41.952</v>
      </c>
      <c r="Y1881" s="67">
        <f t="shared" si="71"/>
        <v>304.152</v>
      </c>
      <c r="Z1881" s="67">
        <f t="shared" si="8"/>
        <v>248.4</v>
      </c>
      <c r="AA1881" s="67">
        <f t="shared" si="72"/>
        <v>39.744</v>
      </c>
      <c r="AB1881" s="67">
        <f t="shared" si="73"/>
        <v>288.144</v>
      </c>
      <c r="AC1881" s="67">
        <f t="shared" si="11"/>
        <v>234.6</v>
      </c>
      <c r="AD1881" s="67">
        <f t="shared" si="74"/>
        <v>37.536</v>
      </c>
      <c r="AE1881" s="67">
        <f t="shared" si="75"/>
        <v>272.136</v>
      </c>
      <c r="AF1881" s="67">
        <f t="shared" si="33"/>
        <v>229.08</v>
      </c>
      <c r="AG1881" s="67">
        <f t="shared" si="76"/>
        <v>36.6528</v>
      </c>
      <c r="AH1881" s="67">
        <f t="shared" si="77"/>
        <v>265.7328</v>
      </c>
      <c r="AI1881" s="67">
        <f t="shared" si="17"/>
        <v>220.8</v>
      </c>
      <c r="AJ1881" s="68">
        <f t="shared" si="78"/>
        <v>35.328</v>
      </c>
      <c r="AK1881" s="68">
        <f t="shared" si="79"/>
        <v>256.128</v>
      </c>
      <c r="AL1881" s="70"/>
      <c r="AM1881" s="70"/>
      <c r="AN1881" s="71"/>
      <c r="AO1881" s="71"/>
      <c r="AP1881" s="71"/>
      <c r="AQ1881" s="71"/>
      <c r="AR1881" s="71"/>
      <c r="AS1881" s="71"/>
      <c r="AT1881" s="71"/>
      <c r="AU1881" s="71"/>
      <c r="AV1881" s="71"/>
      <c r="AW1881" s="71"/>
      <c r="AX1881" s="71"/>
      <c r="AY1881" s="71"/>
      <c r="AZ1881" s="71"/>
      <c r="BA1881" s="71"/>
      <c r="BB1881" s="71"/>
      <c r="BC1881" s="71"/>
      <c r="BD1881" s="71"/>
      <c r="BE1881" s="71"/>
      <c r="BF1881" s="71"/>
      <c r="BG1881" s="71"/>
      <c r="BH1881" s="71"/>
      <c r="BI1881" s="71"/>
      <c r="BJ1881" s="71"/>
      <c r="BK1881" s="71"/>
      <c r="BL1881" s="71"/>
      <c r="BM1881" s="71"/>
      <c r="BN1881" s="71"/>
      <c r="BO1881" s="71"/>
      <c r="BP1881" s="71"/>
      <c r="BQ1881" s="71"/>
      <c r="BR1881" s="71"/>
      <c r="BS1881" s="71"/>
      <c r="BT1881" s="71"/>
      <c r="BU1881" s="71"/>
      <c r="BV1881" s="71"/>
    </row>
    <row r="1882">
      <c r="A1882" s="53">
        <v>1.0</v>
      </c>
      <c r="B1882" s="53"/>
      <c r="C1882" s="73" t="s">
        <v>53</v>
      </c>
      <c r="D1882" s="74" t="s">
        <v>4621</v>
      </c>
      <c r="E1882" s="54" t="s">
        <v>38</v>
      </c>
      <c r="F1882" s="54" t="s">
        <v>42</v>
      </c>
      <c r="G1882" s="54" t="s">
        <v>4622</v>
      </c>
      <c r="H1882" s="54" t="s">
        <v>4622</v>
      </c>
      <c r="I1882" s="54">
        <f t="shared" si="24"/>
        <v>38</v>
      </c>
      <c r="J1882" s="56"/>
      <c r="K1882" s="57"/>
      <c r="L1882" s="76"/>
      <c r="M1882" s="59"/>
      <c r="N1882" s="60">
        <v>965.0</v>
      </c>
      <c r="O1882" s="61">
        <v>1042.0</v>
      </c>
      <c r="P1882" s="62">
        <v>1450.0</v>
      </c>
      <c r="Q1882" s="63">
        <v>1450.0</v>
      </c>
      <c r="R1882" s="64">
        <v>1523.0</v>
      </c>
      <c r="S1882" s="111">
        <v>1599.0</v>
      </c>
      <c r="T1882" s="65">
        <f t="shared" si="80"/>
        <v>255.84</v>
      </c>
      <c r="U1882" s="65">
        <f t="shared" si="81"/>
        <v>1854.84</v>
      </c>
      <c r="V1882" s="66">
        <f t="shared" si="82"/>
        <v>0.04990151018</v>
      </c>
      <c r="W1882" s="67">
        <f t="shared" si="5"/>
        <v>1519.05</v>
      </c>
      <c r="X1882" s="67">
        <f t="shared" si="70"/>
        <v>243.048</v>
      </c>
      <c r="Y1882" s="67">
        <f t="shared" si="71"/>
        <v>1762.098</v>
      </c>
      <c r="Z1882" s="67">
        <f t="shared" si="8"/>
        <v>1439.1</v>
      </c>
      <c r="AA1882" s="67">
        <f t="shared" si="72"/>
        <v>230.256</v>
      </c>
      <c r="AB1882" s="67">
        <f t="shared" si="73"/>
        <v>1669.356</v>
      </c>
      <c r="AC1882" s="67">
        <f t="shared" si="11"/>
        <v>1359.15</v>
      </c>
      <c r="AD1882" s="67">
        <f t="shared" si="74"/>
        <v>217.464</v>
      </c>
      <c r="AE1882" s="67">
        <f t="shared" si="75"/>
        <v>1576.614</v>
      </c>
      <c r="AF1882" s="67">
        <f t="shared" si="33"/>
        <v>1327.17</v>
      </c>
      <c r="AG1882" s="67">
        <f t="shared" si="76"/>
        <v>212.3472</v>
      </c>
      <c r="AH1882" s="67">
        <f t="shared" si="77"/>
        <v>1539.5172</v>
      </c>
      <c r="AI1882" s="67">
        <f t="shared" si="17"/>
        <v>1279.2</v>
      </c>
      <c r="AJ1882" s="68">
        <f t="shared" si="78"/>
        <v>204.672</v>
      </c>
      <c r="AK1882" s="68">
        <f t="shared" si="79"/>
        <v>1483.872</v>
      </c>
      <c r="AL1882" s="70"/>
      <c r="AM1882" s="70"/>
      <c r="AN1882" s="71"/>
      <c r="AO1882" s="71"/>
      <c r="AP1882" s="71"/>
      <c r="AQ1882" s="71"/>
      <c r="AR1882" s="71"/>
      <c r="AS1882" s="71"/>
      <c r="AT1882" s="71"/>
      <c r="AU1882" s="71"/>
      <c r="AV1882" s="71"/>
      <c r="AW1882" s="71"/>
      <c r="AX1882" s="71"/>
      <c r="AY1882" s="71"/>
      <c r="AZ1882" s="71"/>
      <c r="BA1882" s="71"/>
      <c r="BB1882" s="71"/>
      <c r="BC1882" s="71"/>
      <c r="BD1882" s="71"/>
      <c r="BE1882" s="71"/>
      <c r="BF1882" s="71"/>
      <c r="BG1882" s="71"/>
      <c r="BH1882" s="71"/>
      <c r="BI1882" s="71"/>
      <c r="BJ1882" s="71"/>
      <c r="BK1882" s="71"/>
      <c r="BL1882" s="71"/>
      <c r="BM1882" s="71"/>
      <c r="BN1882" s="71"/>
      <c r="BO1882" s="71"/>
      <c r="BP1882" s="71"/>
      <c r="BQ1882" s="71"/>
      <c r="BR1882" s="71"/>
      <c r="BS1882" s="71"/>
      <c r="BT1882" s="71"/>
      <c r="BU1882" s="71"/>
      <c r="BV1882" s="71"/>
    </row>
    <row r="1883">
      <c r="A1883" s="53">
        <v>1.0</v>
      </c>
      <c r="B1883" s="53">
        <v>2.0</v>
      </c>
      <c r="C1883" s="128" t="s">
        <v>12</v>
      </c>
      <c r="D1883" s="53" t="s">
        <v>4623</v>
      </c>
      <c r="E1883" s="54" t="s">
        <v>38</v>
      </c>
      <c r="F1883" s="54" t="s">
        <v>42</v>
      </c>
      <c r="G1883" s="54" t="s">
        <v>4624</v>
      </c>
      <c r="H1883" s="54" t="s">
        <v>4625</v>
      </c>
      <c r="I1883" s="54">
        <f t="shared" si="24"/>
        <v>34</v>
      </c>
      <c r="J1883" s="56"/>
      <c r="K1883" s="57"/>
      <c r="L1883" s="87"/>
      <c r="M1883" s="59"/>
      <c r="N1883" s="60"/>
      <c r="O1883" s="90"/>
      <c r="P1883" s="62">
        <v>630.0</v>
      </c>
      <c r="Q1883" s="63">
        <v>630.0</v>
      </c>
      <c r="R1883" s="64">
        <v>662.0</v>
      </c>
      <c r="S1883" s="111">
        <v>695.0</v>
      </c>
      <c r="T1883" s="65">
        <f t="shared" si="80"/>
        <v>111.2</v>
      </c>
      <c r="U1883" s="65">
        <f t="shared" si="81"/>
        <v>806.2</v>
      </c>
      <c r="V1883" s="66">
        <f t="shared" si="82"/>
        <v>0.0498489426</v>
      </c>
      <c r="W1883" s="67">
        <f t="shared" si="5"/>
        <v>660.25</v>
      </c>
      <c r="X1883" s="67">
        <f t="shared" si="70"/>
        <v>105.64</v>
      </c>
      <c r="Y1883" s="67">
        <f t="shared" si="71"/>
        <v>765.89</v>
      </c>
      <c r="Z1883" s="67">
        <f t="shared" si="8"/>
        <v>625.5</v>
      </c>
      <c r="AA1883" s="67">
        <f t="shared" si="72"/>
        <v>100.08</v>
      </c>
      <c r="AB1883" s="67">
        <f t="shared" si="73"/>
        <v>725.58</v>
      </c>
      <c r="AC1883" s="67">
        <f t="shared" si="11"/>
        <v>590.75</v>
      </c>
      <c r="AD1883" s="67">
        <f t="shared" si="74"/>
        <v>94.52</v>
      </c>
      <c r="AE1883" s="67">
        <f t="shared" si="75"/>
        <v>685.27</v>
      </c>
      <c r="AF1883" s="67">
        <f t="shared" si="33"/>
        <v>590.75</v>
      </c>
      <c r="AG1883" s="67">
        <f t="shared" si="76"/>
        <v>94.52</v>
      </c>
      <c r="AH1883" s="67">
        <f t="shared" si="77"/>
        <v>685.27</v>
      </c>
      <c r="AI1883" s="67">
        <f t="shared" si="17"/>
        <v>590.75</v>
      </c>
      <c r="AJ1883" s="68">
        <f t="shared" si="78"/>
        <v>94.52</v>
      </c>
      <c r="AK1883" s="68">
        <f t="shared" si="79"/>
        <v>685.27</v>
      </c>
      <c r="AL1883" s="70"/>
      <c r="AM1883" s="70"/>
      <c r="AN1883" s="71"/>
      <c r="AO1883" s="71"/>
      <c r="AP1883" s="71"/>
      <c r="AQ1883" s="71"/>
      <c r="AR1883" s="71"/>
      <c r="AS1883" s="71"/>
      <c r="AT1883" s="71"/>
      <c r="AU1883" s="71"/>
      <c r="AV1883" s="71"/>
      <c r="AW1883" s="71"/>
      <c r="AX1883" s="71"/>
      <c r="AY1883" s="71"/>
      <c r="AZ1883" s="71"/>
      <c r="BA1883" s="71"/>
      <c r="BB1883" s="71"/>
      <c r="BC1883" s="71"/>
      <c r="BD1883" s="71"/>
      <c r="BE1883" s="71"/>
      <c r="BF1883" s="71"/>
      <c r="BG1883" s="71"/>
      <c r="BH1883" s="71"/>
      <c r="BI1883" s="71"/>
      <c r="BJ1883" s="71"/>
      <c r="BK1883" s="71"/>
      <c r="BL1883" s="71"/>
      <c r="BM1883" s="71"/>
      <c r="BN1883" s="71"/>
      <c r="BO1883" s="71"/>
      <c r="BP1883" s="71"/>
      <c r="BQ1883" s="71"/>
      <c r="BR1883" s="71"/>
      <c r="BS1883" s="71"/>
      <c r="BT1883" s="71"/>
      <c r="BU1883" s="71"/>
      <c r="BV1883" s="71"/>
    </row>
    <row r="1884">
      <c r="A1884" s="53">
        <v>1.0</v>
      </c>
      <c r="B1884" s="53">
        <v>2.0</v>
      </c>
      <c r="C1884" s="53" t="s">
        <v>12</v>
      </c>
      <c r="D1884" s="53" t="s">
        <v>4626</v>
      </c>
      <c r="E1884" s="84" t="s">
        <v>38</v>
      </c>
      <c r="F1884" s="175" t="s">
        <v>42</v>
      </c>
      <c r="G1884" s="54" t="s">
        <v>4627</v>
      </c>
      <c r="H1884" s="54" t="s">
        <v>4628</v>
      </c>
      <c r="I1884" s="54">
        <f t="shared" si="24"/>
        <v>34</v>
      </c>
      <c r="J1884" s="176"/>
      <c r="K1884" s="177"/>
      <c r="L1884" s="76"/>
      <c r="M1884" s="59"/>
      <c r="N1884" s="178"/>
      <c r="O1884" s="179"/>
      <c r="P1884" s="180">
        <v>742.5</v>
      </c>
      <c r="Q1884" s="181">
        <v>742.5</v>
      </c>
      <c r="R1884" s="64">
        <v>781.0</v>
      </c>
      <c r="S1884" s="111">
        <v>820.0</v>
      </c>
      <c r="T1884" s="65">
        <f t="shared" si="80"/>
        <v>131.2</v>
      </c>
      <c r="U1884" s="65">
        <f t="shared" si="81"/>
        <v>951.2</v>
      </c>
      <c r="V1884" s="66">
        <f t="shared" si="82"/>
        <v>0.04993597951</v>
      </c>
      <c r="W1884" s="67">
        <f t="shared" si="5"/>
        <v>779</v>
      </c>
      <c r="X1884" s="67">
        <f t="shared" si="70"/>
        <v>124.64</v>
      </c>
      <c r="Y1884" s="67">
        <f t="shared" si="71"/>
        <v>903.64</v>
      </c>
      <c r="Z1884" s="67">
        <f t="shared" si="8"/>
        <v>738</v>
      </c>
      <c r="AA1884" s="67">
        <f t="shared" si="72"/>
        <v>118.08</v>
      </c>
      <c r="AB1884" s="67">
        <f t="shared" si="73"/>
        <v>856.08</v>
      </c>
      <c r="AC1884" s="67">
        <f t="shared" si="11"/>
        <v>697</v>
      </c>
      <c r="AD1884" s="67">
        <f t="shared" si="74"/>
        <v>111.52</v>
      </c>
      <c r="AE1884" s="67">
        <f t="shared" si="75"/>
        <v>808.52</v>
      </c>
      <c r="AF1884" s="67">
        <f t="shared" si="33"/>
        <v>697</v>
      </c>
      <c r="AG1884" s="67">
        <f t="shared" si="76"/>
        <v>111.52</v>
      </c>
      <c r="AH1884" s="67">
        <f t="shared" si="77"/>
        <v>808.52</v>
      </c>
      <c r="AI1884" s="67">
        <f t="shared" si="17"/>
        <v>697</v>
      </c>
      <c r="AJ1884" s="111">
        <f t="shared" si="78"/>
        <v>111.52</v>
      </c>
      <c r="AK1884" s="111">
        <f t="shared" si="79"/>
        <v>808.52</v>
      </c>
      <c r="AL1884" s="182"/>
      <c r="AM1884" s="182"/>
      <c r="AN1884" s="183"/>
      <c r="AO1884" s="183"/>
      <c r="AP1884" s="183"/>
      <c r="AQ1884" s="183"/>
      <c r="AR1884" s="183"/>
      <c r="AS1884" s="183"/>
      <c r="AT1884" s="183"/>
      <c r="AU1884" s="183"/>
      <c r="AV1884" s="183"/>
      <c r="AW1884" s="183"/>
      <c r="AX1884" s="183"/>
      <c r="AY1884" s="183"/>
      <c r="AZ1884" s="183"/>
      <c r="BA1884" s="183"/>
      <c r="BB1884" s="183"/>
      <c r="BC1884" s="183"/>
      <c r="BD1884" s="183"/>
      <c r="BE1884" s="183"/>
      <c r="BF1884" s="183"/>
      <c r="BG1884" s="183"/>
      <c r="BH1884" s="183"/>
      <c r="BI1884" s="183"/>
      <c r="BJ1884" s="183"/>
      <c r="BK1884" s="183"/>
      <c r="BL1884" s="183"/>
      <c r="BM1884" s="183"/>
      <c r="BN1884" s="183"/>
      <c r="BO1884" s="183"/>
      <c r="BP1884" s="183"/>
      <c r="BQ1884" s="183"/>
      <c r="BR1884" s="183"/>
      <c r="BS1884" s="183"/>
      <c r="BT1884" s="183"/>
      <c r="BU1884" s="183"/>
      <c r="BV1884" s="183"/>
    </row>
    <row r="1885">
      <c r="A1885" s="53">
        <v>1.0</v>
      </c>
      <c r="B1885" s="53">
        <v>2.0</v>
      </c>
      <c r="C1885" s="128" t="s">
        <v>12</v>
      </c>
      <c r="D1885" s="53" t="s">
        <v>4629</v>
      </c>
      <c r="E1885" s="54" t="s">
        <v>38</v>
      </c>
      <c r="F1885" s="54" t="s">
        <v>42</v>
      </c>
      <c r="G1885" s="54" t="s">
        <v>4630</v>
      </c>
      <c r="H1885" s="54" t="s">
        <v>4631</v>
      </c>
      <c r="I1885" s="54">
        <f t="shared" si="24"/>
        <v>34</v>
      </c>
      <c r="J1885" s="56"/>
      <c r="K1885" s="57"/>
      <c r="L1885" s="87"/>
      <c r="M1885" s="59"/>
      <c r="N1885" s="60"/>
      <c r="O1885" s="90"/>
      <c r="P1885" s="62">
        <v>630.0</v>
      </c>
      <c r="Q1885" s="63">
        <v>630.0</v>
      </c>
      <c r="R1885" s="64">
        <v>662.0</v>
      </c>
      <c r="S1885" s="111">
        <v>695.0</v>
      </c>
      <c r="T1885" s="65">
        <f t="shared" si="80"/>
        <v>111.2</v>
      </c>
      <c r="U1885" s="65">
        <f t="shared" si="81"/>
        <v>806.2</v>
      </c>
      <c r="V1885" s="66">
        <f t="shared" si="82"/>
        <v>0.0498489426</v>
      </c>
      <c r="W1885" s="67">
        <f t="shared" si="5"/>
        <v>660.25</v>
      </c>
      <c r="X1885" s="67">
        <f t="shared" si="70"/>
        <v>105.64</v>
      </c>
      <c r="Y1885" s="67">
        <f t="shared" si="71"/>
        <v>765.89</v>
      </c>
      <c r="Z1885" s="67">
        <f t="shared" si="8"/>
        <v>625.5</v>
      </c>
      <c r="AA1885" s="67">
        <f t="shared" si="72"/>
        <v>100.08</v>
      </c>
      <c r="AB1885" s="67">
        <f t="shared" si="73"/>
        <v>725.58</v>
      </c>
      <c r="AC1885" s="67">
        <f t="shared" si="11"/>
        <v>590.75</v>
      </c>
      <c r="AD1885" s="67">
        <f t="shared" si="74"/>
        <v>94.52</v>
      </c>
      <c r="AE1885" s="67">
        <f t="shared" si="75"/>
        <v>685.27</v>
      </c>
      <c r="AF1885" s="67">
        <f t="shared" si="33"/>
        <v>590.75</v>
      </c>
      <c r="AG1885" s="67">
        <f t="shared" si="76"/>
        <v>94.52</v>
      </c>
      <c r="AH1885" s="67">
        <f t="shared" si="77"/>
        <v>685.27</v>
      </c>
      <c r="AI1885" s="67">
        <f t="shared" si="17"/>
        <v>590.75</v>
      </c>
      <c r="AJ1885" s="68">
        <f t="shared" si="78"/>
        <v>94.52</v>
      </c>
      <c r="AK1885" s="68">
        <f t="shared" si="79"/>
        <v>685.27</v>
      </c>
      <c r="AL1885" s="70"/>
      <c r="AM1885" s="70"/>
      <c r="AN1885" s="71"/>
      <c r="AO1885" s="71"/>
      <c r="AP1885" s="71"/>
      <c r="AQ1885" s="71"/>
      <c r="AR1885" s="71"/>
      <c r="AS1885" s="71"/>
      <c r="AT1885" s="71"/>
      <c r="AU1885" s="71"/>
      <c r="AV1885" s="71"/>
      <c r="AW1885" s="71"/>
      <c r="AX1885" s="71"/>
      <c r="AY1885" s="71"/>
      <c r="AZ1885" s="71"/>
      <c r="BA1885" s="71"/>
      <c r="BB1885" s="71"/>
      <c r="BC1885" s="71"/>
      <c r="BD1885" s="71"/>
      <c r="BE1885" s="71"/>
      <c r="BF1885" s="71"/>
      <c r="BG1885" s="71"/>
      <c r="BH1885" s="71"/>
      <c r="BI1885" s="71"/>
      <c r="BJ1885" s="71"/>
      <c r="BK1885" s="71"/>
      <c r="BL1885" s="71"/>
      <c r="BM1885" s="71"/>
      <c r="BN1885" s="71"/>
      <c r="BO1885" s="71"/>
      <c r="BP1885" s="71"/>
      <c r="BQ1885" s="71"/>
      <c r="BR1885" s="71"/>
      <c r="BS1885" s="71"/>
      <c r="BT1885" s="71"/>
      <c r="BU1885" s="71"/>
      <c r="BV1885" s="71"/>
    </row>
    <row r="1886">
      <c r="A1886" s="53">
        <v>1.0</v>
      </c>
      <c r="B1886" s="53">
        <v>2.0</v>
      </c>
      <c r="C1886" s="53" t="s">
        <v>12</v>
      </c>
      <c r="D1886" s="53" t="s">
        <v>4632</v>
      </c>
      <c r="E1886" s="84" t="s">
        <v>38</v>
      </c>
      <c r="F1886" s="175" t="s">
        <v>42</v>
      </c>
      <c r="G1886" s="54" t="s">
        <v>4633</v>
      </c>
      <c r="H1886" s="54" t="s">
        <v>4634</v>
      </c>
      <c r="I1886" s="54">
        <f t="shared" si="24"/>
        <v>34</v>
      </c>
      <c r="J1886" s="176"/>
      <c r="K1886" s="177"/>
      <c r="L1886" s="76"/>
      <c r="M1886" s="59"/>
      <c r="N1886" s="178"/>
      <c r="O1886" s="179"/>
      <c r="P1886" s="180">
        <v>742.5</v>
      </c>
      <c r="Q1886" s="181">
        <v>742.5</v>
      </c>
      <c r="R1886" s="64">
        <v>781.0</v>
      </c>
      <c r="S1886" s="111">
        <v>820.0</v>
      </c>
      <c r="T1886" s="65">
        <f t="shared" si="80"/>
        <v>131.2</v>
      </c>
      <c r="U1886" s="65">
        <f t="shared" si="81"/>
        <v>951.2</v>
      </c>
      <c r="V1886" s="66">
        <f t="shared" si="82"/>
        <v>0.04993597951</v>
      </c>
      <c r="W1886" s="67">
        <f t="shared" si="5"/>
        <v>779</v>
      </c>
      <c r="X1886" s="67">
        <f t="shared" si="70"/>
        <v>124.64</v>
      </c>
      <c r="Y1886" s="67">
        <f t="shared" si="71"/>
        <v>903.64</v>
      </c>
      <c r="Z1886" s="67">
        <f t="shared" si="8"/>
        <v>738</v>
      </c>
      <c r="AA1886" s="67">
        <f t="shared" si="72"/>
        <v>118.08</v>
      </c>
      <c r="AB1886" s="67">
        <f t="shared" si="73"/>
        <v>856.08</v>
      </c>
      <c r="AC1886" s="67">
        <f t="shared" si="11"/>
        <v>697</v>
      </c>
      <c r="AD1886" s="67">
        <f t="shared" si="74"/>
        <v>111.52</v>
      </c>
      <c r="AE1886" s="67">
        <f t="shared" si="75"/>
        <v>808.52</v>
      </c>
      <c r="AF1886" s="67">
        <f t="shared" si="33"/>
        <v>697</v>
      </c>
      <c r="AG1886" s="67">
        <f t="shared" si="76"/>
        <v>111.52</v>
      </c>
      <c r="AH1886" s="67">
        <f t="shared" si="77"/>
        <v>808.52</v>
      </c>
      <c r="AI1886" s="67">
        <f t="shared" si="17"/>
        <v>697</v>
      </c>
      <c r="AJ1886" s="111">
        <f t="shared" si="78"/>
        <v>111.52</v>
      </c>
      <c r="AK1886" s="111">
        <f t="shared" si="79"/>
        <v>808.52</v>
      </c>
      <c r="AL1886" s="182"/>
      <c r="AM1886" s="182"/>
      <c r="AN1886" s="183"/>
      <c r="AO1886" s="183"/>
      <c r="AP1886" s="183"/>
      <c r="AQ1886" s="183"/>
      <c r="AR1886" s="183"/>
      <c r="AS1886" s="183"/>
      <c r="AT1886" s="183"/>
      <c r="AU1886" s="183"/>
      <c r="AV1886" s="183"/>
      <c r="AW1886" s="183"/>
      <c r="AX1886" s="183"/>
      <c r="AY1886" s="183"/>
      <c r="AZ1886" s="183"/>
      <c r="BA1886" s="183"/>
      <c r="BB1886" s="183"/>
      <c r="BC1886" s="183"/>
      <c r="BD1886" s="183"/>
      <c r="BE1886" s="183"/>
      <c r="BF1886" s="183"/>
      <c r="BG1886" s="183"/>
      <c r="BH1886" s="183"/>
      <c r="BI1886" s="183"/>
      <c r="BJ1886" s="183"/>
      <c r="BK1886" s="183"/>
      <c r="BL1886" s="183"/>
      <c r="BM1886" s="183"/>
      <c r="BN1886" s="183"/>
      <c r="BO1886" s="183"/>
      <c r="BP1886" s="183"/>
      <c r="BQ1886" s="183"/>
      <c r="BR1886" s="183"/>
      <c r="BS1886" s="183"/>
      <c r="BT1886" s="183"/>
      <c r="BU1886" s="183"/>
      <c r="BV1886" s="183"/>
    </row>
    <row r="1887">
      <c r="A1887" s="53">
        <v>1.0</v>
      </c>
      <c r="B1887" s="53">
        <v>3.0</v>
      </c>
      <c r="C1887" s="128" t="s">
        <v>12</v>
      </c>
      <c r="D1887" s="74" t="s">
        <v>4635</v>
      </c>
      <c r="E1887" s="54" t="s">
        <v>38</v>
      </c>
      <c r="F1887" s="54" t="s">
        <v>42</v>
      </c>
      <c r="G1887" s="54" t="s">
        <v>4636</v>
      </c>
      <c r="H1887" s="54" t="s">
        <v>4637</v>
      </c>
      <c r="I1887" s="54">
        <f t="shared" si="24"/>
        <v>34</v>
      </c>
      <c r="J1887" s="56"/>
      <c r="K1887" s="57"/>
      <c r="L1887" s="184" t="s">
        <v>661</v>
      </c>
      <c r="M1887" s="59"/>
      <c r="N1887" s="60">
        <v>961.0</v>
      </c>
      <c r="O1887" s="61">
        <v>1037.0</v>
      </c>
      <c r="P1887" s="62">
        <v>1119.96</v>
      </c>
      <c r="Q1887" s="63">
        <v>1119.96</v>
      </c>
      <c r="R1887" s="64">
        <v>1248.0</v>
      </c>
      <c r="S1887" s="111">
        <v>1310.0</v>
      </c>
      <c r="T1887" s="65">
        <f t="shared" si="80"/>
        <v>209.6</v>
      </c>
      <c r="U1887" s="65">
        <f t="shared" si="81"/>
        <v>1519.6</v>
      </c>
      <c r="V1887" s="66">
        <f t="shared" si="82"/>
        <v>0.04967948718</v>
      </c>
      <c r="W1887" s="67">
        <f t="shared" si="5"/>
        <v>1244.5</v>
      </c>
      <c r="X1887" s="67">
        <f t="shared" si="70"/>
        <v>199.12</v>
      </c>
      <c r="Y1887" s="67">
        <f t="shared" si="71"/>
        <v>1443.62</v>
      </c>
      <c r="Z1887" s="67">
        <f t="shared" si="8"/>
        <v>1179</v>
      </c>
      <c r="AA1887" s="67">
        <f t="shared" si="72"/>
        <v>188.64</v>
      </c>
      <c r="AB1887" s="67">
        <f t="shared" si="73"/>
        <v>1367.64</v>
      </c>
      <c r="AC1887" s="67">
        <f t="shared" si="11"/>
        <v>1179</v>
      </c>
      <c r="AD1887" s="67">
        <f t="shared" si="74"/>
        <v>188.64</v>
      </c>
      <c r="AE1887" s="67">
        <f t="shared" si="75"/>
        <v>1367.64</v>
      </c>
      <c r="AF1887" s="67">
        <f t="shared" si="33"/>
        <v>1179</v>
      </c>
      <c r="AG1887" s="67">
        <f t="shared" si="76"/>
        <v>188.64</v>
      </c>
      <c r="AH1887" s="67">
        <f t="shared" si="77"/>
        <v>1367.64</v>
      </c>
      <c r="AI1887" s="67">
        <f t="shared" si="17"/>
        <v>1179</v>
      </c>
      <c r="AJ1887" s="68">
        <f t="shared" si="78"/>
        <v>188.64</v>
      </c>
      <c r="AK1887" s="68">
        <f t="shared" si="79"/>
        <v>1367.64</v>
      </c>
      <c r="AL1887" s="70"/>
      <c r="AM1887" s="70"/>
      <c r="AN1887" s="71"/>
      <c r="AO1887" s="71"/>
      <c r="AP1887" s="71"/>
      <c r="AQ1887" s="71"/>
      <c r="AR1887" s="71"/>
      <c r="AS1887" s="71"/>
      <c r="AT1887" s="71"/>
      <c r="AU1887" s="71"/>
      <c r="AV1887" s="71"/>
      <c r="AW1887" s="71"/>
      <c r="AX1887" s="71"/>
      <c r="AY1887" s="71"/>
      <c r="AZ1887" s="71"/>
      <c r="BA1887" s="71"/>
      <c r="BB1887" s="71"/>
      <c r="BC1887" s="71"/>
      <c r="BD1887" s="71"/>
      <c r="BE1887" s="71"/>
      <c r="BF1887" s="71"/>
      <c r="BG1887" s="71"/>
      <c r="BH1887" s="71"/>
      <c r="BI1887" s="71"/>
      <c r="BJ1887" s="71"/>
      <c r="BK1887" s="71"/>
      <c r="BL1887" s="71"/>
      <c r="BM1887" s="71"/>
      <c r="BN1887" s="71"/>
      <c r="BO1887" s="71"/>
      <c r="BP1887" s="71"/>
      <c r="BQ1887" s="71"/>
      <c r="BR1887" s="71"/>
      <c r="BS1887" s="71"/>
      <c r="BT1887" s="71"/>
      <c r="BU1887" s="71"/>
      <c r="BV1887" s="71"/>
    </row>
    <row r="1888">
      <c r="A1888" s="53">
        <v>1.0</v>
      </c>
      <c r="B1888" s="53">
        <v>3.0</v>
      </c>
      <c r="C1888" s="128" t="s">
        <v>12</v>
      </c>
      <c r="D1888" s="185" t="s">
        <v>4638</v>
      </c>
      <c r="E1888" s="54" t="s">
        <v>38</v>
      </c>
      <c r="F1888" s="54" t="s">
        <v>42</v>
      </c>
      <c r="G1888" s="54" t="s">
        <v>4639</v>
      </c>
      <c r="H1888" s="54" t="s">
        <v>4640</v>
      </c>
      <c r="I1888" s="54">
        <f t="shared" si="24"/>
        <v>31</v>
      </c>
      <c r="J1888" s="186"/>
      <c r="K1888" s="57"/>
      <c r="L1888" s="184" t="s">
        <v>661</v>
      </c>
      <c r="M1888" s="59"/>
      <c r="N1888" s="60">
        <v>748.0</v>
      </c>
      <c r="O1888" s="187">
        <v>807.0</v>
      </c>
      <c r="P1888" s="62">
        <v>871.5600000000001</v>
      </c>
      <c r="Q1888" s="63">
        <v>871.5600000000001</v>
      </c>
      <c r="R1888" s="64">
        <v>971.0</v>
      </c>
      <c r="S1888" s="111">
        <v>1020.0</v>
      </c>
      <c r="T1888" s="65">
        <f t="shared" si="80"/>
        <v>163.2</v>
      </c>
      <c r="U1888" s="65">
        <f t="shared" si="81"/>
        <v>1183.2</v>
      </c>
      <c r="V1888" s="66">
        <f t="shared" si="82"/>
        <v>0.05046343975</v>
      </c>
      <c r="W1888" s="67">
        <f t="shared" si="5"/>
        <v>969</v>
      </c>
      <c r="X1888" s="67">
        <f t="shared" si="70"/>
        <v>155.04</v>
      </c>
      <c r="Y1888" s="67">
        <f t="shared" si="71"/>
        <v>1124.04</v>
      </c>
      <c r="Z1888" s="67">
        <f t="shared" si="8"/>
        <v>918</v>
      </c>
      <c r="AA1888" s="67">
        <f t="shared" si="72"/>
        <v>146.88</v>
      </c>
      <c r="AB1888" s="67">
        <f t="shared" si="73"/>
        <v>1064.88</v>
      </c>
      <c r="AC1888" s="67">
        <f t="shared" si="11"/>
        <v>918</v>
      </c>
      <c r="AD1888" s="67">
        <f t="shared" si="74"/>
        <v>146.88</v>
      </c>
      <c r="AE1888" s="67">
        <f t="shared" si="75"/>
        <v>1064.88</v>
      </c>
      <c r="AF1888" s="67">
        <f t="shared" si="33"/>
        <v>918</v>
      </c>
      <c r="AG1888" s="67">
        <f t="shared" si="76"/>
        <v>146.88</v>
      </c>
      <c r="AH1888" s="67">
        <f t="shared" si="77"/>
        <v>1064.88</v>
      </c>
      <c r="AI1888" s="67">
        <f t="shared" si="17"/>
        <v>918</v>
      </c>
      <c r="AJ1888" s="68">
        <f t="shared" si="78"/>
        <v>146.88</v>
      </c>
      <c r="AK1888" s="68">
        <f t="shared" si="79"/>
        <v>1064.88</v>
      </c>
      <c r="AL1888" s="70"/>
      <c r="AM1888" s="70"/>
      <c r="AN1888" s="71"/>
      <c r="AO1888" s="71"/>
      <c r="AP1888" s="71"/>
      <c r="AQ1888" s="71"/>
      <c r="AR1888" s="71"/>
      <c r="AS1888" s="71"/>
      <c r="AT1888" s="71"/>
      <c r="AU1888" s="71"/>
      <c r="AV1888" s="71"/>
      <c r="AW1888" s="71"/>
      <c r="AX1888" s="71"/>
      <c r="AY1888" s="71"/>
      <c r="AZ1888" s="71"/>
      <c r="BA1888" s="71"/>
      <c r="BB1888" s="71"/>
      <c r="BC1888" s="71"/>
      <c r="BD1888" s="71"/>
      <c r="BE1888" s="71"/>
      <c r="BF1888" s="71"/>
      <c r="BG1888" s="71"/>
      <c r="BH1888" s="71"/>
      <c r="BI1888" s="71"/>
      <c r="BJ1888" s="71"/>
      <c r="BK1888" s="71"/>
      <c r="BL1888" s="71"/>
      <c r="BM1888" s="71"/>
      <c r="BN1888" s="71"/>
      <c r="BO1888" s="71"/>
      <c r="BP1888" s="71"/>
      <c r="BQ1888" s="71"/>
      <c r="BR1888" s="71"/>
      <c r="BS1888" s="71"/>
      <c r="BT1888" s="71"/>
      <c r="BU1888" s="71"/>
      <c r="BV1888" s="71"/>
    </row>
    <row r="1889">
      <c r="A1889" s="53">
        <v>1.0</v>
      </c>
      <c r="B1889" s="53">
        <v>3.0</v>
      </c>
      <c r="C1889" s="128" t="s">
        <v>12</v>
      </c>
      <c r="D1889" s="74" t="s">
        <v>4641</v>
      </c>
      <c r="E1889" s="54" t="s">
        <v>38</v>
      </c>
      <c r="F1889" s="54" t="s">
        <v>42</v>
      </c>
      <c r="G1889" s="54" t="s">
        <v>4642</v>
      </c>
      <c r="H1889" s="54" t="s">
        <v>4643</v>
      </c>
      <c r="I1889" s="54">
        <f t="shared" si="24"/>
        <v>30</v>
      </c>
      <c r="J1889" s="56"/>
      <c r="K1889" s="57"/>
      <c r="L1889" s="184" t="s">
        <v>661</v>
      </c>
      <c r="M1889" s="59"/>
      <c r="N1889" s="60">
        <v>569.0</v>
      </c>
      <c r="O1889" s="61">
        <v>752.0</v>
      </c>
      <c r="P1889" s="62">
        <v>812.1600000000001</v>
      </c>
      <c r="Q1889" s="63">
        <v>812.1600000000001</v>
      </c>
      <c r="R1889" s="64">
        <v>905.0</v>
      </c>
      <c r="S1889" s="111">
        <v>950.0</v>
      </c>
      <c r="T1889" s="65">
        <f t="shared" si="80"/>
        <v>152</v>
      </c>
      <c r="U1889" s="65">
        <f t="shared" si="81"/>
        <v>1102</v>
      </c>
      <c r="V1889" s="66">
        <f t="shared" si="82"/>
        <v>0.04972375691</v>
      </c>
      <c r="W1889" s="67">
        <f t="shared" si="5"/>
        <v>902.5</v>
      </c>
      <c r="X1889" s="67">
        <f t="shared" si="70"/>
        <v>144.4</v>
      </c>
      <c r="Y1889" s="67">
        <f t="shared" si="71"/>
        <v>1046.9</v>
      </c>
      <c r="Z1889" s="67">
        <f t="shared" si="8"/>
        <v>855</v>
      </c>
      <c r="AA1889" s="67">
        <f t="shared" si="72"/>
        <v>136.8</v>
      </c>
      <c r="AB1889" s="67">
        <f t="shared" si="73"/>
        <v>991.8</v>
      </c>
      <c r="AC1889" s="67">
        <f t="shared" si="11"/>
        <v>855</v>
      </c>
      <c r="AD1889" s="67">
        <f t="shared" si="74"/>
        <v>136.8</v>
      </c>
      <c r="AE1889" s="67">
        <f t="shared" si="75"/>
        <v>991.8</v>
      </c>
      <c r="AF1889" s="67">
        <f t="shared" si="33"/>
        <v>855</v>
      </c>
      <c r="AG1889" s="67">
        <f t="shared" si="76"/>
        <v>136.8</v>
      </c>
      <c r="AH1889" s="67">
        <f t="shared" si="77"/>
        <v>991.8</v>
      </c>
      <c r="AI1889" s="67">
        <f t="shared" si="17"/>
        <v>855</v>
      </c>
      <c r="AJ1889" s="68">
        <f t="shared" si="78"/>
        <v>136.8</v>
      </c>
      <c r="AK1889" s="68">
        <f t="shared" si="79"/>
        <v>991.8</v>
      </c>
      <c r="AL1889" s="70"/>
      <c r="AM1889" s="70"/>
      <c r="AN1889" s="71"/>
      <c r="AO1889" s="71"/>
      <c r="AP1889" s="71"/>
      <c r="AQ1889" s="71"/>
      <c r="AR1889" s="71"/>
      <c r="AS1889" s="71"/>
      <c r="AT1889" s="71"/>
      <c r="AU1889" s="71"/>
      <c r="AV1889" s="71"/>
      <c r="AW1889" s="71"/>
      <c r="AX1889" s="71"/>
      <c r="AY1889" s="71"/>
      <c r="AZ1889" s="71"/>
      <c r="BA1889" s="71"/>
      <c r="BB1889" s="71"/>
      <c r="BC1889" s="71"/>
      <c r="BD1889" s="71"/>
      <c r="BE1889" s="71"/>
      <c r="BF1889" s="71"/>
      <c r="BG1889" s="71"/>
      <c r="BH1889" s="71"/>
      <c r="BI1889" s="71"/>
      <c r="BJ1889" s="71"/>
      <c r="BK1889" s="71"/>
      <c r="BL1889" s="71"/>
      <c r="BM1889" s="71"/>
      <c r="BN1889" s="71"/>
      <c r="BO1889" s="71"/>
      <c r="BP1889" s="71"/>
      <c r="BQ1889" s="71"/>
      <c r="BR1889" s="71"/>
      <c r="BS1889" s="71"/>
      <c r="BT1889" s="71"/>
      <c r="BU1889" s="71"/>
      <c r="BV1889" s="71"/>
    </row>
    <row r="1890">
      <c r="A1890" s="53">
        <v>1.0</v>
      </c>
      <c r="B1890" s="53">
        <v>3.0</v>
      </c>
      <c r="C1890" s="128" t="s">
        <v>12</v>
      </c>
      <c r="D1890" s="74" t="s">
        <v>4644</v>
      </c>
      <c r="E1890" s="54" t="s">
        <v>38</v>
      </c>
      <c r="F1890" s="54" t="s">
        <v>42</v>
      </c>
      <c r="G1890" s="54" t="s">
        <v>4645</v>
      </c>
      <c r="H1890" s="54" t="s">
        <v>4646</v>
      </c>
      <c r="I1890" s="54">
        <f t="shared" si="24"/>
        <v>30</v>
      </c>
      <c r="J1890" s="56"/>
      <c r="K1890" s="57"/>
      <c r="L1890" s="184" t="s">
        <v>661</v>
      </c>
      <c r="M1890" s="59"/>
      <c r="N1890" s="60">
        <v>569.0</v>
      </c>
      <c r="O1890" s="61">
        <v>752.0</v>
      </c>
      <c r="P1890" s="62">
        <v>812.1600000000001</v>
      </c>
      <c r="Q1890" s="63">
        <v>812.1600000000001</v>
      </c>
      <c r="R1890" s="64">
        <v>905.0</v>
      </c>
      <c r="S1890" s="111">
        <v>950.0</v>
      </c>
      <c r="T1890" s="65">
        <f t="shared" si="80"/>
        <v>152</v>
      </c>
      <c r="U1890" s="65">
        <f t="shared" si="81"/>
        <v>1102</v>
      </c>
      <c r="V1890" s="66">
        <f t="shared" si="82"/>
        <v>0.04972375691</v>
      </c>
      <c r="W1890" s="67">
        <f t="shared" si="5"/>
        <v>902.5</v>
      </c>
      <c r="X1890" s="67">
        <f t="shared" si="70"/>
        <v>144.4</v>
      </c>
      <c r="Y1890" s="67">
        <f t="shared" si="71"/>
        <v>1046.9</v>
      </c>
      <c r="Z1890" s="67">
        <f t="shared" si="8"/>
        <v>855</v>
      </c>
      <c r="AA1890" s="67">
        <f t="shared" si="72"/>
        <v>136.8</v>
      </c>
      <c r="AB1890" s="67">
        <f t="shared" si="73"/>
        <v>991.8</v>
      </c>
      <c r="AC1890" s="67">
        <f t="shared" si="11"/>
        <v>855</v>
      </c>
      <c r="AD1890" s="67">
        <f t="shared" si="74"/>
        <v>136.8</v>
      </c>
      <c r="AE1890" s="67">
        <f t="shared" si="75"/>
        <v>991.8</v>
      </c>
      <c r="AF1890" s="67">
        <f t="shared" si="33"/>
        <v>855</v>
      </c>
      <c r="AG1890" s="67">
        <f t="shared" si="76"/>
        <v>136.8</v>
      </c>
      <c r="AH1890" s="67">
        <f t="shared" si="77"/>
        <v>991.8</v>
      </c>
      <c r="AI1890" s="67">
        <f t="shared" si="17"/>
        <v>855</v>
      </c>
      <c r="AJ1890" s="68">
        <f t="shared" si="78"/>
        <v>136.8</v>
      </c>
      <c r="AK1890" s="68">
        <f t="shared" si="79"/>
        <v>991.8</v>
      </c>
      <c r="AL1890" s="70"/>
      <c r="AM1890" s="70"/>
      <c r="AN1890" s="71"/>
      <c r="AO1890" s="71"/>
      <c r="AP1890" s="71"/>
      <c r="AQ1890" s="71"/>
      <c r="AR1890" s="71"/>
      <c r="AS1890" s="71"/>
      <c r="AT1890" s="71"/>
      <c r="AU1890" s="71"/>
      <c r="AV1890" s="71"/>
      <c r="AW1890" s="71"/>
      <c r="AX1890" s="71"/>
      <c r="AY1890" s="71"/>
      <c r="AZ1890" s="71"/>
      <c r="BA1890" s="71"/>
      <c r="BB1890" s="71"/>
      <c r="BC1890" s="71"/>
      <c r="BD1890" s="71"/>
      <c r="BE1890" s="71"/>
      <c r="BF1890" s="71"/>
      <c r="BG1890" s="71"/>
      <c r="BH1890" s="71"/>
      <c r="BI1890" s="71"/>
      <c r="BJ1890" s="71"/>
      <c r="BK1890" s="71"/>
      <c r="BL1890" s="71"/>
      <c r="BM1890" s="71"/>
      <c r="BN1890" s="71"/>
      <c r="BO1890" s="71"/>
      <c r="BP1890" s="71"/>
      <c r="BQ1890" s="71"/>
      <c r="BR1890" s="71"/>
      <c r="BS1890" s="71"/>
      <c r="BT1890" s="71"/>
      <c r="BU1890" s="71"/>
      <c r="BV1890" s="71"/>
    </row>
    <row r="1891">
      <c r="A1891" s="53">
        <v>1.0</v>
      </c>
      <c r="B1891" s="53">
        <v>3.0</v>
      </c>
      <c r="C1891" s="128" t="s">
        <v>12</v>
      </c>
      <c r="D1891" s="185" t="s">
        <v>4647</v>
      </c>
      <c r="E1891" s="54" t="s">
        <v>38</v>
      </c>
      <c r="F1891" s="54" t="s">
        <v>42</v>
      </c>
      <c r="G1891" s="54" t="s">
        <v>4648</v>
      </c>
      <c r="H1891" s="54" t="s">
        <v>4649</v>
      </c>
      <c r="I1891" s="54">
        <f t="shared" si="24"/>
        <v>30</v>
      </c>
      <c r="J1891" s="186"/>
      <c r="K1891" s="57"/>
      <c r="L1891" s="184" t="s">
        <v>661</v>
      </c>
      <c r="M1891" s="59"/>
      <c r="N1891" s="60">
        <v>748.0</v>
      </c>
      <c r="O1891" s="187">
        <v>807.0</v>
      </c>
      <c r="P1891" s="62">
        <v>871.5600000000001</v>
      </c>
      <c r="Q1891" s="63">
        <v>871.5600000000001</v>
      </c>
      <c r="R1891" s="64">
        <v>971.0</v>
      </c>
      <c r="S1891" s="111">
        <v>1020.0</v>
      </c>
      <c r="T1891" s="65">
        <f t="shared" si="80"/>
        <v>163.2</v>
      </c>
      <c r="U1891" s="65">
        <f t="shared" si="81"/>
        <v>1183.2</v>
      </c>
      <c r="V1891" s="66">
        <f t="shared" si="82"/>
        <v>0.05046343975</v>
      </c>
      <c r="W1891" s="67">
        <f t="shared" si="5"/>
        <v>969</v>
      </c>
      <c r="X1891" s="67">
        <f t="shared" si="70"/>
        <v>155.04</v>
      </c>
      <c r="Y1891" s="67">
        <f t="shared" si="71"/>
        <v>1124.04</v>
      </c>
      <c r="Z1891" s="67">
        <f t="shared" si="8"/>
        <v>918</v>
      </c>
      <c r="AA1891" s="67">
        <f t="shared" si="72"/>
        <v>146.88</v>
      </c>
      <c r="AB1891" s="67">
        <f t="shared" si="73"/>
        <v>1064.88</v>
      </c>
      <c r="AC1891" s="67">
        <f t="shared" si="11"/>
        <v>918</v>
      </c>
      <c r="AD1891" s="67">
        <f t="shared" si="74"/>
        <v>146.88</v>
      </c>
      <c r="AE1891" s="67">
        <f t="shared" si="75"/>
        <v>1064.88</v>
      </c>
      <c r="AF1891" s="67">
        <f t="shared" si="33"/>
        <v>918</v>
      </c>
      <c r="AG1891" s="67">
        <f t="shared" si="76"/>
        <v>146.88</v>
      </c>
      <c r="AH1891" s="67">
        <f t="shared" si="77"/>
        <v>1064.88</v>
      </c>
      <c r="AI1891" s="67">
        <f t="shared" si="17"/>
        <v>918</v>
      </c>
      <c r="AJ1891" s="68">
        <f t="shared" si="78"/>
        <v>146.88</v>
      </c>
      <c r="AK1891" s="68">
        <f t="shared" si="79"/>
        <v>1064.88</v>
      </c>
      <c r="AL1891" s="70"/>
      <c r="AM1891" s="70"/>
      <c r="AN1891" s="71"/>
      <c r="AO1891" s="71"/>
      <c r="AP1891" s="71"/>
      <c r="AQ1891" s="71"/>
      <c r="AR1891" s="71"/>
      <c r="AS1891" s="71"/>
      <c r="AT1891" s="71"/>
      <c r="AU1891" s="71"/>
      <c r="AV1891" s="71"/>
      <c r="AW1891" s="71"/>
      <c r="AX1891" s="71"/>
      <c r="AY1891" s="71"/>
      <c r="AZ1891" s="71"/>
      <c r="BA1891" s="71"/>
      <c r="BB1891" s="71"/>
      <c r="BC1891" s="71"/>
      <c r="BD1891" s="71"/>
      <c r="BE1891" s="71"/>
      <c r="BF1891" s="71"/>
      <c r="BG1891" s="71"/>
      <c r="BH1891" s="71"/>
      <c r="BI1891" s="71"/>
      <c r="BJ1891" s="71"/>
      <c r="BK1891" s="71"/>
      <c r="BL1891" s="71"/>
      <c r="BM1891" s="71"/>
      <c r="BN1891" s="71"/>
      <c r="BO1891" s="71"/>
      <c r="BP1891" s="71"/>
      <c r="BQ1891" s="71"/>
      <c r="BR1891" s="71"/>
      <c r="BS1891" s="71"/>
      <c r="BT1891" s="71"/>
      <c r="BU1891" s="71"/>
      <c r="BV1891" s="71"/>
    </row>
    <row r="1892">
      <c r="A1892" s="53"/>
      <c r="B1892" s="53"/>
      <c r="C1892" s="53"/>
      <c r="D1892" s="53" t="s">
        <v>4650</v>
      </c>
      <c r="E1892" s="55" t="s">
        <v>38</v>
      </c>
      <c r="F1892" s="89"/>
      <c r="G1892" s="84" t="s">
        <v>4651</v>
      </c>
      <c r="H1892" s="55"/>
      <c r="I1892" s="54">
        <f t="shared" si="24"/>
        <v>0</v>
      </c>
      <c r="J1892" s="56"/>
      <c r="K1892" s="57"/>
      <c r="L1892" s="55"/>
      <c r="M1892" s="59"/>
      <c r="N1892" s="60"/>
      <c r="O1892" s="90"/>
      <c r="P1892" s="62">
        <v>207000.0</v>
      </c>
      <c r="Q1892" s="63">
        <v>207000.0</v>
      </c>
      <c r="R1892" s="64">
        <v>228218.0</v>
      </c>
      <c r="S1892" s="111">
        <v>239629.0</v>
      </c>
      <c r="T1892" s="65">
        <f t="shared" si="80"/>
        <v>38340.64</v>
      </c>
      <c r="U1892" s="65">
        <f t="shared" si="81"/>
        <v>277969.64</v>
      </c>
      <c r="V1892" s="66">
        <f t="shared" si="82"/>
        <v>0.05000043818</v>
      </c>
      <c r="W1892" s="67">
        <f t="shared" si="5"/>
        <v>227647.55</v>
      </c>
      <c r="X1892" s="67">
        <f t="shared" si="70"/>
        <v>36423.608</v>
      </c>
      <c r="Y1892" s="67">
        <f t="shared" si="71"/>
        <v>264071.158</v>
      </c>
      <c r="Z1892" s="67">
        <f t="shared" si="8"/>
        <v>215666.1</v>
      </c>
      <c r="AA1892" s="67">
        <f t="shared" si="72"/>
        <v>34506.576</v>
      </c>
      <c r="AB1892" s="67">
        <f t="shared" si="73"/>
        <v>250172.676</v>
      </c>
      <c r="AC1892" s="67">
        <f t="shared" si="11"/>
        <v>203684.65</v>
      </c>
      <c r="AD1892" s="67">
        <f t="shared" si="74"/>
        <v>32589.544</v>
      </c>
      <c r="AE1892" s="67">
        <f t="shared" si="75"/>
        <v>236274.194</v>
      </c>
      <c r="AF1892" s="67">
        <f t="shared" si="33"/>
        <v>198892.07</v>
      </c>
      <c r="AG1892" s="67">
        <f t="shared" si="76"/>
        <v>31822.7312</v>
      </c>
      <c r="AH1892" s="67">
        <f t="shared" si="77"/>
        <v>230714.8012</v>
      </c>
      <c r="AI1892" s="67">
        <f t="shared" si="17"/>
        <v>191703.2</v>
      </c>
      <c r="AJ1892" s="68">
        <f t="shared" si="78"/>
        <v>30672.512</v>
      </c>
      <c r="AK1892" s="68">
        <f t="shared" si="79"/>
        <v>222375.712</v>
      </c>
      <c r="AL1892" s="70"/>
      <c r="AM1892" s="70"/>
      <c r="AN1892" s="71"/>
      <c r="AO1892" s="71"/>
      <c r="AP1892" s="71"/>
      <c r="AQ1892" s="71"/>
      <c r="AR1892" s="71"/>
      <c r="AS1892" s="71"/>
      <c r="AT1892" s="71"/>
      <c r="AU1892" s="71"/>
      <c r="AV1892" s="71"/>
      <c r="AW1892" s="71"/>
      <c r="AX1892" s="71"/>
      <c r="AY1892" s="71"/>
      <c r="AZ1892" s="71"/>
      <c r="BA1892" s="71"/>
      <c r="BB1892" s="71"/>
      <c r="BC1892" s="71"/>
      <c r="BD1892" s="71"/>
      <c r="BE1892" s="71"/>
      <c r="BF1892" s="71"/>
      <c r="BG1892" s="71"/>
      <c r="BH1892" s="71"/>
      <c r="BI1892" s="71"/>
      <c r="BJ1892" s="71"/>
      <c r="BK1892" s="71"/>
      <c r="BL1892" s="71"/>
      <c r="BM1892" s="71"/>
      <c r="BN1892" s="71"/>
      <c r="BO1892" s="71"/>
      <c r="BP1892" s="71"/>
      <c r="BQ1892" s="71"/>
      <c r="BR1892" s="71"/>
      <c r="BS1892" s="71"/>
      <c r="BT1892" s="71"/>
      <c r="BU1892" s="71"/>
      <c r="BV1892" s="71"/>
    </row>
    <row r="1893">
      <c r="A1893" s="53"/>
      <c r="B1893" s="53"/>
      <c r="C1893" s="53"/>
      <c r="D1893" s="53" t="s">
        <v>4652</v>
      </c>
      <c r="E1893" s="86" t="s">
        <v>4653</v>
      </c>
      <c r="F1893" s="89"/>
      <c r="G1893" s="84" t="s">
        <v>4654</v>
      </c>
      <c r="H1893" s="55"/>
      <c r="I1893" s="54">
        <f t="shared" si="24"/>
        <v>0</v>
      </c>
      <c r="J1893" s="56"/>
      <c r="K1893" s="57"/>
      <c r="L1893" s="76"/>
      <c r="M1893" s="59"/>
      <c r="N1893" s="60"/>
      <c r="O1893" s="90"/>
      <c r="P1893" s="62">
        <v>138000.0</v>
      </c>
      <c r="Q1893" s="63">
        <v>138000.0</v>
      </c>
      <c r="R1893" s="64">
        <v>152145.0</v>
      </c>
      <c r="S1893" s="111">
        <v>159752.0</v>
      </c>
      <c r="T1893" s="65">
        <f t="shared" si="80"/>
        <v>25560.32</v>
      </c>
      <c r="U1893" s="65">
        <f t="shared" si="81"/>
        <v>185312.32</v>
      </c>
      <c r="V1893" s="66">
        <f t="shared" si="82"/>
        <v>0.04999835683</v>
      </c>
      <c r="W1893" s="67">
        <f t="shared" si="5"/>
        <v>151764.4</v>
      </c>
      <c r="X1893" s="67">
        <f t="shared" si="70"/>
        <v>24282.304</v>
      </c>
      <c r="Y1893" s="67">
        <f t="shared" si="71"/>
        <v>176046.704</v>
      </c>
      <c r="Z1893" s="67">
        <f t="shared" si="8"/>
        <v>143776.8</v>
      </c>
      <c r="AA1893" s="67">
        <f t="shared" si="72"/>
        <v>23004.288</v>
      </c>
      <c r="AB1893" s="67">
        <f t="shared" si="73"/>
        <v>166781.088</v>
      </c>
      <c r="AC1893" s="67">
        <f t="shared" si="11"/>
        <v>135789.2</v>
      </c>
      <c r="AD1893" s="67">
        <f t="shared" si="74"/>
        <v>21726.272</v>
      </c>
      <c r="AE1893" s="67">
        <f t="shared" si="75"/>
        <v>157515.472</v>
      </c>
      <c r="AF1893" s="67">
        <f t="shared" si="33"/>
        <v>132594.16</v>
      </c>
      <c r="AG1893" s="67">
        <f t="shared" si="76"/>
        <v>21215.0656</v>
      </c>
      <c r="AH1893" s="67">
        <f t="shared" si="77"/>
        <v>153809.2256</v>
      </c>
      <c r="AI1893" s="67">
        <f t="shared" si="17"/>
        <v>127801.6</v>
      </c>
      <c r="AJ1893" s="68">
        <f t="shared" si="78"/>
        <v>20448.256</v>
      </c>
      <c r="AK1893" s="68">
        <f t="shared" si="79"/>
        <v>148249.856</v>
      </c>
      <c r="AL1893" s="70"/>
      <c r="AM1893" s="70"/>
      <c r="AN1893" s="71"/>
      <c r="AO1893" s="71"/>
      <c r="AP1893" s="71"/>
      <c r="AQ1893" s="71"/>
      <c r="AR1893" s="71"/>
      <c r="AS1893" s="71"/>
      <c r="AT1893" s="71"/>
      <c r="AU1893" s="71"/>
      <c r="AV1893" s="71"/>
      <c r="AW1893" s="71"/>
      <c r="AX1893" s="71"/>
      <c r="AY1893" s="71"/>
      <c r="AZ1893" s="71"/>
      <c r="BA1893" s="71"/>
      <c r="BB1893" s="71"/>
      <c r="BC1893" s="71"/>
      <c r="BD1893" s="71"/>
      <c r="BE1893" s="71"/>
      <c r="BF1893" s="71"/>
      <c r="BG1893" s="71"/>
      <c r="BH1893" s="71"/>
      <c r="BI1893" s="71"/>
      <c r="BJ1893" s="71"/>
      <c r="BK1893" s="71"/>
      <c r="BL1893" s="71"/>
      <c r="BM1893" s="71"/>
      <c r="BN1893" s="71"/>
      <c r="BO1893" s="71"/>
      <c r="BP1893" s="71"/>
      <c r="BQ1893" s="71"/>
      <c r="BR1893" s="71"/>
      <c r="BS1893" s="71"/>
      <c r="BT1893" s="71"/>
      <c r="BU1893" s="71"/>
      <c r="BV1893" s="71"/>
    </row>
    <row r="1894">
      <c r="A1894" s="53"/>
      <c r="B1894" s="53"/>
      <c r="C1894" s="53"/>
      <c r="D1894" s="53" t="s">
        <v>4655</v>
      </c>
      <c r="E1894" s="86" t="s">
        <v>4653</v>
      </c>
      <c r="F1894" s="89"/>
      <c r="G1894" s="84" t="s">
        <v>4656</v>
      </c>
      <c r="H1894" s="55"/>
      <c r="I1894" s="54">
        <f t="shared" si="24"/>
        <v>0</v>
      </c>
      <c r="J1894" s="56"/>
      <c r="K1894" s="57"/>
      <c r="L1894" s="76"/>
      <c r="M1894" s="59"/>
      <c r="N1894" s="60"/>
      <c r="O1894" s="90"/>
      <c r="P1894" s="62">
        <v>148000.0</v>
      </c>
      <c r="Q1894" s="63">
        <v>148000.0</v>
      </c>
      <c r="R1894" s="64">
        <v>163170.0</v>
      </c>
      <c r="S1894" s="111">
        <v>171329.0</v>
      </c>
      <c r="T1894" s="65">
        <f t="shared" si="80"/>
        <v>27412.64</v>
      </c>
      <c r="U1894" s="65">
        <f t="shared" si="81"/>
        <v>198741.64</v>
      </c>
      <c r="V1894" s="66">
        <f t="shared" si="82"/>
        <v>0.05000306429</v>
      </c>
      <c r="W1894" s="67">
        <f t="shared" si="5"/>
        <v>162762.55</v>
      </c>
      <c r="X1894" s="67">
        <f t="shared" si="70"/>
        <v>26042.008</v>
      </c>
      <c r="Y1894" s="67">
        <f t="shared" si="71"/>
        <v>188804.558</v>
      </c>
      <c r="Z1894" s="67">
        <f t="shared" si="8"/>
        <v>154196.1</v>
      </c>
      <c r="AA1894" s="67">
        <f t="shared" si="72"/>
        <v>24671.376</v>
      </c>
      <c r="AB1894" s="67">
        <f t="shared" si="73"/>
        <v>178867.476</v>
      </c>
      <c r="AC1894" s="67">
        <f t="shared" si="11"/>
        <v>145629.65</v>
      </c>
      <c r="AD1894" s="67">
        <f t="shared" si="74"/>
        <v>23300.744</v>
      </c>
      <c r="AE1894" s="67">
        <f t="shared" si="75"/>
        <v>168930.394</v>
      </c>
      <c r="AF1894" s="67">
        <f t="shared" si="33"/>
        <v>142203.07</v>
      </c>
      <c r="AG1894" s="67">
        <f t="shared" si="76"/>
        <v>22752.4912</v>
      </c>
      <c r="AH1894" s="67">
        <f t="shared" si="77"/>
        <v>164955.5612</v>
      </c>
      <c r="AI1894" s="67">
        <f t="shared" si="17"/>
        <v>137063.2</v>
      </c>
      <c r="AJ1894" s="68">
        <f t="shared" si="78"/>
        <v>21930.112</v>
      </c>
      <c r="AK1894" s="68">
        <f t="shared" si="79"/>
        <v>158993.312</v>
      </c>
      <c r="AL1894" s="70"/>
      <c r="AM1894" s="70"/>
      <c r="AN1894" s="71"/>
      <c r="AO1894" s="71"/>
      <c r="AP1894" s="71"/>
      <c r="AQ1894" s="71"/>
      <c r="AR1894" s="71"/>
      <c r="AS1894" s="71"/>
      <c r="AT1894" s="71"/>
      <c r="AU1894" s="71"/>
      <c r="AV1894" s="71"/>
      <c r="AW1894" s="71"/>
      <c r="AX1894" s="71"/>
      <c r="AY1894" s="71"/>
      <c r="AZ1894" s="71"/>
      <c r="BA1894" s="71"/>
      <c r="BB1894" s="71"/>
      <c r="BC1894" s="71"/>
      <c r="BD1894" s="71"/>
      <c r="BE1894" s="71"/>
      <c r="BF1894" s="71"/>
      <c r="BG1894" s="71"/>
      <c r="BH1894" s="71"/>
      <c r="BI1894" s="71"/>
      <c r="BJ1894" s="71"/>
      <c r="BK1894" s="71"/>
      <c r="BL1894" s="71"/>
      <c r="BM1894" s="71"/>
      <c r="BN1894" s="71"/>
      <c r="BO1894" s="71"/>
      <c r="BP1894" s="71"/>
      <c r="BQ1894" s="71"/>
      <c r="BR1894" s="71"/>
      <c r="BS1894" s="71"/>
      <c r="BT1894" s="71"/>
      <c r="BU1894" s="71"/>
      <c r="BV1894" s="71"/>
    </row>
    <row r="1895">
      <c r="A1895" s="53"/>
      <c r="B1895" s="53"/>
      <c r="C1895" s="53"/>
      <c r="D1895" s="53" t="s">
        <v>4657</v>
      </c>
      <c r="E1895" s="55" t="s">
        <v>38</v>
      </c>
      <c r="F1895" s="89"/>
      <c r="G1895" s="84" t="s">
        <v>4658</v>
      </c>
      <c r="H1895" s="55"/>
      <c r="I1895" s="54">
        <f t="shared" si="24"/>
        <v>0</v>
      </c>
      <c r="J1895" s="56"/>
      <c r="K1895" s="57"/>
      <c r="L1895" s="55"/>
      <c r="M1895" s="59"/>
      <c r="N1895" s="60"/>
      <c r="O1895" s="90"/>
      <c r="P1895" s="62">
        <v>133000.0</v>
      </c>
      <c r="Q1895" s="63">
        <v>133000.0</v>
      </c>
      <c r="R1895" s="64">
        <v>146633.0</v>
      </c>
      <c r="S1895" s="111">
        <v>153965.0</v>
      </c>
      <c r="T1895" s="65">
        <f t="shared" si="80"/>
        <v>24634.4</v>
      </c>
      <c r="U1895" s="65">
        <f t="shared" si="81"/>
        <v>178599.4</v>
      </c>
      <c r="V1895" s="66">
        <f t="shared" si="82"/>
        <v>0.05000238691</v>
      </c>
      <c r="W1895" s="67">
        <f t="shared" si="5"/>
        <v>146266.75</v>
      </c>
      <c r="X1895" s="67">
        <f t="shared" si="70"/>
        <v>23402.68</v>
      </c>
      <c r="Y1895" s="67">
        <f t="shared" si="71"/>
        <v>169669.43</v>
      </c>
      <c r="Z1895" s="67">
        <f t="shared" si="8"/>
        <v>138568.5</v>
      </c>
      <c r="AA1895" s="67">
        <f t="shared" si="72"/>
        <v>22170.96</v>
      </c>
      <c r="AB1895" s="67">
        <f t="shared" si="73"/>
        <v>160739.46</v>
      </c>
      <c r="AC1895" s="67">
        <f t="shared" si="11"/>
        <v>130870.25</v>
      </c>
      <c r="AD1895" s="67">
        <f t="shared" si="74"/>
        <v>20939.24</v>
      </c>
      <c r="AE1895" s="67">
        <f t="shared" si="75"/>
        <v>151809.49</v>
      </c>
      <c r="AF1895" s="67">
        <f t="shared" si="33"/>
        <v>127790.95</v>
      </c>
      <c r="AG1895" s="67">
        <f t="shared" si="76"/>
        <v>20446.552</v>
      </c>
      <c r="AH1895" s="67">
        <f t="shared" si="77"/>
        <v>148237.502</v>
      </c>
      <c r="AI1895" s="67">
        <f t="shared" si="17"/>
        <v>123172</v>
      </c>
      <c r="AJ1895" s="68">
        <f t="shared" si="78"/>
        <v>19707.52</v>
      </c>
      <c r="AK1895" s="68">
        <f t="shared" si="79"/>
        <v>142879.52</v>
      </c>
      <c r="AL1895" s="70"/>
      <c r="AM1895" s="70"/>
      <c r="AN1895" s="71"/>
      <c r="AO1895" s="71"/>
      <c r="AP1895" s="71"/>
      <c r="AQ1895" s="71"/>
      <c r="AR1895" s="71"/>
      <c r="AS1895" s="71"/>
      <c r="AT1895" s="71"/>
      <c r="AU1895" s="71"/>
      <c r="AV1895" s="71"/>
      <c r="AW1895" s="71"/>
      <c r="AX1895" s="71"/>
      <c r="AY1895" s="71"/>
      <c r="AZ1895" s="71"/>
      <c r="BA1895" s="71"/>
      <c r="BB1895" s="71"/>
      <c r="BC1895" s="71"/>
      <c r="BD1895" s="71"/>
      <c r="BE1895" s="71"/>
      <c r="BF1895" s="71"/>
      <c r="BG1895" s="71"/>
      <c r="BH1895" s="71"/>
      <c r="BI1895" s="71"/>
      <c r="BJ1895" s="71"/>
      <c r="BK1895" s="71"/>
      <c r="BL1895" s="71"/>
      <c r="BM1895" s="71"/>
      <c r="BN1895" s="71"/>
      <c r="BO1895" s="71"/>
      <c r="BP1895" s="71"/>
      <c r="BQ1895" s="71"/>
      <c r="BR1895" s="71"/>
      <c r="BS1895" s="71"/>
      <c r="BT1895" s="71"/>
      <c r="BU1895" s="71"/>
      <c r="BV1895" s="71"/>
    </row>
    <row r="1896">
      <c r="A1896" s="53"/>
      <c r="B1896" s="53"/>
      <c r="C1896" s="53"/>
      <c r="D1896" s="53" t="s">
        <v>4659</v>
      </c>
      <c r="E1896" s="55" t="s">
        <v>38</v>
      </c>
      <c r="F1896" s="89"/>
      <c r="G1896" s="84" t="s">
        <v>4660</v>
      </c>
      <c r="H1896" s="55"/>
      <c r="I1896" s="54">
        <f t="shared" si="24"/>
        <v>0</v>
      </c>
      <c r="J1896" s="56"/>
      <c r="K1896" s="57"/>
      <c r="L1896" s="55"/>
      <c r="M1896" s="59"/>
      <c r="N1896" s="60"/>
      <c r="O1896" s="90"/>
      <c r="P1896" s="62">
        <v>173000.0</v>
      </c>
      <c r="Q1896" s="63">
        <v>173000.0</v>
      </c>
      <c r="R1896" s="64">
        <v>190733.0</v>
      </c>
      <c r="S1896" s="111">
        <v>200270.0</v>
      </c>
      <c r="T1896" s="65">
        <f t="shared" si="80"/>
        <v>32043.2</v>
      </c>
      <c r="U1896" s="65">
        <f t="shared" si="81"/>
        <v>232313.2</v>
      </c>
      <c r="V1896" s="66">
        <f t="shared" si="82"/>
        <v>0.05000183503</v>
      </c>
      <c r="W1896" s="67">
        <f t="shared" si="5"/>
        <v>190256.5</v>
      </c>
      <c r="X1896" s="67">
        <f t="shared" si="70"/>
        <v>30441.04</v>
      </c>
      <c r="Y1896" s="67">
        <f t="shared" si="71"/>
        <v>220697.54</v>
      </c>
      <c r="Z1896" s="67">
        <f t="shared" si="8"/>
        <v>180243</v>
      </c>
      <c r="AA1896" s="67">
        <f t="shared" si="72"/>
        <v>28838.88</v>
      </c>
      <c r="AB1896" s="67">
        <f t="shared" si="73"/>
        <v>209081.88</v>
      </c>
      <c r="AC1896" s="67">
        <f t="shared" si="11"/>
        <v>170229.5</v>
      </c>
      <c r="AD1896" s="67">
        <f t="shared" si="74"/>
        <v>27236.72</v>
      </c>
      <c r="AE1896" s="67">
        <f t="shared" si="75"/>
        <v>197466.22</v>
      </c>
      <c r="AF1896" s="67">
        <f t="shared" si="33"/>
        <v>166224.1</v>
      </c>
      <c r="AG1896" s="67">
        <f t="shared" si="76"/>
        <v>26595.856</v>
      </c>
      <c r="AH1896" s="67">
        <f t="shared" si="77"/>
        <v>192819.956</v>
      </c>
      <c r="AI1896" s="67">
        <f t="shared" si="17"/>
        <v>160216</v>
      </c>
      <c r="AJ1896" s="68">
        <f t="shared" si="78"/>
        <v>25634.56</v>
      </c>
      <c r="AK1896" s="68">
        <f t="shared" si="79"/>
        <v>185850.56</v>
      </c>
      <c r="AL1896" s="70"/>
      <c r="AM1896" s="70"/>
      <c r="AN1896" s="71"/>
      <c r="AO1896" s="71"/>
      <c r="AP1896" s="71"/>
      <c r="AQ1896" s="71"/>
      <c r="AR1896" s="71"/>
      <c r="AS1896" s="71"/>
      <c r="AT1896" s="71"/>
      <c r="AU1896" s="71"/>
      <c r="AV1896" s="71"/>
      <c r="AW1896" s="71"/>
      <c r="AX1896" s="71"/>
      <c r="AY1896" s="71"/>
      <c r="AZ1896" s="71"/>
      <c r="BA1896" s="71"/>
      <c r="BB1896" s="71"/>
      <c r="BC1896" s="71"/>
      <c r="BD1896" s="71"/>
      <c r="BE1896" s="71"/>
      <c r="BF1896" s="71"/>
      <c r="BG1896" s="71"/>
      <c r="BH1896" s="71"/>
      <c r="BI1896" s="71"/>
      <c r="BJ1896" s="71"/>
      <c r="BK1896" s="71"/>
      <c r="BL1896" s="71"/>
      <c r="BM1896" s="71"/>
      <c r="BN1896" s="71"/>
      <c r="BO1896" s="71"/>
      <c r="BP1896" s="71"/>
      <c r="BQ1896" s="71"/>
      <c r="BR1896" s="71"/>
      <c r="BS1896" s="71"/>
      <c r="BT1896" s="71"/>
      <c r="BU1896" s="71"/>
      <c r="BV1896" s="71"/>
    </row>
    <row r="1897">
      <c r="A1897" s="53"/>
      <c r="B1897" s="53"/>
      <c r="C1897" s="53"/>
      <c r="D1897" s="53" t="s">
        <v>4661</v>
      </c>
      <c r="E1897" s="55" t="s">
        <v>38</v>
      </c>
      <c r="F1897" s="89"/>
      <c r="G1897" s="84" t="s">
        <v>4660</v>
      </c>
      <c r="H1897" s="55"/>
      <c r="I1897" s="54">
        <f t="shared" si="24"/>
        <v>0</v>
      </c>
      <c r="J1897" s="56"/>
      <c r="K1897" s="57"/>
      <c r="L1897" s="55"/>
      <c r="M1897" s="59"/>
      <c r="N1897" s="60"/>
      <c r="O1897" s="90"/>
      <c r="P1897" s="62">
        <v>231000.0</v>
      </c>
      <c r="Q1897" s="63">
        <v>231000.0</v>
      </c>
      <c r="R1897" s="64">
        <v>254678.0</v>
      </c>
      <c r="S1897" s="111">
        <v>267412.0</v>
      </c>
      <c r="T1897" s="65">
        <f t="shared" si="80"/>
        <v>42785.92</v>
      </c>
      <c r="U1897" s="65">
        <f t="shared" si="81"/>
        <v>310197.92</v>
      </c>
      <c r="V1897" s="66">
        <f t="shared" si="82"/>
        <v>0.05000039265</v>
      </c>
      <c r="W1897" s="67">
        <f t="shared" si="5"/>
        <v>254041.4</v>
      </c>
      <c r="X1897" s="67">
        <f t="shared" si="70"/>
        <v>40646.624</v>
      </c>
      <c r="Y1897" s="67">
        <f t="shared" si="71"/>
        <v>294688.024</v>
      </c>
      <c r="Z1897" s="67">
        <f t="shared" si="8"/>
        <v>240670.8</v>
      </c>
      <c r="AA1897" s="67">
        <f t="shared" si="72"/>
        <v>38507.328</v>
      </c>
      <c r="AB1897" s="67">
        <f t="shared" si="73"/>
        <v>279178.128</v>
      </c>
      <c r="AC1897" s="67">
        <f t="shared" si="11"/>
        <v>227300.2</v>
      </c>
      <c r="AD1897" s="67">
        <f t="shared" si="74"/>
        <v>36368.032</v>
      </c>
      <c r="AE1897" s="67">
        <f t="shared" si="75"/>
        <v>263668.232</v>
      </c>
      <c r="AF1897" s="67">
        <f t="shared" si="33"/>
        <v>221951.96</v>
      </c>
      <c r="AG1897" s="67">
        <f t="shared" si="76"/>
        <v>35512.3136</v>
      </c>
      <c r="AH1897" s="67">
        <f t="shared" si="77"/>
        <v>257464.2736</v>
      </c>
      <c r="AI1897" s="67">
        <f t="shared" si="17"/>
        <v>213929.6</v>
      </c>
      <c r="AJ1897" s="68">
        <f t="shared" si="78"/>
        <v>34228.736</v>
      </c>
      <c r="AK1897" s="68">
        <f t="shared" si="79"/>
        <v>248158.336</v>
      </c>
      <c r="AL1897" s="70"/>
      <c r="AM1897" s="70"/>
      <c r="AN1897" s="71"/>
      <c r="AO1897" s="71"/>
      <c r="AP1897" s="71"/>
      <c r="AQ1897" s="71"/>
      <c r="AR1897" s="71"/>
      <c r="AS1897" s="71"/>
      <c r="AT1897" s="71"/>
      <c r="AU1897" s="71"/>
      <c r="AV1897" s="71"/>
      <c r="AW1897" s="71"/>
      <c r="AX1897" s="71"/>
      <c r="AY1897" s="71"/>
      <c r="AZ1897" s="71"/>
      <c r="BA1897" s="71"/>
      <c r="BB1897" s="71"/>
      <c r="BC1897" s="71"/>
      <c r="BD1897" s="71"/>
      <c r="BE1897" s="71"/>
      <c r="BF1897" s="71"/>
      <c r="BG1897" s="71"/>
      <c r="BH1897" s="71"/>
      <c r="BI1897" s="71"/>
      <c r="BJ1897" s="71"/>
      <c r="BK1897" s="71"/>
      <c r="BL1897" s="71"/>
      <c r="BM1897" s="71"/>
      <c r="BN1897" s="71"/>
      <c r="BO1897" s="71"/>
      <c r="BP1897" s="71"/>
      <c r="BQ1897" s="71"/>
      <c r="BR1897" s="71"/>
      <c r="BS1897" s="71"/>
      <c r="BT1897" s="71"/>
      <c r="BU1897" s="71"/>
      <c r="BV1897" s="71"/>
    </row>
    <row r="1898">
      <c r="A1898" s="53"/>
      <c r="B1898" s="53"/>
      <c r="C1898" s="53"/>
      <c r="D1898" s="53" t="s">
        <v>4662</v>
      </c>
      <c r="E1898" s="55" t="s">
        <v>38</v>
      </c>
      <c r="F1898" s="89"/>
      <c r="G1898" s="84" t="s">
        <v>4660</v>
      </c>
      <c r="H1898" s="55"/>
      <c r="I1898" s="54">
        <f t="shared" si="24"/>
        <v>0</v>
      </c>
      <c r="J1898" s="56"/>
      <c r="K1898" s="57"/>
      <c r="L1898" s="55"/>
      <c r="M1898" s="59"/>
      <c r="N1898" s="60"/>
      <c r="O1898" s="90"/>
      <c r="P1898" s="62">
        <v>235000.0</v>
      </c>
      <c r="Q1898" s="63">
        <v>235000.0</v>
      </c>
      <c r="R1898" s="64">
        <v>259088.0</v>
      </c>
      <c r="S1898" s="111">
        <v>272042.0</v>
      </c>
      <c r="T1898" s="65">
        <f t="shared" si="80"/>
        <v>43526.72</v>
      </c>
      <c r="U1898" s="65">
        <f t="shared" si="81"/>
        <v>315568.72</v>
      </c>
      <c r="V1898" s="66">
        <f t="shared" si="82"/>
        <v>0.04999845612</v>
      </c>
      <c r="W1898" s="67">
        <f t="shared" si="5"/>
        <v>258439.9</v>
      </c>
      <c r="X1898" s="67">
        <f t="shared" si="70"/>
        <v>41350.384</v>
      </c>
      <c r="Y1898" s="67">
        <f t="shared" si="71"/>
        <v>299790.284</v>
      </c>
      <c r="Z1898" s="67">
        <f t="shared" si="8"/>
        <v>244837.8</v>
      </c>
      <c r="AA1898" s="67">
        <f t="shared" si="72"/>
        <v>39174.048</v>
      </c>
      <c r="AB1898" s="67">
        <f t="shared" si="73"/>
        <v>284011.848</v>
      </c>
      <c r="AC1898" s="67">
        <f t="shared" si="11"/>
        <v>231235.7</v>
      </c>
      <c r="AD1898" s="67">
        <f t="shared" si="74"/>
        <v>36997.712</v>
      </c>
      <c r="AE1898" s="67">
        <f t="shared" si="75"/>
        <v>268233.412</v>
      </c>
      <c r="AF1898" s="67">
        <f t="shared" si="33"/>
        <v>225794.86</v>
      </c>
      <c r="AG1898" s="67">
        <f t="shared" si="76"/>
        <v>36127.1776</v>
      </c>
      <c r="AH1898" s="67">
        <f t="shared" si="77"/>
        <v>261922.0376</v>
      </c>
      <c r="AI1898" s="67">
        <f t="shared" si="17"/>
        <v>217633.6</v>
      </c>
      <c r="AJ1898" s="68">
        <f t="shared" si="78"/>
        <v>34821.376</v>
      </c>
      <c r="AK1898" s="68">
        <f t="shared" si="79"/>
        <v>252454.976</v>
      </c>
      <c r="AL1898" s="70"/>
      <c r="AM1898" s="70"/>
      <c r="AN1898" s="71"/>
      <c r="AO1898" s="71"/>
      <c r="AP1898" s="71"/>
      <c r="AQ1898" s="71"/>
      <c r="AR1898" s="71"/>
      <c r="AS1898" s="71"/>
      <c r="AT1898" s="71"/>
      <c r="AU1898" s="71"/>
      <c r="AV1898" s="71"/>
      <c r="AW1898" s="71"/>
      <c r="AX1898" s="71"/>
      <c r="AY1898" s="71"/>
      <c r="AZ1898" s="71"/>
      <c r="BA1898" s="71"/>
      <c r="BB1898" s="71"/>
      <c r="BC1898" s="71"/>
      <c r="BD1898" s="71"/>
      <c r="BE1898" s="71"/>
      <c r="BF1898" s="71"/>
      <c r="BG1898" s="71"/>
      <c r="BH1898" s="71"/>
      <c r="BI1898" s="71"/>
      <c r="BJ1898" s="71"/>
      <c r="BK1898" s="71"/>
      <c r="BL1898" s="71"/>
      <c r="BM1898" s="71"/>
      <c r="BN1898" s="71"/>
      <c r="BO1898" s="71"/>
      <c r="BP1898" s="71"/>
      <c r="BQ1898" s="71"/>
      <c r="BR1898" s="71"/>
      <c r="BS1898" s="71"/>
      <c r="BT1898" s="71"/>
      <c r="BU1898" s="71"/>
      <c r="BV1898" s="71"/>
    </row>
    <row r="1899">
      <c r="A1899" s="53"/>
      <c r="B1899" s="53"/>
      <c r="C1899" s="53"/>
      <c r="D1899" s="53" t="s">
        <v>4663</v>
      </c>
      <c r="E1899" s="55" t="s">
        <v>38</v>
      </c>
      <c r="F1899" s="89"/>
      <c r="G1899" s="84" t="s">
        <v>4664</v>
      </c>
      <c r="H1899" s="55"/>
      <c r="I1899" s="54">
        <f t="shared" si="24"/>
        <v>0</v>
      </c>
      <c r="J1899" s="56"/>
      <c r="K1899" s="57"/>
      <c r="L1899" s="55"/>
      <c r="M1899" s="59"/>
      <c r="N1899" s="60"/>
      <c r="O1899" s="90"/>
      <c r="P1899" s="62">
        <v>261000.0</v>
      </c>
      <c r="Q1899" s="63">
        <v>261000.0</v>
      </c>
      <c r="R1899" s="64">
        <v>287753.0</v>
      </c>
      <c r="S1899" s="111">
        <v>302141.0</v>
      </c>
      <c r="T1899" s="65">
        <f t="shared" si="80"/>
        <v>48342.56</v>
      </c>
      <c r="U1899" s="65">
        <f t="shared" si="81"/>
        <v>350483.56</v>
      </c>
      <c r="V1899" s="66">
        <f t="shared" si="82"/>
        <v>0.05000121632</v>
      </c>
      <c r="W1899" s="67">
        <f t="shared" si="5"/>
        <v>287033.95</v>
      </c>
      <c r="X1899" s="67">
        <f t="shared" si="70"/>
        <v>45925.432</v>
      </c>
      <c r="Y1899" s="67">
        <f t="shared" si="71"/>
        <v>332959.382</v>
      </c>
      <c r="Z1899" s="67">
        <f t="shared" si="8"/>
        <v>271926.9</v>
      </c>
      <c r="AA1899" s="67">
        <f t="shared" si="72"/>
        <v>43508.304</v>
      </c>
      <c r="AB1899" s="67">
        <f t="shared" si="73"/>
        <v>315435.204</v>
      </c>
      <c r="AC1899" s="67">
        <f t="shared" si="11"/>
        <v>256819.85</v>
      </c>
      <c r="AD1899" s="67">
        <f t="shared" si="74"/>
        <v>41091.176</v>
      </c>
      <c r="AE1899" s="67">
        <f t="shared" si="75"/>
        <v>297911.026</v>
      </c>
      <c r="AF1899" s="67">
        <f t="shared" si="33"/>
        <v>250777.03</v>
      </c>
      <c r="AG1899" s="67">
        <f t="shared" si="76"/>
        <v>40124.3248</v>
      </c>
      <c r="AH1899" s="67">
        <f t="shared" si="77"/>
        <v>290901.3548</v>
      </c>
      <c r="AI1899" s="67">
        <f t="shared" si="17"/>
        <v>241712.8</v>
      </c>
      <c r="AJ1899" s="68">
        <f t="shared" si="78"/>
        <v>38674.048</v>
      </c>
      <c r="AK1899" s="68">
        <f t="shared" si="79"/>
        <v>280386.848</v>
      </c>
      <c r="AL1899" s="70"/>
      <c r="AM1899" s="70"/>
      <c r="AN1899" s="71"/>
      <c r="AO1899" s="71"/>
      <c r="AP1899" s="71"/>
      <c r="AQ1899" s="71"/>
      <c r="AR1899" s="71"/>
      <c r="AS1899" s="71"/>
      <c r="AT1899" s="71"/>
      <c r="AU1899" s="71"/>
      <c r="AV1899" s="71"/>
      <c r="AW1899" s="71"/>
      <c r="AX1899" s="71"/>
      <c r="AY1899" s="71"/>
      <c r="AZ1899" s="71"/>
      <c r="BA1899" s="71"/>
      <c r="BB1899" s="71"/>
      <c r="BC1899" s="71"/>
      <c r="BD1899" s="71"/>
      <c r="BE1899" s="71"/>
      <c r="BF1899" s="71"/>
      <c r="BG1899" s="71"/>
      <c r="BH1899" s="71"/>
      <c r="BI1899" s="71"/>
      <c r="BJ1899" s="71"/>
      <c r="BK1899" s="71"/>
      <c r="BL1899" s="71"/>
      <c r="BM1899" s="71"/>
      <c r="BN1899" s="71"/>
      <c r="BO1899" s="71"/>
      <c r="BP1899" s="71"/>
      <c r="BQ1899" s="71"/>
      <c r="BR1899" s="71"/>
      <c r="BS1899" s="71"/>
      <c r="BT1899" s="71"/>
      <c r="BU1899" s="71"/>
      <c r="BV1899" s="71"/>
    </row>
    <row r="1900">
      <c r="A1900" s="53"/>
      <c r="B1900" s="53"/>
      <c r="C1900" s="53" t="s">
        <v>12</v>
      </c>
      <c r="D1900" s="53" t="s">
        <v>4665</v>
      </c>
      <c r="E1900" s="54" t="s">
        <v>38</v>
      </c>
      <c r="F1900" s="54" t="s">
        <v>42</v>
      </c>
      <c r="G1900" s="55" t="s">
        <v>4666</v>
      </c>
      <c r="H1900" s="54" t="s">
        <v>4666</v>
      </c>
      <c r="I1900" s="54">
        <f t="shared" si="24"/>
        <v>31</v>
      </c>
      <c r="J1900" s="56"/>
      <c r="K1900" s="57"/>
      <c r="L1900" s="76"/>
      <c r="M1900" s="59"/>
      <c r="N1900" s="79">
        <v>177.0</v>
      </c>
      <c r="O1900" s="61">
        <v>191.0</v>
      </c>
      <c r="P1900" s="63">
        <v>206.28</v>
      </c>
      <c r="Q1900" s="63">
        <v>206.28</v>
      </c>
      <c r="R1900" s="64">
        <v>217.0</v>
      </c>
      <c r="S1900" s="111">
        <v>228.0</v>
      </c>
      <c r="T1900" s="65">
        <f t="shared" si="80"/>
        <v>36.48</v>
      </c>
      <c r="U1900" s="65">
        <f t="shared" si="81"/>
        <v>264.48</v>
      </c>
      <c r="V1900" s="66">
        <f t="shared" si="82"/>
        <v>0.05069124424</v>
      </c>
      <c r="W1900" s="67">
        <f t="shared" si="5"/>
        <v>216.6</v>
      </c>
      <c r="X1900" s="67">
        <f t="shared" si="70"/>
        <v>34.656</v>
      </c>
      <c r="Y1900" s="67">
        <f t="shared" si="71"/>
        <v>251.256</v>
      </c>
      <c r="Z1900" s="67">
        <f t="shared" si="8"/>
        <v>205.2</v>
      </c>
      <c r="AA1900" s="67">
        <f t="shared" si="72"/>
        <v>32.832</v>
      </c>
      <c r="AB1900" s="67">
        <f t="shared" si="73"/>
        <v>238.032</v>
      </c>
      <c r="AC1900" s="67">
        <f t="shared" si="11"/>
        <v>193.8</v>
      </c>
      <c r="AD1900" s="67">
        <f t="shared" si="74"/>
        <v>31.008</v>
      </c>
      <c r="AE1900" s="67">
        <f t="shared" si="75"/>
        <v>224.808</v>
      </c>
      <c r="AF1900" s="67">
        <f t="shared" si="33"/>
        <v>189.24</v>
      </c>
      <c r="AG1900" s="67">
        <f t="shared" si="76"/>
        <v>30.2784</v>
      </c>
      <c r="AH1900" s="67">
        <f t="shared" si="77"/>
        <v>219.5184</v>
      </c>
      <c r="AI1900" s="67">
        <f t="shared" si="17"/>
        <v>182.4</v>
      </c>
      <c r="AJ1900" s="68">
        <f t="shared" si="78"/>
        <v>29.184</v>
      </c>
      <c r="AK1900" s="68">
        <f t="shared" si="79"/>
        <v>211.584</v>
      </c>
      <c r="AL1900" s="70"/>
      <c r="AM1900" s="70"/>
      <c r="AN1900" s="71"/>
      <c r="AO1900" s="71"/>
      <c r="AP1900" s="71"/>
      <c r="AQ1900" s="71"/>
      <c r="AR1900" s="71"/>
      <c r="AS1900" s="71"/>
      <c r="AT1900" s="71"/>
      <c r="AU1900" s="71"/>
      <c r="AV1900" s="71"/>
      <c r="AW1900" s="71"/>
      <c r="AX1900" s="71"/>
      <c r="AY1900" s="71"/>
      <c r="AZ1900" s="71"/>
      <c r="BA1900" s="71"/>
      <c r="BB1900" s="71"/>
      <c r="BC1900" s="71"/>
      <c r="BD1900" s="71"/>
      <c r="BE1900" s="71"/>
      <c r="BF1900" s="71"/>
      <c r="BG1900" s="71"/>
      <c r="BH1900" s="71"/>
      <c r="BI1900" s="71"/>
      <c r="BJ1900" s="71"/>
      <c r="BK1900" s="71"/>
      <c r="BL1900" s="71"/>
      <c r="BM1900" s="71"/>
      <c r="BN1900" s="71"/>
      <c r="BO1900" s="71"/>
      <c r="BP1900" s="71"/>
      <c r="BQ1900" s="71"/>
      <c r="BR1900" s="71"/>
      <c r="BS1900" s="71"/>
      <c r="BT1900" s="71"/>
      <c r="BU1900" s="71"/>
      <c r="BV1900" s="71"/>
    </row>
    <row r="1901">
      <c r="A1901" s="53"/>
      <c r="B1901" s="53"/>
      <c r="C1901" s="53" t="s">
        <v>12</v>
      </c>
      <c r="D1901" s="53" t="s">
        <v>4667</v>
      </c>
      <c r="E1901" s="54" t="s">
        <v>38</v>
      </c>
      <c r="F1901" s="54" t="s">
        <v>42</v>
      </c>
      <c r="G1901" s="55" t="s">
        <v>4668</v>
      </c>
      <c r="H1901" s="54" t="s">
        <v>4668</v>
      </c>
      <c r="I1901" s="54">
        <f t="shared" si="24"/>
        <v>31</v>
      </c>
      <c r="J1901" s="56"/>
      <c r="K1901" s="57"/>
      <c r="L1901" s="76"/>
      <c r="M1901" s="59"/>
      <c r="N1901" s="79">
        <v>180.0</v>
      </c>
      <c r="O1901" s="61">
        <v>194.0</v>
      </c>
      <c r="P1901" s="63">
        <v>209.52</v>
      </c>
      <c r="Q1901" s="63">
        <v>209.52</v>
      </c>
      <c r="R1901" s="64">
        <v>221.0</v>
      </c>
      <c r="S1901" s="111">
        <v>232.0</v>
      </c>
      <c r="T1901" s="65">
        <f t="shared" si="80"/>
        <v>37.12</v>
      </c>
      <c r="U1901" s="65">
        <f t="shared" si="81"/>
        <v>269.12</v>
      </c>
      <c r="V1901" s="66">
        <f t="shared" si="82"/>
        <v>0.04977375566</v>
      </c>
      <c r="W1901" s="67">
        <f t="shared" si="5"/>
        <v>220.4</v>
      </c>
      <c r="X1901" s="67">
        <f t="shared" si="70"/>
        <v>35.264</v>
      </c>
      <c r="Y1901" s="67">
        <f t="shared" si="71"/>
        <v>255.664</v>
      </c>
      <c r="Z1901" s="67">
        <f t="shared" si="8"/>
        <v>208.8</v>
      </c>
      <c r="AA1901" s="67">
        <f t="shared" si="72"/>
        <v>33.408</v>
      </c>
      <c r="AB1901" s="67">
        <f t="shared" si="73"/>
        <v>242.208</v>
      </c>
      <c r="AC1901" s="67">
        <f t="shared" si="11"/>
        <v>197.2</v>
      </c>
      <c r="AD1901" s="67">
        <f t="shared" si="74"/>
        <v>31.552</v>
      </c>
      <c r="AE1901" s="67">
        <f t="shared" si="75"/>
        <v>228.752</v>
      </c>
      <c r="AF1901" s="67">
        <f t="shared" si="33"/>
        <v>192.56</v>
      </c>
      <c r="AG1901" s="67">
        <f t="shared" si="76"/>
        <v>30.8096</v>
      </c>
      <c r="AH1901" s="67">
        <f t="shared" si="77"/>
        <v>223.3696</v>
      </c>
      <c r="AI1901" s="67">
        <f t="shared" si="17"/>
        <v>185.6</v>
      </c>
      <c r="AJ1901" s="68">
        <f t="shared" si="78"/>
        <v>29.696</v>
      </c>
      <c r="AK1901" s="68">
        <f t="shared" si="79"/>
        <v>215.296</v>
      </c>
      <c r="AL1901" s="70"/>
      <c r="AM1901" s="70"/>
      <c r="AN1901" s="71"/>
      <c r="AO1901" s="71"/>
      <c r="AP1901" s="71"/>
      <c r="AQ1901" s="71"/>
      <c r="AR1901" s="71"/>
      <c r="AS1901" s="71"/>
      <c r="AT1901" s="71"/>
      <c r="AU1901" s="71"/>
      <c r="AV1901" s="71"/>
      <c r="AW1901" s="71"/>
      <c r="AX1901" s="71"/>
      <c r="AY1901" s="71"/>
      <c r="AZ1901" s="71"/>
      <c r="BA1901" s="71"/>
      <c r="BB1901" s="71"/>
      <c r="BC1901" s="71"/>
      <c r="BD1901" s="71"/>
      <c r="BE1901" s="71"/>
      <c r="BF1901" s="71"/>
      <c r="BG1901" s="71"/>
      <c r="BH1901" s="71"/>
      <c r="BI1901" s="71"/>
      <c r="BJ1901" s="71"/>
      <c r="BK1901" s="71"/>
      <c r="BL1901" s="71"/>
      <c r="BM1901" s="71"/>
      <c r="BN1901" s="71"/>
      <c r="BO1901" s="71"/>
      <c r="BP1901" s="71"/>
      <c r="BQ1901" s="71"/>
      <c r="BR1901" s="71"/>
      <c r="BS1901" s="71"/>
      <c r="BT1901" s="71"/>
      <c r="BU1901" s="71"/>
      <c r="BV1901" s="71"/>
    </row>
    <row r="1902">
      <c r="A1902" s="53">
        <v>1.0</v>
      </c>
      <c r="B1902" s="53"/>
      <c r="C1902" s="73" t="s">
        <v>12</v>
      </c>
      <c r="D1902" s="74" t="s">
        <v>4669</v>
      </c>
      <c r="E1902" s="54" t="s">
        <v>38</v>
      </c>
      <c r="F1902" s="54" t="s">
        <v>42</v>
      </c>
      <c r="G1902" s="141" t="s">
        <v>4670</v>
      </c>
      <c r="H1902" s="141" t="s">
        <v>4670</v>
      </c>
      <c r="I1902" s="54">
        <f t="shared" si="24"/>
        <v>23</v>
      </c>
      <c r="J1902" s="56"/>
      <c r="K1902" s="57"/>
      <c r="L1902" s="76"/>
      <c r="M1902" s="59"/>
      <c r="N1902" s="79">
        <v>1777.0</v>
      </c>
      <c r="O1902" s="61">
        <v>2070.0</v>
      </c>
      <c r="P1902" s="62">
        <v>1590.0</v>
      </c>
      <c r="Q1902" s="63">
        <v>1590.0</v>
      </c>
      <c r="R1902" s="64">
        <v>1771.0</v>
      </c>
      <c r="S1902" s="111">
        <v>1860.0</v>
      </c>
      <c r="T1902" s="65">
        <f t="shared" si="80"/>
        <v>297.6</v>
      </c>
      <c r="U1902" s="65">
        <f t="shared" si="81"/>
        <v>2157.6</v>
      </c>
      <c r="V1902" s="66">
        <f t="shared" si="82"/>
        <v>0.05025409373</v>
      </c>
      <c r="W1902" s="67">
        <f t="shared" si="5"/>
        <v>1767</v>
      </c>
      <c r="X1902" s="67">
        <f t="shared" si="70"/>
        <v>282.72</v>
      </c>
      <c r="Y1902" s="67">
        <f t="shared" si="71"/>
        <v>2049.72</v>
      </c>
      <c r="Z1902" s="67">
        <f t="shared" si="8"/>
        <v>1674</v>
      </c>
      <c r="AA1902" s="67">
        <f t="shared" si="72"/>
        <v>267.84</v>
      </c>
      <c r="AB1902" s="67">
        <f t="shared" si="73"/>
        <v>1941.84</v>
      </c>
      <c r="AC1902" s="67">
        <f t="shared" si="11"/>
        <v>1581</v>
      </c>
      <c r="AD1902" s="67">
        <f t="shared" si="74"/>
        <v>252.96</v>
      </c>
      <c r="AE1902" s="67">
        <f t="shared" si="75"/>
        <v>1833.96</v>
      </c>
      <c r="AF1902" s="67">
        <f t="shared" si="33"/>
        <v>1543.8</v>
      </c>
      <c r="AG1902" s="67">
        <f t="shared" si="76"/>
        <v>247.008</v>
      </c>
      <c r="AH1902" s="67">
        <f t="shared" si="77"/>
        <v>1790.808</v>
      </c>
      <c r="AI1902" s="67">
        <f t="shared" si="17"/>
        <v>1488</v>
      </c>
      <c r="AJ1902" s="68">
        <f t="shared" si="78"/>
        <v>238.08</v>
      </c>
      <c r="AK1902" s="68">
        <f t="shared" si="79"/>
        <v>1726.08</v>
      </c>
      <c r="AL1902" s="70"/>
      <c r="AM1902" s="70"/>
      <c r="AN1902" s="71"/>
      <c r="AO1902" s="71"/>
      <c r="AP1902" s="71"/>
      <c r="AQ1902" s="71"/>
      <c r="AR1902" s="71"/>
      <c r="AS1902" s="71"/>
      <c r="AT1902" s="71"/>
      <c r="AU1902" s="71"/>
      <c r="AV1902" s="71"/>
      <c r="AW1902" s="71"/>
      <c r="AX1902" s="71"/>
      <c r="AY1902" s="71"/>
      <c r="AZ1902" s="71"/>
      <c r="BA1902" s="71"/>
      <c r="BB1902" s="71"/>
      <c r="BC1902" s="71"/>
      <c r="BD1902" s="71"/>
      <c r="BE1902" s="71"/>
      <c r="BF1902" s="71"/>
      <c r="BG1902" s="71"/>
      <c r="BH1902" s="71"/>
      <c r="BI1902" s="71"/>
      <c r="BJ1902" s="71"/>
      <c r="BK1902" s="71"/>
      <c r="BL1902" s="71"/>
      <c r="BM1902" s="71"/>
      <c r="BN1902" s="71"/>
      <c r="BO1902" s="71"/>
      <c r="BP1902" s="71"/>
      <c r="BQ1902" s="71"/>
      <c r="BR1902" s="71"/>
      <c r="BS1902" s="71"/>
      <c r="BT1902" s="71"/>
      <c r="BU1902" s="71"/>
      <c r="BV1902" s="71"/>
    </row>
    <row r="1903">
      <c r="A1903" s="53"/>
      <c r="B1903" s="53">
        <v>0.0</v>
      </c>
      <c r="C1903" s="53" t="s">
        <v>53</v>
      </c>
      <c r="D1903" s="53" t="s">
        <v>4671</v>
      </c>
      <c r="E1903" s="54" t="s">
        <v>38</v>
      </c>
      <c r="F1903" s="54" t="s">
        <v>42</v>
      </c>
      <c r="G1903" s="142" t="s">
        <v>4672</v>
      </c>
      <c r="H1903" s="142" t="s">
        <v>4672</v>
      </c>
      <c r="I1903" s="54">
        <f t="shared" si="24"/>
        <v>27</v>
      </c>
      <c r="J1903" s="56"/>
      <c r="K1903" s="57"/>
      <c r="L1903" s="76" t="s">
        <v>661</v>
      </c>
      <c r="M1903" s="59"/>
      <c r="N1903" s="79">
        <v>1910.0</v>
      </c>
      <c r="O1903" s="61">
        <v>2134.0</v>
      </c>
      <c r="P1903" s="63">
        <v>2304.7200000000003</v>
      </c>
      <c r="Q1903" s="63">
        <v>2304.7200000000003</v>
      </c>
      <c r="R1903" s="64">
        <v>2421.0</v>
      </c>
      <c r="S1903" s="111">
        <v>2542.0</v>
      </c>
      <c r="T1903" s="65">
        <f t="shared" si="80"/>
        <v>406.72</v>
      </c>
      <c r="U1903" s="65">
        <f t="shared" si="81"/>
        <v>2948.72</v>
      </c>
      <c r="V1903" s="66">
        <f t="shared" si="82"/>
        <v>0.04997934738</v>
      </c>
      <c r="W1903" s="67" t="b">
        <f t="shared" si="5"/>
        <v>0</v>
      </c>
      <c r="X1903" s="67">
        <f t="shared" si="70"/>
        <v>0</v>
      </c>
      <c r="Y1903" s="67">
        <f t="shared" si="71"/>
        <v>0</v>
      </c>
      <c r="Z1903" s="67" t="b">
        <f t="shared" si="8"/>
        <v>0</v>
      </c>
      <c r="AA1903" s="67">
        <f t="shared" si="72"/>
        <v>0</v>
      </c>
      <c r="AB1903" s="67">
        <f t="shared" si="73"/>
        <v>0</v>
      </c>
      <c r="AC1903" s="67" t="b">
        <f t="shared" si="11"/>
        <v>0</v>
      </c>
      <c r="AD1903" s="67">
        <f t="shared" si="74"/>
        <v>0</v>
      </c>
      <c r="AE1903" s="67">
        <f t="shared" si="75"/>
        <v>0</v>
      </c>
      <c r="AF1903" s="67" t="b">
        <f t="shared" si="33"/>
        <v>0</v>
      </c>
      <c r="AG1903" s="67">
        <f t="shared" si="76"/>
        <v>0</v>
      </c>
      <c r="AH1903" s="67">
        <f t="shared" si="77"/>
        <v>0</v>
      </c>
      <c r="AI1903" s="67" t="b">
        <f t="shared" si="17"/>
        <v>0</v>
      </c>
      <c r="AJ1903" s="68">
        <f t="shared" si="78"/>
        <v>0</v>
      </c>
      <c r="AK1903" s="68">
        <f t="shared" si="79"/>
        <v>0</v>
      </c>
      <c r="AL1903" s="70"/>
      <c r="AM1903" s="70"/>
      <c r="AN1903" s="71"/>
      <c r="AO1903" s="71"/>
      <c r="AP1903" s="71"/>
      <c r="AQ1903" s="71"/>
      <c r="AR1903" s="71"/>
      <c r="AS1903" s="71"/>
      <c r="AT1903" s="71"/>
      <c r="AU1903" s="71"/>
      <c r="AV1903" s="71"/>
      <c r="AW1903" s="71"/>
      <c r="AX1903" s="71"/>
      <c r="AY1903" s="71"/>
      <c r="AZ1903" s="71"/>
      <c r="BA1903" s="71"/>
      <c r="BB1903" s="71"/>
      <c r="BC1903" s="71"/>
      <c r="BD1903" s="71"/>
      <c r="BE1903" s="71"/>
      <c r="BF1903" s="71"/>
      <c r="BG1903" s="71"/>
      <c r="BH1903" s="71"/>
      <c r="BI1903" s="71"/>
      <c r="BJ1903" s="71"/>
      <c r="BK1903" s="71"/>
      <c r="BL1903" s="71"/>
      <c r="BM1903" s="71"/>
      <c r="BN1903" s="71"/>
      <c r="BO1903" s="71"/>
      <c r="BP1903" s="71"/>
      <c r="BQ1903" s="71"/>
      <c r="BR1903" s="71"/>
      <c r="BS1903" s="71"/>
      <c r="BT1903" s="71"/>
      <c r="BU1903" s="71"/>
      <c r="BV1903" s="71"/>
    </row>
    <row r="1904">
      <c r="A1904" s="53"/>
      <c r="B1904" s="53"/>
      <c r="C1904" s="73" t="s">
        <v>12</v>
      </c>
      <c r="D1904" s="74" t="s">
        <v>4673</v>
      </c>
      <c r="E1904" s="54" t="s">
        <v>38</v>
      </c>
      <c r="F1904" s="54" t="s">
        <v>42</v>
      </c>
      <c r="G1904" s="141" t="s">
        <v>4674</v>
      </c>
      <c r="H1904" s="141" t="s">
        <v>4674</v>
      </c>
      <c r="I1904" s="54">
        <f t="shared" si="24"/>
        <v>23</v>
      </c>
      <c r="J1904" s="56"/>
      <c r="K1904" s="57"/>
      <c r="L1904" s="76" t="s">
        <v>661</v>
      </c>
      <c r="M1904" s="59"/>
      <c r="N1904" s="79">
        <v>1777.0</v>
      </c>
      <c r="O1904" s="61">
        <v>2070.0</v>
      </c>
      <c r="P1904" s="62">
        <v>1590.0</v>
      </c>
      <c r="Q1904" s="63">
        <v>1590.0</v>
      </c>
      <c r="R1904" s="64">
        <v>1771.0</v>
      </c>
      <c r="S1904" s="111">
        <v>1860.0</v>
      </c>
      <c r="T1904" s="65">
        <f t="shared" si="80"/>
        <v>297.6</v>
      </c>
      <c r="U1904" s="65">
        <f t="shared" si="81"/>
        <v>2157.6</v>
      </c>
      <c r="V1904" s="66">
        <f t="shared" si="82"/>
        <v>0.05025409373</v>
      </c>
      <c r="W1904" s="67">
        <f t="shared" si="5"/>
        <v>1767</v>
      </c>
      <c r="X1904" s="67">
        <f t="shared" si="70"/>
        <v>282.72</v>
      </c>
      <c r="Y1904" s="67">
        <f t="shared" si="71"/>
        <v>2049.72</v>
      </c>
      <c r="Z1904" s="67">
        <f t="shared" si="8"/>
        <v>1674</v>
      </c>
      <c r="AA1904" s="67">
        <f t="shared" si="72"/>
        <v>267.84</v>
      </c>
      <c r="AB1904" s="67">
        <f t="shared" si="73"/>
        <v>1941.84</v>
      </c>
      <c r="AC1904" s="67">
        <f t="shared" si="11"/>
        <v>1581</v>
      </c>
      <c r="AD1904" s="67">
        <f t="shared" si="74"/>
        <v>252.96</v>
      </c>
      <c r="AE1904" s="67">
        <f t="shared" si="75"/>
        <v>1833.96</v>
      </c>
      <c r="AF1904" s="67">
        <f t="shared" si="33"/>
        <v>1543.8</v>
      </c>
      <c r="AG1904" s="67">
        <f t="shared" si="76"/>
        <v>247.008</v>
      </c>
      <c r="AH1904" s="67">
        <f t="shared" si="77"/>
        <v>1790.808</v>
      </c>
      <c r="AI1904" s="67">
        <f t="shared" si="17"/>
        <v>1488</v>
      </c>
      <c r="AJ1904" s="68">
        <f t="shared" si="78"/>
        <v>238.08</v>
      </c>
      <c r="AK1904" s="68">
        <f t="shared" si="79"/>
        <v>1726.08</v>
      </c>
      <c r="AL1904" s="70"/>
      <c r="AM1904" s="70"/>
      <c r="AN1904" s="71"/>
      <c r="AO1904" s="71"/>
      <c r="AP1904" s="71"/>
      <c r="AQ1904" s="71"/>
      <c r="AR1904" s="71"/>
      <c r="AS1904" s="71"/>
      <c r="AT1904" s="71"/>
      <c r="AU1904" s="71"/>
      <c r="AV1904" s="71"/>
      <c r="AW1904" s="71"/>
      <c r="AX1904" s="71"/>
      <c r="AY1904" s="71"/>
      <c r="AZ1904" s="71"/>
      <c r="BA1904" s="71"/>
      <c r="BB1904" s="71"/>
      <c r="BC1904" s="71"/>
      <c r="BD1904" s="71"/>
      <c r="BE1904" s="71"/>
      <c r="BF1904" s="71"/>
      <c r="BG1904" s="71"/>
      <c r="BH1904" s="71"/>
      <c r="BI1904" s="71"/>
      <c r="BJ1904" s="71"/>
      <c r="BK1904" s="71"/>
      <c r="BL1904" s="71"/>
      <c r="BM1904" s="71"/>
      <c r="BN1904" s="71"/>
      <c r="BO1904" s="71"/>
      <c r="BP1904" s="71"/>
      <c r="BQ1904" s="71"/>
      <c r="BR1904" s="71"/>
      <c r="BS1904" s="71"/>
      <c r="BT1904" s="71"/>
      <c r="BU1904" s="71"/>
      <c r="BV1904" s="71"/>
    </row>
    <row r="1905">
      <c r="A1905" s="53"/>
      <c r="B1905" s="53">
        <v>0.0</v>
      </c>
      <c r="C1905" s="73" t="s">
        <v>12</v>
      </c>
      <c r="D1905" s="74" t="s">
        <v>4675</v>
      </c>
      <c r="E1905" s="54" t="s">
        <v>38</v>
      </c>
      <c r="F1905" s="54" t="s">
        <v>42</v>
      </c>
      <c r="G1905" s="141" t="s">
        <v>4676</v>
      </c>
      <c r="H1905" s="141" t="s">
        <v>4676</v>
      </c>
      <c r="I1905" s="54">
        <f t="shared" si="24"/>
        <v>29</v>
      </c>
      <c r="J1905" s="56"/>
      <c r="K1905" s="57"/>
      <c r="L1905" s="76" t="s">
        <v>661</v>
      </c>
      <c r="M1905" s="59"/>
      <c r="N1905" s="60">
        <v>2415.0</v>
      </c>
      <c r="O1905" s="61">
        <v>2699.0</v>
      </c>
      <c r="P1905" s="62">
        <v>2914.92</v>
      </c>
      <c r="Q1905" s="63">
        <v>2914.92</v>
      </c>
      <c r="R1905" s="64">
        <v>3245.0</v>
      </c>
      <c r="S1905" s="111">
        <v>3407.0</v>
      </c>
      <c r="T1905" s="65">
        <f t="shared" si="80"/>
        <v>545.12</v>
      </c>
      <c r="U1905" s="65">
        <f t="shared" si="81"/>
        <v>3952.12</v>
      </c>
      <c r="V1905" s="66">
        <f t="shared" si="82"/>
        <v>0.0499229584</v>
      </c>
      <c r="W1905" s="67" t="b">
        <f t="shared" si="5"/>
        <v>0</v>
      </c>
      <c r="X1905" s="67">
        <f t="shared" si="70"/>
        <v>0</v>
      </c>
      <c r="Y1905" s="67">
        <f t="shared" si="71"/>
        <v>0</v>
      </c>
      <c r="Z1905" s="67" t="b">
        <f t="shared" si="8"/>
        <v>0</v>
      </c>
      <c r="AA1905" s="67">
        <f t="shared" si="72"/>
        <v>0</v>
      </c>
      <c r="AB1905" s="67">
        <f t="shared" si="73"/>
        <v>0</v>
      </c>
      <c r="AC1905" s="67" t="b">
        <f t="shared" si="11"/>
        <v>0</v>
      </c>
      <c r="AD1905" s="67">
        <f t="shared" si="74"/>
        <v>0</v>
      </c>
      <c r="AE1905" s="67">
        <f t="shared" si="75"/>
        <v>0</v>
      </c>
      <c r="AF1905" s="67" t="b">
        <f t="shared" si="33"/>
        <v>0</v>
      </c>
      <c r="AG1905" s="67">
        <f t="shared" si="76"/>
        <v>0</v>
      </c>
      <c r="AH1905" s="67">
        <f t="shared" si="77"/>
        <v>0</v>
      </c>
      <c r="AI1905" s="67" t="b">
        <f t="shared" si="17"/>
        <v>0</v>
      </c>
      <c r="AJ1905" s="68">
        <f t="shared" si="78"/>
        <v>0</v>
      </c>
      <c r="AK1905" s="68">
        <f t="shared" si="79"/>
        <v>0</v>
      </c>
      <c r="AL1905" s="70"/>
      <c r="AM1905" s="70"/>
      <c r="AN1905" s="71"/>
      <c r="AO1905" s="71"/>
      <c r="AP1905" s="71"/>
      <c r="AQ1905" s="71"/>
      <c r="AR1905" s="71"/>
      <c r="AS1905" s="71"/>
      <c r="AT1905" s="71"/>
      <c r="AU1905" s="71"/>
      <c r="AV1905" s="71"/>
      <c r="AW1905" s="71"/>
      <c r="AX1905" s="71"/>
      <c r="AY1905" s="71"/>
      <c r="AZ1905" s="71"/>
      <c r="BA1905" s="71"/>
      <c r="BB1905" s="71"/>
      <c r="BC1905" s="71"/>
      <c r="BD1905" s="71"/>
      <c r="BE1905" s="71"/>
      <c r="BF1905" s="71"/>
      <c r="BG1905" s="71"/>
      <c r="BH1905" s="71"/>
      <c r="BI1905" s="71"/>
      <c r="BJ1905" s="71"/>
      <c r="BK1905" s="71"/>
      <c r="BL1905" s="71"/>
      <c r="BM1905" s="71"/>
      <c r="BN1905" s="71"/>
      <c r="BO1905" s="71"/>
      <c r="BP1905" s="71"/>
      <c r="BQ1905" s="71"/>
      <c r="BR1905" s="71"/>
      <c r="BS1905" s="71"/>
      <c r="BT1905" s="71"/>
      <c r="BU1905" s="71"/>
      <c r="BV1905" s="71"/>
    </row>
    <row r="1906">
      <c r="A1906" s="53">
        <v>1.0</v>
      </c>
      <c r="B1906" s="53"/>
      <c r="C1906" s="73" t="s">
        <v>12</v>
      </c>
      <c r="D1906" s="74" t="s">
        <v>4677</v>
      </c>
      <c r="E1906" s="54" t="s">
        <v>38</v>
      </c>
      <c r="F1906" s="54" t="s">
        <v>42</v>
      </c>
      <c r="G1906" s="142" t="s">
        <v>4678</v>
      </c>
      <c r="H1906" s="142" t="s">
        <v>4678</v>
      </c>
      <c r="I1906" s="54">
        <f t="shared" si="24"/>
        <v>23</v>
      </c>
      <c r="J1906" s="56"/>
      <c r="K1906" s="57"/>
      <c r="L1906" s="76"/>
      <c r="M1906" s="59"/>
      <c r="N1906" s="79">
        <v>1777.0</v>
      </c>
      <c r="O1906" s="61">
        <v>2070.0</v>
      </c>
      <c r="P1906" s="62">
        <v>1590.0</v>
      </c>
      <c r="Q1906" s="63">
        <v>1590.0</v>
      </c>
      <c r="R1906" s="64">
        <v>1821.0</v>
      </c>
      <c r="S1906" s="111">
        <v>1912.0</v>
      </c>
      <c r="T1906" s="65">
        <f t="shared" si="80"/>
        <v>305.92</v>
      </c>
      <c r="U1906" s="65">
        <f t="shared" si="81"/>
        <v>2217.92</v>
      </c>
      <c r="V1906" s="66">
        <f t="shared" si="82"/>
        <v>0.04997254256</v>
      </c>
      <c r="W1906" s="67">
        <f t="shared" si="5"/>
        <v>1816.4</v>
      </c>
      <c r="X1906" s="67">
        <f t="shared" si="70"/>
        <v>290.624</v>
      </c>
      <c r="Y1906" s="67">
        <f t="shared" si="71"/>
        <v>2107.024</v>
      </c>
      <c r="Z1906" s="67">
        <f t="shared" si="8"/>
        <v>1720.8</v>
      </c>
      <c r="AA1906" s="67">
        <f t="shared" si="72"/>
        <v>275.328</v>
      </c>
      <c r="AB1906" s="67">
        <f t="shared" si="73"/>
        <v>1996.128</v>
      </c>
      <c r="AC1906" s="67">
        <f t="shared" si="11"/>
        <v>1625.2</v>
      </c>
      <c r="AD1906" s="67">
        <f t="shared" si="74"/>
        <v>260.032</v>
      </c>
      <c r="AE1906" s="67">
        <f t="shared" si="75"/>
        <v>1885.232</v>
      </c>
      <c r="AF1906" s="67">
        <f t="shared" si="33"/>
        <v>1586.96</v>
      </c>
      <c r="AG1906" s="67">
        <f t="shared" si="76"/>
        <v>253.9136</v>
      </c>
      <c r="AH1906" s="67">
        <f t="shared" si="77"/>
        <v>1840.8736</v>
      </c>
      <c r="AI1906" s="67">
        <f t="shared" si="17"/>
        <v>1529.6</v>
      </c>
      <c r="AJ1906" s="68">
        <f t="shared" si="78"/>
        <v>244.736</v>
      </c>
      <c r="AK1906" s="68">
        <f t="shared" si="79"/>
        <v>1774.336</v>
      </c>
      <c r="AL1906" s="70"/>
      <c r="AM1906" s="70"/>
      <c r="AN1906" s="71"/>
      <c r="AO1906" s="71"/>
      <c r="AP1906" s="71"/>
      <c r="AQ1906" s="71"/>
      <c r="AR1906" s="71"/>
      <c r="AS1906" s="71"/>
      <c r="AT1906" s="71"/>
      <c r="AU1906" s="71"/>
      <c r="AV1906" s="71"/>
      <c r="AW1906" s="71"/>
      <c r="AX1906" s="71"/>
      <c r="AY1906" s="71"/>
      <c r="AZ1906" s="71"/>
      <c r="BA1906" s="71"/>
      <c r="BB1906" s="71"/>
      <c r="BC1906" s="71"/>
      <c r="BD1906" s="71"/>
      <c r="BE1906" s="71"/>
      <c r="BF1906" s="71"/>
      <c r="BG1906" s="71"/>
      <c r="BH1906" s="71"/>
      <c r="BI1906" s="71"/>
      <c r="BJ1906" s="71"/>
      <c r="BK1906" s="71"/>
      <c r="BL1906" s="71"/>
      <c r="BM1906" s="71"/>
      <c r="BN1906" s="71"/>
      <c r="BO1906" s="71"/>
      <c r="BP1906" s="71"/>
      <c r="BQ1906" s="71"/>
      <c r="BR1906" s="71"/>
      <c r="BS1906" s="71"/>
      <c r="BT1906" s="71"/>
      <c r="BU1906" s="71"/>
      <c r="BV1906" s="71"/>
    </row>
    <row r="1907">
      <c r="A1907" s="53"/>
      <c r="B1907" s="53"/>
      <c r="C1907" s="73" t="s">
        <v>12</v>
      </c>
      <c r="D1907" s="74" t="s">
        <v>4679</v>
      </c>
      <c r="E1907" s="54" t="s">
        <v>38</v>
      </c>
      <c r="F1907" s="54" t="s">
        <v>42</v>
      </c>
      <c r="G1907" s="141" t="s">
        <v>4680</v>
      </c>
      <c r="H1907" s="141" t="s">
        <v>4680</v>
      </c>
      <c r="I1907" s="54">
        <f t="shared" si="24"/>
        <v>23</v>
      </c>
      <c r="J1907" s="56"/>
      <c r="K1907" s="57"/>
      <c r="L1907" s="76" t="s">
        <v>661</v>
      </c>
      <c r="M1907" s="59"/>
      <c r="N1907" s="79">
        <v>1777.0</v>
      </c>
      <c r="O1907" s="61">
        <v>2070.0</v>
      </c>
      <c r="P1907" s="62">
        <v>1590.0</v>
      </c>
      <c r="Q1907" s="63">
        <v>1590.0</v>
      </c>
      <c r="R1907" s="64">
        <v>1771.0</v>
      </c>
      <c r="S1907" s="111">
        <v>1860.0</v>
      </c>
      <c r="T1907" s="65">
        <f t="shared" si="80"/>
        <v>297.6</v>
      </c>
      <c r="U1907" s="65">
        <f t="shared" si="81"/>
        <v>2157.6</v>
      </c>
      <c r="V1907" s="66">
        <f t="shared" si="82"/>
        <v>0.05025409373</v>
      </c>
      <c r="W1907" s="67">
        <f t="shared" si="5"/>
        <v>1767</v>
      </c>
      <c r="X1907" s="67">
        <f t="shared" si="70"/>
        <v>282.72</v>
      </c>
      <c r="Y1907" s="67">
        <f t="shared" si="71"/>
        <v>2049.72</v>
      </c>
      <c r="Z1907" s="67">
        <f t="shared" si="8"/>
        <v>1674</v>
      </c>
      <c r="AA1907" s="67">
        <f t="shared" si="72"/>
        <v>267.84</v>
      </c>
      <c r="AB1907" s="67">
        <f t="shared" si="73"/>
        <v>1941.84</v>
      </c>
      <c r="AC1907" s="67">
        <f t="shared" si="11"/>
        <v>1581</v>
      </c>
      <c r="AD1907" s="67">
        <f t="shared" si="74"/>
        <v>252.96</v>
      </c>
      <c r="AE1907" s="67">
        <f t="shared" si="75"/>
        <v>1833.96</v>
      </c>
      <c r="AF1907" s="67">
        <f t="shared" si="33"/>
        <v>1543.8</v>
      </c>
      <c r="AG1907" s="67">
        <f t="shared" si="76"/>
        <v>247.008</v>
      </c>
      <c r="AH1907" s="67">
        <f t="shared" si="77"/>
        <v>1790.808</v>
      </c>
      <c r="AI1907" s="67">
        <f t="shared" si="17"/>
        <v>1488</v>
      </c>
      <c r="AJ1907" s="68">
        <f t="shared" si="78"/>
        <v>238.08</v>
      </c>
      <c r="AK1907" s="68">
        <f t="shared" si="79"/>
        <v>1726.08</v>
      </c>
      <c r="AL1907" s="70"/>
      <c r="AM1907" s="70"/>
      <c r="AN1907" s="71"/>
      <c r="AO1907" s="71"/>
      <c r="AP1907" s="71"/>
      <c r="AQ1907" s="71"/>
      <c r="AR1907" s="71"/>
      <c r="AS1907" s="71"/>
      <c r="AT1907" s="71"/>
      <c r="AU1907" s="71"/>
      <c r="AV1907" s="71"/>
      <c r="AW1907" s="71"/>
      <c r="AX1907" s="71"/>
      <c r="AY1907" s="71"/>
      <c r="AZ1907" s="71"/>
      <c r="BA1907" s="71"/>
      <c r="BB1907" s="71"/>
      <c r="BC1907" s="71"/>
      <c r="BD1907" s="71"/>
      <c r="BE1907" s="71"/>
      <c r="BF1907" s="71"/>
      <c r="BG1907" s="71"/>
      <c r="BH1907" s="71"/>
      <c r="BI1907" s="71"/>
      <c r="BJ1907" s="71"/>
      <c r="BK1907" s="71"/>
      <c r="BL1907" s="71"/>
      <c r="BM1907" s="71"/>
      <c r="BN1907" s="71"/>
      <c r="BO1907" s="71"/>
      <c r="BP1907" s="71"/>
      <c r="BQ1907" s="71"/>
      <c r="BR1907" s="71"/>
      <c r="BS1907" s="71"/>
      <c r="BT1907" s="71"/>
      <c r="BU1907" s="71"/>
      <c r="BV1907" s="71"/>
    </row>
    <row r="1908">
      <c r="A1908" s="53">
        <v>1.0</v>
      </c>
      <c r="B1908" s="53"/>
      <c r="C1908" s="73" t="s">
        <v>12</v>
      </c>
      <c r="D1908" s="74" t="s">
        <v>4681</v>
      </c>
      <c r="E1908" s="54" t="s">
        <v>38</v>
      </c>
      <c r="F1908" s="54" t="s">
        <v>42</v>
      </c>
      <c r="G1908" s="141" t="s">
        <v>4682</v>
      </c>
      <c r="H1908" s="141" t="s">
        <v>4682</v>
      </c>
      <c r="I1908" s="54">
        <f t="shared" si="24"/>
        <v>23</v>
      </c>
      <c r="J1908" s="56"/>
      <c r="K1908" s="57"/>
      <c r="L1908" s="76"/>
      <c r="M1908" s="59"/>
      <c r="N1908" s="79">
        <v>1777.0</v>
      </c>
      <c r="O1908" s="61">
        <v>2070.0</v>
      </c>
      <c r="P1908" s="62">
        <v>1590.0</v>
      </c>
      <c r="Q1908" s="63">
        <v>1590.0</v>
      </c>
      <c r="R1908" s="64">
        <v>1821.0</v>
      </c>
      <c r="S1908" s="111">
        <v>1912.0</v>
      </c>
      <c r="T1908" s="65">
        <f t="shared" si="80"/>
        <v>305.92</v>
      </c>
      <c r="U1908" s="65">
        <f t="shared" si="81"/>
        <v>2217.92</v>
      </c>
      <c r="V1908" s="66">
        <f t="shared" si="82"/>
        <v>0.04997254256</v>
      </c>
      <c r="W1908" s="67">
        <f t="shared" si="5"/>
        <v>1816.4</v>
      </c>
      <c r="X1908" s="67">
        <f t="shared" si="70"/>
        <v>290.624</v>
      </c>
      <c r="Y1908" s="67">
        <f t="shared" si="71"/>
        <v>2107.024</v>
      </c>
      <c r="Z1908" s="67">
        <f t="shared" si="8"/>
        <v>1720.8</v>
      </c>
      <c r="AA1908" s="67">
        <f t="shared" si="72"/>
        <v>275.328</v>
      </c>
      <c r="AB1908" s="67">
        <f t="shared" si="73"/>
        <v>1996.128</v>
      </c>
      <c r="AC1908" s="67">
        <f t="shared" si="11"/>
        <v>1625.2</v>
      </c>
      <c r="AD1908" s="67">
        <f t="shared" si="74"/>
        <v>260.032</v>
      </c>
      <c r="AE1908" s="67">
        <f t="shared" si="75"/>
        <v>1885.232</v>
      </c>
      <c r="AF1908" s="67">
        <f t="shared" si="33"/>
        <v>1586.96</v>
      </c>
      <c r="AG1908" s="67">
        <f t="shared" si="76"/>
        <v>253.9136</v>
      </c>
      <c r="AH1908" s="67">
        <f t="shared" si="77"/>
        <v>1840.8736</v>
      </c>
      <c r="AI1908" s="67">
        <f t="shared" si="17"/>
        <v>1529.6</v>
      </c>
      <c r="AJ1908" s="68">
        <f t="shared" si="78"/>
        <v>244.736</v>
      </c>
      <c r="AK1908" s="68">
        <f t="shared" si="79"/>
        <v>1774.336</v>
      </c>
      <c r="AL1908" s="70"/>
      <c r="AM1908" s="70"/>
      <c r="AN1908" s="71"/>
      <c r="AO1908" s="71"/>
      <c r="AP1908" s="71"/>
      <c r="AQ1908" s="71"/>
      <c r="AR1908" s="71"/>
      <c r="AS1908" s="71"/>
      <c r="AT1908" s="71"/>
      <c r="AU1908" s="71"/>
      <c r="AV1908" s="71"/>
      <c r="AW1908" s="71"/>
      <c r="AX1908" s="71"/>
      <c r="AY1908" s="71"/>
      <c r="AZ1908" s="71"/>
      <c r="BA1908" s="71"/>
      <c r="BB1908" s="71"/>
      <c r="BC1908" s="71"/>
      <c r="BD1908" s="71"/>
      <c r="BE1908" s="71"/>
      <c r="BF1908" s="71"/>
      <c r="BG1908" s="71"/>
      <c r="BH1908" s="71"/>
      <c r="BI1908" s="71"/>
      <c r="BJ1908" s="71"/>
      <c r="BK1908" s="71"/>
      <c r="BL1908" s="71"/>
      <c r="BM1908" s="71"/>
      <c r="BN1908" s="71"/>
      <c r="BO1908" s="71"/>
      <c r="BP1908" s="71"/>
      <c r="BQ1908" s="71"/>
      <c r="BR1908" s="71"/>
      <c r="BS1908" s="71"/>
      <c r="BT1908" s="71"/>
      <c r="BU1908" s="71"/>
      <c r="BV1908" s="71"/>
    </row>
    <row r="1909">
      <c r="A1909" s="53">
        <v>1.0</v>
      </c>
      <c r="B1909" s="53"/>
      <c r="C1909" s="73" t="s">
        <v>12</v>
      </c>
      <c r="D1909" s="74" t="s">
        <v>4683</v>
      </c>
      <c r="E1909" s="54" t="s">
        <v>38</v>
      </c>
      <c r="F1909" s="54" t="s">
        <v>42</v>
      </c>
      <c r="G1909" s="141" t="s">
        <v>4684</v>
      </c>
      <c r="H1909" s="141" t="s">
        <v>4684</v>
      </c>
      <c r="I1909" s="54">
        <f t="shared" si="24"/>
        <v>23</v>
      </c>
      <c r="J1909" s="56"/>
      <c r="K1909" s="57"/>
      <c r="L1909" s="76"/>
      <c r="M1909" s="59"/>
      <c r="N1909" s="79">
        <v>1777.0</v>
      </c>
      <c r="O1909" s="61">
        <v>2070.0</v>
      </c>
      <c r="P1909" s="62">
        <v>1590.0</v>
      </c>
      <c r="Q1909" s="63">
        <v>1590.0</v>
      </c>
      <c r="R1909" s="64">
        <v>1821.0</v>
      </c>
      <c r="S1909" s="111">
        <v>1912.0</v>
      </c>
      <c r="T1909" s="65">
        <f t="shared" si="80"/>
        <v>305.92</v>
      </c>
      <c r="U1909" s="65">
        <f t="shared" si="81"/>
        <v>2217.92</v>
      </c>
      <c r="V1909" s="66">
        <f t="shared" si="82"/>
        <v>0.04997254256</v>
      </c>
      <c r="W1909" s="67">
        <f t="shared" si="5"/>
        <v>1816.4</v>
      </c>
      <c r="X1909" s="67">
        <f t="shared" si="70"/>
        <v>290.624</v>
      </c>
      <c r="Y1909" s="67">
        <f t="shared" si="71"/>
        <v>2107.024</v>
      </c>
      <c r="Z1909" s="67">
        <f t="shared" si="8"/>
        <v>1720.8</v>
      </c>
      <c r="AA1909" s="67">
        <f t="shared" si="72"/>
        <v>275.328</v>
      </c>
      <c r="AB1909" s="67">
        <f t="shared" si="73"/>
        <v>1996.128</v>
      </c>
      <c r="AC1909" s="67">
        <f t="shared" si="11"/>
        <v>1625.2</v>
      </c>
      <c r="AD1909" s="67">
        <f t="shared" si="74"/>
        <v>260.032</v>
      </c>
      <c r="AE1909" s="67">
        <f t="shared" si="75"/>
        <v>1885.232</v>
      </c>
      <c r="AF1909" s="67">
        <f t="shared" si="33"/>
        <v>1586.96</v>
      </c>
      <c r="AG1909" s="67">
        <f t="shared" si="76"/>
        <v>253.9136</v>
      </c>
      <c r="AH1909" s="67">
        <f t="shared" si="77"/>
        <v>1840.8736</v>
      </c>
      <c r="AI1909" s="67">
        <f t="shared" si="17"/>
        <v>1529.6</v>
      </c>
      <c r="AJ1909" s="68">
        <f t="shared" si="78"/>
        <v>244.736</v>
      </c>
      <c r="AK1909" s="68">
        <f t="shared" si="79"/>
        <v>1774.336</v>
      </c>
      <c r="AL1909" s="70"/>
      <c r="AM1909" s="70"/>
      <c r="AN1909" s="71"/>
      <c r="AO1909" s="71"/>
      <c r="AP1909" s="71"/>
      <c r="AQ1909" s="71"/>
      <c r="AR1909" s="71"/>
      <c r="AS1909" s="71"/>
      <c r="AT1909" s="71"/>
      <c r="AU1909" s="71"/>
      <c r="AV1909" s="71"/>
      <c r="AW1909" s="71"/>
      <c r="AX1909" s="71"/>
      <c r="AY1909" s="71"/>
      <c r="AZ1909" s="71"/>
      <c r="BA1909" s="71"/>
      <c r="BB1909" s="71"/>
      <c r="BC1909" s="71"/>
      <c r="BD1909" s="71"/>
      <c r="BE1909" s="71"/>
      <c r="BF1909" s="71"/>
      <c r="BG1909" s="71"/>
      <c r="BH1909" s="71"/>
      <c r="BI1909" s="71"/>
      <c r="BJ1909" s="71"/>
      <c r="BK1909" s="71"/>
      <c r="BL1909" s="71"/>
      <c r="BM1909" s="71"/>
      <c r="BN1909" s="71"/>
      <c r="BO1909" s="71"/>
      <c r="BP1909" s="71"/>
      <c r="BQ1909" s="71"/>
      <c r="BR1909" s="71"/>
      <c r="BS1909" s="71"/>
      <c r="BT1909" s="71"/>
      <c r="BU1909" s="71"/>
      <c r="BV1909" s="71"/>
    </row>
    <row r="1910">
      <c r="A1910" s="53">
        <v>1.0</v>
      </c>
      <c r="B1910" s="53"/>
      <c r="C1910" s="73" t="s">
        <v>12</v>
      </c>
      <c r="D1910" s="74" t="s">
        <v>4685</v>
      </c>
      <c r="E1910" s="54" t="s">
        <v>38</v>
      </c>
      <c r="F1910" s="54" t="s">
        <v>42</v>
      </c>
      <c r="G1910" s="141" t="s">
        <v>4686</v>
      </c>
      <c r="H1910" s="141" t="s">
        <v>4686</v>
      </c>
      <c r="I1910" s="54">
        <f t="shared" si="24"/>
        <v>23</v>
      </c>
      <c r="J1910" s="56"/>
      <c r="K1910" s="57"/>
      <c r="L1910" s="76"/>
      <c r="M1910" s="59"/>
      <c r="N1910" s="79">
        <v>1777.0</v>
      </c>
      <c r="O1910" s="61">
        <v>2070.0</v>
      </c>
      <c r="P1910" s="62">
        <v>1590.0</v>
      </c>
      <c r="Q1910" s="63">
        <v>1590.0</v>
      </c>
      <c r="R1910" s="64">
        <v>1821.0</v>
      </c>
      <c r="S1910" s="111">
        <v>1912.0</v>
      </c>
      <c r="T1910" s="65">
        <f t="shared" si="80"/>
        <v>305.92</v>
      </c>
      <c r="U1910" s="65">
        <f t="shared" si="81"/>
        <v>2217.92</v>
      </c>
      <c r="V1910" s="66">
        <f t="shared" si="82"/>
        <v>0.04997254256</v>
      </c>
      <c r="W1910" s="67">
        <f t="shared" si="5"/>
        <v>1816.4</v>
      </c>
      <c r="X1910" s="67">
        <f t="shared" si="70"/>
        <v>290.624</v>
      </c>
      <c r="Y1910" s="67">
        <f t="shared" si="71"/>
        <v>2107.024</v>
      </c>
      <c r="Z1910" s="67">
        <f t="shared" si="8"/>
        <v>1720.8</v>
      </c>
      <c r="AA1910" s="67">
        <f t="shared" si="72"/>
        <v>275.328</v>
      </c>
      <c r="AB1910" s="67">
        <f t="shared" si="73"/>
        <v>1996.128</v>
      </c>
      <c r="AC1910" s="67">
        <f t="shared" si="11"/>
        <v>1625.2</v>
      </c>
      <c r="AD1910" s="67">
        <f t="shared" si="74"/>
        <v>260.032</v>
      </c>
      <c r="AE1910" s="67">
        <f t="shared" si="75"/>
        <v>1885.232</v>
      </c>
      <c r="AF1910" s="67">
        <f t="shared" si="33"/>
        <v>1586.96</v>
      </c>
      <c r="AG1910" s="67">
        <f t="shared" si="76"/>
        <v>253.9136</v>
      </c>
      <c r="AH1910" s="67">
        <f t="shared" si="77"/>
        <v>1840.8736</v>
      </c>
      <c r="AI1910" s="67">
        <f t="shared" si="17"/>
        <v>1529.6</v>
      </c>
      <c r="AJ1910" s="68">
        <f t="shared" si="78"/>
        <v>244.736</v>
      </c>
      <c r="AK1910" s="68">
        <f t="shared" si="79"/>
        <v>1774.336</v>
      </c>
      <c r="AL1910" s="70"/>
      <c r="AM1910" s="70"/>
      <c r="AN1910" s="71"/>
      <c r="AO1910" s="71"/>
      <c r="AP1910" s="71"/>
      <c r="AQ1910" s="71"/>
      <c r="AR1910" s="71"/>
      <c r="AS1910" s="71"/>
      <c r="AT1910" s="71"/>
      <c r="AU1910" s="71"/>
      <c r="AV1910" s="71"/>
      <c r="AW1910" s="71"/>
      <c r="AX1910" s="71"/>
      <c r="AY1910" s="71"/>
      <c r="AZ1910" s="71"/>
      <c r="BA1910" s="71"/>
      <c r="BB1910" s="71"/>
      <c r="BC1910" s="71"/>
      <c r="BD1910" s="71"/>
      <c r="BE1910" s="71"/>
      <c r="BF1910" s="71"/>
      <c r="BG1910" s="71"/>
      <c r="BH1910" s="71"/>
      <c r="BI1910" s="71"/>
      <c r="BJ1910" s="71"/>
      <c r="BK1910" s="71"/>
      <c r="BL1910" s="71"/>
      <c r="BM1910" s="71"/>
      <c r="BN1910" s="71"/>
      <c r="BO1910" s="71"/>
      <c r="BP1910" s="71"/>
      <c r="BQ1910" s="71"/>
      <c r="BR1910" s="71"/>
      <c r="BS1910" s="71"/>
      <c r="BT1910" s="71"/>
      <c r="BU1910" s="71"/>
      <c r="BV1910" s="71"/>
    </row>
    <row r="1911">
      <c r="A1911" s="53"/>
      <c r="B1911" s="53">
        <v>0.0</v>
      </c>
      <c r="C1911" s="73" t="s">
        <v>12</v>
      </c>
      <c r="D1911" s="53" t="s">
        <v>4687</v>
      </c>
      <c r="E1911" s="54" t="s">
        <v>38</v>
      </c>
      <c r="F1911" s="54" t="s">
        <v>42</v>
      </c>
      <c r="G1911" s="142" t="s">
        <v>4688</v>
      </c>
      <c r="H1911" s="142" t="s">
        <v>4688</v>
      </c>
      <c r="I1911" s="54">
        <f t="shared" si="24"/>
        <v>29</v>
      </c>
      <c r="J1911" s="56"/>
      <c r="K1911" s="57"/>
      <c r="L1911" s="76" t="s">
        <v>661</v>
      </c>
      <c r="M1911" s="59"/>
      <c r="N1911" s="60"/>
      <c r="O1911" s="90"/>
      <c r="P1911" s="62">
        <v>2424.0</v>
      </c>
      <c r="Q1911" s="63">
        <v>2424.0</v>
      </c>
      <c r="R1911" s="64">
        <v>2546.0</v>
      </c>
      <c r="S1911" s="111">
        <v>2673.0</v>
      </c>
      <c r="T1911" s="65">
        <f t="shared" si="80"/>
        <v>427.68</v>
      </c>
      <c r="U1911" s="65">
        <f t="shared" si="81"/>
        <v>3100.68</v>
      </c>
      <c r="V1911" s="66">
        <f t="shared" si="82"/>
        <v>0.04988216811</v>
      </c>
      <c r="W1911" s="67" t="b">
        <f t="shared" si="5"/>
        <v>0</v>
      </c>
      <c r="X1911" s="67">
        <f t="shared" si="70"/>
        <v>0</v>
      </c>
      <c r="Y1911" s="67">
        <f t="shared" si="71"/>
        <v>0</v>
      </c>
      <c r="Z1911" s="67" t="b">
        <f t="shared" si="8"/>
        <v>0</v>
      </c>
      <c r="AA1911" s="67">
        <f t="shared" si="72"/>
        <v>0</v>
      </c>
      <c r="AB1911" s="67">
        <f t="shared" si="73"/>
        <v>0</v>
      </c>
      <c r="AC1911" s="67" t="b">
        <f t="shared" si="11"/>
        <v>0</v>
      </c>
      <c r="AD1911" s="67">
        <f t="shared" si="74"/>
        <v>0</v>
      </c>
      <c r="AE1911" s="67">
        <f t="shared" si="75"/>
        <v>0</v>
      </c>
      <c r="AF1911" s="67" t="b">
        <f t="shared" si="33"/>
        <v>0</v>
      </c>
      <c r="AG1911" s="67">
        <f t="shared" si="76"/>
        <v>0</v>
      </c>
      <c r="AH1911" s="67">
        <f t="shared" si="77"/>
        <v>0</v>
      </c>
      <c r="AI1911" s="67" t="b">
        <f t="shared" si="17"/>
        <v>0</v>
      </c>
      <c r="AJ1911" s="68">
        <f t="shared" si="78"/>
        <v>0</v>
      </c>
      <c r="AK1911" s="68">
        <f t="shared" si="79"/>
        <v>0</v>
      </c>
      <c r="AL1911" s="70"/>
      <c r="AM1911" s="70"/>
      <c r="AN1911" s="71"/>
      <c r="AO1911" s="71"/>
      <c r="AP1911" s="71"/>
      <c r="AQ1911" s="71"/>
      <c r="AR1911" s="71"/>
      <c r="AS1911" s="71"/>
      <c r="AT1911" s="71"/>
      <c r="AU1911" s="71"/>
      <c r="AV1911" s="71"/>
      <c r="AW1911" s="71"/>
      <c r="AX1911" s="71"/>
      <c r="AY1911" s="71"/>
      <c r="AZ1911" s="71"/>
      <c r="BA1911" s="71"/>
      <c r="BB1911" s="71"/>
      <c r="BC1911" s="71"/>
      <c r="BD1911" s="71"/>
      <c r="BE1911" s="71"/>
      <c r="BF1911" s="71"/>
      <c r="BG1911" s="71"/>
      <c r="BH1911" s="71"/>
      <c r="BI1911" s="71"/>
      <c r="BJ1911" s="71"/>
      <c r="BK1911" s="71"/>
      <c r="BL1911" s="71"/>
      <c r="BM1911" s="71"/>
      <c r="BN1911" s="71"/>
      <c r="BO1911" s="71"/>
      <c r="BP1911" s="71"/>
      <c r="BQ1911" s="71"/>
      <c r="BR1911" s="71"/>
      <c r="BS1911" s="71"/>
      <c r="BT1911" s="71"/>
      <c r="BU1911" s="71"/>
      <c r="BV1911" s="71"/>
    </row>
    <row r="1912">
      <c r="A1912" s="53">
        <v>1.0</v>
      </c>
      <c r="B1912" s="53"/>
      <c r="C1912" s="73" t="s">
        <v>53</v>
      </c>
      <c r="D1912" s="74" t="s">
        <v>4689</v>
      </c>
      <c r="E1912" s="54" t="s">
        <v>38</v>
      </c>
      <c r="F1912" s="54" t="s">
        <v>42</v>
      </c>
      <c r="G1912" s="188" t="s">
        <v>4690</v>
      </c>
      <c r="H1912" s="188" t="s">
        <v>4690</v>
      </c>
      <c r="I1912" s="54">
        <f t="shared" si="24"/>
        <v>31</v>
      </c>
      <c r="J1912" s="56"/>
      <c r="K1912" s="57"/>
      <c r="L1912" s="76"/>
      <c r="M1912" s="59"/>
      <c r="N1912" s="60">
        <v>2719.0</v>
      </c>
      <c r="O1912" s="61">
        <v>2936.0</v>
      </c>
      <c r="P1912" s="62">
        <v>3170.88</v>
      </c>
      <c r="Q1912" s="63">
        <v>3170.88</v>
      </c>
      <c r="R1912" s="64">
        <v>3531.0</v>
      </c>
      <c r="S1912" s="111">
        <v>3708.0</v>
      </c>
      <c r="T1912" s="65">
        <f t="shared" si="80"/>
        <v>593.28</v>
      </c>
      <c r="U1912" s="65">
        <f t="shared" si="81"/>
        <v>4301.28</v>
      </c>
      <c r="V1912" s="66">
        <f t="shared" si="82"/>
        <v>0.05012744265</v>
      </c>
      <c r="W1912" s="67">
        <f t="shared" si="5"/>
        <v>3522.6</v>
      </c>
      <c r="X1912" s="67">
        <f t="shared" si="70"/>
        <v>563.616</v>
      </c>
      <c r="Y1912" s="67">
        <f t="shared" si="71"/>
        <v>4086.216</v>
      </c>
      <c r="Z1912" s="67">
        <f t="shared" si="8"/>
        <v>3337.2</v>
      </c>
      <c r="AA1912" s="67">
        <f t="shared" si="72"/>
        <v>533.952</v>
      </c>
      <c r="AB1912" s="67">
        <f t="shared" si="73"/>
        <v>3871.152</v>
      </c>
      <c r="AC1912" s="67">
        <f t="shared" si="11"/>
        <v>3151.8</v>
      </c>
      <c r="AD1912" s="67">
        <f t="shared" si="74"/>
        <v>504.288</v>
      </c>
      <c r="AE1912" s="67">
        <f t="shared" si="75"/>
        <v>3656.088</v>
      </c>
      <c r="AF1912" s="67">
        <f t="shared" si="33"/>
        <v>3077.64</v>
      </c>
      <c r="AG1912" s="67">
        <f t="shared" si="76"/>
        <v>492.4224</v>
      </c>
      <c r="AH1912" s="67">
        <f t="shared" si="77"/>
        <v>3570.0624</v>
      </c>
      <c r="AI1912" s="67">
        <f t="shared" si="17"/>
        <v>2966.4</v>
      </c>
      <c r="AJ1912" s="68">
        <f t="shared" si="78"/>
        <v>474.624</v>
      </c>
      <c r="AK1912" s="68">
        <f t="shared" si="79"/>
        <v>3441.024</v>
      </c>
      <c r="AL1912" s="70"/>
      <c r="AM1912" s="70"/>
      <c r="AN1912" s="71"/>
      <c r="AO1912" s="71"/>
      <c r="AP1912" s="71"/>
      <c r="AQ1912" s="71"/>
      <c r="AR1912" s="71"/>
      <c r="AS1912" s="71"/>
      <c r="AT1912" s="71"/>
      <c r="AU1912" s="71"/>
      <c r="AV1912" s="71"/>
      <c r="AW1912" s="71"/>
      <c r="AX1912" s="71"/>
      <c r="AY1912" s="71"/>
      <c r="AZ1912" s="71"/>
      <c r="BA1912" s="71"/>
      <c r="BB1912" s="71"/>
      <c r="BC1912" s="71"/>
      <c r="BD1912" s="71"/>
      <c r="BE1912" s="71"/>
      <c r="BF1912" s="71"/>
      <c r="BG1912" s="71"/>
      <c r="BH1912" s="71"/>
      <c r="BI1912" s="71"/>
      <c r="BJ1912" s="71"/>
      <c r="BK1912" s="71"/>
      <c r="BL1912" s="71"/>
      <c r="BM1912" s="71"/>
      <c r="BN1912" s="71"/>
      <c r="BO1912" s="71"/>
      <c r="BP1912" s="71"/>
      <c r="BQ1912" s="71"/>
      <c r="BR1912" s="71"/>
      <c r="BS1912" s="71"/>
      <c r="BT1912" s="71"/>
      <c r="BU1912" s="71"/>
      <c r="BV1912" s="71"/>
    </row>
    <row r="1913">
      <c r="A1913" s="53">
        <v>1.0</v>
      </c>
      <c r="B1913" s="53"/>
      <c r="C1913" s="73" t="s">
        <v>53</v>
      </c>
      <c r="D1913" s="74" t="s">
        <v>4691</v>
      </c>
      <c r="E1913" s="54" t="s">
        <v>38</v>
      </c>
      <c r="F1913" s="54" t="s">
        <v>42</v>
      </c>
      <c r="G1913" s="188" t="s">
        <v>4692</v>
      </c>
      <c r="H1913" s="188" t="s">
        <v>4692</v>
      </c>
      <c r="I1913" s="54">
        <f t="shared" si="24"/>
        <v>31</v>
      </c>
      <c r="J1913" s="56"/>
      <c r="K1913" s="57"/>
      <c r="L1913" s="76"/>
      <c r="M1913" s="59"/>
      <c r="N1913" s="60">
        <v>2719.0</v>
      </c>
      <c r="O1913" s="61">
        <v>2936.0</v>
      </c>
      <c r="P1913" s="62">
        <v>3170.88</v>
      </c>
      <c r="Q1913" s="63">
        <v>3170.88</v>
      </c>
      <c r="R1913" s="64">
        <v>3531.0</v>
      </c>
      <c r="S1913" s="111">
        <v>3708.0</v>
      </c>
      <c r="T1913" s="65">
        <f t="shared" si="80"/>
        <v>593.28</v>
      </c>
      <c r="U1913" s="65">
        <f t="shared" si="81"/>
        <v>4301.28</v>
      </c>
      <c r="V1913" s="66">
        <f t="shared" si="82"/>
        <v>0.05012744265</v>
      </c>
      <c r="W1913" s="67">
        <f t="shared" si="5"/>
        <v>3522.6</v>
      </c>
      <c r="X1913" s="67">
        <f t="shared" si="70"/>
        <v>563.616</v>
      </c>
      <c r="Y1913" s="67">
        <f t="shared" si="71"/>
        <v>4086.216</v>
      </c>
      <c r="Z1913" s="67">
        <f t="shared" si="8"/>
        <v>3337.2</v>
      </c>
      <c r="AA1913" s="67">
        <f t="shared" si="72"/>
        <v>533.952</v>
      </c>
      <c r="AB1913" s="67">
        <f t="shared" si="73"/>
        <v>3871.152</v>
      </c>
      <c r="AC1913" s="67">
        <f t="shared" si="11"/>
        <v>3151.8</v>
      </c>
      <c r="AD1913" s="67">
        <f t="shared" si="74"/>
        <v>504.288</v>
      </c>
      <c r="AE1913" s="67">
        <f t="shared" si="75"/>
        <v>3656.088</v>
      </c>
      <c r="AF1913" s="67">
        <f t="shared" si="33"/>
        <v>3077.64</v>
      </c>
      <c r="AG1913" s="67">
        <f t="shared" si="76"/>
        <v>492.4224</v>
      </c>
      <c r="AH1913" s="67">
        <f t="shared" si="77"/>
        <v>3570.0624</v>
      </c>
      <c r="AI1913" s="67">
        <f t="shared" si="17"/>
        <v>2966.4</v>
      </c>
      <c r="AJ1913" s="68">
        <f t="shared" si="78"/>
        <v>474.624</v>
      </c>
      <c r="AK1913" s="68">
        <f t="shared" si="79"/>
        <v>3441.024</v>
      </c>
      <c r="AL1913" s="70"/>
      <c r="AM1913" s="70"/>
      <c r="AN1913" s="71"/>
      <c r="AO1913" s="71"/>
      <c r="AP1913" s="71"/>
      <c r="AQ1913" s="71"/>
      <c r="AR1913" s="71"/>
      <c r="AS1913" s="71"/>
      <c r="AT1913" s="71"/>
      <c r="AU1913" s="71"/>
      <c r="AV1913" s="71"/>
      <c r="AW1913" s="71"/>
      <c r="AX1913" s="71"/>
      <c r="AY1913" s="71"/>
      <c r="AZ1913" s="71"/>
      <c r="BA1913" s="71"/>
      <c r="BB1913" s="71"/>
      <c r="BC1913" s="71"/>
      <c r="BD1913" s="71"/>
      <c r="BE1913" s="71"/>
      <c r="BF1913" s="71"/>
      <c r="BG1913" s="71"/>
      <c r="BH1913" s="71"/>
      <c r="BI1913" s="71"/>
      <c r="BJ1913" s="71"/>
      <c r="BK1913" s="71"/>
      <c r="BL1913" s="71"/>
      <c r="BM1913" s="71"/>
      <c r="BN1913" s="71"/>
      <c r="BO1913" s="71"/>
      <c r="BP1913" s="71"/>
      <c r="BQ1913" s="71"/>
      <c r="BR1913" s="71"/>
      <c r="BS1913" s="71"/>
      <c r="BT1913" s="71"/>
      <c r="BU1913" s="71"/>
      <c r="BV1913" s="71"/>
    </row>
    <row r="1914">
      <c r="A1914" s="53">
        <v>1.0</v>
      </c>
      <c r="B1914" s="53"/>
      <c r="C1914" s="73" t="s">
        <v>53</v>
      </c>
      <c r="D1914" s="74" t="s">
        <v>4693</v>
      </c>
      <c r="E1914" s="54" t="s">
        <v>38</v>
      </c>
      <c r="F1914" s="54" t="s">
        <v>42</v>
      </c>
      <c r="G1914" s="188" t="s">
        <v>4694</v>
      </c>
      <c r="H1914" s="188" t="s">
        <v>4694</v>
      </c>
      <c r="I1914" s="54">
        <f t="shared" si="24"/>
        <v>31</v>
      </c>
      <c r="J1914" s="56"/>
      <c r="K1914" s="57"/>
      <c r="L1914" s="76"/>
      <c r="M1914" s="59"/>
      <c r="N1914" s="60">
        <v>2719.0</v>
      </c>
      <c r="O1914" s="61">
        <v>2936.0</v>
      </c>
      <c r="P1914" s="62">
        <v>3170.88</v>
      </c>
      <c r="Q1914" s="63">
        <v>3170.88</v>
      </c>
      <c r="R1914" s="64">
        <v>3531.0</v>
      </c>
      <c r="S1914" s="111">
        <v>3708.0</v>
      </c>
      <c r="T1914" s="65">
        <f t="shared" si="80"/>
        <v>593.28</v>
      </c>
      <c r="U1914" s="65">
        <f t="shared" si="81"/>
        <v>4301.28</v>
      </c>
      <c r="V1914" s="66">
        <f t="shared" si="82"/>
        <v>0.05012744265</v>
      </c>
      <c r="W1914" s="67">
        <f t="shared" si="5"/>
        <v>3522.6</v>
      </c>
      <c r="X1914" s="67">
        <f t="shared" si="70"/>
        <v>563.616</v>
      </c>
      <c r="Y1914" s="67">
        <f t="shared" si="71"/>
        <v>4086.216</v>
      </c>
      <c r="Z1914" s="67">
        <f t="shared" si="8"/>
        <v>3337.2</v>
      </c>
      <c r="AA1914" s="67">
        <f t="shared" si="72"/>
        <v>533.952</v>
      </c>
      <c r="AB1914" s="67">
        <f t="shared" si="73"/>
        <v>3871.152</v>
      </c>
      <c r="AC1914" s="67">
        <f t="shared" si="11"/>
        <v>3151.8</v>
      </c>
      <c r="AD1914" s="67">
        <f t="shared" si="74"/>
        <v>504.288</v>
      </c>
      <c r="AE1914" s="67">
        <f t="shared" si="75"/>
        <v>3656.088</v>
      </c>
      <c r="AF1914" s="67">
        <f t="shared" si="33"/>
        <v>3077.64</v>
      </c>
      <c r="AG1914" s="67">
        <f t="shared" si="76"/>
        <v>492.4224</v>
      </c>
      <c r="AH1914" s="67">
        <f t="shared" si="77"/>
        <v>3570.0624</v>
      </c>
      <c r="AI1914" s="67">
        <f t="shared" si="17"/>
        <v>2966.4</v>
      </c>
      <c r="AJ1914" s="68">
        <f t="shared" si="78"/>
        <v>474.624</v>
      </c>
      <c r="AK1914" s="68">
        <f t="shared" si="79"/>
        <v>3441.024</v>
      </c>
      <c r="AL1914" s="70"/>
      <c r="AM1914" s="70"/>
      <c r="AN1914" s="71"/>
      <c r="AO1914" s="71"/>
      <c r="AP1914" s="71"/>
      <c r="AQ1914" s="71"/>
      <c r="AR1914" s="71"/>
      <c r="AS1914" s="71"/>
      <c r="AT1914" s="71"/>
      <c r="AU1914" s="71"/>
      <c r="AV1914" s="71"/>
      <c r="AW1914" s="71"/>
      <c r="AX1914" s="71"/>
      <c r="AY1914" s="71"/>
      <c r="AZ1914" s="71"/>
      <c r="BA1914" s="71"/>
      <c r="BB1914" s="71"/>
      <c r="BC1914" s="71"/>
      <c r="BD1914" s="71"/>
      <c r="BE1914" s="71"/>
      <c r="BF1914" s="71"/>
      <c r="BG1914" s="71"/>
      <c r="BH1914" s="71"/>
      <c r="BI1914" s="71"/>
      <c r="BJ1914" s="71"/>
      <c r="BK1914" s="71"/>
      <c r="BL1914" s="71"/>
      <c r="BM1914" s="71"/>
      <c r="BN1914" s="71"/>
      <c r="BO1914" s="71"/>
      <c r="BP1914" s="71"/>
      <c r="BQ1914" s="71"/>
      <c r="BR1914" s="71"/>
      <c r="BS1914" s="71"/>
      <c r="BT1914" s="71"/>
      <c r="BU1914" s="71"/>
      <c r="BV1914" s="71"/>
    </row>
    <row r="1915">
      <c r="A1915" s="53">
        <v>1.0</v>
      </c>
      <c r="B1915" s="53"/>
      <c r="C1915" s="73" t="s">
        <v>53</v>
      </c>
      <c r="D1915" s="74" t="s">
        <v>4695</v>
      </c>
      <c r="E1915" s="54" t="s">
        <v>38</v>
      </c>
      <c r="F1915" s="54" t="s">
        <v>42</v>
      </c>
      <c r="G1915" s="188" t="s">
        <v>4696</v>
      </c>
      <c r="H1915" s="188" t="s">
        <v>4696</v>
      </c>
      <c r="I1915" s="54">
        <f t="shared" si="24"/>
        <v>31</v>
      </c>
      <c r="J1915" s="56"/>
      <c r="K1915" s="57"/>
      <c r="L1915" s="76"/>
      <c r="M1915" s="59"/>
      <c r="N1915" s="60">
        <v>2719.0</v>
      </c>
      <c r="O1915" s="61">
        <v>2936.0</v>
      </c>
      <c r="P1915" s="62">
        <v>3170.88</v>
      </c>
      <c r="Q1915" s="63">
        <v>3170.88</v>
      </c>
      <c r="R1915" s="64">
        <v>3531.0</v>
      </c>
      <c r="S1915" s="111">
        <v>3708.0</v>
      </c>
      <c r="T1915" s="65">
        <f t="shared" si="80"/>
        <v>593.28</v>
      </c>
      <c r="U1915" s="65">
        <f t="shared" si="81"/>
        <v>4301.28</v>
      </c>
      <c r="V1915" s="66">
        <f t="shared" si="82"/>
        <v>0.05012744265</v>
      </c>
      <c r="W1915" s="67">
        <f t="shared" si="5"/>
        <v>3522.6</v>
      </c>
      <c r="X1915" s="67">
        <f t="shared" si="70"/>
        <v>563.616</v>
      </c>
      <c r="Y1915" s="67">
        <f t="shared" si="71"/>
        <v>4086.216</v>
      </c>
      <c r="Z1915" s="67">
        <f t="shared" si="8"/>
        <v>3337.2</v>
      </c>
      <c r="AA1915" s="67">
        <f t="shared" si="72"/>
        <v>533.952</v>
      </c>
      <c r="AB1915" s="67">
        <f t="shared" si="73"/>
        <v>3871.152</v>
      </c>
      <c r="AC1915" s="67">
        <f t="shared" si="11"/>
        <v>3151.8</v>
      </c>
      <c r="AD1915" s="67">
        <f t="shared" si="74"/>
        <v>504.288</v>
      </c>
      <c r="AE1915" s="67">
        <f t="shared" si="75"/>
        <v>3656.088</v>
      </c>
      <c r="AF1915" s="67">
        <f t="shared" si="33"/>
        <v>3077.64</v>
      </c>
      <c r="AG1915" s="67">
        <f t="shared" si="76"/>
        <v>492.4224</v>
      </c>
      <c r="AH1915" s="67">
        <f t="shared" si="77"/>
        <v>3570.0624</v>
      </c>
      <c r="AI1915" s="67">
        <f t="shared" si="17"/>
        <v>2966.4</v>
      </c>
      <c r="AJ1915" s="68">
        <f t="shared" si="78"/>
        <v>474.624</v>
      </c>
      <c r="AK1915" s="68">
        <f t="shared" si="79"/>
        <v>3441.024</v>
      </c>
      <c r="AL1915" s="70"/>
      <c r="AM1915" s="70"/>
      <c r="AN1915" s="71"/>
      <c r="AO1915" s="71"/>
      <c r="AP1915" s="71"/>
      <c r="AQ1915" s="71"/>
      <c r="AR1915" s="71"/>
      <c r="AS1915" s="71"/>
      <c r="AT1915" s="71"/>
      <c r="AU1915" s="71"/>
      <c r="AV1915" s="71"/>
      <c r="AW1915" s="71"/>
      <c r="AX1915" s="71"/>
      <c r="AY1915" s="71"/>
      <c r="AZ1915" s="71"/>
      <c r="BA1915" s="71"/>
      <c r="BB1915" s="71"/>
      <c r="BC1915" s="71"/>
      <c r="BD1915" s="71"/>
      <c r="BE1915" s="71"/>
      <c r="BF1915" s="71"/>
      <c r="BG1915" s="71"/>
      <c r="BH1915" s="71"/>
      <c r="BI1915" s="71"/>
      <c r="BJ1915" s="71"/>
      <c r="BK1915" s="71"/>
      <c r="BL1915" s="71"/>
      <c r="BM1915" s="71"/>
      <c r="BN1915" s="71"/>
      <c r="BO1915" s="71"/>
      <c r="BP1915" s="71"/>
      <c r="BQ1915" s="71"/>
      <c r="BR1915" s="71"/>
      <c r="BS1915" s="71"/>
      <c r="BT1915" s="71"/>
      <c r="BU1915" s="71"/>
      <c r="BV1915" s="71"/>
    </row>
    <row r="1916">
      <c r="A1916" s="53">
        <v>1.0</v>
      </c>
      <c r="B1916" s="53"/>
      <c r="C1916" s="73" t="s">
        <v>53</v>
      </c>
      <c r="D1916" s="74" t="s">
        <v>4697</v>
      </c>
      <c r="E1916" s="54" t="s">
        <v>38</v>
      </c>
      <c r="F1916" s="54" t="s">
        <v>42</v>
      </c>
      <c r="G1916" s="188" t="s">
        <v>4698</v>
      </c>
      <c r="H1916" s="188" t="s">
        <v>4698</v>
      </c>
      <c r="I1916" s="54">
        <f t="shared" si="24"/>
        <v>31</v>
      </c>
      <c r="J1916" s="56"/>
      <c r="K1916" s="57"/>
      <c r="L1916" s="76"/>
      <c r="M1916" s="59"/>
      <c r="N1916" s="60">
        <v>2719.0</v>
      </c>
      <c r="O1916" s="61">
        <v>2936.0</v>
      </c>
      <c r="P1916" s="62">
        <v>3170.88</v>
      </c>
      <c r="Q1916" s="63">
        <v>3170.88</v>
      </c>
      <c r="R1916" s="64">
        <v>3531.0</v>
      </c>
      <c r="S1916" s="111">
        <v>3708.0</v>
      </c>
      <c r="T1916" s="65">
        <f t="shared" si="80"/>
        <v>593.28</v>
      </c>
      <c r="U1916" s="65">
        <f t="shared" si="81"/>
        <v>4301.28</v>
      </c>
      <c r="V1916" s="66">
        <f t="shared" si="82"/>
        <v>0.05012744265</v>
      </c>
      <c r="W1916" s="67">
        <f t="shared" si="5"/>
        <v>3522.6</v>
      </c>
      <c r="X1916" s="67">
        <f t="shared" si="70"/>
        <v>563.616</v>
      </c>
      <c r="Y1916" s="67">
        <f t="shared" si="71"/>
        <v>4086.216</v>
      </c>
      <c r="Z1916" s="67">
        <f t="shared" si="8"/>
        <v>3337.2</v>
      </c>
      <c r="AA1916" s="67">
        <f t="shared" si="72"/>
        <v>533.952</v>
      </c>
      <c r="AB1916" s="67">
        <f t="shared" si="73"/>
        <v>3871.152</v>
      </c>
      <c r="AC1916" s="67">
        <f t="shared" si="11"/>
        <v>3151.8</v>
      </c>
      <c r="AD1916" s="67">
        <f t="shared" si="74"/>
        <v>504.288</v>
      </c>
      <c r="AE1916" s="67">
        <f t="shared" si="75"/>
        <v>3656.088</v>
      </c>
      <c r="AF1916" s="67">
        <f t="shared" si="33"/>
        <v>3077.64</v>
      </c>
      <c r="AG1916" s="67">
        <f t="shared" si="76"/>
        <v>492.4224</v>
      </c>
      <c r="AH1916" s="67">
        <f t="shared" si="77"/>
        <v>3570.0624</v>
      </c>
      <c r="AI1916" s="67">
        <f t="shared" si="17"/>
        <v>2966.4</v>
      </c>
      <c r="AJ1916" s="68">
        <f t="shared" si="78"/>
        <v>474.624</v>
      </c>
      <c r="AK1916" s="68">
        <f t="shared" si="79"/>
        <v>3441.024</v>
      </c>
      <c r="AL1916" s="70"/>
      <c r="AM1916" s="70"/>
      <c r="AN1916" s="71"/>
      <c r="AO1916" s="71"/>
      <c r="AP1916" s="71"/>
      <c r="AQ1916" s="71"/>
      <c r="AR1916" s="71"/>
      <c r="AS1916" s="71"/>
      <c r="AT1916" s="71"/>
      <c r="AU1916" s="71"/>
      <c r="AV1916" s="71"/>
      <c r="AW1916" s="71"/>
      <c r="AX1916" s="71"/>
      <c r="AY1916" s="71"/>
      <c r="AZ1916" s="71"/>
      <c r="BA1916" s="71"/>
      <c r="BB1916" s="71"/>
      <c r="BC1916" s="71"/>
      <c r="BD1916" s="71"/>
      <c r="BE1916" s="71"/>
      <c r="BF1916" s="71"/>
      <c r="BG1916" s="71"/>
      <c r="BH1916" s="71"/>
      <c r="BI1916" s="71"/>
      <c r="BJ1916" s="71"/>
      <c r="BK1916" s="71"/>
      <c r="BL1916" s="71"/>
      <c r="BM1916" s="71"/>
      <c r="BN1916" s="71"/>
      <c r="BO1916" s="71"/>
      <c r="BP1916" s="71"/>
      <c r="BQ1916" s="71"/>
      <c r="BR1916" s="71"/>
      <c r="BS1916" s="71"/>
      <c r="BT1916" s="71"/>
      <c r="BU1916" s="71"/>
      <c r="BV1916" s="71"/>
    </row>
    <row r="1917">
      <c r="A1917" s="53">
        <v>1.0</v>
      </c>
      <c r="B1917" s="53"/>
      <c r="C1917" s="73" t="s">
        <v>12</v>
      </c>
      <c r="D1917" s="74" t="s">
        <v>4699</v>
      </c>
      <c r="E1917" s="54" t="s">
        <v>38</v>
      </c>
      <c r="F1917" s="54" t="s">
        <v>42</v>
      </c>
      <c r="G1917" s="188" t="s">
        <v>4700</v>
      </c>
      <c r="H1917" s="188" t="s">
        <v>4700</v>
      </c>
      <c r="I1917" s="54">
        <f t="shared" si="24"/>
        <v>31</v>
      </c>
      <c r="J1917" s="56"/>
      <c r="K1917" s="57"/>
      <c r="L1917" s="76"/>
      <c r="M1917" s="59"/>
      <c r="N1917" s="60">
        <v>2719.0</v>
      </c>
      <c r="O1917" s="61">
        <v>2936.0</v>
      </c>
      <c r="P1917" s="62">
        <v>3170.88</v>
      </c>
      <c r="Q1917" s="63">
        <v>3170.88</v>
      </c>
      <c r="R1917" s="64">
        <v>3531.0</v>
      </c>
      <c r="S1917" s="111">
        <v>3708.0</v>
      </c>
      <c r="T1917" s="65">
        <f t="shared" si="80"/>
        <v>593.28</v>
      </c>
      <c r="U1917" s="65">
        <f t="shared" si="81"/>
        <v>4301.28</v>
      </c>
      <c r="V1917" s="66">
        <f t="shared" si="82"/>
        <v>0.05012744265</v>
      </c>
      <c r="W1917" s="67">
        <f t="shared" si="5"/>
        <v>3522.6</v>
      </c>
      <c r="X1917" s="67">
        <f t="shared" si="70"/>
        <v>563.616</v>
      </c>
      <c r="Y1917" s="67">
        <f t="shared" si="71"/>
        <v>4086.216</v>
      </c>
      <c r="Z1917" s="67">
        <f t="shared" si="8"/>
        <v>3337.2</v>
      </c>
      <c r="AA1917" s="67">
        <f t="shared" si="72"/>
        <v>533.952</v>
      </c>
      <c r="AB1917" s="67">
        <f t="shared" si="73"/>
        <v>3871.152</v>
      </c>
      <c r="AC1917" s="67">
        <f t="shared" si="11"/>
        <v>3151.8</v>
      </c>
      <c r="AD1917" s="67">
        <f t="shared" si="74"/>
        <v>504.288</v>
      </c>
      <c r="AE1917" s="67">
        <f t="shared" si="75"/>
        <v>3656.088</v>
      </c>
      <c r="AF1917" s="67">
        <f t="shared" si="33"/>
        <v>3077.64</v>
      </c>
      <c r="AG1917" s="67">
        <f t="shared" si="76"/>
        <v>492.4224</v>
      </c>
      <c r="AH1917" s="67">
        <f t="shared" si="77"/>
        <v>3570.0624</v>
      </c>
      <c r="AI1917" s="67">
        <f t="shared" si="17"/>
        <v>2966.4</v>
      </c>
      <c r="AJ1917" s="68">
        <f t="shared" si="78"/>
        <v>474.624</v>
      </c>
      <c r="AK1917" s="68">
        <f t="shared" si="79"/>
        <v>3441.024</v>
      </c>
      <c r="AL1917" s="70"/>
      <c r="AM1917" s="70"/>
      <c r="AN1917" s="71"/>
      <c r="AO1917" s="71"/>
      <c r="AP1917" s="71"/>
      <c r="AQ1917" s="71"/>
      <c r="AR1917" s="71"/>
      <c r="AS1917" s="71"/>
      <c r="AT1917" s="71"/>
      <c r="AU1917" s="71"/>
      <c r="AV1917" s="71"/>
      <c r="AW1917" s="71"/>
      <c r="AX1917" s="71"/>
      <c r="AY1917" s="71"/>
      <c r="AZ1917" s="71"/>
      <c r="BA1917" s="71"/>
      <c r="BB1917" s="71"/>
      <c r="BC1917" s="71"/>
      <c r="BD1917" s="71"/>
      <c r="BE1917" s="71"/>
      <c r="BF1917" s="71"/>
      <c r="BG1917" s="71"/>
      <c r="BH1917" s="71"/>
      <c r="BI1917" s="71"/>
      <c r="BJ1917" s="71"/>
      <c r="BK1917" s="71"/>
      <c r="BL1917" s="71"/>
      <c r="BM1917" s="71"/>
      <c r="BN1917" s="71"/>
      <c r="BO1917" s="71"/>
      <c r="BP1917" s="71"/>
      <c r="BQ1917" s="71"/>
      <c r="BR1917" s="71"/>
      <c r="BS1917" s="71"/>
      <c r="BT1917" s="71"/>
      <c r="BU1917" s="71"/>
      <c r="BV1917" s="71"/>
    </row>
    <row r="1918">
      <c r="A1918" s="53">
        <v>1.0</v>
      </c>
      <c r="B1918" s="53"/>
      <c r="C1918" s="73" t="s">
        <v>53</v>
      </c>
      <c r="D1918" s="74" t="s">
        <v>4701</v>
      </c>
      <c r="E1918" s="54" t="s">
        <v>38</v>
      </c>
      <c r="F1918" s="54" t="s">
        <v>42</v>
      </c>
      <c r="G1918" s="188" t="s">
        <v>4702</v>
      </c>
      <c r="H1918" s="188" t="s">
        <v>4702</v>
      </c>
      <c r="I1918" s="54">
        <f t="shared" si="24"/>
        <v>31</v>
      </c>
      <c r="J1918" s="56"/>
      <c r="K1918" s="57"/>
      <c r="L1918" s="76"/>
      <c r="M1918" s="59"/>
      <c r="N1918" s="60">
        <v>2719.0</v>
      </c>
      <c r="O1918" s="61">
        <v>2936.0</v>
      </c>
      <c r="P1918" s="62">
        <v>3170.88</v>
      </c>
      <c r="Q1918" s="63">
        <v>3170.88</v>
      </c>
      <c r="R1918" s="64">
        <v>3531.0</v>
      </c>
      <c r="S1918" s="111">
        <v>3708.0</v>
      </c>
      <c r="T1918" s="65">
        <f t="shared" si="80"/>
        <v>593.28</v>
      </c>
      <c r="U1918" s="65">
        <f t="shared" si="81"/>
        <v>4301.28</v>
      </c>
      <c r="V1918" s="66">
        <f t="shared" si="82"/>
        <v>0.05012744265</v>
      </c>
      <c r="W1918" s="67">
        <f t="shared" si="5"/>
        <v>3522.6</v>
      </c>
      <c r="X1918" s="67">
        <f t="shared" si="70"/>
        <v>563.616</v>
      </c>
      <c r="Y1918" s="67">
        <f t="shared" si="71"/>
        <v>4086.216</v>
      </c>
      <c r="Z1918" s="67">
        <f t="shared" si="8"/>
        <v>3337.2</v>
      </c>
      <c r="AA1918" s="67">
        <f t="shared" si="72"/>
        <v>533.952</v>
      </c>
      <c r="AB1918" s="67">
        <f t="shared" si="73"/>
        <v>3871.152</v>
      </c>
      <c r="AC1918" s="67">
        <f t="shared" si="11"/>
        <v>3151.8</v>
      </c>
      <c r="AD1918" s="67">
        <f t="shared" si="74"/>
        <v>504.288</v>
      </c>
      <c r="AE1918" s="67">
        <f t="shared" si="75"/>
        <v>3656.088</v>
      </c>
      <c r="AF1918" s="67">
        <f t="shared" si="33"/>
        <v>3077.64</v>
      </c>
      <c r="AG1918" s="67">
        <f t="shared" si="76"/>
        <v>492.4224</v>
      </c>
      <c r="AH1918" s="67">
        <f t="shared" si="77"/>
        <v>3570.0624</v>
      </c>
      <c r="AI1918" s="67">
        <f t="shared" si="17"/>
        <v>2966.4</v>
      </c>
      <c r="AJ1918" s="68">
        <f t="shared" si="78"/>
        <v>474.624</v>
      </c>
      <c r="AK1918" s="68">
        <f t="shared" si="79"/>
        <v>3441.024</v>
      </c>
      <c r="AL1918" s="70"/>
      <c r="AM1918" s="70"/>
      <c r="AN1918" s="71"/>
      <c r="AO1918" s="71"/>
      <c r="AP1918" s="71"/>
      <c r="AQ1918" s="71"/>
      <c r="AR1918" s="71"/>
      <c r="AS1918" s="71"/>
      <c r="AT1918" s="71"/>
      <c r="AU1918" s="71"/>
      <c r="AV1918" s="71"/>
      <c r="AW1918" s="71"/>
      <c r="AX1918" s="71"/>
      <c r="AY1918" s="71"/>
      <c r="AZ1918" s="71"/>
      <c r="BA1918" s="71"/>
      <c r="BB1918" s="71"/>
      <c r="BC1918" s="71"/>
      <c r="BD1918" s="71"/>
      <c r="BE1918" s="71"/>
      <c r="BF1918" s="71"/>
      <c r="BG1918" s="71"/>
      <c r="BH1918" s="71"/>
      <c r="BI1918" s="71"/>
      <c r="BJ1918" s="71"/>
      <c r="BK1918" s="71"/>
      <c r="BL1918" s="71"/>
      <c r="BM1918" s="71"/>
      <c r="BN1918" s="71"/>
      <c r="BO1918" s="71"/>
      <c r="BP1918" s="71"/>
      <c r="BQ1918" s="71"/>
      <c r="BR1918" s="71"/>
      <c r="BS1918" s="71"/>
      <c r="BT1918" s="71"/>
      <c r="BU1918" s="71"/>
      <c r="BV1918" s="71"/>
    </row>
    <row r="1919">
      <c r="A1919" s="53">
        <v>1.0</v>
      </c>
      <c r="B1919" s="53"/>
      <c r="C1919" s="73" t="s">
        <v>53</v>
      </c>
      <c r="D1919" s="74" t="s">
        <v>4703</v>
      </c>
      <c r="E1919" s="54" t="s">
        <v>38</v>
      </c>
      <c r="F1919" s="54" t="s">
        <v>42</v>
      </c>
      <c r="G1919" s="188" t="s">
        <v>4704</v>
      </c>
      <c r="H1919" s="188" t="s">
        <v>4704</v>
      </c>
      <c r="I1919" s="54">
        <f t="shared" si="24"/>
        <v>33</v>
      </c>
      <c r="J1919" s="56"/>
      <c r="K1919" s="57"/>
      <c r="L1919" s="76"/>
      <c r="M1919" s="59"/>
      <c r="N1919" s="60">
        <v>1113.0</v>
      </c>
      <c r="O1919" s="61">
        <v>1202.0</v>
      </c>
      <c r="P1919" s="62">
        <v>1298.16</v>
      </c>
      <c r="Q1919" s="63">
        <v>1298.16</v>
      </c>
      <c r="R1919" s="64">
        <v>1446.0</v>
      </c>
      <c r="S1919" s="111">
        <v>1518.0</v>
      </c>
      <c r="T1919" s="65">
        <f t="shared" si="80"/>
        <v>242.88</v>
      </c>
      <c r="U1919" s="65">
        <f t="shared" si="81"/>
        <v>1760.88</v>
      </c>
      <c r="V1919" s="66">
        <f t="shared" si="82"/>
        <v>0.04979253112</v>
      </c>
      <c r="W1919" s="67">
        <f t="shared" si="5"/>
        <v>1442.1</v>
      </c>
      <c r="X1919" s="67">
        <f t="shared" si="70"/>
        <v>230.736</v>
      </c>
      <c r="Y1919" s="67">
        <f t="shared" si="71"/>
        <v>1672.836</v>
      </c>
      <c r="Z1919" s="67">
        <f t="shared" si="8"/>
        <v>1366.2</v>
      </c>
      <c r="AA1919" s="67">
        <f t="shared" si="72"/>
        <v>218.592</v>
      </c>
      <c r="AB1919" s="67">
        <f t="shared" si="73"/>
        <v>1584.792</v>
      </c>
      <c r="AC1919" s="67">
        <f t="shared" si="11"/>
        <v>1290.3</v>
      </c>
      <c r="AD1919" s="67">
        <f t="shared" si="74"/>
        <v>206.448</v>
      </c>
      <c r="AE1919" s="67">
        <f t="shared" si="75"/>
        <v>1496.748</v>
      </c>
      <c r="AF1919" s="67">
        <f t="shared" si="33"/>
        <v>1259.94</v>
      </c>
      <c r="AG1919" s="67">
        <f t="shared" si="76"/>
        <v>201.5904</v>
      </c>
      <c r="AH1919" s="67">
        <f t="shared" si="77"/>
        <v>1461.5304</v>
      </c>
      <c r="AI1919" s="67">
        <f t="shared" si="17"/>
        <v>1214.4</v>
      </c>
      <c r="AJ1919" s="68">
        <f t="shared" si="78"/>
        <v>194.304</v>
      </c>
      <c r="AK1919" s="68">
        <f t="shared" si="79"/>
        <v>1408.704</v>
      </c>
      <c r="AL1919" s="70"/>
      <c r="AM1919" s="70"/>
      <c r="AN1919" s="71"/>
      <c r="AO1919" s="71"/>
      <c r="AP1919" s="71"/>
      <c r="AQ1919" s="71"/>
      <c r="AR1919" s="71"/>
      <c r="AS1919" s="71"/>
      <c r="AT1919" s="71"/>
      <c r="AU1919" s="71"/>
      <c r="AV1919" s="71"/>
      <c r="AW1919" s="71"/>
      <c r="AX1919" s="71"/>
      <c r="AY1919" s="71"/>
      <c r="AZ1919" s="71"/>
      <c r="BA1919" s="71"/>
      <c r="BB1919" s="71"/>
      <c r="BC1919" s="71"/>
      <c r="BD1919" s="71"/>
      <c r="BE1919" s="71"/>
      <c r="BF1919" s="71"/>
      <c r="BG1919" s="71"/>
      <c r="BH1919" s="71"/>
      <c r="BI1919" s="71"/>
      <c r="BJ1919" s="71"/>
      <c r="BK1919" s="71"/>
      <c r="BL1919" s="71"/>
      <c r="BM1919" s="71"/>
      <c r="BN1919" s="71"/>
      <c r="BO1919" s="71"/>
      <c r="BP1919" s="71"/>
      <c r="BQ1919" s="71"/>
      <c r="BR1919" s="71"/>
      <c r="BS1919" s="71"/>
      <c r="BT1919" s="71"/>
      <c r="BU1919" s="71"/>
      <c r="BV1919" s="71"/>
    </row>
    <row r="1920">
      <c r="A1920" s="53">
        <v>1.0</v>
      </c>
      <c r="B1920" s="53"/>
      <c r="C1920" s="73" t="s">
        <v>53</v>
      </c>
      <c r="D1920" s="74" t="s">
        <v>4705</v>
      </c>
      <c r="E1920" s="54" t="s">
        <v>38</v>
      </c>
      <c r="F1920" s="54" t="s">
        <v>42</v>
      </c>
      <c r="G1920" s="188" t="s">
        <v>4706</v>
      </c>
      <c r="H1920" s="188" t="s">
        <v>4706</v>
      </c>
      <c r="I1920" s="54">
        <f t="shared" si="24"/>
        <v>33</v>
      </c>
      <c r="J1920" s="56"/>
      <c r="K1920" s="57"/>
      <c r="L1920" s="76"/>
      <c r="M1920" s="59"/>
      <c r="N1920" s="60">
        <v>1113.0</v>
      </c>
      <c r="O1920" s="61">
        <v>1202.0</v>
      </c>
      <c r="P1920" s="62">
        <v>1298.16</v>
      </c>
      <c r="Q1920" s="63">
        <v>1298.16</v>
      </c>
      <c r="R1920" s="64">
        <v>1446.0</v>
      </c>
      <c r="S1920" s="111">
        <v>1518.0</v>
      </c>
      <c r="T1920" s="65">
        <f t="shared" si="80"/>
        <v>242.88</v>
      </c>
      <c r="U1920" s="65">
        <f t="shared" si="81"/>
        <v>1760.88</v>
      </c>
      <c r="V1920" s="66">
        <f t="shared" si="82"/>
        <v>0.04979253112</v>
      </c>
      <c r="W1920" s="67">
        <f t="shared" si="5"/>
        <v>1442.1</v>
      </c>
      <c r="X1920" s="67">
        <f t="shared" si="70"/>
        <v>230.736</v>
      </c>
      <c r="Y1920" s="67">
        <f t="shared" si="71"/>
        <v>1672.836</v>
      </c>
      <c r="Z1920" s="67">
        <f t="shared" si="8"/>
        <v>1366.2</v>
      </c>
      <c r="AA1920" s="67">
        <f t="shared" si="72"/>
        <v>218.592</v>
      </c>
      <c r="AB1920" s="67">
        <f t="shared" si="73"/>
        <v>1584.792</v>
      </c>
      <c r="AC1920" s="67">
        <f t="shared" si="11"/>
        <v>1290.3</v>
      </c>
      <c r="AD1920" s="67">
        <f t="shared" si="74"/>
        <v>206.448</v>
      </c>
      <c r="AE1920" s="67">
        <f t="shared" si="75"/>
        <v>1496.748</v>
      </c>
      <c r="AF1920" s="67">
        <f t="shared" si="33"/>
        <v>1259.94</v>
      </c>
      <c r="AG1920" s="67">
        <f t="shared" si="76"/>
        <v>201.5904</v>
      </c>
      <c r="AH1920" s="67">
        <f t="shared" si="77"/>
        <v>1461.5304</v>
      </c>
      <c r="AI1920" s="67">
        <f t="shared" si="17"/>
        <v>1214.4</v>
      </c>
      <c r="AJ1920" s="68">
        <f t="shared" si="78"/>
        <v>194.304</v>
      </c>
      <c r="AK1920" s="68">
        <f t="shared" si="79"/>
        <v>1408.704</v>
      </c>
      <c r="AL1920" s="70"/>
      <c r="AM1920" s="70"/>
      <c r="AN1920" s="71"/>
      <c r="AO1920" s="71"/>
      <c r="AP1920" s="71"/>
      <c r="AQ1920" s="71"/>
      <c r="AR1920" s="71"/>
      <c r="AS1920" s="71"/>
      <c r="AT1920" s="71"/>
      <c r="AU1920" s="71"/>
      <c r="AV1920" s="71"/>
      <c r="AW1920" s="71"/>
      <c r="AX1920" s="71"/>
      <c r="AY1920" s="71"/>
      <c r="AZ1920" s="71"/>
      <c r="BA1920" s="71"/>
      <c r="BB1920" s="71"/>
      <c r="BC1920" s="71"/>
      <c r="BD1920" s="71"/>
      <c r="BE1920" s="71"/>
      <c r="BF1920" s="71"/>
      <c r="BG1920" s="71"/>
      <c r="BH1920" s="71"/>
      <c r="BI1920" s="71"/>
      <c r="BJ1920" s="71"/>
      <c r="BK1920" s="71"/>
      <c r="BL1920" s="71"/>
      <c r="BM1920" s="71"/>
      <c r="BN1920" s="71"/>
      <c r="BO1920" s="71"/>
      <c r="BP1920" s="71"/>
      <c r="BQ1920" s="71"/>
      <c r="BR1920" s="71"/>
      <c r="BS1920" s="71"/>
      <c r="BT1920" s="71"/>
      <c r="BU1920" s="71"/>
      <c r="BV1920" s="71"/>
    </row>
    <row r="1921">
      <c r="A1921" s="53">
        <v>1.0</v>
      </c>
      <c r="B1921" s="53"/>
      <c r="C1921" s="73" t="s">
        <v>53</v>
      </c>
      <c r="D1921" s="74" t="s">
        <v>4707</v>
      </c>
      <c r="E1921" s="54" t="s">
        <v>38</v>
      </c>
      <c r="F1921" s="54" t="s">
        <v>42</v>
      </c>
      <c r="G1921" s="188" t="s">
        <v>4708</v>
      </c>
      <c r="H1921" s="188" t="s">
        <v>4708</v>
      </c>
      <c r="I1921" s="54">
        <f t="shared" si="24"/>
        <v>33</v>
      </c>
      <c r="J1921" s="56"/>
      <c r="K1921" s="57"/>
      <c r="L1921" s="76"/>
      <c r="M1921" s="59"/>
      <c r="N1921" s="60">
        <v>1113.0</v>
      </c>
      <c r="O1921" s="61">
        <v>1202.0</v>
      </c>
      <c r="P1921" s="62">
        <v>1298.16</v>
      </c>
      <c r="Q1921" s="63">
        <v>1298.16</v>
      </c>
      <c r="R1921" s="64">
        <v>1446.0</v>
      </c>
      <c r="S1921" s="111">
        <v>1518.0</v>
      </c>
      <c r="T1921" s="65">
        <f t="shared" si="80"/>
        <v>242.88</v>
      </c>
      <c r="U1921" s="65">
        <f t="shared" si="81"/>
        <v>1760.88</v>
      </c>
      <c r="V1921" s="66">
        <f t="shared" si="82"/>
        <v>0.04979253112</v>
      </c>
      <c r="W1921" s="67">
        <f t="shared" si="5"/>
        <v>1442.1</v>
      </c>
      <c r="X1921" s="67">
        <f t="shared" si="70"/>
        <v>230.736</v>
      </c>
      <c r="Y1921" s="67">
        <f t="shared" si="71"/>
        <v>1672.836</v>
      </c>
      <c r="Z1921" s="67">
        <f t="shared" si="8"/>
        <v>1366.2</v>
      </c>
      <c r="AA1921" s="67">
        <f t="shared" si="72"/>
        <v>218.592</v>
      </c>
      <c r="AB1921" s="67">
        <f t="shared" si="73"/>
        <v>1584.792</v>
      </c>
      <c r="AC1921" s="67">
        <f t="shared" si="11"/>
        <v>1290.3</v>
      </c>
      <c r="AD1921" s="67">
        <f t="shared" si="74"/>
        <v>206.448</v>
      </c>
      <c r="AE1921" s="67">
        <f t="shared" si="75"/>
        <v>1496.748</v>
      </c>
      <c r="AF1921" s="67">
        <f t="shared" si="33"/>
        <v>1259.94</v>
      </c>
      <c r="AG1921" s="67">
        <f t="shared" si="76"/>
        <v>201.5904</v>
      </c>
      <c r="AH1921" s="67">
        <f t="shared" si="77"/>
        <v>1461.5304</v>
      </c>
      <c r="AI1921" s="67">
        <f t="shared" si="17"/>
        <v>1214.4</v>
      </c>
      <c r="AJ1921" s="68">
        <f t="shared" si="78"/>
        <v>194.304</v>
      </c>
      <c r="AK1921" s="68">
        <f t="shared" si="79"/>
        <v>1408.704</v>
      </c>
      <c r="AL1921" s="70"/>
      <c r="AM1921" s="70"/>
      <c r="AN1921" s="71"/>
      <c r="AO1921" s="71"/>
      <c r="AP1921" s="71"/>
      <c r="AQ1921" s="71"/>
      <c r="AR1921" s="71"/>
      <c r="AS1921" s="71"/>
      <c r="AT1921" s="71"/>
      <c r="AU1921" s="71"/>
      <c r="AV1921" s="71"/>
      <c r="AW1921" s="71"/>
      <c r="AX1921" s="71"/>
      <c r="AY1921" s="71"/>
      <c r="AZ1921" s="71"/>
      <c r="BA1921" s="71"/>
      <c r="BB1921" s="71"/>
      <c r="BC1921" s="71"/>
      <c r="BD1921" s="71"/>
      <c r="BE1921" s="71"/>
      <c r="BF1921" s="71"/>
      <c r="BG1921" s="71"/>
      <c r="BH1921" s="71"/>
      <c r="BI1921" s="71"/>
      <c r="BJ1921" s="71"/>
      <c r="BK1921" s="71"/>
      <c r="BL1921" s="71"/>
      <c r="BM1921" s="71"/>
      <c r="BN1921" s="71"/>
      <c r="BO1921" s="71"/>
      <c r="BP1921" s="71"/>
      <c r="BQ1921" s="71"/>
      <c r="BR1921" s="71"/>
      <c r="BS1921" s="71"/>
      <c r="BT1921" s="71"/>
      <c r="BU1921" s="71"/>
      <c r="BV1921" s="71"/>
    </row>
    <row r="1922">
      <c r="A1922" s="53">
        <v>1.0</v>
      </c>
      <c r="B1922" s="53"/>
      <c r="C1922" s="73" t="s">
        <v>53</v>
      </c>
      <c r="D1922" s="74" t="s">
        <v>4709</v>
      </c>
      <c r="E1922" s="54" t="s">
        <v>38</v>
      </c>
      <c r="F1922" s="54" t="s">
        <v>42</v>
      </c>
      <c r="G1922" s="188" t="s">
        <v>4710</v>
      </c>
      <c r="H1922" s="188" t="s">
        <v>4710</v>
      </c>
      <c r="I1922" s="54">
        <f t="shared" si="24"/>
        <v>33</v>
      </c>
      <c r="J1922" s="56"/>
      <c r="K1922" s="57"/>
      <c r="L1922" s="76"/>
      <c r="M1922" s="59"/>
      <c r="N1922" s="60">
        <v>1113.0</v>
      </c>
      <c r="O1922" s="61">
        <v>1202.0</v>
      </c>
      <c r="P1922" s="62">
        <v>1298.16</v>
      </c>
      <c r="Q1922" s="63">
        <v>1298.16</v>
      </c>
      <c r="R1922" s="64">
        <v>1446.0</v>
      </c>
      <c r="S1922" s="111">
        <v>1518.0</v>
      </c>
      <c r="T1922" s="65">
        <f t="shared" si="80"/>
        <v>242.88</v>
      </c>
      <c r="U1922" s="65">
        <f t="shared" si="81"/>
        <v>1760.88</v>
      </c>
      <c r="V1922" s="66">
        <f t="shared" si="82"/>
        <v>0.04979253112</v>
      </c>
      <c r="W1922" s="67">
        <f t="shared" si="5"/>
        <v>1442.1</v>
      </c>
      <c r="X1922" s="67">
        <f t="shared" si="70"/>
        <v>230.736</v>
      </c>
      <c r="Y1922" s="67">
        <f t="shared" si="71"/>
        <v>1672.836</v>
      </c>
      <c r="Z1922" s="67">
        <f t="shared" si="8"/>
        <v>1366.2</v>
      </c>
      <c r="AA1922" s="67">
        <f t="shared" si="72"/>
        <v>218.592</v>
      </c>
      <c r="AB1922" s="67">
        <f t="shared" si="73"/>
        <v>1584.792</v>
      </c>
      <c r="AC1922" s="67">
        <f t="shared" si="11"/>
        <v>1290.3</v>
      </c>
      <c r="AD1922" s="67">
        <f t="shared" si="74"/>
        <v>206.448</v>
      </c>
      <c r="AE1922" s="67">
        <f t="shared" si="75"/>
        <v>1496.748</v>
      </c>
      <c r="AF1922" s="67">
        <f t="shared" si="33"/>
        <v>1259.94</v>
      </c>
      <c r="AG1922" s="67">
        <f t="shared" si="76"/>
        <v>201.5904</v>
      </c>
      <c r="AH1922" s="67">
        <f t="shared" si="77"/>
        <v>1461.5304</v>
      </c>
      <c r="AI1922" s="67">
        <f t="shared" si="17"/>
        <v>1214.4</v>
      </c>
      <c r="AJ1922" s="68">
        <f t="shared" si="78"/>
        <v>194.304</v>
      </c>
      <c r="AK1922" s="68">
        <f t="shared" si="79"/>
        <v>1408.704</v>
      </c>
      <c r="AL1922" s="70"/>
      <c r="AM1922" s="70"/>
      <c r="AN1922" s="71"/>
      <c r="AO1922" s="71"/>
      <c r="AP1922" s="71"/>
      <c r="AQ1922" s="71"/>
      <c r="AR1922" s="71"/>
      <c r="AS1922" s="71"/>
      <c r="AT1922" s="71"/>
      <c r="AU1922" s="71"/>
      <c r="AV1922" s="71"/>
      <c r="AW1922" s="71"/>
      <c r="AX1922" s="71"/>
      <c r="AY1922" s="71"/>
      <c r="AZ1922" s="71"/>
      <c r="BA1922" s="71"/>
      <c r="BB1922" s="71"/>
      <c r="BC1922" s="71"/>
      <c r="BD1922" s="71"/>
      <c r="BE1922" s="71"/>
      <c r="BF1922" s="71"/>
      <c r="BG1922" s="71"/>
      <c r="BH1922" s="71"/>
      <c r="BI1922" s="71"/>
      <c r="BJ1922" s="71"/>
      <c r="BK1922" s="71"/>
      <c r="BL1922" s="71"/>
      <c r="BM1922" s="71"/>
      <c r="BN1922" s="71"/>
      <c r="BO1922" s="71"/>
      <c r="BP1922" s="71"/>
      <c r="BQ1922" s="71"/>
      <c r="BR1922" s="71"/>
      <c r="BS1922" s="71"/>
      <c r="BT1922" s="71"/>
      <c r="BU1922" s="71"/>
      <c r="BV1922" s="71"/>
    </row>
    <row r="1923">
      <c r="A1923" s="53">
        <v>1.0</v>
      </c>
      <c r="B1923" s="53"/>
      <c r="C1923" s="73" t="s">
        <v>53</v>
      </c>
      <c r="D1923" s="74" t="s">
        <v>4711</v>
      </c>
      <c r="E1923" s="54" t="s">
        <v>38</v>
      </c>
      <c r="F1923" s="54" t="s">
        <v>42</v>
      </c>
      <c r="G1923" s="188" t="s">
        <v>4712</v>
      </c>
      <c r="H1923" s="188" t="s">
        <v>4712</v>
      </c>
      <c r="I1923" s="54">
        <f t="shared" si="24"/>
        <v>33</v>
      </c>
      <c r="J1923" s="56"/>
      <c r="K1923" s="57"/>
      <c r="L1923" s="76"/>
      <c r="M1923" s="59"/>
      <c r="N1923" s="60">
        <v>1113.0</v>
      </c>
      <c r="O1923" s="61">
        <v>1202.0</v>
      </c>
      <c r="P1923" s="62">
        <v>1298.16</v>
      </c>
      <c r="Q1923" s="63">
        <v>1298.16</v>
      </c>
      <c r="R1923" s="64">
        <v>1446.0</v>
      </c>
      <c r="S1923" s="111">
        <v>1518.0</v>
      </c>
      <c r="T1923" s="65">
        <f t="shared" si="80"/>
        <v>242.88</v>
      </c>
      <c r="U1923" s="65">
        <f t="shared" si="81"/>
        <v>1760.88</v>
      </c>
      <c r="V1923" s="66">
        <f t="shared" si="82"/>
        <v>0.04979253112</v>
      </c>
      <c r="W1923" s="67">
        <f t="shared" si="5"/>
        <v>1442.1</v>
      </c>
      <c r="X1923" s="67">
        <f t="shared" si="70"/>
        <v>230.736</v>
      </c>
      <c r="Y1923" s="67">
        <f t="shared" si="71"/>
        <v>1672.836</v>
      </c>
      <c r="Z1923" s="67">
        <f t="shared" si="8"/>
        <v>1366.2</v>
      </c>
      <c r="AA1923" s="67">
        <f t="shared" si="72"/>
        <v>218.592</v>
      </c>
      <c r="AB1923" s="67">
        <f t="shared" si="73"/>
        <v>1584.792</v>
      </c>
      <c r="AC1923" s="67">
        <f t="shared" si="11"/>
        <v>1290.3</v>
      </c>
      <c r="AD1923" s="67">
        <f t="shared" si="74"/>
        <v>206.448</v>
      </c>
      <c r="AE1923" s="67">
        <f t="shared" si="75"/>
        <v>1496.748</v>
      </c>
      <c r="AF1923" s="67">
        <f t="shared" si="33"/>
        <v>1259.94</v>
      </c>
      <c r="AG1923" s="67">
        <f t="shared" si="76"/>
        <v>201.5904</v>
      </c>
      <c r="AH1923" s="67">
        <f t="shared" si="77"/>
        <v>1461.5304</v>
      </c>
      <c r="AI1923" s="67">
        <f t="shared" si="17"/>
        <v>1214.4</v>
      </c>
      <c r="AJ1923" s="68">
        <f t="shared" si="78"/>
        <v>194.304</v>
      </c>
      <c r="AK1923" s="68">
        <f t="shared" si="79"/>
        <v>1408.704</v>
      </c>
      <c r="AL1923" s="70"/>
      <c r="AM1923" s="70"/>
      <c r="AN1923" s="71"/>
      <c r="AO1923" s="71"/>
      <c r="AP1923" s="71"/>
      <c r="AQ1923" s="71"/>
      <c r="AR1923" s="71"/>
      <c r="AS1923" s="71"/>
      <c r="AT1923" s="71"/>
      <c r="AU1923" s="71"/>
      <c r="AV1923" s="71"/>
      <c r="AW1923" s="71"/>
      <c r="AX1923" s="71"/>
      <c r="AY1923" s="71"/>
      <c r="AZ1923" s="71"/>
      <c r="BA1923" s="71"/>
      <c r="BB1923" s="71"/>
      <c r="BC1923" s="71"/>
      <c r="BD1923" s="71"/>
      <c r="BE1923" s="71"/>
      <c r="BF1923" s="71"/>
      <c r="BG1923" s="71"/>
      <c r="BH1923" s="71"/>
      <c r="BI1923" s="71"/>
      <c r="BJ1923" s="71"/>
      <c r="BK1923" s="71"/>
      <c r="BL1923" s="71"/>
      <c r="BM1923" s="71"/>
      <c r="BN1923" s="71"/>
      <c r="BO1923" s="71"/>
      <c r="BP1923" s="71"/>
      <c r="BQ1923" s="71"/>
      <c r="BR1923" s="71"/>
      <c r="BS1923" s="71"/>
      <c r="BT1923" s="71"/>
      <c r="BU1923" s="71"/>
      <c r="BV1923" s="71"/>
    </row>
    <row r="1924">
      <c r="A1924" s="53">
        <v>1.0</v>
      </c>
      <c r="B1924" s="53"/>
      <c r="C1924" s="73" t="s">
        <v>53</v>
      </c>
      <c r="D1924" s="74" t="s">
        <v>4713</v>
      </c>
      <c r="E1924" s="54" t="s">
        <v>38</v>
      </c>
      <c r="F1924" s="54" t="s">
        <v>42</v>
      </c>
      <c r="G1924" s="188" t="s">
        <v>4714</v>
      </c>
      <c r="H1924" s="188" t="s">
        <v>4714</v>
      </c>
      <c r="I1924" s="54">
        <f t="shared" si="24"/>
        <v>33</v>
      </c>
      <c r="J1924" s="56"/>
      <c r="K1924" s="57"/>
      <c r="L1924" s="76"/>
      <c r="M1924" s="59"/>
      <c r="N1924" s="60">
        <v>1113.0</v>
      </c>
      <c r="O1924" s="61">
        <v>1202.0</v>
      </c>
      <c r="P1924" s="62">
        <v>1298.16</v>
      </c>
      <c r="Q1924" s="63">
        <v>1298.16</v>
      </c>
      <c r="R1924" s="64">
        <v>1446.0</v>
      </c>
      <c r="S1924" s="111">
        <v>1518.0</v>
      </c>
      <c r="T1924" s="65">
        <f t="shared" si="80"/>
        <v>242.88</v>
      </c>
      <c r="U1924" s="65">
        <f t="shared" si="81"/>
        <v>1760.88</v>
      </c>
      <c r="V1924" s="66">
        <f t="shared" si="82"/>
        <v>0.04979253112</v>
      </c>
      <c r="W1924" s="67">
        <f t="shared" si="5"/>
        <v>1442.1</v>
      </c>
      <c r="X1924" s="67">
        <f t="shared" si="70"/>
        <v>230.736</v>
      </c>
      <c r="Y1924" s="67">
        <f t="shared" si="71"/>
        <v>1672.836</v>
      </c>
      <c r="Z1924" s="67">
        <f t="shared" si="8"/>
        <v>1366.2</v>
      </c>
      <c r="AA1924" s="67">
        <f t="shared" si="72"/>
        <v>218.592</v>
      </c>
      <c r="AB1924" s="67">
        <f t="shared" si="73"/>
        <v>1584.792</v>
      </c>
      <c r="AC1924" s="67">
        <f t="shared" si="11"/>
        <v>1290.3</v>
      </c>
      <c r="AD1924" s="67">
        <f t="shared" si="74"/>
        <v>206.448</v>
      </c>
      <c r="AE1924" s="67">
        <f t="shared" si="75"/>
        <v>1496.748</v>
      </c>
      <c r="AF1924" s="67">
        <f t="shared" si="33"/>
        <v>1259.94</v>
      </c>
      <c r="AG1924" s="67">
        <f t="shared" si="76"/>
        <v>201.5904</v>
      </c>
      <c r="AH1924" s="67">
        <f t="shared" si="77"/>
        <v>1461.5304</v>
      </c>
      <c r="AI1924" s="67">
        <f t="shared" si="17"/>
        <v>1214.4</v>
      </c>
      <c r="AJ1924" s="68">
        <f t="shared" si="78"/>
        <v>194.304</v>
      </c>
      <c r="AK1924" s="68">
        <f t="shared" si="79"/>
        <v>1408.704</v>
      </c>
      <c r="AL1924" s="70"/>
      <c r="AM1924" s="70"/>
      <c r="AN1924" s="71"/>
      <c r="AO1924" s="71"/>
      <c r="AP1924" s="71"/>
      <c r="AQ1924" s="71"/>
      <c r="AR1924" s="71"/>
      <c r="AS1924" s="71"/>
      <c r="AT1924" s="71"/>
      <c r="AU1924" s="71"/>
      <c r="AV1924" s="71"/>
      <c r="AW1924" s="71"/>
      <c r="AX1924" s="71"/>
      <c r="AY1924" s="71"/>
      <c r="AZ1924" s="71"/>
      <c r="BA1924" s="71"/>
      <c r="BB1924" s="71"/>
      <c r="BC1924" s="71"/>
      <c r="BD1924" s="71"/>
      <c r="BE1924" s="71"/>
      <c r="BF1924" s="71"/>
      <c r="BG1924" s="71"/>
      <c r="BH1924" s="71"/>
      <c r="BI1924" s="71"/>
      <c r="BJ1924" s="71"/>
      <c r="BK1924" s="71"/>
      <c r="BL1924" s="71"/>
      <c r="BM1924" s="71"/>
      <c r="BN1924" s="71"/>
      <c r="BO1924" s="71"/>
      <c r="BP1924" s="71"/>
      <c r="BQ1924" s="71"/>
      <c r="BR1924" s="71"/>
      <c r="BS1924" s="71"/>
      <c r="BT1924" s="71"/>
      <c r="BU1924" s="71"/>
      <c r="BV1924" s="71"/>
    </row>
    <row r="1925">
      <c r="A1925" s="53">
        <v>1.0</v>
      </c>
      <c r="B1925" s="53"/>
      <c r="C1925" s="73" t="s">
        <v>53</v>
      </c>
      <c r="D1925" s="74" t="s">
        <v>4715</v>
      </c>
      <c r="E1925" s="54" t="s">
        <v>38</v>
      </c>
      <c r="F1925" s="54" t="s">
        <v>42</v>
      </c>
      <c r="G1925" s="188" t="s">
        <v>4716</v>
      </c>
      <c r="H1925" s="188" t="s">
        <v>4716</v>
      </c>
      <c r="I1925" s="54">
        <f t="shared" si="24"/>
        <v>33</v>
      </c>
      <c r="J1925" s="56"/>
      <c r="K1925" s="57"/>
      <c r="L1925" s="76"/>
      <c r="M1925" s="59"/>
      <c r="N1925" s="60">
        <v>1113.0</v>
      </c>
      <c r="O1925" s="61">
        <v>1202.0</v>
      </c>
      <c r="P1925" s="62">
        <v>1298.16</v>
      </c>
      <c r="Q1925" s="63">
        <v>1298.16</v>
      </c>
      <c r="R1925" s="64">
        <v>1446.0</v>
      </c>
      <c r="S1925" s="111">
        <v>1518.0</v>
      </c>
      <c r="T1925" s="65">
        <f t="shared" si="80"/>
        <v>242.88</v>
      </c>
      <c r="U1925" s="65">
        <f t="shared" si="81"/>
        <v>1760.88</v>
      </c>
      <c r="V1925" s="66">
        <f t="shared" si="82"/>
        <v>0.04979253112</v>
      </c>
      <c r="W1925" s="67">
        <f t="shared" si="5"/>
        <v>1442.1</v>
      </c>
      <c r="X1925" s="67">
        <f t="shared" si="70"/>
        <v>230.736</v>
      </c>
      <c r="Y1925" s="67">
        <f t="shared" si="71"/>
        <v>1672.836</v>
      </c>
      <c r="Z1925" s="67">
        <f t="shared" si="8"/>
        <v>1366.2</v>
      </c>
      <c r="AA1925" s="67">
        <f t="shared" si="72"/>
        <v>218.592</v>
      </c>
      <c r="AB1925" s="67">
        <f t="shared" si="73"/>
        <v>1584.792</v>
      </c>
      <c r="AC1925" s="67">
        <f t="shared" si="11"/>
        <v>1290.3</v>
      </c>
      <c r="AD1925" s="67">
        <f t="shared" si="74"/>
        <v>206.448</v>
      </c>
      <c r="AE1925" s="67">
        <f t="shared" si="75"/>
        <v>1496.748</v>
      </c>
      <c r="AF1925" s="67">
        <f t="shared" si="33"/>
        <v>1259.94</v>
      </c>
      <c r="AG1925" s="67">
        <f t="shared" si="76"/>
        <v>201.5904</v>
      </c>
      <c r="AH1925" s="67">
        <f t="shared" si="77"/>
        <v>1461.5304</v>
      </c>
      <c r="AI1925" s="67">
        <f t="shared" si="17"/>
        <v>1214.4</v>
      </c>
      <c r="AJ1925" s="68">
        <f t="shared" si="78"/>
        <v>194.304</v>
      </c>
      <c r="AK1925" s="68">
        <f t="shared" si="79"/>
        <v>1408.704</v>
      </c>
      <c r="AL1925" s="70"/>
      <c r="AM1925" s="70"/>
      <c r="AN1925" s="71"/>
      <c r="AO1925" s="71"/>
      <c r="AP1925" s="71"/>
      <c r="AQ1925" s="71"/>
      <c r="AR1925" s="71"/>
      <c r="AS1925" s="71"/>
      <c r="AT1925" s="71"/>
      <c r="AU1925" s="71"/>
      <c r="AV1925" s="71"/>
      <c r="AW1925" s="71"/>
      <c r="AX1925" s="71"/>
      <c r="AY1925" s="71"/>
      <c r="AZ1925" s="71"/>
      <c r="BA1925" s="71"/>
      <c r="BB1925" s="71"/>
      <c r="BC1925" s="71"/>
      <c r="BD1925" s="71"/>
      <c r="BE1925" s="71"/>
      <c r="BF1925" s="71"/>
      <c r="BG1925" s="71"/>
      <c r="BH1925" s="71"/>
      <c r="BI1925" s="71"/>
      <c r="BJ1925" s="71"/>
      <c r="BK1925" s="71"/>
      <c r="BL1925" s="71"/>
      <c r="BM1925" s="71"/>
      <c r="BN1925" s="71"/>
      <c r="BO1925" s="71"/>
      <c r="BP1925" s="71"/>
      <c r="BQ1925" s="71"/>
      <c r="BR1925" s="71"/>
      <c r="BS1925" s="71"/>
      <c r="BT1925" s="71"/>
      <c r="BU1925" s="71"/>
      <c r="BV1925" s="71"/>
    </row>
    <row r="1926">
      <c r="A1926" s="53">
        <v>1.0</v>
      </c>
      <c r="B1926" s="53"/>
      <c r="C1926" s="73" t="s">
        <v>53</v>
      </c>
      <c r="D1926" s="74" t="s">
        <v>4717</v>
      </c>
      <c r="E1926" s="54" t="s">
        <v>38</v>
      </c>
      <c r="F1926" s="54" t="s">
        <v>42</v>
      </c>
      <c r="G1926" s="188" t="s">
        <v>4718</v>
      </c>
      <c r="H1926" s="188" t="s">
        <v>4718</v>
      </c>
      <c r="I1926" s="54">
        <f t="shared" si="24"/>
        <v>33</v>
      </c>
      <c r="J1926" s="56"/>
      <c r="K1926" s="57"/>
      <c r="L1926" s="76"/>
      <c r="M1926" s="59"/>
      <c r="N1926" s="60">
        <v>1113.0</v>
      </c>
      <c r="O1926" s="61">
        <v>1202.0</v>
      </c>
      <c r="P1926" s="62">
        <v>1298.16</v>
      </c>
      <c r="Q1926" s="63">
        <v>1298.16</v>
      </c>
      <c r="R1926" s="64">
        <v>1446.0</v>
      </c>
      <c r="S1926" s="111">
        <v>1518.0</v>
      </c>
      <c r="T1926" s="65">
        <f t="shared" si="80"/>
        <v>242.88</v>
      </c>
      <c r="U1926" s="65">
        <f t="shared" si="81"/>
        <v>1760.88</v>
      </c>
      <c r="V1926" s="66">
        <f t="shared" si="82"/>
        <v>0.04979253112</v>
      </c>
      <c r="W1926" s="67">
        <f t="shared" si="5"/>
        <v>1442.1</v>
      </c>
      <c r="X1926" s="67">
        <f t="shared" si="70"/>
        <v>230.736</v>
      </c>
      <c r="Y1926" s="67">
        <f t="shared" si="71"/>
        <v>1672.836</v>
      </c>
      <c r="Z1926" s="67">
        <f t="shared" si="8"/>
        <v>1366.2</v>
      </c>
      <c r="AA1926" s="67">
        <f t="shared" si="72"/>
        <v>218.592</v>
      </c>
      <c r="AB1926" s="67">
        <f t="shared" si="73"/>
        <v>1584.792</v>
      </c>
      <c r="AC1926" s="67">
        <f t="shared" si="11"/>
        <v>1290.3</v>
      </c>
      <c r="AD1926" s="67">
        <f t="shared" si="74"/>
        <v>206.448</v>
      </c>
      <c r="AE1926" s="67">
        <f t="shared" si="75"/>
        <v>1496.748</v>
      </c>
      <c r="AF1926" s="67">
        <f t="shared" si="33"/>
        <v>1259.94</v>
      </c>
      <c r="AG1926" s="67">
        <f t="shared" si="76"/>
        <v>201.5904</v>
      </c>
      <c r="AH1926" s="67">
        <f t="shared" si="77"/>
        <v>1461.5304</v>
      </c>
      <c r="AI1926" s="67">
        <f t="shared" si="17"/>
        <v>1214.4</v>
      </c>
      <c r="AJ1926" s="68">
        <f t="shared" si="78"/>
        <v>194.304</v>
      </c>
      <c r="AK1926" s="68">
        <f t="shared" si="79"/>
        <v>1408.704</v>
      </c>
      <c r="AL1926" s="70"/>
      <c r="AM1926" s="70"/>
      <c r="AN1926" s="71"/>
      <c r="AO1926" s="71"/>
      <c r="AP1926" s="71"/>
      <c r="AQ1926" s="71"/>
      <c r="AR1926" s="71"/>
      <c r="AS1926" s="71"/>
      <c r="AT1926" s="71"/>
      <c r="AU1926" s="71"/>
      <c r="AV1926" s="71"/>
      <c r="AW1926" s="71"/>
      <c r="AX1926" s="71"/>
      <c r="AY1926" s="71"/>
      <c r="AZ1926" s="71"/>
      <c r="BA1926" s="71"/>
      <c r="BB1926" s="71"/>
      <c r="BC1926" s="71"/>
      <c r="BD1926" s="71"/>
      <c r="BE1926" s="71"/>
      <c r="BF1926" s="71"/>
      <c r="BG1926" s="71"/>
      <c r="BH1926" s="71"/>
      <c r="BI1926" s="71"/>
      <c r="BJ1926" s="71"/>
      <c r="BK1926" s="71"/>
      <c r="BL1926" s="71"/>
      <c r="BM1926" s="71"/>
      <c r="BN1926" s="71"/>
      <c r="BO1926" s="71"/>
      <c r="BP1926" s="71"/>
      <c r="BQ1926" s="71"/>
      <c r="BR1926" s="71"/>
      <c r="BS1926" s="71"/>
      <c r="BT1926" s="71"/>
      <c r="BU1926" s="71"/>
      <c r="BV1926" s="71"/>
    </row>
    <row r="1927">
      <c r="A1927" s="53">
        <v>1.0</v>
      </c>
      <c r="B1927" s="53"/>
      <c r="C1927" s="73" t="s">
        <v>53</v>
      </c>
      <c r="D1927" s="74" t="s">
        <v>4719</v>
      </c>
      <c r="E1927" s="54" t="s">
        <v>38</v>
      </c>
      <c r="F1927" s="54" t="s">
        <v>42</v>
      </c>
      <c r="G1927" s="188" t="s">
        <v>4720</v>
      </c>
      <c r="H1927" s="188" t="s">
        <v>4720</v>
      </c>
      <c r="I1927" s="54">
        <f t="shared" si="24"/>
        <v>33</v>
      </c>
      <c r="J1927" s="56"/>
      <c r="K1927" s="57"/>
      <c r="L1927" s="76"/>
      <c r="M1927" s="59"/>
      <c r="N1927" s="60">
        <v>1113.0</v>
      </c>
      <c r="O1927" s="61">
        <v>1202.0</v>
      </c>
      <c r="P1927" s="62">
        <v>1298.16</v>
      </c>
      <c r="Q1927" s="63">
        <v>1298.16</v>
      </c>
      <c r="R1927" s="64">
        <v>1446.0</v>
      </c>
      <c r="S1927" s="111">
        <v>1518.0</v>
      </c>
      <c r="T1927" s="65">
        <f t="shared" si="80"/>
        <v>242.88</v>
      </c>
      <c r="U1927" s="65">
        <f t="shared" si="81"/>
        <v>1760.88</v>
      </c>
      <c r="V1927" s="66">
        <f t="shared" si="82"/>
        <v>0.04979253112</v>
      </c>
      <c r="W1927" s="67">
        <f t="shared" si="5"/>
        <v>1442.1</v>
      </c>
      <c r="X1927" s="67">
        <f t="shared" si="70"/>
        <v>230.736</v>
      </c>
      <c r="Y1927" s="67">
        <f t="shared" si="71"/>
        <v>1672.836</v>
      </c>
      <c r="Z1927" s="67">
        <f t="shared" si="8"/>
        <v>1366.2</v>
      </c>
      <c r="AA1927" s="67">
        <f t="shared" si="72"/>
        <v>218.592</v>
      </c>
      <c r="AB1927" s="67">
        <f t="shared" si="73"/>
        <v>1584.792</v>
      </c>
      <c r="AC1927" s="67">
        <f t="shared" si="11"/>
        <v>1290.3</v>
      </c>
      <c r="AD1927" s="67">
        <f t="shared" si="74"/>
        <v>206.448</v>
      </c>
      <c r="AE1927" s="67">
        <f t="shared" si="75"/>
        <v>1496.748</v>
      </c>
      <c r="AF1927" s="67">
        <f t="shared" si="33"/>
        <v>1259.94</v>
      </c>
      <c r="AG1927" s="67">
        <f t="shared" si="76"/>
        <v>201.5904</v>
      </c>
      <c r="AH1927" s="67">
        <f t="shared" si="77"/>
        <v>1461.5304</v>
      </c>
      <c r="AI1927" s="67">
        <f t="shared" si="17"/>
        <v>1214.4</v>
      </c>
      <c r="AJ1927" s="68">
        <f t="shared" si="78"/>
        <v>194.304</v>
      </c>
      <c r="AK1927" s="68">
        <f t="shared" si="79"/>
        <v>1408.704</v>
      </c>
      <c r="AL1927" s="70"/>
      <c r="AM1927" s="70"/>
      <c r="AN1927" s="71"/>
      <c r="AO1927" s="71"/>
      <c r="AP1927" s="71"/>
      <c r="AQ1927" s="71"/>
      <c r="AR1927" s="71"/>
      <c r="AS1927" s="71"/>
      <c r="AT1927" s="71"/>
      <c r="AU1927" s="71"/>
      <c r="AV1927" s="71"/>
      <c r="AW1927" s="71"/>
      <c r="AX1927" s="71"/>
      <c r="AY1927" s="71"/>
      <c r="AZ1927" s="71"/>
      <c r="BA1927" s="71"/>
      <c r="BB1927" s="71"/>
      <c r="BC1927" s="71"/>
      <c r="BD1927" s="71"/>
      <c r="BE1927" s="71"/>
      <c r="BF1927" s="71"/>
      <c r="BG1927" s="71"/>
      <c r="BH1927" s="71"/>
      <c r="BI1927" s="71"/>
      <c r="BJ1927" s="71"/>
      <c r="BK1927" s="71"/>
      <c r="BL1927" s="71"/>
      <c r="BM1927" s="71"/>
      <c r="BN1927" s="71"/>
      <c r="BO1927" s="71"/>
      <c r="BP1927" s="71"/>
      <c r="BQ1927" s="71"/>
      <c r="BR1927" s="71"/>
      <c r="BS1927" s="71"/>
      <c r="BT1927" s="71"/>
      <c r="BU1927" s="71"/>
      <c r="BV1927" s="71"/>
    </row>
    <row r="1928">
      <c r="A1928" s="53">
        <v>1.0</v>
      </c>
      <c r="B1928" s="53"/>
      <c r="C1928" s="73" t="s">
        <v>53</v>
      </c>
      <c r="D1928" s="74" t="s">
        <v>4721</v>
      </c>
      <c r="E1928" s="54" t="s">
        <v>38</v>
      </c>
      <c r="F1928" s="54" t="s">
        <v>42</v>
      </c>
      <c r="G1928" s="189" t="s">
        <v>4722</v>
      </c>
      <c r="H1928" s="189" t="s">
        <v>4722</v>
      </c>
      <c r="I1928" s="54">
        <f t="shared" si="24"/>
        <v>39</v>
      </c>
      <c r="J1928" s="56"/>
      <c r="K1928" s="57"/>
      <c r="L1928" s="76"/>
      <c r="M1928" s="59"/>
      <c r="N1928" s="60">
        <v>1113.0</v>
      </c>
      <c r="O1928" s="61">
        <v>1202.0</v>
      </c>
      <c r="P1928" s="62">
        <v>1298.16</v>
      </c>
      <c r="Q1928" s="63">
        <v>1298.16</v>
      </c>
      <c r="R1928" s="64">
        <v>1446.0</v>
      </c>
      <c r="S1928" s="111">
        <v>1518.0</v>
      </c>
      <c r="T1928" s="65">
        <f t="shared" si="80"/>
        <v>242.88</v>
      </c>
      <c r="U1928" s="65">
        <f t="shared" si="81"/>
        <v>1760.88</v>
      </c>
      <c r="V1928" s="66">
        <f t="shared" si="82"/>
        <v>0.04979253112</v>
      </c>
      <c r="W1928" s="67">
        <f t="shared" si="5"/>
        <v>1442.1</v>
      </c>
      <c r="X1928" s="67">
        <f t="shared" si="70"/>
        <v>230.736</v>
      </c>
      <c r="Y1928" s="67">
        <f t="shared" si="71"/>
        <v>1672.836</v>
      </c>
      <c r="Z1928" s="67">
        <f t="shared" si="8"/>
        <v>1366.2</v>
      </c>
      <c r="AA1928" s="67">
        <f t="shared" si="72"/>
        <v>218.592</v>
      </c>
      <c r="AB1928" s="67">
        <f t="shared" si="73"/>
        <v>1584.792</v>
      </c>
      <c r="AC1928" s="67">
        <f t="shared" si="11"/>
        <v>1290.3</v>
      </c>
      <c r="AD1928" s="67">
        <f t="shared" si="74"/>
        <v>206.448</v>
      </c>
      <c r="AE1928" s="67">
        <f t="shared" si="75"/>
        <v>1496.748</v>
      </c>
      <c r="AF1928" s="67">
        <f t="shared" si="33"/>
        <v>1259.94</v>
      </c>
      <c r="AG1928" s="67">
        <f t="shared" si="76"/>
        <v>201.5904</v>
      </c>
      <c r="AH1928" s="67">
        <f t="shared" si="77"/>
        <v>1461.5304</v>
      </c>
      <c r="AI1928" s="67">
        <f t="shared" si="17"/>
        <v>1214.4</v>
      </c>
      <c r="AJ1928" s="68">
        <f t="shared" si="78"/>
        <v>194.304</v>
      </c>
      <c r="AK1928" s="68">
        <f t="shared" si="79"/>
        <v>1408.704</v>
      </c>
      <c r="AL1928" s="70"/>
      <c r="AM1928" s="70"/>
      <c r="AN1928" s="71"/>
      <c r="AO1928" s="71"/>
      <c r="AP1928" s="71"/>
      <c r="AQ1928" s="71"/>
      <c r="AR1928" s="71"/>
      <c r="AS1928" s="71"/>
      <c r="AT1928" s="71"/>
      <c r="AU1928" s="71"/>
      <c r="AV1928" s="71"/>
      <c r="AW1928" s="71"/>
      <c r="AX1928" s="71"/>
      <c r="AY1928" s="71"/>
      <c r="AZ1928" s="71"/>
      <c r="BA1928" s="71"/>
      <c r="BB1928" s="71"/>
      <c r="BC1928" s="71"/>
      <c r="BD1928" s="71"/>
      <c r="BE1928" s="71"/>
      <c r="BF1928" s="71"/>
      <c r="BG1928" s="71"/>
      <c r="BH1928" s="71"/>
      <c r="BI1928" s="71"/>
      <c r="BJ1928" s="71"/>
      <c r="BK1928" s="71"/>
      <c r="BL1928" s="71"/>
      <c r="BM1928" s="71"/>
      <c r="BN1928" s="71"/>
      <c r="BO1928" s="71"/>
      <c r="BP1928" s="71"/>
      <c r="BQ1928" s="71"/>
      <c r="BR1928" s="71"/>
      <c r="BS1928" s="71"/>
      <c r="BT1928" s="71"/>
      <c r="BU1928" s="71"/>
      <c r="BV1928" s="71"/>
    </row>
    <row r="1929">
      <c r="A1929" s="53">
        <v>1.0</v>
      </c>
      <c r="B1929" s="53"/>
      <c r="C1929" s="73" t="s">
        <v>53</v>
      </c>
      <c r="D1929" s="74" t="s">
        <v>4723</v>
      </c>
      <c r="E1929" s="54" t="s">
        <v>38</v>
      </c>
      <c r="F1929" s="54" t="s">
        <v>42</v>
      </c>
      <c r="G1929" s="188" t="s">
        <v>4724</v>
      </c>
      <c r="H1929" s="188" t="s">
        <v>4724</v>
      </c>
      <c r="I1929" s="54">
        <f t="shared" si="24"/>
        <v>37</v>
      </c>
      <c r="J1929" s="56"/>
      <c r="K1929" s="57"/>
      <c r="L1929" s="76"/>
      <c r="M1929" s="59"/>
      <c r="N1929" s="60">
        <v>1113.0</v>
      </c>
      <c r="O1929" s="61">
        <v>1202.0</v>
      </c>
      <c r="P1929" s="62">
        <v>1298.16</v>
      </c>
      <c r="Q1929" s="63">
        <v>1298.16</v>
      </c>
      <c r="R1929" s="64">
        <v>1446.0</v>
      </c>
      <c r="S1929" s="111">
        <v>1518.0</v>
      </c>
      <c r="T1929" s="65">
        <f t="shared" si="80"/>
        <v>242.88</v>
      </c>
      <c r="U1929" s="65">
        <f t="shared" si="81"/>
        <v>1760.88</v>
      </c>
      <c r="V1929" s="66">
        <f t="shared" si="82"/>
        <v>0.04979253112</v>
      </c>
      <c r="W1929" s="67">
        <f t="shared" si="5"/>
        <v>1442.1</v>
      </c>
      <c r="X1929" s="67">
        <f t="shared" si="70"/>
        <v>230.736</v>
      </c>
      <c r="Y1929" s="67">
        <f t="shared" si="71"/>
        <v>1672.836</v>
      </c>
      <c r="Z1929" s="67">
        <f t="shared" si="8"/>
        <v>1366.2</v>
      </c>
      <c r="AA1929" s="67">
        <f t="shared" si="72"/>
        <v>218.592</v>
      </c>
      <c r="AB1929" s="67">
        <f t="shared" si="73"/>
        <v>1584.792</v>
      </c>
      <c r="AC1929" s="67">
        <f t="shared" si="11"/>
        <v>1290.3</v>
      </c>
      <c r="AD1929" s="67">
        <f t="shared" si="74"/>
        <v>206.448</v>
      </c>
      <c r="AE1929" s="67">
        <f t="shared" si="75"/>
        <v>1496.748</v>
      </c>
      <c r="AF1929" s="67">
        <f t="shared" si="33"/>
        <v>1259.94</v>
      </c>
      <c r="AG1929" s="67">
        <f t="shared" si="76"/>
        <v>201.5904</v>
      </c>
      <c r="AH1929" s="67">
        <f t="shared" si="77"/>
        <v>1461.5304</v>
      </c>
      <c r="AI1929" s="67">
        <f t="shared" si="17"/>
        <v>1214.4</v>
      </c>
      <c r="AJ1929" s="68">
        <f t="shared" si="78"/>
        <v>194.304</v>
      </c>
      <c r="AK1929" s="68">
        <f t="shared" si="79"/>
        <v>1408.704</v>
      </c>
      <c r="AL1929" s="70"/>
      <c r="AM1929" s="70"/>
      <c r="AN1929" s="71"/>
      <c r="AO1929" s="71"/>
      <c r="AP1929" s="71"/>
      <c r="AQ1929" s="71"/>
      <c r="AR1929" s="71"/>
      <c r="AS1929" s="71"/>
      <c r="AT1929" s="71"/>
      <c r="AU1929" s="71"/>
      <c r="AV1929" s="71"/>
      <c r="AW1929" s="71"/>
      <c r="AX1929" s="71"/>
      <c r="AY1929" s="71"/>
      <c r="AZ1929" s="71"/>
      <c r="BA1929" s="71"/>
      <c r="BB1929" s="71"/>
      <c r="BC1929" s="71"/>
      <c r="BD1929" s="71"/>
      <c r="BE1929" s="71"/>
      <c r="BF1929" s="71"/>
      <c r="BG1929" s="71"/>
      <c r="BH1929" s="71"/>
      <c r="BI1929" s="71"/>
      <c r="BJ1929" s="71"/>
      <c r="BK1929" s="71"/>
      <c r="BL1929" s="71"/>
      <c r="BM1929" s="71"/>
      <c r="BN1929" s="71"/>
      <c r="BO1929" s="71"/>
      <c r="BP1929" s="71"/>
      <c r="BQ1929" s="71"/>
      <c r="BR1929" s="71"/>
      <c r="BS1929" s="71"/>
      <c r="BT1929" s="71"/>
      <c r="BU1929" s="71"/>
      <c r="BV1929" s="71"/>
    </row>
    <row r="1930">
      <c r="A1930" s="53">
        <v>1.0</v>
      </c>
      <c r="B1930" s="53"/>
      <c r="C1930" s="73" t="s">
        <v>53</v>
      </c>
      <c r="D1930" s="74" t="s">
        <v>4725</v>
      </c>
      <c r="E1930" s="54" t="s">
        <v>38</v>
      </c>
      <c r="F1930" s="54" t="s">
        <v>42</v>
      </c>
      <c r="G1930" s="189" t="s">
        <v>4726</v>
      </c>
      <c r="H1930" s="189" t="s">
        <v>4726</v>
      </c>
      <c r="I1930" s="54">
        <f t="shared" si="24"/>
        <v>39</v>
      </c>
      <c r="J1930" s="56"/>
      <c r="K1930" s="57"/>
      <c r="L1930" s="76"/>
      <c r="M1930" s="59"/>
      <c r="N1930" s="60">
        <v>1113.0</v>
      </c>
      <c r="O1930" s="61">
        <v>1202.0</v>
      </c>
      <c r="P1930" s="62">
        <v>1298.16</v>
      </c>
      <c r="Q1930" s="63">
        <v>1298.16</v>
      </c>
      <c r="R1930" s="64">
        <v>1446.0</v>
      </c>
      <c r="S1930" s="111">
        <v>1518.0</v>
      </c>
      <c r="T1930" s="65">
        <f t="shared" si="80"/>
        <v>242.88</v>
      </c>
      <c r="U1930" s="65">
        <f t="shared" si="81"/>
        <v>1760.88</v>
      </c>
      <c r="V1930" s="66">
        <f t="shared" si="82"/>
        <v>0.04979253112</v>
      </c>
      <c r="W1930" s="67">
        <f t="shared" si="5"/>
        <v>1442.1</v>
      </c>
      <c r="X1930" s="67">
        <f t="shared" si="70"/>
        <v>230.736</v>
      </c>
      <c r="Y1930" s="67">
        <f t="shared" si="71"/>
        <v>1672.836</v>
      </c>
      <c r="Z1930" s="67">
        <f t="shared" si="8"/>
        <v>1366.2</v>
      </c>
      <c r="AA1930" s="67">
        <f t="shared" si="72"/>
        <v>218.592</v>
      </c>
      <c r="AB1930" s="67">
        <f t="shared" si="73"/>
        <v>1584.792</v>
      </c>
      <c r="AC1930" s="67">
        <f t="shared" si="11"/>
        <v>1290.3</v>
      </c>
      <c r="AD1930" s="67">
        <f t="shared" si="74"/>
        <v>206.448</v>
      </c>
      <c r="AE1930" s="67">
        <f t="shared" si="75"/>
        <v>1496.748</v>
      </c>
      <c r="AF1930" s="67">
        <f t="shared" si="33"/>
        <v>1259.94</v>
      </c>
      <c r="AG1930" s="67">
        <f t="shared" si="76"/>
        <v>201.5904</v>
      </c>
      <c r="AH1930" s="67">
        <f t="shared" si="77"/>
        <v>1461.5304</v>
      </c>
      <c r="AI1930" s="67">
        <f t="shared" si="17"/>
        <v>1214.4</v>
      </c>
      <c r="AJ1930" s="68">
        <f t="shared" si="78"/>
        <v>194.304</v>
      </c>
      <c r="AK1930" s="68">
        <f t="shared" si="79"/>
        <v>1408.704</v>
      </c>
      <c r="AL1930" s="70"/>
      <c r="AM1930" s="70"/>
      <c r="AN1930" s="71"/>
      <c r="AO1930" s="71"/>
      <c r="AP1930" s="71"/>
      <c r="AQ1930" s="71"/>
      <c r="AR1930" s="71"/>
      <c r="AS1930" s="71"/>
      <c r="AT1930" s="71"/>
      <c r="AU1930" s="71"/>
      <c r="AV1930" s="71"/>
      <c r="AW1930" s="71"/>
      <c r="AX1930" s="71"/>
      <c r="AY1930" s="71"/>
      <c r="AZ1930" s="71"/>
      <c r="BA1930" s="71"/>
      <c r="BB1930" s="71"/>
      <c r="BC1930" s="71"/>
      <c r="BD1930" s="71"/>
      <c r="BE1930" s="71"/>
      <c r="BF1930" s="71"/>
      <c r="BG1930" s="71"/>
      <c r="BH1930" s="71"/>
      <c r="BI1930" s="71"/>
      <c r="BJ1930" s="71"/>
      <c r="BK1930" s="71"/>
      <c r="BL1930" s="71"/>
      <c r="BM1930" s="71"/>
      <c r="BN1930" s="71"/>
      <c r="BO1930" s="71"/>
      <c r="BP1930" s="71"/>
      <c r="BQ1930" s="71"/>
      <c r="BR1930" s="71"/>
      <c r="BS1930" s="71"/>
      <c r="BT1930" s="71"/>
      <c r="BU1930" s="71"/>
      <c r="BV1930" s="71"/>
    </row>
    <row r="1931">
      <c r="A1931" s="53">
        <v>1.0</v>
      </c>
      <c r="B1931" s="53"/>
      <c r="C1931" s="73" t="s">
        <v>53</v>
      </c>
      <c r="D1931" s="74" t="s">
        <v>4727</v>
      </c>
      <c r="E1931" s="54" t="s">
        <v>38</v>
      </c>
      <c r="F1931" s="54" t="s">
        <v>42</v>
      </c>
      <c r="G1931" s="188" t="s">
        <v>4728</v>
      </c>
      <c r="H1931" s="188" t="s">
        <v>4728</v>
      </c>
      <c r="I1931" s="54">
        <f t="shared" si="24"/>
        <v>37</v>
      </c>
      <c r="J1931" s="56"/>
      <c r="K1931" s="57"/>
      <c r="L1931" s="76"/>
      <c r="M1931" s="59"/>
      <c r="N1931" s="60">
        <v>1113.0</v>
      </c>
      <c r="O1931" s="61">
        <v>1202.0</v>
      </c>
      <c r="P1931" s="62">
        <v>1298.16</v>
      </c>
      <c r="Q1931" s="63">
        <v>1298.16</v>
      </c>
      <c r="R1931" s="64">
        <v>1446.0</v>
      </c>
      <c r="S1931" s="111">
        <v>1518.0</v>
      </c>
      <c r="T1931" s="65">
        <f t="shared" si="80"/>
        <v>242.88</v>
      </c>
      <c r="U1931" s="65">
        <f t="shared" si="81"/>
        <v>1760.88</v>
      </c>
      <c r="V1931" s="66">
        <f t="shared" si="82"/>
        <v>0.04979253112</v>
      </c>
      <c r="W1931" s="67">
        <f t="shared" si="5"/>
        <v>1442.1</v>
      </c>
      <c r="X1931" s="67">
        <f t="shared" si="70"/>
        <v>230.736</v>
      </c>
      <c r="Y1931" s="67">
        <f t="shared" si="71"/>
        <v>1672.836</v>
      </c>
      <c r="Z1931" s="67">
        <f t="shared" si="8"/>
        <v>1366.2</v>
      </c>
      <c r="AA1931" s="67">
        <f t="shared" si="72"/>
        <v>218.592</v>
      </c>
      <c r="AB1931" s="67">
        <f t="shared" si="73"/>
        <v>1584.792</v>
      </c>
      <c r="AC1931" s="67">
        <f t="shared" si="11"/>
        <v>1290.3</v>
      </c>
      <c r="AD1931" s="67">
        <f t="shared" si="74"/>
        <v>206.448</v>
      </c>
      <c r="AE1931" s="67">
        <f t="shared" si="75"/>
        <v>1496.748</v>
      </c>
      <c r="AF1931" s="67">
        <f t="shared" si="33"/>
        <v>1259.94</v>
      </c>
      <c r="AG1931" s="67">
        <f t="shared" si="76"/>
        <v>201.5904</v>
      </c>
      <c r="AH1931" s="67">
        <f t="shared" si="77"/>
        <v>1461.5304</v>
      </c>
      <c r="AI1931" s="67">
        <f t="shared" si="17"/>
        <v>1214.4</v>
      </c>
      <c r="AJ1931" s="68">
        <f t="shared" si="78"/>
        <v>194.304</v>
      </c>
      <c r="AK1931" s="68">
        <f t="shared" si="79"/>
        <v>1408.704</v>
      </c>
      <c r="AL1931" s="70"/>
      <c r="AM1931" s="70"/>
      <c r="AN1931" s="71"/>
      <c r="AO1931" s="71"/>
      <c r="AP1931" s="71"/>
      <c r="AQ1931" s="71"/>
      <c r="AR1931" s="71"/>
      <c r="AS1931" s="71"/>
      <c r="AT1931" s="71"/>
      <c r="AU1931" s="71"/>
      <c r="AV1931" s="71"/>
      <c r="AW1931" s="71"/>
      <c r="AX1931" s="71"/>
      <c r="AY1931" s="71"/>
      <c r="AZ1931" s="71"/>
      <c r="BA1931" s="71"/>
      <c r="BB1931" s="71"/>
      <c r="BC1931" s="71"/>
      <c r="BD1931" s="71"/>
      <c r="BE1931" s="71"/>
      <c r="BF1931" s="71"/>
      <c r="BG1931" s="71"/>
      <c r="BH1931" s="71"/>
      <c r="BI1931" s="71"/>
      <c r="BJ1931" s="71"/>
      <c r="BK1931" s="71"/>
      <c r="BL1931" s="71"/>
      <c r="BM1931" s="71"/>
      <c r="BN1931" s="71"/>
      <c r="BO1931" s="71"/>
      <c r="BP1931" s="71"/>
      <c r="BQ1931" s="71"/>
      <c r="BR1931" s="71"/>
      <c r="BS1931" s="71"/>
      <c r="BT1931" s="71"/>
      <c r="BU1931" s="71"/>
      <c r="BV1931" s="71"/>
    </row>
    <row r="1932">
      <c r="A1932" s="53">
        <v>1.0</v>
      </c>
      <c r="B1932" s="53"/>
      <c r="C1932" s="73" t="s">
        <v>53</v>
      </c>
      <c r="D1932" s="74" t="s">
        <v>4729</v>
      </c>
      <c r="E1932" s="54" t="s">
        <v>38</v>
      </c>
      <c r="F1932" s="54" t="s">
        <v>42</v>
      </c>
      <c r="G1932" s="189" t="s">
        <v>4730</v>
      </c>
      <c r="H1932" s="189" t="s">
        <v>4730</v>
      </c>
      <c r="I1932" s="54">
        <f t="shared" si="24"/>
        <v>39</v>
      </c>
      <c r="J1932" s="56"/>
      <c r="K1932" s="57"/>
      <c r="L1932" s="76"/>
      <c r="M1932" s="59"/>
      <c r="N1932" s="60">
        <v>1113.0</v>
      </c>
      <c r="O1932" s="61">
        <v>1202.0</v>
      </c>
      <c r="P1932" s="62">
        <v>1298.16</v>
      </c>
      <c r="Q1932" s="63">
        <v>1298.16</v>
      </c>
      <c r="R1932" s="64">
        <v>1446.0</v>
      </c>
      <c r="S1932" s="111">
        <v>1518.0</v>
      </c>
      <c r="T1932" s="65">
        <f t="shared" si="80"/>
        <v>242.88</v>
      </c>
      <c r="U1932" s="65">
        <f t="shared" si="81"/>
        <v>1760.88</v>
      </c>
      <c r="V1932" s="66">
        <f t="shared" si="82"/>
        <v>0.04979253112</v>
      </c>
      <c r="W1932" s="67">
        <f t="shared" si="5"/>
        <v>1442.1</v>
      </c>
      <c r="X1932" s="67">
        <f t="shared" si="70"/>
        <v>230.736</v>
      </c>
      <c r="Y1932" s="67">
        <f t="shared" si="71"/>
        <v>1672.836</v>
      </c>
      <c r="Z1932" s="67">
        <f t="shared" si="8"/>
        <v>1366.2</v>
      </c>
      <c r="AA1932" s="67">
        <f t="shared" si="72"/>
        <v>218.592</v>
      </c>
      <c r="AB1932" s="67">
        <f t="shared" si="73"/>
        <v>1584.792</v>
      </c>
      <c r="AC1932" s="67">
        <f t="shared" si="11"/>
        <v>1290.3</v>
      </c>
      <c r="AD1932" s="67">
        <f t="shared" si="74"/>
        <v>206.448</v>
      </c>
      <c r="AE1932" s="67">
        <f t="shared" si="75"/>
        <v>1496.748</v>
      </c>
      <c r="AF1932" s="67">
        <f t="shared" si="33"/>
        <v>1259.94</v>
      </c>
      <c r="AG1932" s="67">
        <f t="shared" si="76"/>
        <v>201.5904</v>
      </c>
      <c r="AH1932" s="67">
        <f t="shared" si="77"/>
        <v>1461.5304</v>
      </c>
      <c r="AI1932" s="67">
        <f t="shared" si="17"/>
        <v>1214.4</v>
      </c>
      <c r="AJ1932" s="68">
        <f t="shared" si="78"/>
        <v>194.304</v>
      </c>
      <c r="AK1932" s="68">
        <f t="shared" si="79"/>
        <v>1408.704</v>
      </c>
      <c r="AL1932" s="70"/>
      <c r="AM1932" s="70"/>
      <c r="AN1932" s="71"/>
      <c r="AO1932" s="71"/>
      <c r="AP1932" s="71"/>
      <c r="AQ1932" s="71"/>
      <c r="AR1932" s="71"/>
      <c r="AS1932" s="71"/>
      <c r="AT1932" s="71"/>
      <c r="AU1932" s="71"/>
      <c r="AV1932" s="71"/>
      <c r="AW1932" s="71"/>
      <c r="AX1932" s="71"/>
      <c r="AY1932" s="71"/>
      <c r="AZ1932" s="71"/>
      <c r="BA1932" s="71"/>
      <c r="BB1932" s="71"/>
      <c r="BC1932" s="71"/>
      <c r="BD1932" s="71"/>
      <c r="BE1932" s="71"/>
      <c r="BF1932" s="71"/>
      <c r="BG1932" s="71"/>
      <c r="BH1932" s="71"/>
      <c r="BI1932" s="71"/>
      <c r="BJ1932" s="71"/>
      <c r="BK1932" s="71"/>
      <c r="BL1932" s="71"/>
      <c r="BM1932" s="71"/>
      <c r="BN1932" s="71"/>
      <c r="BO1932" s="71"/>
      <c r="BP1932" s="71"/>
      <c r="BQ1932" s="71"/>
      <c r="BR1932" s="71"/>
      <c r="BS1932" s="71"/>
      <c r="BT1932" s="71"/>
      <c r="BU1932" s="71"/>
      <c r="BV1932" s="71"/>
    </row>
    <row r="1933">
      <c r="A1933" s="53">
        <v>1.0</v>
      </c>
      <c r="B1933" s="53"/>
      <c r="C1933" s="73" t="s">
        <v>53</v>
      </c>
      <c r="D1933" s="74" t="s">
        <v>4731</v>
      </c>
      <c r="E1933" s="54" t="s">
        <v>38</v>
      </c>
      <c r="F1933" s="54" t="s">
        <v>42</v>
      </c>
      <c r="G1933" s="188" t="s">
        <v>4732</v>
      </c>
      <c r="H1933" s="188" t="s">
        <v>4732</v>
      </c>
      <c r="I1933" s="54">
        <f t="shared" si="24"/>
        <v>33</v>
      </c>
      <c r="J1933" s="56"/>
      <c r="K1933" s="57"/>
      <c r="L1933" s="76"/>
      <c r="M1933" s="59"/>
      <c r="N1933" s="60">
        <v>1113.0</v>
      </c>
      <c r="O1933" s="61">
        <v>1202.0</v>
      </c>
      <c r="P1933" s="62">
        <v>1298.16</v>
      </c>
      <c r="Q1933" s="63">
        <v>1298.16</v>
      </c>
      <c r="R1933" s="64">
        <v>1446.0</v>
      </c>
      <c r="S1933" s="111">
        <v>1518.0</v>
      </c>
      <c r="T1933" s="65">
        <f t="shared" si="80"/>
        <v>242.88</v>
      </c>
      <c r="U1933" s="65">
        <f t="shared" si="81"/>
        <v>1760.88</v>
      </c>
      <c r="V1933" s="66">
        <f t="shared" si="82"/>
        <v>0.04979253112</v>
      </c>
      <c r="W1933" s="67">
        <f t="shared" si="5"/>
        <v>1442.1</v>
      </c>
      <c r="X1933" s="67">
        <f t="shared" si="70"/>
        <v>230.736</v>
      </c>
      <c r="Y1933" s="67">
        <f t="shared" si="71"/>
        <v>1672.836</v>
      </c>
      <c r="Z1933" s="67">
        <f t="shared" si="8"/>
        <v>1366.2</v>
      </c>
      <c r="AA1933" s="67">
        <f t="shared" si="72"/>
        <v>218.592</v>
      </c>
      <c r="AB1933" s="67">
        <f t="shared" si="73"/>
        <v>1584.792</v>
      </c>
      <c r="AC1933" s="67">
        <f t="shared" si="11"/>
        <v>1290.3</v>
      </c>
      <c r="AD1933" s="67">
        <f t="shared" si="74"/>
        <v>206.448</v>
      </c>
      <c r="AE1933" s="67">
        <f t="shared" si="75"/>
        <v>1496.748</v>
      </c>
      <c r="AF1933" s="67">
        <f t="shared" si="33"/>
        <v>1259.94</v>
      </c>
      <c r="AG1933" s="67">
        <f t="shared" si="76"/>
        <v>201.5904</v>
      </c>
      <c r="AH1933" s="67">
        <f t="shared" si="77"/>
        <v>1461.5304</v>
      </c>
      <c r="AI1933" s="67">
        <f t="shared" si="17"/>
        <v>1214.4</v>
      </c>
      <c r="AJ1933" s="68">
        <f t="shared" si="78"/>
        <v>194.304</v>
      </c>
      <c r="AK1933" s="68">
        <f t="shared" si="79"/>
        <v>1408.704</v>
      </c>
      <c r="AL1933" s="70"/>
      <c r="AM1933" s="70"/>
      <c r="AN1933" s="71"/>
      <c r="AO1933" s="71"/>
      <c r="AP1933" s="71"/>
      <c r="AQ1933" s="71"/>
      <c r="AR1933" s="71"/>
      <c r="AS1933" s="71"/>
      <c r="AT1933" s="71"/>
      <c r="AU1933" s="71"/>
      <c r="AV1933" s="71"/>
      <c r="AW1933" s="71"/>
      <c r="AX1933" s="71"/>
      <c r="AY1933" s="71"/>
      <c r="AZ1933" s="71"/>
      <c r="BA1933" s="71"/>
      <c r="BB1933" s="71"/>
      <c r="BC1933" s="71"/>
      <c r="BD1933" s="71"/>
      <c r="BE1933" s="71"/>
      <c r="BF1933" s="71"/>
      <c r="BG1933" s="71"/>
      <c r="BH1933" s="71"/>
      <c r="BI1933" s="71"/>
      <c r="BJ1933" s="71"/>
      <c r="BK1933" s="71"/>
      <c r="BL1933" s="71"/>
      <c r="BM1933" s="71"/>
      <c r="BN1933" s="71"/>
      <c r="BO1933" s="71"/>
      <c r="BP1933" s="71"/>
      <c r="BQ1933" s="71"/>
      <c r="BR1933" s="71"/>
      <c r="BS1933" s="71"/>
      <c r="BT1933" s="71"/>
      <c r="BU1933" s="71"/>
      <c r="BV1933" s="71"/>
    </row>
    <row r="1934">
      <c r="A1934" s="53">
        <v>1.0</v>
      </c>
      <c r="B1934" s="53"/>
      <c r="C1934" s="73" t="s">
        <v>53</v>
      </c>
      <c r="D1934" s="74" t="s">
        <v>4733</v>
      </c>
      <c r="E1934" s="54" t="s">
        <v>38</v>
      </c>
      <c r="F1934" s="54" t="s">
        <v>42</v>
      </c>
      <c r="G1934" s="189" t="s">
        <v>4734</v>
      </c>
      <c r="H1934" s="189" t="s">
        <v>4734</v>
      </c>
      <c r="I1934" s="54">
        <f t="shared" si="24"/>
        <v>39</v>
      </c>
      <c r="J1934" s="56"/>
      <c r="K1934" s="57"/>
      <c r="L1934" s="76"/>
      <c r="M1934" s="59"/>
      <c r="N1934" s="60">
        <v>1113.0</v>
      </c>
      <c r="O1934" s="61">
        <v>1202.0</v>
      </c>
      <c r="P1934" s="62">
        <v>1298.16</v>
      </c>
      <c r="Q1934" s="63">
        <v>1298.16</v>
      </c>
      <c r="R1934" s="64">
        <v>1446.0</v>
      </c>
      <c r="S1934" s="111">
        <v>1518.0</v>
      </c>
      <c r="T1934" s="65">
        <f t="shared" si="80"/>
        <v>242.88</v>
      </c>
      <c r="U1934" s="65">
        <f t="shared" si="81"/>
        <v>1760.88</v>
      </c>
      <c r="V1934" s="66">
        <f t="shared" si="82"/>
        <v>0.04979253112</v>
      </c>
      <c r="W1934" s="67">
        <f t="shared" si="5"/>
        <v>1442.1</v>
      </c>
      <c r="X1934" s="67">
        <f t="shared" si="70"/>
        <v>230.736</v>
      </c>
      <c r="Y1934" s="67">
        <f t="shared" si="71"/>
        <v>1672.836</v>
      </c>
      <c r="Z1934" s="67">
        <f t="shared" si="8"/>
        <v>1366.2</v>
      </c>
      <c r="AA1934" s="67">
        <f t="shared" si="72"/>
        <v>218.592</v>
      </c>
      <c r="AB1934" s="67">
        <f t="shared" si="73"/>
        <v>1584.792</v>
      </c>
      <c r="AC1934" s="67">
        <f t="shared" si="11"/>
        <v>1290.3</v>
      </c>
      <c r="AD1934" s="67">
        <f t="shared" si="74"/>
        <v>206.448</v>
      </c>
      <c r="AE1934" s="67">
        <f t="shared" si="75"/>
        <v>1496.748</v>
      </c>
      <c r="AF1934" s="67">
        <f t="shared" si="33"/>
        <v>1259.94</v>
      </c>
      <c r="AG1934" s="67">
        <f t="shared" si="76"/>
        <v>201.5904</v>
      </c>
      <c r="AH1934" s="67">
        <f t="shared" si="77"/>
        <v>1461.5304</v>
      </c>
      <c r="AI1934" s="67">
        <f t="shared" si="17"/>
        <v>1214.4</v>
      </c>
      <c r="AJ1934" s="68">
        <f t="shared" si="78"/>
        <v>194.304</v>
      </c>
      <c r="AK1934" s="68">
        <f t="shared" si="79"/>
        <v>1408.704</v>
      </c>
      <c r="AL1934" s="70"/>
      <c r="AM1934" s="70"/>
      <c r="AN1934" s="71"/>
      <c r="AO1934" s="71"/>
      <c r="AP1934" s="71"/>
      <c r="AQ1934" s="71"/>
      <c r="AR1934" s="71"/>
      <c r="AS1934" s="71"/>
      <c r="AT1934" s="71"/>
      <c r="AU1934" s="71"/>
      <c r="AV1934" s="71"/>
      <c r="AW1934" s="71"/>
      <c r="AX1934" s="71"/>
      <c r="AY1934" s="71"/>
      <c r="AZ1934" s="71"/>
      <c r="BA1934" s="71"/>
      <c r="BB1934" s="71"/>
      <c r="BC1934" s="71"/>
      <c r="BD1934" s="71"/>
      <c r="BE1934" s="71"/>
      <c r="BF1934" s="71"/>
      <c r="BG1934" s="71"/>
      <c r="BH1934" s="71"/>
      <c r="BI1934" s="71"/>
      <c r="BJ1934" s="71"/>
      <c r="BK1934" s="71"/>
      <c r="BL1934" s="71"/>
      <c r="BM1934" s="71"/>
      <c r="BN1934" s="71"/>
      <c r="BO1934" s="71"/>
      <c r="BP1934" s="71"/>
      <c r="BQ1934" s="71"/>
      <c r="BR1934" s="71"/>
      <c r="BS1934" s="71"/>
      <c r="BT1934" s="71"/>
      <c r="BU1934" s="71"/>
      <c r="BV1934" s="71"/>
    </row>
    <row r="1935">
      <c r="A1935" s="53">
        <v>1.0</v>
      </c>
      <c r="B1935" s="53"/>
      <c r="C1935" s="73" t="s">
        <v>53</v>
      </c>
      <c r="D1935" s="74" t="s">
        <v>4735</v>
      </c>
      <c r="E1935" s="54" t="s">
        <v>38</v>
      </c>
      <c r="F1935" s="54" t="s">
        <v>42</v>
      </c>
      <c r="G1935" s="188" t="s">
        <v>4736</v>
      </c>
      <c r="H1935" s="188" t="s">
        <v>4736</v>
      </c>
      <c r="I1935" s="54">
        <f t="shared" si="24"/>
        <v>37</v>
      </c>
      <c r="J1935" s="56"/>
      <c r="K1935" s="57"/>
      <c r="L1935" s="76"/>
      <c r="M1935" s="59"/>
      <c r="N1935" s="60">
        <v>1113.0</v>
      </c>
      <c r="O1935" s="61">
        <v>1202.0</v>
      </c>
      <c r="P1935" s="62">
        <v>1298.16</v>
      </c>
      <c r="Q1935" s="63">
        <v>1298.16</v>
      </c>
      <c r="R1935" s="64">
        <v>1446.0</v>
      </c>
      <c r="S1935" s="111">
        <v>1518.0</v>
      </c>
      <c r="T1935" s="65">
        <f t="shared" si="80"/>
        <v>242.88</v>
      </c>
      <c r="U1935" s="65">
        <f t="shared" si="81"/>
        <v>1760.88</v>
      </c>
      <c r="V1935" s="66">
        <f t="shared" si="82"/>
        <v>0.04979253112</v>
      </c>
      <c r="W1935" s="67">
        <f t="shared" si="5"/>
        <v>1442.1</v>
      </c>
      <c r="X1935" s="67">
        <f t="shared" si="70"/>
        <v>230.736</v>
      </c>
      <c r="Y1935" s="67">
        <f t="shared" si="71"/>
        <v>1672.836</v>
      </c>
      <c r="Z1935" s="67">
        <f t="shared" si="8"/>
        <v>1366.2</v>
      </c>
      <c r="AA1935" s="67">
        <f t="shared" si="72"/>
        <v>218.592</v>
      </c>
      <c r="AB1935" s="67">
        <f t="shared" si="73"/>
        <v>1584.792</v>
      </c>
      <c r="AC1935" s="67">
        <f t="shared" si="11"/>
        <v>1290.3</v>
      </c>
      <c r="AD1935" s="67">
        <f t="shared" si="74"/>
        <v>206.448</v>
      </c>
      <c r="AE1935" s="67">
        <f t="shared" si="75"/>
        <v>1496.748</v>
      </c>
      <c r="AF1935" s="67">
        <f t="shared" si="33"/>
        <v>1259.94</v>
      </c>
      <c r="AG1935" s="67">
        <f t="shared" si="76"/>
        <v>201.5904</v>
      </c>
      <c r="AH1935" s="67">
        <f t="shared" si="77"/>
        <v>1461.5304</v>
      </c>
      <c r="AI1935" s="67">
        <f t="shared" si="17"/>
        <v>1214.4</v>
      </c>
      <c r="AJ1935" s="68">
        <f t="shared" si="78"/>
        <v>194.304</v>
      </c>
      <c r="AK1935" s="68">
        <f t="shared" si="79"/>
        <v>1408.704</v>
      </c>
      <c r="AL1935" s="70"/>
      <c r="AM1935" s="70"/>
      <c r="AN1935" s="71"/>
      <c r="AO1935" s="71"/>
      <c r="AP1935" s="71"/>
      <c r="AQ1935" s="71"/>
      <c r="AR1935" s="71"/>
      <c r="AS1935" s="71"/>
      <c r="AT1935" s="71"/>
      <c r="AU1935" s="71"/>
      <c r="AV1935" s="71"/>
      <c r="AW1935" s="71"/>
      <c r="AX1935" s="71"/>
      <c r="AY1935" s="71"/>
      <c r="AZ1935" s="71"/>
      <c r="BA1935" s="71"/>
      <c r="BB1935" s="71"/>
      <c r="BC1935" s="71"/>
      <c r="BD1935" s="71"/>
      <c r="BE1935" s="71"/>
      <c r="BF1935" s="71"/>
      <c r="BG1935" s="71"/>
      <c r="BH1935" s="71"/>
      <c r="BI1935" s="71"/>
      <c r="BJ1935" s="71"/>
      <c r="BK1935" s="71"/>
      <c r="BL1935" s="71"/>
      <c r="BM1935" s="71"/>
      <c r="BN1935" s="71"/>
      <c r="BO1935" s="71"/>
      <c r="BP1935" s="71"/>
      <c r="BQ1935" s="71"/>
      <c r="BR1935" s="71"/>
      <c r="BS1935" s="71"/>
      <c r="BT1935" s="71"/>
      <c r="BU1935" s="71"/>
      <c r="BV1935" s="71"/>
    </row>
    <row r="1936">
      <c r="A1936" s="53">
        <v>1.0</v>
      </c>
      <c r="B1936" s="53"/>
      <c r="C1936" s="73" t="s">
        <v>53</v>
      </c>
      <c r="D1936" s="74" t="s">
        <v>4737</v>
      </c>
      <c r="E1936" s="54" t="s">
        <v>38</v>
      </c>
      <c r="F1936" s="54" t="s">
        <v>42</v>
      </c>
      <c r="G1936" s="189" t="s">
        <v>4738</v>
      </c>
      <c r="H1936" s="189" t="s">
        <v>4738</v>
      </c>
      <c r="I1936" s="54">
        <f t="shared" si="24"/>
        <v>39</v>
      </c>
      <c r="J1936" s="56"/>
      <c r="K1936" s="57"/>
      <c r="L1936" s="76"/>
      <c r="M1936" s="59"/>
      <c r="N1936" s="60">
        <v>1113.0</v>
      </c>
      <c r="O1936" s="61">
        <v>1202.0</v>
      </c>
      <c r="P1936" s="62">
        <v>1298.16</v>
      </c>
      <c r="Q1936" s="63">
        <v>1298.16</v>
      </c>
      <c r="R1936" s="64">
        <v>1446.0</v>
      </c>
      <c r="S1936" s="111">
        <v>1518.0</v>
      </c>
      <c r="T1936" s="65">
        <f t="shared" si="80"/>
        <v>242.88</v>
      </c>
      <c r="U1936" s="65">
        <f t="shared" si="81"/>
        <v>1760.88</v>
      </c>
      <c r="V1936" s="66">
        <f t="shared" si="82"/>
        <v>0.04979253112</v>
      </c>
      <c r="W1936" s="67">
        <f t="shared" si="5"/>
        <v>1442.1</v>
      </c>
      <c r="X1936" s="67">
        <f t="shared" si="70"/>
        <v>230.736</v>
      </c>
      <c r="Y1936" s="67">
        <f t="shared" si="71"/>
        <v>1672.836</v>
      </c>
      <c r="Z1936" s="67">
        <f t="shared" si="8"/>
        <v>1366.2</v>
      </c>
      <c r="AA1936" s="67">
        <f t="shared" si="72"/>
        <v>218.592</v>
      </c>
      <c r="AB1936" s="67">
        <f t="shared" si="73"/>
        <v>1584.792</v>
      </c>
      <c r="AC1936" s="67">
        <f t="shared" si="11"/>
        <v>1290.3</v>
      </c>
      <c r="AD1936" s="67">
        <f t="shared" si="74"/>
        <v>206.448</v>
      </c>
      <c r="AE1936" s="67">
        <f t="shared" si="75"/>
        <v>1496.748</v>
      </c>
      <c r="AF1936" s="67">
        <f t="shared" si="33"/>
        <v>1259.94</v>
      </c>
      <c r="AG1936" s="67">
        <f t="shared" si="76"/>
        <v>201.5904</v>
      </c>
      <c r="AH1936" s="67">
        <f t="shared" si="77"/>
        <v>1461.5304</v>
      </c>
      <c r="AI1936" s="67">
        <f t="shared" si="17"/>
        <v>1214.4</v>
      </c>
      <c r="AJ1936" s="68">
        <f t="shared" si="78"/>
        <v>194.304</v>
      </c>
      <c r="AK1936" s="68">
        <f t="shared" si="79"/>
        <v>1408.704</v>
      </c>
      <c r="AL1936" s="70"/>
      <c r="AM1936" s="70"/>
      <c r="AN1936" s="71"/>
      <c r="AO1936" s="71"/>
      <c r="AP1936" s="71"/>
      <c r="AQ1936" s="71"/>
      <c r="AR1936" s="71"/>
      <c r="AS1936" s="71"/>
      <c r="AT1936" s="71"/>
      <c r="AU1936" s="71"/>
      <c r="AV1936" s="71"/>
      <c r="AW1936" s="71"/>
      <c r="AX1936" s="71"/>
      <c r="AY1936" s="71"/>
      <c r="AZ1936" s="71"/>
      <c r="BA1936" s="71"/>
      <c r="BB1936" s="71"/>
      <c r="BC1936" s="71"/>
      <c r="BD1936" s="71"/>
      <c r="BE1936" s="71"/>
      <c r="BF1936" s="71"/>
      <c r="BG1936" s="71"/>
      <c r="BH1936" s="71"/>
      <c r="BI1936" s="71"/>
      <c r="BJ1936" s="71"/>
      <c r="BK1936" s="71"/>
      <c r="BL1936" s="71"/>
      <c r="BM1936" s="71"/>
      <c r="BN1936" s="71"/>
      <c r="BO1936" s="71"/>
      <c r="BP1936" s="71"/>
      <c r="BQ1936" s="71"/>
      <c r="BR1936" s="71"/>
      <c r="BS1936" s="71"/>
      <c r="BT1936" s="71"/>
      <c r="BU1936" s="71"/>
      <c r="BV1936" s="71"/>
    </row>
    <row r="1937">
      <c r="A1937" s="53">
        <v>1.0</v>
      </c>
      <c r="B1937" s="53"/>
      <c r="C1937" s="73" t="s">
        <v>53</v>
      </c>
      <c r="D1937" s="53" t="s">
        <v>4739</v>
      </c>
      <c r="E1937" s="54" t="s">
        <v>38</v>
      </c>
      <c r="F1937" s="54" t="s">
        <v>42</v>
      </c>
      <c r="G1937" s="189" t="s">
        <v>4740</v>
      </c>
      <c r="H1937" s="189" t="s">
        <v>4741</v>
      </c>
      <c r="I1937" s="54">
        <f t="shared" si="24"/>
        <v>36</v>
      </c>
      <c r="J1937" s="56"/>
      <c r="K1937" s="57"/>
      <c r="L1937" s="76"/>
      <c r="M1937" s="59"/>
      <c r="N1937" s="60">
        <v>1722.0</v>
      </c>
      <c r="O1937" s="61">
        <v>1859.0</v>
      </c>
      <c r="P1937" s="62">
        <v>2007.72</v>
      </c>
      <c r="Q1937" s="63">
        <v>2007.72</v>
      </c>
      <c r="R1937" s="64">
        <v>2236.0</v>
      </c>
      <c r="S1937" s="111">
        <v>2348.0</v>
      </c>
      <c r="T1937" s="65">
        <f t="shared" si="80"/>
        <v>375.68</v>
      </c>
      <c r="U1937" s="65">
        <f t="shared" si="81"/>
        <v>2723.68</v>
      </c>
      <c r="V1937" s="66">
        <f t="shared" si="82"/>
        <v>0.05008944544</v>
      </c>
      <c r="W1937" s="67">
        <f t="shared" si="5"/>
        <v>2230.6</v>
      </c>
      <c r="X1937" s="67">
        <f t="shared" si="70"/>
        <v>356.896</v>
      </c>
      <c r="Y1937" s="67">
        <f t="shared" si="71"/>
        <v>2587.496</v>
      </c>
      <c r="Z1937" s="67">
        <f t="shared" si="8"/>
        <v>2113.2</v>
      </c>
      <c r="AA1937" s="67">
        <f t="shared" si="72"/>
        <v>338.112</v>
      </c>
      <c r="AB1937" s="67">
        <f t="shared" si="73"/>
        <v>2451.312</v>
      </c>
      <c r="AC1937" s="67">
        <f t="shared" si="11"/>
        <v>1995.8</v>
      </c>
      <c r="AD1937" s="67">
        <f t="shared" si="74"/>
        <v>319.328</v>
      </c>
      <c r="AE1937" s="67">
        <f t="shared" si="75"/>
        <v>2315.128</v>
      </c>
      <c r="AF1937" s="67">
        <f t="shared" si="33"/>
        <v>1948.84</v>
      </c>
      <c r="AG1937" s="67">
        <f t="shared" si="76"/>
        <v>311.8144</v>
      </c>
      <c r="AH1937" s="67">
        <f t="shared" si="77"/>
        <v>2260.6544</v>
      </c>
      <c r="AI1937" s="67">
        <f t="shared" si="17"/>
        <v>1878.4</v>
      </c>
      <c r="AJ1937" s="68">
        <f t="shared" si="78"/>
        <v>300.544</v>
      </c>
      <c r="AK1937" s="68">
        <f t="shared" si="79"/>
        <v>2178.944</v>
      </c>
      <c r="AL1937" s="70"/>
      <c r="AM1937" s="70"/>
      <c r="AN1937" s="71"/>
      <c r="AO1937" s="71"/>
      <c r="AP1937" s="71"/>
      <c r="AQ1937" s="71"/>
      <c r="AR1937" s="71"/>
      <c r="AS1937" s="71"/>
      <c r="AT1937" s="71"/>
      <c r="AU1937" s="71"/>
      <c r="AV1937" s="71"/>
      <c r="AW1937" s="71"/>
      <c r="AX1937" s="71"/>
      <c r="AY1937" s="71"/>
      <c r="AZ1937" s="71"/>
      <c r="BA1937" s="71"/>
      <c r="BB1937" s="71"/>
      <c r="BC1937" s="71"/>
      <c r="BD1937" s="71"/>
      <c r="BE1937" s="71"/>
      <c r="BF1937" s="71"/>
      <c r="BG1937" s="71"/>
      <c r="BH1937" s="71"/>
      <c r="BI1937" s="71"/>
      <c r="BJ1937" s="71"/>
      <c r="BK1937" s="71"/>
      <c r="BL1937" s="71"/>
      <c r="BM1937" s="71"/>
      <c r="BN1937" s="71"/>
      <c r="BO1937" s="71"/>
      <c r="BP1937" s="71"/>
      <c r="BQ1937" s="71"/>
      <c r="BR1937" s="71"/>
      <c r="BS1937" s="71"/>
      <c r="BT1937" s="71"/>
      <c r="BU1937" s="71"/>
      <c r="BV1937" s="71"/>
    </row>
    <row r="1938">
      <c r="A1938" s="53">
        <v>1.0</v>
      </c>
      <c r="B1938" s="53"/>
      <c r="C1938" s="73" t="s">
        <v>53</v>
      </c>
      <c r="D1938" s="53" t="s">
        <v>4742</v>
      </c>
      <c r="E1938" s="54" t="s">
        <v>38</v>
      </c>
      <c r="F1938" s="54" t="s">
        <v>42</v>
      </c>
      <c r="G1938" s="188" t="s">
        <v>4743</v>
      </c>
      <c r="H1938" s="188" t="s">
        <v>4743</v>
      </c>
      <c r="I1938" s="54">
        <f t="shared" si="24"/>
        <v>35</v>
      </c>
      <c r="J1938" s="56"/>
      <c r="K1938" s="57"/>
      <c r="L1938" s="76"/>
      <c r="M1938" s="59"/>
      <c r="N1938" s="60">
        <v>1198.0</v>
      </c>
      <c r="O1938" s="61">
        <v>1293.0</v>
      </c>
      <c r="P1938" s="62">
        <v>1799.0</v>
      </c>
      <c r="Q1938" s="63">
        <v>1799.0</v>
      </c>
      <c r="R1938" s="64">
        <v>2003.0</v>
      </c>
      <c r="S1938" s="111">
        <v>2103.0</v>
      </c>
      <c r="T1938" s="65">
        <f t="shared" si="80"/>
        <v>336.48</v>
      </c>
      <c r="U1938" s="65">
        <f t="shared" si="81"/>
        <v>2439.48</v>
      </c>
      <c r="V1938" s="66">
        <f t="shared" si="82"/>
        <v>0.04992511233</v>
      </c>
      <c r="W1938" s="67">
        <f t="shared" si="5"/>
        <v>1997.85</v>
      </c>
      <c r="X1938" s="67">
        <f t="shared" si="70"/>
        <v>319.656</v>
      </c>
      <c r="Y1938" s="67">
        <f t="shared" si="71"/>
        <v>2317.506</v>
      </c>
      <c r="Z1938" s="67">
        <f t="shared" si="8"/>
        <v>1892.7</v>
      </c>
      <c r="AA1938" s="67">
        <f t="shared" si="72"/>
        <v>302.832</v>
      </c>
      <c r="AB1938" s="67">
        <f t="shared" si="73"/>
        <v>2195.532</v>
      </c>
      <c r="AC1938" s="67">
        <f t="shared" si="11"/>
        <v>1787.55</v>
      </c>
      <c r="AD1938" s="67">
        <f t="shared" si="74"/>
        <v>286.008</v>
      </c>
      <c r="AE1938" s="67">
        <f t="shared" si="75"/>
        <v>2073.558</v>
      </c>
      <c r="AF1938" s="67">
        <f t="shared" si="33"/>
        <v>1745.49</v>
      </c>
      <c r="AG1938" s="67">
        <f t="shared" si="76"/>
        <v>279.2784</v>
      </c>
      <c r="AH1938" s="67">
        <f t="shared" si="77"/>
        <v>2024.7684</v>
      </c>
      <c r="AI1938" s="67">
        <f t="shared" si="17"/>
        <v>1682.4</v>
      </c>
      <c r="AJ1938" s="68">
        <f t="shared" si="78"/>
        <v>269.184</v>
      </c>
      <c r="AK1938" s="68">
        <f t="shared" si="79"/>
        <v>1951.584</v>
      </c>
      <c r="AL1938" s="70"/>
      <c r="AM1938" s="70"/>
      <c r="AN1938" s="71"/>
      <c r="AO1938" s="71"/>
      <c r="AP1938" s="71"/>
      <c r="AQ1938" s="71"/>
      <c r="AR1938" s="71"/>
      <c r="AS1938" s="71"/>
      <c r="AT1938" s="71"/>
      <c r="AU1938" s="71"/>
      <c r="AV1938" s="71"/>
      <c r="AW1938" s="71"/>
      <c r="AX1938" s="71"/>
      <c r="AY1938" s="71"/>
      <c r="AZ1938" s="71"/>
      <c r="BA1938" s="71"/>
      <c r="BB1938" s="71"/>
      <c r="BC1938" s="71"/>
      <c r="BD1938" s="71"/>
      <c r="BE1938" s="71"/>
      <c r="BF1938" s="71"/>
      <c r="BG1938" s="71"/>
      <c r="BH1938" s="71"/>
      <c r="BI1938" s="71"/>
      <c r="BJ1938" s="71"/>
      <c r="BK1938" s="71"/>
      <c r="BL1938" s="71"/>
      <c r="BM1938" s="71"/>
      <c r="BN1938" s="71"/>
      <c r="BO1938" s="71"/>
      <c r="BP1938" s="71"/>
      <c r="BQ1938" s="71"/>
      <c r="BR1938" s="71"/>
      <c r="BS1938" s="71"/>
      <c r="BT1938" s="71"/>
      <c r="BU1938" s="71"/>
      <c r="BV1938" s="71"/>
    </row>
    <row r="1939">
      <c r="A1939" s="53">
        <v>1.0</v>
      </c>
      <c r="B1939" s="53"/>
      <c r="C1939" s="73" t="s">
        <v>53</v>
      </c>
      <c r="D1939" s="53" t="s">
        <v>4744</v>
      </c>
      <c r="E1939" s="54" t="s">
        <v>38</v>
      </c>
      <c r="F1939" s="54" t="s">
        <v>42</v>
      </c>
      <c r="G1939" s="188" t="s">
        <v>4745</v>
      </c>
      <c r="H1939" s="188" t="s">
        <v>4745</v>
      </c>
      <c r="I1939" s="54">
        <f t="shared" si="24"/>
        <v>35</v>
      </c>
      <c r="J1939" s="56"/>
      <c r="K1939" s="57"/>
      <c r="L1939" s="76"/>
      <c r="M1939" s="59"/>
      <c r="N1939" s="60">
        <v>1198.0</v>
      </c>
      <c r="O1939" s="61">
        <v>1293.0</v>
      </c>
      <c r="P1939" s="62">
        <v>1799.0</v>
      </c>
      <c r="Q1939" s="63">
        <v>1799.0</v>
      </c>
      <c r="R1939" s="64">
        <v>2003.0</v>
      </c>
      <c r="S1939" s="111">
        <v>2103.0</v>
      </c>
      <c r="T1939" s="65">
        <f t="shared" si="80"/>
        <v>336.48</v>
      </c>
      <c r="U1939" s="65">
        <f t="shared" si="81"/>
        <v>2439.48</v>
      </c>
      <c r="V1939" s="66">
        <f t="shared" si="82"/>
        <v>0.04992511233</v>
      </c>
      <c r="W1939" s="67">
        <f t="shared" si="5"/>
        <v>1997.85</v>
      </c>
      <c r="X1939" s="67">
        <f t="shared" si="70"/>
        <v>319.656</v>
      </c>
      <c r="Y1939" s="67">
        <f t="shared" si="71"/>
        <v>2317.506</v>
      </c>
      <c r="Z1939" s="67">
        <f t="shared" si="8"/>
        <v>1892.7</v>
      </c>
      <c r="AA1939" s="67">
        <f t="shared" si="72"/>
        <v>302.832</v>
      </c>
      <c r="AB1939" s="67">
        <f t="shared" si="73"/>
        <v>2195.532</v>
      </c>
      <c r="AC1939" s="67">
        <f t="shared" si="11"/>
        <v>1787.55</v>
      </c>
      <c r="AD1939" s="67">
        <f t="shared" si="74"/>
        <v>286.008</v>
      </c>
      <c r="AE1939" s="67">
        <f t="shared" si="75"/>
        <v>2073.558</v>
      </c>
      <c r="AF1939" s="67">
        <f t="shared" si="33"/>
        <v>1745.49</v>
      </c>
      <c r="AG1939" s="67">
        <f t="shared" si="76"/>
        <v>279.2784</v>
      </c>
      <c r="AH1939" s="67">
        <f t="shared" si="77"/>
        <v>2024.7684</v>
      </c>
      <c r="AI1939" s="67">
        <f t="shared" si="17"/>
        <v>1682.4</v>
      </c>
      <c r="AJ1939" s="68">
        <f t="shared" si="78"/>
        <v>269.184</v>
      </c>
      <c r="AK1939" s="68">
        <f t="shared" si="79"/>
        <v>1951.584</v>
      </c>
      <c r="AL1939" s="70"/>
      <c r="AM1939" s="70"/>
      <c r="AN1939" s="71"/>
      <c r="AO1939" s="71"/>
      <c r="AP1939" s="71"/>
      <c r="AQ1939" s="71"/>
      <c r="AR1939" s="71"/>
      <c r="AS1939" s="71"/>
      <c r="AT1939" s="71"/>
      <c r="AU1939" s="71"/>
      <c r="AV1939" s="71"/>
      <c r="AW1939" s="71"/>
      <c r="AX1939" s="71"/>
      <c r="AY1939" s="71"/>
      <c r="AZ1939" s="71"/>
      <c r="BA1939" s="71"/>
      <c r="BB1939" s="71"/>
      <c r="BC1939" s="71"/>
      <c r="BD1939" s="71"/>
      <c r="BE1939" s="71"/>
      <c r="BF1939" s="71"/>
      <c r="BG1939" s="71"/>
      <c r="BH1939" s="71"/>
      <c r="BI1939" s="71"/>
      <c r="BJ1939" s="71"/>
      <c r="BK1939" s="71"/>
      <c r="BL1939" s="71"/>
      <c r="BM1939" s="71"/>
      <c r="BN1939" s="71"/>
      <c r="BO1939" s="71"/>
      <c r="BP1939" s="71"/>
      <c r="BQ1939" s="71"/>
      <c r="BR1939" s="71"/>
      <c r="BS1939" s="71"/>
      <c r="BT1939" s="71"/>
      <c r="BU1939" s="71"/>
      <c r="BV1939" s="71"/>
    </row>
    <row r="1940">
      <c r="A1940" s="53">
        <v>1.0</v>
      </c>
      <c r="B1940" s="53"/>
      <c r="C1940" s="73" t="s">
        <v>53</v>
      </c>
      <c r="D1940" s="53" t="s">
        <v>4746</v>
      </c>
      <c r="E1940" s="54" t="s">
        <v>38</v>
      </c>
      <c r="F1940" s="54" t="s">
        <v>42</v>
      </c>
      <c r="G1940" s="188" t="s">
        <v>4747</v>
      </c>
      <c r="H1940" s="188" t="s">
        <v>4747</v>
      </c>
      <c r="I1940" s="54">
        <f t="shared" si="24"/>
        <v>35</v>
      </c>
      <c r="J1940" s="56"/>
      <c r="K1940" s="57"/>
      <c r="L1940" s="76"/>
      <c r="M1940" s="59"/>
      <c r="N1940" s="60">
        <v>1198.0</v>
      </c>
      <c r="O1940" s="61">
        <v>1293.0</v>
      </c>
      <c r="P1940" s="62">
        <v>1799.0</v>
      </c>
      <c r="Q1940" s="63">
        <v>1799.0</v>
      </c>
      <c r="R1940" s="64">
        <v>2003.0</v>
      </c>
      <c r="S1940" s="111">
        <v>2103.0</v>
      </c>
      <c r="T1940" s="65">
        <f t="shared" si="80"/>
        <v>336.48</v>
      </c>
      <c r="U1940" s="65">
        <f t="shared" si="81"/>
        <v>2439.48</v>
      </c>
      <c r="V1940" s="66">
        <f t="shared" si="82"/>
        <v>0.04992511233</v>
      </c>
      <c r="W1940" s="67">
        <f t="shared" si="5"/>
        <v>1997.85</v>
      </c>
      <c r="X1940" s="67">
        <f t="shared" si="70"/>
        <v>319.656</v>
      </c>
      <c r="Y1940" s="67">
        <f t="shared" si="71"/>
        <v>2317.506</v>
      </c>
      <c r="Z1940" s="67">
        <f t="shared" si="8"/>
        <v>1892.7</v>
      </c>
      <c r="AA1940" s="67">
        <f t="shared" si="72"/>
        <v>302.832</v>
      </c>
      <c r="AB1940" s="67">
        <f t="shared" si="73"/>
        <v>2195.532</v>
      </c>
      <c r="AC1940" s="67">
        <f t="shared" si="11"/>
        <v>1787.55</v>
      </c>
      <c r="AD1940" s="67">
        <f t="shared" si="74"/>
        <v>286.008</v>
      </c>
      <c r="AE1940" s="67">
        <f t="shared" si="75"/>
        <v>2073.558</v>
      </c>
      <c r="AF1940" s="67">
        <f t="shared" si="33"/>
        <v>1745.49</v>
      </c>
      <c r="AG1940" s="67">
        <f t="shared" si="76"/>
        <v>279.2784</v>
      </c>
      <c r="AH1940" s="67">
        <f t="shared" si="77"/>
        <v>2024.7684</v>
      </c>
      <c r="AI1940" s="67">
        <f t="shared" si="17"/>
        <v>1682.4</v>
      </c>
      <c r="AJ1940" s="68">
        <f t="shared" si="78"/>
        <v>269.184</v>
      </c>
      <c r="AK1940" s="68">
        <f t="shared" si="79"/>
        <v>1951.584</v>
      </c>
      <c r="AL1940" s="70"/>
      <c r="AM1940" s="70"/>
      <c r="AN1940" s="71"/>
      <c r="AO1940" s="71"/>
      <c r="AP1940" s="71"/>
      <c r="AQ1940" s="71"/>
      <c r="AR1940" s="71"/>
      <c r="AS1940" s="71"/>
      <c r="AT1940" s="71"/>
      <c r="AU1940" s="71"/>
      <c r="AV1940" s="71"/>
      <c r="AW1940" s="71"/>
      <c r="AX1940" s="71"/>
      <c r="AY1940" s="71"/>
      <c r="AZ1940" s="71"/>
      <c r="BA1940" s="71"/>
      <c r="BB1940" s="71"/>
      <c r="BC1940" s="71"/>
      <c r="BD1940" s="71"/>
      <c r="BE1940" s="71"/>
      <c r="BF1940" s="71"/>
      <c r="BG1940" s="71"/>
      <c r="BH1940" s="71"/>
      <c r="BI1940" s="71"/>
      <c r="BJ1940" s="71"/>
      <c r="BK1940" s="71"/>
      <c r="BL1940" s="71"/>
      <c r="BM1940" s="71"/>
      <c r="BN1940" s="71"/>
      <c r="BO1940" s="71"/>
      <c r="BP1940" s="71"/>
      <c r="BQ1940" s="71"/>
      <c r="BR1940" s="71"/>
      <c r="BS1940" s="71"/>
      <c r="BT1940" s="71"/>
      <c r="BU1940" s="71"/>
      <c r="BV1940" s="71"/>
    </row>
    <row r="1941">
      <c r="A1941" s="53">
        <v>1.0</v>
      </c>
      <c r="B1941" s="53"/>
      <c r="C1941" s="73" t="s">
        <v>53</v>
      </c>
      <c r="D1941" s="53" t="s">
        <v>4748</v>
      </c>
      <c r="E1941" s="54" t="s">
        <v>38</v>
      </c>
      <c r="F1941" s="54" t="s">
        <v>42</v>
      </c>
      <c r="G1941" s="188" t="s">
        <v>4749</v>
      </c>
      <c r="H1941" s="188" t="s">
        <v>4749</v>
      </c>
      <c r="I1941" s="54">
        <f t="shared" si="24"/>
        <v>35</v>
      </c>
      <c r="J1941" s="56"/>
      <c r="K1941" s="57"/>
      <c r="L1941" s="76"/>
      <c r="M1941" s="59"/>
      <c r="N1941" s="60">
        <v>1198.0</v>
      </c>
      <c r="O1941" s="61">
        <v>1293.0</v>
      </c>
      <c r="P1941" s="62">
        <v>1799.0</v>
      </c>
      <c r="Q1941" s="63">
        <v>1799.0</v>
      </c>
      <c r="R1941" s="64">
        <v>2003.0</v>
      </c>
      <c r="S1941" s="111">
        <v>2103.0</v>
      </c>
      <c r="T1941" s="65">
        <f t="shared" si="80"/>
        <v>336.48</v>
      </c>
      <c r="U1941" s="65">
        <f t="shared" si="81"/>
        <v>2439.48</v>
      </c>
      <c r="V1941" s="66">
        <f t="shared" si="82"/>
        <v>0.04992511233</v>
      </c>
      <c r="W1941" s="67">
        <f t="shared" si="5"/>
        <v>1997.85</v>
      </c>
      <c r="X1941" s="67">
        <f t="shared" si="70"/>
        <v>319.656</v>
      </c>
      <c r="Y1941" s="67">
        <f t="shared" si="71"/>
        <v>2317.506</v>
      </c>
      <c r="Z1941" s="67">
        <f t="shared" si="8"/>
        <v>1892.7</v>
      </c>
      <c r="AA1941" s="67">
        <f t="shared" si="72"/>
        <v>302.832</v>
      </c>
      <c r="AB1941" s="67">
        <f t="shared" si="73"/>
        <v>2195.532</v>
      </c>
      <c r="AC1941" s="67">
        <f t="shared" si="11"/>
        <v>1787.55</v>
      </c>
      <c r="AD1941" s="67">
        <f t="shared" si="74"/>
        <v>286.008</v>
      </c>
      <c r="AE1941" s="67">
        <f t="shared" si="75"/>
        <v>2073.558</v>
      </c>
      <c r="AF1941" s="67">
        <f t="shared" si="33"/>
        <v>1745.49</v>
      </c>
      <c r="AG1941" s="67">
        <f t="shared" si="76"/>
        <v>279.2784</v>
      </c>
      <c r="AH1941" s="67">
        <f t="shared" si="77"/>
        <v>2024.7684</v>
      </c>
      <c r="AI1941" s="67">
        <f t="shared" si="17"/>
        <v>1682.4</v>
      </c>
      <c r="AJ1941" s="68">
        <f t="shared" si="78"/>
        <v>269.184</v>
      </c>
      <c r="AK1941" s="68">
        <f t="shared" si="79"/>
        <v>1951.584</v>
      </c>
      <c r="AL1941" s="70"/>
      <c r="AM1941" s="70"/>
      <c r="AN1941" s="71"/>
      <c r="AO1941" s="71"/>
      <c r="AP1941" s="71"/>
      <c r="AQ1941" s="71"/>
      <c r="AR1941" s="71"/>
      <c r="AS1941" s="71"/>
      <c r="AT1941" s="71"/>
      <c r="AU1941" s="71"/>
      <c r="AV1941" s="71"/>
      <c r="AW1941" s="71"/>
      <c r="AX1941" s="71"/>
      <c r="AY1941" s="71"/>
      <c r="AZ1941" s="71"/>
      <c r="BA1941" s="71"/>
      <c r="BB1941" s="71"/>
      <c r="BC1941" s="71"/>
      <c r="BD1941" s="71"/>
      <c r="BE1941" s="71"/>
      <c r="BF1941" s="71"/>
      <c r="BG1941" s="71"/>
      <c r="BH1941" s="71"/>
      <c r="BI1941" s="71"/>
      <c r="BJ1941" s="71"/>
      <c r="BK1941" s="71"/>
      <c r="BL1941" s="71"/>
      <c r="BM1941" s="71"/>
      <c r="BN1941" s="71"/>
      <c r="BO1941" s="71"/>
      <c r="BP1941" s="71"/>
      <c r="BQ1941" s="71"/>
      <c r="BR1941" s="71"/>
      <c r="BS1941" s="71"/>
      <c r="BT1941" s="71"/>
      <c r="BU1941" s="71"/>
      <c r="BV1941" s="71"/>
    </row>
    <row r="1942">
      <c r="A1942" s="53">
        <v>1.0</v>
      </c>
      <c r="B1942" s="53"/>
      <c r="C1942" s="73" t="s">
        <v>53</v>
      </c>
      <c r="D1942" s="53" t="s">
        <v>4750</v>
      </c>
      <c r="E1942" s="54" t="s">
        <v>38</v>
      </c>
      <c r="F1942" s="54" t="s">
        <v>42</v>
      </c>
      <c r="G1942" s="188" t="s">
        <v>4751</v>
      </c>
      <c r="H1942" s="188" t="s">
        <v>4751</v>
      </c>
      <c r="I1942" s="54">
        <f t="shared" si="24"/>
        <v>35</v>
      </c>
      <c r="J1942" s="56"/>
      <c r="K1942" s="57"/>
      <c r="L1942" s="76"/>
      <c r="M1942" s="59"/>
      <c r="N1942" s="60">
        <v>1198.0</v>
      </c>
      <c r="O1942" s="61">
        <v>1293.0</v>
      </c>
      <c r="P1942" s="62">
        <v>1799.0</v>
      </c>
      <c r="Q1942" s="63">
        <v>1799.0</v>
      </c>
      <c r="R1942" s="64">
        <v>2003.0</v>
      </c>
      <c r="S1942" s="111">
        <v>2103.0</v>
      </c>
      <c r="T1942" s="65">
        <f t="shared" si="80"/>
        <v>336.48</v>
      </c>
      <c r="U1942" s="65">
        <f t="shared" si="81"/>
        <v>2439.48</v>
      </c>
      <c r="V1942" s="66">
        <f t="shared" si="82"/>
        <v>0.04992511233</v>
      </c>
      <c r="W1942" s="67">
        <f t="shared" si="5"/>
        <v>1997.85</v>
      </c>
      <c r="X1942" s="67">
        <f t="shared" si="70"/>
        <v>319.656</v>
      </c>
      <c r="Y1942" s="67">
        <f t="shared" si="71"/>
        <v>2317.506</v>
      </c>
      <c r="Z1942" s="67">
        <f t="shared" si="8"/>
        <v>1892.7</v>
      </c>
      <c r="AA1942" s="67">
        <f t="shared" si="72"/>
        <v>302.832</v>
      </c>
      <c r="AB1942" s="67">
        <f t="shared" si="73"/>
        <v>2195.532</v>
      </c>
      <c r="AC1942" s="67">
        <f t="shared" si="11"/>
        <v>1787.55</v>
      </c>
      <c r="AD1942" s="67">
        <f t="shared" si="74"/>
        <v>286.008</v>
      </c>
      <c r="AE1942" s="67">
        <f t="shared" si="75"/>
        <v>2073.558</v>
      </c>
      <c r="AF1942" s="67">
        <f t="shared" si="33"/>
        <v>1745.49</v>
      </c>
      <c r="AG1942" s="67">
        <f t="shared" si="76"/>
        <v>279.2784</v>
      </c>
      <c r="AH1942" s="67">
        <f t="shared" si="77"/>
        <v>2024.7684</v>
      </c>
      <c r="AI1942" s="67">
        <f t="shared" si="17"/>
        <v>1682.4</v>
      </c>
      <c r="AJ1942" s="68">
        <f t="shared" si="78"/>
        <v>269.184</v>
      </c>
      <c r="AK1942" s="68">
        <f t="shared" si="79"/>
        <v>1951.584</v>
      </c>
      <c r="AL1942" s="70"/>
      <c r="AM1942" s="70"/>
      <c r="AN1942" s="71"/>
      <c r="AO1942" s="71"/>
      <c r="AP1942" s="71"/>
      <c r="AQ1942" s="71"/>
      <c r="AR1942" s="71"/>
      <c r="AS1942" s="71"/>
      <c r="AT1942" s="71"/>
      <c r="AU1942" s="71"/>
      <c r="AV1942" s="71"/>
      <c r="AW1942" s="71"/>
      <c r="AX1942" s="71"/>
      <c r="AY1942" s="71"/>
      <c r="AZ1942" s="71"/>
      <c r="BA1942" s="71"/>
      <c r="BB1942" s="71"/>
      <c r="BC1942" s="71"/>
      <c r="BD1942" s="71"/>
      <c r="BE1942" s="71"/>
      <c r="BF1942" s="71"/>
      <c r="BG1942" s="71"/>
      <c r="BH1942" s="71"/>
      <c r="BI1942" s="71"/>
      <c r="BJ1942" s="71"/>
      <c r="BK1942" s="71"/>
      <c r="BL1942" s="71"/>
      <c r="BM1942" s="71"/>
      <c r="BN1942" s="71"/>
      <c r="BO1942" s="71"/>
      <c r="BP1942" s="71"/>
      <c r="BQ1942" s="71"/>
      <c r="BR1942" s="71"/>
      <c r="BS1942" s="71"/>
      <c r="BT1942" s="71"/>
      <c r="BU1942" s="71"/>
      <c r="BV1942" s="71"/>
    </row>
    <row r="1943">
      <c r="A1943" s="53">
        <v>1.0</v>
      </c>
      <c r="B1943" s="53">
        <v>1.0</v>
      </c>
      <c r="C1943" s="73" t="s">
        <v>53</v>
      </c>
      <c r="D1943" s="53" t="s">
        <v>4752</v>
      </c>
      <c r="E1943" s="54" t="s">
        <v>38</v>
      </c>
      <c r="F1943" s="54" t="s">
        <v>42</v>
      </c>
      <c r="G1943" s="188" t="s">
        <v>4753</v>
      </c>
      <c r="H1943" s="188" t="s">
        <v>4753</v>
      </c>
      <c r="I1943" s="54">
        <f t="shared" si="24"/>
        <v>35</v>
      </c>
      <c r="J1943" s="56"/>
      <c r="K1943" s="57"/>
      <c r="L1943" s="76"/>
      <c r="M1943" s="59"/>
      <c r="N1943" s="60">
        <v>1198.0</v>
      </c>
      <c r="O1943" s="61">
        <v>1293.0</v>
      </c>
      <c r="P1943" s="62">
        <v>1799.0</v>
      </c>
      <c r="Q1943" s="63">
        <v>1799.0</v>
      </c>
      <c r="R1943" s="64">
        <v>2003.0</v>
      </c>
      <c r="S1943" s="111">
        <v>2103.0</v>
      </c>
      <c r="T1943" s="65">
        <f t="shared" si="80"/>
        <v>336.48</v>
      </c>
      <c r="U1943" s="65">
        <f t="shared" si="81"/>
        <v>2439.48</v>
      </c>
      <c r="V1943" s="66">
        <f t="shared" si="82"/>
        <v>0.04992511233</v>
      </c>
      <c r="W1943" s="67">
        <f t="shared" si="5"/>
        <v>1997.85</v>
      </c>
      <c r="X1943" s="67">
        <f t="shared" si="70"/>
        <v>319.656</v>
      </c>
      <c r="Y1943" s="67">
        <f t="shared" si="71"/>
        <v>2317.506</v>
      </c>
      <c r="Z1943" s="67">
        <f t="shared" si="8"/>
        <v>1892.7</v>
      </c>
      <c r="AA1943" s="67">
        <f t="shared" si="72"/>
        <v>302.832</v>
      </c>
      <c r="AB1943" s="67">
        <f t="shared" si="73"/>
        <v>2195.532</v>
      </c>
      <c r="AC1943" s="67">
        <f t="shared" si="11"/>
        <v>1787.55</v>
      </c>
      <c r="AD1943" s="67">
        <f t="shared" si="74"/>
        <v>286.008</v>
      </c>
      <c r="AE1943" s="67">
        <f t="shared" si="75"/>
        <v>2073.558</v>
      </c>
      <c r="AF1943" s="67">
        <f t="shared" si="33"/>
        <v>1745.49</v>
      </c>
      <c r="AG1943" s="67">
        <f t="shared" si="76"/>
        <v>279.2784</v>
      </c>
      <c r="AH1943" s="67">
        <f t="shared" si="77"/>
        <v>2024.7684</v>
      </c>
      <c r="AI1943" s="67">
        <f t="shared" si="17"/>
        <v>1682.4</v>
      </c>
      <c r="AJ1943" s="68">
        <f t="shared" si="78"/>
        <v>269.184</v>
      </c>
      <c r="AK1943" s="68">
        <f t="shared" si="79"/>
        <v>1951.584</v>
      </c>
      <c r="AL1943" s="70"/>
      <c r="AM1943" s="70"/>
      <c r="AN1943" s="71"/>
      <c r="AO1943" s="71"/>
      <c r="AP1943" s="71"/>
      <c r="AQ1943" s="71"/>
      <c r="AR1943" s="71"/>
      <c r="AS1943" s="71"/>
      <c r="AT1943" s="71"/>
      <c r="AU1943" s="71"/>
      <c r="AV1943" s="71"/>
      <c r="AW1943" s="71"/>
      <c r="AX1943" s="71"/>
      <c r="AY1943" s="71"/>
      <c r="AZ1943" s="71"/>
      <c r="BA1943" s="71"/>
      <c r="BB1943" s="71"/>
      <c r="BC1943" s="71"/>
      <c r="BD1943" s="71"/>
      <c r="BE1943" s="71"/>
      <c r="BF1943" s="71"/>
      <c r="BG1943" s="71"/>
      <c r="BH1943" s="71"/>
      <c r="BI1943" s="71"/>
      <c r="BJ1943" s="71"/>
      <c r="BK1943" s="71"/>
      <c r="BL1943" s="71"/>
      <c r="BM1943" s="71"/>
      <c r="BN1943" s="71"/>
      <c r="BO1943" s="71"/>
      <c r="BP1943" s="71"/>
      <c r="BQ1943" s="71"/>
      <c r="BR1943" s="71"/>
      <c r="BS1943" s="71"/>
      <c r="BT1943" s="71"/>
      <c r="BU1943" s="71"/>
      <c r="BV1943" s="71"/>
    </row>
    <row r="1944">
      <c r="A1944" s="53">
        <v>1.0</v>
      </c>
      <c r="B1944" s="53"/>
      <c r="C1944" s="73" t="s">
        <v>53</v>
      </c>
      <c r="D1944" s="53" t="s">
        <v>4754</v>
      </c>
      <c r="E1944" s="54" t="s">
        <v>38</v>
      </c>
      <c r="F1944" s="54" t="s">
        <v>42</v>
      </c>
      <c r="G1944" s="188" t="s">
        <v>4755</v>
      </c>
      <c r="H1944" s="188" t="s">
        <v>4755</v>
      </c>
      <c r="I1944" s="54">
        <f t="shared" si="24"/>
        <v>35</v>
      </c>
      <c r="J1944" s="56"/>
      <c r="K1944" s="57"/>
      <c r="L1944" s="76"/>
      <c r="M1944" s="59"/>
      <c r="N1944" s="60">
        <v>1198.0</v>
      </c>
      <c r="O1944" s="61">
        <v>1293.0</v>
      </c>
      <c r="P1944" s="62">
        <v>1799.0</v>
      </c>
      <c r="Q1944" s="63">
        <v>1799.0</v>
      </c>
      <c r="R1944" s="64">
        <v>2060.0</v>
      </c>
      <c r="S1944" s="111">
        <v>2163.0</v>
      </c>
      <c r="T1944" s="65">
        <f t="shared" si="80"/>
        <v>346.08</v>
      </c>
      <c r="U1944" s="65">
        <f t="shared" si="81"/>
        <v>2509.08</v>
      </c>
      <c r="V1944" s="66">
        <f t="shared" si="82"/>
        <v>0.05</v>
      </c>
      <c r="W1944" s="67">
        <f t="shared" si="5"/>
        <v>2054.85</v>
      </c>
      <c r="X1944" s="67">
        <f t="shared" si="70"/>
        <v>328.776</v>
      </c>
      <c r="Y1944" s="67">
        <f t="shared" si="71"/>
        <v>2383.626</v>
      </c>
      <c r="Z1944" s="67">
        <f t="shared" si="8"/>
        <v>1946.7</v>
      </c>
      <c r="AA1944" s="67">
        <f t="shared" si="72"/>
        <v>311.472</v>
      </c>
      <c r="AB1944" s="67">
        <f t="shared" si="73"/>
        <v>2258.172</v>
      </c>
      <c r="AC1944" s="67">
        <f t="shared" si="11"/>
        <v>1838.55</v>
      </c>
      <c r="AD1944" s="67">
        <f t="shared" si="74"/>
        <v>294.168</v>
      </c>
      <c r="AE1944" s="67">
        <f t="shared" si="75"/>
        <v>2132.718</v>
      </c>
      <c r="AF1944" s="67">
        <f t="shared" si="33"/>
        <v>1795.29</v>
      </c>
      <c r="AG1944" s="67">
        <f t="shared" si="76"/>
        <v>287.2464</v>
      </c>
      <c r="AH1944" s="67">
        <f t="shared" si="77"/>
        <v>2082.5364</v>
      </c>
      <c r="AI1944" s="67">
        <f t="shared" si="17"/>
        <v>1730.4</v>
      </c>
      <c r="AJ1944" s="68">
        <f t="shared" si="78"/>
        <v>276.864</v>
      </c>
      <c r="AK1944" s="68">
        <f t="shared" si="79"/>
        <v>2007.264</v>
      </c>
      <c r="AL1944" s="70"/>
      <c r="AM1944" s="70"/>
      <c r="AN1944" s="71"/>
      <c r="AO1944" s="71"/>
      <c r="AP1944" s="71"/>
      <c r="AQ1944" s="71"/>
      <c r="AR1944" s="71"/>
      <c r="AS1944" s="71"/>
      <c r="AT1944" s="71"/>
      <c r="AU1944" s="71"/>
      <c r="AV1944" s="71"/>
      <c r="AW1944" s="71"/>
      <c r="AX1944" s="71"/>
      <c r="AY1944" s="71"/>
      <c r="AZ1944" s="71"/>
      <c r="BA1944" s="71"/>
      <c r="BB1944" s="71"/>
      <c r="BC1944" s="71"/>
      <c r="BD1944" s="71"/>
      <c r="BE1944" s="71"/>
      <c r="BF1944" s="71"/>
      <c r="BG1944" s="71"/>
      <c r="BH1944" s="71"/>
      <c r="BI1944" s="71"/>
      <c r="BJ1944" s="71"/>
      <c r="BK1944" s="71"/>
      <c r="BL1944" s="71"/>
      <c r="BM1944" s="71"/>
      <c r="BN1944" s="71"/>
      <c r="BO1944" s="71"/>
      <c r="BP1944" s="71"/>
      <c r="BQ1944" s="71"/>
      <c r="BR1944" s="71"/>
      <c r="BS1944" s="71"/>
      <c r="BT1944" s="71"/>
      <c r="BU1944" s="71"/>
      <c r="BV1944" s="71"/>
    </row>
    <row r="1945">
      <c r="A1945" s="53">
        <v>1.0</v>
      </c>
      <c r="B1945" s="53"/>
      <c r="C1945" s="73" t="s">
        <v>53</v>
      </c>
      <c r="D1945" s="53" t="s">
        <v>4756</v>
      </c>
      <c r="E1945" s="54" t="s">
        <v>38</v>
      </c>
      <c r="F1945" s="54" t="s">
        <v>42</v>
      </c>
      <c r="G1945" s="188" t="s">
        <v>4757</v>
      </c>
      <c r="H1945" s="188" t="s">
        <v>4757</v>
      </c>
      <c r="I1945" s="54">
        <f t="shared" si="24"/>
        <v>35</v>
      </c>
      <c r="J1945" s="56"/>
      <c r="K1945" s="57"/>
      <c r="L1945" s="76"/>
      <c r="M1945" s="59"/>
      <c r="N1945" s="60">
        <v>1198.0</v>
      </c>
      <c r="O1945" s="61">
        <v>1293.0</v>
      </c>
      <c r="P1945" s="62">
        <v>1799.0</v>
      </c>
      <c r="Q1945" s="63">
        <v>1799.0</v>
      </c>
      <c r="R1945" s="64">
        <v>2003.0</v>
      </c>
      <c r="S1945" s="111">
        <v>2103.0</v>
      </c>
      <c r="T1945" s="65">
        <f t="shared" si="80"/>
        <v>336.48</v>
      </c>
      <c r="U1945" s="65">
        <f t="shared" si="81"/>
        <v>2439.48</v>
      </c>
      <c r="V1945" s="66">
        <f t="shared" si="82"/>
        <v>0.04992511233</v>
      </c>
      <c r="W1945" s="67">
        <f t="shared" si="5"/>
        <v>1997.85</v>
      </c>
      <c r="X1945" s="67">
        <f t="shared" si="70"/>
        <v>319.656</v>
      </c>
      <c r="Y1945" s="67">
        <f t="shared" si="71"/>
        <v>2317.506</v>
      </c>
      <c r="Z1945" s="67">
        <f t="shared" si="8"/>
        <v>1892.7</v>
      </c>
      <c r="AA1945" s="67">
        <f t="shared" si="72"/>
        <v>302.832</v>
      </c>
      <c r="AB1945" s="67">
        <f t="shared" si="73"/>
        <v>2195.532</v>
      </c>
      <c r="AC1945" s="67">
        <f t="shared" si="11"/>
        <v>1787.55</v>
      </c>
      <c r="AD1945" s="67">
        <f t="shared" si="74"/>
        <v>286.008</v>
      </c>
      <c r="AE1945" s="67">
        <f t="shared" si="75"/>
        <v>2073.558</v>
      </c>
      <c r="AF1945" s="67">
        <f t="shared" si="33"/>
        <v>1745.49</v>
      </c>
      <c r="AG1945" s="67">
        <f t="shared" si="76"/>
        <v>279.2784</v>
      </c>
      <c r="AH1945" s="67">
        <f t="shared" si="77"/>
        <v>2024.7684</v>
      </c>
      <c r="AI1945" s="67">
        <f t="shared" si="17"/>
        <v>1682.4</v>
      </c>
      <c r="AJ1945" s="68">
        <f t="shared" si="78"/>
        <v>269.184</v>
      </c>
      <c r="AK1945" s="68">
        <f t="shared" si="79"/>
        <v>1951.584</v>
      </c>
      <c r="AL1945" s="70"/>
      <c r="AM1945" s="70"/>
      <c r="AN1945" s="71"/>
      <c r="AO1945" s="71"/>
      <c r="AP1945" s="71"/>
      <c r="AQ1945" s="71"/>
      <c r="AR1945" s="71"/>
      <c r="AS1945" s="71"/>
      <c r="AT1945" s="71"/>
      <c r="AU1945" s="71"/>
      <c r="AV1945" s="71"/>
      <c r="AW1945" s="71"/>
      <c r="AX1945" s="71"/>
      <c r="AY1945" s="71"/>
      <c r="AZ1945" s="71"/>
      <c r="BA1945" s="71"/>
      <c r="BB1945" s="71"/>
      <c r="BC1945" s="71"/>
      <c r="BD1945" s="71"/>
      <c r="BE1945" s="71"/>
      <c r="BF1945" s="71"/>
      <c r="BG1945" s="71"/>
      <c r="BH1945" s="71"/>
      <c r="BI1945" s="71"/>
      <c r="BJ1945" s="71"/>
      <c r="BK1945" s="71"/>
      <c r="BL1945" s="71"/>
      <c r="BM1945" s="71"/>
      <c r="BN1945" s="71"/>
      <c r="BO1945" s="71"/>
      <c r="BP1945" s="71"/>
      <c r="BQ1945" s="71"/>
      <c r="BR1945" s="71"/>
      <c r="BS1945" s="71"/>
      <c r="BT1945" s="71"/>
      <c r="BU1945" s="71"/>
      <c r="BV1945" s="71"/>
    </row>
    <row r="1946">
      <c r="A1946" s="53">
        <v>1.0</v>
      </c>
      <c r="B1946" s="53"/>
      <c r="C1946" s="73" t="s">
        <v>53</v>
      </c>
      <c r="D1946" s="53" t="s">
        <v>4758</v>
      </c>
      <c r="E1946" s="54" t="s">
        <v>38</v>
      </c>
      <c r="F1946" s="54" t="s">
        <v>42</v>
      </c>
      <c r="G1946" s="188" t="s">
        <v>4759</v>
      </c>
      <c r="H1946" s="188" t="s">
        <v>4760</v>
      </c>
      <c r="I1946" s="54">
        <f t="shared" si="24"/>
        <v>39</v>
      </c>
      <c r="J1946" s="56"/>
      <c r="K1946" s="57"/>
      <c r="L1946" s="76"/>
      <c r="M1946" s="59"/>
      <c r="N1946" s="60">
        <v>1198.0</v>
      </c>
      <c r="O1946" s="61">
        <v>1293.0</v>
      </c>
      <c r="P1946" s="62">
        <v>1799.0</v>
      </c>
      <c r="Q1946" s="63">
        <v>1799.0</v>
      </c>
      <c r="R1946" s="64">
        <v>2003.0</v>
      </c>
      <c r="S1946" s="111">
        <v>2103.0</v>
      </c>
      <c r="T1946" s="65">
        <f t="shared" si="80"/>
        <v>336.48</v>
      </c>
      <c r="U1946" s="65">
        <f t="shared" si="81"/>
        <v>2439.48</v>
      </c>
      <c r="V1946" s="66">
        <f t="shared" si="82"/>
        <v>0.04992511233</v>
      </c>
      <c r="W1946" s="67">
        <f t="shared" si="5"/>
        <v>1997.85</v>
      </c>
      <c r="X1946" s="67">
        <f t="shared" si="70"/>
        <v>319.656</v>
      </c>
      <c r="Y1946" s="67">
        <f t="shared" si="71"/>
        <v>2317.506</v>
      </c>
      <c r="Z1946" s="67">
        <f t="shared" si="8"/>
        <v>1892.7</v>
      </c>
      <c r="AA1946" s="67">
        <f t="shared" si="72"/>
        <v>302.832</v>
      </c>
      <c r="AB1946" s="67">
        <f t="shared" si="73"/>
        <v>2195.532</v>
      </c>
      <c r="AC1946" s="67">
        <f t="shared" si="11"/>
        <v>1787.55</v>
      </c>
      <c r="AD1946" s="67">
        <f t="shared" si="74"/>
        <v>286.008</v>
      </c>
      <c r="AE1946" s="67">
        <f t="shared" si="75"/>
        <v>2073.558</v>
      </c>
      <c r="AF1946" s="67">
        <f t="shared" si="33"/>
        <v>1745.49</v>
      </c>
      <c r="AG1946" s="67">
        <f t="shared" si="76"/>
        <v>279.2784</v>
      </c>
      <c r="AH1946" s="67">
        <f t="shared" si="77"/>
        <v>2024.7684</v>
      </c>
      <c r="AI1946" s="67">
        <f t="shared" si="17"/>
        <v>1682.4</v>
      </c>
      <c r="AJ1946" s="68">
        <f t="shared" si="78"/>
        <v>269.184</v>
      </c>
      <c r="AK1946" s="68">
        <f t="shared" si="79"/>
        <v>1951.584</v>
      </c>
      <c r="AL1946" s="70"/>
      <c r="AM1946" s="70"/>
      <c r="AN1946" s="71"/>
      <c r="AO1946" s="71"/>
      <c r="AP1946" s="71"/>
      <c r="AQ1946" s="71"/>
      <c r="AR1946" s="71"/>
      <c r="AS1946" s="71"/>
      <c r="AT1946" s="71"/>
      <c r="AU1946" s="71"/>
      <c r="AV1946" s="71"/>
      <c r="AW1946" s="71"/>
      <c r="AX1946" s="71"/>
      <c r="AY1946" s="71"/>
      <c r="AZ1946" s="71"/>
      <c r="BA1946" s="71"/>
      <c r="BB1946" s="71"/>
      <c r="BC1946" s="71"/>
      <c r="BD1946" s="71"/>
      <c r="BE1946" s="71"/>
      <c r="BF1946" s="71"/>
      <c r="BG1946" s="71"/>
      <c r="BH1946" s="71"/>
      <c r="BI1946" s="71"/>
      <c r="BJ1946" s="71"/>
      <c r="BK1946" s="71"/>
      <c r="BL1946" s="71"/>
      <c r="BM1946" s="71"/>
      <c r="BN1946" s="71"/>
      <c r="BO1946" s="71"/>
      <c r="BP1946" s="71"/>
      <c r="BQ1946" s="71"/>
      <c r="BR1946" s="71"/>
      <c r="BS1946" s="71"/>
      <c r="BT1946" s="71"/>
      <c r="BU1946" s="71"/>
      <c r="BV1946" s="71"/>
    </row>
    <row r="1947">
      <c r="A1947" s="53"/>
      <c r="B1947" s="53"/>
      <c r="C1947" s="73" t="s">
        <v>53</v>
      </c>
      <c r="D1947" s="53" t="s">
        <v>4761</v>
      </c>
      <c r="E1947" s="54" t="s">
        <v>38</v>
      </c>
      <c r="F1947" s="54" t="s">
        <v>42</v>
      </c>
      <c r="G1947" s="189" t="s">
        <v>4762</v>
      </c>
      <c r="H1947" s="189" t="s">
        <v>4763</v>
      </c>
      <c r="I1947" s="54">
        <f t="shared" si="24"/>
        <v>40</v>
      </c>
      <c r="J1947" s="56"/>
      <c r="K1947" s="57"/>
      <c r="L1947" s="76" t="s">
        <v>661</v>
      </c>
      <c r="M1947" s="59"/>
      <c r="N1947" s="60">
        <v>1722.0</v>
      </c>
      <c r="O1947" s="61">
        <v>1859.0</v>
      </c>
      <c r="P1947" s="62">
        <v>2007.72</v>
      </c>
      <c r="Q1947" s="63">
        <v>2007.72</v>
      </c>
      <c r="R1947" s="64">
        <v>2236.0</v>
      </c>
      <c r="S1947" s="111">
        <v>2348.0</v>
      </c>
      <c r="T1947" s="65">
        <f t="shared" si="80"/>
        <v>375.68</v>
      </c>
      <c r="U1947" s="65">
        <f t="shared" si="81"/>
        <v>2723.68</v>
      </c>
      <c r="V1947" s="66">
        <f t="shared" si="82"/>
        <v>0.05008944544</v>
      </c>
      <c r="W1947" s="67">
        <f t="shared" si="5"/>
        <v>2230.6</v>
      </c>
      <c r="X1947" s="67">
        <f t="shared" si="70"/>
        <v>356.896</v>
      </c>
      <c r="Y1947" s="67">
        <f t="shared" si="71"/>
        <v>2587.496</v>
      </c>
      <c r="Z1947" s="67">
        <f t="shared" si="8"/>
        <v>2113.2</v>
      </c>
      <c r="AA1947" s="67">
        <f t="shared" si="72"/>
        <v>338.112</v>
      </c>
      <c r="AB1947" s="67">
        <f t="shared" si="73"/>
        <v>2451.312</v>
      </c>
      <c r="AC1947" s="67">
        <f t="shared" si="11"/>
        <v>1995.8</v>
      </c>
      <c r="AD1947" s="67">
        <f t="shared" si="74"/>
        <v>319.328</v>
      </c>
      <c r="AE1947" s="67">
        <f t="shared" si="75"/>
        <v>2315.128</v>
      </c>
      <c r="AF1947" s="67">
        <f t="shared" si="33"/>
        <v>1948.84</v>
      </c>
      <c r="AG1947" s="67">
        <f t="shared" si="76"/>
        <v>311.8144</v>
      </c>
      <c r="AH1947" s="67">
        <f t="shared" si="77"/>
        <v>2260.6544</v>
      </c>
      <c r="AI1947" s="67">
        <f t="shared" si="17"/>
        <v>1878.4</v>
      </c>
      <c r="AJ1947" s="68">
        <f t="shared" si="78"/>
        <v>300.544</v>
      </c>
      <c r="AK1947" s="68">
        <f t="shared" si="79"/>
        <v>2178.944</v>
      </c>
      <c r="AL1947" s="70"/>
      <c r="AM1947" s="70"/>
      <c r="AN1947" s="71"/>
      <c r="AO1947" s="71"/>
      <c r="AP1947" s="71"/>
      <c r="AQ1947" s="71"/>
      <c r="AR1947" s="71"/>
      <c r="AS1947" s="71"/>
      <c r="AT1947" s="71"/>
      <c r="AU1947" s="71"/>
      <c r="AV1947" s="71"/>
      <c r="AW1947" s="71"/>
      <c r="AX1947" s="71"/>
      <c r="AY1947" s="71"/>
      <c r="AZ1947" s="71"/>
      <c r="BA1947" s="71"/>
      <c r="BB1947" s="71"/>
      <c r="BC1947" s="71"/>
      <c r="BD1947" s="71"/>
      <c r="BE1947" s="71"/>
      <c r="BF1947" s="71"/>
      <c r="BG1947" s="71"/>
      <c r="BH1947" s="71"/>
      <c r="BI1947" s="71"/>
      <c r="BJ1947" s="71"/>
      <c r="BK1947" s="71"/>
      <c r="BL1947" s="71"/>
      <c r="BM1947" s="71"/>
      <c r="BN1947" s="71"/>
      <c r="BO1947" s="71"/>
      <c r="BP1947" s="71"/>
      <c r="BQ1947" s="71"/>
      <c r="BR1947" s="71"/>
      <c r="BS1947" s="71"/>
      <c r="BT1947" s="71"/>
      <c r="BU1947" s="71"/>
      <c r="BV1947" s="71"/>
    </row>
    <row r="1948">
      <c r="A1948" s="53">
        <v>1.0</v>
      </c>
      <c r="B1948" s="53"/>
      <c r="C1948" s="73" t="s">
        <v>53</v>
      </c>
      <c r="D1948" s="53" t="s">
        <v>4764</v>
      </c>
      <c r="E1948" s="54" t="s">
        <v>38</v>
      </c>
      <c r="F1948" s="54" t="s">
        <v>42</v>
      </c>
      <c r="G1948" s="189" t="s">
        <v>4765</v>
      </c>
      <c r="H1948" s="189" t="s">
        <v>4766</v>
      </c>
      <c r="I1948" s="54">
        <f t="shared" si="24"/>
        <v>39</v>
      </c>
      <c r="J1948" s="56"/>
      <c r="K1948" s="57"/>
      <c r="L1948" s="76"/>
      <c r="M1948" s="59"/>
      <c r="N1948" s="60">
        <v>1198.0</v>
      </c>
      <c r="O1948" s="61">
        <v>1293.0</v>
      </c>
      <c r="P1948" s="62">
        <v>1799.0</v>
      </c>
      <c r="Q1948" s="63">
        <v>1799.0</v>
      </c>
      <c r="R1948" s="64">
        <v>2003.0</v>
      </c>
      <c r="S1948" s="111">
        <v>2103.0</v>
      </c>
      <c r="T1948" s="65">
        <f t="shared" si="80"/>
        <v>336.48</v>
      </c>
      <c r="U1948" s="65">
        <f t="shared" si="81"/>
        <v>2439.48</v>
      </c>
      <c r="V1948" s="66">
        <f t="shared" si="82"/>
        <v>0.04992511233</v>
      </c>
      <c r="W1948" s="67">
        <f t="shared" si="5"/>
        <v>1997.85</v>
      </c>
      <c r="X1948" s="67">
        <f t="shared" si="70"/>
        <v>319.656</v>
      </c>
      <c r="Y1948" s="67">
        <f t="shared" si="71"/>
        <v>2317.506</v>
      </c>
      <c r="Z1948" s="67">
        <f t="shared" si="8"/>
        <v>1892.7</v>
      </c>
      <c r="AA1948" s="67">
        <f t="shared" si="72"/>
        <v>302.832</v>
      </c>
      <c r="AB1948" s="67">
        <f t="shared" si="73"/>
        <v>2195.532</v>
      </c>
      <c r="AC1948" s="67">
        <f t="shared" si="11"/>
        <v>1787.55</v>
      </c>
      <c r="AD1948" s="67">
        <f t="shared" si="74"/>
        <v>286.008</v>
      </c>
      <c r="AE1948" s="67">
        <f t="shared" si="75"/>
        <v>2073.558</v>
      </c>
      <c r="AF1948" s="67">
        <f t="shared" si="33"/>
        <v>1745.49</v>
      </c>
      <c r="AG1948" s="67">
        <f t="shared" si="76"/>
        <v>279.2784</v>
      </c>
      <c r="AH1948" s="67">
        <f t="shared" si="77"/>
        <v>2024.7684</v>
      </c>
      <c r="AI1948" s="67">
        <f t="shared" si="17"/>
        <v>1682.4</v>
      </c>
      <c r="AJ1948" s="68">
        <f t="shared" si="78"/>
        <v>269.184</v>
      </c>
      <c r="AK1948" s="68">
        <f t="shared" si="79"/>
        <v>1951.584</v>
      </c>
      <c r="AL1948" s="70"/>
      <c r="AM1948" s="70"/>
      <c r="AN1948" s="71"/>
      <c r="AO1948" s="71"/>
      <c r="AP1948" s="71"/>
      <c r="AQ1948" s="71"/>
      <c r="AR1948" s="71"/>
      <c r="AS1948" s="71"/>
      <c r="AT1948" s="71"/>
      <c r="AU1948" s="71"/>
      <c r="AV1948" s="71"/>
      <c r="AW1948" s="71"/>
      <c r="AX1948" s="71"/>
      <c r="AY1948" s="71"/>
      <c r="AZ1948" s="71"/>
      <c r="BA1948" s="71"/>
      <c r="BB1948" s="71"/>
      <c r="BC1948" s="71"/>
      <c r="BD1948" s="71"/>
      <c r="BE1948" s="71"/>
      <c r="BF1948" s="71"/>
      <c r="BG1948" s="71"/>
      <c r="BH1948" s="71"/>
      <c r="BI1948" s="71"/>
      <c r="BJ1948" s="71"/>
      <c r="BK1948" s="71"/>
      <c r="BL1948" s="71"/>
      <c r="BM1948" s="71"/>
      <c r="BN1948" s="71"/>
      <c r="BO1948" s="71"/>
      <c r="BP1948" s="71"/>
      <c r="BQ1948" s="71"/>
      <c r="BR1948" s="71"/>
      <c r="BS1948" s="71"/>
      <c r="BT1948" s="71"/>
      <c r="BU1948" s="71"/>
      <c r="BV1948" s="71"/>
    </row>
    <row r="1949">
      <c r="A1949" s="53"/>
      <c r="B1949" s="53"/>
      <c r="C1949" s="73" t="s">
        <v>53</v>
      </c>
      <c r="D1949" s="53" t="s">
        <v>4767</v>
      </c>
      <c r="E1949" s="54" t="s">
        <v>38</v>
      </c>
      <c r="F1949" s="54" t="s">
        <v>42</v>
      </c>
      <c r="G1949" s="189" t="s">
        <v>4768</v>
      </c>
      <c r="H1949" s="189" t="s">
        <v>4769</v>
      </c>
      <c r="I1949" s="54">
        <f t="shared" si="24"/>
        <v>40</v>
      </c>
      <c r="J1949" s="56"/>
      <c r="K1949" s="57"/>
      <c r="L1949" s="76" t="s">
        <v>661</v>
      </c>
      <c r="M1949" s="59"/>
      <c r="N1949" s="60">
        <v>1722.0</v>
      </c>
      <c r="O1949" s="61">
        <v>1859.0</v>
      </c>
      <c r="P1949" s="62">
        <v>2007.72</v>
      </c>
      <c r="Q1949" s="63">
        <v>2007.72</v>
      </c>
      <c r="R1949" s="64">
        <v>2236.0</v>
      </c>
      <c r="S1949" s="111">
        <v>2348.0</v>
      </c>
      <c r="T1949" s="65">
        <f t="shared" si="80"/>
        <v>375.68</v>
      </c>
      <c r="U1949" s="65">
        <f t="shared" si="81"/>
        <v>2723.68</v>
      </c>
      <c r="V1949" s="66">
        <f t="shared" si="82"/>
        <v>0.05008944544</v>
      </c>
      <c r="W1949" s="67">
        <f t="shared" si="5"/>
        <v>2230.6</v>
      </c>
      <c r="X1949" s="67">
        <f t="shared" si="70"/>
        <v>356.896</v>
      </c>
      <c r="Y1949" s="67">
        <f t="shared" si="71"/>
        <v>2587.496</v>
      </c>
      <c r="Z1949" s="67">
        <f t="shared" si="8"/>
        <v>2113.2</v>
      </c>
      <c r="AA1949" s="67">
        <f t="shared" si="72"/>
        <v>338.112</v>
      </c>
      <c r="AB1949" s="67">
        <f t="shared" si="73"/>
        <v>2451.312</v>
      </c>
      <c r="AC1949" s="67">
        <f t="shared" si="11"/>
        <v>1995.8</v>
      </c>
      <c r="AD1949" s="67">
        <f t="shared" si="74"/>
        <v>319.328</v>
      </c>
      <c r="AE1949" s="67">
        <f t="shared" si="75"/>
        <v>2315.128</v>
      </c>
      <c r="AF1949" s="67">
        <f t="shared" si="33"/>
        <v>1948.84</v>
      </c>
      <c r="AG1949" s="67">
        <f t="shared" si="76"/>
        <v>311.8144</v>
      </c>
      <c r="AH1949" s="67">
        <f t="shared" si="77"/>
        <v>2260.6544</v>
      </c>
      <c r="AI1949" s="67">
        <f t="shared" si="17"/>
        <v>1878.4</v>
      </c>
      <c r="AJ1949" s="68">
        <f t="shared" si="78"/>
        <v>300.544</v>
      </c>
      <c r="AK1949" s="68">
        <f t="shared" si="79"/>
        <v>2178.944</v>
      </c>
      <c r="AL1949" s="70"/>
      <c r="AM1949" s="70"/>
      <c r="AN1949" s="71"/>
      <c r="AO1949" s="71"/>
      <c r="AP1949" s="71"/>
      <c r="AQ1949" s="71"/>
      <c r="AR1949" s="71"/>
      <c r="AS1949" s="71"/>
      <c r="AT1949" s="71"/>
      <c r="AU1949" s="71"/>
      <c r="AV1949" s="71"/>
      <c r="AW1949" s="71"/>
      <c r="AX1949" s="71"/>
      <c r="AY1949" s="71"/>
      <c r="AZ1949" s="71"/>
      <c r="BA1949" s="71"/>
      <c r="BB1949" s="71"/>
      <c r="BC1949" s="71"/>
      <c r="BD1949" s="71"/>
      <c r="BE1949" s="71"/>
      <c r="BF1949" s="71"/>
      <c r="BG1949" s="71"/>
      <c r="BH1949" s="71"/>
      <c r="BI1949" s="71"/>
      <c r="BJ1949" s="71"/>
      <c r="BK1949" s="71"/>
      <c r="BL1949" s="71"/>
      <c r="BM1949" s="71"/>
      <c r="BN1949" s="71"/>
      <c r="BO1949" s="71"/>
      <c r="BP1949" s="71"/>
      <c r="BQ1949" s="71"/>
      <c r="BR1949" s="71"/>
      <c r="BS1949" s="71"/>
      <c r="BT1949" s="71"/>
      <c r="BU1949" s="71"/>
      <c r="BV1949" s="71"/>
    </row>
    <row r="1950">
      <c r="A1950" s="53">
        <v>1.0</v>
      </c>
      <c r="B1950" s="53"/>
      <c r="C1950" s="73" t="s">
        <v>53</v>
      </c>
      <c r="D1950" s="53" t="s">
        <v>4770</v>
      </c>
      <c r="E1950" s="54" t="s">
        <v>38</v>
      </c>
      <c r="F1950" s="54" t="s">
        <v>42</v>
      </c>
      <c r="G1950" s="189" t="s">
        <v>4771</v>
      </c>
      <c r="H1950" s="189" t="s">
        <v>4771</v>
      </c>
      <c r="I1950" s="54">
        <f t="shared" si="24"/>
        <v>35</v>
      </c>
      <c r="J1950" s="56"/>
      <c r="K1950" s="57"/>
      <c r="L1950" s="76"/>
      <c r="M1950" s="59"/>
      <c r="N1950" s="60">
        <v>1198.0</v>
      </c>
      <c r="O1950" s="61">
        <v>1293.0</v>
      </c>
      <c r="P1950" s="62">
        <v>1799.0</v>
      </c>
      <c r="Q1950" s="63">
        <v>1799.0</v>
      </c>
      <c r="R1950" s="64">
        <v>2003.0</v>
      </c>
      <c r="S1950" s="111">
        <v>2103.0</v>
      </c>
      <c r="T1950" s="65">
        <f t="shared" si="80"/>
        <v>336.48</v>
      </c>
      <c r="U1950" s="65">
        <f t="shared" si="81"/>
        <v>2439.48</v>
      </c>
      <c r="V1950" s="66">
        <f t="shared" si="82"/>
        <v>0.04992511233</v>
      </c>
      <c r="W1950" s="67">
        <f t="shared" si="5"/>
        <v>1997.85</v>
      </c>
      <c r="X1950" s="67">
        <f t="shared" si="70"/>
        <v>319.656</v>
      </c>
      <c r="Y1950" s="67">
        <f t="shared" si="71"/>
        <v>2317.506</v>
      </c>
      <c r="Z1950" s="67">
        <f t="shared" si="8"/>
        <v>1892.7</v>
      </c>
      <c r="AA1950" s="67">
        <f t="shared" si="72"/>
        <v>302.832</v>
      </c>
      <c r="AB1950" s="67">
        <f t="shared" si="73"/>
        <v>2195.532</v>
      </c>
      <c r="AC1950" s="67">
        <f t="shared" si="11"/>
        <v>1787.55</v>
      </c>
      <c r="AD1950" s="67">
        <f t="shared" si="74"/>
        <v>286.008</v>
      </c>
      <c r="AE1950" s="67">
        <f t="shared" si="75"/>
        <v>2073.558</v>
      </c>
      <c r="AF1950" s="67">
        <f t="shared" si="33"/>
        <v>1745.49</v>
      </c>
      <c r="AG1950" s="67">
        <f t="shared" si="76"/>
        <v>279.2784</v>
      </c>
      <c r="AH1950" s="67">
        <f t="shared" si="77"/>
        <v>2024.7684</v>
      </c>
      <c r="AI1950" s="67">
        <f t="shared" si="17"/>
        <v>1682.4</v>
      </c>
      <c r="AJ1950" s="68">
        <f t="shared" si="78"/>
        <v>269.184</v>
      </c>
      <c r="AK1950" s="68">
        <f t="shared" si="79"/>
        <v>1951.584</v>
      </c>
      <c r="AL1950" s="70"/>
      <c r="AM1950" s="70"/>
      <c r="AN1950" s="71"/>
      <c r="AO1950" s="71"/>
      <c r="AP1950" s="71"/>
      <c r="AQ1950" s="71"/>
      <c r="AR1950" s="71"/>
      <c r="AS1950" s="71"/>
      <c r="AT1950" s="71"/>
      <c r="AU1950" s="71"/>
      <c r="AV1950" s="71"/>
      <c r="AW1950" s="71"/>
      <c r="AX1950" s="71"/>
      <c r="AY1950" s="71"/>
      <c r="AZ1950" s="71"/>
      <c r="BA1950" s="71"/>
      <c r="BB1950" s="71"/>
      <c r="BC1950" s="71"/>
      <c r="BD1950" s="71"/>
      <c r="BE1950" s="71"/>
      <c r="BF1950" s="71"/>
      <c r="BG1950" s="71"/>
      <c r="BH1950" s="71"/>
      <c r="BI1950" s="71"/>
      <c r="BJ1950" s="71"/>
      <c r="BK1950" s="71"/>
      <c r="BL1950" s="71"/>
      <c r="BM1950" s="71"/>
      <c r="BN1950" s="71"/>
      <c r="BO1950" s="71"/>
      <c r="BP1950" s="71"/>
      <c r="BQ1950" s="71"/>
      <c r="BR1950" s="71"/>
      <c r="BS1950" s="71"/>
      <c r="BT1950" s="71"/>
      <c r="BU1950" s="71"/>
      <c r="BV1950" s="71"/>
    </row>
    <row r="1951">
      <c r="A1951" s="53">
        <v>1.0</v>
      </c>
      <c r="B1951" s="53"/>
      <c r="C1951" s="73" t="s">
        <v>53</v>
      </c>
      <c r="D1951" s="53" t="s">
        <v>4772</v>
      </c>
      <c r="E1951" s="54" t="s">
        <v>38</v>
      </c>
      <c r="F1951" s="54" t="s">
        <v>42</v>
      </c>
      <c r="G1951" s="189" t="s">
        <v>4773</v>
      </c>
      <c r="H1951" s="189" t="s">
        <v>4774</v>
      </c>
      <c r="I1951" s="54">
        <f t="shared" si="24"/>
        <v>40</v>
      </c>
      <c r="J1951" s="56"/>
      <c r="K1951" s="57"/>
      <c r="L1951" s="76"/>
      <c r="M1951" s="59"/>
      <c r="N1951" s="60">
        <v>1722.0</v>
      </c>
      <c r="O1951" s="61">
        <v>1859.0</v>
      </c>
      <c r="P1951" s="62">
        <v>2007.72</v>
      </c>
      <c r="Q1951" s="63">
        <v>2007.72</v>
      </c>
      <c r="R1951" s="64">
        <v>2236.0</v>
      </c>
      <c r="S1951" s="111">
        <v>2348.0</v>
      </c>
      <c r="T1951" s="65">
        <f t="shared" si="80"/>
        <v>375.68</v>
      </c>
      <c r="U1951" s="65">
        <f t="shared" si="81"/>
        <v>2723.68</v>
      </c>
      <c r="V1951" s="66">
        <f t="shared" si="82"/>
        <v>0.05008944544</v>
      </c>
      <c r="W1951" s="67">
        <f t="shared" si="5"/>
        <v>2230.6</v>
      </c>
      <c r="X1951" s="67">
        <f t="shared" si="70"/>
        <v>356.896</v>
      </c>
      <c r="Y1951" s="67">
        <f t="shared" si="71"/>
        <v>2587.496</v>
      </c>
      <c r="Z1951" s="67">
        <f t="shared" si="8"/>
        <v>2113.2</v>
      </c>
      <c r="AA1951" s="67">
        <f t="shared" si="72"/>
        <v>338.112</v>
      </c>
      <c r="AB1951" s="67">
        <f t="shared" si="73"/>
        <v>2451.312</v>
      </c>
      <c r="AC1951" s="67">
        <f t="shared" si="11"/>
        <v>1995.8</v>
      </c>
      <c r="AD1951" s="67">
        <f t="shared" si="74"/>
        <v>319.328</v>
      </c>
      <c r="AE1951" s="67">
        <f t="shared" si="75"/>
        <v>2315.128</v>
      </c>
      <c r="AF1951" s="67">
        <f t="shared" si="33"/>
        <v>1948.84</v>
      </c>
      <c r="AG1951" s="67">
        <f t="shared" si="76"/>
        <v>311.8144</v>
      </c>
      <c r="AH1951" s="67">
        <f t="shared" si="77"/>
        <v>2260.6544</v>
      </c>
      <c r="AI1951" s="67">
        <f t="shared" si="17"/>
        <v>1878.4</v>
      </c>
      <c r="AJ1951" s="68">
        <f t="shared" si="78"/>
        <v>300.544</v>
      </c>
      <c r="AK1951" s="68">
        <f t="shared" si="79"/>
        <v>2178.944</v>
      </c>
      <c r="AL1951" s="70"/>
      <c r="AM1951" s="70"/>
      <c r="AN1951" s="71"/>
      <c r="AO1951" s="71"/>
      <c r="AP1951" s="71"/>
      <c r="AQ1951" s="71"/>
      <c r="AR1951" s="71"/>
      <c r="AS1951" s="71"/>
      <c r="AT1951" s="71"/>
      <c r="AU1951" s="71"/>
      <c r="AV1951" s="71"/>
      <c r="AW1951" s="71"/>
      <c r="AX1951" s="71"/>
      <c r="AY1951" s="71"/>
      <c r="AZ1951" s="71"/>
      <c r="BA1951" s="71"/>
      <c r="BB1951" s="71"/>
      <c r="BC1951" s="71"/>
      <c r="BD1951" s="71"/>
      <c r="BE1951" s="71"/>
      <c r="BF1951" s="71"/>
      <c r="BG1951" s="71"/>
      <c r="BH1951" s="71"/>
      <c r="BI1951" s="71"/>
      <c r="BJ1951" s="71"/>
      <c r="BK1951" s="71"/>
      <c r="BL1951" s="71"/>
      <c r="BM1951" s="71"/>
      <c r="BN1951" s="71"/>
      <c r="BO1951" s="71"/>
      <c r="BP1951" s="71"/>
      <c r="BQ1951" s="71"/>
      <c r="BR1951" s="71"/>
      <c r="BS1951" s="71"/>
      <c r="BT1951" s="71"/>
      <c r="BU1951" s="71"/>
      <c r="BV1951" s="71"/>
    </row>
    <row r="1952">
      <c r="A1952" s="53">
        <v>1.0</v>
      </c>
      <c r="B1952" s="53"/>
      <c r="C1952" s="73" t="s">
        <v>53</v>
      </c>
      <c r="D1952" s="53" t="s">
        <v>4775</v>
      </c>
      <c r="E1952" s="54" t="s">
        <v>38</v>
      </c>
      <c r="F1952" s="54" t="s">
        <v>42</v>
      </c>
      <c r="G1952" s="189" t="s">
        <v>4776</v>
      </c>
      <c r="H1952" s="189" t="s">
        <v>4776</v>
      </c>
      <c r="I1952" s="54">
        <f t="shared" si="24"/>
        <v>35</v>
      </c>
      <c r="J1952" s="56"/>
      <c r="K1952" s="57"/>
      <c r="L1952" s="76"/>
      <c r="M1952" s="59"/>
      <c r="N1952" s="60">
        <v>1722.0</v>
      </c>
      <c r="O1952" s="61">
        <v>1859.0</v>
      </c>
      <c r="P1952" s="62">
        <v>2007.72</v>
      </c>
      <c r="Q1952" s="63">
        <v>2007.72</v>
      </c>
      <c r="R1952" s="64">
        <v>2236.0</v>
      </c>
      <c r="S1952" s="111">
        <v>2348.0</v>
      </c>
      <c r="T1952" s="65">
        <f t="shared" si="80"/>
        <v>375.68</v>
      </c>
      <c r="U1952" s="65">
        <f t="shared" si="81"/>
        <v>2723.68</v>
      </c>
      <c r="V1952" s="66">
        <f t="shared" si="82"/>
        <v>0.05008944544</v>
      </c>
      <c r="W1952" s="67">
        <f t="shared" si="5"/>
        <v>2230.6</v>
      </c>
      <c r="X1952" s="67">
        <f t="shared" si="70"/>
        <v>356.896</v>
      </c>
      <c r="Y1952" s="67">
        <f t="shared" si="71"/>
        <v>2587.496</v>
      </c>
      <c r="Z1952" s="67">
        <f t="shared" si="8"/>
        <v>2113.2</v>
      </c>
      <c r="AA1952" s="67">
        <f t="shared" si="72"/>
        <v>338.112</v>
      </c>
      <c r="AB1952" s="67">
        <f t="shared" si="73"/>
        <v>2451.312</v>
      </c>
      <c r="AC1952" s="67">
        <f t="shared" si="11"/>
        <v>1995.8</v>
      </c>
      <c r="AD1952" s="67">
        <f t="shared" si="74"/>
        <v>319.328</v>
      </c>
      <c r="AE1952" s="67">
        <f t="shared" si="75"/>
        <v>2315.128</v>
      </c>
      <c r="AF1952" s="67">
        <f t="shared" si="33"/>
        <v>1948.84</v>
      </c>
      <c r="AG1952" s="67">
        <f t="shared" si="76"/>
        <v>311.8144</v>
      </c>
      <c r="AH1952" s="67">
        <f t="shared" si="77"/>
        <v>2260.6544</v>
      </c>
      <c r="AI1952" s="67">
        <f t="shared" si="17"/>
        <v>1878.4</v>
      </c>
      <c r="AJ1952" s="68">
        <f t="shared" si="78"/>
        <v>300.544</v>
      </c>
      <c r="AK1952" s="68">
        <f t="shared" si="79"/>
        <v>2178.944</v>
      </c>
      <c r="AL1952" s="70"/>
      <c r="AM1952" s="70"/>
      <c r="AN1952" s="71"/>
      <c r="AO1952" s="71"/>
      <c r="AP1952" s="71"/>
      <c r="AQ1952" s="71"/>
      <c r="AR1952" s="71"/>
      <c r="AS1952" s="71"/>
      <c r="AT1952" s="71"/>
      <c r="AU1952" s="71"/>
      <c r="AV1952" s="71"/>
      <c r="AW1952" s="71"/>
      <c r="AX1952" s="71"/>
      <c r="AY1952" s="71"/>
      <c r="AZ1952" s="71"/>
      <c r="BA1952" s="71"/>
      <c r="BB1952" s="71"/>
      <c r="BC1952" s="71"/>
      <c r="BD1952" s="71"/>
      <c r="BE1952" s="71"/>
      <c r="BF1952" s="71"/>
      <c r="BG1952" s="71"/>
      <c r="BH1952" s="71"/>
      <c r="BI1952" s="71"/>
      <c r="BJ1952" s="71"/>
      <c r="BK1952" s="71"/>
      <c r="BL1952" s="71"/>
      <c r="BM1952" s="71"/>
      <c r="BN1952" s="71"/>
      <c r="BO1952" s="71"/>
      <c r="BP1952" s="71"/>
      <c r="BQ1952" s="71"/>
      <c r="BR1952" s="71"/>
      <c r="BS1952" s="71"/>
      <c r="BT1952" s="71"/>
      <c r="BU1952" s="71"/>
      <c r="BV1952" s="71"/>
    </row>
    <row r="1953">
      <c r="A1953" s="53">
        <v>1.0</v>
      </c>
      <c r="B1953" s="53"/>
      <c r="C1953" s="73" t="s">
        <v>53</v>
      </c>
      <c r="D1953" s="53" t="s">
        <v>4777</v>
      </c>
      <c r="E1953" s="54" t="s">
        <v>38</v>
      </c>
      <c r="F1953" s="54" t="s">
        <v>42</v>
      </c>
      <c r="G1953" s="189" t="s">
        <v>4778</v>
      </c>
      <c r="H1953" s="189" t="s">
        <v>4778</v>
      </c>
      <c r="I1953" s="54">
        <f t="shared" si="24"/>
        <v>35</v>
      </c>
      <c r="J1953" s="56"/>
      <c r="K1953" s="57"/>
      <c r="L1953" s="76"/>
      <c r="M1953" s="59"/>
      <c r="N1953" s="60">
        <v>1722.0</v>
      </c>
      <c r="O1953" s="61">
        <v>1859.0</v>
      </c>
      <c r="P1953" s="62">
        <v>2007.72</v>
      </c>
      <c r="Q1953" s="63">
        <v>2007.72</v>
      </c>
      <c r="R1953" s="64">
        <v>2236.0</v>
      </c>
      <c r="S1953" s="111">
        <v>2348.0</v>
      </c>
      <c r="T1953" s="65">
        <f t="shared" si="80"/>
        <v>375.68</v>
      </c>
      <c r="U1953" s="65">
        <f t="shared" si="81"/>
        <v>2723.68</v>
      </c>
      <c r="V1953" s="66">
        <f t="shared" si="82"/>
        <v>0.05008944544</v>
      </c>
      <c r="W1953" s="67">
        <f t="shared" si="5"/>
        <v>2230.6</v>
      </c>
      <c r="X1953" s="67">
        <f t="shared" si="70"/>
        <v>356.896</v>
      </c>
      <c r="Y1953" s="67">
        <f t="shared" si="71"/>
        <v>2587.496</v>
      </c>
      <c r="Z1953" s="67">
        <f t="shared" si="8"/>
        <v>2113.2</v>
      </c>
      <c r="AA1953" s="67">
        <f t="shared" si="72"/>
        <v>338.112</v>
      </c>
      <c r="AB1953" s="67">
        <f t="shared" si="73"/>
        <v>2451.312</v>
      </c>
      <c r="AC1953" s="67">
        <f t="shared" si="11"/>
        <v>1995.8</v>
      </c>
      <c r="AD1953" s="67">
        <f t="shared" si="74"/>
        <v>319.328</v>
      </c>
      <c r="AE1953" s="67">
        <f t="shared" si="75"/>
        <v>2315.128</v>
      </c>
      <c r="AF1953" s="67">
        <f t="shared" si="33"/>
        <v>1948.84</v>
      </c>
      <c r="AG1953" s="67">
        <f t="shared" si="76"/>
        <v>311.8144</v>
      </c>
      <c r="AH1953" s="67">
        <f t="shared" si="77"/>
        <v>2260.6544</v>
      </c>
      <c r="AI1953" s="67">
        <f t="shared" si="17"/>
        <v>1878.4</v>
      </c>
      <c r="AJ1953" s="68">
        <f t="shared" si="78"/>
        <v>300.544</v>
      </c>
      <c r="AK1953" s="68">
        <f t="shared" si="79"/>
        <v>2178.944</v>
      </c>
      <c r="AL1953" s="70"/>
      <c r="AM1953" s="70"/>
      <c r="AN1953" s="71"/>
      <c r="AO1953" s="71"/>
      <c r="AP1953" s="71"/>
      <c r="AQ1953" s="71"/>
      <c r="AR1953" s="71"/>
      <c r="AS1953" s="71"/>
      <c r="AT1953" s="71"/>
      <c r="AU1953" s="71"/>
      <c r="AV1953" s="71"/>
      <c r="AW1953" s="71"/>
      <c r="AX1953" s="71"/>
      <c r="AY1953" s="71"/>
      <c r="AZ1953" s="71"/>
      <c r="BA1953" s="71"/>
      <c r="BB1953" s="71"/>
      <c r="BC1953" s="71"/>
      <c r="BD1953" s="71"/>
      <c r="BE1953" s="71"/>
      <c r="BF1953" s="71"/>
      <c r="BG1953" s="71"/>
      <c r="BH1953" s="71"/>
      <c r="BI1953" s="71"/>
      <c r="BJ1953" s="71"/>
      <c r="BK1953" s="71"/>
      <c r="BL1953" s="71"/>
      <c r="BM1953" s="71"/>
      <c r="BN1953" s="71"/>
      <c r="BO1953" s="71"/>
      <c r="BP1953" s="71"/>
      <c r="BQ1953" s="71"/>
      <c r="BR1953" s="71"/>
      <c r="BS1953" s="71"/>
      <c r="BT1953" s="71"/>
      <c r="BU1953" s="71"/>
      <c r="BV1953" s="71"/>
    </row>
    <row r="1954">
      <c r="A1954" s="53">
        <v>1.0</v>
      </c>
      <c r="B1954" s="53"/>
      <c r="C1954" s="73" t="s">
        <v>53</v>
      </c>
      <c r="D1954" s="53" t="s">
        <v>4779</v>
      </c>
      <c r="E1954" s="54" t="s">
        <v>38</v>
      </c>
      <c r="F1954" s="54" t="s">
        <v>42</v>
      </c>
      <c r="G1954" s="189" t="s">
        <v>4780</v>
      </c>
      <c r="H1954" s="189" t="s">
        <v>4781</v>
      </c>
      <c r="I1954" s="54">
        <f t="shared" si="24"/>
        <v>40</v>
      </c>
      <c r="J1954" s="56"/>
      <c r="K1954" s="57"/>
      <c r="L1954" s="77"/>
      <c r="M1954" s="59"/>
      <c r="N1954" s="60">
        <v>1722.0</v>
      </c>
      <c r="O1954" s="61">
        <v>1859.0</v>
      </c>
      <c r="P1954" s="62">
        <v>2007.72</v>
      </c>
      <c r="Q1954" s="63">
        <v>2007.72</v>
      </c>
      <c r="R1954" s="64">
        <v>2236.0</v>
      </c>
      <c r="S1954" s="111">
        <v>2348.0</v>
      </c>
      <c r="T1954" s="65">
        <f t="shared" si="80"/>
        <v>375.68</v>
      </c>
      <c r="U1954" s="65">
        <f t="shared" si="81"/>
        <v>2723.68</v>
      </c>
      <c r="V1954" s="66">
        <f t="shared" si="82"/>
        <v>0.05008944544</v>
      </c>
      <c r="W1954" s="67">
        <f t="shared" si="5"/>
        <v>2230.6</v>
      </c>
      <c r="X1954" s="67">
        <f t="shared" si="70"/>
        <v>356.896</v>
      </c>
      <c r="Y1954" s="67">
        <f t="shared" si="71"/>
        <v>2587.496</v>
      </c>
      <c r="Z1954" s="67">
        <f t="shared" si="8"/>
        <v>2113.2</v>
      </c>
      <c r="AA1954" s="67">
        <f t="shared" si="72"/>
        <v>338.112</v>
      </c>
      <c r="AB1954" s="67">
        <f t="shared" si="73"/>
        <v>2451.312</v>
      </c>
      <c r="AC1954" s="67">
        <f t="shared" si="11"/>
        <v>1995.8</v>
      </c>
      <c r="AD1954" s="67">
        <f t="shared" si="74"/>
        <v>319.328</v>
      </c>
      <c r="AE1954" s="67">
        <f t="shared" si="75"/>
        <v>2315.128</v>
      </c>
      <c r="AF1954" s="67">
        <f t="shared" si="33"/>
        <v>1948.84</v>
      </c>
      <c r="AG1954" s="67">
        <f t="shared" si="76"/>
        <v>311.8144</v>
      </c>
      <c r="AH1954" s="67">
        <f t="shared" si="77"/>
        <v>2260.6544</v>
      </c>
      <c r="AI1954" s="67">
        <f t="shared" si="17"/>
        <v>1878.4</v>
      </c>
      <c r="AJ1954" s="68">
        <f t="shared" si="78"/>
        <v>300.544</v>
      </c>
      <c r="AK1954" s="68">
        <f t="shared" si="79"/>
        <v>2178.944</v>
      </c>
      <c r="AL1954" s="70"/>
      <c r="AM1954" s="70"/>
      <c r="AN1954" s="71"/>
      <c r="AO1954" s="71"/>
      <c r="AP1954" s="71"/>
      <c r="AQ1954" s="71"/>
      <c r="AR1954" s="71"/>
      <c r="AS1954" s="71"/>
      <c r="AT1954" s="71"/>
      <c r="AU1954" s="71"/>
      <c r="AV1954" s="71"/>
      <c r="AW1954" s="71"/>
      <c r="AX1954" s="71"/>
      <c r="AY1954" s="71"/>
      <c r="AZ1954" s="71"/>
      <c r="BA1954" s="71"/>
      <c r="BB1954" s="71"/>
      <c r="BC1954" s="71"/>
      <c r="BD1954" s="71"/>
      <c r="BE1954" s="71"/>
      <c r="BF1954" s="71"/>
      <c r="BG1954" s="71"/>
      <c r="BH1954" s="71"/>
      <c r="BI1954" s="71"/>
      <c r="BJ1954" s="71"/>
      <c r="BK1954" s="71"/>
      <c r="BL1954" s="71"/>
      <c r="BM1954" s="71"/>
      <c r="BN1954" s="71"/>
      <c r="BO1954" s="71"/>
      <c r="BP1954" s="71"/>
      <c r="BQ1954" s="71"/>
      <c r="BR1954" s="71"/>
      <c r="BS1954" s="71"/>
      <c r="BT1954" s="71"/>
      <c r="BU1954" s="71"/>
      <c r="BV1954" s="71"/>
    </row>
    <row r="1955">
      <c r="A1955" s="53"/>
      <c r="B1955" s="53">
        <v>0.0</v>
      </c>
      <c r="C1955" s="73" t="s">
        <v>53</v>
      </c>
      <c r="D1955" s="74" t="s">
        <v>4782</v>
      </c>
      <c r="E1955" s="54" t="s">
        <v>38</v>
      </c>
      <c r="F1955" s="54" t="s">
        <v>42</v>
      </c>
      <c r="G1955" s="141" t="s">
        <v>4783</v>
      </c>
      <c r="H1955" s="141" t="s">
        <v>4783</v>
      </c>
      <c r="I1955" s="54">
        <f t="shared" si="24"/>
        <v>32</v>
      </c>
      <c r="J1955" s="56"/>
      <c r="K1955" s="57"/>
      <c r="L1955" s="76"/>
      <c r="M1955" s="59"/>
      <c r="N1955" s="60">
        <v>839.0</v>
      </c>
      <c r="O1955" s="61">
        <v>1042.0</v>
      </c>
      <c r="P1955" s="62">
        <v>1125.3600000000001</v>
      </c>
      <c r="Q1955" s="63">
        <v>1125.3600000000001</v>
      </c>
      <c r="R1955" s="64">
        <v>1253.0</v>
      </c>
      <c r="S1955" s="111">
        <v>1316.0</v>
      </c>
      <c r="T1955" s="65">
        <f t="shared" si="80"/>
        <v>210.56</v>
      </c>
      <c r="U1955" s="65">
        <f t="shared" si="81"/>
        <v>1526.56</v>
      </c>
      <c r="V1955" s="66">
        <f t="shared" si="82"/>
        <v>0.05027932961</v>
      </c>
      <c r="W1955" s="67" t="b">
        <f t="shared" si="5"/>
        <v>0</v>
      </c>
      <c r="X1955" s="67">
        <f t="shared" si="70"/>
        <v>0</v>
      </c>
      <c r="Y1955" s="67">
        <f t="shared" si="71"/>
        <v>0</v>
      </c>
      <c r="Z1955" s="67" t="b">
        <f t="shared" si="8"/>
        <v>0</v>
      </c>
      <c r="AA1955" s="67">
        <f t="shared" si="72"/>
        <v>0</v>
      </c>
      <c r="AB1955" s="67">
        <f t="shared" si="73"/>
        <v>0</v>
      </c>
      <c r="AC1955" s="67" t="b">
        <f t="shared" si="11"/>
        <v>0</v>
      </c>
      <c r="AD1955" s="67">
        <f t="shared" si="74"/>
        <v>0</v>
      </c>
      <c r="AE1955" s="67">
        <f t="shared" si="75"/>
        <v>0</v>
      </c>
      <c r="AF1955" s="67" t="b">
        <f t="shared" si="33"/>
        <v>0</v>
      </c>
      <c r="AG1955" s="67">
        <f t="shared" si="76"/>
        <v>0</v>
      </c>
      <c r="AH1955" s="67">
        <f t="shared" si="77"/>
        <v>0</v>
      </c>
      <c r="AI1955" s="67" t="b">
        <f t="shared" si="17"/>
        <v>0</v>
      </c>
      <c r="AJ1955" s="68">
        <f t="shared" si="78"/>
        <v>0</v>
      </c>
      <c r="AK1955" s="68">
        <f t="shared" si="79"/>
        <v>0</v>
      </c>
      <c r="AL1955" s="70"/>
      <c r="AM1955" s="70"/>
      <c r="AN1955" s="71"/>
      <c r="AO1955" s="71"/>
      <c r="AP1955" s="71"/>
      <c r="AQ1955" s="71"/>
      <c r="AR1955" s="71"/>
      <c r="AS1955" s="71"/>
      <c r="AT1955" s="71"/>
      <c r="AU1955" s="71"/>
      <c r="AV1955" s="71"/>
      <c r="AW1955" s="71"/>
      <c r="AX1955" s="71"/>
      <c r="AY1955" s="71"/>
      <c r="AZ1955" s="71"/>
      <c r="BA1955" s="71"/>
      <c r="BB1955" s="71"/>
      <c r="BC1955" s="71"/>
      <c r="BD1955" s="71"/>
      <c r="BE1955" s="71"/>
      <c r="BF1955" s="71"/>
      <c r="BG1955" s="71"/>
      <c r="BH1955" s="71"/>
      <c r="BI1955" s="71"/>
      <c r="BJ1955" s="71"/>
      <c r="BK1955" s="71"/>
      <c r="BL1955" s="71"/>
      <c r="BM1955" s="71"/>
      <c r="BN1955" s="71"/>
      <c r="BO1955" s="71"/>
      <c r="BP1955" s="71"/>
      <c r="BQ1955" s="71"/>
      <c r="BR1955" s="71"/>
      <c r="BS1955" s="71"/>
      <c r="BT1955" s="71"/>
      <c r="BU1955" s="71"/>
      <c r="BV1955" s="71"/>
    </row>
    <row r="1956">
      <c r="A1956" s="53">
        <v>1.0</v>
      </c>
      <c r="B1956" s="53"/>
      <c r="C1956" s="73" t="s">
        <v>53</v>
      </c>
      <c r="D1956" s="74" t="s">
        <v>4784</v>
      </c>
      <c r="E1956" s="54" t="s">
        <v>38</v>
      </c>
      <c r="F1956" s="54" t="s">
        <v>42</v>
      </c>
      <c r="G1956" s="141" t="s">
        <v>4785</v>
      </c>
      <c r="H1956" s="141" t="s">
        <v>4785</v>
      </c>
      <c r="I1956" s="54">
        <f t="shared" si="24"/>
        <v>25</v>
      </c>
      <c r="J1956" s="56"/>
      <c r="K1956" s="57"/>
      <c r="L1956" s="76"/>
      <c r="M1956" s="59"/>
      <c r="N1956" s="60">
        <v>478.0</v>
      </c>
      <c r="O1956" s="61">
        <v>580.0</v>
      </c>
      <c r="P1956" s="62">
        <v>626.4000000000001</v>
      </c>
      <c r="Q1956" s="63">
        <v>626.4000000000001</v>
      </c>
      <c r="R1956" s="64">
        <v>659.0</v>
      </c>
      <c r="S1956" s="111">
        <v>692.0</v>
      </c>
      <c r="T1956" s="65">
        <f t="shared" si="80"/>
        <v>110.72</v>
      </c>
      <c r="U1956" s="65">
        <f t="shared" si="81"/>
        <v>802.72</v>
      </c>
      <c r="V1956" s="66">
        <f t="shared" si="82"/>
        <v>0.05007587253</v>
      </c>
      <c r="W1956" s="67">
        <f t="shared" si="5"/>
        <v>657.4</v>
      </c>
      <c r="X1956" s="67">
        <f t="shared" si="70"/>
        <v>105.184</v>
      </c>
      <c r="Y1956" s="67">
        <f t="shared" si="71"/>
        <v>762.584</v>
      </c>
      <c r="Z1956" s="67">
        <f t="shared" si="8"/>
        <v>622.8</v>
      </c>
      <c r="AA1956" s="67">
        <f t="shared" si="72"/>
        <v>99.648</v>
      </c>
      <c r="AB1956" s="67">
        <f t="shared" si="73"/>
        <v>722.448</v>
      </c>
      <c r="AC1956" s="67">
        <f t="shared" si="11"/>
        <v>588.2</v>
      </c>
      <c r="AD1956" s="67">
        <f t="shared" si="74"/>
        <v>94.112</v>
      </c>
      <c r="AE1956" s="67">
        <f t="shared" si="75"/>
        <v>682.312</v>
      </c>
      <c r="AF1956" s="67">
        <f t="shared" si="33"/>
        <v>574.36</v>
      </c>
      <c r="AG1956" s="67">
        <f t="shared" si="76"/>
        <v>91.8976</v>
      </c>
      <c r="AH1956" s="67">
        <f t="shared" si="77"/>
        <v>666.2576</v>
      </c>
      <c r="AI1956" s="67">
        <f t="shared" si="17"/>
        <v>553.6</v>
      </c>
      <c r="AJ1956" s="68">
        <f t="shared" si="78"/>
        <v>88.576</v>
      </c>
      <c r="AK1956" s="68">
        <f t="shared" si="79"/>
        <v>642.176</v>
      </c>
      <c r="AL1956" s="70"/>
      <c r="AM1956" s="70"/>
      <c r="AN1956" s="71"/>
      <c r="AO1956" s="71"/>
      <c r="AP1956" s="71"/>
      <c r="AQ1956" s="71"/>
      <c r="AR1956" s="71"/>
      <c r="AS1956" s="71"/>
      <c r="AT1956" s="71"/>
      <c r="AU1956" s="71"/>
      <c r="AV1956" s="71"/>
      <c r="AW1956" s="71"/>
      <c r="AX1956" s="71"/>
      <c r="AY1956" s="71"/>
      <c r="AZ1956" s="71"/>
      <c r="BA1956" s="71"/>
      <c r="BB1956" s="71"/>
      <c r="BC1956" s="71"/>
      <c r="BD1956" s="71"/>
      <c r="BE1956" s="71"/>
      <c r="BF1956" s="71"/>
      <c r="BG1956" s="71"/>
      <c r="BH1956" s="71"/>
      <c r="BI1956" s="71"/>
      <c r="BJ1956" s="71"/>
      <c r="BK1956" s="71"/>
      <c r="BL1956" s="71"/>
      <c r="BM1956" s="71"/>
      <c r="BN1956" s="71"/>
      <c r="BO1956" s="71"/>
      <c r="BP1956" s="71"/>
      <c r="BQ1956" s="71"/>
      <c r="BR1956" s="71"/>
      <c r="BS1956" s="71"/>
      <c r="BT1956" s="71"/>
      <c r="BU1956" s="71"/>
      <c r="BV1956" s="71"/>
    </row>
    <row r="1957">
      <c r="A1957" s="53">
        <v>1.0</v>
      </c>
      <c r="B1957" s="53"/>
      <c r="C1957" s="73" t="s">
        <v>53</v>
      </c>
      <c r="D1957" s="74" t="s">
        <v>4786</v>
      </c>
      <c r="E1957" s="54" t="s">
        <v>38</v>
      </c>
      <c r="F1957" s="54" t="s">
        <v>42</v>
      </c>
      <c r="G1957" s="141" t="s">
        <v>4787</v>
      </c>
      <c r="H1957" s="141" t="s">
        <v>4787</v>
      </c>
      <c r="I1957" s="54">
        <f t="shared" si="24"/>
        <v>25</v>
      </c>
      <c r="J1957" s="56"/>
      <c r="K1957" s="57"/>
      <c r="L1957" s="76"/>
      <c r="M1957" s="59"/>
      <c r="N1957" s="60">
        <v>478.0</v>
      </c>
      <c r="O1957" s="61">
        <v>580.0</v>
      </c>
      <c r="P1957" s="62">
        <v>626.4000000000001</v>
      </c>
      <c r="Q1957" s="63">
        <v>626.4000000000001</v>
      </c>
      <c r="R1957" s="64">
        <v>659.0</v>
      </c>
      <c r="S1957" s="111">
        <v>692.0</v>
      </c>
      <c r="T1957" s="65">
        <f t="shared" si="80"/>
        <v>110.72</v>
      </c>
      <c r="U1957" s="65">
        <f t="shared" si="81"/>
        <v>802.72</v>
      </c>
      <c r="V1957" s="66">
        <f t="shared" si="82"/>
        <v>0.05007587253</v>
      </c>
      <c r="W1957" s="67">
        <f t="shared" si="5"/>
        <v>657.4</v>
      </c>
      <c r="X1957" s="67">
        <f t="shared" si="70"/>
        <v>105.184</v>
      </c>
      <c r="Y1957" s="67">
        <f t="shared" si="71"/>
        <v>762.584</v>
      </c>
      <c r="Z1957" s="67">
        <f t="shared" si="8"/>
        <v>622.8</v>
      </c>
      <c r="AA1957" s="67">
        <f t="shared" si="72"/>
        <v>99.648</v>
      </c>
      <c r="AB1957" s="67">
        <f t="shared" si="73"/>
        <v>722.448</v>
      </c>
      <c r="AC1957" s="67">
        <f t="shared" si="11"/>
        <v>588.2</v>
      </c>
      <c r="AD1957" s="67">
        <f t="shared" si="74"/>
        <v>94.112</v>
      </c>
      <c r="AE1957" s="67">
        <f t="shared" si="75"/>
        <v>682.312</v>
      </c>
      <c r="AF1957" s="67">
        <f t="shared" si="33"/>
        <v>574.36</v>
      </c>
      <c r="AG1957" s="67">
        <f t="shared" si="76"/>
        <v>91.8976</v>
      </c>
      <c r="AH1957" s="67">
        <f t="shared" si="77"/>
        <v>666.2576</v>
      </c>
      <c r="AI1957" s="67">
        <f t="shared" si="17"/>
        <v>553.6</v>
      </c>
      <c r="AJ1957" s="68">
        <f t="shared" si="78"/>
        <v>88.576</v>
      </c>
      <c r="AK1957" s="68">
        <f t="shared" si="79"/>
        <v>642.176</v>
      </c>
      <c r="AL1957" s="70"/>
      <c r="AM1957" s="70"/>
      <c r="AN1957" s="71"/>
      <c r="AO1957" s="71"/>
      <c r="AP1957" s="71"/>
      <c r="AQ1957" s="71"/>
      <c r="AR1957" s="71"/>
      <c r="AS1957" s="71"/>
      <c r="AT1957" s="71"/>
      <c r="AU1957" s="71"/>
      <c r="AV1957" s="71"/>
      <c r="AW1957" s="71"/>
      <c r="AX1957" s="71"/>
      <c r="AY1957" s="71"/>
      <c r="AZ1957" s="71"/>
      <c r="BA1957" s="71"/>
      <c r="BB1957" s="71"/>
      <c r="BC1957" s="71"/>
      <c r="BD1957" s="71"/>
      <c r="BE1957" s="71"/>
      <c r="BF1957" s="71"/>
      <c r="BG1957" s="71"/>
      <c r="BH1957" s="71"/>
      <c r="BI1957" s="71"/>
      <c r="BJ1957" s="71"/>
      <c r="BK1957" s="71"/>
      <c r="BL1957" s="71"/>
      <c r="BM1957" s="71"/>
      <c r="BN1957" s="71"/>
      <c r="BO1957" s="71"/>
      <c r="BP1957" s="71"/>
      <c r="BQ1957" s="71"/>
      <c r="BR1957" s="71"/>
      <c r="BS1957" s="71"/>
      <c r="BT1957" s="71"/>
      <c r="BU1957" s="71"/>
      <c r="BV1957" s="71"/>
    </row>
    <row r="1958">
      <c r="A1958" s="53"/>
      <c r="B1958" s="53">
        <v>0.0</v>
      </c>
      <c r="C1958" s="73" t="s">
        <v>53</v>
      </c>
      <c r="D1958" s="53" t="s">
        <v>4788</v>
      </c>
      <c r="E1958" s="54" t="s">
        <v>38</v>
      </c>
      <c r="F1958" s="55" t="s">
        <v>309</v>
      </c>
      <c r="G1958" s="141" t="s">
        <v>4787</v>
      </c>
      <c r="H1958" s="141" t="s">
        <v>4787</v>
      </c>
      <c r="I1958" s="54">
        <f t="shared" si="24"/>
        <v>25</v>
      </c>
      <c r="J1958" s="56"/>
      <c r="K1958" s="57"/>
      <c r="L1958" s="76" t="s">
        <v>661</v>
      </c>
      <c r="M1958" s="59"/>
      <c r="N1958" s="60"/>
      <c r="O1958" s="90">
        <v>516.0</v>
      </c>
      <c r="P1958" s="62">
        <v>557.2800000000001</v>
      </c>
      <c r="Q1958" s="63">
        <v>557.2800000000001</v>
      </c>
      <c r="R1958" s="64">
        <v>585.0</v>
      </c>
      <c r="S1958" s="111">
        <v>614.0</v>
      </c>
      <c r="T1958" s="65">
        <f t="shared" si="80"/>
        <v>98.24</v>
      </c>
      <c r="U1958" s="65">
        <f t="shared" si="81"/>
        <v>712.24</v>
      </c>
      <c r="V1958" s="66">
        <f t="shared" si="82"/>
        <v>0.04957264957</v>
      </c>
      <c r="W1958" s="67" t="b">
        <f t="shared" si="5"/>
        <v>0</v>
      </c>
      <c r="X1958" s="67">
        <f t="shared" si="70"/>
        <v>0</v>
      </c>
      <c r="Y1958" s="67">
        <f t="shared" si="71"/>
        <v>0</v>
      </c>
      <c r="Z1958" s="67" t="b">
        <f t="shared" si="8"/>
        <v>0</v>
      </c>
      <c r="AA1958" s="67">
        <f t="shared" si="72"/>
        <v>0</v>
      </c>
      <c r="AB1958" s="67">
        <f t="shared" si="73"/>
        <v>0</v>
      </c>
      <c r="AC1958" s="67" t="b">
        <f t="shared" si="11"/>
        <v>0</v>
      </c>
      <c r="AD1958" s="67">
        <f t="shared" si="74"/>
        <v>0</v>
      </c>
      <c r="AE1958" s="67">
        <f t="shared" si="75"/>
        <v>0</v>
      </c>
      <c r="AF1958" s="67" t="b">
        <f t="shared" si="33"/>
        <v>0</v>
      </c>
      <c r="AG1958" s="67">
        <f t="shared" si="76"/>
        <v>0</v>
      </c>
      <c r="AH1958" s="67">
        <f t="shared" si="77"/>
        <v>0</v>
      </c>
      <c r="AI1958" s="67" t="b">
        <f t="shared" si="17"/>
        <v>0</v>
      </c>
      <c r="AJ1958" s="68">
        <f t="shared" si="78"/>
        <v>0</v>
      </c>
      <c r="AK1958" s="68">
        <f t="shared" si="79"/>
        <v>0</v>
      </c>
      <c r="AL1958" s="70"/>
      <c r="AM1958" s="70"/>
      <c r="AN1958" s="71"/>
      <c r="AO1958" s="71"/>
      <c r="AP1958" s="71"/>
      <c r="AQ1958" s="71"/>
      <c r="AR1958" s="71"/>
      <c r="AS1958" s="71"/>
      <c r="AT1958" s="71"/>
      <c r="AU1958" s="71"/>
      <c r="AV1958" s="71"/>
      <c r="AW1958" s="71"/>
      <c r="AX1958" s="71"/>
      <c r="AY1958" s="71"/>
      <c r="AZ1958" s="71"/>
      <c r="BA1958" s="71"/>
      <c r="BB1958" s="71"/>
      <c r="BC1958" s="71"/>
      <c r="BD1958" s="71"/>
      <c r="BE1958" s="71"/>
      <c r="BF1958" s="71"/>
      <c r="BG1958" s="71"/>
      <c r="BH1958" s="71"/>
      <c r="BI1958" s="71"/>
      <c r="BJ1958" s="71"/>
      <c r="BK1958" s="71"/>
      <c r="BL1958" s="71"/>
      <c r="BM1958" s="71"/>
      <c r="BN1958" s="71"/>
      <c r="BO1958" s="71"/>
      <c r="BP1958" s="71"/>
      <c r="BQ1958" s="71"/>
      <c r="BR1958" s="71"/>
      <c r="BS1958" s="71"/>
      <c r="BT1958" s="71"/>
      <c r="BU1958" s="71"/>
      <c r="BV1958" s="71"/>
    </row>
    <row r="1959">
      <c r="A1959" s="53"/>
      <c r="B1959" s="53">
        <v>0.0</v>
      </c>
      <c r="C1959" s="53" t="s">
        <v>53</v>
      </c>
      <c r="D1959" s="53" t="s">
        <v>4789</v>
      </c>
      <c r="E1959" s="54" t="s">
        <v>38</v>
      </c>
      <c r="F1959" s="54" t="s">
        <v>42</v>
      </c>
      <c r="G1959" s="142" t="s">
        <v>4790</v>
      </c>
      <c r="H1959" s="142" t="s">
        <v>4790</v>
      </c>
      <c r="I1959" s="54">
        <f t="shared" si="24"/>
        <v>27</v>
      </c>
      <c r="J1959" s="56"/>
      <c r="K1959" s="57"/>
      <c r="L1959" s="76" t="s">
        <v>661</v>
      </c>
      <c r="M1959" s="59"/>
      <c r="N1959" s="79">
        <v>550.0</v>
      </c>
      <c r="O1959" s="61">
        <v>645.0</v>
      </c>
      <c r="P1959" s="63">
        <v>696.6</v>
      </c>
      <c r="Q1959" s="63">
        <v>696.6</v>
      </c>
      <c r="R1959" s="64">
        <v>732.0</v>
      </c>
      <c r="S1959" s="111">
        <v>769.0</v>
      </c>
      <c r="T1959" s="65">
        <f t="shared" si="80"/>
        <v>123.04</v>
      </c>
      <c r="U1959" s="65">
        <f t="shared" si="81"/>
        <v>892.04</v>
      </c>
      <c r="V1959" s="66">
        <f t="shared" si="82"/>
        <v>0.05054644809</v>
      </c>
      <c r="W1959" s="67" t="b">
        <f t="shared" si="5"/>
        <v>0</v>
      </c>
      <c r="X1959" s="67">
        <f t="shared" si="70"/>
        <v>0</v>
      </c>
      <c r="Y1959" s="67">
        <f t="shared" si="71"/>
        <v>0</v>
      </c>
      <c r="Z1959" s="67" t="b">
        <f t="shared" si="8"/>
        <v>0</v>
      </c>
      <c r="AA1959" s="67">
        <f t="shared" si="72"/>
        <v>0</v>
      </c>
      <c r="AB1959" s="67">
        <f t="shared" si="73"/>
        <v>0</v>
      </c>
      <c r="AC1959" s="67" t="b">
        <f t="shared" si="11"/>
        <v>0</v>
      </c>
      <c r="AD1959" s="67">
        <f t="shared" si="74"/>
        <v>0</v>
      </c>
      <c r="AE1959" s="67">
        <f t="shared" si="75"/>
        <v>0</v>
      </c>
      <c r="AF1959" s="67" t="b">
        <f t="shared" si="33"/>
        <v>0</v>
      </c>
      <c r="AG1959" s="67">
        <f t="shared" si="76"/>
        <v>0</v>
      </c>
      <c r="AH1959" s="67">
        <f t="shared" si="77"/>
        <v>0</v>
      </c>
      <c r="AI1959" s="67" t="b">
        <f t="shared" si="17"/>
        <v>0</v>
      </c>
      <c r="AJ1959" s="68">
        <f t="shared" si="78"/>
        <v>0</v>
      </c>
      <c r="AK1959" s="68">
        <f t="shared" si="79"/>
        <v>0</v>
      </c>
      <c r="AL1959" s="70"/>
      <c r="AM1959" s="70"/>
      <c r="AN1959" s="71"/>
      <c r="AO1959" s="71"/>
      <c r="AP1959" s="71"/>
      <c r="AQ1959" s="71"/>
      <c r="AR1959" s="71"/>
      <c r="AS1959" s="71"/>
      <c r="AT1959" s="71"/>
      <c r="AU1959" s="71"/>
      <c r="AV1959" s="71"/>
      <c r="AW1959" s="71"/>
      <c r="AX1959" s="71"/>
      <c r="AY1959" s="71"/>
      <c r="AZ1959" s="71"/>
      <c r="BA1959" s="71"/>
      <c r="BB1959" s="71"/>
      <c r="BC1959" s="71"/>
      <c r="BD1959" s="71"/>
      <c r="BE1959" s="71"/>
      <c r="BF1959" s="71"/>
      <c r="BG1959" s="71"/>
      <c r="BH1959" s="71"/>
      <c r="BI1959" s="71"/>
      <c r="BJ1959" s="71"/>
      <c r="BK1959" s="71"/>
      <c r="BL1959" s="71"/>
      <c r="BM1959" s="71"/>
      <c r="BN1959" s="71"/>
      <c r="BO1959" s="71"/>
      <c r="BP1959" s="71"/>
      <c r="BQ1959" s="71"/>
      <c r="BR1959" s="71"/>
      <c r="BS1959" s="71"/>
      <c r="BT1959" s="71"/>
      <c r="BU1959" s="71"/>
      <c r="BV1959" s="71"/>
    </row>
    <row r="1960">
      <c r="A1960" s="53">
        <v>1.0</v>
      </c>
      <c r="B1960" s="53"/>
      <c r="C1960" s="73" t="s">
        <v>53</v>
      </c>
      <c r="D1960" s="74" t="s">
        <v>4791</v>
      </c>
      <c r="E1960" s="54" t="s">
        <v>38</v>
      </c>
      <c r="F1960" s="54" t="s">
        <v>42</v>
      </c>
      <c r="G1960" s="141" t="s">
        <v>4792</v>
      </c>
      <c r="H1960" s="141" t="s">
        <v>4792</v>
      </c>
      <c r="I1960" s="54">
        <f t="shared" si="24"/>
        <v>25</v>
      </c>
      <c r="J1960" s="56"/>
      <c r="K1960" s="57"/>
      <c r="L1960" s="76"/>
      <c r="M1960" s="59"/>
      <c r="N1960" s="60">
        <v>478.0</v>
      </c>
      <c r="O1960" s="61">
        <v>580.0</v>
      </c>
      <c r="P1960" s="62">
        <v>626.4000000000001</v>
      </c>
      <c r="Q1960" s="63">
        <v>626.4000000000001</v>
      </c>
      <c r="R1960" s="64">
        <v>678.0</v>
      </c>
      <c r="S1960" s="111">
        <v>712.0</v>
      </c>
      <c r="T1960" s="65">
        <f t="shared" si="80"/>
        <v>113.92</v>
      </c>
      <c r="U1960" s="65">
        <f t="shared" si="81"/>
        <v>825.92</v>
      </c>
      <c r="V1960" s="66">
        <f t="shared" si="82"/>
        <v>0.05014749263</v>
      </c>
      <c r="W1960" s="67">
        <f t="shared" si="5"/>
        <v>676.4</v>
      </c>
      <c r="X1960" s="67">
        <f t="shared" si="70"/>
        <v>108.224</v>
      </c>
      <c r="Y1960" s="67">
        <f t="shared" si="71"/>
        <v>784.624</v>
      </c>
      <c r="Z1960" s="67">
        <f t="shared" si="8"/>
        <v>640.8</v>
      </c>
      <c r="AA1960" s="67">
        <f t="shared" si="72"/>
        <v>102.528</v>
      </c>
      <c r="AB1960" s="67">
        <f t="shared" si="73"/>
        <v>743.328</v>
      </c>
      <c r="AC1960" s="67">
        <f t="shared" si="11"/>
        <v>605.2</v>
      </c>
      <c r="AD1960" s="67">
        <f t="shared" si="74"/>
        <v>96.832</v>
      </c>
      <c r="AE1960" s="67">
        <f t="shared" si="75"/>
        <v>702.032</v>
      </c>
      <c r="AF1960" s="67">
        <f t="shared" si="33"/>
        <v>590.96</v>
      </c>
      <c r="AG1960" s="67">
        <f t="shared" si="76"/>
        <v>94.5536</v>
      </c>
      <c r="AH1960" s="67">
        <f t="shared" si="77"/>
        <v>685.5136</v>
      </c>
      <c r="AI1960" s="67">
        <f t="shared" si="17"/>
        <v>569.6</v>
      </c>
      <c r="AJ1960" s="68">
        <f t="shared" si="78"/>
        <v>91.136</v>
      </c>
      <c r="AK1960" s="68">
        <f t="shared" si="79"/>
        <v>660.736</v>
      </c>
      <c r="AL1960" s="70"/>
      <c r="AM1960" s="70"/>
      <c r="AN1960" s="71"/>
      <c r="AO1960" s="71"/>
      <c r="AP1960" s="71"/>
      <c r="AQ1960" s="71"/>
      <c r="AR1960" s="71"/>
      <c r="AS1960" s="71"/>
      <c r="AT1960" s="71"/>
      <c r="AU1960" s="71"/>
      <c r="AV1960" s="71"/>
      <c r="AW1960" s="71"/>
      <c r="AX1960" s="71"/>
      <c r="AY1960" s="71"/>
      <c r="AZ1960" s="71"/>
      <c r="BA1960" s="71"/>
      <c r="BB1960" s="71"/>
      <c r="BC1960" s="71"/>
      <c r="BD1960" s="71"/>
      <c r="BE1960" s="71"/>
      <c r="BF1960" s="71"/>
      <c r="BG1960" s="71"/>
      <c r="BH1960" s="71"/>
      <c r="BI1960" s="71"/>
      <c r="BJ1960" s="71"/>
      <c r="BK1960" s="71"/>
      <c r="BL1960" s="71"/>
      <c r="BM1960" s="71"/>
      <c r="BN1960" s="71"/>
      <c r="BO1960" s="71"/>
      <c r="BP1960" s="71"/>
      <c r="BQ1960" s="71"/>
      <c r="BR1960" s="71"/>
      <c r="BS1960" s="71"/>
      <c r="BT1960" s="71"/>
      <c r="BU1960" s="71"/>
      <c r="BV1960" s="71"/>
    </row>
    <row r="1961">
      <c r="A1961" s="53"/>
      <c r="B1961" s="53">
        <v>0.0</v>
      </c>
      <c r="C1961" s="53" t="s">
        <v>53</v>
      </c>
      <c r="D1961" s="53" t="s">
        <v>4793</v>
      </c>
      <c r="E1961" s="54" t="s">
        <v>38</v>
      </c>
      <c r="F1961" s="54" t="s">
        <v>42</v>
      </c>
      <c r="G1961" s="142" t="s">
        <v>4794</v>
      </c>
      <c r="H1961" s="142" t="s">
        <v>4794</v>
      </c>
      <c r="I1961" s="54">
        <f t="shared" si="24"/>
        <v>27</v>
      </c>
      <c r="J1961" s="56"/>
      <c r="K1961" s="57"/>
      <c r="L1961" s="76" t="s">
        <v>661</v>
      </c>
      <c r="M1961" s="59"/>
      <c r="N1961" s="79">
        <v>478.0</v>
      </c>
      <c r="O1961" s="61">
        <v>645.0</v>
      </c>
      <c r="P1961" s="63">
        <v>696.6</v>
      </c>
      <c r="Q1961" s="63">
        <v>696.6</v>
      </c>
      <c r="R1961" s="64">
        <v>732.0</v>
      </c>
      <c r="S1961" s="111">
        <v>769.0</v>
      </c>
      <c r="T1961" s="65">
        <f t="shared" si="80"/>
        <v>123.04</v>
      </c>
      <c r="U1961" s="65">
        <f t="shared" si="81"/>
        <v>892.04</v>
      </c>
      <c r="V1961" s="66">
        <f t="shared" si="82"/>
        <v>0.05054644809</v>
      </c>
      <c r="W1961" s="67" t="b">
        <f t="shared" si="5"/>
        <v>0</v>
      </c>
      <c r="X1961" s="67">
        <f t="shared" si="70"/>
        <v>0</v>
      </c>
      <c r="Y1961" s="67">
        <f t="shared" si="71"/>
        <v>0</v>
      </c>
      <c r="Z1961" s="67" t="b">
        <f t="shared" si="8"/>
        <v>0</v>
      </c>
      <c r="AA1961" s="67">
        <f t="shared" si="72"/>
        <v>0</v>
      </c>
      <c r="AB1961" s="67">
        <f t="shared" si="73"/>
        <v>0</v>
      </c>
      <c r="AC1961" s="67" t="b">
        <f t="shared" si="11"/>
        <v>0</v>
      </c>
      <c r="AD1961" s="67">
        <f t="shared" si="74"/>
        <v>0</v>
      </c>
      <c r="AE1961" s="67">
        <f t="shared" si="75"/>
        <v>0</v>
      </c>
      <c r="AF1961" s="67" t="b">
        <f t="shared" si="33"/>
        <v>0</v>
      </c>
      <c r="AG1961" s="67">
        <f t="shared" si="76"/>
        <v>0</v>
      </c>
      <c r="AH1961" s="67">
        <f t="shared" si="77"/>
        <v>0</v>
      </c>
      <c r="AI1961" s="67" t="b">
        <f t="shared" si="17"/>
        <v>0</v>
      </c>
      <c r="AJ1961" s="68">
        <f t="shared" si="78"/>
        <v>0</v>
      </c>
      <c r="AK1961" s="68">
        <f t="shared" si="79"/>
        <v>0</v>
      </c>
      <c r="AL1961" s="70"/>
      <c r="AM1961" s="70"/>
      <c r="AN1961" s="71"/>
      <c r="AO1961" s="71"/>
      <c r="AP1961" s="71"/>
      <c r="AQ1961" s="71"/>
      <c r="AR1961" s="71"/>
      <c r="AS1961" s="71"/>
      <c r="AT1961" s="71"/>
      <c r="AU1961" s="71"/>
      <c r="AV1961" s="71"/>
      <c r="AW1961" s="71"/>
      <c r="AX1961" s="71"/>
      <c r="AY1961" s="71"/>
      <c r="AZ1961" s="71"/>
      <c r="BA1961" s="71"/>
      <c r="BB1961" s="71"/>
      <c r="BC1961" s="71"/>
      <c r="BD1961" s="71"/>
      <c r="BE1961" s="71"/>
      <c r="BF1961" s="71"/>
      <c r="BG1961" s="71"/>
      <c r="BH1961" s="71"/>
      <c r="BI1961" s="71"/>
      <c r="BJ1961" s="71"/>
      <c r="BK1961" s="71"/>
      <c r="BL1961" s="71"/>
      <c r="BM1961" s="71"/>
      <c r="BN1961" s="71"/>
      <c r="BO1961" s="71"/>
      <c r="BP1961" s="71"/>
      <c r="BQ1961" s="71"/>
      <c r="BR1961" s="71"/>
      <c r="BS1961" s="71"/>
      <c r="BT1961" s="71"/>
      <c r="BU1961" s="71"/>
      <c r="BV1961" s="71"/>
    </row>
    <row r="1962">
      <c r="A1962" s="53">
        <v>1.0</v>
      </c>
      <c r="B1962" s="53"/>
      <c r="C1962" s="73" t="s">
        <v>53</v>
      </c>
      <c r="D1962" s="53" t="s">
        <v>4795</v>
      </c>
      <c r="E1962" s="54" t="s">
        <v>38</v>
      </c>
      <c r="F1962" s="54" t="s">
        <v>42</v>
      </c>
      <c r="G1962" s="141" t="s">
        <v>4796</v>
      </c>
      <c r="H1962" s="141" t="s">
        <v>4796</v>
      </c>
      <c r="I1962" s="54">
        <f t="shared" si="24"/>
        <v>25</v>
      </c>
      <c r="J1962" s="56"/>
      <c r="K1962" s="57"/>
      <c r="L1962" s="76"/>
      <c r="M1962" s="59"/>
      <c r="N1962" s="60">
        <v>478.0</v>
      </c>
      <c r="O1962" s="61">
        <v>580.0</v>
      </c>
      <c r="P1962" s="62">
        <v>626.4000000000001</v>
      </c>
      <c r="Q1962" s="63">
        <v>626.4000000000001</v>
      </c>
      <c r="R1962" s="64">
        <v>659.0</v>
      </c>
      <c r="S1962" s="111">
        <v>692.0</v>
      </c>
      <c r="T1962" s="65">
        <f t="shared" si="80"/>
        <v>110.72</v>
      </c>
      <c r="U1962" s="65">
        <f t="shared" si="81"/>
        <v>802.72</v>
      </c>
      <c r="V1962" s="66">
        <f t="shared" si="82"/>
        <v>0.05007587253</v>
      </c>
      <c r="W1962" s="67">
        <f t="shared" si="5"/>
        <v>657.4</v>
      </c>
      <c r="X1962" s="67">
        <f t="shared" si="70"/>
        <v>105.184</v>
      </c>
      <c r="Y1962" s="67">
        <f t="shared" si="71"/>
        <v>762.584</v>
      </c>
      <c r="Z1962" s="67">
        <f t="shared" si="8"/>
        <v>622.8</v>
      </c>
      <c r="AA1962" s="67">
        <f t="shared" si="72"/>
        <v>99.648</v>
      </c>
      <c r="AB1962" s="67">
        <f t="shared" si="73"/>
        <v>722.448</v>
      </c>
      <c r="AC1962" s="67">
        <f t="shared" si="11"/>
        <v>588.2</v>
      </c>
      <c r="AD1962" s="67">
        <f t="shared" si="74"/>
        <v>94.112</v>
      </c>
      <c r="AE1962" s="67">
        <f t="shared" si="75"/>
        <v>682.312</v>
      </c>
      <c r="AF1962" s="67">
        <f t="shared" si="33"/>
        <v>574.36</v>
      </c>
      <c r="AG1962" s="67">
        <f t="shared" si="76"/>
        <v>91.8976</v>
      </c>
      <c r="AH1962" s="67">
        <f t="shared" si="77"/>
        <v>666.2576</v>
      </c>
      <c r="AI1962" s="67">
        <f t="shared" si="17"/>
        <v>553.6</v>
      </c>
      <c r="AJ1962" s="68">
        <f t="shared" si="78"/>
        <v>88.576</v>
      </c>
      <c r="AK1962" s="68">
        <f t="shared" si="79"/>
        <v>642.176</v>
      </c>
      <c r="AL1962" s="70"/>
      <c r="AM1962" s="70"/>
      <c r="AN1962" s="71"/>
      <c r="AO1962" s="71"/>
      <c r="AP1962" s="71"/>
      <c r="AQ1962" s="71"/>
      <c r="AR1962" s="71"/>
      <c r="AS1962" s="71"/>
      <c r="AT1962" s="71"/>
      <c r="AU1962" s="71"/>
      <c r="AV1962" s="71"/>
      <c r="AW1962" s="71"/>
      <c r="AX1962" s="71"/>
      <c r="AY1962" s="71"/>
      <c r="AZ1962" s="71"/>
      <c r="BA1962" s="71"/>
      <c r="BB1962" s="71"/>
      <c r="BC1962" s="71"/>
      <c r="BD1962" s="71"/>
      <c r="BE1962" s="71"/>
      <c r="BF1962" s="71"/>
      <c r="BG1962" s="71"/>
      <c r="BH1962" s="71"/>
      <c r="BI1962" s="71"/>
      <c r="BJ1962" s="71"/>
      <c r="BK1962" s="71"/>
      <c r="BL1962" s="71"/>
      <c r="BM1962" s="71"/>
      <c r="BN1962" s="71"/>
      <c r="BO1962" s="71"/>
      <c r="BP1962" s="71"/>
      <c r="BQ1962" s="71"/>
      <c r="BR1962" s="71"/>
      <c r="BS1962" s="71"/>
      <c r="BT1962" s="71"/>
      <c r="BU1962" s="71"/>
      <c r="BV1962" s="71"/>
    </row>
    <row r="1963">
      <c r="A1963" s="53"/>
      <c r="B1963" s="53">
        <v>0.0</v>
      </c>
      <c r="C1963" s="73" t="s">
        <v>53</v>
      </c>
      <c r="D1963" s="128" t="s">
        <v>4797</v>
      </c>
      <c r="E1963" s="54" t="s">
        <v>38</v>
      </c>
      <c r="F1963" s="54" t="s">
        <v>42</v>
      </c>
      <c r="G1963" s="190" t="s">
        <v>4798</v>
      </c>
      <c r="H1963" s="190" t="s">
        <v>4798</v>
      </c>
      <c r="I1963" s="54">
        <f t="shared" si="24"/>
        <v>27</v>
      </c>
      <c r="J1963" s="56"/>
      <c r="K1963" s="57"/>
      <c r="L1963" s="76" t="s">
        <v>661</v>
      </c>
      <c r="M1963" s="59"/>
      <c r="N1963" s="79">
        <v>526.0</v>
      </c>
      <c r="O1963" s="129">
        <v>645.0</v>
      </c>
      <c r="P1963" s="62">
        <v>696.6</v>
      </c>
      <c r="Q1963" s="63">
        <v>696.6</v>
      </c>
      <c r="R1963" s="64">
        <v>732.0</v>
      </c>
      <c r="S1963" s="111">
        <v>769.0</v>
      </c>
      <c r="T1963" s="65">
        <f t="shared" si="80"/>
        <v>123.04</v>
      </c>
      <c r="U1963" s="65">
        <f t="shared" si="81"/>
        <v>892.04</v>
      </c>
      <c r="V1963" s="66">
        <f t="shared" si="82"/>
        <v>0.05054644809</v>
      </c>
      <c r="W1963" s="67" t="b">
        <f t="shared" si="5"/>
        <v>0</v>
      </c>
      <c r="X1963" s="67">
        <f t="shared" si="70"/>
        <v>0</v>
      </c>
      <c r="Y1963" s="67">
        <f t="shared" si="71"/>
        <v>0</v>
      </c>
      <c r="Z1963" s="67" t="b">
        <f t="shared" si="8"/>
        <v>0</v>
      </c>
      <c r="AA1963" s="67">
        <f t="shared" si="72"/>
        <v>0</v>
      </c>
      <c r="AB1963" s="67">
        <f t="shared" si="73"/>
        <v>0</v>
      </c>
      <c r="AC1963" s="67" t="b">
        <f t="shared" si="11"/>
        <v>0</v>
      </c>
      <c r="AD1963" s="67">
        <f t="shared" si="74"/>
        <v>0</v>
      </c>
      <c r="AE1963" s="67">
        <f t="shared" si="75"/>
        <v>0</v>
      </c>
      <c r="AF1963" s="67" t="b">
        <f t="shared" si="33"/>
        <v>0</v>
      </c>
      <c r="AG1963" s="67">
        <f t="shared" si="76"/>
        <v>0</v>
      </c>
      <c r="AH1963" s="67">
        <f t="shared" si="77"/>
        <v>0</v>
      </c>
      <c r="AI1963" s="67" t="b">
        <f t="shared" si="17"/>
        <v>0</v>
      </c>
      <c r="AJ1963" s="68">
        <f t="shared" si="78"/>
        <v>0</v>
      </c>
      <c r="AK1963" s="68">
        <f t="shared" si="79"/>
        <v>0</v>
      </c>
      <c r="AL1963" s="70"/>
      <c r="AM1963" s="70"/>
      <c r="AN1963" s="71"/>
      <c r="AO1963" s="71"/>
      <c r="AP1963" s="71"/>
      <c r="AQ1963" s="71"/>
      <c r="AR1963" s="71"/>
      <c r="AS1963" s="71"/>
      <c r="AT1963" s="71"/>
      <c r="AU1963" s="71"/>
      <c r="AV1963" s="71"/>
      <c r="AW1963" s="71"/>
      <c r="AX1963" s="71"/>
      <c r="AY1963" s="71"/>
      <c r="AZ1963" s="71"/>
      <c r="BA1963" s="71"/>
      <c r="BB1963" s="71"/>
      <c r="BC1963" s="71"/>
      <c r="BD1963" s="71"/>
      <c r="BE1963" s="71"/>
      <c r="BF1963" s="71"/>
      <c r="BG1963" s="71"/>
      <c r="BH1963" s="71"/>
      <c r="BI1963" s="71"/>
      <c r="BJ1963" s="71"/>
      <c r="BK1963" s="71"/>
      <c r="BL1963" s="71"/>
      <c r="BM1963" s="71"/>
      <c r="BN1963" s="71"/>
      <c r="BO1963" s="71"/>
      <c r="BP1963" s="71"/>
      <c r="BQ1963" s="71"/>
      <c r="BR1963" s="71"/>
      <c r="BS1963" s="71"/>
      <c r="BT1963" s="71"/>
      <c r="BU1963" s="71"/>
      <c r="BV1963" s="71"/>
    </row>
    <row r="1964">
      <c r="A1964" s="53">
        <v>1.0</v>
      </c>
      <c r="B1964" s="53"/>
      <c r="C1964" s="73" t="s">
        <v>53</v>
      </c>
      <c r="D1964" s="74" t="s">
        <v>4799</v>
      </c>
      <c r="E1964" s="54" t="s">
        <v>38</v>
      </c>
      <c r="F1964" s="54" t="s">
        <v>42</v>
      </c>
      <c r="G1964" s="141" t="s">
        <v>4800</v>
      </c>
      <c r="H1964" s="141" t="s">
        <v>4800</v>
      </c>
      <c r="I1964" s="54">
        <f t="shared" si="24"/>
        <v>25</v>
      </c>
      <c r="J1964" s="56"/>
      <c r="K1964" s="57"/>
      <c r="L1964" s="76"/>
      <c r="M1964" s="59"/>
      <c r="N1964" s="60">
        <v>478.0</v>
      </c>
      <c r="O1964" s="61">
        <v>580.0</v>
      </c>
      <c r="P1964" s="62">
        <v>626.4000000000001</v>
      </c>
      <c r="Q1964" s="63">
        <v>626.4000000000001</v>
      </c>
      <c r="R1964" s="64">
        <v>678.0</v>
      </c>
      <c r="S1964" s="111">
        <v>712.0</v>
      </c>
      <c r="T1964" s="65">
        <f t="shared" si="80"/>
        <v>113.92</v>
      </c>
      <c r="U1964" s="65">
        <f t="shared" si="81"/>
        <v>825.92</v>
      </c>
      <c r="V1964" s="66">
        <f t="shared" si="82"/>
        <v>0.05014749263</v>
      </c>
      <c r="W1964" s="67">
        <f t="shared" si="5"/>
        <v>676.4</v>
      </c>
      <c r="X1964" s="67">
        <f t="shared" si="70"/>
        <v>108.224</v>
      </c>
      <c r="Y1964" s="67">
        <f t="shared" si="71"/>
        <v>784.624</v>
      </c>
      <c r="Z1964" s="67">
        <f t="shared" si="8"/>
        <v>640.8</v>
      </c>
      <c r="AA1964" s="67">
        <f t="shared" si="72"/>
        <v>102.528</v>
      </c>
      <c r="AB1964" s="67">
        <f t="shared" si="73"/>
        <v>743.328</v>
      </c>
      <c r="AC1964" s="67">
        <f t="shared" si="11"/>
        <v>605.2</v>
      </c>
      <c r="AD1964" s="67">
        <f t="shared" si="74"/>
        <v>96.832</v>
      </c>
      <c r="AE1964" s="67">
        <f t="shared" si="75"/>
        <v>702.032</v>
      </c>
      <c r="AF1964" s="67">
        <f t="shared" si="33"/>
        <v>590.96</v>
      </c>
      <c r="AG1964" s="67">
        <f t="shared" si="76"/>
        <v>94.5536</v>
      </c>
      <c r="AH1964" s="67">
        <f t="shared" si="77"/>
        <v>685.5136</v>
      </c>
      <c r="AI1964" s="67">
        <f t="shared" si="17"/>
        <v>569.6</v>
      </c>
      <c r="AJ1964" s="68">
        <f t="shared" si="78"/>
        <v>91.136</v>
      </c>
      <c r="AK1964" s="68">
        <f t="shared" si="79"/>
        <v>660.736</v>
      </c>
      <c r="AL1964" s="70"/>
      <c r="AM1964" s="70"/>
      <c r="AN1964" s="71"/>
      <c r="AO1964" s="71"/>
      <c r="AP1964" s="71"/>
      <c r="AQ1964" s="71"/>
      <c r="AR1964" s="71"/>
      <c r="AS1964" s="71"/>
      <c r="AT1964" s="71"/>
      <c r="AU1964" s="71"/>
      <c r="AV1964" s="71"/>
      <c r="AW1964" s="71"/>
      <c r="AX1964" s="71"/>
      <c r="AY1964" s="71"/>
      <c r="AZ1964" s="71"/>
      <c r="BA1964" s="71"/>
      <c r="BB1964" s="71"/>
      <c r="BC1964" s="71"/>
      <c r="BD1964" s="71"/>
      <c r="BE1964" s="71"/>
      <c r="BF1964" s="71"/>
      <c r="BG1964" s="71"/>
      <c r="BH1964" s="71"/>
      <c r="BI1964" s="71"/>
      <c r="BJ1964" s="71"/>
      <c r="BK1964" s="71"/>
      <c r="BL1964" s="71"/>
      <c r="BM1964" s="71"/>
      <c r="BN1964" s="71"/>
      <c r="BO1964" s="71"/>
      <c r="BP1964" s="71"/>
      <c r="BQ1964" s="71"/>
      <c r="BR1964" s="71"/>
      <c r="BS1964" s="71"/>
      <c r="BT1964" s="71"/>
      <c r="BU1964" s="71"/>
      <c r="BV1964" s="71"/>
    </row>
    <row r="1965">
      <c r="A1965" s="53"/>
      <c r="B1965" s="53">
        <v>0.0</v>
      </c>
      <c r="C1965" s="73" t="s">
        <v>53</v>
      </c>
      <c r="D1965" s="74" t="s">
        <v>4801</v>
      </c>
      <c r="E1965" s="54" t="s">
        <v>38</v>
      </c>
      <c r="F1965" s="54" t="s">
        <v>42</v>
      </c>
      <c r="G1965" s="142" t="s">
        <v>4802</v>
      </c>
      <c r="H1965" s="142" t="s">
        <v>4802</v>
      </c>
      <c r="I1965" s="54">
        <f t="shared" si="24"/>
        <v>32</v>
      </c>
      <c r="J1965" s="56"/>
      <c r="K1965" s="57"/>
      <c r="L1965" s="76" t="s">
        <v>661</v>
      </c>
      <c r="M1965" s="59"/>
      <c r="N1965" s="60">
        <v>839.0</v>
      </c>
      <c r="O1965" s="61">
        <v>1042.0</v>
      </c>
      <c r="P1965" s="62">
        <v>1125.3600000000001</v>
      </c>
      <c r="Q1965" s="63">
        <v>1125.3600000000001</v>
      </c>
      <c r="R1965" s="64">
        <v>1253.0</v>
      </c>
      <c r="S1965" s="111">
        <v>1316.0</v>
      </c>
      <c r="T1965" s="65">
        <f t="shared" si="80"/>
        <v>210.56</v>
      </c>
      <c r="U1965" s="65">
        <f t="shared" si="81"/>
        <v>1526.56</v>
      </c>
      <c r="V1965" s="66">
        <f t="shared" si="82"/>
        <v>0.05027932961</v>
      </c>
      <c r="W1965" s="67" t="b">
        <f t="shared" si="5"/>
        <v>0</v>
      </c>
      <c r="X1965" s="67">
        <f t="shared" si="70"/>
        <v>0</v>
      </c>
      <c r="Y1965" s="67">
        <f t="shared" si="71"/>
        <v>0</v>
      </c>
      <c r="Z1965" s="67" t="b">
        <f t="shared" si="8"/>
        <v>0</v>
      </c>
      <c r="AA1965" s="67">
        <f t="shared" si="72"/>
        <v>0</v>
      </c>
      <c r="AB1965" s="67">
        <f t="shared" si="73"/>
        <v>0</v>
      </c>
      <c r="AC1965" s="67" t="b">
        <f t="shared" si="11"/>
        <v>0</v>
      </c>
      <c r="AD1965" s="67">
        <f t="shared" si="74"/>
        <v>0</v>
      </c>
      <c r="AE1965" s="67">
        <f t="shared" si="75"/>
        <v>0</v>
      </c>
      <c r="AF1965" s="67" t="b">
        <f t="shared" si="33"/>
        <v>0</v>
      </c>
      <c r="AG1965" s="67">
        <f t="shared" si="76"/>
        <v>0</v>
      </c>
      <c r="AH1965" s="67">
        <f t="shared" si="77"/>
        <v>0</v>
      </c>
      <c r="AI1965" s="67" t="b">
        <f t="shared" si="17"/>
        <v>0</v>
      </c>
      <c r="AJ1965" s="68">
        <f t="shared" si="78"/>
        <v>0</v>
      </c>
      <c r="AK1965" s="68">
        <f t="shared" si="79"/>
        <v>0</v>
      </c>
      <c r="AL1965" s="70"/>
      <c r="AM1965" s="70"/>
      <c r="AN1965" s="71"/>
      <c r="AO1965" s="71"/>
      <c r="AP1965" s="71"/>
      <c r="AQ1965" s="71"/>
      <c r="AR1965" s="71"/>
      <c r="AS1965" s="71"/>
      <c r="AT1965" s="71"/>
      <c r="AU1965" s="71"/>
      <c r="AV1965" s="71"/>
      <c r="AW1965" s="71"/>
      <c r="AX1965" s="71"/>
      <c r="AY1965" s="71"/>
      <c r="AZ1965" s="71"/>
      <c r="BA1965" s="71"/>
      <c r="BB1965" s="71"/>
      <c r="BC1965" s="71"/>
      <c r="BD1965" s="71"/>
      <c r="BE1965" s="71"/>
      <c r="BF1965" s="71"/>
      <c r="BG1965" s="71"/>
      <c r="BH1965" s="71"/>
      <c r="BI1965" s="71"/>
      <c r="BJ1965" s="71"/>
      <c r="BK1965" s="71"/>
      <c r="BL1965" s="71"/>
      <c r="BM1965" s="71"/>
      <c r="BN1965" s="71"/>
      <c r="BO1965" s="71"/>
      <c r="BP1965" s="71"/>
      <c r="BQ1965" s="71"/>
      <c r="BR1965" s="71"/>
      <c r="BS1965" s="71"/>
      <c r="BT1965" s="71"/>
      <c r="BU1965" s="71"/>
      <c r="BV1965" s="71"/>
    </row>
    <row r="1966">
      <c r="A1966" s="53"/>
      <c r="B1966" s="53">
        <v>0.0</v>
      </c>
      <c r="C1966" s="73" t="s">
        <v>12</v>
      </c>
      <c r="D1966" s="53" t="s">
        <v>4803</v>
      </c>
      <c r="E1966" s="54" t="s">
        <v>38</v>
      </c>
      <c r="F1966" s="54" t="s">
        <v>42</v>
      </c>
      <c r="G1966" s="142" t="s">
        <v>4804</v>
      </c>
      <c r="H1966" s="142" t="s">
        <v>4804</v>
      </c>
      <c r="I1966" s="54">
        <f t="shared" si="24"/>
        <v>31</v>
      </c>
      <c r="J1966" s="56"/>
      <c r="K1966" s="57"/>
      <c r="L1966" s="76" t="s">
        <v>661</v>
      </c>
      <c r="M1966" s="59"/>
      <c r="N1966" s="60"/>
      <c r="O1966" s="90"/>
      <c r="P1966" s="62">
        <v>928.41</v>
      </c>
      <c r="Q1966" s="63">
        <v>928.41</v>
      </c>
      <c r="R1966" s="64">
        <v>975.0</v>
      </c>
      <c r="S1966" s="111">
        <v>1024.0</v>
      </c>
      <c r="T1966" s="65">
        <f t="shared" si="80"/>
        <v>163.84</v>
      </c>
      <c r="U1966" s="65">
        <f t="shared" si="81"/>
        <v>1187.84</v>
      </c>
      <c r="V1966" s="66">
        <f t="shared" si="82"/>
        <v>0.05025641026</v>
      </c>
      <c r="W1966" s="67" t="b">
        <f t="shared" si="5"/>
        <v>0</v>
      </c>
      <c r="X1966" s="67">
        <f t="shared" si="70"/>
        <v>0</v>
      </c>
      <c r="Y1966" s="67">
        <f t="shared" si="71"/>
        <v>0</v>
      </c>
      <c r="Z1966" s="67" t="b">
        <f t="shared" si="8"/>
        <v>0</v>
      </c>
      <c r="AA1966" s="67">
        <f t="shared" si="72"/>
        <v>0</v>
      </c>
      <c r="AB1966" s="67">
        <f t="shared" si="73"/>
        <v>0</v>
      </c>
      <c r="AC1966" s="67" t="b">
        <f t="shared" si="11"/>
        <v>0</v>
      </c>
      <c r="AD1966" s="67">
        <f t="shared" si="74"/>
        <v>0</v>
      </c>
      <c r="AE1966" s="67">
        <f t="shared" si="75"/>
        <v>0</v>
      </c>
      <c r="AF1966" s="67" t="b">
        <f t="shared" si="33"/>
        <v>0</v>
      </c>
      <c r="AG1966" s="67">
        <f t="shared" si="76"/>
        <v>0</v>
      </c>
      <c r="AH1966" s="67">
        <f t="shared" si="77"/>
        <v>0</v>
      </c>
      <c r="AI1966" s="67" t="b">
        <f t="shared" si="17"/>
        <v>0</v>
      </c>
      <c r="AJ1966" s="68">
        <f t="shared" si="78"/>
        <v>0</v>
      </c>
      <c r="AK1966" s="68">
        <f t="shared" si="79"/>
        <v>0</v>
      </c>
      <c r="AL1966" s="70"/>
      <c r="AM1966" s="70"/>
      <c r="AN1966" s="71"/>
      <c r="AO1966" s="71"/>
      <c r="AP1966" s="71"/>
      <c r="AQ1966" s="71"/>
      <c r="AR1966" s="71"/>
      <c r="AS1966" s="71"/>
      <c r="AT1966" s="71"/>
      <c r="AU1966" s="71"/>
      <c r="AV1966" s="71"/>
      <c r="AW1966" s="71"/>
      <c r="AX1966" s="71"/>
      <c r="AY1966" s="71"/>
      <c r="AZ1966" s="71"/>
      <c r="BA1966" s="71"/>
      <c r="BB1966" s="71"/>
      <c r="BC1966" s="71"/>
      <c r="BD1966" s="71"/>
      <c r="BE1966" s="71"/>
      <c r="BF1966" s="71"/>
      <c r="BG1966" s="71"/>
      <c r="BH1966" s="71"/>
      <c r="BI1966" s="71"/>
      <c r="BJ1966" s="71"/>
      <c r="BK1966" s="71"/>
      <c r="BL1966" s="71"/>
      <c r="BM1966" s="71"/>
      <c r="BN1966" s="71"/>
      <c r="BO1966" s="71"/>
      <c r="BP1966" s="71"/>
      <c r="BQ1966" s="71"/>
      <c r="BR1966" s="71"/>
      <c r="BS1966" s="71"/>
      <c r="BT1966" s="71"/>
      <c r="BU1966" s="71"/>
      <c r="BV1966" s="71"/>
    </row>
    <row r="1967">
      <c r="A1967" s="53"/>
      <c r="B1967" s="53">
        <v>0.0</v>
      </c>
      <c r="C1967" s="73" t="s">
        <v>53</v>
      </c>
      <c r="D1967" s="53" t="s">
        <v>4805</v>
      </c>
      <c r="E1967" s="54" t="s">
        <v>38</v>
      </c>
      <c r="F1967" s="54" t="s">
        <v>42</v>
      </c>
      <c r="G1967" s="142" t="s">
        <v>4806</v>
      </c>
      <c r="H1967" s="142" t="s">
        <v>4806</v>
      </c>
      <c r="I1967" s="54">
        <f t="shared" si="24"/>
        <v>24</v>
      </c>
      <c r="J1967" s="56"/>
      <c r="K1967" s="57"/>
      <c r="L1967" s="76" t="s">
        <v>661</v>
      </c>
      <c r="M1967" s="59"/>
      <c r="N1967" s="79">
        <v>478.0</v>
      </c>
      <c r="O1967" s="61">
        <v>645.0</v>
      </c>
      <c r="P1967" s="62">
        <v>696.6</v>
      </c>
      <c r="Q1967" s="63">
        <v>696.6</v>
      </c>
      <c r="R1967" s="64">
        <v>732.0</v>
      </c>
      <c r="S1967" s="111">
        <v>769.0</v>
      </c>
      <c r="T1967" s="65">
        <f t="shared" si="80"/>
        <v>123.04</v>
      </c>
      <c r="U1967" s="65">
        <f t="shared" si="81"/>
        <v>892.04</v>
      </c>
      <c r="V1967" s="66">
        <f t="shared" si="82"/>
        <v>0.05054644809</v>
      </c>
      <c r="W1967" s="67" t="b">
        <f t="shared" si="5"/>
        <v>0</v>
      </c>
      <c r="X1967" s="67">
        <f t="shared" si="70"/>
        <v>0</v>
      </c>
      <c r="Y1967" s="67">
        <f t="shared" si="71"/>
        <v>0</v>
      </c>
      <c r="Z1967" s="67" t="b">
        <f t="shared" si="8"/>
        <v>0</v>
      </c>
      <c r="AA1967" s="67">
        <f t="shared" si="72"/>
        <v>0</v>
      </c>
      <c r="AB1967" s="67">
        <f t="shared" si="73"/>
        <v>0</v>
      </c>
      <c r="AC1967" s="67" t="b">
        <f t="shared" si="11"/>
        <v>0</v>
      </c>
      <c r="AD1967" s="67">
        <f t="shared" si="74"/>
        <v>0</v>
      </c>
      <c r="AE1967" s="67">
        <f t="shared" si="75"/>
        <v>0</v>
      </c>
      <c r="AF1967" s="67" t="b">
        <f t="shared" si="33"/>
        <v>0</v>
      </c>
      <c r="AG1967" s="67">
        <f t="shared" si="76"/>
        <v>0</v>
      </c>
      <c r="AH1967" s="67">
        <f t="shared" si="77"/>
        <v>0</v>
      </c>
      <c r="AI1967" s="67" t="b">
        <f t="shared" si="17"/>
        <v>0</v>
      </c>
      <c r="AJ1967" s="68">
        <f t="shared" si="78"/>
        <v>0</v>
      </c>
      <c r="AK1967" s="68">
        <f t="shared" si="79"/>
        <v>0</v>
      </c>
      <c r="AL1967" s="70"/>
      <c r="AM1967" s="70"/>
      <c r="AN1967" s="71"/>
      <c r="AO1967" s="71"/>
      <c r="AP1967" s="71"/>
      <c r="AQ1967" s="71"/>
      <c r="AR1967" s="71"/>
      <c r="AS1967" s="71"/>
      <c r="AT1967" s="71"/>
      <c r="AU1967" s="71"/>
      <c r="AV1967" s="71"/>
      <c r="AW1967" s="71"/>
      <c r="AX1967" s="71"/>
      <c r="AY1967" s="71"/>
      <c r="AZ1967" s="71"/>
      <c r="BA1967" s="71"/>
      <c r="BB1967" s="71"/>
      <c r="BC1967" s="71"/>
      <c r="BD1967" s="71"/>
      <c r="BE1967" s="71"/>
      <c r="BF1967" s="71"/>
      <c r="BG1967" s="71"/>
      <c r="BH1967" s="71"/>
      <c r="BI1967" s="71"/>
      <c r="BJ1967" s="71"/>
      <c r="BK1967" s="71"/>
      <c r="BL1967" s="71"/>
      <c r="BM1967" s="71"/>
      <c r="BN1967" s="71"/>
      <c r="BO1967" s="71"/>
      <c r="BP1967" s="71"/>
      <c r="BQ1967" s="71"/>
      <c r="BR1967" s="71"/>
      <c r="BS1967" s="71"/>
      <c r="BT1967" s="71"/>
      <c r="BU1967" s="71"/>
      <c r="BV1967" s="71"/>
    </row>
    <row r="1968">
      <c r="A1968" s="53">
        <v>1.0</v>
      </c>
      <c r="B1968" s="53"/>
      <c r="C1968" s="73" t="s">
        <v>53</v>
      </c>
      <c r="D1968" s="74" t="s">
        <v>4807</v>
      </c>
      <c r="E1968" s="54" t="s">
        <v>38</v>
      </c>
      <c r="F1968" s="54" t="s">
        <v>42</v>
      </c>
      <c r="G1968" s="141" t="s">
        <v>4808</v>
      </c>
      <c r="H1968" s="141" t="s">
        <v>4808</v>
      </c>
      <c r="I1968" s="54">
        <f t="shared" si="24"/>
        <v>25</v>
      </c>
      <c r="J1968" s="56"/>
      <c r="K1968" s="57"/>
      <c r="L1968" s="76"/>
      <c r="M1968" s="59"/>
      <c r="N1968" s="60">
        <v>478.0</v>
      </c>
      <c r="O1968" s="61">
        <v>580.0</v>
      </c>
      <c r="P1968" s="62">
        <v>626.4000000000001</v>
      </c>
      <c r="Q1968" s="63">
        <v>626.4000000000001</v>
      </c>
      <c r="R1968" s="64">
        <v>659.0</v>
      </c>
      <c r="S1968" s="111">
        <v>692.0</v>
      </c>
      <c r="T1968" s="65">
        <f t="shared" si="80"/>
        <v>110.72</v>
      </c>
      <c r="U1968" s="65">
        <f t="shared" si="81"/>
        <v>802.72</v>
      </c>
      <c r="V1968" s="66">
        <f t="shared" si="82"/>
        <v>0.05007587253</v>
      </c>
      <c r="W1968" s="67">
        <f t="shared" si="5"/>
        <v>657.4</v>
      </c>
      <c r="X1968" s="67">
        <f t="shared" si="70"/>
        <v>105.184</v>
      </c>
      <c r="Y1968" s="67">
        <f t="shared" si="71"/>
        <v>762.584</v>
      </c>
      <c r="Z1968" s="67">
        <f t="shared" si="8"/>
        <v>622.8</v>
      </c>
      <c r="AA1968" s="67">
        <f t="shared" si="72"/>
        <v>99.648</v>
      </c>
      <c r="AB1968" s="67">
        <f t="shared" si="73"/>
        <v>722.448</v>
      </c>
      <c r="AC1968" s="67">
        <f t="shared" si="11"/>
        <v>588.2</v>
      </c>
      <c r="AD1968" s="67">
        <f t="shared" si="74"/>
        <v>94.112</v>
      </c>
      <c r="AE1968" s="67">
        <f t="shared" si="75"/>
        <v>682.312</v>
      </c>
      <c r="AF1968" s="67">
        <f t="shared" si="33"/>
        <v>574.36</v>
      </c>
      <c r="AG1968" s="67">
        <f t="shared" si="76"/>
        <v>91.8976</v>
      </c>
      <c r="AH1968" s="67">
        <f t="shared" si="77"/>
        <v>666.2576</v>
      </c>
      <c r="AI1968" s="67">
        <f t="shared" si="17"/>
        <v>553.6</v>
      </c>
      <c r="AJ1968" s="68">
        <f t="shared" si="78"/>
        <v>88.576</v>
      </c>
      <c r="AK1968" s="68">
        <f t="shared" si="79"/>
        <v>642.176</v>
      </c>
      <c r="AL1968" s="70"/>
      <c r="AM1968" s="70"/>
      <c r="AN1968" s="71"/>
      <c r="AO1968" s="71"/>
      <c r="AP1968" s="71"/>
      <c r="AQ1968" s="71"/>
      <c r="AR1968" s="71"/>
      <c r="AS1968" s="71"/>
      <c r="AT1968" s="71"/>
      <c r="AU1968" s="71"/>
      <c r="AV1968" s="71"/>
      <c r="AW1968" s="71"/>
      <c r="AX1968" s="71"/>
      <c r="AY1968" s="71"/>
      <c r="AZ1968" s="71"/>
      <c r="BA1968" s="71"/>
      <c r="BB1968" s="71"/>
      <c r="BC1968" s="71"/>
      <c r="BD1968" s="71"/>
      <c r="BE1968" s="71"/>
      <c r="BF1968" s="71"/>
      <c r="BG1968" s="71"/>
      <c r="BH1968" s="71"/>
      <c r="BI1968" s="71"/>
      <c r="BJ1968" s="71"/>
      <c r="BK1968" s="71"/>
      <c r="BL1968" s="71"/>
      <c r="BM1968" s="71"/>
      <c r="BN1968" s="71"/>
      <c r="BO1968" s="71"/>
      <c r="BP1968" s="71"/>
      <c r="BQ1968" s="71"/>
      <c r="BR1968" s="71"/>
      <c r="BS1968" s="71"/>
      <c r="BT1968" s="71"/>
      <c r="BU1968" s="71"/>
      <c r="BV1968" s="71"/>
    </row>
    <row r="1969">
      <c r="A1969" s="53"/>
      <c r="B1969" s="53">
        <v>0.0</v>
      </c>
      <c r="C1969" s="73" t="s">
        <v>53</v>
      </c>
      <c r="D1969" s="74" t="s">
        <v>4809</v>
      </c>
      <c r="E1969" s="54" t="s">
        <v>38</v>
      </c>
      <c r="F1969" s="54" t="s">
        <v>42</v>
      </c>
      <c r="G1969" s="141" t="s">
        <v>4810</v>
      </c>
      <c r="H1969" s="141" t="s">
        <v>4810</v>
      </c>
      <c r="I1969" s="54">
        <f t="shared" si="24"/>
        <v>27</v>
      </c>
      <c r="J1969" s="56"/>
      <c r="K1969" s="57"/>
      <c r="L1969" s="76" t="s">
        <v>661</v>
      </c>
      <c r="M1969" s="59"/>
      <c r="N1969" s="60">
        <v>478.0</v>
      </c>
      <c r="O1969" s="61">
        <v>645.0</v>
      </c>
      <c r="P1969" s="62">
        <v>696.6</v>
      </c>
      <c r="Q1969" s="63">
        <v>696.6</v>
      </c>
      <c r="R1969" s="64">
        <v>776.0</v>
      </c>
      <c r="S1969" s="111">
        <v>815.0</v>
      </c>
      <c r="T1969" s="65">
        <f t="shared" si="80"/>
        <v>130.4</v>
      </c>
      <c r="U1969" s="65">
        <f t="shared" si="81"/>
        <v>945.4</v>
      </c>
      <c r="V1969" s="66">
        <f t="shared" si="82"/>
        <v>0.05025773196</v>
      </c>
      <c r="W1969" s="67" t="b">
        <f t="shared" si="5"/>
        <v>0</v>
      </c>
      <c r="X1969" s="67">
        <f t="shared" si="70"/>
        <v>0</v>
      </c>
      <c r="Y1969" s="67">
        <f t="shared" si="71"/>
        <v>0</v>
      </c>
      <c r="Z1969" s="67" t="b">
        <f t="shared" si="8"/>
        <v>0</v>
      </c>
      <c r="AA1969" s="67">
        <f t="shared" si="72"/>
        <v>0</v>
      </c>
      <c r="AB1969" s="67">
        <f t="shared" si="73"/>
        <v>0</v>
      </c>
      <c r="AC1969" s="67" t="b">
        <f t="shared" si="11"/>
        <v>0</v>
      </c>
      <c r="AD1969" s="67">
        <f t="shared" si="74"/>
        <v>0</v>
      </c>
      <c r="AE1969" s="67">
        <f t="shared" si="75"/>
        <v>0</v>
      </c>
      <c r="AF1969" s="67" t="b">
        <f t="shared" si="33"/>
        <v>0</v>
      </c>
      <c r="AG1969" s="67">
        <f t="shared" si="76"/>
        <v>0</v>
      </c>
      <c r="AH1969" s="67">
        <f t="shared" si="77"/>
        <v>0</v>
      </c>
      <c r="AI1969" s="67" t="b">
        <f t="shared" si="17"/>
        <v>0</v>
      </c>
      <c r="AJ1969" s="68">
        <f t="shared" si="78"/>
        <v>0</v>
      </c>
      <c r="AK1969" s="68">
        <f t="shared" si="79"/>
        <v>0</v>
      </c>
      <c r="AL1969" s="70"/>
      <c r="AM1969" s="70"/>
      <c r="AN1969" s="71"/>
      <c r="AO1969" s="71"/>
      <c r="AP1969" s="71"/>
      <c r="AQ1969" s="71"/>
      <c r="AR1969" s="71"/>
      <c r="AS1969" s="71"/>
      <c r="AT1969" s="71"/>
      <c r="AU1969" s="71"/>
      <c r="AV1969" s="71"/>
      <c r="AW1969" s="71"/>
      <c r="AX1969" s="71"/>
      <c r="AY1969" s="71"/>
      <c r="AZ1969" s="71"/>
      <c r="BA1969" s="71"/>
      <c r="BB1969" s="71"/>
      <c r="BC1969" s="71"/>
      <c r="BD1969" s="71"/>
      <c r="BE1969" s="71"/>
      <c r="BF1969" s="71"/>
      <c r="BG1969" s="71"/>
      <c r="BH1969" s="71"/>
      <c r="BI1969" s="71"/>
      <c r="BJ1969" s="71"/>
      <c r="BK1969" s="71"/>
      <c r="BL1969" s="71"/>
      <c r="BM1969" s="71"/>
      <c r="BN1969" s="71"/>
      <c r="BO1969" s="71"/>
      <c r="BP1969" s="71"/>
      <c r="BQ1969" s="71"/>
      <c r="BR1969" s="71"/>
      <c r="BS1969" s="71"/>
      <c r="BT1969" s="71"/>
      <c r="BU1969" s="71"/>
      <c r="BV1969" s="71"/>
    </row>
    <row r="1970">
      <c r="A1970" s="53">
        <v>1.0</v>
      </c>
      <c r="B1970" s="53"/>
      <c r="C1970" s="73" t="s">
        <v>53</v>
      </c>
      <c r="D1970" s="74" t="s">
        <v>4811</v>
      </c>
      <c r="E1970" s="54" t="s">
        <v>38</v>
      </c>
      <c r="F1970" s="54" t="s">
        <v>42</v>
      </c>
      <c r="G1970" s="141" t="s">
        <v>4812</v>
      </c>
      <c r="H1970" s="141" t="s">
        <v>4812</v>
      </c>
      <c r="I1970" s="54">
        <f t="shared" si="24"/>
        <v>25</v>
      </c>
      <c r="J1970" s="56"/>
      <c r="K1970" s="57"/>
      <c r="L1970" s="76"/>
      <c r="M1970" s="59"/>
      <c r="N1970" s="60">
        <v>478.0</v>
      </c>
      <c r="O1970" s="61">
        <v>580.0</v>
      </c>
      <c r="P1970" s="62">
        <v>626.4000000000001</v>
      </c>
      <c r="Q1970" s="63">
        <v>626.4000000000001</v>
      </c>
      <c r="R1970" s="64">
        <v>678.0</v>
      </c>
      <c r="S1970" s="111">
        <v>712.0</v>
      </c>
      <c r="T1970" s="65">
        <f t="shared" si="80"/>
        <v>113.92</v>
      </c>
      <c r="U1970" s="65">
        <f t="shared" si="81"/>
        <v>825.92</v>
      </c>
      <c r="V1970" s="66">
        <f t="shared" si="82"/>
        <v>0.05014749263</v>
      </c>
      <c r="W1970" s="67">
        <f t="shared" si="5"/>
        <v>676.4</v>
      </c>
      <c r="X1970" s="67">
        <f t="shared" si="70"/>
        <v>108.224</v>
      </c>
      <c r="Y1970" s="67">
        <f t="shared" si="71"/>
        <v>784.624</v>
      </c>
      <c r="Z1970" s="67">
        <f t="shared" si="8"/>
        <v>640.8</v>
      </c>
      <c r="AA1970" s="67">
        <f t="shared" si="72"/>
        <v>102.528</v>
      </c>
      <c r="AB1970" s="67">
        <f t="shared" si="73"/>
        <v>743.328</v>
      </c>
      <c r="AC1970" s="67">
        <f t="shared" si="11"/>
        <v>605.2</v>
      </c>
      <c r="AD1970" s="67">
        <f t="shared" si="74"/>
        <v>96.832</v>
      </c>
      <c r="AE1970" s="67">
        <f t="shared" si="75"/>
        <v>702.032</v>
      </c>
      <c r="AF1970" s="67">
        <f t="shared" si="33"/>
        <v>590.96</v>
      </c>
      <c r="AG1970" s="67">
        <f t="shared" si="76"/>
        <v>94.5536</v>
      </c>
      <c r="AH1970" s="67">
        <f t="shared" si="77"/>
        <v>685.5136</v>
      </c>
      <c r="AI1970" s="67">
        <f t="shared" si="17"/>
        <v>569.6</v>
      </c>
      <c r="AJ1970" s="68">
        <f t="shared" si="78"/>
        <v>91.136</v>
      </c>
      <c r="AK1970" s="68">
        <f t="shared" si="79"/>
        <v>660.736</v>
      </c>
      <c r="AL1970" s="70"/>
      <c r="AM1970" s="70"/>
      <c r="AN1970" s="71"/>
      <c r="AO1970" s="71"/>
      <c r="AP1970" s="71"/>
      <c r="AQ1970" s="71"/>
      <c r="AR1970" s="71"/>
      <c r="AS1970" s="71"/>
      <c r="AT1970" s="71"/>
      <c r="AU1970" s="71"/>
      <c r="AV1970" s="71"/>
      <c r="AW1970" s="71"/>
      <c r="AX1970" s="71"/>
      <c r="AY1970" s="71"/>
      <c r="AZ1970" s="71"/>
      <c r="BA1970" s="71"/>
      <c r="BB1970" s="71"/>
      <c r="BC1970" s="71"/>
      <c r="BD1970" s="71"/>
      <c r="BE1970" s="71"/>
      <c r="BF1970" s="71"/>
      <c r="BG1970" s="71"/>
      <c r="BH1970" s="71"/>
      <c r="BI1970" s="71"/>
      <c r="BJ1970" s="71"/>
      <c r="BK1970" s="71"/>
      <c r="BL1970" s="71"/>
      <c r="BM1970" s="71"/>
      <c r="BN1970" s="71"/>
      <c r="BO1970" s="71"/>
      <c r="BP1970" s="71"/>
      <c r="BQ1970" s="71"/>
      <c r="BR1970" s="71"/>
      <c r="BS1970" s="71"/>
      <c r="BT1970" s="71"/>
      <c r="BU1970" s="71"/>
      <c r="BV1970" s="71"/>
    </row>
    <row r="1971">
      <c r="A1971" s="53"/>
      <c r="B1971" s="53">
        <v>0.0</v>
      </c>
      <c r="C1971" s="73" t="s">
        <v>12</v>
      </c>
      <c r="D1971" s="53" t="s">
        <v>4813</v>
      </c>
      <c r="E1971" s="54" t="s">
        <v>38</v>
      </c>
      <c r="F1971" s="54" t="s">
        <v>42</v>
      </c>
      <c r="G1971" s="142" t="s">
        <v>4814</v>
      </c>
      <c r="H1971" s="142" t="s">
        <v>4814</v>
      </c>
      <c r="I1971" s="54">
        <f t="shared" si="24"/>
        <v>31</v>
      </c>
      <c r="J1971" s="56"/>
      <c r="K1971" s="57"/>
      <c r="L1971" s="76" t="s">
        <v>661</v>
      </c>
      <c r="M1971" s="59"/>
      <c r="N1971" s="60"/>
      <c r="O1971" s="90"/>
      <c r="P1971" s="62">
        <v>928.41</v>
      </c>
      <c r="Q1971" s="63">
        <v>928.41</v>
      </c>
      <c r="R1971" s="64">
        <v>975.0</v>
      </c>
      <c r="S1971" s="111">
        <v>1024.0</v>
      </c>
      <c r="T1971" s="65">
        <f t="shared" si="80"/>
        <v>163.84</v>
      </c>
      <c r="U1971" s="65">
        <f t="shared" si="81"/>
        <v>1187.84</v>
      </c>
      <c r="V1971" s="66">
        <f t="shared" si="82"/>
        <v>0.05025641026</v>
      </c>
      <c r="W1971" s="67" t="b">
        <f t="shared" si="5"/>
        <v>0</v>
      </c>
      <c r="X1971" s="67">
        <f t="shared" si="70"/>
        <v>0</v>
      </c>
      <c r="Y1971" s="67">
        <f t="shared" si="71"/>
        <v>0</v>
      </c>
      <c r="Z1971" s="67" t="b">
        <f t="shared" si="8"/>
        <v>0</v>
      </c>
      <c r="AA1971" s="67">
        <f t="shared" si="72"/>
        <v>0</v>
      </c>
      <c r="AB1971" s="67">
        <f t="shared" si="73"/>
        <v>0</v>
      </c>
      <c r="AC1971" s="67" t="b">
        <f t="shared" si="11"/>
        <v>0</v>
      </c>
      <c r="AD1971" s="67">
        <f t="shared" si="74"/>
        <v>0</v>
      </c>
      <c r="AE1971" s="67">
        <f t="shared" si="75"/>
        <v>0</v>
      </c>
      <c r="AF1971" s="67" t="b">
        <f t="shared" si="33"/>
        <v>0</v>
      </c>
      <c r="AG1971" s="67">
        <f t="shared" si="76"/>
        <v>0</v>
      </c>
      <c r="AH1971" s="67">
        <f t="shared" si="77"/>
        <v>0</v>
      </c>
      <c r="AI1971" s="67" t="b">
        <f t="shared" si="17"/>
        <v>0</v>
      </c>
      <c r="AJ1971" s="68">
        <f t="shared" si="78"/>
        <v>0</v>
      </c>
      <c r="AK1971" s="68">
        <f t="shared" si="79"/>
        <v>0</v>
      </c>
      <c r="AL1971" s="70"/>
      <c r="AM1971" s="70"/>
      <c r="AN1971" s="71"/>
      <c r="AO1971" s="71"/>
      <c r="AP1971" s="71"/>
      <c r="AQ1971" s="71"/>
      <c r="AR1971" s="71"/>
      <c r="AS1971" s="71"/>
      <c r="AT1971" s="71"/>
      <c r="AU1971" s="71"/>
      <c r="AV1971" s="71"/>
      <c r="AW1971" s="71"/>
      <c r="AX1971" s="71"/>
      <c r="AY1971" s="71"/>
      <c r="AZ1971" s="71"/>
      <c r="BA1971" s="71"/>
      <c r="BB1971" s="71"/>
      <c r="BC1971" s="71"/>
      <c r="BD1971" s="71"/>
      <c r="BE1971" s="71"/>
      <c r="BF1971" s="71"/>
      <c r="BG1971" s="71"/>
      <c r="BH1971" s="71"/>
      <c r="BI1971" s="71"/>
      <c r="BJ1971" s="71"/>
      <c r="BK1971" s="71"/>
      <c r="BL1971" s="71"/>
      <c r="BM1971" s="71"/>
      <c r="BN1971" s="71"/>
      <c r="BO1971" s="71"/>
      <c r="BP1971" s="71"/>
      <c r="BQ1971" s="71"/>
      <c r="BR1971" s="71"/>
      <c r="BS1971" s="71"/>
      <c r="BT1971" s="71"/>
      <c r="BU1971" s="71"/>
      <c r="BV1971" s="71"/>
    </row>
    <row r="1972">
      <c r="A1972" s="53"/>
      <c r="B1972" s="53">
        <v>0.0</v>
      </c>
      <c r="C1972" s="73" t="s">
        <v>53</v>
      </c>
      <c r="D1972" s="53" t="s">
        <v>4815</v>
      </c>
      <c r="E1972" s="54" t="s">
        <v>38</v>
      </c>
      <c r="F1972" s="54" t="s">
        <v>42</v>
      </c>
      <c r="G1972" s="142" t="s">
        <v>4816</v>
      </c>
      <c r="H1972" s="142" t="s">
        <v>4816</v>
      </c>
      <c r="I1972" s="54">
        <f t="shared" si="24"/>
        <v>27</v>
      </c>
      <c r="J1972" s="56"/>
      <c r="K1972" s="57"/>
      <c r="L1972" s="76" t="s">
        <v>661</v>
      </c>
      <c r="M1972" s="59"/>
      <c r="N1972" s="79">
        <v>478.0</v>
      </c>
      <c r="O1972" s="61">
        <v>645.0</v>
      </c>
      <c r="P1972" s="62">
        <v>696.6</v>
      </c>
      <c r="Q1972" s="63">
        <v>696.6</v>
      </c>
      <c r="R1972" s="64">
        <v>732.0</v>
      </c>
      <c r="S1972" s="111">
        <v>769.0</v>
      </c>
      <c r="T1972" s="65">
        <f t="shared" si="80"/>
        <v>123.04</v>
      </c>
      <c r="U1972" s="65">
        <f t="shared" si="81"/>
        <v>892.04</v>
      </c>
      <c r="V1972" s="66">
        <f t="shared" si="82"/>
        <v>0.05054644809</v>
      </c>
      <c r="W1972" s="67" t="b">
        <f t="shared" si="5"/>
        <v>0</v>
      </c>
      <c r="X1972" s="67">
        <f t="shared" si="70"/>
        <v>0</v>
      </c>
      <c r="Y1972" s="67">
        <f t="shared" si="71"/>
        <v>0</v>
      </c>
      <c r="Z1972" s="67" t="b">
        <f t="shared" si="8"/>
        <v>0</v>
      </c>
      <c r="AA1972" s="67">
        <f t="shared" si="72"/>
        <v>0</v>
      </c>
      <c r="AB1972" s="67">
        <f t="shared" si="73"/>
        <v>0</v>
      </c>
      <c r="AC1972" s="67" t="b">
        <f t="shared" si="11"/>
        <v>0</v>
      </c>
      <c r="AD1972" s="67">
        <f t="shared" si="74"/>
        <v>0</v>
      </c>
      <c r="AE1972" s="67">
        <f t="shared" si="75"/>
        <v>0</v>
      </c>
      <c r="AF1972" s="67" t="b">
        <f t="shared" si="33"/>
        <v>0</v>
      </c>
      <c r="AG1972" s="67">
        <f t="shared" si="76"/>
        <v>0</v>
      </c>
      <c r="AH1972" s="67">
        <f t="shared" si="77"/>
        <v>0</v>
      </c>
      <c r="AI1972" s="67" t="b">
        <f t="shared" si="17"/>
        <v>0</v>
      </c>
      <c r="AJ1972" s="68">
        <f t="shared" si="78"/>
        <v>0</v>
      </c>
      <c r="AK1972" s="68">
        <f t="shared" si="79"/>
        <v>0</v>
      </c>
      <c r="AL1972" s="70"/>
      <c r="AM1972" s="70"/>
      <c r="AN1972" s="71"/>
      <c r="AO1972" s="71"/>
      <c r="AP1972" s="71"/>
      <c r="AQ1972" s="71"/>
      <c r="AR1972" s="71"/>
      <c r="AS1972" s="71"/>
      <c r="AT1972" s="71"/>
      <c r="AU1972" s="71"/>
      <c r="AV1972" s="71"/>
      <c r="AW1972" s="71"/>
      <c r="AX1972" s="71"/>
      <c r="AY1972" s="71"/>
      <c r="AZ1972" s="71"/>
      <c r="BA1972" s="71"/>
      <c r="BB1972" s="71"/>
      <c r="BC1972" s="71"/>
      <c r="BD1972" s="71"/>
      <c r="BE1972" s="71"/>
      <c r="BF1972" s="71"/>
      <c r="BG1972" s="71"/>
      <c r="BH1972" s="71"/>
      <c r="BI1972" s="71"/>
      <c r="BJ1972" s="71"/>
      <c r="BK1972" s="71"/>
      <c r="BL1972" s="71"/>
      <c r="BM1972" s="71"/>
      <c r="BN1972" s="71"/>
      <c r="BO1972" s="71"/>
      <c r="BP1972" s="71"/>
      <c r="BQ1972" s="71"/>
      <c r="BR1972" s="71"/>
      <c r="BS1972" s="71"/>
      <c r="BT1972" s="71"/>
      <c r="BU1972" s="71"/>
      <c r="BV1972" s="71"/>
    </row>
    <row r="1973">
      <c r="A1973" s="53">
        <v>1.0</v>
      </c>
      <c r="B1973" s="53"/>
      <c r="C1973" s="73" t="s">
        <v>53</v>
      </c>
      <c r="D1973" s="74" t="s">
        <v>4817</v>
      </c>
      <c r="E1973" s="54" t="s">
        <v>38</v>
      </c>
      <c r="F1973" s="54" t="s">
        <v>42</v>
      </c>
      <c r="G1973" s="141" t="s">
        <v>4818</v>
      </c>
      <c r="H1973" s="141" t="s">
        <v>4818</v>
      </c>
      <c r="I1973" s="54">
        <f t="shared" si="24"/>
        <v>25</v>
      </c>
      <c r="J1973" s="56"/>
      <c r="K1973" s="57"/>
      <c r="L1973" s="76"/>
      <c r="M1973" s="59"/>
      <c r="N1973" s="60">
        <v>478.0</v>
      </c>
      <c r="O1973" s="61">
        <v>580.0</v>
      </c>
      <c r="P1973" s="62">
        <v>626.4000000000001</v>
      </c>
      <c r="Q1973" s="63">
        <v>626.4000000000001</v>
      </c>
      <c r="R1973" s="64">
        <v>659.0</v>
      </c>
      <c r="S1973" s="111">
        <v>692.0</v>
      </c>
      <c r="T1973" s="65">
        <f t="shared" si="80"/>
        <v>110.72</v>
      </c>
      <c r="U1973" s="65">
        <f t="shared" si="81"/>
        <v>802.72</v>
      </c>
      <c r="V1973" s="66">
        <f t="shared" si="82"/>
        <v>0.05007587253</v>
      </c>
      <c r="W1973" s="67">
        <f t="shared" si="5"/>
        <v>657.4</v>
      </c>
      <c r="X1973" s="67">
        <f t="shared" si="70"/>
        <v>105.184</v>
      </c>
      <c r="Y1973" s="67">
        <f t="shared" si="71"/>
        <v>762.584</v>
      </c>
      <c r="Z1973" s="67">
        <f t="shared" si="8"/>
        <v>622.8</v>
      </c>
      <c r="AA1973" s="67">
        <f t="shared" si="72"/>
        <v>99.648</v>
      </c>
      <c r="AB1973" s="67">
        <f t="shared" si="73"/>
        <v>722.448</v>
      </c>
      <c r="AC1973" s="67">
        <f t="shared" si="11"/>
        <v>588.2</v>
      </c>
      <c r="AD1973" s="67">
        <f t="shared" si="74"/>
        <v>94.112</v>
      </c>
      <c r="AE1973" s="67">
        <f t="shared" si="75"/>
        <v>682.312</v>
      </c>
      <c r="AF1973" s="67">
        <f t="shared" si="33"/>
        <v>574.36</v>
      </c>
      <c r="AG1973" s="67">
        <f t="shared" si="76"/>
        <v>91.8976</v>
      </c>
      <c r="AH1973" s="67">
        <f t="shared" si="77"/>
        <v>666.2576</v>
      </c>
      <c r="AI1973" s="67">
        <f t="shared" si="17"/>
        <v>553.6</v>
      </c>
      <c r="AJ1973" s="68">
        <f t="shared" si="78"/>
        <v>88.576</v>
      </c>
      <c r="AK1973" s="68">
        <f t="shared" si="79"/>
        <v>642.176</v>
      </c>
      <c r="AL1973" s="70"/>
      <c r="AM1973" s="70"/>
      <c r="AN1973" s="71"/>
      <c r="AO1973" s="71"/>
      <c r="AP1973" s="71"/>
      <c r="AQ1973" s="71"/>
      <c r="AR1973" s="71"/>
      <c r="AS1973" s="71"/>
      <c r="AT1973" s="71"/>
      <c r="AU1973" s="71"/>
      <c r="AV1973" s="71"/>
      <c r="AW1973" s="71"/>
      <c r="AX1973" s="71"/>
      <c r="AY1973" s="71"/>
      <c r="AZ1973" s="71"/>
      <c r="BA1973" s="71"/>
      <c r="BB1973" s="71"/>
      <c r="BC1973" s="71"/>
      <c r="BD1973" s="71"/>
      <c r="BE1973" s="71"/>
      <c r="BF1973" s="71"/>
      <c r="BG1973" s="71"/>
      <c r="BH1973" s="71"/>
      <c r="BI1973" s="71"/>
      <c r="BJ1973" s="71"/>
      <c r="BK1973" s="71"/>
      <c r="BL1973" s="71"/>
      <c r="BM1973" s="71"/>
      <c r="BN1973" s="71"/>
      <c r="BO1973" s="71"/>
      <c r="BP1973" s="71"/>
      <c r="BQ1973" s="71"/>
      <c r="BR1973" s="71"/>
      <c r="BS1973" s="71"/>
      <c r="BT1973" s="71"/>
      <c r="BU1973" s="71"/>
      <c r="BV1973" s="71"/>
    </row>
    <row r="1974">
      <c r="A1974" s="53"/>
      <c r="B1974" s="53">
        <v>0.0</v>
      </c>
      <c r="C1974" s="73" t="s">
        <v>53</v>
      </c>
      <c r="D1974" s="53" t="s">
        <v>4819</v>
      </c>
      <c r="E1974" s="54" t="s">
        <v>38</v>
      </c>
      <c r="F1974" s="54" t="s">
        <v>42</v>
      </c>
      <c r="G1974" s="142" t="s">
        <v>4820</v>
      </c>
      <c r="H1974" s="142" t="s">
        <v>4820</v>
      </c>
      <c r="I1974" s="54">
        <f t="shared" si="24"/>
        <v>27</v>
      </c>
      <c r="J1974" s="56"/>
      <c r="K1974" s="57"/>
      <c r="L1974" s="76" t="s">
        <v>661</v>
      </c>
      <c r="M1974" s="59"/>
      <c r="N1974" s="79">
        <v>478.0</v>
      </c>
      <c r="O1974" s="61">
        <v>645.0</v>
      </c>
      <c r="P1974" s="62">
        <v>696.6</v>
      </c>
      <c r="Q1974" s="63">
        <v>696.6</v>
      </c>
      <c r="R1974" s="64">
        <v>732.0</v>
      </c>
      <c r="S1974" s="111">
        <v>769.0</v>
      </c>
      <c r="T1974" s="65">
        <f t="shared" si="80"/>
        <v>123.04</v>
      </c>
      <c r="U1974" s="65">
        <f t="shared" si="81"/>
        <v>892.04</v>
      </c>
      <c r="V1974" s="66">
        <f t="shared" si="82"/>
        <v>0.05054644809</v>
      </c>
      <c r="W1974" s="67" t="b">
        <f t="shared" si="5"/>
        <v>0</v>
      </c>
      <c r="X1974" s="67">
        <f t="shared" si="70"/>
        <v>0</v>
      </c>
      <c r="Y1974" s="67">
        <f t="shared" si="71"/>
        <v>0</v>
      </c>
      <c r="Z1974" s="67" t="b">
        <f t="shared" si="8"/>
        <v>0</v>
      </c>
      <c r="AA1974" s="67">
        <f t="shared" si="72"/>
        <v>0</v>
      </c>
      <c r="AB1974" s="67">
        <f t="shared" si="73"/>
        <v>0</v>
      </c>
      <c r="AC1974" s="67" t="b">
        <f t="shared" si="11"/>
        <v>0</v>
      </c>
      <c r="AD1974" s="67">
        <f t="shared" si="74"/>
        <v>0</v>
      </c>
      <c r="AE1974" s="67">
        <f t="shared" si="75"/>
        <v>0</v>
      </c>
      <c r="AF1974" s="67" t="b">
        <f t="shared" si="33"/>
        <v>0</v>
      </c>
      <c r="AG1974" s="67">
        <f t="shared" si="76"/>
        <v>0</v>
      </c>
      <c r="AH1974" s="67">
        <f t="shared" si="77"/>
        <v>0</v>
      </c>
      <c r="AI1974" s="67" t="b">
        <f t="shared" si="17"/>
        <v>0</v>
      </c>
      <c r="AJ1974" s="68">
        <f t="shared" si="78"/>
        <v>0</v>
      </c>
      <c r="AK1974" s="68">
        <f t="shared" si="79"/>
        <v>0</v>
      </c>
      <c r="AL1974" s="70"/>
      <c r="AM1974" s="70"/>
      <c r="AN1974" s="71"/>
      <c r="AO1974" s="71"/>
      <c r="AP1974" s="71"/>
      <c r="AQ1974" s="71"/>
      <c r="AR1974" s="71"/>
      <c r="AS1974" s="71"/>
      <c r="AT1974" s="71"/>
      <c r="AU1974" s="71"/>
      <c r="AV1974" s="71"/>
      <c r="AW1974" s="71"/>
      <c r="AX1974" s="71"/>
      <c r="AY1974" s="71"/>
      <c r="AZ1974" s="71"/>
      <c r="BA1974" s="71"/>
      <c r="BB1974" s="71"/>
      <c r="BC1974" s="71"/>
      <c r="BD1974" s="71"/>
      <c r="BE1974" s="71"/>
      <c r="BF1974" s="71"/>
      <c r="BG1974" s="71"/>
      <c r="BH1974" s="71"/>
      <c r="BI1974" s="71"/>
      <c r="BJ1974" s="71"/>
      <c r="BK1974" s="71"/>
      <c r="BL1974" s="71"/>
      <c r="BM1974" s="71"/>
      <c r="BN1974" s="71"/>
      <c r="BO1974" s="71"/>
      <c r="BP1974" s="71"/>
      <c r="BQ1974" s="71"/>
      <c r="BR1974" s="71"/>
      <c r="BS1974" s="71"/>
      <c r="BT1974" s="71"/>
      <c r="BU1974" s="71"/>
      <c r="BV1974" s="71"/>
    </row>
    <row r="1975">
      <c r="A1975" s="53"/>
      <c r="B1975" s="53">
        <v>0.0</v>
      </c>
      <c r="C1975" s="73" t="s">
        <v>53</v>
      </c>
      <c r="D1975" s="53" t="s">
        <v>4821</v>
      </c>
      <c r="E1975" s="54" t="s">
        <v>38</v>
      </c>
      <c r="F1975" s="54" t="s">
        <v>42</v>
      </c>
      <c r="G1975" s="142" t="s">
        <v>4822</v>
      </c>
      <c r="H1975" s="142" t="s">
        <v>4822</v>
      </c>
      <c r="I1975" s="54">
        <f t="shared" si="24"/>
        <v>32</v>
      </c>
      <c r="J1975" s="56"/>
      <c r="K1975" s="57"/>
      <c r="L1975" s="76" t="s">
        <v>661</v>
      </c>
      <c r="M1975" s="59"/>
      <c r="N1975" s="79">
        <v>527.0</v>
      </c>
      <c r="O1975" s="61">
        <v>645.0</v>
      </c>
      <c r="P1975" s="63">
        <v>696.6</v>
      </c>
      <c r="Q1975" s="63">
        <v>696.6</v>
      </c>
      <c r="R1975" s="64">
        <v>732.0</v>
      </c>
      <c r="S1975" s="111">
        <v>769.0</v>
      </c>
      <c r="T1975" s="65">
        <f t="shared" si="80"/>
        <v>123.04</v>
      </c>
      <c r="U1975" s="65">
        <f t="shared" si="81"/>
        <v>892.04</v>
      </c>
      <c r="V1975" s="66">
        <f t="shared" si="82"/>
        <v>0.05054644809</v>
      </c>
      <c r="W1975" s="67" t="b">
        <f t="shared" si="5"/>
        <v>0</v>
      </c>
      <c r="X1975" s="67">
        <f t="shared" si="70"/>
        <v>0</v>
      </c>
      <c r="Y1975" s="67">
        <f t="shared" si="71"/>
        <v>0</v>
      </c>
      <c r="Z1975" s="67" t="b">
        <f t="shared" si="8"/>
        <v>0</v>
      </c>
      <c r="AA1975" s="67">
        <f t="shared" si="72"/>
        <v>0</v>
      </c>
      <c r="AB1975" s="67">
        <f t="shared" si="73"/>
        <v>0</v>
      </c>
      <c r="AC1975" s="67" t="b">
        <f t="shared" si="11"/>
        <v>0</v>
      </c>
      <c r="AD1975" s="67">
        <f t="shared" si="74"/>
        <v>0</v>
      </c>
      <c r="AE1975" s="67">
        <f t="shared" si="75"/>
        <v>0</v>
      </c>
      <c r="AF1975" s="67" t="b">
        <f t="shared" si="33"/>
        <v>0</v>
      </c>
      <c r="AG1975" s="67">
        <f t="shared" si="76"/>
        <v>0</v>
      </c>
      <c r="AH1975" s="67">
        <f t="shared" si="77"/>
        <v>0</v>
      </c>
      <c r="AI1975" s="67" t="b">
        <f t="shared" si="17"/>
        <v>0</v>
      </c>
      <c r="AJ1975" s="68">
        <f t="shared" si="78"/>
        <v>0</v>
      </c>
      <c r="AK1975" s="68">
        <f t="shared" si="79"/>
        <v>0</v>
      </c>
      <c r="AL1975" s="70"/>
      <c r="AM1975" s="70"/>
      <c r="AN1975" s="71"/>
      <c r="AO1975" s="71"/>
      <c r="AP1975" s="71"/>
      <c r="AQ1975" s="71"/>
      <c r="AR1975" s="71"/>
      <c r="AS1975" s="71"/>
      <c r="AT1975" s="71"/>
      <c r="AU1975" s="71"/>
      <c r="AV1975" s="71"/>
      <c r="AW1975" s="71"/>
      <c r="AX1975" s="71"/>
      <c r="AY1975" s="71"/>
      <c r="AZ1975" s="71"/>
      <c r="BA1975" s="71"/>
      <c r="BB1975" s="71"/>
      <c r="BC1975" s="71"/>
      <c r="BD1975" s="71"/>
      <c r="BE1975" s="71"/>
      <c r="BF1975" s="71"/>
      <c r="BG1975" s="71"/>
      <c r="BH1975" s="71"/>
      <c r="BI1975" s="71"/>
      <c r="BJ1975" s="71"/>
      <c r="BK1975" s="71"/>
      <c r="BL1975" s="71"/>
      <c r="BM1975" s="71"/>
      <c r="BN1975" s="71"/>
      <c r="BO1975" s="71"/>
      <c r="BP1975" s="71"/>
      <c r="BQ1975" s="71"/>
      <c r="BR1975" s="71"/>
      <c r="BS1975" s="71"/>
      <c r="BT1975" s="71"/>
      <c r="BU1975" s="71"/>
      <c r="BV1975" s="71"/>
    </row>
    <row r="1976">
      <c r="A1976" s="53">
        <v>1.0</v>
      </c>
      <c r="B1976" s="53"/>
      <c r="C1976" s="73" t="s">
        <v>53</v>
      </c>
      <c r="D1976" s="74" t="s">
        <v>4823</v>
      </c>
      <c r="E1976" s="54" t="s">
        <v>38</v>
      </c>
      <c r="F1976" s="54" t="s">
        <v>42</v>
      </c>
      <c r="G1976" s="141" t="s">
        <v>4824</v>
      </c>
      <c r="H1976" s="141" t="s">
        <v>4824</v>
      </c>
      <c r="I1976" s="54">
        <f t="shared" si="24"/>
        <v>30</v>
      </c>
      <c r="J1976" s="56"/>
      <c r="K1976" s="57"/>
      <c r="L1976" s="76"/>
      <c r="M1976" s="59"/>
      <c r="N1976" s="60">
        <v>478.0</v>
      </c>
      <c r="O1976" s="61">
        <v>580.0</v>
      </c>
      <c r="P1976" s="62">
        <v>626.4000000000001</v>
      </c>
      <c r="Q1976" s="63">
        <v>626.4000000000001</v>
      </c>
      <c r="R1976" s="64">
        <v>659.0</v>
      </c>
      <c r="S1976" s="111">
        <v>692.0</v>
      </c>
      <c r="T1976" s="65">
        <f t="shared" si="80"/>
        <v>110.72</v>
      </c>
      <c r="U1976" s="65">
        <f t="shared" si="81"/>
        <v>802.72</v>
      </c>
      <c r="V1976" s="66">
        <f t="shared" si="82"/>
        <v>0.05007587253</v>
      </c>
      <c r="W1976" s="67">
        <f t="shared" si="5"/>
        <v>657.4</v>
      </c>
      <c r="X1976" s="67">
        <f t="shared" si="70"/>
        <v>105.184</v>
      </c>
      <c r="Y1976" s="67">
        <f t="shared" si="71"/>
        <v>762.584</v>
      </c>
      <c r="Z1976" s="67">
        <f t="shared" si="8"/>
        <v>622.8</v>
      </c>
      <c r="AA1976" s="67">
        <f t="shared" si="72"/>
        <v>99.648</v>
      </c>
      <c r="AB1976" s="67">
        <f t="shared" si="73"/>
        <v>722.448</v>
      </c>
      <c r="AC1976" s="67">
        <f t="shared" si="11"/>
        <v>588.2</v>
      </c>
      <c r="AD1976" s="67">
        <f t="shared" si="74"/>
        <v>94.112</v>
      </c>
      <c r="AE1976" s="67">
        <f t="shared" si="75"/>
        <v>682.312</v>
      </c>
      <c r="AF1976" s="67">
        <f t="shared" si="33"/>
        <v>574.36</v>
      </c>
      <c r="AG1976" s="67">
        <f t="shared" si="76"/>
        <v>91.8976</v>
      </c>
      <c r="AH1976" s="67">
        <f t="shared" si="77"/>
        <v>666.2576</v>
      </c>
      <c r="AI1976" s="67">
        <f t="shared" si="17"/>
        <v>553.6</v>
      </c>
      <c r="AJ1976" s="68">
        <f t="shared" si="78"/>
        <v>88.576</v>
      </c>
      <c r="AK1976" s="68">
        <f t="shared" si="79"/>
        <v>642.176</v>
      </c>
      <c r="AL1976" s="70"/>
      <c r="AM1976" s="70"/>
      <c r="AN1976" s="71"/>
      <c r="AO1976" s="71"/>
      <c r="AP1976" s="71"/>
      <c r="AQ1976" s="71"/>
      <c r="AR1976" s="71"/>
      <c r="AS1976" s="71"/>
      <c r="AT1976" s="71"/>
      <c r="AU1976" s="71"/>
      <c r="AV1976" s="71"/>
      <c r="AW1976" s="71"/>
      <c r="AX1976" s="71"/>
      <c r="AY1976" s="71"/>
      <c r="AZ1976" s="71"/>
      <c r="BA1976" s="71"/>
      <c r="BB1976" s="71"/>
      <c r="BC1976" s="71"/>
      <c r="BD1976" s="71"/>
      <c r="BE1976" s="71"/>
      <c r="BF1976" s="71"/>
      <c r="BG1976" s="71"/>
      <c r="BH1976" s="71"/>
      <c r="BI1976" s="71"/>
      <c r="BJ1976" s="71"/>
      <c r="BK1976" s="71"/>
      <c r="BL1976" s="71"/>
      <c r="BM1976" s="71"/>
      <c r="BN1976" s="71"/>
      <c r="BO1976" s="71"/>
      <c r="BP1976" s="71"/>
      <c r="BQ1976" s="71"/>
      <c r="BR1976" s="71"/>
      <c r="BS1976" s="71"/>
      <c r="BT1976" s="71"/>
      <c r="BU1976" s="71"/>
      <c r="BV1976" s="71"/>
    </row>
    <row r="1977">
      <c r="A1977" s="53"/>
      <c r="B1977" s="53">
        <v>0.0</v>
      </c>
      <c r="C1977" s="73" t="s">
        <v>53</v>
      </c>
      <c r="D1977" s="53" t="s">
        <v>4825</v>
      </c>
      <c r="E1977" s="54" t="s">
        <v>38</v>
      </c>
      <c r="F1977" s="55" t="s">
        <v>309</v>
      </c>
      <c r="G1977" s="141" t="s">
        <v>4824</v>
      </c>
      <c r="H1977" s="141" t="s">
        <v>4824</v>
      </c>
      <c r="I1977" s="54">
        <f t="shared" si="24"/>
        <v>30</v>
      </c>
      <c r="J1977" s="56"/>
      <c r="K1977" s="57"/>
      <c r="L1977" s="76" t="s">
        <v>661</v>
      </c>
      <c r="M1977" s="59"/>
      <c r="N1977" s="60"/>
      <c r="O1977" s="90">
        <v>516.0</v>
      </c>
      <c r="P1977" s="62">
        <v>557.2800000000001</v>
      </c>
      <c r="Q1977" s="63">
        <v>557.2800000000001</v>
      </c>
      <c r="R1977" s="64">
        <v>585.0</v>
      </c>
      <c r="S1977" s="111">
        <v>614.0</v>
      </c>
      <c r="T1977" s="65">
        <f t="shared" si="80"/>
        <v>98.24</v>
      </c>
      <c r="U1977" s="65">
        <f t="shared" si="81"/>
        <v>712.24</v>
      </c>
      <c r="V1977" s="66">
        <f t="shared" si="82"/>
        <v>0.04957264957</v>
      </c>
      <c r="W1977" s="67" t="b">
        <f t="shared" si="5"/>
        <v>0</v>
      </c>
      <c r="X1977" s="67">
        <f t="shared" si="70"/>
        <v>0</v>
      </c>
      <c r="Y1977" s="67">
        <f t="shared" si="71"/>
        <v>0</v>
      </c>
      <c r="Z1977" s="67" t="b">
        <f t="shared" si="8"/>
        <v>0</v>
      </c>
      <c r="AA1977" s="67">
        <f t="shared" si="72"/>
        <v>0</v>
      </c>
      <c r="AB1977" s="67">
        <f t="shared" si="73"/>
        <v>0</v>
      </c>
      <c r="AC1977" s="67" t="b">
        <f t="shared" si="11"/>
        <v>0</v>
      </c>
      <c r="AD1977" s="67">
        <f t="shared" si="74"/>
        <v>0</v>
      </c>
      <c r="AE1977" s="67">
        <f t="shared" si="75"/>
        <v>0</v>
      </c>
      <c r="AF1977" s="67" t="b">
        <f t="shared" si="33"/>
        <v>0</v>
      </c>
      <c r="AG1977" s="67">
        <f t="shared" si="76"/>
        <v>0</v>
      </c>
      <c r="AH1977" s="67">
        <f t="shared" si="77"/>
        <v>0</v>
      </c>
      <c r="AI1977" s="67" t="b">
        <f t="shared" si="17"/>
        <v>0</v>
      </c>
      <c r="AJ1977" s="68">
        <f t="shared" si="78"/>
        <v>0</v>
      </c>
      <c r="AK1977" s="68">
        <f t="shared" si="79"/>
        <v>0</v>
      </c>
      <c r="AL1977" s="70"/>
      <c r="AM1977" s="70"/>
      <c r="AN1977" s="71"/>
      <c r="AO1977" s="71"/>
      <c r="AP1977" s="71"/>
      <c r="AQ1977" s="71"/>
      <c r="AR1977" s="71"/>
      <c r="AS1977" s="71"/>
      <c r="AT1977" s="71"/>
      <c r="AU1977" s="71"/>
      <c r="AV1977" s="71"/>
      <c r="AW1977" s="71"/>
      <c r="AX1977" s="71"/>
      <c r="AY1977" s="71"/>
      <c r="AZ1977" s="71"/>
      <c r="BA1977" s="71"/>
      <c r="BB1977" s="71"/>
      <c r="BC1977" s="71"/>
      <c r="BD1977" s="71"/>
      <c r="BE1977" s="71"/>
      <c r="BF1977" s="71"/>
      <c r="BG1977" s="71"/>
      <c r="BH1977" s="71"/>
      <c r="BI1977" s="71"/>
      <c r="BJ1977" s="71"/>
      <c r="BK1977" s="71"/>
      <c r="BL1977" s="71"/>
      <c r="BM1977" s="71"/>
      <c r="BN1977" s="71"/>
      <c r="BO1977" s="71"/>
      <c r="BP1977" s="71"/>
      <c r="BQ1977" s="71"/>
      <c r="BR1977" s="71"/>
      <c r="BS1977" s="71"/>
      <c r="BT1977" s="71"/>
      <c r="BU1977" s="71"/>
      <c r="BV1977" s="71"/>
    </row>
    <row r="1978">
      <c r="A1978" s="53">
        <v>1.0</v>
      </c>
      <c r="B1978" s="53"/>
      <c r="C1978" s="73" t="s">
        <v>53</v>
      </c>
      <c r="D1978" s="74" t="s">
        <v>4826</v>
      </c>
      <c r="E1978" s="54" t="s">
        <v>38</v>
      </c>
      <c r="F1978" s="54" t="s">
        <v>42</v>
      </c>
      <c r="G1978" s="142" t="s">
        <v>4827</v>
      </c>
      <c r="H1978" s="142" t="s">
        <v>4827</v>
      </c>
      <c r="I1978" s="54">
        <f t="shared" si="24"/>
        <v>31</v>
      </c>
      <c r="J1978" s="56"/>
      <c r="K1978" s="57"/>
      <c r="L1978" s="76"/>
      <c r="M1978" s="59"/>
      <c r="N1978" s="60">
        <v>478.0</v>
      </c>
      <c r="O1978" s="61">
        <v>580.0</v>
      </c>
      <c r="P1978" s="62">
        <v>626.4000000000001</v>
      </c>
      <c r="Q1978" s="63">
        <v>626.4000000000001</v>
      </c>
      <c r="R1978" s="64">
        <v>698.0</v>
      </c>
      <c r="S1978" s="111">
        <v>733.0</v>
      </c>
      <c r="T1978" s="65">
        <f t="shared" si="80"/>
        <v>117.28</v>
      </c>
      <c r="U1978" s="65">
        <f t="shared" si="81"/>
        <v>850.28</v>
      </c>
      <c r="V1978" s="66">
        <f t="shared" si="82"/>
        <v>0.05014326648</v>
      </c>
      <c r="W1978" s="67">
        <f t="shared" si="5"/>
        <v>696.35</v>
      </c>
      <c r="X1978" s="67">
        <f t="shared" si="70"/>
        <v>111.416</v>
      </c>
      <c r="Y1978" s="67">
        <f t="shared" si="71"/>
        <v>807.766</v>
      </c>
      <c r="Z1978" s="67">
        <f t="shared" si="8"/>
        <v>659.7</v>
      </c>
      <c r="AA1978" s="67">
        <f t="shared" si="72"/>
        <v>105.552</v>
      </c>
      <c r="AB1978" s="67">
        <f t="shared" si="73"/>
        <v>765.252</v>
      </c>
      <c r="AC1978" s="67">
        <f t="shared" si="11"/>
        <v>623.05</v>
      </c>
      <c r="AD1978" s="67">
        <f t="shared" si="74"/>
        <v>99.688</v>
      </c>
      <c r="AE1978" s="67">
        <f t="shared" si="75"/>
        <v>722.738</v>
      </c>
      <c r="AF1978" s="67">
        <f t="shared" si="33"/>
        <v>608.39</v>
      </c>
      <c r="AG1978" s="67">
        <f t="shared" si="76"/>
        <v>97.3424</v>
      </c>
      <c r="AH1978" s="67">
        <f t="shared" si="77"/>
        <v>705.7324</v>
      </c>
      <c r="AI1978" s="67">
        <f t="shared" si="17"/>
        <v>586.4</v>
      </c>
      <c r="AJ1978" s="68">
        <f t="shared" si="78"/>
        <v>93.824</v>
      </c>
      <c r="AK1978" s="68">
        <f t="shared" si="79"/>
        <v>680.224</v>
      </c>
      <c r="AL1978" s="70"/>
      <c r="AM1978" s="70"/>
      <c r="AN1978" s="71"/>
      <c r="AO1978" s="71"/>
      <c r="AP1978" s="71"/>
      <c r="AQ1978" s="71"/>
      <c r="AR1978" s="71"/>
      <c r="AS1978" s="71"/>
      <c r="AT1978" s="71"/>
      <c r="AU1978" s="71"/>
      <c r="AV1978" s="71"/>
      <c r="AW1978" s="71"/>
      <c r="AX1978" s="71"/>
      <c r="AY1978" s="71"/>
      <c r="AZ1978" s="71"/>
      <c r="BA1978" s="71"/>
      <c r="BB1978" s="71"/>
      <c r="BC1978" s="71"/>
      <c r="BD1978" s="71"/>
      <c r="BE1978" s="71"/>
      <c r="BF1978" s="71"/>
      <c r="BG1978" s="71"/>
      <c r="BH1978" s="71"/>
      <c r="BI1978" s="71"/>
      <c r="BJ1978" s="71"/>
      <c r="BK1978" s="71"/>
      <c r="BL1978" s="71"/>
      <c r="BM1978" s="71"/>
      <c r="BN1978" s="71"/>
      <c r="BO1978" s="71"/>
      <c r="BP1978" s="71"/>
      <c r="BQ1978" s="71"/>
      <c r="BR1978" s="71"/>
      <c r="BS1978" s="71"/>
      <c r="BT1978" s="71"/>
      <c r="BU1978" s="71"/>
      <c r="BV1978" s="71"/>
    </row>
    <row r="1979">
      <c r="A1979" s="53"/>
      <c r="B1979" s="53">
        <v>0.0</v>
      </c>
      <c r="C1979" s="73" t="s">
        <v>53</v>
      </c>
      <c r="D1979" s="74" t="s">
        <v>4828</v>
      </c>
      <c r="E1979" s="54" t="s">
        <v>38</v>
      </c>
      <c r="F1979" s="54" t="s">
        <v>42</v>
      </c>
      <c r="G1979" s="141" t="s">
        <v>4829</v>
      </c>
      <c r="H1979" s="141" t="s">
        <v>4829</v>
      </c>
      <c r="I1979" s="54">
        <f t="shared" si="24"/>
        <v>30</v>
      </c>
      <c r="J1979" s="56"/>
      <c r="K1979" s="57"/>
      <c r="L1979" s="76" t="s">
        <v>661</v>
      </c>
      <c r="M1979" s="59"/>
      <c r="N1979" s="60">
        <v>478.0</v>
      </c>
      <c r="O1979" s="61">
        <v>580.0</v>
      </c>
      <c r="P1979" s="62">
        <v>626.4000000000001</v>
      </c>
      <c r="Q1979" s="63">
        <v>626.4000000000001</v>
      </c>
      <c r="R1979" s="64">
        <v>658.0</v>
      </c>
      <c r="S1979" s="111">
        <v>691.0</v>
      </c>
      <c r="T1979" s="65">
        <f t="shared" si="80"/>
        <v>110.56</v>
      </c>
      <c r="U1979" s="65">
        <f t="shared" si="81"/>
        <v>801.56</v>
      </c>
      <c r="V1979" s="66">
        <f t="shared" si="82"/>
        <v>0.05015197568</v>
      </c>
      <c r="W1979" s="67" t="b">
        <f t="shared" si="5"/>
        <v>0</v>
      </c>
      <c r="X1979" s="67">
        <f t="shared" si="70"/>
        <v>0</v>
      </c>
      <c r="Y1979" s="67">
        <f t="shared" si="71"/>
        <v>0</v>
      </c>
      <c r="Z1979" s="67" t="b">
        <f t="shared" si="8"/>
        <v>0</v>
      </c>
      <c r="AA1979" s="67">
        <f t="shared" si="72"/>
        <v>0</v>
      </c>
      <c r="AB1979" s="67">
        <f t="shared" si="73"/>
        <v>0</v>
      </c>
      <c r="AC1979" s="67" t="b">
        <f t="shared" si="11"/>
        <v>0</v>
      </c>
      <c r="AD1979" s="67">
        <f t="shared" si="74"/>
        <v>0</v>
      </c>
      <c r="AE1979" s="67">
        <f t="shared" si="75"/>
        <v>0</v>
      </c>
      <c r="AF1979" s="67" t="b">
        <f t="shared" si="33"/>
        <v>0</v>
      </c>
      <c r="AG1979" s="67">
        <f t="shared" si="76"/>
        <v>0</v>
      </c>
      <c r="AH1979" s="67">
        <f t="shared" si="77"/>
        <v>0</v>
      </c>
      <c r="AI1979" s="67" t="b">
        <f t="shared" si="17"/>
        <v>0</v>
      </c>
      <c r="AJ1979" s="68">
        <f t="shared" si="78"/>
        <v>0</v>
      </c>
      <c r="AK1979" s="68">
        <f t="shared" si="79"/>
        <v>0</v>
      </c>
      <c r="AL1979" s="70"/>
      <c r="AM1979" s="70"/>
      <c r="AN1979" s="71"/>
      <c r="AO1979" s="71"/>
      <c r="AP1979" s="71"/>
      <c r="AQ1979" s="71"/>
      <c r="AR1979" s="71"/>
      <c r="AS1979" s="71"/>
      <c r="AT1979" s="71"/>
      <c r="AU1979" s="71"/>
      <c r="AV1979" s="71"/>
      <c r="AW1979" s="71"/>
      <c r="AX1979" s="71"/>
      <c r="AY1979" s="71"/>
      <c r="AZ1979" s="71"/>
      <c r="BA1979" s="71"/>
      <c r="BB1979" s="71"/>
      <c r="BC1979" s="71"/>
      <c r="BD1979" s="71"/>
      <c r="BE1979" s="71"/>
      <c r="BF1979" s="71"/>
      <c r="BG1979" s="71"/>
      <c r="BH1979" s="71"/>
      <c r="BI1979" s="71"/>
      <c r="BJ1979" s="71"/>
      <c r="BK1979" s="71"/>
      <c r="BL1979" s="71"/>
      <c r="BM1979" s="71"/>
      <c r="BN1979" s="71"/>
      <c r="BO1979" s="71"/>
      <c r="BP1979" s="71"/>
      <c r="BQ1979" s="71"/>
      <c r="BR1979" s="71"/>
      <c r="BS1979" s="71"/>
      <c r="BT1979" s="71"/>
      <c r="BU1979" s="71"/>
      <c r="BV1979" s="71"/>
    </row>
    <row r="1980">
      <c r="A1980" s="53"/>
      <c r="B1980" s="53">
        <v>0.0</v>
      </c>
      <c r="C1980" s="73" t="s">
        <v>53</v>
      </c>
      <c r="D1980" s="74" t="s">
        <v>4830</v>
      </c>
      <c r="E1980" s="54" t="s">
        <v>38</v>
      </c>
      <c r="F1980" s="54" t="s">
        <v>42</v>
      </c>
      <c r="G1980" s="142" t="s">
        <v>4831</v>
      </c>
      <c r="H1980" s="142" t="s">
        <v>4831</v>
      </c>
      <c r="I1980" s="54">
        <f t="shared" si="24"/>
        <v>31</v>
      </c>
      <c r="J1980" s="56"/>
      <c r="K1980" s="57"/>
      <c r="L1980" s="76" t="s">
        <v>661</v>
      </c>
      <c r="M1980" s="59"/>
      <c r="N1980" s="60">
        <v>478.0</v>
      </c>
      <c r="O1980" s="61">
        <v>580.0</v>
      </c>
      <c r="P1980" s="62">
        <v>626.4000000000001</v>
      </c>
      <c r="Q1980" s="63">
        <v>626.4000000000001</v>
      </c>
      <c r="R1980" s="64">
        <v>698.0</v>
      </c>
      <c r="S1980" s="111">
        <v>733.0</v>
      </c>
      <c r="T1980" s="65">
        <f t="shared" si="80"/>
        <v>117.28</v>
      </c>
      <c r="U1980" s="65">
        <f t="shared" si="81"/>
        <v>850.28</v>
      </c>
      <c r="V1980" s="66">
        <f t="shared" si="82"/>
        <v>0.05014326648</v>
      </c>
      <c r="W1980" s="67" t="b">
        <f t="shared" si="5"/>
        <v>0</v>
      </c>
      <c r="X1980" s="67">
        <f t="shared" si="70"/>
        <v>0</v>
      </c>
      <c r="Y1980" s="67">
        <f t="shared" si="71"/>
        <v>0</v>
      </c>
      <c r="Z1980" s="67" t="b">
        <f t="shared" si="8"/>
        <v>0</v>
      </c>
      <c r="AA1980" s="67">
        <f t="shared" si="72"/>
        <v>0</v>
      </c>
      <c r="AB1980" s="67">
        <f t="shared" si="73"/>
        <v>0</v>
      </c>
      <c r="AC1980" s="67" t="b">
        <f t="shared" si="11"/>
        <v>0</v>
      </c>
      <c r="AD1980" s="67">
        <f t="shared" si="74"/>
        <v>0</v>
      </c>
      <c r="AE1980" s="67">
        <f t="shared" si="75"/>
        <v>0</v>
      </c>
      <c r="AF1980" s="67" t="b">
        <f t="shared" si="33"/>
        <v>0</v>
      </c>
      <c r="AG1980" s="67">
        <f t="shared" si="76"/>
        <v>0</v>
      </c>
      <c r="AH1980" s="67">
        <f t="shared" si="77"/>
        <v>0</v>
      </c>
      <c r="AI1980" s="67" t="b">
        <f t="shared" si="17"/>
        <v>0</v>
      </c>
      <c r="AJ1980" s="68">
        <f t="shared" si="78"/>
        <v>0</v>
      </c>
      <c r="AK1980" s="68">
        <f t="shared" si="79"/>
        <v>0</v>
      </c>
      <c r="AL1980" s="70"/>
      <c r="AM1980" s="70"/>
      <c r="AN1980" s="71"/>
      <c r="AO1980" s="71"/>
      <c r="AP1980" s="71"/>
      <c r="AQ1980" s="71"/>
      <c r="AR1980" s="71"/>
      <c r="AS1980" s="71"/>
      <c r="AT1980" s="71"/>
      <c r="AU1980" s="71"/>
      <c r="AV1980" s="71"/>
      <c r="AW1980" s="71"/>
      <c r="AX1980" s="71"/>
      <c r="AY1980" s="71"/>
      <c r="AZ1980" s="71"/>
      <c r="BA1980" s="71"/>
      <c r="BB1980" s="71"/>
      <c r="BC1980" s="71"/>
      <c r="BD1980" s="71"/>
      <c r="BE1980" s="71"/>
      <c r="BF1980" s="71"/>
      <c r="BG1980" s="71"/>
      <c r="BH1980" s="71"/>
      <c r="BI1980" s="71"/>
      <c r="BJ1980" s="71"/>
      <c r="BK1980" s="71"/>
      <c r="BL1980" s="71"/>
      <c r="BM1980" s="71"/>
      <c r="BN1980" s="71"/>
      <c r="BO1980" s="71"/>
      <c r="BP1980" s="71"/>
      <c r="BQ1980" s="71"/>
      <c r="BR1980" s="71"/>
      <c r="BS1980" s="71"/>
      <c r="BT1980" s="71"/>
      <c r="BU1980" s="71"/>
      <c r="BV1980" s="71"/>
    </row>
    <row r="1981">
      <c r="A1981" s="53">
        <v>1.0</v>
      </c>
      <c r="B1981" s="53"/>
      <c r="C1981" s="73" t="s">
        <v>53</v>
      </c>
      <c r="D1981" s="74" t="s">
        <v>4832</v>
      </c>
      <c r="E1981" s="54" t="s">
        <v>38</v>
      </c>
      <c r="F1981" s="54" t="s">
        <v>42</v>
      </c>
      <c r="G1981" s="141" t="s">
        <v>4833</v>
      </c>
      <c r="H1981" s="141" t="s">
        <v>4833</v>
      </c>
      <c r="I1981" s="54">
        <f t="shared" si="24"/>
        <v>30</v>
      </c>
      <c r="J1981" s="56"/>
      <c r="K1981" s="57"/>
      <c r="L1981" s="76"/>
      <c r="M1981" s="59"/>
      <c r="N1981" s="60">
        <v>478.0</v>
      </c>
      <c r="O1981" s="61">
        <v>580.0</v>
      </c>
      <c r="P1981" s="62">
        <v>626.4000000000001</v>
      </c>
      <c r="Q1981" s="63">
        <v>626.4000000000001</v>
      </c>
      <c r="R1981" s="64">
        <v>659.0</v>
      </c>
      <c r="S1981" s="111">
        <v>692.0</v>
      </c>
      <c r="T1981" s="65">
        <f t="shared" si="80"/>
        <v>110.72</v>
      </c>
      <c r="U1981" s="65">
        <f t="shared" si="81"/>
        <v>802.72</v>
      </c>
      <c r="V1981" s="66">
        <f t="shared" si="82"/>
        <v>0.05007587253</v>
      </c>
      <c r="W1981" s="67">
        <f t="shared" si="5"/>
        <v>657.4</v>
      </c>
      <c r="X1981" s="67">
        <f t="shared" si="70"/>
        <v>105.184</v>
      </c>
      <c r="Y1981" s="67">
        <f t="shared" si="71"/>
        <v>762.584</v>
      </c>
      <c r="Z1981" s="67">
        <f t="shared" si="8"/>
        <v>622.8</v>
      </c>
      <c r="AA1981" s="67">
        <f t="shared" si="72"/>
        <v>99.648</v>
      </c>
      <c r="AB1981" s="67">
        <f t="shared" si="73"/>
        <v>722.448</v>
      </c>
      <c r="AC1981" s="67">
        <f t="shared" si="11"/>
        <v>588.2</v>
      </c>
      <c r="AD1981" s="67">
        <f t="shared" si="74"/>
        <v>94.112</v>
      </c>
      <c r="AE1981" s="67">
        <f t="shared" si="75"/>
        <v>682.312</v>
      </c>
      <c r="AF1981" s="67">
        <f t="shared" si="33"/>
        <v>574.36</v>
      </c>
      <c r="AG1981" s="67">
        <f t="shared" si="76"/>
        <v>91.8976</v>
      </c>
      <c r="AH1981" s="67">
        <f t="shared" si="77"/>
        <v>666.2576</v>
      </c>
      <c r="AI1981" s="67">
        <f t="shared" si="17"/>
        <v>553.6</v>
      </c>
      <c r="AJ1981" s="68">
        <f t="shared" si="78"/>
        <v>88.576</v>
      </c>
      <c r="AK1981" s="68">
        <f t="shared" si="79"/>
        <v>642.176</v>
      </c>
      <c r="AL1981" s="70"/>
      <c r="AM1981" s="70"/>
      <c r="AN1981" s="71"/>
      <c r="AO1981" s="71"/>
      <c r="AP1981" s="71"/>
      <c r="AQ1981" s="71"/>
      <c r="AR1981" s="71"/>
      <c r="AS1981" s="71"/>
      <c r="AT1981" s="71"/>
      <c r="AU1981" s="71"/>
      <c r="AV1981" s="71"/>
      <c r="AW1981" s="71"/>
      <c r="AX1981" s="71"/>
      <c r="AY1981" s="71"/>
      <c r="AZ1981" s="71"/>
      <c r="BA1981" s="71"/>
      <c r="BB1981" s="71"/>
      <c r="BC1981" s="71"/>
      <c r="BD1981" s="71"/>
      <c r="BE1981" s="71"/>
      <c r="BF1981" s="71"/>
      <c r="BG1981" s="71"/>
      <c r="BH1981" s="71"/>
      <c r="BI1981" s="71"/>
      <c r="BJ1981" s="71"/>
      <c r="BK1981" s="71"/>
      <c r="BL1981" s="71"/>
      <c r="BM1981" s="71"/>
      <c r="BN1981" s="71"/>
      <c r="BO1981" s="71"/>
      <c r="BP1981" s="71"/>
      <c r="BQ1981" s="71"/>
      <c r="BR1981" s="71"/>
      <c r="BS1981" s="71"/>
      <c r="BT1981" s="71"/>
      <c r="BU1981" s="71"/>
      <c r="BV1981" s="71"/>
    </row>
    <row r="1982">
      <c r="A1982" s="53">
        <v>1.0</v>
      </c>
      <c r="B1982" s="53"/>
      <c r="C1982" s="73" t="s">
        <v>53</v>
      </c>
      <c r="D1982" s="74" t="s">
        <v>4834</v>
      </c>
      <c r="E1982" s="54" t="s">
        <v>38</v>
      </c>
      <c r="F1982" s="54" t="s">
        <v>42</v>
      </c>
      <c r="G1982" s="142" t="s">
        <v>4835</v>
      </c>
      <c r="H1982" s="142" t="s">
        <v>4835</v>
      </c>
      <c r="I1982" s="54">
        <f t="shared" si="24"/>
        <v>31</v>
      </c>
      <c r="J1982" s="56"/>
      <c r="K1982" s="57"/>
      <c r="L1982" s="76"/>
      <c r="M1982" s="59"/>
      <c r="N1982" s="60">
        <v>478.0</v>
      </c>
      <c r="O1982" s="61">
        <v>580.0</v>
      </c>
      <c r="P1982" s="62">
        <v>626.4000000000001</v>
      </c>
      <c r="Q1982" s="63">
        <v>626.4000000000001</v>
      </c>
      <c r="R1982" s="64">
        <v>698.0</v>
      </c>
      <c r="S1982" s="111">
        <v>733.0</v>
      </c>
      <c r="T1982" s="65">
        <f t="shared" si="80"/>
        <v>117.28</v>
      </c>
      <c r="U1982" s="65">
        <f t="shared" si="81"/>
        <v>850.28</v>
      </c>
      <c r="V1982" s="66">
        <f t="shared" si="82"/>
        <v>0.05014326648</v>
      </c>
      <c r="W1982" s="67">
        <f t="shared" si="5"/>
        <v>696.35</v>
      </c>
      <c r="X1982" s="67">
        <f t="shared" si="70"/>
        <v>111.416</v>
      </c>
      <c r="Y1982" s="67">
        <f t="shared" si="71"/>
        <v>807.766</v>
      </c>
      <c r="Z1982" s="67">
        <f t="shared" si="8"/>
        <v>659.7</v>
      </c>
      <c r="AA1982" s="67">
        <f t="shared" si="72"/>
        <v>105.552</v>
      </c>
      <c r="AB1982" s="67">
        <f t="shared" si="73"/>
        <v>765.252</v>
      </c>
      <c r="AC1982" s="67">
        <f t="shared" si="11"/>
        <v>623.05</v>
      </c>
      <c r="AD1982" s="67">
        <f t="shared" si="74"/>
        <v>99.688</v>
      </c>
      <c r="AE1982" s="67">
        <f t="shared" si="75"/>
        <v>722.738</v>
      </c>
      <c r="AF1982" s="67">
        <f t="shared" si="33"/>
        <v>608.39</v>
      </c>
      <c r="AG1982" s="67">
        <f t="shared" si="76"/>
        <v>97.3424</v>
      </c>
      <c r="AH1982" s="67">
        <f t="shared" si="77"/>
        <v>705.7324</v>
      </c>
      <c r="AI1982" s="67">
        <f t="shared" si="17"/>
        <v>586.4</v>
      </c>
      <c r="AJ1982" s="68">
        <f t="shared" si="78"/>
        <v>93.824</v>
      </c>
      <c r="AK1982" s="68">
        <f t="shared" si="79"/>
        <v>680.224</v>
      </c>
      <c r="AL1982" s="70"/>
      <c r="AM1982" s="70"/>
      <c r="AN1982" s="71"/>
      <c r="AO1982" s="71"/>
      <c r="AP1982" s="71"/>
      <c r="AQ1982" s="71"/>
      <c r="AR1982" s="71"/>
      <c r="AS1982" s="71"/>
      <c r="AT1982" s="71"/>
      <c r="AU1982" s="71"/>
      <c r="AV1982" s="71"/>
      <c r="AW1982" s="71"/>
      <c r="AX1982" s="71"/>
      <c r="AY1982" s="71"/>
      <c r="AZ1982" s="71"/>
      <c r="BA1982" s="71"/>
      <c r="BB1982" s="71"/>
      <c r="BC1982" s="71"/>
      <c r="BD1982" s="71"/>
      <c r="BE1982" s="71"/>
      <c r="BF1982" s="71"/>
      <c r="BG1982" s="71"/>
      <c r="BH1982" s="71"/>
      <c r="BI1982" s="71"/>
      <c r="BJ1982" s="71"/>
      <c r="BK1982" s="71"/>
      <c r="BL1982" s="71"/>
      <c r="BM1982" s="71"/>
      <c r="BN1982" s="71"/>
      <c r="BO1982" s="71"/>
      <c r="BP1982" s="71"/>
      <c r="BQ1982" s="71"/>
      <c r="BR1982" s="71"/>
      <c r="BS1982" s="71"/>
      <c r="BT1982" s="71"/>
      <c r="BU1982" s="71"/>
      <c r="BV1982" s="71"/>
    </row>
    <row r="1983">
      <c r="A1983" s="53"/>
      <c r="B1983" s="53">
        <v>0.0</v>
      </c>
      <c r="C1983" s="73" t="s">
        <v>53</v>
      </c>
      <c r="D1983" s="74" t="s">
        <v>4836</v>
      </c>
      <c r="E1983" s="54" t="s">
        <v>38</v>
      </c>
      <c r="F1983" s="54" t="s">
        <v>42</v>
      </c>
      <c r="G1983" s="141" t="s">
        <v>4837</v>
      </c>
      <c r="H1983" s="141" t="s">
        <v>4837</v>
      </c>
      <c r="I1983" s="54">
        <f t="shared" si="24"/>
        <v>25</v>
      </c>
      <c r="J1983" s="56"/>
      <c r="K1983" s="57"/>
      <c r="L1983" s="76" t="s">
        <v>661</v>
      </c>
      <c r="M1983" s="59"/>
      <c r="N1983" s="60">
        <v>478.0</v>
      </c>
      <c r="O1983" s="61">
        <v>580.0</v>
      </c>
      <c r="P1983" s="62">
        <v>626.4000000000001</v>
      </c>
      <c r="Q1983" s="63">
        <v>626.4000000000001</v>
      </c>
      <c r="R1983" s="64">
        <v>698.0</v>
      </c>
      <c r="S1983" s="111">
        <v>733.0</v>
      </c>
      <c r="T1983" s="65">
        <f t="shared" si="80"/>
        <v>117.28</v>
      </c>
      <c r="U1983" s="65">
        <f t="shared" si="81"/>
        <v>850.28</v>
      </c>
      <c r="V1983" s="66">
        <f t="shared" si="82"/>
        <v>0.05014326648</v>
      </c>
      <c r="W1983" s="67" t="b">
        <f t="shared" si="5"/>
        <v>0</v>
      </c>
      <c r="X1983" s="67">
        <f t="shared" si="70"/>
        <v>0</v>
      </c>
      <c r="Y1983" s="67">
        <f t="shared" si="71"/>
        <v>0</v>
      </c>
      <c r="Z1983" s="67" t="b">
        <f t="shared" si="8"/>
        <v>0</v>
      </c>
      <c r="AA1983" s="67">
        <f t="shared" si="72"/>
        <v>0</v>
      </c>
      <c r="AB1983" s="67">
        <f t="shared" si="73"/>
        <v>0</v>
      </c>
      <c r="AC1983" s="67" t="b">
        <f t="shared" si="11"/>
        <v>0</v>
      </c>
      <c r="AD1983" s="67">
        <f t="shared" si="74"/>
        <v>0</v>
      </c>
      <c r="AE1983" s="67">
        <f t="shared" si="75"/>
        <v>0</v>
      </c>
      <c r="AF1983" s="67" t="b">
        <f t="shared" si="33"/>
        <v>0</v>
      </c>
      <c r="AG1983" s="67">
        <f t="shared" si="76"/>
        <v>0</v>
      </c>
      <c r="AH1983" s="67">
        <f t="shared" si="77"/>
        <v>0</v>
      </c>
      <c r="AI1983" s="67" t="b">
        <f t="shared" si="17"/>
        <v>0</v>
      </c>
      <c r="AJ1983" s="68">
        <f t="shared" si="78"/>
        <v>0</v>
      </c>
      <c r="AK1983" s="68">
        <f t="shared" si="79"/>
        <v>0</v>
      </c>
      <c r="AL1983" s="70"/>
      <c r="AM1983" s="70"/>
      <c r="AN1983" s="71"/>
      <c r="AO1983" s="71"/>
      <c r="AP1983" s="71"/>
      <c r="AQ1983" s="71"/>
      <c r="AR1983" s="71"/>
      <c r="AS1983" s="71"/>
      <c r="AT1983" s="71"/>
      <c r="AU1983" s="71"/>
      <c r="AV1983" s="71"/>
      <c r="AW1983" s="71"/>
      <c r="AX1983" s="71"/>
      <c r="AY1983" s="71"/>
      <c r="AZ1983" s="71"/>
      <c r="BA1983" s="71"/>
      <c r="BB1983" s="71"/>
      <c r="BC1983" s="71"/>
      <c r="BD1983" s="71"/>
      <c r="BE1983" s="71"/>
      <c r="BF1983" s="71"/>
      <c r="BG1983" s="71"/>
      <c r="BH1983" s="71"/>
      <c r="BI1983" s="71"/>
      <c r="BJ1983" s="71"/>
      <c r="BK1983" s="71"/>
      <c r="BL1983" s="71"/>
      <c r="BM1983" s="71"/>
      <c r="BN1983" s="71"/>
      <c r="BO1983" s="71"/>
      <c r="BP1983" s="71"/>
      <c r="BQ1983" s="71"/>
      <c r="BR1983" s="71"/>
      <c r="BS1983" s="71"/>
      <c r="BT1983" s="71"/>
      <c r="BU1983" s="71"/>
      <c r="BV1983" s="71"/>
    </row>
    <row r="1984">
      <c r="A1984" s="53"/>
      <c r="B1984" s="53">
        <v>0.0</v>
      </c>
      <c r="C1984" s="73" t="s">
        <v>53</v>
      </c>
      <c r="D1984" s="74" t="s">
        <v>4838</v>
      </c>
      <c r="E1984" s="54" t="s">
        <v>38</v>
      </c>
      <c r="F1984" s="54" t="s">
        <v>42</v>
      </c>
      <c r="G1984" s="142" t="s">
        <v>4839</v>
      </c>
      <c r="H1984" s="142" t="s">
        <v>4839</v>
      </c>
      <c r="I1984" s="54">
        <f t="shared" si="24"/>
        <v>31</v>
      </c>
      <c r="J1984" s="56"/>
      <c r="K1984" s="57"/>
      <c r="L1984" s="76" t="s">
        <v>661</v>
      </c>
      <c r="M1984" s="59"/>
      <c r="N1984" s="60">
        <v>478.0</v>
      </c>
      <c r="O1984" s="61">
        <v>580.0</v>
      </c>
      <c r="P1984" s="62">
        <v>626.4000000000001</v>
      </c>
      <c r="Q1984" s="63">
        <v>626.4000000000001</v>
      </c>
      <c r="R1984" s="64">
        <v>698.0</v>
      </c>
      <c r="S1984" s="111">
        <v>733.0</v>
      </c>
      <c r="T1984" s="65">
        <f t="shared" si="80"/>
        <v>117.28</v>
      </c>
      <c r="U1984" s="65">
        <f t="shared" si="81"/>
        <v>850.28</v>
      </c>
      <c r="V1984" s="66">
        <f t="shared" si="82"/>
        <v>0.05014326648</v>
      </c>
      <c r="W1984" s="67" t="b">
        <f t="shared" si="5"/>
        <v>0</v>
      </c>
      <c r="X1984" s="67">
        <f t="shared" si="70"/>
        <v>0</v>
      </c>
      <c r="Y1984" s="67">
        <f t="shared" si="71"/>
        <v>0</v>
      </c>
      <c r="Z1984" s="67" t="b">
        <f t="shared" si="8"/>
        <v>0</v>
      </c>
      <c r="AA1984" s="67">
        <f t="shared" si="72"/>
        <v>0</v>
      </c>
      <c r="AB1984" s="67">
        <f t="shared" si="73"/>
        <v>0</v>
      </c>
      <c r="AC1984" s="67" t="b">
        <f t="shared" si="11"/>
        <v>0</v>
      </c>
      <c r="AD1984" s="67">
        <f t="shared" si="74"/>
        <v>0</v>
      </c>
      <c r="AE1984" s="67">
        <f t="shared" si="75"/>
        <v>0</v>
      </c>
      <c r="AF1984" s="67" t="b">
        <f t="shared" si="33"/>
        <v>0</v>
      </c>
      <c r="AG1984" s="67">
        <f t="shared" si="76"/>
        <v>0</v>
      </c>
      <c r="AH1984" s="67">
        <f t="shared" si="77"/>
        <v>0</v>
      </c>
      <c r="AI1984" s="67" t="b">
        <f t="shared" si="17"/>
        <v>0</v>
      </c>
      <c r="AJ1984" s="68">
        <f t="shared" si="78"/>
        <v>0</v>
      </c>
      <c r="AK1984" s="68">
        <f t="shared" si="79"/>
        <v>0</v>
      </c>
      <c r="AL1984" s="70"/>
      <c r="AM1984" s="70"/>
      <c r="AN1984" s="71"/>
      <c r="AO1984" s="71"/>
      <c r="AP1984" s="71"/>
      <c r="AQ1984" s="71"/>
      <c r="AR1984" s="71"/>
      <c r="AS1984" s="71"/>
      <c r="AT1984" s="71"/>
      <c r="AU1984" s="71"/>
      <c r="AV1984" s="71"/>
      <c r="AW1984" s="71"/>
      <c r="AX1984" s="71"/>
      <c r="AY1984" s="71"/>
      <c r="AZ1984" s="71"/>
      <c r="BA1984" s="71"/>
      <c r="BB1984" s="71"/>
      <c r="BC1984" s="71"/>
      <c r="BD1984" s="71"/>
      <c r="BE1984" s="71"/>
      <c r="BF1984" s="71"/>
      <c r="BG1984" s="71"/>
      <c r="BH1984" s="71"/>
      <c r="BI1984" s="71"/>
      <c r="BJ1984" s="71"/>
      <c r="BK1984" s="71"/>
      <c r="BL1984" s="71"/>
      <c r="BM1984" s="71"/>
      <c r="BN1984" s="71"/>
      <c r="BO1984" s="71"/>
      <c r="BP1984" s="71"/>
      <c r="BQ1984" s="71"/>
      <c r="BR1984" s="71"/>
      <c r="BS1984" s="71"/>
      <c r="BT1984" s="71"/>
      <c r="BU1984" s="71"/>
      <c r="BV1984" s="71"/>
    </row>
    <row r="1985">
      <c r="A1985" s="53"/>
      <c r="B1985" s="53">
        <v>0.0</v>
      </c>
      <c r="C1985" s="73" t="s">
        <v>53</v>
      </c>
      <c r="D1985" s="74" t="s">
        <v>4840</v>
      </c>
      <c r="E1985" s="54" t="s">
        <v>38</v>
      </c>
      <c r="F1985" s="54" t="s">
        <v>42</v>
      </c>
      <c r="G1985" s="141" t="s">
        <v>4841</v>
      </c>
      <c r="H1985" s="141" t="s">
        <v>4841</v>
      </c>
      <c r="I1985" s="54">
        <f t="shared" si="24"/>
        <v>30</v>
      </c>
      <c r="J1985" s="56"/>
      <c r="K1985" s="57"/>
      <c r="L1985" s="76" t="s">
        <v>661</v>
      </c>
      <c r="M1985" s="59"/>
      <c r="N1985" s="60">
        <v>478.0</v>
      </c>
      <c r="O1985" s="61">
        <v>580.0</v>
      </c>
      <c r="P1985" s="62">
        <v>626.4000000000001</v>
      </c>
      <c r="Q1985" s="63">
        <v>626.4000000000001</v>
      </c>
      <c r="R1985" s="64">
        <v>659.0</v>
      </c>
      <c r="S1985" s="111">
        <v>692.0</v>
      </c>
      <c r="T1985" s="65">
        <f t="shared" si="80"/>
        <v>110.72</v>
      </c>
      <c r="U1985" s="65">
        <f t="shared" si="81"/>
        <v>802.72</v>
      </c>
      <c r="V1985" s="66">
        <f t="shared" si="82"/>
        <v>0.05007587253</v>
      </c>
      <c r="W1985" s="67" t="b">
        <f t="shared" si="5"/>
        <v>0</v>
      </c>
      <c r="X1985" s="67">
        <f t="shared" si="70"/>
        <v>0</v>
      </c>
      <c r="Y1985" s="67">
        <f t="shared" si="71"/>
        <v>0</v>
      </c>
      <c r="Z1985" s="67" t="b">
        <f t="shared" si="8"/>
        <v>0</v>
      </c>
      <c r="AA1985" s="67">
        <f t="shared" si="72"/>
        <v>0</v>
      </c>
      <c r="AB1985" s="67">
        <f t="shared" si="73"/>
        <v>0</v>
      </c>
      <c r="AC1985" s="67" t="b">
        <f t="shared" si="11"/>
        <v>0</v>
      </c>
      <c r="AD1985" s="67">
        <f t="shared" si="74"/>
        <v>0</v>
      </c>
      <c r="AE1985" s="67">
        <f t="shared" si="75"/>
        <v>0</v>
      </c>
      <c r="AF1985" s="67" t="b">
        <f t="shared" si="33"/>
        <v>0</v>
      </c>
      <c r="AG1985" s="67">
        <f t="shared" si="76"/>
        <v>0</v>
      </c>
      <c r="AH1985" s="67">
        <f t="shared" si="77"/>
        <v>0</v>
      </c>
      <c r="AI1985" s="67" t="b">
        <f t="shared" si="17"/>
        <v>0</v>
      </c>
      <c r="AJ1985" s="68">
        <f t="shared" si="78"/>
        <v>0</v>
      </c>
      <c r="AK1985" s="68">
        <f t="shared" si="79"/>
        <v>0</v>
      </c>
      <c r="AL1985" s="70"/>
      <c r="AM1985" s="70"/>
      <c r="AN1985" s="71"/>
      <c r="AO1985" s="71"/>
      <c r="AP1985" s="71"/>
      <c r="AQ1985" s="71"/>
      <c r="AR1985" s="71"/>
      <c r="AS1985" s="71"/>
      <c r="AT1985" s="71"/>
      <c r="AU1985" s="71"/>
      <c r="AV1985" s="71"/>
      <c r="AW1985" s="71"/>
      <c r="AX1985" s="71"/>
      <c r="AY1985" s="71"/>
      <c r="AZ1985" s="71"/>
      <c r="BA1985" s="71"/>
      <c r="BB1985" s="71"/>
      <c r="BC1985" s="71"/>
      <c r="BD1985" s="71"/>
      <c r="BE1985" s="71"/>
      <c r="BF1985" s="71"/>
      <c r="BG1985" s="71"/>
      <c r="BH1985" s="71"/>
      <c r="BI1985" s="71"/>
      <c r="BJ1985" s="71"/>
      <c r="BK1985" s="71"/>
      <c r="BL1985" s="71"/>
      <c r="BM1985" s="71"/>
      <c r="BN1985" s="71"/>
      <c r="BO1985" s="71"/>
      <c r="BP1985" s="71"/>
      <c r="BQ1985" s="71"/>
      <c r="BR1985" s="71"/>
      <c r="BS1985" s="71"/>
      <c r="BT1985" s="71"/>
      <c r="BU1985" s="71"/>
      <c r="BV1985" s="71"/>
    </row>
    <row r="1986">
      <c r="A1986" s="53"/>
      <c r="B1986" s="53">
        <v>0.0</v>
      </c>
      <c r="C1986" s="73" t="s">
        <v>53</v>
      </c>
      <c r="D1986" s="74" t="s">
        <v>4842</v>
      </c>
      <c r="E1986" s="54" t="s">
        <v>38</v>
      </c>
      <c r="F1986" s="54" t="s">
        <v>42</v>
      </c>
      <c r="G1986" s="142" t="s">
        <v>4843</v>
      </c>
      <c r="H1986" s="142" t="s">
        <v>4843</v>
      </c>
      <c r="I1986" s="54">
        <f t="shared" si="24"/>
        <v>31</v>
      </c>
      <c r="J1986" s="56"/>
      <c r="K1986" s="57"/>
      <c r="L1986" s="76" t="s">
        <v>661</v>
      </c>
      <c r="M1986" s="59"/>
      <c r="N1986" s="60">
        <v>478.0</v>
      </c>
      <c r="O1986" s="61">
        <v>580.0</v>
      </c>
      <c r="P1986" s="62">
        <v>626.4000000000001</v>
      </c>
      <c r="Q1986" s="63">
        <v>626.4000000000001</v>
      </c>
      <c r="R1986" s="64">
        <v>698.0</v>
      </c>
      <c r="S1986" s="111">
        <v>733.0</v>
      </c>
      <c r="T1986" s="65">
        <f t="shared" si="80"/>
        <v>117.28</v>
      </c>
      <c r="U1986" s="65">
        <f t="shared" si="81"/>
        <v>850.28</v>
      </c>
      <c r="V1986" s="66">
        <f t="shared" si="82"/>
        <v>0.05014326648</v>
      </c>
      <c r="W1986" s="67" t="b">
        <f t="shared" si="5"/>
        <v>0</v>
      </c>
      <c r="X1986" s="67">
        <f t="shared" si="70"/>
        <v>0</v>
      </c>
      <c r="Y1986" s="67">
        <f t="shared" si="71"/>
        <v>0</v>
      </c>
      <c r="Z1986" s="67" t="b">
        <f t="shared" si="8"/>
        <v>0</v>
      </c>
      <c r="AA1986" s="67">
        <f t="shared" si="72"/>
        <v>0</v>
      </c>
      <c r="AB1986" s="67">
        <f t="shared" si="73"/>
        <v>0</v>
      </c>
      <c r="AC1986" s="67" t="b">
        <f t="shared" si="11"/>
        <v>0</v>
      </c>
      <c r="AD1986" s="67">
        <f t="shared" si="74"/>
        <v>0</v>
      </c>
      <c r="AE1986" s="67">
        <f t="shared" si="75"/>
        <v>0</v>
      </c>
      <c r="AF1986" s="67" t="b">
        <f t="shared" si="33"/>
        <v>0</v>
      </c>
      <c r="AG1986" s="67">
        <f t="shared" si="76"/>
        <v>0</v>
      </c>
      <c r="AH1986" s="67">
        <f t="shared" si="77"/>
        <v>0</v>
      </c>
      <c r="AI1986" s="67" t="b">
        <f t="shared" si="17"/>
        <v>0</v>
      </c>
      <c r="AJ1986" s="68">
        <f t="shared" si="78"/>
        <v>0</v>
      </c>
      <c r="AK1986" s="68">
        <f t="shared" si="79"/>
        <v>0</v>
      </c>
      <c r="AL1986" s="70"/>
      <c r="AM1986" s="70"/>
      <c r="AN1986" s="71"/>
      <c r="AO1986" s="71"/>
      <c r="AP1986" s="71"/>
      <c r="AQ1986" s="71"/>
      <c r="AR1986" s="71"/>
      <c r="AS1986" s="71"/>
      <c r="AT1986" s="71"/>
      <c r="AU1986" s="71"/>
      <c r="AV1986" s="71"/>
      <c r="AW1986" s="71"/>
      <c r="AX1986" s="71"/>
      <c r="AY1986" s="71"/>
      <c r="AZ1986" s="71"/>
      <c r="BA1986" s="71"/>
      <c r="BB1986" s="71"/>
      <c r="BC1986" s="71"/>
      <c r="BD1986" s="71"/>
      <c r="BE1986" s="71"/>
      <c r="BF1986" s="71"/>
      <c r="BG1986" s="71"/>
      <c r="BH1986" s="71"/>
      <c r="BI1986" s="71"/>
      <c r="BJ1986" s="71"/>
      <c r="BK1986" s="71"/>
      <c r="BL1986" s="71"/>
      <c r="BM1986" s="71"/>
      <c r="BN1986" s="71"/>
      <c r="BO1986" s="71"/>
      <c r="BP1986" s="71"/>
      <c r="BQ1986" s="71"/>
      <c r="BR1986" s="71"/>
      <c r="BS1986" s="71"/>
      <c r="BT1986" s="71"/>
      <c r="BU1986" s="71"/>
      <c r="BV1986" s="71"/>
    </row>
    <row r="1987">
      <c r="A1987" s="53"/>
      <c r="B1987" s="53">
        <v>0.0</v>
      </c>
      <c r="C1987" s="73" t="s">
        <v>53</v>
      </c>
      <c r="D1987" s="74" t="s">
        <v>4844</v>
      </c>
      <c r="E1987" s="54" t="s">
        <v>38</v>
      </c>
      <c r="F1987" s="54" t="s">
        <v>42</v>
      </c>
      <c r="G1987" s="142" t="s">
        <v>4845</v>
      </c>
      <c r="H1987" s="142" t="s">
        <v>4845</v>
      </c>
      <c r="I1987" s="54">
        <f t="shared" si="24"/>
        <v>32</v>
      </c>
      <c r="J1987" s="56"/>
      <c r="K1987" s="57"/>
      <c r="L1987" s="76" t="s">
        <v>661</v>
      </c>
      <c r="M1987" s="59"/>
      <c r="N1987" s="60">
        <v>812.0</v>
      </c>
      <c r="O1987" s="61">
        <v>1007.0</v>
      </c>
      <c r="P1987" s="62">
        <v>1087.5600000000002</v>
      </c>
      <c r="Q1987" s="63">
        <v>1087.5600000000002</v>
      </c>
      <c r="R1987" s="64">
        <v>1211.0</v>
      </c>
      <c r="S1987" s="111">
        <v>1272.0</v>
      </c>
      <c r="T1987" s="65">
        <f t="shared" si="80"/>
        <v>203.52</v>
      </c>
      <c r="U1987" s="65">
        <f t="shared" si="81"/>
        <v>1475.52</v>
      </c>
      <c r="V1987" s="66">
        <f t="shared" si="82"/>
        <v>0.05037159372</v>
      </c>
      <c r="W1987" s="67" t="b">
        <f t="shared" si="5"/>
        <v>0</v>
      </c>
      <c r="X1987" s="67">
        <f t="shared" si="70"/>
        <v>0</v>
      </c>
      <c r="Y1987" s="67">
        <f t="shared" si="71"/>
        <v>0</v>
      </c>
      <c r="Z1987" s="67" t="b">
        <f t="shared" si="8"/>
        <v>0</v>
      </c>
      <c r="AA1987" s="67">
        <f t="shared" si="72"/>
        <v>0</v>
      </c>
      <c r="AB1987" s="67">
        <f t="shared" si="73"/>
        <v>0</v>
      </c>
      <c r="AC1987" s="67" t="b">
        <f t="shared" si="11"/>
        <v>0</v>
      </c>
      <c r="AD1987" s="67">
        <f t="shared" si="74"/>
        <v>0</v>
      </c>
      <c r="AE1987" s="67">
        <f t="shared" si="75"/>
        <v>0</v>
      </c>
      <c r="AF1987" s="67" t="b">
        <f t="shared" si="33"/>
        <v>0</v>
      </c>
      <c r="AG1987" s="67">
        <f t="shared" si="76"/>
        <v>0</v>
      </c>
      <c r="AH1987" s="67">
        <f t="shared" si="77"/>
        <v>0</v>
      </c>
      <c r="AI1987" s="67" t="b">
        <f t="shared" si="17"/>
        <v>0</v>
      </c>
      <c r="AJ1987" s="68">
        <f t="shared" si="78"/>
        <v>0</v>
      </c>
      <c r="AK1987" s="68">
        <f t="shared" si="79"/>
        <v>0</v>
      </c>
      <c r="AL1987" s="70"/>
      <c r="AM1987" s="70"/>
      <c r="AN1987" s="71"/>
      <c r="AO1987" s="71"/>
      <c r="AP1987" s="71"/>
      <c r="AQ1987" s="71"/>
      <c r="AR1987" s="71"/>
      <c r="AS1987" s="71"/>
      <c r="AT1987" s="71"/>
      <c r="AU1987" s="71"/>
      <c r="AV1987" s="71"/>
      <c r="AW1987" s="71"/>
      <c r="AX1987" s="71"/>
      <c r="AY1987" s="71"/>
      <c r="AZ1987" s="71"/>
      <c r="BA1987" s="71"/>
      <c r="BB1987" s="71"/>
      <c r="BC1987" s="71"/>
      <c r="BD1987" s="71"/>
      <c r="BE1987" s="71"/>
      <c r="BF1987" s="71"/>
      <c r="BG1987" s="71"/>
      <c r="BH1987" s="71"/>
      <c r="BI1987" s="71"/>
      <c r="BJ1987" s="71"/>
      <c r="BK1987" s="71"/>
      <c r="BL1987" s="71"/>
      <c r="BM1987" s="71"/>
      <c r="BN1987" s="71"/>
      <c r="BO1987" s="71"/>
      <c r="BP1987" s="71"/>
      <c r="BQ1987" s="71"/>
      <c r="BR1987" s="71"/>
      <c r="BS1987" s="71"/>
      <c r="BT1987" s="71"/>
      <c r="BU1987" s="71"/>
      <c r="BV1987" s="71"/>
    </row>
    <row r="1988">
      <c r="A1988" s="53"/>
      <c r="B1988" s="53">
        <v>0.0</v>
      </c>
      <c r="C1988" s="73" t="s">
        <v>53</v>
      </c>
      <c r="D1988" s="74" t="s">
        <v>4846</v>
      </c>
      <c r="E1988" s="54" t="s">
        <v>38</v>
      </c>
      <c r="F1988" s="54" t="s">
        <v>42</v>
      </c>
      <c r="G1988" s="142" t="s">
        <v>4847</v>
      </c>
      <c r="H1988" s="142" t="s">
        <v>4847</v>
      </c>
      <c r="I1988" s="54">
        <f t="shared" si="24"/>
        <v>32</v>
      </c>
      <c r="J1988" s="56"/>
      <c r="K1988" s="57"/>
      <c r="L1988" s="76" t="s">
        <v>661</v>
      </c>
      <c r="M1988" s="59"/>
      <c r="N1988" s="60">
        <v>1046.0</v>
      </c>
      <c r="O1988" s="61">
        <v>1298.0</v>
      </c>
      <c r="P1988" s="62">
        <v>1401.8400000000001</v>
      </c>
      <c r="Q1988" s="63">
        <v>1401.8400000000001</v>
      </c>
      <c r="R1988" s="64">
        <v>1561.0</v>
      </c>
      <c r="S1988" s="111">
        <v>1639.0</v>
      </c>
      <c r="T1988" s="65">
        <f t="shared" si="80"/>
        <v>262.24</v>
      </c>
      <c r="U1988" s="65">
        <f t="shared" si="81"/>
        <v>1901.24</v>
      </c>
      <c r="V1988" s="66">
        <f t="shared" si="82"/>
        <v>0.04996796925</v>
      </c>
      <c r="W1988" s="67" t="b">
        <f t="shared" si="5"/>
        <v>0</v>
      </c>
      <c r="X1988" s="67">
        <f t="shared" si="70"/>
        <v>0</v>
      </c>
      <c r="Y1988" s="67">
        <f t="shared" si="71"/>
        <v>0</v>
      </c>
      <c r="Z1988" s="67" t="b">
        <f t="shared" si="8"/>
        <v>0</v>
      </c>
      <c r="AA1988" s="67">
        <f t="shared" si="72"/>
        <v>0</v>
      </c>
      <c r="AB1988" s="67">
        <f t="shared" si="73"/>
        <v>0</v>
      </c>
      <c r="AC1988" s="67" t="b">
        <f t="shared" si="11"/>
        <v>0</v>
      </c>
      <c r="AD1988" s="67">
        <f t="shared" si="74"/>
        <v>0</v>
      </c>
      <c r="AE1988" s="67">
        <f t="shared" si="75"/>
        <v>0</v>
      </c>
      <c r="AF1988" s="67" t="b">
        <f t="shared" si="33"/>
        <v>0</v>
      </c>
      <c r="AG1988" s="67">
        <f t="shared" si="76"/>
        <v>0</v>
      </c>
      <c r="AH1988" s="67">
        <f t="shared" si="77"/>
        <v>0</v>
      </c>
      <c r="AI1988" s="67" t="b">
        <f t="shared" si="17"/>
        <v>0</v>
      </c>
      <c r="AJ1988" s="68">
        <f t="shared" si="78"/>
        <v>0</v>
      </c>
      <c r="AK1988" s="68">
        <f t="shared" si="79"/>
        <v>0</v>
      </c>
      <c r="AL1988" s="70"/>
      <c r="AM1988" s="70"/>
      <c r="AN1988" s="71"/>
      <c r="AO1988" s="71"/>
      <c r="AP1988" s="71"/>
      <c r="AQ1988" s="71"/>
      <c r="AR1988" s="71"/>
      <c r="AS1988" s="71"/>
      <c r="AT1988" s="71"/>
      <c r="AU1988" s="71"/>
      <c r="AV1988" s="71"/>
      <c r="AW1988" s="71"/>
      <c r="AX1988" s="71"/>
      <c r="AY1988" s="71"/>
      <c r="AZ1988" s="71"/>
      <c r="BA1988" s="71"/>
      <c r="BB1988" s="71"/>
      <c r="BC1988" s="71"/>
      <c r="BD1988" s="71"/>
      <c r="BE1988" s="71"/>
      <c r="BF1988" s="71"/>
      <c r="BG1988" s="71"/>
      <c r="BH1988" s="71"/>
      <c r="BI1988" s="71"/>
      <c r="BJ1988" s="71"/>
      <c r="BK1988" s="71"/>
      <c r="BL1988" s="71"/>
      <c r="BM1988" s="71"/>
      <c r="BN1988" s="71"/>
      <c r="BO1988" s="71"/>
      <c r="BP1988" s="71"/>
      <c r="BQ1988" s="71"/>
      <c r="BR1988" s="71"/>
      <c r="BS1988" s="71"/>
      <c r="BT1988" s="71"/>
      <c r="BU1988" s="71"/>
      <c r="BV1988" s="71"/>
    </row>
    <row r="1989">
      <c r="A1989" s="53"/>
      <c r="B1989" s="53">
        <v>0.0</v>
      </c>
      <c r="C1989" s="53" t="s">
        <v>53</v>
      </c>
      <c r="D1989" s="53" t="s">
        <v>4848</v>
      </c>
      <c r="E1989" s="54" t="s">
        <v>38</v>
      </c>
      <c r="F1989" s="54" t="s">
        <v>42</v>
      </c>
      <c r="G1989" s="142" t="s">
        <v>4849</v>
      </c>
      <c r="H1989" s="142" t="s">
        <v>4849</v>
      </c>
      <c r="I1989" s="54">
        <f t="shared" si="24"/>
        <v>28</v>
      </c>
      <c r="J1989" s="56"/>
      <c r="K1989" s="57"/>
      <c r="L1989" s="76" t="s">
        <v>661</v>
      </c>
      <c r="M1989" s="59"/>
      <c r="N1989" s="79">
        <v>619.0</v>
      </c>
      <c r="O1989" s="61">
        <v>711.0</v>
      </c>
      <c r="P1989" s="63">
        <v>767.88</v>
      </c>
      <c r="Q1989" s="63">
        <v>767.88</v>
      </c>
      <c r="R1989" s="64">
        <v>807.0</v>
      </c>
      <c r="S1989" s="111">
        <v>847.0</v>
      </c>
      <c r="T1989" s="65">
        <f t="shared" si="80"/>
        <v>135.52</v>
      </c>
      <c r="U1989" s="65">
        <f t="shared" si="81"/>
        <v>982.52</v>
      </c>
      <c r="V1989" s="66">
        <f t="shared" si="82"/>
        <v>0.04956629492</v>
      </c>
      <c r="W1989" s="67" t="b">
        <f t="shared" si="5"/>
        <v>0</v>
      </c>
      <c r="X1989" s="67">
        <f t="shared" si="70"/>
        <v>0</v>
      </c>
      <c r="Y1989" s="67">
        <f t="shared" si="71"/>
        <v>0</v>
      </c>
      <c r="Z1989" s="67" t="b">
        <f t="shared" si="8"/>
        <v>0</v>
      </c>
      <c r="AA1989" s="67">
        <f t="shared" si="72"/>
        <v>0</v>
      </c>
      <c r="AB1989" s="67">
        <f t="shared" si="73"/>
        <v>0</v>
      </c>
      <c r="AC1989" s="67" t="b">
        <f t="shared" si="11"/>
        <v>0</v>
      </c>
      <c r="AD1989" s="67">
        <f t="shared" si="74"/>
        <v>0</v>
      </c>
      <c r="AE1989" s="67">
        <f t="shared" si="75"/>
        <v>0</v>
      </c>
      <c r="AF1989" s="67" t="b">
        <f t="shared" si="33"/>
        <v>0</v>
      </c>
      <c r="AG1989" s="67">
        <f t="shared" si="76"/>
        <v>0</v>
      </c>
      <c r="AH1989" s="67">
        <f t="shared" si="77"/>
        <v>0</v>
      </c>
      <c r="AI1989" s="67" t="b">
        <f t="shared" si="17"/>
        <v>0</v>
      </c>
      <c r="AJ1989" s="68">
        <f t="shared" si="78"/>
        <v>0</v>
      </c>
      <c r="AK1989" s="68">
        <f t="shared" si="79"/>
        <v>0</v>
      </c>
      <c r="AL1989" s="70"/>
      <c r="AM1989" s="70"/>
      <c r="AN1989" s="71"/>
      <c r="AO1989" s="71"/>
      <c r="AP1989" s="71"/>
      <c r="AQ1989" s="71"/>
      <c r="AR1989" s="71"/>
      <c r="AS1989" s="71"/>
      <c r="AT1989" s="71"/>
      <c r="AU1989" s="71"/>
      <c r="AV1989" s="71"/>
      <c r="AW1989" s="71"/>
      <c r="AX1989" s="71"/>
      <c r="AY1989" s="71"/>
      <c r="AZ1989" s="71"/>
      <c r="BA1989" s="71"/>
      <c r="BB1989" s="71"/>
      <c r="BC1989" s="71"/>
      <c r="BD1989" s="71"/>
      <c r="BE1989" s="71"/>
      <c r="BF1989" s="71"/>
      <c r="BG1989" s="71"/>
      <c r="BH1989" s="71"/>
      <c r="BI1989" s="71"/>
      <c r="BJ1989" s="71"/>
      <c r="BK1989" s="71"/>
      <c r="BL1989" s="71"/>
      <c r="BM1989" s="71"/>
      <c r="BN1989" s="71"/>
      <c r="BO1989" s="71"/>
      <c r="BP1989" s="71"/>
      <c r="BQ1989" s="71"/>
      <c r="BR1989" s="71"/>
      <c r="BS1989" s="71"/>
      <c r="BT1989" s="71"/>
      <c r="BU1989" s="71"/>
      <c r="BV1989" s="71"/>
    </row>
    <row r="1990">
      <c r="A1990" s="53"/>
      <c r="B1990" s="53">
        <v>0.0</v>
      </c>
      <c r="C1990" s="73" t="s">
        <v>53</v>
      </c>
      <c r="D1990" s="128" t="s">
        <v>4850</v>
      </c>
      <c r="E1990" s="54" t="s">
        <v>38</v>
      </c>
      <c r="F1990" s="54" t="s">
        <v>42</v>
      </c>
      <c r="G1990" s="190" t="s">
        <v>4851</v>
      </c>
      <c r="H1990" s="190" t="s">
        <v>4851</v>
      </c>
      <c r="I1990" s="54">
        <f t="shared" si="24"/>
        <v>27</v>
      </c>
      <c r="J1990" s="56"/>
      <c r="K1990" s="57"/>
      <c r="L1990" s="76" t="s">
        <v>661</v>
      </c>
      <c r="M1990" s="59"/>
      <c r="N1990" s="60">
        <v>934.5</v>
      </c>
      <c r="O1990" s="129">
        <v>1160.0</v>
      </c>
      <c r="P1990" s="62">
        <v>1252.8000000000002</v>
      </c>
      <c r="Q1990" s="63">
        <v>1252.8000000000002</v>
      </c>
      <c r="R1990" s="64">
        <v>1316.0</v>
      </c>
      <c r="S1990" s="111">
        <v>1382.0</v>
      </c>
      <c r="T1990" s="65">
        <f t="shared" si="80"/>
        <v>221.12</v>
      </c>
      <c r="U1990" s="65">
        <f t="shared" si="81"/>
        <v>1603.12</v>
      </c>
      <c r="V1990" s="66">
        <f t="shared" si="82"/>
        <v>0.05015197568</v>
      </c>
      <c r="W1990" s="67" t="b">
        <f t="shared" si="5"/>
        <v>0</v>
      </c>
      <c r="X1990" s="67">
        <f t="shared" si="70"/>
        <v>0</v>
      </c>
      <c r="Y1990" s="67">
        <f t="shared" si="71"/>
        <v>0</v>
      </c>
      <c r="Z1990" s="67" t="b">
        <f t="shared" si="8"/>
        <v>0</v>
      </c>
      <c r="AA1990" s="67">
        <f t="shared" si="72"/>
        <v>0</v>
      </c>
      <c r="AB1990" s="67">
        <f t="shared" si="73"/>
        <v>0</v>
      </c>
      <c r="AC1990" s="67" t="b">
        <f t="shared" si="11"/>
        <v>0</v>
      </c>
      <c r="AD1990" s="67">
        <f t="shared" si="74"/>
        <v>0</v>
      </c>
      <c r="AE1990" s="67">
        <f t="shared" si="75"/>
        <v>0</v>
      </c>
      <c r="AF1990" s="67" t="b">
        <f t="shared" si="33"/>
        <v>0</v>
      </c>
      <c r="AG1990" s="67">
        <f t="shared" si="76"/>
        <v>0</v>
      </c>
      <c r="AH1990" s="67">
        <f t="shared" si="77"/>
        <v>0</v>
      </c>
      <c r="AI1990" s="67" t="b">
        <f t="shared" si="17"/>
        <v>0</v>
      </c>
      <c r="AJ1990" s="68">
        <f t="shared" si="78"/>
        <v>0</v>
      </c>
      <c r="AK1990" s="68">
        <f t="shared" si="79"/>
        <v>0</v>
      </c>
      <c r="AL1990" s="70"/>
      <c r="AM1990" s="70"/>
      <c r="AN1990" s="71"/>
      <c r="AO1990" s="71"/>
      <c r="AP1990" s="71"/>
      <c r="AQ1990" s="71"/>
      <c r="AR1990" s="71"/>
      <c r="AS1990" s="71"/>
      <c r="AT1990" s="71"/>
      <c r="AU1990" s="71"/>
      <c r="AV1990" s="71"/>
      <c r="AW1990" s="71"/>
      <c r="AX1990" s="71"/>
      <c r="AY1990" s="71"/>
      <c r="AZ1990" s="71"/>
      <c r="BA1990" s="71"/>
      <c r="BB1990" s="71"/>
      <c r="BC1990" s="71"/>
      <c r="BD1990" s="71"/>
      <c r="BE1990" s="71"/>
      <c r="BF1990" s="71"/>
      <c r="BG1990" s="71"/>
      <c r="BH1990" s="71"/>
      <c r="BI1990" s="71"/>
      <c r="BJ1990" s="71"/>
      <c r="BK1990" s="71"/>
      <c r="BL1990" s="71"/>
      <c r="BM1990" s="71"/>
      <c r="BN1990" s="71"/>
      <c r="BO1990" s="71"/>
      <c r="BP1990" s="71"/>
      <c r="BQ1990" s="71"/>
      <c r="BR1990" s="71"/>
      <c r="BS1990" s="71"/>
      <c r="BT1990" s="71"/>
      <c r="BU1990" s="71"/>
      <c r="BV1990" s="71"/>
    </row>
    <row r="1991">
      <c r="A1991" s="53"/>
      <c r="B1991" s="53">
        <v>0.0</v>
      </c>
      <c r="C1991" s="73" t="s">
        <v>53</v>
      </c>
      <c r="D1991" s="53" t="s">
        <v>4852</v>
      </c>
      <c r="E1991" s="54" t="s">
        <v>38</v>
      </c>
      <c r="F1991" s="54" t="s">
        <v>42</v>
      </c>
      <c r="G1991" s="142" t="s">
        <v>4853</v>
      </c>
      <c r="H1991" s="142" t="s">
        <v>4853</v>
      </c>
      <c r="I1991" s="54">
        <f t="shared" si="24"/>
        <v>32</v>
      </c>
      <c r="J1991" s="56"/>
      <c r="K1991" s="57"/>
      <c r="L1991" s="76"/>
      <c r="M1991" s="59"/>
      <c r="N1991" s="79">
        <v>598.0</v>
      </c>
      <c r="O1991" s="61">
        <v>645.0</v>
      </c>
      <c r="P1991" s="63">
        <v>696.6</v>
      </c>
      <c r="Q1991" s="63">
        <v>696.6</v>
      </c>
      <c r="R1991" s="64">
        <v>732.0</v>
      </c>
      <c r="S1991" s="111">
        <v>769.0</v>
      </c>
      <c r="T1991" s="65">
        <f t="shared" si="80"/>
        <v>123.04</v>
      </c>
      <c r="U1991" s="65">
        <f t="shared" si="81"/>
        <v>892.04</v>
      </c>
      <c r="V1991" s="66">
        <f t="shared" si="82"/>
        <v>0.05054644809</v>
      </c>
      <c r="W1991" s="67" t="b">
        <f t="shared" si="5"/>
        <v>0</v>
      </c>
      <c r="X1991" s="67">
        <f t="shared" si="70"/>
        <v>0</v>
      </c>
      <c r="Y1991" s="67">
        <f t="shared" si="71"/>
        <v>0</v>
      </c>
      <c r="Z1991" s="67" t="b">
        <f t="shared" si="8"/>
        <v>0</v>
      </c>
      <c r="AA1991" s="67">
        <f t="shared" si="72"/>
        <v>0</v>
      </c>
      <c r="AB1991" s="67">
        <f t="shared" si="73"/>
        <v>0</v>
      </c>
      <c r="AC1991" s="67" t="b">
        <f t="shared" si="11"/>
        <v>0</v>
      </c>
      <c r="AD1991" s="67">
        <f t="shared" si="74"/>
        <v>0</v>
      </c>
      <c r="AE1991" s="67">
        <f t="shared" si="75"/>
        <v>0</v>
      </c>
      <c r="AF1991" s="67" t="b">
        <f t="shared" si="33"/>
        <v>0</v>
      </c>
      <c r="AG1991" s="67">
        <f t="shared" si="76"/>
        <v>0</v>
      </c>
      <c r="AH1991" s="67">
        <f t="shared" si="77"/>
        <v>0</v>
      </c>
      <c r="AI1991" s="67" t="b">
        <f t="shared" si="17"/>
        <v>0</v>
      </c>
      <c r="AJ1991" s="68">
        <f t="shared" si="78"/>
        <v>0</v>
      </c>
      <c r="AK1991" s="68">
        <f t="shared" si="79"/>
        <v>0</v>
      </c>
      <c r="AL1991" s="70"/>
      <c r="AM1991" s="70"/>
      <c r="AN1991" s="71"/>
      <c r="AO1991" s="71"/>
      <c r="AP1991" s="71"/>
      <c r="AQ1991" s="71"/>
      <c r="AR1991" s="71"/>
      <c r="AS1991" s="71"/>
      <c r="AT1991" s="71"/>
      <c r="AU1991" s="71"/>
      <c r="AV1991" s="71"/>
      <c r="AW1991" s="71"/>
      <c r="AX1991" s="71"/>
      <c r="AY1991" s="71"/>
      <c r="AZ1991" s="71"/>
      <c r="BA1991" s="71"/>
      <c r="BB1991" s="71"/>
      <c r="BC1991" s="71"/>
      <c r="BD1991" s="71"/>
      <c r="BE1991" s="71"/>
      <c r="BF1991" s="71"/>
      <c r="BG1991" s="71"/>
      <c r="BH1991" s="71"/>
      <c r="BI1991" s="71"/>
      <c r="BJ1991" s="71"/>
      <c r="BK1991" s="71"/>
      <c r="BL1991" s="71"/>
      <c r="BM1991" s="71"/>
      <c r="BN1991" s="71"/>
      <c r="BO1991" s="71"/>
      <c r="BP1991" s="71"/>
      <c r="BQ1991" s="71"/>
      <c r="BR1991" s="71"/>
      <c r="BS1991" s="71"/>
      <c r="BT1991" s="71"/>
      <c r="BU1991" s="71"/>
      <c r="BV1991" s="71"/>
    </row>
    <row r="1992">
      <c r="A1992" s="53"/>
      <c r="B1992" s="53">
        <v>0.0</v>
      </c>
      <c r="C1992" s="73" t="s">
        <v>53</v>
      </c>
      <c r="D1992" s="53" t="s">
        <v>4854</v>
      </c>
      <c r="E1992" s="54" t="s">
        <v>38</v>
      </c>
      <c r="F1992" s="54" t="s">
        <v>42</v>
      </c>
      <c r="G1992" s="142" t="s">
        <v>4855</v>
      </c>
      <c r="H1992" s="142" t="s">
        <v>4855</v>
      </c>
      <c r="I1992" s="54">
        <f t="shared" si="24"/>
        <v>31</v>
      </c>
      <c r="J1992" s="56"/>
      <c r="K1992" s="57"/>
      <c r="L1992" s="76" t="s">
        <v>661</v>
      </c>
      <c r="M1992" s="59"/>
      <c r="N1992" s="79">
        <v>478.0</v>
      </c>
      <c r="O1992" s="61">
        <v>580.0</v>
      </c>
      <c r="P1992" s="62">
        <v>626.4000000000001</v>
      </c>
      <c r="Q1992" s="63">
        <v>626.4000000000001</v>
      </c>
      <c r="R1992" s="64">
        <v>658.0</v>
      </c>
      <c r="S1992" s="111">
        <v>691.0</v>
      </c>
      <c r="T1992" s="65">
        <f t="shared" si="80"/>
        <v>110.56</v>
      </c>
      <c r="U1992" s="65">
        <f t="shared" si="81"/>
        <v>801.56</v>
      </c>
      <c r="V1992" s="66">
        <f t="shared" si="82"/>
        <v>0.05015197568</v>
      </c>
      <c r="W1992" s="67" t="b">
        <f t="shared" si="5"/>
        <v>0</v>
      </c>
      <c r="X1992" s="67">
        <f t="shared" si="70"/>
        <v>0</v>
      </c>
      <c r="Y1992" s="67">
        <f t="shared" si="71"/>
        <v>0</v>
      </c>
      <c r="Z1992" s="67" t="b">
        <f t="shared" si="8"/>
        <v>0</v>
      </c>
      <c r="AA1992" s="67">
        <f t="shared" si="72"/>
        <v>0</v>
      </c>
      <c r="AB1992" s="67">
        <f t="shared" si="73"/>
        <v>0</v>
      </c>
      <c r="AC1992" s="67" t="b">
        <f t="shared" si="11"/>
        <v>0</v>
      </c>
      <c r="AD1992" s="67">
        <f t="shared" si="74"/>
        <v>0</v>
      </c>
      <c r="AE1992" s="67">
        <f t="shared" si="75"/>
        <v>0</v>
      </c>
      <c r="AF1992" s="67" t="b">
        <f t="shared" si="33"/>
        <v>0</v>
      </c>
      <c r="AG1992" s="67">
        <f t="shared" si="76"/>
        <v>0</v>
      </c>
      <c r="AH1992" s="67">
        <f t="shared" si="77"/>
        <v>0</v>
      </c>
      <c r="AI1992" s="67" t="b">
        <f t="shared" si="17"/>
        <v>0</v>
      </c>
      <c r="AJ1992" s="68">
        <f t="shared" si="78"/>
        <v>0</v>
      </c>
      <c r="AK1992" s="68">
        <f t="shared" si="79"/>
        <v>0</v>
      </c>
      <c r="AL1992" s="70"/>
      <c r="AM1992" s="70"/>
      <c r="AN1992" s="71"/>
      <c r="AO1992" s="71"/>
      <c r="AP1992" s="71"/>
      <c r="AQ1992" s="71"/>
      <c r="AR1992" s="71"/>
      <c r="AS1992" s="71"/>
      <c r="AT1992" s="71"/>
      <c r="AU1992" s="71"/>
      <c r="AV1992" s="71"/>
      <c r="AW1992" s="71"/>
      <c r="AX1992" s="71"/>
      <c r="AY1992" s="71"/>
      <c r="AZ1992" s="71"/>
      <c r="BA1992" s="71"/>
      <c r="BB1992" s="71"/>
      <c r="BC1992" s="71"/>
      <c r="BD1992" s="71"/>
      <c r="BE1992" s="71"/>
      <c r="BF1992" s="71"/>
      <c r="BG1992" s="71"/>
      <c r="BH1992" s="71"/>
      <c r="BI1992" s="71"/>
      <c r="BJ1992" s="71"/>
      <c r="BK1992" s="71"/>
      <c r="BL1992" s="71"/>
      <c r="BM1992" s="71"/>
      <c r="BN1992" s="71"/>
      <c r="BO1992" s="71"/>
      <c r="BP1992" s="71"/>
      <c r="BQ1992" s="71"/>
      <c r="BR1992" s="71"/>
      <c r="BS1992" s="71"/>
      <c r="BT1992" s="71"/>
      <c r="BU1992" s="71"/>
      <c r="BV1992" s="71"/>
    </row>
    <row r="1993">
      <c r="A1993" s="53">
        <v>1.0</v>
      </c>
      <c r="B1993" s="53"/>
      <c r="C1993" s="73" t="s">
        <v>603</v>
      </c>
      <c r="D1993" s="74" t="s">
        <v>4856</v>
      </c>
      <c r="E1993" s="54" t="s">
        <v>38</v>
      </c>
      <c r="F1993" s="54" t="s">
        <v>42</v>
      </c>
      <c r="G1993" s="88" t="s">
        <v>4857</v>
      </c>
      <c r="H1993" s="54" t="s">
        <v>4857</v>
      </c>
      <c r="I1993" s="54">
        <f t="shared" si="24"/>
        <v>29</v>
      </c>
      <c r="J1993" s="56"/>
      <c r="K1993" s="57"/>
      <c r="L1993" s="87"/>
      <c r="M1993" s="59"/>
      <c r="N1993" s="60">
        <v>34.0</v>
      </c>
      <c r="O1993" s="61">
        <v>36.0</v>
      </c>
      <c r="P1993" s="62">
        <v>38.88</v>
      </c>
      <c r="Q1993" s="63">
        <v>38.88</v>
      </c>
      <c r="R1993" s="64">
        <v>45.0</v>
      </c>
      <c r="S1993" s="111">
        <v>47.0</v>
      </c>
      <c r="T1993" s="65">
        <f t="shared" si="80"/>
        <v>7.52</v>
      </c>
      <c r="U1993" s="65">
        <f t="shared" si="81"/>
        <v>54.52</v>
      </c>
      <c r="V1993" s="66">
        <f t="shared" si="82"/>
        <v>0.04444444444</v>
      </c>
      <c r="W1993" s="67">
        <f t="shared" si="5"/>
        <v>44.65</v>
      </c>
      <c r="X1993" s="67">
        <f t="shared" si="70"/>
        <v>7.144</v>
      </c>
      <c r="Y1993" s="67">
        <f t="shared" si="71"/>
        <v>51.794</v>
      </c>
      <c r="Z1993" s="67">
        <f t="shared" si="8"/>
        <v>42.3</v>
      </c>
      <c r="AA1993" s="67">
        <f t="shared" si="72"/>
        <v>6.768</v>
      </c>
      <c r="AB1993" s="67">
        <f t="shared" si="73"/>
        <v>49.068</v>
      </c>
      <c r="AC1993" s="67">
        <f t="shared" si="11"/>
        <v>39.95</v>
      </c>
      <c r="AD1993" s="67">
        <f t="shared" si="74"/>
        <v>6.392</v>
      </c>
      <c r="AE1993" s="67">
        <f t="shared" si="75"/>
        <v>46.342</v>
      </c>
      <c r="AF1993" s="67">
        <f t="shared" si="33"/>
        <v>39.01</v>
      </c>
      <c r="AG1993" s="67">
        <f t="shared" si="76"/>
        <v>6.2416</v>
      </c>
      <c r="AH1993" s="67">
        <f t="shared" si="77"/>
        <v>45.2516</v>
      </c>
      <c r="AI1993" s="67">
        <f t="shared" si="17"/>
        <v>37.6</v>
      </c>
      <c r="AJ1993" s="68">
        <f t="shared" si="78"/>
        <v>6.016</v>
      </c>
      <c r="AK1993" s="68">
        <f t="shared" si="79"/>
        <v>43.616</v>
      </c>
      <c r="AL1993" s="70"/>
      <c r="AM1993" s="70"/>
      <c r="AN1993" s="71"/>
      <c r="AO1993" s="71"/>
      <c r="AP1993" s="71"/>
      <c r="AQ1993" s="71"/>
      <c r="AR1993" s="71"/>
      <c r="AS1993" s="71"/>
      <c r="AT1993" s="71"/>
      <c r="AU1993" s="71"/>
      <c r="AV1993" s="71"/>
      <c r="AW1993" s="71"/>
      <c r="AX1993" s="71"/>
      <c r="AY1993" s="71"/>
      <c r="AZ1993" s="71"/>
      <c r="BA1993" s="71"/>
      <c r="BB1993" s="71"/>
      <c r="BC1993" s="71"/>
      <c r="BD1993" s="71"/>
      <c r="BE1993" s="71"/>
      <c r="BF1993" s="71"/>
      <c r="BG1993" s="71"/>
      <c r="BH1993" s="71"/>
      <c r="BI1993" s="71"/>
      <c r="BJ1993" s="71"/>
      <c r="BK1993" s="71"/>
      <c r="BL1993" s="71"/>
      <c r="BM1993" s="71"/>
      <c r="BN1993" s="71"/>
      <c r="BO1993" s="71"/>
      <c r="BP1993" s="71"/>
      <c r="BQ1993" s="71"/>
      <c r="BR1993" s="71"/>
      <c r="BS1993" s="71"/>
      <c r="BT1993" s="71"/>
      <c r="BU1993" s="71"/>
      <c r="BV1993" s="71"/>
    </row>
    <row r="1994">
      <c r="A1994" s="53"/>
      <c r="B1994" s="53"/>
      <c r="C1994" s="53" t="s">
        <v>53</v>
      </c>
      <c r="D1994" s="53" t="s">
        <v>4858</v>
      </c>
      <c r="E1994" s="54" t="s">
        <v>38</v>
      </c>
      <c r="F1994" s="54" t="s">
        <v>42</v>
      </c>
      <c r="G1994" s="55" t="s">
        <v>4859</v>
      </c>
      <c r="H1994" s="55" t="s">
        <v>4859</v>
      </c>
      <c r="I1994" s="54">
        <f t="shared" si="24"/>
        <v>35</v>
      </c>
      <c r="J1994" s="56"/>
      <c r="K1994" s="57"/>
      <c r="L1994" s="76"/>
      <c r="M1994" s="59"/>
      <c r="N1994" s="60"/>
      <c r="O1994" s="61">
        <v>87.0</v>
      </c>
      <c r="P1994" s="62">
        <v>93.96000000000001</v>
      </c>
      <c r="Q1994" s="63">
        <v>93.96000000000001</v>
      </c>
      <c r="R1994" s="64">
        <v>99.0</v>
      </c>
      <c r="S1994" s="111">
        <v>104.0</v>
      </c>
      <c r="T1994" s="65">
        <f t="shared" si="80"/>
        <v>16.64</v>
      </c>
      <c r="U1994" s="65">
        <f t="shared" si="81"/>
        <v>120.64</v>
      </c>
      <c r="V1994" s="66">
        <f t="shared" si="82"/>
        <v>0.05050505051</v>
      </c>
      <c r="W1994" s="67">
        <f t="shared" si="5"/>
        <v>98.8</v>
      </c>
      <c r="X1994" s="67">
        <f t="shared" si="70"/>
        <v>15.808</v>
      </c>
      <c r="Y1994" s="67">
        <f t="shared" si="71"/>
        <v>114.608</v>
      </c>
      <c r="Z1994" s="67">
        <f t="shared" si="8"/>
        <v>93.6</v>
      </c>
      <c r="AA1994" s="67">
        <f t="shared" si="72"/>
        <v>14.976</v>
      </c>
      <c r="AB1994" s="67">
        <f t="shared" si="73"/>
        <v>108.576</v>
      </c>
      <c r="AC1994" s="67">
        <f t="shared" si="11"/>
        <v>88.4</v>
      </c>
      <c r="AD1994" s="67">
        <f t="shared" si="74"/>
        <v>14.144</v>
      </c>
      <c r="AE1994" s="67">
        <f t="shared" si="75"/>
        <v>102.544</v>
      </c>
      <c r="AF1994" s="67">
        <f t="shared" si="33"/>
        <v>86.32</v>
      </c>
      <c r="AG1994" s="67">
        <f t="shared" si="76"/>
        <v>13.8112</v>
      </c>
      <c r="AH1994" s="67">
        <f t="shared" si="77"/>
        <v>100.1312</v>
      </c>
      <c r="AI1994" s="67">
        <f t="shared" si="17"/>
        <v>83.2</v>
      </c>
      <c r="AJ1994" s="68">
        <f t="shared" si="78"/>
        <v>13.312</v>
      </c>
      <c r="AK1994" s="68">
        <f t="shared" si="79"/>
        <v>96.512</v>
      </c>
      <c r="AL1994" s="70"/>
      <c r="AM1994" s="70"/>
      <c r="AN1994" s="71"/>
      <c r="AO1994" s="71"/>
      <c r="AP1994" s="71"/>
      <c r="AQ1994" s="71"/>
      <c r="AR1994" s="71"/>
      <c r="AS1994" s="71"/>
      <c r="AT1994" s="71"/>
      <c r="AU1994" s="71"/>
      <c r="AV1994" s="71"/>
      <c r="AW1994" s="71"/>
      <c r="AX1994" s="71"/>
      <c r="AY1994" s="71"/>
      <c r="AZ1994" s="71"/>
      <c r="BA1994" s="71"/>
      <c r="BB1994" s="71"/>
      <c r="BC1994" s="71"/>
      <c r="BD1994" s="71"/>
      <c r="BE1994" s="71"/>
      <c r="BF1994" s="71"/>
      <c r="BG1994" s="71"/>
      <c r="BH1994" s="71"/>
      <c r="BI1994" s="71"/>
      <c r="BJ1994" s="71"/>
      <c r="BK1994" s="71"/>
      <c r="BL1994" s="71"/>
      <c r="BM1994" s="71"/>
      <c r="BN1994" s="71"/>
      <c r="BO1994" s="71"/>
      <c r="BP1994" s="71"/>
      <c r="BQ1994" s="71"/>
      <c r="BR1994" s="71"/>
      <c r="BS1994" s="71"/>
      <c r="BT1994" s="71"/>
      <c r="BU1994" s="71"/>
      <c r="BV1994" s="71"/>
    </row>
    <row r="1995">
      <c r="A1995" s="53"/>
      <c r="B1995" s="53"/>
      <c r="C1995" s="53" t="s">
        <v>53</v>
      </c>
      <c r="D1995" s="53" t="s">
        <v>4860</v>
      </c>
      <c r="E1995" s="54" t="s">
        <v>38</v>
      </c>
      <c r="F1995" s="54" t="s">
        <v>42</v>
      </c>
      <c r="G1995" s="55" t="s">
        <v>4861</v>
      </c>
      <c r="H1995" s="55" t="s">
        <v>4861</v>
      </c>
      <c r="I1995" s="54">
        <f t="shared" si="24"/>
        <v>35</v>
      </c>
      <c r="J1995" s="56"/>
      <c r="K1995" s="57"/>
      <c r="L1995" s="76"/>
      <c r="M1995" s="59"/>
      <c r="N1995" s="60"/>
      <c r="O1995" s="61">
        <v>87.0</v>
      </c>
      <c r="P1995" s="62">
        <v>93.96000000000001</v>
      </c>
      <c r="Q1995" s="63">
        <v>93.96000000000001</v>
      </c>
      <c r="R1995" s="64">
        <v>99.0</v>
      </c>
      <c r="S1995" s="111">
        <v>104.0</v>
      </c>
      <c r="T1995" s="65">
        <f t="shared" si="80"/>
        <v>16.64</v>
      </c>
      <c r="U1995" s="65">
        <f t="shared" si="81"/>
        <v>120.64</v>
      </c>
      <c r="V1995" s="66">
        <f t="shared" si="82"/>
        <v>0.05050505051</v>
      </c>
      <c r="W1995" s="67">
        <f t="shared" si="5"/>
        <v>98.8</v>
      </c>
      <c r="X1995" s="67">
        <f t="shared" si="70"/>
        <v>15.808</v>
      </c>
      <c r="Y1995" s="67">
        <f t="shared" si="71"/>
        <v>114.608</v>
      </c>
      <c r="Z1995" s="67">
        <f t="shared" si="8"/>
        <v>93.6</v>
      </c>
      <c r="AA1995" s="67">
        <f t="shared" si="72"/>
        <v>14.976</v>
      </c>
      <c r="AB1995" s="67">
        <f t="shared" si="73"/>
        <v>108.576</v>
      </c>
      <c r="AC1995" s="67">
        <f t="shared" si="11"/>
        <v>88.4</v>
      </c>
      <c r="AD1995" s="67">
        <f t="shared" si="74"/>
        <v>14.144</v>
      </c>
      <c r="AE1995" s="67">
        <f t="shared" si="75"/>
        <v>102.544</v>
      </c>
      <c r="AF1995" s="67">
        <f t="shared" si="33"/>
        <v>86.32</v>
      </c>
      <c r="AG1995" s="67">
        <f t="shared" si="76"/>
        <v>13.8112</v>
      </c>
      <c r="AH1995" s="67">
        <f t="shared" si="77"/>
        <v>100.1312</v>
      </c>
      <c r="AI1995" s="67">
        <f t="shared" si="17"/>
        <v>83.2</v>
      </c>
      <c r="AJ1995" s="68">
        <f t="shared" si="78"/>
        <v>13.312</v>
      </c>
      <c r="AK1995" s="68">
        <f t="shared" si="79"/>
        <v>96.512</v>
      </c>
      <c r="AL1995" s="70"/>
      <c r="AM1995" s="70"/>
      <c r="AN1995" s="71"/>
      <c r="AO1995" s="71"/>
      <c r="AP1995" s="71"/>
      <c r="AQ1995" s="71"/>
      <c r="AR1995" s="71"/>
      <c r="AS1995" s="71"/>
      <c r="AT1995" s="71"/>
      <c r="AU1995" s="71"/>
      <c r="AV1995" s="71"/>
      <c r="AW1995" s="71"/>
      <c r="AX1995" s="71"/>
      <c r="AY1995" s="71"/>
      <c r="AZ1995" s="71"/>
      <c r="BA1995" s="71"/>
      <c r="BB1995" s="71"/>
      <c r="BC1995" s="71"/>
      <c r="BD1995" s="71"/>
      <c r="BE1995" s="71"/>
      <c r="BF1995" s="71"/>
      <c r="BG1995" s="71"/>
      <c r="BH1995" s="71"/>
      <c r="BI1995" s="71"/>
      <c r="BJ1995" s="71"/>
      <c r="BK1995" s="71"/>
      <c r="BL1995" s="71"/>
      <c r="BM1995" s="71"/>
      <c r="BN1995" s="71"/>
      <c r="BO1995" s="71"/>
      <c r="BP1995" s="71"/>
      <c r="BQ1995" s="71"/>
      <c r="BR1995" s="71"/>
      <c r="BS1995" s="71"/>
      <c r="BT1995" s="71"/>
      <c r="BU1995" s="71"/>
      <c r="BV1995" s="71"/>
    </row>
    <row r="1996">
      <c r="A1996" s="53">
        <v>1.0</v>
      </c>
      <c r="B1996" s="53"/>
      <c r="C1996" s="73" t="s">
        <v>53</v>
      </c>
      <c r="D1996" s="74" t="s">
        <v>4862</v>
      </c>
      <c r="E1996" s="54" t="s">
        <v>38</v>
      </c>
      <c r="F1996" s="54" t="s">
        <v>42</v>
      </c>
      <c r="G1996" s="88" t="s">
        <v>4863</v>
      </c>
      <c r="H1996" s="54" t="s">
        <v>4864</v>
      </c>
      <c r="I1996" s="54">
        <f t="shared" si="24"/>
        <v>36</v>
      </c>
      <c r="J1996" s="56"/>
      <c r="K1996" s="57"/>
      <c r="L1996" s="87"/>
      <c r="M1996" s="59"/>
      <c r="N1996" s="60">
        <v>207.0</v>
      </c>
      <c r="O1996" s="61">
        <v>294.0</v>
      </c>
      <c r="P1996" s="62">
        <v>317.52000000000004</v>
      </c>
      <c r="Q1996" s="63">
        <v>317.52000000000004</v>
      </c>
      <c r="R1996" s="64">
        <v>354.0</v>
      </c>
      <c r="S1996" s="111">
        <v>372.0</v>
      </c>
      <c r="T1996" s="65">
        <f t="shared" si="80"/>
        <v>59.52</v>
      </c>
      <c r="U1996" s="65">
        <f t="shared" si="81"/>
        <v>431.52</v>
      </c>
      <c r="V1996" s="66">
        <f t="shared" si="82"/>
        <v>0.05084745763</v>
      </c>
      <c r="W1996" s="67">
        <f t="shared" si="5"/>
        <v>353.4</v>
      </c>
      <c r="X1996" s="67">
        <f t="shared" si="70"/>
        <v>56.544</v>
      </c>
      <c r="Y1996" s="67">
        <f t="shared" si="71"/>
        <v>409.944</v>
      </c>
      <c r="Z1996" s="67">
        <f t="shared" si="8"/>
        <v>334.8</v>
      </c>
      <c r="AA1996" s="67">
        <f t="shared" si="72"/>
        <v>53.568</v>
      </c>
      <c r="AB1996" s="67">
        <f t="shared" si="73"/>
        <v>388.368</v>
      </c>
      <c r="AC1996" s="67">
        <f t="shared" si="11"/>
        <v>316.2</v>
      </c>
      <c r="AD1996" s="67">
        <f t="shared" si="74"/>
        <v>50.592</v>
      </c>
      <c r="AE1996" s="67">
        <f t="shared" si="75"/>
        <v>366.792</v>
      </c>
      <c r="AF1996" s="67">
        <f t="shared" si="33"/>
        <v>308.76</v>
      </c>
      <c r="AG1996" s="67">
        <f t="shared" si="76"/>
        <v>49.4016</v>
      </c>
      <c r="AH1996" s="67">
        <f t="shared" si="77"/>
        <v>358.1616</v>
      </c>
      <c r="AI1996" s="67">
        <f t="shared" si="17"/>
        <v>297.6</v>
      </c>
      <c r="AJ1996" s="68">
        <f t="shared" si="78"/>
        <v>47.616</v>
      </c>
      <c r="AK1996" s="68">
        <f t="shared" si="79"/>
        <v>345.216</v>
      </c>
      <c r="AL1996" s="70"/>
      <c r="AM1996" s="70"/>
      <c r="AN1996" s="71"/>
      <c r="AO1996" s="71"/>
      <c r="AP1996" s="71"/>
      <c r="AQ1996" s="71"/>
      <c r="AR1996" s="71"/>
      <c r="AS1996" s="71"/>
      <c r="AT1996" s="71"/>
      <c r="AU1996" s="71"/>
      <c r="AV1996" s="71"/>
      <c r="AW1996" s="71"/>
      <c r="AX1996" s="71"/>
      <c r="AY1996" s="71"/>
      <c r="AZ1996" s="71"/>
      <c r="BA1996" s="71"/>
      <c r="BB1996" s="71"/>
      <c r="BC1996" s="71"/>
      <c r="BD1996" s="71"/>
      <c r="BE1996" s="71"/>
      <c r="BF1996" s="71"/>
      <c r="BG1996" s="71"/>
      <c r="BH1996" s="71"/>
      <c r="BI1996" s="71"/>
      <c r="BJ1996" s="71"/>
      <c r="BK1996" s="71"/>
      <c r="BL1996" s="71"/>
      <c r="BM1996" s="71"/>
      <c r="BN1996" s="71"/>
      <c r="BO1996" s="71"/>
      <c r="BP1996" s="71"/>
      <c r="BQ1996" s="71"/>
      <c r="BR1996" s="71"/>
      <c r="BS1996" s="71"/>
      <c r="BT1996" s="71"/>
      <c r="BU1996" s="71"/>
      <c r="BV1996" s="71"/>
    </row>
    <row r="1997">
      <c r="A1997" s="53">
        <v>1.0</v>
      </c>
      <c r="B1997" s="53"/>
      <c r="C1997" s="73" t="s">
        <v>53</v>
      </c>
      <c r="D1997" s="74" t="s">
        <v>4865</v>
      </c>
      <c r="E1997" s="54" t="s">
        <v>38</v>
      </c>
      <c r="F1997" s="54" t="s">
        <v>42</v>
      </c>
      <c r="G1997" s="88" t="s">
        <v>4866</v>
      </c>
      <c r="H1997" s="54" t="s">
        <v>4867</v>
      </c>
      <c r="I1997" s="54">
        <f t="shared" si="24"/>
        <v>32</v>
      </c>
      <c r="J1997" s="56"/>
      <c r="K1997" s="57"/>
      <c r="L1997" s="87"/>
      <c r="M1997" s="59"/>
      <c r="N1997" s="60">
        <v>42.0</v>
      </c>
      <c r="O1997" s="61">
        <v>45.0</v>
      </c>
      <c r="P1997" s="62">
        <v>48.6</v>
      </c>
      <c r="Q1997" s="63">
        <v>48.6</v>
      </c>
      <c r="R1997" s="64">
        <v>55.0</v>
      </c>
      <c r="S1997" s="111">
        <v>58.0</v>
      </c>
      <c r="T1997" s="65">
        <f t="shared" si="80"/>
        <v>9.28</v>
      </c>
      <c r="U1997" s="65">
        <f t="shared" si="81"/>
        <v>67.28</v>
      </c>
      <c r="V1997" s="66">
        <f t="shared" si="82"/>
        <v>0.05454545455</v>
      </c>
      <c r="W1997" s="67">
        <f t="shared" si="5"/>
        <v>55.1</v>
      </c>
      <c r="X1997" s="67">
        <f t="shared" si="70"/>
        <v>8.816</v>
      </c>
      <c r="Y1997" s="67">
        <f t="shared" si="71"/>
        <v>63.916</v>
      </c>
      <c r="Z1997" s="67">
        <f t="shared" si="8"/>
        <v>52.2</v>
      </c>
      <c r="AA1997" s="67">
        <f t="shared" si="72"/>
        <v>8.352</v>
      </c>
      <c r="AB1997" s="67">
        <f t="shared" si="73"/>
        <v>60.552</v>
      </c>
      <c r="AC1997" s="67">
        <f t="shared" si="11"/>
        <v>49.3</v>
      </c>
      <c r="AD1997" s="67">
        <f t="shared" si="74"/>
        <v>7.888</v>
      </c>
      <c r="AE1997" s="67">
        <f t="shared" si="75"/>
        <v>57.188</v>
      </c>
      <c r="AF1997" s="67">
        <f t="shared" si="33"/>
        <v>48.14</v>
      </c>
      <c r="AG1997" s="67">
        <f t="shared" si="76"/>
        <v>7.7024</v>
      </c>
      <c r="AH1997" s="67">
        <f t="shared" si="77"/>
        <v>55.8424</v>
      </c>
      <c r="AI1997" s="67">
        <f t="shared" si="17"/>
        <v>46.4</v>
      </c>
      <c r="AJ1997" s="68">
        <f t="shared" si="78"/>
        <v>7.424</v>
      </c>
      <c r="AK1997" s="68">
        <f t="shared" si="79"/>
        <v>53.824</v>
      </c>
      <c r="AL1997" s="70"/>
      <c r="AM1997" s="70"/>
      <c r="AN1997" s="71"/>
      <c r="AO1997" s="71"/>
      <c r="AP1997" s="71"/>
      <c r="AQ1997" s="71"/>
      <c r="AR1997" s="71"/>
      <c r="AS1997" s="71"/>
      <c r="AT1997" s="71"/>
      <c r="AU1997" s="71"/>
      <c r="AV1997" s="71"/>
      <c r="AW1997" s="71"/>
      <c r="AX1997" s="71"/>
      <c r="AY1997" s="71"/>
      <c r="AZ1997" s="71"/>
      <c r="BA1997" s="71"/>
      <c r="BB1997" s="71"/>
      <c r="BC1997" s="71"/>
      <c r="BD1997" s="71"/>
      <c r="BE1997" s="71"/>
      <c r="BF1997" s="71"/>
      <c r="BG1997" s="71"/>
      <c r="BH1997" s="71"/>
      <c r="BI1997" s="71"/>
      <c r="BJ1997" s="71"/>
      <c r="BK1997" s="71"/>
      <c r="BL1997" s="71"/>
      <c r="BM1997" s="71"/>
      <c r="BN1997" s="71"/>
      <c r="BO1997" s="71"/>
      <c r="BP1997" s="71"/>
      <c r="BQ1997" s="71"/>
      <c r="BR1997" s="71"/>
      <c r="BS1997" s="71"/>
      <c r="BT1997" s="71"/>
      <c r="BU1997" s="71"/>
      <c r="BV1997" s="71"/>
    </row>
    <row r="1998">
      <c r="A1998" s="53"/>
      <c r="B1998" s="53"/>
      <c r="C1998" s="73" t="s">
        <v>53</v>
      </c>
      <c r="D1998" s="53" t="s">
        <v>4868</v>
      </c>
      <c r="E1998" s="54" t="s">
        <v>38</v>
      </c>
      <c r="F1998" s="55" t="s">
        <v>309</v>
      </c>
      <c r="G1998" s="54" t="s">
        <v>4869</v>
      </c>
      <c r="H1998" s="55"/>
      <c r="I1998" s="54">
        <f t="shared" si="24"/>
        <v>0</v>
      </c>
      <c r="J1998" s="56"/>
      <c r="K1998" s="57"/>
      <c r="L1998" s="76"/>
      <c r="M1998" s="59"/>
      <c r="N1998" s="60"/>
      <c r="O1998" s="61">
        <v>41.0</v>
      </c>
      <c r="P1998" s="62">
        <v>44.28</v>
      </c>
      <c r="Q1998" s="63">
        <v>44.28</v>
      </c>
      <c r="R1998" s="64">
        <v>50.0</v>
      </c>
      <c r="S1998" s="111">
        <v>53.0</v>
      </c>
      <c r="T1998" s="65">
        <f t="shared" si="80"/>
        <v>8.48</v>
      </c>
      <c r="U1998" s="65">
        <f t="shared" si="81"/>
        <v>61.48</v>
      </c>
      <c r="V1998" s="66">
        <f t="shared" si="82"/>
        <v>0.06</v>
      </c>
      <c r="W1998" s="67">
        <f t="shared" si="5"/>
        <v>50.35</v>
      </c>
      <c r="X1998" s="67">
        <f t="shared" si="70"/>
        <v>8.056</v>
      </c>
      <c r="Y1998" s="67">
        <f t="shared" si="71"/>
        <v>58.406</v>
      </c>
      <c r="Z1998" s="67">
        <f t="shared" si="8"/>
        <v>47.7</v>
      </c>
      <c r="AA1998" s="67">
        <f t="shared" si="72"/>
        <v>7.632</v>
      </c>
      <c r="AB1998" s="67">
        <f t="shared" si="73"/>
        <v>55.332</v>
      </c>
      <c r="AC1998" s="67">
        <f t="shared" si="11"/>
        <v>45.05</v>
      </c>
      <c r="AD1998" s="67">
        <f t="shared" si="74"/>
        <v>7.208</v>
      </c>
      <c r="AE1998" s="67">
        <f t="shared" si="75"/>
        <v>52.258</v>
      </c>
      <c r="AF1998" s="67">
        <f t="shared" si="33"/>
        <v>43.99</v>
      </c>
      <c r="AG1998" s="67">
        <f t="shared" si="76"/>
        <v>7.0384</v>
      </c>
      <c r="AH1998" s="67">
        <f t="shared" si="77"/>
        <v>51.0284</v>
      </c>
      <c r="AI1998" s="67">
        <f t="shared" si="17"/>
        <v>42.4</v>
      </c>
      <c r="AJ1998" s="68">
        <f t="shared" si="78"/>
        <v>6.784</v>
      </c>
      <c r="AK1998" s="68">
        <f t="shared" si="79"/>
        <v>49.184</v>
      </c>
      <c r="AL1998" s="70"/>
      <c r="AM1998" s="70"/>
      <c r="AN1998" s="71"/>
      <c r="AO1998" s="71"/>
      <c r="AP1998" s="71"/>
      <c r="AQ1998" s="71"/>
      <c r="AR1998" s="71"/>
      <c r="AS1998" s="71"/>
      <c r="AT1998" s="71"/>
      <c r="AU1998" s="71"/>
      <c r="AV1998" s="71"/>
      <c r="AW1998" s="71"/>
      <c r="AX1998" s="71"/>
      <c r="AY1998" s="71"/>
      <c r="AZ1998" s="71"/>
      <c r="BA1998" s="71"/>
      <c r="BB1998" s="71"/>
      <c r="BC1998" s="71"/>
      <c r="BD1998" s="71"/>
      <c r="BE1998" s="71"/>
      <c r="BF1998" s="71"/>
      <c r="BG1998" s="71"/>
      <c r="BH1998" s="71"/>
      <c r="BI1998" s="71"/>
      <c r="BJ1998" s="71"/>
      <c r="BK1998" s="71"/>
      <c r="BL1998" s="71"/>
      <c r="BM1998" s="71"/>
      <c r="BN1998" s="71"/>
      <c r="BO1998" s="71"/>
      <c r="BP1998" s="71"/>
      <c r="BQ1998" s="71"/>
      <c r="BR1998" s="71"/>
      <c r="BS1998" s="71"/>
      <c r="BT1998" s="71"/>
      <c r="BU1998" s="71"/>
      <c r="BV1998" s="71"/>
    </row>
    <row r="1999">
      <c r="A1999" s="53">
        <v>1.0</v>
      </c>
      <c r="B1999" s="53"/>
      <c r="C1999" s="73" t="s">
        <v>53</v>
      </c>
      <c r="D1999" s="53" t="s">
        <v>4870</v>
      </c>
      <c r="E1999" s="54" t="s">
        <v>38</v>
      </c>
      <c r="F1999" s="54" t="s">
        <v>42</v>
      </c>
      <c r="G1999" s="54" t="s">
        <v>4871</v>
      </c>
      <c r="H1999" s="54" t="s">
        <v>4871</v>
      </c>
      <c r="I1999" s="54">
        <f t="shared" si="24"/>
        <v>25</v>
      </c>
      <c r="J1999" s="56"/>
      <c r="K1999" s="57"/>
      <c r="L1999" s="87"/>
      <c r="M1999" s="59"/>
      <c r="N1999" s="60">
        <v>38.0</v>
      </c>
      <c r="O1999" s="61">
        <v>41.0</v>
      </c>
      <c r="P1999" s="62">
        <v>44.28</v>
      </c>
      <c r="Q1999" s="63">
        <v>44.28</v>
      </c>
      <c r="R1999" s="64">
        <v>50.0</v>
      </c>
      <c r="S1999" s="111">
        <v>53.0</v>
      </c>
      <c r="T1999" s="65">
        <f t="shared" si="80"/>
        <v>8.48</v>
      </c>
      <c r="U1999" s="65">
        <f t="shared" si="81"/>
        <v>61.48</v>
      </c>
      <c r="V1999" s="66">
        <f t="shared" si="82"/>
        <v>0.06</v>
      </c>
      <c r="W1999" s="67">
        <f t="shared" si="5"/>
        <v>50.35</v>
      </c>
      <c r="X1999" s="67">
        <f t="shared" si="70"/>
        <v>8.056</v>
      </c>
      <c r="Y1999" s="67">
        <f t="shared" si="71"/>
        <v>58.406</v>
      </c>
      <c r="Z1999" s="67">
        <f t="shared" si="8"/>
        <v>47.7</v>
      </c>
      <c r="AA1999" s="67">
        <f t="shared" si="72"/>
        <v>7.632</v>
      </c>
      <c r="AB1999" s="67">
        <f t="shared" si="73"/>
        <v>55.332</v>
      </c>
      <c r="AC1999" s="67">
        <f t="shared" si="11"/>
        <v>45.05</v>
      </c>
      <c r="AD1999" s="67">
        <f t="shared" si="74"/>
        <v>7.208</v>
      </c>
      <c r="AE1999" s="67">
        <f t="shared" si="75"/>
        <v>52.258</v>
      </c>
      <c r="AF1999" s="67">
        <f t="shared" si="33"/>
        <v>43.99</v>
      </c>
      <c r="AG1999" s="67">
        <f t="shared" si="76"/>
        <v>7.0384</v>
      </c>
      <c r="AH1999" s="67">
        <f t="shared" si="77"/>
        <v>51.0284</v>
      </c>
      <c r="AI1999" s="67">
        <f t="shared" si="17"/>
        <v>42.4</v>
      </c>
      <c r="AJ1999" s="68">
        <f t="shared" si="78"/>
        <v>6.784</v>
      </c>
      <c r="AK1999" s="68">
        <f t="shared" si="79"/>
        <v>49.184</v>
      </c>
      <c r="AL1999" s="70"/>
      <c r="AM1999" s="70"/>
      <c r="AN1999" s="71"/>
      <c r="AO1999" s="71"/>
      <c r="AP1999" s="71"/>
      <c r="AQ1999" s="71"/>
      <c r="AR1999" s="71"/>
      <c r="AS1999" s="71"/>
      <c r="AT1999" s="71"/>
      <c r="AU1999" s="71"/>
      <c r="AV1999" s="71"/>
      <c r="AW1999" s="71"/>
      <c r="AX1999" s="71"/>
      <c r="AY1999" s="71"/>
      <c r="AZ1999" s="71"/>
      <c r="BA1999" s="71"/>
      <c r="BB1999" s="71"/>
      <c r="BC1999" s="71"/>
      <c r="BD1999" s="71"/>
      <c r="BE1999" s="71"/>
      <c r="BF1999" s="71"/>
      <c r="BG1999" s="71"/>
      <c r="BH1999" s="71"/>
      <c r="BI1999" s="71"/>
      <c r="BJ1999" s="71"/>
      <c r="BK1999" s="71"/>
      <c r="BL1999" s="71"/>
      <c r="BM1999" s="71"/>
      <c r="BN1999" s="71"/>
      <c r="BO1999" s="71"/>
      <c r="BP1999" s="71"/>
      <c r="BQ1999" s="71"/>
      <c r="BR1999" s="71"/>
      <c r="BS1999" s="71"/>
      <c r="BT1999" s="71"/>
      <c r="BU1999" s="71"/>
      <c r="BV1999" s="71"/>
    </row>
    <row r="2000">
      <c r="A2000" s="53"/>
      <c r="B2000" s="53"/>
      <c r="C2000" s="73" t="s">
        <v>12</v>
      </c>
      <c r="D2000" s="53" t="s">
        <v>4872</v>
      </c>
      <c r="E2000" s="54" t="s">
        <v>38</v>
      </c>
      <c r="F2000" s="54" t="s">
        <v>42</v>
      </c>
      <c r="G2000" s="55" t="s">
        <v>4873</v>
      </c>
      <c r="H2000" s="55" t="s">
        <v>4873</v>
      </c>
      <c r="I2000" s="54">
        <f t="shared" si="24"/>
        <v>33</v>
      </c>
      <c r="J2000" s="56"/>
      <c r="K2000" s="57"/>
      <c r="L2000" s="76"/>
      <c r="M2000" s="59"/>
      <c r="N2000" s="60"/>
      <c r="O2000" s="90"/>
      <c r="P2000" s="62">
        <v>74.03</v>
      </c>
      <c r="Q2000" s="63">
        <v>74.03</v>
      </c>
      <c r="R2000" s="64">
        <v>78.0</v>
      </c>
      <c r="S2000" s="111">
        <v>82.0</v>
      </c>
      <c r="T2000" s="65">
        <f t="shared" si="80"/>
        <v>13.12</v>
      </c>
      <c r="U2000" s="65">
        <f t="shared" si="81"/>
        <v>95.12</v>
      </c>
      <c r="V2000" s="66">
        <f t="shared" si="82"/>
        <v>0.05128205128</v>
      </c>
      <c r="W2000" s="67">
        <f t="shared" si="5"/>
        <v>77.9</v>
      </c>
      <c r="X2000" s="67">
        <f t="shared" si="70"/>
        <v>12.464</v>
      </c>
      <c r="Y2000" s="67">
        <f t="shared" si="71"/>
        <v>90.364</v>
      </c>
      <c r="Z2000" s="67">
        <f t="shared" si="8"/>
        <v>73.8</v>
      </c>
      <c r="AA2000" s="67">
        <f t="shared" si="72"/>
        <v>11.808</v>
      </c>
      <c r="AB2000" s="67">
        <f t="shared" si="73"/>
        <v>85.608</v>
      </c>
      <c r="AC2000" s="67">
        <f t="shared" si="11"/>
        <v>69.7</v>
      </c>
      <c r="AD2000" s="67">
        <f t="shared" si="74"/>
        <v>11.152</v>
      </c>
      <c r="AE2000" s="67">
        <f t="shared" si="75"/>
        <v>80.852</v>
      </c>
      <c r="AF2000" s="67">
        <f t="shared" si="33"/>
        <v>68.06</v>
      </c>
      <c r="AG2000" s="67">
        <f t="shared" si="76"/>
        <v>10.8896</v>
      </c>
      <c r="AH2000" s="67">
        <f t="shared" si="77"/>
        <v>78.9496</v>
      </c>
      <c r="AI2000" s="67">
        <f t="shared" si="17"/>
        <v>65.6</v>
      </c>
      <c r="AJ2000" s="68">
        <f t="shared" si="78"/>
        <v>10.496</v>
      </c>
      <c r="AK2000" s="68">
        <f t="shared" si="79"/>
        <v>76.096</v>
      </c>
      <c r="AL2000" s="70"/>
      <c r="AM2000" s="70"/>
      <c r="AN2000" s="71"/>
      <c r="AO2000" s="71"/>
      <c r="AP2000" s="71"/>
      <c r="AQ2000" s="71"/>
      <c r="AR2000" s="71"/>
      <c r="AS2000" s="71"/>
      <c r="AT2000" s="71"/>
      <c r="AU2000" s="71"/>
      <c r="AV2000" s="71"/>
      <c r="AW2000" s="71"/>
      <c r="AX2000" s="71"/>
      <c r="AY2000" s="71"/>
      <c r="AZ2000" s="71"/>
      <c r="BA2000" s="71"/>
      <c r="BB2000" s="71"/>
      <c r="BC2000" s="71"/>
      <c r="BD2000" s="71"/>
      <c r="BE2000" s="71"/>
      <c r="BF2000" s="71"/>
      <c r="BG2000" s="71"/>
      <c r="BH2000" s="71"/>
      <c r="BI2000" s="71"/>
      <c r="BJ2000" s="71"/>
      <c r="BK2000" s="71"/>
      <c r="BL2000" s="71"/>
      <c r="BM2000" s="71"/>
      <c r="BN2000" s="71"/>
      <c r="BO2000" s="71"/>
      <c r="BP2000" s="71"/>
      <c r="BQ2000" s="71"/>
      <c r="BR2000" s="71"/>
      <c r="BS2000" s="71"/>
      <c r="BT2000" s="71"/>
      <c r="BU2000" s="71"/>
      <c r="BV2000" s="71"/>
    </row>
    <row r="2001">
      <c r="A2001" s="53">
        <v>1.0</v>
      </c>
      <c r="B2001" s="53"/>
      <c r="C2001" s="73" t="s">
        <v>53</v>
      </c>
      <c r="D2001" s="74" t="s">
        <v>4874</v>
      </c>
      <c r="E2001" s="54" t="s">
        <v>38</v>
      </c>
      <c r="F2001" s="54" t="s">
        <v>42</v>
      </c>
      <c r="G2001" s="54" t="s">
        <v>4875</v>
      </c>
      <c r="H2001" s="54" t="s">
        <v>4875</v>
      </c>
      <c r="I2001" s="54">
        <f t="shared" si="24"/>
        <v>28</v>
      </c>
      <c r="J2001" s="56"/>
      <c r="K2001" s="57"/>
      <c r="L2001" s="87"/>
      <c r="M2001" s="59"/>
      <c r="N2001" s="60">
        <v>38.0</v>
      </c>
      <c r="O2001" s="61">
        <v>41.0</v>
      </c>
      <c r="P2001" s="62">
        <v>44.28</v>
      </c>
      <c r="Q2001" s="63">
        <v>44.28</v>
      </c>
      <c r="R2001" s="64">
        <v>50.0</v>
      </c>
      <c r="S2001" s="111">
        <v>53.0</v>
      </c>
      <c r="T2001" s="65">
        <f t="shared" si="80"/>
        <v>8.48</v>
      </c>
      <c r="U2001" s="65">
        <f t="shared" si="81"/>
        <v>61.48</v>
      </c>
      <c r="V2001" s="66">
        <f t="shared" si="82"/>
        <v>0.06</v>
      </c>
      <c r="W2001" s="67">
        <f t="shared" si="5"/>
        <v>50.35</v>
      </c>
      <c r="X2001" s="67">
        <f t="shared" si="70"/>
        <v>8.056</v>
      </c>
      <c r="Y2001" s="67">
        <f t="shared" si="71"/>
        <v>58.406</v>
      </c>
      <c r="Z2001" s="67">
        <f t="shared" si="8"/>
        <v>47.7</v>
      </c>
      <c r="AA2001" s="67">
        <f t="shared" si="72"/>
        <v>7.632</v>
      </c>
      <c r="AB2001" s="67">
        <f t="shared" si="73"/>
        <v>55.332</v>
      </c>
      <c r="AC2001" s="67">
        <f t="shared" si="11"/>
        <v>45.05</v>
      </c>
      <c r="AD2001" s="67">
        <f t="shared" si="74"/>
        <v>7.208</v>
      </c>
      <c r="AE2001" s="67">
        <f t="shared" si="75"/>
        <v>52.258</v>
      </c>
      <c r="AF2001" s="67">
        <f t="shared" si="33"/>
        <v>43.99</v>
      </c>
      <c r="AG2001" s="67">
        <f t="shared" si="76"/>
        <v>7.0384</v>
      </c>
      <c r="AH2001" s="67">
        <f t="shared" si="77"/>
        <v>51.0284</v>
      </c>
      <c r="AI2001" s="67">
        <f t="shared" si="17"/>
        <v>42.4</v>
      </c>
      <c r="AJ2001" s="68">
        <f t="shared" si="78"/>
        <v>6.784</v>
      </c>
      <c r="AK2001" s="68">
        <f t="shared" si="79"/>
        <v>49.184</v>
      </c>
      <c r="AL2001" s="70"/>
      <c r="AM2001" s="70"/>
      <c r="AN2001" s="71"/>
      <c r="AO2001" s="71"/>
      <c r="AP2001" s="71"/>
      <c r="AQ2001" s="71"/>
      <c r="AR2001" s="71"/>
      <c r="AS2001" s="71"/>
      <c r="AT2001" s="71"/>
      <c r="AU2001" s="71"/>
      <c r="AV2001" s="71"/>
      <c r="AW2001" s="71"/>
      <c r="AX2001" s="71"/>
      <c r="AY2001" s="71"/>
      <c r="AZ2001" s="71"/>
      <c r="BA2001" s="71"/>
      <c r="BB2001" s="71"/>
      <c r="BC2001" s="71"/>
      <c r="BD2001" s="71"/>
      <c r="BE2001" s="71"/>
      <c r="BF2001" s="71"/>
      <c r="BG2001" s="71"/>
      <c r="BH2001" s="71"/>
      <c r="BI2001" s="71"/>
      <c r="BJ2001" s="71"/>
      <c r="BK2001" s="71"/>
      <c r="BL2001" s="71"/>
      <c r="BM2001" s="71"/>
      <c r="BN2001" s="71"/>
      <c r="BO2001" s="71"/>
      <c r="BP2001" s="71"/>
      <c r="BQ2001" s="71"/>
      <c r="BR2001" s="71"/>
      <c r="BS2001" s="71"/>
      <c r="BT2001" s="71"/>
      <c r="BU2001" s="71"/>
      <c r="BV2001" s="71"/>
    </row>
    <row r="2002">
      <c r="A2002" s="53">
        <v>1.0</v>
      </c>
      <c r="B2002" s="53"/>
      <c r="C2002" s="73" t="s">
        <v>53</v>
      </c>
      <c r="D2002" s="74" t="s">
        <v>4876</v>
      </c>
      <c r="E2002" s="54" t="s">
        <v>38</v>
      </c>
      <c r="F2002" s="54" t="s">
        <v>42</v>
      </c>
      <c r="G2002" s="88" t="s">
        <v>4877</v>
      </c>
      <c r="H2002" s="54" t="s">
        <v>4878</v>
      </c>
      <c r="I2002" s="54">
        <f t="shared" si="24"/>
        <v>36</v>
      </c>
      <c r="J2002" s="56"/>
      <c r="K2002" s="57"/>
      <c r="L2002" s="87"/>
      <c r="M2002" s="59"/>
      <c r="N2002" s="60">
        <v>111.0</v>
      </c>
      <c r="O2002" s="61">
        <v>134.0</v>
      </c>
      <c r="P2002" s="62">
        <v>144.72</v>
      </c>
      <c r="Q2002" s="63">
        <v>144.72</v>
      </c>
      <c r="R2002" s="64">
        <v>162.0</v>
      </c>
      <c r="S2002" s="111">
        <v>170.0</v>
      </c>
      <c r="T2002" s="65">
        <f t="shared" si="80"/>
        <v>27.2</v>
      </c>
      <c r="U2002" s="65">
        <f t="shared" si="81"/>
        <v>197.2</v>
      </c>
      <c r="V2002" s="66">
        <f t="shared" si="82"/>
        <v>0.04938271605</v>
      </c>
      <c r="W2002" s="67">
        <f t="shared" si="5"/>
        <v>161.5</v>
      </c>
      <c r="X2002" s="67">
        <f t="shared" si="70"/>
        <v>25.84</v>
      </c>
      <c r="Y2002" s="67">
        <f t="shared" si="71"/>
        <v>187.34</v>
      </c>
      <c r="Z2002" s="67">
        <f t="shared" si="8"/>
        <v>153</v>
      </c>
      <c r="AA2002" s="67">
        <f t="shared" si="72"/>
        <v>24.48</v>
      </c>
      <c r="AB2002" s="67">
        <f t="shared" si="73"/>
        <v>177.48</v>
      </c>
      <c r="AC2002" s="67">
        <f t="shared" si="11"/>
        <v>144.5</v>
      </c>
      <c r="AD2002" s="67">
        <f t="shared" si="74"/>
        <v>23.12</v>
      </c>
      <c r="AE2002" s="67">
        <f t="shared" si="75"/>
        <v>167.62</v>
      </c>
      <c r="AF2002" s="67">
        <f t="shared" si="33"/>
        <v>141.1</v>
      </c>
      <c r="AG2002" s="67">
        <f t="shared" si="76"/>
        <v>22.576</v>
      </c>
      <c r="AH2002" s="67">
        <f t="shared" si="77"/>
        <v>163.676</v>
      </c>
      <c r="AI2002" s="67">
        <f t="shared" si="17"/>
        <v>136</v>
      </c>
      <c r="AJ2002" s="68">
        <f t="shared" si="78"/>
        <v>21.76</v>
      </c>
      <c r="AK2002" s="68">
        <f t="shared" si="79"/>
        <v>157.76</v>
      </c>
      <c r="AL2002" s="70"/>
      <c r="AM2002" s="70"/>
      <c r="AN2002" s="71"/>
      <c r="AO2002" s="71"/>
      <c r="AP2002" s="71"/>
      <c r="AQ2002" s="71"/>
      <c r="AR2002" s="71"/>
      <c r="AS2002" s="71"/>
      <c r="AT2002" s="71"/>
      <c r="AU2002" s="71"/>
      <c r="AV2002" s="71"/>
      <c r="AW2002" s="71"/>
      <c r="AX2002" s="71"/>
      <c r="AY2002" s="71"/>
      <c r="AZ2002" s="71"/>
      <c r="BA2002" s="71"/>
      <c r="BB2002" s="71"/>
      <c r="BC2002" s="71"/>
      <c r="BD2002" s="71"/>
      <c r="BE2002" s="71"/>
      <c r="BF2002" s="71"/>
      <c r="BG2002" s="71"/>
      <c r="BH2002" s="71"/>
      <c r="BI2002" s="71"/>
      <c r="BJ2002" s="71"/>
      <c r="BK2002" s="71"/>
      <c r="BL2002" s="71"/>
      <c r="BM2002" s="71"/>
      <c r="BN2002" s="71"/>
      <c r="BO2002" s="71"/>
      <c r="BP2002" s="71"/>
      <c r="BQ2002" s="71"/>
      <c r="BR2002" s="71"/>
      <c r="BS2002" s="71"/>
      <c r="BT2002" s="71"/>
      <c r="BU2002" s="71"/>
      <c r="BV2002" s="71"/>
    </row>
    <row r="2003">
      <c r="A2003" s="53">
        <v>1.0</v>
      </c>
      <c r="B2003" s="53"/>
      <c r="C2003" s="73" t="s">
        <v>603</v>
      </c>
      <c r="D2003" s="74" t="s">
        <v>4879</v>
      </c>
      <c r="E2003" s="54" t="s">
        <v>38</v>
      </c>
      <c r="F2003" s="54" t="s">
        <v>42</v>
      </c>
      <c r="G2003" s="88" t="s">
        <v>4880</v>
      </c>
      <c r="H2003" s="54" t="s">
        <v>4880</v>
      </c>
      <c r="I2003" s="54">
        <f t="shared" si="24"/>
        <v>15</v>
      </c>
      <c r="J2003" s="56"/>
      <c r="K2003" s="57"/>
      <c r="L2003" s="87"/>
      <c r="M2003" s="59"/>
      <c r="N2003" s="60">
        <v>54.0</v>
      </c>
      <c r="O2003" s="61">
        <v>58.0</v>
      </c>
      <c r="P2003" s="62">
        <v>62.64</v>
      </c>
      <c r="Q2003" s="63">
        <v>62.64</v>
      </c>
      <c r="R2003" s="64">
        <v>71.0</v>
      </c>
      <c r="S2003" s="111">
        <v>75.0</v>
      </c>
      <c r="T2003" s="65">
        <f t="shared" si="80"/>
        <v>12</v>
      </c>
      <c r="U2003" s="65">
        <f t="shared" si="81"/>
        <v>87</v>
      </c>
      <c r="V2003" s="66">
        <f t="shared" si="82"/>
        <v>0.05633802817</v>
      </c>
      <c r="W2003" s="67">
        <f t="shared" si="5"/>
        <v>71.25</v>
      </c>
      <c r="X2003" s="67">
        <f t="shared" si="70"/>
        <v>11.4</v>
      </c>
      <c r="Y2003" s="67">
        <f t="shared" si="71"/>
        <v>82.65</v>
      </c>
      <c r="Z2003" s="67">
        <f t="shared" si="8"/>
        <v>67.5</v>
      </c>
      <c r="AA2003" s="67">
        <f t="shared" si="72"/>
        <v>10.8</v>
      </c>
      <c r="AB2003" s="67">
        <f t="shared" si="73"/>
        <v>78.3</v>
      </c>
      <c r="AC2003" s="67">
        <f t="shared" si="11"/>
        <v>63.75</v>
      </c>
      <c r="AD2003" s="67">
        <f t="shared" si="74"/>
        <v>10.2</v>
      </c>
      <c r="AE2003" s="67">
        <f t="shared" si="75"/>
        <v>73.95</v>
      </c>
      <c r="AF2003" s="67">
        <f t="shared" si="33"/>
        <v>62.25</v>
      </c>
      <c r="AG2003" s="67">
        <f t="shared" si="76"/>
        <v>9.96</v>
      </c>
      <c r="AH2003" s="67">
        <f t="shared" si="77"/>
        <v>72.21</v>
      </c>
      <c r="AI2003" s="67">
        <f t="shared" si="17"/>
        <v>60</v>
      </c>
      <c r="AJ2003" s="68">
        <f t="shared" si="78"/>
        <v>9.6</v>
      </c>
      <c r="AK2003" s="68">
        <f t="shared" si="79"/>
        <v>69.6</v>
      </c>
      <c r="AL2003" s="70"/>
      <c r="AM2003" s="70"/>
      <c r="AN2003" s="71"/>
      <c r="AO2003" s="71"/>
      <c r="AP2003" s="71"/>
      <c r="AQ2003" s="71"/>
      <c r="AR2003" s="71"/>
      <c r="AS2003" s="71"/>
      <c r="AT2003" s="71"/>
      <c r="AU2003" s="71"/>
      <c r="AV2003" s="71"/>
      <c r="AW2003" s="71"/>
      <c r="AX2003" s="71"/>
      <c r="AY2003" s="71"/>
      <c r="AZ2003" s="71"/>
      <c r="BA2003" s="71"/>
      <c r="BB2003" s="71"/>
      <c r="BC2003" s="71"/>
      <c r="BD2003" s="71"/>
      <c r="BE2003" s="71"/>
      <c r="BF2003" s="71"/>
      <c r="BG2003" s="71"/>
      <c r="BH2003" s="71"/>
      <c r="BI2003" s="71"/>
      <c r="BJ2003" s="71"/>
      <c r="BK2003" s="71"/>
      <c r="BL2003" s="71"/>
      <c r="BM2003" s="71"/>
      <c r="BN2003" s="71"/>
      <c r="BO2003" s="71"/>
      <c r="BP2003" s="71"/>
      <c r="BQ2003" s="71"/>
      <c r="BR2003" s="71"/>
      <c r="BS2003" s="71"/>
      <c r="BT2003" s="71"/>
      <c r="BU2003" s="71"/>
      <c r="BV2003" s="71"/>
    </row>
    <row r="2004">
      <c r="A2004" s="53"/>
      <c r="B2004" s="53"/>
      <c r="C2004" s="73" t="s">
        <v>53</v>
      </c>
      <c r="D2004" s="53" t="s">
        <v>4881</v>
      </c>
      <c r="E2004" s="54" t="s">
        <v>38</v>
      </c>
      <c r="F2004" s="54" t="s">
        <v>42</v>
      </c>
      <c r="G2004" s="54" t="s">
        <v>4882</v>
      </c>
      <c r="H2004" s="54" t="s">
        <v>4882</v>
      </c>
      <c r="I2004" s="54">
        <f t="shared" si="24"/>
        <v>31</v>
      </c>
      <c r="J2004" s="56"/>
      <c r="K2004" s="57"/>
      <c r="L2004" s="87"/>
      <c r="M2004" s="59"/>
      <c r="N2004" s="60"/>
      <c r="O2004" s="61">
        <v>125.0</v>
      </c>
      <c r="P2004" s="62">
        <v>135.0</v>
      </c>
      <c r="Q2004" s="63">
        <v>135.0</v>
      </c>
      <c r="R2004" s="64">
        <v>142.0</v>
      </c>
      <c r="S2004" s="111">
        <v>149.0</v>
      </c>
      <c r="T2004" s="65">
        <f t="shared" si="80"/>
        <v>23.84</v>
      </c>
      <c r="U2004" s="65">
        <f t="shared" si="81"/>
        <v>172.84</v>
      </c>
      <c r="V2004" s="66">
        <f t="shared" si="82"/>
        <v>0.04929577465</v>
      </c>
      <c r="W2004" s="67">
        <f t="shared" si="5"/>
        <v>141.55</v>
      </c>
      <c r="X2004" s="67">
        <f t="shared" si="70"/>
        <v>22.648</v>
      </c>
      <c r="Y2004" s="67">
        <f t="shared" si="71"/>
        <v>164.198</v>
      </c>
      <c r="Z2004" s="67">
        <f t="shared" si="8"/>
        <v>134.1</v>
      </c>
      <c r="AA2004" s="67">
        <f t="shared" si="72"/>
        <v>21.456</v>
      </c>
      <c r="AB2004" s="67">
        <f t="shared" si="73"/>
        <v>155.556</v>
      </c>
      <c r="AC2004" s="67">
        <f t="shared" si="11"/>
        <v>126.65</v>
      </c>
      <c r="AD2004" s="67">
        <f t="shared" si="74"/>
        <v>20.264</v>
      </c>
      <c r="AE2004" s="67">
        <f t="shared" si="75"/>
        <v>146.914</v>
      </c>
      <c r="AF2004" s="67">
        <f t="shared" si="33"/>
        <v>123.67</v>
      </c>
      <c r="AG2004" s="67">
        <f t="shared" si="76"/>
        <v>19.7872</v>
      </c>
      <c r="AH2004" s="67">
        <f t="shared" si="77"/>
        <v>143.4572</v>
      </c>
      <c r="AI2004" s="67">
        <f t="shared" si="17"/>
        <v>119.2</v>
      </c>
      <c r="AJ2004" s="68">
        <f t="shared" si="78"/>
        <v>19.072</v>
      </c>
      <c r="AK2004" s="68">
        <f t="shared" si="79"/>
        <v>138.272</v>
      </c>
      <c r="AL2004" s="70"/>
      <c r="AM2004" s="70"/>
      <c r="AN2004" s="71"/>
      <c r="AO2004" s="71"/>
      <c r="AP2004" s="71"/>
      <c r="AQ2004" s="71"/>
      <c r="AR2004" s="71"/>
      <c r="AS2004" s="71"/>
      <c r="AT2004" s="71"/>
      <c r="AU2004" s="71"/>
      <c r="AV2004" s="71"/>
      <c r="AW2004" s="71"/>
      <c r="AX2004" s="71"/>
      <c r="AY2004" s="71"/>
      <c r="AZ2004" s="71"/>
      <c r="BA2004" s="71"/>
      <c r="BB2004" s="71"/>
      <c r="BC2004" s="71"/>
      <c r="BD2004" s="71"/>
      <c r="BE2004" s="71"/>
      <c r="BF2004" s="71"/>
      <c r="BG2004" s="71"/>
      <c r="BH2004" s="71"/>
      <c r="BI2004" s="71"/>
      <c r="BJ2004" s="71"/>
      <c r="BK2004" s="71"/>
      <c r="BL2004" s="71"/>
      <c r="BM2004" s="71"/>
      <c r="BN2004" s="71"/>
      <c r="BO2004" s="71"/>
      <c r="BP2004" s="71"/>
      <c r="BQ2004" s="71"/>
      <c r="BR2004" s="71"/>
      <c r="BS2004" s="71"/>
      <c r="BT2004" s="71"/>
      <c r="BU2004" s="71"/>
      <c r="BV2004" s="71"/>
    </row>
    <row r="2005">
      <c r="A2005" s="53"/>
      <c r="B2005" s="53"/>
      <c r="C2005" s="53" t="s">
        <v>36</v>
      </c>
      <c r="D2005" s="85" t="s">
        <v>4883</v>
      </c>
      <c r="E2005" s="54" t="s">
        <v>38</v>
      </c>
      <c r="F2005" s="55" t="s">
        <v>39</v>
      </c>
      <c r="G2005" s="86" t="s">
        <v>4884</v>
      </c>
      <c r="H2005" s="55"/>
      <c r="I2005" s="54">
        <f t="shared" si="24"/>
        <v>0</v>
      </c>
      <c r="J2005" s="56"/>
      <c r="K2005" s="57"/>
      <c r="L2005" s="76"/>
      <c r="M2005" s="59"/>
      <c r="N2005" s="60"/>
      <c r="O2005" s="61">
        <v>57.6</v>
      </c>
      <c r="P2005" s="62">
        <v>62.208000000000006</v>
      </c>
      <c r="Q2005" s="63">
        <v>62.208000000000006</v>
      </c>
      <c r="R2005" s="64">
        <v>66.0</v>
      </c>
      <c r="S2005" s="107">
        <v>69.0</v>
      </c>
      <c r="T2005" s="65">
        <f t="shared" si="80"/>
        <v>11.04</v>
      </c>
      <c r="U2005" s="65">
        <f t="shared" si="81"/>
        <v>80.04</v>
      </c>
      <c r="V2005" s="66">
        <f t="shared" si="82"/>
        <v>0.04545454545</v>
      </c>
      <c r="W2005" s="67">
        <f t="shared" si="5"/>
        <v>65.55</v>
      </c>
      <c r="X2005" s="67">
        <f t="shared" si="70"/>
        <v>10.488</v>
      </c>
      <c r="Y2005" s="67">
        <f t="shared" si="71"/>
        <v>76.038</v>
      </c>
      <c r="Z2005" s="67">
        <f t="shared" si="8"/>
        <v>62.1</v>
      </c>
      <c r="AA2005" s="67">
        <f t="shared" si="72"/>
        <v>9.936</v>
      </c>
      <c r="AB2005" s="67">
        <f t="shared" si="73"/>
        <v>72.036</v>
      </c>
      <c r="AC2005" s="67">
        <f t="shared" si="11"/>
        <v>58.65</v>
      </c>
      <c r="AD2005" s="67">
        <f t="shared" si="74"/>
        <v>9.384</v>
      </c>
      <c r="AE2005" s="67">
        <f t="shared" si="75"/>
        <v>68.034</v>
      </c>
      <c r="AF2005" s="67">
        <f t="shared" si="33"/>
        <v>57.27</v>
      </c>
      <c r="AG2005" s="67">
        <f t="shared" si="76"/>
        <v>9.1632</v>
      </c>
      <c r="AH2005" s="67">
        <f t="shared" si="77"/>
        <v>66.4332</v>
      </c>
      <c r="AI2005" s="67">
        <f t="shared" si="17"/>
        <v>55.2</v>
      </c>
      <c r="AJ2005" s="68">
        <f t="shared" si="78"/>
        <v>8.832</v>
      </c>
      <c r="AK2005" s="68">
        <f t="shared" si="79"/>
        <v>64.032</v>
      </c>
      <c r="AL2005" s="70"/>
      <c r="AM2005" s="70"/>
      <c r="AN2005" s="71"/>
      <c r="AO2005" s="71"/>
      <c r="AP2005" s="71"/>
      <c r="AQ2005" s="71"/>
      <c r="AR2005" s="71"/>
      <c r="AS2005" s="71"/>
      <c r="AT2005" s="71"/>
      <c r="AU2005" s="71"/>
      <c r="AV2005" s="71"/>
      <c r="AW2005" s="71"/>
      <c r="AX2005" s="71"/>
      <c r="AY2005" s="71"/>
      <c r="AZ2005" s="71"/>
      <c r="BA2005" s="71"/>
      <c r="BB2005" s="71"/>
      <c r="BC2005" s="71"/>
      <c r="BD2005" s="71"/>
      <c r="BE2005" s="71"/>
      <c r="BF2005" s="71"/>
      <c r="BG2005" s="71"/>
      <c r="BH2005" s="71"/>
      <c r="BI2005" s="71"/>
      <c r="BJ2005" s="71"/>
      <c r="BK2005" s="71"/>
      <c r="BL2005" s="71"/>
      <c r="BM2005" s="71"/>
      <c r="BN2005" s="71"/>
      <c r="BO2005" s="71"/>
      <c r="BP2005" s="71"/>
      <c r="BQ2005" s="71"/>
      <c r="BR2005" s="71"/>
      <c r="BS2005" s="71"/>
      <c r="BT2005" s="71"/>
      <c r="BU2005" s="71"/>
      <c r="BV2005" s="71"/>
    </row>
    <row r="2006">
      <c r="A2006" s="53"/>
      <c r="B2006" s="53"/>
      <c r="C2006" s="53" t="s">
        <v>36</v>
      </c>
      <c r="D2006" s="85" t="s">
        <v>4885</v>
      </c>
      <c r="E2006" s="54" t="s">
        <v>38</v>
      </c>
      <c r="F2006" s="55" t="s">
        <v>39</v>
      </c>
      <c r="G2006" s="86" t="s">
        <v>4886</v>
      </c>
      <c r="H2006" s="55"/>
      <c r="I2006" s="54">
        <f t="shared" si="24"/>
        <v>0</v>
      </c>
      <c r="J2006" s="56"/>
      <c r="K2006" s="57"/>
      <c r="L2006" s="76"/>
      <c r="M2006" s="59"/>
      <c r="N2006" s="60"/>
      <c r="O2006" s="61">
        <v>380.16</v>
      </c>
      <c r="P2006" s="62">
        <v>410.57280000000003</v>
      </c>
      <c r="Q2006" s="63">
        <v>410.57280000000003</v>
      </c>
      <c r="R2006" s="64">
        <v>432.0</v>
      </c>
      <c r="S2006" s="107">
        <v>454.0</v>
      </c>
      <c r="T2006" s="65">
        <f t="shared" si="80"/>
        <v>72.64</v>
      </c>
      <c r="U2006" s="65">
        <f t="shared" si="81"/>
        <v>526.64</v>
      </c>
      <c r="V2006" s="66">
        <f t="shared" si="82"/>
        <v>0.05092592593</v>
      </c>
      <c r="W2006" s="67">
        <f t="shared" si="5"/>
        <v>431.3</v>
      </c>
      <c r="X2006" s="67">
        <f t="shared" si="70"/>
        <v>69.008</v>
      </c>
      <c r="Y2006" s="67">
        <f t="shared" si="71"/>
        <v>500.308</v>
      </c>
      <c r="Z2006" s="67">
        <f t="shared" si="8"/>
        <v>408.6</v>
      </c>
      <c r="AA2006" s="67">
        <f t="shared" si="72"/>
        <v>65.376</v>
      </c>
      <c r="AB2006" s="67">
        <f t="shared" si="73"/>
        <v>473.976</v>
      </c>
      <c r="AC2006" s="67">
        <f t="shared" si="11"/>
        <v>385.9</v>
      </c>
      <c r="AD2006" s="67">
        <f t="shared" si="74"/>
        <v>61.744</v>
      </c>
      <c r="AE2006" s="67">
        <f t="shared" si="75"/>
        <v>447.644</v>
      </c>
      <c r="AF2006" s="67">
        <f t="shared" si="33"/>
        <v>376.82</v>
      </c>
      <c r="AG2006" s="67">
        <f t="shared" si="76"/>
        <v>60.2912</v>
      </c>
      <c r="AH2006" s="67">
        <f t="shared" si="77"/>
        <v>437.1112</v>
      </c>
      <c r="AI2006" s="67">
        <f t="shared" si="17"/>
        <v>363.2</v>
      </c>
      <c r="AJ2006" s="68">
        <f t="shared" si="78"/>
        <v>58.112</v>
      </c>
      <c r="AK2006" s="68">
        <f t="shared" si="79"/>
        <v>421.312</v>
      </c>
      <c r="AL2006" s="70"/>
      <c r="AM2006" s="70"/>
      <c r="AN2006" s="71"/>
      <c r="AO2006" s="71"/>
      <c r="AP2006" s="71"/>
      <c r="AQ2006" s="71"/>
      <c r="AR2006" s="71"/>
      <c r="AS2006" s="71"/>
      <c r="AT2006" s="71"/>
      <c r="AU2006" s="71"/>
      <c r="AV2006" s="71"/>
      <c r="AW2006" s="71"/>
      <c r="AX2006" s="71"/>
      <c r="AY2006" s="71"/>
      <c r="AZ2006" s="71"/>
      <c r="BA2006" s="71"/>
      <c r="BB2006" s="71"/>
      <c r="BC2006" s="71"/>
      <c r="BD2006" s="71"/>
      <c r="BE2006" s="71"/>
      <c r="BF2006" s="71"/>
      <c r="BG2006" s="71"/>
      <c r="BH2006" s="71"/>
      <c r="BI2006" s="71"/>
      <c r="BJ2006" s="71"/>
      <c r="BK2006" s="71"/>
      <c r="BL2006" s="71"/>
      <c r="BM2006" s="71"/>
      <c r="BN2006" s="71"/>
      <c r="BO2006" s="71"/>
      <c r="BP2006" s="71"/>
      <c r="BQ2006" s="71"/>
      <c r="BR2006" s="71"/>
      <c r="BS2006" s="71"/>
      <c r="BT2006" s="71"/>
      <c r="BU2006" s="71"/>
      <c r="BV2006" s="71"/>
    </row>
    <row r="2007">
      <c r="A2007" s="53"/>
      <c r="B2007" s="53"/>
      <c r="C2007" s="53" t="s">
        <v>36</v>
      </c>
      <c r="D2007" s="85" t="s">
        <v>4887</v>
      </c>
      <c r="E2007" s="54" t="s">
        <v>38</v>
      </c>
      <c r="F2007" s="55" t="s">
        <v>39</v>
      </c>
      <c r="G2007" s="86" t="s">
        <v>4888</v>
      </c>
      <c r="H2007" s="86" t="s">
        <v>4888</v>
      </c>
      <c r="I2007" s="54">
        <f t="shared" si="24"/>
        <v>36</v>
      </c>
      <c r="J2007" s="56"/>
      <c r="K2007" s="57"/>
      <c r="L2007" s="76"/>
      <c r="M2007" s="59"/>
      <c r="N2007" s="60"/>
      <c r="O2007" s="61">
        <v>134.4</v>
      </c>
      <c r="P2007" s="62">
        <v>150.0</v>
      </c>
      <c r="Q2007" s="63">
        <v>150.0</v>
      </c>
      <c r="R2007" s="64">
        <v>158.0</v>
      </c>
      <c r="S2007" s="107">
        <v>166.0</v>
      </c>
      <c r="T2007" s="65">
        <f t="shared" si="80"/>
        <v>26.56</v>
      </c>
      <c r="U2007" s="65">
        <f t="shared" si="81"/>
        <v>192.56</v>
      </c>
      <c r="V2007" s="66">
        <f t="shared" si="82"/>
        <v>0.05063291139</v>
      </c>
      <c r="W2007" s="67">
        <f t="shared" si="5"/>
        <v>157.7</v>
      </c>
      <c r="X2007" s="67">
        <f t="shared" si="70"/>
        <v>25.232</v>
      </c>
      <c r="Y2007" s="67">
        <f t="shared" si="71"/>
        <v>182.932</v>
      </c>
      <c r="Z2007" s="67">
        <f t="shared" si="8"/>
        <v>149.4</v>
      </c>
      <c r="AA2007" s="67">
        <f t="shared" si="72"/>
        <v>23.904</v>
      </c>
      <c r="AB2007" s="67">
        <f t="shared" si="73"/>
        <v>173.304</v>
      </c>
      <c r="AC2007" s="67">
        <f t="shared" si="11"/>
        <v>141.1</v>
      </c>
      <c r="AD2007" s="67">
        <f t="shared" si="74"/>
        <v>22.576</v>
      </c>
      <c r="AE2007" s="67">
        <f t="shared" si="75"/>
        <v>163.676</v>
      </c>
      <c r="AF2007" s="67">
        <f t="shared" si="33"/>
        <v>137.78</v>
      </c>
      <c r="AG2007" s="67">
        <f t="shared" si="76"/>
        <v>22.0448</v>
      </c>
      <c r="AH2007" s="67">
        <f t="shared" si="77"/>
        <v>159.8248</v>
      </c>
      <c r="AI2007" s="67">
        <f t="shared" si="17"/>
        <v>132.8</v>
      </c>
      <c r="AJ2007" s="68">
        <f t="shared" si="78"/>
        <v>21.248</v>
      </c>
      <c r="AK2007" s="68">
        <f t="shared" si="79"/>
        <v>154.048</v>
      </c>
      <c r="AL2007" s="70"/>
      <c r="AM2007" s="70"/>
      <c r="AN2007" s="71"/>
      <c r="AO2007" s="71"/>
      <c r="AP2007" s="71"/>
      <c r="AQ2007" s="71"/>
      <c r="AR2007" s="71"/>
      <c r="AS2007" s="71"/>
      <c r="AT2007" s="71"/>
      <c r="AU2007" s="71"/>
      <c r="AV2007" s="71"/>
      <c r="AW2007" s="71"/>
      <c r="AX2007" s="71"/>
      <c r="AY2007" s="71"/>
      <c r="AZ2007" s="71"/>
      <c r="BA2007" s="71"/>
      <c r="BB2007" s="71"/>
      <c r="BC2007" s="71"/>
      <c r="BD2007" s="71"/>
      <c r="BE2007" s="71"/>
      <c r="BF2007" s="71"/>
      <c r="BG2007" s="71"/>
      <c r="BH2007" s="71"/>
      <c r="BI2007" s="71"/>
      <c r="BJ2007" s="71"/>
      <c r="BK2007" s="71"/>
      <c r="BL2007" s="71"/>
      <c r="BM2007" s="71"/>
      <c r="BN2007" s="71"/>
      <c r="BO2007" s="71"/>
      <c r="BP2007" s="71"/>
      <c r="BQ2007" s="71"/>
      <c r="BR2007" s="71"/>
      <c r="BS2007" s="71"/>
      <c r="BT2007" s="71"/>
      <c r="BU2007" s="71"/>
      <c r="BV2007" s="71"/>
    </row>
    <row r="2008">
      <c r="A2008" s="53"/>
      <c r="B2008" s="53"/>
      <c r="C2008" s="53" t="s">
        <v>36</v>
      </c>
      <c r="D2008" s="85" t="s">
        <v>4889</v>
      </c>
      <c r="E2008" s="54" t="s">
        <v>38</v>
      </c>
      <c r="F2008" s="55" t="s">
        <v>39</v>
      </c>
      <c r="G2008" s="86" t="s">
        <v>4890</v>
      </c>
      <c r="H2008" s="55"/>
      <c r="I2008" s="54">
        <f t="shared" si="24"/>
        <v>0</v>
      </c>
      <c r="J2008" s="56"/>
      <c r="K2008" s="57"/>
      <c r="L2008" s="76"/>
      <c r="M2008" s="59"/>
      <c r="N2008" s="60"/>
      <c r="O2008" s="61">
        <v>172.8</v>
      </c>
      <c r="P2008" s="62">
        <v>186.62400000000002</v>
      </c>
      <c r="Q2008" s="63">
        <v>186.62400000000002</v>
      </c>
      <c r="R2008" s="64">
        <v>197.0</v>
      </c>
      <c r="S2008" s="107">
        <v>207.0</v>
      </c>
      <c r="T2008" s="65">
        <f t="shared" si="80"/>
        <v>33.12</v>
      </c>
      <c r="U2008" s="65">
        <f t="shared" si="81"/>
        <v>240.12</v>
      </c>
      <c r="V2008" s="66">
        <f t="shared" si="82"/>
        <v>0.05076142132</v>
      </c>
      <c r="W2008" s="67">
        <f t="shared" si="5"/>
        <v>196.65</v>
      </c>
      <c r="X2008" s="67">
        <f t="shared" si="70"/>
        <v>31.464</v>
      </c>
      <c r="Y2008" s="67">
        <f t="shared" si="71"/>
        <v>228.114</v>
      </c>
      <c r="Z2008" s="67">
        <f t="shared" si="8"/>
        <v>186.3</v>
      </c>
      <c r="AA2008" s="67">
        <f t="shared" si="72"/>
        <v>29.808</v>
      </c>
      <c r="AB2008" s="67">
        <f t="shared" si="73"/>
        <v>216.108</v>
      </c>
      <c r="AC2008" s="67">
        <f t="shared" si="11"/>
        <v>175.95</v>
      </c>
      <c r="AD2008" s="67">
        <f t="shared" si="74"/>
        <v>28.152</v>
      </c>
      <c r="AE2008" s="67">
        <f t="shared" si="75"/>
        <v>204.102</v>
      </c>
      <c r="AF2008" s="67">
        <f t="shared" si="33"/>
        <v>171.81</v>
      </c>
      <c r="AG2008" s="67">
        <f t="shared" si="76"/>
        <v>27.4896</v>
      </c>
      <c r="AH2008" s="67">
        <f t="shared" si="77"/>
        <v>199.2996</v>
      </c>
      <c r="AI2008" s="67">
        <f t="shared" si="17"/>
        <v>165.6</v>
      </c>
      <c r="AJ2008" s="68">
        <f t="shared" si="78"/>
        <v>26.496</v>
      </c>
      <c r="AK2008" s="68">
        <f t="shared" si="79"/>
        <v>192.096</v>
      </c>
      <c r="AL2008" s="70"/>
      <c r="AM2008" s="70"/>
      <c r="AN2008" s="71"/>
      <c r="AO2008" s="71"/>
      <c r="AP2008" s="71"/>
      <c r="AQ2008" s="71"/>
      <c r="AR2008" s="71"/>
      <c r="AS2008" s="71"/>
      <c r="AT2008" s="71"/>
      <c r="AU2008" s="71"/>
      <c r="AV2008" s="71"/>
      <c r="AW2008" s="71"/>
      <c r="AX2008" s="71"/>
      <c r="AY2008" s="71"/>
      <c r="AZ2008" s="71"/>
      <c r="BA2008" s="71"/>
      <c r="BB2008" s="71"/>
      <c r="BC2008" s="71"/>
      <c r="BD2008" s="71"/>
      <c r="BE2008" s="71"/>
      <c r="BF2008" s="71"/>
      <c r="BG2008" s="71"/>
      <c r="BH2008" s="71"/>
      <c r="BI2008" s="71"/>
      <c r="BJ2008" s="71"/>
      <c r="BK2008" s="71"/>
      <c r="BL2008" s="71"/>
      <c r="BM2008" s="71"/>
      <c r="BN2008" s="71"/>
      <c r="BO2008" s="71"/>
      <c r="BP2008" s="71"/>
      <c r="BQ2008" s="71"/>
      <c r="BR2008" s="71"/>
      <c r="BS2008" s="71"/>
      <c r="BT2008" s="71"/>
      <c r="BU2008" s="71"/>
      <c r="BV2008" s="71"/>
    </row>
    <row r="2009">
      <c r="A2009" s="53">
        <v>1.0</v>
      </c>
      <c r="B2009" s="53"/>
      <c r="C2009" s="73" t="s">
        <v>12</v>
      </c>
      <c r="D2009" s="74" t="s">
        <v>4891</v>
      </c>
      <c r="E2009" s="54" t="s">
        <v>38</v>
      </c>
      <c r="F2009" s="54" t="s">
        <v>42</v>
      </c>
      <c r="G2009" s="88" t="s">
        <v>4892</v>
      </c>
      <c r="H2009" s="54" t="s">
        <v>4893</v>
      </c>
      <c r="I2009" s="54">
        <f t="shared" si="24"/>
        <v>22</v>
      </c>
      <c r="J2009" s="56"/>
      <c r="K2009" s="57"/>
      <c r="L2009" s="87"/>
      <c r="M2009" s="59"/>
      <c r="N2009" s="60">
        <v>5.0</v>
      </c>
      <c r="O2009" s="61">
        <v>5.0</v>
      </c>
      <c r="P2009" s="62">
        <v>5.4</v>
      </c>
      <c r="Q2009" s="63">
        <v>5.4</v>
      </c>
      <c r="R2009" s="78">
        <v>6.0</v>
      </c>
      <c r="S2009" s="111">
        <v>6.300000000000001</v>
      </c>
      <c r="T2009" s="65">
        <f t="shared" si="80"/>
        <v>1.008</v>
      </c>
      <c r="U2009" s="65">
        <f t="shared" si="81"/>
        <v>7.308</v>
      </c>
      <c r="V2009" s="66">
        <f t="shared" si="82"/>
        <v>0.05</v>
      </c>
      <c r="W2009" s="67">
        <f t="shared" si="5"/>
        <v>5.985</v>
      </c>
      <c r="X2009" s="67">
        <f t="shared" si="70"/>
        <v>0.9576</v>
      </c>
      <c r="Y2009" s="67">
        <f t="shared" si="71"/>
        <v>6.9426</v>
      </c>
      <c r="Z2009" s="67">
        <f t="shared" si="8"/>
        <v>5.67</v>
      </c>
      <c r="AA2009" s="67">
        <f t="shared" si="72"/>
        <v>0.9072</v>
      </c>
      <c r="AB2009" s="67">
        <f t="shared" si="73"/>
        <v>6.5772</v>
      </c>
      <c r="AC2009" s="67">
        <f t="shared" si="11"/>
        <v>5.355</v>
      </c>
      <c r="AD2009" s="67">
        <f t="shared" si="74"/>
        <v>0.8568</v>
      </c>
      <c r="AE2009" s="67">
        <f t="shared" si="75"/>
        <v>6.2118</v>
      </c>
      <c r="AF2009" s="67">
        <f t="shared" si="33"/>
        <v>5.229</v>
      </c>
      <c r="AG2009" s="67">
        <f t="shared" si="76"/>
        <v>0.83664</v>
      </c>
      <c r="AH2009" s="67">
        <f t="shared" si="77"/>
        <v>6.06564</v>
      </c>
      <c r="AI2009" s="67">
        <f t="shared" si="17"/>
        <v>5.04</v>
      </c>
      <c r="AJ2009" s="68">
        <f t="shared" si="78"/>
        <v>0.8064</v>
      </c>
      <c r="AK2009" s="68">
        <f t="shared" si="79"/>
        <v>5.8464</v>
      </c>
      <c r="AL2009" s="70"/>
      <c r="AM2009" s="70"/>
      <c r="AN2009" s="71"/>
      <c r="AO2009" s="71"/>
      <c r="AP2009" s="71"/>
      <c r="AQ2009" s="71"/>
      <c r="AR2009" s="71"/>
      <c r="AS2009" s="71"/>
      <c r="AT2009" s="71"/>
      <c r="AU2009" s="71"/>
      <c r="AV2009" s="71"/>
      <c r="AW2009" s="71"/>
      <c r="AX2009" s="71"/>
      <c r="AY2009" s="71"/>
      <c r="AZ2009" s="71"/>
      <c r="BA2009" s="71"/>
      <c r="BB2009" s="71"/>
      <c r="BC2009" s="71"/>
      <c r="BD2009" s="71"/>
      <c r="BE2009" s="71"/>
      <c r="BF2009" s="71"/>
      <c r="BG2009" s="71"/>
      <c r="BH2009" s="71"/>
      <c r="BI2009" s="71"/>
      <c r="BJ2009" s="71"/>
      <c r="BK2009" s="71"/>
      <c r="BL2009" s="71"/>
      <c r="BM2009" s="71"/>
      <c r="BN2009" s="71"/>
      <c r="BO2009" s="71"/>
      <c r="BP2009" s="71"/>
      <c r="BQ2009" s="71"/>
      <c r="BR2009" s="71"/>
      <c r="BS2009" s="71"/>
      <c r="BT2009" s="71"/>
      <c r="BU2009" s="71"/>
      <c r="BV2009" s="71"/>
    </row>
    <row r="2010">
      <c r="A2010" s="53">
        <v>1.0</v>
      </c>
      <c r="B2010" s="53"/>
      <c r="C2010" s="73" t="s">
        <v>12</v>
      </c>
      <c r="D2010" s="74" t="s">
        <v>4894</v>
      </c>
      <c r="E2010" s="54" t="s">
        <v>38</v>
      </c>
      <c r="F2010" s="54" t="s">
        <v>42</v>
      </c>
      <c r="G2010" s="88" t="s">
        <v>4895</v>
      </c>
      <c r="H2010" s="54" t="s">
        <v>4896</v>
      </c>
      <c r="I2010" s="54">
        <f t="shared" si="24"/>
        <v>30</v>
      </c>
      <c r="J2010" s="56"/>
      <c r="K2010" s="57"/>
      <c r="L2010" s="87"/>
      <c r="M2010" s="59"/>
      <c r="N2010" s="60">
        <v>173.0</v>
      </c>
      <c r="O2010" s="61">
        <v>186.0</v>
      </c>
      <c r="P2010" s="62">
        <v>200.88000000000002</v>
      </c>
      <c r="Q2010" s="63">
        <v>200.88000000000002</v>
      </c>
      <c r="R2010" s="64">
        <v>224.0</v>
      </c>
      <c r="S2010" s="111">
        <v>235.0</v>
      </c>
      <c r="T2010" s="65">
        <f t="shared" si="80"/>
        <v>37.6</v>
      </c>
      <c r="U2010" s="65">
        <f t="shared" si="81"/>
        <v>272.6</v>
      </c>
      <c r="V2010" s="66">
        <f t="shared" si="82"/>
        <v>0.04910714286</v>
      </c>
      <c r="W2010" s="67">
        <f t="shared" si="5"/>
        <v>223.25</v>
      </c>
      <c r="X2010" s="67">
        <f t="shared" si="70"/>
        <v>35.72</v>
      </c>
      <c r="Y2010" s="67">
        <f t="shared" si="71"/>
        <v>258.97</v>
      </c>
      <c r="Z2010" s="67">
        <f t="shared" si="8"/>
        <v>211.5</v>
      </c>
      <c r="AA2010" s="67">
        <f t="shared" si="72"/>
        <v>33.84</v>
      </c>
      <c r="AB2010" s="67">
        <f t="shared" si="73"/>
        <v>245.34</v>
      </c>
      <c r="AC2010" s="67">
        <f t="shared" si="11"/>
        <v>199.75</v>
      </c>
      <c r="AD2010" s="67">
        <f t="shared" si="74"/>
        <v>31.96</v>
      </c>
      <c r="AE2010" s="67">
        <f t="shared" si="75"/>
        <v>231.71</v>
      </c>
      <c r="AF2010" s="67">
        <f t="shared" si="33"/>
        <v>195.05</v>
      </c>
      <c r="AG2010" s="67">
        <f t="shared" si="76"/>
        <v>31.208</v>
      </c>
      <c r="AH2010" s="67">
        <f t="shared" si="77"/>
        <v>226.258</v>
      </c>
      <c r="AI2010" s="67">
        <f t="shared" si="17"/>
        <v>188</v>
      </c>
      <c r="AJ2010" s="68">
        <f t="shared" si="78"/>
        <v>30.08</v>
      </c>
      <c r="AK2010" s="68">
        <f t="shared" si="79"/>
        <v>218.08</v>
      </c>
      <c r="AL2010" s="70"/>
      <c r="AM2010" s="70"/>
      <c r="AN2010" s="71"/>
      <c r="AO2010" s="71"/>
      <c r="AP2010" s="71"/>
      <c r="AQ2010" s="71"/>
      <c r="AR2010" s="71"/>
      <c r="AS2010" s="71"/>
      <c r="AT2010" s="71"/>
      <c r="AU2010" s="71"/>
      <c r="AV2010" s="71"/>
      <c r="AW2010" s="71"/>
      <c r="AX2010" s="71"/>
      <c r="AY2010" s="71"/>
      <c r="AZ2010" s="71"/>
      <c r="BA2010" s="71"/>
      <c r="BB2010" s="71"/>
      <c r="BC2010" s="71"/>
      <c r="BD2010" s="71"/>
      <c r="BE2010" s="71"/>
      <c r="BF2010" s="71"/>
      <c r="BG2010" s="71"/>
      <c r="BH2010" s="71"/>
      <c r="BI2010" s="71"/>
      <c r="BJ2010" s="71"/>
      <c r="BK2010" s="71"/>
      <c r="BL2010" s="71"/>
      <c r="BM2010" s="71"/>
      <c r="BN2010" s="71"/>
      <c r="BO2010" s="71"/>
      <c r="BP2010" s="71"/>
      <c r="BQ2010" s="71"/>
      <c r="BR2010" s="71"/>
      <c r="BS2010" s="71"/>
      <c r="BT2010" s="71"/>
      <c r="BU2010" s="71"/>
      <c r="BV2010" s="71"/>
    </row>
    <row r="2011">
      <c r="A2011" s="53">
        <v>1.0</v>
      </c>
      <c r="B2011" s="53"/>
      <c r="C2011" s="73" t="s">
        <v>603</v>
      </c>
      <c r="D2011" s="74" t="s">
        <v>4897</v>
      </c>
      <c r="E2011" s="54" t="s">
        <v>38</v>
      </c>
      <c r="F2011" s="54" t="s">
        <v>42</v>
      </c>
      <c r="G2011" s="88" t="s">
        <v>4898</v>
      </c>
      <c r="H2011" s="54" t="s">
        <v>4899</v>
      </c>
      <c r="I2011" s="54">
        <f t="shared" si="24"/>
        <v>27</v>
      </c>
      <c r="J2011" s="56"/>
      <c r="K2011" s="57"/>
      <c r="L2011" s="87"/>
      <c r="M2011" s="59"/>
      <c r="N2011" s="60">
        <v>33.0</v>
      </c>
      <c r="O2011" s="61">
        <v>35.0</v>
      </c>
      <c r="P2011" s="62">
        <v>37.800000000000004</v>
      </c>
      <c r="Q2011" s="63">
        <v>37.800000000000004</v>
      </c>
      <c r="R2011" s="64">
        <v>44.0</v>
      </c>
      <c r="S2011" s="111">
        <v>46.0</v>
      </c>
      <c r="T2011" s="65">
        <f t="shared" si="80"/>
        <v>7.36</v>
      </c>
      <c r="U2011" s="65">
        <f t="shared" si="81"/>
        <v>53.36</v>
      </c>
      <c r="V2011" s="66">
        <f t="shared" si="82"/>
        <v>0.04545454545</v>
      </c>
      <c r="W2011" s="67">
        <f t="shared" si="5"/>
        <v>43.7</v>
      </c>
      <c r="X2011" s="67">
        <f t="shared" si="70"/>
        <v>6.992</v>
      </c>
      <c r="Y2011" s="67">
        <f t="shared" si="71"/>
        <v>50.692</v>
      </c>
      <c r="Z2011" s="67">
        <f t="shared" si="8"/>
        <v>41.4</v>
      </c>
      <c r="AA2011" s="67">
        <f t="shared" si="72"/>
        <v>6.624</v>
      </c>
      <c r="AB2011" s="67">
        <f t="shared" si="73"/>
        <v>48.024</v>
      </c>
      <c r="AC2011" s="67">
        <f t="shared" si="11"/>
        <v>39.1</v>
      </c>
      <c r="AD2011" s="67">
        <f t="shared" si="74"/>
        <v>6.256</v>
      </c>
      <c r="AE2011" s="67">
        <f t="shared" si="75"/>
        <v>45.356</v>
      </c>
      <c r="AF2011" s="67">
        <f t="shared" si="33"/>
        <v>38.18</v>
      </c>
      <c r="AG2011" s="67">
        <f t="shared" si="76"/>
        <v>6.1088</v>
      </c>
      <c r="AH2011" s="67">
        <f t="shared" si="77"/>
        <v>44.2888</v>
      </c>
      <c r="AI2011" s="67">
        <f t="shared" si="17"/>
        <v>36.8</v>
      </c>
      <c r="AJ2011" s="68">
        <f t="shared" si="78"/>
        <v>5.888</v>
      </c>
      <c r="AK2011" s="68">
        <f t="shared" si="79"/>
        <v>42.688</v>
      </c>
      <c r="AL2011" s="70"/>
      <c r="AM2011" s="70"/>
      <c r="AN2011" s="71"/>
      <c r="AO2011" s="71"/>
      <c r="AP2011" s="71"/>
      <c r="AQ2011" s="71"/>
      <c r="AR2011" s="71"/>
      <c r="AS2011" s="71"/>
      <c r="AT2011" s="71"/>
      <c r="AU2011" s="71"/>
      <c r="AV2011" s="71"/>
      <c r="AW2011" s="71"/>
      <c r="AX2011" s="71"/>
      <c r="AY2011" s="71"/>
      <c r="AZ2011" s="71"/>
      <c r="BA2011" s="71"/>
      <c r="BB2011" s="71"/>
      <c r="BC2011" s="71"/>
      <c r="BD2011" s="71"/>
      <c r="BE2011" s="71"/>
      <c r="BF2011" s="71"/>
      <c r="BG2011" s="71"/>
      <c r="BH2011" s="71"/>
      <c r="BI2011" s="71"/>
      <c r="BJ2011" s="71"/>
      <c r="BK2011" s="71"/>
      <c r="BL2011" s="71"/>
      <c r="BM2011" s="71"/>
      <c r="BN2011" s="71"/>
      <c r="BO2011" s="71"/>
      <c r="BP2011" s="71"/>
      <c r="BQ2011" s="71"/>
      <c r="BR2011" s="71"/>
      <c r="BS2011" s="71"/>
      <c r="BT2011" s="71"/>
      <c r="BU2011" s="71"/>
      <c r="BV2011" s="71"/>
    </row>
    <row r="2012">
      <c r="A2012" s="53"/>
      <c r="B2012" s="53"/>
      <c r="C2012" s="73" t="s">
        <v>12</v>
      </c>
      <c r="D2012" s="53" t="s">
        <v>4900</v>
      </c>
      <c r="E2012" s="54" t="s">
        <v>38</v>
      </c>
      <c r="F2012" s="54" t="s">
        <v>42</v>
      </c>
      <c r="G2012" s="55" t="s">
        <v>4901</v>
      </c>
      <c r="H2012" s="55" t="s">
        <v>4901</v>
      </c>
      <c r="I2012" s="54">
        <f t="shared" si="24"/>
        <v>26</v>
      </c>
      <c r="J2012" s="56"/>
      <c r="K2012" s="57"/>
      <c r="L2012" s="76"/>
      <c r="M2012" s="59"/>
      <c r="N2012" s="60"/>
      <c r="O2012" s="90"/>
      <c r="P2012" s="62">
        <v>385.77</v>
      </c>
      <c r="Q2012" s="63">
        <v>385.77</v>
      </c>
      <c r="R2012" s="64">
        <v>406.0</v>
      </c>
      <c r="S2012" s="111">
        <v>426.0</v>
      </c>
      <c r="T2012" s="65">
        <f t="shared" si="80"/>
        <v>68.16</v>
      </c>
      <c r="U2012" s="65">
        <f t="shared" si="81"/>
        <v>494.16</v>
      </c>
      <c r="V2012" s="66">
        <f t="shared" si="82"/>
        <v>0.04926108374</v>
      </c>
      <c r="W2012" s="67">
        <f t="shared" si="5"/>
        <v>404.7</v>
      </c>
      <c r="X2012" s="67">
        <f t="shared" si="70"/>
        <v>64.752</v>
      </c>
      <c r="Y2012" s="67">
        <f t="shared" si="71"/>
        <v>469.452</v>
      </c>
      <c r="Z2012" s="67">
        <f t="shared" si="8"/>
        <v>383.4</v>
      </c>
      <c r="AA2012" s="67">
        <f t="shared" si="72"/>
        <v>61.344</v>
      </c>
      <c r="AB2012" s="67">
        <f t="shared" si="73"/>
        <v>444.744</v>
      </c>
      <c r="AC2012" s="67">
        <f t="shared" si="11"/>
        <v>362.1</v>
      </c>
      <c r="AD2012" s="67">
        <f t="shared" si="74"/>
        <v>57.936</v>
      </c>
      <c r="AE2012" s="67">
        <f t="shared" si="75"/>
        <v>420.036</v>
      </c>
      <c r="AF2012" s="67">
        <f t="shared" si="33"/>
        <v>353.58</v>
      </c>
      <c r="AG2012" s="67">
        <f t="shared" si="76"/>
        <v>56.5728</v>
      </c>
      <c r="AH2012" s="67">
        <f t="shared" si="77"/>
        <v>410.1528</v>
      </c>
      <c r="AI2012" s="67">
        <f t="shared" si="17"/>
        <v>340.8</v>
      </c>
      <c r="AJ2012" s="68">
        <f t="shared" si="78"/>
        <v>54.528</v>
      </c>
      <c r="AK2012" s="68">
        <f t="shared" si="79"/>
        <v>395.328</v>
      </c>
      <c r="AL2012" s="70"/>
      <c r="AM2012" s="70"/>
      <c r="AN2012" s="71"/>
      <c r="AO2012" s="71"/>
      <c r="AP2012" s="71"/>
      <c r="AQ2012" s="71"/>
      <c r="AR2012" s="71"/>
      <c r="AS2012" s="71"/>
      <c r="AT2012" s="71"/>
      <c r="AU2012" s="71"/>
      <c r="AV2012" s="71"/>
      <c r="AW2012" s="71"/>
      <c r="AX2012" s="71"/>
      <c r="AY2012" s="71"/>
      <c r="AZ2012" s="71"/>
      <c r="BA2012" s="71"/>
      <c r="BB2012" s="71"/>
      <c r="BC2012" s="71"/>
      <c r="BD2012" s="71"/>
      <c r="BE2012" s="71"/>
      <c r="BF2012" s="71"/>
      <c r="BG2012" s="71"/>
      <c r="BH2012" s="71"/>
      <c r="BI2012" s="71"/>
      <c r="BJ2012" s="71"/>
      <c r="BK2012" s="71"/>
      <c r="BL2012" s="71"/>
      <c r="BM2012" s="71"/>
      <c r="BN2012" s="71"/>
      <c r="BO2012" s="71"/>
      <c r="BP2012" s="71"/>
      <c r="BQ2012" s="71"/>
      <c r="BR2012" s="71"/>
      <c r="BS2012" s="71"/>
      <c r="BT2012" s="71"/>
      <c r="BU2012" s="71"/>
      <c r="BV2012" s="71"/>
    </row>
    <row r="2013">
      <c r="A2013" s="53">
        <v>1.0</v>
      </c>
      <c r="B2013" s="53"/>
      <c r="C2013" s="73" t="s">
        <v>603</v>
      </c>
      <c r="D2013" s="74" t="s">
        <v>4902</v>
      </c>
      <c r="E2013" s="54" t="s">
        <v>38</v>
      </c>
      <c r="F2013" s="54" t="s">
        <v>42</v>
      </c>
      <c r="G2013" s="88" t="s">
        <v>4903</v>
      </c>
      <c r="H2013" s="54" t="s">
        <v>4904</v>
      </c>
      <c r="I2013" s="54">
        <f t="shared" si="24"/>
        <v>22</v>
      </c>
      <c r="J2013" s="56"/>
      <c r="K2013" s="57"/>
      <c r="L2013" s="87"/>
      <c r="M2013" s="59"/>
      <c r="N2013" s="60">
        <v>101.0</v>
      </c>
      <c r="O2013" s="61">
        <v>109.0</v>
      </c>
      <c r="P2013" s="62">
        <v>117.72000000000001</v>
      </c>
      <c r="Q2013" s="63">
        <v>117.72000000000001</v>
      </c>
      <c r="R2013" s="64">
        <v>132.0</v>
      </c>
      <c r="S2013" s="111">
        <v>139.0</v>
      </c>
      <c r="T2013" s="65">
        <f t="shared" si="80"/>
        <v>22.24</v>
      </c>
      <c r="U2013" s="65">
        <f t="shared" si="81"/>
        <v>161.24</v>
      </c>
      <c r="V2013" s="66">
        <f t="shared" si="82"/>
        <v>0.05303030303</v>
      </c>
      <c r="W2013" s="67">
        <f t="shared" si="5"/>
        <v>132.05</v>
      </c>
      <c r="X2013" s="67">
        <f t="shared" si="70"/>
        <v>21.128</v>
      </c>
      <c r="Y2013" s="67">
        <f t="shared" si="71"/>
        <v>153.178</v>
      </c>
      <c r="Z2013" s="67">
        <f t="shared" si="8"/>
        <v>125.1</v>
      </c>
      <c r="AA2013" s="67">
        <f t="shared" si="72"/>
        <v>20.016</v>
      </c>
      <c r="AB2013" s="67">
        <f t="shared" si="73"/>
        <v>145.116</v>
      </c>
      <c r="AC2013" s="67">
        <f t="shared" si="11"/>
        <v>118.15</v>
      </c>
      <c r="AD2013" s="67">
        <f t="shared" si="74"/>
        <v>18.904</v>
      </c>
      <c r="AE2013" s="67">
        <f t="shared" si="75"/>
        <v>137.054</v>
      </c>
      <c r="AF2013" s="67">
        <f t="shared" si="33"/>
        <v>115.37</v>
      </c>
      <c r="AG2013" s="67">
        <f t="shared" si="76"/>
        <v>18.4592</v>
      </c>
      <c r="AH2013" s="67">
        <f t="shared" si="77"/>
        <v>133.8292</v>
      </c>
      <c r="AI2013" s="67">
        <f t="shared" si="17"/>
        <v>111.2</v>
      </c>
      <c r="AJ2013" s="68">
        <f t="shared" si="78"/>
        <v>17.792</v>
      </c>
      <c r="AK2013" s="68">
        <f t="shared" si="79"/>
        <v>128.992</v>
      </c>
      <c r="AL2013" s="70"/>
      <c r="AM2013" s="70"/>
      <c r="AN2013" s="71"/>
      <c r="AO2013" s="71"/>
      <c r="AP2013" s="71"/>
      <c r="AQ2013" s="71"/>
      <c r="AR2013" s="71"/>
      <c r="AS2013" s="71"/>
      <c r="AT2013" s="71"/>
      <c r="AU2013" s="71"/>
      <c r="AV2013" s="71"/>
      <c r="AW2013" s="71"/>
      <c r="AX2013" s="71"/>
      <c r="AY2013" s="71"/>
      <c r="AZ2013" s="71"/>
      <c r="BA2013" s="71"/>
      <c r="BB2013" s="71"/>
      <c r="BC2013" s="71"/>
      <c r="BD2013" s="71"/>
      <c r="BE2013" s="71"/>
      <c r="BF2013" s="71"/>
      <c r="BG2013" s="71"/>
      <c r="BH2013" s="71"/>
      <c r="BI2013" s="71"/>
      <c r="BJ2013" s="71"/>
      <c r="BK2013" s="71"/>
      <c r="BL2013" s="71"/>
      <c r="BM2013" s="71"/>
      <c r="BN2013" s="71"/>
      <c r="BO2013" s="71"/>
      <c r="BP2013" s="71"/>
      <c r="BQ2013" s="71"/>
      <c r="BR2013" s="71"/>
      <c r="BS2013" s="71"/>
      <c r="BT2013" s="71"/>
      <c r="BU2013" s="71"/>
      <c r="BV2013" s="71"/>
    </row>
    <row r="2014">
      <c r="A2014" s="53">
        <v>1.0</v>
      </c>
      <c r="B2014" s="53"/>
      <c r="C2014" s="73" t="s">
        <v>603</v>
      </c>
      <c r="D2014" s="74" t="s">
        <v>4905</v>
      </c>
      <c r="E2014" s="54" t="s">
        <v>38</v>
      </c>
      <c r="F2014" s="54" t="s">
        <v>42</v>
      </c>
      <c r="G2014" s="88" t="s">
        <v>4906</v>
      </c>
      <c r="H2014" s="54" t="s">
        <v>4907</v>
      </c>
      <c r="I2014" s="54">
        <f t="shared" si="24"/>
        <v>26</v>
      </c>
      <c r="J2014" s="56"/>
      <c r="K2014" s="57"/>
      <c r="L2014" s="87"/>
      <c r="M2014" s="59"/>
      <c r="N2014" s="60">
        <v>80.0</v>
      </c>
      <c r="O2014" s="61">
        <v>86.0</v>
      </c>
      <c r="P2014" s="62">
        <v>92.88000000000001</v>
      </c>
      <c r="Q2014" s="63">
        <v>92.88000000000001</v>
      </c>
      <c r="R2014" s="64">
        <v>104.0</v>
      </c>
      <c r="S2014" s="111">
        <v>109.0</v>
      </c>
      <c r="T2014" s="65">
        <f t="shared" si="80"/>
        <v>17.44</v>
      </c>
      <c r="U2014" s="65">
        <f t="shared" si="81"/>
        <v>126.44</v>
      </c>
      <c r="V2014" s="66">
        <f t="shared" si="82"/>
        <v>0.04807692308</v>
      </c>
      <c r="W2014" s="67">
        <f t="shared" si="5"/>
        <v>103.55</v>
      </c>
      <c r="X2014" s="67">
        <f t="shared" si="70"/>
        <v>16.568</v>
      </c>
      <c r="Y2014" s="67">
        <f t="shared" si="71"/>
        <v>120.118</v>
      </c>
      <c r="Z2014" s="67">
        <f t="shared" si="8"/>
        <v>98.1</v>
      </c>
      <c r="AA2014" s="67">
        <f t="shared" si="72"/>
        <v>15.696</v>
      </c>
      <c r="AB2014" s="67">
        <f t="shared" si="73"/>
        <v>113.796</v>
      </c>
      <c r="AC2014" s="67">
        <f t="shared" si="11"/>
        <v>92.65</v>
      </c>
      <c r="AD2014" s="67">
        <f t="shared" si="74"/>
        <v>14.824</v>
      </c>
      <c r="AE2014" s="67">
        <f t="shared" si="75"/>
        <v>107.474</v>
      </c>
      <c r="AF2014" s="67">
        <f t="shared" si="33"/>
        <v>90.47</v>
      </c>
      <c r="AG2014" s="67">
        <f t="shared" si="76"/>
        <v>14.4752</v>
      </c>
      <c r="AH2014" s="67">
        <f t="shared" si="77"/>
        <v>104.9452</v>
      </c>
      <c r="AI2014" s="67">
        <f t="shared" si="17"/>
        <v>87.2</v>
      </c>
      <c r="AJ2014" s="68">
        <f t="shared" si="78"/>
        <v>13.952</v>
      </c>
      <c r="AK2014" s="68">
        <f t="shared" si="79"/>
        <v>101.152</v>
      </c>
      <c r="AL2014" s="70"/>
      <c r="AM2014" s="70"/>
      <c r="AN2014" s="71"/>
      <c r="AO2014" s="71"/>
      <c r="AP2014" s="71"/>
      <c r="AQ2014" s="71"/>
      <c r="AR2014" s="71"/>
      <c r="AS2014" s="71"/>
      <c r="AT2014" s="71"/>
      <c r="AU2014" s="71"/>
      <c r="AV2014" s="71"/>
      <c r="AW2014" s="71"/>
      <c r="AX2014" s="71"/>
      <c r="AY2014" s="71"/>
      <c r="AZ2014" s="71"/>
      <c r="BA2014" s="71"/>
      <c r="BB2014" s="71"/>
      <c r="BC2014" s="71"/>
      <c r="BD2014" s="71"/>
      <c r="BE2014" s="71"/>
      <c r="BF2014" s="71"/>
      <c r="BG2014" s="71"/>
      <c r="BH2014" s="71"/>
      <c r="BI2014" s="71"/>
      <c r="BJ2014" s="71"/>
      <c r="BK2014" s="71"/>
      <c r="BL2014" s="71"/>
      <c r="BM2014" s="71"/>
      <c r="BN2014" s="71"/>
      <c r="BO2014" s="71"/>
      <c r="BP2014" s="71"/>
      <c r="BQ2014" s="71"/>
      <c r="BR2014" s="71"/>
      <c r="BS2014" s="71"/>
      <c r="BT2014" s="71"/>
      <c r="BU2014" s="71"/>
      <c r="BV2014" s="71"/>
    </row>
    <row r="2015">
      <c r="A2015" s="53">
        <v>1.0</v>
      </c>
      <c r="B2015" s="53"/>
      <c r="C2015" s="73" t="s">
        <v>603</v>
      </c>
      <c r="D2015" s="74" t="s">
        <v>4908</v>
      </c>
      <c r="E2015" s="54" t="s">
        <v>38</v>
      </c>
      <c r="F2015" s="54" t="s">
        <v>42</v>
      </c>
      <c r="G2015" s="55" t="s">
        <v>4909</v>
      </c>
      <c r="H2015" s="54" t="s">
        <v>4910</v>
      </c>
      <c r="I2015" s="54">
        <f t="shared" si="24"/>
        <v>36</v>
      </c>
      <c r="J2015" s="56"/>
      <c r="K2015" s="57"/>
      <c r="L2015" s="87"/>
      <c r="M2015" s="59"/>
      <c r="N2015" s="60">
        <v>155.0</v>
      </c>
      <c r="O2015" s="61">
        <v>167.0</v>
      </c>
      <c r="P2015" s="62">
        <v>180.36</v>
      </c>
      <c r="Q2015" s="63">
        <v>180.36</v>
      </c>
      <c r="R2015" s="64">
        <v>202.0</v>
      </c>
      <c r="S2015" s="111">
        <v>212.0</v>
      </c>
      <c r="T2015" s="65">
        <f t="shared" si="80"/>
        <v>33.92</v>
      </c>
      <c r="U2015" s="65">
        <f t="shared" si="81"/>
        <v>245.92</v>
      </c>
      <c r="V2015" s="66">
        <f t="shared" si="82"/>
        <v>0.0495049505</v>
      </c>
      <c r="W2015" s="67">
        <f t="shared" si="5"/>
        <v>201.4</v>
      </c>
      <c r="X2015" s="67">
        <f t="shared" si="70"/>
        <v>32.224</v>
      </c>
      <c r="Y2015" s="67">
        <f t="shared" si="71"/>
        <v>233.624</v>
      </c>
      <c r="Z2015" s="67">
        <f t="shared" si="8"/>
        <v>190.8</v>
      </c>
      <c r="AA2015" s="67">
        <f t="shared" si="72"/>
        <v>30.528</v>
      </c>
      <c r="AB2015" s="67">
        <f t="shared" si="73"/>
        <v>221.328</v>
      </c>
      <c r="AC2015" s="67">
        <f t="shared" si="11"/>
        <v>180.2</v>
      </c>
      <c r="AD2015" s="67">
        <f t="shared" si="74"/>
        <v>28.832</v>
      </c>
      <c r="AE2015" s="67">
        <f t="shared" si="75"/>
        <v>209.032</v>
      </c>
      <c r="AF2015" s="67">
        <f t="shared" si="33"/>
        <v>175.96</v>
      </c>
      <c r="AG2015" s="67">
        <f t="shared" si="76"/>
        <v>28.1536</v>
      </c>
      <c r="AH2015" s="67">
        <f t="shared" si="77"/>
        <v>204.1136</v>
      </c>
      <c r="AI2015" s="67">
        <f t="shared" si="17"/>
        <v>169.6</v>
      </c>
      <c r="AJ2015" s="68">
        <f t="shared" si="78"/>
        <v>27.136</v>
      </c>
      <c r="AK2015" s="68">
        <f t="shared" si="79"/>
        <v>196.736</v>
      </c>
      <c r="AL2015" s="70"/>
      <c r="AM2015" s="70"/>
      <c r="AN2015" s="71"/>
      <c r="AO2015" s="71"/>
      <c r="AP2015" s="71"/>
      <c r="AQ2015" s="71"/>
      <c r="AR2015" s="71"/>
      <c r="AS2015" s="71"/>
      <c r="AT2015" s="71"/>
      <c r="AU2015" s="71"/>
      <c r="AV2015" s="71"/>
      <c r="AW2015" s="71"/>
      <c r="AX2015" s="71"/>
      <c r="AY2015" s="71"/>
      <c r="AZ2015" s="71"/>
      <c r="BA2015" s="71"/>
      <c r="BB2015" s="71"/>
      <c r="BC2015" s="71"/>
      <c r="BD2015" s="71"/>
      <c r="BE2015" s="71"/>
      <c r="BF2015" s="71"/>
      <c r="BG2015" s="71"/>
      <c r="BH2015" s="71"/>
      <c r="BI2015" s="71"/>
      <c r="BJ2015" s="71"/>
      <c r="BK2015" s="71"/>
      <c r="BL2015" s="71"/>
      <c r="BM2015" s="71"/>
      <c r="BN2015" s="71"/>
      <c r="BO2015" s="71"/>
      <c r="BP2015" s="71"/>
      <c r="BQ2015" s="71"/>
      <c r="BR2015" s="71"/>
      <c r="BS2015" s="71"/>
      <c r="BT2015" s="71"/>
      <c r="BU2015" s="71"/>
      <c r="BV2015" s="71"/>
    </row>
    <row r="2016">
      <c r="A2016" s="53"/>
      <c r="B2016" s="53">
        <v>4.0</v>
      </c>
      <c r="C2016" s="73" t="s">
        <v>12</v>
      </c>
      <c r="D2016" s="53" t="s">
        <v>4911</v>
      </c>
      <c r="E2016" s="54" t="s">
        <v>38</v>
      </c>
      <c r="F2016" s="54" t="s">
        <v>42</v>
      </c>
      <c r="G2016" s="55" t="s">
        <v>4912</v>
      </c>
      <c r="H2016" s="55" t="s">
        <v>4912</v>
      </c>
      <c r="I2016" s="54">
        <f t="shared" si="24"/>
        <v>30</v>
      </c>
      <c r="J2016" s="56"/>
      <c r="K2016" s="57"/>
      <c r="L2016" s="76"/>
      <c r="M2016" s="59"/>
      <c r="N2016" s="60"/>
      <c r="O2016" s="90"/>
      <c r="P2016" s="62">
        <v>318.6</v>
      </c>
      <c r="Q2016" s="63">
        <v>318.6</v>
      </c>
      <c r="R2016" s="64">
        <v>335.0</v>
      </c>
      <c r="S2016" s="111">
        <v>352.0</v>
      </c>
      <c r="T2016" s="65">
        <f t="shared" si="80"/>
        <v>56.32</v>
      </c>
      <c r="U2016" s="65">
        <f t="shared" si="81"/>
        <v>408.32</v>
      </c>
      <c r="V2016" s="66">
        <f t="shared" si="82"/>
        <v>0.05074626866</v>
      </c>
      <c r="W2016" s="67">
        <f t="shared" si="5"/>
        <v>352</v>
      </c>
      <c r="X2016" s="67">
        <f t="shared" si="70"/>
        <v>56.32</v>
      </c>
      <c r="Y2016" s="67">
        <f t="shared" si="71"/>
        <v>408.32</v>
      </c>
      <c r="Z2016" s="67">
        <f t="shared" si="8"/>
        <v>352</v>
      </c>
      <c r="AA2016" s="67">
        <f t="shared" si="72"/>
        <v>56.32</v>
      </c>
      <c r="AB2016" s="67">
        <f t="shared" si="73"/>
        <v>408.32</v>
      </c>
      <c r="AC2016" s="67">
        <f t="shared" si="11"/>
        <v>352</v>
      </c>
      <c r="AD2016" s="67">
        <f t="shared" si="74"/>
        <v>56.32</v>
      </c>
      <c r="AE2016" s="67">
        <f t="shared" si="75"/>
        <v>408.32</v>
      </c>
      <c r="AF2016" s="67">
        <f t="shared" si="33"/>
        <v>352</v>
      </c>
      <c r="AG2016" s="67">
        <f t="shared" si="76"/>
        <v>56.32</v>
      </c>
      <c r="AH2016" s="67">
        <f t="shared" si="77"/>
        <v>408.32</v>
      </c>
      <c r="AI2016" s="67">
        <f t="shared" si="17"/>
        <v>352</v>
      </c>
      <c r="AJ2016" s="68">
        <f t="shared" si="78"/>
        <v>56.32</v>
      </c>
      <c r="AK2016" s="68">
        <f t="shared" si="79"/>
        <v>408.32</v>
      </c>
      <c r="AL2016" s="70"/>
      <c r="AM2016" s="70"/>
      <c r="AN2016" s="71"/>
      <c r="AO2016" s="71"/>
      <c r="AP2016" s="71"/>
      <c r="AQ2016" s="71"/>
      <c r="AR2016" s="71"/>
      <c r="AS2016" s="71"/>
      <c r="AT2016" s="71"/>
      <c r="AU2016" s="71"/>
      <c r="AV2016" s="71"/>
      <c r="AW2016" s="71"/>
      <c r="AX2016" s="71"/>
      <c r="AY2016" s="71"/>
      <c r="AZ2016" s="71"/>
      <c r="BA2016" s="71"/>
      <c r="BB2016" s="71"/>
      <c r="BC2016" s="71"/>
      <c r="BD2016" s="71"/>
      <c r="BE2016" s="71"/>
      <c r="BF2016" s="71"/>
      <c r="BG2016" s="71"/>
      <c r="BH2016" s="71"/>
      <c r="BI2016" s="71"/>
      <c r="BJ2016" s="71"/>
      <c r="BK2016" s="71"/>
      <c r="BL2016" s="71"/>
      <c r="BM2016" s="71"/>
      <c r="BN2016" s="71"/>
      <c r="BO2016" s="71"/>
      <c r="BP2016" s="71"/>
      <c r="BQ2016" s="71"/>
      <c r="BR2016" s="71"/>
      <c r="BS2016" s="71"/>
      <c r="BT2016" s="71"/>
      <c r="BU2016" s="71"/>
      <c r="BV2016" s="71"/>
    </row>
    <row r="2017">
      <c r="A2017" s="53">
        <v>1.0</v>
      </c>
      <c r="B2017" s="53"/>
      <c r="C2017" s="73" t="s">
        <v>603</v>
      </c>
      <c r="D2017" s="74" t="s">
        <v>4913</v>
      </c>
      <c r="E2017" s="54" t="s">
        <v>38</v>
      </c>
      <c r="F2017" s="54" t="s">
        <v>42</v>
      </c>
      <c r="G2017" s="88" t="s">
        <v>4914</v>
      </c>
      <c r="H2017" s="54" t="s">
        <v>4915</v>
      </c>
      <c r="I2017" s="54">
        <f t="shared" si="24"/>
        <v>21</v>
      </c>
      <c r="J2017" s="56"/>
      <c r="K2017" s="57"/>
      <c r="L2017" s="87"/>
      <c r="M2017" s="59"/>
      <c r="N2017" s="60">
        <v>33.0</v>
      </c>
      <c r="O2017" s="61">
        <v>35.0</v>
      </c>
      <c r="P2017" s="62">
        <v>37.800000000000004</v>
      </c>
      <c r="Q2017" s="63">
        <v>37.800000000000004</v>
      </c>
      <c r="R2017" s="64">
        <v>44.0</v>
      </c>
      <c r="S2017" s="111">
        <v>46.0</v>
      </c>
      <c r="T2017" s="65">
        <f t="shared" si="80"/>
        <v>7.36</v>
      </c>
      <c r="U2017" s="65">
        <f t="shared" si="81"/>
        <v>53.36</v>
      </c>
      <c r="V2017" s="66">
        <f t="shared" si="82"/>
        <v>0.04545454545</v>
      </c>
      <c r="W2017" s="67">
        <f t="shared" si="5"/>
        <v>43.7</v>
      </c>
      <c r="X2017" s="67">
        <f t="shared" si="70"/>
        <v>6.992</v>
      </c>
      <c r="Y2017" s="67">
        <f t="shared" si="71"/>
        <v>50.692</v>
      </c>
      <c r="Z2017" s="67">
        <f t="shared" si="8"/>
        <v>41.4</v>
      </c>
      <c r="AA2017" s="67">
        <f t="shared" si="72"/>
        <v>6.624</v>
      </c>
      <c r="AB2017" s="67">
        <f t="shared" si="73"/>
        <v>48.024</v>
      </c>
      <c r="AC2017" s="67">
        <f t="shared" si="11"/>
        <v>39.1</v>
      </c>
      <c r="AD2017" s="67">
        <f t="shared" si="74"/>
        <v>6.256</v>
      </c>
      <c r="AE2017" s="67">
        <f t="shared" si="75"/>
        <v>45.356</v>
      </c>
      <c r="AF2017" s="67">
        <f t="shared" si="33"/>
        <v>38.18</v>
      </c>
      <c r="AG2017" s="67">
        <f t="shared" si="76"/>
        <v>6.1088</v>
      </c>
      <c r="AH2017" s="67">
        <f t="shared" si="77"/>
        <v>44.2888</v>
      </c>
      <c r="AI2017" s="67">
        <f t="shared" si="17"/>
        <v>36.8</v>
      </c>
      <c r="AJ2017" s="68">
        <f t="shared" si="78"/>
        <v>5.888</v>
      </c>
      <c r="AK2017" s="68">
        <f t="shared" si="79"/>
        <v>42.688</v>
      </c>
      <c r="AL2017" s="70"/>
      <c r="AM2017" s="70"/>
      <c r="AN2017" s="71"/>
      <c r="AO2017" s="71"/>
      <c r="AP2017" s="71"/>
      <c r="AQ2017" s="71"/>
      <c r="AR2017" s="71"/>
      <c r="AS2017" s="71"/>
      <c r="AT2017" s="71"/>
      <c r="AU2017" s="71"/>
      <c r="AV2017" s="71"/>
      <c r="AW2017" s="71"/>
      <c r="AX2017" s="71"/>
      <c r="AY2017" s="71"/>
      <c r="AZ2017" s="71"/>
      <c r="BA2017" s="71"/>
      <c r="BB2017" s="71"/>
      <c r="BC2017" s="71"/>
      <c r="BD2017" s="71"/>
      <c r="BE2017" s="71"/>
      <c r="BF2017" s="71"/>
      <c r="BG2017" s="71"/>
      <c r="BH2017" s="71"/>
      <c r="BI2017" s="71"/>
      <c r="BJ2017" s="71"/>
      <c r="BK2017" s="71"/>
      <c r="BL2017" s="71"/>
      <c r="BM2017" s="71"/>
      <c r="BN2017" s="71"/>
      <c r="BO2017" s="71"/>
      <c r="BP2017" s="71"/>
      <c r="BQ2017" s="71"/>
      <c r="BR2017" s="71"/>
      <c r="BS2017" s="71"/>
      <c r="BT2017" s="71"/>
      <c r="BU2017" s="71"/>
      <c r="BV2017" s="71"/>
    </row>
    <row r="2018">
      <c r="A2018" s="53">
        <v>1.0</v>
      </c>
      <c r="B2018" s="53"/>
      <c r="C2018" s="73" t="s">
        <v>603</v>
      </c>
      <c r="D2018" s="74" t="s">
        <v>4916</v>
      </c>
      <c r="E2018" s="54" t="s">
        <v>38</v>
      </c>
      <c r="F2018" s="54" t="s">
        <v>42</v>
      </c>
      <c r="G2018" s="88" t="s">
        <v>4917</v>
      </c>
      <c r="H2018" s="54" t="s">
        <v>4918</v>
      </c>
      <c r="I2018" s="54">
        <f t="shared" si="24"/>
        <v>25</v>
      </c>
      <c r="J2018" s="56"/>
      <c r="K2018" s="57"/>
      <c r="L2018" s="87"/>
      <c r="M2018" s="59"/>
      <c r="N2018" s="60">
        <v>33.0</v>
      </c>
      <c r="O2018" s="61">
        <v>35.0</v>
      </c>
      <c r="P2018" s="62">
        <v>37.800000000000004</v>
      </c>
      <c r="Q2018" s="63">
        <v>37.800000000000004</v>
      </c>
      <c r="R2018" s="64">
        <v>44.0</v>
      </c>
      <c r="S2018" s="111">
        <v>46.0</v>
      </c>
      <c r="T2018" s="65">
        <f t="shared" si="80"/>
        <v>7.36</v>
      </c>
      <c r="U2018" s="65">
        <f t="shared" si="81"/>
        <v>53.36</v>
      </c>
      <c r="V2018" s="66">
        <f t="shared" si="82"/>
        <v>0.04545454545</v>
      </c>
      <c r="W2018" s="67">
        <f t="shared" si="5"/>
        <v>43.7</v>
      </c>
      <c r="X2018" s="67">
        <f t="shared" si="70"/>
        <v>6.992</v>
      </c>
      <c r="Y2018" s="67">
        <f t="shared" si="71"/>
        <v>50.692</v>
      </c>
      <c r="Z2018" s="67">
        <f t="shared" si="8"/>
        <v>41.4</v>
      </c>
      <c r="AA2018" s="67">
        <f t="shared" si="72"/>
        <v>6.624</v>
      </c>
      <c r="AB2018" s="67">
        <f t="shared" si="73"/>
        <v>48.024</v>
      </c>
      <c r="AC2018" s="67">
        <f t="shared" si="11"/>
        <v>39.1</v>
      </c>
      <c r="AD2018" s="67">
        <f t="shared" si="74"/>
        <v>6.256</v>
      </c>
      <c r="AE2018" s="67">
        <f t="shared" si="75"/>
        <v>45.356</v>
      </c>
      <c r="AF2018" s="67">
        <f t="shared" si="33"/>
        <v>38.18</v>
      </c>
      <c r="AG2018" s="67">
        <f t="shared" si="76"/>
        <v>6.1088</v>
      </c>
      <c r="AH2018" s="67">
        <f t="shared" si="77"/>
        <v>44.2888</v>
      </c>
      <c r="AI2018" s="67">
        <f t="shared" si="17"/>
        <v>36.8</v>
      </c>
      <c r="AJ2018" s="68">
        <f t="shared" si="78"/>
        <v>5.888</v>
      </c>
      <c r="AK2018" s="68">
        <f t="shared" si="79"/>
        <v>42.688</v>
      </c>
      <c r="AL2018" s="70"/>
      <c r="AM2018" s="70"/>
      <c r="AN2018" s="71"/>
      <c r="AO2018" s="71"/>
      <c r="AP2018" s="71"/>
      <c r="AQ2018" s="71"/>
      <c r="AR2018" s="71"/>
      <c r="AS2018" s="71"/>
      <c r="AT2018" s="71"/>
      <c r="AU2018" s="71"/>
      <c r="AV2018" s="71"/>
      <c r="AW2018" s="71"/>
      <c r="AX2018" s="71"/>
      <c r="AY2018" s="71"/>
      <c r="AZ2018" s="71"/>
      <c r="BA2018" s="71"/>
      <c r="BB2018" s="71"/>
      <c r="BC2018" s="71"/>
      <c r="BD2018" s="71"/>
      <c r="BE2018" s="71"/>
      <c r="BF2018" s="71"/>
      <c r="BG2018" s="71"/>
      <c r="BH2018" s="71"/>
      <c r="BI2018" s="71"/>
      <c r="BJ2018" s="71"/>
      <c r="BK2018" s="71"/>
      <c r="BL2018" s="71"/>
      <c r="BM2018" s="71"/>
      <c r="BN2018" s="71"/>
      <c r="BO2018" s="71"/>
      <c r="BP2018" s="71"/>
      <c r="BQ2018" s="71"/>
      <c r="BR2018" s="71"/>
      <c r="BS2018" s="71"/>
      <c r="BT2018" s="71"/>
      <c r="BU2018" s="71"/>
      <c r="BV2018" s="71"/>
    </row>
    <row r="2019">
      <c r="A2019" s="53">
        <v>1.0</v>
      </c>
      <c r="B2019" s="53"/>
      <c r="C2019" s="73" t="s">
        <v>603</v>
      </c>
      <c r="D2019" s="74" t="s">
        <v>4919</v>
      </c>
      <c r="E2019" s="54" t="s">
        <v>38</v>
      </c>
      <c r="F2019" s="54" t="s">
        <v>42</v>
      </c>
      <c r="G2019" s="88" t="s">
        <v>4920</v>
      </c>
      <c r="H2019" s="54" t="s">
        <v>4921</v>
      </c>
      <c r="I2019" s="54">
        <f t="shared" si="24"/>
        <v>24</v>
      </c>
      <c r="J2019" s="56"/>
      <c r="K2019" s="57"/>
      <c r="L2019" s="87"/>
      <c r="M2019" s="59"/>
      <c r="N2019" s="60">
        <v>13.0</v>
      </c>
      <c r="O2019" s="61">
        <v>14.0</v>
      </c>
      <c r="P2019" s="62">
        <v>15.120000000000001</v>
      </c>
      <c r="Q2019" s="63">
        <v>15.120000000000001</v>
      </c>
      <c r="R2019" s="64">
        <v>18.0</v>
      </c>
      <c r="S2019" s="111">
        <v>18.900000000000002</v>
      </c>
      <c r="T2019" s="65">
        <f t="shared" si="80"/>
        <v>3.024</v>
      </c>
      <c r="U2019" s="65">
        <f t="shared" si="81"/>
        <v>21.924</v>
      </c>
      <c r="V2019" s="66">
        <f t="shared" si="82"/>
        <v>0.05</v>
      </c>
      <c r="W2019" s="67">
        <f t="shared" si="5"/>
        <v>17.955</v>
      </c>
      <c r="X2019" s="67">
        <f t="shared" si="70"/>
        <v>2.8728</v>
      </c>
      <c r="Y2019" s="67">
        <f t="shared" si="71"/>
        <v>20.8278</v>
      </c>
      <c r="Z2019" s="67">
        <f t="shared" si="8"/>
        <v>17.01</v>
      </c>
      <c r="AA2019" s="67">
        <f t="shared" si="72"/>
        <v>2.7216</v>
      </c>
      <c r="AB2019" s="67">
        <f t="shared" si="73"/>
        <v>19.7316</v>
      </c>
      <c r="AC2019" s="67">
        <f t="shared" si="11"/>
        <v>16.065</v>
      </c>
      <c r="AD2019" s="67">
        <f t="shared" si="74"/>
        <v>2.5704</v>
      </c>
      <c r="AE2019" s="67">
        <f t="shared" si="75"/>
        <v>18.6354</v>
      </c>
      <c r="AF2019" s="67">
        <f t="shared" si="33"/>
        <v>15.687</v>
      </c>
      <c r="AG2019" s="67">
        <f t="shared" si="76"/>
        <v>2.50992</v>
      </c>
      <c r="AH2019" s="67">
        <f t="shared" si="77"/>
        <v>18.19692</v>
      </c>
      <c r="AI2019" s="67">
        <f t="shared" si="17"/>
        <v>15.12</v>
      </c>
      <c r="AJ2019" s="68">
        <f t="shared" si="78"/>
        <v>2.4192</v>
      </c>
      <c r="AK2019" s="68">
        <f t="shared" si="79"/>
        <v>17.5392</v>
      </c>
      <c r="AL2019" s="70"/>
      <c r="AM2019" s="70"/>
      <c r="AN2019" s="71"/>
      <c r="AO2019" s="71"/>
      <c r="AP2019" s="71"/>
      <c r="AQ2019" s="71"/>
      <c r="AR2019" s="71"/>
      <c r="AS2019" s="71"/>
      <c r="AT2019" s="71"/>
      <c r="AU2019" s="71"/>
      <c r="AV2019" s="71"/>
      <c r="AW2019" s="71"/>
      <c r="AX2019" s="71"/>
      <c r="AY2019" s="71"/>
      <c r="AZ2019" s="71"/>
      <c r="BA2019" s="71"/>
      <c r="BB2019" s="71"/>
      <c r="BC2019" s="71"/>
      <c r="BD2019" s="71"/>
      <c r="BE2019" s="71"/>
      <c r="BF2019" s="71"/>
      <c r="BG2019" s="71"/>
      <c r="BH2019" s="71"/>
      <c r="BI2019" s="71"/>
      <c r="BJ2019" s="71"/>
      <c r="BK2019" s="71"/>
      <c r="BL2019" s="71"/>
      <c r="BM2019" s="71"/>
      <c r="BN2019" s="71"/>
      <c r="BO2019" s="71"/>
      <c r="BP2019" s="71"/>
      <c r="BQ2019" s="71"/>
      <c r="BR2019" s="71"/>
      <c r="BS2019" s="71"/>
      <c r="BT2019" s="71"/>
      <c r="BU2019" s="71"/>
      <c r="BV2019" s="71"/>
    </row>
    <row r="2020">
      <c r="A2020" s="53">
        <v>1.0</v>
      </c>
      <c r="B2020" s="53"/>
      <c r="C2020" s="73" t="s">
        <v>603</v>
      </c>
      <c r="D2020" s="74" t="s">
        <v>4922</v>
      </c>
      <c r="E2020" s="54" t="s">
        <v>38</v>
      </c>
      <c r="F2020" s="54" t="s">
        <v>42</v>
      </c>
      <c r="G2020" s="55" t="s">
        <v>4923</v>
      </c>
      <c r="H2020" s="54" t="s">
        <v>4924</v>
      </c>
      <c r="I2020" s="54">
        <f t="shared" si="24"/>
        <v>29</v>
      </c>
      <c r="J2020" s="56"/>
      <c r="K2020" s="57"/>
      <c r="L2020" s="87"/>
      <c r="M2020" s="59"/>
      <c r="N2020" s="60">
        <v>23.0</v>
      </c>
      <c r="O2020" s="61">
        <v>24.0</v>
      </c>
      <c r="P2020" s="62">
        <v>25.92</v>
      </c>
      <c r="Q2020" s="63">
        <v>25.92</v>
      </c>
      <c r="R2020" s="64">
        <v>30.0</v>
      </c>
      <c r="S2020" s="111">
        <v>32.0</v>
      </c>
      <c r="T2020" s="65">
        <f t="shared" si="80"/>
        <v>5.12</v>
      </c>
      <c r="U2020" s="65">
        <f t="shared" si="81"/>
        <v>37.12</v>
      </c>
      <c r="V2020" s="66">
        <f t="shared" si="82"/>
        <v>0.06666666667</v>
      </c>
      <c r="W2020" s="67">
        <f t="shared" si="5"/>
        <v>30.4</v>
      </c>
      <c r="X2020" s="67">
        <f t="shared" si="70"/>
        <v>4.864</v>
      </c>
      <c r="Y2020" s="67">
        <f t="shared" si="71"/>
        <v>35.264</v>
      </c>
      <c r="Z2020" s="67">
        <f t="shared" si="8"/>
        <v>28.8</v>
      </c>
      <c r="AA2020" s="67">
        <f t="shared" si="72"/>
        <v>4.608</v>
      </c>
      <c r="AB2020" s="67">
        <f t="shared" si="73"/>
        <v>33.408</v>
      </c>
      <c r="AC2020" s="67">
        <f t="shared" si="11"/>
        <v>27.2</v>
      </c>
      <c r="AD2020" s="67">
        <f t="shared" si="74"/>
        <v>4.352</v>
      </c>
      <c r="AE2020" s="67">
        <f t="shared" si="75"/>
        <v>31.552</v>
      </c>
      <c r="AF2020" s="67">
        <f t="shared" si="33"/>
        <v>26.56</v>
      </c>
      <c r="AG2020" s="67">
        <f t="shared" si="76"/>
        <v>4.2496</v>
      </c>
      <c r="AH2020" s="67">
        <f t="shared" si="77"/>
        <v>30.8096</v>
      </c>
      <c r="AI2020" s="67">
        <f t="shared" si="17"/>
        <v>25.6</v>
      </c>
      <c r="AJ2020" s="68">
        <f t="shared" si="78"/>
        <v>4.096</v>
      </c>
      <c r="AK2020" s="68">
        <f t="shared" si="79"/>
        <v>29.696</v>
      </c>
      <c r="AL2020" s="70"/>
      <c r="AM2020" s="70"/>
      <c r="AN2020" s="71"/>
      <c r="AO2020" s="71"/>
      <c r="AP2020" s="71"/>
      <c r="AQ2020" s="71"/>
      <c r="AR2020" s="71"/>
      <c r="AS2020" s="71"/>
      <c r="AT2020" s="71"/>
      <c r="AU2020" s="71"/>
      <c r="AV2020" s="71"/>
      <c r="AW2020" s="71"/>
      <c r="AX2020" s="71"/>
      <c r="AY2020" s="71"/>
      <c r="AZ2020" s="71"/>
      <c r="BA2020" s="71"/>
      <c r="BB2020" s="71"/>
      <c r="BC2020" s="71"/>
      <c r="BD2020" s="71"/>
      <c r="BE2020" s="71"/>
      <c r="BF2020" s="71"/>
      <c r="BG2020" s="71"/>
      <c r="BH2020" s="71"/>
      <c r="BI2020" s="71"/>
      <c r="BJ2020" s="71"/>
      <c r="BK2020" s="71"/>
      <c r="BL2020" s="71"/>
      <c r="BM2020" s="71"/>
      <c r="BN2020" s="71"/>
      <c r="BO2020" s="71"/>
      <c r="BP2020" s="71"/>
      <c r="BQ2020" s="71"/>
      <c r="BR2020" s="71"/>
      <c r="BS2020" s="71"/>
      <c r="BT2020" s="71"/>
      <c r="BU2020" s="71"/>
      <c r="BV2020" s="71"/>
    </row>
    <row r="2021">
      <c r="A2021" s="53">
        <v>1.0</v>
      </c>
      <c r="B2021" s="53"/>
      <c r="C2021" s="73" t="s">
        <v>603</v>
      </c>
      <c r="D2021" s="74" t="s">
        <v>4925</v>
      </c>
      <c r="E2021" s="54" t="s">
        <v>38</v>
      </c>
      <c r="F2021" s="54" t="s">
        <v>42</v>
      </c>
      <c r="G2021" s="55" t="s">
        <v>4926</v>
      </c>
      <c r="H2021" s="54" t="s">
        <v>4927</v>
      </c>
      <c r="I2021" s="54">
        <f t="shared" si="24"/>
        <v>28</v>
      </c>
      <c r="J2021" s="56"/>
      <c r="K2021" s="57"/>
      <c r="L2021" s="87"/>
      <c r="M2021" s="59"/>
      <c r="N2021" s="60">
        <v>9.0</v>
      </c>
      <c r="O2021" s="61">
        <v>9.0</v>
      </c>
      <c r="P2021" s="62">
        <v>9.72</v>
      </c>
      <c r="Q2021" s="63">
        <v>9.72</v>
      </c>
      <c r="R2021" s="64">
        <v>12.0</v>
      </c>
      <c r="S2021" s="111">
        <v>12.600000000000001</v>
      </c>
      <c r="T2021" s="65">
        <f t="shared" si="80"/>
        <v>2.016</v>
      </c>
      <c r="U2021" s="65">
        <f t="shared" si="81"/>
        <v>14.616</v>
      </c>
      <c r="V2021" s="66">
        <f t="shared" si="82"/>
        <v>0.05</v>
      </c>
      <c r="W2021" s="67">
        <f t="shared" si="5"/>
        <v>11.97</v>
      </c>
      <c r="X2021" s="67">
        <f t="shared" si="70"/>
        <v>1.9152</v>
      </c>
      <c r="Y2021" s="67">
        <f t="shared" si="71"/>
        <v>13.8852</v>
      </c>
      <c r="Z2021" s="67">
        <f t="shared" si="8"/>
        <v>11.34</v>
      </c>
      <c r="AA2021" s="67">
        <f t="shared" si="72"/>
        <v>1.8144</v>
      </c>
      <c r="AB2021" s="67">
        <f t="shared" si="73"/>
        <v>13.1544</v>
      </c>
      <c r="AC2021" s="67">
        <f t="shared" si="11"/>
        <v>10.71</v>
      </c>
      <c r="AD2021" s="67">
        <f t="shared" si="74"/>
        <v>1.7136</v>
      </c>
      <c r="AE2021" s="67">
        <f t="shared" si="75"/>
        <v>12.4236</v>
      </c>
      <c r="AF2021" s="67">
        <f t="shared" si="33"/>
        <v>10.458</v>
      </c>
      <c r="AG2021" s="67">
        <f t="shared" si="76"/>
        <v>1.67328</v>
      </c>
      <c r="AH2021" s="67">
        <f t="shared" si="77"/>
        <v>12.13128</v>
      </c>
      <c r="AI2021" s="67">
        <f t="shared" si="17"/>
        <v>10.08</v>
      </c>
      <c r="AJ2021" s="68">
        <f t="shared" si="78"/>
        <v>1.6128</v>
      </c>
      <c r="AK2021" s="68">
        <f t="shared" si="79"/>
        <v>11.6928</v>
      </c>
      <c r="AL2021" s="70"/>
      <c r="AM2021" s="70"/>
      <c r="AN2021" s="71"/>
      <c r="AO2021" s="71"/>
      <c r="AP2021" s="71"/>
      <c r="AQ2021" s="71"/>
      <c r="AR2021" s="71"/>
      <c r="AS2021" s="71"/>
      <c r="AT2021" s="71"/>
      <c r="AU2021" s="71"/>
      <c r="AV2021" s="71"/>
      <c r="AW2021" s="71"/>
      <c r="AX2021" s="71"/>
      <c r="AY2021" s="71"/>
      <c r="AZ2021" s="71"/>
      <c r="BA2021" s="71"/>
      <c r="BB2021" s="71"/>
      <c r="BC2021" s="71"/>
      <c r="BD2021" s="71"/>
      <c r="BE2021" s="71"/>
      <c r="BF2021" s="71"/>
      <c r="BG2021" s="71"/>
      <c r="BH2021" s="71"/>
      <c r="BI2021" s="71"/>
      <c r="BJ2021" s="71"/>
      <c r="BK2021" s="71"/>
      <c r="BL2021" s="71"/>
      <c r="BM2021" s="71"/>
      <c r="BN2021" s="71"/>
      <c r="BO2021" s="71"/>
      <c r="BP2021" s="71"/>
      <c r="BQ2021" s="71"/>
      <c r="BR2021" s="71"/>
      <c r="BS2021" s="71"/>
      <c r="BT2021" s="71"/>
      <c r="BU2021" s="71"/>
      <c r="BV2021" s="71"/>
    </row>
    <row r="2022">
      <c r="A2022" s="53">
        <v>1.0</v>
      </c>
      <c r="B2022" s="53"/>
      <c r="C2022" s="73" t="s">
        <v>603</v>
      </c>
      <c r="D2022" s="74" t="s">
        <v>4928</v>
      </c>
      <c r="E2022" s="54" t="s">
        <v>38</v>
      </c>
      <c r="F2022" s="54" t="s">
        <v>42</v>
      </c>
      <c r="G2022" s="55" t="s">
        <v>4929</v>
      </c>
      <c r="H2022" s="54" t="s">
        <v>4930</v>
      </c>
      <c r="I2022" s="54">
        <f t="shared" si="24"/>
        <v>33</v>
      </c>
      <c r="J2022" s="56"/>
      <c r="K2022" s="57"/>
      <c r="L2022" s="87"/>
      <c r="M2022" s="59"/>
      <c r="N2022" s="60">
        <v>20.0</v>
      </c>
      <c r="O2022" s="61">
        <v>21.0</v>
      </c>
      <c r="P2022" s="62">
        <v>22.68</v>
      </c>
      <c r="Q2022" s="63">
        <v>22.68</v>
      </c>
      <c r="R2022" s="64">
        <v>27.0</v>
      </c>
      <c r="S2022" s="111">
        <v>28.0</v>
      </c>
      <c r="T2022" s="65">
        <f t="shared" si="80"/>
        <v>4.48</v>
      </c>
      <c r="U2022" s="65">
        <f t="shared" si="81"/>
        <v>32.48</v>
      </c>
      <c r="V2022" s="66">
        <f t="shared" si="82"/>
        <v>0.03703703704</v>
      </c>
      <c r="W2022" s="67">
        <f t="shared" si="5"/>
        <v>26.6</v>
      </c>
      <c r="X2022" s="67">
        <f t="shared" si="70"/>
        <v>4.256</v>
      </c>
      <c r="Y2022" s="67">
        <f t="shared" si="71"/>
        <v>30.856</v>
      </c>
      <c r="Z2022" s="67">
        <f t="shared" si="8"/>
        <v>25.2</v>
      </c>
      <c r="AA2022" s="67">
        <f t="shared" si="72"/>
        <v>4.032</v>
      </c>
      <c r="AB2022" s="67">
        <f t="shared" si="73"/>
        <v>29.232</v>
      </c>
      <c r="AC2022" s="67">
        <f t="shared" si="11"/>
        <v>23.8</v>
      </c>
      <c r="AD2022" s="67">
        <f t="shared" si="74"/>
        <v>3.808</v>
      </c>
      <c r="AE2022" s="67">
        <f t="shared" si="75"/>
        <v>27.608</v>
      </c>
      <c r="AF2022" s="67">
        <f t="shared" si="33"/>
        <v>23.24</v>
      </c>
      <c r="AG2022" s="67">
        <f t="shared" si="76"/>
        <v>3.7184</v>
      </c>
      <c r="AH2022" s="67">
        <f t="shared" si="77"/>
        <v>26.9584</v>
      </c>
      <c r="AI2022" s="67">
        <f t="shared" si="17"/>
        <v>22.4</v>
      </c>
      <c r="AJ2022" s="68">
        <f t="shared" si="78"/>
        <v>3.584</v>
      </c>
      <c r="AK2022" s="68">
        <f t="shared" si="79"/>
        <v>25.984</v>
      </c>
      <c r="AL2022" s="70"/>
      <c r="AM2022" s="70"/>
      <c r="AN2022" s="71"/>
      <c r="AO2022" s="71"/>
      <c r="AP2022" s="71"/>
      <c r="AQ2022" s="71"/>
      <c r="AR2022" s="71"/>
      <c r="AS2022" s="71"/>
      <c r="AT2022" s="71"/>
      <c r="AU2022" s="71"/>
      <c r="AV2022" s="71"/>
      <c r="AW2022" s="71"/>
      <c r="AX2022" s="71"/>
      <c r="AY2022" s="71"/>
      <c r="AZ2022" s="71"/>
      <c r="BA2022" s="71"/>
      <c r="BB2022" s="71"/>
      <c r="BC2022" s="71"/>
      <c r="BD2022" s="71"/>
      <c r="BE2022" s="71"/>
      <c r="BF2022" s="71"/>
      <c r="BG2022" s="71"/>
      <c r="BH2022" s="71"/>
      <c r="BI2022" s="71"/>
      <c r="BJ2022" s="71"/>
      <c r="BK2022" s="71"/>
      <c r="BL2022" s="71"/>
      <c r="BM2022" s="71"/>
      <c r="BN2022" s="71"/>
      <c r="BO2022" s="71"/>
      <c r="BP2022" s="71"/>
      <c r="BQ2022" s="71"/>
      <c r="BR2022" s="71"/>
      <c r="BS2022" s="71"/>
      <c r="BT2022" s="71"/>
      <c r="BU2022" s="71"/>
      <c r="BV2022" s="71"/>
    </row>
    <row r="2023">
      <c r="A2023" s="53"/>
      <c r="B2023" s="53"/>
      <c r="C2023" s="73" t="s">
        <v>12</v>
      </c>
      <c r="D2023" s="53" t="s">
        <v>4931</v>
      </c>
      <c r="E2023" s="54" t="s">
        <v>38</v>
      </c>
      <c r="F2023" s="54" t="s">
        <v>42</v>
      </c>
      <c r="G2023" s="54" t="s">
        <v>4932</v>
      </c>
      <c r="H2023" s="54" t="s">
        <v>4933</v>
      </c>
      <c r="I2023" s="54">
        <f t="shared" si="24"/>
        <v>33</v>
      </c>
      <c r="J2023" s="56"/>
      <c r="K2023" s="57"/>
      <c r="L2023" s="76"/>
      <c r="M2023" s="59"/>
      <c r="N2023" s="60">
        <v>33.0</v>
      </c>
      <c r="O2023" s="61">
        <v>35.0</v>
      </c>
      <c r="P2023" s="62">
        <v>162.0</v>
      </c>
      <c r="Q2023" s="63">
        <v>162.0</v>
      </c>
      <c r="R2023" s="64">
        <v>171.0</v>
      </c>
      <c r="S2023" s="111">
        <v>180.0</v>
      </c>
      <c r="T2023" s="65">
        <f t="shared" si="80"/>
        <v>28.8</v>
      </c>
      <c r="U2023" s="65">
        <f t="shared" si="81"/>
        <v>208.8</v>
      </c>
      <c r="V2023" s="66">
        <f t="shared" si="82"/>
        <v>0.05263157895</v>
      </c>
      <c r="W2023" s="67">
        <f t="shared" si="5"/>
        <v>171</v>
      </c>
      <c r="X2023" s="67">
        <f t="shared" si="70"/>
        <v>27.36</v>
      </c>
      <c r="Y2023" s="67">
        <f t="shared" si="71"/>
        <v>198.36</v>
      </c>
      <c r="Z2023" s="67">
        <f t="shared" si="8"/>
        <v>162</v>
      </c>
      <c r="AA2023" s="67">
        <f t="shared" si="72"/>
        <v>25.92</v>
      </c>
      <c r="AB2023" s="67">
        <f t="shared" si="73"/>
        <v>187.92</v>
      </c>
      <c r="AC2023" s="67">
        <f t="shared" si="11"/>
        <v>153</v>
      </c>
      <c r="AD2023" s="67">
        <f t="shared" si="74"/>
        <v>24.48</v>
      </c>
      <c r="AE2023" s="67">
        <f t="shared" si="75"/>
        <v>177.48</v>
      </c>
      <c r="AF2023" s="67">
        <f t="shared" si="33"/>
        <v>149.4</v>
      </c>
      <c r="AG2023" s="67">
        <f t="shared" si="76"/>
        <v>23.904</v>
      </c>
      <c r="AH2023" s="67">
        <f t="shared" si="77"/>
        <v>173.304</v>
      </c>
      <c r="AI2023" s="67">
        <f t="shared" si="17"/>
        <v>144</v>
      </c>
      <c r="AJ2023" s="68">
        <f t="shared" si="78"/>
        <v>23.04</v>
      </c>
      <c r="AK2023" s="68">
        <f t="shared" si="79"/>
        <v>167.04</v>
      </c>
      <c r="AL2023" s="70"/>
      <c r="AM2023" s="70"/>
      <c r="AN2023" s="71"/>
      <c r="AO2023" s="71"/>
      <c r="AP2023" s="71"/>
      <c r="AQ2023" s="71"/>
      <c r="AR2023" s="71"/>
      <c r="AS2023" s="71"/>
      <c r="AT2023" s="71"/>
      <c r="AU2023" s="71"/>
      <c r="AV2023" s="71"/>
      <c r="AW2023" s="71"/>
      <c r="AX2023" s="71"/>
      <c r="AY2023" s="71"/>
      <c r="AZ2023" s="71"/>
      <c r="BA2023" s="71"/>
      <c r="BB2023" s="71"/>
      <c r="BC2023" s="71"/>
      <c r="BD2023" s="71"/>
      <c r="BE2023" s="71"/>
      <c r="BF2023" s="71"/>
      <c r="BG2023" s="71"/>
      <c r="BH2023" s="71"/>
      <c r="BI2023" s="71"/>
      <c r="BJ2023" s="71"/>
      <c r="BK2023" s="71"/>
      <c r="BL2023" s="71"/>
      <c r="BM2023" s="71"/>
      <c r="BN2023" s="71"/>
      <c r="BO2023" s="71"/>
      <c r="BP2023" s="71"/>
      <c r="BQ2023" s="71"/>
      <c r="BR2023" s="71"/>
      <c r="BS2023" s="71"/>
      <c r="BT2023" s="71"/>
      <c r="BU2023" s="71"/>
      <c r="BV2023" s="71"/>
    </row>
    <row r="2024">
      <c r="A2024" s="53"/>
      <c r="B2024" s="53"/>
      <c r="C2024" s="53" t="s">
        <v>12</v>
      </c>
      <c r="D2024" s="53" t="s">
        <v>4934</v>
      </c>
      <c r="E2024" s="54" t="s">
        <v>77</v>
      </c>
      <c r="F2024" s="55" t="s">
        <v>42</v>
      </c>
      <c r="G2024" s="55" t="s">
        <v>4935</v>
      </c>
      <c r="H2024" s="55" t="s">
        <v>4936</v>
      </c>
      <c r="I2024" s="54">
        <f t="shared" si="24"/>
        <v>27</v>
      </c>
      <c r="J2024" s="56"/>
      <c r="K2024" s="57"/>
      <c r="L2024" s="76"/>
      <c r="M2024" s="59"/>
      <c r="N2024" s="60"/>
      <c r="O2024" s="61">
        <v>2380.0</v>
      </c>
      <c r="P2024" s="62">
        <v>2570.4</v>
      </c>
      <c r="Q2024" s="63">
        <v>2570.4</v>
      </c>
      <c r="R2024" s="64">
        <v>2699.0</v>
      </c>
      <c r="S2024" s="111">
        <v>2834.0</v>
      </c>
      <c r="T2024" s="65">
        <f t="shared" si="80"/>
        <v>453.44</v>
      </c>
      <c r="U2024" s="65">
        <f t="shared" si="81"/>
        <v>3287.44</v>
      </c>
      <c r="V2024" s="66">
        <f t="shared" si="82"/>
        <v>0.05001852538</v>
      </c>
      <c r="W2024" s="67">
        <f t="shared" si="5"/>
        <v>2692.3</v>
      </c>
      <c r="X2024" s="67">
        <f t="shared" si="70"/>
        <v>430.768</v>
      </c>
      <c r="Y2024" s="67">
        <f t="shared" si="71"/>
        <v>3123.068</v>
      </c>
      <c r="Z2024" s="67">
        <f t="shared" si="8"/>
        <v>2550.6</v>
      </c>
      <c r="AA2024" s="67">
        <f t="shared" si="72"/>
        <v>408.096</v>
      </c>
      <c r="AB2024" s="67">
        <f t="shared" si="73"/>
        <v>2958.696</v>
      </c>
      <c r="AC2024" s="67">
        <f t="shared" si="11"/>
        <v>2408.9</v>
      </c>
      <c r="AD2024" s="67">
        <f t="shared" si="74"/>
        <v>385.424</v>
      </c>
      <c r="AE2024" s="67">
        <f t="shared" si="75"/>
        <v>2794.324</v>
      </c>
      <c r="AF2024" s="67">
        <f t="shared" si="33"/>
        <v>2352.22</v>
      </c>
      <c r="AG2024" s="67">
        <f t="shared" si="76"/>
        <v>376.3552</v>
      </c>
      <c r="AH2024" s="67">
        <f t="shared" si="77"/>
        <v>2728.5752</v>
      </c>
      <c r="AI2024" s="67">
        <f t="shared" si="17"/>
        <v>2267.2</v>
      </c>
      <c r="AJ2024" s="68">
        <f t="shared" si="78"/>
        <v>362.752</v>
      </c>
      <c r="AK2024" s="68">
        <f t="shared" si="79"/>
        <v>2629.952</v>
      </c>
      <c r="AL2024" s="70"/>
      <c r="AM2024" s="70"/>
      <c r="AN2024" s="71"/>
      <c r="AO2024" s="71"/>
      <c r="AP2024" s="71"/>
      <c r="AQ2024" s="71"/>
      <c r="AR2024" s="71"/>
      <c r="AS2024" s="71"/>
      <c r="AT2024" s="71"/>
      <c r="AU2024" s="71"/>
      <c r="AV2024" s="71"/>
      <c r="AW2024" s="71"/>
      <c r="AX2024" s="71"/>
      <c r="AY2024" s="71"/>
      <c r="AZ2024" s="71"/>
      <c r="BA2024" s="71"/>
      <c r="BB2024" s="71"/>
      <c r="BC2024" s="71"/>
      <c r="BD2024" s="71"/>
      <c r="BE2024" s="71"/>
      <c r="BF2024" s="71"/>
      <c r="BG2024" s="71"/>
      <c r="BH2024" s="71"/>
      <c r="BI2024" s="71"/>
      <c r="BJ2024" s="71"/>
      <c r="BK2024" s="71"/>
      <c r="BL2024" s="71"/>
      <c r="BM2024" s="71"/>
      <c r="BN2024" s="71"/>
      <c r="BO2024" s="71"/>
      <c r="BP2024" s="71"/>
      <c r="BQ2024" s="71"/>
      <c r="BR2024" s="71"/>
      <c r="BS2024" s="71"/>
      <c r="BT2024" s="71"/>
      <c r="BU2024" s="71"/>
      <c r="BV2024" s="71"/>
    </row>
    <row r="2025">
      <c r="A2025" s="53">
        <v>1.0</v>
      </c>
      <c r="B2025" s="53"/>
      <c r="C2025" s="73" t="s">
        <v>12</v>
      </c>
      <c r="D2025" s="74" t="s">
        <v>4937</v>
      </c>
      <c r="E2025" s="54" t="s">
        <v>38</v>
      </c>
      <c r="F2025" s="54" t="s">
        <v>42</v>
      </c>
      <c r="G2025" s="88" t="s">
        <v>4938</v>
      </c>
      <c r="H2025" s="54" t="s">
        <v>4939</v>
      </c>
      <c r="I2025" s="54">
        <f t="shared" si="24"/>
        <v>39</v>
      </c>
      <c r="J2025" s="56"/>
      <c r="K2025" s="57"/>
      <c r="L2025" s="87"/>
      <c r="M2025" s="59"/>
      <c r="N2025" s="60">
        <v>293.0</v>
      </c>
      <c r="O2025" s="61">
        <v>352.0</v>
      </c>
      <c r="P2025" s="62">
        <v>352.13</v>
      </c>
      <c r="Q2025" s="63">
        <v>352.13</v>
      </c>
      <c r="R2025" s="64">
        <v>371.0</v>
      </c>
      <c r="S2025" s="111">
        <v>390.0</v>
      </c>
      <c r="T2025" s="65">
        <f t="shared" si="80"/>
        <v>62.4</v>
      </c>
      <c r="U2025" s="65">
        <f t="shared" si="81"/>
        <v>452.4</v>
      </c>
      <c r="V2025" s="66">
        <f t="shared" si="82"/>
        <v>0.05121293801</v>
      </c>
      <c r="W2025" s="67">
        <f t="shared" si="5"/>
        <v>370.5</v>
      </c>
      <c r="X2025" s="67">
        <f t="shared" si="70"/>
        <v>59.28</v>
      </c>
      <c r="Y2025" s="67">
        <f t="shared" si="71"/>
        <v>429.78</v>
      </c>
      <c r="Z2025" s="67">
        <f t="shared" si="8"/>
        <v>351</v>
      </c>
      <c r="AA2025" s="67">
        <f t="shared" si="72"/>
        <v>56.16</v>
      </c>
      <c r="AB2025" s="67">
        <f t="shared" si="73"/>
        <v>407.16</v>
      </c>
      <c r="AC2025" s="67">
        <f t="shared" si="11"/>
        <v>331.5</v>
      </c>
      <c r="AD2025" s="67">
        <f t="shared" si="74"/>
        <v>53.04</v>
      </c>
      <c r="AE2025" s="67">
        <f t="shared" si="75"/>
        <v>384.54</v>
      </c>
      <c r="AF2025" s="67">
        <f t="shared" si="33"/>
        <v>323.7</v>
      </c>
      <c r="AG2025" s="67">
        <f t="shared" si="76"/>
        <v>51.792</v>
      </c>
      <c r="AH2025" s="67">
        <f t="shared" si="77"/>
        <v>375.492</v>
      </c>
      <c r="AI2025" s="67">
        <f t="shared" si="17"/>
        <v>312</v>
      </c>
      <c r="AJ2025" s="68">
        <f t="shared" si="78"/>
        <v>49.92</v>
      </c>
      <c r="AK2025" s="68">
        <f t="shared" si="79"/>
        <v>361.92</v>
      </c>
      <c r="AL2025" s="70"/>
      <c r="AM2025" s="70"/>
      <c r="AN2025" s="71"/>
      <c r="AO2025" s="71"/>
      <c r="AP2025" s="71"/>
      <c r="AQ2025" s="71"/>
      <c r="AR2025" s="71"/>
      <c r="AS2025" s="71"/>
      <c r="AT2025" s="71"/>
      <c r="AU2025" s="71"/>
      <c r="AV2025" s="71"/>
      <c r="AW2025" s="71"/>
      <c r="AX2025" s="71"/>
      <c r="AY2025" s="71"/>
      <c r="AZ2025" s="71"/>
      <c r="BA2025" s="71"/>
      <c r="BB2025" s="71"/>
      <c r="BC2025" s="71"/>
      <c r="BD2025" s="71"/>
      <c r="BE2025" s="71"/>
      <c r="BF2025" s="71"/>
      <c r="BG2025" s="71"/>
      <c r="BH2025" s="71"/>
      <c r="BI2025" s="71"/>
      <c r="BJ2025" s="71"/>
      <c r="BK2025" s="71"/>
      <c r="BL2025" s="71"/>
      <c r="BM2025" s="71"/>
      <c r="BN2025" s="71"/>
      <c r="BO2025" s="71"/>
      <c r="BP2025" s="71"/>
      <c r="BQ2025" s="71"/>
      <c r="BR2025" s="71"/>
      <c r="BS2025" s="71"/>
      <c r="BT2025" s="71"/>
      <c r="BU2025" s="71"/>
      <c r="BV2025" s="71"/>
    </row>
    <row r="2026">
      <c r="A2026" s="53">
        <v>1.0</v>
      </c>
      <c r="B2026" s="53"/>
      <c r="C2026" s="73" t="s">
        <v>12</v>
      </c>
      <c r="D2026" s="74" t="s">
        <v>4940</v>
      </c>
      <c r="E2026" s="54" t="s">
        <v>38</v>
      </c>
      <c r="F2026" s="54" t="s">
        <v>42</v>
      </c>
      <c r="G2026" s="88" t="s">
        <v>4941</v>
      </c>
      <c r="H2026" s="54" t="s">
        <v>4942</v>
      </c>
      <c r="I2026" s="54">
        <f t="shared" si="24"/>
        <v>21</v>
      </c>
      <c r="J2026" s="56"/>
      <c r="K2026" s="57"/>
      <c r="L2026" s="87"/>
      <c r="M2026" s="59"/>
      <c r="N2026" s="60">
        <v>161.0</v>
      </c>
      <c r="O2026" s="61">
        <v>192.0</v>
      </c>
      <c r="P2026" s="62">
        <v>221.04</v>
      </c>
      <c r="Q2026" s="63">
        <v>221.04</v>
      </c>
      <c r="R2026" s="64">
        <v>234.0</v>
      </c>
      <c r="S2026" s="111">
        <v>246.0</v>
      </c>
      <c r="T2026" s="65">
        <f t="shared" si="80"/>
        <v>39.36</v>
      </c>
      <c r="U2026" s="65">
        <f t="shared" si="81"/>
        <v>285.36</v>
      </c>
      <c r="V2026" s="66">
        <f t="shared" si="82"/>
        <v>0.05128205128</v>
      </c>
      <c r="W2026" s="67">
        <f t="shared" si="5"/>
        <v>233.7</v>
      </c>
      <c r="X2026" s="67">
        <f t="shared" si="70"/>
        <v>37.392</v>
      </c>
      <c r="Y2026" s="67">
        <f t="shared" si="71"/>
        <v>271.092</v>
      </c>
      <c r="Z2026" s="67">
        <f t="shared" si="8"/>
        <v>221.4</v>
      </c>
      <c r="AA2026" s="67">
        <f t="shared" si="72"/>
        <v>35.424</v>
      </c>
      <c r="AB2026" s="67">
        <f t="shared" si="73"/>
        <v>256.824</v>
      </c>
      <c r="AC2026" s="67">
        <f t="shared" si="11"/>
        <v>209.1</v>
      </c>
      <c r="AD2026" s="67">
        <f t="shared" si="74"/>
        <v>33.456</v>
      </c>
      <c r="AE2026" s="67">
        <f t="shared" si="75"/>
        <v>242.556</v>
      </c>
      <c r="AF2026" s="67">
        <f t="shared" si="33"/>
        <v>204.18</v>
      </c>
      <c r="AG2026" s="67">
        <f t="shared" si="76"/>
        <v>32.6688</v>
      </c>
      <c r="AH2026" s="67">
        <f t="shared" si="77"/>
        <v>236.8488</v>
      </c>
      <c r="AI2026" s="67">
        <f t="shared" si="17"/>
        <v>196.8</v>
      </c>
      <c r="AJ2026" s="68">
        <f t="shared" si="78"/>
        <v>31.488</v>
      </c>
      <c r="AK2026" s="68">
        <f t="shared" si="79"/>
        <v>228.288</v>
      </c>
      <c r="AL2026" s="70"/>
      <c r="AM2026" s="70"/>
      <c r="AN2026" s="71"/>
      <c r="AO2026" s="71"/>
      <c r="AP2026" s="71"/>
      <c r="AQ2026" s="71"/>
      <c r="AR2026" s="71"/>
      <c r="AS2026" s="71"/>
      <c r="AT2026" s="71"/>
      <c r="AU2026" s="71"/>
      <c r="AV2026" s="71"/>
      <c r="AW2026" s="71"/>
      <c r="AX2026" s="71"/>
      <c r="AY2026" s="71"/>
      <c r="AZ2026" s="71"/>
      <c r="BA2026" s="71"/>
      <c r="BB2026" s="71"/>
      <c r="BC2026" s="71"/>
      <c r="BD2026" s="71"/>
      <c r="BE2026" s="71"/>
      <c r="BF2026" s="71"/>
      <c r="BG2026" s="71"/>
      <c r="BH2026" s="71"/>
      <c r="BI2026" s="71"/>
      <c r="BJ2026" s="71"/>
      <c r="BK2026" s="71"/>
      <c r="BL2026" s="71"/>
      <c r="BM2026" s="71"/>
      <c r="BN2026" s="71"/>
      <c r="BO2026" s="71"/>
      <c r="BP2026" s="71"/>
      <c r="BQ2026" s="71"/>
      <c r="BR2026" s="71"/>
      <c r="BS2026" s="71"/>
      <c r="BT2026" s="71"/>
      <c r="BU2026" s="71"/>
      <c r="BV2026" s="71"/>
    </row>
    <row r="2027">
      <c r="A2027" s="53">
        <v>1.0</v>
      </c>
      <c r="B2027" s="53"/>
      <c r="C2027" s="73" t="s">
        <v>12</v>
      </c>
      <c r="D2027" s="74" t="s">
        <v>4943</v>
      </c>
      <c r="E2027" s="54" t="s">
        <v>38</v>
      </c>
      <c r="F2027" s="54" t="s">
        <v>42</v>
      </c>
      <c r="G2027" s="88" t="s">
        <v>4944</v>
      </c>
      <c r="H2027" s="54" t="s">
        <v>4945</v>
      </c>
      <c r="I2027" s="54">
        <f t="shared" si="24"/>
        <v>22</v>
      </c>
      <c r="J2027" s="56"/>
      <c r="K2027" s="57"/>
      <c r="L2027" s="87"/>
      <c r="M2027" s="59"/>
      <c r="N2027" s="60">
        <v>195.0</v>
      </c>
      <c r="O2027" s="61">
        <v>238.0</v>
      </c>
      <c r="P2027" s="62">
        <v>258.46</v>
      </c>
      <c r="Q2027" s="63">
        <v>258.46</v>
      </c>
      <c r="R2027" s="64">
        <v>272.0</v>
      </c>
      <c r="S2027" s="111">
        <v>286.0</v>
      </c>
      <c r="T2027" s="65">
        <f t="shared" si="80"/>
        <v>45.76</v>
      </c>
      <c r="U2027" s="65">
        <f t="shared" si="81"/>
        <v>331.76</v>
      </c>
      <c r="V2027" s="66">
        <f t="shared" si="82"/>
        <v>0.05147058824</v>
      </c>
      <c r="W2027" s="67">
        <f t="shared" si="5"/>
        <v>271.7</v>
      </c>
      <c r="X2027" s="67">
        <f t="shared" si="70"/>
        <v>43.472</v>
      </c>
      <c r="Y2027" s="67">
        <f t="shared" si="71"/>
        <v>315.172</v>
      </c>
      <c r="Z2027" s="67">
        <f t="shared" si="8"/>
        <v>257.4</v>
      </c>
      <c r="AA2027" s="67">
        <f t="shared" si="72"/>
        <v>41.184</v>
      </c>
      <c r="AB2027" s="67">
        <f t="shared" si="73"/>
        <v>298.584</v>
      </c>
      <c r="AC2027" s="67">
        <f t="shared" si="11"/>
        <v>243.1</v>
      </c>
      <c r="AD2027" s="67">
        <f t="shared" si="74"/>
        <v>38.896</v>
      </c>
      <c r="AE2027" s="67">
        <f t="shared" si="75"/>
        <v>281.996</v>
      </c>
      <c r="AF2027" s="67">
        <f t="shared" si="33"/>
        <v>237.38</v>
      </c>
      <c r="AG2027" s="67">
        <f t="shared" si="76"/>
        <v>37.9808</v>
      </c>
      <c r="AH2027" s="67">
        <f t="shared" si="77"/>
        <v>275.3608</v>
      </c>
      <c r="AI2027" s="67">
        <f t="shared" si="17"/>
        <v>228.8</v>
      </c>
      <c r="AJ2027" s="68">
        <f t="shared" si="78"/>
        <v>36.608</v>
      </c>
      <c r="AK2027" s="68">
        <f t="shared" si="79"/>
        <v>265.408</v>
      </c>
      <c r="AL2027" s="70"/>
      <c r="AM2027" s="70"/>
      <c r="AN2027" s="71"/>
      <c r="AO2027" s="71"/>
      <c r="AP2027" s="71"/>
      <c r="AQ2027" s="71"/>
      <c r="AR2027" s="71"/>
      <c r="AS2027" s="71"/>
      <c r="AT2027" s="71"/>
      <c r="AU2027" s="71"/>
      <c r="AV2027" s="71"/>
      <c r="AW2027" s="71"/>
      <c r="AX2027" s="71"/>
      <c r="AY2027" s="71"/>
      <c r="AZ2027" s="71"/>
      <c r="BA2027" s="71"/>
      <c r="BB2027" s="71"/>
      <c r="BC2027" s="71"/>
      <c r="BD2027" s="71"/>
      <c r="BE2027" s="71"/>
      <c r="BF2027" s="71"/>
      <c r="BG2027" s="71"/>
      <c r="BH2027" s="71"/>
      <c r="BI2027" s="71"/>
      <c r="BJ2027" s="71"/>
      <c r="BK2027" s="71"/>
      <c r="BL2027" s="71"/>
      <c r="BM2027" s="71"/>
      <c r="BN2027" s="71"/>
      <c r="BO2027" s="71"/>
      <c r="BP2027" s="71"/>
      <c r="BQ2027" s="71"/>
      <c r="BR2027" s="71"/>
      <c r="BS2027" s="71"/>
      <c r="BT2027" s="71"/>
      <c r="BU2027" s="71"/>
      <c r="BV2027" s="71"/>
    </row>
    <row r="2028">
      <c r="A2028" s="53">
        <v>1.0</v>
      </c>
      <c r="B2028" s="53"/>
      <c r="C2028" s="73" t="s">
        <v>53</v>
      </c>
      <c r="D2028" s="74" t="s">
        <v>4946</v>
      </c>
      <c r="E2028" s="54" t="s">
        <v>38</v>
      </c>
      <c r="F2028" s="54" t="s">
        <v>42</v>
      </c>
      <c r="G2028" s="54" t="s">
        <v>4947</v>
      </c>
      <c r="H2028" s="54" t="s">
        <v>4948</v>
      </c>
      <c r="I2028" s="54">
        <f t="shared" si="24"/>
        <v>39</v>
      </c>
      <c r="J2028" s="56"/>
      <c r="K2028" s="57"/>
      <c r="L2028" s="76"/>
      <c r="M2028" s="59"/>
      <c r="N2028" s="60">
        <v>278.0</v>
      </c>
      <c r="O2028" s="61">
        <v>300.0</v>
      </c>
      <c r="P2028" s="62">
        <v>324.0</v>
      </c>
      <c r="Q2028" s="63">
        <v>324.0</v>
      </c>
      <c r="R2028" s="64">
        <v>362.0</v>
      </c>
      <c r="S2028" s="65">
        <v>304.0</v>
      </c>
      <c r="T2028" s="65">
        <f t="shared" si="80"/>
        <v>48.64</v>
      </c>
      <c r="U2028" s="65">
        <f t="shared" si="81"/>
        <v>352.64</v>
      </c>
      <c r="V2028" s="66">
        <f t="shared" si="82"/>
        <v>-0.1602209945</v>
      </c>
      <c r="W2028" s="67">
        <f t="shared" si="5"/>
        <v>288.8</v>
      </c>
      <c r="X2028" s="67">
        <f t="shared" si="70"/>
        <v>46.208</v>
      </c>
      <c r="Y2028" s="67">
        <f t="shared" si="71"/>
        <v>335.008</v>
      </c>
      <c r="Z2028" s="67">
        <f t="shared" si="8"/>
        <v>273.6</v>
      </c>
      <c r="AA2028" s="67">
        <f t="shared" si="72"/>
        <v>43.776</v>
      </c>
      <c r="AB2028" s="67">
        <f t="shared" si="73"/>
        <v>317.376</v>
      </c>
      <c r="AC2028" s="67">
        <f t="shared" si="11"/>
        <v>258.4</v>
      </c>
      <c r="AD2028" s="67">
        <f t="shared" si="74"/>
        <v>41.344</v>
      </c>
      <c r="AE2028" s="67">
        <f t="shared" si="75"/>
        <v>299.744</v>
      </c>
      <c r="AF2028" s="67">
        <f t="shared" si="33"/>
        <v>252.32</v>
      </c>
      <c r="AG2028" s="67">
        <f t="shared" si="76"/>
        <v>40.3712</v>
      </c>
      <c r="AH2028" s="67">
        <f t="shared" si="77"/>
        <v>292.6912</v>
      </c>
      <c r="AI2028" s="67">
        <f t="shared" si="17"/>
        <v>243.2</v>
      </c>
      <c r="AJ2028" s="68">
        <f t="shared" si="78"/>
        <v>38.912</v>
      </c>
      <c r="AK2028" s="68">
        <f t="shared" si="79"/>
        <v>282.112</v>
      </c>
      <c r="AL2028" s="70"/>
      <c r="AM2028" s="70"/>
      <c r="AN2028" s="71"/>
      <c r="AO2028" s="71"/>
      <c r="AP2028" s="71"/>
      <c r="AQ2028" s="71"/>
      <c r="AR2028" s="71"/>
      <c r="AS2028" s="71"/>
      <c r="AT2028" s="71"/>
      <c r="AU2028" s="71"/>
      <c r="AV2028" s="71"/>
      <c r="AW2028" s="71"/>
      <c r="AX2028" s="71"/>
      <c r="AY2028" s="71"/>
      <c r="AZ2028" s="71"/>
      <c r="BA2028" s="71"/>
      <c r="BB2028" s="71"/>
      <c r="BC2028" s="71"/>
      <c r="BD2028" s="71"/>
      <c r="BE2028" s="71"/>
      <c r="BF2028" s="71"/>
      <c r="BG2028" s="71"/>
      <c r="BH2028" s="71"/>
      <c r="BI2028" s="71"/>
      <c r="BJ2028" s="71"/>
      <c r="BK2028" s="71"/>
      <c r="BL2028" s="71"/>
      <c r="BM2028" s="71"/>
      <c r="BN2028" s="71"/>
      <c r="BO2028" s="71"/>
      <c r="BP2028" s="71"/>
      <c r="BQ2028" s="71"/>
      <c r="BR2028" s="71"/>
      <c r="BS2028" s="71"/>
      <c r="BT2028" s="71"/>
      <c r="BU2028" s="71"/>
      <c r="BV2028" s="71"/>
    </row>
    <row r="2029">
      <c r="A2029" s="53">
        <v>1.0</v>
      </c>
      <c r="B2029" s="53"/>
      <c r="C2029" s="73" t="s">
        <v>53</v>
      </c>
      <c r="D2029" s="74" t="s">
        <v>4949</v>
      </c>
      <c r="E2029" s="54" t="s">
        <v>38</v>
      </c>
      <c r="F2029" s="54" t="s">
        <v>42</v>
      </c>
      <c r="G2029" s="54" t="s">
        <v>4950</v>
      </c>
      <c r="H2029" s="54" t="s">
        <v>4951</v>
      </c>
      <c r="I2029" s="54">
        <f t="shared" si="24"/>
        <v>39</v>
      </c>
      <c r="J2029" s="56"/>
      <c r="K2029" s="57"/>
      <c r="L2029" s="76"/>
      <c r="M2029" s="59"/>
      <c r="N2029" s="60">
        <v>278.0</v>
      </c>
      <c r="O2029" s="61">
        <v>300.0</v>
      </c>
      <c r="P2029" s="62">
        <v>324.0</v>
      </c>
      <c r="Q2029" s="63">
        <v>324.0</v>
      </c>
      <c r="R2029" s="64">
        <v>362.0</v>
      </c>
      <c r="S2029" s="65">
        <v>304.0</v>
      </c>
      <c r="T2029" s="65">
        <f t="shared" si="80"/>
        <v>48.64</v>
      </c>
      <c r="U2029" s="65">
        <f t="shared" si="81"/>
        <v>352.64</v>
      </c>
      <c r="V2029" s="66">
        <f t="shared" si="82"/>
        <v>-0.1602209945</v>
      </c>
      <c r="W2029" s="67">
        <f t="shared" si="5"/>
        <v>288.8</v>
      </c>
      <c r="X2029" s="67">
        <f t="shared" si="70"/>
        <v>46.208</v>
      </c>
      <c r="Y2029" s="67">
        <f t="shared" si="71"/>
        <v>335.008</v>
      </c>
      <c r="Z2029" s="67">
        <f t="shared" si="8"/>
        <v>273.6</v>
      </c>
      <c r="AA2029" s="67">
        <f t="shared" si="72"/>
        <v>43.776</v>
      </c>
      <c r="AB2029" s="67">
        <f t="shared" si="73"/>
        <v>317.376</v>
      </c>
      <c r="AC2029" s="67">
        <f t="shared" si="11"/>
        <v>258.4</v>
      </c>
      <c r="AD2029" s="67">
        <f t="shared" si="74"/>
        <v>41.344</v>
      </c>
      <c r="AE2029" s="67">
        <f t="shared" si="75"/>
        <v>299.744</v>
      </c>
      <c r="AF2029" s="67">
        <f t="shared" si="33"/>
        <v>252.32</v>
      </c>
      <c r="AG2029" s="67">
        <f t="shared" si="76"/>
        <v>40.3712</v>
      </c>
      <c r="AH2029" s="67">
        <f t="shared" si="77"/>
        <v>292.6912</v>
      </c>
      <c r="AI2029" s="67">
        <f t="shared" si="17"/>
        <v>243.2</v>
      </c>
      <c r="AJ2029" s="68">
        <f t="shared" si="78"/>
        <v>38.912</v>
      </c>
      <c r="AK2029" s="68">
        <f t="shared" si="79"/>
        <v>282.112</v>
      </c>
      <c r="AL2029" s="70"/>
      <c r="AM2029" s="70"/>
      <c r="AN2029" s="71"/>
      <c r="AO2029" s="71"/>
      <c r="AP2029" s="71"/>
      <c r="AQ2029" s="71"/>
      <c r="AR2029" s="71"/>
      <c r="AS2029" s="71"/>
      <c r="AT2029" s="71"/>
      <c r="AU2029" s="71"/>
      <c r="AV2029" s="71"/>
      <c r="AW2029" s="71"/>
      <c r="AX2029" s="71"/>
      <c r="AY2029" s="71"/>
      <c r="AZ2029" s="71"/>
      <c r="BA2029" s="71"/>
      <c r="BB2029" s="71"/>
      <c r="BC2029" s="71"/>
      <c r="BD2029" s="71"/>
      <c r="BE2029" s="71"/>
      <c r="BF2029" s="71"/>
      <c r="BG2029" s="71"/>
      <c r="BH2029" s="71"/>
      <c r="BI2029" s="71"/>
      <c r="BJ2029" s="71"/>
      <c r="BK2029" s="71"/>
      <c r="BL2029" s="71"/>
      <c r="BM2029" s="71"/>
      <c r="BN2029" s="71"/>
      <c r="BO2029" s="71"/>
      <c r="BP2029" s="71"/>
      <c r="BQ2029" s="71"/>
      <c r="BR2029" s="71"/>
      <c r="BS2029" s="71"/>
      <c r="BT2029" s="71"/>
      <c r="BU2029" s="71"/>
      <c r="BV2029" s="71"/>
    </row>
    <row r="2030">
      <c r="A2030" s="53"/>
      <c r="B2030" s="53"/>
      <c r="C2030" s="73" t="s">
        <v>53</v>
      </c>
      <c r="D2030" s="128" t="s">
        <v>4952</v>
      </c>
      <c r="E2030" s="54" t="s">
        <v>38</v>
      </c>
      <c r="F2030" s="54" t="s">
        <v>42</v>
      </c>
      <c r="G2030" s="130" t="s">
        <v>4953</v>
      </c>
      <c r="H2030" s="54" t="s">
        <v>4954</v>
      </c>
      <c r="I2030" s="54">
        <f t="shared" si="24"/>
        <v>23</v>
      </c>
      <c r="J2030" s="56"/>
      <c r="K2030" s="57"/>
      <c r="L2030" s="76"/>
      <c r="M2030" s="59"/>
      <c r="N2030" s="79">
        <v>107.0</v>
      </c>
      <c r="O2030" s="129">
        <v>115.0</v>
      </c>
      <c r="P2030" s="62">
        <v>136.62</v>
      </c>
      <c r="Q2030" s="63">
        <v>136.62</v>
      </c>
      <c r="R2030" s="64">
        <v>153.0</v>
      </c>
      <c r="S2030" s="111">
        <v>161.0</v>
      </c>
      <c r="T2030" s="65">
        <f t="shared" si="80"/>
        <v>25.76</v>
      </c>
      <c r="U2030" s="65">
        <f t="shared" si="81"/>
        <v>186.76</v>
      </c>
      <c r="V2030" s="66">
        <f t="shared" si="82"/>
        <v>0.0522875817</v>
      </c>
      <c r="W2030" s="67">
        <f t="shared" si="5"/>
        <v>152.95</v>
      </c>
      <c r="X2030" s="67">
        <f t="shared" si="70"/>
        <v>24.472</v>
      </c>
      <c r="Y2030" s="67">
        <f t="shared" si="71"/>
        <v>177.422</v>
      </c>
      <c r="Z2030" s="67">
        <f t="shared" si="8"/>
        <v>144.9</v>
      </c>
      <c r="AA2030" s="67">
        <f t="shared" si="72"/>
        <v>23.184</v>
      </c>
      <c r="AB2030" s="67">
        <f t="shared" si="73"/>
        <v>168.084</v>
      </c>
      <c r="AC2030" s="67">
        <f t="shared" si="11"/>
        <v>136.85</v>
      </c>
      <c r="AD2030" s="67">
        <f t="shared" si="74"/>
        <v>21.896</v>
      </c>
      <c r="AE2030" s="67">
        <f t="shared" si="75"/>
        <v>158.746</v>
      </c>
      <c r="AF2030" s="67">
        <f t="shared" si="33"/>
        <v>133.63</v>
      </c>
      <c r="AG2030" s="67">
        <f t="shared" si="76"/>
        <v>21.3808</v>
      </c>
      <c r="AH2030" s="67">
        <f t="shared" si="77"/>
        <v>155.0108</v>
      </c>
      <c r="AI2030" s="67">
        <f t="shared" si="17"/>
        <v>128.8</v>
      </c>
      <c r="AJ2030" s="68">
        <f t="shared" si="78"/>
        <v>20.608</v>
      </c>
      <c r="AK2030" s="68">
        <f t="shared" si="79"/>
        <v>149.408</v>
      </c>
      <c r="AL2030" s="70"/>
      <c r="AM2030" s="70"/>
      <c r="AN2030" s="71"/>
      <c r="AO2030" s="71"/>
      <c r="AP2030" s="71"/>
      <c r="AQ2030" s="71"/>
      <c r="AR2030" s="71"/>
      <c r="AS2030" s="71"/>
      <c r="AT2030" s="71"/>
      <c r="AU2030" s="71"/>
      <c r="AV2030" s="71"/>
      <c r="AW2030" s="71"/>
      <c r="AX2030" s="71"/>
      <c r="AY2030" s="71"/>
      <c r="AZ2030" s="71"/>
      <c r="BA2030" s="71"/>
      <c r="BB2030" s="71"/>
      <c r="BC2030" s="71"/>
      <c r="BD2030" s="71"/>
      <c r="BE2030" s="71"/>
      <c r="BF2030" s="71"/>
      <c r="BG2030" s="71"/>
      <c r="BH2030" s="71"/>
      <c r="BI2030" s="71"/>
      <c r="BJ2030" s="71"/>
      <c r="BK2030" s="71"/>
      <c r="BL2030" s="71"/>
      <c r="BM2030" s="71"/>
      <c r="BN2030" s="71"/>
      <c r="BO2030" s="71"/>
      <c r="BP2030" s="71"/>
      <c r="BQ2030" s="71"/>
      <c r="BR2030" s="71"/>
      <c r="BS2030" s="71"/>
      <c r="BT2030" s="71"/>
      <c r="BU2030" s="71"/>
      <c r="BV2030" s="71"/>
    </row>
    <row r="2031">
      <c r="A2031" s="53">
        <v>1.0</v>
      </c>
      <c r="B2031" s="53"/>
      <c r="C2031" s="73" t="s">
        <v>53</v>
      </c>
      <c r="D2031" s="74" t="s">
        <v>4955</v>
      </c>
      <c r="E2031" s="54" t="s">
        <v>38</v>
      </c>
      <c r="F2031" s="54" t="s">
        <v>42</v>
      </c>
      <c r="G2031" s="54" t="s">
        <v>4956</v>
      </c>
      <c r="H2031" s="54" t="s">
        <v>4957</v>
      </c>
      <c r="I2031" s="54">
        <f t="shared" si="24"/>
        <v>40</v>
      </c>
      <c r="J2031" s="56"/>
      <c r="K2031" s="57"/>
      <c r="L2031" s="76"/>
      <c r="M2031" s="59"/>
      <c r="N2031" s="60">
        <v>351.0</v>
      </c>
      <c r="O2031" s="61">
        <v>379.0</v>
      </c>
      <c r="P2031" s="62">
        <v>409.32000000000005</v>
      </c>
      <c r="Q2031" s="63">
        <v>409.32000000000005</v>
      </c>
      <c r="R2031" s="64">
        <v>456.0</v>
      </c>
      <c r="S2031" s="65">
        <v>383.2</v>
      </c>
      <c r="T2031" s="65">
        <f t="shared" si="80"/>
        <v>61.312</v>
      </c>
      <c r="U2031" s="65">
        <f t="shared" si="81"/>
        <v>444.512</v>
      </c>
      <c r="V2031" s="66">
        <f t="shared" si="82"/>
        <v>-0.1596491228</v>
      </c>
      <c r="W2031" s="67">
        <f t="shared" si="5"/>
        <v>364.04</v>
      </c>
      <c r="X2031" s="67">
        <f t="shared" si="70"/>
        <v>58.2464</v>
      </c>
      <c r="Y2031" s="67">
        <f t="shared" si="71"/>
        <v>422.2864</v>
      </c>
      <c r="Z2031" s="67">
        <f t="shared" si="8"/>
        <v>344.88</v>
      </c>
      <c r="AA2031" s="67">
        <f t="shared" si="72"/>
        <v>55.1808</v>
      </c>
      <c r="AB2031" s="67">
        <f t="shared" si="73"/>
        <v>400.0608</v>
      </c>
      <c r="AC2031" s="67">
        <f t="shared" si="11"/>
        <v>325.72</v>
      </c>
      <c r="AD2031" s="67">
        <f t="shared" si="74"/>
        <v>52.1152</v>
      </c>
      <c r="AE2031" s="67">
        <f t="shared" si="75"/>
        <v>377.8352</v>
      </c>
      <c r="AF2031" s="67">
        <f t="shared" si="33"/>
        <v>318.056</v>
      </c>
      <c r="AG2031" s="67">
        <f t="shared" si="76"/>
        <v>50.88896</v>
      </c>
      <c r="AH2031" s="67">
        <f t="shared" si="77"/>
        <v>368.94496</v>
      </c>
      <c r="AI2031" s="67">
        <f t="shared" si="17"/>
        <v>306.56</v>
      </c>
      <c r="AJ2031" s="68">
        <f t="shared" si="78"/>
        <v>49.0496</v>
      </c>
      <c r="AK2031" s="68">
        <f t="shared" si="79"/>
        <v>355.6096</v>
      </c>
      <c r="AL2031" s="70"/>
      <c r="AM2031" s="70"/>
      <c r="AN2031" s="71"/>
      <c r="AO2031" s="71"/>
      <c r="AP2031" s="71"/>
      <c r="AQ2031" s="71"/>
      <c r="AR2031" s="71"/>
      <c r="AS2031" s="71"/>
      <c r="AT2031" s="71"/>
      <c r="AU2031" s="71"/>
      <c r="AV2031" s="71"/>
      <c r="AW2031" s="71"/>
      <c r="AX2031" s="71"/>
      <c r="AY2031" s="71"/>
      <c r="AZ2031" s="71"/>
      <c r="BA2031" s="71"/>
      <c r="BB2031" s="71"/>
      <c r="BC2031" s="71"/>
      <c r="BD2031" s="71"/>
      <c r="BE2031" s="71"/>
      <c r="BF2031" s="71"/>
      <c r="BG2031" s="71"/>
      <c r="BH2031" s="71"/>
      <c r="BI2031" s="71"/>
      <c r="BJ2031" s="71"/>
      <c r="BK2031" s="71"/>
      <c r="BL2031" s="71"/>
      <c r="BM2031" s="71"/>
      <c r="BN2031" s="71"/>
      <c r="BO2031" s="71"/>
      <c r="BP2031" s="71"/>
      <c r="BQ2031" s="71"/>
      <c r="BR2031" s="71"/>
      <c r="BS2031" s="71"/>
      <c r="BT2031" s="71"/>
      <c r="BU2031" s="71"/>
      <c r="BV2031" s="71"/>
    </row>
    <row r="2032">
      <c r="A2032" s="53">
        <v>1.0</v>
      </c>
      <c r="B2032" s="53"/>
      <c r="C2032" s="73" t="s">
        <v>53</v>
      </c>
      <c r="D2032" s="74" t="s">
        <v>4958</v>
      </c>
      <c r="E2032" s="54" t="s">
        <v>38</v>
      </c>
      <c r="F2032" s="54" t="s">
        <v>42</v>
      </c>
      <c r="G2032" s="54" t="s">
        <v>4959</v>
      </c>
      <c r="H2032" s="54" t="s">
        <v>4960</v>
      </c>
      <c r="I2032" s="54">
        <f t="shared" si="24"/>
        <v>37</v>
      </c>
      <c r="J2032" s="56"/>
      <c r="K2032" s="57"/>
      <c r="L2032" s="76"/>
      <c r="M2032" s="59"/>
      <c r="N2032" s="60">
        <v>271.0</v>
      </c>
      <c r="O2032" s="61">
        <v>271.0</v>
      </c>
      <c r="P2032" s="62">
        <v>292.68</v>
      </c>
      <c r="Q2032" s="63">
        <v>292.68</v>
      </c>
      <c r="R2032" s="64">
        <v>327.0</v>
      </c>
      <c r="S2032" s="65">
        <v>274.4</v>
      </c>
      <c r="T2032" s="65">
        <f t="shared" si="80"/>
        <v>43.904</v>
      </c>
      <c r="U2032" s="65">
        <f t="shared" si="81"/>
        <v>318.304</v>
      </c>
      <c r="V2032" s="66">
        <f t="shared" si="82"/>
        <v>-0.1608562691</v>
      </c>
      <c r="W2032" s="67">
        <f t="shared" si="5"/>
        <v>260.68</v>
      </c>
      <c r="X2032" s="67">
        <f t="shared" si="70"/>
        <v>41.7088</v>
      </c>
      <c r="Y2032" s="67">
        <f t="shared" si="71"/>
        <v>302.3888</v>
      </c>
      <c r="Z2032" s="67">
        <f t="shared" si="8"/>
        <v>246.96</v>
      </c>
      <c r="AA2032" s="67">
        <f t="shared" si="72"/>
        <v>39.5136</v>
      </c>
      <c r="AB2032" s="67">
        <f t="shared" si="73"/>
        <v>286.4736</v>
      </c>
      <c r="AC2032" s="67">
        <f t="shared" si="11"/>
        <v>233.24</v>
      </c>
      <c r="AD2032" s="67">
        <f t="shared" si="74"/>
        <v>37.3184</v>
      </c>
      <c r="AE2032" s="67">
        <f t="shared" si="75"/>
        <v>270.5584</v>
      </c>
      <c r="AF2032" s="67">
        <f t="shared" si="33"/>
        <v>227.752</v>
      </c>
      <c r="AG2032" s="67">
        <f t="shared" si="76"/>
        <v>36.44032</v>
      </c>
      <c r="AH2032" s="67">
        <f t="shared" si="77"/>
        <v>264.19232</v>
      </c>
      <c r="AI2032" s="67">
        <f t="shared" si="17"/>
        <v>219.52</v>
      </c>
      <c r="AJ2032" s="68">
        <f t="shared" si="78"/>
        <v>35.1232</v>
      </c>
      <c r="AK2032" s="68">
        <f t="shared" si="79"/>
        <v>254.6432</v>
      </c>
      <c r="AL2032" s="70"/>
      <c r="AM2032" s="70"/>
      <c r="AN2032" s="71"/>
      <c r="AO2032" s="71"/>
      <c r="AP2032" s="71"/>
      <c r="AQ2032" s="71"/>
      <c r="AR2032" s="71"/>
      <c r="AS2032" s="71"/>
      <c r="AT2032" s="71"/>
      <c r="AU2032" s="71"/>
      <c r="AV2032" s="71"/>
      <c r="AW2032" s="71"/>
      <c r="AX2032" s="71"/>
      <c r="AY2032" s="71"/>
      <c r="AZ2032" s="71"/>
      <c r="BA2032" s="71"/>
      <c r="BB2032" s="71"/>
      <c r="BC2032" s="71"/>
      <c r="BD2032" s="71"/>
      <c r="BE2032" s="71"/>
      <c r="BF2032" s="71"/>
      <c r="BG2032" s="71"/>
      <c r="BH2032" s="71"/>
      <c r="BI2032" s="71"/>
      <c r="BJ2032" s="71"/>
      <c r="BK2032" s="71"/>
      <c r="BL2032" s="71"/>
      <c r="BM2032" s="71"/>
      <c r="BN2032" s="71"/>
      <c r="BO2032" s="71"/>
      <c r="BP2032" s="71"/>
      <c r="BQ2032" s="71"/>
      <c r="BR2032" s="71"/>
      <c r="BS2032" s="71"/>
      <c r="BT2032" s="71"/>
      <c r="BU2032" s="71"/>
      <c r="BV2032" s="71"/>
    </row>
    <row r="2033">
      <c r="A2033" s="53"/>
      <c r="B2033" s="53"/>
      <c r="C2033" s="73" t="s">
        <v>53</v>
      </c>
      <c r="D2033" s="53" t="s">
        <v>4961</v>
      </c>
      <c r="E2033" s="54" t="s">
        <v>38</v>
      </c>
      <c r="F2033" s="55" t="s">
        <v>309</v>
      </c>
      <c r="G2033" s="54" t="s">
        <v>4959</v>
      </c>
      <c r="H2033" s="55"/>
      <c r="I2033" s="54">
        <f t="shared" si="24"/>
        <v>0</v>
      </c>
      <c r="J2033" s="56"/>
      <c r="K2033" s="57"/>
      <c r="L2033" s="76"/>
      <c r="M2033" s="59"/>
      <c r="N2033" s="60"/>
      <c r="O2033" s="90">
        <v>292.0</v>
      </c>
      <c r="P2033" s="62">
        <v>315.36</v>
      </c>
      <c r="Q2033" s="63">
        <v>315.36</v>
      </c>
      <c r="R2033" s="64">
        <v>327.0</v>
      </c>
      <c r="S2033" s="111">
        <v>343.0</v>
      </c>
      <c r="T2033" s="65">
        <f t="shared" si="80"/>
        <v>54.88</v>
      </c>
      <c r="U2033" s="65">
        <f t="shared" si="81"/>
        <v>397.88</v>
      </c>
      <c r="V2033" s="66">
        <f t="shared" si="82"/>
        <v>0.04892966361</v>
      </c>
      <c r="W2033" s="67">
        <f t="shared" si="5"/>
        <v>325.85</v>
      </c>
      <c r="X2033" s="67">
        <f t="shared" si="70"/>
        <v>52.136</v>
      </c>
      <c r="Y2033" s="67">
        <f t="shared" si="71"/>
        <v>377.986</v>
      </c>
      <c r="Z2033" s="67">
        <f t="shared" si="8"/>
        <v>308.7</v>
      </c>
      <c r="AA2033" s="67">
        <f t="shared" si="72"/>
        <v>49.392</v>
      </c>
      <c r="AB2033" s="67">
        <f t="shared" si="73"/>
        <v>358.092</v>
      </c>
      <c r="AC2033" s="67">
        <f t="shared" si="11"/>
        <v>291.55</v>
      </c>
      <c r="AD2033" s="67">
        <f t="shared" si="74"/>
        <v>46.648</v>
      </c>
      <c r="AE2033" s="67">
        <f t="shared" si="75"/>
        <v>338.198</v>
      </c>
      <c r="AF2033" s="67">
        <f t="shared" si="33"/>
        <v>284.69</v>
      </c>
      <c r="AG2033" s="67">
        <f t="shared" si="76"/>
        <v>45.5504</v>
      </c>
      <c r="AH2033" s="67">
        <f t="shared" si="77"/>
        <v>330.2404</v>
      </c>
      <c r="AI2033" s="67">
        <f t="shared" si="17"/>
        <v>274.4</v>
      </c>
      <c r="AJ2033" s="68">
        <f t="shared" si="78"/>
        <v>43.904</v>
      </c>
      <c r="AK2033" s="68">
        <f t="shared" si="79"/>
        <v>318.304</v>
      </c>
      <c r="AL2033" s="70"/>
      <c r="AM2033" s="70"/>
      <c r="AN2033" s="71"/>
      <c r="AO2033" s="71"/>
      <c r="AP2033" s="71"/>
      <c r="AQ2033" s="71"/>
      <c r="AR2033" s="71"/>
      <c r="AS2033" s="71"/>
      <c r="AT2033" s="71"/>
      <c r="AU2033" s="71"/>
      <c r="AV2033" s="71"/>
      <c r="AW2033" s="71"/>
      <c r="AX2033" s="71"/>
      <c r="AY2033" s="71"/>
      <c r="AZ2033" s="71"/>
      <c r="BA2033" s="71"/>
      <c r="BB2033" s="71"/>
      <c r="BC2033" s="71"/>
      <c r="BD2033" s="71"/>
      <c r="BE2033" s="71"/>
      <c r="BF2033" s="71"/>
      <c r="BG2033" s="71"/>
      <c r="BH2033" s="71"/>
      <c r="BI2033" s="71"/>
      <c r="BJ2033" s="71"/>
      <c r="BK2033" s="71"/>
      <c r="BL2033" s="71"/>
      <c r="BM2033" s="71"/>
      <c r="BN2033" s="71"/>
      <c r="BO2033" s="71"/>
      <c r="BP2033" s="71"/>
      <c r="BQ2033" s="71"/>
      <c r="BR2033" s="71"/>
      <c r="BS2033" s="71"/>
      <c r="BT2033" s="71"/>
      <c r="BU2033" s="71"/>
      <c r="BV2033" s="71"/>
    </row>
    <row r="2034">
      <c r="A2034" s="53">
        <v>1.0</v>
      </c>
      <c r="B2034" s="53"/>
      <c r="C2034" s="73" t="s">
        <v>53</v>
      </c>
      <c r="D2034" s="74" t="s">
        <v>4962</v>
      </c>
      <c r="E2034" s="54" t="s">
        <v>38</v>
      </c>
      <c r="F2034" s="54" t="s">
        <v>42</v>
      </c>
      <c r="G2034" s="88" t="s">
        <v>4963</v>
      </c>
      <c r="H2034" s="54" t="s">
        <v>4964</v>
      </c>
      <c r="I2034" s="54">
        <f t="shared" si="24"/>
        <v>40</v>
      </c>
      <c r="J2034" s="56"/>
      <c r="K2034" s="57"/>
      <c r="L2034" s="76"/>
      <c r="M2034" s="59"/>
      <c r="N2034" s="60">
        <v>388.0</v>
      </c>
      <c r="O2034" s="61">
        <v>419.0</v>
      </c>
      <c r="P2034" s="62">
        <v>452.52000000000004</v>
      </c>
      <c r="Q2034" s="63">
        <v>452.52000000000004</v>
      </c>
      <c r="R2034" s="64">
        <v>504.0</v>
      </c>
      <c r="S2034" s="65">
        <v>423.2</v>
      </c>
      <c r="T2034" s="65">
        <f t="shared" si="80"/>
        <v>67.712</v>
      </c>
      <c r="U2034" s="65">
        <f t="shared" si="81"/>
        <v>490.912</v>
      </c>
      <c r="V2034" s="66">
        <f t="shared" si="82"/>
        <v>-0.1603174603</v>
      </c>
      <c r="W2034" s="67">
        <f t="shared" si="5"/>
        <v>402.04</v>
      </c>
      <c r="X2034" s="67">
        <f t="shared" si="70"/>
        <v>64.3264</v>
      </c>
      <c r="Y2034" s="67">
        <f t="shared" si="71"/>
        <v>466.3664</v>
      </c>
      <c r="Z2034" s="67">
        <f t="shared" si="8"/>
        <v>380.88</v>
      </c>
      <c r="AA2034" s="67">
        <f t="shared" si="72"/>
        <v>60.9408</v>
      </c>
      <c r="AB2034" s="67">
        <f t="shared" si="73"/>
        <v>441.8208</v>
      </c>
      <c r="AC2034" s="67">
        <f t="shared" si="11"/>
        <v>359.72</v>
      </c>
      <c r="AD2034" s="67">
        <f t="shared" si="74"/>
        <v>57.5552</v>
      </c>
      <c r="AE2034" s="67">
        <f t="shared" si="75"/>
        <v>417.2752</v>
      </c>
      <c r="AF2034" s="67">
        <f t="shared" si="33"/>
        <v>351.256</v>
      </c>
      <c r="AG2034" s="67">
        <f t="shared" si="76"/>
        <v>56.20096</v>
      </c>
      <c r="AH2034" s="67">
        <f t="shared" si="77"/>
        <v>407.45696</v>
      </c>
      <c r="AI2034" s="67">
        <f t="shared" si="17"/>
        <v>338.56</v>
      </c>
      <c r="AJ2034" s="68">
        <f t="shared" si="78"/>
        <v>54.1696</v>
      </c>
      <c r="AK2034" s="68">
        <f t="shared" si="79"/>
        <v>392.7296</v>
      </c>
      <c r="AL2034" s="70"/>
      <c r="AM2034" s="70"/>
      <c r="AN2034" s="71"/>
      <c r="AO2034" s="71"/>
      <c r="AP2034" s="71"/>
      <c r="AQ2034" s="71"/>
      <c r="AR2034" s="71"/>
      <c r="AS2034" s="71"/>
      <c r="AT2034" s="71"/>
      <c r="AU2034" s="71"/>
      <c r="AV2034" s="71"/>
      <c r="AW2034" s="71"/>
      <c r="AX2034" s="71"/>
      <c r="AY2034" s="71"/>
      <c r="AZ2034" s="71"/>
      <c r="BA2034" s="71"/>
      <c r="BB2034" s="71"/>
      <c r="BC2034" s="71"/>
      <c r="BD2034" s="71"/>
      <c r="BE2034" s="71"/>
      <c r="BF2034" s="71"/>
      <c r="BG2034" s="71"/>
      <c r="BH2034" s="71"/>
      <c r="BI2034" s="71"/>
      <c r="BJ2034" s="71"/>
      <c r="BK2034" s="71"/>
      <c r="BL2034" s="71"/>
      <c r="BM2034" s="71"/>
      <c r="BN2034" s="71"/>
      <c r="BO2034" s="71"/>
      <c r="BP2034" s="71"/>
      <c r="BQ2034" s="71"/>
      <c r="BR2034" s="71"/>
      <c r="BS2034" s="71"/>
      <c r="BT2034" s="71"/>
      <c r="BU2034" s="71"/>
      <c r="BV2034" s="71"/>
    </row>
    <row r="2035">
      <c r="A2035" s="53">
        <v>1.0</v>
      </c>
      <c r="B2035" s="53"/>
      <c r="C2035" s="73" t="s">
        <v>53</v>
      </c>
      <c r="D2035" s="74" t="s">
        <v>4965</v>
      </c>
      <c r="E2035" s="54" t="s">
        <v>38</v>
      </c>
      <c r="F2035" s="54" t="s">
        <v>42</v>
      </c>
      <c r="G2035" s="54" t="s">
        <v>4966</v>
      </c>
      <c r="H2035" s="54" t="s">
        <v>4967</v>
      </c>
      <c r="I2035" s="54">
        <f t="shared" si="24"/>
        <v>34</v>
      </c>
      <c r="J2035" s="56"/>
      <c r="K2035" s="57"/>
      <c r="L2035" s="76"/>
      <c r="M2035" s="59"/>
      <c r="N2035" s="60">
        <v>286.0</v>
      </c>
      <c r="O2035" s="61">
        <v>286.0</v>
      </c>
      <c r="P2035" s="62">
        <v>308.88</v>
      </c>
      <c r="Q2035" s="63">
        <v>308.88</v>
      </c>
      <c r="R2035" s="64">
        <v>345.0</v>
      </c>
      <c r="S2035" s="65">
        <v>289.6</v>
      </c>
      <c r="T2035" s="65">
        <f t="shared" si="80"/>
        <v>46.336</v>
      </c>
      <c r="U2035" s="65">
        <f t="shared" si="81"/>
        <v>335.936</v>
      </c>
      <c r="V2035" s="66">
        <f t="shared" si="82"/>
        <v>-0.1605797101</v>
      </c>
      <c r="W2035" s="67">
        <f t="shared" si="5"/>
        <v>275.12</v>
      </c>
      <c r="X2035" s="67">
        <f t="shared" si="70"/>
        <v>44.0192</v>
      </c>
      <c r="Y2035" s="67">
        <f t="shared" si="71"/>
        <v>319.1392</v>
      </c>
      <c r="Z2035" s="67">
        <f t="shared" si="8"/>
        <v>260.64</v>
      </c>
      <c r="AA2035" s="67">
        <f t="shared" si="72"/>
        <v>41.7024</v>
      </c>
      <c r="AB2035" s="67">
        <f t="shared" si="73"/>
        <v>302.3424</v>
      </c>
      <c r="AC2035" s="67">
        <f t="shared" si="11"/>
        <v>246.16</v>
      </c>
      <c r="AD2035" s="67">
        <f t="shared" si="74"/>
        <v>39.3856</v>
      </c>
      <c r="AE2035" s="67">
        <f t="shared" si="75"/>
        <v>285.5456</v>
      </c>
      <c r="AF2035" s="67">
        <f t="shared" si="33"/>
        <v>240.368</v>
      </c>
      <c r="AG2035" s="67">
        <f t="shared" si="76"/>
        <v>38.45888</v>
      </c>
      <c r="AH2035" s="67">
        <f t="shared" si="77"/>
        <v>278.82688</v>
      </c>
      <c r="AI2035" s="67">
        <f t="shared" si="17"/>
        <v>231.68</v>
      </c>
      <c r="AJ2035" s="68">
        <f t="shared" si="78"/>
        <v>37.0688</v>
      </c>
      <c r="AK2035" s="68">
        <f t="shared" si="79"/>
        <v>268.7488</v>
      </c>
      <c r="AL2035" s="70"/>
      <c r="AM2035" s="70"/>
      <c r="AN2035" s="71"/>
      <c r="AO2035" s="71"/>
      <c r="AP2035" s="71"/>
      <c r="AQ2035" s="71"/>
      <c r="AR2035" s="71"/>
      <c r="AS2035" s="71"/>
      <c r="AT2035" s="71"/>
      <c r="AU2035" s="71"/>
      <c r="AV2035" s="71"/>
      <c r="AW2035" s="71"/>
      <c r="AX2035" s="71"/>
      <c r="AY2035" s="71"/>
      <c r="AZ2035" s="71"/>
      <c r="BA2035" s="71"/>
      <c r="BB2035" s="71"/>
      <c r="BC2035" s="71"/>
      <c r="BD2035" s="71"/>
      <c r="BE2035" s="71"/>
      <c r="BF2035" s="71"/>
      <c r="BG2035" s="71"/>
      <c r="BH2035" s="71"/>
      <c r="BI2035" s="71"/>
      <c r="BJ2035" s="71"/>
      <c r="BK2035" s="71"/>
      <c r="BL2035" s="71"/>
      <c r="BM2035" s="71"/>
      <c r="BN2035" s="71"/>
      <c r="BO2035" s="71"/>
      <c r="BP2035" s="71"/>
      <c r="BQ2035" s="71"/>
      <c r="BR2035" s="71"/>
      <c r="BS2035" s="71"/>
      <c r="BT2035" s="71"/>
      <c r="BU2035" s="71"/>
      <c r="BV2035" s="71"/>
    </row>
    <row r="2036">
      <c r="A2036" s="53"/>
      <c r="B2036" s="53">
        <v>4.0</v>
      </c>
      <c r="C2036" s="73" t="s">
        <v>53</v>
      </c>
      <c r="D2036" s="128" t="s">
        <v>4968</v>
      </c>
      <c r="E2036" s="54" t="s">
        <v>38</v>
      </c>
      <c r="F2036" s="54" t="s">
        <v>42</v>
      </c>
      <c r="G2036" s="130" t="s">
        <v>4969</v>
      </c>
      <c r="H2036" s="54" t="s">
        <v>4970</v>
      </c>
      <c r="I2036" s="54">
        <f t="shared" si="24"/>
        <v>23</v>
      </c>
      <c r="J2036" s="56"/>
      <c r="K2036" s="57"/>
      <c r="L2036" s="76"/>
      <c r="M2036" s="59"/>
      <c r="N2036" s="79">
        <v>107.0</v>
      </c>
      <c r="O2036" s="129">
        <v>115.0</v>
      </c>
      <c r="P2036" s="62">
        <v>136.62</v>
      </c>
      <c r="Q2036" s="63">
        <v>136.62</v>
      </c>
      <c r="R2036" s="64">
        <v>153.0</v>
      </c>
      <c r="S2036" s="111">
        <v>161.0</v>
      </c>
      <c r="T2036" s="65">
        <f t="shared" si="80"/>
        <v>25.76</v>
      </c>
      <c r="U2036" s="65">
        <f t="shared" si="81"/>
        <v>186.76</v>
      </c>
      <c r="V2036" s="66">
        <f t="shared" si="82"/>
        <v>0.0522875817</v>
      </c>
      <c r="W2036" s="67">
        <f t="shared" si="5"/>
        <v>161</v>
      </c>
      <c r="X2036" s="67">
        <f t="shared" si="70"/>
        <v>25.76</v>
      </c>
      <c r="Y2036" s="67">
        <f t="shared" si="71"/>
        <v>186.76</v>
      </c>
      <c r="Z2036" s="67">
        <f t="shared" si="8"/>
        <v>161</v>
      </c>
      <c r="AA2036" s="67">
        <f t="shared" si="72"/>
        <v>25.76</v>
      </c>
      <c r="AB2036" s="67">
        <f t="shared" si="73"/>
        <v>186.76</v>
      </c>
      <c r="AC2036" s="67">
        <f t="shared" si="11"/>
        <v>161</v>
      </c>
      <c r="AD2036" s="67">
        <f t="shared" si="74"/>
        <v>25.76</v>
      </c>
      <c r="AE2036" s="67">
        <f t="shared" si="75"/>
        <v>186.76</v>
      </c>
      <c r="AF2036" s="67">
        <f t="shared" si="33"/>
        <v>161</v>
      </c>
      <c r="AG2036" s="67">
        <f t="shared" si="76"/>
        <v>25.76</v>
      </c>
      <c r="AH2036" s="67">
        <f t="shared" si="77"/>
        <v>186.76</v>
      </c>
      <c r="AI2036" s="67">
        <f t="shared" si="17"/>
        <v>161</v>
      </c>
      <c r="AJ2036" s="68">
        <f t="shared" si="78"/>
        <v>25.76</v>
      </c>
      <c r="AK2036" s="68">
        <f t="shared" si="79"/>
        <v>186.76</v>
      </c>
      <c r="AL2036" s="70"/>
      <c r="AM2036" s="70"/>
      <c r="AN2036" s="71"/>
      <c r="AO2036" s="71"/>
      <c r="AP2036" s="71"/>
      <c r="AQ2036" s="71"/>
      <c r="AR2036" s="71"/>
      <c r="AS2036" s="71"/>
      <c r="AT2036" s="71"/>
      <c r="AU2036" s="71"/>
      <c r="AV2036" s="71"/>
      <c r="AW2036" s="71"/>
      <c r="AX2036" s="71"/>
      <c r="AY2036" s="71"/>
      <c r="AZ2036" s="71"/>
      <c r="BA2036" s="71"/>
      <c r="BB2036" s="71"/>
      <c r="BC2036" s="71"/>
      <c r="BD2036" s="71"/>
      <c r="BE2036" s="71"/>
      <c r="BF2036" s="71"/>
      <c r="BG2036" s="71"/>
      <c r="BH2036" s="71"/>
      <c r="BI2036" s="71"/>
      <c r="BJ2036" s="71"/>
      <c r="BK2036" s="71"/>
      <c r="BL2036" s="71"/>
      <c r="BM2036" s="71"/>
      <c r="BN2036" s="71"/>
      <c r="BO2036" s="71"/>
      <c r="BP2036" s="71"/>
      <c r="BQ2036" s="71"/>
      <c r="BR2036" s="71"/>
      <c r="BS2036" s="71"/>
      <c r="BT2036" s="71"/>
      <c r="BU2036" s="71"/>
      <c r="BV2036" s="71"/>
    </row>
    <row r="2037">
      <c r="A2037" s="53"/>
      <c r="B2037" s="53">
        <v>4.0</v>
      </c>
      <c r="C2037" s="73" t="s">
        <v>12</v>
      </c>
      <c r="D2037" s="53" t="s">
        <v>4971</v>
      </c>
      <c r="E2037" s="54" t="s">
        <v>38</v>
      </c>
      <c r="F2037" s="54" t="s">
        <v>42</v>
      </c>
      <c r="G2037" s="55" t="s">
        <v>4972</v>
      </c>
      <c r="H2037" s="55" t="s">
        <v>4973</v>
      </c>
      <c r="I2037" s="54">
        <f t="shared" si="24"/>
        <v>39</v>
      </c>
      <c r="J2037" s="56"/>
      <c r="K2037" s="57"/>
      <c r="L2037" s="87"/>
      <c r="M2037" s="59"/>
      <c r="N2037" s="60"/>
      <c r="O2037" s="90"/>
      <c r="P2037" s="62">
        <v>489.0</v>
      </c>
      <c r="Q2037" s="63">
        <v>489.0</v>
      </c>
      <c r="R2037" s="64">
        <v>514.0</v>
      </c>
      <c r="S2037" s="111">
        <v>540.0</v>
      </c>
      <c r="T2037" s="65">
        <f t="shared" si="80"/>
        <v>86.4</v>
      </c>
      <c r="U2037" s="65">
        <f t="shared" si="81"/>
        <v>626.4</v>
      </c>
      <c r="V2037" s="66">
        <f t="shared" si="82"/>
        <v>0.05058365759</v>
      </c>
      <c r="W2037" s="67">
        <f t="shared" si="5"/>
        <v>540</v>
      </c>
      <c r="X2037" s="67">
        <f t="shared" si="70"/>
        <v>86.4</v>
      </c>
      <c r="Y2037" s="67">
        <f t="shared" si="71"/>
        <v>626.4</v>
      </c>
      <c r="Z2037" s="67">
        <f t="shared" si="8"/>
        <v>540</v>
      </c>
      <c r="AA2037" s="67">
        <f t="shared" si="72"/>
        <v>86.4</v>
      </c>
      <c r="AB2037" s="67">
        <f t="shared" si="73"/>
        <v>626.4</v>
      </c>
      <c r="AC2037" s="67">
        <f t="shared" si="11"/>
        <v>540</v>
      </c>
      <c r="AD2037" s="67">
        <f t="shared" si="74"/>
        <v>86.4</v>
      </c>
      <c r="AE2037" s="67">
        <f t="shared" si="75"/>
        <v>626.4</v>
      </c>
      <c r="AF2037" s="67">
        <f t="shared" si="33"/>
        <v>540</v>
      </c>
      <c r="AG2037" s="67">
        <f t="shared" si="76"/>
        <v>86.4</v>
      </c>
      <c r="AH2037" s="67">
        <f t="shared" si="77"/>
        <v>626.4</v>
      </c>
      <c r="AI2037" s="67">
        <f t="shared" si="17"/>
        <v>540</v>
      </c>
      <c r="AJ2037" s="68">
        <f t="shared" si="78"/>
        <v>86.4</v>
      </c>
      <c r="AK2037" s="68">
        <f t="shared" si="79"/>
        <v>626.4</v>
      </c>
      <c r="AL2037" s="70"/>
      <c r="AM2037" s="70"/>
      <c r="AN2037" s="71"/>
      <c r="AO2037" s="71"/>
      <c r="AP2037" s="71"/>
      <c r="AQ2037" s="71"/>
      <c r="AR2037" s="71"/>
      <c r="AS2037" s="71"/>
      <c r="AT2037" s="71"/>
      <c r="AU2037" s="71"/>
      <c r="AV2037" s="71"/>
      <c r="AW2037" s="71"/>
      <c r="AX2037" s="71"/>
      <c r="AY2037" s="71"/>
      <c r="AZ2037" s="71"/>
      <c r="BA2037" s="71"/>
      <c r="BB2037" s="71"/>
      <c r="BC2037" s="71"/>
      <c r="BD2037" s="71"/>
      <c r="BE2037" s="71"/>
      <c r="BF2037" s="71"/>
      <c r="BG2037" s="71"/>
      <c r="BH2037" s="71"/>
      <c r="BI2037" s="71"/>
      <c r="BJ2037" s="71"/>
      <c r="BK2037" s="71"/>
      <c r="BL2037" s="71"/>
      <c r="BM2037" s="71"/>
      <c r="BN2037" s="71"/>
      <c r="BO2037" s="71"/>
      <c r="BP2037" s="71"/>
      <c r="BQ2037" s="71"/>
      <c r="BR2037" s="71"/>
      <c r="BS2037" s="71"/>
      <c r="BT2037" s="71"/>
      <c r="BU2037" s="71"/>
      <c r="BV2037" s="71"/>
    </row>
    <row r="2038">
      <c r="A2038" s="53">
        <v>1.0</v>
      </c>
      <c r="B2038" s="53"/>
      <c r="C2038" s="73" t="s">
        <v>53</v>
      </c>
      <c r="D2038" s="74" t="s">
        <v>4974</v>
      </c>
      <c r="E2038" s="54" t="s">
        <v>38</v>
      </c>
      <c r="F2038" s="54" t="s">
        <v>42</v>
      </c>
      <c r="G2038" s="54" t="s">
        <v>4975</v>
      </c>
      <c r="H2038" s="54" t="s">
        <v>4976</v>
      </c>
      <c r="I2038" s="54">
        <f t="shared" si="24"/>
        <v>33</v>
      </c>
      <c r="J2038" s="56"/>
      <c r="K2038" s="57"/>
      <c r="L2038" s="76"/>
      <c r="M2038" s="59"/>
      <c r="N2038" s="60">
        <v>260.0</v>
      </c>
      <c r="O2038" s="61">
        <v>260.0</v>
      </c>
      <c r="P2038" s="62">
        <v>280.8</v>
      </c>
      <c r="Q2038" s="63">
        <v>280.8</v>
      </c>
      <c r="R2038" s="64">
        <v>313.0</v>
      </c>
      <c r="S2038" s="65">
        <v>263.2</v>
      </c>
      <c r="T2038" s="65">
        <f t="shared" si="80"/>
        <v>42.112</v>
      </c>
      <c r="U2038" s="65">
        <f t="shared" si="81"/>
        <v>305.312</v>
      </c>
      <c r="V2038" s="66">
        <f t="shared" si="82"/>
        <v>-0.1591054313</v>
      </c>
      <c r="W2038" s="67">
        <f t="shared" si="5"/>
        <v>250.04</v>
      </c>
      <c r="X2038" s="67">
        <f t="shared" si="70"/>
        <v>40.0064</v>
      </c>
      <c r="Y2038" s="67">
        <f t="shared" si="71"/>
        <v>290.0464</v>
      </c>
      <c r="Z2038" s="67">
        <f t="shared" si="8"/>
        <v>236.88</v>
      </c>
      <c r="AA2038" s="67">
        <f t="shared" si="72"/>
        <v>37.9008</v>
      </c>
      <c r="AB2038" s="67">
        <f t="shared" si="73"/>
        <v>274.7808</v>
      </c>
      <c r="AC2038" s="67">
        <f t="shared" si="11"/>
        <v>223.72</v>
      </c>
      <c r="AD2038" s="67">
        <f t="shared" si="74"/>
        <v>35.7952</v>
      </c>
      <c r="AE2038" s="67">
        <f t="shared" si="75"/>
        <v>259.5152</v>
      </c>
      <c r="AF2038" s="67">
        <f t="shared" si="33"/>
        <v>218.456</v>
      </c>
      <c r="AG2038" s="67">
        <f t="shared" si="76"/>
        <v>34.95296</v>
      </c>
      <c r="AH2038" s="67">
        <f t="shared" si="77"/>
        <v>253.40896</v>
      </c>
      <c r="AI2038" s="67">
        <f t="shared" si="17"/>
        <v>210.56</v>
      </c>
      <c r="AJ2038" s="68">
        <f t="shared" si="78"/>
        <v>33.6896</v>
      </c>
      <c r="AK2038" s="68">
        <f t="shared" si="79"/>
        <v>244.2496</v>
      </c>
      <c r="AL2038" s="70"/>
      <c r="AM2038" s="70"/>
      <c r="AN2038" s="71"/>
      <c r="AO2038" s="71"/>
      <c r="AP2038" s="71"/>
      <c r="AQ2038" s="71"/>
      <c r="AR2038" s="71"/>
      <c r="AS2038" s="71"/>
      <c r="AT2038" s="71"/>
      <c r="AU2038" s="71"/>
      <c r="AV2038" s="71"/>
      <c r="AW2038" s="71"/>
      <c r="AX2038" s="71"/>
      <c r="AY2038" s="71"/>
      <c r="AZ2038" s="71"/>
      <c r="BA2038" s="71"/>
      <c r="BB2038" s="71"/>
      <c r="BC2038" s="71"/>
      <c r="BD2038" s="71"/>
      <c r="BE2038" s="71"/>
      <c r="BF2038" s="71"/>
      <c r="BG2038" s="71"/>
      <c r="BH2038" s="71"/>
      <c r="BI2038" s="71"/>
      <c r="BJ2038" s="71"/>
      <c r="BK2038" s="71"/>
      <c r="BL2038" s="71"/>
      <c r="BM2038" s="71"/>
      <c r="BN2038" s="71"/>
      <c r="BO2038" s="71"/>
      <c r="BP2038" s="71"/>
      <c r="BQ2038" s="71"/>
      <c r="BR2038" s="71"/>
      <c r="BS2038" s="71"/>
      <c r="BT2038" s="71"/>
      <c r="BU2038" s="71"/>
      <c r="BV2038" s="71"/>
    </row>
    <row r="2039">
      <c r="A2039" s="53"/>
      <c r="B2039" s="53"/>
      <c r="C2039" s="73" t="s">
        <v>53</v>
      </c>
      <c r="D2039" s="53" t="s">
        <v>4977</v>
      </c>
      <c r="E2039" s="54" t="s">
        <v>38</v>
      </c>
      <c r="F2039" s="55" t="s">
        <v>309</v>
      </c>
      <c r="G2039" s="54" t="s">
        <v>4978</v>
      </c>
      <c r="H2039" s="55"/>
      <c r="I2039" s="54">
        <f t="shared" si="24"/>
        <v>0</v>
      </c>
      <c r="J2039" s="56"/>
      <c r="K2039" s="57"/>
      <c r="L2039" s="76"/>
      <c r="M2039" s="59"/>
      <c r="N2039" s="60"/>
      <c r="O2039" s="90">
        <v>266.0</v>
      </c>
      <c r="P2039" s="62">
        <v>287.28000000000003</v>
      </c>
      <c r="Q2039" s="63">
        <v>287.28000000000003</v>
      </c>
      <c r="R2039" s="64">
        <v>313.0</v>
      </c>
      <c r="S2039" s="111">
        <v>329.0</v>
      </c>
      <c r="T2039" s="65">
        <f t="shared" si="80"/>
        <v>52.64</v>
      </c>
      <c r="U2039" s="65">
        <f t="shared" si="81"/>
        <v>381.64</v>
      </c>
      <c r="V2039" s="66">
        <f t="shared" si="82"/>
        <v>0.05111821086</v>
      </c>
      <c r="W2039" s="67">
        <f t="shared" si="5"/>
        <v>312.55</v>
      </c>
      <c r="X2039" s="67">
        <f t="shared" si="70"/>
        <v>50.008</v>
      </c>
      <c r="Y2039" s="67">
        <f t="shared" si="71"/>
        <v>362.558</v>
      </c>
      <c r="Z2039" s="67">
        <f t="shared" si="8"/>
        <v>296.1</v>
      </c>
      <c r="AA2039" s="67">
        <f t="shared" si="72"/>
        <v>47.376</v>
      </c>
      <c r="AB2039" s="67">
        <f t="shared" si="73"/>
        <v>343.476</v>
      </c>
      <c r="AC2039" s="67">
        <f t="shared" si="11"/>
        <v>279.65</v>
      </c>
      <c r="AD2039" s="67">
        <f t="shared" si="74"/>
        <v>44.744</v>
      </c>
      <c r="AE2039" s="67">
        <f t="shared" si="75"/>
        <v>324.394</v>
      </c>
      <c r="AF2039" s="67">
        <f t="shared" si="33"/>
        <v>273.07</v>
      </c>
      <c r="AG2039" s="67">
        <f t="shared" si="76"/>
        <v>43.6912</v>
      </c>
      <c r="AH2039" s="67">
        <f t="shared" si="77"/>
        <v>316.7612</v>
      </c>
      <c r="AI2039" s="67">
        <f t="shared" si="17"/>
        <v>263.2</v>
      </c>
      <c r="AJ2039" s="68">
        <f t="shared" si="78"/>
        <v>42.112</v>
      </c>
      <c r="AK2039" s="68">
        <f t="shared" si="79"/>
        <v>305.312</v>
      </c>
      <c r="AL2039" s="70"/>
      <c r="AM2039" s="70"/>
      <c r="AN2039" s="71"/>
      <c r="AO2039" s="71"/>
      <c r="AP2039" s="71"/>
      <c r="AQ2039" s="71"/>
      <c r="AR2039" s="71"/>
      <c r="AS2039" s="71"/>
      <c r="AT2039" s="71"/>
      <c r="AU2039" s="71"/>
      <c r="AV2039" s="71"/>
      <c r="AW2039" s="71"/>
      <c r="AX2039" s="71"/>
      <c r="AY2039" s="71"/>
      <c r="AZ2039" s="71"/>
      <c r="BA2039" s="71"/>
      <c r="BB2039" s="71"/>
      <c r="BC2039" s="71"/>
      <c r="BD2039" s="71"/>
      <c r="BE2039" s="71"/>
      <c r="BF2039" s="71"/>
      <c r="BG2039" s="71"/>
      <c r="BH2039" s="71"/>
      <c r="BI2039" s="71"/>
      <c r="BJ2039" s="71"/>
      <c r="BK2039" s="71"/>
      <c r="BL2039" s="71"/>
      <c r="BM2039" s="71"/>
      <c r="BN2039" s="71"/>
      <c r="BO2039" s="71"/>
      <c r="BP2039" s="71"/>
      <c r="BQ2039" s="71"/>
      <c r="BR2039" s="71"/>
      <c r="BS2039" s="71"/>
      <c r="BT2039" s="71"/>
      <c r="BU2039" s="71"/>
      <c r="BV2039" s="71"/>
    </row>
    <row r="2040">
      <c r="A2040" s="53">
        <v>1.0</v>
      </c>
      <c r="B2040" s="53"/>
      <c r="C2040" s="73" t="s">
        <v>53</v>
      </c>
      <c r="D2040" s="74" t="s">
        <v>4979</v>
      </c>
      <c r="E2040" s="54" t="s">
        <v>38</v>
      </c>
      <c r="F2040" s="54" t="s">
        <v>42</v>
      </c>
      <c r="G2040" s="54" t="s">
        <v>4980</v>
      </c>
      <c r="H2040" s="54" t="s">
        <v>4981</v>
      </c>
      <c r="I2040" s="54">
        <f t="shared" si="24"/>
        <v>36</v>
      </c>
      <c r="J2040" s="56"/>
      <c r="K2040" s="57"/>
      <c r="L2040" s="76"/>
      <c r="M2040" s="59"/>
      <c r="N2040" s="60">
        <v>405.0</v>
      </c>
      <c r="O2040" s="61">
        <v>437.0</v>
      </c>
      <c r="P2040" s="62">
        <v>471.96000000000004</v>
      </c>
      <c r="Q2040" s="63">
        <v>471.96000000000004</v>
      </c>
      <c r="R2040" s="64">
        <v>527.0</v>
      </c>
      <c r="S2040" s="65">
        <v>442.4</v>
      </c>
      <c r="T2040" s="65">
        <f t="shared" si="80"/>
        <v>70.784</v>
      </c>
      <c r="U2040" s="65">
        <f t="shared" si="81"/>
        <v>513.184</v>
      </c>
      <c r="V2040" s="66">
        <f t="shared" si="82"/>
        <v>-0.1605313093</v>
      </c>
      <c r="W2040" s="67">
        <f t="shared" si="5"/>
        <v>420.28</v>
      </c>
      <c r="X2040" s="67">
        <f t="shared" si="70"/>
        <v>67.2448</v>
      </c>
      <c r="Y2040" s="67">
        <f t="shared" si="71"/>
        <v>487.5248</v>
      </c>
      <c r="Z2040" s="67">
        <f t="shared" si="8"/>
        <v>398.16</v>
      </c>
      <c r="AA2040" s="67">
        <f t="shared" si="72"/>
        <v>63.7056</v>
      </c>
      <c r="AB2040" s="67">
        <f t="shared" si="73"/>
        <v>461.8656</v>
      </c>
      <c r="AC2040" s="67">
        <f t="shared" si="11"/>
        <v>376.04</v>
      </c>
      <c r="AD2040" s="67">
        <f t="shared" si="74"/>
        <v>60.1664</v>
      </c>
      <c r="AE2040" s="67">
        <f t="shared" si="75"/>
        <v>436.2064</v>
      </c>
      <c r="AF2040" s="67">
        <f t="shared" si="33"/>
        <v>367.192</v>
      </c>
      <c r="AG2040" s="67">
        <f t="shared" si="76"/>
        <v>58.75072</v>
      </c>
      <c r="AH2040" s="67">
        <f t="shared" si="77"/>
        <v>425.94272</v>
      </c>
      <c r="AI2040" s="67">
        <f t="shared" si="17"/>
        <v>353.92</v>
      </c>
      <c r="AJ2040" s="68">
        <f t="shared" si="78"/>
        <v>56.6272</v>
      </c>
      <c r="AK2040" s="68">
        <f t="shared" si="79"/>
        <v>410.5472</v>
      </c>
      <c r="AL2040" s="70"/>
      <c r="AM2040" s="70"/>
      <c r="AN2040" s="71"/>
      <c r="AO2040" s="71"/>
      <c r="AP2040" s="71"/>
      <c r="AQ2040" s="71"/>
      <c r="AR2040" s="71"/>
      <c r="AS2040" s="71"/>
      <c r="AT2040" s="71"/>
      <c r="AU2040" s="71"/>
      <c r="AV2040" s="71"/>
      <c r="AW2040" s="71"/>
      <c r="AX2040" s="71"/>
      <c r="AY2040" s="71"/>
      <c r="AZ2040" s="71"/>
      <c r="BA2040" s="71"/>
      <c r="BB2040" s="71"/>
      <c r="BC2040" s="71"/>
      <c r="BD2040" s="71"/>
      <c r="BE2040" s="71"/>
      <c r="BF2040" s="71"/>
      <c r="BG2040" s="71"/>
      <c r="BH2040" s="71"/>
      <c r="BI2040" s="71"/>
      <c r="BJ2040" s="71"/>
      <c r="BK2040" s="71"/>
      <c r="BL2040" s="71"/>
      <c r="BM2040" s="71"/>
      <c r="BN2040" s="71"/>
      <c r="BO2040" s="71"/>
      <c r="BP2040" s="71"/>
      <c r="BQ2040" s="71"/>
      <c r="BR2040" s="71"/>
      <c r="BS2040" s="71"/>
      <c r="BT2040" s="71"/>
      <c r="BU2040" s="71"/>
      <c r="BV2040" s="71"/>
    </row>
    <row r="2041">
      <c r="A2041" s="53"/>
      <c r="B2041" s="53"/>
      <c r="C2041" s="73" t="s">
        <v>53</v>
      </c>
      <c r="D2041" s="53" t="s">
        <v>4982</v>
      </c>
      <c r="E2041" s="54" t="s">
        <v>38</v>
      </c>
      <c r="F2041" s="55" t="s">
        <v>309</v>
      </c>
      <c r="G2041" s="54" t="s">
        <v>4983</v>
      </c>
      <c r="H2041" s="55"/>
      <c r="I2041" s="54">
        <f t="shared" si="24"/>
        <v>0</v>
      </c>
      <c r="J2041" s="56"/>
      <c r="K2041" s="57"/>
      <c r="L2041" s="76"/>
      <c r="M2041" s="59"/>
      <c r="N2041" s="60"/>
      <c r="O2041" s="90">
        <v>437.0</v>
      </c>
      <c r="P2041" s="62">
        <v>471.96000000000004</v>
      </c>
      <c r="Q2041" s="63">
        <v>471.96000000000004</v>
      </c>
      <c r="R2041" s="64">
        <v>527.0</v>
      </c>
      <c r="S2041" s="111">
        <v>553.0</v>
      </c>
      <c r="T2041" s="65">
        <f t="shared" si="80"/>
        <v>88.48</v>
      </c>
      <c r="U2041" s="65">
        <f t="shared" si="81"/>
        <v>641.48</v>
      </c>
      <c r="V2041" s="66">
        <f t="shared" si="82"/>
        <v>0.04933586338</v>
      </c>
      <c r="W2041" s="67">
        <f t="shared" si="5"/>
        <v>525.35</v>
      </c>
      <c r="X2041" s="67">
        <f t="shared" si="70"/>
        <v>84.056</v>
      </c>
      <c r="Y2041" s="67">
        <f t="shared" si="71"/>
        <v>609.406</v>
      </c>
      <c r="Z2041" s="67">
        <f t="shared" si="8"/>
        <v>497.7</v>
      </c>
      <c r="AA2041" s="67">
        <f t="shared" si="72"/>
        <v>79.632</v>
      </c>
      <c r="AB2041" s="67">
        <f t="shared" si="73"/>
        <v>577.332</v>
      </c>
      <c r="AC2041" s="67">
        <f t="shared" si="11"/>
        <v>470.05</v>
      </c>
      <c r="AD2041" s="67">
        <f t="shared" si="74"/>
        <v>75.208</v>
      </c>
      <c r="AE2041" s="67">
        <f t="shared" si="75"/>
        <v>545.258</v>
      </c>
      <c r="AF2041" s="67">
        <f t="shared" si="33"/>
        <v>458.99</v>
      </c>
      <c r="AG2041" s="67">
        <f t="shared" si="76"/>
        <v>73.4384</v>
      </c>
      <c r="AH2041" s="67">
        <f t="shared" si="77"/>
        <v>532.4284</v>
      </c>
      <c r="AI2041" s="67">
        <f t="shared" si="17"/>
        <v>442.4</v>
      </c>
      <c r="AJ2041" s="68">
        <f t="shared" si="78"/>
        <v>70.784</v>
      </c>
      <c r="AK2041" s="68">
        <f t="shared" si="79"/>
        <v>513.184</v>
      </c>
      <c r="AL2041" s="70"/>
      <c r="AM2041" s="70"/>
      <c r="AN2041" s="71"/>
      <c r="AO2041" s="71"/>
      <c r="AP2041" s="71"/>
      <c r="AQ2041" s="71"/>
      <c r="AR2041" s="71"/>
      <c r="AS2041" s="71"/>
      <c r="AT2041" s="71"/>
      <c r="AU2041" s="71"/>
      <c r="AV2041" s="71"/>
      <c r="AW2041" s="71"/>
      <c r="AX2041" s="71"/>
      <c r="AY2041" s="71"/>
      <c r="AZ2041" s="71"/>
      <c r="BA2041" s="71"/>
      <c r="BB2041" s="71"/>
      <c r="BC2041" s="71"/>
      <c r="BD2041" s="71"/>
      <c r="BE2041" s="71"/>
      <c r="BF2041" s="71"/>
      <c r="BG2041" s="71"/>
      <c r="BH2041" s="71"/>
      <c r="BI2041" s="71"/>
      <c r="BJ2041" s="71"/>
      <c r="BK2041" s="71"/>
      <c r="BL2041" s="71"/>
      <c r="BM2041" s="71"/>
      <c r="BN2041" s="71"/>
      <c r="BO2041" s="71"/>
      <c r="BP2041" s="71"/>
      <c r="BQ2041" s="71"/>
      <c r="BR2041" s="71"/>
      <c r="BS2041" s="71"/>
      <c r="BT2041" s="71"/>
      <c r="BU2041" s="71"/>
      <c r="BV2041" s="71"/>
    </row>
    <row r="2042">
      <c r="A2042" s="53">
        <v>1.0</v>
      </c>
      <c r="B2042" s="53"/>
      <c r="C2042" s="73" t="s">
        <v>53</v>
      </c>
      <c r="D2042" s="74" t="s">
        <v>4984</v>
      </c>
      <c r="E2042" s="54" t="s">
        <v>38</v>
      </c>
      <c r="F2042" s="54" t="s">
        <v>42</v>
      </c>
      <c r="G2042" s="55" t="s">
        <v>4985</v>
      </c>
      <c r="H2042" s="54" t="s">
        <v>4986</v>
      </c>
      <c r="I2042" s="54">
        <f t="shared" si="24"/>
        <v>12</v>
      </c>
      <c r="J2042" s="56"/>
      <c r="K2042" s="57"/>
      <c r="L2042" s="76"/>
      <c r="M2042" s="59"/>
      <c r="N2042" s="60">
        <v>73.0</v>
      </c>
      <c r="O2042" s="61">
        <v>78.0</v>
      </c>
      <c r="P2042" s="62">
        <v>84.24000000000001</v>
      </c>
      <c r="Q2042" s="63">
        <v>84.24000000000001</v>
      </c>
      <c r="R2042" s="64">
        <v>95.0</v>
      </c>
      <c r="S2042" s="65">
        <v>80.0</v>
      </c>
      <c r="T2042" s="65">
        <f t="shared" si="80"/>
        <v>12.8</v>
      </c>
      <c r="U2042" s="65">
        <f t="shared" si="81"/>
        <v>92.8</v>
      </c>
      <c r="V2042" s="66">
        <f t="shared" si="82"/>
        <v>-0.1578947368</v>
      </c>
      <c r="W2042" s="67">
        <f t="shared" si="5"/>
        <v>76</v>
      </c>
      <c r="X2042" s="67">
        <f t="shared" si="70"/>
        <v>12.16</v>
      </c>
      <c r="Y2042" s="67">
        <f t="shared" si="71"/>
        <v>88.16</v>
      </c>
      <c r="Z2042" s="67">
        <f t="shared" si="8"/>
        <v>72</v>
      </c>
      <c r="AA2042" s="67">
        <f t="shared" si="72"/>
        <v>11.52</v>
      </c>
      <c r="AB2042" s="67">
        <f t="shared" si="73"/>
        <v>83.52</v>
      </c>
      <c r="AC2042" s="67">
        <f t="shared" si="11"/>
        <v>68</v>
      </c>
      <c r="AD2042" s="67">
        <f t="shared" si="74"/>
        <v>10.88</v>
      </c>
      <c r="AE2042" s="67">
        <f t="shared" si="75"/>
        <v>78.88</v>
      </c>
      <c r="AF2042" s="67">
        <f t="shared" si="33"/>
        <v>66.4</v>
      </c>
      <c r="AG2042" s="67">
        <f t="shared" si="76"/>
        <v>10.624</v>
      </c>
      <c r="AH2042" s="67">
        <f t="shared" si="77"/>
        <v>77.024</v>
      </c>
      <c r="AI2042" s="67">
        <f t="shared" si="17"/>
        <v>64</v>
      </c>
      <c r="AJ2042" s="68">
        <f t="shared" si="78"/>
        <v>10.24</v>
      </c>
      <c r="AK2042" s="68">
        <f t="shared" si="79"/>
        <v>74.24</v>
      </c>
      <c r="AL2042" s="70"/>
      <c r="AM2042" s="70"/>
      <c r="AN2042" s="71"/>
      <c r="AO2042" s="71"/>
      <c r="AP2042" s="71"/>
      <c r="AQ2042" s="71"/>
      <c r="AR2042" s="71"/>
      <c r="AS2042" s="71"/>
      <c r="AT2042" s="71"/>
      <c r="AU2042" s="71"/>
      <c r="AV2042" s="71"/>
      <c r="AW2042" s="71"/>
      <c r="AX2042" s="71"/>
      <c r="AY2042" s="71"/>
      <c r="AZ2042" s="71"/>
      <c r="BA2042" s="71"/>
      <c r="BB2042" s="71"/>
      <c r="BC2042" s="71"/>
      <c r="BD2042" s="71"/>
      <c r="BE2042" s="71"/>
      <c r="BF2042" s="71"/>
      <c r="BG2042" s="71"/>
      <c r="BH2042" s="71"/>
      <c r="BI2042" s="71"/>
      <c r="BJ2042" s="71"/>
      <c r="BK2042" s="71"/>
      <c r="BL2042" s="71"/>
      <c r="BM2042" s="71"/>
      <c r="BN2042" s="71"/>
      <c r="BO2042" s="71"/>
      <c r="BP2042" s="71"/>
      <c r="BQ2042" s="71"/>
      <c r="BR2042" s="71"/>
      <c r="BS2042" s="71"/>
      <c r="BT2042" s="71"/>
      <c r="BU2042" s="71"/>
      <c r="BV2042" s="71"/>
    </row>
    <row r="2043">
      <c r="A2043" s="53"/>
      <c r="B2043" s="53">
        <v>4.0</v>
      </c>
      <c r="C2043" s="73" t="s">
        <v>53</v>
      </c>
      <c r="D2043" s="128" t="s">
        <v>4987</v>
      </c>
      <c r="E2043" s="54" t="s">
        <v>38</v>
      </c>
      <c r="F2043" s="54" t="s">
        <v>42</v>
      </c>
      <c r="G2043" s="130" t="s">
        <v>4988</v>
      </c>
      <c r="H2043" s="54" t="s">
        <v>4989</v>
      </c>
      <c r="I2043" s="54">
        <f t="shared" si="24"/>
        <v>12</v>
      </c>
      <c r="J2043" s="56"/>
      <c r="K2043" s="57"/>
      <c r="L2043" s="76"/>
      <c r="M2043" s="59"/>
      <c r="N2043" s="60">
        <v>107.10000000000001</v>
      </c>
      <c r="O2043" s="129">
        <v>115.0</v>
      </c>
      <c r="P2043" s="62">
        <v>136.62</v>
      </c>
      <c r="Q2043" s="63">
        <v>136.62</v>
      </c>
      <c r="R2043" s="64">
        <v>153.0</v>
      </c>
      <c r="S2043" s="111">
        <v>161.0</v>
      </c>
      <c r="T2043" s="65">
        <f t="shared" si="80"/>
        <v>25.76</v>
      </c>
      <c r="U2043" s="65">
        <f t="shared" si="81"/>
        <v>186.76</v>
      </c>
      <c r="V2043" s="66">
        <f t="shared" si="82"/>
        <v>0.0522875817</v>
      </c>
      <c r="W2043" s="67">
        <f t="shared" si="5"/>
        <v>161</v>
      </c>
      <c r="X2043" s="67">
        <f t="shared" si="70"/>
        <v>25.76</v>
      </c>
      <c r="Y2043" s="67">
        <f t="shared" si="71"/>
        <v>186.76</v>
      </c>
      <c r="Z2043" s="67">
        <f t="shared" si="8"/>
        <v>161</v>
      </c>
      <c r="AA2043" s="67">
        <f t="shared" si="72"/>
        <v>25.76</v>
      </c>
      <c r="AB2043" s="67">
        <f t="shared" si="73"/>
        <v>186.76</v>
      </c>
      <c r="AC2043" s="67">
        <f t="shared" si="11"/>
        <v>161</v>
      </c>
      <c r="AD2043" s="67">
        <f t="shared" si="74"/>
        <v>25.76</v>
      </c>
      <c r="AE2043" s="67">
        <f t="shared" si="75"/>
        <v>186.76</v>
      </c>
      <c r="AF2043" s="67">
        <f t="shared" si="33"/>
        <v>161</v>
      </c>
      <c r="AG2043" s="67">
        <f t="shared" si="76"/>
        <v>25.76</v>
      </c>
      <c r="AH2043" s="67">
        <f t="shared" si="77"/>
        <v>186.76</v>
      </c>
      <c r="AI2043" s="67">
        <f t="shared" si="17"/>
        <v>161</v>
      </c>
      <c r="AJ2043" s="68">
        <f t="shared" si="78"/>
        <v>25.76</v>
      </c>
      <c r="AK2043" s="68">
        <f t="shared" si="79"/>
        <v>186.76</v>
      </c>
      <c r="AL2043" s="70"/>
      <c r="AM2043" s="70"/>
      <c r="AN2043" s="71"/>
      <c r="AO2043" s="71"/>
      <c r="AP2043" s="71"/>
      <c r="AQ2043" s="71"/>
      <c r="AR2043" s="71"/>
      <c r="AS2043" s="71"/>
      <c r="AT2043" s="71"/>
      <c r="AU2043" s="71"/>
      <c r="AV2043" s="71"/>
      <c r="AW2043" s="71"/>
      <c r="AX2043" s="71"/>
      <c r="AY2043" s="71"/>
      <c r="AZ2043" s="71"/>
      <c r="BA2043" s="71"/>
      <c r="BB2043" s="71"/>
      <c r="BC2043" s="71"/>
      <c r="BD2043" s="71"/>
      <c r="BE2043" s="71"/>
      <c r="BF2043" s="71"/>
      <c r="BG2043" s="71"/>
      <c r="BH2043" s="71"/>
      <c r="BI2043" s="71"/>
      <c r="BJ2043" s="71"/>
      <c r="BK2043" s="71"/>
      <c r="BL2043" s="71"/>
      <c r="BM2043" s="71"/>
      <c r="BN2043" s="71"/>
      <c r="BO2043" s="71"/>
      <c r="BP2043" s="71"/>
      <c r="BQ2043" s="71"/>
      <c r="BR2043" s="71"/>
      <c r="BS2043" s="71"/>
      <c r="BT2043" s="71"/>
      <c r="BU2043" s="71"/>
      <c r="BV2043" s="71"/>
    </row>
    <row r="2044">
      <c r="A2044" s="53"/>
      <c r="B2044" s="53">
        <v>3.0</v>
      </c>
      <c r="C2044" s="53" t="s">
        <v>36</v>
      </c>
      <c r="D2044" s="120" t="s">
        <v>4990</v>
      </c>
      <c r="E2044" s="54" t="s">
        <v>38</v>
      </c>
      <c r="F2044" s="55" t="s">
        <v>866</v>
      </c>
      <c r="G2044" s="138" t="s">
        <v>4991</v>
      </c>
      <c r="H2044" s="55"/>
      <c r="I2044" s="54">
        <f t="shared" si="24"/>
        <v>0</v>
      </c>
      <c r="J2044" s="56"/>
      <c r="K2044" s="57"/>
      <c r="L2044" s="76"/>
      <c r="M2044" s="59"/>
      <c r="N2044" s="60"/>
      <c r="O2044" s="61">
        <v>3949.0</v>
      </c>
      <c r="P2044" s="62">
        <v>4264.92</v>
      </c>
      <c r="Q2044" s="63">
        <v>4264.92</v>
      </c>
      <c r="R2044" s="64">
        <v>4479.0</v>
      </c>
      <c r="S2044" s="107">
        <v>4703.0</v>
      </c>
      <c r="T2044" s="65">
        <f t="shared" si="80"/>
        <v>752.48</v>
      </c>
      <c r="U2044" s="65">
        <f t="shared" si="81"/>
        <v>5455.48</v>
      </c>
      <c r="V2044" s="66">
        <f t="shared" si="82"/>
        <v>0.05001116321</v>
      </c>
      <c r="W2044" s="67">
        <f t="shared" si="5"/>
        <v>4467.85</v>
      </c>
      <c r="X2044" s="67">
        <f t="shared" si="70"/>
        <v>714.856</v>
      </c>
      <c r="Y2044" s="67">
        <f t="shared" si="71"/>
        <v>5182.706</v>
      </c>
      <c r="Z2044" s="67">
        <f t="shared" si="8"/>
        <v>4232.7</v>
      </c>
      <c r="AA2044" s="67">
        <f t="shared" si="72"/>
        <v>677.232</v>
      </c>
      <c r="AB2044" s="67">
        <f t="shared" si="73"/>
        <v>4909.932</v>
      </c>
      <c r="AC2044" s="67">
        <f t="shared" si="11"/>
        <v>4232.7</v>
      </c>
      <c r="AD2044" s="67">
        <f t="shared" si="74"/>
        <v>677.232</v>
      </c>
      <c r="AE2044" s="67">
        <f t="shared" si="75"/>
        <v>4909.932</v>
      </c>
      <c r="AF2044" s="67">
        <f t="shared" si="33"/>
        <v>4232.7</v>
      </c>
      <c r="AG2044" s="67">
        <f t="shared" si="76"/>
        <v>677.232</v>
      </c>
      <c r="AH2044" s="67">
        <f t="shared" si="77"/>
        <v>4909.932</v>
      </c>
      <c r="AI2044" s="67">
        <f t="shared" si="17"/>
        <v>4232.7</v>
      </c>
      <c r="AJ2044" s="68">
        <f t="shared" si="78"/>
        <v>677.232</v>
      </c>
      <c r="AK2044" s="68">
        <f t="shared" si="79"/>
        <v>4909.932</v>
      </c>
      <c r="AL2044" s="70"/>
      <c r="AM2044" s="70"/>
      <c r="AN2044" s="71"/>
      <c r="AO2044" s="71"/>
      <c r="AP2044" s="71"/>
      <c r="AQ2044" s="71"/>
      <c r="AR2044" s="71"/>
      <c r="AS2044" s="71"/>
      <c r="AT2044" s="71"/>
      <c r="AU2044" s="71"/>
      <c r="AV2044" s="71"/>
      <c r="AW2044" s="71"/>
      <c r="AX2044" s="71"/>
      <c r="AY2044" s="71"/>
      <c r="AZ2044" s="71"/>
      <c r="BA2044" s="71"/>
      <c r="BB2044" s="71"/>
      <c r="BC2044" s="71"/>
      <c r="BD2044" s="71"/>
      <c r="BE2044" s="71"/>
      <c r="BF2044" s="71"/>
      <c r="BG2044" s="71"/>
      <c r="BH2044" s="71"/>
      <c r="BI2044" s="71"/>
      <c r="BJ2044" s="71"/>
      <c r="BK2044" s="71"/>
      <c r="BL2044" s="71"/>
      <c r="BM2044" s="71"/>
      <c r="BN2044" s="71"/>
      <c r="BO2044" s="71"/>
      <c r="BP2044" s="71"/>
      <c r="BQ2044" s="71"/>
      <c r="BR2044" s="71"/>
      <c r="BS2044" s="71"/>
      <c r="BT2044" s="71"/>
      <c r="BU2044" s="71"/>
      <c r="BV2044" s="71"/>
    </row>
    <row r="2045">
      <c r="A2045" s="53"/>
      <c r="B2045" s="53"/>
      <c r="C2045" s="53" t="s">
        <v>36</v>
      </c>
      <c r="D2045" s="85" t="s">
        <v>4992</v>
      </c>
      <c r="E2045" s="54" t="s">
        <v>38</v>
      </c>
      <c r="F2045" s="55" t="s">
        <v>39</v>
      </c>
      <c r="G2045" s="86" t="s">
        <v>4993</v>
      </c>
      <c r="H2045" s="55"/>
      <c r="I2045" s="54">
        <f t="shared" si="24"/>
        <v>0</v>
      </c>
      <c r="J2045" s="56"/>
      <c r="K2045" s="57"/>
      <c r="L2045" s="76"/>
      <c r="M2045" s="59"/>
      <c r="N2045" s="60"/>
      <c r="O2045" s="61">
        <v>518.4</v>
      </c>
      <c r="P2045" s="62">
        <v>559.872</v>
      </c>
      <c r="Q2045" s="63">
        <v>559.872</v>
      </c>
      <c r="R2045" s="64">
        <v>588.0</v>
      </c>
      <c r="S2045" s="107">
        <v>617.0</v>
      </c>
      <c r="T2045" s="65">
        <f t="shared" si="80"/>
        <v>98.72</v>
      </c>
      <c r="U2045" s="65">
        <f t="shared" si="81"/>
        <v>715.72</v>
      </c>
      <c r="V2045" s="66">
        <f t="shared" si="82"/>
        <v>0.04931972789</v>
      </c>
      <c r="W2045" s="67">
        <f t="shared" si="5"/>
        <v>586.15</v>
      </c>
      <c r="X2045" s="67">
        <f t="shared" si="70"/>
        <v>93.784</v>
      </c>
      <c r="Y2045" s="67">
        <f t="shared" si="71"/>
        <v>679.934</v>
      </c>
      <c r="Z2045" s="67">
        <f t="shared" si="8"/>
        <v>555.3</v>
      </c>
      <c r="AA2045" s="67">
        <f t="shared" si="72"/>
        <v>88.848</v>
      </c>
      <c r="AB2045" s="67">
        <f t="shared" si="73"/>
        <v>644.148</v>
      </c>
      <c r="AC2045" s="67">
        <f t="shared" si="11"/>
        <v>524.45</v>
      </c>
      <c r="AD2045" s="67">
        <f t="shared" si="74"/>
        <v>83.912</v>
      </c>
      <c r="AE2045" s="67">
        <f t="shared" si="75"/>
        <v>608.362</v>
      </c>
      <c r="AF2045" s="67">
        <f t="shared" si="33"/>
        <v>512.11</v>
      </c>
      <c r="AG2045" s="67">
        <f t="shared" si="76"/>
        <v>81.9376</v>
      </c>
      <c r="AH2045" s="67">
        <f t="shared" si="77"/>
        <v>594.0476</v>
      </c>
      <c r="AI2045" s="67">
        <f t="shared" si="17"/>
        <v>493.6</v>
      </c>
      <c r="AJ2045" s="68">
        <f t="shared" si="78"/>
        <v>78.976</v>
      </c>
      <c r="AK2045" s="68">
        <f t="shared" si="79"/>
        <v>572.576</v>
      </c>
      <c r="AL2045" s="70"/>
      <c r="AM2045" s="70"/>
      <c r="AN2045" s="71"/>
      <c r="AO2045" s="71"/>
      <c r="AP2045" s="71"/>
      <c r="AQ2045" s="71"/>
      <c r="AR2045" s="71"/>
      <c r="AS2045" s="71"/>
      <c r="AT2045" s="71"/>
      <c r="AU2045" s="71"/>
      <c r="AV2045" s="71"/>
      <c r="AW2045" s="71"/>
      <c r="AX2045" s="71"/>
      <c r="AY2045" s="71"/>
      <c r="AZ2045" s="71"/>
      <c r="BA2045" s="71"/>
      <c r="BB2045" s="71"/>
      <c r="BC2045" s="71"/>
      <c r="BD2045" s="71"/>
      <c r="BE2045" s="71"/>
      <c r="BF2045" s="71"/>
      <c r="BG2045" s="71"/>
      <c r="BH2045" s="71"/>
      <c r="BI2045" s="71"/>
      <c r="BJ2045" s="71"/>
      <c r="BK2045" s="71"/>
      <c r="BL2045" s="71"/>
      <c r="BM2045" s="71"/>
      <c r="BN2045" s="71"/>
      <c r="BO2045" s="71"/>
      <c r="BP2045" s="71"/>
      <c r="BQ2045" s="71"/>
      <c r="BR2045" s="71"/>
      <c r="BS2045" s="71"/>
      <c r="BT2045" s="71"/>
      <c r="BU2045" s="71"/>
      <c r="BV2045" s="71"/>
    </row>
    <row r="2046">
      <c r="A2046" s="53"/>
      <c r="B2046" s="53">
        <v>3.0</v>
      </c>
      <c r="C2046" s="53" t="s">
        <v>36</v>
      </c>
      <c r="D2046" s="85" t="s">
        <v>4994</v>
      </c>
      <c r="E2046" s="54" t="s">
        <v>38</v>
      </c>
      <c r="F2046" s="55" t="s">
        <v>187</v>
      </c>
      <c r="G2046" s="117" t="s">
        <v>4995</v>
      </c>
      <c r="H2046" s="55"/>
      <c r="I2046" s="54">
        <f t="shared" si="24"/>
        <v>0</v>
      </c>
      <c r="J2046" s="56"/>
      <c r="K2046" s="57"/>
      <c r="L2046" s="76"/>
      <c r="M2046" s="59"/>
      <c r="N2046" s="60"/>
      <c r="O2046" s="61">
        <v>721.0</v>
      </c>
      <c r="P2046" s="62">
        <v>778.6800000000001</v>
      </c>
      <c r="Q2046" s="63">
        <v>778.6800000000001</v>
      </c>
      <c r="R2046" s="64">
        <v>859.0</v>
      </c>
      <c r="S2046" s="107">
        <v>902.0</v>
      </c>
      <c r="T2046" s="65">
        <f t="shared" si="80"/>
        <v>144.32</v>
      </c>
      <c r="U2046" s="65">
        <f t="shared" si="81"/>
        <v>1046.32</v>
      </c>
      <c r="V2046" s="66">
        <f t="shared" si="82"/>
        <v>0.05005820722</v>
      </c>
      <c r="W2046" s="67">
        <f t="shared" si="5"/>
        <v>856.9</v>
      </c>
      <c r="X2046" s="67">
        <f t="shared" si="70"/>
        <v>137.104</v>
      </c>
      <c r="Y2046" s="67">
        <f t="shared" si="71"/>
        <v>994.004</v>
      </c>
      <c r="Z2046" s="67">
        <f t="shared" si="8"/>
        <v>811.8</v>
      </c>
      <c r="AA2046" s="67">
        <f t="shared" si="72"/>
        <v>129.888</v>
      </c>
      <c r="AB2046" s="67">
        <f t="shared" si="73"/>
        <v>941.688</v>
      </c>
      <c r="AC2046" s="67">
        <f t="shared" si="11"/>
        <v>811.8</v>
      </c>
      <c r="AD2046" s="67">
        <f t="shared" si="74"/>
        <v>129.888</v>
      </c>
      <c r="AE2046" s="67">
        <f t="shared" si="75"/>
        <v>941.688</v>
      </c>
      <c r="AF2046" s="67">
        <f t="shared" si="33"/>
        <v>811.8</v>
      </c>
      <c r="AG2046" s="67">
        <f t="shared" si="76"/>
        <v>129.888</v>
      </c>
      <c r="AH2046" s="67">
        <f t="shared" si="77"/>
        <v>941.688</v>
      </c>
      <c r="AI2046" s="67">
        <f t="shared" si="17"/>
        <v>811.8</v>
      </c>
      <c r="AJ2046" s="68">
        <f t="shared" si="78"/>
        <v>129.888</v>
      </c>
      <c r="AK2046" s="68">
        <f t="shared" si="79"/>
        <v>941.688</v>
      </c>
      <c r="AL2046" s="70"/>
      <c r="AM2046" s="70"/>
      <c r="AN2046" s="71"/>
      <c r="AO2046" s="71"/>
      <c r="AP2046" s="71"/>
      <c r="AQ2046" s="71"/>
      <c r="AR2046" s="71"/>
      <c r="AS2046" s="71"/>
      <c r="AT2046" s="71"/>
      <c r="AU2046" s="71"/>
      <c r="AV2046" s="71"/>
      <c r="AW2046" s="71"/>
      <c r="AX2046" s="71"/>
      <c r="AY2046" s="71"/>
      <c r="AZ2046" s="71"/>
      <c r="BA2046" s="71"/>
      <c r="BB2046" s="71"/>
      <c r="BC2046" s="71"/>
      <c r="BD2046" s="71"/>
      <c r="BE2046" s="71"/>
      <c r="BF2046" s="71"/>
      <c r="BG2046" s="71"/>
      <c r="BH2046" s="71"/>
      <c r="BI2046" s="71"/>
      <c r="BJ2046" s="71"/>
      <c r="BK2046" s="71"/>
      <c r="BL2046" s="71"/>
      <c r="BM2046" s="71"/>
      <c r="BN2046" s="71"/>
      <c r="BO2046" s="71"/>
      <c r="BP2046" s="71"/>
      <c r="BQ2046" s="71"/>
      <c r="BR2046" s="71"/>
      <c r="BS2046" s="71"/>
      <c r="BT2046" s="71"/>
      <c r="BU2046" s="71"/>
      <c r="BV2046" s="71"/>
    </row>
    <row r="2047">
      <c r="A2047" s="53"/>
      <c r="B2047" s="53">
        <v>3.0</v>
      </c>
      <c r="C2047" s="53" t="s">
        <v>36</v>
      </c>
      <c r="D2047" s="85" t="s">
        <v>4996</v>
      </c>
      <c r="E2047" s="54" t="s">
        <v>38</v>
      </c>
      <c r="F2047" s="55" t="s">
        <v>187</v>
      </c>
      <c r="G2047" s="117" t="s">
        <v>4997</v>
      </c>
      <c r="H2047" s="55"/>
      <c r="I2047" s="54">
        <f t="shared" si="24"/>
        <v>0</v>
      </c>
      <c r="J2047" s="56"/>
      <c r="K2047" s="57"/>
      <c r="L2047" s="76"/>
      <c r="M2047" s="59"/>
      <c r="N2047" s="60"/>
      <c r="O2047" s="61">
        <v>1300.0</v>
      </c>
      <c r="P2047" s="62">
        <v>1404.0</v>
      </c>
      <c r="Q2047" s="63">
        <v>1404.0</v>
      </c>
      <c r="R2047" s="64">
        <v>1548.0</v>
      </c>
      <c r="S2047" s="107">
        <v>1625.0</v>
      </c>
      <c r="T2047" s="65">
        <f t="shared" si="80"/>
        <v>260</v>
      </c>
      <c r="U2047" s="65">
        <f t="shared" si="81"/>
        <v>1885</v>
      </c>
      <c r="V2047" s="66">
        <f t="shared" si="82"/>
        <v>0.04974160207</v>
      </c>
      <c r="W2047" s="67">
        <f t="shared" si="5"/>
        <v>1543.75</v>
      </c>
      <c r="X2047" s="67">
        <f t="shared" si="70"/>
        <v>247</v>
      </c>
      <c r="Y2047" s="67">
        <f t="shared" si="71"/>
        <v>1790.75</v>
      </c>
      <c r="Z2047" s="67">
        <f t="shared" si="8"/>
        <v>1462.5</v>
      </c>
      <c r="AA2047" s="67">
        <f t="shared" si="72"/>
        <v>234</v>
      </c>
      <c r="AB2047" s="67">
        <f t="shared" si="73"/>
        <v>1696.5</v>
      </c>
      <c r="AC2047" s="67">
        <f t="shared" si="11"/>
        <v>1462.5</v>
      </c>
      <c r="AD2047" s="67">
        <f t="shared" si="74"/>
        <v>234</v>
      </c>
      <c r="AE2047" s="67">
        <f t="shared" si="75"/>
        <v>1696.5</v>
      </c>
      <c r="AF2047" s="67">
        <f t="shared" si="33"/>
        <v>1462.5</v>
      </c>
      <c r="AG2047" s="67">
        <f t="shared" si="76"/>
        <v>234</v>
      </c>
      <c r="AH2047" s="67">
        <f t="shared" si="77"/>
        <v>1696.5</v>
      </c>
      <c r="AI2047" s="67">
        <f t="shared" si="17"/>
        <v>1462.5</v>
      </c>
      <c r="AJ2047" s="68">
        <f t="shared" si="78"/>
        <v>234</v>
      </c>
      <c r="AK2047" s="68">
        <f t="shared" si="79"/>
        <v>1696.5</v>
      </c>
      <c r="AL2047" s="70"/>
      <c r="AM2047" s="70"/>
      <c r="AN2047" s="71"/>
      <c r="AO2047" s="71"/>
      <c r="AP2047" s="71"/>
      <c r="AQ2047" s="71"/>
      <c r="AR2047" s="71"/>
      <c r="AS2047" s="71"/>
      <c r="AT2047" s="71"/>
      <c r="AU2047" s="71"/>
      <c r="AV2047" s="71"/>
      <c r="AW2047" s="71"/>
      <c r="AX2047" s="71"/>
      <c r="AY2047" s="71"/>
      <c r="AZ2047" s="71"/>
      <c r="BA2047" s="71"/>
      <c r="BB2047" s="71"/>
      <c r="BC2047" s="71"/>
      <c r="BD2047" s="71"/>
      <c r="BE2047" s="71"/>
      <c r="BF2047" s="71"/>
      <c r="BG2047" s="71"/>
      <c r="BH2047" s="71"/>
      <c r="BI2047" s="71"/>
      <c r="BJ2047" s="71"/>
      <c r="BK2047" s="71"/>
      <c r="BL2047" s="71"/>
      <c r="BM2047" s="71"/>
      <c r="BN2047" s="71"/>
      <c r="BO2047" s="71"/>
      <c r="BP2047" s="71"/>
      <c r="BQ2047" s="71"/>
      <c r="BR2047" s="71"/>
      <c r="BS2047" s="71"/>
      <c r="BT2047" s="71"/>
      <c r="BU2047" s="71"/>
      <c r="BV2047" s="71"/>
    </row>
    <row r="2048">
      <c r="A2048" s="53"/>
      <c r="B2048" s="53"/>
      <c r="C2048" s="73" t="s">
        <v>53</v>
      </c>
      <c r="D2048" s="53" t="s">
        <v>4998</v>
      </c>
      <c r="E2048" s="54" t="s">
        <v>38</v>
      </c>
      <c r="F2048" s="54" t="s">
        <v>42</v>
      </c>
      <c r="G2048" s="55" t="s">
        <v>4999</v>
      </c>
      <c r="H2048" s="54" t="s">
        <v>4999</v>
      </c>
      <c r="I2048" s="54">
        <f t="shared" si="24"/>
        <v>22</v>
      </c>
      <c r="J2048" s="56"/>
      <c r="K2048" s="57"/>
      <c r="L2048" s="76"/>
      <c r="M2048" s="59"/>
      <c r="N2048" s="79">
        <v>835.0</v>
      </c>
      <c r="O2048" s="61">
        <v>901.0</v>
      </c>
      <c r="P2048" s="63">
        <v>973.08</v>
      </c>
      <c r="Q2048" s="63">
        <v>973.08</v>
      </c>
      <c r="R2048" s="64">
        <v>1022.0</v>
      </c>
      <c r="S2048" s="111">
        <v>1073.0</v>
      </c>
      <c r="T2048" s="65">
        <f t="shared" si="80"/>
        <v>171.68</v>
      </c>
      <c r="U2048" s="65">
        <f t="shared" si="81"/>
        <v>1244.68</v>
      </c>
      <c r="V2048" s="66">
        <f t="shared" si="82"/>
        <v>0.04990215264</v>
      </c>
      <c r="W2048" s="67">
        <f t="shared" si="5"/>
        <v>1019.35</v>
      </c>
      <c r="X2048" s="67">
        <f t="shared" si="70"/>
        <v>163.096</v>
      </c>
      <c r="Y2048" s="67">
        <f t="shared" si="71"/>
        <v>1182.446</v>
      </c>
      <c r="Z2048" s="67">
        <f t="shared" si="8"/>
        <v>965.7</v>
      </c>
      <c r="AA2048" s="67">
        <f t="shared" si="72"/>
        <v>154.512</v>
      </c>
      <c r="AB2048" s="67">
        <f t="shared" si="73"/>
        <v>1120.212</v>
      </c>
      <c r="AC2048" s="67">
        <f t="shared" si="11"/>
        <v>912.05</v>
      </c>
      <c r="AD2048" s="67">
        <f t="shared" si="74"/>
        <v>145.928</v>
      </c>
      <c r="AE2048" s="67">
        <f t="shared" si="75"/>
        <v>1057.978</v>
      </c>
      <c r="AF2048" s="67">
        <f t="shared" si="33"/>
        <v>890.59</v>
      </c>
      <c r="AG2048" s="67">
        <f t="shared" si="76"/>
        <v>142.4944</v>
      </c>
      <c r="AH2048" s="67">
        <f t="shared" si="77"/>
        <v>1033.0844</v>
      </c>
      <c r="AI2048" s="67">
        <f t="shared" si="17"/>
        <v>858.4</v>
      </c>
      <c r="AJ2048" s="68">
        <f t="shared" si="78"/>
        <v>137.344</v>
      </c>
      <c r="AK2048" s="68">
        <f t="shared" si="79"/>
        <v>995.744</v>
      </c>
      <c r="AL2048" s="70"/>
      <c r="AM2048" s="70"/>
      <c r="AN2048" s="71"/>
      <c r="AO2048" s="71"/>
      <c r="AP2048" s="71"/>
      <c r="AQ2048" s="71"/>
      <c r="AR2048" s="71"/>
      <c r="AS2048" s="71"/>
      <c r="AT2048" s="71"/>
      <c r="AU2048" s="71"/>
      <c r="AV2048" s="71"/>
      <c r="AW2048" s="71"/>
      <c r="AX2048" s="71"/>
      <c r="AY2048" s="71"/>
      <c r="AZ2048" s="71"/>
      <c r="BA2048" s="71"/>
      <c r="BB2048" s="71"/>
      <c r="BC2048" s="71"/>
      <c r="BD2048" s="71"/>
      <c r="BE2048" s="71"/>
      <c r="BF2048" s="71"/>
      <c r="BG2048" s="71"/>
      <c r="BH2048" s="71"/>
      <c r="BI2048" s="71"/>
      <c r="BJ2048" s="71"/>
      <c r="BK2048" s="71"/>
      <c r="BL2048" s="71"/>
      <c r="BM2048" s="71"/>
      <c r="BN2048" s="71"/>
      <c r="BO2048" s="71"/>
      <c r="BP2048" s="71"/>
      <c r="BQ2048" s="71"/>
      <c r="BR2048" s="71"/>
      <c r="BS2048" s="71"/>
      <c r="BT2048" s="71"/>
      <c r="BU2048" s="71"/>
      <c r="BV2048" s="71"/>
    </row>
    <row r="2049">
      <c r="A2049" s="53"/>
      <c r="B2049" s="53"/>
      <c r="C2049" s="53" t="s">
        <v>53</v>
      </c>
      <c r="D2049" s="53" t="s">
        <v>5000</v>
      </c>
      <c r="E2049" s="86" t="s">
        <v>38</v>
      </c>
      <c r="F2049" s="91" t="s">
        <v>42</v>
      </c>
      <c r="G2049" s="84" t="s">
        <v>5001</v>
      </c>
      <c r="H2049" s="55" t="s">
        <v>5001</v>
      </c>
      <c r="I2049" s="54">
        <f t="shared" si="24"/>
        <v>28</v>
      </c>
      <c r="J2049" s="56"/>
      <c r="K2049" s="57"/>
      <c r="L2049" s="76"/>
      <c r="M2049" s="59"/>
      <c r="N2049" s="60"/>
      <c r="O2049" s="90"/>
      <c r="P2049" s="62">
        <v>3495.0</v>
      </c>
      <c r="Q2049" s="63">
        <v>3495.0</v>
      </c>
      <c r="R2049" s="64">
        <v>3670.0</v>
      </c>
      <c r="S2049" s="111">
        <v>3854.0</v>
      </c>
      <c r="T2049" s="65">
        <f t="shared" si="80"/>
        <v>616.64</v>
      </c>
      <c r="U2049" s="65">
        <f t="shared" si="81"/>
        <v>4470.64</v>
      </c>
      <c r="V2049" s="66"/>
      <c r="W2049" s="67">
        <f t="shared" si="5"/>
        <v>3661.3</v>
      </c>
      <c r="X2049" s="67">
        <f t="shared" si="70"/>
        <v>585.808</v>
      </c>
      <c r="Y2049" s="67">
        <f t="shared" si="71"/>
        <v>4247.108</v>
      </c>
      <c r="Z2049" s="67">
        <f t="shared" si="8"/>
        <v>3468.6</v>
      </c>
      <c r="AA2049" s="67">
        <f t="shared" si="72"/>
        <v>554.976</v>
      </c>
      <c r="AB2049" s="67">
        <f t="shared" si="73"/>
        <v>4023.576</v>
      </c>
      <c r="AC2049" s="67">
        <f t="shared" si="11"/>
        <v>3275.9</v>
      </c>
      <c r="AD2049" s="67">
        <f t="shared" si="74"/>
        <v>524.144</v>
      </c>
      <c r="AE2049" s="67">
        <f t="shared" si="75"/>
        <v>3800.044</v>
      </c>
      <c r="AF2049" s="67">
        <f t="shared" si="33"/>
        <v>3198.82</v>
      </c>
      <c r="AG2049" s="67">
        <f t="shared" si="76"/>
        <v>511.8112</v>
      </c>
      <c r="AH2049" s="67">
        <f t="shared" si="77"/>
        <v>3710.6312</v>
      </c>
      <c r="AI2049" s="67">
        <f t="shared" si="17"/>
        <v>3083.2</v>
      </c>
      <c r="AJ2049" s="68">
        <f t="shared" si="78"/>
        <v>493.312</v>
      </c>
      <c r="AK2049" s="68">
        <f t="shared" si="79"/>
        <v>3576.512</v>
      </c>
      <c r="AL2049" s="70"/>
      <c r="AM2049" s="70"/>
      <c r="AN2049" s="71"/>
      <c r="AO2049" s="71"/>
      <c r="AP2049" s="71"/>
      <c r="AQ2049" s="71"/>
      <c r="AR2049" s="71"/>
      <c r="AS2049" s="71"/>
      <c r="AT2049" s="71"/>
      <c r="AU2049" s="71"/>
      <c r="AV2049" s="71"/>
      <c r="AW2049" s="71"/>
      <c r="AX2049" s="71"/>
      <c r="AY2049" s="71"/>
      <c r="AZ2049" s="71"/>
      <c r="BA2049" s="71"/>
      <c r="BB2049" s="71"/>
      <c r="BC2049" s="71"/>
      <c r="BD2049" s="71"/>
      <c r="BE2049" s="71"/>
      <c r="BF2049" s="71"/>
      <c r="BG2049" s="71"/>
      <c r="BH2049" s="71"/>
      <c r="BI2049" s="71"/>
      <c r="BJ2049" s="71"/>
      <c r="BK2049" s="71"/>
      <c r="BL2049" s="71"/>
      <c r="BM2049" s="71"/>
      <c r="BN2049" s="71"/>
      <c r="BO2049" s="71"/>
      <c r="BP2049" s="71"/>
      <c r="BQ2049" s="71"/>
      <c r="BR2049" s="71"/>
      <c r="BS2049" s="71"/>
      <c r="BT2049" s="71"/>
      <c r="BU2049" s="71"/>
      <c r="BV2049" s="71"/>
    </row>
    <row r="2050">
      <c r="A2050" s="53"/>
      <c r="B2050" s="53"/>
      <c r="C2050" s="53" t="s">
        <v>53</v>
      </c>
      <c r="D2050" s="53" t="s">
        <v>5002</v>
      </c>
      <c r="E2050" s="54" t="s">
        <v>38</v>
      </c>
      <c r="F2050" s="54" t="s">
        <v>42</v>
      </c>
      <c r="G2050" s="55" t="s">
        <v>5003</v>
      </c>
      <c r="H2050" s="54" t="s">
        <v>5003</v>
      </c>
      <c r="I2050" s="54">
        <f t="shared" si="24"/>
        <v>23</v>
      </c>
      <c r="J2050" s="56"/>
      <c r="K2050" s="57"/>
      <c r="L2050" s="76"/>
      <c r="M2050" s="59"/>
      <c r="N2050" s="79">
        <v>207.0</v>
      </c>
      <c r="O2050" s="61">
        <v>223.0</v>
      </c>
      <c r="P2050" s="63">
        <v>240.84</v>
      </c>
      <c r="Q2050" s="63">
        <v>240.84</v>
      </c>
      <c r="R2050" s="64">
        <v>254.0</v>
      </c>
      <c r="S2050" s="111">
        <v>267.0</v>
      </c>
      <c r="T2050" s="65">
        <f t="shared" si="80"/>
        <v>42.72</v>
      </c>
      <c r="U2050" s="65">
        <f t="shared" si="81"/>
        <v>309.72</v>
      </c>
      <c r="V2050" s="66">
        <f t="shared" ref="V2050:V2086" si="83">(S2050-R2050)/R2050</f>
        <v>0.05118110236</v>
      </c>
      <c r="W2050" s="67">
        <f t="shared" si="5"/>
        <v>253.65</v>
      </c>
      <c r="X2050" s="67">
        <f t="shared" si="70"/>
        <v>40.584</v>
      </c>
      <c r="Y2050" s="67">
        <f t="shared" si="71"/>
        <v>294.234</v>
      </c>
      <c r="Z2050" s="67">
        <f t="shared" si="8"/>
        <v>240.3</v>
      </c>
      <c r="AA2050" s="67">
        <f t="shared" si="72"/>
        <v>38.448</v>
      </c>
      <c r="AB2050" s="67">
        <f t="shared" si="73"/>
        <v>278.748</v>
      </c>
      <c r="AC2050" s="67">
        <f t="shared" si="11"/>
        <v>226.95</v>
      </c>
      <c r="AD2050" s="67">
        <f t="shared" si="74"/>
        <v>36.312</v>
      </c>
      <c r="AE2050" s="67">
        <f t="shared" si="75"/>
        <v>263.262</v>
      </c>
      <c r="AF2050" s="67">
        <f t="shared" si="33"/>
        <v>221.61</v>
      </c>
      <c r="AG2050" s="67">
        <f t="shared" si="76"/>
        <v>35.4576</v>
      </c>
      <c r="AH2050" s="67">
        <f t="shared" si="77"/>
        <v>257.0676</v>
      </c>
      <c r="AI2050" s="67">
        <f t="shared" si="17"/>
        <v>213.6</v>
      </c>
      <c r="AJ2050" s="68">
        <f t="shared" si="78"/>
        <v>34.176</v>
      </c>
      <c r="AK2050" s="68">
        <f t="shared" si="79"/>
        <v>247.776</v>
      </c>
      <c r="AL2050" s="70"/>
      <c r="AM2050" s="70"/>
      <c r="AN2050" s="71"/>
      <c r="AO2050" s="71"/>
      <c r="AP2050" s="71"/>
      <c r="AQ2050" s="71"/>
      <c r="AR2050" s="71"/>
      <c r="AS2050" s="71"/>
      <c r="AT2050" s="71"/>
      <c r="AU2050" s="71"/>
      <c r="AV2050" s="71"/>
      <c r="AW2050" s="71"/>
      <c r="AX2050" s="71"/>
      <c r="AY2050" s="71"/>
      <c r="AZ2050" s="71"/>
      <c r="BA2050" s="71"/>
      <c r="BB2050" s="71"/>
      <c r="BC2050" s="71"/>
      <c r="BD2050" s="71"/>
      <c r="BE2050" s="71"/>
      <c r="BF2050" s="71"/>
      <c r="BG2050" s="71"/>
      <c r="BH2050" s="71"/>
      <c r="BI2050" s="71"/>
      <c r="BJ2050" s="71"/>
      <c r="BK2050" s="71"/>
      <c r="BL2050" s="71"/>
      <c r="BM2050" s="71"/>
      <c r="BN2050" s="71"/>
      <c r="BO2050" s="71"/>
      <c r="BP2050" s="71"/>
      <c r="BQ2050" s="71"/>
      <c r="BR2050" s="71"/>
      <c r="BS2050" s="71"/>
      <c r="BT2050" s="71"/>
      <c r="BU2050" s="71"/>
      <c r="BV2050" s="71"/>
    </row>
    <row r="2051">
      <c r="A2051" s="53"/>
      <c r="B2051" s="53"/>
      <c r="C2051" s="53" t="s">
        <v>53</v>
      </c>
      <c r="D2051" s="53" t="s">
        <v>5004</v>
      </c>
      <c r="E2051" s="54" t="s">
        <v>38</v>
      </c>
      <c r="F2051" s="54" t="s">
        <v>42</v>
      </c>
      <c r="G2051" s="55" t="s">
        <v>5005</v>
      </c>
      <c r="H2051" s="54" t="s">
        <v>5005</v>
      </c>
      <c r="I2051" s="54">
        <f t="shared" si="24"/>
        <v>23</v>
      </c>
      <c r="J2051" s="56"/>
      <c r="K2051" s="57"/>
      <c r="L2051" s="76"/>
      <c r="M2051" s="59"/>
      <c r="N2051" s="79"/>
      <c r="O2051" s="61">
        <v>224.0</v>
      </c>
      <c r="P2051" s="63">
        <v>241.92000000000002</v>
      </c>
      <c r="Q2051" s="63">
        <v>241.92000000000002</v>
      </c>
      <c r="R2051" s="64">
        <v>255.0</v>
      </c>
      <c r="S2051" s="111">
        <v>268.0</v>
      </c>
      <c r="T2051" s="65">
        <f t="shared" si="80"/>
        <v>42.88</v>
      </c>
      <c r="U2051" s="65">
        <f t="shared" si="81"/>
        <v>310.88</v>
      </c>
      <c r="V2051" s="66">
        <f t="shared" si="83"/>
        <v>0.05098039216</v>
      </c>
      <c r="W2051" s="67">
        <f t="shared" si="5"/>
        <v>254.6</v>
      </c>
      <c r="X2051" s="67">
        <f t="shared" si="70"/>
        <v>40.736</v>
      </c>
      <c r="Y2051" s="67">
        <f t="shared" si="71"/>
        <v>295.336</v>
      </c>
      <c r="Z2051" s="67">
        <f t="shared" si="8"/>
        <v>241.2</v>
      </c>
      <c r="AA2051" s="67">
        <f t="shared" si="72"/>
        <v>38.592</v>
      </c>
      <c r="AB2051" s="67">
        <f t="shared" si="73"/>
        <v>279.792</v>
      </c>
      <c r="AC2051" s="67">
        <f t="shared" si="11"/>
        <v>227.8</v>
      </c>
      <c r="AD2051" s="67">
        <f t="shared" si="74"/>
        <v>36.448</v>
      </c>
      <c r="AE2051" s="67">
        <f t="shared" si="75"/>
        <v>264.248</v>
      </c>
      <c r="AF2051" s="67">
        <f t="shared" si="33"/>
        <v>222.44</v>
      </c>
      <c r="AG2051" s="67">
        <f t="shared" si="76"/>
        <v>35.5904</v>
      </c>
      <c r="AH2051" s="67">
        <f t="shared" si="77"/>
        <v>258.0304</v>
      </c>
      <c r="AI2051" s="67">
        <f t="shared" si="17"/>
        <v>214.4</v>
      </c>
      <c r="AJ2051" s="68">
        <f t="shared" si="78"/>
        <v>34.304</v>
      </c>
      <c r="AK2051" s="68">
        <f t="shared" si="79"/>
        <v>248.704</v>
      </c>
      <c r="AL2051" s="70"/>
      <c r="AM2051" s="70"/>
      <c r="AN2051" s="71"/>
      <c r="AO2051" s="71"/>
      <c r="AP2051" s="71"/>
      <c r="AQ2051" s="71"/>
      <c r="AR2051" s="71"/>
      <c r="AS2051" s="71"/>
      <c r="AT2051" s="71"/>
      <c r="AU2051" s="71"/>
      <c r="AV2051" s="71"/>
      <c r="AW2051" s="71"/>
      <c r="AX2051" s="71"/>
      <c r="AY2051" s="71"/>
      <c r="AZ2051" s="71"/>
      <c r="BA2051" s="71"/>
      <c r="BB2051" s="71"/>
      <c r="BC2051" s="71"/>
      <c r="BD2051" s="71"/>
      <c r="BE2051" s="71"/>
      <c r="BF2051" s="71"/>
      <c r="BG2051" s="71"/>
      <c r="BH2051" s="71"/>
      <c r="BI2051" s="71"/>
      <c r="BJ2051" s="71"/>
      <c r="BK2051" s="71"/>
      <c r="BL2051" s="71"/>
      <c r="BM2051" s="71"/>
      <c r="BN2051" s="71"/>
      <c r="BO2051" s="71"/>
      <c r="BP2051" s="71"/>
      <c r="BQ2051" s="71"/>
      <c r="BR2051" s="71"/>
      <c r="BS2051" s="71"/>
      <c r="BT2051" s="71"/>
      <c r="BU2051" s="71"/>
      <c r="BV2051" s="71"/>
    </row>
    <row r="2052">
      <c r="A2052" s="53"/>
      <c r="B2052" s="53"/>
      <c r="C2052" s="53" t="s">
        <v>53</v>
      </c>
      <c r="D2052" s="53" t="s">
        <v>5006</v>
      </c>
      <c r="E2052" s="54" t="s">
        <v>38</v>
      </c>
      <c r="F2052" s="54" t="s">
        <v>42</v>
      </c>
      <c r="G2052" s="55" t="s">
        <v>5007</v>
      </c>
      <c r="H2052" s="54" t="s">
        <v>5007</v>
      </c>
      <c r="I2052" s="54">
        <f t="shared" si="24"/>
        <v>22</v>
      </c>
      <c r="J2052" s="56"/>
      <c r="K2052" s="57"/>
      <c r="L2052" s="76"/>
      <c r="M2052" s="59"/>
      <c r="N2052" s="79">
        <v>585.0</v>
      </c>
      <c r="O2052" s="61">
        <v>631.0</v>
      </c>
      <c r="P2052" s="63">
        <v>681.48</v>
      </c>
      <c r="Q2052" s="63">
        <v>681.48</v>
      </c>
      <c r="R2052" s="64">
        <v>716.0</v>
      </c>
      <c r="S2052" s="111">
        <v>752.0</v>
      </c>
      <c r="T2052" s="65">
        <f t="shared" si="80"/>
        <v>120.32</v>
      </c>
      <c r="U2052" s="65">
        <f t="shared" si="81"/>
        <v>872.32</v>
      </c>
      <c r="V2052" s="66">
        <f t="shared" si="83"/>
        <v>0.05027932961</v>
      </c>
      <c r="W2052" s="67">
        <f t="shared" si="5"/>
        <v>714.4</v>
      </c>
      <c r="X2052" s="67">
        <f t="shared" si="70"/>
        <v>114.304</v>
      </c>
      <c r="Y2052" s="67">
        <f t="shared" si="71"/>
        <v>828.704</v>
      </c>
      <c r="Z2052" s="67">
        <f t="shared" si="8"/>
        <v>676.8</v>
      </c>
      <c r="AA2052" s="67">
        <f t="shared" si="72"/>
        <v>108.288</v>
      </c>
      <c r="AB2052" s="67">
        <f t="shared" si="73"/>
        <v>785.088</v>
      </c>
      <c r="AC2052" s="67">
        <f t="shared" si="11"/>
        <v>639.2</v>
      </c>
      <c r="AD2052" s="67">
        <f t="shared" si="74"/>
        <v>102.272</v>
      </c>
      <c r="AE2052" s="67">
        <f t="shared" si="75"/>
        <v>741.472</v>
      </c>
      <c r="AF2052" s="67">
        <f t="shared" si="33"/>
        <v>624.16</v>
      </c>
      <c r="AG2052" s="67">
        <f t="shared" si="76"/>
        <v>99.8656</v>
      </c>
      <c r="AH2052" s="67">
        <f t="shared" si="77"/>
        <v>724.0256</v>
      </c>
      <c r="AI2052" s="67">
        <f t="shared" si="17"/>
        <v>601.6</v>
      </c>
      <c r="AJ2052" s="68">
        <f t="shared" si="78"/>
        <v>96.256</v>
      </c>
      <c r="AK2052" s="68">
        <f t="shared" si="79"/>
        <v>697.856</v>
      </c>
      <c r="AL2052" s="70"/>
      <c r="AM2052" s="70"/>
      <c r="AN2052" s="71"/>
      <c r="AO2052" s="71"/>
      <c r="AP2052" s="71"/>
      <c r="AQ2052" s="71"/>
      <c r="AR2052" s="71"/>
      <c r="AS2052" s="71"/>
      <c r="AT2052" s="71"/>
      <c r="AU2052" s="71"/>
      <c r="AV2052" s="71"/>
      <c r="AW2052" s="71"/>
      <c r="AX2052" s="71"/>
      <c r="AY2052" s="71"/>
      <c r="AZ2052" s="71"/>
      <c r="BA2052" s="71"/>
      <c r="BB2052" s="71"/>
      <c r="BC2052" s="71"/>
      <c r="BD2052" s="71"/>
      <c r="BE2052" s="71"/>
      <c r="BF2052" s="71"/>
      <c r="BG2052" s="71"/>
      <c r="BH2052" s="71"/>
      <c r="BI2052" s="71"/>
      <c r="BJ2052" s="71"/>
      <c r="BK2052" s="71"/>
      <c r="BL2052" s="71"/>
      <c r="BM2052" s="71"/>
      <c r="BN2052" s="71"/>
      <c r="BO2052" s="71"/>
      <c r="BP2052" s="71"/>
      <c r="BQ2052" s="71"/>
      <c r="BR2052" s="71"/>
      <c r="BS2052" s="71"/>
      <c r="BT2052" s="71"/>
      <c r="BU2052" s="71"/>
      <c r="BV2052" s="71"/>
    </row>
    <row r="2053">
      <c r="A2053" s="53">
        <v>1.0</v>
      </c>
      <c r="B2053" s="53"/>
      <c r="C2053" s="53" t="s">
        <v>53</v>
      </c>
      <c r="D2053" s="53" t="s">
        <v>5008</v>
      </c>
      <c r="E2053" s="54" t="s">
        <v>38</v>
      </c>
      <c r="F2053" s="54" t="s">
        <v>42</v>
      </c>
      <c r="G2053" s="55" t="s">
        <v>5009</v>
      </c>
      <c r="H2053" s="55" t="s">
        <v>5009</v>
      </c>
      <c r="I2053" s="54">
        <f t="shared" si="24"/>
        <v>23</v>
      </c>
      <c r="J2053" s="56"/>
      <c r="K2053" s="57"/>
      <c r="L2053" s="76"/>
      <c r="M2053" s="59"/>
      <c r="N2053" s="79">
        <v>882.0</v>
      </c>
      <c r="O2053" s="61">
        <v>952.0</v>
      </c>
      <c r="P2053" s="63">
        <v>1028.16</v>
      </c>
      <c r="Q2053" s="63">
        <v>1028.16</v>
      </c>
      <c r="R2053" s="64">
        <v>1111.0</v>
      </c>
      <c r="S2053" s="111">
        <v>1167.0</v>
      </c>
      <c r="T2053" s="65">
        <f t="shared" si="80"/>
        <v>186.72</v>
      </c>
      <c r="U2053" s="65">
        <f t="shared" si="81"/>
        <v>1353.72</v>
      </c>
      <c r="V2053" s="66">
        <f t="shared" si="83"/>
        <v>0.0504050405</v>
      </c>
      <c r="W2053" s="67">
        <f t="shared" si="5"/>
        <v>1108.65</v>
      </c>
      <c r="X2053" s="67">
        <f t="shared" si="70"/>
        <v>177.384</v>
      </c>
      <c r="Y2053" s="67">
        <f t="shared" si="71"/>
        <v>1286.034</v>
      </c>
      <c r="Z2053" s="67">
        <f t="shared" si="8"/>
        <v>1050.3</v>
      </c>
      <c r="AA2053" s="67">
        <f t="shared" si="72"/>
        <v>168.048</v>
      </c>
      <c r="AB2053" s="67">
        <f t="shared" si="73"/>
        <v>1218.348</v>
      </c>
      <c r="AC2053" s="67">
        <f t="shared" si="11"/>
        <v>991.95</v>
      </c>
      <c r="AD2053" s="67">
        <f t="shared" si="74"/>
        <v>158.712</v>
      </c>
      <c r="AE2053" s="67">
        <f t="shared" si="75"/>
        <v>1150.662</v>
      </c>
      <c r="AF2053" s="67">
        <f t="shared" si="33"/>
        <v>968.61</v>
      </c>
      <c r="AG2053" s="67">
        <f t="shared" si="76"/>
        <v>154.9776</v>
      </c>
      <c r="AH2053" s="67">
        <f t="shared" si="77"/>
        <v>1123.5876</v>
      </c>
      <c r="AI2053" s="67">
        <f t="shared" si="17"/>
        <v>933.6</v>
      </c>
      <c r="AJ2053" s="68">
        <f t="shared" si="78"/>
        <v>149.376</v>
      </c>
      <c r="AK2053" s="68">
        <f t="shared" si="79"/>
        <v>1082.976</v>
      </c>
      <c r="AL2053" s="70"/>
      <c r="AM2053" s="70"/>
      <c r="AN2053" s="71"/>
      <c r="AO2053" s="71"/>
      <c r="AP2053" s="71"/>
      <c r="AQ2053" s="71"/>
      <c r="AR2053" s="71"/>
      <c r="AS2053" s="71"/>
      <c r="AT2053" s="71"/>
      <c r="AU2053" s="71"/>
      <c r="AV2053" s="71"/>
      <c r="AW2053" s="71"/>
      <c r="AX2053" s="71"/>
      <c r="AY2053" s="71"/>
      <c r="AZ2053" s="71"/>
      <c r="BA2053" s="71"/>
      <c r="BB2053" s="71"/>
      <c r="BC2053" s="71"/>
      <c r="BD2053" s="71"/>
      <c r="BE2053" s="71"/>
      <c r="BF2053" s="71"/>
      <c r="BG2053" s="71"/>
      <c r="BH2053" s="71"/>
      <c r="BI2053" s="71"/>
      <c r="BJ2053" s="71"/>
      <c r="BK2053" s="71"/>
      <c r="BL2053" s="71"/>
      <c r="BM2053" s="71"/>
      <c r="BN2053" s="71"/>
      <c r="BO2053" s="71"/>
      <c r="BP2053" s="71"/>
      <c r="BQ2053" s="71"/>
      <c r="BR2053" s="71"/>
      <c r="BS2053" s="71"/>
      <c r="BT2053" s="71"/>
      <c r="BU2053" s="71"/>
      <c r="BV2053" s="71"/>
    </row>
    <row r="2054">
      <c r="A2054" s="53">
        <v>1.0</v>
      </c>
      <c r="B2054" s="53"/>
      <c r="C2054" s="53" t="s">
        <v>395</v>
      </c>
      <c r="D2054" s="53" t="s">
        <v>5010</v>
      </c>
      <c r="E2054" s="86" t="s">
        <v>38</v>
      </c>
      <c r="F2054" s="91" t="s">
        <v>42</v>
      </c>
      <c r="G2054" s="55" t="s">
        <v>5011</v>
      </c>
      <c r="H2054" s="55" t="s">
        <v>5011</v>
      </c>
      <c r="I2054" s="54">
        <f t="shared" si="24"/>
        <v>38</v>
      </c>
      <c r="J2054" s="56"/>
      <c r="K2054" s="57"/>
      <c r="L2054" s="119"/>
      <c r="M2054" s="59"/>
      <c r="N2054" s="93"/>
      <c r="O2054" s="61"/>
      <c r="P2054" s="90"/>
      <c r="Q2054" s="94"/>
      <c r="R2054" s="95"/>
      <c r="S2054" s="65">
        <v>1167.0</v>
      </c>
      <c r="T2054" s="65">
        <f t="shared" si="80"/>
        <v>186.72</v>
      </c>
      <c r="U2054" s="65">
        <f t="shared" si="81"/>
        <v>1353.72</v>
      </c>
      <c r="V2054" s="66" t="str">
        <f t="shared" si="83"/>
        <v>#DIV/0!</v>
      </c>
      <c r="W2054" s="67">
        <f t="shared" si="5"/>
        <v>1108.65</v>
      </c>
      <c r="X2054" s="67">
        <f t="shared" si="70"/>
        <v>177.384</v>
      </c>
      <c r="Y2054" s="67">
        <f t="shared" si="71"/>
        <v>1286.034</v>
      </c>
      <c r="Z2054" s="67">
        <f t="shared" si="8"/>
        <v>1050.3</v>
      </c>
      <c r="AA2054" s="67">
        <f t="shared" si="72"/>
        <v>168.048</v>
      </c>
      <c r="AB2054" s="67">
        <f t="shared" si="73"/>
        <v>1218.348</v>
      </c>
      <c r="AC2054" s="67">
        <f t="shared" si="11"/>
        <v>991.95</v>
      </c>
      <c r="AD2054" s="67">
        <f t="shared" si="74"/>
        <v>158.712</v>
      </c>
      <c r="AE2054" s="67">
        <f t="shared" si="75"/>
        <v>1150.662</v>
      </c>
      <c r="AF2054" s="67">
        <f t="shared" si="33"/>
        <v>968.61</v>
      </c>
      <c r="AG2054" s="67">
        <f t="shared" si="76"/>
        <v>154.9776</v>
      </c>
      <c r="AH2054" s="67">
        <f t="shared" si="77"/>
        <v>1123.5876</v>
      </c>
      <c r="AI2054" s="67">
        <f t="shared" si="17"/>
        <v>933.6</v>
      </c>
      <c r="AJ2054" s="68">
        <f t="shared" si="78"/>
        <v>149.376</v>
      </c>
      <c r="AK2054" s="68">
        <f t="shared" si="79"/>
        <v>1082.976</v>
      </c>
      <c r="AL2054" s="70"/>
      <c r="AM2054" s="70"/>
      <c r="AN2054" s="71"/>
      <c r="AO2054" s="71"/>
      <c r="AP2054" s="71"/>
      <c r="AQ2054" s="71"/>
      <c r="AR2054" s="71"/>
      <c r="AS2054" s="71"/>
      <c r="AT2054" s="71"/>
      <c r="AU2054" s="71"/>
      <c r="AV2054" s="71"/>
      <c r="AW2054" s="71"/>
      <c r="AX2054" s="71"/>
      <c r="AY2054" s="71"/>
      <c r="AZ2054" s="71"/>
      <c r="BA2054" s="71"/>
      <c r="BB2054" s="71"/>
      <c r="BC2054" s="71"/>
      <c r="BD2054" s="71"/>
      <c r="BE2054" s="71"/>
      <c r="BF2054" s="71"/>
      <c r="BG2054" s="71"/>
      <c r="BH2054" s="71"/>
      <c r="BI2054" s="71"/>
      <c r="BJ2054" s="71"/>
      <c r="BK2054" s="71"/>
      <c r="BL2054" s="71"/>
      <c r="BM2054" s="71"/>
      <c r="BN2054" s="71"/>
      <c r="BO2054" s="71"/>
      <c r="BP2054" s="71"/>
      <c r="BQ2054" s="71"/>
      <c r="BR2054" s="71"/>
      <c r="BS2054" s="71"/>
      <c r="BT2054" s="71"/>
      <c r="BU2054" s="71"/>
      <c r="BV2054" s="71"/>
    </row>
    <row r="2055">
      <c r="A2055" s="53">
        <v>1.0</v>
      </c>
      <c r="B2055" s="53"/>
      <c r="C2055" s="53" t="s">
        <v>53</v>
      </c>
      <c r="D2055" s="53" t="s">
        <v>5012</v>
      </c>
      <c r="E2055" s="54" t="s">
        <v>38</v>
      </c>
      <c r="F2055" s="54" t="s">
        <v>42</v>
      </c>
      <c r="G2055" s="55" t="s">
        <v>5013</v>
      </c>
      <c r="H2055" s="55" t="s">
        <v>5013</v>
      </c>
      <c r="I2055" s="54">
        <f t="shared" si="24"/>
        <v>40</v>
      </c>
      <c r="J2055" s="56"/>
      <c r="K2055" s="57"/>
      <c r="L2055" s="76"/>
      <c r="M2055" s="59"/>
      <c r="N2055" s="79"/>
      <c r="O2055" s="61">
        <v>1443.0</v>
      </c>
      <c r="P2055" s="63">
        <v>1558.44</v>
      </c>
      <c r="Q2055" s="63">
        <v>1558.44</v>
      </c>
      <c r="R2055" s="64">
        <v>1683.0</v>
      </c>
      <c r="S2055" s="111">
        <v>1767.0</v>
      </c>
      <c r="T2055" s="65">
        <f t="shared" si="80"/>
        <v>282.72</v>
      </c>
      <c r="U2055" s="65">
        <f t="shared" si="81"/>
        <v>2049.72</v>
      </c>
      <c r="V2055" s="66">
        <f t="shared" si="83"/>
        <v>0.04991087344</v>
      </c>
      <c r="W2055" s="67">
        <f t="shared" si="5"/>
        <v>1678.65</v>
      </c>
      <c r="X2055" s="67">
        <f t="shared" si="70"/>
        <v>268.584</v>
      </c>
      <c r="Y2055" s="67">
        <f t="shared" si="71"/>
        <v>1947.234</v>
      </c>
      <c r="Z2055" s="67">
        <f t="shared" si="8"/>
        <v>1590.3</v>
      </c>
      <c r="AA2055" s="67">
        <f t="shared" si="72"/>
        <v>254.448</v>
      </c>
      <c r="AB2055" s="67">
        <f t="shared" si="73"/>
        <v>1844.748</v>
      </c>
      <c r="AC2055" s="67">
        <f t="shared" si="11"/>
        <v>1501.95</v>
      </c>
      <c r="AD2055" s="67">
        <f t="shared" si="74"/>
        <v>240.312</v>
      </c>
      <c r="AE2055" s="67">
        <f t="shared" si="75"/>
        <v>1742.262</v>
      </c>
      <c r="AF2055" s="67">
        <f t="shared" si="33"/>
        <v>1466.61</v>
      </c>
      <c r="AG2055" s="67">
        <f t="shared" si="76"/>
        <v>234.6576</v>
      </c>
      <c r="AH2055" s="67">
        <f t="shared" si="77"/>
        <v>1701.2676</v>
      </c>
      <c r="AI2055" s="67">
        <f t="shared" si="17"/>
        <v>1413.6</v>
      </c>
      <c r="AJ2055" s="68">
        <f t="shared" si="78"/>
        <v>226.176</v>
      </c>
      <c r="AK2055" s="68">
        <f t="shared" si="79"/>
        <v>1639.776</v>
      </c>
      <c r="AL2055" s="70"/>
      <c r="AM2055" s="70"/>
      <c r="AN2055" s="71"/>
      <c r="AO2055" s="71"/>
      <c r="AP2055" s="71"/>
      <c r="AQ2055" s="71"/>
      <c r="AR2055" s="71"/>
      <c r="AS2055" s="71"/>
      <c r="AT2055" s="71"/>
      <c r="AU2055" s="71"/>
      <c r="AV2055" s="71"/>
      <c r="AW2055" s="71"/>
      <c r="AX2055" s="71"/>
      <c r="AY2055" s="71"/>
      <c r="AZ2055" s="71"/>
      <c r="BA2055" s="71"/>
      <c r="BB2055" s="71"/>
      <c r="BC2055" s="71"/>
      <c r="BD2055" s="71"/>
      <c r="BE2055" s="71"/>
      <c r="BF2055" s="71"/>
      <c r="BG2055" s="71"/>
      <c r="BH2055" s="71"/>
      <c r="BI2055" s="71"/>
      <c r="BJ2055" s="71"/>
      <c r="BK2055" s="71"/>
      <c r="BL2055" s="71"/>
      <c r="BM2055" s="71"/>
      <c r="BN2055" s="71"/>
      <c r="BO2055" s="71"/>
      <c r="BP2055" s="71"/>
      <c r="BQ2055" s="71"/>
      <c r="BR2055" s="71"/>
      <c r="BS2055" s="71"/>
      <c r="BT2055" s="71"/>
      <c r="BU2055" s="71"/>
      <c r="BV2055" s="71"/>
    </row>
    <row r="2056">
      <c r="A2056" s="53">
        <v>1.0</v>
      </c>
      <c r="B2056" s="53"/>
      <c r="C2056" s="53" t="s">
        <v>53</v>
      </c>
      <c r="D2056" s="53" t="s">
        <v>5014</v>
      </c>
      <c r="E2056" s="54" t="s">
        <v>38</v>
      </c>
      <c r="F2056" s="54" t="s">
        <v>42</v>
      </c>
      <c r="G2056" s="55" t="s">
        <v>5015</v>
      </c>
      <c r="H2056" s="55" t="s">
        <v>5015</v>
      </c>
      <c r="I2056" s="54">
        <f t="shared" si="24"/>
        <v>21</v>
      </c>
      <c r="J2056" s="56"/>
      <c r="K2056" s="57"/>
      <c r="L2056" s="76"/>
      <c r="M2056" s="59"/>
      <c r="N2056" s="79">
        <v>710.0</v>
      </c>
      <c r="O2056" s="61">
        <v>766.0</v>
      </c>
      <c r="P2056" s="63">
        <v>827.2800000000001</v>
      </c>
      <c r="Q2056" s="63">
        <v>827.2800000000001</v>
      </c>
      <c r="R2056" s="64">
        <v>894.0</v>
      </c>
      <c r="S2056" s="111">
        <v>939.0</v>
      </c>
      <c r="T2056" s="65">
        <f t="shared" si="80"/>
        <v>150.24</v>
      </c>
      <c r="U2056" s="65">
        <f t="shared" si="81"/>
        <v>1089.24</v>
      </c>
      <c r="V2056" s="66">
        <f t="shared" si="83"/>
        <v>0.05033557047</v>
      </c>
      <c r="W2056" s="67">
        <f t="shared" si="5"/>
        <v>892.05</v>
      </c>
      <c r="X2056" s="67">
        <f t="shared" si="70"/>
        <v>142.728</v>
      </c>
      <c r="Y2056" s="67">
        <f t="shared" si="71"/>
        <v>1034.778</v>
      </c>
      <c r="Z2056" s="67">
        <f t="shared" si="8"/>
        <v>845.1</v>
      </c>
      <c r="AA2056" s="67">
        <f t="shared" si="72"/>
        <v>135.216</v>
      </c>
      <c r="AB2056" s="67">
        <f t="shared" si="73"/>
        <v>980.316</v>
      </c>
      <c r="AC2056" s="67">
        <f t="shared" si="11"/>
        <v>798.15</v>
      </c>
      <c r="AD2056" s="67">
        <f t="shared" si="74"/>
        <v>127.704</v>
      </c>
      <c r="AE2056" s="67">
        <f t="shared" si="75"/>
        <v>925.854</v>
      </c>
      <c r="AF2056" s="67">
        <f t="shared" si="33"/>
        <v>779.37</v>
      </c>
      <c r="AG2056" s="67">
        <f t="shared" si="76"/>
        <v>124.6992</v>
      </c>
      <c r="AH2056" s="67">
        <f t="shared" si="77"/>
        <v>904.0692</v>
      </c>
      <c r="AI2056" s="67">
        <f t="shared" si="17"/>
        <v>751.2</v>
      </c>
      <c r="AJ2056" s="68">
        <f t="shared" si="78"/>
        <v>120.192</v>
      </c>
      <c r="AK2056" s="68">
        <f t="shared" si="79"/>
        <v>871.392</v>
      </c>
      <c r="AL2056" s="70"/>
      <c r="AM2056" s="70"/>
      <c r="AN2056" s="71"/>
      <c r="AO2056" s="71"/>
      <c r="AP2056" s="71"/>
      <c r="AQ2056" s="71"/>
      <c r="AR2056" s="71"/>
      <c r="AS2056" s="71"/>
      <c r="AT2056" s="71"/>
      <c r="AU2056" s="71"/>
      <c r="AV2056" s="71"/>
      <c r="AW2056" s="71"/>
      <c r="AX2056" s="71"/>
      <c r="AY2056" s="71"/>
      <c r="AZ2056" s="71"/>
      <c r="BA2056" s="71"/>
      <c r="BB2056" s="71"/>
      <c r="BC2056" s="71"/>
      <c r="BD2056" s="71"/>
      <c r="BE2056" s="71"/>
      <c r="BF2056" s="71"/>
      <c r="BG2056" s="71"/>
      <c r="BH2056" s="71"/>
      <c r="BI2056" s="71"/>
      <c r="BJ2056" s="71"/>
      <c r="BK2056" s="71"/>
      <c r="BL2056" s="71"/>
      <c r="BM2056" s="71"/>
      <c r="BN2056" s="71"/>
      <c r="BO2056" s="71"/>
      <c r="BP2056" s="71"/>
      <c r="BQ2056" s="71"/>
      <c r="BR2056" s="71"/>
      <c r="BS2056" s="71"/>
      <c r="BT2056" s="71"/>
      <c r="BU2056" s="71"/>
      <c r="BV2056" s="71"/>
    </row>
    <row r="2057">
      <c r="A2057" s="53">
        <v>1.0</v>
      </c>
      <c r="B2057" s="53"/>
      <c r="C2057" s="73" t="s">
        <v>53</v>
      </c>
      <c r="D2057" s="74" t="s">
        <v>5016</v>
      </c>
      <c r="E2057" s="54" t="s">
        <v>38</v>
      </c>
      <c r="F2057" s="54" t="s">
        <v>42</v>
      </c>
      <c r="G2057" s="55" t="s">
        <v>5017</v>
      </c>
      <c r="H2057" s="55" t="s">
        <v>5017</v>
      </c>
      <c r="I2057" s="54">
        <f t="shared" si="24"/>
        <v>21</v>
      </c>
      <c r="J2057" s="56"/>
      <c r="K2057" s="57"/>
      <c r="L2057" s="76"/>
      <c r="M2057" s="59"/>
      <c r="N2057" s="60">
        <v>598.0</v>
      </c>
      <c r="O2057" s="61">
        <v>645.0</v>
      </c>
      <c r="P2057" s="62">
        <v>696.6</v>
      </c>
      <c r="Q2057" s="63">
        <v>696.6</v>
      </c>
      <c r="R2057" s="64">
        <v>799.0</v>
      </c>
      <c r="S2057" s="111">
        <v>839.0</v>
      </c>
      <c r="T2057" s="65">
        <f t="shared" si="80"/>
        <v>134.24</v>
      </c>
      <c r="U2057" s="65">
        <f t="shared" si="81"/>
        <v>973.24</v>
      </c>
      <c r="V2057" s="66">
        <f t="shared" si="83"/>
        <v>0.05006257822</v>
      </c>
      <c r="W2057" s="67">
        <f t="shared" si="5"/>
        <v>797.05</v>
      </c>
      <c r="X2057" s="67">
        <f t="shared" si="70"/>
        <v>127.528</v>
      </c>
      <c r="Y2057" s="67">
        <f t="shared" si="71"/>
        <v>924.578</v>
      </c>
      <c r="Z2057" s="67">
        <f t="shared" si="8"/>
        <v>755.1</v>
      </c>
      <c r="AA2057" s="67">
        <f t="shared" si="72"/>
        <v>120.816</v>
      </c>
      <c r="AB2057" s="67">
        <f t="shared" si="73"/>
        <v>875.916</v>
      </c>
      <c r="AC2057" s="67">
        <f t="shared" si="11"/>
        <v>713.15</v>
      </c>
      <c r="AD2057" s="67">
        <f t="shared" si="74"/>
        <v>114.104</v>
      </c>
      <c r="AE2057" s="67">
        <f t="shared" si="75"/>
        <v>827.254</v>
      </c>
      <c r="AF2057" s="67">
        <f t="shared" si="33"/>
        <v>696.37</v>
      </c>
      <c r="AG2057" s="67">
        <f t="shared" si="76"/>
        <v>111.4192</v>
      </c>
      <c r="AH2057" s="67">
        <f t="shared" si="77"/>
        <v>807.7892</v>
      </c>
      <c r="AI2057" s="67">
        <f t="shared" si="17"/>
        <v>671.2</v>
      </c>
      <c r="AJ2057" s="68">
        <f t="shared" si="78"/>
        <v>107.392</v>
      </c>
      <c r="AK2057" s="68">
        <f t="shared" si="79"/>
        <v>778.592</v>
      </c>
      <c r="AL2057" s="70"/>
      <c r="AM2057" s="70"/>
      <c r="AN2057" s="71"/>
      <c r="AO2057" s="71"/>
      <c r="AP2057" s="71"/>
      <c r="AQ2057" s="71"/>
      <c r="AR2057" s="71"/>
      <c r="AS2057" s="71"/>
      <c r="AT2057" s="71"/>
      <c r="AU2057" s="71"/>
      <c r="AV2057" s="71"/>
      <c r="AW2057" s="71"/>
      <c r="AX2057" s="71"/>
      <c r="AY2057" s="71"/>
      <c r="AZ2057" s="71"/>
      <c r="BA2057" s="71"/>
      <c r="BB2057" s="71"/>
      <c r="BC2057" s="71"/>
      <c r="BD2057" s="71"/>
      <c r="BE2057" s="71"/>
      <c r="BF2057" s="71"/>
      <c r="BG2057" s="71"/>
      <c r="BH2057" s="71"/>
      <c r="BI2057" s="71"/>
      <c r="BJ2057" s="71"/>
      <c r="BK2057" s="71"/>
      <c r="BL2057" s="71"/>
      <c r="BM2057" s="71"/>
      <c r="BN2057" s="71"/>
      <c r="BO2057" s="71"/>
      <c r="BP2057" s="71"/>
      <c r="BQ2057" s="71"/>
      <c r="BR2057" s="71"/>
      <c r="BS2057" s="71"/>
      <c r="BT2057" s="71"/>
      <c r="BU2057" s="71"/>
      <c r="BV2057" s="71"/>
    </row>
    <row r="2058">
      <c r="A2058" s="53">
        <v>1.0</v>
      </c>
      <c r="B2058" s="53"/>
      <c r="C2058" s="53" t="s">
        <v>53</v>
      </c>
      <c r="D2058" s="53" t="s">
        <v>5018</v>
      </c>
      <c r="E2058" s="54" t="s">
        <v>38</v>
      </c>
      <c r="F2058" s="54" t="s">
        <v>42</v>
      </c>
      <c r="G2058" s="55" t="s">
        <v>5019</v>
      </c>
      <c r="H2058" s="55" t="s">
        <v>5019</v>
      </c>
      <c r="I2058" s="54">
        <f t="shared" si="24"/>
        <v>21</v>
      </c>
      <c r="J2058" s="56"/>
      <c r="K2058" s="57"/>
      <c r="L2058" s="76"/>
      <c r="M2058" s="59"/>
      <c r="N2058" s="79">
        <v>1214.0</v>
      </c>
      <c r="O2058" s="61">
        <v>1311.0</v>
      </c>
      <c r="P2058" s="63">
        <v>1415.88</v>
      </c>
      <c r="Q2058" s="63">
        <v>1415.88</v>
      </c>
      <c r="R2058" s="64">
        <v>1530.0</v>
      </c>
      <c r="S2058" s="111">
        <v>1607.0</v>
      </c>
      <c r="T2058" s="65">
        <f t="shared" si="80"/>
        <v>257.12</v>
      </c>
      <c r="U2058" s="65">
        <f t="shared" si="81"/>
        <v>1864.12</v>
      </c>
      <c r="V2058" s="66">
        <f t="shared" si="83"/>
        <v>0.05032679739</v>
      </c>
      <c r="W2058" s="67">
        <f t="shared" si="5"/>
        <v>1526.65</v>
      </c>
      <c r="X2058" s="67">
        <f t="shared" si="70"/>
        <v>244.264</v>
      </c>
      <c r="Y2058" s="67">
        <f t="shared" si="71"/>
        <v>1770.914</v>
      </c>
      <c r="Z2058" s="67">
        <f t="shared" si="8"/>
        <v>1446.3</v>
      </c>
      <c r="AA2058" s="67">
        <f t="shared" si="72"/>
        <v>231.408</v>
      </c>
      <c r="AB2058" s="67">
        <f t="shared" si="73"/>
        <v>1677.708</v>
      </c>
      <c r="AC2058" s="67">
        <f t="shared" si="11"/>
        <v>1365.95</v>
      </c>
      <c r="AD2058" s="67">
        <f t="shared" si="74"/>
        <v>218.552</v>
      </c>
      <c r="AE2058" s="67">
        <f t="shared" si="75"/>
        <v>1584.502</v>
      </c>
      <c r="AF2058" s="67">
        <f t="shared" si="33"/>
        <v>1333.81</v>
      </c>
      <c r="AG2058" s="67">
        <f t="shared" si="76"/>
        <v>213.4096</v>
      </c>
      <c r="AH2058" s="67">
        <f t="shared" si="77"/>
        <v>1547.2196</v>
      </c>
      <c r="AI2058" s="67">
        <f t="shared" si="17"/>
        <v>1285.6</v>
      </c>
      <c r="AJ2058" s="68">
        <f t="shared" si="78"/>
        <v>205.696</v>
      </c>
      <c r="AK2058" s="68">
        <f t="shared" si="79"/>
        <v>1491.296</v>
      </c>
      <c r="AL2058" s="70"/>
      <c r="AM2058" s="70"/>
      <c r="AN2058" s="71"/>
      <c r="AO2058" s="71"/>
      <c r="AP2058" s="71"/>
      <c r="AQ2058" s="71"/>
      <c r="AR2058" s="71"/>
      <c r="AS2058" s="71"/>
      <c r="AT2058" s="71"/>
      <c r="AU2058" s="71"/>
      <c r="AV2058" s="71"/>
      <c r="AW2058" s="71"/>
      <c r="AX2058" s="71"/>
      <c r="AY2058" s="71"/>
      <c r="AZ2058" s="71"/>
      <c r="BA2058" s="71"/>
      <c r="BB2058" s="71"/>
      <c r="BC2058" s="71"/>
      <c r="BD2058" s="71"/>
      <c r="BE2058" s="71"/>
      <c r="BF2058" s="71"/>
      <c r="BG2058" s="71"/>
      <c r="BH2058" s="71"/>
      <c r="BI2058" s="71"/>
      <c r="BJ2058" s="71"/>
      <c r="BK2058" s="71"/>
      <c r="BL2058" s="71"/>
      <c r="BM2058" s="71"/>
      <c r="BN2058" s="71"/>
      <c r="BO2058" s="71"/>
      <c r="BP2058" s="71"/>
      <c r="BQ2058" s="71"/>
      <c r="BR2058" s="71"/>
      <c r="BS2058" s="71"/>
      <c r="BT2058" s="71"/>
      <c r="BU2058" s="71"/>
      <c r="BV2058" s="71"/>
    </row>
    <row r="2059">
      <c r="A2059" s="53">
        <v>1.0</v>
      </c>
      <c r="B2059" s="53"/>
      <c r="C2059" s="53" t="s">
        <v>53</v>
      </c>
      <c r="D2059" s="53" t="s">
        <v>5020</v>
      </c>
      <c r="E2059" s="54" t="s">
        <v>38</v>
      </c>
      <c r="F2059" s="54" t="s">
        <v>42</v>
      </c>
      <c r="G2059" s="55" t="s">
        <v>5021</v>
      </c>
      <c r="H2059" s="55" t="s">
        <v>5021</v>
      </c>
      <c r="I2059" s="54">
        <f t="shared" si="24"/>
        <v>21</v>
      </c>
      <c r="J2059" s="56"/>
      <c r="K2059" s="57"/>
      <c r="L2059" s="76"/>
      <c r="M2059" s="59"/>
      <c r="N2059" s="79">
        <v>885.0</v>
      </c>
      <c r="O2059" s="61">
        <v>955.0</v>
      </c>
      <c r="P2059" s="63">
        <v>1031.4</v>
      </c>
      <c r="Q2059" s="63">
        <v>1031.4</v>
      </c>
      <c r="R2059" s="64">
        <v>1114.0</v>
      </c>
      <c r="S2059" s="111">
        <v>1170.0</v>
      </c>
      <c r="T2059" s="65">
        <f t="shared" si="80"/>
        <v>187.2</v>
      </c>
      <c r="U2059" s="65">
        <f t="shared" si="81"/>
        <v>1357.2</v>
      </c>
      <c r="V2059" s="66">
        <f t="shared" si="83"/>
        <v>0.05026929982</v>
      </c>
      <c r="W2059" s="67">
        <f t="shared" si="5"/>
        <v>1111.5</v>
      </c>
      <c r="X2059" s="67">
        <f t="shared" si="70"/>
        <v>177.84</v>
      </c>
      <c r="Y2059" s="67">
        <f t="shared" si="71"/>
        <v>1289.34</v>
      </c>
      <c r="Z2059" s="67">
        <f t="shared" si="8"/>
        <v>1053</v>
      </c>
      <c r="AA2059" s="67">
        <f t="shared" si="72"/>
        <v>168.48</v>
      </c>
      <c r="AB2059" s="67">
        <f t="shared" si="73"/>
        <v>1221.48</v>
      </c>
      <c r="AC2059" s="67">
        <f t="shared" si="11"/>
        <v>994.5</v>
      </c>
      <c r="AD2059" s="67">
        <f t="shared" si="74"/>
        <v>159.12</v>
      </c>
      <c r="AE2059" s="67">
        <f t="shared" si="75"/>
        <v>1153.62</v>
      </c>
      <c r="AF2059" s="67">
        <f t="shared" si="33"/>
        <v>971.1</v>
      </c>
      <c r="AG2059" s="67">
        <f t="shared" si="76"/>
        <v>155.376</v>
      </c>
      <c r="AH2059" s="67">
        <f t="shared" si="77"/>
        <v>1126.476</v>
      </c>
      <c r="AI2059" s="67">
        <f t="shared" si="17"/>
        <v>936</v>
      </c>
      <c r="AJ2059" s="68">
        <f t="shared" si="78"/>
        <v>149.76</v>
      </c>
      <c r="AK2059" s="68">
        <f t="shared" si="79"/>
        <v>1085.76</v>
      </c>
      <c r="AL2059" s="70"/>
      <c r="AM2059" s="70"/>
      <c r="AN2059" s="71"/>
      <c r="AO2059" s="71"/>
      <c r="AP2059" s="71"/>
      <c r="AQ2059" s="71"/>
      <c r="AR2059" s="71"/>
      <c r="AS2059" s="71"/>
      <c r="AT2059" s="71"/>
      <c r="AU2059" s="71"/>
      <c r="AV2059" s="71"/>
      <c r="AW2059" s="71"/>
      <c r="AX2059" s="71"/>
      <c r="AY2059" s="71"/>
      <c r="AZ2059" s="71"/>
      <c r="BA2059" s="71"/>
      <c r="BB2059" s="71"/>
      <c r="BC2059" s="71"/>
      <c r="BD2059" s="71"/>
      <c r="BE2059" s="71"/>
      <c r="BF2059" s="71"/>
      <c r="BG2059" s="71"/>
      <c r="BH2059" s="71"/>
      <c r="BI2059" s="71"/>
      <c r="BJ2059" s="71"/>
      <c r="BK2059" s="71"/>
      <c r="BL2059" s="71"/>
      <c r="BM2059" s="71"/>
      <c r="BN2059" s="71"/>
      <c r="BO2059" s="71"/>
      <c r="BP2059" s="71"/>
      <c r="BQ2059" s="71"/>
      <c r="BR2059" s="71"/>
      <c r="BS2059" s="71"/>
      <c r="BT2059" s="71"/>
      <c r="BU2059" s="71"/>
      <c r="BV2059" s="71"/>
    </row>
    <row r="2060">
      <c r="A2060" s="53">
        <v>1.0</v>
      </c>
      <c r="B2060" s="53"/>
      <c r="C2060" s="73" t="s">
        <v>53</v>
      </c>
      <c r="D2060" s="74" t="s">
        <v>5022</v>
      </c>
      <c r="E2060" s="54" t="s">
        <v>38</v>
      </c>
      <c r="F2060" s="54" t="s">
        <v>42</v>
      </c>
      <c r="G2060" s="54" t="s">
        <v>5023</v>
      </c>
      <c r="H2060" s="54" t="s">
        <v>5023</v>
      </c>
      <c r="I2060" s="54">
        <f t="shared" si="24"/>
        <v>21</v>
      </c>
      <c r="J2060" s="56"/>
      <c r="K2060" s="57"/>
      <c r="L2060" s="76"/>
      <c r="M2060" s="59"/>
      <c r="N2060" s="60">
        <v>1185.0</v>
      </c>
      <c r="O2060" s="61">
        <v>1279.0</v>
      </c>
      <c r="P2060" s="62">
        <v>1381.3200000000002</v>
      </c>
      <c r="Q2060" s="63">
        <v>1381.3200000000002</v>
      </c>
      <c r="R2060" s="64">
        <v>1583.0</v>
      </c>
      <c r="S2060" s="111">
        <v>1662.0</v>
      </c>
      <c r="T2060" s="65">
        <f t="shared" si="80"/>
        <v>265.92</v>
      </c>
      <c r="U2060" s="65">
        <f t="shared" si="81"/>
        <v>1927.92</v>
      </c>
      <c r="V2060" s="66">
        <f t="shared" si="83"/>
        <v>0.04990524321</v>
      </c>
      <c r="W2060" s="67">
        <f t="shared" si="5"/>
        <v>1578.9</v>
      </c>
      <c r="X2060" s="67">
        <f t="shared" si="70"/>
        <v>252.624</v>
      </c>
      <c r="Y2060" s="67">
        <f t="shared" si="71"/>
        <v>1831.524</v>
      </c>
      <c r="Z2060" s="67">
        <f t="shared" si="8"/>
        <v>1495.8</v>
      </c>
      <c r="AA2060" s="67">
        <f t="shared" si="72"/>
        <v>239.328</v>
      </c>
      <c r="AB2060" s="67">
        <f t="shared" si="73"/>
        <v>1735.128</v>
      </c>
      <c r="AC2060" s="67">
        <f t="shared" si="11"/>
        <v>1412.7</v>
      </c>
      <c r="AD2060" s="67">
        <f t="shared" si="74"/>
        <v>226.032</v>
      </c>
      <c r="AE2060" s="67">
        <f t="shared" si="75"/>
        <v>1638.732</v>
      </c>
      <c r="AF2060" s="67">
        <f t="shared" si="33"/>
        <v>1379.46</v>
      </c>
      <c r="AG2060" s="67">
        <f t="shared" si="76"/>
        <v>220.7136</v>
      </c>
      <c r="AH2060" s="67">
        <f t="shared" si="77"/>
        <v>1600.1736</v>
      </c>
      <c r="AI2060" s="67">
        <f t="shared" si="17"/>
        <v>1329.6</v>
      </c>
      <c r="AJ2060" s="68">
        <f t="shared" si="78"/>
        <v>212.736</v>
      </c>
      <c r="AK2060" s="68">
        <f t="shared" si="79"/>
        <v>1542.336</v>
      </c>
      <c r="AL2060" s="70"/>
      <c r="AM2060" s="70"/>
      <c r="AN2060" s="71"/>
      <c r="AO2060" s="71"/>
      <c r="AP2060" s="71"/>
      <c r="AQ2060" s="71"/>
      <c r="AR2060" s="71"/>
      <c r="AS2060" s="71"/>
      <c r="AT2060" s="71"/>
      <c r="AU2060" s="71"/>
      <c r="AV2060" s="71"/>
      <c r="AW2060" s="71"/>
      <c r="AX2060" s="71"/>
      <c r="AY2060" s="71"/>
      <c r="AZ2060" s="71"/>
      <c r="BA2060" s="71"/>
      <c r="BB2060" s="71"/>
      <c r="BC2060" s="71"/>
      <c r="BD2060" s="71"/>
      <c r="BE2060" s="71"/>
      <c r="BF2060" s="71"/>
      <c r="BG2060" s="71"/>
      <c r="BH2060" s="71"/>
      <c r="BI2060" s="71"/>
      <c r="BJ2060" s="71"/>
      <c r="BK2060" s="71"/>
      <c r="BL2060" s="71"/>
      <c r="BM2060" s="71"/>
      <c r="BN2060" s="71"/>
      <c r="BO2060" s="71"/>
      <c r="BP2060" s="71"/>
      <c r="BQ2060" s="71"/>
      <c r="BR2060" s="71"/>
      <c r="BS2060" s="71"/>
      <c r="BT2060" s="71"/>
      <c r="BU2060" s="71"/>
      <c r="BV2060" s="71"/>
    </row>
    <row r="2061">
      <c r="A2061" s="53">
        <v>1.0</v>
      </c>
      <c r="B2061" s="53"/>
      <c r="C2061" s="53" t="s">
        <v>53</v>
      </c>
      <c r="D2061" s="53" t="s">
        <v>5024</v>
      </c>
      <c r="E2061" s="54" t="s">
        <v>38</v>
      </c>
      <c r="F2061" s="54" t="s">
        <v>42</v>
      </c>
      <c r="G2061" s="55" t="s">
        <v>5025</v>
      </c>
      <c r="H2061" s="55" t="s">
        <v>5025</v>
      </c>
      <c r="I2061" s="54">
        <f t="shared" si="24"/>
        <v>24</v>
      </c>
      <c r="J2061" s="56"/>
      <c r="K2061" s="57"/>
      <c r="L2061" s="76"/>
      <c r="M2061" s="59"/>
      <c r="N2061" s="60"/>
      <c r="O2061" s="61">
        <v>3965.0</v>
      </c>
      <c r="P2061" s="62">
        <v>4282.200000000001</v>
      </c>
      <c r="Q2061" s="63">
        <v>4282.200000000001</v>
      </c>
      <c r="R2061" s="64">
        <v>4625.0</v>
      </c>
      <c r="S2061" s="111">
        <v>4856.0</v>
      </c>
      <c r="T2061" s="65">
        <f t="shared" si="80"/>
        <v>776.96</v>
      </c>
      <c r="U2061" s="65">
        <f t="shared" si="81"/>
        <v>5632.96</v>
      </c>
      <c r="V2061" s="66">
        <f t="shared" si="83"/>
        <v>0.04994594595</v>
      </c>
      <c r="W2061" s="67">
        <f t="shared" si="5"/>
        <v>4613.2</v>
      </c>
      <c r="X2061" s="67">
        <f t="shared" si="70"/>
        <v>738.112</v>
      </c>
      <c r="Y2061" s="67">
        <f t="shared" si="71"/>
        <v>5351.312</v>
      </c>
      <c r="Z2061" s="67">
        <f t="shared" si="8"/>
        <v>4370.4</v>
      </c>
      <c r="AA2061" s="67">
        <f t="shared" si="72"/>
        <v>699.264</v>
      </c>
      <c r="AB2061" s="67">
        <f t="shared" si="73"/>
        <v>5069.664</v>
      </c>
      <c r="AC2061" s="67">
        <f t="shared" si="11"/>
        <v>4127.6</v>
      </c>
      <c r="AD2061" s="67">
        <f t="shared" si="74"/>
        <v>660.416</v>
      </c>
      <c r="AE2061" s="67">
        <f t="shared" si="75"/>
        <v>4788.016</v>
      </c>
      <c r="AF2061" s="67">
        <f t="shared" si="33"/>
        <v>4030.48</v>
      </c>
      <c r="AG2061" s="67">
        <f t="shared" si="76"/>
        <v>644.8768</v>
      </c>
      <c r="AH2061" s="67">
        <f t="shared" si="77"/>
        <v>4675.3568</v>
      </c>
      <c r="AI2061" s="67">
        <f t="shared" si="17"/>
        <v>3884.8</v>
      </c>
      <c r="AJ2061" s="68">
        <f t="shared" si="78"/>
        <v>621.568</v>
      </c>
      <c r="AK2061" s="68">
        <f t="shared" si="79"/>
        <v>4506.368</v>
      </c>
      <c r="AL2061" s="70"/>
      <c r="AM2061" s="70"/>
      <c r="AN2061" s="71"/>
      <c r="AO2061" s="71"/>
      <c r="AP2061" s="71"/>
      <c r="AQ2061" s="71"/>
      <c r="AR2061" s="71"/>
      <c r="AS2061" s="71"/>
      <c r="AT2061" s="71"/>
      <c r="AU2061" s="71"/>
      <c r="AV2061" s="71"/>
      <c r="AW2061" s="71"/>
      <c r="AX2061" s="71"/>
      <c r="AY2061" s="71"/>
      <c r="AZ2061" s="71"/>
      <c r="BA2061" s="71"/>
      <c r="BB2061" s="71"/>
      <c r="BC2061" s="71"/>
      <c r="BD2061" s="71"/>
      <c r="BE2061" s="71"/>
      <c r="BF2061" s="71"/>
      <c r="BG2061" s="71"/>
      <c r="BH2061" s="71"/>
      <c r="BI2061" s="71"/>
      <c r="BJ2061" s="71"/>
      <c r="BK2061" s="71"/>
      <c r="BL2061" s="71"/>
      <c r="BM2061" s="71"/>
      <c r="BN2061" s="71"/>
      <c r="BO2061" s="71"/>
      <c r="BP2061" s="71"/>
      <c r="BQ2061" s="71"/>
      <c r="BR2061" s="71"/>
      <c r="BS2061" s="71"/>
      <c r="BT2061" s="71"/>
      <c r="BU2061" s="71"/>
      <c r="BV2061" s="71"/>
    </row>
    <row r="2062">
      <c r="A2062" s="53">
        <v>1.0</v>
      </c>
      <c r="B2062" s="53"/>
      <c r="C2062" s="73" t="s">
        <v>53</v>
      </c>
      <c r="D2062" s="74" t="s">
        <v>5026</v>
      </c>
      <c r="E2062" s="54" t="s">
        <v>38</v>
      </c>
      <c r="F2062" s="54" t="s">
        <v>42</v>
      </c>
      <c r="G2062" s="54" t="s">
        <v>5027</v>
      </c>
      <c r="H2062" s="54" t="s">
        <v>5027</v>
      </c>
      <c r="I2062" s="54">
        <f t="shared" si="24"/>
        <v>21</v>
      </c>
      <c r="J2062" s="56"/>
      <c r="K2062" s="57"/>
      <c r="L2062" s="76"/>
      <c r="M2062" s="59"/>
      <c r="N2062" s="60">
        <v>880.0</v>
      </c>
      <c r="O2062" s="61">
        <v>950.0</v>
      </c>
      <c r="P2062" s="62">
        <v>1026.0</v>
      </c>
      <c r="Q2062" s="63">
        <v>1026.0</v>
      </c>
      <c r="R2062" s="64">
        <v>1176.0</v>
      </c>
      <c r="S2062" s="111">
        <v>1235.0</v>
      </c>
      <c r="T2062" s="65">
        <f t="shared" si="80"/>
        <v>197.6</v>
      </c>
      <c r="U2062" s="65">
        <f t="shared" si="81"/>
        <v>1432.6</v>
      </c>
      <c r="V2062" s="66">
        <f t="shared" si="83"/>
        <v>0.05017006803</v>
      </c>
      <c r="W2062" s="67">
        <f t="shared" si="5"/>
        <v>1173.25</v>
      </c>
      <c r="X2062" s="67">
        <f t="shared" si="70"/>
        <v>187.72</v>
      </c>
      <c r="Y2062" s="67">
        <f t="shared" si="71"/>
        <v>1360.97</v>
      </c>
      <c r="Z2062" s="67">
        <f t="shared" si="8"/>
        <v>1111.5</v>
      </c>
      <c r="AA2062" s="67">
        <f t="shared" si="72"/>
        <v>177.84</v>
      </c>
      <c r="AB2062" s="67">
        <f t="shared" si="73"/>
        <v>1289.34</v>
      </c>
      <c r="AC2062" s="67">
        <f t="shared" si="11"/>
        <v>1049.75</v>
      </c>
      <c r="AD2062" s="67">
        <f t="shared" si="74"/>
        <v>167.96</v>
      </c>
      <c r="AE2062" s="67">
        <f t="shared" si="75"/>
        <v>1217.71</v>
      </c>
      <c r="AF2062" s="67">
        <f t="shared" si="33"/>
        <v>1025.05</v>
      </c>
      <c r="AG2062" s="67">
        <f t="shared" si="76"/>
        <v>164.008</v>
      </c>
      <c r="AH2062" s="67">
        <f t="shared" si="77"/>
        <v>1189.058</v>
      </c>
      <c r="AI2062" s="67">
        <f t="shared" si="17"/>
        <v>988</v>
      </c>
      <c r="AJ2062" s="68">
        <f t="shared" si="78"/>
        <v>158.08</v>
      </c>
      <c r="AK2062" s="68">
        <f t="shared" si="79"/>
        <v>1146.08</v>
      </c>
      <c r="AL2062" s="70"/>
      <c r="AM2062" s="70"/>
      <c r="AN2062" s="71"/>
      <c r="AO2062" s="71"/>
      <c r="AP2062" s="71"/>
      <c r="AQ2062" s="71"/>
      <c r="AR2062" s="71"/>
      <c r="AS2062" s="71"/>
      <c r="AT2062" s="71"/>
      <c r="AU2062" s="71"/>
      <c r="AV2062" s="71"/>
      <c r="AW2062" s="71"/>
      <c r="AX2062" s="71"/>
      <c r="AY2062" s="71"/>
      <c r="AZ2062" s="71"/>
      <c r="BA2062" s="71"/>
      <c r="BB2062" s="71"/>
      <c r="BC2062" s="71"/>
      <c r="BD2062" s="71"/>
      <c r="BE2062" s="71"/>
      <c r="BF2062" s="71"/>
      <c r="BG2062" s="71"/>
      <c r="BH2062" s="71"/>
      <c r="BI2062" s="71"/>
      <c r="BJ2062" s="71"/>
      <c r="BK2062" s="71"/>
      <c r="BL2062" s="71"/>
      <c r="BM2062" s="71"/>
      <c r="BN2062" s="71"/>
      <c r="BO2062" s="71"/>
      <c r="BP2062" s="71"/>
      <c r="BQ2062" s="71"/>
      <c r="BR2062" s="71"/>
      <c r="BS2062" s="71"/>
      <c r="BT2062" s="71"/>
      <c r="BU2062" s="71"/>
      <c r="BV2062" s="71"/>
    </row>
    <row r="2063">
      <c r="A2063" s="53">
        <v>1.0</v>
      </c>
      <c r="B2063" s="53"/>
      <c r="C2063" s="53" t="s">
        <v>53</v>
      </c>
      <c r="D2063" s="53" t="s">
        <v>5028</v>
      </c>
      <c r="E2063" s="54" t="s">
        <v>38</v>
      </c>
      <c r="F2063" s="54" t="s">
        <v>42</v>
      </c>
      <c r="G2063" s="55" t="s">
        <v>5029</v>
      </c>
      <c r="H2063" s="55" t="s">
        <v>5029</v>
      </c>
      <c r="I2063" s="54">
        <f t="shared" si="24"/>
        <v>21</v>
      </c>
      <c r="J2063" s="56"/>
      <c r="K2063" s="57"/>
      <c r="L2063" s="76"/>
      <c r="M2063" s="59"/>
      <c r="N2063" s="79">
        <v>1428.0</v>
      </c>
      <c r="O2063" s="61">
        <v>1542.0</v>
      </c>
      <c r="P2063" s="63">
        <v>1665.3600000000001</v>
      </c>
      <c r="Q2063" s="63">
        <v>1665.3600000000001</v>
      </c>
      <c r="R2063" s="64">
        <v>1799.0</v>
      </c>
      <c r="S2063" s="111">
        <v>1889.0</v>
      </c>
      <c r="T2063" s="65">
        <f t="shared" si="80"/>
        <v>302.24</v>
      </c>
      <c r="U2063" s="65">
        <f t="shared" si="81"/>
        <v>2191.24</v>
      </c>
      <c r="V2063" s="66">
        <f t="shared" si="83"/>
        <v>0.05002779322</v>
      </c>
      <c r="W2063" s="67">
        <f t="shared" si="5"/>
        <v>1794.55</v>
      </c>
      <c r="X2063" s="67">
        <f t="shared" si="70"/>
        <v>287.128</v>
      </c>
      <c r="Y2063" s="67">
        <f t="shared" si="71"/>
        <v>2081.678</v>
      </c>
      <c r="Z2063" s="67">
        <f t="shared" si="8"/>
        <v>1700.1</v>
      </c>
      <c r="AA2063" s="67">
        <f t="shared" si="72"/>
        <v>272.016</v>
      </c>
      <c r="AB2063" s="67">
        <f t="shared" si="73"/>
        <v>1972.116</v>
      </c>
      <c r="AC2063" s="67">
        <f t="shared" si="11"/>
        <v>1605.65</v>
      </c>
      <c r="AD2063" s="67">
        <f t="shared" si="74"/>
        <v>256.904</v>
      </c>
      <c r="AE2063" s="67">
        <f t="shared" si="75"/>
        <v>1862.554</v>
      </c>
      <c r="AF2063" s="67">
        <f t="shared" si="33"/>
        <v>1567.87</v>
      </c>
      <c r="AG2063" s="67">
        <f t="shared" si="76"/>
        <v>250.8592</v>
      </c>
      <c r="AH2063" s="67">
        <f t="shared" si="77"/>
        <v>1818.7292</v>
      </c>
      <c r="AI2063" s="67">
        <f t="shared" si="17"/>
        <v>1511.2</v>
      </c>
      <c r="AJ2063" s="68">
        <f t="shared" si="78"/>
        <v>241.792</v>
      </c>
      <c r="AK2063" s="68">
        <f t="shared" si="79"/>
        <v>1752.992</v>
      </c>
      <c r="AL2063" s="70"/>
      <c r="AM2063" s="70"/>
      <c r="AN2063" s="71"/>
      <c r="AO2063" s="71"/>
      <c r="AP2063" s="71"/>
      <c r="AQ2063" s="71"/>
      <c r="AR2063" s="71"/>
      <c r="AS2063" s="71"/>
      <c r="AT2063" s="71"/>
      <c r="AU2063" s="71"/>
      <c r="AV2063" s="71"/>
      <c r="AW2063" s="71"/>
      <c r="AX2063" s="71"/>
      <c r="AY2063" s="71"/>
      <c r="AZ2063" s="71"/>
      <c r="BA2063" s="71"/>
      <c r="BB2063" s="71"/>
      <c r="BC2063" s="71"/>
      <c r="BD2063" s="71"/>
      <c r="BE2063" s="71"/>
      <c r="BF2063" s="71"/>
      <c r="BG2063" s="71"/>
      <c r="BH2063" s="71"/>
      <c r="BI2063" s="71"/>
      <c r="BJ2063" s="71"/>
      <c r="BK2063" s="71"/>
      <c r="BL2063" s="71"/>
      <c r="BM2063" s="71"/>
      <c r="BN2063" s="71"/>
      <c r="BO2063" s="71"/>
      <c r="BP2063" s="71"/>
      <c r="BQ2063" s="71"/>
      <c r="BR2063" s="71"/>
      <c r="BS2063" s="71"/>
      <c r="BT2063" s="71"/>
      <c r="BU2063" s="71"/>
      <c r="BV2063" s="71"/>
    </row>
    <row r="2064">
      <c r="A2064" s="53">
        <v>1.0</v>
      </c>
      <c r="B2064" s="53"/>
      <c r="C2064" s="73" t="s">
        <v>53</v>
      </c>
      <c r="D2064" s="74" t="s">
        <v>5030</v>
      </c>
      <c r="E2064" s="54" t="s">
        <v>38</v>
      </c>
      <c r="F2064" s="54" t="s">
        <v>42</v>
      </c>
      <c r="G2064" s="54" t="s">
        <v>5031</v>
      </c>
      <c r="H2064" s="54" t="s">
        <v>5031</v>
      </c>
      <c r="I2064" s="54">
        <f t="shared" si="24"/>
        <v>21</v>
      </c>
      <c r="J2064" s="56"/>
      <c r="K2064" s="57"/>
      <c r="L2064" s="76"/>
      <c r="M2064" s="59"/>
      <c r="N2064" s="60">
        <v>1107.0</v>
      </c>
      <c r="O2064" s="61">
        <v>1195.0</v>
      </c>
      <c r="P2064" s="62">
        <v>1290.6000000000001</v>
      </c>
      <c r="Q2064" s="63">
        <v>1290.6000000000001</v>
      </c>
      <c r="R2064" s="64">
        <v>1479.0</v>
      </c>
      <c r="S2064" s="111">
        <v>1553.0</v>
      </c>
      <c r="T2064" s="65">
        <f t="shared" si="80"/>
        <v>248.48</v>
      </c>
      <c r="U2064" s="65">
        <f t="shared" si="81"/>
        <v>1801.48</v>
      </c>
      <c r="V2064" s="66">
        <f t="shared" si="83"/>
        <v>0.05003380663</v>
      </c>
      <c r="W2064" s="67">
        <f t="shared" si="5"/>
        <v>1475.35</v>
      </c>
      <c r="X2064" s="67">
        <f t="shared" si="70"/>
        <v>236.056</v>
      </c>
      <c r="Y2064" s="67">
        <f t="shared" si="71"/>
        <v>1711.406</v>
      </c>
      <c r="Z2064" s="67">
        <f t="shared" si="8"/>
        <v>1397.7</v>
      </c>
      <c r="AA2064" s="67">
        <f t="shared" si="72"/>
        <v>223.632</v>
      </c>
      <c r="AB2064" s="67">
        <f t="shared" si="73"/>
        <v>1621.332</v>
      </c>
      <c r="AC2064" s="67">
        <f t="shared" si="11"/>
        <v>1320.05</v>
      </c>
      <c r="AD2064" s="67">
        <f t="shared" si="74"/>
        <v>211.208</v>
      </c>
      <c r="AE2064" s="67">
        <f t="shared" si="75"/>
        <v>1531.258</v>
      </c>
      <c r="AF2064" s="67">
        <f t="shared" si="33"/>
        <v>1288.99</v>
      </c>
      <c r="AG2064" s="67">
        <f t="shared" si="76"/>
        <v>206.2384</v>
      </c>
      <c r="AH2064" s="67">
        <f t="shared" si="77"/>
        <v>1495.2284</v>
      </c>
      <c r="AI2064" s="67">
        <f t="shared" si="17"/>
        <v>1242.4</v>
      </c>
      <c r="AJ2064" s="68">
        <f t="shared" si="78"/>
        <v>198.784</v>
      </c>
      <c r="AK2064" s="68">
        <f t="shared" si="79"/>
        <v>1441.184</v>
      </c>
      <c r="AL2064" s="70"/>
      <c r="AM2064" s="70"/>
      <c r="AN2064" s="71"/>
      <c r="AO2064" s="71"/>
      <c r="AP2064" s="71"/>
      <c r="AQ2064" s="71"/>
      <c r="AR2064" s="71"/>
      <c r="AS2064" s="71"/>
      <c r="AT2064" s="71"/>
      <c r="AU2064" s="71"/>
      <c r="AV2064" s="71"/>
      <c r="AW2064" s="71"/>
      <c r="AX2064" s="71"/>
      <c r="AY2064" s="71"/>
      <c r="AZ2064" s="71"/>
      <c r="BA2064" s="71"/>
      <c r="BB2064" s="71"/>
      <c r="BC2064" s="71"/>
      <c r="BD2064" s="71"/>
      <c r="BE2064" s="71"/>
      <c r="BF2064" s="71"/>
      <c r="BG2064" s="71"/>
      <c r="BH2064" s="71"/>
      <c r="BI2064" s="71"/>
      <c r="BJ2064" s="71"/>
      <c r="BK2064" s="71"/>
      <c r="BL2064" s="71"/>
      <c r="BM2064" s="71"/>
      <c r="BN2064" s="71"/>
      <c r="BO2064" s="71"/>
      <c r="BP2064" s="71"/>
      <c r="BQ2064" s="71"/>
      <c r="BR2064" s="71"/>
      <c r="BS2064" s="71"/>
      <c r="BT2064" s="71"/>
      <c r="BU2064" s="71"/>
      <c r="BV2064" s="71"/>
    </row>
    <row r="2065">
      <c r="A2065" s="53">
        <v>1.0</v>
      </c>
      <c r="B2065" s="53"/>
      <c r="C2065" s="73" t="s">
        <v>53</v>
      </c>
      <c r="D2065" s="74" t="s">
        <v>5032</v>
      </c>
      <c r="E2065" s="54" t="s">
        <v>38</v>
      </c>
      <c r="F2065" s="54" t="s">
        <v>42</v>
      </c>
      <c r="G2065" s="54" t="s">
        <v>5033</v>
      </c>
      <c r="H2065" s="54" t="s">
        <v>5033</v>
      </c>
      <c r="I2065" s="54">
        <f t="shared" si="24"/>
        <v>21</v>
      </c>
      <c r="J2065" s="56"/>
      <c r="K2065" s="57"/>
      <c r="L2065" s="76"/>
      <c r="M2065" s="59"/>
      <c r="N2065" s="60">
        <v>1587.0</v>
      </c>
      <c r="O2065" s="61">
        <v>1713.0</v>
      </c>
      <c r="P2065" s="62">
        <v>1850.0400000000002</v>
      </c>
      <c r="Q2065" s="63">
        <v>1850.0400000000002</v>
      </c>
      <c r="R2065" s="64">
        <v>2119.0</v>
      </c>
      <c r="S2065" s="111">
        <v>2225.0</v>
      </c>
      <c r="T2065" s="65">
        <f t="shared" si="80"/>
        <v>356</v>
      </c>
      <c r="U2065" s="65">
        <f t="shared" si="81"/>
        <v>2581</v>
      </c>
      <c r="V2065" s="66">
        <f t="shared" si="83"/>
        <v>0.05002359604</v>
      </c>
      <c r="W2065" s="67">
        <f t="shared" si="5"/>
        <v>2113.75</v>
      </c>
      <c r="X2065" s="67">
        <f t="shared" si="70"/>
        <v>338.2</v>
      </c>
      <c r="Y2065" s="67">
        <f t="shared" si="71"/>
        <v>2451.95</v>
      </c>
      <c r="Z2065" s="67">
        <f t="shared" si="8"/>
        <v>2002.5</v>
      </c>
      <c r="AA2065" s="67">
        <f t="shared" si="72"/>
        <v>320.4</v>
      </c>
      <c r="AB2065" s="67">
        <f t="shared" si="73"/>
        <v>2322.9</v>
      </c>
      <c r="AC2065" s="67">
        <f t="shared" si="11"/>
        <v>1891.25</v>
      </c>
      <c r="AD2065" s="67">
        <f t="shared" si="74"/>
        <v>302.6</v>
      </c>
      <c r="AE2065" s="67">
        <f t="shared" si="75"/>
        <v>2193.85</v>
      </c>
      <c r="AF2065" s="67">
        <f t="shared" si="33"/>
        <v>1846.75</v>
      </c>
      <c r="AG2065" s="67">
        <f t="shared" si="76"/>
        <v>295.48</v>
      </c>
      <c r="AH2065" s="67">
        <f t="shared" si="77"/>
        <v>2142.23</v>
      </c>
      <c r="AI2065" s="67">
        <f t="shared" si="17"/>
        <v>1780</v>
      </c>
      <c r="AJ2065" s="68">
        <f t="shared" si="78"/>
        <v>284.8</v>
      </c>
      <c r="AK2065" s="68">
        <f t="shared" si="79"/>
        <v>2064.8</v>
      </c>
      <c r="AL2065" s="70"/>
      <c r="AM2065" s="70"/>
      <c r="AN2065" s="71"/>
      <c r="AO2065" s="71"/>
      <c r="AP2065" s="71"/>
      <c r="AQ2065" s="71"/>
      <c r="AR2065" s="71"/>
      <c r="AS2065" s="71"/>
      <c r="AT2065" s="71"/>
      <c r="AU2065" s="71"/>
      <c r="AV2065" s="71"/>
      <c r="AW2065" s="71"/>
      <c r="AX2065" s="71"/>
      <c r="AY2065" s="71"/>
      <c r="AZ2065" s="71"/>
      <c r="BA2065" s="71"/>
      <c r="BB2065" s="71"/>
      <c r="BC2065" s="71"/>
      <c r="BD2065" s="71"/>
      <c r="BE2065" s="71"/>
      <c r="BF2065" s="71"/>
      <c r="BG2065" s="71"/>
      <c r="BH2065" s="71"/>
      <c r="BI2065" s="71"/>
      <c r="BJ2065" s="71"/>
      <c r="BK2065" s="71"/>
      <c r="BL2065" s="71"/>
      <c r="BM2065" s="71"/>
      <c r="BN2065" s="71"/>
      <c r="BO2065" s="71"/>
      <c r="BP2065" s="71"/>
      <c r="BQ2065" s="71"/>
      <c r="BR2065" s="71"/>
      <c r="BS2065" s="71"/>
      <c r="BT2065" s="71"/>
      <c r="BU2065" s="71"/>
      <c r="BV2065" s="71"/>
    </row>
    <row r="2066">
      <c r="A2066" s="53">
        <v>1.0</v>
      </c>
      <c r="B2066" s="53"/>
      <c r="C2066" s="73" t="s">
        <v>53</v>
      </c>
      <c r="D2066" s="74" t="s">
        <v>5034</v>
      </c>
      <c r="E2066" s="54" t="s">
        <v>38</v>
      </c>
      <c r="F2066" s="54" t="s">
        <v>42</v>
      </c>
      <c r="G2066" s="55" t="s">
        <v>5035</v>
      </c>
      <c r="H2066" s="55" t="s">
        <v>5035</v>
      </c>
      <c r="I2066" s="54">
        <f t="shared" si="24"/>
        <v>37</v>
      </c>
      <c r="J2066" s="56"/>
      <c r="K2066" s="57"/>
      <c r="L2066" s="76"/>
      <c r="M2066" s="59"/>
      <c r="N2066" s="60">
        <v>67.0</v>
      </c>
      <c r="O2066" s="61">
        <v>72.0</v>
      </c>
      <c r="P2066" s="62">
        <v>77.76</v>
      </c>
      <c r="Q2066" s="63">
        <v>77.76</v>
      </c>
      <c r="R2066" s="64">
        <v>90.0</v>
      </c>
      <c r="S2066" s="111">
        <v>95.0</v>
      </c>
      <c r="T2066" s="65">
        <f t="shared" si="80"/>
        <v>15.2</v>
      </c>
      <c r="U2066" s="65">
        <f t="shared" si="81"/>
        <v>110.2</v>
      </c>
      <c r="V2066" s="66">
        <f t="shared" si="83"/>
        <v>0.05555555556</v>
      </c>
      <c r="W2066" s="67">
        <f t="shared" si="5"/>
        <v>90.25</v>
      </c>
      <c r="X2066" s="67">
        <f t="shared" si="70"/>
        <v>14.44</v>
      </c>
      <c r="Y2066" s="67">
        <f t="shared" si="71"/>
        <v>104.69</v>
      </c>
      <c r="Z2066" s="67">
        <f t="shared" si="8"/>
        <v>85.5</v>
      </c>
      <c r="AA2066" s="67">
        <f t="shared" si="72"/>
        <v>13.68</v>
      </c>
      <c r="AB2066" s="67">
        <f t="shared" si="73"/>
        <v>99.18</v>
      </c>
      <c r="AC2066" s="67">
        <f t="shared" si="11"/>
        <v>80.75</v>
      </c>
      <c r="AD2066" s="67">
        <f t="shared" si="74"/>
        <v>12.92</v>
      </c>
      <c r="AE2066" s="67">
        <f t="shared" si="75"/>
        <v>93.67</v>
      </c>
      <c r="AF2066" s="67">
        <f t="shared" si="33"/>
        <v>78.85</v>
      </c>
      <c r="AG2066" s="67">
        <f t="shared" si="76"/>
        <v>12.616</v>
      </c>
      <c r="AH2066" s="67">
        <f t="shared" si="77"/>
        <v>91.466</v>
      </c>
      <c r="AI2066" s="67">
        <f t="shared" si="17"/>
        <v>76</v>
      </c>
      <c r="AJ2066" s="68">
        <f t="shared" si="78"/>
        <v>12.16</v>
      </c>
      <c r="AK2066" s="68">
        <f t="shared" si="79"/>
        <v>88.16</v>
      </c>
      <c r="AL2066" s="70"/>
      <c r="AM2066" s="70"/>
      <c r="AN2066" s="71"/>
      <c r="AO2066" s="71"/>
      <c r="AP2066" s="71"/>
      <c r="AQ2066" s="71"/>
      <c r="AR2066" s="71"/>
      <c r="AS2066" s="71"/>
      <c r="AT2066" s="71"/>
      <c r="AU2066" s="71"/>
      <c r="AV2066" s="71"/>
      <c r="AW2066" s="71"/>
      <c r="AX2066" s="71"/>
      <c r="AY2066" s="71"/>
      <c r="AZ2066" s="71"/>
      <c r="BA2066" s="71"/>
      <c r="BB2066" s="71"/>
      <c r="BC2066" s="71"/>
      <c r="BD2066" s="71"/>
      <c r="BE2066" s="71"/>
      <c r="BF2066" s="71"/>
      <c r="BG2066" s="71"/>
      <c r="BH2066" s="71"/>
      <c r="BI2066" s="71"/>
      <c r="BJ2066" s="71"/>
      <c r="BK2066" s="71"/>
      <c r="BL2066" s="71"/>
      <c r="BM2066" s="71"/>
      <c r="BN2066" s="71"/>
      <c r="BO2066" s="71"/>
      <c r="BP2066" s="71"/>
      <c r="BQ2066" s="71"/>
      <c r="BR2066" s="71"/>
      <c r="BS2066" s="71"/>
      <c r="BT2066" s="71"/>
      <c r="BU2066" s="71"/>
      <c r="BV2066" s="71"/>
    </row>
    <row r="2067">
      <c r="A2067" s="53">
        <v>1.0</v>
      </c>
      <c r="B2067" s="53"/>
      <c r="C2067" s="73" t="s">
        <v>53</v>
      </c>
      <c r="D2067" s="74" t="s">
        <v>5036</v>
      </c>
      <c r="E2067" s="54" t="s">
        <v>38</v>
      </c>
      <c r="F2067" s="54" t="s">
        <v>42</v>
      </c>
      <c r="G2067" s="55" t="s">
        <v>5037</v>
      </c>
      <c r="H2067" s="55" t="s">
        <v>5037</v>
      </c>
      <c r="I2067" s="54">
        <f t="shared" si="24"/>
        <v>37</v>
      </c>
      <c r="J2067" s="56"/>
      <c r="K2067" s="57"/>
      <c r="L2067" s="76"/>
      <c r="M2067" s="59"/>
      <c r="N2067" s="60">
        <v>67.0</v>
      </c>
      <c r="O2067" s="61">
        <v>72.0</v>
      </c>
      <c r="P2067" s="62">
        <v>77.76</v>
      </c>
      <c r="Q2067" s="63">
        <v>77.76</v>
      </c>
      <c r="R2067" s="64">
        <v>90.0</v>
      </c>
      <c r="S2067" s="111">
        <v>95.0</v>
      </c>
      <c r="T2067" s="65">
        <f t="shared" si="80"/>
        <v>15.2</v>
      </c>
      <c r="U2067" s="65">
        <f t="shared" si="81"/>
        <v>110.2</v>
      </c>
      <c r="V2067" s="66">
        <f t="shared" si="83"/>
        <v>0.05555555556</v>
      </c>
      <c r="W2067" s="67">
        <f t="shared" si="5"/>
        <v>90.25</v>
      </c>
      <c r="X2067" s="67">
        <f t="shared" si="70"/>
        <v>14.44</v>
      </c>
      <c r="Y2067" s="67">
        <f t="shared" si="71"/>
        <v>104.69</v>
      </c>
      <c r="Z2067" s="67">
        <f t="shared" si="8"/>
        <v>85.5</v>
      </c>
      <c r="AA2067" s="67">
        <f t="shared" si="72"/>
        <v>13.68</v>
      </c>
      <c r="AB2067" s="67">
        <f t="shared" si="73"/>
        <v>99.18</v>
      </c>
      <c r="AC2067" s="67">
        <f t="shared" si="11"/>
        <v>80.75</v>
      </c>
      <c r="AD2067" s="67">
        <f t="shared" si="74"/>
        <v>12.92</v>
      </c>
      <c r="AE2067" s="67">
        <f t="shared" si="75"/>
        <v>93.67</v>
      </c>
      <c r="AF2067" s="67">
        <f t="shared" si="33"/>
        <v>78.85</v>
      </c>
      <c r="AG2067" s="67">
        <f t="shared" si="76"/>
        <v>12.616</v>
      </c>
      <c r="AH2067" s="67">
        <f t="shared" si="77"/>
        <v>91.466</v>
      </c>
      <c r="AI2067" s="67">
        <f t="shared" si="17"/>
        <v>76</v>
      </c>
      <c r="AJ2067" s="68">
        <f t="shared" si="78"/>
        <v>12.16</v>
      </c>
      <c r="AK2067" s="68">
        <f t="shared" si="79"/>
        <v>88.16</v>
      </c>
      <c r="AL2067" s="70"/>
      <c r="AM2067" s="70"/>
      <c r="AN2067" s="71"/>
      <c r="AO2067" s="71"/>
      <c r="AP2067" s="71"/>
      <c r="AQ2067" s="71"/>
      <c r="AR2067" s="71"/>
      <c r="AS2067" s="71"/>
      <c r="AT2067" s="71"/>
      <c r="AU2067" s="71"/>
      <c r="AV2067" s="71"/>
      <c r="AW2067" s="71"/>
      <c r="AX2067" s="71"/>
      <c r="AY2067" s="71"/>
      <c r="AZ2067" s="71"/>
      <c r="BA2067" s="71"/>
      <c r="BB2067" s="71"/>
      <c r="BC2067" s="71"/>
      <c r="BD2067" s="71"/>
      <c r="BE2067" s="71"/>
      <c r="BF2067" s="71"/>
      <c r="BG2067" s="71"/>
      <c r="BH2067" s="71"/>
      <c r="BI2067" s="71"/>
      <c r="BJ2067" s="71"/>
      <c r="BK2067" s="71"/>
      <c r="BL2067" s="71"/>
      <c r="BM2067" s="71"/>
      <c r="BN2067" s="71"/>
      <c r="BO2067" s="71"/>
      <c r="BP2067" s="71"/>
      <c r="BQ2067" s="71"/>
      <c r="BR2067" s="71"/>
      <c r="BS2067" s="71"/>
      <c r="BT2067" s="71"/>
      <c r="BU2067" s="71"/>
      <c r="BV2067" s="71"/>
    </row>
    <row r="2068">
      <c r="A2068" s="53">
        <v>1.0</v>
      </c>
      <c r="B2068" s="53"/>
      <c r="C2068" s="53" t="s">
        <v>53</v>
      </c>
      <c r="D2068" s="53" t="s">
        <v>5038</v>
      </c>
      <c r="E2068" s="86" t="s">
        <v>38</v>
      </c>
      <c r="F2068" s="91" t="s">
        <v>42</v>
      </c>
      <c r="G2068" s="84" t="s">
        <v>5039</v>
      </c>
      <c r="H2068" s="84" t="s">
        <v>5039</v>
      </c>
      <c r="I2068" s="54">
        <f t="shared" si="24"/>
        <v>35</v>
      </c>
      <c r="J2068" s="56"/>
      <c r="K2068" s="57"/>
      <c r="L2068" s="119"/>
      <c r="M2068" s="59"/>
      <c r="N2068" s="93"/>
      <c r="O2068" s="61"/>
      <c r="P2068" s="90"/>
      <c r="Q2068" s="94"/>
      <c r="R2068" s="95"/>
      <c r="S2068" s="111">
        <v>95.0</v>
      </c>
      <c r="T2068" s="65">
        <f t="shared" si="80"/>
        <v>15.2</v>
      </c>
      <c r="U2068" s="65">
        <f t="shared" si="81"/>
        <v>110.2</v>
      </c>
      <c r="V2068" s="66" t="str">
        <f t="shared" si="83"/>
        <v>#DIV/0!</v>
      </c>
      <c r="W2068" s="67">
        <f t="shared" si="5"/>
        <v>90.25</v>
      </c>
      <c r="X2068" s="67">
        <f t="shared" si="70"/>
        <v>14.44</v>
      </c>
      <c r="Y2068" s="67">
        <f t="shared" si="71"/>
        <v>104.69</v>
      </c>
      <c r="Z2068" s="67">
        <f t="shared" si="8"/>
        <v>85.5</v>
      </c>
      <c r="AA2068" s="67">
        <f t="shared" si="72"/>
        <v>13.68</v>
      </c>
      <c r="AB2068" s="67">
        <f t="shared" si="73"/>
        <v>99.18</v>
      </c>
      <c r="AC2068" s="67">
        <f t="shared" si="11"/>
        <v>80.75</v>
      </c>
      <c r="AD2068" s="67">
        <f t="shared" si="74"/>
        <v>12.92</v>
      </c>
      <c r="AE2068" s="67">
        <f t="shared" si="75"/>
        <v>93.67</v>
      </c>
      <c r="AF2068" s="67">
        <f t="shared" si="33"/>
        <v>78.85</v>
      </c>
      <c r="AG2068" s="67">
        <f t="shared" si="76"/>
        <v>12.616</v>
      </c>
      <c r="AH2068" s="67">
        <f t="shared" si="77"/>
        <v>91.466</v>
      </c>
      <c r="AI2068" s="67">
        <f t="shared" si="17"/>
        <v>76</v>
      </c>
      <c r="AJ2068" s="68">
        <f t="shared" si="78"/>
        <v>12.16</v>
      </c>
      <c r="AK2068" s="68">
        <f t="shared" si="79"/>
        <v>88.16</v>
      </c>
      <c r="AL2068" s="70"/>
      <c r="AM2068" s="70"/>
      <c r="AN2068" s="71"/>
      <c r="AO2068" s="71"/>
      <c r="AP2068" s="71"/>
      <c r="AQ2068" s="71"/>
      <c r="AR2068" s="71"/>
      <c r="AS2068" s="71"/>
      <c r="AT2068" s="71"/>
      <c r="AU2068" s="71"/>
      <c r="AV2068" s="71"/>
      <c r="AW2068" s="71"/>
      <c r="AX2068" s="71"/>
      <c r="AY2068" s="71"/>
      <c r="AZ2068" s="71"/>
      <c r="BA2068" s="71"/>
      <c r="BB2068" s="71"/>
      <c r="BC2068" s="71"/>
      <c r="BD2068" s="71"/>
      <c r="BE2068" s="71"/>
      <c r="BF2068" s="71"/>
      <c r="BG2068" s="71"/>
      <c r="BH2068" s="71"/>
      <c r="BI2068" s="71"/>
      <c r="BJ2068" s="71"/>
      <c r="BK2068" s="71"/>
      <c r="BL2068" s="71"/>
      <c r="BM2068" s="71"/>
      <c r="BN2068" s="71"/>
      <c r="BO2068" s="71"/>
      <c r="BP2068" s="71"/>
      <c r="BQ2068" s="71"/>
      <c r="BR2068" s="71"/>
      <c r="BS2068" s="71"/>
      <c r="BT2068" s="71"/>
      <c r="BU2068" s="71"/>
      <c r="BV2068" s="71"/>
    </row>
    <row r="2069">
      <c r="A2069" s="53">
        <v>1.0</v>
      </c>
      <c r="B2069" s="53"/>
      <c r="C2069" s="73" t="s">
        <v>53</v>
      </c>
      <c r="D2069" s="53" t="s">
        <v>5040</v>
      </c>
      <c r="E2069" s="54" t="s">
        <v>38</v>
      </c>
      <c r="F2069" s="54" t="s">
        <v>42</v>
      </c>
      <c r="G2069" s="55" t="s">
        <v>5041</v>
      </c>
      <c r="H2069" s="55" t="s">
        <v>5041</v>
      </c>
      <c r="I2069" s="54">
        <f t="shared" si="24"/>
        <v>19</v>
      </c>
      <c r="J2069" s="56"/>
      <c r="K2069" s="57"/>
      <c r="L2069" s="76"/>
      <c r="M2069" s="59"/>
      <c r="N2069" s="60"/>
      <c r="O2069" s="61">
        <v>82.0</v>
      </c>
      <c r="P2069" s="62">
        <v>88.56</v>
      </c>
      <c r="Q2069" s="63">
        <v>88.56</v>
      </c>
      <c r="R2069" s="64">
        <v>97.0</v>
      </c>
      <c r="S2069" s="111">
        <v>102.0</v>
      </c>
      <c r="T2069" s="65">
        <f t="shared" si="80"/>
        <v>16.32</v>
      </c>
      <c r="U2069" s="65">
        <f t="shared" si="81"/>
        <v>118.32</v>
      </c>
      <c r="V2069" s="66">
        <f t="shared" si="83"/>
        <v>0.05154639175</v>
      </c>
      <c r="W2069" s="67">
        <f t="shared" si="5"/>
        <v>96.9</v>
      </c>
      <c r="X2069" s="67">
        <f t="shared" si="70"/>
        <v>15.504</v>
      </c>
      <c r="Y2069" s="67">
        <f t="shared" si="71"/>
        <v>112.404</v>
      </c>
      <c r="Z2069" s="67">
        <f t="shared" si="8"/>
        <v>91.8</v>
      </c>
      <c r="AA2069" s="67">
        <f t="shared" si="72"/>
        <v>14.688</v>
      </c>
      <c r="AB2069" s="67">
        <f t="shared" si="73"/>
        <v>106.488</v>
      </c>
      <c r="AC2069" s="67">
        <f t="shared" si="11"/>
        <v>86.7</v>
      </c>
      <c r="AD2069" s="67">
        <f t="shared" si="74"/>
        <v>13.872</v>
      </c>
      <c r="AE2069" s="67">
        <f t="shared" si="75"/>
        <v>100.572</v>
      </c>
      <c r="AF2069" s="67">
        <f t="shared" si="33"/>
        <v>84.66</v>
      </c>
      <c r="AG2069" s="67">
        <f t="shared" si="76"/>
        <v>13.5456</v>
      </c>
      <c r="AH2069" s="67">
        <f t="shared" si="77"/>
        <v>98.2056</v>
      </c>
      <c r="AI2069" s="67">
        <f t="shared" si="17"/>
        <v>81.6</v>
      </c>
      <c r="AJ2069" s="68">
        <f t="shared" si="78"/>
        <v>13.056</v>
      </c>
      <c r="AK2069" s="68">
        <f t="shared" si="79"/>
        <v>94.656</v>
      </c>
      <c r="AL2069" s="70"/>
      <c r="AM2069" s="70"/>
      <c r="AN2069" s="71"/>
      <c r="AO2069" s="71"/>
      <c r="AP2069" s="71"/>
      <c r="AQ2069" s="71"/>
      <c r="AR2069" s="71"/>
      <c r="AS2069" s="71"/>
      <c r="AT2069" s="71"/>
      <c r="AU2069" s="71"/>
      <c r="AV2069" s="71"/>
      <c r="AW2069" s="71"/>
      <c r="AX2069" s="71"/>
      <c r="AY2069" s="71"/>
      <c r="AZ2069" s="71"/>
      <c r="BA2069" s="71"/>
      <c r="BB2069" s="71"/>
      <c r="BC2069" s="71"/>
      <c r="BD2069" s="71"/>
      <c r="BE2069" s="71"/>
      <c r="BF2069" s="71"/>
      <c r="BG2069" s="71"/>
      <c r="BH2069" s="71"/>
      <c r="BI2069" s="71"/>
      <c r="BJ2069" s="71"/>
      <c r="BK2069" s="71"/>
      <c r="BL2069" s="71"/>
      <c r="BM2069" s="71"/>
      <c r="BN2069" s="71"/>
      <c r="BO2069" s="71"/>
      <c r="BP2069" s="71"/>
      <c r="BQ2069" s="71"/>
      <c r="BR2069" s="71"/>
      <c r="BS2069" s="71"/>
      <c r="BT2069" s="71"/>
      <c r="BU2069" s="71"/>
      <c r="BV2069" s="71"/>
    </row>
    <row r="2070">
      <c r="A2070" s="53">
        <v>1.0</v>
      </c>
      <c r="B2070" s="53"/>
      <c r="C2070" s="73" t="s">
        <v>53</v>
      </c>
      <c r="D2070" s="128" t="s">
        <v>5042</v>
      </c>
      <c r="E2070" s="54" t="s">
        <v>38</v>
      </c>
      <c r="F2070" s="54" t="s">
        <v>42</v>
      </c>
      <c r="G2070" s="55" t="s">
        <v>5043</v>
      </c>
      <c r="H2070" s="55" t="s">
        <v>5043</v>
      </c>
      <c r="I2070" s="54">
        <f t="shared" si="24"/>
        <v>24</v>
      </c>
      <c r="J2070" s="56"/>
      <c r="K2070" s="57"/>
      <c r="L2070" s="76"/>
      <c r="M2070" s="59"/>
      <c r="N2070" s="60">
        <v>76.65</v>
      </c>
      <c r="O2070" s="129">
        <v>82.0</v>
      </c>
      <c r="P2070" s="62">
        <v>88.56</v>
      </c>
      <c r="Q2070" s="63">
        <v>88.56</v>
      </c>
      <c r="R2070" s="64">
        <v>97.0</v>
      </c>
      <c r="S2070" s="111">
        <v>102.0</v>
      </c>
      <c r="T2070" s="65">
        <f t="shared" si="80"/>
        <v>16.32</v>
      </c>
      <c r="U2070" s="65">
        <f t="shared" si="81"/>
        <v>118.32</v>
      </c>
      <c r="V2070" s="66">
        <f t="shared" si="83"/>
        <v>0.05154639175</v>
      </c>
      <c r="W2070" s="67">
        <f t="shared" si="5"/>
        <v>96.9</v>
      </c>
      <c r="X2070" s="67">
        <f t="shared" si="70"/>
        <v>15.504</v>
      </c>
      <c r="Y2070" s="67">
        <f t="shared" si="71"/>
        <v>112.404</v>
      </c>
      <c r="Z2070" s="67">
        <f t="shared" si="8"/>
        <v>91.8</v>
      </c>
      <c r="AA2070" s="67">
        <f t="shared" si="72"/>
        <v>14.688</v>
      </c>
      <c r="AB2070" s="67">
        <f t="shared" si="73"/>
        <v>106.488</v>
      </c>
      <c r="AC2070" s="67">
        <f t="shared" si="11"/>
        <v>86.7</v>
      </c>
      <c r="AD2070" s="67">
        <f t="shared" si="74"/>
        <v>13.872</v>
      </c>
      <c r="AE2070" s="67">
        <f t="shared" si="75"/>
        <v>100.572</v>
      </c>
      <c r="AF2070" s="67">
        <f t="shared" si="33"/>
        <v>84.66</v>
      </c>
      <c r="AG2070" s="67">
        <f t="shared" si="76"/>
        <v>13.5456</v>
      </c>
      <c r="AH2070" s="67">
        <f t="shared" si="77"/>
        <v>98.2056</v>
      </c>
      <c r="AI2070" s="67">
        <f t="shared" si="17"/>
        <v>81.6</v>
      </c>
      <c r="AJ2070" s="68">
        <f t="shared" si="78"/>
        <v>13.056</v>
      </c>
      <c r="AK2070" s="68">
        <f t="shared" si="79"/>
        <v>94.656</v>
      </c>
      <c r="AL2070" s="70"/>
      <c r="AM2070" s="70"/>
      <c r="AN2070" s="71"/>
      <c r="AO2070" s="71"/>
      <c r="AP2070" s="71"/>
      <c r="AQ2070" s="71"/>
      <c r="AR2070" s="71"/>
      <c r="AS2070" s="71"/>
      <c r="AT2070" s="71"/>
      <c r="AU2070" s="71"/>
      <c r="AV2070" s="71"/>
      <c r="AW2070" s="71"/>
      <c r="AX2070" s="71"/>
      <c r="AY2070" s="71"/>
      <c r="AZ2070" s="71"/>
      <c r="BA2070" s="71"/>
      <c r="BB2070" s="71"/>
      <c r="BC2070" s="71"/>
      <c r="BD2070" s="71"/>
      <c r="BE2070" s="71"/>
      <c r="BF2070" s="71"/>
      <c r="BG2070" s="71"/>
      <c r="BH2070" s="71"/>
      <c r="BI2070" s="71"/>
      <c r="BJ2070" s="71"/>
      <c r="BK2070" s="71"/>
      <c r="BL2070" s="71"/>
      <c r="BM2070" s="71"/>
      <c r="BN2070" s="71"/>
      <c r="BO2070" s="71"/>
      <c r="BP2070" s="71"/>
      <c r="BQ2070" s="71"/>
      <c r="BR2070" s="71"/>
      <c r="BS2070" s="71"/>
      <c r="BT2070" s="71"/>
      <c r="BU2070" s="71"/>
      <c r="BV2070" s="71"/>
    </row>
    <row r="2071">
      <c r="A2071" s="53">
        <v>1.0</v>
      </c>
      <c r="B2071" s="53"/>
      <c r="C2071" s="73" t="s">
        <v>53</v>
      </c>
      <c r="D2071" s="74" t="s">
        <v>5044</v>
      </c>
      <c r="E2071" s="54" t="s">
        <v>38</v>
      </c>
      <c r="F2071" s="54" t="s">
        <v>42</v>
      </c>
      <c r="G2071" s="55" t="s">
        <v>5045</v>
      </c>
      <c r="H2071" s="55" t="s">
        <v>5045</v>
      </c>
      <c r="I2071" s="54">
        <f t="shared" si="24"/>
        <v>27</v>
      </c>
      <c r="J2071" s="56"/>
      <c r="K2071" s="57"/>
      <c r="L2071" s="76"/>
      <c r="M2071" s="59"/>
      <c r="N2071" s="60">
        <v>67.0</v>
      </c>
      <c r="O2071" s="61">
        <v>72.0</v>
      </c>
      <c r="P2071" s="62">
        <v>77.76</v>
      </c>
      <c r="Q2071" s="63">
        <v>77.76</v>
      </c>
      <c r="R2071" s="64">
        <v>90.0</v>
      </c>
      <c r="S2071" s="111">
        <v>95.0</v>
      </c>
      <c r="T2071" s="65">
        <f t="shared" si="80"/>
        <v>15.2</v>
      </c>
      <c r="U2071" s="65">
        <f t="shared" si="81"/>
        <v>110.2</v>
      </c>
      <c r="V2071" s="66">
        <f t="shared" si="83"/>
        <v>0.05555555556</v>
      </c>
      <c r="W2071" s="67">
        <f t="shared" si="5"/>
        <v>90.25</v>
      </c>
      <c r="X2071" s="67">
        <f t="shared" si="70"/>
        <v>14.44</v>
      </c>
      <c r="Y2071" s="67">
        <f t="shared" si="71"/>
        <v>104.69</v>
      </c>
      <c r="Z2071" s="67">
        <f t="shared" si="8"/>
        <v>85.5</v>
      </c>
      <c r="AA2071" s="67">
        <f t="shared" si="72"/>
        <v>13.68</v>
      </c>
      <c r="AB2071" s="67">
        <f t="shared" si="73"/>
        <v>99.18</v>
      </c>
      <c r="AC2071" s="67">
        <f t="shared" si="11"/>
        <v>80.75</v>
      </c>
      <c r="AD2071" s="67">
        <f t="shared" si="74"/>
        <v>12.92</v>
      </c>
      <c r="AE2071" s="67">
        <f t="shared" si="75"/>
        <v>93.67</v>
      </c>
      <c r="AF2071" s="67">
        <f t="shared" si="33"/>
        <v>78.85</v>
      </c>
      <c r="AG2071" s="67">
        <f t="shared" si="76"/>
        <v>12.616</v>
      </c>
      <c r="AH2071" s="67">
        <f t="shared" si="77"/>
        <v>91.466</v>
      </c>
      <c r="AI2071" s="67">
        <f t="shared" si="17"/>
        <v>76</v>
      </c>
      <c r="AJ2071" s="68">
        <f t="shared" si="78"/>
        <v>12.16</v>
      </c>
      <c r="AK2071" s="68">
        <f t="shared" si="79"/>
        <v>88.16</v>
      </c>
      <c r="AL2071" s="70"/>
      <c r="AM2071" s="70"/>
      <c r="AN2071" s="71"/>
      <c r="AO2071" s="71"/>
      <c r="AP2071" s="71"/>
      <c r="AQ2071" s="71"/>
      <c r="AR2071" s="71"/>
      <c r="AS2071" s="71"/>
      <c r="AT2071" s="71"/>
      <c r="AU2071" s="71"/>
      <c r="AV2071" s="71"/>
      <c r="AW2071" s="71"/>
      <c r="AX2071" s="71"/>
      <c r="AY2071" s="71"/>
      <c r="AZ2071" s="71"/>
      <c r="BA2071" s="71"/>
      <c r="BB2071" s="71"/>
      <c r="BC2071" s="71"/>
      <c r="BD2071" s="71"/>
      <c r="BE2071" s="71"/>
      <c r="BF2071" s="71"/>
      <c r="BG2071" s="71"/>
      <c r="BH2071" s="71"/>
      <c r="BI2071" s="71"/>
      <c r="BJ2071" s="71"/>
      <c r="BK2071" s="71"/>
      <c r="BL2071" s="71"/>
      <c r="BM2071" s="71"/>
      <c r="BN2071" s="71"/>
      <c r="BO2071" s="71"/>
      <c r="BP2071" s="71"/>
      <c r="BQ2071" s="71"/>
      <c r="BR2071" s="71"/>
      <c r="BS2071" s="71"/>
      <c r="BT2071" s="71"/>
      <c r="BU2071" s="71"/>
      <c r="BV2071" s="71"/>
    </row>
    <row r="2072">
      <c r="A2072" s="53">
        <v>1.0</v>
      </c>
      <c r="B2072" s="53"/>
      <c r="C2072" s="73" t="s">
        <v>53</v>
      </c>
      <c r="D2072" s="74" t="s">
        <v>5046</v>
      </c>
      <c r="E2072" s="54" t="s">
        <v>38</v>
      </c>
      <c r="F2072" s="54" t="s">
        <v>42</v>
      </c>
      <c r="G2072" s="55" t="s">
        <v>5047</v>
      </c>
      <c r="H2072" s="55" t="s">
        <v>5047</v>
      </c>
      <c r="I2072" s="54">
        <f t="shared" si="24"/>
        <v>37</v>
      </c>
      <c r="J2072" s="56"/>
      <c r="K2072" s="57"/>
      <c r="L2072" s="76"/>
      <c r="M2072" s="59"/>
      <c r="N2072" s="60">
        <v>113.0</v>
      </c>
      <c r="O2072" s="61">
        <v>122.0</v>
      </c>
      <c r="P2072" s="62">
        <v>131.76000000000002</v>
      </c>
      <c r="Q2072" s="63">
        <v>131.76000000000002</v>
      </c>
      <c r="R2072" s="64">
        <v>152.0</v>
      </c>
      <c r="S2072" s="111">
        <v>160.0</v>
      </c>
      <c r="T2072" s="65">
        <f t="shared" si="80"/>
        <v>25.6</v>
      </c>
      <c r="U2072" s="65">
        <f t="shared" si="81"/>
        <v>185.6</v>
      </c>
      <c r="V2072" s="66">
        <f t="shared" si="83"/>
        <v>0.05263157895</v>
      </c>
      <c r="W2072" s="67">
        <f t="shared" si="5"/>
        <v>152</v>
      </c>
      <c r="X2072" s="67">
        <f t="shared" si="70"/>
        <v>24.32</v>
      </c>
      <c r="Y2072" s="67">
        <f t="shared" si="71"/>
        <v>176.32</v>
      </c>
      <c r="Z2072" s="67">
        <f t="shared" si="8"/>
        <v>144</v>
      </c>
      <c r="AA2072" s="67">
        <f t="shared" si="72"/>
        <v>23.04</v>
      </c>
      <c r="AB2072" s="67">
        <f t="shared" si="73"/>
        <v>167.04</v>
      </c>
      <c r="AC2072" s="67">
        <f t="shared" si="11"/>
        <v>136</v>
      </c>
      <c r="AD2072" s="67">
        <f t="shared" si="74"/>
        <v>21.76</v>
      </c>
      <c r="AE2072" s="67">
        <f t="shared" si="75"/>
        <v>157.76</v>
      </c>
      <c r="AF2072" s="67">
        <f t="shared" si="33"/>
        <v>132.8</v>
      </c>
      <c r="AG2072" s="67">
        <f t="shared" si="76"/>
        <v>21.248</v>
      </c>
      <c r="AH2072" s="67">
        <f t="shared" si="77"/>
        <v>154.048</v>
      </c>
      <c r="AI2072" s="67">
        <f t="shared" si="17"/>
        <v>128</v>
      </c>
      <c r="AJ2072" s="68">
        <f t="shared" si="78"/>
        <v>20.48</v>
      </c>
      <c r="AK2072" s="68">
        <f t="shared" si="79"/>
        <v>148.48</v>
      </c>
      <c r="AL2072" s="70"/>
      <c r="AM2072" s="70"/>
      <c r="AN2072" s="71"/>
      <c r="AO2072" s="71"/>
      <c r="AP2072" s="71"/>
      <c r="AQ2072" s="71"/>
      <c r="AR2072" s="71"/>
      <c r="AS2072" s="71"/>
      <c r="AT2072" s="71"/>
      <c r="AU2072" s="71"/>
      <c r="AV2072" s="71"/>
      <c r="AW2072" s="71"/>
      <c r="AX2072" s="71"/>
      <c r="AY2072" s="71"/>
      <c r="AZ2072" s="71"/>
      <c r="BA2072" s="71"/>
      <c r="BB2072" s="71"/>
      <c r="BC2072" s="71"/>
      <c r="BD2072" s="71"/>
      <c r="BE2072" s="71"/>
      <c r="BF2072" s="71"/>
      <c r="BG2072" s="71"/>
      <c r="BH2072" s="71"/>
      <c r="BI2072" s="71"/>
      <c r="BJ2072" s="71"/>
      <c r="BK2072" s="71"/>
      <c r="BL2072" s="71"/>
      <c r="BM2072" s="71"/>
      <c r="BN2072" s="71"/>
      <c r="BO2072" s="71"/>
      <c r="BP2072" s="71"/>
      <c r="BQ2072" s="71"/>
      <c r="BR2072" s="71"/>
      <c r="BS2072" s="71"/>
      <c r="BT2072" s="71"/>
      <c r="BU2072" s="71"/>
      <c r="BV2072" s="71"/>
    </row>
    <row r="2073">
      <c r="A2073" s="53">
        <v>1.0</v>
      </c>
      <c r="B2073" s="53"/>
      <c r="C2073" s="73" t="s">
        <v>53</v>
      </c>
      <c r="D2073" s="74" t="s">
        <v>5048</v>
      </c>
      <c r="E2073" s="54" t="s">
        <v>38</v>
      </c>
      <c r="F2073" s="54" t="s">
        <v>42</v>
      </c>
      <c r="G2073" s="55" t="s">
        <v>5049</v>
      </c>
      <c r="H2073" s="55" t="s">
        <v>5049</v>
      </c>
      <c r="I2073" s="54">
        <f t="shared" si="24"/>
        <v>38</v>
      </c>
      <c r="J2073" s="56"/>
      <c r="K2073" s="57"/>
      <c r="L2073" s="76"/>
      <c r="M2073" s="59"/>
      <c r="N2073" s="60">
        <v>113.0</v>
      </c>
      <c r="O2073" s="61">
        <v>122.0</v>
      </c>
      <c r="P2073" s="62">
        <v>131.76000000000002</v>
      </c>
      <c r="Q2073" s="63">
        <v>131.76000000000002</v>
      </c>
      <c r="R2073" s="64">
        <v>152.0</v>
      </c>
      <c r="S2073" s="111">
        <v>160.0</v>
      </c>
      <c r="T2073" s="65">
        <f t="shared" si="80"/>
        <v>25.6</v>
      </c>
      <c r="U2073" s="65">
        <f t="shared" si="81"/>
        <v>185.6</v>
      </c>
      <c r="V2073" s="66">
        <f t="shared" si="83"/>
        <v>0.05263157895</v>
      </c>
      <c r="W2073" s="67">
        <f t="shared" si="5"/>
        <v>152</v>
      </c>
      <c r="X2073" s="67">
        <f t="shared" si="70"/>
        <v>24.32</v>
      </c>
      <c r="Y2073" s="67">
        <f t="shared" si="71"/>
        <v>176.32</v>
      </c>
      <c r="Z2073" s="67">
        <f t="shared" si="8"/>
        <v>144</v>
      </c>
      <c r="AA2073" s="67">
        <f t="shared" si="72"/>
        <v>23.04</v>
      </c>
      <c r="AB2073" s="67">
        <f t="shared" si="73"/>
        <v>167.04</v>
      </c>
      <c r="AC2073" s="67">
        <f t="shared" si="11"/>
        <v>136</v>
      </c>
      <c r="AD2073" s="67">
        <f t="shared" si="74"/>
        <v>21.76</v>
      </c>
      <c r="AE2073" s="67">
        <f t="shared" si="75"/>
        <v>157.76</v>
      </c>
      <c r="AF2073" s="67">
        <f t="shared" si="33"/>
        <v>132.8</v>
      </c>
      <c r="AG2073" s="67">
        <f t="shared" si="76"/>
        <v>21.248</v>
      </c>
      <c r="AH2073" s="67">
        <f t="shared" si="77"/>
        <v>154.048</v>
      </c>
      <c r="AI2073" s="67">
        <f t="shared" si="17"/>
        <v>128</v>
      </c>
      <c r="AJ2073" s="68">
        <f t="shared" si="78"/>
        <v>20.48</v>
      </c>
      <c r="AK2073" s="68">
        <f t="shared" si="79"/>
        <v>148.48</v>
      </c>
      <c r="AL2073" s="70"/>
      <c r="AM2073" s="70"/>
      <c r="AN2073" s="71"/>
      <c r="AO2073" s="71"/>
      <c r="AP2073" s="71"/>
      <c r="AQ2073" s="71"/>
      <c r="AR2073" s="71"/>
      <c r="AS2073" s="71"/>
      <c r="AT2073" s="71"/>
      <c r="AU2073" s="71"/>
      <c r="AV2073" s="71"/>
      <c r="AW2073" s="71"/>
      <c r="AX2073" s="71"/>
      <c r="AY2073" s="71"/>
      <c r="AZ2073" s="71"/>
      <c r="BA2073" s="71"/>
      <c r="BB2073" s="71"/>
      <c r="BC2073" s="71"/>
      <c r="BD2073" s="71"/>
      <c r="BE2073" s="71"/>
      <c r="BF2073" s="71"/>
      <c r="BG2073" s="71"/>
      <c r="BH2073" s="71"/>
      <c r="BI2073" s="71"/>
      <c r="BJ2073" s="71"/>
      <c r="BK2073" s="71"/>
      <c r="BL2073" s="71"/>
      <c r="BM2073" s="71"/>
      <c r="BN2073" s="71"/>
      <c r="BO2073" s="71"/>
      <c r="BP2073" s="71"/>
      <c r="BQ2073" s="71"/>
      <c r="BR2073" s="71"/>
      <c r="BS2073" s="71"/>
      <c r="BT2073" s="71"/>
      <c r="BU2073" s="71"/>
      <c r="BV2073" s="71"/>
    </row>
    <row r="2074">
      <c r="A2074" s="53">
        <v>1.0</v>
      </c>
      <c r="B2074" s="53"/>
      <c r="C2074" s="73" t="s">
        <v>53</v>
      </c>
      <c r="D2074" s="74" t="s">
        <v>5050</v>
      </c>
      <c r="E2074" s="54" t="s">
        <v>38</v>
      </c>
      <c r="F2074" s="54" t="s">
        <v>42</v>
      </c>
      <c r="G2074" s="55" t="s">
        <v>5051</v>
      </c>
      <c r="H2074" s="55" t="s">
        <v>5051</v>
      </c>
      <c r="I2074" s="54">
        <f t="shared" si="24"/>
        <v>25</v>
      </c>
      <c r="J2074" s="56"/>
      <c r="K2074" s="57"/>
      <c r="L2074" s="76"/>
      <c r="M2074" s="59"/>
      <c r="N2074" s="60">
        <v>60.0</v>
      </c>
      <c r="O2074" s="61">
        <v>64.0</v>
      </c>
      <c r="P2074" s="62">
        <v>69.12</v>
      </c>
      <c r="Q2074" s="63">
        <v>69.12</v>
      </c>
      <c r="R2074" s="64">
        <v>80.0</v>
      </c>
      <c r="S2074" s="111">
        <v>84.0</v>
      </c>
      <c r="T2074" s="65">
        <f t="shared" si="80"/>
        <v>13.44</v>
      </c>
      <c r="U2074" s="65">
        <f t="shared" si="81"/>
        <v>97.44</v>
      </c>
      <c r="V2074" s="66">
        <f t="shared" si="83"/>
        <v>0.05</v>
      </c>
      <c r="W2074" s="67">
        <f t="shared" si="5"/>
        <v>79.8</v>
      </c>
      <c r="X2074" s="67">
        <f t="shared" si="70"/>
        <v>12.768</v>
      </c>
      <c r="Y2074" s="67">
        <f t="shared" si="71"/>
        <v>92.568</v>
      </c>
      <c r="Z2074" s="67">
        <f t="shared" si="8"/>
        <v>75.6</v>
      </c>
      <c r="AA2074" s="67">
        <f t="shared" si="72"/>
        <v>12.096</v>
      </c>
      <c r="AB2074" s="67">
        <f t="shared" si="73"/>
        <v>87.696</v>
      </c>
      <c r="AC2074" s="67">
        <f t="shared" si="11"/>
        <v>71.4</v>
      </c>
      <c r="AD2074" s="67">
        <f t="shared" si="74"/>
        <v>11.424</v>
      </c>
      <c r="AE2074" s="67">
        <f t="shared" si="75"/>
        <v>82.824</v>
      </c>
      <c r="AF2074" s="67">
        <f t="shared" si="33"/>
        <v>69.72</v>
      </c>
      <c r="AG2074" s="67">
        <f t="shared" si="76"/>
        <v>11.1552</v>
      </c>
      <c r="AH2074" s="67">
        <f t="shared" si="77"/>
        <v>80.8752</v>
      </c>
      <c r="AI2074" s="67">
        <f t="shared" si="17"/>
        <v>67.2</v>
      </c>
      <c r="AJ2074" s="68">
        <f t="shared" si="78"/>
        <v>10.752</v>
      </c>
      <c r="AK2074" s="68">
        <f t="shared" si="79"/>
        <v>77.952</v>
      </c>
      <c r="AL2074" s="70"/>
      <c r="AM2074" s="70"/>
      <c r="AN2074" s="71"/>
      <c r="AO2074" s="71"/>
      <c r="AP2074" s="71"/>
      <c r="AQ2074" s="71"/>
      <c r="AR2074" s="71"/>
      <c r="AS2074" s="71"/>
      <c r="AT2074" s="71"/>
      <c r="AU2074" s="71"/>
      <c r="AV2074" s="71"/>
      <c r="AW2074" s="71"/>
      <c r="AX2074" s="71"/>
      <c r="AY2074" s="71"/>
      <c r="AZ2074" s="71"/>
      <c r="BA2074" s="71"/>
      <c r="BB2074" s="71"/>
      <c r="BC2074" s="71"/>
      <c r="BD2074" s="71"/>
      <c r="BE2074" s="71"/>
      <c r="BF2074" s="71"/>
      <c r="BG2074" s="71"/>
      <c r="BH2074" s="71"/>
      <c r="BI2074" s="71"/>
      <c r="BJ2074" s="71"/>
      <c r="BK2074" s="71"/>
      <c r="BL2074" s="71"/>
      <c r="BM2074" s="71"/>
      <c r="BN2074" s="71"/>
      <c r="BO2074" s="71"/>
      <c r="BP2074" s="71"/>
      <c r="BQ2074" s="71"/>
      <c r="BR2074" s="71"/>
      <c r="BS2074" s="71"/>
      <c r="BT2074" s="71"/>
      <c r="BU2074" s="71"/>
      <c r="BV2074" s="71"/>
    </row>
    <row r="2075">
      <c r="A2075" s="53">
        <v>1.0</v>
      </c>
      <c r="B2075" s="53"/>
      <c r="C2075" s="73" t="s">
        <v>53</v>
      </c>
      <c r="D2075" s="53" t="s">
        <v>5052</v>
      </c>
      <c r="E2075" s="54" t="s">
        <v>38</v>
      </c>
      <c r="F2075" s="54" t="s">
        <v>42</v>
      </c>
      <c r="G2075" s="55" t="s">
        <v>5053</v>
      </c>
      <c r="H2075" s="55" t="s">
        <v>5053</v>
      </c>
      <c r="I2075" s="54">
        <f t="shared" si="24"/>
        <v>28</v>
      </c>
      <c r="J2075" s="56"/>
      <c r="K2075" s="57"/>
      <c r="L2075" s="76"/>
      <c r="M2075" s="59"/>
      <c r="N2075" s="79">
        <v>314.0</v>
      </c>
      <c r="O2075" s="61">
        <v>339.0</v>
      </c>
      <c r="P2075" s="62">
        <v>366.12</v>
      </c>
      <c r="Q2075" s="63">
        <v>366.12</v>
      </c>
      <c r="R2075" s="64">
        <v>396.0</v>
      </c>
      <c r="S2075" s="111">
        <v>416.0</v>
      </c>
      <c r="T2075" s="65">
        <f t="shared" si="80"/>
        <v>66.56</v>
      </c>
      <c r="U2075" s="65">
        <f t="shared" si="81"/>
        <v>482.56</v>
      </c>
      <c r="V2075" s="66">
        <f t="shared" si="83"/>
        <v>0.05050505051</v>
      </c>
      <c r="W2075" s="67">
        <f t="shared" si="5"/>
        <v>395.2</v>
      </c>
      <c r="X2075" s="67">
        <f t="shared" si="70"/>
        <v>63.232</v>
      </c>
      <c r="Y2075" s="67">
        <f t="shared" si="71"/>
        <v>458.432</v>
      </c>
      <c r="Z2075" s="67">
        <f t="shared" si="8"/>
        <v>374.4</v>
      </c>
      <c r="AA2075" s="67">
        <f t="shared" si="72"/>
        <v>59.904</v>
      </c>
      <c r="AB2075" s="67">
        <f t="shared" si="73"/>
        <v>434.304</v>
      </c>
      <c r="AC2075" s="67">
        <f t="shared" si="11"/>
        <v>353.6</v>
      </c>
      <c r="AD2075" s="67">
        <f t="shared" si="74"/>
        <v>56.576</v>
      </c>
      <c r="AE2075" s="67">
        <f t="shared" si="75"/>
        <v>410.176</v>
      </c>
      <c r="AF2075" s="67">
        <f t="shared" si="33"/>
        <v>345.28</v>
      </c>
      <c r="AG2075" s="67">
        <f t="shared" si="76"/>
        <v>55.2448</v>
      </c>
      <c r="AH2075" s="67">
        <f t="shared" si="77"/>
        <v>400.5248</v>
      </c>
      <c r="AI2075" s="67">
        <f t="shared" si="17"/>
        <v>332.8</v>
      </c>
      <c r="AJ2075" s="68">
        <f t="shared" si="78"/>
        <v>53.248</v>
      </c>
      <c r="AK2075" s="68">
        <f t="shared" si="79"/>
        <v>386.048</v>
      </c>
      <c r="AL2075" s="70"/>
      <c r="AM2075" s="70"/>
      <c r="AN2075" s="71"/>
      <c r="AO2075" s="71"/>
      <c r="AP2075" s="71"/>
      <c r="AQ2075" s="71"/>
      <c r="AR2075" s="71"/>
      <c r="AS2075" s="71"/>
      <c r="AT2075" s="71"/>
      <c r="AU2075" s="71"/>
      <c r="AV2075" s="71"/>
      <c r="AW2075" s="71"/>
      <c r="AX2075" s="71"/>
      <c r="AY2075" s="71"/>
      <c r="AZ2075" s="71"/>
      <c r="BA2075" s="71"/>
      <c r="BB2075" s="71"/>
      <c r="BC2075" s="71"/>
      <c r="BD2075" s="71"/>
      <c r="BE2075" s="71"/>
      <c r="BF2075" s="71"/>
      <c r="BG2075" s="71"/>
      <c r="BH2075" s="71"/>
      <c r="BI2075" s="71"/>
      <c r="BJ2075" s="71"/>
      <c r="BK2075" s="71"/>
      <c r="BL2075" s="71"/>
      <c r="BM2075" s="71"/>
      <c r="BN2075" s="71"/>
      <c r="BO2075" s="71"/>
      <c r="BP2075" s="71"/>
      <c r="BQ2075" s="71"/>
      <c r="BR2075" s="71"/>
      <c r="BS2075" s="71"/>
      <c r="BT2075" s="71"/>
      <c r="BU2075" s="71"/>
      <c r="BV2075" s="71"/>
    </row>
    <row r="2076">
      <c r="A2076" s="53">
        <v>1.0</v>
      </c>
      <c r="B2076" s="53"/>
      <c r="C2076" s="73" t="s">
        <v>53</v>
      </c>
      <c r="D2076" s="53" t="s">
        <v>5054</v>
      </c>
      <c r="E2076" s="54" t="s">
        <v>38</v>
      </c>
      <c r="F2076" s="54" t="s">
        <v>42</v>
      </c>
      <c r="G2076" s="55" t="s">
        <v>5055</v>
      </c>
      <c r="H2076" s="55" t="s">
        <v>5055</v>
      </c>
      <c r="I2076" s="54">
        <f t="shared" si="24"/>
        <v>26</v>
      </c>
      <c r="J2076" s="56"/>
      <c r="K2076" s="57"/>
      <c r="L2076" s="76"/>
      <c r="M2076" s="59"/>
      <c r="N2076" s="79">
        <v>324.0</v>
      </c>
      <c r="O2076" s="61">
        <v>349.0</v>
      </c>
      <c r="P2076" s="62">
        <v>376.92</v>
      </c>
      <c r="Q2076" s="63">
        <v>376.92</v>
      </c>
      <c r="R2076" s="64">
        <v>408.0</v>
      </c>
      <c r="S2076" s="111">
        <v>428.0</v>
      </c>
      <c r="T2076" s="65">
        <f t="shared" si="80"/>
        <v>68.48</v>
      </c>
      <c r="U2076" s="65">
        <f t="shared" si="81"/>
        <v>496.48</v>
      </c>
      <c r="V2076" s="66">
        <f t="shared" si="83"/>
        <v>0.04901960784</v>
      </c>
      <c r="W2076" s="67">
        <f t="shared" si="5"/>
        <v>406.6</v>
      </c>
      <c r="X2076" s="67">
        <f t="shared" si="70"/>
        <v>65.056</v>
      </c>
      <c r="Y2076" s="67">
        <f t="shared" si="71"/>
        <v>471.656</v>
      </c>
      <c r="Z2076" s="67">
        <f t="shared" si="8"/>
        <v>385.2</v>
      </c>
      <c r="AA2076" s="67">
        <f t="shared" si="72"/>
        <v>61.632</v>
      </c>
      <c r="AB2076" s="67">
        <f t="shared" si="73"/>
        <v>446.832</v>
      </c>
      <c r="AC2076" s="67">
        <f t="shared" si="11"/>
        <v>363.8</v>
      </c>
      <c r="AD2076" s="67">
        <f t="shared" si="74"/>
        <v>58.208</v>
      </c>
      <c r="AE2076" s="67">
        <f t="shared" si="75"/>
        <v>422.008</v>
      </c>
      <c r="AF2076" s="67">
        <f t="shared" si="33"/>
        <v>355.24</v>
      </c>
      <c r="AG2076" s="67">
        <f t="shared" si="76"/>
        <v>56.8384</v>
      </c>
      <c r="AH2076" s="67">
        <f t="shared" si="77"/>
        <v>412.0784</v>
      </c>
      <c r="AI2076" s="67">
        <f t="shared" si="17"/>
        <v>342.4</v>
      </c>
      <c r="AJ2076" s="68">
        <f t="shared" si="78"/>
        <v>54.784</v>
      </c>
      <c r="AK2076" s="68">
        <f t="shared" si="79"/>
        <v>397.184</v>
      </c>
      <c r="AL2076" s="70"/>
      <c r="AM2076" s="70"/>
      <c r="AN2076" s="71"/>
      <c r="AO2076" s="71"/>
      <c r="AP2076" s="71"/>
      <c r="AQ2076" s="71"/>
      <c r="AR2076" s="71"/>
      <c r="AS2076" s="71"/>
      <c r="AT2076" s="71"/>
      <c r="AU2076" s="71"/>
      <c r="AV2076" s="71"/>
      <c r="AW2076" s="71"/>
      <c r="AX2076" s="71"/>
      <c r="AY2076" s="71"/>
      <c r="AZ2076" s="71"/>
      <c r="BA2076" s="71"/>
      <c r="BB2076" s="71"/>
      <c r="BC2076" s="71"/>
      <c r="BD2076" s="71"/>
      <c r="BE2076" s="71"/>
      <c r="BF2076" s="71"/>
      <c r="BG2076" s="71"/>
      <c r="BH2076" s="71"/>
      <c r="BI2076" s="71"/>
      <c r="BJ2076" s="71"/>
      <c r="BK2076" s="71"/>
      <c r="BL2076" s="71"/>
      <c r="BM2076" s="71"/>
      <c r="BN2076" s="71"/>
      <c r="BO2076" s="71"/>
      <c r="BP2076" s="71"/>
      <c r="BQ2076" s="71"/>
      <c r="BR2076" s="71"/>
      <c r="BS2076" s="71"/>
      <c r="BT2076" s="71"/>
      <c r="BU2076" s="71"/>
      <c r="BV2076" s="71"/>
    </row>
    <row r="2077">
      <c r="A2077" s="53">
        <v>1.0</v>
      </c>
      <c r="B2077" s="53"/>
      <c r="C2077" s="73" t="s">
        <v>53</v>
      </c>
      <c r="D2077" s="53" t="s">
        <v>5056</v>
      </c>
      <c r="E2077" s="54" t="s">
        <v>38</v>
      </c>
      <c r="F2077" s="54" t="s">
        <v>42</v>
      </c>
      <c r="G2077" s="55" t="s">
        <v>5057</v>
      </c>
      <c r="H2077" s="55" t="s">
        <v>5057</v>
      </c>
      <c r="I2077" s="54">
        <f t="shared" si="24"/>
        <v>29</v>
      </c>
      <c r="J2077" s="56"/>
      <c r="K2077" s="57"/>
      <c r="L2077" s="76"/>
      <c r="M2077" s="59"/>
      <c r="N2077" s="79">
        <v>368.0</v>
      </c>
      <c r="O2077" s="61">
        <v>397.0</v>
      </c>
      <c r="P2077" s="62">
        <v>428.76000000000005</v>
      </c>
      <c r="Q2077" s="63">
        <v>428.76000000000005</v>
      </c>
      <c r="R2077" s="64">
        <v>464.0</v>
      </c>
      <c r="S2077" s="111">
        <v>487.0</v>
      </c>
      <c r="T2077" s="65">
        <f t="shared" si="80"/>
        <v>77.92</v>
      </c>
      <c r="U2077" s="65">
        <f t="shared" si="81"/>
        <v>564.92</v>
      </c>
      <c r="V2077" s="66">
        <f t="shared" si="83"/>
        <v>0.04956896552</v>
      </c>
      <c r="W2077" s="67">
        <f t="shared" si="5"/>
        <v>462.65</v>
      </c>
      <c r="X2077" s="67">
        <f t="shared" si="70"/>
        <v>74.024</v>
      </c>
      <c r="Y2077" s="67">
        <f t="shared" si="71"/>
        <v>536.674</v>
      </c>
      <c r="Z2077" s="67">
        <f t="shared" si="8"/>
        <v>438.3</v>
      </c>
      <c r="AA2077" s="67">
        <f t="shared" si="72"/>
        <v>70.128</v>
      </c>
      <c r="AB2077" s="67">
        <f t="shared" si="73"/>
        <v>508.428</v>
      </c>
      <c r="AC2077" s="67">
        <f t="shared" si="11"/>
        <v>413.95</v>
      </c>
      <c r="AD2077" s="67">
        <f t="shared" si="74"/>
        <v>66.232</v>
      </c>
      <c r="AE2077" s="67">
        <f t="shared" si="75"/>
        <v>480.182</v>
      </c>
      <c r="AF2077" s="67">
        <f t="shared" si="33"/>
        <v>404.21</v>
      </c>
      <c r="AG2077" s="67">
        <f t="shared" si="76"/>
        <v>64.6736</v>
      </c>
      <c r="AH2077" s="67">
        <f t="shared" si="77"/>
        <v>468.8836</v>
      </c>
      <c r="AI2077" s="67">
        <f t="shared" si="17"/>
        <v>389.6</v>
      </c>
      <c r="AJ2077" s="68">
        <f t="shared" si="78"/>
        <v>62.336</v>
      </c>
      <c r="AK2077" s="68">
        <f t="shared" si="79"/>
        <v>451.936</v>
      </c>
      <c r="AL2077" s="70"/>
      <c r="AM2077" s="70"/>
      <c r="AN2077" s="71"/>
      <c r="AO2077" s="71"/>
      <c r="AP2077" s="71"/>
      <c r="AQ2077" s="71"/>
      <c r="AR2077" s="71"/>
      <c r="AS2077" s="71"/>
      <c r="AT2077" s="71"/>
      <c r="AU2077" s="71"/>
      <c r="AV2077" s="71"/>
      <c r="AW2077" s="71"/>
      <c r="AX2077" s="71"/>
      <c r="AY2077" s="71"/>
      <c r="AZ2077" s="71"/>
      <c r="BA2077" s="71"/>
      <c r="BB2077" s="71"/>
      <c r="BC2077" s="71"/>
      <c r="BD2077" s="71"/>
      <c r="BE2077" s="71"/>
      <c r="BF2077" s="71"/>
      <c r="BG2077" s="71"/>
      <c r="BH2077" s="71"/>
      <c r="BI2077" s="71"/>
      <c r="BJ2077" s="71"/>
      <c r="BK2077" s="71"/>
      <c r="BL2077" s="71"/>
      <c r="BM2077" s="71"/>
      <c r="BN2077" s="71"/>
      <c r="BO2077" s="71"/>
      <c r="BP2077" s="71"/>
      <c r="BQ2077" s="71"/>
      <c r="BR2077" s="71"/>
      <c r="BS2077" s="71"/>
      <c r="BT2077" s="71"/>
      <c r="BU2077" s="71"/>
      <c r="BV2077" s="71"/>
    </row>
    <row r="2078">
      <c r="A2078" s="53">
        <v>1.0</v>
      </c>
      <c r="B2078" s="53"/>
      <c r="C2078" s="73" t="s">
        <v>53</v>
      </c>
      <c r="D2078" s="74" t="s">
        <v>5058</v>
      </c>
      <c r="E2078" s="54" t="s">
        <v>38</v>
      </c>
      <c r="F2078" s="54" t="s">
        <v>42</v>
      </c>
      <c r="G2078" s="55" t="s">
        <v>5059</v>
      </c>
      <c r="H2078" s="55" t="s">
        <v>5059</v>
      </c>
      <c r="I2078" s="54">
        <f t="shared" si="24"/>
        <v>27</v>
      </c>
      <c r="J2078" s="56"/>
      <c r="K2078" s="57"/>
      <c r="L2078" s="76"/>
      <c r="M2078" s="59"/>
      <c r="N2078" s="60">
        <v>268.0</v>
      </c>
      <c r="O2078" s="61">
        <v>289.0</v>
      </c>
      <c r="P2078" s="62">
        <v>312.12</v>
      </c>
      <c r="Q2078" s="63">
        <v>312.12</v>
      </c>
      <c r="R2078" s="64">
        <v>358.0</v>
      </c>
      <c r="S2078" s="111">
        <v>376.0</v>
      </c>
      <c r="T2078" s="65">
        <f t="shared" si="80"/>
        <v>60.16</v>
      </c>
      <c r="U2078" s="65">
        <f t="shared" si="81"/>
        <v>436.16</v>
      </c>
      <c r="V2078" s="66">
        <f t="shared" si="83"/>
        <v>0.05027932961</v>
      </c>
      <c r="W2078" s="67">
        <f t="shared" si="5"/>
        <v>357.2</v>
      </c>
      <c r="X2078" s="67">
        <f t="shared" si="70"/>
        <v>57.152</v>
      </c>
      <c r="Y2078" s="67">
        <f t="shared" si="71"/>
        <v>414.352</v>
      </c>
      <c r="Z2078" s="67">
        <f t="shared" si="8"/>
        <v>338.4</v>
      </c>
      <c r="AA2078" s="67">
        <f t="shared" si="72"/>
        <v>54.144</v>
      </c>
      <c r="AB2078" s="67">
        <f t="shared" si="73"/>
        <v>392.544</v>
      </c>
      <c r="AC2078" s="67">
        <f t="shared" si="11"/>
        <v>319.6</v>
      </c>
      <c r="AD2078" s="67">
        <f t="shared" si="74"/>
        <v>51.136</v>
      </c>
      <c r="AE2078" s="67">
        <f t="shared" si="75"/>
        <v>370.736</v>
      </c>
      <c r="AF2078" s="67">
        <f t="shared" si="33"/>
        <v>312.08</v>
      </c>
      <c r="AG2078" s="67">
        <f t="shared" si="76"/>
        <v>49.9328</v>
      </c>
      <c r="AH2078" s="67">
        <f t="shared" si="77"/>
        <v>362.0128</v>
      </c>
      <c r="AI2078" s="67">
        <f t="shared" si="17"/>
        <v>300.8</v>
      </c>
      <c r="AJ2078" s="68">
        <f t="shared" si="78"/>
        <v>48.128</v>
      </c>
      <c r="AK2078" s="68">
        <f t="shared" si="79"/>
        <v>348.928</v>
      </c>
      <c r="AL2078" s="70"/>
      <c r="AM2078" s="70"/>
      <c r="AN2078" s="71"/>
      <c r="AO2078" s="71"/>
      <c r="AP2078" s="71"/>
      <c r="AQ2078" s="71"/>
      <c r="AR2078" s="71"/>
      <c r="AS2078" s="71"/>
      <c r="AT2078" s="71"/>
      <c r="AU2078" s="71"/>
      <c r="AV2078" s="71"/>
      <c r="AW2078" s="71"/>
      <c r="AX2078" s="71"/>
      <c r="AY2078" s="71"/>
      <c r="AZ2078" s="71"/>
      <c r="BA2078" s="71"/>
      <c r="BB2078" s="71"/>
      <c r="BC2078" s="71"/>
      <c r="BD2078" s="71"/>
      <c r="BE2078" s="71"/>
      <c r="BF2078" s="71"/>
      <c r="BG2078" s="71"/>
      <c r="BH2078" s="71"/>
      <c r="BI2078" s="71"/>
      <c r="BJ2078" s="71"/>
      <c r="BK2078" s="71"/>
      <c r="BL2078" s="71"/>
      <c r="BM2078" s="71"/>
      <c r="BN2078" s="71"/>
      <c r="BO2078" s="71"/>
      <c r="BP2078" s="71"/>
      <c r="BQ2078" s="71"/>
      <c r="BR2078" s="71"/>
      <c r="BS2078" s="71"/>
      <c r="BT2078" s="71"/>
      <c r="BU2078" s="71"/>
      <c r="BV2078" s="71"/>
    </row>
    <row r="2079">
      <c r="A2079" s="53">
        <v>1.0</v>
      </c>
      <c r="B2079" s="53"/>
      <c r="C2079" s="73" t="s">
        <v>53</v>
      </c>
      <c r="D2079" s="53" t="s">
        <v>5060</v>
      </c>
      <c r="E2079" s="54" t="s">
        <v>38</v>
      </c>
      <c r="F2079" s="54" t="s">
        <v>42</v>
      </c>
      <c r="G2079" s="55" t="s">
        <v>5061</v>
      </c>
      <c r="H2079" s="55" t="s">
        <v>5061</v>
      </c>
      <c r="I2079" s="54">
        <f t="shared" si="24"/>
        <v>27</v>
      </c>
      <c r="J2079" s="56"/>
      <c r="K2079" s="57"/>
      <c r="L2079" s="76"/>
      <c r="M2079" s="59"/>
      <c r="N2079" s="79"/>
      <c r="O2079" s="61">
        <v>289.0</v>
      </c>
      <c r="P2079" s="62">
        <v>312.12</v>
      </c>
      <c r="Q2079" s="63">
        <v>312.12</v>
      </c>
      <c r="R2079" s="64">
        <v>337.0</v>
      </c>
      <c r="S2079" s="111">
        <v>354.0</v>
      </c>
      <c r="T2079" s="65">
        <f t="shared" si="80"/>
        <v>56.64</v>
      </c>
      <c r="U2079" s="65">
        <f t="shared" si="81"/>
        <v>410.64</v>
      </c>
      <c r="V2079" s="66">
        <f t="shared" si="83"/>
        <v>0.05044510386</v>
      </c>
      <c r="W2079" s="67">
        <f t="shared" si="5"/>
        <v>336.3</v>
      </c>
      <c r="X2079" s="67">
        <f t="shared" si="70"/>
        <v>53.808</v>
      </c>
      <c r="Y2079" s="67">
        <f t="shared" si="71"/>
        <v>390.108</v>
      </c>
      <c r="Z2079" s="67">
        <f t="shared" si="8"/>
        <v>318.6</v>
      </c>
      <c r="AA2079" s="67">
        <f t="shared" si="72"/>
        <v>50.976</v>
      </c>
      <c r="AB2079" s="67">
        <f t="shared" si="73"/>
        <v>369.576</v>
      </c>
      <c r="AC2079" s="67">
        <f t="shared" si="11"/>
        <v>300.9</v>
      </c>
      <c r="AD2079" s="67">
        <f t="shared" si="74"/>
        <v>48.144</v>
      </c>
      <c r="AE2079" s="67">
        <f t="shared" si="75"/>
        <v>349.044</v>
      </c>
      <c r="AF2079" s="67">
        <f t="shared" si="33"/>
        <v>293.82</v>
      </c>
      <c r="AG2079" s="67">
        <f t="shared" si="76"/>
        <v>47.0112</v>
      </c>
      <c r="AH2079" s="67">
        <f t="shared" si="77"/>
        <v>340.8312</v>
      </c>
      <c r="AI2079" s="67">
        <f t="shared" si="17"/>
        <v>283.2</v>
      </c>
      <c r="AJ2079" s="68">
        <f t="shared" si="78"/>
        <v>45.312</v>
      </c>
      <c r="AK2079" s="68">
        <f t="shared" si="79"/>
        <v>328.512</v>
      </c>
      <c r="AL2079" s="70"/>
      <c r="AM2079" s="70"/>
      <c r="AN2079" s="71"/>
      <c r="AO2079" s="71"/>
      <c r="AP2079" s="71"/>
      <c r="AQ2079" s="71"/>
      <c r="AR2079" s="71"/>
      <c r="AS2079" s="71"/>
      <c r="AT2079" s="71"/>
      <c r="AU2079" s="71"/>
      <c r="AV2079" s="71"/>
      <c r="AW2079" s="71"/>
      <c r="AX2079" s="71"/>
      <c r="AY2079" s="71"/>
      <c r="AZ2079" s="71"/>
      <c r="BA2079" s="71"/>
      <c r="BB2079" s="71"/>
      <c r="BC2079" s="71"/>
      <c r="BD2079" s="71"/>
      <c r="BE2079" s="71"/>
      <c r="BF2079" s="71"/>
      <c r="BG2079" s="71"/>
      <c r="BH2079" s="71"/>
      <c r="BI2079" s="71"/>
      <c r="BJ2079" s="71"/>
      <c r="BK2079" s="71"/>
      <c r="BL2079" s="71"/>
      <c r="BM2079" s="71"/>
      <c r="BN2079" s="71"/>
      <c r="BO2079" s="71"/>
      <c r="BP2079" s="71"/>
      <c r="BQ2079" s="71"/>
      <c r="BR2079" s="71"/>
      <c r="BS2079" s="71"/>
      <c r="BT2079" s="71"/>
      <c r="BU2079" s="71"/>
      <c r="BV2079" s="71"/>
    </row>
    <row r="2080">
      <c r="A2080" s="53">
        <v>1.0</v>
      </c>
      <c r="B2080" s="53"/>
      <c r="C2080" s="53" t="s">
        <v>395</v>
      </c>
      <c r="D2080" s="53" t="s">
        <v>5062</v>
      </c>
      <c r="E2080" s="86" t="s">
        <v>38</v>
      </c>
      <c r="F2080" s="91" t="s">
        <v>42</v>
      </c>
      <c r="G2080" s="84" t="s">
        <v>5063</v>
      </c>
      <c r="H2080" s="84" t="s">
        <v>5063</v>
      </c>
      <c r="I2080" s="54">
        <f t="shared" si="24"/>
        <v>24</v>
      </c>
      <c r="J2080" s="56"/>
      <c r="K2080" s="57"/>
      <c r="L2080" s="119"/>
      <c r="M2080" s="59"/>
      <c r="N2080" s="93"/>
      <c r="O2080" s="61"/>
      <c r="P2080" s="90"/>
      <c r="Q2080" s="94"/>
      <c r="R2080" s="95"/>
      <c r="S2080" s="111">
        <v>211.0</v>
      </c>
      <c r="T2080" s="65">
        <f t="shared" si="80"/>
        <v>33.76</v>
      </c>
      <c r="U2080" s="65">
        <f t="shared" si="81"/>
        <v>244.76</v>
      </c>
      <c r="V2080" s="66" t="str">
        <f t="shared" si="83"/>
        <v>#DIV/0!</v>
      </c>
      <c r="W2080" s="67">
        <f t="shared" si="5"/>
        <v>200.45</v>
      </c>
      <c r="X2080" s="67">
        <f t="shared" si="70"/>
        <v>32.072</v>
      </c>
      <c r="Y2080" s="67">
        <f t="shared" si="71"/>
        <v>232.522</v>
      </c>
      <c r="Z2080" s="67">
        <f t="shared" si="8"/>
        <v>189.9</v>
      </c>
      <c r="AA2080" s="67">
        <f t="shared" si="72"/>
        <v>30.384</v>
      </c>
      <c r="AB2080" s="67">
        <f t="shared" si="73"/>
        <v>220.284</v>
      </c>
      <c r="AC2080" s="67">
        <f t="shared" si="11"/>
        <v>179.35</v>
      </c>
      <c r="AD2080" s="67">
        <f t="shared" si="74"/>
        <v>28.696</v>
      </c>
      <c r="AE2080" s="67">
        <f t="shared" si="75"/>
        <v>208.046</v>
      </c>
      <c r="AF2080" s="67">
        <f t="shared" si="33"/>
        <v>175.13</v>
      </c>
      <c r="AG2080" s="67">
        <f t="shared" si="76"/>
        <v>28.0208</v>
      </c>
      <c r="AH2080" s="67">
        <f t="shared" si="77"/>
        <v>203.1508</v>
      </c>
      <c r="AI2080" s="67">
        <f t="shared" si="17"/>
        <v>168.8</v>
      </c>
      <c r="AJ2080" s="68">
        <f t="shared" si="78"/>
        <v>27.008</v>
      </c>
      <c r="AK2080" s="68">
        <f t="shared" si="79"/>
        <v>195.808</v>
      </c>
      <c r="AL2080" s="70"/>
      <c r="AM2080" s="70"/>
      <c r="AN2080" s="71"/>
      <c r="AO2080" s="71"/>
      <c r="AP2080" s="71"/>
      <c r="AQ2080" s="71"/>
      <c r="AR2080" s="71"/>
      <c r="AS2080" s="71"/>
      <c r="AT2080" s="71"/>
      <c r="AU2080" s="71"/>
      <c r="AV2080" s="71"/>
      <c r="AW2080" s="71"/>
      <c r="AX2080" s="71"/>
      <c r="AY2080" s="71"/>
      <c r="AZ2080" s="71"/>
      <c r="BA2080" s="71"/>
      <c r="BB2080" s="71"/>
      <c r="BC2080" s="71"/>
      <c r="BD2080" s="71"/>
      <c r="BE2080" s="71"/>
      <c r="BF2080" s="71"/>
      <c r="BG2080" s="71"/>
      <c r="BH2080" s="71"/>
      <c r="BI2080" s="71"/>
      <c r="BJ2080" s="71"/>
      <c r="BK2080" s="71"/>
      <c r="BL2080" s="71"/>
      <c r="BM2080" s="71"/>
      <c r="BN2080" s="71"/>
      <c r="BO2080" s="71"/>
      <c r="BP2080" s="71"/>
      <c r="BQ2080" s="71"/>
      <c r="BR2080" s="71"/>
      <c r="BS2080" s="71"/>
      <c r="BT2080" s="71"/>
      <c r="BU2080" s="71"/>
      <c r="BV2080" s="71"/>
    </row>
    <row r="2081">
      <c r="A2081" s="53">
        <v>1.0</v>
      </c>
      <c r="B2081" s="53"/>
      <c r="C2081" s="73" t="s">
        <v>53</v>
      </c>
      <c r="D2081" s="74" t="s">
        <v>5064</v>
      </c>
      <c r="E2081" s="54" t="s">
        <v>38</v>
      </c>
      <c r="F2081" s="54" t="s">
        <v>42</v>
      </c>
      <c r="G2081" s="55" t="s">
        <v>5065</v>
      </c>
      <c r="H2081" s="55" t="s">
        <v>5065</v>
      </c>
      <c r="I2081" s="54">
        <f t="shared" si="24"/>
        <v>23</v>
      </c>
      <c r="J2081" s="56"/>
      <c r="K2081" s="57"/>
      <c r="L2081" s="76"/>
      <c r="M2081" s="59"/>
      <c r="N2081" s="60">
        <v>150.0</v>
      </c>
      <c r="O2081" s="61">
        <v>162.0</v>
      </c>
      <c r="P2081" s="62">
        <v>174.96</v>
      </c>
      <c r="Q2081" s="63">
        <v>174.96</v>
      </c>
      <c r="R2081" s="64">
        <v>201.0</v>
      </c>
      <c r="S2081" s="111">
        <v>211.0</v>
      </c>
      <c r="T2081" s="65">
        <f t="shared" si="80"/>
        <v>33.76</v>
      </c>
      <c r="U2081" s="65">
        <f t="shared" si="81"/>
        <v>244.76</v>
      </c>
      <c r="V2081" s="66">
        <f t="shared" si="83"/>
        <v>0.04975124378</v>
      </c>
      <c r="W2081" s="67">
        <f t="shared" si="5"/>
        <v>200.45</v>
      </c>
      <c r="X2081" s="67">
        <f t="shared" si="70"/>
        <v>32.072</v>
      </c>
      <c r="Y2081" s="67">
        <f t="shared" si="71"/>
        <v>232.522</v>
      </c>
      <c r="Z2081" s="67">
        <f t="shared" si="8"/>
        <v>189.9</v>
      </c>
      <c r="AA2081" s="67">
        <f t="shared" si="72"/>
        <v>30.384</v>
      </c>
      <c r="AB2081" s="67">
        <f t="shared" si="73"/>
        <v>220.284</v>
      </c>
      <c r="AC2081" s="67">
        <f t="shared" si="11"/>
        <v>179.35</v>
      </c>
      <c r="AD2081" s="67">
        <f t="shared" si="74"/>
        <v>28.696</v>
      </c>
      <c r="AE2081" s="67">
        <f t="shared" si="75"/>
        <v>208.046</v>
      </c>
      <c r="AF2081" s="67">
        <f t="shared" si="33"/>
        <v>175.13</v>
      </c>
      <c r="AG2081" s="67">
        <f t="shared" si="76"/>
        <v>28.0208</v>
      </c>
      <c r="AH2081" s="67">
        <f t="shared" si="77"/>
        <v>203.1508</v>
      </c>
      <c r="AI2081" s="67">
        <f t="shared" si="17"/>
        <v>168.8</v>
      </c>
      <c r="AJ2081" s="68">
        <f t="shared" si="78"/>
        <v>27.008</v>
      </c>
      <c r="AK2081" s="68">
        <f t="shared" si="79"/>
        <v>195.808</v>
      </c>
      <c r="AL2081" s="70"/>
      <c r="AM2081" s="70"/>
      <c r="AN2081" s="71"/>
      <c r="AO2081" s="71"/>
      <c r="AP2081" s="71"/>
      <c r="AQ2081" s="71"/>
      <c r="AR2081" s="71"/>
      <c r="AS2081" s="71"/>
      <c r="AT2081" s="71"/>
      <c r="AU2081" s="71"/>
      <c r="AV2081" s="71"/>
      <c r="AW2081" s="71"/>
      <c r="AX2081" s="71"/>
      <c r="AY2081" s="71"/>
      <c r="AZ2081" s="71"/>
      <c r="BA2081" s="71"/>
      <c r="BB2081" s="71"/>
      <c r="BC2081" s="71"/>
      <c r="BD2081" s="71"/>
      <c r="BE2081" s="71"/>
      <c r="BF2081" s="71"/>
      <c r="BG2081" s="71"/>
      <c r="BH2081" s="71"/>
      <c r="BI2081" s="71"/>
      <c r="BJ2081" s="71"/>
      <c r="BK2081" s="71"/>
      <c r="BL2081" s="71"/>
      <c r="BM2081" s="71"/>
      <c r="BN2081" s="71"/>
      <c r="BO2081" s="71"/>
      <c r="BP2081" s="71"/>
      <c r="BQ2081" s="71"/>
      <c r="BR2081" s="71"/>
      <c r="BS2081" s="71"/>
      <c r="BT2081" s="71"/>
      <c r="BU2081" s="71"/>
      <c r="BV2081" s="71"/>
    </row>
    <row r="2082">
      <c r="A2082" s="53">
        <v>1.0</v>
      </c>
      <c r="B2082" s="53"/>
      <c r="C2082" s="73" t="s">
        <v>53</v>
      </c>
      <c r="D2082" s="53" t="s">
        <v>5066</v>
      </c>
      <c r="E2082" s="54" t="s">
        <v>38</v>
      </c>
      <c r="F2082" s="54" t="s">
        <v>42</v>
      </c>
      <c r="G2082" s="55" t="s">
        <v>5067</v>
      </c>
      <c r="H2082" s="55" t="s">
        <v>5067</v>
      </c>
      <c r="I2082" s="54">
        <f t="shared" si="24"/>
        <v>23</v>
      </c>
      <c r="J2082" s="56"/>
      <c r="K2082" s="57"/>
      <c r="L2082" s="76"/>
      <c r="M2082" s="59"/>
      <c r="N2082" s="79"/>
      <c r="O2082" s="61">
        <v>339.0</v>
      </c>
      <c r="P2082" s="62">
        <v>366.12</v>
      </c>
      <c r="Q2082" s="63">
        <v>366.12</v>
      </c>
      <c r="R2082" s="64">
        <v>396.0</v>
      </c>
      <c r="S2082" s="111">
        <v>416.0</v>
      </c>
      <c r="T2082" s="65">
        <f t="shared" si="80"/>
        <v>66.56</v>
      </c>
      <c r="U2082" s="65">
        <f t="shared" si="81"/>
        <v>482.56</v>
      </c>
      <c r="V2082" s="66">
        <f t="shared" si="83"/>
        <v>0.05050505051</v>
      </c>
      <c r="W2082" s="67">
        <f t="shared" si="5"/>
        <v>395.2</v>
      </c>
      <c r="X2082" s="67">
        <f t="shared" si="70"/>
        <v>63.232</v>
      </c>
      <c r="Y2082" s="67">
        <f t="shared" si="71"/>
        <v>458.432</v>
      </c>
      <c r="Z2082" s="67">
        <f t="shared" si="8"/>
        <v>374.4</v>
      </c>
      <c r="AA2082" s="67">
        <f t="shared" si="72"/>
        <v>59.904</v>
      </c>
      <c r="AB2082" s="67">
        <f t="shared" si="73"/>
        <v>434.304</v>
      </c>
      <c r="AC2082" s="67">
        <f t="shared" si="11"/>
        <v>353.6</v>
      </c>
      <c r="AD2082" s="67">
        <f t="shared" si="74"/>
        <v>56.576</v>
      </c>
      <c r="AE2082" s="67">
        <f t="shared" si="75"/>
        <v>410.176</v>
      </c>
      <c r="AF2082" s="67">
        <f t="shared" si="33"/>
        <v>345.28</v>
      </c>
      <c r="AG2082" s="67">
        <f t="shared" si="76"/>
        <v>55.2448</v>
      </c>
      <c r="AH2082" s="67">
        <f t="shared" si="77"/>
        <v>400.5248</v>
      </c>
      <c r="AI2082" s="67">
        <f t="shared" si="17"/>
        <v>332.8</v>
      </c>
      <c r="AJ2082" s="68">
        <f t="shared" si="78"/>
        <v>53.248</v>
      </c>
      <c r="AK2082" s="68">
        <f t="shared" si="79"/>
        <v>386.048</v>
      </c>
      <c r="AL2082" s="70"/>
      <c r="AM2082" s="70"/>
      <c r="AN2082" s="71"/>
      <c r="AO2082" s="71"/>
      <c r="AP2082" s="71"/>
      <c r="AQ2082" s="71"/>
      <c r="AR2082" s="71"/>
      <c r="AS2082" s="71"/>
      <c r="AT2082" s="71"/>
      <c r="AU2082" s="71"/>
      <c r="AV2082" s="71"/>
      <c r="AW2082" s="71"/>
      <c r="AX2082" s="71"/>
      <c r="AY2082" s="71"/>
      <c r="AZ2082" s="71"/>
      <c r="BA2082" s="71"/>
      <c r="BB2082" s="71"/>
      <c r="BC2082" s="71"/>
      <c r="BD2082" s="71"/>
      <c r="BE2082" s="71"/>
      <c r="BF2082" s="71"/>
      <c r="BG2082" s="71"/>
      <c r="BH2082" s="71"/>
      <c r="BI2082" s="71"/>
      <c r="BJ2082" s="71"/>
      <c r="BK2082" s="71"/>
      <c r="BL2082" s="71"/>
      <c r="BM2082" s="71"/>
      <c r="BN2082" s="71"/>
      <c r="BO2082" s="71"/>
      <c r="BP2082" s="71"/>
      <c r="BQ2082" s="71"/>
      <c r="BR2082" s="71"/>
      <c r="BS2082" s="71"/>
      <c r="BT2082" s="71"/>
      <c r="BU2082" s="71"/>
      <c r="BV2082" s="71"/>
    </row>
    <row r="2083">
      <c r="A2083" s="53">
        <v>1.0</v>
      </c>
      <c r="B2083" s="53"/>
      <c r="C2083" s="73" t="s">
        <v>53</v>
      </c>
      <c r="D2083" s="74" t="s">
        <v>5068</v>
      </c>
      <c r="E2083" s="54" t="s">
        <v>38</v>
      </c>
      <c r="F2083" s="54" t="s">
        <v>42</v>
      </c>
      <c r="G2083" s="55" t="s">
        <v>5069</v>
      </c>
      <c r="H2083" s="55" t="s">
        <v>5069</v>
      </c>
      <c r="I2083" s="54">
        <f t="shared" si="24"/>
        <v>23</v>
      </c>
      <c r="J2083" s="56"/>
      <c r="K2083" s="57"/>
      <c r="L2083" s="76"/>
      <c r="M2083" s="59"/>
      <c r="N2083" s="79">
        <v>216.0</v>
      </c>
      <c r="O2083" s="61">
        <v>233.0</v>
      </c>
      <c r="P2083" s="62">
        <v>251.64000000000001</v>
      </c>
      <c r="Q2083" s="63">
        <v>251.64000000000001</v>
      </c>
      <c r="R2083" s="64">
        <v>289.0</v>
      </c>
      <c r="S2083" s="111">
        <v>303.0</v>
      </c>
      <c r="T2083" s="65">
        <f t="shared" si="80"/>
        <v>48.48</v>
      </c>
      <c r="U2083" s="65">
        <f t="shared" si="81"/>
        <v>351.48</v>
      </c>
      <c r="V2083" s="66">
        <f t="shared" si="83"/>
        <v>0.04844290657</v>
      </c>
      <c r="W2083" s="67">
        <f t="shared" si="5"/>
        <v>287.85</v>
      </c>
      <c r="X2083" s="67">
        <f t="shared" si="70"/>
        <v>46.056</v>
      </c>
      <c r="Y2083" s="67">
        <f t="shared" si="71"/>
        <v>333.906</v>
      </c>
      <c r="Z2083" s="67">
        <f t="shared" si="8"/>
        <v>272.7</v>
      </c>
      <c r="AA2083" s="67">
        <f t="shared" si="72"/>
        <v>43.632</v>
      </c>
      <c r="AB2083" s="67">
        <f t="shared" si="73"/>
        <v>316.332</v>
      </c>
      <c r="AC2083" s="67">
        <f t="shared" si="11"/>
        <v>257.55</v>
      </c>
      <c r="AD2083" s="67">
        <f t="shared" si="74"/>
        <v>41.208</v>
      </c>
      <c r="AE2083" s="67">
        <f t="shared" si="75"/>
        <v>298.758</v>
      </c>
      <c r="AF2083" s="67">
        <f t="shared" si="33"/>
        <v>251.49</v>
      </c>
      <c r="AG2083" s="67">
        <f t="shared" si="76"/>
        <v>40.2384</v>
      </c>
      <c r="AH2083" s="67">
        <f t="shared" si="77"/>
        <v>291.7284</v>
      </c>
      <c r="AI2083" s="67">
        <f t="shared" si="17"/>
        <v>242.4</v>
      </c>
      <c r="AJ2083" s="68">
        <f t="shared" si="78"/>
        <v>38.784</v>
      </c>
      <c r="AK2083" s="68">
        <f t="shared" si="79"/>
        <v>281.184</v>
      </c>
      <c r="AL2083" s="70"/>
      <c r="AM2083" s="70"/>
      <c r="AN2083" s="71"/>
      <c r="AO2083" s="71"/>
      <c r="AP2083" s="71"/>
      <c r="AQ2083" s="71"/>
      <c r="AR2083" s="71"/>
      <c r="AS2083" s="71"/>
      <c r="AT2083" s="71"/>
      <c r="AU2083" s="71"/>
      <c r="AV2083" s="71"/>
      <c r="AW2083" s="71"/>
      <c r="AX2083" s="71"/>
      <c r="AY2083" s="71"/>
      <c r="AZ2083" s="71"/>
      <c r="BA2083" s="71"/>
      <c r="BB2083" s="71"/>
      <c r="BC2083" s="71"/>
      <c r="BD2083" s="71"/>
      <c r="BE2083" s="71"/>
      <c r="BF2083" s="71"/>
      <c r="BG2083" s="71"/>
      <c r="BH2083" s="71"/>
      <c r="BI2083" s="71"/>
      <c r="BJ2083" s="71"/>
      <c r="BK2083" s="71"/>
      <c r="BL2083" s="71"/>
      <c r="BM2083" s="71"/>
      <c r="BN2083" s="71"/>
      <c r="BO2083" s="71"/>
      <c r="BP2083" s="71"/>
      <c r="BQ2083" s="71"/>
      <c r="BR2083" s="71"/>
      <c r="BS2083" s="71"/>
      <c r="BT2083" s="71"/>
      <c r="BU2083" s="71"/>
      <c r="BV2083" s="71"/>
    </row>
    <row r="2084">
      <c r="A2084" s="53">
        <v>1.0</v>
      </c>
      <c r="B2084" s="53"/>
      <c r="C2084" s="73" t="s">
        <v>53</v>
      </c>
      <c r="D2084" s="74" t="s">
        <v>5070</v>
      </c>
      <c r="E2084" s="54" t="s">
        <v>38</v>
      </c>
      <c r="F2084" s="54" t="s">
        <v>42</v>
      </c>
      <c r="G2084" s="55" t="s">
        <v>5071</v>
      </c>
      <c r="H2084" s="55" t="s">
        <v>5071</v>
      </c>
      <c r="I2084" s="54">
        <f t="shared" si="24"/>
        <v>26</v>
      </c>
      <c r="J2084" s="56"/>
      <c r="K2084" s="57"/>
      <c r="L2084" s="76"/>
      <c r="M2084" s="59"/>
      <c r="N2084" s="60">
        <v>273.0</v>
      </c>
      <c r="O2084" s="61">
        <v>294.0</v>
      </c>
      <c r="P2084" s="62">
        <v>317.52000000000004</v>
      </c>
      <c r="Q2084" s="63">
        <v>317.52000000000004</v>
      </c>
      <c r="R2084" s="64">
        <v>364.0</v>
      </c>
      <c r="S2084" s="111">
        <v>382.0</v>
      </c>
      <c r="T2084" s="65">
        <f t="shared" si="80"/>
        <v>61.12</v>
      </c>
      <c r="U2084" s="65">
        <f t="shared" si="81"/>
        <v>443.12</v>
      </c>
      <c r="V2084" s="66">
        <f t="shared" si="83"/>
        <v>0.04945054945</v>
      </c>
      <c r="W2084" s="67">
        <f t="shared" si="5"/>
        <v>362.9</v>
      </c>
      <c r="X2084" s="67">
        <f t="shared" si="70"/>
        <v>58.064</v>
      </c>
      <c r="Y2084" s="67">
        <f t="shared" si="71"/>
        <v>420.964</v>
      </c>
      <c r="Z2084" s="67">
        <f t="shared" si="8"/>
        <v>343.8</v>
      </c>
      <c r="AA2084" s="67">
        <f t="shared" si="72"/>
        <v>55.008</v>
      </c>
      <c r="AB2084" s="67">
        <f t="shared" si="73"/>
        <v>398.808</v>
      </c>
      <c r="AC2084" s="67">
        <f t="shared" si="11"/>
        <v>324.7</v>
      </c>
      <c r="AD2084" s="67">
        <f t="shared" si="74"/>
        <v>51.952</v>
      </c>
      <c r="AE2084" s="67">
        <f t="shared" si="75"/>
        <v>376.652</v>
      </c>
      <c r="AF2084" s="67">
        <f t="shared" si="33"/>
        <v>317.06</v>
      </c>
      <c r="AG2084" s="67">
        <f t="shared" si="76"/>
        <v>50.7296</v>
      </c>
      <c r="AH2084" s="67">
        <f t="shared" si="77"/>
        <v>367.7896</v>
      </c>
      <c r="AI2084" s="67">
        <f t="shared" si="17"/>
        <v>305.6</v>
      </c>
      <c r="AJ2084" s="68">
        <f t="shared" si="78"/>
        <v>48.896</v>
      </c>
      <c r="AK2084" s="68">
        <f t="shared" si="79"/>
        <v>354.496</v>
      </c>
      <c r="AL2084" s="70"/>
      <c r="AM2084" s="70"/>
      <c r="AN2084" s="71"/>
      <c r="AO2084" s="71"/>
      <c r="AP2084" s="71"/>
      <c r="AQ2084" s="71"/>
      <c r="AR2084" s="71"/>
      <c r="AS2084" s="71"/>
      <c r="AT2084" s="71"/>
      <c r="AU2084" s="71"/>
      <c r="AV2084" s="71"/>
      <c r="AW2084" s="71"/>
      <c r="AX2084" s="71"/>
      <c r="AY2084" s="71"/>
      <c r="AZ2084" s="71"/>
      <c r="BA2084" s="71"/>
      <c r="BB2084" s="71"/>
      <c r="BC2084" s="71"/>
      <c r="BD2084" s="71"/>
      <c r="BE2084" s="71"/>
      <c r="BF2084" s="71"/>
      <c r="BG2084" s="71"/>
      <c r="BH2084" s="71"/>
      <c r="BI2084" s="71"/>
      <c r="BJ2084" s="71"/>
      <c r="BK2084" s="71"/>
      <c r="BL2084" s="71"/>
      <c r="BM2084" s="71"/>
      <c r="BN2084" s="71"/>
      <c r="BO2084" s="71"/>
      <c r="BP2084" s="71"/>
      <c r="BQ2084" s="71"/>
      <c r="BR2084" s="71"/>
      <c r="BS2084" s="71"/>
      <c r="BT2084" s="71"/>
      <c r="BU2084" s="71"/>
      <c r="BV2084" s="71"/>
    </row>
    <row r="2085">
      <c r="A2085" s="53">
        <v>1.0</v>
      </c>
      <c r="B2085" s="53"/>
      <c r="C2085" s="53" t="s">
        <v>53</v>
      </c>
      <c r="D2085" s="53" t="s">
        <v>5072</v>
      </c>
      <c r="E2085" s="54" t="s">
        <v>38</v>
      </c>
      <c r="F2085" s="54" t="s">
        <v>42</v>
      </c>
      <c r="G2085" s="55" t="s">
        <v>5073</v>
      </c>
      <c r="H2085" s="55" t="s">
        <v>5073</v>
      </c>
      <c r="I2085" s="54">
        <f t="shared" si="24"/>
        <v>26</v>
      </c>
      <c r="J2085" s="56"/>
      <c r="K2085" s="57"/>
      <c r="L2085" s="76"/>
      <c r="M2085" s="59"/>
      <c r="N2085" s="79">
        <v>402.0</v>
      </c>
      <c r="O2085" s="61">
        <v>434.0</v>
      </c>
      <c r="P2085" s="63">
        <v>468.72</v>
      </c>
      <c r="Q2085" s="63">
        <v>468.72</v>
      </c>
      <c r="R2085" s="64">
        <v>507.0</v>
      </c>
      <c r="S2085" s="111">
        <v>532.0</v>
      </c>
      <c r="T2085" s="65">
        <f t="shared" si="80"/>
        <v>85.12</v>
      </c>
      <c r="U2085" s="65">
        <f t="shared" si="81"/>
        <v>617.12</v>
      </c>
      <c r="V2085" s="66">
        <f t="shared" si="83"/>
        <v>0.04930966469</v>
      </c>
      <c r="W2085" s="67">
        <f t="shared" si="5"/>
        <v>505.4</v>
      </c>
      <c r="X2085" s="67">
        <f t="shared" si="70"/>
        <v>80.864</v>
      </c>
      <c r="Y2085" s="67">
        <f t="shared" si="71"/>
        <v>586.264</v>
      </c>
      <c r="Z2085" s="67">
        <f t="shared" si="8"/>
        <v>478.8</v>
      </c>
      <c r="AA2085" s="67">
        <f t="shared" si="72"/>
        <v>76.608</v>
      </c>
      <c r="AB2085" s="67">
        <f t="shared" si="73"/>
        <v>555.408</v>
      </c>
      <c r="AC2085" s="67">
        <f t="shared" si="11"/>
        <v>452.2</v>
      </c>
      <c r="AD2085" s="67">
        <f t="shared" si="74"/>
        <v>72.352</v>
      </c>
      <c r="AE2085" s="67">
        <f t="shared" si="75"/>
        <v>524.552</v>
      </c>
      <c r="AF2085" s="67">
        <f t="shared" si="33"/>
        <v>441.56</v>
      </c>
      <c r="AG2085" s="67">
        <f t="shared" si="76"/>
        <v>70.6496</v>
      </c>
      <c r="AH2085" s="67">
        <f t="shared" si="77"/>
        <v>512.2096</v>
      </c>
      <c r="AI2085" s="67">
        <f t="shared" si="17"/>
        <v>425.6</v>
      </c>
      <c r="AJ2085" s="68">
        <f t="shared" si="78"/>
        <v>68.096</v>
      </c>
      <c r="AK2085" s="68">
        <f t="shared" si="79"/>
        <v>493.696</v>
      </c>
      <c r="AL2085" s="70"/>
      <c r="AM2085" s="70"/>
      <c r="AN2085" s="71"/>
      <c r="AO2085" s="71"/>
      <c r="AP2085" s="71"/>
      <c r="AQ2085" s="71"/>
      <c r="AR2085" s="71"/>
      <c r="AS2085" s="71"/>
      <c r="AT2085" s="71"/>
      <c r="AU2085" s="71"/>
      <c r="AV2085" s="71"/>
      <c r="AW2085" s="71"/>
      <c r="AX2085" s="71"/>
      <c r="AY2085" s="71"/>
      <c r="AZ2085" s="71"/>
      <c r="BA2085" s="71"/>
      <c r="BB2085" s="71"/>
      <c r="BC2085" s="71"/>
      <c r="BD2085" s="71"/>
      <c r="BE2085" s="71"/>
      <c r="BF2085" s="71"/>
      <c r="BG2085" s="71"/>
      <c r="BH2085" s="71"/>
      <c r="BI2085" s="71"/>
      <c r="BJ2085" s="71"/>
      <c r="BK2085" s="71"/>
      <c r="BL2085" s="71"/>
      <c r="BM2085" s="71"/>
      <c r="BN2085" s="71"/>
      <c r="BO2085" s="71"/>
      <c r="BP2085" s="71"/>
      <c r="BQ2085" s="71"/>
      <c r="BR2085" s="71"/>
      <c r="BS2085" s="71"/>
      <c r="BT2085" s="71"/>
      <c r="BU2085" s="71"/>
      <c r="BV2085" s="71"/>
    </row>
    <row r="2086">
      <c r="A2086" s="53">
        <v>1.0</v>
      </c>
      <c r="B2086" s="53"/>
      <c r="C2086" s="53" t="s">
        <v>53</v>
      </c>
      <c r="D2086" s="53" t="s">
        <v>5074</v>
      </c>
      <c r="E2086" s="86" t="s">
        <v>38</v>
      </c>
      <c r="F2086" s="91" t="s">
        <v>42</v>
      </c>
      <c r="G2086" s="84" t="s">
        <v>5075</v>
      </c>
      <c r="H2086" s="84" t="s">
        <v>5076</v>
      </c>
      <c r="I2086" s="54">
        <f t="shared" si="24"/>
        <v>24</v>
      </c>
      <c r="J2086" s="56"/>
      <c r="K2086" s="57"/>
      <c r="L2086" s="76"/>
      <c r="M2086" s="59"/>
      <c r="N2086" s="79"/>
      <c r="O2086" s="90"/>
      <c r="P2086" s="90"/>
      <c r="Q2086" s="94"/>
      <c r="R2086" s="64">
        <v>773.0</v>
      </c>
      <c r="S2086" s="65">
        <v>255.0</v>
      </c>
      <c r="T2086" s="65">
        <f t="shared" si="80"/>
        <v>40.8</v>
      </c>
      <c r="U2086" s="65">
        <f t="shared" si="81"/>
        <v>295.8</v>
      </c>
      <c r="V2086" s="66">
        <f t="shared" si="83"/>
        <v>-0.6701164295</v>
      </c>
      <c r="W2086" s="67">
        <f t="shared" si="5"/>
        <v>242.25</v>
      </c>
      <c r="X2086" s="67">
        <f t="shared" si="70"/>
        <v>38.76</v>
      </c>
      <c r="Y2086" s="67">
        <f t="shared" si="71"/>
        <v>281.01</v>
      </c>
      <c r="Z2086" s="67">
        <f t="shared" si="8"/>
        <v>229.5</v>
      </c>
      <c r="AA2086" s="67">
        <f t="shared" si="72"/>
        <v>36.72</v>
      </c>
      <c r="AB2086" s="67">
        <f t="shared" si="73"/>
        <v>266.22</v>
      </c>
      <c r="AC2086" s="67">
        <f t="shared" si="11"/>
        <v>216.75</v>
      </c>
      <c r="AD2086" s="67">
        <f t="shared" si="74"/>
        <v>34.68</v>
      </c>
      <c r="AE2086" s="67">
        <f t="shared" si="75"/>
        <v>251.43</v>
      </c>
      <c r="AF2086" s="67">
        <f t="shared" si="33"/>
        <v>211.65</v>
      </c>
      <c r="AG2086" s="67">
        <f t="shared" si="76"/>
        <v>33.864</v>
      </c>
      <c r="AH2086" s="67">
        <f t="shared" si="77"/>
        <v>245.514</v>
      </c>
      <c r="AI2086" s="67">
        <f t="shared" si="17"/>
        <v>204</v>
      </c>
      <c r="AJ2086" s="68">
        <f t="shared" si="78"/>
        <v>32.64</v>
      </c>
      <c r="AK2086" s="68">
        <f t="shared" si="79"/>
        <v>236.64</v>
      </c>
      <c r="AL2086" s="70"/>
      <c r="AM2086" s="70"/>
      <c r="AN2086" s="71"/>
      <c r="AO2086" s="71"/>
      <c r="AP2086" s="71"/>
      <c r="AQ2086" s="71"/>
      <c r="AR2086" s="71"/>
      <c r="AS2086" s="71"/>
      <c r="AT2086" s="71"/>
      <c r="AU2086" s="71"/>
      <c r="AV2086" s="71"/>
      <c r="AW2086" s="71"/>
      <c r="AX2086" s="71"/>
      <c r="AY2086" s="71"/>
      <c r="AZ2086" s="71"/>
      <c r="BA2086" s="71"/>
      <c r="BB2086" s="71"/>
      <c r="BC2086" s="71"/>
      <c r="BD2086" s="71"/>
      <c r="BE2086" s="71"/>
      <c r="BF2086" s="71"/>
      <c r="BG2086" s="71"/>
      <c r="BH2086" s="71"/>
      <c r="BI2086" s="71"/>
      <c r="BJ2086" s="71"/>
      <c r="BK2086" s="71"/>
      <c r="BL2086" s="71"/>
      <c r="BM2086" s="71"/>
      <c r="BN2086" s="71"/>
      <c r="BO2086" s="71"/>
      <c r="BP2086" s="71"/>
      <c r="BQ2086" s="71"/>
      <c r="BR2086" s="71"/>
      <c r="BS2086" s="71"/>
      <c r="BT2086" s="71"/>
      <c r="BU2086" s="71"/>
      <c r="BV2086" s="71"/>
    </row>
    <row r="2087">
      <c r="A2087" s="53">
        <v>1.0</v>
      </c>
      <c r="B2087" s="53"/>
      <c r="C2087" s="53" t="s">
        <v>53</v>
      </c>
      <c r="D2087" s="53" t="s">
        <v>5077</v>
      </c>
      <c r="E2087" s="86" t="s">
        <v>38</v>
      </c>
      <c r="F2087" s="91" t="s">
        <v>42</v>
      </c>
      <c r="G2087" s="84" t="s">
        <v>5078</v>
      </c>
      <c r="H2087" s="84" t="s">
        <v>5078</v>
      </c>
      <c r="I2087" s="54">
        <f t="shared" si="24"/>
        <v>23</v>
      </c>
      <c r="J2087" s="56"/>
      <c r="K2087" s="57"/>
      <c r="L2087" s="76"/>
      <c r="M2087" s="59"/>
      <c r="N2087" s="60"/>
      <c r="O2087" s="90"/>
      <c r="P2087" s="62">
        <v>235.0</v>
      </c>
      <c r="Q2087" s="63">
        <v>235.0</v>
      </c>
      <c r="R2087" s="64">
        <v>254.0</v>
      </c>
      <c r="S2087" s="111">
        <v>267.0</v>
      </c>
      <c r="T2087" s="65">
        <f t="shared" si="80"/>
        <v>42.72</v>
      </c>
      <c r="U2087" s="65">
        <f t="shared" si="81"/>
        <v>309.72</v>
      </c>
      <c r="V2087" s="66"/>
      <c r="W2087" s="67">
        <f t="shared" si="5"/>
        <v>253.65</v>
      </c>
      <c r="X2087" s="67"/>
      <c r="Y2087" s="67"/>
      <c r="Z2087" s="67">
        <f t="shared" si="8"/>
        <v>240.3</v>
      </c>
      <c r="AA2087" s="67"/>
      <c r="AB2087" s="67"/>
      <c r="AC2087" s="67">
        <f t="shared" si="11"/>
        <v>226.95</v>
      </c>
      <c r="AD2087" s="67"/>
      <c r="AE2087" s="67"/>
      <c r="AF2087" s="67">
        <f t="shared" si="33"/>
        <v>221.61</v>
      </c>
      <c r="AG2087" s="67"/>
      <c r="AH2087" s="67"/>
      <c r="AI2087" s="67">
        <f t="shared" si="17"/>
        <v>213.6</v>
      </c>
      <c r="AJ2087" s="68">
        <f t="shared" si="78"/>
        <v>34.176</v>
      </c>
      <c r="AK2087" s="68">
        <f t="shared" si="79"/>
        <v>247.776</v>
      </c>
      <c r="AL2087" s="70"/>
      <c r="AM2087" s="70"/>
      <c r="AN2087" s="71"/>
      <c r="AO2087" s="71"/>
      <c r="AP2087" s="71"/>
      <c r="AQ2087" s="71"/>
      <c r="AR2087" s="71"/>
      <c r="AS2087" s="71"/>
      <c r="AT2087" s="71"/>
      <c r="AU2087" s="71"/>
      <c r="AV2087" s="71"/>
      <c r="AW2087" s="71"/>
      <c r="AX2087" s="71"/>
      <c r="AY2087" s="71"/>
      <c r="AZ2087" s="71"/>
      <c r="BA2087" s="71"/>
      <c r="BB2087" s="71"/>
      <c r="BC2087" s="71"/>
      <c r="BD2087" s="71"/>
      <c r="BE2087" s="71"/>
      <c r="BF2087" s="71"/>
      <c r="BG2087" s="71"/>
      <c r="BH2087" s="71"/>
      <c r="BI2087" s="71"/>
      <c r="BJ2087" s="71"/>
      <c r="BK2087" s="71"/>
      <c r="BL2087" s="71"/>
      <c r="BM2087" s="71"/>
      <c r="BN2087" s="71"/>
      <c r="BO2087" s="71"/>
      <c r="BP2087" s="71"/>
      <c r="BQ2087" s="71"/>
      <c r="BR2087" s="71"/>
      <c r="BS2087" s="71"/>
      <c r="BT2087" s="71"/>
      <c r="BU2087" s="71"/>
      <c r="BV2087" s="71"/>
    </row>
    <row r="2088">
      <c r="A2088" s="53">
        <v>1.0</v>
      </c>
      <c r="B2088" s="53"/>
      <c r="C2088" s="73" t="s">
        <v>53</v>
      </c>
      <c r="D2088" s="53" t="s">
        <v>5079</v>
      </c>
      <c r="E2088" s="54" t="s">
        <v>38</v>
      </c>
      <c r="F2088" s="54" t="s">
        <v>42</v>
      </c>
      <c r="G2088" s="55" t="s">
        <v>5080</v>
      </c>
      <c r="H2088" s="55" t="s">
        <v>5080</v>
      </c>
      <c r="I2088" s="54">
        <f t="shared" si="24"/>
        <v>23</v>
      </c>
      <c r="J2088" s="56"/>
      <c r="K2088" s="57"/>
      <c r="L2088" s="76"/>
      <c r="M2088" s="59"/>
      <c r="N2088" s="79">
        <v>245.0</v>
      </c>
      <c r="O2088" s="61">
        <v>264.0</v>
      </c>
      <c r="P2088" s="62">
        <v>285.12</v>
      </c>
      <c r="Q2088" s="63">
        <v>285.12</v>
      </c>
      <c r="R2088" s="64">
        <v>308.0</v>
      </c>
      <c r="S2088" s="111">
        <v>323.0</v>
      </c>
      <c r="T2088" s="65">
        <f t="shared" si="80"/>
        <v>51.68</v>
      </c>
      <c r="U2088" s="65">
        <f t="shared" si="81"/>
        <v>374.68</v>
      </c>
      <c r="V2088" s="66">
        <f t="shared" ref="V2088:V2124" si="84">(S2088-R2088)/R2088</f>
        <v>0.0487012987</v>
      </c>
      <c r="W2088" s="67">
        <f t="shared" si="5"/>
        <v>306.85</v>
      </c>
      <c r="X2088" s="67">
        <f t="shared" ref="X2088:X2124" si="85">W2088*0.16</f>
        <v>49.096</v>
      </c>
      <c r="Y2088" s="67">
        <f t="shared" ref="Y2088:Y2124" si="86">W2088+X2088</f>
        <v>355.946</v>
      </c>
      <c r="Z2088" s="67">
        <f t="shared" si="8"/>
        <v>290.7</v>
      </c>
      <c r="AA2088" s="67">
        <f t="shared" ref="AA2088:AA2124" si="87">Z2088*0.16</f>
        <v>46.512</v>
      </c>
      <c r="AB2088" s="67">
        <f t="shared" ref="AB2088:AB2124" si="88">Z2088+AA2088</f>
        <v>337.212</v>
      </c>
      <c r="AC2088" s="67">
        <f t="shared" si="11"/>
        <v>274.55</v>
      </c>
      <c r="AD2088" s="67">
        <f t="shared" ref="AD2088:AD2124" si="89">AC2088*0.16</f>
        <v>43.928</v>
      </c>
      <c r="AE2088" s="67">
        <f t="shared" ref="AE2088:AE2124" si="90">AC2088+AD2088</f>
        <v>318.478</v>
      </c>
      <c r="AF2088" s="67">
        <f t="shared" si="33"/>
        <v>268.09</v>
      </c>
      <c r="AG2088" s="67">
        <f t="shared" ref="AG2088:AG2124" si="91">AF2088*0.16</f>
        <v>42.8944</v>
      </c>
      <c r="AH2088" s="67">
        <f t="shared" ref="AH2088:AH2124" si="92">AF2088+AG2088</f>
        <v>310.9844</v>
      </c>
      <c r="AI2088" s="67">
        <f t="shared" si="17"/>
        <v>258.4</v>
      </c>
      <c r="AJ2088" s="68">
        <f t="shared" si="78"/>
        <v>41.344</v>
      </c>
      <c r="AK2088" s="68">
        <f t="shared" si="79"/>
        <v>299.744</v>
      </c>
      <c r="AL2088" s="70"/>
      <c r="AM2088" s="70"/>
      <c r="AN2088" s="71"/>
      <c r="AO2088" s="71"/>
      <c r="AP2088" s="71"/>
      <c r="AQ2088" s="71"/>
      <c r="AR2088" s="71"/>
      <c r="AS2088" s="71"/>
      <c r="AT2088" s="71"/>
      <c r="AU2088" s="71"/>
      <c r="AV2088" s="71"/>
      <c r="AW2088" s="71"/>
      <c r="AX2088" s="71"/>
      <c r="AY2088" s="71"/>
      <c r="AZ2088" s="71"/>
      <c r="BA2088" s="71"/>
      <c r="BB2088" s="71"/>
      <c r="BC2088" s="71"/>
      <c r="BD2088" s="71"/>
      <c r="BE2088" s="71"/>
      <c r="BF2088" s="71"/>
      <c r="BG2088" s="71"/>
      <c r="BH2088" s="71"/>
      <c r="BI2088" s="71"/>
      <c r="BJ2088" s="71"/>
      <c r="BK2088" s="71"/>
      <c r="BL2088" s="71"/>
      <c r="BM2088" s="71"/>
      <c r="BN2088" s="71"/>
      <c r="BO2088" s="71"/>
      <c r="BP2088" s="71"/>
      <c r="BQ2088" s="71"/>
      <c r="BR2088" s="71"/>
      <c r="BS2088" s="71"/>
      <c r="BT2088" s="71"/>
      <c r="BU2088" s="71"/>
      <c r="BV2088" s="71"/>
    </row>
    <row r="2089">
      <c r="A2089" s="53">
        <v>1.0</v>
      </c>
      <c r="B2089" s="53"/>
      <c r="C2089" s="73" t="s">
        <v>53</v>
      </c>
      <c r="D2089" s="74" t="s">
        <v>5081</v>
      </c>
      <c r="E2089" s="54" t="s">
        <v>38</v>
      </c>
      <c r="F2089" s="54" t="s">
        <v>42</v>
      </c>
      <c r="G2089" s="55" t="s">
        <v>5082</v>
      </c>
      <c r="H2089" s="55" t="s">
        <v>5082</v>
      </c>
      <c r="I2089" s="54">
        <f t="shared" si="24"/>
        <v>22</v>
      </c>
      <c r="J2089" s="56"/>
      <c r="K2089" s="57"/>
      <c r="L2089" s="76"/>
      <c r="M2089" s="59"/>
      <c r="N2089" s="79">
        <v>233.0</v>
      </c>
      <c r="O2089" s="61">
        <v>266.0</v>
      </c>
      <c r="P2089" s="62">
        <v>287.28000000000003</v>
      </c>
      <c r="Q2089" s="63">
        <v>287.28000000000003</v>
      </c>
      <c r="R2089" s="64">
        <v>330.0</v>
      </c>
      <c r="S2089" s="111">
        <v>347.0</v>
      </c>
      <c r="T2089" s="65">
        <f t="shared" si="80"/>
        <v>55.52</v>
      </c>
      <c r="U2089" s="65">
        <f t="shared" si="81"/>
        <v>402.52</v>
      </c>
      <c r="V2089" s="66">
        <f t="shared" si="84"/>
        <v>0.05151515152</v>
      </c>
      <c r="W2089" s="67">
        <f t="shared" si="5"/>
        <v>329.65</v>
      </c>
      <c r="X2089" s="67">
        <f t="shared" si="85"/>
        <v>52.744</v>
      </c>
      <c r="Y2089" s="67">
        <f t="shared" si="86"/>
        <v>382.394</v>
      </c>
      <c r="Z2089" s="67">
        <f t="shared" si="8"/>
        <v>312.3</v>
      </c>
      <c r="AA2089" s="67">
        <f t="shared" si="87"/>
        <v>49.968</v>
      </c>
      <c r="AB2089" s="67">
        <f t="shared" si="88"/>
        <v>362.268</v>
      </c>
      <c r="AC2089" s="67">
        <f t="shared" si="11"/>
        <v>294.95</v>
      </c>
      <c r="AD2089" s="67">
        <f t="shared" si="89"/>
        <v>47.192</v>
      </c>
      <c r="AE2089" s="67">
        <f t="shared" si="90"/>
        <v>342.142</v>
      </c>
      <c r="AF2089" s="67">
        <f t="shared" si="33"/>
        <v>288.01</v>
      </c>
      <c r="AG2089" s="67">
        <f t="shared" si="91"/>
        <v>46.0816</v>
      </c>
      <c r="AH2089" s="67">
        <f t="shared" si="92"/>
        <v>334.0916</v>
      </c>
      <c r="AI2089" s="67">
        <f t="shared" si="17"/>
        <v>277.6</v>
      </c>
      <c r="AJ2089" s="68">
        <f t="shared" si="78"/>
        <v>44.416</v>
      </c>
      <c r="AK2089" s="68">
        <f t="shared" si="79"/>
        <v>322.016</v>
      </c>
      <c r="AL2089" s="70"/>
      <c r="AM2089" s="70"/>
      <c r="AN2089" s="71"/>
      <c r="AO2089" s="71"/>
      <c r="AP2089" s="71"/>
      <c r="AQ2089" s="71"/>
      <c r="AR2089" s="71"/>
      <c r="AS2089" s="71"/>
      <c r="AT2089" s="71"/>
      <c r="AU2089" s="71"/>
      <c r="AV2089" s="71"/>
      <c r="AW2089" s="71"/>
      <c r="AX2089" s="71"/>
      <c r="AY2089" s="71"/>
      <c r="AZ2089" s="71"/>
      <c r="BA2089" s="71"/>
      <c r="BB2089" s="71"/>
      <c r="BC2089" s="71"/>
      <c r="BD2089" s="71"/>
      <c r="BE2089" s="71"/>
      <c r="BF2089" s="71"/>
      <c r="BG2089" s="71"/>
      <c r="BH2089" s="71"/>
      <c r="BI2089" s="71"/>
      <c r="BJ2089" s="71"/>
      <c r="BK2089" s="71"/>
      <c r="BL2089" s="71"/>
      <c r="BM2089" s="71"/>
      <c r="BN2089" s="71"/>
      <c r="BO2089" s="71"/>
      <c r="BP2089" s="71"/>
      <c r="BQ2089" s="71"/>
      <c r="BR2089" s="71"/>
      <c r="BS2089" s="71"/>
      <c r="BT2089" s="71"/>
      <c r="BU2089" s="71"/>
      <c r="BV2089" s="71"/>
    </row>
    <row r="2090">
      <c r="A2090" s="53">
        <v>1.0</v>
      </c>
      <c r="B2090" s="53"/>
      <c r="C2090" s="73" t="s">
        <v>53</v>
      </c>
      <c r="D2090" s="53" t="s">
        <v>5083</v>
      </c>
      <c r="E2090" s="54" t="s">
        <v>38</v>
      </c>
      <c r="F2090" s="54" t="s">
        <v>42</v>
      </c>
      <c r="G2090" s="55" t="s">
        <v>5084</v>
      </c>
      <c r="H2090" s="55" t="s">
        <v>5084</v>
      </c>
      <c r="I2090" s="54">
        <f t="shared" si="24"/>
        <v>23</v>
      </c>
      <c r="J2090" s="56"/>
      <c r="K2090" s="57"/>
      <c r="L2090" s="76"/>
      <c r="M2090" s="59"/>
      <c r="N2090" s="79">
        <v>344.0</v>
      </c>
      <c r="O2090" s="61">
        <v>371.0</v>
      </c>
      <c r="P2090" s="62">
        <v>400.68</v>
      </c>
      <c r="Q2090" s="63">
        <v>400.68</v>
      </c>
      <c r="R2090" s="64">
        <v>434.0</v>
      </c>
      <c r="S2090" s="111">
        <v>456.0</v>
      </c>
      <c r="T2090" s="65">
        <f t="shared" si="80"/>
        <v>72.96</v>
      </c>
      <c r="U2090" s="65">
        <f t="shared" si="81"/>
        <v>528.96</v>
      </c>
      <c r="V2090" s="66">
        <f t="shared" si="84"/>
        <v>0.05069124424</v>
      </c>
      <c r="W2090" s="67">
        <f t="shared" si="5"/>
        <v>433.2</v>
      </c>
      <c r="X2090" s="67">
        <f t="shared" si="85"/>
        <v>69.312</v>
      </c>
      <c r="Y2090" s="67">
        <f t="shared" si="86"/>
        <v>502.512</v>
      </c>
      <c r="Z2090" s="67">
        <f t="shared" si="8"/>
        <v>410.4</v>
      </c>
      <c r="AA2090" s="67">
        <f t="shared" si="87"/>
        <v>65.664</v>
      </c>
      <c r="AB2090" s="67">
        <f t="shared" si="88"/>
        <v>476.064</v>
      </c>
      <c r="AC2090" s="67">
        <f t="shared" si="11"/>
        <v>387.6</v>
      </c>
      <c r="AD2090" s="67">
        <f t="shared" si="89"/>
        <v>62.016</v>
      </c>
      <c r="AE2090" s="67">
        <f t="shared" si="90"/>
        <v>449.616</v>
      </c>
      <c r="AF2090" s="67">
        <f t="shared" si="33"/>
        <v>378.48</v>
      </c>
      <c r="AG2090" s="67">
        <f t="shared" si="91"/>
        <v>60.5568</v>
      </c>
      <c r="AH2090" s="67">
        <f t="shared" si="92"/>
        <v>439.0368</v>
      </c>
      <c r="AI2090" s="67">
        <f t="shared" si="17"/>
        <v>364.8</v>
      </c>
      <c r="AJ2090" s="68">
        <f t="shared" si="78"/>
        <v>58.368</v>
      </c>
      <c r="AK2090" s="68">
        <f t="shared" si="79"/>
        <v>423.168</v>
      </c>
      <c r="AL2090" s="70"/>
      <c r="AM2090" s="70"/>
      <c r="AN2090" s="71"/>
      <c r="AO2090" s="71"/>
      <c r="AP2090" s="71"/>
      <c r="AQ2090" s="71"/>
      <c r="AR2090" s="71"/>
      <c r="AS2090" s="71"/>
      <c r="AT2090" s="71"/>
      <c r="AU2090" s="71"/>
      <c r="AV2090" s="71"/>
      <c r="AW2090" s="71"/>
      <c r="AX2090" s="71"/>
      <c r="AY2090" s="71"/>
      <c r="AZ2090" s="71"/>
      <c r="BA2090" s="71"/>
      <c r="BB2090" s="71"/>
      <c r="BC2090" s="71"/>
      <c r="BD2090" s="71"/>
      <c r="BE2090" s="71"/>
      <c r="BF2090" s="71"/>
      <c r="BG2090" s="71"/>
      <c r="BH2090" s="71"/>
      <c r="BI2090" s="71"/>
      <c r="BJ2090" s="71"/>
      <c r="BK2090" s="71"/>
      <c r="BL2090" s="71"/>
      <c r="BM2090" s="71"/>
      <c r="BN2090" s="71"/>
      <c r="BO2090" s="71"/>
      <c r="BP2090" s="71"/>
      <c r="BQ2090" s="71"/>
      <c r="BR2090" s="71"/>
      <c r="BS2090" s="71"/>
      <c r="BT2090" s="71"/>
      <c r="BU2090" s="71"/>
      <c r="BV2090" s="71"/>
    </row>
    <row r="2091">
      <c r="A2091" s="53">
        <v>1.0</v>
      </c>
      <c r="B2091" s="53"/>
      <c r="C2091" s="73" t="s">
        <v>53</v>
      </c>
      <c r="D2091" s="74" t="s">
        <v>5085</v>
      </c>
      <c r="E2091" s="54" t="s">
        <v>38</v>
      </c>
      <c r="F2091" s="54" t="s">
        <v>42</v>
      </c>
      <c r="G2091" s="55" t="s">
        <v>5086</v>
      </c>
      <c r="H2091" s="55" t="s">
        <v>5086</v>
      </c>
      <c r="I2091" s="54">
        <f t="shared" si="24"/>
        <v>24</v>
      </c>
      <c r="J2091" s="56"/>
      <c r="K2091" s="57"/>
      <c r="L2091" s="76"/>
      <c r="M2091" s="59"/>
      <c r="N2091" s="60">
        <v>334.0</v>
      </c>
      <c r="O2091" s="61">
        <v>360.0</v>
      </c>
      <c r="P2091" s="62">
        <v>388.8</v>
      </c>
      <c r="Q2091" s="63">
        <v>388.8</v>
      </c>
      <c r="R2091" s="64">
        <v>447.0</v>
      </c>
      <c r="S2091" s="111">
        <v>469.0</v>
      </c>
      <c r="T2091" s="65">
        <f t="shared" si="80"/>
        <v>75.04</v>
      </c>
      <c r="U2091" s="65">
        <f t="shared" si="81"/>
        <v>544.04</v>
      </c>
      <c r="V2091" s="66">
        <f t="shared" si="84"/>
        <v>0.04921700224</v>
      </c>
      <c r="W2091" s="67">
        <f t="shared" si="5"/>
        <v>445.55</v>
      </c>
      <c r="X2091" s="67">
        <f t="shared" si="85"/>
        <v>71.288</v>
      </c>
      <c r="Y2091" s="67">
        <f t="shared" si="86"/>
        <v>516.838</v>
      </c>
      <c r="Z2091" s="67">
        <f t="shared" si="8"/>
        <v>422.1</v>
      </c>
      <c r="AA2091" s="67">
        <f t="shared" si="87"/>
        <v>67.536</v>
      </c>
      <c r="AB2091" s="67">
        <f t="shared" si="88"/>
        <v>489.636</v>
      </c>
      <c r="AC2091" s="67">
        <f t="shared" si="11"/>
        <v>398.65</v>
      </c>
      <c r="AD2091" s="67">
        <f t="shared" si="89"/>
        <v>63.784</v>
      </c>
      <c r="AE2091" s="67">
        <f t="shared" si="90"/>
        <v>462.434</v>
      </c>
      <c r="AF2091" s="67">
        <f t="shared" si="33"/>
        <v>389.27</v>
      </c>
      <c r="AG2091" s="67">
        <f t="shared" si="91"/>
        <v>62.2832</v>
      </c>
      <c r="AH2091" s="67">
        <f t="shared" si="92"/>
        <v>451.5532</v>
      </c>
      <c r="AI2091" s="67">
        <f t="shared" si="17"/>
        <v>375.2</v>
      </c>
      <c r="AJ2091" s="68">
        <f t="shared" si="78"/>
        <v>60.032</v>
      </c>
      <c r="AK2091" s="68">
        <f t="shared" si="79"/>
        <v>435.232</v>
      </c>
      <c r="AL2091" s="70"/>
      <c r="AM2091" s="70"/>
      <c r="AN2091" s="71"/>
      <c r="AO2091" s="71"/>
      <c r="AP2091" s="71"/>
      <c r="AQ2091" s="71"/>
      <c r="AR2091" s="71"/>
      <c r="AS2091" s="71"/>
      <c r="AT2091" s="71"/>
      <c r="AU2091" s="71"/>
      <c r="AV2091" s="71"/>
      <c r="AW2091" s="71"/>
      <c r="AX2091" s="71"/>
      <c r="AY2091" s="71"/>
      <c r="AZ2091" s="71"/>
      <c r="BA2091" s="71"/>
      <c r="BB2091" s="71"/>
      <c r="BC2091" s="71"/>
      <c r="BD2091" s="71"/>
      <c r="BE2091" s="71"/>
      <c r="BF2091" s="71"/>
      <c r="BG2091" s="71"/>
      <c r="BH2091" s="71"/>
      <c r="BI2091" s="71"/>
      <c r="BJ2091" s="71"/>
      <c r="BK2091" s="71"/>
      <c r="BL2091" s="71"/>
      <c r="BM2091" s="71"/>
      <c r="BN2091" s="71"/>
      <c r="BO2091" s="71"/>
      <c r="BP2091" s="71"/>
      <c r="BQ2091" s="71"/>
      <c r="BR2091" s="71"/>
      <c r="BS2091" s="71"/>
      <c r="BT2091" s="71"/>
      <c r="BU2091" s="71"/>
      <c r="BV2091" s="71"/>
    </row>
    <row r="2092">
      <c r="A2092" s="53">
        <v>1.0</v>
      </c>
      <c r="B2092" s="53"/>
      <c r="C2092" s="73" t="s">
        <v>53</v>
      </c>
      <c r="D2092" s="53" t="s">
        <v>5087</v>
      </c>
      <c r="E2092" s="54" t="s">
        <v>38</v>
      </c>
      <c r="F2092" s="54" t="s">
        <v>42</v>
      </c>
      <c r="G2092" s="55" t="s">
        <v>5088</v>
      </c>
      <c r="H2092" s="55" t="s">
        <v>5088</v>
      </c>
      <c r="I2092" s="54">
        <f t="shared" si="24"/>
        <v>23</v>
      </c>
      <c r="J2092" s="56"/>
      <c r="K2092" s="57"/>
      <c r="L2092" s="76"/>
      <c r="M2092" s="59"/>
      <c r="N2092" s="79">
        <v>354.0</v>
      </c>
      <c r="O2092" s="61">
        <v>382.0</v>
      </c>
      <c r="P2092" s="62">
        <v>412.56</v>
      </c>
      <c r="Q2092" s="63">
        <v>412.56</v>
      </c>
      <c r="R2092" s="64">
        <v>447.0</v>
      </c>
      <c r="S2092" s="111">
        <v>469.0</v>
      </c>
      <c r="T2092" s="65">
        <f t="shared" si="80"/>
        <v>75.04</v>
      </c>
      <c r="U2092" s="65">
        <f t="shared" si="81"/>
        <v>544.04</v>
      </c>
      <c r="V2092" s="66">
        <f t="shared" si="84"/>
        <v>0.04921700224</v>
      </c>
      <c r="W2092" s="67">
        <f t="shared" si="5"/>
        <v>445.55</v>
      </c>
      <c r="X2092" s="67">
        <f t="shared" si="85"/>
        <v>71.288</v>
      </c>
      <c r="Y2092" s="67">
        <f t="shared" si="86"/>
        <v>516.838</v>
      </c>
      <c r="Z2092" s="67">
        <f t="shared" si="8"/>
        <v>422.1</v>
      </c>
      <c r="AA2092" s="67">
        <f t="shared" si="87"/>
        <v>67.536</v>
      </c>
      <c r="AB2092" s="67">
        <f t="shared" si="88"/>
        <v>489.636</v>
      </c>
      <c r="AC2092" s="67">
        <f t="shared" si="11"/>
        <v>398.65</v>
      </c>
      <c r="AD2092" s="67">
        <f t="shared" si="89"/>
        <v>63.784</v>
      </c>
      <c r="AE2092" s="67">
        <f t="shared" si="90"/>
        <v>462.434</v>
      </c>
      <c r="AF2092" s="67">
        <f t="shared" si="33"/>
        <v>389.27</v>
      </c>
      <c r="AG2092" s="67">
        <f t="shared" si="91"/>
        <v>62.2832</v>
      </c>
      <c r="AH2092" s="67">
        <f t="shared" si="92"/>
        <v>451.5532</v>
      </c>
      <c r="AI2092" s="67">
        <f t="shared" si="17"/>
        <v>375.2</v>
      </c>
      <c r="AJ2092" s="68">
        <f t="shared" si="78"/>
        <v>60.032</v>
      </c>
      <c r="AK2092" s="68">
        <f t="shared" si="79"/>
        <v>435.232</v>
      </c>
      <c r="AL2092" s="70"/>
      <c r="AM2092" s="70"/>
      <c r="AN2092" s="71"/>
      <c r="AO2092" s="71"/>
      <c r="AP2092" s="71"/>
      <c r="AQ2092" s="71"/>
      <c r="AR2092" s="71"/>
      <c r="AS2092" s="71"/>
      <c r="AT2092" s="71"/>
      <c r="AU2092" s="71"/>
      <c r="AV2092" s="71"/>
      <c r="AW2092" s="71"/>
      <c r="AX2092" s="71"/>
      <c r="AY2092" s="71"/>
      <c r="AZ2092" s="71"/>
      <c r="BA2092" s="71"/>
      <c r="BB2092" s="71"/>
      <c r="BC2092" s="71"/>
      <c r="BD2092" s="71"/>
      <c r="BE2092" s="71"/>
      <c r="BF2092" s="71"/>
      <c r="BG2092" s="71"/>
      <c r="BH2092" s="71"/>
      <c r="BI2092" s="71"/>
      <c r="BJ2092" s="71"/>
      <c r="BK2092" s="71"/>
      <c r="BL2092" s="71"/>
      <c r="BM2092" s="71"/>
      <c r="BN2092" s="71"/>
      <c r="BO2092" s="71"/>
      <c r="BP2092" s="71"/>
      <c r="BQ2092" s="71"/>
      <c r="BR2092" s="71"/>
      <c r="BS2092" s="71"/>
      <c r="BT2092" s="71"/>
      <c r="BU2092" s="71"/>
      <c r="BV2092" s="71"/>
    </row>
    <row r="2093">
      <c r="A2093" s="53">
        <v>1.0</v>
      </c>
      <c r="B2093" s="53"/>
      <c r="C2093" s="73" t="s">
        <v>53</v>
      </c>
      <c r="D2093" s="74" t="s">
        <v>5089</v>
      </c>
      <c r="E2093" s="54" t="s">
        <v>38</v>
      </c>
      <c r="F2093" s="54" t="s">
        <v>42</v>
      </c>
      <c r="G2093" s="55" t="s">
        <v>5090</v>
      </c>
      <c r="H2093" s="55" t="s">
        <v>5090</v>
      </c>
      <c r="I2093" s="54">
        <f t="shared" si="24"/>
        <v>23</v>
      </c>
      <c r="J2093" s="56"/>
      <c r="K2093" s="57"/>
      <c r="L2093" s="76"/>
      <c r="M2093" s="59"/>
      <c r="N2093" s="60">
        <v>334.0</v>
      </c>
      <c r="O2093" s="61">
        <v>360.0</v>
      </c>
      <c r="P2093" s="62">
        <v>388.8</v>
      </c>
      <c r="Q2093" s="63">
        <v>388.8</v>
      </c>
      <c r="R2093" s="64">
        <v>447.0</v>
      </c>
      <c r="S2093" s="111">
        <v>469.0</v>
      </c>
      <c r="T2093" s="65">
        <f t="shared" si="80"/>
        <v>75.04</v>
      </c>
      <c r="U2093" s="65">
        <f t="shared" si="81"/>
        <v>544.04</v>
      </c>
      <c r="V2093" s="66">
        <f t="shared" si="84"/>
        <v>0.04921700224</v>
      </c>
      <c r="W2093" s="67">
        <f t="shared" si="5"/>
        <v>445.55</v>
      </c>
      <c r="X2093" s="67">
        <f t="shared" si="85"/>
        <v>71.288</v>
      </c>
      <c r="Y2093" s="67">
        <f t="shared" si="86"/>
        <v>516.838</v>
      </c>
      <c r="Z2093" s="67">
        <f t="shared" si="8"/>
        <v>422.1</v>
      </c>
      <c r="AA2093" s="67">
        <f t="shared" si="87"/>
        <v>67.536</v>
      </c>
      <c r="AB2093" s="67">
        <f t="shared" si="88"/>
        <v>489.636</v>
      </c>
      <c r="AC2093" s="67">
        <f t="shared" si="11"/>
        <v>398.65</v>
      </c>
      <c r="AD2093" s="67">
        <f t="shared" si="89"/>
        <v>63.784</v>
      </c>
      <c r="AE2093" s="67">
        <f t="shared" si="90"/>
        <v>462.434</v>
      </c>
      <c r="AF2093" s="67">
        <f t="shared" si="33"/>
        <v>389.27</v>
      </c>
      <c r="AG2093" s="67">
        <f t="shared" si="91"/>
        <v>62.2832</v>
      </c>
      <c r="AH2093" s="67">
        <f t="shared" si="92"/>
        <v>451.5532</v>
      </c>
      <c r="AI2093" s="67">
        <f t="shared" si="17"/>
        <v>375.2</v>
      </c>
      <c r="AJ2093" s="68">
        <f t="shared" si="78"/>
        <v>60.032</v>
      </c>
      <c r="AK2093" s="68">
        <f t="shared" si="79"/>
        <v>435.232</v>
      </c>
      <c r="AL2093" s="70"/>
      <c r="AM2093" s="70"/>
      <c r="AN2093" s="71"/>
      <c r="AO2093" s="71"/>
      <c r="AP2093" s="71"/>
      <c r="AQ2093" s="71"/>
      <c r="AR2093" s="71"/>
      <c r="AS2093" s="71"/>
      <c r="AT2093" s="71"/>
      <c r="AU2093" s="71"/>
      <c r="AV2093" s="71"/>
      <c r="AW2093" s="71"/>
      <c r="AX2093" s="71"/>
      <c r="AY2093" s="71"/>
      <c r="AZ2093" s="71"/>
      <c r="BA2093" s="71"/>
      <c r="BB2093" s="71"/>
      <c r="BC2093" s="71"/>
      <c r="BD2093" s="71"/>
      <c r="BE2093" s="71"/>
      <c r="BF2093" s="71"/>
      <c r="BG2093" s="71"/>
      <c r="BH2093" s="71"/>
      <c r="BI2093" s="71"/>
      <c r="BJ2093" s="71"/>
      <c r="BK2093" s="71"/>
      <c r="BL2093" s="71"/>
      <c r="BM2093" s="71"/>
      <c r="BN2093" s="71"/>
      <c r="BO2093" s="71"/>
      <c r="BP2093" s="71"/>
      <c r="BQ2093" s="71"/>
      <c r="BR2093" s="71"/>
      <c r="BS2093" s="71"/>
      <c r="BT2093" s="71"/>
      <c r="BU2093" s="71"/>
      <c r="BV2093" s="71"/>
    </row>
    <row r="2094">
      <c r="A2094" s="53">
        <v>1.0</v>
      </c>
      <c r="B2094" s="53"/>
      <c r="C2094" s="73" t="s">
        <v>53</v>
      </c>
      <c r="D2094" s="74" t="s">
        <v>5091</v>
      </c>
      <c r="E2094" s="54" t="s">
        <v>38</v>
      </c>
      <c r="F2094" s="54" t="s">
        <v>42</v>
      </c>
      <c r="G2094" s="55" t="s">
        <v>5092</v>
      </c>
      <c r="H2094" s="55" t="s">
        <v>5092</v>
      </c>
      <c r="I2094" s="54">
        <f t="shared" si="24"/>
        <v>26</v>
      </c>
      <c r="J2094" s="56"/>
      <c r="K2094" s="57"/>
      <c r="L2094" s="76"/>
      <c r="M2094" s="59"/>
      <c r="N2094" s="60">
        <v>332.0</v>
      </c>
      <c r="O2094" s="61">
        <v>358.0</v>
      </c>
      <c r="P2094" s="62">
        <v>386.64000000000004</v>
      </c>
      <c r="Q2094" s="63">
        <v>386.64000000000004</v>
      </c>
      <c r="R2094" s="64">
        <v>443.0</v>
      </c>
      <c r="S2094" s="111">
        <v>465.0</v>
      </c>
      <c r="T2094" s="65">
        <f t="shared" si="80"/>
        <v>74.4</v>
      </c>
      <c r="U2094" s="65">
        <f t="shared" si="81"/>
        <v>539.4</v>
      </c>
      <c r="V2094" s="66">
        <f t="shared" si="84"/>
        <v>0.04966139955</v>
      </c>
      <c r="W2094" s="67">
        <f t="shared" si="5"/>
        <v>441.75</v>
      </c>
      <c r="X2094" s="67">
        <f t="shared" si="85"/>
        <v>70.68</v>
      </c>
      <c r="Y2094" s="67">
        <f t="shared" si="86"/>
        <v>512.43</v>
      </c>
      <c r="Z2094" s="67">
        <f t="shared" si="8"/>
        <v>418.5</v>
      </c>
      <c r="AA2094" s="67">
        <f t="shared" si="87"/>
        <v>66.96</v>
      </c>
      <c r="AB2094" s="67">
        <f t="shared" si="88"/>
        <v>485.46</v>
      </c>
      <c r="AC2094" s="67">
        <f t="shared" si="11"/>
        <v>395.25</v>
      </c>
      <c r="AD2094" s="67">
        <f t="shared" si="89"/>
        <v>63.24</v>
      </c>
      <c r="AE2094" s="67">
        <f t="shared" si="90"/>
        <v>458.49</v>
      </c>
      <c r="AF2094" s="67">
        <f t="shared" si="33"/>
        <v>385.95</v>
      </c>
      <c r="AG2094" s="67">
        <f t="shared" si="91"/>
        <v>61.752</v>
      </c>
      <c r="AH2094" s="67">
        <f t="shared" si="92"/>
        <v>447.702</v>
      </c>
      <c r="AI2094" s="67">
        <f t="shared" si="17"/>
        <v>372</v>
      </c>
      <c r="AJ2094" s="68">
        <f t="shared" si="78"/>
        <v>59.52</v>
      </c>
      <c r="AK2094" s="68">
        <f t="shared" si="79"/>
        <v>431.52</v>
      </c>
      <c r="AL2094" s="70"/>
      <c r="AM2094" s="70"/>
      <c r="AN2094" s="71"/>
      <c r="AO2094" s="71"/>
      <c r="AP2094" s="71"/>
      <c r="AQ2094" s="71"/>
      <c r="AR2094" s="71"/>
      <c r="AS2094" s="71"/>
      <c r="AT2094" s="71"/>
      <c r="AU2094" s="71"/>
      <c r="AV2094" s="71"/>
      <c r="AW2094" s="71"/>
      <c r="AX2094" s="71"/>
      <c r="AY2094" s="71"/>
      <c r="AZ2094" s="71"/>
      <c r="BA2094" s="71"/>
      <c r="BB2094" s="71"/>
      <c r="BC2094" s="71"/>
      <c r="BD2094" s="71"/>
      <c r="BE2094" s="71"/>
      <c r="BF2094" s="71"/>
      <c r="BG2094" s="71"/>
      <c r="BH2094" s="71"/>
      <c r="BI2094" s="71"/>
      <c r="BJ2094" s="71"/>
      <c r="BK2094" s="71"/>
      <c r="BL2094" s="71"/>
      <c r="BM2094" s="71"/>
      <c r="BN2094" s="71"/>
      <c r="BO2094" s="71"/>
      <c r="BP2094" s="71"/>
      <c r="BQ2094" s="71"/>
      <c r="BR2094" s="71"/>
      <c r="BS2094" s="71"/>
      <c r="BT2094" s="71"/>
      <c r="BU2094" s="71"/>
      <c r="BV2094" s="71"/>
    </row>
    <row r="2095">
      <c r="A2095" s="53">
        <v>1.0</v>
      </c>
      <c r="B2095" s="53"/>
      <c r="C2095" s="73" t="s">
        <v>53</v>
      </c>
      <c r="D2095" s="74" t="s">
        <v>5093</v>
      </c>
      <c r="E2095" s="54" t="s">
        <v>38</v>
      </c>
      <c r="F2095" s="54" t="s">
        <v>42</v>
      </c>
      <c r="G2095" s="55" t="s">
        <v>5094</v>
      </c>
      <c r="H2095" s="55" t="s">
        <v>5094</v>
      </c>
      <c r="I2095" s="54">
        <f t="shared" si="24"/>
        <v>22</v>
      </c>
      <c r="J2095" s="56"/>
      <c r="K2095" s="57"/>
      <c r="L2095" s="76"/>
      <c r="M2095" s="59"/>
      <c r="N2095" s="60">
        <v>299.0</v>
      </c>
      <c r="O2095" s="61">
        <v>322.0</v>
      </c>
      <c r="P2095" s="62">
        <v>347.76000000000005</v>
      </c>
      <c r="Q2095" s="63">
        <v>347.76000000000005</v>
      </c>
      <c r="R2095" s="64">
        <v>399.0</v>
      </c>
      <c r="S2095" s="111">
        <v>419.0</v>
      </c>
      <c r="T2095" s="65">
        <f t="shared" si="80"/>
        <v>67.04</v>
      </c>
      <c r="U2095" s="65">
        <f t="shared" si="81"/>
        <v>486.04</v>
      </c>
      <c r="V2095" s="66">
        <f t="shared" si="84"/>
        <v>0.05012531328</v>
      </c>
      <c r="W2095" s="67">
        <f t="shared" si="5"/>
        <v>398.05</v>
      </c>
      <c r="X2095" s="67">
        <f t="shared" si="85"/>
        <v>63.688</v>
      </c>
      <c r="Y2095" s="67">
        <f t="shared" si="86"/>
        <v>461.738</v>
      </c>
      <c r="Z2095" s="67">
        <f t="shared" si="8"/>
        <v>377.1</v>
      </c>
      <c r="AA2095" s="67">
        <f t="shared" si="87"/>
        <v>60.336</v>
      </c>
      <c r="AB2095" s="67">
        <f t="shared" si="88"/>
        <v>437.436</v>
      </c>
      <c r="AC2095" s="67">
        <f t="shared" si="11"/>
        <v>356.15</v>
      </c>
      <c r="AD2095" s="67">
        <f t="shared" si="89"/>
        <v>56.984</v>
      </c>
      <c r="AE2095" s="67">
        <f t="shared" si="90"/>
        <v>413.134</v>
      </c>
      <c r="AF2095" s="67">
        <f t="shared" si="33"/>
        <v>347.77</v>
      </c>
      <c r="AG2095" s="67">
        <f t="shared" si="91"/>
        <v>55.6432</v>
      </c>
      <c r="AH2095" s="67">
        <f t="shared" si="92"/>
        <v>403.4132</v>
      </c>
      <c r="AI2095" s="67">
        <f t="shared" si="17"/>
        <v>335.2</v>
      </c>
      <c r="AJ2095" s="68">
        <f t="shared" si="78"/>
        <v>53.632</v>
      </c>
      <c r="AK2095" s="68">
        <f t="shared" si="79"/>
        <v>388.832</v>
      </c>
      <c r="AL2095" s="70"/>
      <c r="AM2095" s="70"/>
      <c r="AN2095" s="71"/>
      <c r="AO2095" s="71"/>
      <c r="AP2095" s="71"/>
      <c r="AQ2095" s="71"/>
      <c r="AR2095" s="71"/>
      <c r="AS2095" s="71"/>
      <c r="AT2095" s="71"/>
      <c r="AU2095" s="71"/>
      <c r="AV2095" s="71"/>
      <c r="AW2095" s="71"/>
      <c r="AX2095" s="71"/>
      <c r="AY2095" s="71"/>
      <c r="AZ2095" s="71"/>
      <c r="BA2095" s="71"/>
      <c r="BB2095" s="71"/>
      <c r="BC2095" s="71"/>
      <c r="BD2095" s="71"/>
      <c r="BE2095" s="71"/>
      <c r="BF2095" s="71"/>
      <c r="BG2095" s="71"/>
      <c r="BH2095" s="71"/>
      <c r="BI2095" s="71"/>
      <c r="BJ2095" s="71"/>
      <c r="BK2095" s="71"/>
      <c r="BL2095" s="71"/>
      <c r="BM2095" s="71"/>
      <c r="BN2095" s="71"/>
      <c r="BO2095" s="71"/>
      <c r="BP2095" s="71"/>
      <c r="BQ2095" s="71"/>
      <c r="BR2095" s="71"/>
      <c r="BS2095" s="71"/>
      <c r="BT2095" s="71"/>
      <c r="BU2095" s="71"/>
      <c r="BV2095" s="71"/>
    </row>
    <row r="2096">
      <c r="A2096" s="53">
        <v>1.0</v>
      </c>
      <c r="B2096" s="53"/>
      <c r="C2096" s="73" t="s">
        <v>53</v>
      </c>
      <c r="D2096" s="74" t="s">
        <v>5095</v>
      </c>
      <c r="E2096" s="54" t="s">
        <v>38</v>
      </c>
      <c r="F2096" s="54" t="s">
        <v>42</v>
      </c>
      <c r="G2096" s="55" t="s">
        <v>5096</v>
      </c>
      <c r="H2096" s="55" t="s">
        <v>5096</v>
      </c>
      <c r="I2096" s="54">
        <f t="shared" si="24"/>
        <v>26</v>
      </c>
      <c r="J2096" s="56"/>
      <c r="K2096" s="57"/>
      <c r="L2096" s="76"/>
      <c r="M2096" s="59"/>
      <c r="N2096" s="60">
        <v>421.0</v>
      </c>
      <c r="O2096" s="61">
        <v>454.0</v>
      </c>
      <c r="P2096" s="62">
        <v>490.32000000000005</v>
      </c>
      <c r="Q2096" s="63">
        <v>490.32000000000005</v>
      </c>
      <c r="R2096" s="64">
        <v>562.0</v>
      </c>
      <c r="S2096" s="111">
        <v>590.0</v>
      </c>
      <c r="T2096" s="65">
        <f t="shared" si="80"/>
        <v>94.4</v>
      </c>
      <c r="U2096" s="65">
        <f t="shared" si="81"/>
        <v>684.4</v>
      </c>
      <c r="V2096" s="66">
        <f t="shared" si="84"/>
        <v>0.04982206406</v>
      </c>
      <c r="W2096" s="67">
        <f t="shared" si="5"/>
        <v>560.5</v>
      </c>
      <c r="X2096" s="67">
        <f t="shared" si="85"/>
        <v>89.68</v>
      </c>
      <c r="Y2096" s="67">
        <f t="shared" si="86"/>
        <v>650.18</v>
      </c>
      <c r="Z2096" s="67">
        <f t="shared" si="8"/>
        <v>531</v>
      </c>
      <c r="AA2096" s="67">
        <f t="shared" si="87"/>
        <v>84.96</v>
      </c>
      <c r="AB2096" s="67">
        <f t="shared" si="88"/>
        <v>615.96</v>
      </c>
      <c r="AC2096" s="67">
        <f t="shared" si="11"/>
        <v>501.5</v>
      </c>
      <c r="AD2096" s="67">
        <f t="shared" si="89"/>
        <v>80.24</v>
      </c>
      <c r="AE2096" s="67">
        <f t="shared" si="90"/>
        <v>581.74</v>
      </c>
      <c r="AF2096" s="67">
        <f t="shared" si="33"/>
        <v>489.7</v>
      </c>
      <c r="AG2096" s="67">
        <f t="shared" si="91"/>
        <v>78.352</v>
      </c>
      <c r="AH2096" s="67">
        <f t="shared" si="92"/>
        <v>568.052</v>
      </c>
      <c r="AI2096" s="67">
        <f t="shared" si="17"/>
        <v>472</v>
      </c>
      <c r="AJ2096" s="68">
        <f t="shared" si="78"/>
        <v>75.52</v>
      </c>
      <c r="AK2096" s="68">
        <f t="shared" si="79"/>
        <v>547.52</v>
      </c>
      <c r="AL2096" s="70"/>
      <c r="AM2096" s="70"/>
      <c r="AN2096" s="71"/>
      <c r="AO2096" s="71"/>
      <c r="AP2096" s="71"/>
      <c r="AQ2096" s="71"/>
      <c r="AR2096" s="71"/>
      <c r="AS2096" s="71"/>
      <c r="AT2096" s="71"/>
      <c r="AU2096" s="71"/>
      <c r="AV2096" s="71"/>
      <c r="AW2096" s="71"/>
      <c r="AX2096" s="71"/>
      <c r="AY2096" s="71"/>
      <c r="AZ2096" s="71"/>
      <c r="BA2096" s="71"/>
      <c r="BB2096" s="71"/>
      <c r="BC2096" s="71"/>
      <c r="BD2096" s="71"/>
      <c r="BE2096" s="71"/>
      <c r="BF2096" s="71"/>
      <c r="BG2096" s="71"/>
      <c r="BH2096" s="71"/>
      <c r="BI2096" s="71"/>
      <c r="BJ2096" s="71"/>
      <c r="BK2096" s="71"/>
      <c r="BL2096" s="71"/>
      <c r="BM2096" s="71"/>
      <c r="BN2096" s="71"/>
      <c r="BO2096" s="71"/>
      <c r="BP2096" s="71"/>
      <c r="BQ2096" s="71"/>
      <c r="BR2096" s="71"/>
      <c r="BS2096" s="71"/>
      <c r="BT2096" s="71"/>
      <c r="BU2096" s="71"/>
      <c r="BV2096" s="71"/>
    </row>
    <row r="2097">
      <c r="A2097" s="53">
        <v>1.0</v>
      </c>
      <c r="B2097" s="53"/>
      <c r="C2097" s="73" t="s">
        <v>53</v>
      </c>
      <c r="D2097" s="74" t="s">
        <v>5097</v>
      </c>
      <c r="E2097" s="54" t="s">
        <v>38</v>
      </c>
      <c r="F2097" s="54" t="s">
        <v>42</v>
      </c>
      <c r="G2097" s="55" t="s">
        <v>5098</v>
      </c>
      <c r="H2097" s="55" t="s">
        <v>5098</v>
      </c>
      <c r="I2097" s="54">
        <f t="shared" si="24"/>
        <v>22</v>
      </c>
      <c r="J2097" s="56"/>
      <c r="K2097" s="57"/>
      <c r="L2097" s="76"/>
      <c r="M2097" s="59"/>
      <c r="N2097" s="60">
        <v>351.0</v>
      </c>
      <c r="O2097" s="61">
        <v>379.0</v>
      </c>
      <c r="P2097" s="62">
        <v>409.32000000000005</v>
      </c>
      <c r="Q2097" s="63">
        <v>409.32000000000005</v>
      </c>
      <c r="R2097" s="64">
        <v>469.0</v>
      </c>
      <c r="S2097" s="111">
        <v>492.0</v>
      </c>
      <c r="T2097" s="65">
        <f t="shared" si="80"/>
        <v>78.72</v>
      </c>
      <c r="U2097" s="65">
        <f t="shared" si="81"/>
        <v>570.72</v>
      </c>
      <c r="V2097" s="66">
        <f t="shared" si="84"/>
        <v>0.04904051173</v>
      </c>
      <c r="W2097" s="67">
        <f t="shared" si="5"/>
        <v>467.4</v>
      </c>
      <c r="X2097" s="67">
        <f t="shared" si="85"/>
        <v>74.784</v>
      </c>
      <c r="Y2097" s="67">
        <f t="shared" si="86"/>
        <v>542.184</v>
      </c>
      <c r="Z2097" s="67">
        <f t="shared" si="8"/>
        <v>442.8</v>
      </c>
      <c r="AA2097" s="67">
        <f t="shared" si="87"/>
        <v>70.848</v>
      </c>
      <c r="AB2097" s="67">
        <f t="shared" si="88"/>
        <v>513.648</v>
      </c>
      <c r="AC2097" s="67">
        <f t="shared" si="11"/>
        <v>418.2</v>
      </c>
      <c r="AD2097" s="67">
        <f t="shared" si="89"/>
        <v>66.912</v>
      </c>
      <c r="AE2097" s="67">
        <f t="shared" si="90"/>
        <v>485.112</v>
      </c>
      <c r="AF2097" s="67">
        <f t="shared" si="33"/>
        <v>408.36</v>
      </c>
      <c r="AG2097" s="67">
        <f t="shared" si="91"/>
        <v>65.3376</v>
      </c>
      <c r="AH2097" s="67">
        <f t="shared" si="92"/>
        <v>473.6976</v>
      </c>
      <c r="AI2097" s="67">
        <f t="shared" si="17"/>
        <v>393.6</v>
      </c>
      <c r="AJ2097" s="68">
        <f t="shared" si="78"/>
        <v>62.976</v>
      </c>
      <c r="AK2097" s="68">
        <f t="shared" si="79"/>
        <v>456.576</v>
      </c>
      <c r="AL2097" s="70"/>
      <c r="AM2097" s="70"/>
      <c r="AN2097" s="71"/>
      <c r="AO2097" s="71"/>
      <c r="AP2097" s="71"/>
      <c r="AQ2097" s="71"/>
      <c r="AR2097" s="71"/>
      <c r="AS2097" s="71"/>
      <c r="AT2097" s="71"/>
      <c r="AU2097" s="71"/>
      <c r="AV2097" s="71"/>
      <c r="AW2097" s="71"/>
      <c r="AX2097" s="71"/>
      <c r="AY2097" s="71"/>
      <c r="AZ2097" s="71"/>
      <c r="BA2097" s="71"/>
      <c r="BB2097" s="71"/>
      <c r="BC2097" s="71"/>
      <c r="BD2097" s="71"/>
      <c r="BE2097" s="71"/>
      <c r="BF2097" s="71"/>
      <c r="BG2097" s="71"/>
      <c r="BH2097" s="71"/>
      <c r="BI2097" s="71"/>
      <c r="BJ2097" s="71"/>
      <c r="BK2097" s="71"/>
      <c r="BL2097" s="71"/>
      <c r="BM2097" s="71"/>
      <c r="BN2097" s="71"/>
      <c r="BO2097" s="71"/>
      <c r="BP2097" s="71"/>
      <c r="BQ2097" s="71"/>
      <c r="BR2097" s="71"/>
      <c r="BS2097" s="71"/>
      <c r="BT2097" s="71"/>
      <c r="BU2097" s="71"/>
      <c r="BV2097" s="71"/>
    </row>
    <row r="2098">
      <c r="A2098" s="53">
        <v>1.0</v>
      </c>
      <c r="B2098" s="53"/>
      <c r="C2098" s="73" t="s">
        <v>53</v>
      </c>
      <c r="D2098" s="74" t="s">
        <v>5099</v>
      </c>
      <c r="E2098" s="54" t="s">
        <v>38</v>
      </c>
      <c r="F2098" s="54" t="s">
        <v>42</v>
      </c>
      <c r="G2098" s="55" t="s">
        <v>5100</v>
      </c>
      <c r="H2098" s="55" t="s">
        <v>5100</v>
      </c>
      <c r="I2098" s="54">
        <f t="shared" si="24"/>
        <v>26</v>
      </c>
      <c r="J2098" s="56"/>
      <c r="K2098" s="57"/>
      <c r="L2098" s="76"/>
      <c r="M2098" s="59"/>
      <c r="N2098" s="60">
        <v>440.0</v>
      </c>
      <c r="O2098" s="61">
        <v>475.0</v>
      </c>
      <c r="P2098" s="62">
        <v>513.0</v>
      </c>
      <c r="Q2098" s="63">
        <v>513.0</v>
      </c>
      <c r="R2098" s="64">
        <v>588.0</v>
      </c>
      <c r="S2098" s="111">
        <v>617.0</v>
      </c>
      <c r="T2098" s="65">
        <f t="shared" si="80"/>
        <v>98.72</v>
      </c>
      <c r="U2098" s="65">
        <f t="shared" si="81"/>
        <v>715.72</v>
      </c>
      <c r="V2098" s="66">
        <f t="shared" si="84"/>
        <v>0.04931972789</v>
      </c>
      <c r="W2098" s="67">
        <f t="shared" si="5"/>
        <v>586.15</v>
      </c>
      <c r="X2098" s="67">
        <f t="shared" si="85"/>
        <v>93.784</v>
      </c>
      <c r="Y2098" s="67">
        <f t="shared" si="86"/>
        <v>679.934</v>
      </c>
      <c r="Z2098" s="67">
        <f t="shared" si="8"/>
        <v>555.3</v>
      </c>
      <c r="AA2098" s="67">
        <f t="shared" si="87"/>
        <v>88.848</v>
      </c>
      <c r="AB2098" s="67">
        <f t="shared" si="88"/>
        <v>644.148</v>
      </c>
      <c r="AC2098" s="67">
        <f t="shared" si="11"/>
        <v>524.45</v>
      </c>
      <c r="AD2098" s="67">
        <f t="shared" si="89"/>
        <v>83.912</v>
      </c>
      <c r="AE2098" s="67">
        <f t="shared" si="90"/>
        <v>608.362</v>
      </c>
      <c r="AF2098" s="67">
        <f t="shared" si="33"/>
        <v>512.11</v>
      </c>
      <c r="AG2098" s="67">
        <f t="shared" si="91"/>
        <v>81.9376</v>
      </c>
      <c r="AH2098" s="67">
        <f t="shared" si="92"/>
        <v>594.0476</v>
      </c>
      <c r="AI2098" s="67">
        <f t="shared" si="17"/>
        <v>493.6</v>
      </c>
      <c r="AJ2098" s="68">
        <f t="shared" si="78"/>
        <v>78.976</v>
      </c>
      <c r="AK2098" s="68">
        <f t="shared" si="79"/>
        <v>572.576</v>
      </c>
      <c r="AL2098" s="70"/>
      <c r="AM2098" s="70"/>
      <c r="AN2098" s="71"/>
      <c r="AO2098" s="71"/>
      <c r="AP2098" s="71"/>
      <c r="AQ2098" s="71"/>
      <c r="AR2098" s="71"/>
      <c r="AS2098" s="71"/>
      <c r="AT2098" s="71"/>
      <c r="AU2098" s="71"/>
      <c r="AV2098" s="71"/>
      <c r="AW2098" s="71"/>
      <c r="AX2098" s="71"/>
      <c r="AY2098" s="71"/>
      <c r="AZ2098" s="71"/>
      <c r="BA2098" s="71"/>
      <c r="BB2098" s="71"/>
      <c r="BC2098" s="71"/>
      <c r="BD2098" s="71"/>
      <c r="BE2098" s="71"/>
      <c r="BF2098" s="71"/>
      <c r="BG2098" s="71"/>
      <c r="BH2098" s="71"/>
      <c r="BI2098" s="71"/>
      <c r="BJ2098" s="71"/>
      <c r="BK2098" s="71"/>
      <c r="BL2098" s="71"/>
      <c r="BM2098" s="71"/>
      <c r="BN2098" s="71"/>
      <c r="BO2098" s="71"/>
      <c r="BP2098" s="71"/>
      <c r="BQ2098" s="71"/>
      <c r="BR2098" s="71"/>
      <c r="BS2098" s="71"/>
      <c r="BT2098" s="71"/>
      <c r="BU2098" s="71"/>
      <c r="BV2098" s="71"/>
    </row>
    <row r="2099">
      <c r="A2099" s="53">
        <v>1.0</v>
      </c>
      <c r="B2099" s="53"/>
      <c r="C2099" s="73" t="s">
        <v>53</v>
      </c>
      <c r="D2099" s="74" t="s">
        <v>5101</v>
      </c>
      <c r="E2099" s="54" t="s">
        <v>38</v>
      </c>
      <c r="F2099" s="54" t="s">
        <v>42</v>
      </c>
      <c r="G2099" s="55" t="s">
        <v>5102</v>
      </c>
      <c r="H2099" s="55" t="s">
        <v>5102</v>
      </c>
      <c r="I2099" s="54">
        <f t="shared" si="24"/>
        <v>22</v>
      </c>
      <c r="J2099" s="56"/>
      <c r="K2099" s="57"/>
      <c r="L2099" s="76"/>
      <c r="M2099" s="59"/>
      <c r="N2099" s="60">
        <v>418.0</v>
      </c>
      <c r="O2099" s="61">
        <v>451.0</v>
      </c>
      <c r="P2099" s="62">
        <v>487.08000000000004</v>
      </c>
      <c r="Q2099" s="63">
        <v>487.08000000000004</v>
      </c>
      <c r="R2099" s="64">
        <v>559.0</v>
      </c>
      <c r="S2099" s="111">
        <v>587.0</v>
      </c>
      <c r="T2099" s="65">
        <f t="shared" si="80"/>
        <v>93.92</v>
      </c>
      <c r="U2099" s="65">
        <f t="shared" si="81"/>
        <v>680.92</v>
      </c>
      <c r="V2099" s="66">
        <f t="shared" si="84"/>
        <v>0.05008944544</v>
      </c>
      <c r="W2099" s="67">
        <f t="shared" si="5"/>
        <v>557.65</v>
      </c>
      <c r="X2099" s="67">
        <f t="shared" si="85"/>
        <v>89.224</v>
      </c>
      <c r="Y2099" s="67">
        <f t="shared" si="86"/>
        <v>646.874</v>
      </c>
      <c r="Z2099" s="67">
        <f t="shared" si="8"/>
        <v>528.3</v>
      </c>
      <c r="AA2099" s="67">
        <f t="shared" si="87"/>
        <v>84.528</v>
      </c>
      <c r="AB2099" s="67">
        <f t="shared" si="88"/>
        <v>612.828</v>
      </c>
      <c r="AC2099" s="67">
        <f t="shared" si="11"/>
        <v>498.95</v>
      </c>
      <c r="AD2099" s="67">
        <f t="shared" si="89"/>
        <v>79.832</v>
      </c>
      <c r="AE2099" s="67">
        <f t="shared" si="90"/>
        <v>578.782</v>
      </c>
      <c r="AF2099" s="67">
        <f t="shared" si="33"/>
        <v>487.21</v>
      </c>
      <c r="AG2099" s="67">
        <f t="shared" si="91"/>
        <v>77.9536</v>
      </c>
      <c r="AH2099" s="67">
        <f t="shared" si="92"/>
        <v>565.1636</v>
      </c>
      <c r="AI2099" s="67">
        <f t="shared" si="17"/>
        <v>469.6</v>
      </c>
      <c r="AJ2099" s="68">
        <f t="shared" si="78"/>
        <v>75.136</v>
      </c>
      <c r="AK2099" s="68">
        <f t="shared" si="79"/>
        <v>544.736</v>
      </c>
      <c r="AL2099" s="70"/>
      <c r="AM2099" s="70"/>
      <c r="AN2099" s="71"/>
      <c r="AO2099" s="71"/>
      <c r="AP2099" s="71"/>
      <c r="AQ2099" s="71"/>
      <c r="AR2099" s="71"/>
      <c r="AS2099" s="71"/>
      <c r="AT2099" s="71"/>
      <c r="AU2099" s="71"/>
      <c r="AV2099" s="71"/>
      <c r="AW2099" s="71"/>
      <c r="AX2099" s="71"/>
      <c r="AY2099" s="71"/>
      <c r="AZ2099" s="71"/>
      <c r="BA2099" s="71"/>
      <c r="BB2099" s="71"/>
      <c r="BC2099" s="71"/>
      <c r="BD2099" s="71"/>
      <c r="BE2099" s="71"/>
      <c r="BF2099" s="71"/>
      <c r="BG2099" s="71"/>
      <c r="BH2099" s="71"/>
      <c r="BI2099" s="71"/>
      <c r="BJ2099" s="71"/>
      <c r="BK2099" s="71"/>
      <c r="BL2099" s="71"/>
      <c r="BM2099" s="71"/>
      <c r="BN2099" s="71"/>
      <c r="BO2099" s="71"/>
      <c r="BP2099" s="71"/>
      <c r="BQ2099" s="71"/>
      <c r="BR2099" s="71"/>
      <c r="BS2099" s="71"/>
      <c r="BT2099" s="71"/>
      <c r="BU2099" s="71"/>
      <c r="BV2099" s="71"/>
    </row>
    <row r="2100">
      <c r="A2100" s="53">
        <v>1.0</v>
      </c>
      <c r="B2100" s="53"/>
      <c r="C2100" s="73" t="s">
        <v>53</v>
      </c>
      <c r="D2100" s="53" t="s">
        <v>5103</v>
      </c>
      <c r="E2100" s="54" t="s">
        <v>38</v>
      </c>
      <c r="F2100" s="54" t="s">
        <v>42</v>
      </c>
      <c r="G2100" s="55" t="s">
        <v>5104</v>
      </c>
      <c r="H2100" s="55" t="s">
        <v>5104</v>
      </c>
      <c r="I2100" s="54">
        <f t="shared" si="24"/>
        <v>15</v>
      </c>
      <c r="J2100" s="56"/>
      <c r="K2100" s="57"/>
      <c r="L2100" s="76"/>
      <c r="M2100" s="59"/>
      <c r="N2100" s="60"/>
      <c r="O2100" s="61">
        <v>549.0</v>
      </c>
      <c r="P2100" s="62">
        <v>592.9200000000001</v>
      </c>
      <c r="Q2100" s="63">
        <v>592.9200000000001</v>
      </c>
      <c r="R2100" s="64">
        <v>641.0</v>
      </c>
      <c r="S2100" s="111">
        <v>673.0</v>
      </c>
      <c r="T2100" s="65">
        <f t="shared" si="80"/>
        <v>107.68</v>
      </c>
      <c r="U2100" s="65">
        <f t="shared" si="81"/>
        <v>780.68</v>
      </c>
      <c r="V2100" s="66">
        <f t="shared" si="84"/>
        <v>0.04992199688</v>
      </c>
      <c r="W2100" s="67">
        <f t="shared" si="5"/>
        <v>639.35</v>
      </c>
      <c r="X2100" s="67">
        <f t="shared" si="85"/>
        <v>102.296</v>
      </c>
      <c r="Y2100" s="67">
        <f t="shared" si="86"/>
        <v>741.646</v>
      </c>
      <c r="Z2100" s="67">
        <f t="shared" si="8"/>
        <v>605.7</v>
      </c>
      <c r="AA2100" s="67">
        <f t="shared" si="87"/>
        <v>96.912</v>
      </c>
      <c r="AB2100" s="67">
        <f t="shared" si="88"/>
        <v>702.612</v>
      </c>
      <c r="AC2100" s="67">
        <f t="shared" si="11"/>
        <v>572.05</v>
      </c>
      <c r="AD2100" s="67">
        <f t="shared" si="89"/>
        <v>91.528</v>
      </c>
      <c r="AE2100" s="67">
        <f t="shared" si="90"/>
        <v>663.578</v>
      </c>
      <c r="AF2100" s="67">
        <f t="shared" si="33"/>
        <v>558.59</v>
      </c>
      <c r="AG2100" s="67">
        <f t="shared" si="91"/>
        <v>89.3744</v>
      </c>
      <c r="AH2100" s="67">
        <f t="shared" si="92"/>
        <v>647.9644</v>
      </c>
      <c r="AI2100" s="67">
        <f t="shared" si="17"/>
        <v>538.4</v>
      </c>
      <c r="AJ2100" s="68">
        <f t="shared" si="78"/>
        <v>86.144</v>
      </c>
      <c r="AK2100" s="68">
        <f t="shared" si="79"/>
        <v>624.544</v>
      </c>
      <c r="AL2100" s="70"/>
      <c r="AM2100" s="70"/>
      <c r="AN2100" s="71"/>
      <c r="AO2100" s="71"/>
      <c r="AP2100" s="71"/>
      <c r="AQ2100" s="71"/>
      <c r="AR2100" s="71"/>
      <c r="AS2100" s="71"/>
      <c r="AT2100" s="71"/>
      <c r="AU2100" s="71"/>
      <c r="AV2100" s="71"/>
      <c r="AW2100" s="71"/>
      <c r="AX2100" s="71"/>
      <c r="AY2100" s="71"/>
      <c r="AZ2100" s="71"/>
      <c r="BA2100" s="71"/>
      <c r="BB2100" s="71"/>
      <c r="BC2100" s="71"/>
      <c r="BD2100" s="71"/>
      <c r="BE2100" s="71"/>
      <c r="BF2100" s="71"/>
      <c r="BG2100" s="71"/>
      <c r="BH2100" s="71"/>
      <c r="BI2100" s="71"/>
      <c r="BJ2100" s="71"/>
      <c r="BK2100" s="71"/>
      <c r="BL2100" s="71"/>
      <c r="BM2100" s="71"/>
      <c r="BN2100" s="71"/>
      <c r="BO2100" s="71"/>
      <c r="BP2100" s="71"/>
      <c r="BQ2100" s="71"/>
      <c r="BR2100" s="71"/>
      <c r="BS2100" s="71"/>
      <c r="BT2100" s="71"/>
      <c r="BU2100" s="71"/>
      <c r="BV2100" s="71"/>
    </row>
    <row r="2101">
      <c r="A2101" s="53">
        <v>1.0</v>
      </c>
      <c r="B2101" s="53"/>
      <c r="C2101" s="73" t="s">
        <v>53</v>
      </c>
      <c r="D2101" s="53" t="s">
        <v>5105</v>
      </c>
      <c r="E2101" s="54" t="s">
        <v>38</v>
      </c>
      <c r="F2101" s="54" t="s">
        <v>42</v>
      </c>
      <c r="G2101" s="55" t="s">
        <v>5106</v>
      </c>
      <c r="H2101" s="55" t="s">
        <v>5106</v>
      </c>
      <c r="I2101" s="54">
        <f t="shared" si="24"/>
        <v>20</v>
      </c>
      <c r="J2101" s="56"/>
      <c r="K2101" s="57"/>
      <c r="L2101" s="76"/>
      <c r="M2101" s="59"/>
      <c r="N2101" s="60">
        <v>509.25</v>
      </c>
      <c r="O2101" s="61">
        <v>549.0</v>
      </c>
      <c r="P2101" s="62">
        <v>592.9200000000001</v>
      </c>
      <c r="Q2101" s="63">
        <v>592.9200000000001</v>
      </c>
      <c r="R2101" s="64">
        <v>641.0</v>
      </c>
      <c r="S2101" s="111">
        <v>673.0</v>
      </c>
      <c r="T2101" s="65">
        <f t="shared" si="80"/>
        <v>107.68</v>
      </c>
      <c r="U2101" s="65">
        <f t="shared" si="81"/>
        <v>780.68</v>
      </c>
      <c r="V2101" s="66">
        <f t="shared" si="84"/>
        <v>0.04992199688</v>
      </c>
      <c r="W2101" s="67">
        <f t="shared" si="5"/>
        <v>639.35</v>
      </c>
      <c r="X2101" s="67">
        <f t="shared" si="85"/>
        <v>102.296</v>
      </c>
      <c r="Y2101" s="67">
        <f t="shared" si="86"/>
        <v>741.646</v>
      </c>
      <c r="Z2101" s="67">
        <f t="shared" si="8"/>
        <v>605.7</v>
      </c>
      <c r="AA2101" s="67">
        <f t="shared" si="87"/>
        <v>96.912</v>
      </c>
      <c r="AB2101" s="67">
        <f t="shared" si="88"/>
        <v>702.612</v>
      </c>
      <c r="AC2101" s="67">
        <f t="shared" si="11"/>
        <v>572.05</v>
      </c>
      <c r="AD2101" s="67">
        <f t="shared" si="89"/>
        <v>91.528</v>
      </c>
      <c r="AE2101" s="67">
        <f t="shared" si="90"/>
        <v>663.578</v>
      </c>
      <c r="AF2101" s="67">
        <f t="shared" si="33"/>
        <v>558.59</v>
      </c>
      <c r="AG2101" s="67">
        <f t="shared" si="91"/>
        <v>89.3744</v>
      </c>
      <c r="AH2101" s="67">
        <f t="shared" si="92"/>
        <v>647.9644</v>
      </c>
      <c r="AI2101" s="67">
        <f t="shared" si="17"/>
        <v>538.4</v>
      </c>
      <c r="AJ2101" s="68">
        <f t="shared" si="78"/>
        <v>86.144</v>
      </c>
      <c r="AK2101" s="68">
        <f t="shared" si="79"/>
        <v>624.544</v>
      </c>
      <c r="AL2101" s="70"/>
      <c r="AM2101" s="70"/>
      <c r="AN2101" s="71"/>
      <c r="AO2101" s="71"/>
      <c r="AP2101" s="71"/>
      <c r="AQ2101" s="71"/>
      <c r="AR2101" s="71"/>
      <c r="AS2101" s="71"/>
      <c r="AT2101" s="71"/>
      <c r="AU2101" s="71"/>
      <c r="AV2101" s="71"/>
      <c r="AW2101" s="71"/>
      <c r="AX2101" s="71"/>
      <c r="AY2101" s="71"/>
      <c r="AZ2101" s="71"/>
      <c r="BA2101" s="71"/>
      <c r="BB2101" s="71"/>
      <c r="BC2101" s="71"/>
      <c r="BD2101" s="71"/>
      <c r="BE2101" s="71"/>
      <c r="BF2101" s="71"/>
      <c r="BG2101" s="71"/>
      <c r="BH2101" s="71"/>
      <c r="BI2101" s="71"/>
      <c r="BJ2101" s="71"/>
      <c r="BK2101" s="71"/>
      <c r="BL2101" s="71"/>
      <c r="BM2101" s="71"/>
      <c r="BN2101" s="71"/>
      <c r="BO2101" s="71"/>
      <c r="BP2101" s="71"/>
      <c r="BQ2101" s="71"/>
      <c r="BR2101" s="71"/>
      <c r="BS2101" s="71"/>
      <c r="BT2101" s="71"/>
      <c r="BU2101" s="71"/>
      <c r="BV2101" s="71"/>
    </row>
    <row r="2102">
      <c r="A2102" s="53"/>
      <c r="B2102" s="53"/>
      <c r="C2102" s="73" t="s">
        <v>53</v>
      </c>
      <c r="D2102" s="53" t="s">
        <v>5107</v>
      </c>
      <c r="E2102" s="54" t="s">
        <v>38</v>
      </c>
      <c r="F2102" s="54" t="s">
        <v>42</v>
      </c>
      <c r="G2102" s="55" t="s">
        <v>5108</v>
      </c>
      <c r="H2102" s="55" t="s">
        <v>5108</v>
      </c>
      <c r="I2102" s="54">
        <f t="shared" si="24"/>
        <v>63</v>
      </c>
      <c r="J2102" s="56"/>
      <c r="K2102" s="57"/>
      <c r="L2102" s="76"/>
      <c r="M2102" s="59"/>
      <c r="N2102" s="79"/>
      <c r="O2102" s="61">
        <v>350.0</v>
      </c>
      <c r="P2102" s="62">
        <v>378.0</v>
      </c>
      <c r="Q2102" s="63">
        <v>378.0</v>
      </c>
      <c r="R2102" s="64">
        <v>409.0</v>
      </c>
      <c r="S2102" s="111">
        <v>429.0</v>
      </c>
      <c r="T2102" s="65">
        <f t="shared" si="80"/>
        <v>68.64</v>
      </c>
      <c r="U2102" s="65">
        <f t="shared" si="81"/>
        <v>497.64</v>
      </c>
      <c r="V2102" s="66">
        <f t="shared" si="84"/>
        <v>0.0488997555</v>
      </c>
      <c r="W2102" s="67">
        <f t="shared" si="5"/>
        <v>407.55</v>
      </c>
      <c r="X2102" s="67">
        <f t="shared" si="85"/>
        <v>65.208</v>
      </c>
      <c r="Y2102" s="67">
        <f t="shared" si="86"/>
        <v>472.758</v>
      </c>
      <c r="Z2102" s="67">
        <f t="shared" si="8"/>
        <v>386.1</v>
      </c>
      <c r="AA2102" s="67">
        <f t="shared" si="87"/>
        <v>61.776</v>
      </c>
      <c r="AB2102" s="67">
        <f t="shared" si="88"/>
        <v>447.876</v>
      </c>
      <c r="AC2102" s="67">
        <f t="shared" si="11"/>
        <v>364.65</v>
      </c>
      <c r="AD2102" s="67">
        <f t="shared" si="89"/>
        <v>58.344</v>
      </c>
      <c r="AE2102" s="67">
        <f t="shared" si="90"/>
        <v>422.994</v>
      </c>
      <c r="AF2102" s="67">
        <f t="shared" si="33"/>
        <v>356.07</v>
      </c>
      <c r="AG2102" s="67">
        <f t="shared" si="91"/>
        <v>56.9712</v>
      </c>
      <c r="AH2102" s="67">
        <f t="shared" si="92"/>
        <v>413.0412</v>
      </c>
      <c r="AI2102" s="67">
        <f t="shared" si="17"/>
        <v>343.2</v>
      </c>
      <c r="AJ2102" s="68">
        <f t="shared" si="78"/>
        <v>54.912</v>
      </c>
      <c r="AK2102" s="68">
        <f t="shared" si="79"/>
        <v>398.112</v>
      </c>
      <c r="AL2102" s="70"/>
      <c r="AM2102" s="70"/>
      <c r="AN2102" s="71"/>
      <c r="AO2102" s="71"/>
      <c r="AP2102" s="71"/>
      <c r="AQ2102" s="71"/>
      <c r="AR2102" s="71"/>
      <c r="AS2102" s="71"/>
      <c r="AT2102" s="71"/>
      <c r="AU2102" s="71"/>
      <c r="AV2102" s="71"/>
      <c r="AW2102" s="71"/>
      <c r="AX2102" s="71"/>
      <c r="AY2102" s="71"/>
      <c r="AZ2102" s="71"/>
      <c r="BA2102" s="71"/>
      <c r="BB2102" s="71"/>
      <c r="BC2102" s="71"/>
      <c r="BD2102" s="71"/>
      <c r="BE2102" s="71"/>
      <c r="BF2102" s="71"/>
      <c r="BG2102" s="71"/>
      <c r="BH2102" s="71"/>
      <c r="BI2102" s="71"/>
      <c r="BJ2102" s="71"/>
      <c r="BK2102" s="71"/>
      <c r="BL2102" s="71"/>
      <c r="BM2102" s="71"/>
      <c r="BN2102" s="71"/>
      <c r="BO2102" s="71"/>
      <c r="BP2102" s="71"/>
      <c r="BQ2102" s="71"/>
      <c r="BR2102" s="71"/>
      <c r="BS2102" s="71"/>
      <c r="BT2102" s="71"/>
      <c r="BU2102" s="71"/>
      <c r="BV2102" s="71"/>
    </row>
    <row r="2103">
      <c r="A2103" s="53"/>
      <c r="B2103" s="53"/>
      <c r="C2103" s="73" t="s">
        <v>53</v>
      </c>
      <c r="D2103" s="53" t="s">
        <v>5109</v>
      </c>
      <c r="E2103" s="54" t="s">
        <v>38</v>
      </c>
      <c r="F2103" s="54" t="s">
        <v>42</v>
      </c>
      <c r="G2103" s="55" t="s">
        <v>5110</v>
      </c>
      <c r="H2103" s="55" t="s">
        <v>5110</v>
      </c>
      <c r="I2103" s="54">
        <f t="shared" si="24"/>
        <v>66</v>
      </c>
      <c r="J2103" s="56"/>
      <c r="K2103" s="57"/>
      <c r="L2103" s="76"/>
      <c r="M2103" s="59"/>
      <c r="N2103" s="79"/>
      <c r="O2103" s="61">
        <v>429.0</v>
      </c>
      <c r="P2103" s="62">
        <v>463.32000000000005</v>
      </c>
      <c r="Q2103" s="63">
        <v>463.32000000000005</v>
      </c>
      <c r="R2103" s="64">
        <v>501.0</v>
      </c>
      <c r="S2103" s="111">
        <v>526.0</v>
      </c>
      <c r="T2103" s="65">
        <f t="shared" si="80"/>
        <v>84.16</v>
      </c>
      <c r="U2103" s="65">
        <f t="shared" si="81"/>
        <v>610.16</v>
      </c>
      <c r="V2103" s="66">
        <f t="shared" si="84"/>
        <v>0.0499001996</v>
      </c>
      <c r="W2103" s="67">
        <f t="shared" si="5"/>
        <v>499.7</v>
      </c>
      <c r="X2103" s="67">
        <f t="shared" si="85"/>
        <v>79.952</v>
      </c>
      <c r="Y2103" s="67">
        <f t="shared" si="86"/>
        <v>579.652</v>
      </c>
      <c r="Z2103" s="67">
        <f t="shared" si="8"/>
        <v>473.4</v>
      </c>
      <c r="AA2103" s="67">
        <f t="shared" si="87"/>
        <v>75.744</v>
      </c>
      <c r="AB2103" s="67">
        <f t="shared" si="88"/>
        <v>549.144</v>
      </c>
      <c r="AC2103" s="67">
        <f t="shared" si="11"/>
        <v>447.1</v>
      </c>
      <c r="AD2103" s="67">
        <f t="shared" si="89"/>
        <v>71.536</v>
      </c>
      <c r="AE2103" s="67">
        <f t="shared" si="90"/>
        <v>518.636</v>
      </c>
      <c r="AF2103" s="67">
        <f t="shared" si="33"/>
        <v>436.58</v>
      </c>
      <c r="AG2103" s="67">
        <f t="shared" si="91"/>
        <v>69.8528</v>
      </c>
      <c r="AH2103" s="67">
        <f t="shared" si="92"/>
        <v>506.4328</v>
      </c>
      <c r="AI2103" s="67">
        <f t="shared" si="17"/>
        <v>420.8</v>
      </c>
      <c r="AJ2103" s="68">
        <f t="shared" si="78"/>
        <v>67.328</v>
      </c>
      <c r="AK2103" s="68">
        <f t="shared" si="79"/>
        <v>488.128</v>
      </c>
      <c r="AL2103" s="70"/>
      <c r="AM2103" s="70"/>
      <c r="AN2103" s="71"/>
      <c r="AO2103" s="71"/>
      <c r="AP2103" s="71"/>
      <c r="AQ2103" s="71"/>
      <c r="AR2103" s="71"/>
      <c r="AS2103" s="71"/>
      <c r="AT2103" s="71"/>
      <c r="AU2103" s="71"/>
      <c r="AV2103" s="71"/>
      <c r="AW2103" s="71"/>
      <c r="AX2103" s="71"/>
      <c r="AY2103" s="71"/>
      <c r="AZ2103" s="71"/>
      <c r="BA2103" s="71"/>
      <c r="BB2103" s="71"/>
      <c r="BC2103" s="71"/>
      <c r="BD2103" s="71"/>
      <c r="BE2103" s="71"/>
      <c r="BF2103" s="71"/>
      <c r="BG2103" s="71"/>
      <c r="BH2103" s="71"/>
      <c r="BI2103" s="71"/>
      <c r="BJ2103" s="71"/>
      <c r="BK2103" s="71"/>
      <c r="BL2103" s="71"/>
      <c r="BM2103" s="71"/>
      <c r="BN2103" s="71"/>
      <c r="BO2103" s="71"/>
      <c r="BP2103" s="71"/>
      <c r="BQ2103" s="71"/>
      <c r="BR2103" s="71"/>
      <c r="BS2103" s="71"/>
      <c r="BT2103" s="71"/>
      <c r="BU2103" s="71"/>
      <c r="BV2103" s="71"/>
    </row>
    <row r="2104">
      <c r="A2104" s="53"/>
      <c r="B2104" s="53"/>
      <c r="C2104" s="73" t="s">
        <v>53</v>
      </c>
      <c r="D2104" s="53" t="s">
        <v>5111</v>
      </c>
      <c r="E2104" s="54" t="s">
        <v>38</v>
      </c>
      <c r="F2104" s="54" t="s">
        <v>42</v>
      </c>
      <c r="G2104" s="55" t="s">
        <v>5112</v>
      </c>
      <c r="H2104" s="55" t="s">
        <v>5112</v>
      </c>
      <c r="I2104" s="54">
        <f t="shared" si="24"/>
        <v>64</v>
      </c>
      <c r="J2104" s="56"/>
      <c r="K2104" s="57"/>
      <c r="L2104" s="76"/>
      <c r="M2104" s="59"/>
      <c r="N2104" s="79">
        <v>456.0</v>
      </c>
      <c r="O2104" s="61">
        <v>492.0</v>
      </c>
      <c r="P2104" s="62">
        <v>531.36</v>
      </c>
      <c r="Q2104" s="63">
        <v>531.36</v>
      </c>
      <c r="R2104" s="64">
        <v>574.0</v>
      </c>
      <c r="S2104" s="111">
        <v>603.0</v>
      </c>
      <c r="T2104" s="65">
        <f t="shared" si="80"/>
        <v>96.48</v>
      </c>
      <c r="U2104" s="65">
        <f t="shared" si="81"/>
        <v>699.48</v>
      </c>
      <c r="V2104" s="66">
        <f t="shared" si="84"/>
        <v>0.05052264808</v>
      </c>
      <c r="W2104" s="67">
        <f t="shared" si="5"/>
        <v>572.85</v>
      </c>
      <c r="X2104" s="67">
        <f t="shared" si="85"/>
        <v>91.656</v>
      </c>
      <c r="Y2104" s="67">
        <f t="shared" si="86"/>
        <v>664.506</v>
      </c>
      <c r="Z2104" s="67">
        <f t="shared" si="8"/>
        <v>542.7</v>
      </c>
      <c r="AA2104" s="67">
        <f t="shared" si="87"/>
        <v>86.832</v>
      </c>
      <c r="AB2104" s="67">
        <f t="shared" si="88"/>
        <v>629.532</v>
      </c>
      <c r="AC2104" s="67">
        <f t="shared" si="11"/>
        <v>512.55</v>
      </c>
      <c r="AD2104" s="67">
        <f t="shared" si="89"/>
        <v>82.008</v>
      </c>
      <c r="AE2104" s="67">
        <f t="shared" si="90"/>
        <v>594.558</v>
      </c>
      <c r="AF2104" s="67">
        <f t="shared" si="33"/>
        <v>500.49</v>
      </c>
      <c r="AG2104" s="67">
        <f t="shared" si="91"/>
        <v>80.0784</v>
      </c>
      <c r="AH2104" s="67">
        <f t="shared" si="92"/>
        <v>580.5684</v>
      </c>
      <c r="AI2104" s="67">
        <f t="shared" si="17"/>
        <v>482.4</v>
      </c>
      <c r="AJ2104" s="68">
        <f t="shared" si="78"/>
        <v>77.184</v>
      </c>
      <c r="AK2104" s="68">
        <f t="shared" si="79"/>
        <v>559.584</v>
      </c>
      <c r="AL2104" s="70"/>
      <c r="AM2104" s="70"/>
      <c r="AN2104" s="71"/>
      <c r="AO2104" s="71"/>
      <c r="AP2104" s="71"/>
      <c r="AQ2104" s="71"/>
      <c r="AR2104" s="71"/>
      <c r="AS2104" s="71"/>
      <c r="AT2104" s="71"/>
      <c r="AU2104" s="71"/>
      <c r="AV2104" s="71"/>
      <c r="AW2104" s="71"/>
      <c r="AX2104" s="71"/>
      <c r="AY2104" s="71"/>
      <c r="AZ2104" s="71"/>
      <c r="BA2104" s="71"/>
      <c r="BB2104" s="71"/>
      <c r="BC2104" s="71"/>
      <c r="BD2104" s="71"/>
      <c r="BE2104" s="71"/>
      <c r="BF2104" s="71"/>
      <c r="BG2104" s="71"/>
      <c r="BH2104" s="71"/>
      <c r="BI2104" s="71"/>
      <c r="BJ2104" s="71"/>
      <c r="BK2104" s="71"/>
      <c r="BL2104" s="71"/>
      <c r="BM2104" s="71"/>
      <c r="BN2104" s="71"/>
      <c r="BO2104" s="71"/>
      <c r="BP2104" s="71"/>
      <c r="BQ2104" s="71"/>
      <c r="BR2104" s="71"/>
      <c r="BS2104" s="71"/>
      <c r="BT2104" s="71"/>
      <c r="BU2104" s="71"/>
      <c r="BV2104" s="71"/>
    </row>
    <row r="2105">
      <c r="A2105" s="53"/>
      <c r="B2105" s="53"/>
      <c r="C2105" s="73" t="s">
        <v>53</v>
      </c>
      <c r="D2105" s="53" t="s">
        <v>5113</v>
      </c>
      <c r="E2105" s="54" t="s">
        <v>38</v>
      </c>
      <c r="F2105" s="54" t="s">
        <v>42</v>
      </c>
      <c r="G2105" s="55" t="s">
        <v>5114</v>
      </c>
      <c r="H2105" s="55" t="s">
        <v>5114</v>
      </c>
      <c r="I2105" s="54">
        <f t="shared" si="24"/>
        <v>91</v>
      </c>
      <c r="J2105" s="56"/>
      <c r="K2105" s="57"/>
      <c r="L2105" s="76"/>
      <c r="M2105" s="59"/>
      <c r="N2105" s="60"/>
      <c r="O2105" s="61">
        <v>410.0</v>
      </c>
      <c r="P2105" s="62">
        <v>442.8</v>
      </c>
      <c r="Q2105" s="63">
        <v>442.8</v>
      </c>
      <c r="R2105" s="64">
        <v>479.0</v>
      </c>
      <c r="S2105" s="111">
        <v>503.0</v>
      </c>
      <c r="T2105" s="65">
        <f t="shared" si="80"/>
        <v>80.48</v>
      </c>
      <c r="U2105" s="65">
        <f t="shared" si="81"/>
        <v>583.48</v>
      </c>
      <c r="V2105" s="66">
        <f t="shared" si="84"/>
        <v>0.05010438413</v>
      </c>
      <c r="W2105" s="67">
        <f t="shared" si="5"/>
        <v>477.85</v>
      </c>
      <c r="X2105" s="67">
        <f t="shared" si="85"/>
        <v>76.456</v>
      </c>
      <c r="Y2105" s="67">
        <f t="shared" si="86"/>
        <v>554.306</v>
      </c>
      <c r="Z2105" s="67">
        <f t="shared" si="8"/>
        <v>452.7</v>
      </c>
      <c r="AA2105" s="67">
        <f t="shared" si="87"/>
        <v>72.432</v>
      </c>
      <c r="AB2105" s="67">
        <f t="shared" si="88"/>
        <v>525.132</v>
      </c>
      <c r="AC2105" s="67">
        <f t="shared" si="11"/>
        <v>427.55</v>
      </c>
      <c r="AD2105" s="67">
        <f t="shared" si="89"/>
        <v>68.408</v>
      </c>
      <c r="AE2105" s="67">
        <f t="shared" si="90"/>
        <v>495.958</v>
      </c>
      <c r="AF2105" s="67">
        <f t="shared" si="33"/>
        <v>417.49</v>
      </c>
      <c r="AG2105" s="67">
        <f t="shared" si="91"/>
        <v>66.7984</v>
      </c>
      <c r="AH2105" s="67">
        <f t="shared" si="92"/>
        <v>484.2884</v>
      </c>
      <c r="AI2105" s="67">
        <f t="shared" si="17"/>
        <v>402.4</v>
      </c>
      <c r="AJ2105" s="68">
        <f t="shared" si="78"/>
        <v>64.384</v>
      </c>
      <c r="AK2105" s="68">
        <f t="shared" si="79"/>
        <v>466.784</v>
      </c>
      <c r="AL2105" s="70"/>
      <c r="AM2105" s="70"/>
      <c r="AN2105" s="71"/>
      <c r="AO2105" s="71"/>
      <c r="AP2105" s="71"/>
      <c r="AQ2105" s="71"/>
      <c r="AR2105" s="71"/>
      <c r="AS2105" s="71"/>
      <c r="AT2105" s="71"/>
      <c r="AU2105" s="71"/>
      <c r="AV2105" s="71"/>
      <c r="AW2105" s="71"/>
      <c r="AX2105" s="71"/>
      <c r="AY2105" s="71"/>
      <c r="AZ2105" s="71"/>
      <c r="BA2105" s="71"/>
      <c r="BB2105" s="71"/>
      <c r="BC2105" s="71"/>
      <c r="BD2105" s="71"/>
      <c r="BE2105" s="71"/>
      <c r="BF2105" s="71"/>
      <c r="BG2105" s="71"/>
      <c r="BH2105" s="71"/>
      <c r="BI2105" s="71"/>
      <c r="BJ2105" s="71"/>
      <c r="BK2105" s="71"/>
      <c r="BL2105" s="71"/>
      <c r="BM2105" s="71"/>
      <c r="BN2105" s="71"/>
      <c r="BO2105" s="71"/>
      <c r="BP2105" s="71"/>
      <c r="BQ2105" s="71"/>
      <c r="BR2105" s="71"/>
      <c r="BS2105" s="71"/>
      <c r="BT2105" s="71"/>
      <c r="BU2105" s="71"/>
      <c r="BV2105" s="71"/>
    </row>
    <row r="2106">
      <c r="A2106" s="53"/>
      <c r="B2106" s="53"/>
      <c r="C2106" s="53" t="s">
        <v>53</v>
      </c>
      <c r="D2106" s="53" t="s">
        <v>5115</v>
      </c>
      <c r="E2106" s="54" t="s">
        <v>38</v>
      </c>
      <c r="F2106" s="54" t="s">
        <v>42</v>
      </c>
      <c r="G2106" s="55" t="s">
        <v>5116</v>
      </c>
      <c r="H2106" s="55" t="s">
        <v>5116</v>
      </c>
      <c r="I2106" s="54">
        <f t="shared" si="24"/>
        <v>7</v>
      </c>
      <c r="J2106" s="56"/>
      <c r="K2106" s="57"/>
      <c r="L2106" s="76"/>
      <c r="M2106" s="59"/>
      <c r="N2106" s="60"/>
      <c r="O2106" s="61">
        <v>516.0</v>
      </c>
      <c r="P2106" s="62">
        <v>557.2800000000001</v>
      </c>
      <c r="Q2106" s="63">
        <v>557.2800000000001</v>
      </c>
      <c r="R2106" s="64">
        <v>585.0</v>
      </c>
      <c r="S2106" s="111">
        <v>614.0</v>
      </c>
      <c r="T2106" s="65">
        <f t="shared" si="80"/>
        <v>98.24</v>
      </c>
      <c r="U2106" s="65">
        <f t="shared" si="81"/>
        <v>712.24</v>
      </c>
      <c r="V2106" s="66">
        <f t="shared" si="84"/>
        <v>0.04957264957</v>
      </c>
      <c r="W2106" s="67">
        <f t="shared" si="5"/>
        <v>583.3</v>
      </c>
      <c r="X2106" s="67">
        <f t="shared" si="85"/>
        <v>93.328</v>
      </c>
      <c r="Y2106" s="67">
        <f t="shared" si="86"/>
        <v>676.628</v>
      </c>
      <c r="Z2106" s="67">
        <f t="shared" si="8"/>
        <v>552.6</v>
      </c>
      <c r="AA2106" s="67">
        <f t="shared" si="87"/>
        <v>88.416</v>
      </c>
      <c r="AB2106" s="67">
        <f t="shared" si="88"/>
        <v>641.016</v>
      </c>
      <c r="AC2106" s="67">
        <f t="shared" si="11"/>
        <v>521.9</v>
      </c>
      <c r="AD2106" s="67">
        <f t="shared" si="89"/>
        <v>83.504</v>
      </c>
      <c r="AE2106" s="67">
        <f t="shared" si="90"/>
        <v>605.404</v>
      </c>
      <c r="AF2106" s="67">
        <f t="shared" si="33"/>
        <v>509.62</v>
      </c>
      <c r="AG2106" s="67">
        <f t="shared" si="91"/>
        <v>81.5392</v>
      </c>
      <c r="AH2106" s="67">
        <f t="shared" si="92"/>
        <v>591.1592</v>
      </c>
      <c r="AI2106" s="67">
        <f t="shared" si="17"/>
        <v>491.2</v>
      </c>
      <c r="AJ2106" s="68">
        <f t="shared" si="78"/>
        <v>78.592</v>
      </c>
      <c r="AK2106" s="68">
        <f t="shared" si="79"/>
        <v>569.792</v>
      </c>
      <c r="AL2106" s="70"/>
      <c r="AM2106" s="70"/>
      <c r="AN2106" s="71"/>
      <c r="AO2106" s="71"/>
      <c r="AP2106" s="71"/>
      <c r="AQ2106" s="71"/>
      <c r="AR2106" s="71"/>
      <c r="AS2106" s="71"/>
      <c r="AT2106" s="71"/>
      <c r="AU2106" s="71"/>
      <c r="AV2106" s="71"/>
      <c r="AW2106" s="71"/>
      <c r="AX2106" s="71"/>
      <c r="AY2106" s="71"/>
      <c r="AZ2106" s="71"/>
      <c r="BA2106" s="71"/>
      <c r="BB2106" s="71"/>
      <c r="BC2106" s="71"/>
      <c r="BD2106" s="71"/>
      <c r="BE2106" s="71"/>
      <c r="BF2106" s="71"/>
      <c r="BG2106" s="71"/>
      <c r="BH2106" s="71"/>
      <c r="BI2106" s="71"/>
      <c r="BJ2106" s="71"/>
      <c r="BK2106" s="71"/>
      <c r="BL2106" s="71"/>
      <c r="BM2106" s="71"/>
      <c r="BN2106" s="71"/>
      <c r="BO2106" s="71"/>
      <c r="BP2106" s="71"/>
      <c r="BQ2106" s="71"/>
      <c r="BR2106" s="71"/>
      <c r="BS2106" s="71"/>
      <c r="BT2106" s="71"/>
      <c r="BU2106" s="71"/>
      <c r="BV2106" s="71"/>
    </row>
    <row r="2107">
      <c r="A2107" s="53"/>
      <c r="B2107" s="53"/>
      <c r="C2107" s="53" t="s">
        <v>53</v>
      </c>
      <c r="D2107" s="53" t="s">
        <v>5117</v>
      </c>
      <c r="E2107" s="54" t="s">
        <v>38</v>
      </c>
      <c r="F2107" s="54" t="s">
        <v>42</v>
      </c>
      <c r="G2107" s="55" t="s">
        <v>5118</v>
      </c>
      <c r="H2107" s="55" t="s">
        <v>5118</v>
      </c>
      <c r="I2107" s="54">
        <f t="shared" si="24"/>
        <v>21</v>
      </c>
      <c r="J2107" s="56"/>
      <c r="K2107" s="57"/>
      <c r="L2107" s="76"/>
      <c r="M2107" s="59"/>
      <c r="N2107" s="60"/>
      <c r="O2107" s="61">
        <v>1081.0</v>
      </c>
      <c r="P2107" s="62">
        <v>1167.48</v>
      </c>
      <c r="Q2107" s="63">
        <v>1167.48</v>
      </c>
      <c r="R2107" s="64">
        <v>1226.0</v>
      </c>
      <c r="S2107" s="111">
        <v>1287.0</v>
      </c>
      <c r="T2107" s="65">
        <f t="shared" si="80"/>
        <v>205.92</v>
      </c>
      <c r="U2107" s="65">
        <f t="shared" si="81"/>
        <v>1492.92</v>
      </c>
      <c r="V2107" s="66">
        <f t="shared" si="84"/>
        <v>0.04975530179</v>
      </c>
      <c r="W2107" s="67">
        <f t="shared" si="5"/>
        <v>1222.65</v>
      </c>
      <c r="X2107" s="67">
        <f t="shared" si="85"/>
        <v>195.624</v>
      </c>
      <c r="Y2107" s="67">
        <f t="shared" si="86"/>
        <v>1418.274</v>
      </c>
      <c r="Z2107" s="67">
        <f t="shared" si="8"/>
        <v>1158.3</v>
      </c>
      <c r="AA2107" s="67">
        <f t="shared" si="87"/>
        <v>185.328</v>
      </c>
      <c r="AB2107" s="67">
        <f t="shared" si="88"/>
        <v>1343.628</v>
      </c>
      <c r="AC2107" s="67">
        <f t="shared" si="11"/>
        <v>1093.95</v>
      </c>
      <c r="AD2107" s="67">
        <f t="shared" si="89"/>
        <v>175.032</v>
      </c>
      <c r="AE2107" s="67">
        <f t="shared" si="90"/>
        <v>1268.982</v>
      </c>
      <c r="AF2107" s="67">
        <f t="shared" si="33"/>
        <v>1068.21</v>
      </c>
      <c r="AG2107" s="67">
        <f t="shared" si="91"/>
        <v>170.9136</v>
      </c>
      <c r="AH2107" s="67">
        <f t="shared" si="92"/>
        <v>1239.1236</v>
      </c>
      <c r="AI2107" s="67">
        <f t="shared" si="17"/>
        <v>1029.6</v>
      </c>
      <c r="AJ2107" s="68">
        <f t="shared" si="78"/>
        <v>164.736</v>
      </c>
      <c r="AK2107" s="68">
        <f t="shared" si="79"/>
        <v>1194.336</v>
      </c>
      <c r="AL2107" s="70"/>
      <c r="AM2107" s="70"/>
      <c r="AN2107" s="71"/>
      <c r="AO2107" s="71"/>
      <c r="AP2107" s="71"/>
      <c r="AQ2107" s="71"/>
      <c r="AR2107" s="71"/>
      <c r="AS2107" s="71"/>
      <c r="AT2107" s="71"/>
      <c r="AU2107" s="71"/>
      <c r="AV2107" s="71"/>
      <c r="AW2107" s="71"/>
      <c r="AX2107" s="71"/>
      <c r="AY2107" s="71"/>
      <c r="AZ2107" s="71"/>
      <c r="BA2107" s="71"/>
      <c r="BB2107" s="71"/>
      <c r="BC2107" s="71"/>
      <c r="BD2107" s="71"/>
      <c r="BE2107" s="71"/>
      <c r="BF2107" s="71"/>
      <c r="BG2107" s="71"/>
      <c r="BH2107" s="71"/>
      <c r="BI2107" s="71"/>
      <c r="BJ2107" s="71"/>
      <c r="BK2107" s="71"/>
      <c r="BL2107" s="71"/>
      <c r="BM2107" s="71"/>
      <c r="BN2107" s="71"/>
      <c r="BO2107" s="71"/>
      <c r="BP2107" s="71"/>
      <c r="BQ2107" s="71"/>
      <c r="BR2107" s="71"/>
      <c r="BS2107" s="71"/>
      <c r="BT2107" s="71"/>
      <c r="BU2107" s="71"/>
      <c r="BV2107" s="71"/>
    </row>
    <row r="2108">
      <c r="A2108" s="53"/>
      <c r="B2108" s="53"/>
      <c r="C2108" s="53" t="s">
        <v>53</v>
      </c>
      <c r="D2108" s="53" t="s">
        <v>5119</v>
      </c>
      <c r="E2108" s="54" t="s">
        <v>38</v>
      </c>
      <c r="F2108" s="54" t="s">
        <v>42</v>
      </c>
      <c r="G2108" s="55" t="s">
        <v>5120</v>
      </c>
      <c r="H2108" s="55" t="s">
        <v>5120</v>
      </c>
      <c r="I2108" s="54">
        <f t="shared" si="24"/>
        <v>28</v>
      </c>
      <c r="J2108" s="56"/>
      <c r="K2108" s="57"/>
      <c r="L2108" s="76"/>
      <c r="M2108" s="59"/>
      <c r="N2108" s="60"/>
      <c r="O2108" s="61">
        <v>4480.0</v>
      </c>
      <c r="P2108" s="62">
        <v>4838.400000000001</v>
      </c>
      <c r="Q2108" s="63">
        <v>4838.400000000001</v>
      </c>
      <c r="R2108" s="64">
        <v>5080.0</v>
      </c>
      <c r="S2108" s="111">
        <v>5334.0</v>
      </c>
      <c r="T2108" s="65">
        <f t="shared" si="80"/>
        <v>853.44</v>
      </c>
      <c r="U2108" s="65">
        <f t="shared" si="81"/>
        <v>6187.44</v>
      </c>
      <c r="V2108" s="66">
        <f t="shared" si="84"/>
        <v>0.05</v>
      </c>
      <c r="W2108" s="67">
        <f t="shared" si="5"/>
        <v>5067.3</v>
      </c>
      <c r="X2108" s="67">
        <f t="shared" si="85"/>
        <v>810.768</v>
      </c>
      <c r="Y2108" s="67">
        <f t="shared" si="86"/>
        <v>5878.068</v>
      </c>
      <c r="Z2108" s="67">
        <f t="shared" si="8"/>
        <v>4800.6</v>
      </c>
      <c r="AA2108" s="67">
        <f t="shared" si="87"/>
        <v>768.096</v>
      </c>
      <c r="AB2108" s="67">
        <f t="shared" si="88"/>
        <v>5568.696</v>
      </c>
      <c r="AC2108" s="67">
        <f t="shared" si="11"/>
        <v>4533.9</v>
      </c>
      <c r="AD2108" s="67">
        <f t="shared" si="89"/>
        <v>725.424</v>
      </c>
      <c r="AE2108" s="67">
        <f t="shared" si="90"/>
        <v>5259.324</v>
      </c>
      <c r="AF2108" s="67">
        <f t="shared" si="33"/>
        <v>4427.22</v>
      </c>
      <c r="AG2108" s="67">
        <f t="shared" si="91"/>
        <v>708.3552</v>
      </c>
      <c r="AH2108" s="67">
        <f t="shared" si="92"/>
        <v>5135.5752</v>
      </c>
      <c r="AI2108" s="67">
        <f t="shared" si="17"/>
        <v>4267.2</v>
      </c>
      <c r="AJ2108" s="68">
        <f t="shared" si="78"/>
        <v>682.752</v>
      </c>
      <c r="AK2108" s="68">
        <f t="shared" si="79"/>
        <v>4949.952</v>
      </c>
      <c r="AL2108" s="70"/>
      <c r="AM2108" s="70"/>
      <c r="AN2108" s="71"/>
      <c r="AO2108" s="71"/>
      <c r="AP2108" s="71"/>
      <c r="AQ2108" s="71"/>
      <c r="AR2108" s="71"/>
      <c r="AS2108" s="71"/>
      <c r="AT2108" s="71"/>
      <c r="AU2108" s="71"/>
      <c r="AV2108" s="71"/>
      <c r="AW2108" s="71"/>
      <c r="AX2108" s="71"/>
      <c r="AY2108" s="71"/>
      <c r="AZ2108" s="71"/>
      <c r="BA2108" s="71"/>
      <c r="BB2108" s="71"/>
      <c r="BC2108" s="71"/>
      <c r="BD2108" s="71"/>
      <c r="BE2108" s="71"/>
      <c r="BF2108" s="71"/>
      <c r="BG2108" s="71"/>
      <c r="BH2108" s="71"/>
      <c r="BI2108" s="71"/>
      <c r="BJ2108" s="71"/>
      <c r="BK2108" s="71"/>
      <c r="BL2108" s="71"/>
      <c r="BM2108" s="71"/>
      <c r="BN2108" s="71"/>
      <c r="BO2108" s="71"/>
      <c r="BP2108" s="71"/>
      <c r="BQ2108" s="71"/>
      <c r="BR2108" s="71"/>
      <c r="BS2108" s="71"/>
      <c r="BT2108" s="71"/>
      <c r="BU2108" s="71"/>
      <c r="BV2108" s="71"/>
    </row>
    <row r="2109">
      <c r="A2109" s="53"/>
      <c r="B2109" s="53"/>
      <c r="C2109" s="73" t="s">
        <v>53</v>
      </c>
      <c r="D2109" s="53" t="s">
        <v>5121</v>
      </c>
      <c r="E2109" s="54" t="s">
        <v>38</v>
      </c>
      <c r="F2109" s="54" t="s">
        <v>42</v>
      </c>
      <c r="G2109" s="54" t="s">
        <v>5122</v>
      </c>
      <c r="H2109" s="54" t="s">
        <v>5122</v>
      </c>
      <c r="I2109" s="54">
        <f t="shared" si="24"/>
        <v>36</v>
      </c>
      <c r="J2109" s="56"/>
      <c r="K2109" s="57"/>
      <c r="L2109" s="76"/>
      <c r="M2109" s="59"/>
      <c r="N2109" s="60"/>
      <c r="O2109" s="61">
        <v>282.0</v>
      </c>
      <c r="P2109" s="62">
        <v>304.56</v>
      </c>
      <c r="Q2109" s="63">
        <v>304.56</v>
      </c>
      <c r="R2109" s="64">
        <v>321.0</v>
      </c>
      <c r="S2109" s="111">
        <v>337.0</v>
      </c>
      <c r="T2109" s="65">
        <f t="shared" si="80"/>
        <v>53.92</v>
      </c>
      <c r="U2109" s="65">
        <f t="shared" si="81"/>
        <v>390.92</v>
      </c>
      <c r="V2109" s="66">
        <f t="shared" si="84"/>
        <v>0.04984423676</v>
      </c>
      <c r="W2109" s="67">
        <f t="shared" si="5"/>
        <v>320.15</v>
      </c>
      <c r="X2109" s="67">
        <f t="shared" si="85"/>
        <v>51.224</v>
      </c>
      <c r="Y2109" s="67">
        <f t="shared" si="86"/>
        <v>371.374</v>
      </c>
      <c r="Z2109" s="67">
        <f t="shared" si="8"/>
        <v>303.3</v>
      </c>
      <c r="AA2109" s="67">
        <f t="shared" si="87"/>
        <v>48.528</v>
      </c>
      <c r="AB2109" s="67">
        <f t="shared" si="88"/>
        <v>351.828</v>
      </c>
      <c r="AC2109" s="67">
        <f t="shared" si="11"/>
        <v>286.45</v>
      </c>
      <c r="AD2109" s="67">
        <f t="shared" si="89"/>
        <v>45.832</v>
      </c>
      <c r="AE2109" s="67">
        <f t="shared" si="90"/>
        <v>332.282</v>
      </c>
      <c r="AF2109" s="67">
        <f t="shared" si="33"/>
        <v>279.71</v>
      </c>
      <c r="AG2109" s="67">
        <f t="shared" si="91"/>
        <v>44.7536</v>
      </c>
      <c r="AH2109" s="67">
        <f t="shared" si="92"/>
        <v>324.4636</v>
      </c>
      <c r="AI2109" s="67">
        <f t="shared" si="17"/>
        <v>269.6</v>
      </c>
      <c r="AJ2109" s="68">
        <f t="shared" si="78"/>
        <v>43.136</v>
      </c>
      <c r="AK2109" s="68">
        <f t="shared" si="79"/>
        <v>312.736</v>
      </c>
      <c r="AL2109" s="70"/>
      <c r="AM2109" s="70"/>
      <c r="AN2109" s="71"/>
      <c r="AO2109" s="71"/>
      <c r="AP2109" s="71"/>
      <c r="AQ2109" s="71"/>
      <c r="AR2109" s="71"/>
      <c r="AS2109" s="71"/>
      <c r="AT2109" s="71"/>
      <c r="AU2109" s="71"/>
      <c r="AV2109" s="71"/>
      <c r="AW2109" s="71"/>
      <c r="AX2109" s="71"/>
      <c r="AY2109" s="71"/>
      <c r="AZ2109" s="71"/>
      <c r="BA2109" s="71"/>
      <c r="BB2109" s="71"/>
      <c r="BC2109" s="71"/>
      <c r="BD2109" s="71"/>
      <c r="BE2109" s="71"/>
      <c r="BF2109" s="71"/>
      <c r="BG2109" s="71"/>
      <c r="BH2109" s="71"/>
      <c r="BI2109" s="71"/>
      <c r="BJ2109" s="71"/>
      <c r="BK2109" s="71"/>
      <c r="BL2109" s="71"/>
      <c r="BM2109" s="71"/>
      <c r="BN2109" s="71"/>
      <c r="BO2109" s="71"/>
      <c r="BP2109" s="71"/>
      <c r="BQ2109" s="71"/>
      <c r="BR2109" s="71"/>
      <c r="BS2109" s="71"/>
      <c r="BT2109" s="71"/>
      <c r="BU2109" s="71"/>
      <c r="BV2109" s="71"/>
    </row>
    <row r="2110">
      <c r="A2110" s="53"/>
      <c r="B2110" s="53"/>
      <c r="C2110" s="53" t="s">
        <v>36</v>
      </c>
      <c r="D2110" s="85" t="s">
        <v>5123</v>
      </c>
      <c r="E2110" s="54" t="s">
        <v>38</v>
      </c>
      <c r="F2110" s="55" t="s">
        <v>39</v>
      </c>
      <c r="G2110" s="86" t="s">
        <v>5124</v>
      </c>
      <c r="H2110" s="55"/>
      <c r="I2110" s="54">
        <f t="shared" si="24"/>
        <v>0</v>
      </c>
      <c r="J2110" s="56"/>
      <c r="K2110" s="57"/>
      <c r="L2110" s="76"/>
      <c r="M2110" s="59"/>
      <c r="N2110" s="60"/>
      <c r="O2110" s="61">
        <v>249.6</v>
      </c>
      <c r="P2110" s="62">
        <v>269.568</v>
      </c>
      <c r="Q2110" s="63">
        <v>269.568</v>
      </c>
      <c r="R2110" s="64">
        <v>284.0</v>
      </c>
      <c r="S2110" s="107">
        <v>298.0</v>
      </c>
      <c r="T2110" s="65">
        <f t="shared" si="80"/>
        <v>47.68</v>
      </c>
      <c r="U2110" s="65">
        <f t="shared" si="81"/>
        <v>345.68</v>
      </c>
      <c r="V2110" s="66">
        <f t="shared" si="84"/>
        <v>0.04929577465</v>
      </c>
      <c r="W2110" s="67">
        <f t="shared" si="5"/>
        <v>283.1</v>
      </c>
      <c r="X2110" s="67">
        <f t="shared" si="85"/>
        <v>45.296</v>
      </c>
      <c r="Y2110" s="67">
        <f t="shared" si="86"/>
        <v>328.396</v>
      </c>
      <c r="Z2110" s="67">
        <f t="shared" si="8"/>
        <v>268.2</v>
      </c>
      <c r="AA2110" s="67">
        <f t="shared" si="87"/>
        <v>42.912</v>
      </c>
      <c r="AB2110" s="67">
        <f t="shared" si="88"/>
        <v>311.112</v>
      </c>
      <c r="AC2110" s="67">
        <f t="shared" si="11"/>
        <v>253.3</v>
      </c>
      <c r="AD2110" s="67">
        <f t="shared" si="89"/>
        <v>40.528</v>
      </c>
      <c r="AE2110" s="67">
        <f t="shared" si="90"/>
        <v>293.828</v>
      </c>
      <c r="AF2110" s="67">
        <f t="shared" si="33"/>
        <v>247.34</v>
      </c>
      <c r="AG2110" s="67">
        <f t="shared" si="91"/>
        <v>39.5744</v>
      </c>
      <c r="AH2110" s="67">
        <f t="shared" si="92"/>
        <v>286.9144</v>
      </c>
      <c r="AI2110" s="67">
        <f t="shared" si="17"/>
        <v>238.4</v>
      </c>
      <c r="AJ2110" s="68">
        <f t="shared" si="78"/>
        <v>38.144</v>
      </c>
      <c r="AK2110" s="68">
        <f t="shared" si="79"/>
        <v>276.544</v>
      </c>
      <c r="AL2110" s="70"/>
      <c r="AM2110" s="70"/>
      <c r="AN2110" s="71"/>
      <c r="AO2110" s="71"/>
      <c r="AP2110" s="71"/>
      <c r="AQ2110" s="71"/>
      <c r="AR2110" s="71"/>
      <c r="AS2110" s="71"/>
      <c r="AT2110" s="71"/>
      <c r="AU2110" s="71"/>
      <c r="AV2110" s="71"/>
      <c r="AW2110" s="71"/>
      <c r="AX2110" s="71"/>
      <c r="AY2110" s="71"/>
      <c r="AZ2110" s="71"/>
      <c r="BA2110" s="71"/>
      <c r="BB2110" s="71"/>
      <c r="BC2110" s="71"/>
      <c r="BD2110" s="71"/>
      <c r="BE2110" s="71"/>
      <c r="BF2110" s="71"/>
      <c r="BG2110" s="71"/>
      <c r="BH2110" s="71"/>
      <c r="BI2110" s="71"/>
      <c r="BJ2110" s="71"/>
      <c r="BK2110" s="71"/>
      <c r="BL2110" s="71"/>
      <c r="BM2110" s="71"/>
      <c r="BN2110" s="71"/>
      <c r="BO2110" s="71"/>
      <c r="BP2110" s="71"/>
      <c r="BQ2110" s="71"/>
      <c r="BR2110" s="71"/>
      <c r="BS2110" s="71"/>
      <c r="BT2110" s="71"/>
      <c r="BU2110" s="71"/>
      <c r="BV2110" s="71"/>
    </row>
    <row r="2111">
      <c r="A2111" s="53"/>
      <c r="B2111" s="53"/>
      <c r="C2111" s="53" t="s">
        <v>36</v>
      </c>
      <c r="D2111" s="85" t="s">
        <v>5125</v>
      </c>
      <c r="E2111" s="54" t="s">
        <v>38</v>
      </c>
      <c r="F2111" s="55" t="s">
        <v>39</v>
      </c>
      <c r="G2111" s="86" t="s">
        <v>5126</v>
      </c>
      <c r="H2111" s="55"/>
      <c r="I2111" s="54">
        <f t="shared" si="24"/>
        <v>0</v>
      </c>
      <c r="J2111" s="56"/>
      <c r="K2111" s="57"/>
      <c r="L2111" s="76"/>
      <c r="M2111" s="59"/>
      <c r="N2111" s="60"/>
      <c r="O2111" s="61">
        <v>134.4</v>
      </c>
      <c r="P2111" s="62">
        <v>145.15200000000002</v>
      </c>
      <c r="Q2111" s="63">
        <v>145.15200000000002</v>
      </c>
      <c r="R2111" s="64">
        <v>153.0</v>
      </c>
      <c r="S2111" s="107">
        <v>161.0</v>
      </c>
      <c r="T2111" s="65">
        <f t="shared" si="80"/>
        <v>25.76</v>
      </c>
      <c r="U2111" s="65">
        <f t="shared" si="81"/>
        <v>186.76</v>
      </c>
      <c r="V2111" s="66">
        <f t="shared" si="84"/>
        <v>0.0522875817</v>
      </c>
      <c r="W2111" s="67">
        <f t="shared" si="5"/>
        <v>152.95</v>
      </c>
      <c r="X2111" s="67">
        <f t="shared" si="85"/>
        <v>24.472</v>
      </c>
      <c r="Y2111" s="67">
        <f t="shared" si="86"/>
        <v>177.422</v>
      </c>
      <c r="Z2111" s="67">
        <f t="shared" si="8"/>
        <v>144.9</v>
      </c>
      <c r="AA2111" s="67">
        <f t="shared" si="87"/>
        <v>23.184</v>
      </c>
      <c r="AB2111" s="67">
        <f t="shared" si="88"/>
        <v>168.084</v>
      </c>
      <c r="AC2111" s="67">
        <f t="shared" si="11"/>
        <v>136.85</v>
      </c>
      <c r="AD2111" s="67">
        <f t="shared" si="89"/>
        <v>21.896</v>
      </c>
      <c r="AE2111" s="67">
        <f t="shared" si="90"/>
        <v>158.746</v>
      </c>
      <c r="AF2111" s="67">
        <f t="shared" si="33"/>
        <v>133.63</v>
      </c>
      <c r="AG2111" s="67">
        <f t="shared" si="91"/>
        <v>21.3808</v>
      </c>
      <c r="AH2111" s="67">
        <f t="shared" si="92"/>
        <v>155.0108</v>
      </c>
      <c r="AI2111" s="67">
        <f t="shared" si="17"/>
        <v>128.8</v>
      </c>
      <c r="AJ2111" s="68">
        <f t="shared" si="78"/>
        <v>20.608</v>
      </c>
      <c r="AK2111" s="68">
        <f t="shared" si="79"/>
        <v>149.408</v>
      </c>
      <c r="AL2111" s="70"/>
      <c r="AM2111" s="70"/>
      <c r="AN2111" s="71"/>
      <c r="AO2111" s="71"/>
      <c r="AP2111" s="71"/>
      <c r="AQ2111" s="71"/>
      <c r="AR2111" s="71"/>
      <c r="AS2111" s="71"/>
      <c r="AT2111" s="71"/>
      <c r="AU2111" s="71"/>
      <c r="AV2111" s="71"/>
      <c r="AW2111" s="71"/>
      <c r="AX2111" s="71"/>
      <c r="AY2111" s="71"/>
      <c r="AZ2111" s="71"/>
      <c r="BA2111" s="71"/>
      <c r="BB2111" s="71"/>
      <c r="BC2111" s="71"/>
      <c r="BD2111" s="71"/>
      <c r="BE2111" s="71"/>
      <c r="BF2111" s="71"/>
      <c r="BG2111" s="71"/>
      <c r="BH2111" s="71"/>
      <c r="BI2111" s="71"/>
      <c r="BJ2111" s="71"/>
      <c r="BK2111" s="71"/>
      <c r="BL2111" s="71"/>
      <c r="BM2111" s="71"/>
      <c r="BN2111" s="71"/>
      <c r="BO2111" s="71"/>
      <c r="BP2111" s="71"/>
      <c r="BQ2111" s="71"/>
      <c r="BR2111" s="71"/>
      <c r="BS2111" s="71"/>
      <c r="BT2111" s="71"/>
      <c r="BU2111" s="71"/>
      <c r="BV2111" s="71"/>
    </row>
    <row r="2112">
      <c r="A2112" s="53">
        <v>1.0</v>
      </c>
      <c r="B2112" s="53"/>
      <c r="C2112" s="73" t="s">
        <v>53</v>
      </c>
      <c r="D2112" s="53" t="s">
        <v>5127</v>
      </c>
      <c r="E2112" s="54" t="s">
        <v>38</v>
      </c>
      <c r="F2112" s="54" t="s">
        <v>42</v>
      </c>
      <c r="G2112" s="54" t="s">
        <v>5128</v>
      </c>
      <c r="H2112" s="54" t="s">
        <v>5129</v>
      </c>
      <c r="I2112" s="54">
        <f t="shared" si="24"/>
        <v>26</v>
      </c>
      <c r="J2112" s="56"/>
      <c r="K2112" s="57"/>
      <c r="L2112" s="87"/>
      <c r="M2112" s="59"/>
      <c r="N2112" s="60">
        <v>2664.0</v>
      </c>
      <c r="O2112" s="61">
        <v>2877.0</v>
      </c>
      <c r="P2112" s="62">
        <v>3107.1600000000003</v>
      </c>
      <c r="Q2112" s="63">
        <v>3107.1600000000003</v>
      </c>
      <c r="R2112" s="64">
        <v>3264.0</v>
      </c>
      <c r="S2112" s="111">
        <v>3427.0</v>
      </c>
      <c r="T2112" s="65">
        <f t="shared" si="80"/>
        <v>548.32</v>
      </c>
      <c r="U2112" s="65">
        <f t="shared" si="81"/>
        <v>3975.32</v>
      </c>
      <c r="V2112" s="66">
        <f t="shared" si="84"/>
        <v>0.04993872549</v>
      </c>
      <c r="W2112" s="67">
        <f t="shared" si="5"/>
        <v>3255.65</v>
      </c>
      <c r="X2112" s="67">
        <f t="shared" si="85"/>
        <v>520.904</v>
      </c>
      <c r="Y2112" s="67">
        <f t="shared" si="86"/>
        <v>3776.554</v>
      </c>
      <c r="Z2112" s="67">
        <f t="shared" si="8"/>
        <v>3084.3</v>
      </c>
      <c r="AA2112" s="67">
        <f t="shared" si="87"/>
        <v>493.488</v>
      </c>
      <c r="AB2112" s="67">
        <f t="shared" si="88"/>
        <v>3577.788</v>
      </c>
      <c r="AC2112" s="67">
        <f t="shared" si="11"/>
        <v>2912.95</v>
      </c>
      <c r="AD2112" s="67">
        <f t="shared" si="89"/>
        <v>466.072</v>
      </c>
      <c r="AE2112" s="67">
        <f t="shared" si="90"/>
        <v>3379.022</v>
      </c>
      <c r="AF2112" s="67">
        <f t="shared" si="33"/>
        <v>2844.41</v>
      </c>
      <c r="AG2112" s="67">
        <f t="shared" si="91"/>
        <v>455.1056</v>
      </c>
      <c r="AH2112" s="67">
        <f t="shared" si="92"/>
        <v>3299.5156</v>
      </c>
      <c r="AI2112" s="67">
        <f t="shared" si="17"/>
        <v>2741.6</v>
      </c>
      <c r="AJ2112" s="68">
        <f t="shared" si="78"/>
        <v>438.656</v>
      </c>
      <c r="AK2112" s="68">
        <f t="shared" si="79"/>
        <v>3180.256</v>
      </c>
      <c r="AL2112" s="70"/>
      <c r="AM2112" s="70"/>
      <c r="AN2112" s="71"/>
      <c r="AO2112" s="71"/>
      <c r="AP2112" s="71"/>
      <c r="AQ2112" s="71"/>
      <c r="AR2112" s="71"/>
      <c r="AS2112" s="71"/>
      <c r="AT2112" s="71"/>
      <c r="AU2112" s="71"/>
      <c r="AV2112" s="71"/>
      <c r="AW2112" s="71"/>
      <c r="AX2112" s="71"/>
      <c r="AY2112" s="71"/>
      <c r="AZ2112" s="71"/>
      <c r="BA2112" s="71"/>
      <c r="BB2112" s="71"/>
      <c r="BC2112" s="71"/>
      <c r="BD2112" s="71"/>
      <c r="BE2112" s="71"/>
      <c r="BF2112" s="71"/>
      <c r="BG2112" s="71"/>
      <c r="BH2112" s="71"/>
      <c r="BI2112" s="71"/>
      <c r="BJ2112" s="71"/>
      <c r="BK2112" s="71"/>
      <c r="BL2112" s="71"/>
      <c r="BM2112" s="71"/>
      <c r="BN2112" s="71"/>
      <c r="BO2112" s="71"/>
      <c r="BP2112" s="71"/>
      <c r="BQ2112" s="71"/>
      <c r="BR2112" s="71"/>
      <c r="BS2112" s="71"/>
      <c r="BT2112" s="71"/>
      <c r="BU2112" s="71"/>
      <c r="BV2112" s="71"/>
    </row>
    <row r="2113">
      <c r="A2113" s="53">
        <v>1.0</v>
      </c>
      <c r="B2113" s="53"/>
      <c r="C2113" s="73" t="s">
        <v>53</v>
      </c>
      <c r="D2113" s="53" t="s">
        <v>5130</v>
      </c>
      <c r="E2113" s="54" t="s">
        <v>38</v>
      </c>
      <c r="F2113" s="54" t="s">
        <v>42</v>
      </c>
      <c r="G2113" s="54" t="s">
        <v>5131</v>
      </c>
      <c r="H2113" s="54" t="s">
        <v>5132</v>
      </c>
      <c r="I2113" s="54">
        <f t="shared" si="24"/>
        <v>27</v>
      </c>
      <c r="J2113" s="56"/>
      <c r="K2113" s="57"/>
      <c r="L2113" s="87"/>
      <c r="M2113" s="59"/>
      <c r="N2113" s="60">
        <v>2336.0</v>
      </c>
      <c r="O2113" s="61">
        <v>2522.0</v>
      </c>
      <c r="P2113" s="62">
        <v>2723.76</v>
      </c>
      <c r="Q2113" s="63">
        <v>2723.76</v>
      </c>
      <c r="R2113" s="64">
        <v>2861.0</v>
      </c>
      <c r="S2113" s="111">
        <v>3004.0</v>
      </c>
      <c r="T2113" s="65">
        <f t="shared" si="80"/>
        <v>480.64</v>
      </c>
      <c r="U2113" s="65">
        <f t="shared" si="81"/>
        <v>3484.64</v>
      </c>
      <c r="V2113" s="66">
        <f t="shared" si="84"/>
        <v>0.04998252359</v>
      </c>
      <c r="W2113" s="67">
        <f t="shared" si="5"/>
        <v>2853.8</v>
      </c>
      <c r="X2113" s="67">
        <f t="shared" si="85"/>
        <v>456.608</v>
      </c>
      <c r="Y2113" s="67">
        <f t="shared" si="86"/>
        <v>3310.408</v>
      </c>
      <c r="Z2113" s="67">
        <f t="shared" si="8"/>
        <v>2703.6</v>
      </c>
      <c r="AA2113" s="67">
        <f t="shared" si="87"/>
        <v>432.576</v>
      </c>
      <c r="AB2113" s="67">
        <f t="shared" si="88"/>
        <v>3136.176</v>
      </c>
      <c r="AC2113" s="67">
        <f t="shared" si="11"/>
        <v>2553.4</v>
      </c>
      <c r="AD2113" s="67">
        <f t="shared" si="89"/>
        <v>408.544</v>
      </c>
      <c r="AE2113" s="67">
        <f t="shared" si="90"/>
        <v>2961.944</v>
      </c>
      <c r="AF2113" s="67">
        <f t="shared" si="33"/>
        <v>2493.32</v>
      </c>
      <c r="AG2113" s="67">
        <f t="shared" si="91"/>
        <v>398.9312</v>
      </c>
      <c r="AH2113" s="67">
        <f t="shared" si="92"/>
        <v>2892.2512</v>
      </c>
      <c r="AI2113" s="67">
        <f t="shared" si="17"/>
        <v>2403.2</v>
      </c>
      <c r="AJ2113" s="68">
        <f t="shared" si="78"/>
        <v>384.512</v>
      </c>
      <c r="AK2113" s="68">
        <f t="shared" si="79"/>
        <v>2787.712</v>
      </c>
      <c r="AL2113" s="70"/>
      <c r="AM2113" s="70"/>
      <c r="AN2113" s="71"/>
      <c r="AO2113" s="71"/>
      <c r="AP2113" s="71"/>
      <c r="AQ2113" s="71"/>
      <c r="AR2113" s="71"/>
      <c r="AS2113" s="71"/>
      <c r="AT2113" s="71"/>
      <c r="AU2113" s="71"/>
      <c r="AV2113" s="71"/>
      <c r="AW2113" s="71"/>
      <c r="AX2113" s="71"/>
      <c r="AY2113" s="71"/>
      <c r="AZ2113" s="71"/>
      <c r="BA2113" s="71"/>
      <c r="BB2113" s="71"/>
      <c r="BC2113" s="71"/>
      <c r="BD2113" s="71"/>
      <c r="BE2113" s="71"/>
      <c r="BF2113" s="71"/>
      <c r="BG2113" s="71"/>
      <c r="BH2113" s="71"/>
      <c r="BI2113" s="71"/>
      <c r="BJ2113" s="71"/>
      <c r="BK2113" s="71"/>
      <c r="BL2113" s="71"/>
      <c r="BM2113" s="71"/>
      <c r="BN2113" s="71"/>
      <c r="BO2113" s="71"/>
      <c r="BP2113" s="71"/>
      <c r="BQ2113" s="71"/>
      <c r="BR2113" s="71"/>
      <c r="BS2113" s="71"/>
      <c r="BT2113" s="71"/>
      <c r="BU2113" s="71"/>
      <c r="BV2113" s="71"/>
    </row>
    <row r="2114">
      <c r="A2114" s="53">
        <v>1.0</v>
      </c>
      <c r="B2114" s="53"/>
      <c r="C2114" s="73" t="s">
        <v>53</v>
      </c>
      <c r="D2114" s="53" t="s">
        <v>5133</v>
      </c>
      <c r="E2114" s="54" t="s">
        <v>38</v>
      </c>
      <c r="F2114" s="54" t="s">
        <v>42</v>
      </c>
      <c r="G2114" s="54" t="s">
        <v>5134</v>
      </c>
      <c r="H2114" s="54" t="s">
        <v>5135</v>
      </c>
      <c r="I2114" s="54">
        <f t="shared" si="24"/>
        <v>27</v>
      </c>
      <c r="J2114" s="56"/>
      <c r="K2114" s="57"/>
      <c r="L2114" s="87"/>
      <c r="M2114" s="59"/>
      <c r="N2114" s="60">
        <v>2320.0</v>
      </c>
      <c r="O2114" s="61">
        <v>2505.0</v>
      </c>
      <c r="P2114" s="62">
        <v>2705.4</v>
      </c>
      <c r="Q2114" s="63">
        <v>2705.4</v>
      </c>
      <c r="R2114" s="64">
        <v>2842.0</v>
      </c>
      <c r="S2114" s="111">
        <v>2984.0</v>
      </c>
      <c r="T2114" s="65">
        <f t="shared" si="80"/>
        <v>477.44</v>
      </c>
      <c r="U2114" s="65">
        <f t="shared" si="81"/>
        <v>3461.44</v>
      </c>
      <c r="V2114" s="66">
        <f t="shared" si="84"/>
        <v>0.04996481351</v>
      </c>
      <c r="W2114" s="67">
        <f t="shared" si="5"/>
        <v>2834.8</v>
      </c>
      <c r="X2114" s="67">
        <f t="shared" si="85"/>
        <v>453.568</v>
      </c>
      <c r="Y2114" s="67">
        <f t="shared" si="86"/>
        <v>3288.368</v>
      </c>
      <c r="Z2114" s="67">
        <f t="shared" si="8"/>
        <v>2685.6</v>
      </c>
      <c r="AA2114" s="67">
        <f t="shared" si="87"/>
        <v>429.696</v>
      </c>
      <c r="AB2114" s="67">
        <f t="shared" si="88"/>
        <v>3115.296</v>
      </c>
      <c r="AC2114" s="67">
        <f t="shared" si="11"/>
        <v>2536.4</v>
      </c>
      <c r="AD2114" s="67">
        <f t="shared" si="89"/>
        <v>405.824</v>
      </c>
      <c r="AE2114" s="67">
        <f t="shared" si="90"/>
        <v>2942.224</v>
      </c>
      <c r="AF2114" s="67">
        <f t="shared" si="33"/>
        <v>2476.72</v>
      </c>
      <c r="AG2114" s="67">
        <f t="shared" si="91"/>
        <v>396.2752</v>
      </c>
      <c r="AH2114" s="67">
        <f t="shared" si="92"/>
        <v>2872.9952</v>
      </c>
      <c r="AI2114" s="67">
        <f t="shared" si="17"/>
        <v>2387.2</v>
      </c>
      <c r="AJ2114" s="68">
        <f t="shared" si="78"/>
        <v>381.952</v>
      </c>
      <c r="AK2114" s="68">
        <f t="shared" si="79"/>
        <v>2769.152</v>
      </c>
      <c r="AL2114" s="70"/>
      <c r="AM2114" s="70"/>
      <c r="AN2114" s="71"/>
      <c r="AO2114" s="71"/>
      <c r="AP2114" s="71"/>
      <c r="AQ2114" s="71"/>
      <c r="AR2114" s="71"/>
      <c r="AS2114" s="71"/>
      <c r="AT2114" s="71"/>
      <c r="AU2114" s="71"/>
      <c r="AV2114" s="71"/>
      <c r="AW2114" s="71"/>
      <c r="AX2114" s="71"/>
      <c r="AY2114" s="71"/>
      <c r="AZ2114" s="71"/>
      <c r="BA2114" s="71"/>
      <c r="BB2114" s="71"/>
      <c r="BC2114" s="71"/>
      <c r="BD2114" s="71"/>
      <c r="BE2114" s="71"/>
      <c r="BF2114" s="71"/>
      <c r="BG2114" s="71"/>
      <c r="BH2114" s="71"/>
      <c r="BI2114" s="71"/>
      <c r="BJ2114" s="71"/>
      <c r="BK2114" s="71"/>
      <c r="BL2114" s="71"/>
      <c r="BM2114" s="71"/>
      <c r="BN2114" s="71"/>
      <c r="BO2114" s="71"/>
      <c r="BP2114" s="71"/>
      <c r="BQ2114" s="71"/>
      <c r="BR2114" s="71"/>
      <c r="BS2114" s="71"/>
      <c r="BT2114" s="71"/>
      <c r="BU2114" s="71"/>
      <c r="BV2114" s="71"/>
    </row>
    <row r="2115">
      <c r="A2115" s="53">
        <v>1.0</v>
      </c>
      <c r="B2115" s="53"/>
      <c r="C2115" s="73" t="s">
        <v>53</v>
      </c>
      <c r="D2115" s="74" t="s">
        <v>5136</v>
      </c>
      <c r="E2115" s="54" t="s">
        <v>38</v>
      </c>
      <c r="F2115" s="54" t="s">
        <v>42</v>
      </c>
      <c r="G2115" s="55" t="s">
        <v>5137</v>
      </c>
      <c r="H2115" s="54" t="s">
        <v>5137</v>
      </c>
      <c r="I2115" s="54">
        <f t="shared" si="24"/>
        <v>18</v>
      </c>
      <c r="J2115" s="56"/>
      <c r="K2115" s="57"/>
      <c r="L2115" s="87"/>
      <c r="M2115" s="59"/>
      <c r="N2115" s="60">
        <v>40.0</v>
      </c>
      <c r="O2115" s="61">
        <v>43.0</v>
      </c>
      <c r="P2115" s="62">
        <v>46.440000000000005</v>
      </c>
      <c r="Q2115" s="63">
        <v>46.440000000000005</v>
      </c>
      <c r="R2115" s="64">
        <v>53.0</v>
      </c>
      <c r="S2115" s="111">
        <v>56.0</v>
      </c>
      <c r="T2115" s="65">
        <f t="shared" si="80"/>
        <v>8.96</v>
      </c>
      <c r="U2115" s="65">
        <f t="shared" si="81"/>
        <v>64.96</v>
      </c>
      <c r="V2115" s="66">
        <f t="shared" si="84"/>
        <v>0.05660377358</v>
      </c>
      <c r="W2115" s="67">
        <f t="shared" si="5"/>
        <v>53.2</v>
      </c>
      <c r="X2115" s="67">
        <f t="shared" si="85"/>
        <v>8.512</v>
      </c>
      <c r="Y2115" s="67">
        <f t="shared" si="86"/>
        <v>61.712</v>
      </c>
      <c r="Z2115" s="67">
        <f t="shared" si="8"/>
        <v>50.4</v>
      </c>
      <c r="AA2115" s="67">
        <f t="shared" si="87"/>
        <v>8.064</v>
      </c>
      <c r="AB2115" s="67">
        <f t="shared" si="88"/>
        <v>58.464</v>
      </c>
      <c r="AC2115" s="67">
        <f t="shared" si="11"/>
        <v>47.6</v>
      </c>
      <c r="AD2115" s="67">
        <f t="shared" si="89"/>
        <v>7.616</v>
      </c>
      <c r="AE2115" s="67">
        <f t="shared" si="90"/>
        <v>55.216</v>
      </c>
      <c r="AF2115" s="67">
        <f t="shared" si="33"/>
        <v>46.48</v>
      </c>
      <c r="AG2115" s="67">
        <f t="shared" si="91"/>
        <v>7.4368</v>
      </c>
      <c r="AH2115" s="67">
        <f t="shared" si="92"/>
        <v>53.9168</v>
      </c>
      <c r="AI2115" s="67">
        <f t="shared" si="17"/>
        <v>44.8</v>
      </c>
      <c r="AJ2115" s="68">
        <f t="shared" si="78"/>
        <v>7.168</v>
      </c>
      <c r="AK2115" s="68">
        <f t="shared" si="79"/>
        <v>51.968</v>
      </c>
      <c r="AL2115" s="70"/>
      <c r="AM2115" s="70"/>
      <c r="AN2115" s="71"/>
      <c r="AO2115" s="71"/>
      <c r="AP2115" s="71"/>
      <c r="AQ2115" s="71"/>
      <c r="AR2115" s="71"/>
      <c r="AS2115" s="71"/>
      <c r="AT2115" s="71"/>
      <c r="AU2115" s="71"/>
      <c r="AV2115" s="71"/>
      <c r="AW2115" s="71"/>
      <c r="AX2115" s="71"/>
      <c r="AY2115" s="71"/>
      <c r="AZ2115" s="71"/>
      <c r="BA2115" s="71"/>
      <c r="BB2115" s="71"/>
      <c r="BC2115" s="71"/>
      <c r="BD2115" s="71"/>
      <c r="BE2115" s="71"/>
      <c r="BF2115" s="71"/>
      <c r="BG2115" s="71"/>
      <c r="BH2115" s="71"/>
      <c r="BI2115" s="71"/>
      <c r="BJ2115" s="71"/>
      <c r="BK2115" s="71"/>
      <c r="BL2115" s="71"/>
      <c r="BM2115" s="71"/>
      <c r="BN2115" s="71"/>
      <c r="BO2115" s="71"/>
      <c r="BP2115" s="71"/>
      <c r="BQ2115" s="71"/>
      <c r="BR2115" s="71"/>
      <c r="BS2115" s="71"/>
      <c r="BT2115" s="71"/>
      <c r="BU2115" s="71"/>
      <c r="BV2115" s="71"/>
    </row>
    <row r="2116">
      <c r="A2116" s="53">
        <v>1.0</v>
      </c>
      <c r="B2116" s="53"/>
      <c r="C2116" s="73" t="s">
        <v>53</v>
      </c>
      <c r="D2116" s="74" t="s">
        <v>5138</v>
      </c>
      <c r="E2116" s="54" t="s">
        <v>38</v>
      </c>
      <c r="F2116" s="54" t="s">
        <v>42</v>
      </c>
      <c r="G2116" s="55" t="s">
        <v>5139</v>
      </c>
      <c r="H2116" s="54" t="s">
        <v>5139</v>
      </c>
      <c r="I2116" s="54">
        <f t="shared" si="24"/>
        <v>18</v>
      </c>
      <c r="J2116" s="56"/>
      <c r="K2116" s="57"/>
      <c r="L2116" s="87"/>
      <c r="M2116" s="59"/>
      <c r="N2116" s="60">
        <v>40.0</v>
      </c>
      <c r="O2116" s="61">
        <v>43.0</v>
      </c>
      <c r="P2116" s="62">
        <v>46.440000000000005</v>
      </c>
      <c r="Q2116" s="63">
        <v>46.440000000000005</v>
      </c>
      <c r="R2116" s="64">
        <v>53.0</v>
      </c>
      <c r="S2116" s="111">
        <v>56.0</v>
      </c>
      <c r="T2116" s="65">
        <f t="shared" si="80"/>
        <v>8.96</v>
      </c>
      <c r="U2116" s="65">
        <f t="shared" si="81"/>
        <v>64.96</v>
      </c>
      <c r="V2116" s="66">
        <f t="shared" si="84"/>
        <v>0.05660377358</v>
      </c>
      <c r="W2116" s="67">
        <f t="shared" si="5"/>
        <v>53.2</v>
      </c>
      <c r="X2116" s="67">
        <f t="shared" si="85"/>
        <v>8.512</v>
      </c>
      <c r="Y2116" s="67">
        <f t="shared" si="86"/>
        <v>61.712</v>
      </c>
      <c r="Z2116" s="67">
        <f t="shared" si="8"/>
        <v>50.4</v>
      </c>
      <c r="AA2116" s="67">
        <f t="shared" si="87"/>
        <v>8.064</v>
      </c>
      <c r="AB2116" s="67">
        <f t="shared" si="88"/>
        <v>58.464</v>
      </c>
      <c r="AC2116" s="67">
        <f t="shared" si="11"/>
        <v>47.6</v>
      </c>
      <c r="AD2116" s="67">
        <f t="shared" si="89"/>
        <v>7.616</v>
      </c>
      <c r="AE2116" s="67">
        <f t="shared" si="90"/>
        <v>55.216</v>
      </c>
      <c r="AF2116" s="67">
        <f t="shared" si="33"/>
        <v>46.48</v>
      </c>
      <c r="AG2116" s="67">
        <f t="shared" si="91"/>
        <v>7.4368</v>
      </c>
      <c r="AH2116" s="67">
        <f t="shared" si="92"/>
        <v>53.9168</v>
      </c>
      <c r="AI2116" s="67">
        <f t="shared" si="17"/>
        <v>44.8</v>
      </c>
      <c r="AJ2116" s="68">
        <f t="shared" si="78"/>
        <v>7.168</v>
      </c>
      <c r="AK2116" s="68">
        <f t="shared" si="79"/>
        <v>51.968</v>
      </c>
      <c r="AL2116" s="70"/>
      <c r="AM2116" s="70"/>
      <c r="AN2116" s="71"/>
      <c r="AO2116" s="71"/>
      <c r="AP2116" s="71"/>
      <c r="AQ2116" s="71"/>
      <c r="AR2116" s="71"/>
      <c r="AS2116" s="71"/>
      <c r="AT2116" s="71"/>
      <c r="AU2116" s="71"/>
      <c r="AV2116" s="71"/>
      <c r="AW2116" s="71"/>
      <c r="AX2116" s="71"/>
      <c r="AY2116" s="71"/>
      <c r="AZ2116" s="71"/>
      <c r="BA2116" s="71"/>
      <c r="BB2116" s="71"/>
      <c r="BC2116" s="71"/>
      <c r="BD2116" s="71"/>
      <c r="BE2116" s="71"/>
      <c r="BF2116" s="71"/>
      <c r="BG2116" s="71"/>
      <c r="BH2116" s="71"/>
      <c r="BI2116" s="71"/>
      <c r="BJ2116" s="71"/>
      <c r="BK2116" s="71"/>
      <c r="BL2116" s="71"/>
      <c r="BM2116" s="71"/>
      <c r="BN2116" s="71"/>
      <c r="BO2116" s="71"/>
      <c r="BP2116" s="71"/>
      <c r="BQ2116" s="71"/>
      <c r="BR2116" s="71"/>
      <c r="BS2116" s="71"/>
      <c r="BT2116" s="71"/>
      <c r="BU2116" s="71"/>
      <c r="BV2116" s="71"/>
    </row>
    <row r="2117">
      <c r="A2117" s="53"/>
      <c r="B2117" s="53"/>
      <c r="C2117" s="73" t="s">
        <v>12</v>
      </c>
      <c r="D2117" s="53" t="s">
        <v>5140</v>
      </c>
      <c r="E2117" s="54" t="s">
        <v>38</v>
      </c>
      <c r="F2117" s="54" t="s">
        <v>42</v>
      </c>
      <c r="G2117" s="55" t="s">
        <v>5141</v>
      </c>
      <c r="H2117" s="55" t="s">
        <v>5141</v>
      </c>
      <c r="I2117" s="54">
        <f t="shared" si="24"/>
        <v>26</v>
      </c>
      <c r="J2117" s="56"/>
      <c r="K2117" s="57"/>
      <c r="L2117" s="87"/>
      <c r="M2117" s="59"/>
      <c r="N2117" s="79"/>
      <c r="O2117" s="61">
        <v>1300.0</v>
      </c>
      <c r="P2117" s="62">
        <v>1404.0</v>
      </c>
      <c r="Q2117" s="63">
        <v>1404.0</v>
      </c>
      <c r="R2117" s="64">
        <v>1475.0</v>
      </c>
      <c r="S2117" s="111">
        <v>1549.0</v>
      </c>
      <c r="T2117" s="65">
        <f t="shared" si="80"/>
        <v>247.84</v>
      </c>
      <c r="U2117" s="65">
        <f t="shared" si="81"/>
        <v>1796.84</v>
      </c>
      <c r="V2117" s="66">
        <f t="shared" si="84"/>
        <v>0.05016949153</v>
      </c>
      <c r="W2117" s="67">
        <f t="shared" si="5"/>
        <v>1471.55</v>
      </c>
      <c r="X2117" s="67">
        <f t="shared" si="85"/>
        <v>235.448</v>
      </c>
      <c r="Y2117" s="67">
        <f t="shared" si="86"/>
        <v>1706.998</v>
      </c>
      <c r="Z2117" s="67">
        <f t="shared" si="8"/>
        <v>1394.1</v>
      </c>
      <c r="AA2117" s="67">
        <f t="shared" si="87"/>
        <v>223.056</v>
      </c>
      <c r="AB2117" s="67">
        <f t="shared" si="88"/>
        <v>1617.156</v>
      </c>
      <c r="AC2117" s="67">
        <f t="shared" si="11"/>
        <v>1316.65</v>
      </c>
      <c r="AD2117" s="67">
        <f t="shared" si="89"/>
        <v>210.664</v>
      </c>
      <c r="AE2117" s="67">
        <f t="shared" si="90"/>
        <v>1527.314</v>
      </c>
      <c r="AF2117" s="67">
        <f t="shared" si="33"/>
        <v>1285.67</v>
      </c>
      <c r="AG2117" s="67">
        <f t="shared" si="91"/>
        <v>205.7072</v>
      </c>
      <c r="AH2117" s="67">
        <f t="shared" si="92"/>
        <v>1491.3772</v>
      </c>
      <c r="AI2117" s="67">
        <f t="shared" si="17"/>
        <v>1239.2</v>
      </c>
      <c r="AJ2117" s="68">
        <f t="shared" si="78"/>
        <v>198.272</v>
      </c>
      <c r="AK2117" s="68">
        <f t="shared" si="79"/>
        <v>1437.472</v>
      </c>
      <c r="AL2117" s="70"/>
      <c r="AM2117" s="70"/>
      <c r="AN2117" s="71"/>
      <c r="AO2117" s="71"/>
      <c r="AP2117" s="71"/>
      <c r="AQ2117" s="71"/>
      <c r="AR2117" s="71"/>
      <c r="AS2117" s="71"/>
      <c r="AT2117" s="71"/>
      <c r="AU2117" s="71"/>
      <c r="AV2117" s="71"/>
      <c r="AW2117" s="71"/>
      <c r="AX2117" s="71"/>
      <c r="AY2117" s="71"/>
      <c r="AZ2117" s="71"/>
      <c r="BA2117" s="71"/>
      <c r="BB2117" s="71"/>
      <c r="BC2117" s="71"/>
      <c r="BD2117" s="71"/>
      <c r="BE2117" s="71"/>
      <c r="BF2117" s="71"/>
      <c r="BG2117" s="71"/>
      <c r="BH2117" s="71"/>
      <c r="BI2117" s="71"/>
      <c r="BJ2117" s="71"/>
      <c r="BK2117" s="71"/>
      <c r="BL2117" s="71"/>
      <c r="BM2117" s="71"/>
      <c r="BN2117" s="71"/>
      <c r="BO2117" s="71"/>
      <c r="BP2117" s="71"/>
      <c r="BQ2117" s="71"/>
      <c r="BR2117" s="71"/>
      <c r="BS2117" s="71"/>
      <c r="BT2117" s="71"/>
      <c r="BU2117" s="71"/>
      <c r="BV2117" s="71"/>
    </row>
    <row r="2118">
      <c r="A2118" s="53"/>
      <c r="B2118" s="53">
        <v>3.0</v>
      </c>
      <c r="C2118" s="53" t="s">
        <v>36</v>
      </c>
      <c r="D2118" s="98" t="s">
        <v>5142</v>
      </c>
      <c r="E2118" s="54" t="s">
        <v>38</v>
      </c>
      <c r="F2118" s="55" t="s">
        <v>187</v>
      </c>
      <c r="G2118" s="117" t="s">
        <v>5143</v>
      </c>
      <c r="H2118" s="55"/>
      <c r="I2118" s="54">
        <f t="shared" si="24"/>
        <v>0</v>
      </c>
      <c r="J2118" s="56"/>
      <c r="K2118" s="57"/>
      <c r="L2118" s="76"/>
      <c r="M2118" s="59"/>
      <c r="N2118" s="60"/>
      <c r="O2118" s="61">
        <v>55627.0</v>
      </c>
      <c r="P2118" s="62">
        <v>60077.16</v>
      </c>
      <c r="Q2118" s="63">
        <v>60077.16</v>
      </c>
      <c r="R2118" s="64">
        <v>66236.0</v>
      </c>
      <c r="S2118" s="107">
        <v>69548.0</v>
      </c>
      <c r="T2118" s="65">
        <f t="shared" si="80"/>
        <v>11127.68</v>
      </c>
      <c r="U2118" s="65">
        <f t="shared" si="81"/>
        <v>80675.68</v>
      </c>
      <c r="V2118" s="66">
        <f t="shared" si="84"/>
        <v>0.05000301951</v>
      </c>
      <c r="W2118" s="67">
        <f t="shared" si="5"/>
        <v>66070.6</v>
      </c>
      <c r="X2118" s="67">
        <f t="shared" si="85"/>
        <v>10571.296</v>
      </c>
      <c r="Y2118" s="67">
        <f t="shared" si="86"/>
        <v>76641.896</v>
      </c>
      <c r="Z2118" s="67">
        <f t="shared" si="8"/>
        <v>62593.2</v>
      </c>
      <c r="AA2118" s="67">
        <f t="shared" si="87"/>
        <v>10014.912</v>
      </c>
      <c r="AB2118" s="67">
        <f t="shared" si="88"/>
        <v>72608.112</v>
      </c>
      <c r="AC2118" s="67">
        <f t="shared" si="11"/>
        <v>62593.2</v>
      </c>
      <c r="AD2118" s="67">
        <f t="shared" si="89"/>
        <v>10014.912</v>
      </c>
      <c r="AE2118" s="67">
        <f t="shared" si="90"/>
        <v>72608.112</v>
      </c>
      <c r="AF2118" s="67">
        <f t="shared" si="33"/>
        <v>62593.2</v>
      </c>
      <c r="AG2118" s="67">
        <f t="shared" si="91"/>
        <v>10014.912</v>
      </c>
      <c r="AH2118" s="67">
        <f t="shared" si="92"/>
        <v>72608.112</v>
      </c>
      <c r="AI2118" s="67">
        <f t="shared" si="17"/>
        <v>62593.2</v>
      </c>
      <c r="AJ2118" s="68">
        <f t="shared" si="78"/>
        <v>10014.912</v>
      </c>
      <c r="AK2118" s="68">
        <f t="shared" si="79"/>
        <v>72608.112</v>
      </c>
      <c r="AL2118" s="70"/>
      <c r="AM2118" s="70"/>
      <c r="AN2118" s="71"/>
      <c r="AO2118" s="71"/>
      <c r="AP2118" s="71"/>
      <c r="AQ2118" s="71"/>
      <c r="AR2118" s="71"/>
      <c r="AS2118" s="71"/>
      <c r="AT2118" s="71"/>
      <c r="AU2118" s="71"/>
      <c r="AV2118" s="71"/>
      <c r="AW2118" s="71"/>
      <c r="AX2118" s="71"/>
      <c r="AY2118" s="71"/>
      <c r="AZ2118" s="71"/>
      <c r="BA2118" s="71"/>
      <c r="BB2118" s="71"/>
      <c r="BC2118" s="71"/>
      <c r="BD2118" s="71"/>
      <c r="BE2118" s="71"/>
      <c r="BF2118" s="71"/>
      <c r="BG2118" s="71"/>
      <c r="BH2118" s="71"/>
      <c r="BI2118" s="71"/>
      <c r="BJ2118" s="71"/>
      <c r="BK2118" s="71"/>
      <c r="BL2118" s="71"/>
      <c r="BM2118" s="71"/>
      <c r="BN2118" s="71"/>
      <c r="BO2118" s="71"/>
      <c r="BP2118" s="71"/>
      <c r="BQ2118" s="71"/>
      <c r="BR2118" s="71"/>
      <c r="BS2118" s="71"/>
      <c r="BT2118" s="71"/>
      <c r="BU2118" s="71"/>
      <c r="BV2118" s="71"/>
    </row>
    <row r="2119">
      <c r="A2119" s="53"/>
      <c r="B2119" s="53"/>
      <c r="C2119" s="73" t="s">
        <v>53</v>
      </c>
      <c r="D2119" s="53" t="s">
        <v>5144</v>
      </c>
      <c r="E2119" s="54" t="s">
        <v>38</v>
      </c>
      <c r="F2119" s="54" t="s">
        <v>42</v>
      </c>
      <c r="G2119" s="55" t="s">
        <v>5145</v>
      </c>
      <c r="H2119" s="55" t="s">
        <v>5146</v>
      </c>
      <c r="I2119" s="54">
        <f t="shared" si="24"/>
        <v>38</v>
      </c>
      <c r="J2119" s="56"/>
      <c r="K2119" s="57"/>
      <c r="L2119" s="87"/>
      <c r="M2119" s="59"/>
      <c r="N2119" s="79"/>
      <c r="O2119" s="61">
        <v>2700.0</v>
      </c>
      <c r="P2119" s="62">
        <v>2916.0</v>
      </c>
      <c r="Q2119" s="63">
        <v>2916.0</v>
      </c>
      <c r="R2119" s="64">
        <v>3062.0</v>
      </c>
      <c r="S2119" s="111">
        <v>3215.0</v>
      </c>
      <c r="T2119" s="65">
        <f t="shared" si="80"/>
        <v>514.4</v>
      </c>
      <c r="U2119" s="65">
        <f t="shared" si="81"/>
        <v>3729.4</v>
      </c>
      <c r="V2119" s="66">
        <f t="shared" si="84"/>
        <v>0.04996734161</v>
      </c>
      <c r="W2119" s="67">
        <f t="shared" si="5"/>
        <v>3054.25</v>
      </c>
      <c r="X2119" s="67">
        <f t="shared" si="85"/>
        <v>488.68</v>
      </c>
      <c r="Y2119" s="67">
        <f t="shared" si="86"/>
        <v>3542.93</v>
      </c>
      <c r="Z2119" s="67">
        <f t="shared" si="8"/>
        <v>2893.5</v>
      </c>
      <c r="AA2119" s="67">
        <f t="shared" si="87"/>
        <v>462.96</v>
      </c>
      <c r="AB2119" s="67">
        <f t="shared" si="88"/>
        <v>3356.46</v>
      </c>
      <c r="AC2119" s="67">
        <f t="shared" si="11"/>
        <v>2732.75</v>
      </c>
      <c r="AD2119" s="67">
        <f t="shared" si="89"/>
        <v>437.24</v>
      </c>
      <c r="AE2119" s="67">
        <f t="shared" si="90"/>
        <v>3169.99</v>
      </c>
      <c r="AF2119" s="67">
        <f t="shared" si="33"/>
        <v>2668.45</v>
      </c>
      <c r="AG2119" s="67">
        <f t="shared" si="91"/>
        <v>426.952</v>
      </c>
      <c r="AH2119" s="67">
        <f t="shared" si="92"/>
        <v>3095.402</v>
      </c>
      <c r="AI2119" s="67">
        <f t="shared" si="17"/>
        <v>2572</v>
      </c>
      <c r="AJ2119" s="68">
        <f t="shared" si="78"/>
        <v>411.52</v>
      </c>
      <c r="AK2119" s="68">
        <f t="shared" si="79"/>
        <v>2983.52</v>
      </c>
      <c r="AL2119" s="70"/>
      <c r="AM2119" s="70"/>
      <c r="AN2119" s="71"/>
      <c r="AO2119" s="71"/>
      <c r="AP2119" s="71"/>
      <c r="AQ2119" s="71"/>
      <c r="AR2119" s="71"/>
      <c r="AS2119" s="71"/>
      <c r="AT2119" s="71"/>
      <c r="AU2119" s="71"/>
      <c r="AV2119" s="71"/>
      <c r="AW2119" s="71"/>
      <c r="AX2119" s="71"/>
      <c r="AY2119" s="71"/>
      <c r="AZ2119" s="71"/>
      <c r="BA2119" s="71"/>
      <c r="BB2119" s="71"/>
      <c r="BC2119" s="71"/>
      <c r="BD2119" s="71"/>
      <c r="BE2119" s="71"/>
      <c r="BF2119" s="71"/>
      <c r="BG2119" s="71"/>
      <c r="BH2119" s="71"/>
      <c r="BI2119" s="71"/>
      <c r="BJ2119" s="71"/>
      <c r="BK2119" s="71"/>
      <c r="BL2119" s="71"/>
      <c r="BM2119" s="71"/>
      <c r="BN2119" s="71"/>
      <c r="BO2119" s="71"/>
      <c r="BP2119" s="71"/>
      <c r="BQ2119" s="71"/>
      <c r="BR2119" s="71"/>
      <c r="BS2119" s="71"/>
      <c r="BT2119" s="71"/>
      <c r="BU2119" s="71"/>
      <c r="BV2119" s="71"/>
    </row>
    <row r="2120">
      <c r="A2120" s="53"/>
      <c r="B2120" s="53">
        <v>3.0</v>
      </c>
      <c r="C2120" s="53" t="s">
        <v>36</v>
      </c>
      <c r="D2120" s="120" t="s">
        <v>5147</v>
      </c>
      <c r="E2120" s="54" t="s">
        <v>38</v>
      </c>
      <c r="F2120" s="55" t="s">
        <v>187</v>
      </c>
      <c r="G2120" s="138" t="s">
        <v>5148</v>
      </c>
      <c r="H2120" s="55"/>
      <c r="I2120" s="54">
        <f t="shared" si="24"/>
        <v>0</v>
      </c>
      <c r="J2120" s="56"/>
      <c r="K2120" s="57"/>
      <c r="L2120" s="76"/>
      <c r="M2120" s="59"/>
      <c r="N2120" s="60"/>
      <c r="O2120" s="61">
        <v>2700.0</v>
      </c>
      <c r="P2120" s="62">
        <v>2916.0</v>
      </c>
      <c r="Q2120" s="63">
        <v>2916.0</v>
      </c>
      <c r="R2120" s="64">
        <v>3216.0</v>
      </c>
      <c r="S2120" s="107">
        <v>3377.0</v>
      </c>
      <c r="T2120" s="65">
        <f t="shared" si="80"/>
        <v>540.32</v>
      </c>
      <c r="U2120" s="65">
        <f t="shared" si="81"/>
        <v>3917.32</v>
      </c>
      <c r="V2120" s="66">
        <f t="shared" si="84"/>
        <v>0.05006218905</v>
      </c>
      <c r="W2120" s="67">
        <f t="shared" si="5"/>
        <v>3208.15</v>
      </c>
      <c r="X2120" s="67">
        <f t="shared" si="85"/>
        <v>513.304</v>
      </c>
      <c r="Y2120" s="67">
        <f t="shared" si="86"/>
        <v>3721.454</v>
      </c>
      <c r="Z2120" s="67">
        <f t="shared" si="8"/>
        <v>3039.3</v>
      </c>
      <c r="AA2120" s="67">
        <f t="shared" si="87"/>
        <v>486.288</v>
      </c>
      <c r="AB2120" s="67">
        <f t="shared" si="88"/>
        <v>3525.588</v>
      </c>
      <c r="AC2120" s="67">
        <f t="shared" si="11"/>
        <v>3039.3</v>
      </c>
      <c r="AD2120" s="67">
        <f t="shared" si="89"/>
        <v>486.288</v>
      </c>
      <c r="AE2120" s="67">
        <f t="shared" si="90"/>
        <v>3525.588</v>
      </c>
      <c r="AF2120" s="67">
        <f t="shared" si="33"/>
        <v>3039.3</v>
      </c>
      <c r="AG2120" s="67">
        <f t="shared" si="91"/>
        <v>486.288</v>
      </c>
      <c r="AH2120" s="67">
        <f t="shared" si="92"/>
        <v>3525.588</v>
      </c>
      <c r="AI2120" s="67">
        <f t="shared" si="17"/>
        <v>3039.3</v>
      </c>
      <c r="AJ2120" s="68">
        <f t="shared" si="78"/>
        <v>486.288</v>
      </c>
      <c r="AK2120" s="68">
        <f t="shared" si="79"/>
        <v>3525.588</v>
      </c>
      <c r="AL2120" s="70"/>
      <c r="AM2120" s="70"/>
      <c r="AN2120" s="71"/>
      <c r="AO2120" s="71"/>
      <c r="AP2120" s="71"/>
      <c r="AQ2120" s="71"/>
      <c r="AR2120" s="71"/>
      <c r="AS2120" s="71"/>
      <c r="AT2120" s="71"/>
      <c r="AU2120" s="71"/>
      <c r="AV2120" s="71"/>
      <c r="AW2120" s="71"/>
      <c r="AX2120" s="71"/>
      <c r="AY2120" s="71"/>
      <c r="AZ2120" s="71"/>
      <c r="BA2120" s="71"/>
      <c r="BB2120" s="71"/>
      <c r="BC2120" s="71"/>
      <c r="BD2120" s="71"/>
      <c r="BE2120" s="71"/>
      <c r="BF2120" s="71"/>
      <c r="BG2120" s="71"/>
      <c r="BH2120" s="71"/>
      <c r="BI2120" s="71"/>
      <c r="BJ2120" s="71"/>
      <c r="BK2120" s="71"/>
      <c r="BL2120" s="71"/>
      <c r="BM2120" s="71"/>
      <c r="BN2120" s="71"/>
      <c r="BO2120" s="71"/>
      <c r="BP2120" s="71"/>
      <c r="BQ2120" s="71"/>
      <c r="BR2120" s="71"/>
      <c r="BS2120" s="71"/>
      <c r="BT2120" s="71"/>
      <c r="BU2120" s="71"/>
      <c r="BV2120" s="71"/>
    </row>
    <row r="2121">
      <c r="A2121" s="53"/>
      <c r="B2121" s="53">
        <v>3.0</v>
      </c>
      <c r="C2121" s="53" t="s">
        <v>36</v>
      </c>
      <c r="D2121" s="98" t="s">
        <v>5149</v>
      </c>
      <c r="E2121" s="54" t="s">
        <v>38</v>
      </c>
      <c r="F2121" s="55" t="s">
        <v>187</v>
      </c>
      <c r="G2121" s="117" t="s">
        <v>5150</v>
      </c>
      <c r="H2121" s="55"/>
      <c r="I2121" s="54">
        <f t="shared" si="24"/>
        <v>0</v>
      </c>
      <c r="J2121" s="56"/>
      <c r="K2121" s="57"/>
      <c r="L2121" s="76"/>
      <c r="M2121" s="59"/>
      <c r="N2121" s="60"/>
      <c r="O2121" s="61">
        <v>54629.0</v>
      </c>
      <c r="P2121" s="62">
        <v>58999.32000000001</v>
      </c>
      <c r="Q2121" s="63">
        <v>58999.32000000001</v>
      </c>
      <c r="R2121" s="64">
        <v>65047.0</v>
      </c>
      <c r="S2121" s="107">
        <v>68299.0</v>
      </c>
      <c r="T2121" s="65">
        <f t="shared" si="80"/>
        <v>10927.84</v>
      </c>
      <c r="U2121" s="65">
        <f t="shared" si="81"/>
        <v>79226.84</v>
      </c>
      <c r="V2121" s="66">
        <f t="shared" si="84"/>
        <v>0.04999461928</v>
      </c>
      <c r="W2121" s="67">
        <f t="shared" si="5"/>
        <v>64884.05</v>
      </c>
      <c r="X2121" s="67">
        <f t="shared" si="85"/>
        <v>10381.448</v>
      </c>
      <c r="Y2121" s="67">
        <f t="shared" si="86"/>
        <v>75265.498</v>
      </c>
      <c r="Z2121" s="67">
        <f t="shared" si="8"/>
        <v>61469.1</v>
      </c>
      <c r="AA2121" s="67">
        <f t="shared" si="87"/>
        <v>9835.056</v>
      </c>
      <c r="AB2121" s="67">
        <f t="shared" si="88"/>
        <v>71304.156</v>
      </c>
      <c r="AC2121" s="67">
        <f t="shared" si="11"/>
        <v>61469.1</v>
      </c>
      <c r="AD2121" s="67">
        <f t="shared" si="89"/>
        <v>9835.056</v>
      </c>
      <c r="AE2121" s="67">
        <f t="shared" si="90"/>
        <v>71304.156</v>
      </c>
      <c r="AF2121" s="67">
        <f t="shared" si="33"/>
        <v>61469.1</v>
      </c>
      <c r="AG2121" s="67">
        <f t="shared" si="91"/>
        <v>9835.056</v>
      </c>
      <c r="AH2121" s="67">
        <f t="shared" si="92"/>
        <v>71304.156</v>
      </c>
      <c r="AI2121" s="67">
        <f t="shared" si="17"/>
        <v>61469.1</v>
      </c>
      <c r="AJ2121" s="68">
        <f t="shared" si="78"/>
        <v>9835.056</v>
      </c>
      <c r="AK2121" s="68">
        <f t="shared" si="79"/>
        <v>71304.156</v>
      </c>
      <c r="AL2121" s="70"/>
      <c r="AM2121" s="70"/>
      <c r="AN2121" s="71"/>
      <c r="AO2121" s="71"/>
      <c r="AP2121" s="71"/>
      <c r="AQ2121" s="71"/>
      <c r="AR2121" s="71"/>
      <c r="AS2121" s="71"/>
      <c r="AT2121" s="71"/>
      <c r="AU2121" s="71"/>
      <c r="AV2121" s="71"/>
      <c r="AW2121" s="71"/>
      <c r="AX2121" s="71"/>
      <c r="AY2121" s="71"/>
      <c r="AZ2121" s="71"/>
      <c r="BA2121" s="71"/>
      <c r="BB2121" s="71"/>
      <c r="BC2121" s="71"/>
      <c r="BD2121" s="71"/>
      <c r="BE2121" s="71"/>
      <c r="BF2121" s="71"/>
      <c r="BG2121" s="71"/>
      <c r="BH2121" s="71"/>
      <c r="BI2121" s="71"/>
      <c r="BJ2121" s="71"/>
      <c r="BK2121" s="71"/>
      <c r="BL2121" s="71"/>
      <c r="BM2121" s="71"/>
      <c r="BN2121" s="71"/>
      <c r="BO2121" s="71"/>
      <c r="BP2121" s="71"/>
      <c r="BQ2121" s="71"/>
      <c r="BR2121" s="71"/>
      <c r="BS2121" s="71"/>
      <c r="BT2121" s="71"/>
      <c r="BU2121" s="71"/>
      <c r="BV2121" s="71"/>
    </row>
    <row r="2122">
      <c r="A2122" s="53"/>
      <c r="B2122" s="53">
        <v>3.0</v>
      </c>
      <c r="C2122" s="53" t="s">
        <v>36</v>
      </c>
      <c r="D2122" s="120" t="s">
        <v>5151</v>
      </c>
      <c r="E2122" s="54" t="s">
        <v>38</v>
      </c>
      <c r="F2122" s="55" t="s">
        <v>187</v>
      </c>
      <c r="G2122" s="138" t="s">
        <v>5152</v>
      </c>
      <c r="H2122" s="55"/>
      <c r="I2122" s="54">
        <f t="shared" si="24"/>
        <v>0</v>
      </c>
      <c r="J2122" s="56"/>
      <c r="K2122" s="57"/>
      <c r="L2122" s="76"/>
      <c r="M2122" s="59"/>
      <c r="N2122" s="60"/>
      <c r="O2122" s="61">
        <v>124866.0</v>
      </c>
      <c r="P2122" s="62">
        <v>134855.28</v>
      </c>
      <c r="Q2122" s="63">
        <v>134855.28</v>
      </c>
      <c r="R2122" s="64">
        <v>148678.0</v>
      </c>
      <c r="S2122" s="107">
        <v>156112.0</v>
      </c>
      <c r="T2122" s="65">
        <f t="shared" si="80"/>
        <v>24977.92</v>
      </c>
      <c r="U2122" s="65">
        <f t="shared" si="81"/>
        <v>181089.92</v>
      </c>
      <c r="V2122" s="66">
        <f t="shared" si="84"/>
        <v>0.05000067259</v>
      </c>
      <c r="W2122" s="67">
        <f t="shared" si="5"/>
        <v>148306.4</v>
      </c>
      <c r="X2122" s="67">
        <f t="shared" si="85"/>
        <v>23729.024</v>
      </c>
      <c r="Y2122" s="67">
        <f t="shared" si="86"/>
        <v>172035.424</v>
      </c>
      <c r="Z2122" s="67">
        <f t="shared" si="8"/>
        <v>140500.8</v>
      </c>
      <c r="AA2122" s="67">
        <f t="shared" si="87"/>
        <v>22480.128</v>
      </c>
      <c r="AB2122" s="67">
        <f t="shared" si="88"/>
        <v>162980.928</v>
      </c>
      <c r="AC2122" s="67">
        <f t="shared" si="11"/>
        <v>140500.8</v>
      </c>
      <c r="AD2122" s="67">
        <f t="shared" si="89"/>
        <v>22480.128</v>
      </c>
      <c r="AE2122" s="67">
        <f t="shared" si="90"/>
        <v>162980.928</v>
      </c>
      <c r="AF2122" s="67">
        <f t="shared" si="33"/>
        <v>140500.8</v>
      </c>
      <c r="AG2122" s="67">
        <f t="shared" si="91"/>
        <v>22480.128</v>
      </c>
      <c r="AH2122" s="67">
        <f t="shared" si="92"/>
        <v>162980.928</v>
      </c>
      <c r="AI2122" s="67">
        <f t="shared" si="17"/>
        <v>140500.8</v>
      </c>
      <c r="AJ2122" s="68">
        <f t="shared" si="78"/>
        <v>22480.128</v>
      </c>
      <c r="AK2122" s="68">
        <f t="shared" si="79"/>
        <v>162980.928</v>
      </c>
      <c r="AL2122" s="70"/>
      <c r="AM2122" s="70"/>
      <c r="AN2122" s="71"/>
      <c r="AO2122" s="71"/>
      <c r="AP2122" s="71"/>
      <c r="AQ2122" s="71"/>
      <c r="AR2122" s="71"/>
      <c r="AS2122" s="71"/>
      <c r="AT2122" s="71"/>
      <c r="AU2122" s="71"/>
      <c r="AV2122" s="71"/>
      <c r="AW2122" s="71"/>
      <c r="AX2122" s="71"/>
      <c r="AY2122" s="71"/>
      <c r="AZ2122" s="71"/>
      <c r="BA2122" s="71"/>
      <c r="BB2122" s="71"/>
      <c r="BC2122" s="71"/>
      <c r="BD2122" s="71"/>
      <c r="BE2122" s="71"/>
      <c r="BF2122" s="71"/>
      <c r="BG2122" s="71"/>
      <c r="BH2122" s="71"/>
      <c r="BI2122" s="71"/>
      <c r="BJ2122" s="71"/>
      <c r="BK2122" s="71"/>
      <c r="BL2122" s="71"/>
      <c r="BM2122" s="71"/>
      <c r="BN2122" s="71"/>
      <c r="BO2122" s="71"/>
      <c r="BP2122" s="71"/>
      <c r="BQ2122" s="71"/>
      <c r="BR2122" s="71"/>
      <c r="BS2122" s="71"/>
      <c r="BT2122" s="71"/>
      <c r="BU2122" s="71"/>
      <c r="BV2122" s="71"/>
    </row>
    <row r="2123">
      <c r="A2123" s="53"/>
      <c r="B2123" s="53"/>
      <c r="C2123" s="73" t="s">
        <v>12</v>
      </c>
      <c r="D2123" s="53" t="s">
        <v>5153</v>
      </c>
      <c r="E2123" s="191" t="s">
        <v>5154</v>
      </c>
      <c r="F2123" s="54" t="s">
        <v>42</v>
      </c>
      <c r="G2123" s="55" t="s">
        <v>5155</v>
      </c>
      <c r="H2123" s="54" t="s">
        <v>5155</v>
      </c>
      <c r="I2123" s="54">
        <f t="shared" si="24"/>
        <v>28</v>
      </c>
      <c r="J2123" s="56"/>
      <c r="K2123" s="57"/>
      <c r="L2123" s="76"/>
      <c r="M2123" s="59"/>
      <c r="N2123" s="79">
        <v>1100.0</v>
      </c>
      <c r="O2123" s="61">
        <v>1188.0</v>
      </c>
      <c r="P2123" s="62">
        <v>1283.0400000000002</v>
      </c>
      <c r="Q2123" s="63">
        <v>1283.0400000000002</v>
      </c>
      <c r="R2123" s="64">
        <v>1348.0</v>
      </c>
      <c r="S2123" s="111">
        <v>1415.0</v>
      </c>
      <c r="T2123" s="65">
        <f t="shared" si="80"/>
        <v>226.4</v>
      </c>
      <c r="U2123" s="65">
        <f t="shared" si="81"/>
        <v>1641.4</v>
      </c>
      <c r="V2123" s="66">
        <f t="shared" si="84"/>
        <v>0.04970326409</v>
      </c>
      <c r="W2123" s="67">
        <f t="shared" si="5"/>
        <v>1344.25</v>
      </c>
      <c r="X2123" s="67">
        <f t="shared" si="85"/>
        <v>215.08</v>
      </c>
      <c r="Y2123" s="67">
        <f t="shared" si="86"/>
        <v>1559.33</v>
      </c>
      <c r="Z2123" s="67">
        <f t="shared" si="8"/>
        <v>1273.5</v>
      </c>
      <c r="AA2123" s="67">
        <f t="shared" si="87"/>
        <v>203.76</v>
      </c>
      <c r="AB2123" s="67">
        <f t="shared" si="88"/>
        <v>1477.26</v>
      </c>
      <c r="AC2123" s="67">
        <f t="shared" si="11"/>
        <v>1202.75</v>
      </c>
      <c r="AD2123" s="67">
        <f t="shared" si="89"/>
        <v>192.44</v>
      </c>
      <c r="AE2123" s="67">
        <f t="shared" si="90"/>
        <v>1395.19</v>
      </c>
      <c r="AF2123" s="67">
        <f t="shared" si="33"/>
        <v>1174.45</v>
      </c>
      <c r="AG2123" s="67">
        <f t="shared" si="91"/>
        <v>187.912</v>
      </c>
      <c r="AH2123" s="67">
        <f t="shared" si="92"/>
        <v>1362.362</v>
      </c>
      <c r="AI2123" s="67">
        <f t="shared" si="17"/>
        <v>1132</v>
      </c>
      <c r="AJ2123" s="68">
        <f t="shared" si="78"/>
        <v>181.12</v>
      </c>
      <c r="AK2123" s="68">
        <f t="shared" si="79"/>
        <v>1313.12</v>
      </c>
      <c r="AL2123" s="70"/>
      <c r="AM2123" s="70"/>
      <c r="AN2123" s="71"/>
      <c r="AO2123" s="71"/>
      <c r="AP2123" s="71"/>
      <c r="AQ2123" s="71"/>
      <c r="AR2123" s="71"/>
      <c r="AS2123" s="71"/>
      <c r="AT2123" s="71"/>
      <c r="AU2123" s="71"/>
      <c r="AV2123" s="71"/>
      <c r="AW2123" s="71"/>
      <c r="AX2123" s="71"/>
      <c r="AY2123" s="71"/>
      <c r="AZ2123" s="71"/>
      <c r="BA2123" s="71"/>
      <c r="BB2123" s="71"/>
      <c r="BC2123" s="71"/>
      <c r="BD2123" s="71"/>
      <c r="BE2123" s="71"/>
      <c r="BF2123" s="71"/>
      <c r="BG2123" s="71"/>
      <c r="BH2123" s="71"/>
      <c r="BI2123" s="71"/>
      <c r="BJ2123" s="71"/>
      <c r="BK2123" s="71"/>
      <c r="BL2123" s="71"/>
      <c r="BM2123" s="71"/>
      <c r="BN2123" s="71"/>
      <c r="BO2123" s="71"/>
      <c r="BP2123" s="71"/>
      <c r="BQ2123" s="71"/>
      <c r="BR2123" s="71"/>
      <c r="BS2123" s="71"/>
      <c r="BT2123" s="71"/>
      <c r="BU2123" s="71"/>
      <c r="BV2123" s="71"/>
    </row>
    <row r="2124">
      <c r="A2124" s="53"/>
      <c r="B2124" s="53"/>
      <c r="C2124" s="53" t="s">
        <v>36</v>
      </c>
      <c r="D2124" s="85" t="s">
        <v>5156</v>
      </c>
      <c r="E2124" s="54" t="s">
        <v>38</v>
      </c>
      <c r="F2124" s="55" t="s">
        <v>39</v>
      </c>
      <c r="G2124" s="86" t="s">
        <v>5157</v>
      </c>
      <c r="H2124" s="55"/>
      <c r="I2124" s="54">
        <f t="shared" si="24"/>
        <v>0</v>
      </c>
      <c r="J2124" s="56"/>
      <c r="K2124" s="57"/>
      <c r="L2124" s="76"/>
      <c r="M2124" s="59"/>
      <c r="N2124" s="60"/>
      <c r="O2124" s="61">
        <v>364.8</v>
      </c>
      <c r="P2124" s="62">
        <v>393.98400000000004</v>
      </c>
      <c r="Q2124" s="63">
        <v>393.98400000000004</v>
      </c>
      <c r="R2124" s="64">
        <v>414.0</v>
      </c>
      <c r="S2124" s="107">
        <v>435.0</v>
      </c>
      <c r="T2124" s="65">
        <f t="shared" si="80"/>
        <v>69.6</v>
      </c>
      <c r="U2124" s="65">
        <f t="shared" si="81"/>
        <v>504.6</v>
      </c>
      <c r="V2124" s="66">
        <f t="shared" si="84"/>
        <v>0.05072463768</v>
      </c>
      <c r="W2124" s="67">
        <f t="shared" si="5"/>
        <v>413.25</v>
      </c>
      <c r="X2124" s="67">
        <f t="shared" si="85"/>
        <v>66.12</v>
      </c>
      <c r="Y2124" s="67">
        <f t="shared" si="86"/>
        <v>479.37</v>
      </c>
      <c r="Z2124" s="67">
        <f t="shared" si="8"/>
        <v>391.5</v>
      </c>
      <c r="AA2124" s="67">
        <f t="shared" si="87"/>
        <v>62.64</v>
      </c>
      <c r="AB2124" s="67">
        <f t="shared" si="88"/>
        <v>454.14</v>
      </c>
      <c r="AC2124" s="67">
        <f t="shared" si="11"/>
        <v>369.75</v>
      </c>
      <c r="AD2124" s="67">
        <f t="shared" si="89"/>
        <v>59.16</v>
      </c>
      <c r="AE2124" s="67">
        <f t="shared" si="90"/>
        <v>428.91</v>
      </c>
      <c r="AF2124" s="67">
        <f t="shared" si="33"/>
        <v>361.05</v>
      </c>
      <c r="AG2124" s="67">
        <f t="shared" si="91"/>
        <v>57.768</v>
      </c>
      <c r="AH2124" s="67">
        <f t="shared" si="92"/>
        <v>418.818</v>
      </c>
      <c r="AI2124" s="67">
        <f t="shared" si="17"/>
        <v>348</v>
      </c>
      <c r="AJ2124" s="68">
        <f t="shared" si="78"/>
        <v>55.68</v>
      </c>
      <c r="AK2124" s="68">
        <f t="shared" si="79"/>
        <v>403.68</v>
      </c>
      <c r="AL2124" s="70"/>
      <c r="AM2124" s="70"/>
      <c r="AN2124" s="71"/>
      <c r="AO2124" s="71"/>
      <c r="AP2124" s="71"/>
      <c r="AQ2124" s="71"/>
      <c r="AR2124" s="71"/>
      <c r="AS2124" s="71"/>
      <c r="AT2124" s="71"/>
      <c r="AU2124" s="71"/>
      <c r="AV2124" s="71"/>
      <c r="AW2124" s="71"/>
      <c r="AX2124" s="71"/>
      <c r="AY2124" s="71"/>
      <c r="AZ2124" s="71"/>
      <c r="BA2124" s="71"/>
      <c r="BB2124" s="71"/>
      <c r="BC2124" s="71"/>
      <c r="BD2124" s="71"/>
      <c r="BE2124" s="71"/>
      <c r="BF2124" s="71"/>
      <c r="BG2124" s="71"/>
      <c r="BH2124" s="71"/>
      <c r="BI2124" s="71"/>
      <c r="BJ2124" s="71"/>
      <c r="BK2124" s="71"/>
      <c r="BL2124" s="71"/>
      <c r="BM2124" s="71"/>
      <c r="BN2124" s="71"/>
      <c r="BO2124" s="71"/>
      <c r="BP2124" s="71"/>
      <c r="BQ2124" s="71"/>
      <c r="BR2124" s="71"/>
      <c r="BS2124" s="71"/>
      <c r="BT2124" s="71"/>
      <c r="BU2124" s="71"/>
      <c r="BV2124" s="71"/>
    </row>
    <row r="2125">
      <c r="A2125" s="53"/>
      <c r="B2125" s="53"/>
      <c r="C2125" s="53" t="s">
        <v>53</v>
      </c>
      <c r="D2125" s="53" t="s">
        <v>5158</v>
      </c>
      <c r="E2125" s="86" t="s">
        <v>38</v>
      </c>
      <c r="F2125" s="91" t="s">
        <v>42</v>
      </c>
      <c r="G2125" s="84" t="s">
        <v>5159</v>
      </c>
      <c r="H2125" s="84" t="s">
        <v>5159</v>
      </c>
      <c r="I2125" s="54">
        <f t="shared" si="24"/>
        <v>31</v>
      </c>
      <c r="J2125" s="56"/>
      <c r="K2125" s="57"/>
      <c r="L2125" s="119"/>
      <c r="M2125" s="124"/>
      <c r="N2125" s="93"/>
      <c r="O2125" s="61"/>
      <c r="P2125" s="90"/>
      <c r="Q2125" s="94"/>
      <c r="R2125" s="95"/>
      <c r="S2125" s="65"/>
      <c r="T2125" s="65"/>
      <c r="U2125" s="65"/>
      <c r="V2125" s="66"/>
      <c r="W2125" s="67"/>
      <c r="X2125" s="67"/>
      <c r="Y2125" s="67"/>
      <c r="Z2125" s="67"/>
      <c r="AA2125" s="67"/>
      <c r="AB2125" s="67"/>
      <c r="AC2125" s="67"/>
      <c r="AD2125" s="67"/>
      <c r="AE2125" s="67"/>
      <c r="AF2125" s="67"/>
      <c r="AG2125" s="67"/>
      <c r="AH2125" s="67"/>
      <c r="AI2125" s="67"/>
      <c r="AJ2125" s="96"/>
      <c r="AK2125" s="96"/>
      <c r="AL2125" s="70"/>
      <c r="AM2125" s="70"/>
      <c r="AN2125" s="71"/>
      <c r="AO2125" s="71"/>
      <c r="AP2125" s="71"/>
      <c r="AQ2125" s="71"/>
      <c r="AR2125" s="71"/>
      <c r="AS2125" s="71"/>
      <c r="AT2125" s="71"/>
      <c r="AU2125" s="71"/>
      <c r="AV2125" s="71"/>
      <c r="AW2125" s="71"/>
      <c r="AX2125" s="71"/>
      <c r="AY2125" s="71"/>
      <c r="AZ2125" s="71"/>
      <c r="BA2125" s="71"/>
      <c r="BB2125" s="71"/>
      <c r="BC2125" s="71"/>
      <c r="BD2125" s="71"/>
      <c r="BE2125" s="71"/>
      <c r="BF2125" s="71"/>
      <c r="BG2125" s="71"/>
      <c r="BH2125" s="71"/>
      <c r="BI2125" s="71"/>
      <c r="BJ2125" s="71"/>
      <c r="BK2125" s="71"/>
      <c r="BL2125" s="71"/>
      <c r="BM2125" s="71"/>
      <c r="BN2125" s="71"/>
      <c r="BO2125" s="71"/>
      <c r="BP2125" s="71"/>
      <c r="BQ2125" s="71"/>
      <c r="BR2125" s="71"/>
      <c r="BS2125" s="71"/>
      <c r="BT2125" s="71"/>
      <c r="BU2125" s="71"/>
      <c r="BV2125" s="71"/>
    </row>
    <row r="2126">
      <c r="A2126" s="53">
        <v>1.0</v>
      </c>
      <c r="B2126" s="53"/>
      <c r="C2126" s="73" t="s">
        <v>53</v>
      </c>
      <c r="D2126" s="74" t="s">
        <v>5160</v>
      </c>
      <c r="E2126" s="54" t="s">
        <v>38</v>
      </c>
      <c r="F2126" s="54" t="s">
        <v>42</v>
      </c>
      <c r="G2126" s="88" t="s">
        <v>5161</v>
      </c>
      <c r="H2126" s="54" t="s">
        <v>5162</v>
      </c>
      <c r="I2126" s="54">
        <f t="shared" si="24"/>
        <v>21</v>
      </c>
      <c r="J2126" s="56"/>
      <c r="K2126" s="57"/>
      <c r="L2126" s="87"/>
      <c r="M2126" s="59"/>
      <c r="N2126" s="60">
        <v>452.0</v>
      </c>
      <c r="O2126" s="61">
        <v>488.0</v>
      </c>
      <c r="P2126" s="62">
        <v>527.0400000000001</v>
      </c>
      <c r="Q2126" s="63">
        <v>527.0400000000001</v>
      </c>
      <c r="R2126" s="64">
        <v>587.0</v>
      </c>
      <c r="S2126" s="111">
        <v>616.0</v>
      </c>
      <c r="T2126" s="65">
        <f t="shared" ref="T2126:T2780" si="93">S2126*0.16</f>
        <v>98.56</v>
      </c>
      <c r="U2126" s="65">
        <f t="shared" ref="U2126:U2780" si="94">S2126+T2126</f>
        <v>714.56</v>
      </c>
      <c r="V2126" s="66">
        <f t="shared" ref="V2126:V2155" si="95">(S2126-R2126)/R2126</f>
        <v>0.04940374787</v>
      </c>
      <c r="W2126" s="67">
        <f t="shared" ref="W2126:W2780" si="96">(IF(B2126="",(S2126*(1-$W$1)),(IF(B2126=1,(S2126*(1-$W$1)),(IF(B2126=2,(S2126*(1-$W$1)),(IF(B2126=3,(S2126*(1-$W$1)),(IF(B2126=4,(S2126*(1))))))))))))</f>
        <v>585.2</v>
      </c>
      <c r="X2126" s="67">
        <f t="shared" ref="X2126:X2155" si="97">W2126*0.16</f>
        <v>93.632</v>
      </c>
      <c r="Y2126" s="67">
        <f t="shared" ref="Y2126:Y2155" si="98">W2126+X2126</f>
        <v>678.832</v>
      </c>
      <c r="Z2126" s="67">
        <f t="shared" ref="Z2126:Z2780" si="99">(IF(B2126="",(S2126*(1-$Z$1)),(IF(B2126=1,(S2126*(1-$Z$1)),(IF(B2126=2,(S2126*(1-$Z$1)),(IF(B2126=3,(S2126*(1-$Z$1)),(IF(B2126=4,(S2126*(1))))))))))))</f>
        <v>554.4</v>
      </c>
      <c r="AA2126" s="67">
        <f t="shared" ref="AA2126:AA2155" si="100">Z2126*0.16</f>
        <v>88.704</v>
      </c>
      <c r="AB2126" s="67">
        <f t="shared" ref="AB2126:AB2155" si="101">Z2126+AA2126</f>
        <v>643.104</v>
      </c>
      <c r="AC2126" s="67">
        <f t="shared" ref="AC2126:AC2780" si="102">(IF(B2126="",(S2126*(1-$AC$1)),(IF(B2126=1,(S2126*(1-$AC$1)),(IF(B2126=2,(S2126*(1-0.15)),(IF(B2126=3,(S2126*(1-0.1)),(IF(B2126=4,(S2126*(1))))))))))))</f>
        <v>523.6</v>
      </c>
      <c r="AD2126" s="67">
        <f t="shared" ref="AD2126:AD2155" si="103">AC2126*0.16</f>
        <v>83.776</v>
      </c>
      <c r="AE2126" s="67">
        <f t="shared" ref="AE2126:AE2155" si="104">AC2126+AD2126</f>
        <v>607.376</v>
      </c>
      <c r="AF2126" s="67">
        <f t="shared" ref="AF2126:AF2780" si="105">(IF(B2126="",(S2126*(1-$AF$1)),(IF(B2126=1,(S2126*(1-$AF$1)),(IF(B2126=2,(S2126*(1-0.15)),(IF(B2126=3,(S2126*(1-0.1)),(IF(B2126=4,(S2126*(1))))))))))))</f>
        <v>511.28</v>
      </c>
      <c r="AG2126" s="67">
        <f t="shared" ref="AG2126:AG2155" si="106">AF2126*0.16</f>
        <v>81.8048</v>
      </c>
      <c r="AH2126" s="67">
        <f t="shared" ref="AH2126:AH2155" si="107">AF2126+AG2126</f>
        <v>593.0848</v>
      </c>
      <c r="AI2126" s="67">
        <f t="shared" ref="AI2126:AI2780" si="108">(IF(B2126="",(S2126*(1-$AI$1)),(IF(B2126=1,(S2126*(1-$AI$1)),(IF(B2126=2,(S2126*(1-0.15)),(IF(B2126=3,(S2126*(1-0.1)),(IF(B2126=4,(S2126*(1))))))))))))</f>
        <v>492.8</v>
      </c>
      <c r="AJ2126" s="68">
        <f t="shared" ref="AJ2126:AJ2155" si="109">AI2126*0.16</f>
        <v>78.848</v>
      </c>
      <c r="AK2126" s="68">
        <f t="shared" ref="AK2126:AK2155" si="110">AI2126+AJ2126</f>
        <v>571.648</v>
      </c>
      <c r="AL2126" s="70"/>
      <c r="AM2126" s="70"/>
      <c r="AN2126" s="71"/>
      <c r="AO2126" s="71"/>
      <c r="AP2126" s="71"/>
      <c r="AQ2126" s="71"/>
      <c r="AR2126" s="71"/>
      <c r="AS2126" s="71"/>
      <c r="AT2126" s="71"/>
      <c r="AU2126" s="71"/>
      <c r="AV2126" s="71"/>
      <c r="AW2126" s="71"/>
      <c r="AX2126" s="71"/>
      <c r="AY2126" s="71"/>
      <c r="AZ2126" s="71"/>
      <c r="BA2126" s="71"/>
      <c r="BB2126" s="71"/>
      <c r="BC2126" s="71"/>
      <c r="BD2126" s="71"/>
      <c r="BE2126" s="71"/>
      <c r="BF2126" s="71"/>
      <c r="BG2126" s="71"/>
      <c r="BH2126" s="71"/>
      <c r="BI2126" s="71"/>
      <c r="BJ2126" s="71"/>
      <c r="BK2126" s="71"/>
      <c r="BL2126" s="71"/>
      <c r="BM2126" s="71"/>
      <c r="BN2126" s="71"/>
      <c r="BO2126" s="71"/>
      <c r="BP2126" s="71"/>
      <c r="BQ2126" s="71"/>
      <c r="BR2126" s="71"/>
      <c r="BS2126" s="71"/>
      <c r="BT2126" s="71"/>
      <c r="BU2126" s="71"/>
      <c r="BV2126" s="71"/>
    </row>
    <row r="2127">
      <c r="A2127" s="53">
        <v>1.0</v>
      </c>
      <c r="B2127" s="53"/>
      <c r="C2127" s="73" t="s">
        <v>53</v>
      </c>
      <c r="D2127" s="74" t="s">
        <v>5163</v>
      </c>
      <c r="E2127" s="54" t="s">
        <v>38</v>
      </c>
      <c r="F2127" s="54" t="s">
        <v>42</v>
      </c>
      <c r="G2127" s="88" t="s">
        <v>5164</v>
      </c>
      <c r="H2127" s="54" t="s">
        <v>5164</v>
      </c>
      <c r="I2127" s="54">
        <f t="shared" si="24"/>
        <v>25</v>
      </c>
      <c r="J2127" s="56"/>
      <c r="K2127" s="57"/>
      <c r="L2127" s="87"/>
      <c r="M2127" s="59"/>
      <c r="N2127" s="60">
        <v>313.0</v>
      </c>
      <c r="O2127" s="61">
        <v>338.0</v>
      </c>
      <c r="P2127" s="62">
        <v>365.04</v>
      </c>
      <c r="Q2127" s="63">
        <v>365.04</v>
      </c>
      <c r="R2127" s="64">
        <v>407.0</v>
      </c>
      <c r="S2127" s="111">
        <v>427.0</v>
      </c>
      <c r="T2127" s="65">
        <f t="shared" si="93"/>
        <v>68.32</v>
      </c>
      <c r="U2127" s="65">
        <f t="shared" si="94"/>
        <v>495.32</v>
      </c>
      <c r="V2127" s="66">
        <f t="shared" si="95"/>
        <v>0.04914004914</v>
      </c>
      <c r="W2127" s="67">
        <f t="shared" si="96"/>
        <v>405.65</v>
      </c>
      <c r="X2127" s="67">
        <f t="shared" si="97"/>
        <v>64.904</v>
      </c>
      <c r="Y2127" s="67">
        <f t="shared" si="98"/>
        <v>470.554</v>
      </c>
      <c r="Z2127" s="67">
        <f t="shared" si="99"/>
        <v>384.3</v>
      </c>
      <c r="AA2127" s="67">
        <f t="shared" si="100"/>
        <v>61.488</v>
      </c>
      <c r="AB2127" s="67">
        <f t="shared" si="101"/>
        <v>445.788</v>
      </c>
      <c r="AC2127" s="67">
        <f t="shared" si="102"/>
        <v>362.95</v>
      </c>
      <c r="AD2127" s="67">
        <f t="shared" si="103"/>
        <v>58.072</v>
      </c>
      <c r="AE2127" s="67">
        <f t="shared" si="104"/>
        <v>421.022</v>
      </c>
      <c r="AF2127" s="67">
        <f t="shared" si="105"/>
        <v>354.41</v>
      </c>
      <c r="AG2127" s="67">
        <f t="shared" si="106"/>
        <v>56.7056</v>
      </c>
      <c r="AH2127" s="67">
        <f t="shared" si="107"/>
        <v>411.1156</v>
      </c>
      <c r="AI2127" s="67">
        <f t="shared" si="108"/>
        <v>341.6</v>
      </c>
      <c r="AJ2127" s="68">
        <f t="shared" si="109"/>
        <v>54.656</v>
      </c>
      <c r="AK2127" s="68">
        <f t="shared" si="110"/>
        <v>396.256</v>
      </c>
      <c r="AL2127" s="70"/>
      <c r="AM2127" s="70"/>
      <c r="AN2127" s="71"/>
      <c r="AO2127" s="71"/>
      <c r="AP2127" s="71"/>
      <c r="AQ2127" s="71"/>
      <c r="AR2127" s="71"/>
      <c r="AS2127" s="71"/>
      <c r="AT2127" s="71"/>
      <c r="AU2127" s="71"/>
      <c r="AV2127" s="71"/>
      <c r="AW2127" s="71"/>
      <c r="AX2127" s="71"/>
      <c r="AY2127" s="71"/>
      <c r="AZ2127" s="71"/>
      <c r="BA2127" s="71"/>
      <c r="BB2127" s="71"/>
      <c r="BC2127" s="71"/>
      <c r="BD2127" s="71"/>
      <c r="BE2127" s="71"/>
      <c r="BF2127" s="71"/>
      <c r="BG2127" s="71"/>
      <c r="BH2127" s="71"/>
      <c r="BI2127" s="71"/>
      <c r="BJ2127" s="71"/>
      <c r="BK2127" s="71"/>
      <c r="BL2127" s="71"/>
      <c r="BM2127" s="71"/>
      <c r="BN2127" s="71"/>
      <c r="BO2127" s="71"/>
      <c r="BP2127" s="71"/>
      <c r="BQ2127" s="71"/>
      <c r="BR2127" s="71"/>
      <c r="BS2127" s="71"/>
      <c r="BT2127" s="71"/>
      <c r="BU2127" s="71"/>
      <c r="BV2127" s="71"/>
    </row>
    <row r="2128">
      <c r="A2128" s="53">
        <v>1.0</v>
      </c>
      <c r="B2128" s="53"/>
      <c r="C2128" s="73" t="s">
        <v>53</v>
      </c>
      <c r="D2128" s="74" t="s">
        <v>5165</v>
      </c>
      <c r="E2128" s="54" t="s">
        <v>38</v>
      </c>
      <c r="F2128" s="54" t="s">
        <v>42</v>
      </c>
      <c r="G2128" s="88" t="s">
        <v>5166</v>
      </c>
      <c r="H2128" s="54" t="s">
        <v>5167</v>
      </c>
      <c r="I2128" s="54">
        <f t="shared" si="24"/>
        <v>28</v>
      </c>
      <c r="J2128" s="56"/>
      <c r="K2128" s="57"/>
      <c r="L2128" s="87"/>
      <c r="M2128" s="59"/>
      <c r="N2128" s="60">
        <v>440.0</v>
      </c>
      <c r="O2128" s="61">
        <v>475.0</v>
      </c>
      <c r="P2128" s="62">
        <v>513.0</v>
      </c>
      <c r="Q2128" s="63">
        <v>513.0</v>
      </c>
      <c r="R2128" s="64">
        <v>572.0</v>
      </c>
      <c r="S2128" s="111">
        <v>601.0</v>
      </c>
      <c r="T2128" s="65">
        <f t="shared" si="93"/>
        <v>96.16</v>
      </c>
      <c r="U2128" s="65">
        <f t="shared" si="94"/>
        <v>697.16</v>
      </c>
      <c r="V2128" s="66">
        <f t="shared" si="95"/>
        <v>0.0506993007</v>
      </c>
      <c r="W2128" s="67">
        <f t="shared" si="96"/>
        <v>570.95</v>
      </c>
      <c r="X2128" s="67">
        <f t="shared" si="97"/>
        <v>91.352</v>
      </c>
      <c r="Y2128" s="67">
        <f t="shared" si="98"/>
        <v>662.302</v>
      </c>
      <c r="Z2128" s="67">
        <f t="shared" si="99"/>
        <v>540.9</v>
      </c>
      <c r="AA2128" s="67">
        <f t="shared" si="100"/>
        <v>86.544</v>
      </c>
      <c r="AB2128" s="67">
        <f t="shared" si="101"/>
        <v>627.444</v>
      </c>
      <c r="AC2128" s="67">
        <f t="shared" si="102"/>
        <v>510.85</v>
      </c>
      <c r="AD2128" s="67">
        <f t="shared" si="103"/>
        <v>81.736</v>
      </c>
      <c r="AE2128" s="67">
        <f t="shared" si="104"/>
        <v>592.586</v>
      </c>
      <c r="AF2128" s="67">
        <f t="shared" si="105"/>
        <v>498.83</v>
      </c>
      <c r="AG2128" s="67">
        <f t="shared" si="106"/>
        <v>79.8128</v>
      </c>
      <c r="AH2128" s="67">
        <f t="shared" si="107"/>
        <v>578.6428</v>
      </c>
      <c r="AI2128" s="67">
        <f t="shared" si="108"/>
        <v>480.8</v>
      </c>
      <c r="AJ2128" s="68">
        <f t="shared" si="109"/>
        <v>76.928</v>
      </c>
      <c r="AK2128" s="68">
        <f t="shared" si="110"/>
        <v>557.728</v>
      </c>
      <c r="AL2128" s="70"/>
      <c r="AM2128" s="70"/>
      <c r="AN2128" s="71"/>
      <c r="AO2128" s="71"/>
      <c r="AP2128" s="71"/>
      <c r="AQ2128" s="71"/>
      <c r="AR2128" s="71"/>
      <c r="AS2128" s="71"/>
      <c r="AT2128" s="71"/>
      <c r="AU2128" s="71"/>
      <c r="AV2128" s="71"/>
      <c r="AW2128" s="71"/>
      <c r="AX2128" s="71"/>
      <c r="AY2128" s="71"/>
      <c r="AZ2128" s="71"/>
      <c r="BA2128" s="71"/>
      <c r="BB2128" s="71"/>
      <c r="BC2128" s="71"/>
      <c r="BD2128" s="71"/>
      <c r="BE2128" s="71"/>
      <c r="BF2128" s="71"/>
      <c r="BG2128" s="71"/>
      <c r="BH2128" s="71"/>
      <c r="BI2128" s="71"/>
      <c r="BJ2128" s="71"/>
      <c r="BK2128" s="71"/>
      <c r="BL2128" s="71"/>
      <c r="BM2128" s="71"/>
      <c r="BN2128" s="71"/>
      <c r="BO2128" s="71"/>
      <c r="BP2128" s="71"/>
      <c r="BQ2128" s="71"/>
      <c r="BR2128" s="71"/>
      <c r="BS2128" s="71"/>
      <c r="BT2128" s="71"/>
      <c r="BU2128" s="71"/>
      <c r="BV2128" s="71"/>
    </row>
    <row r="2129">
      <c r="A2129" s="53">
        <v>1.0</v>
      </c>
      <c r="B2129" s="148"/>
      <c r="C2129" s="73" t="s">
        <v>53</v>
      </c>
      <c r="D2129" s="73" t="s">
        <v>5168</v>
      </c>
      <c r="E2129" s="54" t="s">
        <v>38</v>
      </c>
      <c r="F2129" s="54" t="s">
        <v>42</v>
      </c>
      <c r="G2129" s="55" t="s">
        <v>5169</v>
      </c>
      <c r="H2129" s="54" t="s">
        <v>5170</v>
      </c>
      <c r="I2129" s="54">
        <f t="shared" si="24"/>
        <v>40</v>
      </c>
      <c r="J2129" s="56"/>
      <c r="K2129" s="57"/>
      <c r="L2129" s="87"/>
      <c r="M2129" s="59"/>
      <c r="N2129" s="60">
        <v>1655.0</v>
      </c>
      <c r="O2129" s="61">
        <v>1787.0</v>
      </c>
      <c r="P2129" s="62">
        <v>1929.96</v>
      </c>
      <c r="Q2129" s="63">
        <v>1929.96</v>
      </c>
      <c r="R2129" s="64">
        <v>2149.0</v>
      </c>
      <c r="S2129" s="111">
        <v>2256.0</v>
      </c>
      <c r="T2129" s="65">
        <f t="shared" si="93"/>
        <v>360.96</v>
      </c>
      <c r="U2129" s="65">
        <f t="shared" si="94"/>
        <v>2616.96</v>
      </c>
      <c r="V2129" s="66">
        <f t="shared" si="95"/>
        <v>0.04979060028</v>
      </c>
      <c r="W2129" s="67">
        <f t="shared" si="96"/>
        <v>2143.2</v>
      </c>
      <c r="X2129" s="67">
        <f t="shared" si="97"/>
        <v>342.912</v>
      </c>
      <c r="Y2129" s="67">
        <f t="shared" si="98"/>
        <v>2486.112</v>
      </c>
      <c r="Z2129" s="67">
        <f t="shared" si="99"/>
        <v>2030.4</v>
      </c>
      <c r="AA2129" s="67">
        <f t="shared" si="100"/>
        <v>324.864</v>
      </c>
      <c r="AB2129" s="67">
        <f t="shared" si="101"/>
        <v>2355.264</v>
      </c>
      <c r="AC2129" s="67">
        <f t="shared" si="102"/>
        <v>1917.6</v>
      </c>
      <c r="AD2129" s="67">
        <f t="shared" si="103"/>
        <v>306.816</v>
      </c>
      <c r="AE2129" s="67">
        <f t="shared" si="104"/>
        <v>2224.416</v>
      </c>
      <c r="AF2129" s="67">
        <f t="shared" si="105"/>
        <v>1872.48</v>
      </c>
      <c r="AG2129" s="67">
        <f t="shared" si="106"/>
        <v>299.5968</v>
      </c>
      <c r="AH2129" s="67">
        <f t="shared" si="107"/>
        <v>2172.0768</v>
      </c>
      <c r="AI2129" s="67">
        <f t="shared" si="108"/>
        <v>1804.8</v>
      </c>
      <c r="AJ2129" s="68">
        <f t="shared" si="109"/>
        <v>288.768</v>
      </c>
      <c r="AK2129" s="68">
        <f t="shared" si="110"/>
        <v>2093.568</v>
      </c>
      <c r="AL2129" s="70"/>
      <c r="AM2129" s="70"/>
      <c r="AN2129" s="71"/>
      <c r="AO2129" s="71"/>
      <c r="AP2129" s="71"/>
      <c r="AQ2129" s="71"/>
      <c r="AR2129" s="71"/>
      <c r="AS2129" s="71"/>
      <c r="AT2129" s="71"/>
      <c r="AU2129" s="71"/>
      <c r="AV2129" s="71"/>
      <c r="AW2129" s="71"/>
      <c r="AX2129" s="71"/>
      <c r="AY2129" s="71"/>
      <c r="AZ2129" s="71"/>
      <c r="BA2129" s="71"/>
      <c r="BB2129" s="71"/>
      <c r="BC2129" s="71"/>
      <c r="BD2129" s="71"/>
      <c r="BE2129" s="71"/>
      <c r="BF2129" s="71"/>
      <c r="BG2129" s="71"/>
      <c r="BH2129" s="71"/>
      <c r="BI2129" s="71"/>
      <c r="BJ2129" s="71"/>
      <c r="BK2129" s="71"/>
      <c r="BL2129" s="71"/>
      <c r="BM2129" s="71"/>
      <c r="BN2129" s="71"/>
      <c r="BO2129" s="71"/>
      <c r="BP2129" s="71"/>
      <c r="BQ2129" s="71"/>
      <c r="BR2129" s="71"/>
      <c r="BS2129" s="71"/>
      <c r="BT2129" s="71"/>
      <c r="BU2129" s="71"/>
      <c r="BV2129" s="71"/>
    </row>
    <row r="2130">
      <c r="A2130" s="53">
        <v>1.0</v>
      </c>
      <c r="B2130" s="53"/>
      <c r="C2130" s="73" t="s">
        <v>53</v>
      </c>
      <c r="D2130" s="74" t="s">
        <v>5171</v>
      </c>
      <c r="E2130" s="54" t="s">
        <v>38</v>
      </c>
      <c r="F2130" s="54" t="s">
        <v>42</v>
      </c>
      <c r="G2130" s="55" t="s">
        <v>5172</v>
      </c>
      <c r="H2130" s="54" t="s">
        <v>5173</v>
      </c>
      <c r="I2130" s="54">
        <f t="shared" si="24"/>
        <v>33</v>
      </c>
      <c r="J2130" s="56"/>
      <c r="K2130" s="57"/>
      <c r="L2130" s="87"/>
      <c r="M2130" s="59"/>
      <c r="N2130" s="60">
        <v>802.0</v>
      </c>
      <c r="O2130" s="61">
        <v>866.0</v>
      </c>
      <c r="P2130" s="62">
        <v>935.2800000000001</v>
      </c>
      <c r="Q2130" s="63">
        <v>935.2800000000001</v>
      </c>
      <c r="R2130" s="64">
        <v>1042.0</v>
      </c>
      <c r="S2130" s="111">
        <v>1094.0</v>
      </c>
      <c r="T2130" s="65">
        <f t="shared" si="93"/>
        <v>175.04</v>
      </c>
      <c r="U2130" s="65">
        <f t="shared" si="94"/>
        <v>1269.04</v>
      </c>
      <c r="V2130" s="66">
        <f t="shared" si="95"/>
        <v>0.04990403071</v>
      </c>
      <c r="W2130" s="67">
        <f t="shared" si="96"/>
        <v>1039.3</v>
      </c>
      <c r="X2130" s="67">
        <f t="shared" si="97"/>
        <v>166.288</v>
      </c>
      <c r="Y2130" s="67">
        <f t="shared" si="98"/>
        <v>1205.588</v>
      </c>
      <c r="Z2130" s="67">
        <f t="shared" si="99"/>
        <v>984.6</v>
      </c>
      <c r="AA2130" s="67">
        <f t="shared" si="100"/>
        <v>157.536</v>
      </c>
      <c r="AB2130" s="67">
        <f t="shared" si="101"/>
        <v>1142.136</v>
      </c>
      <c r="AC2130" s="67">
        <f t="shared" si="102"/>
        <v>929.9</v>
      </c>
      <c r="AD2130" s="67">
        <f t="shared" si="103"/>
        <v>148.784</v>
      </c>
      <c r="AE2130" s="67">
        <f t="shared" si="104"/>
        <v>1078.684</v>
      </c>
      <c r="AF2130" s="67">
        <f t="shared" si="105"/>
        <v>908.02</v>
      </c>
      <c r="AG2130" s="67">
        <f t="shared" si="106"/>
        <v>145.2832</v>
      </c>
      <c r="AH2130" s="67">
        <f t="shared" si="107"/>
        <v>1053.3032</v>
      </c>
      <c r="AI2130" s="67">
        <f t="shared" si="108"/>
        <v>875.2</v>
      </c>
      <c r="AJ2130" s="68">
        <f t="shared" si="109"/>
        <v>140.032</v>
      </c>
      <c r="AK2130" s="68">
        <f t="shared" si="110"/>
        <v>1015.232</v>
      </c>
      <c r="AL2130" s="70"/>
      <c r="AM2130" s="70"/>
      <c r="AN2130" s="71"/>
      <c r="AO2130" s="71"/>
      <c r="AP2130" s="71"/>
      <c r="AQ2130" s="71"/>
      <c r="AR2130" s="71"/>
      <c r="AS2130" s="71"/>
      <c r="AT2130" s="71"/>
      <c r="AU2130" s="71"/>
      <c r="AV2130" s="71"/>
      <c r="AW2130" s="71"/>
      <c r="AX2130" s="71"/>
      <c r="AY2130" s="71"/>
      <c r="AZ2130" s="71"/>
      <c r="BA2130" s="71"/>
      <c r="BB2130" s="71"/>
      <c r="BC2130" s="71"/>
      <c r="BD2130" s="71"/>
      <c r="BE2130" s="71"/>
      <c r="BF2130" s="71"/>
      <c r="BG2130" s="71"/>
      <c r="BH2130" s="71"/>
      <c r="BI2130" s="71"/>
      <c r="BJ2130" s="71"/>
      <c r="BK2130" s="71"/>
      <c r="BL2130" s="71"/>
      <c r="BM2130" s="71"/>
      <c r="BN2130" s="71"/>
      <c r="BO2130" s="71"/>
      <c r="BP2130" s="71"/>
      <c r="BQ2130" s="71"/>
      <c r="BR2130" s="71"/>
      <c r="BS2130" s="71"/>
      <c r="BT2130" s="71"/>
      <c r="BU2130" s="71"/>
      <c r="BV2130" s="71"/>
    </row>
    <row r="2131">
      <c r="A2131" s="53"/>
      <c r="B2131" s="53"/>
      <c r="C2131" s="73" t="s">
        <v>12</v>
      </c>
      <c r="D2131" s="53" t="s">
        <v>5174</v>
      </c>
      <c r="E2131" s="54" t="s">
        <v>38</v>
      </c>
      <c r="F2131" s="54" t="s">
        <v>42</v>
      </c>
      <c r="G2131" s="55" t="s">
        <v>5175</v>
      </c>
      <c r="H2131" s="54" t="s">
        <v>5176</v>
      </c>
      <c r="I2131" s="54">
        <f t="shared" si="24"/>
        <v>39</v>
      </c>
      <c r="J2131" s="56"/>
      <c r="K2131" s="57"/>
      <c r="L2131" s="76"/>
      <c r="M2131" s="59"/>
      <c r="N2131" s="79">
        <v>2099.0</v>
      </c>
      <c r="O2131" s="61">
        <v>2266.0</v>
      </c>
      <c r="P2131" s="62">
        <v>2447.28</v>
      </c>
      <c r="Q2131" s="63">
        <v>2447.28</v>
      </c>
      <c r="R2131" s="64">
        <v>2570.0</v>
      </c>
      <c r="S2131" s="111">
        <v>2699.0</v>
      </c>
      <c r="T2131" s="65">
        <f t="shared" si="93"/>
        <v>431.84</v>
      </c>
      <c r="U2131" s="65">
        <f t="shared" si="94"/>
        <v>3130.84</v>
      </c>
      <c r="V2131" s="66">
        <f t="shared" si="95"/>
        <v>0.05019455253</v>
      </c>
      <c r="W2131" s="67">
        <f t="shared" si="96"/>
        <v>2564.05</v>
      </c>
      <c r="X2131" s="67">
        <f t="shared" si="97"/>
        <v>410.248</v>
      </c>
      <c r="Y2131" s="67">
        <f t="shared" si="98"/>
        <v>2974.298</v>
      </c>
      <c r="Z2131" s="67">
        <f t="shared" si="99"/>
        <v>2429.1</v>
      </c>
      <c r="AA2131" s="67">
        <f t="shared" si="100"/>
        <v>388.656</v>
      </c>
      <c r="AB2131" s="67">
        <f t="shared" si="101"/>
        <v>2817.756</v>
      </c>
      <c r="AC2131" s="67">
        <f t="shared" si="102"/>
        <v>2294.15</v>
      </c>
      <c r="AD2131" s="67">
        <f t="shared" si="103"/>
        <v>367.064</v>
      </c>
      <c r="AE2131" s="67">
        <f t="shared" si="104"/>
        <v>2661.214</v>
      </c>
      <c r="AF2131" s="67">
        <f t="shared" si="105"/>
        <v>2240.17</v>
      </c>
      <c r="AG2131" s="67">
        <f t="shared" si="106"/>
        <v>358.4272</v>
      </c>
      <c r="AH2131" s="67">
        <f t="shared" si="107"/>
        <v>2598.5972</v>
      </c>
      <c r="AI2131" s="67">
        <f t="shared" si="108"/>
        <v>2159.2</v>
      </c>
      <c r="AJ2131" s="68">
        <f t="shared" si="109"/>
        <v>345.472</v>
      </c>
      <c r="AK2131" s="68">
        <f t="shared" si="110"/>
        <v>2504.672</v>
      </c>
      <c r="AL2131" s="70"/>
      <c r="AM2131" s="70"/>
      <c r="AN2131" s="71"/>
      <c r="AO2131" s="71"/>
      <c r="AP2131" s="71"/>
      <c r="AQ2131" s="71"/>
      <c r="AR2131" s="71"/>
      <c r="AS2131" s="71"/>
      <c r="AT2131" s="71"/>
      <c r="AU2131" s="71"/>
      <c r="AV2131" s="71"/>
      <c r="AW2131" s="71"/>
      <c r="AX2131" s="71"/>
      <c r="AY2131" s="71"/>
      <c r="AZ2131" s="71"/>
      <c r="BA2131" s="71"/>
      <c r="BB2131" s="71"/>
      <c r="BC2131" s="71"/>
      <c r="BD2131" s="71"/>
      <c r="BE2131" s="71"/>
      <c r="BF2131" s="71"/>
      <c r="BG2131" s="71"/>
      <c r="BH2131" s="71"/>
      <c r="BI2131" s="71"/>
      <c r="BJ2131" s="71"/>
      <c r="BK2131" s="71"/>
      <c r="BL2131" s="71"/>
      <c r="BM2131" s="71"/>
      <c r="BN2131" s="71"/>
      <c r="BO2131" s="71"/>
      <c r="BP2131" s="71"/>
      <c r="BQ2131" s="71"/>
      <c r="BR2131" s="71"/>
      <c r="BS2131" s="71"/>
      <c r="BT2131" s="71"/>
      <c r="BU2131" s="71"/>
      <c r="BV2131" s="71"/>
    </row>
    <row r="2132">
      <c r="A2132" s="53">
        <v>1.0</v>
      </c>
      <c r="B2132" s="53"/>
      <c r="C2132" s="73" t="s">
        <v>12</v>
      </c>
      <c r="D2132" s="53" t="s">
        <v>5177</v>
      </c>
      <c r="E2132" s="54" t="s">
        <v>38</v>
      </c>
      <c r="F2132" s="54" t="s">
        <v>42</v>
      </c>
      <c r="G2132" s="54" t="s">
        <v>5178</v>
      </c>
      <c r="H2132" s="54" t="s">
        <v>5179</v>
      </c>
      <c r="I2132" s="54">
        <f t="shared" si="24"/>
        <v>20</v>
      </c>
      <c r="J2132" s="56"/>
      <c r="K2132" s="57"/>
      <c r="L2132" s="87"/>
      <c r="M2132" s="59"/>
      <c r="N2132" s="60">
        <v>800.0</v>
      </c>
      <c r="O2132" s="61">
        <v>864.0</v>
      </c>
      <c r="P2132" s="62">
        <v>933.1200000000001</v>
      </c>
      <c r="Q2132" s="63">
        <v>933.1200000000001</v>
      </c>
      <c r="R2132" s="64">
        <v>1040.0</v>
      </c>
      <c r="S2132" s="111">
        <v>1092.0</v>
      </c>
      <c r="T2132" s="65">
        <f t="shared" si="93"/>
        <v>174.72</v>
      </c>
      <c r="U2132" s="65">
        <f t="shared" si="94"/>
        <v>1266.72</v>
      </c>
      <c r="V2132" s="66">
        <f t="shared" si="95"/>
        <v>0.05</v>
      </c>
      <c r="W2132" s="67">
        <f t="shared" si="96"/>
        <v>1037.4</v>
      </c>
      <c r="X2132" s="67">
        <f t="shared" si="97"/>
        <v>165.984</v>
      </c>
      <c r="Y2132" s="67">
        <f t="shared" si="98"/>
        <v>1203.384</v>
      </c>
      <c r="Z2132" s="67">
        <f t="shared" si="99"/>
        <v>982.8</v>
      </c>
      <c r="AA2132" s="67">
        <f t="shared" si="100"/>
        <v>157.248</v>
      </c>
      <c r="AB2132" s="67">
        <f t="shared" si="101"/>
        <v>1140.048</v>
      </c>
      <c r="AC2132" s="67">
        <f t="shared" si="102"/>
        <v>928.2</v>
      </c>
      <c r="AD2132" s="67">
        <f t="shared" si="103"/>
        <v>148.512</v>
      </c>
      <c r="AE2132" s="67">
        <f t="shared" si="104"/>
        <v>1076.712</v>
      </c>
      <c r="AF2132" s="67">
        <f t="shared" si="105"/>
        <v>906.36</v>
      </c>
      <c r="AG2132" s="67">
        <f t="shared" si="106"/>
        <v>145.0176</v>
      </c>
      <c r="AH2132" s="67">
        <f t="shared" si="107"/>
        <v>1051.3776</v>
      </c>
      <c r="AI2132" s="67">
        <f t="shared" si="108"/>
        <v>873.6</v>
      </c>
      <c r="AJ2132" s="68">
        <f t="shared" si="109"/>
        <v>139.776</v>
      </c>
      <c r="AK2132" s="68">
        <f t="shared" si="110"/>
        <v>1013.376</v>
      </c>
      <c r="AL2132" s="70"/>
      <c r="AM2132" s="70"/>
      <c r="AN2132" s="71"/>
      <c r="AO2132" s="71"/>
      <c r="AP2132" s="71"/>
      <c r="AQ2132" s="71"/>
      <c r="AR2132" s="71"/>
      <c r="AS2132" s="71"/>
      <c r="AT2132" s="71"/>
      <c r="AU2132" s="71"/>
      <c r="AV2132" s="71"/>
      <c r="AW2132" s="71"/>
      <c r="AX2132" s="71"/>
      <c r="AY2132" s="71"/>
      <c r="AZ2132" s="71"/>
      <c r="BA2132" s="71"/>
      <c r="BB2132" s="71"/>
      <c r="BC2132" s="71"/>
      <c r="BD2132" s="71"/>
      <c r="BE2132" s="71"/>
      <c r="BF2132" s="71"/>
      <c r="BG2132" s="71"/>
      <c r="BH2132" s="71"/>
      <c r="BI2132" s="71"/>
      <c r="BJ2132" s="71"/>
      <c r="BK2132" s="71"/>
      <c r="BL2132" s="71"/>
      <c r="BM2132" s="71"/>
      <c r="BN2132" s="71"/>
      <c r="BO2132" s="71"/>
      <c r="BP2132" s="71"/>
      <c r="BQ2132" s="71"/>
      <c r="BR2132" s="71"/>
      <c r="BS2132" s="71"/>
      <c r="BT2132" s="71"/>
      <c r="BU2132" s="71"/>
      <c r="BV2132" s="71"/>
    </row>
    <row r="2133">
      <c r="A2133" s="53"/>
      <c r="B2133" s="53"/>
      <c r="C2133" s="73" t="s">
        <v>53</v>
      </c>
      <c r="D2133" s="53" t="s">
        <v>5180</v>
      </c>
      <c r="E2133" s="54" t="s">
        <v>38</v>
      </c>
      <c r="F2133" s="54" t="s">
        <v>42</v>
      </c>
      <c r="G2133" s="55" t="s">
        <v>5181</v>
      </c>
      <c r="H2133" s="54" t="s">
        <v>5181</v>
      </c>
      <c r="I2133" s="54">
        <f t="shared" si="24"/>
        <v>40</v>
      </c>
      <c r="J2133" s="56"/>
      <c r="K2133" s="57"/>
      <c r="L2133" s="76"/>
      <c r="M2133" s="59"/>
      <c r="N2133" s="79">
        <v>4855.0</v>
      </c>
      <c r="O2133" s="61">
        <v>5243.0</v>
      </c>
      <c r="P2133" s="62">
        <v>5662.4400000000005</v>
      </c>
      <c r="Q2133" s="63">
        <v>5662.4400000000005</v>
      </c>
      <c r="R2133" s="64">
        <v>5946.0</v>
      </c>
      <c r="S2133" s="111">
        <v>6243.0</v>
      </c>
      <c r="T2133" s="65">
        <f t="shared" si="93"/>
        <v>998.88</v>
      </c>
      <c r="U2133" s="65">
        <f t="shared" si="94"/>
        <v>7241.88</v>
      </c>
      <c r="V2133" s="66">
        <f t="shared" si="95"/>
        <v>0.04994954591</v>
      </c>
      <c r="W2133" s="67">
        <f t="shared" si="96"/>
        <v>5930.85</v>
      </c>
      <c r="X2133" s="67">
        <f t="shared" si="97"/>
        <v>948.936</v>
      </c>
      <c r="Y2133" s="67">
        <f t="shared" si="98"/>
        <v>6879.786</v>
      </c>
      <c r="Z2133" s="67">
        <f t="shared" si="99"/>
        <v>5618.7</v>
      </c>
      <c r="AA2133" s="67">
        <f t="shared" si="100"/>
        <v>898.992</v>
      </c>
      <c r="AB2133" s="67">
        <f t="shared" si="101"/>
        <v>6517.692</v>
      </c>
      <c r="AC2133" s="67">
        <f t="shared" si="102"/>
        <v>5306.55</v>
      </c>
      <c r="AD2133" s="67">
        <f t="shared" si="103"/>
        <v>849.048</v>
      </c>
      <c r="AE2133" s="67">
        <f t="shared" si="104"/>
        <v>6155.598</v>
      </c>
      <c r="AF2133" s="67">
        <f t="shared" si="105"/>
        <v>5181.69</v>
      </c>
      <c r="AG2133" s="67">
        <f t="shared" si="106"/>
        <v>829.0704</v>
      </c>
      <c r="AH2133" s="67">
        <f t="shared" si="107"/>
        <v>6010.7604</v>
      </c>
      <c r="AI2133" s="67">
        <f t="shared" si="108"/>
        <v>4994.4</v>
      </c>
      <c r="AJ2133" s="68">
        <f t="shared" si="109"/>
        <v>799.104</v>
      </c>
      <c r="AK2133" s="68">
        <f t="shared" si="110"/>
        <v>5793.504</v>
      </c>
      <c r="AL2133" s="70"/>
      <c r="AM2133" s="70"/>
      <c r="AN2133" s="71"/>
      <c r="AO2133" s="71"/>
      <c r="AP2133" s="71"/>
      <c r="AQ2133" s="71"/>
      <c r="AR2133" s="71"/>
      <c r="AS2133" s="71"/>
      <c r="AT2133" s="71"/>
      <c r="AU2133" s="71"/>
      <c r="AV2133" s="71"/>
      <c r="AW2133" s="71"/>
      <c r="AX2133" s="71"/>
      <c r="AY2133" s="71"/>
      <c r="AZ2133" s="71"/>
      <c r="BA2133" s="71"/>
      <c r="BB2133" s="71"/>
      <c r="BC2133" s="71"/>
      <c r="BD2133" s="71"/>
      <c r="BE2133" s="71"/>
      <c r="BF2133" s="71"/>
      <c r="BG2133" s="71"/>
      <c r="BH2133" s="71"/>
      <c r="BI2133" s="71"/>
      <c r="BJ2133" s="71"/>
      <c r="BK2133" s="71"/>
      <c r="BL2133" s="71"/>
      <c r="BM2133" s="71"/>
      <c r="BN2133" s="71"/>
      <c r="BO2133" s="71"/>
      <c r="BP2133" s="71"/>
      <c r="BQ2133" s="71"/>
      <c r="BR2133" s="71"/>
      <c r="BS2133" s="71"/>
      <c r="BT2133" s="71"/>
      <c r="BU2133" s="71"/>
      <c r="BV2133" s="71"/>
    </row>
    <row r="2134">
      <c r="A2134" s="53"/>
      <c r="B2134" s="53"/>
      <c r="C2134" s="73" t="s">
        <v>53</v>
      </c>
      <c r="D2134" s="53" t="s">
        <v>5182</v>
      </c>
      <c r="E2134" s="54" t="s">
        <v>38</v>
      </c>
      <c r="F2134" s="54" t="s">
        <v>42</v>
      </c>
      <c r="G2134" s="55" t="s">
        <v>5183</v>
      </c>
      <c r="H2134" s="54" t="s">
        <v>5183</v>
      </c>
      <c r="I2134" s="54">
        <f t="shared" si="24"/>
        <v>38</v>
      </c>
      <c r="J2134" s="56"/>
      <c r="K2134" s="57"/>
      <c r="L2134" s="76"/>
      <c r="M2134" s="59"/>
      <c r="N2134" s="79">
        <v>4681.0</v>
      </c>
      <c r="O2134" s="61">
        <v>5055.0</v>
      </c>
      <c r="P2134" s="62">
        <v>5459.400000000001</v>
      </c>
      <c r="Q2134" s="63">
        <v>5459.400000000001</v>
      </c>
      <c r="R2134" s="64">
        <v>5732.0</v>
      </c>
      <c r="S2134" s="111">
        <v>6019.0</v>
      </c>
      <c r="T2134" s="65">
        <f t="shared" si="93"/>
        <v>963.04</v>
      </c>
      <c r="U2134" s="65">
        <f t="shared" si="94"/>
        <v>6982.04</v>
      </c>
      <c r="V2134" s="66">
        <f t="shared" si="95"/>
        <v>0.05006978367</v>
      </c>
      <c r="W2134" s="67">
        <f t="shared" si="96"/>
        <v>5718.05</v>
      </c>
      <c r="X2134" s="67">
        <f t="shared" si="97"/>
        <v>914.888</v>
      </c>
      <c r="Y2134" s="67">
        <f t="shared" si="98"/>
        <v>6632.938</v>
      </c>
      <c r="Z2134" s="67">
        <f t="shared" si="99"/>
        <v>5417.1</v>
      </c>
      <c r="AA2134" s="67">
        <f t="shared" si="100"/>
        <v>866.736</v>
      </c>
      <c r="AB2134" s="67">
        <f t="shared" si="101"/>
        <v>6283.836</v>
      </c>
      <c r="AC2134" s="67">
        <f t="shared" si="102"/>
        <v>5116.15</v>
      </c>
      <c r="AD2134" s="67">
        <f t="shared" si="103"/>
        <v>818.584</v>
      </c>
      <c r="AE2134" s="67">
        <f t="shared" si="104"/>
        <v>5934.734</v>
      </c>
      <c r="AF2134" s="67">
        <f t="shared" si="105"/>
        <v>4995.77</v>
      </c>
      <c r="AG2134" s="67">
        <f t="shared" si="106"/>
        <v>799.3232</v>
      </c>
      <c r="AH2134" s="67">
        <f t="shared" si="107"/>
        <v>5795.0932</v>
      </c>
      <c r="AI2134" s="67">
        <f t="shared" si="108"/>
        <v>4815.2</v>
      </c>
      <c r="AJ2134" s="68">
        <f t="shared" si="109"/>
        <v>770.432</v>
      </c>
      <c r="AK2134" s="68">
        <f t="shared" si="110"/>
        <v>5585.632</v>
      </c>
      <c r="AL2134" s="70"/>
      <c r="AM2134" s="70"/>
      <c r="AN2134" s="71"/>
      <c r="AO2134" s="71"/>
      <c r="AP2134" s="71"/>
      <c r="AQ2134" s="71"/>
      <c r="AR2134" s="71"/>
      <c r="AS2134" s="71"/>
      <c r="AT2134" s="71"/>
      <c r="AU2134" s="71"/>
      <c r="AV2134" s="71"/>
      <c r="AW2134" s="71"/>
      <c r="AX2134" s="71"/>
      <c r="AY2134" s="71"/>
      <c r="AZ2134" s="71"/>
      <c r="BA2134" s="71"/>
      <c r="BB2134" s="71"/>
      <c r="BC2134" s="71"/>
      <c r="BD2134" s="71"/>
      <c r="BE2134" s="71"/>
      <c r="BF2134" s="71"/>
      <c r="BG2134" s="71"/>
      <c r="BH2134" s="71"/>
      <c r="BI2134" s="71"/>
      <c r="BJ2134" s="71"/>
      <c r="BK2134" s="71"/>
      <c r="BL2134" s="71"/>
      <c r="BM2134" s="71"/>
      <c r="BN2134" s="71"/>
      <c r="BO2134" s="71"/>
      <c r="BP2134" s="71"/>
      <c r="BQ2134" s="71"/>
      <c r="BR2134" s="71"/>
      <c r="BS2134" s="71"/>
      <c r="BT2134" s="71"/>
      <c r="BU2134" s="71"/>
      <c r="BV2134" s="71"/>
    </row>
    <row r="2135">
      <c r="A2135" s="53"/>
      <c r="B2135" s="53">
        <v>4.0</v>
      </c>
      <c r="C2135" s="120" t="s">
        <v>53</v>
      </c>
      <c r="D2135" s="128" t="s">
        <v>5184</v>
      </c>
      <c r="E2135" s="54" t="s">
        <v>38</v>
      </c>
      <c r="F2135" s="54" t="s">
        <v>42</v>
      </c>
      <c r="G2135" s="192" t="s">
        <v>5185</v>
      </c>
      <c r="H2135" s="54" t="s">
        <v>5185</v>
      </c>
      <c r="I2135" s="54">
        <f t="shared" si="24"/>
        <v>25</v>
      </c>
      <c r="J2135" s="56"/>
      <c r="K2135" s="57"/>
      <c r="L2135" s="76"/>
      <c r="M2135" s="59"/>
      <c r="N2135" s="79">
        <v>77.0</v>
      </c>
      <c r="O2135" s="129">
        <v>83.0</v>
      </c>
      <c r="P2135" s="62">
        <v>89.64</v>
      </c>
      <c r="Q2135" s="63">
        <v>89.64</v>
      </c>
      <c r="R2135" s="64">
        <v>100.0</v>
      </c>
      <c r="S2135" s="111">
        <v>105.0</v>
      </c>
      <c r="T2135" s="65">
        <f t="shared" si="93"/>
        <v>16.8</v>
      </c>
      <c r="U2135" s="65">
        <f t="shared" si="94"/>
        <v>121.8</v>
      </c>
      <c r="V2135" s="66">
        <f t="shared" si="95"/>
        <v>0.05</v>
      </c>
      <c r="W2135" s="67">
        <f t="shared" si="96"/>
        <v>105</v>
      </c>
      <c r="X2135" s="67">
        <f t="shared" si="97"/>
        <v>16.8</v>
      </c>
      <c r="Y2135" s="67">
        <f t="shared" si="98"/>
        <v>121.8</v>
      </c>
      <c r="Z2135" s="67">
        <f t="shared" si="99"/>
        <v>105</v>
      </c>
      <c r="AA2135" s="67">
        <f t="shared" si="100"/>
        <v>16.8</v>
      </c>
      <c r="AB2135" s="67">
        <f t="shared" si="101"/>
        <v>121.8</v>
      </c>
      <c r="AC2135" s="67">
        <f t="shared" si="102"/>
        <v>105</v>
      </c>
      <c r="AD2135" s="67">
        <f t="shared" si="103"/>
        <v>16.8</v>
      </c>
      <c r="AE2135" s="67">
        <f t="shared" si="104"/>
        <v>121.8</v>
      </c>
      <c r="AF2135" s="67">
        <f t="shared" si="105"/>
        <v>105</v>
      </c>
      <c r="AG2135" s="67">
        <f t="shared" si="106"/>
        <v>16.8</v>
      </c>
      <c r="AH2135" s="67">
        <f t="shared" si="107"/>
        <v>121.8</v>
      </c>
      <c r="AI2135" s="67">
        <f t="shared" si="108"/>
        <v>105</v>
      </c>
      <c r="AJ2135" s="68">
        <f t="shared" si="109"/>
        <v>16.8</v>
      </c>
      <c r="AK2135" s="68">
        <f t="shared" si="110"/>
        <v>121.8</v>
      </c>
      <c r="AL2135" s="70"/>
      <c r="AM2135" s="70"/>
      <c r="AN2135" s="71"/>
      <c r="AO2135" s="71"/>
      <c r="AP2135" s="71"/>
      <c r="AQ2135" s="71"/>
      <c r="AR2135" s="71"/>
      <c r="AS2135" s="71"/>
      <c r="AT2135" s="71"/>
      <c r="AU2135" s="71"/>
      <c r="AV2135" s="71"/>
      <c r="AW2135" s="71"/>
      <c r="AX2135" s="71"/>
      <c r="AY2135" s="71"/>
      <c r="AZ2135" s="71"/>
      <c r="BA2135" s="71"/>
      <c r="BB2135" s="71"/>
      <c r="BC2135" s="71"/>
      <c r="BD2135" s="71"/>
      <c r="BE2135" s="71"/>
      <c r="BF2135" s="71"/>
      <c r="BG2135" s="71"/>
      <c r="BH2135" s="71"/>
      <c r="BI2135" s="71"/>
      <c r="BJ2135" s="71"/>
      <c r="BK2135" s="71"/>
      <c r="BL2135" s="71"/>
      <c r="BM2135" s="71"/>
      <c r="BN2135" s="71"/>
      <c r="BO2135" s="71"/>
      <c r="BP2135" s="71"/>
      <c r="BQ2135" s="71"/>
      <c r="BR2135" s="71"/>
      <c r="BS2135" s="71"/>
      <c r="BT2135" s="71"/>
      <c r="BU2135" s="71"/>
      <c r="BV2135" s="71"/>
    </row>
    <row r="2136">
      <c r="A2136" s="53"/>
      <c r="B2136" s="53">
        <v>4.0</v>
      </c>
      <c r="C2136" s="120" t="s">
        <v>53</v>
      </c>
      <c r="D2136" s="128" t="s">
        <v>5186</v>
      </c>
      <c r="E2136" s="54" t="s">
        <v>38</v>
      </c>
      <c r="F2136" s="54" t="s">
        <v>42</v>
      </c>
      <c r="G2136" s="192" t="s">
        <v>5187</v>
      </c>
      <c r="H2136" s="54" t="s">
        <v>5187</v>
      </c>
      <c r="I2136" s="54">
        <f t="shared" si="24"/>
        <v>26</v>
      </c>
      <c r="J2136" s="56"/>
      <c r="K2136" s="57"/>
      <c r="L2136" s="76"/>
      <c r="M2136" s="59"/>
      <c r="N2136" s="79">
        <v>77.0</v>
      </c>
      <c r="O2136" s="129">
        <v>83.0</v>
      </c>
      <c r="P2136" s="62">
        <v>89.64</v>
      </c>
      <c r="Q2136" s="63">
        <v>89.64</v>
      </c>
      <c r="R2136" s="64">
        <v>100.0</v>
      </c>
      <c r="S2136" s="111">
        <v>105.0</v>
      </c>
      <c r="T2136" s="65">
        <f t="shared" si="93"/>
        <v>16.8</v>
      </c>
      <c r="U2136" s="65">
        <f t="shared" si="94"/>
        <v>121.8</v>
      </c>
      <c r="V2136" s="66">
        <f t="shared" si="95"/>
        <v>0.05</v>
      </c>
      <c r="W2136" s="67">
        <f t="shared" si="96"/>
        <v>105</v>
      </c>
      <c r="X2136" s="67">
        <f t="shared" si="97"/>
        <v>16.8</v>
      </c>
      <c r="Y2136" s="67">
        <f t="shared" si="98"/>
        <v>121.8</v>
      </c>
      <c r="Z2136" s="67">
        <f t="shared" si="99"/>
        <v>105</v>
      </c>
      <c r="AA2136" s="67">
        <f t="shared" si="100"/>
        <v>16.8</v>
      </c>
      <c r="AB2136" s="67">
        <f t="shared" si="101"/>
        <v>121.8</v>
      </c>
      <c r="AC2136" s="67">
        <f t="shared" si="102"/>
        <v>105</v>
      </c>
      <c r="AD2136" s="67">
        <f t="shared" si="103"/>
        <v>16.8</v>
      </c>
      <c r="AE2136" s="67">
        <f t="shared" si="104"/>
        <v>121.8</v>
      </c>
      <c r="AF2136" s="67">
        <f t="shared" si="105"/>
        <v>105</v>
      </c>
      <c r="AG2136" s="67">
        <f t="shared" si="106"/>
        <v>16.8</v>
      </c>
      <c r="AH2136" s="67">
        <f t="shared" si="107"/>
        <v>121.8</v>
      </c>
      <c r="AI2136" s="67">
        <f t="shared" si="108"/>
        <v>105</v>
      </c>
      <c r="AJ2136" s="68">
        <f t="shared" si="109"/>
        <v>16.8</v>
      </c>
      <c r="AK2136" s="68">
        <f t="shared" si="110"/>
        <v>121.8</v>
      </c>
      <c r="AL2136" s="70"/>
      <c r="AM2136" s="70"/>
      <c r="AN2136" s="71"/>
      <c r="AO2136" s="71"/>
      <c r="AP2136" s="71"/>
      <c r="AQ2136" s="71"/>
      <c r="AR2136" s="71"/>
      <c r="AS2136" s="71"/>
      <c r="AT2136" s="71"/>
      <c r="AU2136" s="71"/>
      <c r="AV2136" s="71"/>
      <c r="AW2136" s="71"/>
      <c r="AX2136" s="71"/>
      <c r="AY2136" s="71"/>
      <c r="AZ2136" s="71"/>
      <c r="BA2136" s="71"/>
      <c r="BB2136" s="71"/>
      <c r="BC2136" s="71"/>
      <c r="BD2136" s="71"/>
      <c r="BE2136" s="71"/>
      <c r="BF2136" s="71"/>
      <c r="BG2136" s="71"/>
      <c r="BH2136" s="71"/>
      <c r="BI2136" s="71"/>
      <c r="BJ2136" s="71"/>
      <c r="BK2136" s="71"/>
      <c r="BL2136" s="71"/>
      <c r="BM2136" s="71"/>
      <c r="BN2136" s="71"/>
      <c r="BO2136" s="71"/>
      <c r="BP2136" s="71"/>
      <c r="BQ2136" s="71"/>
      <c r="BR2136" s="71"/>
      <c r="BS2136" s="71"/>
      <c r="BT2136" s="71"/>
      <c r="BU2136" s="71"/>
      <c r="BV2136" s="71"/>
    </row>
    <row r="2137">
      <c r="A2137" s="53">
        <v>1.0</v>
      </c>
      <c r="B2137" s="53"/>
      <c r="C2137" s="120" t="s">
        <v>53</v>
      </c>
      <c r="D2137" s="74" t="s">
        <v>5188</v>
      </c>
      <c r="E2137" s="54" t="s">
        <v>38</v>
      </c>
      <c r="F2137" s="54" t="s">
        <v>42</v>
      </c>
      <c r="G2137" s="88" t="s">
        <v>5189</v>
      </c>
      <c r="H2137" s="54" t="s">
        <v>5190</v>
      </c>
      <c r="I2137" s="54">
        <f t="shared" si="24"/>
        <v>32</v>
      </c>
      <c r="J2137" s="56"/>
      <c r="K2137" s="57"/>
      <c r="L2137" s="87"/>
      <c r="M2137" s="59"/>
      <c r="N2137" s="60">
        <v>137.0</v>
      </c>
      <c r="O2137" s="61">
        <v>147.0</v>
      </c>
      <c r="P2137" s="62">
        <v>158.76000000000002</v>
      </c>
      <c r="Q2137" s="63">
        <v>158.76000000000002</v>
      </c>
      <c r="R2137" s="64">
        <v>184.0</v>
      </c>
      <c r="S2137" s="111">
        <v>193.0</v>
      </c>
      <c r="T2137" s="65">
        <f t="shared" si="93"/>
        <v>30.88</v>
      </c>
      <c r="U2137" s="65">
        <f t="shared" si="94"/>
        <v>223.88</v>
      </c>
      <c r="V2137" s="66">
        <f t="shared" si="95"/>
        <v>0.04891304348</v>
      </c>
      <c r="W2137" s="67">
        <f t="shared" si="96"/>
        <v>183.35</v>
      </c>
      <c r="X2137" s="67">
        <f t="shared" si="97"/>
        <v>29.336</v>
      </c>
      <c r="Y2137" s="67">
        <f t="shared" si="98"/>
        <v>212.686</v>
      </c>
      <c r="Z2137" s="67">
        <f t="shared" si="99"/>
        <v>173.7</v>
      </c>
      <c r="AA2137" s="67">
        <f t="shared" si="100"/>
        <v>27.792</v>
      </c>
      <c r="AB2137" s="67">
        <f t="shared" si="101"/>
        <v>201.492</v>
      </c>
      <c r="AC2137" s="67">
        <f t="shared" si="102"/>
        <v>164.05</v>
      </c>
      <c r="AD2137" s="67">
        <f t="shared" si="103"/>
        <v>26.248</v>
      </c>
      <c r="AE2137" s="67">
        <f t="shared" si="104"/>
        <v>190.298</v>
      </c>
      <c r="AF2137" s="67">
        <f t="shared" si="105"/>
        <v>160.19</v>
      </c>
      <c r="AG2137" s="67">
        <f t="shared" si="106"/>
        <v>25.6304</v>
      </c>
      <c r="AH2137" s="67">
        <f t="shared" si="107"/>
        <v>185.8204</v>
      </c>
      <c r="AI2137" s="67">
        <f t="shared" si="108"/>
        <v>154.4</v>
      </c>
      <c r="AJ2137" s="68">
        <f t="shared" si="109"/>
        <v>24.704</v>
      </c>
      <c r="AK2137" s="68">
        <f t="shared" si="110"/>
        <v>179.104</v>
      </c>
      <c r="AL2137" s="70"/>
      <c r="AM2137" s="70"/>
      <c r="AN2137" s="71"/>
      <c r="AO2137" s="71"/>
      <c r="AP2137" s="71"/>
      <c r="AQ2137" s="71"/>
      <c r="AR2137" s="71"/>
      <c r="AS2137" s="71"/>
      <c r="AT2137" s="71"/>
      <c r="AU2137" s="71"/>
      <c r="AV2137" s="71"/>
      <c r="AW2137" s="71"/>
      <c r="AX2137" s="71"/>
      <c r="AY2137" s="71"/>
      <c r="AZ2137" s="71"/>
      <c r="BA2137" s="71"/>
      <c r="BB2137" s="71"/>
      <c r="BC2137" s="71"/>
      <c r="BD2137" s="71"/>
      <c r="BE2137" s="71"/>
      <c r="BF2137" s="71"/>
      <c r="BG2137" s="71"/>
      <c r="BH2137" s="71"/>
      <c r="BI2137" s="71"/>
      <c r="BJ2137" s="71"/>
      <c r="BK2137" s="71"/>
      <c r="BL2137" s="71"/>
      <c r="BM2137" s="71"/>
      <c r="BN2137" s="71"/>
      <c r="BO2137" s="71"/>
      <c r="BP2137" s="71"/>
      <c r="BQ2137" s="71"/>
      <c r="BR2137" s="71"/>
      <c r="BS2137" s="71"/>
      <c r="BT2137" s="71"/>
      <c r="BU2137" s="71"/>
      <c r="BV2137" s="71"/>
    </row>
    <row r="2138">
      <c r="A2138" s="53">
        <v>1.0</v>
      </c>
      <c r="B2138" s="53"/>
      <c r="C2138" s="120" t="s">
        <v>53</v>
      </c>
      <c r="D2138" s="74" t="s">
        <v>5191</v>
      </c>
      <c r="E2138" s="54" t="s">
        <v>38</v>
      </c>
      <c r="F2138" s="54" t="s">
        <v>42</v>
      </c>
      <c r="G2138" s="88" t="s">
        <v>5192</v>
      </c>
      <c r="H2138" s="54" t="s">
        <v>5193</v>
      </c>
      <c r="I2138" s="54">
        <f t="shared" si="24"/>
        <v>36</v>
      </c>
      <c r="J2138" s="56"/>
      <c r="K2138" s="57"/>
      <c r="L2138" s="87"/>
      <c r="M2138" s="59"/>
      <c r="N2138" s="60">
        <v>130.0</v>
      </c>
      <c r="O2138" s="61">
        <v>140.0</v>
      </c>
      <c r="P2138" s="62">
        <v>151.20000000000002</v>
      </c>
      <c r="Q2138" s="63">
        <v>151.20000000000002</v>
      </c>
      <c r="R2138" s="64">
        <v>176.0</v>
      </c>
      <c r="S2138" s="111">
        <v>185.0</v>
      </c>
      <c r="T2138" s="65">
        <f t="shared" si="93"/>
        <v>29.6</v>
      </c>
      <c r="U2138" s="65">
        <f t="shared" si="94"/>
        <v>214.6</v>
      </c>
      <c r="V2138" s="66">
        <f t="shared" si="95"/>
        <v>0.05113636364</v>
      </c>
      <c r="W2138" s="67">
        <f t="shared" si="96"/>
        <v>175.75</v>
      </c>
      <c r="X2138" s="67">
        <f t="shared" si="97"/>
        <v>28.12</v>
      </c>
      <c r="Y2138" s="67">
        <f t="shared" si="98"/>
        <v>203.87</v>
      </c>
      <c r="Z2138" s="67">
        <f t="shared" si="99"/>
        <v>166.5</v>
      </c>
      <c r="AA2138" s="67">
        <f t="shared" si="100"/>
        <v>26.64</v>
      </c>
      <c r="AB2138" s="67">
        <f t="shared" si="101"/>
        <v>193.14</v>
      </c>
      <c r="AC2138" s="67">
        <f t="shared" si="102"/>
        <v>157.25</v>
      </c>
      <c r="AD2138" s="67">
        <f t="shared" si="103"/>
        <v>25.16</v>
      </c>
      <c r="AE2138" s="67">
        <f t="shared" si="104"/>
        <v>182.41</v>
      </c>
      <c r="AF2138" s="67">
        <f t="shared" si="105"/>
        <v>153.55</v>
      </c>
      <c r="AG2138" s="67">
        <f t="shared" si="106"/>
        <v>24.568</v>
      </c>
      <c r="AH2138" s="67">
        <f t="shared" si="107"/>
        <v>178.118</v>
      </c>
      <c r="AI2138" s="67">
        <f t="shared" si="108"/>
        <v>148</v>
      </c>
      <c r="AJ2138" s="68">
        <f t="shared" si="109"/>
        <v>23.68</v>
      </c>
      <c r="AK2138" s="68">
        <f t="shared" si="110"/>
        <v>171.68</v>
      </c>
      <c r="AL2138" s="70"/>
      <c r="AM2138" s="70"/>
      <c r="AN2138" s="71"/>
      <c r="AO2138" s="71"/>
      <c r="AP2138" s="71"/>
      <c r="AQ2138" s="71"/>
      <c r="AR2138" s="71"/>
      <c r="AS2138" s="71"/>
      <c r="AT2138" s="71"/>
      <c r="AU2138" s="71"/>
      <c r="AV2138" s="71"/>
      <c r="AW2138" s="71"/>
      <c r="AX2138" s="71"/>
      <c r="AY2138" s="71"/>
      <c r="AZ2138" s="71"/>
      <c r="BA2138" s="71"/>
      <c r="BB2138" s="71"/>
      <c r="BC2138" s="71"/>
      <c r="BD2138" s="71"/>
      <c r="BE2138" s="71"/>
      <c r="BF2138" s="71"/>
      <c r="BG2138" s="71"/>
      <c r="BH2138" s="71"/>
      <c r="BI2138" s="71"/>
      <c r="BJ2138" s="71"/>
      <c r="BK2138" s="71"/>
      <c r="BL2138" s="71"/>
      <c r="BM2138" s="71"/>
      <c r="BN2138" s="71"/>
      <c r="BO2138" s="71"/>
      <c r="BP2138" s="71"/>
      <c r="BQ2138" s="71"/>
      <c r="BR2138" s="71"/>
      <c r="BS2138" s="71"/>
      <c r="BT2138" s="71"/>
      <c r="BU2138" s="71"/>
      <c r="BV2138" s="71"/>
    </row>
    <row r="2139">
      <c r="A2139" s="53"/>
      <c r="B2139" s="53"/>
      <c r="C2139" s="120" t="s">
        <v>53</v>
      </c>
      <c r="D2139" s="128" t="s">
        <v>5194</v>
      </c>
      <c r="E2139" s="54" t="s">
        <v>38</v>
      </c>
      <c r="F2139" s="54" t="s">
        <v>42</v>
      </c>
      <c r="G2139" s="192" t="s">
        <v>5195</v>
      </c>
      <c r="H2139" s="54" t="s">
        <v>5196</v>
      </c>
      <c r="I2139" s="54">
        <f t="shared" si="24"/>
        <v>25</v>
      </c>
      <c r="J2139" s="56"/>
      <c r="K2139" s="57"/>
      <c r="L2139" s="76"/>
      <c r="M2139" s="59"/>
      <c r="N2139" s="60">
        <v>197.4</v>
      </c>
      <c r="O2139" s="129">
        <v>213.0</v>
      </c>
      <c r="P2139" s="62">
        <v>230.04000000000002</v>
      </c>
      <c r="Q2139" s="63">
        <v>230.04000000000002</v>
      </c>
      <c r="R2139" s="64">
        <v>242.0</v>
      </c>
      <c r="S2139" s="111">
        <v>254.0</v>
      </c>
      <c r="T2139" s="65">
        <f t="shared" si="93"/>
        <v>40.64</v>
      </c>
      <c r="U2139" s="65">
        <f t="shared" si="94"/>
        <v>294.64</v>
      </c>
      <c r="V2139" s="66">
        <f t="shared" si="95"/>
        <v>0.04958677686</v>
      </c>
      <c r="W2139" s="67">
        <f t="shared" si="96"/>
        <v>241.3</v>
      </c>
      <c r="X2139" s="67">
        <f t="shared" si="97"/>
        <v>38.608</v>
      </c>
      <c r="Y2139" s="67">
        <f t="shared" si="98"/>
        <v>279.908</v>
      </c>
      <c r="Z2139" s="67">
        <f t="shared" si="99"/>
        <v>228.6</v>
      </c>
      <c r="AA2139" s="67">
        <f t="shared" si="100"/>
        <v>36.576</v>
      </c>
      <c r="AB2139" s="67">
        <f t="shared" si="101"/>
        <v>265.176</v>
      </c>
      <c r="AC2139" s="67">
        <f t="shared" si="102"/>
        <v>215.9</v>
      </c>
      <c r="AD2139" s="67">
        <f t="shared" si="103"/>
        <v>34.544</v>
      </c>
      <c r="AE2139" s="67">
        <f t="shared" si="104"/>
        <v>250.444</v>
      </c>
      <c r="AF2139" s="67">
        <f t="shared" si="105"/>
        <v>210.82</v>
      </c>
      <c r="AG2139" s="67">
        <f t="shared" si="106"/>
        <v>33.7312</v>
      </c>
      <c r="AH2139" s="67">
        <f t="shared" si="107"/>
        <v>244.5512</v>
      </c>
      <c r="AI2139" s="67">
        <f t="shared" si="108"/>
        <v>203.2</v>
      </c>
      <c r="AJ2139" s="68">
        <f t="shared" si="109"/>
        <v>32.512</v>
      </c>
      <c r="AK2139" s="68">
        <f t="shared" si="110"/>
        <v>235.712</v>
      </c>
      <c r="AL2139" s="70"/>
      <c r="AM2139" s="70"/>
      <c r="AN2139" s="71"/>
      <c r="AO2139" s="71"/>
      <c r="AP2139" s="71"/>
      <c r="AQ2139" s="71"/>
      <c r="AR2139" s="71"/>
      <c r="AS2139" s="71"/>
      <c r="AT2139" s="71"/>
      <c r="AU2139" s="71"/>
      <c r="AV2139" s="71"/>
      <c r="AW2139" s="71"/>
      <c r="AX2139" s="71"/>
      <c r="AY2139" s="71"/>
      <c r="AZ2139" s="71"/>
      <c r="BA2139" s="71"/>
      <c r="BB2139" s="71"/>
      <c r="BC2139" s="71"/>
      <c r="BD2139" s="71"/>
      <c r="BE2139" s="71"/>
      <c r="BF2139" s="71"/>
      <c r="BG2139" s="71"/>
      <c r="BH2139" s="71"/>
      <c r="BI2139" s="71"/>
      <c r="BJ2139" s="71"/>
      <c r="BK2139" s="71"/>
      <c r="BL2139" s="71"/>
      <c r="BM2139" s="71"/>
      <c r="BN2139" s="71"/>
      <c r="BO2139" s="71"/>
      <c r="BP2139" s="71"/>
      <c r="BQ2139" s="71"/>
      <c r="BR2139" s="71"/>
      <c r="BS2139" s="71"/>
      <c r="BT2139" s="71"/>
      <c r="BU2139" s="71"/>
      <c r="BV2139" s="71"/>
    </row>
    <row r="2140">
      <c r="A2140" s="53"/>
      <c r="B2140" s="53">
        <v>3.0</v>
      </c>
      <c r="C2140" s="53" t="s">
        <v>36</v>
      </c>
      <c r="D2140" s="98" t="s">
        <v>5197</v>
      </c>
      <c r="E2140" s="54" t="s">
        <v>38</v>
      </c>
      <c r="F2140" s="55" t="s">
        <v>4105</v>
      </c>
      <c r="G2140" s="84" t="s">
        <v>5198</v>
      </c>
      <c r="H2140" s="84"/>
      <c r="I2140" s="54">
        <f t="shared" si="24"/>
        <v>0</v>
      </c>
      <c r="J2140" s="102"/>
      <c r="K2140" s="102"/>
      <c r="L2140" s="76"/>
      <c r="M2140" s="59"/>
      <c r="N2140" s="60"/>
      <c r="O2140" s="100">
        <v>317.0</v>
      </c>
      <c r="P2140" s="62">
        <v>342.36</v>
      </c>
      <c r="Q2140" s="63">
        <v>342.36</v>
      </c>
      <c r="R2140" s="64">
        <v>377.0</v>
      </c>
      <c r="S2140" s="107">
        <v>396.0</v>
      </c>
      <c r="T2140" s="65">
        <f t="shared" si="93"/>
        <v>63.36</v>
      </c>
      <c r="U2140" s="65">
        <f t="shared" si="94"/>
        <v>459.36</v>
      </c>
      <c r="V2140" s="66">
        <f t="shared" si="95"/>
        <v>0.05039787798</v>
      </c>
      <c r="W2140" s="67">
        <f t="shared" si="96"/>
        <v>376.2</v>
      </c>
      <c r="X2140" s="67">
        <f t="shared" si="97"/>
        <v>60.192</v>
      </c>
      <c r="Y2140" s="67">
        <f t="shared" si="98"/>
        <v>436.392</v>
      </c>
      <c r="Z2140" s="67">
        <f t="shared" si="99"/>
        <v>356.4</v>
      </c>
      <c r="AA2140" s="67">
        <f t="shared" si="100"/>
        <v>57.024</v>
      </c>
      <c r="AB2140" s="67">
        <f t="shared" si="101"/>
        <v>413.424</v>
      </c>
      <c r="AC2140" s="67">
        <f t="shared" si="102"/>
        <v>356.4</v>
      </c>
      <c r="AD2140" s="67">
        <f t="shared" si="103"/>
        <v>57.024</v>
      </c>
      <c r="AE2140" s="67">
        <f t="shared" si="104"/>
        <v>413.424</v>
      </c>
      <c r="AF2140" s="67">
        <f t="shared" si="105"/>
        <v>356.4</v>
      </c>
      <c r="AG2140" s="67">
        <f t="shared" si="106"/>
        <v>57.024</v>
      </c>
      <c r="AH2140" s="67">
        <f t="shared" si="107"/>
        <v>413.424</v>
      </c>
      <c r="AI2140" s="67">
        <f t="shared" si="108"/>
        <v>356.4</v>
      </c>
      <c r="AJ2140" s="68">
        <f t="shared" si="109"/>
        <v>57.024</v>
      </c>
      <c r="AK2140" s="68">
        <f t="shared" si="110"/>
        <v>413.424</v>
      </c>
      <c r="AL2140" s="70"/>
      <c r="AM2140" s="70"/>
      <c r="AN2140" s="71"/>
      <c r="AO2140" s="71"/>
      <c r="AP2140" s="71"/>
      <c r="AQ2140" s="71"/>
      <c r="AR2140" s="71"/>
      <c r="AS2140" s="71"/>
      <c r="AT2140" s="71"/>
      <c r="AU2140" s="71"/>
      <c r="AV2140" s="71"/>
      <c r="AW2140" s="71"/>
      <c r="AX2140" s="71"/>
      <c r="AY2140" s="71"/>
      <c r="AZ2140" s="71"/>
      <c r="BA2140" s="71"/>
      <c r="BB2140" s="71"/>
      <c r="BC2140" s="71"/>
      <c r="BD2140" s="71"/>
      <c r="BE2140" s="71"/>
      <c r="BF2140" s="71"/>
      <c r="BG2140" s="71"/>
      <c r="BH2140" s="71"/>
      <c r="BI2140" s="71"/>
      <c r="BJ2140" s="71"/>
      <c r="BK2140" s="71"/>
      <c r="BL2140" s="71"/>
      <c r="BM2140" s="71"/>
      <c r="BN2140" s="71"/>
      <c r="BO2140" s="71"/>
      <c r="BP2140" s="71"/>
      <c r="BQ2140" s="71"/>
      <c r="BR2140" s="71"/>
      <c r="BS2140" s="71"/>
      <c r="BT2140" s="71"/>
      <c r="BU2140" s="71"/>
      <c r="BV2140" s="71"/>
    </row>
    <row r="2141">
      <c r="A2141" s="53"/>
      <c r="B2141" s="53">
        <v>3.0</v>
      </c>
      <c r="C2141" s="53" t="s">
        <v>36</v>
      </c>
      <c r="D2141" s="85" t="s">
        <v>5199</v>
      </c>
      <c r="E2141" s="54" t="s">
        <v>38</v>
      </c>
      <c r="F2141" s="55" t="s">
        <v>4105</v>
      </c>
      <c r="G2141" s="81" t="s">
        <v>5200</v>
      </c>
      <c r="H2141" s="81"/>
      <c r="I2141" s="54">
        <f t="shared" si="24"/>
        <v>0</v>
      </c>
      <c r="J2141" s="99"/>
      <c r="K2141" s="99"/>
      <c r="L2141" s="76" t="s">
        <v>661</v>
      </c>
      <c r="M2141" s="59"/>
      <c r="N2141" s="60"/>
      <c r="O2141" s="100">
        <v>30341.0</v>
      </c>
      <c r="P2141" s="62">
        <v>32768.28</v>
      </c>
      <c r="Q2141" s="63">
        <v>32768.28</v>
      </c>
      <c r="R2141" s="64">
        <v>36127.0</v>
      </c>
      <c r="S2141" s="107">
        <v>37933.0</v>
      </c>
      <c r="T2141" s="65">
        <f t="shared" si="93"/>
        <v>6069.28</v>
      </c>
      <c r="U2141" s="65">
        <f t="shared" si="94"/>
        <v>44002.28</v>
      </c>
      <c r="V2141" s="66">
        <f t="shared" si="95"/>
        <v>0.04999031196</v>
      </c>
      <c r="W2141" s="67">
        <f t="shared" si="96"/>
        <v>36036.35</v>
      </c>
      <c r="X2141" s="67">
        <f t="shared" si="97"/>
        <v>5765.816</v>
      </c>
      <c r="Y2141" s="67">
        <f t="shared" si="98"/>
        <v>41802.166</v>
      </c>
      <c r="Z2141" s="67">
        <f t="shared" si="99"/>
        <v>34139.7</v>
      </c>
      <c r="AA2141" s="67">
        <f t="shared" si="100"/>
        <v>5462.352</v>
      </c>
      <c r="AB2141" s="67">
        <f t="shared" si="101"/>
        <v>39602.052</v>
      </c>
      <c r="AC2141" s="67">
        <f t="shared" si="102"/>
        <v>34139.7</v>
      </c>
      <c r="AD2141" s="67">
        <f t="shared" si="103"/>
        <v>5462.352</v>
      </c>
      <c r="AE2141" s="67">
        <f t="shared" si="104"/>
        <v>39602.052</v>
      </c>
      <c r="AF2141" s="67">
        <f t="shared" si="105"/>
        <v>34139.7</v>
      </c>
      <c r="AG2141" s="67">
        <f t="shared" si="106"/>
        <v>5462.352</v>
      </c>
      <c r="AH2141" s="67">
        <f t="shared" si="107"/>
        <v>39602.052</v>
      </c>
      <c r="AI2141" s="67">
        <f t="shared" si="108"/>
        <v>34139.7</v>
      </c>
      <c r="AJ2141" s="68">
        <f t="shared" si="109"/>
        <v>5462.352</v>
      </c>
      <c r="AK2141" s="68">
        <f t="shared" si="110"/>
        <v>39602.052</v>
      </c>
      <c r="AL2141" s="70"/>
      <c r="AM2141" s="70"/>
      <c r="AN2141" s="71"/>
      <c r="AO2141" s="71"/>
      <c r="AP2141" s="71"/>
      <c r="AQ2141" s="71"/>
      <c r="AR2141" s="71"/>
      <c r="AS2141" s="71"/>
      <c r="AT2141" s="71"/>
      <c r="AU2141" s="71"/>
      <c r="AV2141" s="71"/>
      <c r="AW2141" s="71"/>
      <c r="AX2141" s="71"/>
      <c r="AY2141" s="71"/>
      <c r="AZ2141" s="71"/>
      <c r="BA2141" s="71"/>
      <c r="BB2141" s="71"/>
      <c r="BC2141" s="71"/>
      <c r="BD2141" s="71"/>
      <c r="BE2141" s="71"/>
      <c r="BF2141" s="71"/>
      <c r="BG2141" s="71"/>
      <c r="BH2141" s="71"/>
      <c r="BI2141" s="71"/>
      <c r="BJ2141" s="71"/>
      <c r="BK2141" s="71"/>
      <c r="BL2141" s="71"/>
      <c r="BM2141" s="71"/>
      <c r="BN2141" s="71"/>
      <c r="BO2141" s="71"/>
      <c r="BP2141" s="71"/>
      <c r="BQ2141" s="71"/>
      <c r="BR2141" s="71"/>
      <c r="BS2141" s="71"/>
      <c r="BT2141" s="71"/>
      <c r="BU2141" s="71"/>
      <c r="BV2141" s="71"/>
    </row>
    <row r="2142">
      <c r="A2142" s="53"/>
      <c r="B2142" s="53">
        <v>3.0</v>
      </c>
      <c r="C2142" s="53" t="s">
        <v>36</v>
      </c>
      <c r="D2142" s="85" t="s">
        <v>5201</v>
      </c>
      <c r="E2142" s="54" t="s">
        <v>38</v>
      </c>
      <c r="F2142" s="55" t="s">
        <v>4105</v>
      </c>
      <c r="G2142" s="84" t="s">
        <v>5202</v>
      </c>
      <c r="H2142" s="84"/>
      <c r="I2142" s="54">
        <f t="shared" si="24"/>
        <v>0</v>
      </c>
      <c r="J2142" s="102"/>
      <c r="K2142" s="102"/>
      <c r="L2142" s="76"/>
      <c r="M2142" s="59"/>
      <c r="N2142" s="60"/>
      <c r="O2142" s="100">
        <v>17337.0</v>
      </c>
      <c r="P2142" s="62">
        <v>18723.960000000003</v>
      </c>
      <c r="Q2142" s="63">
        <v>18723.960000000003</v>
      </c>
      <c r="R2142" s="64">
        <v>20643.0</v>
      </c>
      <c r="S2142" s="107">
        <v>21675.0</v>
      </c>
      <c r="T2142" s="65">
        <f t="shared" si="93"/>
        <v>3468</v>
      </c>
      <c r="U2142" s="65">
        <f t="shared" si="94"/>
        <v>25143</v>
      </c>
      <c r="V2142" s="66">
        <f t="shared" si="95"/>
        <v>0.04999273361</v>
      </c>
      <c r="W2142" s="67">
        <f t="shared" si="96"/>
        <v>20591.25</v>
      </c>
      <c r="X2142" s="67">
        <f t="shared" si="97"/>
        <v>3294.6</v>
      </c>
      <c r="Y2142" s="67">
        <f t="shared" si="98"/>
        <v>23885.85</v>
      </c>
      <c r="Z2142" s="67">
        <f t="shared" si="99"/>
        <v>19507.5</v>
      </c>
      <c r="AA2142" s="67">
        <f t="shared" si="100"/>
        <v>3121.2</v>
      </c>
      <c r="AB2142" s="67">
        <f t="shared" si="101"/>
        <v>22628.7</v>
      </c>
      <c r="AC2142" s="67">
        <f t="shared" si="102"/>
        <v>19507.5</v>
      </c>
      <c r="AD2142" s="67">
        <f t="shared" si="103"/>
        <v>3121.2</v>
      </c>
      <c r="AE2142" s="67">
        <f t="shared" si="104"/>
        <v>22628.7</v>
      </c>
      <c r="AF2142" s="67">
        <f t="shared" si="105"/>
        <v>19507.5</v>
      </c>
      <c r="AG2142" s="67">
        <f t="shared" si="106"/>
        <v>3121.2</v>
      </c>
      <c r="AH2142" s="67">
        <f t="shared" si="107"/>
        <v>22628.7</v>
      </c>
      <c r="AI2142" s="67">
        <f t="shared" si="108"/>
        <v>19507.5</v>
      </c>
      <c r="AJ2142" s="68">
        <f t="shared" si="109"/>
        <v>3121.2</v>
      </c>
      <c r="AK2142" s="68">
        <f t="shared" si="110"/>
        <v>22628.7</v>
      </c>
      <c r="AL2142" s="70"/>
      <c r="AM2142" s="70"/>
      <c r="AN2142" s="71"/>
      <c r="AO2142" s="71"/>
      <c r="AP2142" s="71"/>
      <c r="AQ2142" s="71"/>
      <c r="AR2142" s="71"/>
      <c r="AS2142" s="71"/>
      <c r="AT2142" s="71"/>
      <c r="AU2142" s="71"/>
      <c r="AV2142" s="71"/>
      <c r="AW2142" s="71"/>
      <c r="AX2142" s="71"/>
      <c r="AY2142" s="71"/>
      <c r="AZ2142" s="71"/>
      <c r="BA2142" s="71"/>
      <c r="BB2142" s="71"/>
      <c r="BC2142" s="71"/>
      <c r="BD2142" s="71"/>
      <c r="BE2142" s="71"/>
      <c r="BF2142" s="71"/>
      <c r="BG2142" s="71"/>
      <c r="BH2142" s="71"/>
      <c r="BI2142" s="71"/>
      <c r="BJ2142" s="71"/>
      <c r="BK2142" s="71"/>
      <c r="BL2142" s="71"/>
      <c r="BM2142" s="71"/>
      <c r="BN2142" s="71"/>
      <c r="BO2142" s="71"/>
      <c r="BP2142" s="71"/>
      <c r="BQ2142" s="71"/>
      <c r="BR2142" s="71"/>
      <c r="BS2142" s="71"/>
      <c r="BT2142" s="71"/>
      <c r="BU2142" s="71"/>
      <c r="BV2142" s="71"/>
    </row>
    <row r="2143">
      <c r="A2143" s="53"/>
      <c r="B2143" s="53">
        <v>3.0</v>
      </c>
      <c r="C2143" s="53" t="s">
        <v>36</v>
      </c>
      <c r="D2143" s="98" t="s">
        <v>5203</v>
      </c>
      <c r="E2143" s="54" t="s">
        <v>38</v>
      </c>
      <c r="F2143" s="55" t="s">
        <v>4105</v>
      </c>
      <c r="G2143" s="81" t="s">
        <v>5204</v>
      </c>
      <c r="H2143" s="81"/>
      <c r="I2143" s="54">
        <f t="shared" si="24"/>
        <v>0</v>
      </c>
      <c r="J2143" s="99"/>
      <c r="K2143" s="99"/>
      <c r="L2143" s="76"/>
      <c r="M2143" s="59"/>
      <c r="N2143" s="60"/>
      <c r="O2143" s="100">
        <v>13869.0</v>
      </c>
      <c r="P2143" s="62">
        <v>14978.52</v>
      </c>
      <c r="Q2143" s="63">
        <v>14978.52</v>
      </c>
      <c r="R2143" s="64">
        <v>16515.0</v>
      </c>
      <c r="S2143" s="107">
        <v>17341.0</v>
      </c>
      <c r="T2143" s="65">
        <f t="shared" si="93"/>
        <v>2774.56</v>
      </c>
      <c r="U2143" s="65">
        <f t="shared" si="94"/>
        <v>20115.56</v>
      </c>
      <c r="V2143" s="66">
        <f t="shared" si="95"/>
        <v>0.05001513775</v>
      </c>
      <c r="W2143" s="67">
        <f t="shared" si="96"/>
        <v>16473.95</v>
      </c>
      <c r="X2143" s="67">
        <f t="shared" si="97"/>
        <v>2635.832</v>
      </c>
      <c r="Y2143" s="67">
        <f t="shared" si="98"/>
        <v>19109.782</v>
      </c>
      <c r="Z2143" s="67">
        <f t="shared" si="99"/>
        <v>15606.9</v>
      </c>
      <c r="AA2143" s="67">
        <f t="shared" si="100"/>
        <v>2497.104</v>
      </c>
      <c r="AB2143" s="67">
        <f t="shared" si="101"/>
        <v>18104.004</v>
      </c>
      <c r="AC2143" s="67">
        <f t="shared" si="102"/>
        <v>15606.9</v>
      </c>
      <c r="AD2143" s="67">
        <f t="shared" si="103"/>
        <v>2497.104</v>
      </c>
      <c r="AE2143" s="67">
        <f t="shared" si="104"/>
        <v>18104.004</v>
      </c>
      <c r="AF2143" s="67">
        <f t="shared" si="105"/>
        <v>15606.9</v>
      </c>
      <c r="AG2143" s="67">
        <f t="shared" si="106"/>
        <v>2497.104</v>
      </c>
      <c r="AH2143" s="67">
        <f t="shared" si="107"/>
        <v>18104.004</v>
      </c>
      <c r="AI2143" s="67">
        <f t="shared" si="108"/>
        <v>15606.9</v>
      </c>
      <c r="AJ2143" s="68">
        <f t="shared" si="109"/>
        <v>2497.104</v>
      </c>
      <c r="AK2143" s="68">
        <f t="shared" si="110"/>
        <v>18104.004</v>
      </c>
      <c r="AL2143" s="70"/>
      <c r="AM2143" s="70"/>
      <c r="AN2143" s="71"/>
      <c r="AO2143" s="71"/>
      <c r="AP2143" s="71"/>
      <c r="AQ2143" s="71"/>
      <c r="AR2143" s="71"/>
      <c r="AS2143" s="71"/>
      <c r="AT2143" s="71"/>
      <c r="AU2143" s="71"/>
      <c r="AV2143" s="71"/>
      <c r="AW2143" s="71"/>
      <c r="AX2143" s="71"/>
      <c r="AY2143" s="71"/>
      <c r="AZ2143" s="71"/>
      <c r="BA2143" s="71"/>
      <c r="BB2143" s="71"/>
      <c r="BC2143" s="71"/>
      <c r="BD2143" s="71"/>
      <c r="BE2143" s="71"/>
      <c r="BF2143" s="71"/>
      <c r="BG2143" s="71"/>
      <c r="BH2143" s="71"/>
      <c r="BI2143" s="71"/>
      <c r="BJ2143" s="71"/>
      <c r="BK2143" s="71"/>
      <c r="BL2143" s="71"/>
      <c r="BM2143" s="71"/>
      <c r="BN2143" s="71"/>
      <c r="BO2143" s="71"/>
      <c r="BP2143" s="71"/>
      <c r="BQ2143" s="71"/>
      <c r="BR2143" s="71"/>
      <c r="BS2143" s="71"/>
      <c r="BT2143" s="71"/>
      <c r="BU2143" s="71"/>
      <c r="BV2143" s="71"/>
    </row>
    <row r="2144">
      <c r="A2144" s="53"/>
      <c r="B2144" s="53">
        <v>3.0</v>
      </c>
      <c r="C2144" s="53" t="s">
        <v>36</v>
      </c>
      <c r="D2144" s="98" t="s">
        <v>5205</v>
      </c>
      <c r="E2144" s="54" t="s">
        <v>38</v>
      </c>
      <c r="F2144" s="55" t="s">
        <v>4105</v>
      </c>
      <c r="G2144" s="84" t="s">
        <v>5206</v>
      </c>
      <c r="H2144" s="84"/>
      <c r="I2144" s="54">
        <f t="shared" si="24"/>
        <v>0</v>
      </c>
      <c r="J2144" s="102"/>
      <c r="K2144" s="102"/>
      <c r="L2144" s="76"/>
      <c r="M2144" s="59"/>
      <c r="N2144" s="60"/>
      <c r="O2144" s="100">
        <v>11702.0</v>
      </c>
      <c r="P2144" s="62">
        <v>12638.160000000002</v>
      </c>
      <c r="Q2144" s="63">
        <v>12638.160000000002</v>
      </c>
      <c r="R2144" s="64">
        <v>13934.0</v>
      </c>
      <c r="S2144" s="107">
        <v>14631.0</v>
      </c>
      <c r="T2144" s="65">
        <f t="shared" si="93"/>
        <v>2340.96</v>
      </c>
      <c r="U2144" s="65">
        <f t="shared" si="94"/>
        <v>16971.96</v>
      </c>
      <c r="V2144" s="66">
        <f t="shared" si="95"/>
        <v>0.05002153007</v>
      </c>
      <c r="W2144" s="67">
        <f t="shared" si="96"/>
        <v>13899.45</v>
      </c>
      <c r="X2144" s="67">
        <f t="shared" si="97"/>
        <v>2223.912</v>
      </c>
      <c r="Y2144" s="67">
        <f t="shared" si="98"/>
        <v>16123.362</v>
      </c>
      <c r="Z2144" s="67">
        <f t="shared" si="99"/>
        <v>13167.9</v>
      </c>
      <c r="AA2144" s="67">
        <f t="shared" si="100"/>
        <v>2106.864</v>
      </c>
      <c r="AB2144" s="67">
        <f t="shared" si="101"/>
        <v>15274.764</v>
      </c>
      <c r="AC2144" s="67">
        <f t="shared" si="102"/>
        <v>13167.9</v>
      </c>
      <c r="AD2144" s="67">
        <f t="shared" si="103"/>
        <v>2106.864</v>
      </c>
      <c r="AE2144" s="67">
        <f t="shared" si="104"/>
        <v>15274.764</v>
      </c>
      <c r="AF2144" s="67">
        <f t="shared" si="105"/>
        <v>13167.9</v>
      </c>
      <c r="AG2144" s="67">
        <f t="shared" si="106"/>
        <v>2106.864</v>
      </c>
      <c r="AH2144" s="67">
        <f t="shared" si="107"/>
        <v>15274.764</v>
      </c>
      <c r="AI2144" s="67">
        <f t="shared" si="108"/>
        <v>13167.9</v>
      </c>
      <c r="AJ2144" s="68">
        <f t="shared" si="109"/>
        <v>2106.864</v>
      </c>
      <c r="AK2144" s="68">
        <f t="shared" si="110"/>
        <v>15274.764</v>
      </c>
      <c r="AL2144" s="70"/>
      <c r="AM2144" s="70"/>
      <c r="AN2144" s="71"/>
      <c r="AO2144" s="71"/>
      <c r="AP2144" s="71"/>
      <c r="AQ2144" s="71"/>
      <c r="AR2144" s="71"/>
      <c r="AS2144" s="71"/>
      <c r="AT2144" s="71"/>
      <c r="AU2144" s="71"/>
      <c r="AV2144" s="71"/>
      <c r="AW2144" s="71"/>
      <c r="AX2144" s="71"/>
      <c r="AY2144" s="71"/>
      <c r="AZ2144" s="71"/>
      <c r="BA2144" s="71"/>
      <c r="BB2144" s="71"/>
      <c r="BC2144" s="71"/>
      <c r="BD2144" s="71"/>
      <c r="BE2144" s="71"/>
      <c r="BF2144" s="71"/>
      <c r="BG2144" s="71"/>
      <c r="BH2144" s="71"/>
      <c r="BI2144" s="71"/>
      <c r="BJ2144" s="71"/>
      <c r="BK2144" s="71"/>
      <c r="BL2144" s="71"/>
      <c r="BM2144" s="71"/>
      <c r="BN2144" s="71"/>
      <c r="BO2144" s="71"/>
      <c r="BP2144" s="71"/>
      <c r="BQ2144" s="71"/>
      <c r="BR2144" s="71"/>
      <c r="BS2144" s="71"/>
      <c r="BT2144" s="71"/>
      <c r="BU2144" s="71"/>
      <c r="BV2144" s="71"/>
    </row>
    <row r="2145">
      <c r="A2145" s="53"/>
      <c r="B2145" s="53"/>
      <c r="C2145" s="53"/>
      <c r="D2145" s="53" t="s">
        <v>5207</v>
      </c>
      <c r="E2145" s="55" t="s">
        <v>38</v>
      </c>
      <c r="F2145" s="89"/>
      <c r="G2145" s="84" t="s">
        <v>5208</v>
      </c>
      <c r="H2145" s="55"/>
      <c r="I2145" s="54">
        <f t="shared" si="24"/>
        <v>0</v>
      </c>
      <c r="J2145" s="56"/>
      <c r="K2145" s="57"/>
      <c r="L2145" s="55"/>
      <c r="M2145" s="59"/>
      <c r="N2145" s="60"/>
      <c r="O2145" s="90"/>
      <c r="P2145" s="62">
        <v>18650.0</v>
      </c>
      <c r="Q2145" s="63">
        <v>18650.0</v>
      </c>
      <c r="R2145" s="64">
        <v>20563.0</v>
      </c>
      <c r="S2145" s="111">
        <v>21591.0</v>
      </c>
      <c r="T2145" s="65">
        <f t="shared" si="93"/>
        <v>3454.56</v>
      </c>
      <c r="U2145" s="65">
        <f t="shared" si="94"/>
        <v>25045.56</v>
      </c>
      <c r="V2145" s="66">
        <f t="shared" si="95"/>
        <v>0.04999270534</v>
      </c>
      <c r="W2145" s="67">
        <f t="shared" si="96"/>
        <v>20511.45</v>
      </c>
      <c r="X2145" s="67">
        <f t="shared" si="97"/>
        <v>3281.832</v>
      </c>
      <c r="Y2145" s="67">
        <f t="shared" si="98"/>
        <v>23793.282</v>
      </c>
      <c r="Z2145" s="67">
        <f t="shared" si="99"/>
        <v>19431.9</v>
      </c>
      <c r="AA2145" s="67">
        <f t="shared" si="100"/>
        <v>3109.104</v>
      </c>
      <c r="AB2145" s="67">
        <f t="shared" si="101"/>
        <v>22541.004</v>
      </c>
      <c r="AC2145" s="67">
        <f t="shared" si="102"/>
        <v>18352.35</v>
      </c>
      <c r="AD2145" s="67">
        <f t="shared" si="103"/>
        <v>2936.376</v>
      </c>
      <c r="AE2145" s="67">
        <f t="shared" si="104"/>
        <v>21288.726</v>
      </c>
      <c r="AF2145" s="67">
        <f t="shared" si="105"/>
        <v>17920.53</v>
      </c>
      <c r="AG2145" s="67">
        <f t="shared" si="106"/>
        <v>2867.2848</v>
      </c>
      <c r="AH2145" s="67">
        <f t="shared" si="107"/>
        <v>20787.8148</v>
      </c>
      <c r="AI2145" s="67">
        <f t="shared" si="108"/>
        <v>17272.8</v>
      </c>
      <c r="AJ2145" s="68">
        <f t="shared" si="109"/>
        <v>2763.648</v>
      </c>
      <c r="AK2145" s="68">
        <f t="shared" si="110"/>
        <v>20036.448</v>
      </c>
      <c r="AL2145" s="70"/>
      <c r="AM2145" s="70"/>
      <c r="AN2145" s="71"/>
      <c r="AO2145" s="71"/>
      <c r="AP2145" s="71"/>
      <c r="AQ2145" s="71"/>
      <c r="AR2145" s="71"/>
      <c r="AS2145" s="71"/>
      <c r="AT2145" s="71"/>
      <c r="AU2145" s="71"/>
      <c r="AV2145" s="71"/>
      <c r="AW2145" s="71"/>
      <c r="AX2145" s="71"/>
      <c r="AY2145" s="71"/>
      <c r="AZ2145" s="71"/>
      <c r="BA2145" s="71"/>
      <c r="BB2145" s="71"/>
      <c r="BC2145" s="71"/>
      <c r="BD2145" s="71"/>
      <c r="BE2145" s="71"/>
      <c r="BF2145" s="71"/>
      <c r="BG2145" s="71"/>
      <c r="BH2145" s="71"/>
      <c r="BI2145" s="71"/>
      <c r="BJ2145" s="71"/>
      <c r="BK2145" s="71"/>
      <c r="BL2145" s="71"/>
      <c r="BM2145" s="71"/>
      <c r="BN2145" s="71"/>
      <c r="BO2145" s="71"/>
      <c r="BP2145" s="71"/>
      <c r="BQ2145" s="71"/>
      <c r="BR2145" s="71"/>
      <c r="BS2145" s="71"/>
      <c r="BT2145" s="71"/>
      <c r="BU2145" s="71"/>
      <c r="BV2145" s="71"/>
    </row>
    <row r="2146">
      <c r="A2146" s="53"/>
      <c r="B2146" s="53"/>
      <c r="C2146" s="53" t="s">
        <v>36</v>
      </c>
      <c r="D2146" s="85" t="s">
        <v>5209</v>
      </c>
      <c r="E2146" s="54" t="s">
        <v>38</v>
      </c>
      <c r="F2146" s="55" t="s">
        <v>39</v>
      </c>
      <c r="G2146" s="86" t="s">
        <v>5210</v>
      </c>
      <c r="H2146" s="55"/>
      <c r="I2146" s="54">
        <f t="shared" si="24"/>
        <v>0</v>
      </c>
      <c r="J2146" s="56"/>
      <c r="K2146" s="57"/>
      <c r="L2146" s="76"/>
      <c r="M2146" s="59"/>
      <c r="N2146" s="60"/>
      <c r="O2146" s="61">
        <v>38.4</v>
      </c>
      <c r="P2146" s="62">
        <v>41.472</v>
      </c>
      <c r="Q2146" s="63">
        <v>41.472</v>
      </c>
      <c r="R2146" s="64">
        <v>44.0</v>
      </c>
      <c r="S2146" s="107">
        <v>46.0</v>
      </c>
      <c r="T2146" s="65">
        <f t="shared" si="93"/>
        <v>7.36</v>
      </c>
      <c r="U2146" s="65">
        <f t="shared" si="94"/>
        <v>53.36</v>
      </c>
      <c r="V2146" s="66">
        <f t="shared" si="95"/>
        <v>0.04545454545</v>
      </c>
      <c r="W2146" s="67">
        <f t="shared" si="96"/>
        <v>43.7</v>
      </c>
      <c r="X2146" s="67">
        <f t="shared" si="97"/>
        <v>6.992</v>
      </c>
      <c r="Y2146" s="67">
        <f t="shared" si="98"/>
        <v>50.692</v>
      </c>
      <c r="Z2146" s="67">
        <f t="shared" si="99"/>
        <v>41.4</v>
      </c>
      <c r="AA2146" s="67">
        <f t="shared" si="100"/>
        <v>6.624</v>
      </c>
      <c r="AB2146" s="67">
        <f t="shared" si="101"/>
        <v>48.024</v>
      </c>
      <c r="AC2146" s="67">
        <f t="shared" si="102"/>
        <v>39.1</v>
      </c>
      <c r="AD2146" s="67">
        <f t="shared" si="103"/>
        <v>6.256</v>
      </c>
      <c r="AE2146" s="67">
        <f t="shared" si="104"/>
        <v>45.356</v>
      </c>
      <c r="AF2146" s="67">
        <f t="shared" si="105"/>
        <v>38.18</v>
      </c>
      <c r="AG2146" s="67">
        <f t="shared" si="106"/>
        <v>6.1088</v>
      </c>
      <c r="AH2146" s="67">
        <f t="shared" si="107"/>
        <v>44.2888</v>
      </c>
      <c r="AI2146" s="67">
        <f t="shared" si="108"/>
        <v>36.8</v>
      </c>
      <c r="AJ2146" s="68">
        <f t="shared" si="109"/>
        <v>5.888</v>
      </c>
      <c r="AK2146" s="68">
        <f t="shared" si="110"/>
        <v>42.688</v>
      </c>
      <c r="AL2146" s="70"/>
      <c r="AM2146" s="70"/>
      <c r="AN2146" s="71"/>
      <c r="AO2146" s="71"/>
      <c r="AP2146" s="71"/>
      <c r="AQ2146" s="71"/>
      <c r="AR2146" s="71"/>
      <c r="AS2146" s="71"/>
      <c r="AT2146" s="71"/>
      <c r="AU2146" s="71"/>
      <c r="AV2146" s="71"/>
      <c r="AW2146" s="71"/>
      <c r="AX2146" s="71"/>
      <c r="AY2146" s="71"/>
      <c r="AZ2146" s="71"/>
      <c r="BA2146" s="71"/>
      <c r="BB2146" s="71"/>
      <c r="BC2146" s="71"/>
      <c r="BD2146" s="71"/>
      <c r="BE2146" s="71"/>
      <c r="BF2146" s="71"/>
      <c r="BG2146" s="71"/>
      <c r="BH2146" s="71"/>
      <c r="BI2146" s="71"/>
      <c r="BJ2146" s="71"/>
      <c r="BK2146" s="71"/>
      <c r="BL2146" s="71"/>
      <c r="BM2146" s="71"/>
      <c r="BN2146" s="71"/>
      <c r="BO2146" s="71"/>
      <c r="BP2146" s="71"/>
      <c r="BQ2146" s="71"/>
      <c r="BR2146" s="71"/>
      <c r="BS2146" s="71"/>
      <c r="BT2146" s="71"/>
      <c r="BU2146" s="71"/>
      <c r="BV2146" s="71"/>
    </row>
    <row r="2147">
      <c r="A2147" s="53"/>
      <c r="B2147" s="53"/>
      <c r="C2147" s="53" t="s">
        <v>36</v>
      </c>
      <c r="D2147" s="85" t="s">
        <v>5211</v>
      </c>
      <c r="E2147" s="54" t="s">
        <v>38</v>
      </c>
      <c r="F2147" s="55" t="s">
        <v>39</v>
      </c>
      <c r="G2147" s="86" t="s">
        <v>5212</v>
      </c>
      <c r="H2147" s="55"/>
      <c r="I2147" s="54">
        <f t="shared" si="24"/>
        <v>0</v>
      </c>
      <c r="J2147" s="56"/>
      <c r="K2147" s="57"/>
      <c r="L2147" s="76"/>
      <c r="M2147" s="59"/>
      <c r="N2147" s="60"/>
      <c r="O2147" s="61">
        <v>38.4</v>
      </c>
      <c r="P2147" s="62">
        <v>41.472</v>
      </c>
      <c r="Q2147" s="63">
        <v>41.472</v>
      </c>
      <c r="R2147" s="64">
        <v>44.0</v>
      </c>
      <c r="S2147" s="107">
        <v>46.0</v>
      </c>
      <c r="T2147" s="65">
        <f t="shared" si="93"/>
        <v>7.36</v>
      </c>
      <c r="U2147" s="65">
        <f t="shared" si="94"/>
        <v>53.36</v>
      </c>
      <c r="V2147" s="66">
        <f t="shared" si="95"/>
        <v>0.04545454545</v>
      </c>
      <c r="W2147" s="67">
        <f t="shared" si="96"/>
        <v>43.7</v>
      </c>
      <c r="X2147" s="67">
        <f t="shared" si="97"/>
        <v>6.992</v>
      </c>
      <c r="Y2147" s="67">
        <f t="shared" si="98"/>
        <v>50.692</v>
      </c>
      <c r="Z2147" s="67">
        <f t="shared" si="99"/>
        <v>41.4</v>
      </c>
      <c r="AA2147" s="67">
        <f t="shared" si="100"/>
        <v>6.624</v>
      </c>
      <c r="AB2147" s="67">
        <f t="shared" si="101"/>
        <v>48.024</v>
      </c>
      <c r="AC2147" s="67">
        <f t="shared" si="102"/>
        <v>39.1</v>
      </c>
      <c r="AD2147" s="67">
        <f t="shared" si="103"/>
        <v>6.256</v>
      </c>
      <c r="AE2147" s="67">
        <f t="shared" si="104"/>
        <v>45.356</v>
      </c>
      <c r="AF2147" s="67">
        <f t="shared" si="105"/>
        <v>38.18</v>
      </c>
      <c r="AG2147" s="67">
        <f t="shared" si="106"/>
        <v>6.1088</v>
      </c>
      <c r="AH2147" s="67">
        <f t="shared" si="107"/>
        <v>44.2888</v>
      </c>
      <c r="AI2147" s="67">
        <f t="shared" si="108"/>
        <v>36.8</v>
      </c>
      <c r="AJ2147" s="68">
        <f t="shared" si="109"/>
        <v>5.888</v>
      </c>
      <c r="AK2147" s="68">
        <f t="shared" si="110"/>
        <v>42.688</v>
      </c>
      <c r="AL2147" s="70"/>
      <c r="AM2147" s="70"/>
      <c r="AN2147" s="71"/>
      <c r="AO2147" s="71"/>
      <c r="AP2147" s="71"/>
      <c r="AQ2147" s="71"/>
      <c r="AR2147" s="71"/>
      <c r="AS2147" s="71"/>
      <c r="AT2147" s="71"/>
      <c r="AU2147" s="71"/>
      <c r="AV2147" s="71"/>
      <c r="AW2147" s="71"/>
      <c r="AX2147" s="71"/>
      <c r="AY2147" s="71"/>
      <c r="AZ2147" s="71"/>
      <c r="BA2147" s="71"/>
      <c r="BB2147" s="71"/>
      <c r="BC2147" s="71"/>
      <c r="BD2147" s="71"/>
      <c r="BE2147" s="71"/>
      <c r="BF2147" s="71"/>
      <c r="BG2147" s="71"/>
      <c r="BH2147" s="71"/>
      <c r="BI2147" s="71"/>
      <c r="BJ2147" s="71"/>
      <c r="BK2147" s="71"/>
      <c r="BL2147" s="71"/>
      <c r="BM2147" s="71"/>
      <c r="BN2147" s="71"/>
      <c r="BO2147" s="71"/>
      <c r="BP2147" s="71"/>
      <c r="BQ2147" s="71"/>
      <c r="BR2147" s="71"/>
      <c r="BS2147" s="71"/>
      <c r="BT2147" s="71"/>
      <c r="BU2147" s="71"/>
      <c r="BV2147" s="71"/>
    </row>
    <row r="2148">
      <c r="A2148" s="53"/>
      <c r="B2148" s="53"/>
      <c r="C2148" s="53" t="s">
        <v>36</v>
      </c>
      <c r="D2148" s="85" t="s">
        <v>5213</v>
      </c>
      <c r="E2148" s="54" t="s">
        <v>38</v>
      </c>
      <c r="F2148" s="55" t="s">
        <v>39</v>
      </c>
      <c r="G2148" s="86" t="s">
        <v>5214</v>
      </c>
      <c r="H2148" s="55"/>
      <c r="I2148" s="54">
        <f t="shared" si="24"/>
        <v>0</v>
      </c>
      <c r="J2148" s="56"/>
      <c r="K2148" s="57"/>
      <c r="L2148" s="76"/>
      <c r="M2148" s="59"/>
      <c r="N2148" s="60"/>
      <c r="O2148" s="61">
        <v>34.56</v>
      </c>
      <c r="P2148" s="62">
        <v>37.3248</v>
      </c>
      <c r="Q2148" s="63">
        <v>37.3248</v>
      </c>
      <c r="R2148" s="64">
        <v>39.0</v>
      </c>
      <c r="S2148" s="107">
        <v>41.0</v>
      </c>
      <c r="T2148" s="65">
        <f t="shared" si="93"/>
        <v>6.56</v>
      </c>
      <c r="U2148" s="65">
        <f t="shared" si="94"/>
        <v>47.56</v>
      </c>
      <c r="V2148" s="66">
        <f t="shared" si="95"/>
        <v>0.05128205128</v>
      </c>
      <c r="W2148" s="67">
        <f t="shared" si="96"/>
        <v>38.95</v>
      </c>
      <c r="X2148" s="67">
        <f t="shared" si="97"/>
        <v>6.232</v>
      </c>
      <c r="Y2148" s="67">
        <f t="shared" si="98"/>
        <v>45.182</v>
      </c>
      <c r="Z2148" s="67">
        <f t="shared" si="99"/>
        <v>36.9</v>
      </c>
      <c r="AA2148" s="67">
        <f t="shared" si="100"/>
        <v>5.904</v>
      </c>
      <c r="AB2148" s="67">
        <f t="shared" si="101"/>
        <v>42.804</v>
      </c>
      <c r="AC2148" s="67">
        <f t="shared" si="102"/>
        <v>34.85</v>
      </c>
      <c r="AD2148" s="67">
        <f t="shared" si="103"/>
        <v>5.576</v>
      </c>
      <c r="AE2148" s="67">
        <f t="shared" si="104"/>
        <v>40.426</v>
      </c>
      <c r="AF2148" s="67">
        <f t="shared" si="105"/>
        <v>34.03</v>
      </c>
      <c r="AG2148" s="67">
        <f t="shared" si="106"/>
        <v>5.4448</v>
      </c>
      <c r="AH2148" s="67">
        <f t="shared" si="107"/>
        <v>39.4748</v>
      </c>
      <c r="AI2148" s="67">
        <f t="shared" si="108"/>
        <v>32.8</v>
      </c>
      <c r="AJ2148" s="68">
        <f t="shared" si="109"/>
        <v>5.248</v>
      </c>
      <c r="AK2148" s="68">
        <f t="shared" si="110"/>
        <v>38.048</v>
      </c>
      <c r="AL2148" s="70"/>
      <c r="AM2148" s="70"/>
      <c r="AN2148" s="71"/>
      <c r="AO2148" s="71"/>
      <c r="AP2148" s="71"/>
      <c r="AQ2148" s="71"/>
      <c r="AR2148" s="71"/>
      <c r="AS2148" s="71"/>
      <c r="AT2148" s="71"/>
      <c r="AU2148" s="71"/>
      <c r="AV2148" s="71"/>
      <c r="AW2148" s="71"/>
      <c r="AX2148" s="71"/>
      <c r="AY2148" s="71"/>
      <c r="AZ2148" s="71"/>
      <c r="BA2148" s="71"/>
      <c r="BB2148" s="71"/>
      <c r="BC2148" s="71"/>
      <c r="BD2148" s="71"/>
      <c r="BE2148" s="71"/>
      <c r="BF2148" s="71"/>
      <c r="BG2148" s="71"/>
      <c r="BH2148" s="71"/>
      <c r="BI2148" s="71"/>
      <c r="BJ2148" s="71"/>
      <c r="BK2148" s="71"/>
      <c r="BL2148" s="71"/>
      <c r="BM2148" s="71"/>
      <c r="BN2148" s="71"/>
      <c r="BO2148" s="71"/>
      <c r="BP2148" s="71"/>
      <c r="BQ2148" s="71"/>
      <c r="BR2148" s="71"/>
      <c r="BS2148" s="71"/>
      <c r="BT2148" s="71"/>
      <c r="BU2148" s="71"/>
      <c r="BV2148" s="71"/>
    </row>
    <row r="2149">
      <c r="A2149" s="53"/>
      <c r="B2149" s="53"/>
      <c r="C2149" s="53" t="s">
        <v>36</v>
      </c>
      <c r="D2149" s="85" t="s">
        <v>5215</v>
      </c>
      <c r="E2149" s="54" t="s">
        <v>38</v>
      </c>
      <c r="F2149" s="55" t="s">
        <v>39</v>
      </c>
      <c r="G2149" s="86" t="s">
        <v>5216</v>
      </c>
      <c r="H2149" s="55"/>
      <c r="I2149" s="54">
        <f t="shared" si="24"/>
        <v>0</v>
      </c>
      <c r="J2149" s="56"/>
      <c r="K2149" s="57"/>
      <c r="L2149" s="76"/>
      <c r="M2149" s="59"/>
      <c r="N2149" s="60"/>
      <c r="O2149" s="61">
        <v>24.96</v>
      </c>
      <c r="P2149" s="62">
        <v>26.9568</v>
      </c>
      <c r="Q2149" s="63">
        <v>26.9568</v>
      </c>
      <c r="R2149" s="64">
        <v>29.0</v>
      </c>
      <c r="S2149" s="107">
        <v>30.0</v>
      </c>
      <c r="T2149" s="65">
        <f t="shared" si="93"/>
        <v>4.8</v>
      </c>
      <c r="U2149" s="65">
        <f t="shared" si="94"/>
        <v>34.8</v>
      </c>
      <c r="V2149" s="66">
        <f t="shared" si="95"/>
        <v>0.03448275862</v>
      </c>
      <c r="W2149" s="67">
        <f t="shared" si="96"/>
        <v>28.5</v>
      </c>
      <c r="X2149" s="67">
        <f t="shared" si="97"/>
        <v>4.56</v>
      </c>
      <c r="Y2149" s="67">
        <f t="shared" si="98"/>
        <v>33.06</v>
      </c>
      <c r="Z2149" s="67">
        <f t="shared" si="99"/>
        <v>27</v>
      </c>
      <c r="AA2149" s="67">
        <f t="shared" si="100"/>
        <v>4.32</v>
      </c>
      <c r="AB2149" s="67">
        <f t="shared" si="101"/>
        <v>31.32</v>
      </c>
      <c r="AC2149" s="67">
        <f t="shared" si="102"/>
        <v>25.5</v>
      </c>
      <c r="AD2149" s="67">
        <f t="shared" si="103"/>
        <v>4.08</v>
      </c>
      <c r="AE2149" s="67">
        <f t="shared" si="104"/>
        <v>29.58</v>
      </c>
      <c r="AF2149" s="67">
        <f t="shared" si="105"/>
        <v>24.9</v>
      </c>
      <c r="AG2149" s="67">
        <f t="shared" si="106"/>
        <v>3.984</v>
      </c>
      <c r="AH2149" s="67">
        <f t="shared" si="107"/>
        <v>28.884</v>
      </c>
      <c r="AI2149" s="67">
        <f t="shared" si="108"/>
        <v>24</v>
      </c>
      <c r="AJ2149" s="68">
        <f t="shared" si="109"/>
        <v>3.84</v>
      </c>
      <c r="AK2149" s="68">
        <f t="shared" si="110"/>
        <v>27.84</v>
      </c>
      <c r="AL2149" s="70"/>
      <c r="AM2149" s="70"/>
      <c r="AN2149" s="71"/>
      <c r="AO2149" s="71"/>
      <c r="AP2149" s="71"/>
      <c r="AQ2149" s="71"/>
      <c r="AR2149" s="71"/>
      <c r="AS2149" s="71"/>
      <c r="AT2149" s="71"/>
      <c r="AU2149" s="71"/>
      <c r="AV2149" s="71"/>
      <c r="AW2149" s="71"/>
      <c r="AX2149" s="71"/>
      <c r="AY2149" s="71"/>
      <c r="AZ2149" s="71"/>
      <c r="BA2149" s="71"/>
      <c r="BB2149" s="71"/>
      <c r="BC2149" s="71"/>
      <c r="BD2149" s="71"/>
      <c r="BE2149" s="71"/>
      <c r="BF2149" s="71"/>
      <c r="BG2149" s="71"/>
      <c r="BH2149" s="71"/>
      <c r="BI2149" s="71"/>
      <c r="BJ2149" s="71"/>
      <c r="BK2149" s="71"/>
      <c r="BL2149" s="71"/>
      <c r="BM2149" s="71"/>
      <c r="BN2149" s="71"/>
      <c r="BO2149" s="71"/>
      <c r="BP2149" s="71"/>
      <c r="BQ2149" s="71"/>
      <c r="BR2149" s="71"/>
      <c r="BS2149" s="71"/>
      <c r="BT2149" s="71"/>
      <c r="BU2149" s="71"/>
      <c r="BV2149" s="71"/>
    </row>
    <row r="2150">
      <c r="A2150" s="53"/>
      <c r="B2150" s="53"/>
      <c r="C2150" s="53" t="s">
        <v>36</v>
      </c>
      <c r="D2150" s="85" t="s">
        <v>5217</v>
      </c>
      <c r="E2150" s="54" t="s">
        <v>38</v>
      </c>
      <c r="F2150" s="55" t="s">
        <v>39</v>
      </c>
      <c r="G2150" s="86" t="s">
        <v>5218</v>
      </c>
      <c r="H2150" s="55"/>
      <c r="I2150" s="54">
        <f t="shared" si="24"/>
        <v>0</v>
      </c>
      <c r="J2150" s="56"/>
      <c r="K2150" s="57"/>
      <c r="L2150" s="76"/>
      <c r="M2150" s="59"/>
      <c r="N2150" s="60"/>
      <c r="O2150" s="61">
        <v>34.56</v>
      </c>
      <c r="P2150" s="62">
        <v>37.3248</v>
      </c>
      <c r="Q2150" s="63">
        <v>37.3248</v>
      </c>
      <c r="R2150" s="64">
        <v>39.0</v>
      </c>
      <c r="S2150" s="107">
        <v>41.0</v>
      </c>
      <c r="T2150" s="65">
        <f t="shared" si="93"/>
        <v>6.56</v>
      </c>
      <c r="U2150" s="65">
        <f t="shared" si="94"/>
        <v>47.56</v>
      </c>
      <c r="V2150" s="66">
        <f t="shared" si="95"/>
        <v>0.05128205128</v>
      </c>
      <c r="W2150" s="67">
        <f t="shared" si="96"/>
        <v>38.95</v>
      </c>
      <c r="X2150" s="67">
        <f t="shared" si="97"/>
        <v>6.232</v>
      </c>
      <c r="Y2150" s="67">
        <f t="shared" si="98"/>
        <v>45.182</v>
      </c>
      <c r="Z2150" s="67">
        <f t="shared" si="99"/>
        <v>36.9</v>
      </c>
      <c r="AA2150" s="67">
        <f t="shared" si="100"/>
        <v>5.904</v>
      </c>
      <c r="AB2150" s="67">
        <f t="shared" si="101"/>
        <v>42.804</v>
      </c>
      <c r="AC2150" s="67">
        <f t="shared" si="102"/>
        <v>34.85</v>
      </c>
      <c r="AD2150" s="67">
        <f t="shared" si="103"/>
        <v>5.576</v>
      </c>
      <c r="AE2150" s="67">
        <f t="shared" si="104"/>
        <v>40.426</v>
      </c>
      <c r="AF2150" s="67">
        <f t="shared" si="105"/>
        <v>34.03</v>
      </c>
      <c r="AG2150" s="67">
        <f t="shared" si="106"/>
        <v>5.4448</v>
      </c>
      <c r="AH2150" s="67">
        <f t="shared" si="107"/>
        <v>39.4748</v>
      </c>
      <c r="AI2150" s="67">
        <f t="shared" si="108"/>
        <v>32.8</v>
      </c>
      <c r="AJ2150" s="68">
        <f t="shared" si="109"/>
        <v>5.248</v>
      </c>
      <c r="AK2150" s="68">
        <f t="shared" si="110"/>
        <v>38.048</v>
      </c>
      <c r="AL2150" s="70"/>
      <c r="AM2150" s="70"/>
      <c r="AN2150" s="71"/>
      <c r="AO2150" s="71"/>
      <c r="AP2150" s="71"/>
      <c r="AQ2150" s="71"/>
      <c r="AR2150" s="71"/>
      <c r="AS2150" s="71"/>
      <c r="AT2150" s="71"/>
      <c r="AU2150" s="71"/>
      <c r="AV2150" s="71"/>
      <c r="AW2150" s="71"/>
      <c r="AX2150" s="71"/>
      <c r="AY2150" s="71"/>
      <c r="AZ2150" s="71"/>
      <c r="BA2150" s="71"/>
      <c r="BB2150" s="71"/>
      <c r="BC2150" s="71"/>
      <c r="BD2150" s="71"/>
      <c r="BE2150" s="71"/>
      <c r="BF2150" s="71"/>
      <c r="BG2150" s="71"/>
      <c r="BH2150" s="71"/>
      <c r="BI2150" s="71"/>
      <c r="BJ2150" s="71"/>
      <c r="BK2150" s="71"/>
      <c r="BL2150" s="71"/>
      <c r="BM2150" s="71"/>
      <c r="BN2150" s="71"/>
      <c r="BO2150" s="71"/>
      <c r="BP2150" s="71"/>
      <c r="BQ2150" s="71"/>
      <c r="BR2150" s="71"/>
      <c r="BS2150" s="71"/>
      <c r="BT2150" s="71"/>
      <c r="BU2150" s="71"/>
      <c r="BV2150" s="71"/>
    </row>
    <row r="2151">
      <c r="A2151" s="53">
        <v>1.0</v>
      </c>
      <c r="B2151" s="53"/>
      <c r="C2151" s="53" t="s">
        <v>12</v>
      </c>
      <c r="D2151" s="53" t="s">
        <v>5219</v>
      </c>
      <c r="E2151" s="86" t="s">
        <v>38</v>
      </c>
      <c r="F2151" s="91" t="s">
        <v>42</v>
      </c>
      <c r="G2151" s="84" t="s">
        <v>5220</v>
      </c>
      <c r="H2151" s="84" t="s">
        <v>5220</v>
      </c>
      <c r="I2151" s="54">
        <f t="shared" si="24"/>
        <v>11</v>
      </c>
      <c r="J2151" s="56"/>
      <c r="K2151" s="57"/>
      <c r="L2151" s="76"/>
      <c r="M2151" s="59"/>
      <c r="N2151" s="60"/>
      <c r="O2151" s="90"/>
      <c r="P2151" s="62">
        <v>2380.0</v>
      </c>
      <c r="Q2151" s="63">
        <v>2380.0</v>
      </c>
      <c r="R2151" s="64">
        <v>5357.0</v>
      </c>
      <c r="S2151" s="111">
        <v>5625.0</v>
      </c>
      <c r="T2151" s="65">
        <f t="shared" si="93"/>
        <v>900</v>
      </c>
      <c r="U2151" s="65">
        <f t="shared" si="94"/>
        <v>6525</v>
      </c>
      <c r="V2151" s="66">
        <f t="shared" si="95"/>
        <v>0.05002800075</v>
      </c>
      <c r="W2151" s="67">
        <f t="shared" si="96"/>
        <v>5343.75</v>
      </c>
      <c r="X2151" s="67">
        <f t="shared" si="97"/>
        <v>855</v>
      </c>
      <c r="Y2151" s="67">
        <f t="shared" si="98"/>
        <v>6198.75</v>
      </c>
      <c r="Z2151" s="67">
        <f t="shared" si="99"/>
        <v>5062.5</v>
      </c>
      <c r="AA2151" s="67">
        <f t="shared" si="100"/>
        <v>810</v>
      </c>
      <c r="AB2151" s="67">
        <f t="shared" si="101"/>
        <v>5872.5</v>
      </c>
      <c r="AC2151" s="67">
        <f t="shared" si="102"/>
        <v>4781.25</v>
      </c>
      <c r="AD2151" s="67">
        <f t="shared" si="103"/>
        <v>765</v>
      </c>
      <c r="AE2151" s="67">
        <f t="shared" si="104"/>
        <v>5546.25</v>
      </c>
      <c r="AF2151" s="67">
        <f t="shared" si="105"/>
        <v>4668.75</v>
      </c>
      <c r="AG2151" s="67">
        <f t="shared" si="106"/>
        <v>747</v>
      </c>
      <c r="AH2151" s="67">
        <f t="shared" si="107"/>
        <v>5415.75</v>
      </c>
      <c r="AI2151" s="67">
        <f t="shared" si="108"/>
        <v>4500</v>
      </c>
      <c r="AJ2151" s="68">
        <f t="shared" si="109"/>
        <v>720</v>
      </c>
      <c r="AK2151" s="68">
        <f t="shared" si="110"/>
        <v>5220</v>
      </c>
      <c r="AL2151" s="70"/>
      <c r="AM2151" s="70"/>
      <c r="AN2151" s="71"/>
      <c r="AO2151" s="71"/>
      <c r="AP2151" s="71"/>
      <c r="AQ2151" s="71"/>
      <c r="AR2151" s="71"/>
      <c r="AS2151" s="71"/>
      <c r="AT2151" s="71"/>
      <c r="AU2151" s="71"/>
      <c r="AV2151" s="71"/>
      <c r="AW2151" s="71"/>
      <c r="AX2151" s="71"/>
      <c r="AY2151" s="71"/>
      <c r="AZ2151" s="71"/>
      <c r="BA2151" s="71"/>
      <c r="BB2151" s="71"/>
      <c r="BC2151" s="71"/>
      <c r="BD2151" s="71"/>
      <c r="BE2151" s="71"/>
      <c r="BF2151" s="71"/>
      <c r="BG2151" s="71"/>
      <c r="BH2151" s="71"/>
      <c r="BI2151" s="71"/>
      <c r="BJ2151" s="71"/>
      <c r="BK2151" s="71"/>
      <c r="BL2151" s="71"/>
      <c r="BM2151" s="71"/>
      <c r="BN2151" s="71"/>
      <c r="BO2151" s="71"/>
      <c r="BP2151" s="71"/>
      <c r="BQ2151" s="71"/>
      <c r="BR2151" s="71"/>
      <c r="BS2151" s="71"/>
      <c r="BT2151" s="71"/>
      <c r="BU2151" s="71"/>
      <c r="BV2151" s="71"/>
    </row>
    <row r="2152">
      <c r="A2152" s="53">
        <v>1.0</v>
      </c>
      <c r="B2152" s="53"/>
      <c r="C2152" s="73" t="s">
        <v>53</v>
      </c>
      <c r="D2152" s="53" t="s">
        <v>5221</v>
      </c>
      <c r="E2152" s="54" t="s">
        <v>38</v>
      </c>
      <c r="F2152" s="54" t="s">
        <v>42</v>
      </c>
      <c r="G2152" s="54" t="s">
        <v>5222</v>
      </c>
      <c r="H2152" s="54" t="s">
        <v>5223</v>
      </c>
      <c r="I2152" s="54">
        <f t="shared" si="24"/>
        <v>25</v>
      </c>
      <c r="J2152" s="56"/>
      <c r="K2152" s="57"/>
      <c r="L2152" s="76"/>
      <c r="M2152" s="59"/>
      <c r="N2152" s="60">
        <v>3872.0</v>
      </c>
      <c r="O2152" s="61">
        <v>4181.0</v>
      </c>
      <c r="P2152" s="62">
        <v>4515.4800000000005</v>
      </c>
      <c r="Q2152" s="63">
        <v>4515.4800000000005</v>
      </c>
      <c r="R2152" s="64">
        <v>5027.0</v>
      </c>
      <c r="S2152" s="111">
        <v>5278.0</v>
      </c>
      <c r="T2152" s="65">
        <f t="shared" si="93"/>
        <v>844.48</v>
      </c>
      <c r="U2152" s="65">
        <f t="shared" si="94"/>
        <v>6122.48</v>
      </c>
      <c r="V2152" s="66">
        <f t="shared" si="95"/>
        <v>0.04993037597</v>
      </c>
      <c r="W2152" s="67">
        <f t="shared" si="96"/>
        <v>5014.1</v>
      </c>
      <c r="X2152" s="67">
        <f t="shared" si="97"/>
        <v>802.256</v>
      </c>
      <c r="Y2152" s="67">
        <f t="shared" si="98"/>
        <v>5816.356</v>
      </c>
      <c r="Z2152" s="67">
        <f t="shared" si="99"/>
        <v>4750.2</v>
      </c>
      <c r="AA2152" s="67">
        <f t="shared" si="100"/>
        <v>760.032</v>
      </c>
      <c r="AB2152" s="67">
        <f t="shared" si="101"/>
        <v>5510.232</v>
      </c>
      <c r="AC2152" s="67">
        <f t="shared" si="102"/>
        <v>4486.3</v>
      </c>
      <c r="AD2152" s="67">
        <f t="shared" si="103"/>
        <v>717.808</v>
      </c>
      <c r="AE2152" s="67">
        <f t="shared" si="104"/>
        <v>5204.108</v>
      </c>
      <c r="AF2152" s="67">
        <f t="shared" si="105"/>
        <v>4380.74</v>
      </c>
      <c r="AG2152" s="67">
        <f t="shared" si="106"/>
        <v>700.9184</v>
      </c>
      <c r="AH2152" s="67">
        <f t="shared" si="107"/>
        <v>5081.6584</v>
      </c>
      <c r="AI2152" s="67">
        <f t="shared" si="108"/>
        <v>4222.4</v>
      </c>
      <c r="AJ2152" s="68">
        <f t="shared" si="109"/>
        <v>675.584</v>
      </c>
      <c r="AK2152" s="68">
        <f t="shared" si="110"/>
        <v>4897.984</v>
      </c>
      <c r="AL2152" s="70"/>
      <c r="AM2152" s="70"/>
      <c r="AN2152" s="71"/>
      <c r="AO2152" s="71"/>
      <c r="AP2152" s="71"/>
      <c r="AQ2152" s="71"/>
      <c r="AR2152" s="71"/>
      <c r="AS2152" s="71"/>
      <c r="AT2152" s="71"/>
      <c r="AU2152" s="71"/>
      <c r="AV2152" s="71"/>
      <c r="AW2152" s="71"/>
      <c r="AX2152" s="71"/>
      <c r="AY2152" s="71"/>
      <c r="AZ2152" s="71"/>
      <c r="BA2152" s="71"/>
      <c r="BB2152" s="71"/>
      <c r="BC2152" s="71"/>
      <c r="BD2152" s="71"/>
      <c r="BE2152" s="71"/>
      <c r="BF2152" s="71"/>
      <c r="BG2152" s="71"/>
      <c r="BH2152" s="71"/>
      <c r="BI2152" s="71"/>
      <c r="BJ2152" s="71"/>
      <c r="BK2152" s="71"/>
      <c r="BL2152" s="71"/>
      <c r="BM2152" s="71"/>
      <c r="BN2152" s="71"/>
      <c r="BO2152" s="71"/>
      <c r="BP2152" s="71"/>
      <c r="BQ2152" s="71"/>
      <c r="BR2152" s="71"/>
      <c r="BS2152" s="71"/>
      <c r="BT2152" s="71"/>
      <c r="BU2152" s="71"/>
      <c r="BV2152" s="71"/>
    </row>
    <row r="2153">
      <c r="A2153" s="53">
        <v>1.0</v>
      </c>
      <c r="B2153" s="53"/>
      <c r="C2153" s="73" t="s">
        <v>53</v>
      </c>
      <c r="D2153" s="74" t="s">
        <v>5224</v>
      </c>
      <c r="E2153" s="54" t="s">
        <v>38</v>
      </c>
      <c r="F2153" s="54" t="s">
        <v>42</v>
      </c>
      <c r="G2153" s="54" t="s">
        <v>5225</v>
      </c>
      <c r="H2153" s="54" t="s">
        <v>5226</v>
      </c>
      <c r="I2153" s="54">
        <f t="shared" si="24"/>
        <v>24</v>
      </c>
      <c r="J2153" s="56"/>
      <c r="K2153" s="57"/>
      <c r="L2153" s="76"/>
      <c r="M2153" s="59"/>
      <c r="N2153" s="60">
        <v>7272.0</v>
      </c>
      <c r="O2153" s="61">
        <v>7853.0</v>
      </c>
      <c r="P2153" s="62">
        <v>8481.24</v>
      </c>
      <c r="Q2153" s="63">
        <v>8481.24</v>
      </c>
      <c r="R2153" s="64">
        <v>8906.0</v>
      </c>
      <c r="S2153" s="111">
        <v>9351.0</v>
      </c>
      <c r="T2153" s="65">
        <f t="shared" si="93"/>
        <v>1496.16</v>
      </c>
      <c r="U2153" s="65">
        <f t="shared" si="94"/>
        <v>10847.16</v>
      </c>
      <c r="V2153" s="66">
        <f t="shared" si="95"/>
        <v>0.04996631484</v>
      </c>
      <c r="W2153" s="67">
        <f t="shared" si="96"/>
        <v>8883.45</v>
      </c>
      <c r="X2153" s="67">
        <f t="shared" si="97"/>
        <v>1421.352</v>
      </c>
      <c r="Y2153" s="67">
        <f t="shared" si="98"/>
        <v>10304.802</v>
      </c>
      <c r="Z2153" s="67">
        <f t="shared" si="99"/>
        <v>8415.9</v>
      </c>
      <c r="AA2153" s="67">
        <f t="shared" si="100"/>
        <v>1346.544</v>
      </c>
      <c r="AB2153" s="67">
        <f t="shared" si="101"/>
        <v>9762.444</v>
      </c>
      <c r="AC2153" s="67">
        <f t="shared" si="102"/>
        <v>7948.35</v>
      </c>
      <c r="AD2153" s="67">
        <f t="shared" si="103"/>
        <v>1271.736</v>
      </c>
      <c r="AE2153" s="67">
        <f t="shared" si="104"/>
        <v>9220.086</v>
      </c>
      <c r="AF2153" s="67">
        <f t="shared" si="105"/>
        <v>7761.33</v>
      </c>
      <c r="AG2153" s="67">
        <f t="shared" si="106"/>
        <v>1241.8128</v>
      </c>
      <c r="AH2153" s="67">
        <f t="shared" si="107"/>
        <v>9003.1428</v>
      </c>
      <c r="AI2153" s="67">
        <f t="shared" si="108"/>
        <v>7480.8</v>
      </c>
      <c r="AJ2153" s="68">
        <f t="shared" si="109"/>
        <v>1196.928</v>
      </c>
      <c r="AK2153" s="68">
        <f t="shared" si="110"/>
        <v>8677.728</v>
      </c>
      <c r="AL2153" s="70"/>
      <c r="AM2153" s="70"/>
      <c r="AN2153" s="71"/>
      <c r="AO2153" s="71"/>
      <c r="AP2153" s="71"/>
      <c r="AQ2153" s="71"/>
      <c r="AR2153" s="71"/>
      <c r="AS2153" s="71"/>
      <c r="AT2153" s="71"/>
      <c r="AU2153" s="71"/>
      <c r="AV2153" s="71"/>
      <c r="AW2153" s="71"/>
      <c r="AX2153" s="71"/>
      <c r="AY2153" s="71"/>
      <c r="AZ2153" s="71"/>
      <c r="BA2153" s="71"/>
      <c r="BB2153" s="71"/>
      <c r="BC2153" s="71"/>
      <c r="BD2153" s="71"/>
      <c r="BE2153" s="71"/>
      <c r="BF2153" s="71"/>
      <c r="BG2153" s="71"/>
      <c r="BH2153" s="71"/>
      <c r="BI2153" s="71"/>
      <c r="BJ2153" s="71"/>
      <c r="BK2153" s="71"/>
      <c r="BL2153" s="71"/>
      <c r="BM2153" s="71"/>
      <c r="BN2153" s="71"/>
      <c r="BO2153" s="71"/>
      <c r="BP2153" s="71"/>
      <c r="BQ2153" s="71"/>
      <c r="BR2153" s="71"/>
      <c r="BS2153" s="71"/>
      <c r="BT2153" s="71"/>
      <c r="BU2153" s="71"/>
      <c r="BV2153" s="71"/>
    </row>
    <row r="2154">
      <c r="A2154" s="53">
        <v>1.0</v>
      </c>
      <c r="B2154" s="53"/>
      <c r="C2154" s="73" t="s">
        <v>53</v>
      </c>
      <c r="D2154" s="74" t="s">
        <v>5227</v>
      </c>
      <c r="E2154" s="54" t="s">
        <v>38</v>
      </c>
      <c r="F2154" s="54" t="s">
        <v>42</v>
      </c>
      <c r="G2154" s="54" t="s">
        <v>5228</v>
      </c>
      <c r="H2154" s="54" t="s">
        <v>5229</v>
      </c>
      <c r="I2154" s="54">
        <f t="shared" si="24"/>
        <v>28</v>
      </c>
      <c r="J2154" s="56"/>
      <c r="K2154" s="57"/>
      <c r="L2154" s="76"/>
      <c r="M2154" s="59"/>
      <c r="N2154" s="60">
        <v>7135.0</v>
      </c>
      <c r="O2154" s="61">
        <v>7705.0</v>
      </c>
      <c r="P2154" s="62">
        <v>8321.400000000001</v>
      </c>
      <c r="Q2154" s="63">
        <v>8321.400000000001</v>
      </c>
      <c r="R2154" s="64">
        <v>8739.0</v>
      </c>
      <c r="S2154" s="111">
        <v>9176.0</v>
      </c>
      <c r="T2154" s="65">
        <f t="shared" si="93"/>
        <v>1468.16</v>
      </c>
      <c r="U2154" s="65">
        <f t="shared" si="94"/>
        <v>10644.16</v>
      </c>
      <c r="V2154" s="66">
        <f t="shared" si="95"/>
        <v>0.05000572148</v>
      </c>
      <c r="W2154" s="67">
        <f t="shared" si="96"/>
        <v>8717.2</v>
      </c>
      <c r="X2154" s="67">
        <f t="shared" si="97"/>
        <v>1394.752</v>
      </c>
      <c r="Y2154" s="67">
        <f t="shared" si="98"/>
        <v>10111.952</v>
      </c>
      <c r="Z2154" s="67">
        <f t="shared" si="99"/>
        <v>8258.4</v>
      </c>
      <c r="AA2154" s="67">
        <f t="shared" si="100"/>
        <v>1321.344</v>
      </c>
      <c r="AB2154" s="67">
        <f t="shared" si="101"/>
        <v>9579.744</v>
      </c>
      <c r="AC2154" s="67">
        <f t="shared" si="102"/>
        <v>7799.6</v>
      </c>
      <c r="AD2154" s="67">
        <f t="shared" si="103"/>
        <v>1247.936</v>
      </c>
      <c r="AE2154" s="67">
        <f t="shared" si="104"/>
        <v>9047.536</v>
      </c>
      <c r="AF2154" s="67">
        <f t="shared" si="105"/>
        <v>7616.08</v>
      </c>
      <c r="AG2154" s="67">
        <f t="shared" si="106"/>
        <v>1218.5728</v>
      </c>
      <c r="AH2154" s="67">
        <f t="shared" si="107"/>
        <v>8834.6528</v>
      </c>
      <c r="AI2154" s="67">
        <f t="shared" si="108"/>
        <v>7340.8</v>
      </c>
      <c r="AJ2154" s="68">
        <f t="shared" si="109"/>
        <v>1174.528</v>
      </c>
      <c r="AK2154" s="68">
        <f t="shared" si="110"/>
        <v>8515.328</v>
      </c>
      <c r="AL2154" s="70"/>
      <c r="AM2154" s="70"/>
      <c r="AN2154" s="71"/>
      <c r="AO2154" s="71"/>
      <c r="AP2154" s="71"/>
      <c r="AQ2154" s="71"/>
      <c r="AR2154" s="71"/>
      <c r="AS2154" s="71"/>
      <c r="AT2154" s="71"/>
      <c r="AU2154" s="71"/>
      <c r="AV2154" s="71"/>
      <c r="AW2154" s="71"/>
      <c r="AX2154" s="71"/>
      <c r="AY2154" s="71"/>
      <c r="AZ2154" s="71"/>
      <c r="BA2154" s="71"/>
      <c r="BB2154" s="71"/>
      <c r="BC2154" s="71"/>
      <c r="BD2154" s="71"/>
      <c r="BE2154" s="71"/>
      <c r="BF2154" s="71"/>
      <c r="BG2154" s="71"/>
      <c r="BH2154" s="71"/>
      <c r="BI2154" s="71"/>
      <c r="BJ2154" s="71"/>
      <c r="BK2154" s="71"/>
      <c r="BL2154" s="71"/>
      <c r="BM2154" s="71"/>
      <c r="BN2154" s="71"/>
      <c r="BO2154" s="71"/>
      <c r="BP2154" s="71"/>
      <c r="BQ2154" s="71"/>
      <c r="BR2154" s="71"/>
      <c r="BS2154" s="71"/>
      <c r="BT2154" s="71"/>
      <c r="BU2154" s="71"/>
      <c r="BV2154" s="71"/>
    </row>
    <row r="2155">
      <c r="A2155" s="53">
        <v>1.0</v>
      </c>
      <c r="B2155" s="53"/>
      <c r="C2155" s="73" t="s">
        <v>53</v>
      </c>
      <c r="D2155" s="53" t="s">
        <v>5230</v>
      </c>
      <c r="E2155" s="54" t="s">
        <v>38</v>
      </c>
      <c r="F2155" s="54" t="s">
        <v>42</v>
      </c>
      <c r="G2155" s="54" t="s">
        <v>5231</v>
      </c>
      <c r="H2155" s="54" t="s">
        <v>5231</v>
      </c>
      <c r="I2155" s="54">
        <f t="shared" si="24"/>
        <v>24</v>
      </c>
      <c r="J2155" s="56"/>
      <c r="K2155" s="57"/>
      <c r="L2155" s="87"/>
      <c r="M2155" s="59"/>
      <c r="N2155" s="60">
        <v>4765.0</v>
      </c>
      <c r="O2155" s="61">
        <v>5146.0</v>
      </c>
      <c r="P2155" s="62">
        <v>5557.68</v>
      </c>
      <c r="Q2155" s="63">
        <v>5557.68</v>
      </c>
      <c r="R2155" s="64">
        <v>6187.0</v>
      </c>
      <c r="S2155" s="111">
        <v>6496.0</v>
      </c>
      <c r="T2155" s="65">
        <f t="shared" si="93"/>
        <v>1039.36</v>
      </c>
      <c r="U2155" s="65">
        <f t="shared" si="94"/>
        <v>7535.36</v>
      </c>
      <c r="V2155" s="66">
        <f t="shared" si="95"/>
        <v>0.04994342977</v>
      </c>
      <c r="W2155" s="67">
        <f t="shared" si="96"/>
        <v>6171.2</v>
      </c>
      <c r="X2155" s="67">
        <f t="shared" si="97"/>
        <v>987.392</v>
      </c>
      <c r="Y2155" s="67">
        <f t="shared" si="98"/>
        <v>7158.592</v>
      </c>
      <c r="Z2155" s="67">
        <f t="shared" si="99"/>
        <v>5846.4</v>
      </c>
      <c r="AA2155" s="67">
        <f t="shared" si="100"/>
        <v>935.424</v>
      </c>
      <c r="AB2155" s="67">
        <f t="shared" si="101"/>
        <v>6781.824</v>
      </c>
      <c r="AC2155" s="67">
        <f t="shared" si="102"/>
        <v>5521.6</v>
      </c>
      <c r="AD2155" s="67">
        <f t="shared" si="103"/>
        <v>883.456</v>
      </c>
      <c r="AE2155" s="67">
        <f t="shared" si="104"/>
        <v>6405.056</v>
      </c>
      <c r="AF2155" s="67">
        <f t="shared" si="105"/>
        <v>5391.68</v>
      </c>
      <c r="AG2155" s="67">
        <f t="shared" si="106"/>
        <v>862.6688</v>
      </c>
      <c r="AH2155" s="67">
        <f t="shared" si="107"/>
        <v>6254.3488</v>
      </c>
      <c r="AI2155" s="67">
        <f t="shared" si="108"/>
        <v>5196.8</v>
      </c>
      <c r="AJ2155" s="68">
        <f t="shared" si="109"/>
        <v>831.488</v>
      </c>
      <c r="AK2155" s="68">
        <f t="shared" si="110"/>
        <v>6028.288</v>
      </c>
      <c r="AL2155" s="70"/>
      <c r="AM2155" s="70"/>
      <c r="AN2155" s="71"/>
      <c r="AO2155" s="71"/>
      <c r="AP2155" s="71"/>
      <c r="AQ2155" s="71"/>
      <c r="AR2155" s="71"/>
      <c r="AS2155" s="71"/>
      <c r="AT2155" s="71"/>
      <c r="AU2155" s="71"/>
      <c r="AV2155" s="71"/>
      <c r="AW2155" s="71"/>
      <c r="AX2155" s="71"/>
      <c r="AY2155" s="71"/>
      <c r="AZ2155" s="71"/>
      <c r="BA2155" s="71"/>
      <c r="BB2155" s="71"/>
      <c r="BC2155" s="71"/>
      <c r="BD2155" s="71"/>
      <c r="BE2155" s="71"/>
      <c r="BF2155" s="71"/>
      <c r="BG2155" s="71"/>
      <c r="BH2155" s="71"/>
      <c r="BI2155" s="71"/>
      <c r="BJ2155" s="71"/>
      <c r="BK2155" s="71"/>
      <c r="BL2155" s="71"/>
      <c r="BM2155" s="71"/>
      <c r="BN2155" s="71"/>
      <c r="BO2155" s="71"/>
      <c r="BP2155" s="71"/>
      <c r="BQ2155" s="71"/>
      <c r="BR2155" s="71"/>
      <c r="BS2155" s="71"/>
      <c r="BT2155" s="71"/>
      <c r="BU2155" s="71"/>
      <c r="BV2155" s="71"/>
    </row>
    <row r="2156">
      <c r="A2156" s="53"/>
      <c r="B2156" s="53"/>
      <c r="C2156" s="53"/>
      <c r="D2156" s="53" t="s">
        <v>5232</v>
      </c>
      <c r="E2156" s="86" t="s">
        <v>38</v>
      </c>
      <c r="F2156" s="91" t="s">
        <v>42</v>
      </c>
      <c r="G2156" s="84" t="s">
        <v>5233</v>
      </c>
      <c r="H2156" s="84" t="s">
        <v>5233</v>
      </c>
      <c r="I2156" s="54">
        <f t="shared" si="24"/>
        <v>35</v>
      </c>
      <c r="J2156" s="56"/>
      <c r="K2156" s="57"/>
      <c r="L2156" s="76"/>
      <c r="M2156" s="59"/>
      <c r="N2156" s="60"/>
      <c r="O2156" s="90"/>
      <c r="P2156" s="62">
        <v>11500.0</v>
      </c>
      <c r="Q2156" s="63">
        <v>11500.0</v>
      </c>
      <c r="R2156" s="64">
        <v>12075.0</v>
      </c>
      <c r="S2156" s="111">
        <v>12679.0</v>
      </c>
      <c r="T2156" s="65">
        <f t="shared" si="93"/>
        <v>2028.64</v>
      </c>
      <c r="U2156" s="65">
        <f t="shared" si="94"/>
        <v>14707.64</v>
      </c>
      <c r="V2156" s="66"/>
      <c r="W2156" s="67">
        <f t="shared" si="96"/>
        <v>12045.05</v>
      </c>
      <c r="X2156" s="67"/>
      <c r="Y2156" s="67"/>
      <c r="Z2156" s="67">
        <f t="shared" si="99"/>
        <v>11411.1</v>
      </c>
      <c r="AA2156" s="67"/>
      <c r="AB2156" s="67"/>
      <c r="AC2156" s="67">
        <f t="shared" si="102"/>
        <v>10777.15</v>
      </c>
      <c r="AD2156" s="67"/>
      <c r="AE2156" s="67"/>
      <c r="AF2156" s="67">
        <f t="shared" si="105"/>
        <v>10523.57</v>
      </c>
      <c r="AG2156" s="67"/>
      <c r="AH2156" s="67"/>
      <c r="AI2156" s="67">
        <f t="shared" si="108"/>
        <v>10143.2</v>
      </c>
      <c r="AJ2156" s="68"/>
      <c r="AK2156" s="68"/>
      <c r="AL2156" s="70"/>
      <c r="AM2156" s="70"/>
      <c r="AN2156" s="71"/>
      <c r="AO2156" s="71"/>
      <c r="AP2156" s="71"/>
      <c r="AQ2156" s="71"/>
      <c r="AR2156" s="71"/>
      <c r="AS2156" s="71"/>
      <c r="AT2156" s="71"/>
      <c r="AU2156" s="71"/>
      <c r="AV2156" s="71"/>
      <c r="AW2156" s="71"/>
      <c r="AX2156" s="71"/>
      <c r="AY2156" s="71"/>
      <c r="AZ2156" s="71"/>
      <c r="BA2156" s="71"/>
      <c r="BB2156" s="71"/>
      <c r="BC2156" s="71"/>
      <c r="BD2156" s="71"/>
      <c r="BE2156" s="71"/>
      <c r="BF2156" s="71"/>
      <c r="BG2156" s="71"/>
      <c r="BH2156" s="71"/>
      <c r="BI2156" s="71"/>
      <c r="BJ2156" s="71"/>
      <c r="BK2156" s="71"/>
      <c r="BL2156" s="71"/>
      <c r="BM2156" s="71"/>
      <c r="BN2156" s="71"/>
      <c r="BO2156" s="71"/>
      <c r="BP2156" s="71"/>
      <c r="BQ2156" s="71"/>
      <c r="BR2156" s="71"/>
      <c r="BS2156" s="71"/>
      <c r="BT2156" s="71"/>
      <c r="BU2156" s="71"/>
      <c r="BV2156" s="71"/>
    </row>
    <row r="2157">
      <c r="A2157" s="53"/>
      <c r="B2157" s="53"/>
      <c r="C2157" s="53"/>
      <c r="D2157" s="53" t="s">
        <v>5234</v>
      </c>
      <c r="E2157" s="86" t="s">
        <v>38</v>
      </c>
      <c r="F2157" s="91" t="s">
        <v>42</v>
      </c>
      <c r="G2157" s="84" t="s">
        <v>5235</v>
      </c>
      <c r="H2157" s="84" t="s">
        <v>5235</v>
      </c>
      <c r="I2157" s="54">
        <f t="shared" si="24"/>
        <v>35</v>
      </c>
      <c r="J2157" s="56"/>
      <c r="K2157" s="57"/>
      <c r="L2157" s="76"/>
      <c r="M2157" s="59"/>
      <c r="N2157" s="60"/>
      <c r="O2157" s="90"/>
      <c r="P2157" s="62">
        <v>14070.0</v>
      </c>
      <c r="Q2157" s="63">
        <v>14070.0</v>
      </c>
      <c r="R2157" s="64">
        <v>14774.0</v>
      </c>
      <c r="S2157" s="111">
        <v>15513.0</v>
      </c>
      <c r="T2157" s="65">
        <f t="shared" si="93"/>
        <v>2482.08</v>
      </c>
      <c r="U2157" s="65">
        <f t="shared" si="94"/>
        <v>17995.08</v>
      </c>
      <c r="V2157" s="66"/>
      <c r="W2157" s="67">
        <f t="shared" si="96"/>
        <v>14737.35</v>
      </c>
      <c r="X2157" s="67"/>
      <c r="Y2157" s="67"/>
      <c r="Z2157" s="67">
        <f t="shared" si="99"/>
        <v>13961.7</v>
      </c>
      <c r="AA2157" s="67"/>
      <c r="AB2157" s="67"/>
      <c r="AC2157" s="67">
        <f t="shared" si="102"/>
        <v>13186.05</v>
      </c>
      <c r="AD2157" s="67"/>
      <c r="AE2157" s="67"/>
      <c r="AF2157" s="67">
        <f t="shared" si="105"/>
        <v>12875.79</v>
      </c>
      <c r="AG2157" s="67"/>
      <c r="AH2157" s="67"/>
      <c r="AI2157" s="67">
        <f t="shared" si="108"/>
        <v>12410.4</v>
      </c>
      <c r="AJ2157" s="68"/>
      <c r="AK2157" s="68"/>
      <c r="AL2157" s="70"/>
      <c r="AM2157" s="70"/>
      <c r="AN2157" s="71"/>
      <c r="AO2157" s="71"/>
      <c r="AP2157" s="71"/>
      <c r="AQ2157" s="71"/>
      <c r="AR2157" s="71"/>
      <c r="AS2157" s="71"/>
      <c r="AT2157" s="71"/>
      <c r="AU2157" s="71"/>
      <c r="AV2157" s="71"/>
      <c r="AW2157" s="71"/>
      <c r="AX2157" s="71"/>
      <c r="AY2157" s="71"/>
      <c r="AZ2157" s="71"/>
      <c r="BA2157" s="71"/>
      <c r="BB2157" s="71"/>
      <c r="BC2157" s="71"/>
      <c r="BD2157" s="71"/>
      <c r="BE2157" s="71"/>
      <c r="BF2157" s="71"/>
      <c r="BG2157" s="71"/>
      <c r="BH2157" s="71"/>
      <c r="BI2157" s="71"/>
      <c r="BJ2157" s="71"/>
      <c r="BK2157" s="71"/>
      <c r="BL2157" s="71"/>
      <c r="BM2157" s="71"/>
      <c r="BN2157" s="71"/>
      <c r="BO2157" s="71"/>
      <c r="BP2157" s="71"/>
      <c r="BQ2157" s="71"/>
      <c r="BR2157" s="71"/>
      <c r="BS2157" s="71"/>
      <c r="BT2157" s="71"/>
      <c r="BU2157" s="71"/>
      <c r="BV2157" s="71"/>
    </row>
    <row r="2158">
      <c r="A2158" s="53"/>
      <c r="B2158" s="53"/>
      <c r="C2158" s="53" t="s">
        <v>53</v>
      </c>
      <c r="D2158" s="53" t="s">
        <v>5236</v>
      </c>
      <c r="E2158" s="86" t="s">
        <v>38</v>
      </c>
      <c r="F2158" s="91" t="s">
        <v>42</v>
      </c>
      <c r="G2158" s="84" t="s">
        <v>5237</v>
      </c>
      <c r="H2158" s="84" t="s">
        <v>5238</v>
      </c>
      <c r="I2158" s="54">
        <f t="shared" si="24"/>
        <v>38</v>
      </c>
      <c r="J2158" s="56"/>
      <c r="K2158" s="57"/>
      <c r="L2158" s="76"/>
      <c r="M2158" s="59"/>
      <c r="N2158" s="60"/>
      <c r="O2158" s="90"/>
      <c r="P2158" s="62">
        <v>5198.0</v>
      </c>
      <c r="Q2158" s="63">
        <v>5198.0</v>
      </c>
      <c r="R2158" s="64">
        <v>5458.0</v>
      </c>
      <c r="S2158" s="111">
        <v>5731.0</v>
      </c>
      <c r="T2158" s="65">
        <f t="shared" si="93"/>
        <v>916.96</v>
      </c>
      <c r="U2158" s="65">
        <f t="shared" si="94"/>
        <v>6647.96</v>
      </c>
      <c r="V2158" s="66"/>
      <c r="W2158" s="67">
        <f t="shared" si="96"/>
        <v>5444.45</v>
      </c>
      <c r="X2158" s="67"/>
      <c r="Y2158" s="67"/>
      <c r="Z2158" s="67">
        <f t="shared" si="99"/>
        <v>5157.9</v>
      </c>
      <c r="AA2158" s="67"/>
      <c r="AB2158" s="67"/>
      <c r="AC2158" s="67">
        <f t="shared" si="102"/>
        <v>4871.35</v>
      </c>
      <c r="AD2158" s="67"/>
      <c r="AE2158" s="67"/>
      <c r="AF2158" s="67">
        <f t="shared" si="105"/>
        <v>4756.73</v>
      </c>
      <c r="AG2158" s="67"/>
      <c r="AH2158" s="67"/>
      <c r="AI2158" s="67">
        <f t="shared" si="108"/>
        <v>4584.8</v>
      </c>
      <c r="AJ2158" s="68"/>
      <c r="AK2158" s="68"/>
      <c r="AL2158" s="70"/>
      <c r="AM2158" s="70"/>
      <c r="AN2158" s="71"/>
      <c r="AO2158" s="71"/>
      <c r="AP2158" s="71"/>
      <c r="AQ2158" s="71"/>
      <c r="AR2158" s="71"/>
      <c r="AS2158" s="71"/>
      <c r="AT2158" s="71"/>
      <c r="AU2158" s="71"/>
      <c r="AV2158" s="71"/>
      <c r="AW2158" s="71"/>
      <c r="AX2158" s="71"/>
      <c r="AY2158" s="71"/>
      <c r="AZ2158" s="71"/>
      <c r="BA2158" s="71"/>
      <c r="BB2158" s="71"/>
      <c r="BC2158" s="71"/>
      <c r="BD2158" s="71"/>
      <c r="BE2158" s="71"/>
      <c r="BF2158" s="71"/>
      <c r="BG2158" s="71"/>
      <c r="BH2158" s="71"/>
      <c r="BI2158" s="71"/>
      <c r="BJ2158" s="71"/>
      <c r="BK2158" s="71"/>
      <c r="BL2158" s="71"/>
      <c r="BM2158" s="71"/>
      <c r="BN2158" s="71"/>
      <c r="BO2158" s="71"/>
      <c r="BP2158" s="71"/>
      <c r="BQ2158" s="71"/>
      <c r="BR2158" s="71"/>
      <c r="BS2158" s="71"/>
      <c r="BT2158" s="71"/>
      <c r="BU2158" s="71"/>
      <c r="BV2158" s="71"/>
    </row>
    <row r="2159">
      <c r="A2159" s="53"/>
      <c r="B2159" s="53"/>
      <c r="C2159" s="73" t="s">
        <v>53</v>
      </c>
      <c r="D2159" s="131" t="s">
        <v>5239</v>
      </c>
      <c r="E2159" s="54" t="s">
        <v>38</v>
      </c>
      <c r="F2159" s="54" t="s">
        <v>42</v>
      </c>
      <c r="G2159" s="55" t="s">
        <v>5240</v>
      </c>
      <c r="H2159" s="55" t="s">
        <v>5240</v>
      </c>
      <c r="I2159" s="54">
        <f t="shared" si="24"/>
        <v>18</v>
      </c>
      <c r="J2159" s="56"/>
      <c r="K2159" s="57"/>
      <c r="L2159" s="76"/>
      <c r="M2159" s="59"/>
      <c r="N2159" s="60"/>
      <c r="O2159" s="90"/>
      <c r="P2159" s="62">
        <v>1000.0</v>
      </c>
      <c r="Q2159" s="63">
        <v>1000.0</v>
      </c>
      <c r="R2159" s="78">
        <v>1000.0</v>
      </c>
      <c r="S2159" s="111">
        <v>1050.0</v>
      </c>
      <c r="T2159" s="65">
        <f t="shared" si="93"/>
        <v>168</v>
      </c>
      <c r="U2159" s="65">
        <f t="shared" si="94"/>
        <v>1218</v>
      </c>
      <c r="V2159" s="66">
        <f t="shared" ref="V2159:V2304" si="111">(S2159-R2159)/R2159</f>
        <v>0.05</v>
      </c>
      <c r="W2159" s="67">
        <f t="shared" si="96"/>
        <v>997.5</v>
      </c>
      <c r="X2159" s="67">
        <f t="shared" ref="X2159:X2520" si="112">W2159*0.16</f>
        <v>159.6</v>
      </c>
      <c r="Y2159" s="67">
        <f t="shared" ref="Y2159:Y2520" si="113">W2159+X2159</f>
        <v>1157.1</v>
      </c>
      <c r="Z2159" s="67">
        <f t="shared" si="99"/>
        <v>945</v>
      </c>
      <c r="AA2159" s="67">
        <f t="shared" ref="AA2159:AA2780" si="114">Z2159*0.16</f>
        <v>151.2</v>
      </c>
      <c r="AB2159" s="67">
        <f t="shared" ref="AB2159:AB2780" si="115">Z2159+AA2159</f>
        <v>1096.2</v>
      </c>
      <c r="AC2159" s="67">
        <f t="shared" si="102"/>
        <v>892.5</v>
      </c>
      <c r="AD2159" s="67">
        <f t="shared" ref="AD2159:AD2780" si="116">AC2159*0.16</f>
        <v>142.8</v>
      </c>
      <c r="AE2159" s="67">
        <f t="shared" ref="AE2159:AE2780" si="117">AC2159+AD2159</f>
        <v>1035.3</v>
      </c>
      <c r="AF2159" s="67">
        <f t="shared" si="105"/>
        <v>871.5</v>
      </c>
      <c r="AG2159" s="67">
        <f t="shared" ref="AG2159:AG2780" si="118">AF2159*0.16</f>
        <v>139.44</v>
      </c>
      <c r="AH2159" s="67">
        <f t="shared" ref="AH2159:AH2780" si="119">AF2159+AG2159</f>
        <v>1010.94</v>
      </c>
      <c r="AI2159" s="67">
        <f t="shared" si="108"/>
        <v>840</v>
      </c>
      <c r="AJ2159" s="68">
        <f t="shared" ref="AJ2159:AJ2474" si="120">AI2159*0.16</f>
        <v>134.4</v>
      </c>
      <c r="AK2159" s="68">
        <f t="shared" ref="AK2159:AK2474" si="121">AI2159+AJ2159</f>
        <v>974.4</v>
      </c>
      <c r="AL2159" s="70"/>
      <c r="AM2159" s="70"/>
      <c r="AN2159" s="71"/>
      <c r="AO2159" s="71"/>
      <c r="AP2159" s="71"/>
      <c r="AQ2159" s="71"/>
      <c r="AR2159" s="71"/>
      <c r="AS2159" s="71"/>
      <c r="AT2159" s="71"/>
      <c r="AU2159" s="71"/>
      <c r="AV2159" s="71"/>
      <c r="AW2159" s="71"/>
      <c r="AX2159" s="71"/>
      <c r="AY2159" s="71"/>
      <c r="AZ2159" s="71"/>
      <c r="BA2159" s="71"/>
      <c r="BB2159" s="71"/>
      <c r="BC2159" s="71"/>
      <c r="BD2159" s="71"/>
      <c r="BE2159" s="71"/>
      <c r="BF2159" s="71"/>
      <c r="BG2159" s="71"/>
      <c r="BH2159" s="71"/>
      <c r="BI2159" s="71"/>
      <c r="BJ2159" s="71"/>
      <c r="BK2159" s="71"/>
      <c r="BL2159" s="71"/>
      <c r="BM2159" s="71"/>
      <c r="BN2159" s="71"/>
      <c r="BO2159" s="71"/>
      <c r="BP2159" s="71"/>
      <c r="BQ2159" s="71"/>
      <c r="BR2159" s="71"/>
      <c r="BS2159" s="71"/>
      <c r="BT2159" s="71"/>
      <c r="BU2159" s="71"/>
      <c r="BV2159" s="71"/>
    </row>
    <row r="2160">
      <c r="A2160" s="53"/>
      <c r="B2160" s="53"/>
      <c r="C2160" s="73" t="s">
        <v>12</v>
      </c>
      <c r="D2160" s="53" t="s">
        <v>5241</v>
      </c>
      <c r="E2160" s="54" t="s">
        <v>38</v>
      </c>
      <c r="F2160" s="54" t="s">
        <v>42</v>
      </c>
      <c r="G2160" s="55" t="s">
        <v>5242</v>
      </c>
      <c r="H2160" s="54" t="s">
        <v>5243</v>
      </c>
      <c r="I2160" s="54">
        <f t="shared" si="24"/>
        <v>37</v>
      </c>
      <c r="J2160" s="56"/>
      <c r="K2160" s="57"/>
      <c r="L2160" s="76"/>
      <c r="M2160" s="59"/>
      <c r="N2160" s="79">
        <v>20.0</v>
      </c>
      <c r="O2160" s="61">
        <v>21.0</v>
      </c>
      <c r="P2160" s="62">
        <v>22.68</v>
      </c>
      <c r="Q2160" s="63">
        <v>22.68</v>
      </c>
      <c r="R2160" s="64">
        <v>25.0</v>
      </c>
      <c r="S2160" s="111">
        <v>26.0</v>
      </c>
      <c r="T2160" s="65">
        <f t="shared" si="93"/>
        <v>4.16</v>
      </c>
      <c r="U2160" s="65">
        <f t="shared" si="94"/>
        <v>30.16</v>
      </c>
      <c r="V2160" s="66">
        <f t="shared" si="111"/>
        <v>0.04</v>
      </c>
      <c r="W2160" s="67">
        <f t="shared" si="96"/>
        <v>24.7</v>
      </c>
      <c r="X2160" s="67">
        <f t="shared" si="112"/>
        <v>3.952</v>
      </c>
      <c r="Y2160" s="67">
        <f t="shared" si="113"/>
        <v>28.652</v>
      </c>
      <c r="Z2160" s="67">
        <f t="shared" si="99"/>
        <v>23.4</v>
      </c>
      <c r="AA2160" s="67">
        <f t="shared" si="114"/>
        <v>3.744</v>
      </c>
      <c r="AB2160" s="67">
        <f t="shared" si="115"/>
        <v>27.144</v>
      </c>
      <c r="AC2160" s="67">
        <f t="shared" si="102"/>
        <v>22.1</v>
      </c>
      <c r="AD2160" s="67">
        <f t="shared" si="116"/>
        <v>3.536</v>
      </c>
      <c r="AE2160" s="67">
        <f t="shared" si="117"/>
        <v>25.636</v>
      </c>
      <c r="AF2160" s="67">
        <f t="shared" si="105"/>
        <v>21.58</v>
      </c>
      <c r="AG2160" s="67">
        <f t="shared" si="118"/>
        <v>3.4528</v>
      </c>
      <c r="AH2160" s="67">
        <f t="shared" si="119"/>
        <v>25.0328</v>
      </c>
      <c r="AI2160" s="67">
        <f t="shared" si="108"/>
        <v>20.8</v>
      </c>
      <c r="AJ2160" s="68">
        <f t="shared" si="120"/>
        <v>3.328</v>
      </c>
      <c r="AK2160" s="68">
        <f t="shared" si="121"/>
        <v>24.128</v>
      </c>
      <c r="AL2160" s="70"/>
      <c r="AM2160" s="70"/>
      <c r="AN2160" s="71"/>
      <c r="AO2160" s="71"/>
      <c r="AP2160" s="71"/>
      <c r="AQ2160" s="71"/>
      <c r="AR2160" s="71"/>
      <c r="AS2160" s="71"/>
      <c r="AT2160" s="71"/>
      <c r="AU2160" s="71"/>
      <c r="AV2160" s="71"/>
      <c r="AW2160" s="71"/>
      <c r="AX2160" s="71"/>
      <c r="AY2160" s="71"/>
      <c r="AZ2160" s="71"/>
      <c r="BA2160" s="71"/>
      <c r="BB2160" s="71"/>
      <c r="BC2160" s="71"/>
      <c r="BD2160" s="71"/>
      <c r="BE2160" s="71"/>
      <c r="BF2160" s="71"/>
      <c r="BG2160" s="71"/>
      <c r="BH2160" s="71"/>
      <c r="BI2160" s="71"/>
      <c r="BJ2160" s="71"/>
      <c r="BK2160" s="71"/>
      <c r="BL2160" s="71"/>
      <c r="BM2160" s="71"/>
      <c r="BN2160" s="71"/>
      <c r="BO2160" s="71"/>
      <c r="BP2160" s="71"/>
      <c r="BQ2160" s="71"/>
      <c r="BR2160" s="71"/>
      <c r="BS2160" s="71"/>
      <c r="BT2160" s="71"/>
      <c r="BU2160" s="71"/>
      <c r="BV2160" s="71"/>
    </row>
    <row r="2161">
      <c r="A2161" s="53"/>
      <c r="B2161" s="53"/>
      <c r="C2161" s="53" t="s">
        <v>36</v>
      </c>
      <c r="D2161" s="85" t="s">
        <v>5244</v>
      </c>
      <c r="E2161" s="54" t="s">
        <v>38</v>
      </c>
      <c r="F2161" s="55" t="s">
        <v>39</v>
      </c>
      <c r="G2161" s="86" t="s">
        <v>5245</v>
      </c>
      <c r="H2161" s="55"/>
      <c r="I2161" s="54">
        <f t="shared" si="24"/>
        <v>0</v>
      </c>
      <c r="J2161" s="56"/>
      <c r="K2161" s="57"/>
      <c r="L2161" s="76"/>
      <c r="M2161" s="59"/>
      <c r="N2161" s="60"/>
      <c r="O2161" s="61">
        <v>62.4</v>
      </c>
      <c r="P2161" s="62">
        <v>67.392</v>
      </c>
      <c r="Q2161" s="63">
        <v>67.392</v>
      </c>
      <c r="R2161" s="64">
        <v>71.0</v>
      </c>
      <c r="S2161" s="107">
        <v>75.0</v>
      </c>
      <c r="T2161" s="65">
        <f t="shared" si="93"/>
        <v>12</v>
      </c>
      <c r="U2161" s="65">
        <f t="shared" si="94"/>
        <v>87</v>
      </c>
      <c r="V2161" s="66">
        <f t="shared" si="111"/>
        <v>0.05633802817</v>
      </c>
      <c r="W2161" s="67">
        <f t="shared" si="96"/>
        <v>71.25</v>
      </c>
      <c r="X2161" s="67">
        <f t="shared" si="112"/>
        <v>11.4</v>
      </c>
      <c r="Y2161" s="67">
        <f t="shared" si="113"/>
        <v>82.65</v>
      </c>
      <c r="Z2161" s="67">
        <f t="shared" si="99"/>
        <v>67.5</v>
      </c>
      <c r="AA2161" s="67">
        <f t="shared" si="114"/>
        <v>10.8</v>
      </c>
      <c r="AB2161" s="67">
        <f t="shared" si="115"/>
        <v>78.3</v>
      </c>
      <c r="AC2161" s="67">
        <f t="shared" si="102"/>
        <v>63.75</v>
      </c>
      <c r="AD2161" s="67">
        <f t="shared" si="116"/>
        <v>10.2</v>
      </c>
      <c r="AE2161" s="67">
        <f t="shared" si="117"/>
        <v>73.95</v>
      </c>
      <c r="AF2161" s="67">
        <f t="shared" si="105"/>
        <v>62.25</v>
      </c>
      <c r="AG2161" s="67">
        <f t="shared" si="118"/>
        <v>9.96</v>
      </c>
      <c r="AH2161" s="67">
        <f t="shared" si="119"/>
        <v>72.21</v>
      </c>
      <c r="AI2161" s="67">
        <f t="shared" si="108"/>
        <v>60</v>
      </c>
      <c r="AJ2161" s="68">
        <f t="shared" si="120"/>
        <v>9.6</v>
      </c>
      <c r="AK2161" s="68">
        <f t="shared" si="121"/>
        <v>69.6</v>
      </c>
      <c r="AL2161" s="70"/>
      <c r="AM2161" s="70"/>
      <c r="AN2161" s="71"/>
      <c r="AO2161" s="71"/>
      <c r="AP2161" s="71"/>
      <c r="AQ2161" s="71"/>
      <c r="AR2161" s="71"/>
      <c r="AS2161" s="71"/>
      <c r="AT2161" s="71"/>
      <c r="AU2161" s="71"/>
      <c r="AV2161" s="71"/>
      <c r="AW2161" s="71"/>
      <c r="AX2161" s="71"/>
      <c r="AY2161" s="71"/>
      <c r="AZ2161" s="71"/>
      <c r="BA2161" s="71"/>
      <c r="BB2161" s="71"/>
      <c r="BC2161" s="71"/>
      <c r="BD2161" s="71"/>
      <c r="BE2161" s="71"/>
      <c r="BF2161" s="71"/>
      <c r="BG2161" s="71"/>
      <c r="BH2161" s="71"/>
      <c r="BI2161" s="71"/>
      <c r="BJ2161" s="71"/>
      <c r="BK2161" s="71"/>
      <c r="BL2161" s="71"/>
      <c r="BM2161" s="71"/>
      <c r="BN2161" s="71"/>
      <c r="BO2161" s="71"/>
      <c r="BP2161" s="71"/>
      <c r="BQ2161" s="71"/>
      <c r="BR2161" s="71"/>
      <c r="BS2161" s="71"/>
      <c r="BT2161" s="71"/>
      <c r="BU2161" s="71"/>
      <c r="BV2161" s="71"/>
    </row>
    <row r="2162">
      <c r="A2162" s="53">
        <v>1.0</v>
      </c>
      <c r="B2162" s="53"/>
      <c r="C2162" s="73" t="s">
        <v>53</v>
      </c>
      <c r="D2162" s="53" t="s">
        <v>5246</v>
      </c>
      <c r="E2162" s="54" t="s">
        <v>38</v>
      </c>
      <c r="F2162" s="54" t="s">
        <v>42</v>
      </c>
      <c r="G2162" s="88" t="s">
        <v>5247</v>
      </c>
      <c r="H2162" s="54" t="s">
        <v>5247</v>
      </c>
      <c r="I2162" s="54">
        <f t="shared" si="24"/>
        <v>37</v>
      </c>
      <c r="J2162" s="56"/>
      <c r="K2162" s="57"/>
      <c r="L2162" s="87"/>
      <c r="M2162" s="59"/>
      <c r="N2162" s="60">
        <v>1367.0</v>
      </c>
      <c r="O2162" s="61">
        <v>1476.0</v>
      </c>
      <c r="P2162" s="62">
        <v>1594.0800000000002</v>
      </c>
      <c r="Q2162" s="63">
        <v>1594.0800000000002</v>
      </c>
      <c r="R2162" s="64">
        <v>1775.0</v>
      </c>
      <c r="S2162" s="111">
        <v>1864.0</v>
      </c>
      <c r="T2162" s="65">
        <f t="shared" si="93"/>
        <v>298.24</v>
      </c>
      <c r="U2162" s="65">
        <f t="shared" si="94"/>
        <v>2162.24</v>
      </c>
      <c r="V2162" s="66">
        <f t="shared" si="111"/>
        <v>0.05014084507</v>
      </c>
      <c r="W2162" s="67">
        <f t="shared" si="96"/>
        <v>1770.8</v>
      </c>
      <c r="X2162" s="67">
        <f t="shared" si="112"/>
        <v>283.328</v>
      </c>
      <c r="Y2162" s="67">
        <f t="shared" si="113"/>
        <v>2054.128</v>
      </c>
      <c r="Z2162" s="67">
        <f t="shared" si="99"/>
        <v>1677.6</v>
      </c>
      <c r="AA2162" s="67">
        <f t="shared" si="114"/>
        <v>268.416</v>
      </c>
      <c r="AB2162" s="67">
        <f t="shared" si="115"/>
        <v>1946.016</v>
      </c>
      <c r="AC2162" s="67">
        <f t="shared" si="102"/>
        <v>1584.4</v>
      </c>
      <c r="AD2162" s="67">
        <f t="shared" si="116"/>
        <v>253.504</v>
      </c>
      <c r="AE2162" s="67">
        <f t="shared" si="117"/>
        <v>1837.904</v>
      </c>
      <c r="AF2162" s="67">
        <f t="shared" si="105"/>
        <v>1547.12</v>
      </c>
      <c r="AG2162" s="67">
        <f t="shared" si="118"/>
        <v>247.5392</v>
      </c>
      <c r="AH2162" s="67">
        <f t="shared" si="119"/>
        <v>1794.6592</v>
      </c>
      <c r="AI2162" s="67">
        <f t="shared" si="108"/>
        <v>1491.2</v>
      </c>
      <c r="AJ2162" s="68">
        <f t="shared" si="120"/>
        <v>238.592</v>
      </c>
      <c r="AK2162" s="68">
        <f t="shared" si="121"/>
        <v>1729.792</v>
      </c>
      <c r="AL2162" s="70"/>
      <c r="AM2162" s="70"/>
      <c r="AN2162" s="71"/>
      <c r="AO2162" s="71"/>
      <c r="AP2162" s="71"/>
      <c r="AQ2162" s="71"/>
      <c r="AR2162" s="71"/>
      <c r="AS2162" s="71"/>
      <c r="AT2162" s="71"/>
      <c r="AU2162" s="71"/>
      <c r="AV2162" s="71"/>
      <c r="AW2162" s="71"/>
      <c r="AX2162" s="71"/>
      <c r="AY2162" s="71"/>
      <c r="AZ2162" s="71"/>
      <c r="BA2162" s="71"/>
      <c r="BB2162" s="71"/>
      <c r="BC2162" s="71"/>
      <c r="BD2162" s="71"/>
      <c r="BE2162" s="71"/>
      <c r="BF2162" s="71"/>
      <c r="BG2162" s="71"/>
      <c r="BH2162" s="71"/>
      <c r="BI2162" s="71"/>
      <c r="BJ2162" s="71"/>
      <c r="BK2162" s="71"/>
      <c r="BL2162" s="71"/>
      <c r="BM2162" s="71"/>
      <c r="BN2162" s="71"/>
      <c r="BO2162" s="71"/>
      <c r="BP2162" s="71"/>
      <c r="BQ2162" s="71"/>
      <c r="BR2162" s="71"/>
      <c r="BS2162" s="71"/>
      <c r="BT2162" s="71"/>
      <c r="BU2162" s="71"/>
      <c r="BV2162" s="71"/>
    </row>
    <row r="2163">
      <c r="A2163" s="53">
        <v>1.0</v>
      </c>
      <c r="B2163" s="53"/>
      <c r="C2163" s="73" t="s">
        <v>53</v>
      </c>
      <c r="D2163" s="53" t="s">
        <v>5248</v>
      </c>
      <c r="E2163" s="54" t="s">
        <v>38</v>
      </c>
      <c r="F2163" s="54" t="s">
        <v>42</v>
      </c>
      <c r="G2163" s="88" t="s">
        <v>5249</v>
      </c>
      <c r="H2163" s="54" t="s">
        <v>5249</v>
      </c>
      <c r="I2163" s="54">
        <f t="shared" si="24"/>
        <v>38</v>
      </c>
      <c r="J2163" s="56"/>
      <c r="K2163" s="57"/>
      <c r="L2163" s="87"/>
      <c r="M2163" s="59"/>
      <c r="N2163" s="60">
        <v>5239.0</v>
      </c>
      <c r="O2163" s="61">
        <v>5658.0</v>
      </c>
      <c r="P2163" s="62">
        <v>6110.64</v>
      </c>
      <c r="Q2163" s="63">
        <v>6110.64</v>
      </c>
      <c r="R2163" s="64">
        <v>6802.0</v>
      </c>
      <c r="S2163" s="111">
        <v>7142.0</v>
      </c>
      <c r="T2163" s="65">
        <f t="shared" si="93"/>
        <v>1142.72</v>
      </c>
      <c r="U2163" s="65">
        <f t="shared" si="94"/>
        <v>8284.72</v>
      </c>
      <c r="V2163" s="66">
        <f t="shared" si="111"/>
        <v>0.04998529844</v>
      </c>
      <c r="W2163" s="67">
        <f t="shared" si="96"/>
        <v>6784.9</v>
      </c>
      <c r="X2163" s="67">
        <f t="shared" si="112"/>
        <v>1085.584</v>
      </c>
      <c r="Y2163" s="67">
        <f t="shared" si="113"/>
        <v>7870.484</v>
      </c>
      <c r="Z2163" s="67">
        <f t="shared" si="99"/>
        <v>6427.8</v>
      </c>
      <c r="AA2163" s="67">
        <f t="shared" si="114"/>
        <v>1028.448</v>
      </c>
      <c r="AB2163" s="67">
        <f t="shared" si="115"/>
        <v>7456.248</v>
      </c>
      <c r="AC2163" s="67">
        <f t="shared" si="102"/>
        <v>6070.7</v>
      </c>
      <c r="AD2163" s="67">
        <f t="shared" si="116"/>
        <v>971.312</v>
      </c>
      <c r="AE2163" s="67">
        <f t="shared" si="117"/>
        <v>7042.012</v>
      </c>
      <c r="AF2163" s="67">
        <f t="shared" si="105"/>
        <v>5927.86</v>
      </c>
      <c r="AG2163" s="67">
        <f t="shared" si="118"/>
        <v>948.4576</v>
      </c>
      <c r="AH2163" s="67">
        <f t="shared" si="119"/>
        <v>6876.3176</v>
      </c>
      <c r="AI2163" s="67">
        <f t="shared" si="108"/>
        <v>5713.6</v>
      </c>
      <c r="AJ2163" s="68">
        <f t="shared" si="120"/>
        <v>914.176</v>
      </c>
      <c r="AK2163" s="68">
        <f t="shared" si="121"/>
        <v>6627.776</v>
      </c>
      <c r="AL2163" s="70"/>
      <c r="AM2163" s="70"/>
      <c r="AN2163" s="71"/>
      <c r="AO2163" s="71"/>
      <c r="AP2163" s="71"/>
      <c r="AQ2163" s="71"/>
      <c r="AR2163" s="71"/>
      <c r="AS2163" s="71"/>
      <c r="AT2163" s="71"/>
      <c r="AU2163" s="71"/>
      <c r="AV2163" s="71"/>
      <c r="AW2163" s="71"/>
      <c r="AX2163" s="71"/>
      <c r="AY2163" s="71"/>
      <c r="AZ2163" s="71"/>
      <c r="BA2163" s="71"/>
      <c r="BB2163" s="71"/>
      <c r="BC2163" s="71"/>
      <c r="BD2163" s="71"/>
      <c r="BE2163" s="71"/>
      <c r="BF2163" s="71"/>
      <c r="BG2163" s="71"/>
      <c r="BH2163" s="71"/>
      <c r="BI2163" s="71"/>
      <c r="BJ2163" s="71"/>
      <c r="BK2163" s="71"/>
      <c r="BL2163" s="71"/>
      <c r="BM2163" s="71"/>
      <c r="BN2163" s="71"/>
      <c r="BO2163" s="71"/>
      <c r="BP2163" s="71"/>
      <c r="BQ2163" s="71"/>
      <c r="BR2163" s="71"/>
      <c r="BS2163" s="71"/>
      <c r="BT2163" s="71"/>
      <c r="BU2163" s="71"/>
      <c r="BV2163" s="71"/>
    </row>
    <row r="2164">
      <c r="A2164" s="53"/>
      <c r="B2164" s="53"/>
      <c r="C2164" s="53" t="s">
        <v>36</v>
      </c>
      <c r="D2164" s="85" t="s">
        <v>5250</v>
      </c>
      <c r="E2164" s="54" t="s">
        <v>38</v>
      </c>
      <c r="F2164" s="55" t="s">
        <v>39</v>
      </c>
      <c r="G2164" s="86" t="s">
        <v>5251</v>
      </c>
      <c r="H2164" s="55"/>
      <c r="I2164" s="54">
        <f t="shared" si="24"/>
        <v>0</v>
      </c>
      <c r="J2164" s="56"/>
      <c r="K2164" s="57"/>
      <c r="L2164" s="76"/>
      <c r="M2164" s="59"/>
      <c r="N2164" s="60"/>
      <c r="O2164" s="61">
        <v>4032.0</v>
      </c>
      <c r="P2164" s="62">
        <v>4354.56</v>
      </c>
      <c r="Q2164" s="63">
        <v>4354.56</v>
      </c>
      <c r="R2164" s="64">
        <v>4573.0</v>
      </c>
      <c r="S2164" s="107">
        <v>4802.0</v>
      </c>
      <c r="T2164" s="65">
        <f t="shared" si="93"/>
        <v>768.32</v>
      </c>
      <c r="U2164" s="65">
        <f t="shared" si="94"/>
        <v>5570.32</v>
      </c>
      <c r="V2164" s="66">
        <f t="shared" si="111"/>
        <v>0.05007653619</v>
      </c>
      <c r="W2164" s="67">
        <f t="shared" si="96"/>
        <v>4561.9</v>
      </c>
      <c r="X2164" s="67">
        <f t="shared" si="112"/>
        <v>729.904</v>
      </c>
      <c r="Y2164" s="67">
        <f t="shared" si="113"/>
        <v>5291.804</v>
      </c>
      <c r="Z2164" s="67">
        <f t="shared" si="99"/>
        <v>4321.8</v>
      </c>
      <c r="AA2164" s="67">
        <f t="shared" si="114"/>
        <v>691.488</v>
      </c>
      <c r="AB2164" s="67">
        <f t="shared" si="115"/>
        <v>5013.288</v>
      </c>
      <c r="AC2164" s="67">
        <f t="shared" si="102"/>
        <v>4081.7</v>
      </c>
      <c r="AD2164" s="67">
        <f t="shared" si="116"/>
        <v>653.072</v>
      </c>
      <c r="AE2164" s="67">
        <f t="shared" si="117"/>
        <v>4734.772</v>
      </c>
      <c r="AF2164" s="67">
        <f t="shared" si="105"/>
        <v>3985.66</v>
      </c>
      <c r="AG2164" s="67">
        <f t="shared" si="118"/>
        <v>637.7056</v>
      </c>
      <c r="AH2164" s="67">
        <f t="shared" si="119"/>
        <v>4623.3656</v>
      </c>
      <c r="AI2164" s="67">
        <f t="shared" si="108"/>
        <v>3841.6</v>
      </c>
      <c r="AJ2164" s="68">
        <f t="shared" si="120"/>
        <v>614.656</v>
      </c>
      <c r="AK2164" s="68">
        <f t="shared" si="121"/>
        <v>4456.256</v>
      </c>
      <c r="AL2164" s="70"/>
      <c r="AM2164" s="70"/>
      <c r="AN2164" s="71"/>
      <c r="AO2164" s="71"/>
      <c r="AP2164" s="71"/>
      <c r="AQ2164" s="71"/>
      <c r="AR2164" s="71"/>
      <c r="AS2164" s="71"/>
      <c r="AT2164" s="71"/>
      <c r="AU2164" s="71"/>
      <c r="AV2164" s="71"/>
      <c r="AW2164" s="71"/>
      <c r="AX2164" s="71"/>
      <c r="AY2164" s="71"/>
      <c r="AZ2164" s="71"/>
      <c r="BA2164" s="71"/>
      <c r="BB2164" s="71"/>
      <c r="BC2164" s="71"/>
      <c r="BD2164" s="71"/>
      <c r="BE2164" s="71"/>
      <c r="BF2164" s="71"/>
      <c r="BG2164" s="71"/>
      <c r="BH2164" s="71"/>
      <c r="BI2164" s="71"/>
      <c r="BJ2164" s="71"/>
      <c r="BK2164" s="71"/>
      <c r="BL2164" s="71"/>
      <c r="BM2164" s="71"/>
      <c r="BN2164" s="71"/>
      <c r="BO2164" s="71"/>
      <c r="BP2164" s="71"/>
      <c r="BQ2164" s="71"/>
      <c r="BR2164" s="71"/>
      <c r="BS2164" s="71"/>
      <c r="BT2164" s="71"/>
      <c r="BU2164" s="71"/>
      <c r="BV2164" s="71"/>
    </row>
    <row r="2165">
      <c r="A2165" s="53"/>
      <c r="B2165" s="53"/>
      <c r="C2165" s="53" t="s">
        <v>36</v>
      </c>
      <c r="D2165" s="85" t="s">
        <v>5252</v>
      </c>
      <c r="E2165" s="54" t="s">
        <v>38</v>
      </c>
      <c r="F2165" s="55" t="s">
        <v>39</v>
      </c>
      <c r="G2165" s="86" t="s">
        <v>5253</v>
      </c>
      <c r="H2165" s="55"/>
      <c r="I2165" s="54">
        <f t="shared" si="24"/>
        <v>0</v>
      </c>
      <c r="J2165" s="56"/>
      <c r="K2165" s="57"/>
      <c r="L2165" s="76"/>
      <c r="M2165" s="59"/>
      <c r="N2165" s="60"/>
      <c r="O2165" s="61">
        <v>230.4</v>
      </c>
      <c r="P2165" s="62">
        <v>248.83200000000002</v>
      </c>
      <c r="Q2165" s="63">
        <v>248.83200000000002</v>
      </c>
      <c r="R2165" s="64">
        <v>262.0</v>
      </c>
      <c r="S2165" s="107">
        <v>275.0</v>
      </c>
      <c r="T2165" s="65">
        <f t="shared" si="93"/>
        <v>44</v>
      </c>
      <c r="U2165" s="65">
        <f t="shared" si="94"/>
        <v>319</v>
      </c>
      <c r="V2165" s="66">
        <f t="shared" si="111"/>
        <v>0.04961832061</v>
      </c>
      <c r="W2165" s="67">
        <f t="shared" si="96"/>
        <v>261.25</v>
      </c>
      <c r="X2165" s="67">
        <f t="shared" si="112"/>
        <v>41.8</v>
      </c>
      <c r="Y2165" s="67">
        <f t="shared" si="113"/>
        <v>303.05</v>
      </c>
      <c r="Z2165" s="67">
        <f t="shared" si="99"/>
        <v>247.5</v>
      </c>
      <c r="AA2165" s="67">
        <f t="shared" si="114"/>
        <v>39.6</v>
      </c>
      <c r="AB2165" s="67">
        <f t="shared" si="115"/>
        <v>287.1</v>
      </c>
      <c r="AC2165" s="67">
        <f t="shared" si="102"/>
        <v>233.75</v>
      </c>
      <c r="AD2165" s="67">
        <f t="shared" si="116"/>
        <v>37.4</v>
      </c>
      <c r="AE2165" s="67">
        <f t="shared" si="117"/>
        <v>271.15</v>
      </c>
      <c r="AF2165" s="67">
        <f t="shared" si="105"/>
        <v>228.25</v>
      </c>
      <c r="AG2165" s="67">
        <f t="shared" si="118"/>
        <v>36.52</v>
      </c>
      <c r="AH2165" s="67">
        <f t="shared" si="119"/>
        <v>264.77</v>
      </c>
      <c r="AI2165" s="67">
        <f t="shared" si="108"/>
        <v>220</v>
      </c>
      <c r="AJ2165" s="68">
        <f t="shared" si="120"/>
        <v>35.2</v>
      </c>
      <c r="AK2165" s="68">
        <f t="shared" si="121"/>
        <v>255.2</v>
      </c>
      <c r="AL2165" s="70"/>
      <c r="AM2165" s="70"/>
      <c r="AN2165" s="71"/>
      <c r="AO2165" s="71"/>
      <c r="AP2165" s="71"/>
      <c r="AQ2165" s="71"/>
      <c r="AR2165" s="71"/>
      <c r="AS2165" s="71"/>
      <c r="AT2165" s="71"/>
      <c r="AU2165" s="71"/>
      <c r="AV2165" s="71"/>
      <c r="AW2165" s="71"/>
      <c r="AX2165" s="71"/>
      <c r="AY2165" s="71"/>
      <c r="AZ2165" s="71"/>
      <c r="BA2165" s="71"/>
      <c r="BB2165" s="71"/>
      <c r="BC2165" s="71"/>
      <c r="BD2165" s="71"/>
      <c r="BE2165" s="71"/>
      <c r="BF2165" s="71"/>
      <c r="BG2165" s="71"/>
      <c r="BH2165" s="71"/>
      <c r="BI2165" s="71"/>
      <c r="BJ2165" s="71"/>
      <c r="BK2165" s="71"/>
      <c r="BL2165" s="71"/>
      <c r="BM2165" s="71"/>
      <c r="BN2165" s="71"/>
      <c r="BO2165" s="71"/>
      <c r="BP2165" s="71"/>
      <c r="BQ2165" s="71"/>
      <c r="BR2165" s="71"/>
      <c r="BS2165" s="71"/>
      <c r="BT2165" s="71"/>
      <c r="BU2165" s="71"/>
      <c r="BV2165" s="71"/>
    </row>
    <row r="2166">
      <c r="A2166" s="53"/>
      <c r="B2166" s="53"/>
      <c r="C2166" s="73" t="s">
        <v>12</v>
      </c>
      <c r="D2166" s="53" t="s">
        <v>5254</v>
      </c>
      <c r="E2166" s="54" t="s">
        <v>38</v>
      </c>
      <c r="F2166" s="54" t="s">
        <v>42</v>
      </c>
      <c r="G2166" s="55" t="s">
        <v>5255</v>
      </c>
      <c r="H2166" s="54" t="s">
        <v>5255</v>
      </c>
      <c r="I2166" s="54">
        <f t="shared" si="24"/>
        <v>16</v>
      </c>
      <c r="J2166" s="56"/>
      <c r="K2166" s="57"/>
      <c r="L2166" s="76"/>
      <c r="M2166" s="59"/>
      <c r="N2166" s="60">
        <v>1122.45</v>
      </c>
      <c r="O2166" s="61">
        <v>1212.0</v>
      </c>
      <c r="P2166" s="62">
        <v>1308.96</v>
      </c>
      <c r="Q2166" s="63">
        <v>1308.96</v>
      </c>
      <c r="R2166" s="64">
        <v>1375.0</v>
      </c>
      <c r="S2166" s="111">
        <v>1444.0</v>
      </c>
      <c r="T2166" s="65">
        <f t="shared" si="93"/>
        <v>231.04</v>
      </c>
      <c r="U2166" s="65">
        <f t="shared" si="94"/>
        <v>1675.04</v>
      </c>
      <c r="V2166" s="66">
        <f t="shared" si="111"/>
        <v>0.05018181818</v>
      </c>
      <c r="W2166" s="67">
        <f t="shared" si="96"/>
        <v>1371.8</v>
      </c>
      <c r="X2166" s="67">
        <f t="shared" si="112"/>
        <v>219.488</v>
      </c>
      <c r="Y2166" s="67">
        <f t="shared" si="113"/>
        <v>1591.288</v>
      </c>
      <c r="Z2166" s="67">
        <f t="shared" si="99"/>
        <v>1299.6</v>
      </c>
      <c r="AA2166" s="67">
        <f t="shared" si="114"/>
        <v>207.936</v>
      </c>
      <c r="AB2166" s="67">
        <f t="shared" si="115"/>
        <v>1507.536</v>
      </c>
      <c r="AC2166" s="67">
        <f t="shared" si="102"/>
        <v>1227.4</v>
      </c>
      <c r="AD2166" s="67">
        <f t="shared" si="116"/>
        <v>196.384</v>
      </c>
      <c r="AE2166" s="67">
        <f t="shared" si="117"/>
        <v>1423.784</v>
      </c>
      <c r="AF2166" s="67">
        <f t="shared" si="105"/>
        <v>1198.52</v>
      </c>
      <c r="AG2166" s="67">
        <f t="shared" si="118"/>
        <v>191.7632</v>
      </c>
      <c r="AH2166" s="67">
        <f t="shared" si="119"/>
        <v>1390.2832</v>
      </c>
      <c r="AI2166" s="67">
        <f t="shared" si="108"/>
        <v>1155.2</v>
      </c>
      <c r="AJ2166" s="68">
        <f t="shared" si="120"/>
        <v>184.832</v>
      </c>
      <c r="AK2166" s="68">
        <f t="shared" si="121"/>
        <v>1340.032</v>
      </c>
      <c r="AL2166" s="70"/>
      <c r="AM2166" s="70"/>
      <c r="AN2166" s="71"/>
      <c r="AO2166" s="71"/>
      <c r="AP2166" s="71"/>
      <c r="AQ2166" s="71"/>
      <c r="AR2166" s="71"/>
      <c r="AS2166" s="71"/>
      <c r="AT2166" s="71"/>
      <c r="AU2166" s="71"/>
      <c r="AV2166" s="71"/>
      <c r="AW2166" s="71"/>
      <c r="AX2166" s="71"/>
      <c r="AY2166" s="71"/>
      <c r="AZ2166" s="71"/>
      <c r="BA2166" s="71"/>
      <c r="BB2166" s="71"/>
      <c r="BC2166" s="71"/>
      <c r="BD2166" s="71"/>
      <c r="BE2166" s="71"/>
      <c r="BF2166" s="71"/>
      <c r="BG2166" s="71"/>
      <c r="BH2166" s="71"/>
      <c r="BI2166" s="71"/>
      <c r="BJ2166" s="71"/>
      <c r="BK2166" s="71"/>
      <c r="BL2166" s="71"/>
      <c r="BM2166" s="71"/>
      <c r="BN2166" s="71"/>
      <c r="BO2166" s="71"/>
      <c r="BP2166" s="71"/>
      <c r="BQ2166" s="71"/>
      <c r="BR2166" s="71"/>
      <c r="BS2166" s="71"/>
      <c r="BT2166" s="71"/>
      <c r="BU2166" s="71"/>
      <c r="BV2166" s="71"/>
    </row>
    <row r="2167">
      <c r="A2167" s="53"/>
      <c r="B2167" s="53"/>
      <c r="C2167" s="73" t="s">
        <v>12</v>
      </c>
      <c r="D2167" s="53" t="s">
        <v>5256</v>
      </c>
      <c r="E2167" s="54" t="s">
        <v>38</v>
      </c>
      <c r="F2167" s="54" t="s">
        <v>42</v>
      </c>
      <c r="G2167" s="55" t="s">
        <v>5257</v>
      </c>
      <c r="H2167" s="54" t="s">
        <v>5257</v>
      </c>
      <c r="I2167" s="54">
        <f t="shared" si="24"/>
        <v>17</v>
      </c>
      <c r="J2167" s="56"/>
      <c r="K2167" s="57"/>
      <c r="L2167" s="76"/>
      <c r="M2167" s="59"/>
      <c r="N2167" s="60">
        <v>1475.25</v>
      </c>
      <c r="O2167" s="61">
        <v>1593.0</v>
      </c>
      <c r="P2167" s="62">
        <v>1720.44</v>
      </c>
      <c r="Q2167" s="63">
        <v>1720.44</v>
      </c>
      <c r="R2167" s="64">
        <v>1806.0</v>
      </c>
      <c r="S2167" s="111">
        <v>1896.0</v>
      </c>
      <c r="T2167" s="65">
        <f t="shared" si="93"/>
        <v>303.36</v>
      </c>
      <c r="U2167" s="65">
        <f t="shared" si="94"/>
        <v>2199.36</v>
      </c>
      <c r="V2167" s="66">
        <f t="shared" si="111"/>
        <v>0.04983388704</v>
      </c>
      <c r="W2167" s="67">
        <f t="shared" si="96"/>
        <v>1801.2</v>
      </c>
      <c r="X2167" s="67">
        <f t="shared" si="112"/>
        <v>288.192</v>
      </c>
      <c r="Y2167" s="67">
        <f t="shared" si="113"/>
        <v>2089.392</v>
      </c>
      <c r="Z2167" s="67">
        <f t="shared" si="99"/>
        <v>1706.4</v>
      </c>
      <c r="AA2167" s="67">
        <f t="shared" si="114"/>
        <v>273.024</v>
      </c>
      <c r="AB2167" s="67">
        <f t="shared" si="115"/>
        <v>1979.424</v>
      </c>
      <c r="AC2167" s="67">
        <f t="shared" si="102"/>
        <v>1611.6</v>
      </c>
      <c r="AD2167" s="67">
        <f t="shared" si="116"/>
        <v>257.856</v>
      </c>
      <c r="AE2167" s="67">
        <f t="shared" si="117"/>
        <v>1869.456</v>
      </c>
      <c r="AF2167" s="67">
        <f t="shared" si="105"/>
        <v>1573.68</v>
      </c>
      <c r="AG2167" s="67">
        <f t="shared" si="118"/>
        <v>251.7888</v>
      </c>
      <c r="AH2167" s="67">
        <f t="shared" si="119"/>
        <v>1825.4688</v>
      </c>
      <c r="AI2167" s="67">
        <f t="shared" si="108"/>
        <v>1516.8</v>
      </c>
      <c r="AJ2167" s="68">
        <f t="shared" si="120"/>
        <v>242.688</v>
      </c>
      <c r="AK2167" s="68">
        <f t="shared" si="121"/>
        <v>1759.488</v>
      </c>
      <c r="AL2167" s="70"/>
      <c r="AM2167" s="70"/>
      <c r="AN2167" s="71"/>
      <c r="AO2167" s="71"/>
      <c r="AP2167" s="71"/>
      <c r="AQ2167" s="71"/>
      <c r="AR2167" s="71"/>
      <c r="AS2167" s="71"/>
      <c r="AT2167" s="71"/>
      <c r="AU2167" s="71"/>
      <c r="AV2167" s="71"/>
      <c r="AW2167" s="71"/>
      <c r="AX2167" s="71"/>
      <c r="AY2167" s="71"/>
      <c r="AZ2167" s="71"/>
      <c r="BA2167" s="71"/>
      <c r="BB2167" s="71"/>
      <c r="BC2167" s="71"/>
      <c r="BD2167" s="71"/>
      <c r="BE2167" s="71"/>
      <c r="BF2167" s="71"/>
      <c r="BG2167" s="71"/>
      <c r="BH2167" s="71"/>
      <c r="BI2167" s="71"/>
      <c r="BJ2167" s="71"/>
      <c r="BK2167" s="71"/>
      <c r="BL2167" s="71"/>
      <c r="BM2167" s="71"/>
      <c r="BN2167" s="71"/>
      <c r="BO2167" s="71"/>
      <c r="BP2167" s="71"/>
      <c r="BQ2167" s="71"/>
      <c r="BR2167" s="71"/>
      <c r="BS2167" s="71"/>
      <c r="BT2167" s="71"/>
      <c r="BU2167" s="71"/>
      <c r="BV2167" s="71"/>
    </row>
    <row r="2168">
      <c r="A2168" s="53"/>
      <c r="B2168" s="53"/>
      <c r="C2168" s="73" t="s">
        <v>12</v>
      </c>
      <c r="D2168" s="53" t="s">
        <v>5258</v>
      </c>
      <c r="E2168" s="54" t="s">
        <v>38</v>
      </c>
      <c r="F2168" s="54" t="s">
        <v>42</v>
      </c>
      <c r="G2168" s="55" t="s">
        <v>5259</v>
      </c>
      <c r="H2168" s="54" t="s">
        <v>5259</v>
      </c>
      <c r="I2168" s="54">
        <f t="shared" si="24"/>
        <v>33</v>
      </c>
      <c r="J2168" s="56"/>
      <c r="K2168" s="57"/>
      <c r="L2168" s="76"/>
      <c r="M2168" s="59"/>
      <c r="N2168" s="79"/>
      <c r="O2168" s="61">
        <v>1540.0</v>
      </c>
      <c r="P2168" s="62">
        <v>1663.2</v>
      </c>
      <c r="Q2168" s="63">
        <v>1663.2</v>
      </c>
      <c r="R2168" s="64">
        <v>1747.0</v>
      </c>
      <c r="S2168" s="111">
        <v>1834.0</v>
      </c>
      <c r="T2168" s="65">
        <f t="shared" si="93"/>
        <v>293.44</v>
      </c>
      <c r="U2168" s="65">
        <f t="shared" si="94"/>
        <v>2127.44</v>
      </c>
      <c r="V2168" s="66">
        <f t="shared" si="111"/>
        <v>0.04979965655</v>
      </c>
      <c r="W2168" s="67">
        <f t="shared" si="96"/>
        <v>1742.3</v>
      </c>
      <c r="X2168" s="67">
        <f t="shared" si="112"/>
        <v>278.768</v>
      </c>
      <c r="Y2168" s="67">
        <f t="shared" si="113"/>
        <v>2021.068</v>
      </c>
      <c r="Z2168" s="67">
        <f t="shared" si="99"/>
        <v>1650.6</v>
      </c>
      <c r="AA2168" s="67">
        <f t="shared" si="114"/>
        <v>264.096</v>
      </c>
      <c r="AB2168" s="67">
        <f t="shared" si="115"/>
        <v>1914.696</v>
      </c>
      <c r="AC2168" s="67">
        <f t="shared" si="102"/>
        <v>1558.9</v>
      </c>
      <c r="AD2168" s="67">
        <f t="shared" si="116"/>
        <v>249.424</v>
      </c>
      <c r="AE2168" s="67">
        <f t="shared" si="117"/>
        <v>1808.324</v>
      </c>
      <c r="AF2168" s="67">
        <f t="shared" si="105"/>
        <v>1522.22</v>
      </c>
      <c r="AG2168" s="67">
        <f t="shared" si="118"/>
        <v>243.5552</v>
      </c>
      <c r="AH2168" s="67">
        <f t="shared" si="119"/>
        <v>1765.7752</v>
      </c>
      <c r="AI2168" s="67">
        <f t="shared" si="108"/>
        <v>1467.2</v>
      </c>
      <c r="AJ2168" s="68">
        <f t="shared" si="120"/>
        <v>234.752</v>
      </c>
      <c r="AK2168" s="68">
        <f t="shared" si="121"/>
        <v>1701.952</v>
      </c>
      <c r="AL2168" s="70"/>
      <c r="AM2168" s="70"/>
      <c r="AN2168" s="71"/>
      <c r="AO2168" s="71"/>
      <c r="AP2168" s="71"/>
      <c r="AQ2168" s="71"/>
      <c r="AR2168" s="71"/>
      <c r="AS2168" s="71"/>
      <c r="AT2168" s="71"/>
      <c r="AU2168" s="71"/>
      <c r="AV2168" s="71"/>
      <c r="AW2168" s="71"/>
      <c r="AX2168" s="71"/>
      <c r="AY2168" s="71"/>
      <c r="AZ2168" s="71"/>
      <c r="BA2168" s="71"/>
      <c r="BB2168" s="71"/>
      <c r="BC2168" s="71"/>
      <c r="BD2168" s="71"/>
      <c r="BE2168" s="71"/>
      <c r="BF2168" s="71"/>
      <c r="BG2168" s="71"/>
      <c r="BH2168" s="71"/>
      <c r="BI2168" s="71"/>
      <c r="BJ2168" s="71"/>
      <c r="BK2168" s="71"/>
      <c r="BL2168" s="71"/>
      <c r="BM2168" s="71"/>
      <c r="BN2168" s="71"/>
      <c r="BO2168" s="71"/>
      <c r="BP2168" s="71"/>
      <c r="BQ2168" s="71"/>
      <c r="BR2168" s="71"/>
      <c r="BS2168" s="71"/>
      <c r="BT2168" s="71"/>
      <c r="BU2168" s="71"/>
      <c r="BV2168" s="71"/>
    </row>
    <row r="2169">
      <c r="A2169" s="53"/>
      <c r="B2169" s="53"/>
      <c r="C2169" s="53" t="s">
        <v>36</v>
      </c>
      <c r="D2169" s="85" t="s">
        <v>5260</v>
      </c>
      <c r="E2169" s="54" t="s">
        <v>38</v>
      </c>
      <c r="F2169" s="55" t="s">
        <v>39</v>
      </c>
      <c r="G2169" s="86" t="s">
        <v>5261</v>
      </c>
      <c r="H2169" s="86" t="s">
        <v>5261</v>
      </c>
      <c r="I2169" s="54">
        <f t="shared" si="24"/>
        <v>32</v>
      </c>
      <c r="J2169" s="56"/>
      <c r="K2169" s="57"/>
      <c r="L2169" s="76"/>
      <c r="M2169" s="59"/>
      <c r="N2169" s="60"/>
      <c r="O2169" s="61">
        <v>2188.8</v>
      </c>
      <c r="P2169" s="62">
        <v>2480.0</v>
      </c>
      <c r="Q2169" s="63">
        <v>2480.0</v>
      </c>
      <c r="R2169" s="64">
        <v>2604.0</v>
      </c>
      <c r="S2169" s="107">
        <v>2734.0</v>
      </c>
      <c r="T2169" s="65">
        <f t="shared" si="93"/>
        <v>437.44</v>
      </c>
      <c r="U2169" s="65">
        <f t="shared" si="94"/>
        <v>3171.44</v>
      </c>
      <c r="V2169" s="66">
        <f t="shared" si="111"/>
        <v>0.04992319508</v>
      </c>
      <c r="W2169" s="67">
        <f t="shared" si="96"/>
        <v>2597.3</v>
      </c>
      <c r="X2169" s="67">
        <f t="shared" si="112"/>
        <v>415.568</v>
      </c>
      <c r="Y2169" s="67">
        <f t="shared" si="113"/>
        <v>3012.868</v>
      </c>
      <c r="Z2169" s="67">
        <f t="shared" si="99"/>
        <v>2460.6</v>
      </c>
      <c r="AA2169" s="67">
        <f t="shared" si="114"/>
        <v>393.696</v>
      </c>
      <c r="AB2169" s="67">
        <f t="shared" si="115"/>
        <v>2854.296</v>
      </c>
      <c r="AC2169" s="67">
        <f t="shared" si="102"/>
        <v>2323.9</v>
      </c>
      <c r="AD2169" s="67">
        <f t="shared" si="116"/>
        <v>371.824</v>
      </c>
      <c r="AE2169" s="67">
        <f t="shared" si="117"/>
        <v>2695.724</v>
      </c>
      <c r="AF2169" s="67">
        <f t="shared" si="105"/>
        <v>2269.22</v>
      </c>
      <c r="AG2169" s="67">
        <f t="shared" si="118"/>
        <v>363.0752</v>
      </c>
      <c r="AH2169" s="67">
        <f t="shared" si="119"/>
        <v>2632.2952</v>
      </c>
      <c r="AI2169" s="67">
        <f t="shared" si="108"/>
        <v>2187.2</v>
      </c>
      <c r="AJ2169" s="68">
        <f t="shared" si="120"/>
        <v>349.952</v>
      </c>
      <c r="AK2169" s="68">
        <f t="shared" si="121"/>
        <v>2537.152</v>
      </c>
      <c r="AL2169" s="70"/>
      <c r="AM2169" s="70"/>
      <c r="AN2169" s="71"/>
      <c r="AO2169" s="71"/>
      <c r="AP2169" s="71"/>
      <c r="AQ2169" s="71"/>
      <c r="AR2169" s="71"/>
      <c r="AS2169" s="71"/>
      <c r="AT2169" s="71"/>
      <c r="AU2169" s="71"/>
      <c r="AV2169" s="71"/>
      <c r="AW2169" s="71"/>
      <c r="AX2169" s="71"/>
      <c r="AY2169" s="71"/>
      <c r="AZ2169" s="71"/>
      <c r="BA2169" s="71"/>
      <c r="BB2169" s="71"/>
      <c r="BC2169" s="71"/>
      <c r="BD2169" s="71"/>
      <c r="BE2169" s="71"/>
      <c r="BF2169" s="71"/>
      <c r="BG2169" s="71"/>
      <c r="BH2169" s="71"/>
      <c r="BI2169" s="71"/>
      <c r="BJ2169" s="71"/>
      <c r="BK2169" s="71"/>
      <c r="BL2169" s="71"/>
      <c r="BM2169" s="71"/>
      <c r="BN2169" s="71"/>
      <c r="BO2169" s="71"/>
      <c r="BP2169" s="71"/>
      <c r="BQ2169" s="71"/>
      <c r="BR2169" s="71"/>
      <c r="BS2169" s="71"/>
      <c r="BT2169" s="71"/>
      <c r="BU2169" s="71"/>
      <c r="BV2169" s="71"/>
    </row>
    <row r="2170">
      <c r="A2170" s="53"/>
      <c r="B2170" s="53"/>
      <c r="C2170" s="53" t="s">
        <v>36</v>
      </c>
      <c r="D2170" s="85" t="s">
        <v>5262</v>
      </c>
      <c r="E2170" s="54" t="s">
        <v>38</v>
      </c>
      <c r="F2170" s="55" t="s">
        <v>39</v>
      </c>
      <c r="G2170" s="86" t="s">
        <v>5263</v>
      </c>
      <c r="H2170" s="55"/>
      <c r="I2170" s="54">
        <f t="shared" si="24"/>
        <v>0</v>
      </c>
      <c r="J2170" s="56"/>
      <c r="K2170" s="57"/>
      <c r="L2170" s="76"/>
      <c r="M2170" s="59"/>
      <c r="N2170" s="60"/>
      <c r="O2170" s="61">
        <v>825.6</v>
      </c>
      <c r="P2170" s="62">
        <v>891.6480000000001</v>
      </c>
      <c r="Q2170" s="63">
        <v>891.6480000000001</v>
      </c>
      <c r="R2170" s="64">
        <v>937.0</v>
      </c>
      <c r="S2170" s="107">
        <v>984.0</v>
      </c>
      <c r="T2170" s="65">
        <f t="shared" si="93"/>
        <v>157.44</v>
      </c>
      <c r="U2170" s="65">
        <f t="shared" si="94"/>
        <v>1141.44</v>
      </c>
      <c r="V2170" s="66">
        <f t="shared" si="111"/>
        <v>0.05016008538</v>
      </c>
      <c r="W2170" s="67">
        <f t="shared" si="96"/>
        <v>934.8</v>
      </c>
      <c r="X2170" s="67">
        <f t="shared" si="112"/>
        <v>149.568</v>
      </c>
      <c r="Y2170" s="67">
        <f t="shared" si="113"/>
        <v>1084.368</v>
      </c>
      <c r="Z2170" s="67">
        <f t="shared" si="99"/>
        <v>885.6</v>
      </c>
      <c r="AA2170" s="67">
        <f t="shared" si="114"/>
        <v>141.696</v>
      </c>
      <c r="AB2170" s="67">
        <f t="shared" si="115"/>
        <v>1027.296</v>
      </c>
      <c r="AC2170" s="67">
        <f t="shared" si="102"/>
        <v>836.4</v>
      </c>
      <c r="AD2170" s="67">
        <f t="shared" si="116"/>
        <v>133.824</v>
      </c>
      <c r="AE2170" s="67">
        <f t="shared" si="117"/>
        <v>970.224</v>
      </c>
      <c r="AF2170" s="67">
        <f t="shared" si="105"/>
        <v>816.72</v>
      </c>
      <c r="AG2170" s="67">
        <f t="shared" si="118"/>
        <v>130.6752</v>
      </c>
      <c r="AH2170" s="67">
        <f t="shared" si="119"/>
        <v>947.3952</v>
      </c>
      <c r="AI2170" s="67">
        <f t="shared" si="108"/>
        <v>787.2</v>
      </c>
      <c r="AJ2170" s="68">
        <f t="shared" si="120"/>
        <v>125.952</v>
      </c>
      <c r="AK2170" s="68">
        <f t="shared" si="121"/>
        <v>913.152</v>
      </c>
      <c r="AL2170" s="70"/>
      <c r="AM2170" s="70"/>
      <c r="AN2170" s="71"/>
      <c r="AO2170" s="71"/>
      <c r="AP2170" s="71"/>
      <c r="AQ2170" s="71"/>
      <c r="AR2170" s="71"/>
      <c r="AS2170" s="71"/>
      <c r="AT2170" s="71"/>
      <c r="AU2170" s="71"/>
      <c r="AV2170" s="71"/>
      <c r="AW2170" s="71"/>
      <c r="AX2170" s="71"/>
      <c r="AY2170" s="71"/>
      <c r="AZ2170" s="71"/>
      <c r="BA2170" s="71"/>
      <c r="BB2170" s="71"/>
      <c r="BC2170" s="71"/>
      <c r="BD2170" s="71"/>
      <c r="BE2170" s="71"/>
      <c r="BF2170" s="71"/>
      <c r="BG2170" s="71"/>
      <c r="BH2170" s="71"/>
      <c r="BI2170" s="71"/>
      <c r="BJ2170" s="71"/>
      <c r="BK2170" s="71"/>
      <c r="BL2170" s="71"/>
      <c r="BM2170" s="71"/>
      <c r="BN2170" s="71"/>
      <c r="BO2170" s="71"/>
      <c r="BP2170" s="71"/>
      <c r="BQ2170" s="71"/>
      <c r="BR2170" s="71"/>
      <c r="BS2170" s="71"/>
      <c r="BT2170" s="71"/>
      <c r="BU2170" s="71"/>
      <c r="BV2170" s="71"/>
    </row>
    <row r="2171">
      <c r="A2171" s="53"/>
      <c r="B2171" s="53"/>
      <c r="C2171" s="53" t="s">
        <v>36</v>
      </c>
      <c r="D2171" s="85" t="s">
        <v>5264</v>
      </c>
      <c r="E2171" s="54" t="s">
        <v>38</v>
      </c>
      <c r="F2171" s="55" t="s">
        <v>39</v>
      </c>
      <c r="G2171" s="86" t="s">
        <v>5265</v>
      </c>
      <c r="H2171" s="55"/>
      <c r="I2171" s="54">
        <f t="shared" si="24"/>
        <v>0</v>
      </c>
      <c r="J2171" s="56"/>
      <c r="K2171" s="57"/>
      <c r="L2171" s="76"/>
      <c r="M2171" s="59"/>
      <c r="N2171" s="60"/>
      <c r="O2171" s="61">
        <v>1036.8</v>
      </c>
      <c r="P2171" s="62">
        <v>1119.744</v>
      </c>
      <c r="Q2171" s="63">
        <v>1119.744</v>
      </c>
      <c r="R2171" s="64">
        <v>1176.0</v>
      </c>
      <c r="S2171" s="107">
        <v>1235.0</v>
      </c>
      <c r="T2171" s="65">
        <f t="shared" si="93"/>
        <v>197.6</v>
      </c>
      <c r="U2171" s="65">
        <f t="shared" si="94"/>
        <v>1432.6</v>
      </c>
      <c r="V2171" s="66">
        <f t="shared" si="111"/>
        <v>0.05017006803</v>
      </c>
      <c r="W2171" s="67">
        <f t="shared" si="96"/>
        <v>1173.25</v>
      </c>
      <c r="X2171" s="67">
        <f t="shared" si="112"/>
        <v>187.72</v>
      </c>
      <c r="Y2171" s="67">
        <f t="shared" si="113"/>
        <v>1360.97</v>
      </c>
      <c r="Z2171" s="67">
        <f t="shared" si="99"/>
        <v>1111.5</v>
      </c>
      <c r="AA2171" s="67">
        <f t="shared" si="114"/>
        <v>177.84</v>
      </c>
      <c r="AB2171" s="67">
        <f t="shared" si="115"/>
        <v>1289.34</v>
      </c>
      <c r="AC2171" s="67">
        <f t="shared" si="102"/>
        <v>1049.75</v>
      </c>
      <c r="AD2171" s="67">
        <f t="shared" si="116"/>
        <v>167.96</v>
      </c>
      <c r="AE2171" s="67">
        <f t="shared" si="117"/>
        <v>1217.71</v>
      </c>
      <c r="AF2171" s="67">
        <f t="shared" si="105"/>
        <v>1025.05</v>
      </c>
      <c r="AG2171" s="67">
        <f t="shared" si="118"/>
        <v>164.008</v>
      </c>
      <c r="AH2171" s="67">
        <f t="shared" si="119"/>
        <v>1189.058</v>
      </c>
      <c r="AI2171" s="67">
        <f t="shared" si="108"/>
        <v>988</v>
      </c>
      <c r="AJ2171" s="68">
        <f t="shared" si="120"/>
        <v>158.08</v>
      </c>
      <c r="AK2171" s="68">
        <f t="shared" si="121"/>
        <v>1146.08</v>
      </c>
      <c r="AL2171" s="70"/>
      <c r="AM2171" s="70"/>
      <c r="AN2171" s="71"/>
      <c r="AO2171" s="71"/>
      <c r="AP2171" s="71"/>
      <c r="AQ2171" s="71"/>
      <c r="AR2171" s="71"/>
      <c r="AS2171" s="71"/>
      <c r="AT2171" s="71"/>
      <c r="AU2171" s="71"/>
      <c r="AV2171" s="71"/>
      <c r="AW2171" s="71"/>
      <c r="AX2171" s="71"/>
      <c r="AY2171" s="71"/>
      <c r="AZ2171" s="71"/>
      <c r="BA2171" s="71"/>
      <c r="BB2171" s="71"/>
      <c r="BC2171" s="71"/>
      <c r="BD2171" s="71"/>
      <c r="BE2171" s="71"/>
      <c r="BF2171" s="71"/>
      <c r="BG2171" s="71"/>
      <c r="BH2171" s="71"/>
      <c r="BI2171" s="71"/>
      <c r="BJ2171" s="71"/>
      <c r="BK2171" s="71"/>
      <c r="BL2171" s="71"/>
      <c r="BM2171" s="71"/>
      <c r="BN2171" s="71"/>
      <c r="BO2171" s="71"/>
      <c r="BP2171" s="71"/>
      <c r="BQ2171" s="71"/>
      <c r="BR2171" s="71"/>
      <c r="BS2171" s="71"/>
      <c r="BT2171" s="71"/>
      <c r="BU2171" s="71"/>
      <c r="BV2171" s="71"/>
    </row>
    <row r="2172">
      <c r="A2172" s="53"/>
      <c r="B2172" s="53"/>
      <c r="C2172" s="53" t="s">
        <v>12</v>
      </c>
      <c r="D2172" s="53" t="s">
        <v>5266</v>
      </c>
      <c r="E2172" s="86" t="s">
        <v>38</v>
      </c>
      <c r="F2172" s="91" t="s">
        <v>42</v>
      </c>
      <c r="G2172" s="84" t="s">
        <v>5267</v>
      </c>
      <c r="H2172" s="84" t="s">
        <v>5267</v>
      </c>
      <c r="I2172" s="54">
        <f t="shared" si="24"/>
        <v>27</v>
      </c>
      <c r="J2172" s="56"/>
      <c r="K2172" s="57"/>
      <c r="L2172" s="76"/>
      <c r="M2172" s="59"/>
      <c r="N2172" s="60"/>
      <c r="O2172" s="90"/>
      <c r="P2172" s="62">
        <v>200.0</v>
      </c>
      <c r="Q2172" s="63">
        <v>200.0</v>
      </c>
      <c r="R2172" s="64">
        <v>210.0</v>
      </c>
      <c r="S2172" s="111">
        <v>221.0</v>
      </c>
      <c r="T2172" s="65">
        <f t="shared" si="93"/>
        <v>35.36</v>
      </c>
      <c r="U2172" s="65">
        <f t="shared" si="94"/>
        <v>256.36</v>
      </c>
      <c r="V2172" s="66">
        <f t="shared" si="111"/>
        <v>0.05238095238</v>
      </c>
      <c r="W2172" s="67">
        <f t="shared" si="96"/>
        <v>209.95</v>
      </c>
      <c r="X2172" s="67">
        <f t="shared" si="112"/>
        <v>33.592</v>
      </c>
      <c r="Y2172" s="67">
        <f t="shared" si="113"/>
        <v>243.542</v>
      </c>
      <c r="Z2172" s="67">
        <f t="shared" si="99"/>
        <v>198.9</v>
      </c>
      <c r="AA2172" s="67">
        <f t="shared" si="114"/>
        <v>31.824</v>
      </c>
      <c r="AB2172" s="67">
        <f t="shared" si="115"/>
        <v>230.724</v>
      </c>
      <c r="AC2172" s="67">
        <f t="shared" si="102"/>
        <v>187.85</v>
      </c>
      <c r="AD2172" s="67">
        <f t="shared" si="116"/>
        <v>30.056</v>
      </c>
      <c r="AE2172" s="67">
        <f t="shared" si="117"/>
        <v>217.906</v>
      </c>
      <c r="AF2172" s="67">
        <f t="shared" si="105"/>
        <v>183.43</v>
      </c>
      <c r="AG2172" s="67">
        <f t="shared" si="118"/>
        <v>29.3488</v>
      </c>
      <c r="AH2172" s="67">
        <f t="shared" si="119"/>
        <v>212.7788</v>
      </c>
      <c r="AI2172" s="67">
        <f t="shared" si="108"/>
        <v>176.8</v>
      </c>
      <c r="AJ2172" s="68">
        <f t="shared" si="120"/>
        <v>28.288</v>
      </c>
      <c r="AK2172" s="68">
        <f t="shared" si="121"/>
        <v>205.088</v>
      </c>
      <c r="AL2172" s="70"/>
      <c r="AM2172" s="70"/>
      <c r="AN2172" s="71"/>
      <c r="AO2172" s="71"/>
      <c r="AP2172" s="71"/>
      <c r="AQ2172" s="71"/>
      <c r="AR2172" s="71"/>
      <c r="AS2172" s="71"/>
      <c r="AT2172" s="71"/>
      <c r="AU2172" s="71"/>
      <c r="AV2172" s="71"/>
      <c r="AW2172" s="71"/>
      <c r="AX2172" s="71"/>
      <c r="AY2172" s="71"/>
      <c r="AZ2172" s="71"/>
      <c r="BA2172" s="71"/>
      <c r="BB2172" s="71"/>
      <c r="BC2172" s="71"/>
      <c r="BD2172" s="71"/>
      <c r="BE2172" s="71"/>
      <c r="BF2172" s="71"/>
      <c r="BG2172" s="71"/>
      <c r="BH2172" s="71"/>
      <c r="BI2172" s="71"/>
      <c r="BJ2172" s="71"/>
      <c r="BK2172" s="71"/>
      <c r="BL2172" s="71"/>
      <c r="BM2172" s="71"/>
      <c r="BN2172" s="71"/>
      <c r="BO2172" s="71"/>
      <c r="BP2172" s="71"/>
      <c r="BQ2172" s="71"/>
      <c r="BR2172" s="71"/>
      <c r="BS2172" s="71"/>
      <c r="BT2172" s="71"/>
      <c r="BU2172" s="71"/>
      <c r="BV2172" s="71"/>
    </row>
    <row r="2173">
      <c r="A2173" s="53"/>
      <c r="B2173" s="53"/>
      <c r="C2173" s="53" t="s">
        <v>36</v>
      </c>
      <c r="D2173" s="85" t="s">
        <v>5268</v>
      </c>
      <c r="E2173" s="54" t="s">
        <v>38</v>
      </c>
      <c r="F2173" s="55" t="s">
        <v>39</v>
      </c>
      <c r="G2173" s="86" t="s">
        <v>5269</v>
      </c>
      <c r="H2173" s="55"/>
      <c r="I2173" s="54">
        <f t="shared" si="24"/>
        <v>0</v>
      </c>
      <c r="J2173" s="56"/>
      <c r="K2173" s="57"/>
      <c r="L2173" s="76"/>
      <c r="M2173" s="59"/>
      <c r="N2173" s="60"/>
      <c r="O2173" s="61">
        <v>8.4</v>
      </c>
      <c r="P2173" s="62">
        <v>9.072000000000001</v>
      </c>
      <c r="Q2173" s="63">
        <v>9.072000000000001</v>
      </c>
      <c r="R2173" s="64">
        <v>10.0</v>
      </c>
      <c r="S2173" s="107">
        <v>10.5</v>
      </c>
      <c r="T2173" s="65">
        <f t="shared" si="93"/>
        <v>1.68</v>
      </c>
      <c r="U2173" s="65">
        <f t="shared" si="94"/>
        <v>12.18</v>
      </c>
      <c r="V2173" s="66">
        <f t="shared" si="111"/>
        <v>0.05</v>
      </c>
      <c r="W2173" s="67">
        <f t="shared" si="96"/>
        <v>9.975</v>
      </c>
      <c r="X2173" s="67">
        <f t="shared" si="112"/>
        <v>1.596</v>
      </c>
      <c r="Y2173" s="67">
        <f t="shared" si="113"/>
        <v>11.571</v>
      </c>
      <c r="Z2173" s="67">
        <f t="shared" si="99"/>
        <v>9.45</v>
      </c>
      <c r="AA2173" s="67">
        <f t="shared" si="114"/>
        <v>1.512</v>
      </c>
      <c r="AB2173" s="67">
        <f t="shared" si="115"/>
        <v>10.962</v>
      </c>
      <c r="AC2173" s="67">
        <f t="shared" si="102"/>
        <v>8.925</v>
      </c>
      <c r="AD2173" s="67">
        <f t="shared" si="116"/>
        <v>1.428</v>
      </c>
      <c r="AE2173" s="67">
        <f t="shared" si="117"/>
        <v>10.353</v>
      </c>
      <c r="AF2173" s="67">
        <f t="shared" si="105"/>
        <v>8.715</v>
      </c>
      <c r="AG2173" s="67">
        <f t="shared" si="118"/>
        <v>1.3944</v>
      </c>
      <c r="AH2173" s="67">
        <f t="shared" si="119"/>
        <v>10.1094</v>
      </c>
      <c r="AI2173" s="67">
        <f t="shared" si="108"/>
        <v>8.4</v>
      </c>
      <c r="AJ2173" s="68">
        <f t="shared" si="120"/>
        <v>1.344</v>
      </c>
      <c r="AK2173" s="68">
        <f t="shared" si="121"/>
        <v>9.744</v>
      </c>
      <c r="AL2173" s="70"/>
      <c r="AM2173" s="70"/>
      <c r="AN2173" s="71"/>
      <c r="AO2173" s="71"/>
      <c r="AP2173" s="71"/>
      <c r="AQ2173" s="71"/>
      <c r="AR2173" s="71"/>
      <c r="AS2173" s="71"/>
      <c r="AT2173" s="71"/>
      <c r="AU2173" s="71"/>
      <c r="AV2173" s="71"/>
      <c r="AW2173" s="71"/>
      <c r="AX2173" s="71"/>
      <c r="AY2173" s="71"/>
      <c r="AZ2173" s="71"/>
      <c r="BA2173" s="71"/>
      <c r="BB2173" s="71"/>
      <c r="BC2173" s="71"/>
      <c r="BD2173" s="71"/>
      <c r="BE2173" s="71"/>
      <c r="BF2173" s="71"/>
      <c r="BG2173" s="71"/>
      <c r="BH2173" s="71"/>
      <c r="BI2173" s="71"/>
      <c r="BJ2173" s="71"/>
      <c r="BK2173" s="71"/>
      <c r="BL2173" s="71"/>
      <c r="BM2173" s="71"/>
      <c r="BN2173" s="71"/>
      <c r="BO2173" s="71"/>
      <c r="BP2173" s="71"/>
      <c r="BQ2173" s="71"/>
      <c r="BR2173" s="71"/>
      <c r="BS2173" s="71"/>
      <c r="BT2173" s="71"/>
      <c r="BU2173" s="71"/>
      <c r="BV2173" s="71"/>
    </row>
    <row r="2174">
      <c r="A2174" s="53"/>
      <c r="B2174" s="53"/>
      <c r="C2174" s="73" t="s">
        <v>12</v>
      </c>
      <c r="D2174" s="53" t="s">
        <v>5270</v>
      </c>
      <c r="E2174" s="54" t="s">
        <v>38</v>
      </c>
      <c r="F2174" s="54" t="s">
        <v>42</v>
      </c>
      <c r="G2174" s="55" t="s">
        <v>5271</v>
      </c>
      <c r="H2174" s="54" t="s">
        <v>5272</v>
      </c>
      <c r="I2174" s="54">
        <f t="shared" si="24"/>
        <v>39</v>
      </c>
      <c r="J2174" s="56"/>
      <c r="K2174" s="57"/>
      <c r="L2174" s="76"/>
      <c r="M2174" s="59"/>
      <c r="N2174" s="79">
        <v>1717.0</v>
      </c>
      <c r="O2174" s="61">
        <v>1854.0</v>
      </c>
      <c r="P2174" s="62">
        <v>2002.3200000000002</v>
      </c>
      <c r="Q2174" s="63">
        <v>2002.3200000000002</v>
      </c>
      <c r="R2174" s="64">
        <v>2103.0</v>
      </c>
      <c r="S2174" s="111">
        <v>2208.0</v>
      </c>
      <c r="T2174" s="65">
        <f t="shared" si="93"/>
        <v>353.28</v>
      </c>
      <c r="U2174" s="65">
        <f t="shared" si="94"/>
        <v>2561.28</v>
      </c>
      <c r="V2174" s="66">
        <f t="shared" si="111"/>
        <v>0.04992867332</v>
      </c>
      <c r="W2174" s="67">
        <f t="shared" si="96"/>
        <v>2097.6</v>
      </c>
      <c r="X2174" s="67">
        <f t="shared" si="112"/>
        <v>335.616</v>
      </c>
      <c r="Y2174" s="67">
        <f t="shared" si="113"/>
        <v>2433.216</v>
      </c>
      <c r="Z2174" s="67">
        <f t="shared" si="99"/>
        <v>1987.2</v>
      </c>
      <c r="AA2174" s="67">
        <f t="shared" si="114"/>
        <v>317.952</v>
      </c>
      <c r="AB2174" s="67">
        <f t="shared" si="115"/>
        <v>2305.152</v>
      </c>
      <c r="AC2174" s="67">
        <f t="shared" si="102"/>
        <v>1876.8</v>
      </c>
      <c r="AD2174" s="67">
        <f t="shared" si="116"/>
        <v>300.288</v>
      </c>
      <c r="AE2174" s="67">
        <f t="shared" si="117"/>
        <v>2177.088</v>
      </c>
      <c r="AF2174" s="67">
        <f t="shared" si="105"/>
        <v>1832.64</v>
      </c>
      <c r="AG2174" s="67">
        <f t="shared" si="118"/>
        <v>293.2224</v>
      </c>
      <c r="AH2174" s="67">
        <f t="shared" si="119"/>
        <v>2125.8624</v>
      </c>
      <c r="AI2174" s="67">
        <f t="shared" si="108"/>
        <v>1766.4</v>
      </c>
      <c r="AJ2174" s="68">
        <f t="shared" si="120"/>
        <v>282.624</v>
      </c>
      <c r="AK2174" s="68">
        <f t="shared" si="121"/>
        <v>2049.024</v>
      </c>
      <c r="AL2174" s="70"/>
      <c r="AM2174" s="70"/>
      <c r="AN2174" s="71"/>
      <c r="AO2174" s="71"/>
      <c r="AP2174" s="71"/>
      <c r="AQ2174" s="71"/>
      <c r="AR2174" s="71"/>
      <c r="AS2174" s="71"/>
      <c r="AT2174" s="71"/>
      <c r="AU2174" s="71"/>
      <c r="AV2174" s="71"/>
      <c r="AW2174" s="71"/>
      <c r="AX2174" s="71"/>
      <c r="AY2174" s="71"/>
      <c r="AZ2174" s="71"/>
      <c r="BA2174" s="71"/>
      <c r="BB2174" s="71"/>
      <c r="BC2174" s="71"/>
      <c r="BD2174" s="71"/>
      <c r="BE2174" s="71"/>
      <c r="BF2174" s="71"/>
      <c r="BG2174" s="71"/>
      <c r="BH2174" s="71"/>
      <c r="BI2174" s="71"/>
      <c r="BJ2174" s="71"/>
      <c r="BK2174" s="71"/>
      <c r="BL2174" s="71"/>
      <c r="BM2174" s="71"/>
      <c r="BN2174" s="71"/>
      <c r="BO2174" s="71"/>
      <c r="BP2174" s="71"/>
      <c r="BQ2174" s="71"/>
      <c r="BR2174" s="71"/>
      <c r="BS2174" s="71"/>
      <c r="BT2174" s="71"/>
      <c r="BU2174" s="71"/>
      <c r="BV2174" s="71"/>
    </row>
    <row r="2175">
      <c r="A2175" s="53"/>
      <c r="B2175" s="53"/>
      <c r="C2175" s="73" t="s">
        <v>12</v>
      </c>
      <c r="D2175" s="53" t="s">
        <v>5273</v>
      </c>
      <c r="E2175" s="54" t="s">
        <v>38</v>
      </c>
      <c r="F2175" s="54" t="s">
        <v>42</v>
      </c>
      <c r="G2175" s="55" t="s">
        <v>5274</v>
      </c>
      <c r="H2175" s="54" t="s">
        <v>5275</v>
      </c>
      <c r="I2175" s="54">
        <f t="shared" si="24"/>
        <v>40</v>
      </c>
      <c r="J2175" s="56"/>
      <c r="K2175" s="57"/>
      <c r="L2175" s="76"/>
      <c r="M2175" s="59"/>
      <c r="N2175" s="79"/>
      <c r="O2175" s="61">
        <v>48.0</v>
      </c>
      <c r="P2175" s="62">
        <v>51.84</v>
      </c>
      <c r="Q2175" s="63">
        <v>51.84</v>
      </c>
      <c r="R2175" s="64">
        <v>55.0</v>
      </c>
      <c r="S2175" s="111">
        <v>58.0</v>
      </c>
      <c r="T2175" s="65">
        <f t="shared" si="93"/>
        <v>9.28</v>
      </c>
      <c r="U2175" s="65">
        <f t="shared" si="94"/>
        <v>67.28</v>
      </c>
      <c r="V2175" s="66">
        <f t="shared" si="111"/>
        <v>0.05454545455</v>
      </c>
      <c r="W2175" s="67">
        <f t="shared" si="96"/>
        <v>55.1</v>
      </c>
      <c r="X2175" s="67">
        <f t="shared" si="112"/>
        <v>8.816</v>
      </c>
      <c r="Y2175" s="67">
        <f t="shared" si="113"/>
        <v>63.916</v>
      </c>
      <c r="Z2175" s="67">
        <f t="shared" si="99"/>
        <v>52.2</v>
      </c>
      <c r="AA2175" s="67">
        <f t="shared" si="114"/>
        <v>8.352</v>
      </c>
      <c r="AB2175" s="67">
        <f t="shared" si="115"/>
        <v>60.552</v>
      </c>
      <c r="AC2175" s="67">
        <f t="shared" si="102"/>
        <v>49.3</v>
      </c>
      <c r="AD2175" s="67">
        <f t="shared" si="116"/>
        <v>7.888</v>
      </c>
      <c r="AE2175" s="67">
        <f t="shared" si="117"/>
        <v>57.188</v>
      </c>
      <c r="AF2175" s="67">
        <f t="shared" si="105"/>
        <v>48.14</v>
      </c>
      <c r="AG2175" s="67">
        <f t="shared" si="118"/>
        <v>7.7024</v>
      </c>
      <c r="AH2175" s="67">
        <f t="shared" si="119"/>
        <v>55.8424</v>
      </c>
      <c r="AI2175" s="67">
        <f t="shared" si="108"/>
        <v>46.4</v>
      </c>
      <c r="AJ2175" s="68">
        <f t="shared" si="120"/>
        <v>7.424</v>
      </c>
      <c r="AK2175" s="68">
        <f t="shared" si="121"/>
        <v>53.824</v>
      </c>
      <c r="AL2175" s="70"/>
      <c r="AM2175" s="70"/>
      <c r="AN2175" s="71"/>
      <c r="AO2175" s="71"/>
      <c r="AP2175" s="71"/>
      <c r="AQ2175" s="71"/>
      <c r="AR2175" s="71"/>
      <c r="AS2175" s="71"/>
      <c r="AT2175" s="71"/>
      <c r="AU2175" s="71"/>
      <c r="AV2175" s="71"/>
      <c r="AW2175" s="71"/>
      <c r="AX2175" s="71"/>
      <c r="AY2175" s="71"/>
      <c r="AZ2175" s="71"/>
      <c r="BA2175" s="71"/>
      <c r="BB2175" s="71"/>
      <c r="BC2175" s="71"/>
      <c r="BD2175" s="71"/>
      <c r="BE2175" s="71"/>
      <c r="BF2175" s="71"/>
      <c r="BG2175" s="71"/>
      <c r="BH2175" s="71"/>
      <c r="BI2175" s="71"/>
      <c r="BJ2175" s="71"/>
      <c r="BK2175" s="71"/>
      <c r="BL2175" s="71"/>
      <c r="BM2175" s="71"/>
      <c r="BN2175" s="71"/>
      <c r="BO2175" s="71"/>
      <c r="BP2175" s="71"/>
      <c r="BQ2175" s="71"/>
      <c r="BR2175" s="71"/>
      <c r="BS2175" s="71"/>
      <c r="BT2175" s="71"/>
      <c r="BU2175" s="71"/>
      <c r="BV2175" s="71"/>
    </row>
    <row r="2176">
      <c r="A2176" s="53"/>
      <c r="B2176" s="53"/>
      <c r="C2176" s="73" t="s">
        <v>12</v>
      </c>
      <c r="D2176" s="53" t="s">
        <v>5276</v>
      </c>
      <c r="E2176" s="54" t="s">
        <v>38</v>
      </c>
      <c r="F2176" s="54" t="s">
        <v>42</v>
      </c>
      <c r="G2176" s="55" t="s">
        <v>5277</v>
      </c>
      <c r="H2176" s="54" t="s">
        <v>5277</v>
      </c>
      <c r="I2176" s="54">
        <f t="shared" si="24"/>
        <v>35</v>
      </c>
      <c r="J2176" s="56"/>
      <c r="K2176" s="57"/>
      <c r="L2176" s="87"/>
      <c r="M2176" s="59"/>
      <c r="N2176" s="79"/>
      <c r="O2176" s="61">
        <v>25.0</v>
      </c>
      <c r="P2176" s="62">
        <v>27.0</v>
      </c>
      <c r="Q2176" s="63">
        <v>27.0</v>
      </c>
      <c r="R2176" s="64">
        <v>29.0</v>
      </c>
      <c r="S2176" s="111">
        <v>30.0</v>
      </c>
      <c r="T2176" s="65">
        <f t="shared" si="93"/>
        <v>4.8</v>
      </c>
      <c r="U2176" s="65">
        <f t="shared" si="94"/>
        <v>34.8</v>
      </c>
      <c r="V2176" s="66">
        <f t="shared" si="111"/>
        <v>0.03448275862</v>
      </c>
      <c r="W2176" s="67">
        <f t="shared" si="96"/>
        <v>28.5</v>
      </c>
      <c r="X2176" s="67">
        <f t="shared" si="112"/>
        <v>4.56</v>
      </c>
      <c r="Y2176" s="67">
        <f t="shared" si="113"/>
        <v>33.06</v>
      </c>
      <c r="Z2176" s="67">
        <f t="shared" si="99"/>
        <v>27</v>
      </c>
      <c r="AA2176" s="67">
        <f t="shared" si="114"/>
        <v>4.32</v>
      </c>
      <c r="AB2176" s="67">
        <f t="shared" si="115"/>
        <v>31.32</v>
      </c>
      <c r="AC2176" s="67">
        <f t="shared" si="102"/>
        <v>25.5</v>
      </c>
      <c r="AD2176" s="67">
        <f t="shared" si="116"/>
        <v>4.08</v>
      </c>
      <c r="AE2176" s="67">
        <f t="shared" si="117"/>
        <v>29.58</v>
      </c>
      <c r="AF2176" s="67">
        <f t="shared" si="105"/>
        <v>24.9</v>
      </c>
      <c r="AG2176" s="67">
        <f t="shared" si="118"/>
        <v>3.984</v>
      </c>
      <c r="AH2176" s="67">
        <f t="shared" si="119"/>
        <v>28.884</v>
      </c>
      <c r="AI2176" s="67">
        <f t="shared" si="108"/>
        <v>24</v>
      </c>
      <c r="AJ2176" s="68">
        <f t="shared" si="120"/>
        <v>3.84</v>
      </c>
      <c r="AK2176" s="68">
        <f t="shared" si="121"/>
        <v>27.84</v>
      </c>
      <c r="AL2176" s="70"/>
      <c r="AM2176" s="70"/>
      <c r="AN2176" s="71"/>
      <c r="AO2176" s="71"/>
      <c r="AP2176" s="71"/>
      <c r="AQ2176" s="71"/>
      <c r="AR2176" s="71"/>
      <c r="AS2176" s="71"/>
      <c r="AT2176" s="71"/>
      <c r="AU2176" s="71"/>
      <c r="AV2176" s="71"/>
      <c r="AW2176" s="71"/>
      <c r="AX2176" s="71"/>
      <c r="AY2176" s="71"/>
      <c r="AZ2176" s="71"/>
      <c r="BA2176" s="71"/>
      <c r="BB2176" s="71"/>
      <c r="BC2176" s="71"/>
      <c r="BD2176" s="71"/>
      <c r="BE2176" s="71"/>
      <c r="BF2176" s="71"/>
      <c r="BG2176" s="71"/>
      <c r="BH2176" s="71"/>
      <c r="BI2176" s="71"/>
      <c r="BJ2176" s="71"/>
      <c r="BK2176" s="71"/>
      <c r="BL2176" s="71"/>
      <c r="BM2176" s="71"/>
      <c r="BN2176" s="71"/>
      <c r="BO2176" s="71"/>
      <c r="BP2176" s="71"/>
      <c r="BQ2176" s="71"/>
      <c r="BR2176" s="71"/>
      <c r="BS2176" s="71"/>
      <c r="BT2176" s="71"/>
      <c r="BU2176" s="71"/>
      <c r="BV2176" s="71"/>
    </row>
    <row r="2177">
      <c r="A2177" s="53"/>
      <c r="B2177" s="53"/>
      <c r="C2177" s="73" t="s">
        <v>12</v>
      </c>
      <c r="D2177" s="53" t="s">
        <v>5278</v>
      </c>
      <c r="E2177" s="54" t="s">
        <v>38</v>
      </c>
      <c r="F2177" s="54" t="s">
        <v>42</v>
      </c>
      <c r="G2177" s="55" t="s">
        <v>5279</v>
      </c>
      <c r="H2177" s="54" t="s">
        <v>5280</v>
      </c>
      <c r="I2177" s="54">
        <f t="shared" si="24"/>
        <v>30</v>
      </c>
      <c r="J2177" s="56"/>
      <c r="K2177" s="57"/>
      <c r="L2177" s="76"/>
      <c r="M2177" s="59"/>
      <c r="N2177" s="79">
        <v>120.0</v>
      </c>
      <c r="O2177" s="61">
        <v>129.0</v>
      </c>
      <c r="P2177" s="62">
        <v>139.32000000000002</v>
      </c>
      <c r="Q2177" s="63">
        <v>139.32000000000002</v>
      </c>
      <c r="R2177" s="64">
        <v>146.0</v>
      </c>
      <c r="S2177" s="111">
        <v>153.0</v>
      </c>
      <c r="T2177" s="65">
        <f t="shared" si="93"/>
        <v>24.48</v>
      </c>
      <c r="U2177" s="65">
        <f t="shared" si="94"/>
        <v>177.48</v>
      </c>
      <c r="V2177" s="66">
        <f t="shared" si="111"/>
        <v>0.04794520548</v>
      </c>
      <c r="W2177" s="67">
        <f t="shared" si="96"/>
        <v>145.35</v>
      </c>
      <c r="X2177" s="67">
        <f t="shared" si="112"/>
        <v>23.256</v>
      </c>
      <c r="Y2177" s="67">
        <f t="shared" si="113"/>
        <v>168.606</v>
      </c>
      <c r="Z2177" s="67">
        <f t="shared" si="99"/>
        <v>137.7</v>
      </c>
      <c r="AA2177" s="67">
        <f t="shared" si="114"/>
        <v>22.032</v>
      </c>
      <c r="AB2177" s="67">
        <f t="shared" si="115"/>
        <v>159.732</v>
      </c>
      <c r="AC2177" s="67">
        <f t="shared" si="102"/>
        <v>130.05</v>
      </c>
      <c r="AD2177" s="67">
        <f t="shared" si="116"/>
        <v>20.808</v>
      </c>
      <c r="AE2177" s="67">
        <f t="shared" si="117"/>
        <v>150.858</v>
      </c>
      <c r="AF2177" s="67">
        <f t="shared" si="105"/>
        <v>126.99</v>
      </c>
      <c r="AG2177" s="67">
        <f t="shared" si="118"/>
        <v>20.3184</v>
      </c>
      <c r="AH2177" s="67">
        <f t="shared" si="119"/>
        <v>147.3084</v>
      </c>
      <c r="AI2177" s="67">
        <f t="shared" si="108"/>
        <v>122.4</v>
      </c>
      <c r="AJ2177" s="68">
        <f t="shared" si="120"/>
        <v>19.584</v>
      </c>
      <c r="AK2177" s="68">
        <f t="shared" si="121"/>
        <v>141.984</v>
      </c>
      <c r="AL2177" s="70"/>
      <c r="AM2177" s="70"/>
      <c r="AN2177" s="71"/>
      <c r="AO2177" s="71"/>
      <c r="AP2177" s="71"/>
      <c r="AQ2177" s="71"/>
      <c r="AR2177" s="71"/>
      <c r="AS2177" s="71"/>
      <c r="AT2177" s="71"/>
      <c r="AU2177" s="71"/>
      <c r="AV2177" s="71"/>
      <c r="AW2177" s="71"/>
      <c r="AX2177" s="71"/>
      <c r="AY2177" s="71"/>
      <c r="AZ2177" s="71"/>
      <c r="BA2177" s="71"/>
      <c r="BB2177" s="71"/>
      <c r="BC2177" s="71"/>
      <c r="BD2177" s="71"/>
      <c r="BE2177" s="71"/>
      <c r="BF2177" s="71"/>
      <c r="BG2177" s="71"/>
      <c r="BH2177" s="71"/>
      <c r="BI2177" s="71"/>
      <c r="BJ2177" s="71"/>
      <c r="BK2177" s="71"/>
      <c r="BL2177" s="71"/>
      <c r="BM2177" s="71"/>
      <c r="BN2177" s="71"/>
      <c r="BO2177" s="71"/>
      <c r="BP2177" s="71"/>
      <c r="BQ2177" s="71"/>
      <c r="BR2177" s="71"/>
      <c r="BS2177" s="71"/>
      <c r="BT2177" s="71"/>
      <c r="BU2177" s="71"/>
      <c r="BV2177" s="71"/>
    </row>
    <row r="2178">
      <c r="A2178" s="53">
        <v>1.0</v>
      </c>
      <c r="B2178" s="53"/>
      <c r="C2178" s="73" t="s">
        <v>12</v>
      </c>
      <c r="D2178" s="74" t="s">
        <v>5281</v>
      </c>
      <c r="E2178" s="54" t="s">
        <v>38</v>
      </c>
      <c r="F2178" s="54" t="s">
        <v>42</v>
      </c>
      <c r="G2178" s="88" t="s">
        <v>5282</v>
      </c>
      <c r="H2178" s="54" t="s">
        <v>5283</v>
      </c>
      <c r="I2178" s="54">
        <f t="shared" si="24"/>
        <v>32</v>
      </c>
      <c r="J2178" s="56"/>
      <c r="K2178" s="57"/>
      <c r="L2178" s="87"/>
      <c r="M2178" s="59"/>
      <c r="N2178" s="60">
        <v>5.0</v>
      </c>
      <c r="O2178" s="61">
        <v>5.0</v>
      </c>
      <c r="P2178" s="62">
        <v>5.4</v>
      </c>
      <c r="Q2178" s="63">
        <v>5.4</v>
      </c>
      <c r="R2178" s="78">
        <v>6.0</v>
      </c>
      <c r="S2178" s="111">
        <v>6.300000000000001</v>
      </c>
      <c r="T2178" s="65">
        <f t="shared" si="93"/>
        <v>1.008</v>
      </c>
      <c r="U2178" s="65">
        <f t="shared" si="94"/>
        <v>7.308</v>
      </c>
      <c r="V2178" s="66">
        <f t="shared" si="111"/>
        <v>0.05</v>
      </c>
      <c r="W2178" s="67">
        <f t="shared" si="96"/>
        <v>5.985</v>
      </c>
      <c r="X2178" s="67">
        <f t="shared" si="112"/>
        <v>0.9576</v>
      </c>
      <c r="Y2178" s="67">
        <f t="shared" si="113"/>
        <v>6.9426</v>
      </c>
      <c r="Z2178" s="67">
        <f t="shared" si="99"/>
        <v>5.67</v>
      </c>
      <c r="AA2178" s="67">
        <f t="shared" si="114"/>
        <v>0.9072</v>
      </c>
      <c r="AB2178" s="67">
        <f t="shared" si="115"/>
        <v>6.5772</v>
      </c>
      <c r="AC2178" s="67">
        <f t="shared" si="102"/>
        <v>5.355</v>
      </c>
      <c r="AD2178" s="67">
        <f t="shared" si="116"/>
        <v>0.8568</v>
      </c>
      <c r="AE2178" s="67">
        <f t="shared" si="117"/>
        <v>6.2118</v>
      </c>
      <c r="AF2178" s="67">
        <f t="shared" si="105"/>
        <v>5.229</v>
      </c>
      <c r="AG2178" s="67">
        <f t="shared" si="118"/>
        <v>0.83664</v>
      </c>
      <c r="AH2178" s="67">
        <f t="shared" si="119"/>
        <v>6.06564</v>
      </c>
      <c r="AI2178" s="67">
        <f t="shared" si="108"/>
        <v>5.04</v>
      </c>
      <c r="AJ2178" s="68">
        <f t="shared" si="120"/>
        <v>0.8064</v>
      </c>
      <c r="AK2178" s="68">
        <f t="shared" si="121"/>
        <v>5.8464</v>
      </c>
      <c r="AL2178" s="70"/>
      <c r="AM2178" s="70"/>
      <c r="AN2178" s="71"/>
      <c r="AO2178" s="71"/>
      <c r="AP2178" s="71"/>
      <c r="AQ2178" s="71"/>
      <c r="AR2178" s="71"/>
      <c r="AS2178" s="71"/>
      <c r="AT2178" s="71"/>
      <c r="AU2178" s="71"/>
      <c r="AV2178" s="71"/>
      <c r="AW2178" s="71"/>
      <c r="AX2178" s="71"/>
      <c r="AY2178" s="71"/>
      <c r="AZ2178" s="71"/>
      <c r="BA2178" s="71"/>
      <c r="BB2178" s="71"/>
      <c r="BC2178" s="71"/>
      <c r="BD2178" s="71"/>
      <c r="BE2178" s="71"/>
      <c r="BF2178" s="71"/>
      <c r="BG2178" s="71"/>
      <c r="BH2178" s="71"/>
      <c r="BI2178" s="71"/>
      <c r="BJ2178" s="71"/>
      <c r="BK2178" s="71"/>
      <c r="BL2178" s="71"/>
      <c r="BM2178" s="71"/>
      <c r="BN2178" s="71"/>
      <c r="BO2178" s="71"/>
      <c r="BP2178" s="71"/>
      <c r="BQ2178" s="71"/>
      <c r="BR2178" s="71"/>
      <c r="BS2178" s="71"/>
      <c r="BT2178" s="71"/>
      <c r="BU2178" s="71"/>
      <c r="BV2178" s="71"/>
    </row>
    <row r="2179">
      <c r="A2179" s="53">
        <v>1.0</v>
      </c>
      <c r="B2179" s="53"/>
      <c r="C2179" s="73" t="s">
        <v>12</v>
      </c>
      <c r="D2179" s="74" t="s">
        <v>5284</v>
      </c>
      <c r="E2179" s="54" t="s">
        <v>38</v>
      </c>
      <c r="F2179" s="54" t="s">
        <v>42</v>
      </c>
      <c r="G2179" s="88" t="s">
        <v>5285</v>
      </c>
      <c r="H2179" s="54" t="s">
        <v>5286</v>
      </c>
      <c r="I2179" s="54">
        <f t="shared" si="24"/>
        <v>37</v>
      </c>
      <c r="J2179" s="56"/>
      <c r="K2179" s="57"/>
      <c r="L2179" s="87"/>
      <c r="M2179" s="59"/>
      <c r="N2179" s="60">
        <v>5.0</v>
      </c>
      <c r="O2179" s="61">
        <v>5.0</v>
      </c>
      <c r="P2179" s="62">
        <v>5.4</v>
      </c>
      <c r="Q2179" s="63">
        <v>5.4</v>
      </c>
      <c r="R2179" s="78">
        <v>6.0</v>
      </c>
      <c r="S2179" s="111">
        <v>6.300000000000001</v>
      </c>
      <c r="T2179" s="65">
        <f t="shared" si="93"/>
        <v>1.008</v>
      </c>
      <c r="U2179" s="65">
        <f t="shared" si="94"/>
        <v>7.308</v>
      </c>
      <c r="V2179" s="66">
        <f t="shared" si="111"/>
        <v>0.05</v>
      </c>
      <c r="W2179" s="67">
        <f t="shared" si="96"/>
        <v>5.985</v>
      </c>
      <c r="X2179" s="67">
        <f t="shared" si="112"/>
        <v>0.9576</v>
      </c>
      <c r="Y2179" s="67">
        <f t="shared" si="113"/>
        <v>6.9426</v>
      </c>
      <c r="Z2179" s="67">
        <f t="shared" si="99"/>
        <v>5.67</v>
      </c>
      <c r="AA2179" s="67">
        <f t="shared" si="114"/>
        <v>0.9072</v>
      </c>
      <c r="AB2179" s="67">
        <f t="shared" si="115"/>
        <v>6.5772</v>
      </c>
      <c r="AC2179" s="67">
        <f t="shared" si="102"/>
        <v>5.355</v>
      </c>
      <c r="AD2179" s="67">
        <f t="shared" si="116"/>
        <v>0.8568</v>
      </c>
      <c r="AE2179" s="67">
        <f t="shared" si="117"/>
        <v>6.2118</v>
      </c>
      <c r="AF2179" s="67">
        <f t="shared" si="105"/>
        <v>5.229</v>
      </c>
      <c r="AG2179" s="67">
        <f t="shared" si="118"/>
        <v>0.83664</v>
      </c>
      <c r="AH2179" s="67">
        <f t="shared" si="119"/>
        <v>6.06564</v>
      </c>
      <c r="AI2179" s="67">
        <f t="shared" si="108"/>
        <v>5.04</v>
      </c>
      <c r="AJ2179" s="68">
        <f t="shared" si="120"/>
        <v>0.8064</v>
      </c>
      <c r="AK2179" s="68">
        <f t="shared" si="121"/>
        <v>5.8464</v>
      </c>
      <c r="AL2179" s="70"/>
      <c r="AM2179" s="70"/>
      <c r="AN2179" s="71"/>
      <c r="AO2179" s="71"/>
      <c r="AP2179" s="71"/>
      <c r="AQ2179" s="71"/>
      <c r="AR2179" s="71"/>
      <c r="AS2179" s="71"/>
      <c r="AT2179" s="71"/>
      <c r="AU2179" s="71"/>
      <c r="AV2179" s="71"/>
      <c r="AW2179" s="71"/>
      <c r="AX2179" s="71"/>
      <c r="AY2179" s="71"/>
      <c r="AZ2179" s="71"/>
      <c r="BA2179" s="71"/>
      <c r="BB2179" s="71"/>
      <c r="BC2179" s="71"/>
      <c r="BD2179" s="71"/>
      <c r="BE2179" s="71"/>
      <c r="BF2179" s="71"/>
      <c r="BG2179" s="71"/>
      <c r="BH2179" s="71"/>
      <c r="BI2179" s="71"/>
      <c r="BJ2179" s="71"/>
      <c r="BK2179" s="71"/>
      <c r="BL2179" s="71"/>
      <c r="BM2179" s="71"/>
      <c r="BN2179" s="71"/>
      <c r="BO2179" s="71"/>
      <c r="BP2179" s="71"/>
      <c r="BQ2179" s="71"/>
      <c r="BR2179" s="71"/>
      <c r="BS2179" s="71"/>
      <c r="BT2179" s="71"/>
      <c r="BU2179" s="71"/>
      <c r="BV2179" s="71"/>
    </row>
    <row r="2180">
      <c r="A2180" s="53"/>
      <c r="B2180" s="53"/>
      <c r="C2180" s="73" t="s">
        <v>12</v>
      </c>
      <c r="D2180" s="53" t="s">
        <v>5287</v>
      </c>
      <c r="E2180" s="54" t="s">
        <v>38</v>
      </c>
      <c r="F2180" s="54" t="s">
        <v>42</v>
      </c>
      <c r="G2180" s="54" t="s">
        <v>5288</v>
      </c>
      <c r="H2180" s="54" t="s">
        <v>5288</v>
      </c>
      <c r="I2180" s="54">
        <f t="shared" si="24"/>
        <v>33</v>
      </c>
      <c r="J2180" s="56"/>
      <c r="K2180" s="57"/>
      <c r="L2180" s="76"/>
      <c r="M2180" s="59"/>
      <c r="N2180" s="60"/>
      <c r="O2180" s="61">
        <v>240.0</v>
      </c>
      <c r="P2180" s="62">
        <v>259.20000000000005</v>
      </c>
      <c r="Q2180" s="63">
        <v>259.20000000000005</v>
      </c>
      <c r="R2180" s="64">
        <v>272.0</v>
      </c>
      <c r="S2180" s="111">
        <v>286.0</v>
      </c>
      <c r="T2180" s="65">
        <f t="shared" si="93"/>
        <v>45.76</v>
      </c>
      <c r="U2180" s="65">
        <f t="shared" si="94"/>
        <v>331.76</v>
      </c>
      <c r="V2180" s="66">
        <f t="shared" si="111"/>
        <v>0.05147058824</v>
      </c>
      <c r="W2180" s="67">
        <f t="shared" si="96"/>
        <v>271.7</v>
      </c>
      <c r="X2180" s="67">
        <f t="shared" si="112"/>
        <v>43.472</v>
      </c>
      <c r="Y2180" s="67">
        <f t="shared" si="113"/>
        <v>315.172</v>
      </c>
      <c r="Z2180" s="67">
        <f t="shared" si="99"/>
        <v>257.4</v>
      </c>
      <c r="AA2180" s="67">
        <f t="shared" si="114"/>
        <v>41.184</v>
      </c>
      <c r="AB2180" s="67">
        <f t="shared" si="115"/>
        <v>298.584</v>
      </c>
      <c r="AC2180" s="67">
        <f t="shared" si="102"/>
        <v>243.1</v>
      </c>
      <c r="AD2180" s="67">
        <f t="shared" si="116"/>
        <v>38.896</v>
      </c>
      <c r="AE2180" s="67">
        <f t="shared" si="117"/>
        <v>281.996</v>
      </c>
      <c r="AF2180" s="67">
        <f t="shared" si="105"/>
        <v>237.38</v>
      </c>
      <c r="AG2180" s="67">
        <f t="shared" si="118"/>
        <v>37.9808</v>
      </c>
      <c r="AH2180" s="67">
        <f t="shared" si="119"/>
        <v>275.3608</v>
      </c>
      <c r="AI2180" s="67">
        <f t="shared" si="108"/>
        <v>228.8</v>
      </c>
      <c r="AJ2180" s="68">
        <f t="shared" si="120"/>
        <v>36.608</v>
      </c>
      <c r="AK2180" s="68">
        <f t="shared" si="121"/>
        <v>265.408</v>
      </c>
      <c r="AL2180" s="70"/>
      <c r="AM2180" s="70"/>
      <c r="AN2180" s="71"/>
      <c r="AO2180" s="71"/>
      <c r="AP2180" s="71"/>
      <c r="AQ2180" s="71"/>
      <c r="AR2180" s="71"/>
      <c r="AS2180" s="71"/>
      <c r="AT2180" s="71"/>
      <c r="AU2180" s="71"/>
      <c r="AV2180" s="71"/>
      <c r="AW2180" s="71"/>
      <c r="AX2180" s="71"/>
      <c r="AY2180" s="71"/>
      <c r="AZ2180" s="71"/>
      <c r="BA2180" s="71"/>
      <c r="BB2180" s="71"/>
      <c r="BC2180" s="71"/>
      <c r="BD2180" s="71"/>
      <c r="BE2180" s="71"/>
      <c r="BF2180" s="71"/>
      <c r="BG2180" s="71"/>
      <c r="BH2180" s="71"/>
      <c r="BI2180" s="71"/>
      <c r="BJ2180" s="71"/>
      <c r="BK2180" s="71"/>
      <c r="BL2180" s="71"/>
      <c r="BM2180" s="71"/>
      <c r="BN2180" s="71"/>
      <c r="BO2180" s="71"/>
      <c r="BP2180" s="71"/>
      <c r="BQ2180" s="71"/>
      <c r="BR2180" s="71"/>
      <c r="BS2180" s="71"/>
      <c r="BT2180" s="71"/>
      <c r="BU2180" s="71"/>
      <c r="BV2180" s="71"/>
    </row>
    <row r="2181">
      <c r="A2181" s="53">
        <v>1.0</v>
      </c>
      <c r="B2181" s="53"/>
      <c r="C2181" s="73" t="s">
        <v>12</v>
      </c>
      <c r="D2181" s="74" t="s">
        <v>5289</v>
      </c>
      <c r="E2181" s="54" t="s">
        <v>38</v>
      </c>
      <c r="F2181" s="54" t="s">
        <v>42</v>
      </c>
      <c r="G2181" s="88" t="s">
        <v>5290</v>
      </c>
      <c r="H2181" s="54" t="s">
        <v>5290</v>
      </c>
      <c r="I2181" s="54">
        <f t="shared" si="24"/>
        <v>30</v>
      </c>
      <c r="J2181" s="56"/>
      <c r="K2181" s="57"/>
      <c r="L2181" s="87"/>
      <c r="M2181" s="59"/>
      <c r="N2181" s="60">
        <v>52.0</v>
      </c>
      <c r="O2181" s="61">
        <v>56.0</v>
      </c>
      <c r="P2181" s="62">
        <v>60.480000000000004</v>
      </c>
      <c r="Q2181" s="63">
        <v>60.480000000000004</v>
      </c>
      <c r="R2181" s="64">
        <v>69.0</v>
      </c>
      <c r="S2181" s="111">
        <v>72.0</v>
      </c>
      <c r="T2181" s="65">
        <f t="shared" si="93"/>
        <v>11.52</v>
      </c>
      <c r="U2181" s="65">
        <f t="shared" si="94"/>
        <v>83.52</v>
      </c>
      <c r="V2181" s="66">
        <f t="shared" si="111"/>
        <v>0.04347826087</v>
      </c>
      <c r="W2181" s="67">
        <f t="shared" si="96"/>
        <v>68.4</v>
      </c>
      <c r="X2181" s="67">
        <f t="shared" si="112"/>
        <v>10.944</v>
      </c>
      <c r="Y2181" s="67">
        <f t="shared" si="113"/>
        <v>79.344</v>
      </c>
      <c r="Z2181" s="67">
        <f t="shared" si="99"/>
        <v>64.8</v>
      </c>
      <c r="AA2181" s="67">
        <f t="shared" si="114"/>
        <v>10.368</v>
      </c>
      <c r="AB2181" s="67">
        <f t="shared" si="115"/>
        <v>75.168</v>
      </c>
      <c r="AC2181" s="67">
        <f t="shared" si="102"/>
        <v>61.2</v>
      </c>
      <c r="AD2181" s="67">
        <f t="shared" si="116"/>
        <v>9.792</v>
      </c>
      <c r="AE2181" s="67">
        <f t="shared" si="117"/>
        <v>70.992</v>
      </c>
      <c r="AF2181" s="67">
        <f t="shared" si="105"/>
        <v>59.76</v>
      </c>
      <c r="AG2181" s="67">
        <f t="shared" si="118"/>
        <v>9.5616</v>
      </c>
      <c r="AH2181" s="67">
        <f t="shared" si="119"/>
        <v>69.3216</v>
      </c>
      <c r="AI2181" s="67">
        <f t="shared" si="108"/>
        <v>57.6</v>
      </c>
      <c r="AJ2181" s="68">
        <f t="shared" si="120"/>
        <v>9.216</v>
      </c>
      <c r="AK2181" s="68">
        <f t="shared" si="121"/>
        <v>66.816</v>
      </c>
      <c r="AL2181" s="70"/>
      <c r="AM2181" s="70"/>
      <c r="AN2181" s="71"/>
      <c r="AO2181" s="71"/>
      <c r="AP2181" s="71"/>
      <c r="AQ2181" s="71"/>
      <c r="AR2181" s="71"/>
      <c r="AS2181" s="71"/>
      <c r="AT2181" s="71"/>
      <c r="AU2181" s="71"/>
      <c r="AV2181" s="71"/>
      <c r="AW2181" s="71"/>
      <c r="AX2181" s="71"/>
      <c r="AY2181" s="71"/>
      <c r="AZ2181" s="71"/>
      <c r="BA2181" s="71"/>
      <c r="BB2181" s="71"/>
      <c r="BC2181" s="71"/>
      <c r="BD2181" s="71"/>
      <c r="BE2181" s="71"/>
      <c r="BF2181" s="71"/>
      <c r="BG2181" s="71"/>
      <c r="BH2181" s="71"/>
      <c r="BI2181" s="71"/>
      <c r="BJ2181" s="71"/>
      <c r="BK2181" s="71"/>
      <c r="BL2181" s="71"/>
      <c r="BM2181" s="71"/>
      <c r="BN2181" s="71"/>
      <c r="BO2181" s="71"/>
      <c r="BP2181" s="71"/>
      <c r="BQ2181" s="71"/>
      <c r="BR2181" s="71"/>
      <c r="BS2181" s="71"/>
      <c r="BT2181" s="71"/>
      <c r="BU2181" s="71"/>
      <c r="BV2181" s="71"/>
    </row>
    <row r="2182">
      <c r="A2182" s="53">
        <v>1.0</v>
      </c>
      <c r="B2182" s="53"/>
      <c r="C2182" s="73" t="s">
        <v>12</v>
      </c>
      <c r="D2182" s="74" t="s">
        <v>5291</v>
      </c>
      <c r="E2182" s="54" t="s">
        <v>38</v>
      </c>
      <c r="F2182" s="54" t="s">
        <v>42</v>
      </c>
      <c r="G2182" s="88" t="s">
        <v>5292</v>
      </c>
      <c r="H2182" s="54" t="s">
        <v>5292</v>
      </c>
      <c r="I2182" s="54">
        <f t="shared" si="24"/>
        <v>30</v>
      </c>
      <c r="J2182" s="56"/>
      <c r="K2182" s="57"/>
      <c r="L2182" s="87"/>
      <c r="M2182" s="59"/>
      <c r="N2182" s="60">
        <v>52.0</v>
      </c>
      <c r="O2182" s="61">
        <v>56.0</v>
      </c>
      <c r="P2182" s="62">
        <v>60.480000000000004</v>
      </c>
      <c r="Q2182" s="63">
        <v>60.480000000000004</v>
      </c>
      <c r="R2182" s="64">
        <v>69.0</v>
      </c>
      <c r="S2182" s="111">
        <v>72.0</v>
      </c>
      <c r="T2182" s="65">
        <f t="shared" si="93"/>
        <v>11.52</v>
      </c>
      <c r="U2182" s="65">
        <f t="shared" si="94"/>
        <v>83.52</v>
      </c>
      <c r="V2182" s="66">
        <f t="shared" si="111"/>
        <v>0.04347826087</v>
      </c>
      <c r="W2182" s="67">
        <f t="shared" si="96"/>
        <v>68.4</v>
      </c>
      <c r="X2182" s="67">
        <f t="shared" si="112"/>
        <v>10.944</v>
      </c>
      <c r="Y2182" s="67">
        <f t="shared" si="113"/>
        <v>79.344</v>
      </c>
      <c r="Z2182" s="67">
        <f t="shared" si="99"/>
        <v>64.8</v>
      </c>
      <c r="AA2182" s="67">
        <f t="shared" si="114"/>
        <v>10.368</v>
      </c>
      <c r="AB2182" s="67">
        <f t="shared" si="115"/>
        <v>75.168</v>
      </c>
      <c r="AC2182" s="67">
        <f t="shared" si="102"/>
        <v>61.2</v>
      </c>
      <c r="AD2182" s="67">
        <f t="shared" si="116"/>
        <v>9.792</v>
      </c>
      <c r="AE2182" s="67">
        <f t="shared" si="117"/>
        <v>70.992</v>
      </c>
      <c r="AF2182" s="67">
        <f t="shared" si="105"/>
        <v>59.76</v>
      </c>
      <c r="AG2182" s="67">
        <f t="shared" si="118"/>
        <v>9.5616</v>
      </c>
      <c r="AH2182" s="67">
        <f t="shared" si="119"/>
        <v>69.3216</v>
      </c>
      <c r="AI2182" s="67">
        <f t="shared" si="108"/>
        <v>57.6</v>
      </c>
      <c r="AJ2182" s="68">
        <f t="shared" si="120"/>
        <v>9.216</v>
      </c>
      <c r="AK2182" s="68">
        <f t="shared" si="121"/>
        <v>66.816</v>
      </c>
      <c r="AL2182" s="70"/>
      <c r="AM2182" s="70"/>
      <c r="AN2182" s="71"/>
      <c r="AO2182" s="71"/>
      <c r="AP2182" s="71"/>
      <c r="AQ2182" s="71"/>
      <c r="AR2182" s="71"/>
      <c r="AS2182" s="71"/>
      <c r="AT2182" s="71"/>
      <c r="AU2182" s="71"/>
      <c r="AV2182" s="71"/>
      <c r="AW2182" s="71"/>
      <c r="AX2182" s="71"/>
      <c r="AY2182" s="71"/>
      <c r="AZ2182" s="71"/>
      <c r="BA2182" s="71"/>
      <c r="BB2182" s="71"/>
      <c r="BC2182" s="71"/>
      <c r="BD2182" s="71"/>
      <c r="BE2182" s="71"/>
      <c r="BF2182" s="71"/>
      <c r="BG2182" s="71"/>
      <c r="BH2182" s="71"/>
      <c r="BI2182" s="71"/>
      <c r="BJ2182" s="71"/>
      <c r="BK2182" s="71"/>
      <c r="BL2182" s="71"/>
      <c r="BM2182" s="71"/>
      <c r="BN2182" s="71"/>
      <c r="BO2182" s="71"/>
      <c r="BP2182" s="71"/>
      <c r="BQ2182" s="71"/>
      <c r="BR2182" s="71"/>
      <c r="BS2182" s="71"/>
      <c r="BT2182" s="71"/>
      <c r="BU2182" s="71"/>
      <c r="BV2182" s="71"/>
    </row>
    <row r="2183">
      <c r="A2183" s="53">
        <v>1.0</v>
      </c>
      <c r="B2183" s="53"/>
      <c r="C2183" s="73" t="s">
        <v>12</v>
      </c>
      <c r="D2183" s="74" t="s">
        <v>5293</v>
      </c>
      <c r="E2183" s="54" t="s">
        <v>38</v>
      </c>
      <c r="F2183" s="54" t="s">
        <v>42</v>
      </c>
      <c r="G2183" s="88" t="s">
        <v>5294</v>
      </c>
      <c r="H2183" s="54" t="s">
        <v>5294</v>
      </c>
      <c r="I2183" s="54">
        <f t="shared" si="24"/>
        <v>22</v>
      </c>
      <c r="J2183" s="56"/>
      <c r="K2183" s="57"/>
      <c r="L2183" s="87"/>
      <c r="M2183" s="59"/>
      <c r="N2183" s="60">
        <v>5.0</v>
      </c>
      <c r="O2183" s="61">
        <v>5.0</v>
      </c>
      <c r="P2183" s="62">
        <v>5.4</v>
      </c>
      <c r="Q2183" s="63">
        <v>5.4</v>
      </c>
      <c r="R2183" s="78">
        <v>6.0</v>
      </c>
      <c r="S2183" s="111">
        <v>6.300000000000001</v>
      </c>
      <c r="T2183" s="65">
        <f t="shared" si="93"/>
        <v>1.008</v>
      </c>
      <c r="U2183" s="65">
        <f t="shared" si="94"/>
        <v>7.308</v>
      </c>
      <c r="V2183" s="66">
        <f t="shared" si="111"/>
        <v>0.05</v>
      </c>
      <c r="W2183" s="67">
        <f t="shared" si="96"/>
        <v>5.985</v>
      </c>
      <c r="X2183" s="67">
        <f t="shared" si="112"/>
        <v>0.9576</v>
      </c>
      <c r="Y2183" s="67">
        <f t="shared" si="113"/>
        <v>6.9426</v>
      </c>
      <c r="Z2183" s="67">
        <f t="shared" si="99"/>
        <v>5.67</v>
      </c>
      <c r="AA2183" s="67">
        <f t="shared" si="114"/>
        <v>0.9072</v>
      </c>
      <c r="AB2183" s="67">
        <f t="shared" si="115"/>
        <v>6.5772</v>
      </c>
      <c r="AC2183" s="67">
        <f t="shared" si="102"/>
        <v>5.355</v>
      </c>
      <c r="AD2183" s="67">
        <f t="shared" si="116"/>
        <v>0.8568</v>
      </c>
      <c r="AE2183" s="67">
        <f t="shared" si="117"/>
        <v>6.2118</v>
      </c>
      <c r="AF2183" s="67">
        <f t="shared" si="105"/>
        <v>5.229</v>
      </c>
      <c r="AG2183" s="67">
        <f t="shared" si="118"/>
        <v>0.83664</v>
      </c>
      <c r="AH2183" s="67">
        <f t="shared" si="119"/>
        <v>6.06564</v>
      </c>
      <c r="AI2183" s="67">
        <f t="shared" si="108"/>
        <v>5.04</v>
      </c>
      <c r="AJ2183" s="68">
        <f t="shared" si="120"/>
        <v>0.8064</v>
      </c>
      <c r="AK2183" s="68">
        <f t="shared" si="121"/>
        <v>5.8464</v>
      </c>
      <c r="AL2183" s="70"/>
      <c r="AM2183" s="70"/>
      <c r="AN2183" s="71"/>
      <c r="AO2183" s="71"/>
      <c r="AP2183" s="71"/>
      <c r="AQ2183" s="71"/>
      <c r="AR2183" s="71"/>
      <c r="AS2183" s="71"/>
      <c r="AT2183" s="71"/>
      <c r="AU2183" s="71"/>
      <c r="AV2183" s="71"/>
      <c r="AW2183" s="71"/>
      <c r="AX2183" s="71"/>
      <c r="AY2183" s="71"/>
      <c r="AZ2183" s="71"/>
      <c r="BA2183" s="71"/>
      <c r="BB2183" s="71"/>
      <c r="BC2183" s="71"/>
      <c r="BD2183" s="71"/>
      <c r="BE2183" s="71"/>
      <c r="BF2183" s="71"/>
      <c r="BG2183" s="71"/>
      <c r="BH2183" s="71"/>
      <c r="BI2183" s="71"/>
      <c r="BJ2183" s="71"/>
      <c r="BK2183" s="71"/>
      <c r="BL2183" s="71"/>
      <c r="BM2183" s="71"/>
      <c r="BN2183" s="71"/>
      <c r="BO2183" s="71"/>
      <c r="BP2183" s="71"/>
      <c r="BQ2183" s="71"/>
      <c r="BR2183" s="71"/>
      <c r="BS2183" s="71"/>
      <c r="BT2183" s="71"/>
      <c r="BU2183" s="71"/>
      <c r="BV2183" s="71"/>
    </row>
    <row r="2184">
      <c r="A2184" s="53"/>
      <c r="B2184" s="53"/>
      <c r="C2184" s="53" t="s">
        <v>36</v>
      </c>
      <c r="D2184" s="85" t="s">
        <v>5295</v>
      </c>
      <c r="E2184" s="54" t="s">
        <v>38</v>
      </c>
      <c r="F2184" s="55" t="s">
        <v>39</v>
      </c>
      <c r="G2184" s="86" t="s">
        <v>5296</v>
      </c>
      <c r="H2184" s="55"/>
      <c r="I2184" s="54">
        <f t="shared" si="24"/>
        <v>0</v>
      </c>
      <c r="J2184" s="56"/>
      <c r="K2184" s="57"/>
      <c r="L2184" s="76"/>
      <c r="M2184" s="59"/>
      <c r="N2184" s="60"/>
      <c r="O2184" s="61">
        <v>51.84</v>
      </c>
      <c r="P2184" s="62">
        <v>55.98720000000001</v>
      </c>
      <c r="Q2184" s="63">
        <v>55.98720000000001</v>
      </c>
      <c r="R2184" s="64">
        <v>59.0</v>
      </c>
      <c r="S2184" s="107">
        <v>62.0</v>
      </c>
      <c r="T2184" s="65">
        <f t="shared" si="93"/>
        <v>9.92</v>
      </c>
      <c r="U2184" s="65">
        <f t="shared" si="94"/>
        <v>71.92</v>
      </c>
      <c r="V2184" s="66">
        <f t="shared" si="111"/>
        <v>0.05084745763</v>
      </c>
      <c r="W2184" s="67">
        <f t="shared" si="96"/>
        <v>58.9</v>
      </c>
      <c r="X2184" s="67">
        <f t="shared" si="112"/>
        <v>9.424</v>
      </c>
      <c r="Y2184" s="67">
        <f t="shared" si="113"/>
        <v>68.324</v>
      </c>
      <c r="Z2184" s="67">
        <f t="shared" si="99"/>
        <v>55.8</v>
      </c>
      <c r="AA2184" s="67">
        <f t="shared" si="114"/>
        <v>8.928</v>
      </c>
      <c r="AB2184" s="67">
        <f t="shared" si="115"/>
        <v>64.728</v>
      </c>
      <c r="AC2184" s="67">
        <f t="shared" si="102"/>
        <v>52.7</v>
      </c>
      <c r="AD2184" s="67">
        <f t="shared" si="116"/>
        <v>8.432</v>
      </c>
      <c r="AE2184" s="67">
        <f t="shared" si="117"/>
        <v>61.132</v>
      </c>
      <c r="AF2184" s="67">
        <f t="shared" si="105"/>
        <v>51.46</v>
      </c>
      <c r="AG2184" s="67">
        <f t="shared" si="118"/>
        <v>8.2336</v>
      </c>
      <c r="AH2184" s="67">
        <f t="shared" si="119"/>
        <v>59.6936</v>
      </c>
      <c r="AI2184" s="67">
        <f t="shared" si="108"/>
        <v>49.6</v>
      </c>
      <c r="AJ2184" s="68">
        <f t="shared" si="120"/>
        <v>7.936</v>
      </c>
      <c r="AK2184" s="68">
        <f t="shared" si="121"/>
        <v>57.536</v>
      </c>
      <c r="AL2184" s="70"/>
      <c r="AM2184" s="70"/>
      <c r="AN2184" s="71"/>
      <c r="AO2184" s="71"/>
      <c r="AP2184" s="71"/>
      <c r="AQ2184" s="71"/>
      <c r="AR2184" s="71"/>
      <c r="AS2184" s="71"/>
      <c r="AT2184" s="71"/>
      <c r="AU2184" s="71"/>
      <c r="AV2184" s="71"/>
      <c r="AW2184" s="71"/>
      <c r="AX2184" s="71"/>
      <c r="AY2184" s="71"/>
      <c r="AZ2184" s="71"/>
      <c r="BA2184" s="71"/>
      <c r="BB2184" s="71"/>
      <c r="BC2184" s="71"/>
      <c r="BD2184" s="71"/>
      <c r="BE2184" s="71"/>
      <c r="BF2184" s="71"/>
      <c r="BG2184" s="71"/>
      <c r="BH2184" s="71"/>
      <c r="BI2184" s="71"/>
      <c r="BJ2184" s="71"/>
      <c r="BK2184" s="71"/>
      <c r="BL2184" s="71"/>
      <c r="BM2184" s="71"/>
      <c r="BN2184" s="71"/>
      <c r="BO2184" s="71"/>
      <c r="BP2184" s="71"/>
      <c r="BQ2184" s="71"/>
      <c r="BR2184" s="71"/>
      <c r="BS2184" s="71"/>
      <c r="BT2184" s="71"/>
      <c r="BU2184" s="71"/>
      <c r="BV2184" s="71"/>
    </row>
    <row r="2185">
      <c r="A2185" s="53"/>
      <c r="B2185" s="53"/>
      <c r="C2185" s="53" t="s">
        <v>36</v>
      </c>
      <c r="D2185" s="85" t="s">
        <v>5297</v>
      </c>
      <c r="E2185" s="54" t="s">
        <v>38</v>
      </c>
      <c r="F2185" s="55" t="s">
        <v>39</v>
      </c>
      <c r="G2185" s="86" t="s">
        <v>5298</v>
      </c>
      <c r="H2185" s="55"/>
      <c r="I2185" s="54">
        <f t="shared" si="24"/>
        <v>0</v>
      </c>
      <c r="J2185" s="56"/>
      <c r="K2185" s="57"/>
      <c r="L2185" s="76"/>
      <c r="M2185" s="59"/>
      <c r="N2185" s="60"/>
      <c r="O2185" s="61">
        <v>488.4</v>
      </c>
      <c r="P2185" s="62">
        <v>550.0</v>
      </c>
      <c r="Q2185" s="63">
        <v>550.0</v>
      </c>
      <c r="R2185" s="64">
        <v>578.0</v>
      </c>
      <c r="S2185" s="107">
        <v>607.0</v>
      </c>
      <c r="T2185" s="65">
        <f t="shared" si="93"/>
        <v>97.12</v>
      </c>
      <c r="U2185" s="65">
        <f t="shared" si="94"/>
        <v>704.12</v>
      </c>
      <c r="V2185" s="66">
        <f t="shared" si="111"/>
        <v>0.05017301038</v>
      </c>
      <c r="W2185" s="67">
        <f t="shared" si="96"/>
        <v>576.65</v>
      </c>
      <c r="X2185" s="67">
        <f t="shared" si="112"/>
        <v>92.264</v>
      </c>
      <c r="Y2185" s="67">
        <f t="shared" si="113"/>
        <v>668.914</v>
      </c>
      <c r="Z2185" s="67">
        <f t="shared" si="99"/>
        <v>546.3</v>
      </c>
      <c r="AA2185" s="67">
        <f t="shared" si="114"/>
        <v>87.408</v>
      </c>
      <c r="AB2185" s="67">
        <f t="shared" si="115"/>
        <v>633.708</v>
      </c>
      <c r="AC2185" s="67">
        <f t="shared" si="102"/>
        <v>515.95</v>
      </c>
      <c r="AD2185" s="67">
        <f t="shared" si="116"/>
        <v>82.552</v>
      </c>
      <c r="AE2185" s="67">
        <f t="shared" si="117"/>
        <v>598.502</v>
      </c>
      <c r="AF2185" s="67">
        <f t="shared" si="105"/>
        <v>503.81</v>
      </c>
      <c r="AG2185" s="67">
        <f t="shared" si="118"/>
        <v>80.6096</v>
      </c>
      <c r="AH2185" s="67">
        <f t="shared" si="119"/>
        <v>584.4196</v>
      </c>
      <c r="AI2185" s="67">
        <f t="shared" si="108"/>
        <v>485.6</v>
      </c>
      <c r="AJ2185" s="68">
        <f t="shared" si="120"/>
        <v>77.696</v>
      </c>
      <c r="AK2185" s="68">
        <f t="shared" si="121"/>
        <v>563.296</v>
      </c>
      <c r="AL2185" s="70"/>
      <c r="AM2185" s="70"/>
      <c r="AN2185" s="71"/>
      <c r="AO2185" s="71"/>
      <c r="AP2185" s="71"/>
      <c r="AQ2185" s="71"/>
      <c r="AR2185" s="71"/>
      <c r="AS2185" s="71"/>
      <c r="AT2185" s="71"/>
      <c r="AU2185" s="71"/>
      <c r="AV2185" s="71"/>
      <c r="AW2185" s="71"/>
      <c r="AX2185" s="71"/>
      <c r="AY2185" s="71"/>
      <c r="AZ2185" s="71"/>
      <c r="BA2185" s="71"/>
      <c r="BB2185" s="71"/>
      <c r="BC2185" s="71"/>
      <c r="BD2185" s="71"/>
      <c r="BE2185" s="71"/>
      <c r="BF2185" s="71"/>
      <c r="BG2185" s="71"/>
      <c r="BH2185" s="71"/>
      <c r="BI2185" s="71"/>
      <c r="BJ2185" s="71"/>
      <c r="BK2185" s="71"/>
      <c r="BL2185" s="71"/>
      <c r="BM2185" s="71"/>
      <c r="BN2185" s="71"/>
      <c r="BO2185" s="71"/>
      <c r="BP2185" s="71"/>
      <c r="BQ2185" s="71"/>
      <c r="BR2185" s="71"/>
      <c r="BS2185" s="71"/>
      <c r="BT2185" s="71"/>
      <c r="BU2185" s="71"/>
      <c r="BV2185" s="71"/>
    </row>
    <row r="2186">
      <c r="A2186" s="53"/>
      <c r="B2186" s="53"/>
      <c r="C2186" s="53" t="s">
        <v>36</v>
      </c>
      <c r="D2186" s="85" t="s">
        <v>5299</v>
      </c>
      <c r="E2186" s="54" t="s">
        <v>38</v>
      </c>
      <c r="F2186" s="55" t="s">
        <v>39</v>
      </c>
      <c r="G2186" s="86" t="s">
        <v>5300</v>
      </c>
      <c r="H2186" s="55"/>
      <c r="I2186" s="54">
        <f t="shared" si="24"/>
        <v>0</v>
      </c>
      <c r="J2186" s="56"/>
      <c r="K2186" s="57"/>
      <c r="L2186" s="76"/>
      <c r="M2186" s="59"/>
      <c r="N2186" s="60"/>
      <c r="O2186" s="61">
        <v>306.0</v>
      </c>
      <c r="P2186" s="62">
        <v>330.48</v>
      </c>
      <c r="Q2186" s="63">
        <v>330.48</v>
      </c>
      <c r="R2186" s="64">
        <v>347.0</v>
      </c>
      <c r="S2186" s="107">
        <v>364.0</v>
      </c>
      <c r="T2186" s="65">
        <f t="shared" si="93"/>
        <v>58.24</v>
      </c>
      <c r="U2186" s="65">
        <f t="shared" si="94"/>
        <v>422.24</v>
      </c>
      <c r="V2186" s="66">
        <f t="shared" si="111"/>
        <v>0.04899135447</v>
      </c>
      <c r="W2186" s="67">
        <f t="shared" si="96"/>
        <v>345.8</v>
      </c>
      <c r="X2186" s="67">
        <f t="shared" si="112"/>
        <v>55.328</v>
      </c>
      <c r="Y2186" s="67">
        <f t="shared" si="113"/>
        <v>401.128</v>
      </c>
      <c r="Z2186" s="67">
        <f t="shared" si="99"/>
        <v>327.6</v>
      </c>
      <c r="AA2186" s="67">
        <f t="shared" si="114"/>
        <v>52.416</v>
      </c>
      <c r="AB2186" s="67">
        <f t="shared" si="115"/>
        <v>380.016</v>
      </c>
      <c r="AC2186" s="67">
        <f t="shared" si="102"/>
        <v>309.4</v>
      </c>
      <c r="AD2186" s="67">
        <f t="shared" si="116"/>
        <v>49.504</v>
      </c>
      <c r="AE2186" s="67">
        <f t="shared" si="117"/>
        <v>358.904</v>
      </c>
      <c r="AF2186" s="67">
        <f t="shared" si="105"/>
        <v>302.12</v>
      </c>
      <c r="AG2186" s="67">
        <f t="shared" si="118"/>
        <v>48.3392</v>
      </c>
      <c r="AH2186" s="67">
        <f t="shared" si="119"/>
        <v>350.4592</v>
      </c>
      <c r="AI2186" s="67">
        <f t="shared" si="108"/>
        <v>291.2</v>
      </c>
      <c r="AJ2186" s="68">
        <f t="shared" si="120"/>
        <v>46.592</v>
      </c>
      <c r="AK2186" s="68">
        <f t="shared" si="121"/>
        <v>337.792</v>
      </c>
      <c r="AL2186" s="70"/>
      <c r="AM2186" s="70"/>
      <c r="AN2186" s="71"/>
      <c r="AO2186" s="71"/>
      <c r="AP2186" s="71"/>
      <c r="AQ2186" s="71"/>
      <c r="AR2186" s="71"/>
      <c r="AS2186" s="71"/>
      <c r="AT2186" s="71"/>
      <c r="AU2186" s="71"/>
      <c r="AV2186" s="71"/>
      <c r="AW2186" s="71"/>
      <c r="AX2186" s="71"/>
      <c r="AY2186" s="71"/>
      <c r="AZ2186" s="71"/>
      <c r="BA2186" s="71"/>
      <c r="BB2186" s="71"/>
      <c r="BC2186" s="71"/>
      <c r="BD2186" s="71"/>
      <c r="BE2186" s="71"/>
      <c r="BF2186" s="71"/>
      <c r="BG2186" s="71"/>
      <c r="BH2186" s="71"/>
      <c r="BI2186" s="71"/>
      <c r="BJ2186" s="71"/>
      <c r="BK2186" s="71"/>
      <c r="BL2186" s="71"/>
      <c r="BM2186" s="71"/>
      <c r="BN2186" s="71"/>
      <c r="BO2186" s="71"/>
      <c r="BP2186" s="71"/>
      <c r="BQ2186" s="71"/>
      <c r="BR2186" s="71"/>
      <c r="BS2186" s="71"/>
      <c r="BT2186" s="71"/>
      <c r="BU2186" s="71"/>
      <c r="BV2186" s="71"/>
    </row>
    <row r="2187">
      <c r="A2187" s="53">
        <v>1.0</v>
      </c>
      <c r="B2187" s="53"/>
      <c r="C2187" s="73" t="s">
        <v>12</v>
      </c>
      <c r="D2187" s="74" t="s">
        <v>5301</v>
      </c>
      <c r="E2187" s="54" t="s">
        <v>38</v>
      </c>
      <c r="F2187" s="54" t="s">
        <v>42</v>
      </c>
      <c r="G2187" s="88" t="s">
        <v>5302</v>
      </c>
      <c r="H2187" s="54" t="s">
        <v>5303</v>
      </c>
      <c r="I2187" s="54">
        <f t="shared" si="24"/>
        <v>28</v>
      </c>
      <c r="J2187" s="56"/>
      <c r="K2187" s="57"/>
      <c r="L2187" s="76"/>
      <c r="M2187" s="59"/>
      <c r="N2187" s="60">
        <v>38.0</v>
      </c>
      <c r="O2187" s="61">
        <v>41.0</v>
      </c>
      <c r="P2187" s="62">
        <v>44.28</v>
      </c>
      <c r="Q2187" s="63">
        <v>44.28</v>
      </c>
      <c r="R2187" s="78">
        <v>64.0</v>
      </c>
      <c r="S2187" s="111">
        <v>67.0</v>
      </c>
      <c r="T2187" s="65">
        <f t="shared" si="93"/>
        <v>10.72</v>
      </c>
      <c r="U2187" s="65">
        <f t="shared" si="94"/>
        <v>77.72</v>
      </c>
      <c r="V2187" s="66">
        <f t="shared" si="111"/>
        <v>0.046875</v>
      </c>
      <c r="W2187" s="67">
        <f t="shared" si="96"/>
        <v>63.65</v>
      </c>
      <c r="X2187" s="67">
        <f t="shared" si="112"/>
        <v>10.184</v>
      </c>
      <c r="Y2187" s="67">
        <f t="shared" si="113"/>
        <v>73.834</v>
      </c>
      <c r="Z2187" s="67">
        <f t="shared" si="99"/>
        <v>60.3</v>
      </c>
      <c r="AA2187" s="67">
        <f t="shared" si="114"/>
        <v>9.648</v>
      </c>
      <c r="AB2187" s="67">
        <f t="shared" si="115"/>
        <v>69.948</v>
      </c>
      <c r="AC2187" s="67">
        <f t="shared" si="102"/>
        <v>56.95</v>
      </c>
      <c r="AD2187" s="67">
        <f t="shared" si="116"/>
        <v>9.112</v>
      </c>
      <c r="AE2187" s="67">
        <f t="shared" si="117"/>
        <v>66.062</v>
      </c>
      <c r="AF2187" s="67">
        <f t="shared" si="105"/>
        <v>55.61</v>
      </c>
      <c r="AG2187" s="67">
        <f t="shared" si="118"/>
        <v>8.8976</v>
      </c>
      <c r="AH2187" s="67">
        <f t="shared" si="119"/>
        <v>64.5076</v>
      </c>
      <c r="AI2187" s="67">
        <f t="shared" si="108"/>
        <v>53.6</v>
      </c>
      <c r="AJ2187" s="68">
        <f t="shared" si="120"/>
        <v>8.576</v>
      </c>
      <c r="AK2187" s="68">
        <f t="shared" si="121"/>
        <v>62.176</v>
      </c>
      <c r="AL2187" s="70"/>
      <c r="AM2187" s="70"/>
      <c r="AN2187" s="71"/>
      <c r="AO2187" s="71"/>
      <c r="AP2187" s="71"/>
      <c r="AQ2187" s="71"/>
      <c r="AR2187" s="71"/>
      <c r="AS2187" s="71"/>
      <c r="AT2187" s="71"/>
      <c r="AU2187" s="71"/>
      <c r="AV2187" s="71"/>
      <c r="AW2187" s="71"/>
      <c r="AX2187" s="71"/>
      <c r="AY2187" s="71"/>
      <c r="AZ2187" s="71"/>
      <c r="BA2187" s="71"/>
      <c r="BB2187" s="71"/>
      <c r="BC2187" s="71"/>
      <c r="BD2187" s="71"/>
      <c r="BE2187" s="71"/>
      <c r="BF2187" s="71"/>
      <c r="BG2187" s="71"/>
      <c r="BH2187" s="71"/>
      <c r="BI2187" s="71"/>
      <c r="BJ2187" s="71"/>
      <c r="BK2187" s="71"/>
      <c r="BL2187" s="71"/>
      <c r="BM2187" s="71"/>
      <c r="BN2187" s="71"/>
      <c r="BO2187" s="71"/>
      <c r="BP2187" s="71"/>
      <c r="BQ2187" s="71"/>
      <c r="BR2187" s="71"/>
      <c r="BS2187" s="71"/>
      <c r="BT2187" s="71"/>
      <c r="BU2187" s="71"/>
      <c r="BV2187" s="71"/>
    </row>
    <row r="2188">
      <c r="A2188" s="53"/>
      <c r="B2188" s="53"/>
      <c r="C2188" s="73" t="s">
        <v>12</v>
      </c>
      <c r="D2188" s="53" t="s">
        <v>5304</v>
      </c>
      <c r="E2188" s="54" t="s">
        <v>38</v>
      </c>
      <c r="F2188" s="54" t="s">
        <v>42</v>
      </c>
      <c r="G2188" s="55" t="s">
        <v>5305</v>
      </c>
      <c r="H2188" s="54" t="s">
        <v>5306</v>
      </c>
      <c r="I2188" s="54">
        <f t="shared" si="24"/>
        <v>36</v>
      </c>
      <c r="J2188" s="56"/>
      <c r="K2188" s="57"/>
      <c r="L2188" s="76"/>
      <c r="M2188" s="59"/>
      <c r="N2188" s="60"/>
      <c r="O2188" s="61">
        <v>270.0</v>
      </c>
      <c r="P2188" s="62">
        <v>291.6</v>
      </c>
      <c r="Q2188" s="63">
        <v>291.6</v>
      </c>
      <c r="R2188" s="64">
        <v>307.0</v>
      </c>
      <c r="S2188" s="111">
        <v>322.0</v>
      </c>
      <c r="T2188" s="65">
        <f t="shared" si="93"/>
        <v>51.52</v>
      </c>
      <c r="U2188" s="65">
        <f t="shared" si="94"/>
        <v>373.52</v>
      </c>
      <c r="V2188" s="66">
        <f t="shared" si="111"/>
        <v>0.04885993485</v>
      </c>
      <c r="W2188" s="67">
        <f t="shared" si="96"/>
        <v>305.9</v>
      </c>
      <c r="X2188" s="67">
        <f t="shared" si="112"/>
        <v>48.944</v>
      </c>
      <c r="Y2188" s="67">
        <f t="shared" si="113"/>
        <v>354.844</v>
      </c>
      <c r="Z2188" s="67">
        <f t="shared" si="99"/>
        <v>289.8</v>
      </c>
      <c r="AA2188" s="67">
        <f t="shared" si="114"/>
        <v>46.368</v>
      </c>
      <c r="AB2188" s="67">
        <f t="shared" si="115"/>
        <v>336.168</v>
      </c>
      <c r="AC2188" s="67">
        <f t="shared" si="102"/>
        <v>273.7</v>
      </c>
      <c r="AD2188" s="67">
        <f t="shared" si="116"/>
        <v>43.792</v>
      </c>
      <c r="AE2188" s="67">
        <f t="shared" si="117"/>
        <v>317.492</v>
      </c>
      <c r="AF2188" s="67">
        <f t="shared" si="105"/>
        <v>267.26</v>
      </c>
      <c r="AG2188" s="67">
        <f t="shared" si="118"/>
        <v>42.7616</v>
      </c>
      <c r="AH2188" s="67">
        <f t="shared" si="119"/>
        <v>310.0216</v>
      </c>
      <c r="AI2188" s="67">
        <f t="shared" si="108"/>
        <v>257.6</v>
      </c>
      <c r="AJ2188" s="68">
        <f t="shared" si="120"/>
        <v>41.216</v>
      </c>
      <c r="AK2188" s="68">
        <f t="shared" si="121"/>
        <v>298.816</v>
      </c>
      <c r="AL2188" s="70"/>
      <c r="AM2188" s="70"/>
      <c r="AN2188" s="71"/>
      <c r="AO2188" s="71"/>
      <c r="AP2188" s="71"/>
      <c r="AQ2188" s="71"/>
      <c r="AR2188" s="71"/>
      <c r="AS2188" s="71"/>
      <c r="AT2188" s="71"/>
      <c r="AU2188" s="71"/>
      <c r="AV2188" s="71"/>
      <c r="AW2188" s="71"/>
      <c r="AX2188" s="71"/>
      <c r="AY2188" s="71"/>
      <c r="AZ2188" s="71"/>
      <c r="BA2188" s="71"/>
      <c r="BB2188" s="71"/>
      <c r="BC2188" s="71"/>
      <c r="BD2188" s="71"/>
      <c r="BE2188" s="71"/>
      <c r="BF2188" s="71"/>
      <c r="BG2188" s="71"/>
      <c r="BH2188" s="71"/>
      <c r="BI2188" s="71"/>
      <c r="BJ2188" s="71"/>
      <c r="BK2188" s="71"/>
      <c r="BL2188" s="71"/>
      <c r="BM2188" s="71"/>
      <c r="BN2188" s="71"/>
      <c r="BO2188" s="71"/>
      <c r="BP2188" s="71"/>
      <c r="BQ2188" s="71"/>
      <c r="BR2188" s="71"/>
      <c r="BS2188" s="71"/>
      <c r="BT2188" s="71"/>
      <c r="BU2188" s="71"/>
      <c r="BV2188" s="71"/>
    </row>
    <row r="2189">
      <c r="A2189" s="53">
        <v>1.0</v>
      </c>
      <c r="B2189" s="53"/>
      <c r="C2189" s="73" t="s">
        <v>12</v>
      </c>
      <c r="D2189" s="74" t="s">
        <v>5307</v>
      </c>
      <c r="E2189" s="55" t="s">
        <v>38</v>
      </c>
      <c r="F2189" s="54" t="s">
        <v>42</v>
      </c>
      <c r="G2189" s="55" t="s">
        <v>5308</v>
      </c>
      <c r="H2189" s="54" t="s">
        <v>5308</v>
      </c>
      <c r="I2189" s="54">
        <f t="shared" si="24"/>
        <v>18</v>
      </c>
      <c r="J2189" s="56"/>
      <c r="K2189" s="57"/>
      <c r="L2189" s="87"/>
      <c r="M2189" s="59"/>
      <c r="N2189" s="60">
        <v>60.0</v>
      </c>
      <c r="O2189" s="61">
        <v>64.0</v>
      </c>
      <c r="P2189" s="62">
        <v>69.12</v>
      </c>
      <c r="Q2189" s="63">
        <v>69.12</v>
      </c>
      <c r="R2189" s="64">
        <v>78.0</v>
      </c>
      <c r="S2189" s="111">
        <v>82.0</v>
      </c>
      <c r="T2189" s="65">
        <f t="shared" si="93"/>
        <v>13.12</v>
      </c>
      <c r="U2189" s="65">
        <f t="shared" si="94"/>
        <v>95.12</v>
      </c>
      <c r="V2189" s="66">
        <f t="shared" si="111"/>
        <v>0.05128205128</v>
      </c>
      <c r="W2189" s="67">
        <f t="shared" si="96"/>
        <v>77.9</v>
      </c>
      <c r="X2189" s="67">
        <f t="shared" si="112"/>
        <v>12.464</v>
      </c>
      <c r="Y2189" s="67">
        <f t="shared" si="113"/>
        <v>90.364</v>
      </c>
      <c r="Z2189" s="67">
        <f t="shared" si="99"/>
        <v>73.8</v>
      </c>
      <c r="AA2189" s="67">
        <f t="shared" si="114"/>
        <v>11.808</v>
      </c>
      <c r="AB2189" s="67">
        <f t="shared" si="115"/>
        <v>85.608</v>
      </c>
      <c r="AC2189" s="67">
        <f t="shared" si="102"/>
        <v>69.7</v>
      </c>
      <c r="AD2189" s="67">
        <f t="shared" si="116"/>
        <v>11.152</v>
      </c>
      <c r="AE2189" s="67">
        <f t="shared" si="117"/>
        <v>80.852</v>
      </c>
      <c r="AF2189" s="67">
        <f t="shared" si="105"/>
        <v>68.06</v>
      </c>
      <c r="AG2189" s="67">
        <f t="shared" si="118"/>
        <v>10.8896</v>
      </c>
      <c r="AH2189" s="67">
        <f t="shared" si="119"/>
        <v>78.9496</v>
      </c>
      <c r="AI2189" s="67">
        <f t="shared" si="108"/>
        <v>65.6</v>
      </c>
      <c r="AJ2189" s="68">
        <f t="shared" si="120"/>
        <v>10.496</v>
      </c>
      <c r="AK2189" s="68">
        <f t="shared" si="121"/>
        <v>76.096</v>
      </c>
      <c r="AL2189" s="70"/>
      <c r="AM2189" s="70"/>
      <c r="AN2189" s="71"/>
      <c r="AO2189" s="71"/>
      <c r="AP2189" s="71"/>
      <c r="AQ2189" s="71"/>
      <c r="AR2189" s="71"/>
      <c r="AS2189" s="71"/>
      <c r="AT2189" s="71"/>
      <c r="AU2189" s="71"/>
      <c r="AV2189" s="71"/>
      <c r="AW2189" s="71"/>
      <c r="AX2189" s="71"/>
      <c r="AY2189" s="71"/>
      <c r="AZ2189" s="71"/>
      <c r="BA2189" s="71"/>
      <c r="BB2189" s="71"/>
      <c r="BC2189" s="71"/>
      <c r="BD2189" s="71"/>
      <c r="BE2189" s="71"/>
      <c r="BF2189" s="71"/>
      <c r="BG2189" s="71"/>
      <c r="BH2189" s="71"/>
      <c r="BI2189" s="71"/>
      <c r="BJ2189" s="71"/>
      <c r="BK2189" s="71"/>
      <c r="BL2189" s="71"/>
      <c r="BM2189" s="71"/>
      <c r="BN2189" s="71"/>
      <c r="BO2189" s="71"/>
      <c r="BP2189" s="71"/>
      <c r="BQ2189" s="71"/>
      <c r="BR2189" s="71"/>
      <c r="BS2189" s="71"/>
      <c r="BT2189" s="71"/>
      <c r="BU2189" s="71"/>
      <c r="BV2189" s="71"/>
    </row>
    <row r="2190">
      <c r="A2190" s="53">
        <v>1.0</v>
      </c>
      <c r="B2190" s="53">
        <v>3.0</v>
      </c>
      <c r="C2190" s="73" t="s">
        <v>12</v>
      </c>
      <c r="D2190" s="53" t="s">
        <v>5309</v>
      </c>
      <c r="E2190" s="55" t="s">
        <v>38</v>
      </c>
      <c r="F2190" s="54" t="s">
        <v>42</v>
      </c>
      <c r="G2190" s="55" t="s">
        <v>5310</v>
      </c>
      <c r="H2190" s="55" t="s">
        <v>5310</v>
      </c>
      <c r="I2190" s="54">
        <f t="shared" si="24"/>
        <v>21</v>
      </c>
      <c r="J2190" s="56"/>
      <c r="K2190" s="57"/>
      <c r="L2190" s="76"/>
      <c r="M2190" s="59"/>
      <c r="N2190" s="60"/>
      <c r="O2190" s="61">
        <v>214.0</v>
      </c>
      <c r="P2190" s="62">
        <v>231.12</v>
      </c>
      <c r="Q2190" s="63">
        <v>231.12</v>
      </c>
      <c r="R2190" s="64">
        <v>243.0</v>
      </c>
      <c r="S2190" s="111">
        <v>255.0</v>
      </c>
      <c r="T2190" s="65">
        <f t="shared" si="93"/>
        <v>40.8</v>
      </c>
      <c r="U2190" s="65">
        <f t="shared" si="94"/>
        <v>295.8</v>
      </c>
      <c r="V2190" s="66">
        <f t="shared" si="111"/>
        <v>0.04938271605</v>
      </c>
      <c r="W2190" s="67">
        <f t="shared" si="96"/>
        <v>242.25</v>
      </c>
      <c r="X2190" s="67">
        <f t="shared" si="112"/>
        <v>38.76</v>
      </c>
      <c r="Y2190" s="67">
        <f t="shared" si="113"/>
        <v>281.01</v>
      </c>
      <c r="Z2190" s="67">
        <f t="shared" si="99"/>
        <v>229.5</v>
      </c>
      <c r="AA2190" s="67">
        <f t="shared" si="114"/>
        <v>36.72</v>
      </c>
      <c r="AB2190" s="67">
        <f t="shared" si="115"/>
        <v>266.22</v>
      </c>
      <c r="AC2190" s="67">
        <f t="shared" si="102"/>
        <v>229.5</v>
      </c>
      <c r="AD2190" s="67">
        <f t="shared" si="116"/>
        <v>36.72</v>
      </c>
      <c r="AE2190" s="67">
        <f t="shared" si="117"/>
        <v>266.22</v>
      </c>
      <c r="AF2190" s="67">
        <f t="shared" si="105"/>
        <v>229.5</v>
      </c>
      <c r="AG2190" s="67">
        <f t="shared" si="118"/>
        <v>36.72</v>
      </c>
      <c r="AH2190" s="67">
        <f t="shared" si="119"/>
        <v>266.22</v>
      </c>
      <c r="AI2190" s="67">
        <f t="shared" si="108"/>
        <v>229.5</v>
      </c>
      <c r="AJ2190" s="68">
        <f t="shared" si="120"/>
        <v>36.72</v>
      </c>
      <c r="AK2190" s="68">
        <f t="shared" si="121"/>
        <v>266.22</v>
      </c>
      <c r="AL2190" s="70"/>
      <c r="AM2190" s="70"/>
      <c r="AN2190" s="71"/>
      <c r="AO2190" s="71"/>
      <c r="AP2190" s="71"/>
      <c r="AQ2190" s="71"/>
      <c r="AR2190" s="71"/>
      <c r="AS2190" s="71"/>
      <c r="AT2190" s="71"/>
      <c r="AU2190" s="71"/>
      <c r="AV2190" s="71"/>
      <c r="AW2190" s="71"/>
      <c r="AX2190" s="71"/>
      <c r="AY2190" s="71"/>
      <c r="AZ2190" s="71"/>
      <c r="BA2190" s="71"/>
      <c r="BB2190" s="71"/>
      <c r="BC2190" s="71"/>
      <c r="BD2190" s="71"/>
      <c r="BE2190" s="71"/>
      <c r="BF2190" s="71"/>
      <c r="BG2190" s="71"/>
      <c r="BH2190" s="71"/>
      <c r="BI2190" s="71"/>
      <c r="BJ2190" s="71"/>
      <c r="BK2190" s="71"/>
      <c r="BL2190" s="71"/>
      <c r="BM2190" s="71"/>
      <c r="BN2190" s="71"/>
      <c r="BO2190" s="71"/>
      <c r="BP2190" s="71"/>
      <c r="BQ2190" s="71"/>
      <c r="BR2190" s="71"/>
      <c r="BS2190" s="71"/>
      <c r="BT2190" s="71"/>
      <c r="BU2190" s="71"/>
      <c r="BV2190" s="71"/>
    </row>
    <row r="2191">
      <c r="A2191" s="53">
        <v>1.0</v>
      </c>
      <c r="B2191" s="53"/>
      <c r="C2191" s="73" t="s">
        <v>12</v>
      </c>
      <c r="D2191" s="74" t="s">
        <v>5311</v>
      </c>
      <c r="E2191" s="55" t="s">
        <v>38</v>
      </c>
      <c r="F2191" s="54" t="s">
        <v>42</v>
      </c>
      <c r="G2191" s="55" t="s">
        <v>5312</v>
      </c>
      <c r="H2191" s="54" t="s">
        <v>5312</v>
      </c>
      <c r="I2191" s="54">
        <f t="shared" si="24"/>
        <v>16</v>
      </c>
      <c r="J2191" s="56"/>
      <c r="K2191" s="57"/>
      <c r="L2191" s="87"/>
      <c r="M2191" s="59"/>
      <c r="N2191" s="60">
        <v>42.0</v>
      </c>
      <c r="O2191" s="61">
        <v>45.0</v>
      </c>
      <c r="P2191" s="62">
        <v>48.6</v>
      </c>
      <c r="Q2191" s="63">
        <v>48.6</v>
      </c>
      <c r="R2191" s="64">
        <v>55.0</v>
      </c>
      <c r="S2191" s="111">
        <v>58.0</v>
      </c>
      <c r="T2191" s="65">
        <f t="shared" si="93"/>
        <v>9.28</v>
      </c>
      <c r="U2191" s="65">
        <f t="shared" si="94"/>
        <v>67.28</v>
      </c>
      <c r="V2191" s="66">
        <f t="shared" si="111"/>
        <v>0.05454545455</v>
      </c>
      <c r="W2191" s="67">
        <f t="shared" si="96"/>
        <v>55.1</v>
      </c>
      <c r="X2191" s="67">
        <f t="shared" si="112"/>
        <v>8.816</v>
      </c>
      <c r="Y2191" s="67">
        <f t="shared" si="113"/>
        <v>63.916</v>
      </c>
      <c r="Z2191" s="67">
        <f t="shared" si="99"/>
        <v>52.2</v>
      </c>
      <c r="AA2191" s="67">
        <f t="shared" si="114"/>
        <v>8.352</v>
      </c>
      <c r="AB2191" s="67">
        <f t="shared" si="115"/>
        <v>60.552</v>
      </c>
      <c r="AC2191" s="67">
        <f t="shared" si="102"/>
        <v>49.3</v>
      </c>
      <c r="AD2191" s="67">
        <f t="shared" si="116"/>
        <v>7.888</v>
      </c>
      <c r="AE2191" s="67">
        <f t="shared" si="117"/>
        <v>57.188</v>
      </c>
      <c r="AF2191" s="67">
        <f t="shared" si="105"/>
        <v>48.14</v>
      </c>
      <c r="AG2191" s="67">
        <f t="shared" si="118"/>
        <v>7.7024</v>
      </c>
      <c r="AH2191" s="67">
        <f t="shared" si="119"/>
        <v>55.8424</v>
      </c>
      <c r="AI2191" s="67">
        <f t="shared" si="108"/>
        <v>46.4</v>
      </c>
      <c r="AJ2191" s="68">
        <f t="shared" si="120"/>
        <v>7.424</v>
      </c>
      <c r="AK2191" s="68">
        <f t="shared" si="121"/>
        <v>53.824</v>
      </c>
      <c r="AL2191" s="70"/>
      <c r="AM2191" s="70"/>
      <c r="AN2191" s="71"/>
      <c r="AO2191" s="71"/>
      <c r="AP2191" s="71"/>
      <c r="AQ2191" s="71"/>
      <c r="AR2191" s="71"/>
      <c r="AS2191" s="71"/>
      <c r="AT2191" s="71"/>
      <c r="AU2191" s="71"/>
      <c r="AV2191" s="71"/>
      <c r="AW2191" s="71"/>
      <c r="AX2191" s="71"/>
      <c r="AY2191" s="71"/>
      <c r="AZ2191" s="71"/>
      <c r="BA2191" s="71"/>
      <c r="BB2191" s="71"/>
      <c r="BC2191" s="71"/>
      <c r="BD2191" s="71"/>
      <c r="BE2191" s="71"/>
      <c r="BF2191" s="71"/>
      <c r="BG2191" s="71"/>
      <c r="BH2191" s="71"/>
      <c r="BI2191" s="71"/>
      <c r="BJ2191" s="71"/>
      <c r="BK2191" s="71"/>
      <c r="BL2191" s="71"/>
      <c r="BM2191" s="71"/>
      <c r="BN2191" s="71"/>
      <c r="BO2191" s="71"/>
      <c r="BP2191" s="71"/>
      <c r="BQ2191" s="71"/>
      <c r="BR2191" s="71"/>
      <c r="BS2191" s="71"/>
      <c r="BT2191" s="71"/>
      <c r="BU2191" s="71"/>
      <c r="BV2191" s="71"/>
    </row>
    <row r="2192">
      <c r="A2192" s="53">
        <v>1.0</v>
      </c>
      <c r="B2192" s="53">
        <v>3.0</v>
      </c>
      <c r="C2192" s="73" t="s">
        <v>12</v>
      </c>
      <c r="D2192" s="53" t="s">
        <v>5313</v>
      </c>
      <c r="E2192" s="55" t="s">
        <v>38</v>
      </c>
      <c r="F2192" s="54" t="s">
        <v>42</v>
      </c>
      <c r="G2192" s="55" t="s">
        <v>5314</v>
      </c>
      <c r="H2192" s="55" t="s">
        <v>5314</v>
      </c>
      <c r="I2192" s="54">
        <f t="shared" si="24"/>
        <v>19</v>
      </c>
      <c r="J2192" s="56"/>
      <c r="K2192" s="57"/>
      <c r="L2192" s="76"/>
      <c r="M2192" s="59"/>
      <c r="N2192" s="60"/>
      <c r="O2192" s="61">
        <v>138.0</v>
      </c>
      <c r="P2192" s="62">
        <v>149.04000000000002</v>
      </c>
      <c r="Q2192" s="63">
        <v>149.04000000000002</v>
      </c>
      <c r="R2192" s="64">
        <v>157.0</v>
      </c>
      <c r="S2192" s="111">
        <v>165.0</v>
      </c>
      <c r="T2192" s="65">
        <f t="shared" si="93"/>
        <v>26.4</v>
      </c>
      <c r="U2192" s="65">
        <f t="shared" si="94"/>
        <v>191.4</v>
      </c>
      <c r="V2192" s="66">
        <f t="shared" si="111"/>
        <v>0.05095541401</v>
      </c>
      <c r="W2192" s="67">
        <f t="shared" si="96"/>
        <v>156.75</v>
      </c>
      <c r="X2192" s="67">
        <f t="shared" si="112"/>
        <v>25.08</v>
      </c>
      <c r="Y2192" s="67">
        <f t="shared" si="113"/>
        <v>181.83</v>
      </c>
      <c r="Z2192" s="67">
        <f t="shared" si="99"/>
        <v>148.5</v>
      </c>
      <c r="AA2192" s="67">
        <f t="shared" si="114"/>
        <v>23.76</v>
      </c>
      <c r="AB2192" s="67">
        <f t="shared" si="115"/>
        <v>172.26</v>
      </c>
      <c r="AC2192" s="67">
        <f t="shared" si="102"/>
        <v>148.5</v>
      </c>
      <c r="AD2192" s="67">
        <f t="shared" si="116"/>
        <v>23.76</v>
      </c>
      <c r="AE2192" s="67">
        <f t="shared" si="117"/>
        <v>172.26</v>
      </c>
      <c r="AF2192" s="67">
        <f t="shared" si="105"/>
        <v>148.5</v>
      </c>
      <c r="AG2192" s="67">
        <f t="shared" si="118"/>
        <v>23.76</v>
      </c>
      <c r="AH2192" s="67">
        <f t="shared" si="119"/>
        <v>172.26</v>
      </c>
      <c r="AI2192" s="67">
        <f t="shared" si="108"/>
        <v>148.5</v>
      </c>
      <c r="AJ2192" s="68">
        <f t="shared" si="120"/>
        <v>23.76</v>
      </c>
      <c r="AK2192" s="68">
        <f t="shared" si="121"/>
        <v>172.26</v>
      </c>
      <c r="AL2192" s="70"/>
      <c r="AM2192" s="70"/>
      <c r="AN2192" s="71"/>
      <c r="AO2192" s="71"/>
      <c r="AP2192" s="71"/>
      <c r="AQ2192" s="71"/>
      <c r="AR2192" s="71"/>
      <c r="AS2192" s="71"/>
      <c r="AT2192" s="71"/>
      <c r="AU2192" s="71"/>
      <c r="AV2192" s="71"/>
      <c r="AW2192" s="71"/>
      <c r="AX2192" s="71"/>
      <c r="AY2192" s="71"/>
      <c r="AZ2192" s="71"/>
      <c r="BA2192" s="71"/>
      <c r="BB2192" s="71"/>
      <c r="BC2192" s="71"/>
      <c r="BD2192" s="71"/>
      <c r="BE2192" s="71"/>
      <c r="BF2192" s="71"/>
      <c r="BG2192" s="71"/>
      <c r="BH2192" s="71"/>
      <c r="BI2192" s="71"/>
      <c r="BJ2192" s="71"/>
      <c r="BK2192" s="71"/>
      <c r="BL2192" s="71"/>
      <c r="BM2192" s="71"/>
      <c r="BN2192" s="71"/>
      <c r="BO2192" s="71"/>
      <c r="BP2192" s="71"/>
      <c r="BQ2192" s="71"/>
      <c r="BR2192" s="71"/>
      <c r="BS2192" s="71"/>
      <c r="BT2192" s="71"/>
      <c r="BU2192" s="71"/>
      <c r="BV2192" s="71"/>
    </row>
    <row r="2193">
      <c r="A2193" s="53">
        <v>1.0</v>
      </c>
      <c r="B2193" s="53"/>
      <c r="C2193" s="73" t="s">
        <v>12</v>
      </c>
      <c r="D2193" s="74" t="s">
        <v>5315</v>
      </c>
      <c r="E2193" s="55" t="s">
        <v>38</v>
      </c>
      <c r="F2193" s="54" t="s">
        <v>42</v>
      </c>
      <c r="G2193" s="55" t="s">
        <v>5316</v>
      </c>
      <c r="H2193" s="54" t="s">
        <v>5316</v>
      </c>
      <c r="I2193" s="54">
        <f t="shared" si="24"/>
        <v>18</v>
      </c>
      <c r="J2193" s="56"/>
      <c r="K2193" s="57"/>
      <c r="L2193" s="87"/>
      <c r="M2193" s="59"/>
      <c r="N2193" s="60">
        <v>42.0</v>
      </c>
      <c r="O2193" s="61">
        <v>50.0</v>
      </c>
      <c r="P2193" s="62">
        <v>54.0</v>
      </c>
      <c r="Q2193" s="63">
        <v>54.0</v>
      </c>
      <c r="R2193" s="64">
        <v>61.0</v>
      </c>
      <c r="S2193" s="111">
        <v>64.0</v>
      </c>
      <c r="T2193" s="65">
        <f t="shared" si="93"/>
        <v>10.24</v>
      </c>
      <c r="U2193" s="65">
        <f t="shared" si="94"/>
        <v>74.24</v>
      </c>
      <c r="V2193" s="66">
        <f t="shared" si="111"/>
        <v>0.04918032787</v>
      </c>
      <c r="W2193" s="67">
        <f t="shared" si="96"/>
        <v>60.8</v>
      </c>
      <c r="X2193" s="67">
        <f t="shared" si="112"/>
        <v>9.728</v>
      </c>
      <c r="Y2193" s="67">
        <f t="shared" si="113"/>
        <v>70.528</v>
      </c>
      <c r="Z2193" s="67">
        <f t="shared" si="99"/>
        <v>57.6</v>
      </c>
      <c r="AA2193" s="67">
        <f t="shared" si="114"/>
        <v>9.216</v>
      </c>
      <c r="AB2193" s="67">
        <f t="shared" si="115"/>
        <v>66.816</v>
      </c>
      <c r="AC2193" s="67">
        <f t="shared" si="102"/>
        <v>54.4</v>
      </c>
      <c r="AD2193" s="67">
        <f t="shared" si="116"/>
        <v>8.704</v>
      </c>
      <c r="AE2193" s="67">
        <f t="shared" si="117"/>
        <v>63.104</v>
      </c>
      <c r="AF2193" s="67">
        <f t="shared" si="105"/>
        <v>53.12</v>
      </c>
      <c r="AG2193" s="67">
        <f t="shared" si="118"/>
        <v>8.4992</v>
      </c>
      <c r="AH2193" s="67">
        <f t="shared" si="119"/>
        <v>61.6192</v>
      </c>
      <c r="AI2193" s="67">
        <f t="shared" si="108"/>
        <v>51.2</v>
      </c>
      <c r="AJ2193" s="68">
        <f t="shared" si="120"/>
        <v>8.192</v>
      </c>
      <c r="AK2193" s="68">
        <f t="shared" si="121"/>
        <v>59.392</v>
      </c>
      <c r="AL2193" s="70"/>
      <c r="AM2193" s="70"/>
      <c r="AN2193" s="71"/>
      <c r="AO2193" s="71"/>
      <c r="AP2193" s="71"/>
      <c r="AQ2193" s="71"/>
      <c r="AR2193" s="71"/>
      <c r="AS2193" s="71"/>
      <c r="AT2193" s="71"/>
      <c r="AU2193" s="71"/>
      <c r="AV2193" s="71"/>
      <c r="AW2193" s="71"/>
      <c r="AX2193" s="71"/>
      <c r="AY2193" s="71"/>
      <c r="AZ2193" s="71"/>
      <c r="BA2193" s="71"/>
      <c r="BB2193" s="71"/>
      <c r="BC2193" s="71"/>
      <c r="BD2193" s="71"/>
      <c r="BE2193" s="71"/>
      <c r="BF2193" s="71"/>
      <c r="BG2193" s="71"/>
      <c r="BH2193" s="71"/>
      <c r="BI2193" s="71"/>
      <c r="BJ2193" s="71"/>
      <c r="BK2193" s="71"/>
      <c r="BL2193" s="71"/>
      <c r="BM2193" s="71"/>
      <c r="BN2193" s="71"/>
      <c r="BO2193" s="71"/>
      <c r="BP2193" s="71"/>
      <c r="BQ2193" s="71"/>
      <c r="BR2193" s="71"/>
      <c r="BS2193" s="71"/>
      <c r="BT2193" s="71"/>
      <c r="BU2193" s="71"/>
      <c r="BV2193" s="71"/>
    </row>
    <row r="2194">
      <c r="A2194" s="53">
        <v>1.0</v>
      </c>
      <c r="B2194" s="53">
        <v>3.0</v>
      </c>
      <c r="C2194" s="53" t="s">
        <v>12</v>
      </c>
      <c r="D2194" s="53" t="s">
        <v>5317</v>
      </c>
      <c r="E2194" s="54" t="s">
        <v>38</v>
      </c>
      <c r="F2194" s="55" t="s">
        <v>42</v>
      </c>
      <c r="G2194" s="55" t="s">
        <v>5318</v>
      </c>
      <c r="H2194" s="55" t="s">
        <v>5318</v>
      </c>
      <c r="I2194" s="54">
        <f t="shared" si="24"/>
        <v>21</v>
      </c>
      <c r="J2194" s="56"/>
      <c r="K2194" s="57"/>
      <c r="L2194" s="87"/>
      <c r="M2194" s="59"/>
      <c r="N2194" s="60"/>
      <c r="O2194" s="90"/>
      <c r="P2194" s="62">
        <v>149.0</v>
      </c>
      <c r="Q2194" s="63">
        <v>149.0</v>
      </c>
      <c r="R2194" s="64">
        <v>157.0</v>
      </c>
      <c r="S2194" s="111">
        <v>165.0</v>
      </c>
      <c r="T2194" s="65">
        <f t="shared" si="93"/>
        <v>26.4</v>
      </c>
      <c r="U2194" s="65">
        <f t="shared" si="94"/>
        <v>191.4</v>
      </c>
      <c r="V2194" s="66">
        <f t="shared" si="111"/>
        <v>0.05095541401</v>
      </c>
      <c r="W2194" s="67">
        <f t="shared" si="96"/>
        <v>156.75</v>
      </c>
      <c r="X2194" s="67">
        <f t="shared" si="112"/>
        <v>25.08</v>
      </c>
      <c r="Y2194" s="67">
        <f t="shared" si="113"/>
        <v>181.83</v>
      </c>
      <c r="Z2194" s="67">
        <f t="shared" si="99"/>
        <v>148.5</v>
      </c>
      <c r="AA2194" s="67">
        <f t="shared" si="114"/>
        <v>23.76</v>
      </c>
      <c r="AB2194" s="67">
        <f t="shared" si="115"/>
        <v>172.26</v>
      </c>
      <c r="AC2194" s="67">
        <f t="shared" si="102"/>
        <v>148.5</v>
      </c>
      <c r="AD2194" s="67">
        <f t="shared" si="116"/>
        <v>23.76</v>
      </c>
      <c r="AE2194" s="67">
        <f t="shared" si="117"/>
        <v>172.26</v>
      </c>
      <c r="AF2194" s="67">
        <f t="shared" si="105"/>
        <v>148.5</v>
      </c>
      <c r="AG2194" s="67">
        <f t="shared" si="118"/>
        <v>23.76</v>
      </c>
      <c r="AH2194" s="67">
        <f t="shared" si="119"/>
        <v>172.26</v>
      </c>
      <c r="AI2194" s="67">
        <f t="shared" si="108"/>
        <v>148.5</v>
      </c>
      <c r="AJ2194" s="68">
        <f t="shared" si="120"/>
        <v>23.76</v>
      </c>
      <c r="AK2194" s="68">
        <f t="shared" si="121"/>
        <v>172.26</v>
      </c>
      <c r="AL2194" s="70"/>
      <c r="AM2194" s="70"/>
      <c r="AN2194" s="71"/>
      <c r="AO2194" s="71"/>
      <c r="AP2194" s="71"/>
      <c r="AQ2194" s="71"/>
      <c r="AR2194" s="71"/>
      <c r="AS2194" s="71"/>
      <c r="AT2194" s="71"/>
      <c r="AU2194" s="71"/>
      <c r="AV2194" s="71"/>
      <c r="AW2194" s="71"/>
      <c r="AX2194" s="71"/>
      <c r="AY2194" s="71"/>
      <c r="AZ2194" s="71"/>
      <c r="BA2194" s="71"/>
      <c r="BB2194" s="71"/>
      <c r="BC2194" s="71"/>
      <c r="BD2194" s="71"/>
      <c r="BE2194" s="71"/>
      <c r="BF2194" s="71"/>
      <c r="BG2194" s="71"/>
      <c r="BH2194" s="71"/>
      <c r="BI2194" s="71"/>
      <c r="BJ2194" s="71"/>
      <c r="BK2194" s="71"/>
      <c r="BL2194" s="71"/>
      <c r="BM2194" s="71"/>
      <c r="BN2194" s="71"/>
      <c r="BO2194" s="71"/>
      <c r="BP2194" s="71"/>
      <c r="BQ2194" s="71"/>
      <c r="BR2194" s="71"/>
      <c r="BS2194" s="71"/>
      <c r="BT2194" s="71"/>
      <c r="BU2194" s="71"/>
      <c r="BV2194" s="71"/>
    </row>
    <row r="2195">
      <c r="A2195" s="53">
        <v>1.0</v>
      </c>
      <c r="B2195" s="53"/>
      <c r="C2195" s="73" t="s">
        <v>53</v>
      </c>
      <c r="D2195" s="74" t="s">
        <v>5319</v>
      </c>
      <c r="E2195" s="54" t="s">
        <v>38</v>
      </c>
      <c r="F2195" s="54" t="s">
        <v>42</v>
      </c>
      <c r="G2195" s="152" t="s">
        <v>5320</v>
      </c>
      <c r="H2195" s="54" t="s">
        <v>5321</v>
      </c>
      <c r="I2195" s="54">
        <f t="shared" si="24"/>
        <v>37</v>
      </c>
      <c r="J2195" s="56"/>
      <c r="K2195" s="57"/>
      <c r="L2195" s="87"/>
      <c r="M2195" s="59"/>
      <c r="N2195" s="60">
        <v>78.0</v>
      </c>
      <c r="O2195" s="61">
        <v>84.0</v>
      </c>
      <c r="P2195" s="62">
        <v>90.72</v>
      </c>
      <c r="Q2195" s="63">
        <v>90.72</v>
      </c>
      <c r="R2195" s="64">
        <v>102.0</v>
      </c>
      <c r="S2195" s="111">
        <v>107.0</v>
      </c>
      <c r="T2195" s="65">
        <f t="shared" si="93"/>
        <v>17.12</v>
      </c>
      <c r="U2195" s="65">
        <f t="shared" si="94"/>
        <v>124.12</v>
      </c>
      <c r="V2195" s="66">
        <f t="shared" si="111"/>
        <v>0.04901960784</v>
      </c>
      <c r="W2195" s="67">
        <f t="shared" si="96"/>
        <v>101.65</v>
      </c>
      <c r="X2195" s="67">
        <f t="shared" si="112"/>
        <v>16.264</v>
      </c>
      <c r="Y2195" s="67">
        <f t="shared" si="113"/>
        <v>117.914</v>
      </c>
      <c r="Z2195" s="67">
        <f t="shared" si="99"/>
        <v>96.3</v>
      </c>
      <c r="AA2195" s="67">
        <f t="shared" si="114"/>
        <v>15.408</v>
      </c>
      <c r="AB2195" s="67">
        <f t="shared" si="115"/>
        <v>111.708</v>
      </c>
      <c r="AC2195" s="67">
        <f t="shared" si="102"/>
        <v>90.95</v>
      </c>
      <c r="AD2195" s="67">
        <f t="shared" si="116"/>
        <v>14.552</v>
      </c>
      <c r="AE2195" s="67">
        <f t="shared" si="117"/>
        <v>105.502</v>
      </c>
      <c r="AF2195" s="67">
        <f t="shared" si="105"/>
        <v>88.81</v>
      </c>
      <c r="AG2195" s="67">
        <f t="shared" si="118"/>
        <v>14.2096</v>
      </c>
      <c r="AH2195" s="67">
        <f t="shared" si="119"/>
        <v>103.0196</v>
      </c>
      <c r="AI2195" s="67">
        <f t="shared" si="108"/>
        <v>85.6</v>
      </c>
      <c r="AJ2195" s="68">
        <f t="shared" si="120"/>
        <v>13.696</v>
      </c>
      <c r="AK2195" s="68">
        <f t="shared" si="121"/>
        <v>99.296</v>
      </c>
      <c r="AL2195" s="70"/>
      <c r="AM2195" s="70"/>
      <c r="AN2195" s="71"/>
      <c r="AO2195" s="71"/>
      <c r="AP2195" s="71"/>
      <c r="AQ2195" s="71"/>
      <c r="AR2195" s="71"/>
      <c r="AS2195" s="71"/>
      <c r="AT2195" s="71"/>
      <c r="AU2195" s="71"/>
      <c r="AV2195" s="71"/>
      <c r="AW2195" s="71"/>
      <c r="AX2195" s="71"/>
      <c r="AY2195" s="71"/>
      <c r="AZ2195" s="71"/>
      <c r="BA2195" s="71"/>
      <c r="BB2195" s="71"/>
      <c r="BC2195" s="71"/>
      <c r="BD2195" s="71"/>
      <c r="BE2195" s="71"/>
      <c r="BF2195" s="71"/>
      <c r="BG2195" s="71"/>
      <c r="BH2195" s="71"/>
      <c r="BI2195" s="71"/>
      <c r="BJ2195" s="71"/>
      <c r="BK2195" s="71"/>
      <c r="BL2195" s="71"/>
      <c r="BM2195" s="71"/>
      <c r="BN2195" s="71"/>
      <c r="BO2195" s="71"/>
      <c r="BP2195" s="71"/>
      <c r="BQ2195" s="71"/>
      <c r="BR2195" s="71"/>
      <c r="BS2195" s="71"/>
      <c r="BT2195" s="71"/>
      <c r="BU2195" s="71"/>
      <c r="BV2195" s="71"/>
    </row>
    <row r="2196">
      <c r="A2196" s="53">
        <v>1.0</v>
      </c>
      <c r="B2196" s="53"/>
      <c r="C2196" s="73" t="s">
        <v>53</v>
      </c>
      <c r="D2196" s="74" t="s">
        <v>5322</v>
      </c>
      <c r="E2196" s="54" t="s">
        <v>38</v>
      </c>
      <c r="F2196" s="54" t="s">
        <v>42</v>
      </c>
      <c r="G2196" s="88" t="s">
        <v>5323</v>
      </c>
      <c r="H2196" s="54" t="s">
        <v>5323</v>
      </c>
      <c r="I2196" s="54">
        <f t="shared" si="24"/>
        <v>37</v>
      </c>
      <c r="J2196" s="56"/>
      <c r="K2196" s="57"/>
      <c r="L2196" s="87"/>
      <c r="M2196" s="59"/>
      <c r="N2196" s="60">
        <v>57.0</v>
      </c>
      <c r="O2196" s="61">
        <v>61.0</v>
      </c>
      <c r="P2196" s="62">
        <v>65.88000000000001</v>
      </c>
      <c r="Q2196" s="63">
        <v>65.88000000000001</v>
      </c>
      <c r="R2196" s="64">
        <v>74.0</v>
      </c>
      <c r="S2196" s="111">
        <v>78.0</v>
      </c>
      <c r="T2196" s="65">
        <f t="shared" si="93"/>
        <v>12.48</v>
      </c>
      <c r="U2196" s="65">
        <f t="shared" si="94"/>
        <v>90.48</v>
      </c>
      <c r="V2196" s="66">
        <f t="shared" si="111"/>
        <v>0.05405405405</v>
      </c>
      <c r="W2196" s="67">
        <f t="shared" si="96"/>
        <v>74.1</v>
      </c>
      <c r="X2196" s="67">
        <f t="shared" si="112"/>
        <v>11.856</v>
      </c>
      <c r="Y2196" s="67">
        <f t="shared" si="113"/>
        <v>85.956</v>
      </c>
      <c r="Z2196" s="67">
        <f t="shared" si="99"/>
        <v>70.2</v>
      </c>
      <c r="AA2196" s="67">
        <f t="shared" si="114"/>
        <v>11.232</v>
      </c>
      <c r="AB2196" s="67">
        <f t="shared" si="115"/>
        <v>81.432</v>
      </c>
      <c r="AC2196" s="67">
        <f t="shared" si="102"/>
        <v>66.3</v>
      </c>
      <c r="AD2196" s="67">
        <f t="shared" si="116"/>
        <v>10.608</v>
      </c>
      <c r="AE2196" s="67">
        <f t="shared" si="117"/>
        <v>76.908</v>
      </c>
      <c r="AF2196" s="67">
        <f t="shared" si="105"/>
        <v>64.74</v>
      </c>
      <c r="AG2196" s="67">
        <f t="shared" si="118"/>
        <v>10.3584</v>
      </c>
      <c r="AH2196" s="67">
        <f t="shared" si="119"/>
        <v>75.0984</v>
      </c>
      <c r="AI2196" s="67">
        <f t="shared" si="108"/>
        <v>62.4</v>
      </c>
      <c r="AJ2196" s="68">
        <f t="shared" si="120"/>
        <v>9.984</v>
      </c>
      <c r="AK2196" s="68">
        <f t="shared" si="121"/>
        <v>72.384</v>
      </c>
      <c r="AL2196" s="70"/>
      <c r="AM2196" s="70"/>
      <c r="AN2196" s="71"/>
      <c r="AO2196" s="71"/>
      <c r="AP2196" s="71"/>
      <c r="AQ2196" s="71"/>
      <c r="AR2196" s="71"/>
      <c r="AS2196" s="71"/>
      <c r="AT2196" s="71"/>
      <c r="AU2196" s="71"/>
      <c r="AV2196" s="71"/>
      <c r="AW2196" s="71"/>
      <c r="AX2196" s="71"/>
      <c r="AY2196" s="71"/>
      <c r="AZ2196" s="71"/>
      <c r="BA2196" s="71"/>
      <c r="BB2196" s="71"/>
      <c r="BC2196" s="71"/>
      <c r="BD2196" s="71"/>
      <c r="BE2196" s="71"/>
      <c r="BF2196" s="71"/>
      <c r="BG2196" s="71"/>
      <c r="BH2196" s="71"/>
      <c r="BI2196" s="71"/>
      <c r="BJ2196" s="71"/>
      <c r="BK2196" s="71"/>
      <c r="BL2196" s="71"/>
      <c r="BM2196" s="71"/>
      <c r="BN2196" s="71"/>
      <c r="BO2196" s="71"/>
      <c r="BP2196" s="71"/>
      <c r="BQ2196" s="71"/>
      <c r="BR2196" s="71"/>
      <c r="BS2196" s="71"/>
      <c r="BT2196" s="71"/>
      <c r="BU2196" s="71"/>
      <c r="BV2196" s="71"/>
    </row>
    <row r="2197">
      <c r="A2197" s="53">
        <v>1.0</v>
      </c>
      <c r="B2197" s="53"/>
      <c r="C2197" s="73" t="s">
        <v>53</v>
      </c>
      <c r="D2197" s="74" t="s">
        <v>5324</v>
      </c>
      <c r="E2197" s="54" t="s">
        <v>38</v>
      </c>
      <c r="F2197" s="54" t="s">
        <v>42</v>
      </c>
      <c r="G2197" s="88" t="s">
        <v>5325</v>
      </c>
      <c r="H2197" s="54" t="s">
        <v>5326</v>
      </c>
      <c r="I2197" s="54">
        <f t="shared" si="24"/>
        <v>30</v>
      </c>
      <c r="J2197" s="56"/>
      <c r="K2197" s="57"/>
      <c r="L2197" s="87"/>
      <c r="M2197" s="59"/>
      <c r="N2197" s="60">
        <v>57.0</v>
      </c>
      <c r="O2197" s="61">
        <v>61.0</v>
      </c>
      <c r="P2197" s="62">
        <v>65.88000000000001</v>
      </c>
      <c r="Q2197" s="63">
        <v>65.88000000000001</v>
      </c>
      <c r="R2197" s="64">
        <v>74.0</v>
      </c>
      <c r="S2197" s="111">
        <v>78.0</v>
      </c>
      <c r="T2197" s="65">
        <f t="shared" si="93"/>
        <v>12.48</v>
      </c>
      <c r="U2197" s="65">
        <f t="shared" si="94"/>
        <v>90.48</v>
      </c>
      <c r="V2197" s="66">
        <f t="shared" si="111"/>
        <v>0.05405405405</v>
      </c>
      <c r="W2197" s="67">
        <f t="shared" si="96"/>
        <v>74.1</v>
      </c>
      <c r="X2197" s="67">
        <f t="shared" si="112"/>
        <v>11.856</v>
      </c>
      <c r="Y2197" s="67">
        <f t="shared" si="113"/>
        <v>85.956</v>
      </c>
      <c r="Z2197" s="67">
        <f t="shared" si="99"/>
        <v>70.2</v>
      </c>
      <c r="AA2197" s="67">
        <f t="shared" si="114"/>
        <v>11.232</v>
      </c>
      <c r="AB2197" s="67">
        <f t="shared" si="115"/>
        <v>81.432</v>
      </c>
      <c r="AC2197" s="67">
        <f t="shared" si="102"/>
        <v>66.3</v>
      </c>
      <c r="AD2197" s="67">
        <f t="shared" si="116"/>
        <v>10.608</v>
      </c>
      <c r="AE2197" s="67">
        <f t="shared" si="117"/>
        <v>76.908</v>
      </c>
      <c r="AF2197" s="67">
        <f t="shared" si="105"/>
        <v>64.74</v>
      </c>
      <c r="AG2197" s="67">
        <f t="shared" si="118"/>
        <v>10.3584</v>
      </c>
      <c r="AH2197" s="67">
        <f t="shared" si="119"/>
        <v>75.0984</v>
      </c>
      <c r="AI2197" s="67">
        <f t="shared" si="108"/>
        <v>62.4</v>
      </c>
      <c r="AJ2197" s="68">
        <f t="shared" si="120"/>
        <v>9.984</v>
      </c>
      <c r="AK2197" s="68">
        <f t="shared" si="121"/>
        <v>72.384</v>
      </c>
      <c r="AL2197" s="70"/>
      <c r="AM2197" s="70"/>
      <c r="AN2197" s="71"/>
      <c r="AO2197" s="71"/>
      <c r="AP2197" s="71"/>
      <c r="AQ2197" s="71"/>
      <c r="AR2197" s="71"/>
      <c r="AS2197" s="71"/>
      <c r="AT2197" s="71"/>
      <c r="AU2197" s="71"/>
      <c r="AV2197" s="71"/>
      <c r="AW2197" s="71"/>
      <c r="AX2197" s="71"/>
      <c r="AY2197" s="71"/>
      <c r="AZ2197" s="71"/>
      <c r="BA2197" s="71"/>
      <c r="BB2197" s="71"/>
      <c r="BC2197" s="71"/>
      <c r="BD2197" s="71"/>
      <c r="BE2197" s="71"/>
      <c r="BF2197" s="71"/>
      <c r="BG2197" s="71"/>
      <c r="BH2197" s="71"/>
      <c r="BI2197" s="71"/>
      <c r="BJ2197" s="71"/>
      <c r="BK2197" s="71"/>
      <c r="BL2197" s="71"/>
      <c r="BM2197" s="71"/>
      <c r="BN2197" s="71"/>
      <c r="BO2197" s="71"/>
      <c r="BP2197" s="71"/>
      <c r="BQ2197" s="71"/>
      <c r="BR2197" s="71"/>
      <c r="BS2197" s="71"/>
      <c r="BT2197" s="71"/>
      <c r="BU2197" s="71"/>
      <c r="BV2197" s="71"/>
    </row>
    <row r="2198">
      <c r="A2198" s="53"/>
      <c r="B2198" s="53"/>
      <c r="C2198" s="73" t="s">
        <v>53</v>
      </c>
      <c r="D2198" s="53" t="s">
        <v>5327</v>
      </c>
      <c r="E2198" s="54" t="s">
        <v>38</v>
      </c>
      <c r="F2198" s="54" t="s">
        <v>42</v>
      </c>
      <c r="G2198" s="55" t="s">
        <v>5328</v>
      </c>
      <c r="H2198" s="54" t="s">
        <v>5329</v>
      </c>
      <c r="I2198" s="54">
        <f t="shared" si="24"/>
        <v>31</v>
      </c>
      <c r="J2198" s="56"/>
      <c r="K2198" s="57"/>
      <c r="L2198" s="76"/>
      <c r="M2198" s="59"/>
      <c r="N2198" s="79">
        <v>58.0</v>
      </c>
      <c r="O2198" s="61">
        <v>62.0</v>
      </c>
      <c r="P2198" s="62">
        <v>66.96000000000001</v>
      </c>
      <c r="Q2198" s="63">
        <v>66.96000000000001</v>
      </c>
      <c r="R2198" s="64">
        <v>71.0</v>
      </c>
      <c r="S2198" s="111">
        <v>75.0</v>
      </c>
      <c r="T2198" s="65">
        <f t="shared" si="93"/>
        <v>12</v>
      </c>
      <c r="U2198" s="65">
        <f t="shared" si="94"/>
        <v>87</v>
      </c>
      <c r="V2198" s="66">
        <f t="shared" si="111"/>
        <v>0.05633802817</v>
      </c>
      <c r="W2198" s="67">
        <f t="shared" si="96"/>
        <v>71.25</v>
      </c>
      <c r="X2198" s="67">
        <f t="shared" si="112"/>
        <v>11.4</v>
      </c>
      <c r="Y2198" s="67">
        <f t="shared" si="113"/>
        <v>82.65</v>
      </c>
      <c r="Z2198" s="67">
        <f t="shared" si="99"/>
        <v>67.5</v>
      </c>
      <c r="AA2198" s="67">
        <f t="shared" si="114"/>
        <v>10.8</v>
      </c>
      <c r="AB2198" s="67">
        <f t="shared" si="115"/>
        <v>78.3</v>
      </c>
      <c r="AC2198" s="67">
        <f t="shared" si="102"/>
        <v>63.75</v>
      </c>
      <c r="AD2198" s="67">
        <f t="shared" si="116"/>
        <v>10.2</v>
      </c>
      <c r="AE2198" s="67">
        <f t="shared" si="117"/>
        <v>73.95</v>
      </c>
      <c r="AF2198" s="67">
        <f t="shared" si="105"/>
        <v>62.25</v>
      </c>
      <c r="AG2198" s="67">
        <f t="shared" si="118"/>
        <v>9.96</v>
      </c>
      <c r="AH2198" s="67">
        <f t="shared" si="119"/>
        <v>72.21</v>
      </c>
      <c r="AI2198" s="67">
        <f t="shared" si="108"/>
        <v>60</v>
      </c>
      <c r="AJ2198" s="68">
        <f t="shared" si="120"/>
        <v>9.6</v>
      </c>
      <c r="AK2198" s="68">
        <f t="shared" si="121"/>
        <v>69.6</v>
      </c>
      <c r="AL2198" s="70"/>
      <c r="AM2198" s="70"/>
      <c r="AN2198" s="71"/>
      <c r="AO2198" s="71"/>
      <c r="AP2198" s="71"/>
      <c r="AQ2198" s="71"/>
      <c r="AR2198" s="71"/>
      <c r="AS2198" s="71"/>
      <c r="AT2198" s="71"/>
      <c r="AU2198" s="71"/>
      <c r="AV2198" s="71"/>
      <c r="AW2198" s="71"/>
      <c r="AX2198" s="71"/>
      <c r="AY2198" s="71"/>
      <c r="AZ2198" s="71"/>
      <c r="BA2198" s="71"/>
      <c r="BB2198" s="71"/>
      <c r="BC2198" s="71"/>
      <c r="BD2198" s="71"/>
      <c r="BE2198" s="71"/>
      <c r="BF2198" s="71"/>
      <c r="BG2198" s="71"/>
      <c r="BH2198" s="71"/>
      <c r="BI2198" s="71"/>
      <c r="BJ2198" s="71"/>
      <c r="BK2198" s="71"/>
      <c r="BL2198" s="71"/>
      <c r="BM2198" s="71"/>
      <c r="BN2198" s="71"/>
      <c r="BO2198" s="71"/>
      <c r="BP2198" s="71"/>
      <c r="BQ2198" s="71"/>
      <c r="BR2198" s="71"/>
      <c r="BS2198" s="71"/>
      <c r="BT2198" s="71"/>
      <c r="BU2198" s="71"/>
      <c r="BV2198" s="71"/>
    </row>
    <row r="2199">
      <c r="A2199" s="53">
        <v>1.0</v>
      </c>
      <c r="B2199" s="53"/>
      <c r="C2199" s="73" t="s">
        <v>53</v>
      </c>
      <c r="D2199" s="74" t="s">
        <v>5330</v>
      </c>
      <c r="E2199" s="54" t="s">
        <v>38</v>
      </c>
      <c r="F2199" s="54" t="s">
        <v>42</v>
      </c>
      <c r="G2199" s="88" t="s">
        <v>5331</v>
      </c>
      <c r="H2199" s="54" t="s">
        <v>5332</v>
      </c>
      <c r="I2199" s="54">
        <f t="shared" si="24"/>
        <v>36</v>
      </c>
      <c r="J2199" s="56"/>
      <c r="K2199" s="57"/>
      <c r="L2199" s="87"/>
      <c r="M2199" s="59"/>
      <c r="N2199" s="60">
        <v>68.0</v>
      </c>
      <c r="O2199" s="61">
        <v>73.0</v>
      </c>
      <c r="P2199" s="62">
        <v>78.84</v>
      </c>
      <c r="Q2199" s="63">
        <v>78.84</v>
      </c>
      <c r="R2199" s="64">
        <v>89.0</v>
      </c>
      <c r="S2199" s="111">
        <v>93.0</v>
      </c>
      <c r="T2199" s="65">
        <f t="shared" si="93"/>
        <v>14.88</v>
      </c>
      <c r="U2199" s="65">
        <f t="shared" si="94"/>
        <v>107.88</v>
      </c>
      <c r="V2199" s="66">
        <f t="shared" si="111"/>
        <v>0.04494382022</v>
      </c>
      <c r="W2199" s="67">
        <f t="shared" si="96"/>
        <v>88.35</v>
      </c>
      <c r="X2199" s="67">
        <f t="shared" si="112"/>
        <v>14.136</v>
      </c>
      <c r="Y2199" s="67">
        <f t="shared" si="113"/>
        <v>102.486</v>
      </c>
      <c r="Z2199" s="67">
        <f t="shared" si="99"/>
        <v>83.7</v>
      </c>
      <c r="AA2199" s="67">
        <f t="shared" si="114"/>
        <v>13.392</v>
      </c>
      <c r="AB2199" s="67">
        <f t="shared" si="115"/>
        <v>97.092</v>
      </c>
      <c r="AC2199" s="67">
        <f t="shared" si="102"/>
        <v>79.05</v>
      </c>
      <c r="AD2199" s="67">
        <f t="shared" si="116"/>
        <v>12.648</v>
      </c>
      <c r="AE2199" s="67">
        <f t="shared" si="117"/>
        <v>91.698</v>
      </c>
      <c r="AF2199" s="67">
        <f t="shared" si="105"/>
        <v>77.19</v>
      </c>
      <c r="AG2199" s="67">
        <f t="shared" si="118"/>
        <v>12.3504</v>
      </c>
      <c r="AH2199" s="67">
        <f t="shared" si="119"/>
        <v>89.5404</v>
      </c>
      <c r="AI2199" s="67">
        <f t="shared" si="108"/>
        <v>74.4</v>
      </c>
      <c r="AJ2199" s="68">
        <f t="shared" si="120"/>
        <v>11.904</v>
      </c>
      <c r="AK2199" s="68">
        <f t="shared" si="121"/>
        <v>86.304</v>
      </c>
      <c r="AL2199" s="70"/>
      <c r="AM2199" s="70"/>
      <c r="AN2199" s="71"/>
      <c r="AO2199" s="71"/>
      <c r="AP2199" s="71"/>
      <c r="AQ2199" s="71"/>
      <c r="AR2199" s="71"/>
      <c r="AS2199" s="71"/>
      <c r="AT2199" s="71"/>
      <c r="AU2199" s="71"/>
      <c r="AV2199" s="71"/>
      <c r="AW2199" s="71"/>
      <c r="AX2199" s="71"/>
      <c r="AY2199" s="71"/>
      <c r="AZ2199" s="71"/>
      <c r="BA2199" s="71"/>
      <c r="BB2199" s="71"/>
      <c r="BC2199" s="71"/>
      <c r="BD2199" s="71"/>
      <c r="BE2199" s="71"/>
      <c r="BF2199" s="71"/>
      <c r="BG2199" s="71"/>
      <c r="BH2199" s="71"/>
      <c r="BI2199" s="71"/>
      <c r="BJ2199" s="71"/>
      <c r="BK2199" s="71"/>
      <c r="BL2199" s="71"/>
      <c r="BM2199" s="71"/>
      <c r="BN2199" s="71"/>
      <c r="BO2199" s="71"/>
      <c r="BP2199" s="71"/>
      <c r="BQ2199" s="71"/>
      <c r="BR2199" s="71"/>
      <c r="BS2199" s="71"/>
      <c r="BT2199" s="71"/>
      <c r="BU2199" s="71"/>
      <c r="BV2199" s="71"/>
    </row>
    <row r="2200">
      <c r="A2200" s="53">
        <v>1.0</v>
      </c>
      <c r="B2200" s="53"/>
      <c r="C2200" s="73" t="s">
        <v>53</v>
      </c>
      <c r="D2200" s="74" t="s">
        <v>5333</v>
      </c>
      <c r="E2200" s="54" t="s">
        <v>38</v>
      </c>
      <c r="F2200" s="54" t="s">
        <v>42</v>
      </c>
      <c r="G2200" s="88" t="s">
        <v>5334</v>
      </c>
      <c r="H2200" s="54" t="s">
        <v>5335</v>
      </c>
      <c r="I2200" s="54">
        <f t="shared" si="24"/>
        <v>36</v>
      </c>
      <c r="J2200" s="56"/>
      <c r="K2200" s="57"/>
      <c r="L2200" s="87"/>
      <c r="M2200" s="59"/>
      <c r="N2200" s="60">
        <v>96.0</v>
      </c>
      <c r="O2200" s="61">
        <v>103.0</v>
      </c>
      <c r="P2200" s="62">
        <v>111.24000000000001</v>
      </c>
      <c r="Q2200" s="63">
        <v>111.24000000000001</v>
      </c>
      <c r="R2200" s="64">
        <v>124.0</v>
      </c>
      <c r="S2200" s="111">
        <v>130.0</v>
      </c>
      <c r="T2200" s="65">
        <f t="shared" si="93"/>
        <v>20.8</v>
      </c>
      <c r="U2200" s="65">
        <f t="shared" si="94"/>
        <v>150.8</v>
      </c>
      <c r="V2200" s="66">
        <f t="shared" si="111"/>
        <v>0.04838709677</v>
      </c>
      <c r="W2200" s="67">
        <f t="shared" si="96"/>
        <v>123.5</v>
      </c>
      <c r="X2200" s="67">
        <f t="shared" si="112"/>
        <v>19.76</v>
      </c>
      <c r="Y2200" s="67">
        <f t="shared" si="113"/>
        <v>143.26</v>
      </c>
      <c r="Z2200" s="67">
        <f t="shared" si="99"/>
        <v>117</v>
      </c>
      <c r="AA2200" s="67">
        <f t="shared" si="114"/>
        <v>18.72</v>
      </c>
      <c r="AB2200" s="67">
        <f t="shared" si="115"/>
        <v>135.72</v>
      </c>
      <c r="AC2200" s="67">
        <f t="shared" si="102"/>
        <v>110.5</v>
      </c>
      <c r="AD2200" s="67">
        <f t="shared" si="116"/>
        <v>17.68</v>
      </c>
      <c r="AE2200" s="67">
        <f t="shared" si="117"/>
        <v>128.18</v>
      </c>
      <c r="AF2200" s="67">
        <f t="shared" si="105"/>
        <v>107.9</v>
      </c>
      <c r="AG2200" s="67">
        <f t="shared" si="118"/>
        <v>17.264</v>
      </c>
      <c r="AH2200" s="67">
        <f t="shared" si="119"/>
        <v>125.164</v>
      </c>
      <c r="AI2200" s="67">
        <f t="shared" si="108"/>
        <v>104</v>
      </c>
      <c r="AJ2200" s="68">
        <f t="shared" si="120"/>
        <v>16.64</v>
      </c>
      <c r="AK2200" s="68">
        <f t="shared" si="121"/>
        <v>120.64</v>
      </c>
      <c r="AL2200" s="70"/>
      <c r="AM2200" s="70"/>
      <c r="AN2200" s="71"/>
      <c r="AO2200" s="71"/>
      <c r="AP2200" s="71"/>
      <c r="AQ2200" s="71"/>
      <c r="AR2200" s="71"/>
      <c r="AS2200" s="71"/>
      <c r="AT2200" s="71"/>
      <c r="AU2200" s="71"/>
      <c r="AV2200" s="71"/>
      <c r="AW2200" s="71"/>
      <c r="AX2200" s="71"/>
      <c r="AY2200" s="71"/>
      <c r="AZ2200" s="71"/>
      <c r="BA2200" s="71"/>
      <c r="BB2200" s="71"/>
      <c r="BC2200" s="71"/>
      <c r="BD2200" s="71"/>
      <c r="BE2200" s="71"/>
      <c r="BF2200" s="71"/>
      <c r="BG2200" s="71"/>
      <c r="BH2200" s="71"/>
      <c r="BI2200" s="71"/>
      <c r="BJ2200" s="71"/>
      <c r="BK2200" s="71"/>
      <c r="BL2200" s="71"/>
      <c r="BM2200" s="71"/>
      <c r="BN2200" s="71"/>
      <c r="BO2200" s="71"/>
      <c r="BP2200" s="71"/>
      <c r="BQ2200" s="71"/>
      <c r="BR2200" s="71"/>
      <c r="BS2200" s="71"/>
      <c r="BT2200" s="71"/>
      <c r="BU2200" s="71"/>
      <c r="BV2200" s="71"/>
    </row>
    <row r="2201">
      <c r="A2201" s="53"/>
      <c r="B2201" s="53"/>
      <c r="C2201" s="73" t="s">
        <v>53</v>
      </c>
      <c r="D2201" s="53" t="s">
        <v>5336</v>
      </c>
      <c r="E2201" s="54" t="s">
        <v>38</v>
      </c>
      <c r="F2201" s="54" t="s">
        <v>42</v>
      </c>
      <c r="G2201" s="55" t="s">
        <v>5337</v>
      </c>
      <c r="H2201" s="54" t="s">
        <v>5337</v>
      </c>
      <c r="I2201" s="54">
        <f t="shared" si="24"/>
        <v>33</v>
      </c>
      <c r="J2201" s="56"/>
      <c r="K2201" s="57"/>
      <c r="L2201" s="76"/>
      <c r="M2201" s="59"/>
      <c r="N2201" s="79">
        <v>757.0</v>
      </c>
      <c r="O2201" s="61">
        <v>817.0</v>
      </c>
      <c r="P2201" s="62">
        <v>882.36</v>
      </c>
      <c r="Q2201" s="63">
        <v>882.36</v>
      </c>
      <c r="R2201" s="64">
        <v>927.0</v>
      </c>
      <c r="S2201" s="111">
        <v>973.0</v>
      </c>
      <c r="T2201" s="65">
        <f t="shared" si="93"/>
        <v>155.68</v>
      </c>
      <c r="U2201" s="65">
        <f t="shared" si="94"/>
        <v>1128.68</v>
      </c>
      <c r="V2201" s="66">
        <f t="shared" si="111"/>
        <v>0.04962243797</v>
      </c>
      <c r="W2201" s="67">
        <f t="shared" si="96"/>
        <v>924.35</v>
      </c>
      <c r="X2201" s="67">
        <f t="shared" si="112"/>
        <v>147.896</v>
      </c>
      <c r="Y2201" s="67">
        <f t="shared" si="113"/>
        <v>1072.246</v>
      </c>
      <c r="Z2201" s="67">
        <f t="shared" si="99"/>
        <v>875.7</v>
      </c>
      <c r="AA2201" s="67">
        <f t="shared" si="114"/>
        <v>140.112</v>
      </c>
      <c r="AB2201" s="67">
        <f t="shared" si="115"/>
        <v>1015.812</v>
      </c>
      <c r="AC2201" s="67">
        <f t="shared" si="102"/>
        <v>827.05</v>
      </c>
      <c r="AD2201" s="67">
        <f t="shared" si="116"/>
        <v>132.328</v>
      </c>
      <c r="AE2201" s="67">
        <f t="shared" si="117"/>
        <v>959.378</v>
      </c>
      <c r="AF2201" s="67">
        <f t="shared" si="105"/>
        <v>807.59</v>
      </c>
      <c r="AG2201" s="67">
        <f t="shared" si="118"/>
        <v>129.2144</v>
      </c>
      <c r="AH2201" s="67">
        <f t="shared" si="119"/>
        <v>936.8044</v>
      </c>
      <c r="AI2201" s="67">
        <f t="shared" si="108"/>
        <v>778.4</v>
      </c>
      <c r="AJ2201" s="68">
        <f t="shared" si="120"/>
        <v>124.544</v>
      </c>
      <c r="AK2201" s="68">
        <f t="shared" si="121"/>
        <v>902.944</v>
      </c>
      <c r="AL2201" s="70"/>
      <c r="AM2201" s="70"/>
      <c r="AN2201" s="71"/>
      <c r="AO2201" s="71"/>
      <c r="AP2201" s="71"/>
      <c r="AQ2201" s="71"/>
      <c r="AR2201" s="71"/>
      <c r="AS2201" s="71"/>
      <c r="AT2201" s="71"/>
      <c r="AU2201" s="71"/>
      <c r="AV2201" s="71"/>
      <c r="AW2201" s="71"/>
      <c r="AX2201" s="71"/>
      <c r="AY2201" s="71"/>
      <c r="AZ2201" s="71"/>
      <c r="BA2201" s="71"/>
      <c r="BB2201" s="71"/>
      <c r="BC2201" s="71"/>
      <c r="BD2201" s="71"/>
      <c r="BE2201" s="71"/>
      <c r="BF2201" s="71"/>
      <c r="BG2201" s="71"/>
      <c r="BH2201" s="71"/>
      <c r="BI2201" s="71"/>
      <c r="BJ2201" s="71"/>
      <c r="BK2201" s="71"/>
      <c r="BL2201" s="71"/>
      <c r="BM2201" s="71"/>
      <c r="BN2201" s="71"/>
      <c r="BO2201" s="71"/>
      <c r="BP2201" s="71"/>
      <c r="BQ2201" s="71"/>
      <c r="BR2201" s="71"/>
      <c r="BS2201" s="71"/>
      <c r="BT2201" s="71"/>
      <c r="BU2201" s="71"/>
      <c r="BV2201" s="71"/>
    </row>
    <row r="2202">
      <c r="A2202" s="53"/>
      <c r="B2202" s="53"/>
      <c r="C2202" s="73" t="s">
        <v>53</v>
      </c>
      <c r="D2202" s="53" t="s">
        <v>5338</v>
      </c>
      <c r="E2202" s="54" t="s">
        <v>38</v>
      </c>
      <c r="F2202" s="54" t="s">
        <v>42</v>
      </c>
      <c r="G2202" s="55" t="s">
        <v>5339</v>
      </c>
      <c r="H2202" s="54" t="s">
        <v>5340</v>
      </c>
      <c r="I2202" s="54">
        <f t="shared" si="24"/>
        <v>25</v>
      </c>
      <c r="J2202" s="56"/>
      <c r="K2202" s="57"/>
      <c r="L2202" s="76"/>
      <c r="M2202" s="59"/>
      <c r="N2202" s="79">
        <v>1918.0</v>
      </c>
      <c r="O2202" s="61">
        <v>2071.0</v>
      </c>
      <c r="P2202" s="62">
        <v>2236.6800000000003</v>
      </c>
      <c r="Q2202" s="63">
        <v>2236.6800000000003</v>
      </c>
      <c r="R2202" s="64">
        <v>2349.0</v>
      </c>
      <c r="S2202" s="111">
        <v>2466.0</v>
      </c>
      <c r="T2202" s="65">
        <f t="shared" si="93"/>
        <v>394.56</v>
      </c>
      <c r="U2202" s="65">
        <f t="shared" si="94"/>
        <v>2860.56</v>
      </c>
      <c r="V2202" s="66">
        <f t="shared" si="111"/>
        <v>0.04980842912</v>
      </c>
      <c r="W2202" s="67">
        <f t="shared" si="96"/>
        <v>2342.7</v>
      </c>
      <c r="X2202" s="67">
        <f t="shared" si="112"/>
        <v>374.832</v>
      </c>
      <c r="Y2202" s="67">
        <f t="shared" si="113"/>
        <v>2717.532</v>
      </c>
      <c r="Z2202" s="67">
        <f t="shared" si="99"/>
        <v>2219.4</v>
      </c>
      <c r="AA2202" s="67">
        <f t="shared" si="114"/>
        <v>355.104</v>
      </c>
      <c r="AB2202" s="67">
        <f t="shared" si="115"/>
        <v>2574.504</v>
      </c>
      <c r="AC2202" s="67">
        <f t="shared" si="102"/>
        <v>2096.1</v>
      </c>
      <c r="AD2202" s="67">
        <f t="shared" si="116"/>
        <v>335.376</v>
      </c>
      <c r="AE2202" s="67">
        <f t="shared" si="117"/>
        <v>2431.476</v>
      </c>
      <c r="AF2202" s="67">
        <f t="shared" si="105"/>
        <v>2046.78</v>
      </c>
      <c r="AG2202" s="67">
        <f t="shared" si="118"/>
        <v>327.4848</v>
      </c>
      <c r="AH2202" s="67">
        <f t="shared" si="119"/>
        <v>2374.2648</v>
      </c>
      <c r="AI2202" s="67">
        <f t="shared" si="108"/>
        <v>1972.8</v>
      </c>
      <c r="AJ2202" s="68">
        <f t="shared" si="120"/>
        <v>315.648</v>
      </c>
      <c r="AK2202" s="68">
        <f t="shared" si="121"/>
        <v>2288.448</v>
      </c>
      <c r="AL2202" s="70"/>
      <c r="AM2202" s="70"/>
      <c r="AN2202" s="71"/>
      <c r="AO2202" s="71"/>
      <c r="AP2202" s="71"/>
      <c r="AQ2202" s="71"/>
      <c r="AR2202" s="71"/>
      <c r="AS2202" s="71"/>
      <c r="AT2202" s="71"/>
      <c r="AU2202" s="71"/>
      <c r="AV2202" s="71"/>
      <c r="AW2202" s="71"/>
      <c r="AX2202" s="71"/>
      <c r="AY2202" s="71"/>
      <c r="AZ2202" s="71"/>
      <c r="BA2202" s="71"/>
      <c r="BB2202" s="71"/>
      <c r="BC2202" s="71"/>
      <c r="BD2202" s="71"/>
      <c r="BE2202" s="71"/>
      <c r="BF2202" s="71"/>
      <c r="BG2202" s="71"/>
      <c r="BH2202" s="71"/>
      <c r="BI2202" s="71"/>
      <c r="BJ2202" s="71"/>
      <c r="BK2202" s="71"/>
      <c r="BL2202" s="71"/>
      <c r="BM2202" s="71"/>
      <c r="BN2202" s="71"/>
      <c r="BO2202" s="71"/>
      <c r="BP2202" s="71"/>
      <c r="BQ2202" s="71"/>
      <c r="BR2202" s="71"/>
      <c r="BS2202" s="71"/>
      <c r="BT2202" s="71"/>
      <c r="BU2202" s="71"/>
      <c r="BV2202" s="71"/>
    </row>
    <row r="2203">
      <c r="A2203" s="53">
        <v>1.0</v>
      </c>
      <c r="B2203" s="53"/>
      <c r="C2203" s="73" t="s">
        <v>53</v>
      </c>
      <c r="D2203" s="74" t="s">
        <v>5341</v>
      </c>
      <c r="E2203" s="54" t="s">
        <v>38</v>
      </c>
      <c r="F2203" s="54" t="s">
        <v>42</v>
      </c>
      <c r="G2203" s="88" t="s">
        <v>5342</v>
      </c>
      <c r="H2203" s="54" t="s">
        <v>5343</v>
      </c>
      <c r="I2203" s="54">
        <f t="shared" si="24"/>
        <v>23</v>
      </c>
      <c r="J2203" s="56"/>
      <c r="K2203" s="57"/>
      <c r="L2203" s="87"/>
      <c r="M2203" s="59"/>
      <c r="N2203" s="60">
        <v>726.0</v>
      </c>
      <c r="O2203" s="61">
        <v>784.0</v>
      </c>
      <c r="P2203" s="62">
        <v>846.72</v>
      </c>
      <c r="Q2203" s="63">
        <v>846.72</v>
      </c>
      <c r="R2203" s="64">
        <v>943.0</v>
      </c>
      <c r="S2203" s="111">
        <v>990.0</v>
      </c>
      <c r="T2203" s="65">
        <f t="shared" si="93"/>
        <v>158.4</v>
      </c>
      <c r="U2203" s="65">
        <f t="shared" si="94"/>
        <v>1148.4</v>
      </c>
      <c r="V2203" s="66">
        <f t="shared" si="111"/>
        <v>0.04984093319</v>
      </c>
      <c r="W2203" s="67">
        <f t="shared" si="96"/>
        <v>940.5</v>
      </c>
      <c r="X2203" s="67">
        <f t="shared" si="112"/>
        <v>150.48</v>
      </c>
      <c r="Y2203" s="67">
        <f t="shared" si="113"/>
        <v>1090.98</v>
      </c>
      <c r="Z2203" s="67">
        <f t="shared" si="99"/>
        <v>891</v>
      </c>
      <c r="AA2203" s="67">
        <f t="shared" si="114"/>
        <v>142.56</v>
      </c>
      <c r="AB2203" s="67">
        <f t="shared" si="115"/>
        <v>1033.56</v>
      </c>
      <c r="AC2203" s="67">
        <f t="shared" si="102"/>
        <v>841.5</v>
      </c>
      <c r="AD2203" s="67">
        <f t="shared" si="116"/>
        <v>134.64</v>
      </c>
      <c r="AE2203" s="67">
        <f t="shared" si="117"/>
        <v>976.14</v>
      </c>
      <c r="AF2203" s="67">
        <f t="shared" si="105"/>
        <v>821.7</v>
      </c>
      <c r="AG2203" s="67">
        <f t="shared" si="118"/>
        <v>131.472</v>
      </c>
      <c r="AH2203" s="67">
        <f t="shared" si="119"/>
        <v>953.172</v>
      </c>
      <c r="AI2203" s="67">
        <f t="shared" si="108"/>
        <v>792</v>
      </c>
      <c r="AJ2203" s="68">
        <f t="shared" si="120"/>
        <v>126.72</v>
      </c>
      <c r="AK2203" s="68">
        <f t="shared" si="121"/>
        <v>918.72</v>
      </c>
      <c r="AL2203" s="70"/>
      <c r="AM2203" s="70"/>
      <c r="AN2203" s="71"/>
      <c r="AO2203" s="71"/>
      <c r="AP2203" s="71"/>
      <c r="AQ2203" s="71"/>
      <c r="AR2203" s="71"/>
      <c r="AS2203" s="71"/>
      <c r="AT2203" s="71"/>
      <c r="AU2203" s="71"/>
      <c r="AV2203" s="71"/>
      <c r="AW2203" s="71"/>
      <c r="AX2203" s="71"/>
      <c r="AY2203" s="71"/>
      <c r="AZ2203" s="71"/>
      <c r="BA2203" s="71"/>
      <c r="BB2203" s="71"/>
      <c r="BC2203" s="71"/>
      <c r="BD2203" s="71"/>
      <c r="BE2203" s="71"/>
      <c r="BF2203" s="71"/>
      <c r="BG2203" s="71"/>
      <c r="BH2203" s="71"/>
      <c r="BI2203" s="71"/>
      <c r="BJ2203" s="71"/>
      <c r="BK2203" s="71"/>
      <c r="BL2203" s="71"/>
      <c r="BM2203" s="71"/>
      <c r="BN2203" s="71"/>
      <c r="BO2203" s="71"/>
      <c r="BP2203" s="71"/>
      <c r="BQ2203" s="71"/>
      <c r="BR2203" s="71"/>
      <c r="BS2203" s="71"/>
      <c r="BT2203" s="71"/>
      <c r="BU2203" s="71"/>
      <c r="BV2203" s="71"/>
    </row>
    <row r="2204">
      <c r="A2204" s="53"/>
      <c r="B2204" s="53"/>
      <c r="C2204" s="73" t="s">
        <v>53</v>
      </c>
      <c r="D2204" s="53" t="s">
        <v>5344</v>
      </c>
      <c r="E2204" s="54" t="s">
        <v>38</v>
      </c>
      <c r="F2204" s="54" t="s">
        <v>42</v>
      </c>
      <c r="G2204" s="55" t="s">
        <v>5345</v>
      </c>
      <c r="H2204" s="54" t="s">
        <v>5346</v>
      </c>
      <c r="I2204" s="54">
        <f t="shared" si="24"/>
        <v>22</v>
      </c>
      <c r="J2204" s="56"/>
      <c r="K2204" s="57"/>
      <c r="L2204" s="76"/>
      <c r="M2204" s="59"/>
      <c r="N2204" s="79">
        <v>726.0</v>
      </c>
      <c r="O2204" s="61">
        <v>784.0</v>
      </c>
      <c r="P2204" s="63">
        <v>846.72</v>
      </c>
      <c r="Q2204" s="63">
        <v>846.72</v>
      </c>
      <c r="R2204" s="64">
        <v>890.0</v>
      </c>
      <c r="S2204" s="111">
        <v>935.0</v>
      </c>
      <c r="T2204" s="65">
        <f t="shared" si="93"/>
        <v>149.6</v>
      </c>
      <c r="U2204" s="65">
        <f t="shared" si="94"/>
        <v>1084.6</v>
      </c>
      <c r="V2204" s="66">
        <f t="shared" si="111"/>
        <v>0.05056179775</v>
      </c>
      <c r="W2204" s="67">
        <f t="shared" si="96"/>
        <v>888.25</v>
      </c>
      <c r="X2204" s="67">
        <f t="shared" si="112"/>
        <v>142.12</v>
      </c>
      <c r="Y2204" s="67">
        <f t="shared" si="113"/>
        <v>1030.37</v>
      </c>
      <c r="Z2204" s="67">
        <f t="shared" si="99"/>
        <v>841.5</v>
      </c>
      <c r="AA2204" s="67">
        <f t="shared" si="114"/>
        <v>134.64</v>
      </c>
      <c r="AB2204" s="67">
        <f t="shared" si="115"/>
        <v>976.14</v>
      </c>
      <c r="AC2204" s="67">
        <f t="shared" si="102"/>
        <v>794.75</v>
      </c>
      <c r="AD2204" s="67">
        <f t="shared" si="116"/>
        <v>127.16</v>
      </c>
      <c r="AE2204" s="67">
        <f t="shared" si="117"/>
        <v>921.91</v>
      </c>
      <c r="AF2204" s="67">
        <f t="shared" si="105"/>
        <v>776.05</v>
      </c>
      <c r="AG2204" s="67">
        <f t="shared" si="118"/>
        <v>124.168</v>
      </c>
      <c r="AH2204" s="67">
        <f t="shared" si="119"/>
        <v>900.218</v>
      </c>
      <c r="AI2204" s="67">
        <f t="shared" si="108"/>
        <v>748</v>
      </c>
      <c r="AJ2204" s="68">
        <f t="shared" si="120"/>
        <v>119.68</v>
      </c>
      <c r="AK2204" s="68">
        <f t="shared" si="121"/>
        <v>867.68</v>
      </c>
      <c r="AL2204" s="70"/>
      <c r="AM2204" s="70"/>
      <c r="AN2204" s="71"/>
      <c r="AO2204" s="71"/>
      <c r="AP2204" s="71"/>
      <c r="AQ2204" s="71"/>
      <c r="AR2204" s="71"/>
      <c r="AS2204" s="71"/>
      <c r="AT2204" s="71"/>
      <c r="AU2204" s="71"/>
      <c r="AV2204" s="71"/>
      <c r="AW2204" s="71"/>
      <c r="AX2204" s="71"/>
      <c r="AY2204" s="71"/>
      <c r="AZ2204" s="71"/>
      <c r="BA2204" s="71"/>
      <c r="BB2204" s="71"/>
      <c r="BC2204" s="71"/>
      <c r="BD2204" s="71"/>
      <c r="BE2204" s="71"/>
      <c r="BF2204" s="71"/>
      <c r="BG2204" s="71"/>
      <c r="BH2204" s="71"/>
      <c r="BI2204" s="71"/>
      <c r="BJ2204" s="71"/>
      <c r="BK2204" s="71"/>
      <c r="BL2204" s="71"/>
      <c r="BM2204" s="71"/>
      <c r="BN2204" s="71"/>
      <c r="BO2204" s="71"/>
      <c r="BP2204" s="71"/>
      <c r="BQ2204" s="71"/>
      <c r="BR2204" s="71"/>
      <c r="BS2204" s="71"/>
      <c r="BT2204" s="71"/>
      <c r="BU2204" s="71"/>
      <c r="BV2204" s="71"/>
    </row>
    <row r="2205">
      <c r="A2205" s="53">
        <v>1.0</v>
      </c>
      <c r="B2205" s="53"/>
      <c r="C2205" s="73" t="s">
        <v>53</v>
      </c>
      <c r="D2205" s="74" t="s">
        <v>5347</v>
      </c>
      <c r="E2205" s="54" t="s">
        <v>38</v>
      </c>
      <c r="F2205" s="54" t="s">
        <v>42</v>
      </c>
      <c r="G2205" s="88" t="s">
        <v>5348</v>
      </c>
      <c r="H2205" s="54" t="s">
        <v>5349</v>
      </c>
      <c r="I2205" s="54">
        <f t="shared" si="24"/>
        <v>27</v>
      </c>
      <c r="J2205" s="56"/>
      <c r="K2205" s="57"/>
      <c r="L2205" s="87"/>
      <c r="M2205" s="59"/>
      <c r="N2205" s="60">
        <v>585.0</v>
      </c>
      <c r="O2205" s="61">
        <v>631.0</v>
      </c>
      <c r="P2205" s="62">
        <v>681.48</v>
      </c>
      <c r="Q2205" s="63">
        <v>681.48</v>
      </c>
      <c r="R2205" s="64">
        <v>760.0</v>
      </c>
      <c r="S2205" s="111">
        <v>798.0</v>
      </c>
      <c r="T2205" s="65">
        <f t="shared" si="93"/>
        <v>127.68</v>
      </c>
      <c r="U2205" s="65">
        <f t="shared" si="94"/>
        <v>925.68</v>
      </c>
      <c r="V2205" s="66">
        <f t="shared" si="111"/>
        <v>0.05</v>
      </c>
      <c r="W2205" s="67">
        <f t="shared" si="96"/>
        <v>758.1</v>
      </c>
      <c r="X2205" s="67">
        <f t="shared" si="112"/>
        <v>121.296</v>
      </c>
      <c r="Y2205" s="67">
        <f t="shared" si="113"/>
        <v>879.396</v>
      </c>
      <c r="Z2205" s="67">
        <f t="shared" si="99"/>
        <v>718.2</v>
      </c>
      <c r="AA2205" s="67">
        <f t="shared" si="114"/>
        <v>114.912</v>
      </c>
      <c r="AB2205" s="67">
        <f t="shared" si="115"/>
        <v>833.112</v>
      </c>
      <c r="AC2205" s="67">
        <f t="shared" si="102"/>
        <v>678.3</v>
      </c>
      <c r="AD2205" s="67">
        <f t="shared" si="116"/>
        <v>108.528</v>
      </c>
      <c r="AE2205" s="67">
        <f t="shared" si="117"/>
        <v>786.828</v>
      </c>
      <c r="AF2205" s="67">
        <f t="shared" si="105"/>
        <v>662.34</v>
      </c>
      <c r="AG2205" s="67">
        <f t="shared" si="118"/>
        <v>105.9744</v>
      </c>
      <c r="AH2205" s="67">
        <f t="shared" si="119"/>
        <v>768.3144</v>
      </c>
      <c r="AI2205" s="67">
        <f t="shared" si="108"/>
        <v>638.4</v>
      </c>
      <c r="AJ2205" s="68">
        <f t="shared" si="120"/>
        <v>102.144</v>
      </c>
      <c r="AK2205" s="68">
        <f t="shared" si="121"/>
        <v>740.544</v>
      </c>
      <c r="AL2205" s="70"/>
      <c r="AM2205" s="70"/>
      <c r="AN2205" s="71"/>
      <c r="AO2205" s="71"/>
      <c r="AP2205" s="71"/>
      <c r="AQ2205" s="71"/>
      <c r="AR2205" s="71"/>
      <c r="AS2205" s="71"/>
      <c r="AT2205" s="71"/>
      <c r="AU2205" s="71"/>
      <c r="AV2205" s="71"/>
      <c r="AW2205" s="71"/>
      <c r="AX2205" s="71"/>
      <c r="AY2205" s="71"/>
      <c r="AZ2205" s="71"/>
      <c r="BA2205" s="71"/>
      <c r="BB2205" s="71"/>
      <c r="BC2205" s="71"/>
      <c r="BD2205" s="71"/>
      <c r="BE2205" s="71"/>
      <c r="BF2205" s="71"/>
      <c r="BG2205" s="71"/>
      <c r="BH2205" s="71"/>
      <c r="BI2205" s="71"/>
      <c r="BJ2205" s="71"/>
      <c r="BK2205" s="71"/>
      <c r="BL2205" s="71"/>
      <c r="BM2205" s="71"/>
      <c r="BN2205" s="71"/>
      <c r="BO2205" s="71"/>
      <c r="BP2205" s="71"/>
      <c r="BQ2205" s="71"/>
      <c r="BR2205" s="71"/>
      <c r="BS2205" s="71"/>
      <c r="BT2205" s="71"/>
      <c r="BU2205" s="71"/>
      <c r="BV2205" s="71"/>
    </row>
    <row r="2206">
      <c r="A2206" s="53">
        <v>1.0</v>
      </c>
      <c r="B2206" s="53"/>
      <c r="C2206" s="73" t="s">
        <v>53</v>
      </c>
      <c r="D2206" s="74" t="s">
        <v>5350</v>
      </c>
      <c r="E2206" s="54" t="s">
        <v>38</v>
      </c>
      <c r="F2206" s="54" t="s">
        <v>42</v>
      </c>
      <c r="G2206" s="88" t="s">
        <v>5351</v>
      </c>
      <c r="H2206" s="54" t="s">
        <v>5352</v>
      </c>
      <c r="I2206" s="54">
        <f t="shared" si="24"/>
        <v>32</v>
      </c>
      <c r="J2206" s="56"/>
      <c r="K2206" s="57"/>
      <c r="L2206" s="76"/>
      <c r="M2206" s="59"/>
      <c r="N2206" s="60">
        <v>585.0</v>
      </c>
      <c r="O2206" s="61">
        <v>631.0</v>
      </c>
      <c r="P2206" s="62">
        <v>681.48</v>
      </c>
      <c r="Q2206" s="63">
        <v>681.48</v>
      </c>
      <c r="R2206" s="64">
        <v>760.0</v>
      </c>
      <c r="S2206" s="111">
        <v>798.0</v>
      </c>
      <c r="T2206" s="65">
        <f t="shared" si="93"/>
        <v>127.68</v>
      </c>
      <c r="U2206" s="65">
        <f t="shared" si="94"/>
        <v>925.68</v>
      </c>
      <c r="V2206" s="66">
        <f t="shared" si="111"/>
        <v>0.05</v>
      </c>
      <c r="W2206" s="67">
        <f t="shared" si="96"/>
        <v>758.1</v>
      </c>
      <c r="X2206" s="67">
        <f t="shared" si="112"/>
        <v>121.296</v>
      </c>
      <c r="Y2206" s="67">
        <f t="shared" si="113"/>
        <v>879.396</v>
      </c>
      <c r="Z2206" s="67">
        <f t="shared" si="99"/>
        <v>718.2</v>
      </c>
      <c r="AA2206" s="67">
        <f t="shared" si="114"/>
        <v>114.912</v>
      </c>
      <c r="AB2206" s="67">
        <f t="shared" si="115"/>
        <v>833.112</v>
      </c>
      <c r="AC2206" s="67">
        <f t="shared" si="102"/>
        <v>678.3</v>
      </c>
      <c r="AD2206" s="67">
        <f t="shared" si="116"/>
        <v>108.528</v>
      </c>
      <c r="AE2206" s="67">
        <f t="shared" si="117"/>
        <v>786.828</v>
      </c>
      <c r="AF2206" s="67">
        <f t="shared" si="105"/>
        <v>662.34</v>
      </c>
      <c r="AG2206" s="67">
        <f t="shared" si="118"/>
        <v>105.9744</v>
      </c>
      <c r="AH2206" s="67">
        <f t="shared" si="119"/>
        <v>768.3144</v>
      </c>
      <c r="AI2206" s="67">
        <f t="shared" si="108"/>
        <v>638.4</v>
      </c>
      <c r="AJ2206" s="68">
        <f t="shared" si="120"/>
        <v>102.144</v>
      </c>
      <c r="AK2206" s="68">
        <f t="shared" si="121"/>
        <v>740.544</v>
      </c>
      <c r="AL2206" s="70"/>
      <c r="AM2206" s="70"/>
      <c r="AN2206" s="71"/>
      <c r="AO2206" s="71"/>
      <c r="AP2206" s="71"/>
      <c r="AQ2206" s="71"/>
      <c r="AR2206" s="71"/>
      <c r="AS2206" s="71"/>
      <c r="AT2206" s="71"/>
      <c r="AU2206" s="71"/>
      <c r="AV2206" s="71"/>
      <c r="AW2206" s="71"/>
      <c r="AX2206" s="71"/>
      <c r="AY2206" s="71"/>
      <c r="AZ2206" s="71"/>
      <c r="BA2206" s="71"/>
      <c r="BB2206" s="71"/>
      <c r="BC2206" s="71"/>
      <c r="BD2206" s="71"/>
      <c r="BE2206" s="71"/>
      <c r="BF2206" s="71"/>
      <c r="BG2206" s="71"/>
      <c r="BH2206" s="71"/>
      <c r="BI2206" s="71"/>
      <c r="BJ2206" s="71"/>
      <c r="BK2206" s="71"/>
      <c r="BL2206" s="71"/>
      <c r="BM2206" s="71"/>
      <c r="BN2206" s="71"/>
      <c r="BO2206" s="71"/>
      <c r="BP2206" s="71"/>
      <c r="BQ2206" s="71"/>
      <c r="BR2206" s="71"/>
      <c r="BS2206" s="71"/>
      <c r="BT2206" s="71"/>
      <c r="BU2206" s="71"/>
      <c r="BV2206" s="71"/>
    </row>
    <row r="2207">
      <c r="A2207" s="53">
        <v>1.0</v>
      </c>
      <c r="B2207" s="53"/>
      <c r="C2207" s="73" t="s">
        <v>53</v>
      </c>
      <c r="D2207" s="74" t="s">
        <v>5353</v>
      </c>
      <c r="E2207" s="54" t="s">
        <v>38</v>
      </c>
      <c r="F2207" s="54" t="s">
        <v>42</v>
      </c>
      <c r="G2207" s="88" t="s">
        <v>5354</v>
      </c>
      <c r="H2207" s="54" t="s">
        <v>5354</v>
      </c>
      <c r="I2207" s="54">
        <f t="shared" si="24"/>
        <v>27</v>
      </c>
      <c r="J2207" s="56"/>
      <c r="K2207" s="57"/>
      <c r="L2207" s="87"/>
      <c r="M2207" s="59"/>
      <c r="N2207" s="60">
        <v>832.0</v>
      </c>
      <c r="O2207" s="61">
        <v>898.0</v>
      </c>
      <c r="P2207" s="62">
        <v>969.84</v>
      </c>
      <c r="Q2207" s="63">
        <v>969.84</v>
      </c>
      <c r="R2207" s="64">
        <v>1081.0</v>
      </c>
      <c r="S2207" s="111">
        <v>1135.0</v>
      </c>
      <c r="T2207" s="65">
        <f t="shared" si="93"/>
        <v>181.6</v>
      </c>
      <c r="U2207" s="65">
        <f t="shared" si="94"/>
        <v>1316.6</v>
      </c>
      <c r="V2207" s="66">
        <f t="shared" si="111"/>
        <v>0.04995374653</v>
      </c>
      <c r="W2207" s="67">
        <f t="shared" si="96"/>
        <v>1078.25</v>
      </c>
      <c r="X2207" s="67">
        <f t="shared" si="112"/>
        <v>172.52</v>
      </c>
      <c r="Y2207" s="67">
        <f t="shared" si="113"/>
        <v>1250.77</v>
      </c>
      <c r="Z2207" s="67">
        <f t="shared" si="99"/>
        <v>1021.5</v>
      </c>
      <c r="AA2207" s="67">
        <f t="shared" si="114"/>
        <v>163.44</v>
      </c>
      <c r="AB2207" s="67">
        <f t="shared" si="115"/>
        <v>1184.94</v>
      </c>
      <c r="AC2207" s="67">
        <f t="shared" si="102"/>
        <v>964.75</v>
      </c>
      <c r="AD2207" s="67">
        <f t="shared" si="116"/>
        <v>154.36</v>
      </c>
      <c r="AE2207" s="67">
        <f t="shared" si="117"/>
        <v>1119.11</v>
      </c>
      <c r="AF2207" s="67">
        <f t="shared" si="105"/>
        <v>942.05</v>
      </c>
      <c r="AG2207" s="67">
        <f t="shared" si="118"/>
        <v>150.728</v>
      </c>
      <c r="AH2207" s="67">
        <f t="shared" si="119"/>
        <v>1092.778</v>
      </c>
      <c r="AI2207" s="67">
        <f t="shared" si="108"/>
        <v>908</v>
      </c>
      <c r="AJ2207" s="68">
        <f t="shared" si="120"/>
        <v>145.28</v>
      </c>
      <c r="AK2207" s="68">
        <f t="shared" si="121"/>
        <v>1053.28</v>
      </c>
      <c r="AL2207" s="70"/>
      <c r="AM2207" s="70"/>
      <c r="AN2207" s="71"/>
      <c r="AO2207" s="71"/>
      <c r="AP2207" s="71"/>
      <c r="AQ2207" s="71"/>
      <c r="AR2207" s="71"/>
      <c r="AS2207" s="71"/>
      <c r="AT2207" s="71"/>
      <c r="AU2207" s="71"/>
      <c r="AV2207" s="71"/>
      <c r="AW2207" s="71"/>
      <c r="AX2207" s="71"/>
      <c r="AY2207" s="71"/>
      <c r="AZ2207" s="71"/>
      <c r="BA2207" s="71"/>
      <c r="BB2207" s="71"/>
      <c r="BC2207" s="71"/>
      <c r="BD2207" s="71"/>
      <c r="BE2207" s="71"/>
      <c r="BF2207" s="71"/>
      <c r="BG2207" s="71"/>
      <c r="BH2207" s="71"/>
      <c r="BI2207" s="71"/>
      <c r="BJ2207" s="71"/>
      <c r="BK2207" s="71"/>
      <c r="BL2207" s="71"/>
      <c r="BM2207" s="71"/>
      <c r="BN2207" s="71"/>
      <c r="BO2207" s="71"/>
      <c r="BP2207" s="71"/>
      <c r="BQ2207" s="71"/>
      <c r="BR2207" s="71"/>
      <c r="BS2207" s="71"/>
      <c r="BT2207" s="71"/>
      <c r="BU2207" s="71"/>
      <c r="BV2207" s="71"/>
    </row>
    <row r="2208">
      <c r="A2208" s="53"/>
      <c r="B2208" s="53"/>
      <c r="C2208" s="73" t="s">
        <v>53</v>
      </c>
      <c r="D2208" s="53" t="s">
        <v>5355</v>
      </c>
      <c r="E2208" s="54" t="s">
        <v>38</v>
      </c>
      <c r="F2208" s="54" t="s">
        <v>42</v>
      </c>
      <c r="G2208" s="55" t="s">
        <v>5356</v>
      </c>
      <c r="H2208" s="54" t="s">
        <v>5357</v>
      </c>
      <c r="I2208" s="54">
        <f t="shared" si="24"/>
        <v>40</v>
      </c>
      <c r="J2208" s="56"/>
      <c r="K2208" s="57"/>
      <c r="L2208" s="76"/>
      <c r="M2208" s="59"/>
      <c r="N2208" s="60">
        <v>1155.0</v>
      </c>
      <c r="O2208" s="61">
        <v>1247.0</v>
      </c>
      <c r="P2208" s="62">
        <v>1346.76</v>
      </c>
      <c r="Q2208" s="63">
        <v>1346.76</v>
      </c>
      <c r="R2208" s="64">
        <v>1415.0</v>
      </c>
      <c r="S2208" s="111">
        <v>1486.0</v>
      </c>
      <c r="T2208" s="65">
        <f t="shared" si="93"/>
        <v>237.76</v>
      </c>
      <c r="U2208" s="65">
        <f t="shared" si="94"/>
        <v>1723.76</v>
      </c>
      <c r="V2208" s="66">
        <f t="shared" si="111"/>
        <v>0.05017667845</v>
      </c>
      <c r="W2208" s="67">
        <f t="shared" si="96"/>
        <v>1411.7</v>
      </c>
      <c r="X2208" s="67">
        <f t="shared" si="112"/>
        <v>225.872</v>
      </c>
      <c r="Y2208" s="67">
        <f t="shared" si="113"/>
        <v>1637.572</v>
      </c>
      <c r="Z2208" s="67">
        <f t="shared" si="99"/>
        <v>1337.4</v>
      </c>
      <c r="AA2208" s="67">
        <f t="shared" si="114"/>
        <v>213.984</v>
      </c>
      <c r="AB2208" s="67">
        <f t="shared" si="115"/>
        <v>1551.384</v>
      </c>
      <c r="AC2208" s="67">
        <f t="shared" si="102"/>
        <v>1263.1</v>
      </c>
      <c r="AD2208" s="67">
        <f t="shared" si="116"/>
        <v>202.096</v>
      </c>
      <c r="AE2208" s="67">
        <f t="shared" si="117"/>
        <v>1465.196</v>
      </c>
      <c r="AF2208" s="67">
        <f t="shared" si="105"/>
        <v>1233.38</v>
      </c>
      <c r="AG2208" s="67">
        <f t="shared" si="118"/>
        <v>197.3408</v>
      </c>
      <c r="AH2208" s="67">
        <f t="shared" si="119"/>
        <v>1430.7208</v>
      </c>
      <c r="AI2208" s="67">
        <f t="shared" si="108"/>
        <v>1188.8</v>
      </c>
      <c r="AJ2208" s="68">
        <f t="shared" si="120"/>
        <v>190.208</v>
      </c>
      <c r="AK2208" s="68">
        <f t="shared" si="121"/>
        <v>1379.008</v>
      </c>
      <c r="AL2208" s="70"/>
      <c r="AM2208" s="70"/>
      <c r="AN2208" s="71"/>
      <c r="AO2208" s="71"/>
      <c r="AP2208" s="71"/>
      <c r="AQ2208" s="71"/>
      <c r="AR2208" s="71"/>
      <c r="AS2208" s="71"/>
      <c r="AT2208" s="71"/>
      <c r="AU2208" s="71"/>
      <c r="AV2208" s="71"/>
      <c r="AW2208" s="71"/>
      <c r="AX2208" s="71"/>
      <c r="AY2208" s="71"/>
      <c r="AZ2208" s="71"/>
      <c r="BA2208" s="71"/>
      <c r="BB2208" s="71"/>
      <c r="BC2208" s="71"/>
      <c r="BD2208" s="71"/>
      <c r="BE2208" s="71"/>
      <c r="BF2208" s="71"/>
      <c r="BG2208" s="71"/>
      <c r="BH2208" s="71"/>
      <c r="BI2208" s="71"/>
      <c r="BJ2208" s="71"/>
      <c r="BK2208" s="71"/>
      <c r="BL2208" s="71"/>
      <c r="BM2208" s="71"/>
      <c r="BN2208" s="71"/>
      <c r="BO2208" s="71"/>
      <c r="BP2208" s="71"/>
      <c r="BQ2208" s="71"/>
      <c r="BR2208" s="71"/>
      <c r="BS2208" s="71"/>
      <c r="BT2208" s="71"/>
      <c r="BU2208" s="71"/>
      <c r="BV2208" s="71"/>
    </row>
    <row r="2209">
      <c r="A2209" s="53"/>
      <c r="B2209" s="53"/>
      <c r="C2209" s="53" t="s">
        <v>53</v>
      </c>
      <c r="D2209" s="53" t="s">
        <v>5358</v>
      </c>
      <c r="E2209" s="54" t="s">
        <v>38</v>
      </c>
      <c r="F2209" s="54" t="s">
        <v>42</v>
      </c>
      <c r="G2209" s="55" t="s">
        <v>5359</v>
      </c>
      <c r="H2209" s="54" t="s">
        <v>5359</v>
      </c>
      <c r="I2209" s="54">
        <f t="shared" si="24"/>
        <v>20</v>
      </c>
      <c r="J2209" s="56"/>
      <c r="K2209" s="57"/>
      <c r="L2209" s="76"/>
      <c r="M2209" s="59"/>
      <c r="N2209" s="79">
        <v>632.0</v>
      </c>
      <c r="O2209" s="61">
        <v>682.0</v>
      </c>
      <c r="P2209" s="63">
        <v>736.5600000000001</v>
      </c>
      <c r="Q2209" s="63">
        <v>736.5600000000001</v>
      </c>
      <c r="R2209" s="64">
        <v>774.0</v>
      </c>
      <c r="S2209" s="111">
        <v>813.0</v>
      </c>
      <c r="T2209" s="65">
        <f t="shared" si="93"/>
        <v>130.08</v>
      </c>
      <c r="U2209" s="65">
        <f t="shared" si="94"/>
        <v>943.08</v>
      </c>
      <c r="V2209" s="66">
        <f t="shared" si="111"/>
        <v>0.0503875969</v>
      </c>
      <c r="W2209" s="67">
        <f t="shared" si="96"/>
        <v>772.35</v>
      </c>
      <c r="X2209" s="67">
        <f t="shared" si="112"/>
        <v>123.576</v>
      </c>
      <c r="Y2209" s="67">
        <f t="shared" si="113"/>
        <v>895.926</v>
      </c>
      <c r="Z2209" s="67">
        <f t="shared" si="99"/>
        <v>731.7</v>
      </c>
      <c r="AA2209" s="67">
        <f t="shared" si="114"/>
        <v>117.072</v>
      </c>
      <c r="AB2209" s="67">
        <f t="shared" si="115"/>
        <v>848.772</v>
      </c>
      <c r="AC2209" s="67">
        <f t="shared" si="102"/>
        <v>691.05</v>
      </c>
      <c r="AD2209" s="67">
        <f t="shared" si="116"/>
        <v>110.568</v>
      </c>
      <c r="AE2209" s="67">
        <f t="shared" si="117"/>
        <v>801.618</v>
      </c>
      <c r="AF2209" s="67">
        <f t="shared" si="105"/>
        <v>674.79</v>
      </c>
      <c r="AG2209" s="67">
        <f t="shared" si="118"/>
        <v>107.9664</v>
      </c>
      <c r="AH2209" s="67">
        <f t="shared" si="119"/>
        <v>782.7564</v>
      </c>
      <c r="AI2209" s="67">
        <f t="shared" si="108"/>
        <v>650.4</v>
      </c>
      <c r="AJ2209" s="68">
        <f t="shared" si="120"/>
        <v>104.064</v>
      </c>
      <c r="AK2209" s="68">
        <f t="shared" si="121"/>
        <v>754.464</v>
      </c>
      <c r="AL2209" s="70"/>
      <c r="AM2209" s="70"/>
      <c r="AN2209" s="71"/>
      <c r="AO2209" s="71"/>
      <c r="AP2209" s="71"/>
      <c r="AQ2209" s="71"/>
      <c r="AR2209" s="71"/>
      <c r="AS2209" s="71"/>
      <c r="AT2209" s="71"/>
      <c r="AU2209" s="71"/>
      <c r="AV2209" s="71"/>
      <c r="AW2209" s="71"/>
      <c r="AX2209" s="71"/>
      <c r="AY2209" s="71"/>
      <c r="AZ2209" s="71"/>
      <c r="BA2209" s="71"/>
      <c r="BB2209" s="71"/>
      <c r="BC2209" s="71"/>
      <c r="BD2209" s="71"/>
      <c r="BE2209" s="71"/>
      <c r="BF2209" s="71"/>
      <c r="BG2209" s="71"/>
      <c r="BH2209" s="71"/>
      <c r="BI2209" s="71"/>
      <c r="BJ2209" s="71"/>
      <c r="BK2209" s="71"/>
      <c r="BL2209" s="71"/>
      <c r="BM2209" s="71"/>
      <c r="BN2209" s="71"/>
      <c r="BO2209" s="71"/>
      <c r="BP2209" s="71"/>
      <c r="BQ2209" s="71"/>
      <c r="BR2209" s="71"/>
      <c r="BS2209" s="71"/>
      <c r="BT2209" s="71"/>
      <c r="BU2209" s="71"/>
      <c r="BV2209" s="71"/>
    </row>
    <row r="2210">
      <c r="A2210" s="53"/>
      <c r="B2210" s="53"/>
      <c r="C2210" s="53" t="s">
        <v>53</v>
      </c>
      <c r="D2210" s="53" t="s">
        <v>5360</v>
      </c>
      <c r="E2210" s="54" t="s">
        <v>38</v>
      </c>
      <c r="F2210" s="54" t="s">
        <v>42</v>
      </c>
      <c r="G2210" s="55" t="s">
        <v>5361</v>
      </c>
      <c r="H2210" s="54" t="s">
        <v>5362</v>
      </c>
      <c r="I2210" s="54">
        <f t="shared" si="24"/>
        <v>21</v>
      </c>
      <c r="J2210" s="56"/>
      <c r="K2210" s="57"/>
      <c r="L2210" s="76"/>
      <c r="M2210" s="59"/>
      <c r="N2210" s="79">
        <v>784.0</v>
      </c>
      <c r="O2210" s="61">
        <v>846.0</v>
      </c>
      <c r="P2210" s="63">
        <v>913.6800000000001</v>
      </c>
      <c r="Q2210" s="63">
        <v>913.6800000000001</v>
      </c>
      <c r="R2210" s="64">
        <v>960.0</v>
      </c>
      <c r="S2210" s="111">
        <v>1008.0</v>
      </c>
      <c r="T2210" s="65">
        <f t="shared" si="93"/>
        <v>161.28</v>
      </c>
      <c r="U2210" s="65">
        <f t="shared" si="94"/>
        <v>1169.28</v>
      </c>
      <c r="V2210" s="66">
        <f t="shared" si="111"/>
        <v>0.05</v>
      </c>
      <c r="W2210" s="67">
        <f t="shared" si="96"/>
        <v>957.6</v>
      </c>
      <c r="X2210" s="67">
        <f t="shared" si="112"/>
        <v>153.216</v>
      </c>
      <c r="Y2210" s="67">
        <f t="shared" si="113"/>
        <v>1110.816</v>
      </c>
      <c r="Z2210" s="67">
        <f t="shared" si="99"/>
        <v>907.2</v>
      </c>
      <c r="AA2210" s="67">
        <f t="shared" si="114"/>
        <v>145.152</v>
      </c>
      <c r="AB2210" s="67">
        <f t="shared" si="115"/>
        <v>1052.352</v>
      </c>
      <c r="AC2210" s="67">
        <f t="shared" si="102"/>
        <v>856.8</v>
      </c>
      <c r="AD2210" s="67">
        <f t="shared" si="116"/>
        <v>137.088</v>
      </c>
      <c r="AE2210" s="67">
        <f t="shared" si="117"/>
        <v>993.888</v>
      </c>
      <c r="AF2210" s="67">
        <f t="shared" si="105"/>
        <v>836.64</v>
      </c>
      <c r="AG2210" s="67">
        <f t="shared" si="118"/>
        <v>133.8624</v>
      </c>
      <c r="AH2210" s="67">
        <f t="shared" si="119"/>
        <v>970.5024</v>
      </c>
      <c r="AI2210" s="67">
        <f t="shared" si="108"/>
        <v>806.4</v>
      </c>
      <c r="AJ2210" s="68">
        <f t="shared" si="120"/>
        <v>129.024</v>
      </c>
      <c r="AK2210" s="68">
        <f t="shared" si="121"/>
        <v>935.424</v>
      </c>
      <c r="AL2210" s="70"/>
      <c r="AM2210" s="70"/>
      <c r="AN2210" s="71"/>
      <c r="AO2210" s="71"/>
      <c r="AP2210" s="71"/>
      <c r="AQ2210" s="71"/>
      <c r="AR2210" s="71"/>
      <c r="AS2210" s="71"/>
      <c r="AT2210" s="71"/>
      <c r="AU2210" s="71"/>
      <c r="AV2210" s="71"/>
      <c r="AW2210" s="71"/>
      <c r="AX2210" s="71"/>
      <c r="AY2210" s="71"/>
      <c r="AZ2210" s="71"/>
      <c r="BA2210" s="71"/>
      <c r="BB2210" s="71"/>
      <c r="BC2210" s="71"/>
      <c r="BD2210" s="71"/>
      <c r="BE2210" s="71"/>
      <c r="BF2210" s="71"/>
      <c r="BG2210" s="71"/>
      <c r="BH2210" s="71"/>
      <c r="BI2210" s="71"/>
      <c r="BJ2210" s="71"/>
      <c r="BK2210" s="71"/>
      <c r="BL2210" s="71"/>
      <c r="BM2210" s="71"/>
      <c r="BN2210" s="71"/>
      <c r="BO2210" s="71"/>
      <c r="BP2210" s="71"/>
      <c r="BQ2210" s="71"/>
      <c r="BR2210" s="71"/>
      <c r="BS2210" s="71"/>
      <c r="BT2210" s="71"/>
      <c r="BU2210" s="71"/>
      <c r="BV2210" s="71"/>
    </row>
    <row r="2211">
      <c r="A2211" s="53">
        <v>1.0</v>
      </c>
      <c r="B2211" s="53"/>
      <c r="C2211" s="73" t="s">
        <v>53</v>
      </c>
      <c r="D2211" s="74" t="s">
        <v>5363</v>
      </c>
      <c r="E2211" s="54" t="s">
        <v>38</v>
      </c>
      <c r="F2211" s="54" t="s">
        <v>42</v>
      </c>
      <c r="G2211" s="88" t="s">
        <v>5364</v>
      </c>
      <c r="H2211" s="54" t="s">
        <v>5365</v>
      </c>
      <c r="I2211" s="54">
        <f t="shared" si="24"/>
        <v>37</v>
      </c>
      <c r="J2211" s="56"/>
      <c r="K2211" s="57"/>
      <c r="L2211" s="87"/>
      <c r="M2211" s="59"/>
      <c r="N2211" s="60">
        <v>412.0</v>
      </c>
      <c r="O2211" s="61">
        <v>444.0</v>
      </c>
      <c r="P2211" s="62">
        <v>479.52000000000004</v>
      </c>
      <c r="Q2211" s="63">
        <v>479.52000000000004</v>
      </c>
      <c r="R2211" s="64">
        <v>535.0</v>
      </c>
      <c r="S2211" s="111">
        <v>562.0</v>
      </c>
      <c r="T2211" s="65">
        <f t="shared" si="93"/>
        <v>89.92</v>
      </c>
      <c r="U2211" s="65">
        <f t="shared" si="94"/>
        <v>651.92</v>
      </c>
      <c r="V2211" s="66">
        <f t="shared" si="111"/>
        <v>0.05046728972</v>
      </c>
      <c r="W2211" s="67">
        <f t="shared" si="96"/>
        <v>533.9</v>
      </c>
      <c r="X2211" s="67">
        <f t="shared" si="112"/>
        <v>85.424</v>
      </c>
      <c r="Y2211" s="67">
        <f t="shared" si="113"/>
        <v>619.324</v>
      </c>
      <c r="Z2211" s="67">
        <f t="shared" si="99"/>
        <v>505.8</v>
      </c>
      <c r="AA2211" s="67">
        <f t="shared" si="114"/>
        <v>80.928</v>
      </c>
      <c r="AB2211" s="67">
        <f t="shared" si="115"/>
        <v>586.728</v>
      </c>
      <c r="AC2211" s="67">
        <f t="shared" si="102"/>
        <v>477.7</v>
      </c>
      <c r="AD2211" s="67">
        <f t="shared" si="116"/>
        <v>76.432</v>
      </c>
      <c r="AE2211" s="67">
        <f t="shared" si="117"/>
        <v>554.132</v>
      </c>
      <c r="AF2211" s="67">
        <f t="shared" si="105"/>
        <v>466.46</v>
      </c>
      <c r="AG2211" s="67">
        <f t="shared" si="118"/>
        <v>74.6336</v>
      </c>
      <c r="AH2211" s="67">
        <f t="shared" si="119"/>
        <v>541.0936</v>
      </c>
      <c r="AI2211" s="67">
        <f t="shared" si="108"/>
        <v>449.6</v>
      </c>
      <c r="AJ2211" s="68">
        <f t="shared" si="120"/>
        <v>71.936</v>
      </c>
      <c r="AK2211" s="68">
        <f t="shared" si="121"/>
        <v>521.536</v>
      </c>
      <c r="AL2211" s="70"/>
      <c r="AM2211" s="70"/>
      <c r="AN2211" s="71"/>
      <c r="AO2211" s="71"/>
      <c r="AP2211" s="71"/>
      <c r="AQ2211" s="71"/>
      <c r="AR2211" s="71"/>
      <c r="AS2211" s="71"/>
      <c r="AT2211" s="71"/>
      <c r="AU2211" s="71"/>
      <c r="AV2211" s="71"/>
      <c r="AW2211" s="71"/>
      <c r="AX2211" s="71"/>
      <c r="AY2211" s="71"/>
      <c r="AZ2211" s="71"/>
      <c r="BA2211" s="71"/>
      <c r="BB2211" s="71"/>
      <c r="BC2211" s="71"/>
      <c r="BD2211" s="71"/>
      <c r="BE2211" s="71"/>
      <c r="BF2211" s="71"/>
      <c r="BG2211" s="71"/>
      <c r="BH2211" s="71"/>
      <c r="BI2211" s="71"/>
      <c r="BJ2211" s="71"/>
      <c r="BK2211" s="71"/>
      <c r="BL2211" s="71"/>
      <c r="BM2211" s="71"/>
      <c r="BN2211" s="71"/>
      <c r="BO2211" s="71"/>
      <c r="BP2211" s="71"/>
      <c r="BQ2211" s="71"/>
      <c r="BR2211" s="71"/>
      <c r="BS2211" s="71"/>
      <c r="BT2211" s="71"/>
      <c r="BU2211" s="71"/>
      <c r="BV2211" s="71"/>
    </row>
    <row r="2212">
      <c r="A2212" s="53">
        <v>1.0</v>
      </c>
      <c r="B2212" s="53"/>
      <c r="C2212" s="73" t="s">
        <v>53</v>
      </c>
      <c r="D2212" s="74" t="s">
        <v>5366</v>
      </c>
      <c r="E2212" s="54" t="s">
        <v>38</v>
      </c>
      <c r="F2212" s="54" t="s">
        <v>42</v>
      </c>
      <c r="G2212" s="88" t="s">
        <v>5367</v>
      </c>
      <c r="H2212" s="54" t="s">
        <v>5368</v>
      </c>
      <c r="I2212" s="54">
        <f t="shared" si="24"/>
        <v>38</v>
      </c>
      <c r="J2212" s="56"/>
      <c r="K2212" s="57"/>
      <c r="L2212" s="87"/>
      <c r="M2212" s="59"/>
      <c r="N2212" s="60">
        <v>423.0</v>
      </c>
      <c r="O2212" s="61">
        <v>456.0</v>
      </c>
      <c r="P2212" s="62">
        <v>492.48</v>
      </c>
      <c r="Q2212" s="63">
        <v>492.48</v>
      </c>
      <c r="R2212" s="64">
        <v>550.0</v>
      </c>
      <c r="S2212" s="111">
        <v>578.0</v>
      </c>
      <c r="T2212" s="65">
        <f t="shared" si="93"/>
        <v>92.48</v>
      </c>
      <c r="U2212" s="65">
        <f t="shared" si="94"/>
        <v>670.48</v>
      </c>
      <c r="V2212" s="66">
        <f t="shared" si="111"/>
        <v>0.05090909091</v>
      </c>
      <c r="W2212" s="67">
        <f t="shared" si="96"/>
        <v>549.1</v>
      </c>
      <c r="X2212" s="67">
        <f t="shared" si="112"/>
        <v>87.856</v>
      </c>
      <c r="Y2212" s="67">
        <f t="shared" si="113"/>
        <v>636.956</v>
      </c>
      <c r="Z2212" s="67">
        <f t="shared" si="99"/>
        <v>520.2</v>
      </c>
      <c r="AA2212" s="67">
        <f t="shared" si="114"/>
        <v>83.232</v>
      </c>
      <c r="AB2212" s="67">
        <f t="shared" si="115"/>
        <v>603.432</v>
      </c>
      <c r="AC2212" s="67">
        <f t="shared" si="102"/>
        <v>491.3</v>
      </c>
      <c r="AD2212" s="67">
        <f t="shared" si="116"/>
        <v>78.608</v>
      </c>
      <c r="AE2212" s="67">
        <f t="shared" si="117"/>
        <v>569.908</v>
      </c>
      <c r="AF2212" s="67">
        <f t="shared" si="105"/>
        <v>479.74</v>
      </c>
      <c r="AG2212" s="67">
        <f t="shared" si="118"/>
        <v>76.7584</v>
      </c>
      <c r="AH2212" s="67">
        <f t="shared" si="119"/>
        <v>556.4984</v>
      </c>
      <c r="AI2212" s="67">
        <f t="shared" si="108"/>
        <v>462.4</v>
      </c>
      <c r="AJ2212" s="68">
        <f t="shared" si="120"/>
        <v>73.984</v>
      </c>
      <c r="AK2212" s="68">
        <f t="shared" si="121"/>
        <v>536.384</v>
      </c>
      <c r="AL2212" s="70"/>
      <c r="AM2212" s="70"/>
      <c r="AN2212" s="71"/>
      <c r="AO2212" s="71"/>
      <c r="AP2212" s="71"/>
      <c r="AQ2212" s="71"/>
      <c r="AR2212" s="71"/>
      <c r="AS2212" s="71"/>
      <c r="AT2212" s="71"/>
      <c r="AU2212" s="71"/>
      <c r="AV2212" s="71"/>
      <c r="AW2212" s="71"/>
      <c r="AX2212" s="71"/>
      <c r="AY2212" s="71"/>
      <c r="AZ2212" s="71"/>
      <c r="BA2212" s="71"/>
      <c r="BB2212" s="71"/>
      <c r="BC2212" s="71"/>
      <c r="BD2212" s="71"/>
      <c r="BE2212" s="71"/>
      <c r="BF2212" s="71"/>
      <c r="BG2212" s="71"/>
      <c r="BH2212" s="71"/>
      <c r="BI2212" s="71"/>
      <c r="BJ2212" s="71"/>
      <c r="BK2212" s="71"/>
      <c r="BL2212" s="71"/>
      <c r="BM2212" s="71"/>
      <c r="BN2212" s="71"/>
      <c r="BO2212" s="71"/>
      <c r="BP2212" s="71"/>
      <c r="BQ2212" s="71"/>
      <c r="BR2212" s="71"/>
      <c r="BS2212" s="71"/>
      <c r="BT2212" s="71"/>
      <c r="BU2212" s="71"/>
      <c r="BV2212" s="71"/>
    </row>
    <row r="2213">
      <c r="A2213" s="53"/>
      <c r="B2213" s="53"/>
      <c r="C2213" s="73" t="s">
        <v>53</v>
      </c>
      <c r="D2213" s="53" t="s">
        <v>5369</v>
      </c>
      <c r="E2213" s="54" t="s">
        <v>38</v>
      </c>
      <c r="F2213" s="54" t="s">
        <v>42</v>
      </c>
      <c r="G2213" s="55" t="s">
        <v>5370</v>
      </c>
      <c r="H2213" s="54" t="s">
        <v>5371</v>
      </c>
      <c r="I2213" s="54">
        <f t="shared" si="24"/>
        <v>33</v>
      </c>
      <c r="J2213" s="56"/>
      <c r="K2213" s="57"/>
      <c r="L2213" s="76"/>
      <c r="M2213" s="59"/>
      <c r="N2213" s="60">
        <v>909.3000000000001</v>
      </c>
      <c r="O2213" s="61">
        <v>982.0</v>
      </c>
      <c r="P2213" s="62">
        <v>1060.5600000000002</v>
      </c>
      <c r="Q2213" s="63">
        <v>1060.5600000000002</v>
      </c>
      <c r="R2213" s="64">
        <v>1115.0</v>
      </c>
      <c r="S2213" s="111">
        <v>1171.0</v>
      </c>
      <c r="T2213" s="65">
        <f t="shared" si="93"/>
        <v>187.36</v>
      </c>
      <c r="U2213" s="65">
        <f t="shared" si="94"/>
        <v>1358.36</v>
      </c>
      <c r="V2213" s="66">
        <f t="shared" si="111"/>
        <v>0.05022421525</v>
      </c>
      <c r="W2213" s="67">
        <f t="shared" si="96"/>
        <v>1112.45</v>
      </c>
      <c r="X2213" s="67">
        <f t="shared" si="112"/>
        <v>177.992</v>
      </c>
      <c r="Y2213" s="67">
        <f t="shared" si="113"/>
        <v>1290.442</v>
      </c>
      <c r="Z2213" s="67">
        <f t="shared" si="99"/>
        <v>1053.9</v>
      </c>
      <c r="AA2213" s="67">
        <f t="shared" si="114"/>
        <v>168.624</v>
      </c>
      <c r="AB2213" s="67">
        <f t="shared" si="115"/>
        <v>1222.524</v>
      </c>
      <c r="AC2213" s="67">
        <f t="shared" si="102"/>
        <v>995.35</v>
      </c>
      <c r="AD2213" s="67">
        <f t="shared" si="116"/>
        <v>159.256</v>
      </c>
      <c r="AE2213" s="67">
        <f t="shared" si="117"/>
        <v>1154.606</v>
      </c>
      <c r="AF2213" s="67">
        <f t="shared" si="105"/>
        <v>971.93</v>
      </c>
      <c r="AG2213" s="67">
        <f t="shared" si="118"/>
        <v>155.5088</v>
      </c>
      <c r="AH2213" s="67">
        <f t="shared" si="119"/>
        <v>1127.4388</v>
      </c>
      <c r="AI2213" s="67">
        <f t="shared" si="108"/>
        <v>936.8</v>
      </c>
      <c r="AJ2213" s="68">
        <f t="shared" si="120"/>
        <v>149.888</v>
      </c>
      <c r="AK2213" s="68">
        <f t="shared" si="121"/>
        <v>1086.688</v>
      </c>
      <c r="AL2213" s="70"/>
      <c r="AM2213" s="70"/>
      <c r="AN2213" s="71"/>
      <c r="AO2213" s="71"/>
      <c r="AP2213" s="71"/>
      <c r="AQ2213" s="71"/>
      <c r="AR2213" s="71"/>
      <c r="AS2213" s="71"/>
      <c r="AT2213" s="71"/>
      <c r="AU2213" s="71"/>
      <c r="AV2213" s="71"/>
      <c r="AW2213" s="71"/>
      <c r="AX2213" s="71"/>
      <c r="AY2213" s="71"/>
      <c r="AZ2213" s="71"/>
      <c r="BA2213" s="71"/>
      <c r="BB2213" s="71"/>
      <c r="BC2213" s="71"/>
      <c r="BD2213" s="71"/>
      <c r="BE2213" s="71"/>
      <c r="BF2213" s="71"/>
      <c r="BG2213" s="71"/>
      <c r="BH2213" s="71"/>
      <c r="BI2213" s="71"/>
      <c r="BJ2213" s="71"/>
      <c r="BK2213" s="71"/>
      <c r="BL2213" s="71"/>
      <c r="BM2213" s="71"/>
      <c r="BN2213" s="71"/>
      <c r="BO2213" s="71"/>
      <c r="BP2213" s="71"/>
      <c r="BQ2213" s="71"/>
      <c r="BR2213" s="71"/>
      <c r="BS2213" s="71"/>
      <c r="BT2213" s="71"/>
      <c r="BU2213" s="71"/>
      <c r="BV2213" s="71"/>
    </row>
    <row r="2214">
      <c r="A2214" s="53"/>
      <c r="B2214" s="53"/>
      <c r="C2214" s="53" t="s">
        <v>36</v>
      </c>
      <c r="D2214" s="85" t="s">
        <v>5372</v>
      </c>
      <c r="E2214" s="54" t="s">
        <v>38</v>
      </c>
      <c r="F2214" s="55" t="s">
        <v>39</v>
      </c>
      <c r="G2214" s="86" t="s">
        <v>5373</v>
      </c>
      <c r="H2214" s="55"/>
      <c r="I2214" s="54">
        <f t="shared" si="24"/>
        <v>0</v>
      </c>
      <c r="J2214" s="56"/>
      <c r="K2214" s="57"/>
      <c r="L2214" s="76"/>
      <c r="M2214" s="59"/>
      <c r="N2214" s="60"/>
      <c r="O2214" s="61">
        <v>2016.0</v>
      </c>
      <c r="P2214" s="62">
        <v>2177.28</v>
      </c>
      <c r="Q2214" s="63">
        <v>2177.28</v>
      </c>
      <c r="R2214" s="64">
        <v>2286.0</v>
      </c>
      <c r="S2214" s="107">
        <v>2400.0</v>
      </c>
      <c r="T2214" s="65">
        <f t="shared" si="93"/>
        <v>384</v>
      </c>
      <c r="U2214" s="65">
        <f t="shared" si="94"/>
        <v>2784</v>
      </c>
      <c r="V2214" s="66">
        <f t="shared" si="111"/>
        <v>0.0498687664</v>
      </c>
      <c r="W2214" s="67">
        <f t="shared" si="96"/>
        <v>2280</v>
      </c>
      <c r="X2214" s="67">
        <f t="shared" si="112"/>
        <v>364.8</v>
      </c>
      <c r="Y2214" s="67">
        <f t="shared" si="113"/>
        <v>2644.8</v>
      </c>
      <c r="Z2214" s="67">
        <f t="shared" si="99"/>
        <v>2160</v>
      </c>
      <c r="AA2214" s="67">
        <f t="shared" si="114"/>
        <v>345.6</v>
      </c>
      <c r="AB2214" s="67">
        <f t="shared" si="115"/>
        <v>2505.6</v>
      </c>
      <c r="AC2214" s="67">
        <f t="shared" si="102"/>
        <v>2040</v>
      </c>
      <c r="AD2214" s="67">
        <f t="shared" si="116"/>
        <v>326.4</v>
      </c>
      <c r="AE2214" s="67">
        <f t="shared" si="117"/>
        <v>2366.4</v>
      </c>
      <c r="AF2214" s="67">
        <f t="shared" si="105"/>
        <v>1992</v>
      </c>
      <c r="AG2214" s="67">
        <f t="shared" si="118"/>
        <v>318.72</v>
      </c>
      <c r="AH2214" s="67">
        <f t="shared" si="119"/>
        <v>2310.72</v>
      </c>
      <c r="AI2214" s="67">
        <f t="shared" si="108"/>
        <v>1920</v>
      </c>
      <c r="AJ2214" s="68">
        <f t="shared" si="120"/>
        <v>307.2</v>
      </c>
      <c r="AK2214" s="68">
        <f t="shared" si="121"/>
        <v>2227.2</v>
      </c>
      <c r="AL2214" s="70"/>
      <c r="AM2214" s="70"/>
      <c r="AN2214" s="71"/>
      <c r="AO2214" s="71"/>
      <c r="AP2214" s="71"/>
      <c r="AQ2214" s="71"/>
      <c r="AR2214" s="71"/>
      <c r="AS2214" s="71"/>
      <c r="AT2214" s="71"/>
      <c r="AU2214" s="71"/>
      <c r="AV2214" s="71"/>
      <c r="AW2214" s="71"/>
      <c r="AX2214" s="71"/>
      <c r="AY2214" s="71"/>
      <c r="AZ2214" s="71"/>
      <c r="BA2214" s="71"/>
      <c r="BB2214" s="71"/>
      <c r="BC2214" s="71"/>
      <c r="BD2214" s="71"/>
      <c r="BE2214" s="71"/>
      <c r="BF2214" s="71"/>
      <c r="BG2214" s="71"/>
      <c r="BH2214" s="71"/>
      <c r="BI2214" s="71"/>
      <c r="BJ2214" s="71"/>
      <c r="BK2214" s="71"/>
      <c r="BL2214" s="71"/>
      <c r="BM2214" s="71"/>
      <c r="BN2214" s="71"/>
      <c r="BO2214" s="71"/>
      <c r="BP2214" s="71"/>
      <c r="BQ2214" s="71"/>
      <c r="BR2214" s="71"/>
      <c r="BS2214" s="71"/>
      <c r="BT2214" s="71"/>
      <c r="BU2214" s="71"/>
      <c r="BV2214" s="71"/>
    </row>
    <row r="2215">
      <c r="A2215" s="53"/>
      <c r="B2215" s="53"/>
      <c r="C2215" s="73" t="s">
        <v>53</v>
      </c>
      <c r="D2215" s="53" t="s">
        <v>5374</v>
      </c>
      <c r="E2215" s="54" t="s">
        <v>38</v>
      </c>
      <c r="F2215" s="54" t="s">
        <v>42</v>
      </c>
      <c r="G2215" s="130" t="s">
        <v>5375</v>
      </c>
      <c r="H2215" s="54" t="s">
        <v>5376</v>
      </c>
      <c r="I2215" s="54">
        <f t="shared" si="24"/>
        <v>23</v>
      </c>
      <c r="J2215" s="56"/>
      <c r="K2215" s="57"/>
      <c r="L2215" s="76"/>
      <c r="M2215" s="59"/>
      <c r="N2215" s="60">
        <v>945.0</v>
      </c>
      <c r="O2215" s="129">
        <v>1020.0</v>
      </c>
      <c r="P2215" s="62">
        <v>1101.6000000000001</v>
      </c>
      <c r="Q2215" s="63">
        <v>1101.6000000000001</v>
      </c>
      <c r="R2215" s="64">
        <v>1158.0</v>
      </c>
      <c r="S2215" s="111">
        <v>1216.0</v>
      </c>
      <c r="T2215" s="65">
        <f t="shared" si="93"/>
        <v>194.56</v>
      </c>
      <c r="U2215" s="65">
        <f t="shared" si="94"/>
        <v>1410.56</v>
      </c>
      <c r="V2215" s="66">
        <f t="shared" si="111"/>
        <v>0.05008635579</v>
      </c>
      <c r="W2215" s="67">
        <f t="shared" si="96"/>
        <v>1155.2</v>
      </c>
      <c r="X2215" s="67">
        <f t="shared" si="112"/>
        <v>184.832</v>
      </c>
      <c r="Y2215" s="67">
        <f t="shared" si="113"/>
        <v>1340.032</v>
      </c>
      <c r="Z2215" s="67">
        <f t="shared" si="99"/>
        <v>1094.4</v>
      </c>
      <c r="AA2215" s="67">
        <f t="shared" si="114"/>
        <v>175.104</v>
      </c>
      <c r="AB2215" s="67">
        <f t="shared" si="115"/>
        <v>1269.504</v>
      </c>
      <c r="AC2215" s="67">
        <f t="shared" si="102"/>
        <v>1033.6</v>
      </c>
      <c r="AD2215" s="67">
        <f t="shared" si="116"/>
        <v>165.376</v>
      </c>
      <c r="AE2215" s="67">
        <f t="shared" si="117"/>
        <v>1198.976</v>
      </c>
      <c r="AF2215" s="67">
        <f t="shared" si="105"/>
        <v>1009.28</v>
      </c>
      <c r="AG2215" s="67">
        <f t="shared" si="118"/>
        <v>161.4848</v>
      </c>
      <c r="AH2215" s="67">
        <f t="shared" si="119"/>
        <v>1170.7648</v>
      </c>
      <c r="AI2215" s="67">
        <f t="shared" si="108"/>
        <v>972.8</v>
      </c>
      <c r="AJ2215" s="68">
        <f t="shared" si="120"/>
        <v>155.648</v>
      </c>
      <c r="AK2215" s="68">
        <f t="shared" si="121"/>
        <v>1128.448</v>
      </c>
      <c r="AL2215" s="70"/>
      <c r="AM2215" s="70"/>
      <c r="AN2215" s="71"/>
      <c r="AO2215" s="71"/>
      <c r="AP2215" s="71"/>
      <c r="AQ2215" s="71"/>
      <c r="AR2215" s="71"/>
      <c r="AS2215" s="71"/>
      <c r="AT2215" s="71"/>
      <c r="AU2215" s="71"/>
      <c r="AV2215" s="71"/>
      <c r="AW2215" s="71"/>
      <c r="AX2215" s="71"/>
      <c r="AY2215" s="71"/>
      <c r="AZ2215" s="71"/>
      <c r="BA2215" s="71"/>
      <c r="BB2215" s="71"/>
      <c r="BC2215" s="71"/>
      <c r="BD2215" s="71"/>
      <c r="BE2215" s="71"/>
      <c r="BF2215" s="71"/>
      <c r="BG2215" s="71"/>
      <c r="BH2215" s="71"/>
      <c r="BI2215" s="71"/>
      <c r="BJ2215" s="71"/>
      <c r="BK2215" s="71"/>
      <c r="BL2215" s="71"/>
      <c r="BM2215" s="71"/>
      <c r="BN2215" s="71"/>
      <c r="BO2215" s="71"/>
      <c r="BP2215" s="71"/>
      <c r="BQ2215" s="71"/>
      <c r="BR2215" s="71"/>
      <c r="BS2215" s="71"/>
      <c r="BT2215" s="71"/>
      <c r="BU2215" s="71"/>
      <c r="BV2215" s="71"/>
    </row>
    <row r="2216">
      <c r="A2216" s="53"/>
      <c r="B2216" s="53"/>
      <c r="C2216" s="73" t="s">
        <v>53</v>
      </c>
      <c r="D2216" s="74" t="s">
        <v>5377</v>
      </c>
      <c r="E2216" s="54" t="s">
        <v>38</v>
      </c>
      <c r="F2216" s="54" t="s">
        <v>42</v>
      </c>
      <c r="G2216" s="88" t="s">
        <v>5378</v>
      </c>
      <c r="H2216" s="54" t="s">
        <v>5379</v>
      </c>
      <c r="I2216" s="54">
        <f t="shared" si="24"/>
        <v>40</v>
      </c>
      <c r="J2216" s="56"/>
      <c r="K2216" s="57"/>
      <c r="L2216" s="76" t="s">
        <v>661</v>
      </c>
      <c r="M2216" s="59"/>
      <c r="N2216" s="60">
        <v>633.0</v>
      </c>
      <c r="O2216" s="61">
        <v>683.0</v>
      </c>
      <c r="P2216" s="62">
        <v>737.6400000000001</v>
      </c>
      <c r="Q2216" s="63">
        <v>737.6400000000001</v>
      </c>
      <c r="R2216" s="64">
        <v>822.0</v>
      </c>
      <c r="S2216" s="111">
        <v>863.0</v>
      </c>
      <c r="T2216" s="65">
        <f t="shared" si="93"/>
        <v>138.08</v>
      </c>
      <c r="U2216" s="65">
        <f t="shared" si="94"/>
        <v>1001.08</v>
      </c>
      <c r="V2216" s="66">
        <f t="shared" si="111"/>
        <v>0.0498783455</v>
      </c>
      <c r="W2216" s="67">
        <f t="shared" si="96"/>
        <v>819.85</v>
      </c>
      <c r="X2216" s="67">
        <f t="shared" si="112"/>
        <v>131.176</v>
      </c>
      <c r="Y2216" s="67">
        <f t="shared" si="113"/>
        <v>951.026</v>
      </c>
      <c r="Z2216" s="67">
        <f t="shared" si="99"/>
        <v>776.7</v>
      </c>
      <c r="AA2216" s="67">
        <f t="shared" si="114"/>
        <v>124.272</v>
      </c>
      <c r="AB2216" s="67">
        <f t="shared" si="115"/>
        <v>900.972</v>
      </c>
      <c r="AC2216" s="67">
        <f t="shared" si="102"/>
        <v>733.55</v>
      </c>
      <c r="AD2216" s="67">
        <f t="shared" si="116"/>
        <v>117.368</v>
      </c>
      <c r="AE2216" s="67">
        <f t="shared" si="117"/>
        <v>850.918</v>
      </c>
      <c r="AF2216" s="67">
        <f t="shared" si="105"/>
        <v>716.29</v>
      </c>
      <c r="AG2216" s="67">
        <f t="shared" si="118"/>
        <v>114.6064</v>
      </c>
      <c r="AH2216" s="67">
        <f t="shared" si="119"/>
        <v>830.8964</v>
      </c>
      <c r="AI2216" s="67">
        <f t="shared" si="108"/>
        <v>690.4</v>
      </c>
      <c r="AJ2216" s="68">
        <f t="shared" si="120"/>
        <v>110.464</v>
      </c>
      <c r="AK2216" s="68">
        <f t="shared" si="121"/>
        <v>800.864</v>
      </c>
      <c r="AL2216" s="70"/>
      <c r="AM2216" s="70"/>
      <c r="AN2216" s="71"/>
      <c r="AO2216" s="71"/>
      <c r="AP2216" s="71"/>
      <c r="AQ2216" s="71"/>
      <c r="AR2216" s="71"/>
      <c r="AS2216" s="71"/>
      <c r="AT2216" s="71"/>
      <c r="AU2216" s="71"/>
      <c r="AV2216" s="71"/>
      <c r="AW2216" s="71"/>
      <c r="AX2216" s="71"/>
      <c r="AY2216" s="71"/>
      <c r="AZ2216" s="71"/>
      <c r="BA2216" s="71"/>
      <c r="BB2216" s="71"/>
      <c r="BC2216" s="71"/>
      <c r="BD2216" s="71"/>
      <c r="BE2216" s="71"/>
      <c r="BF2216" s="71"/>
      <c r="BG2216" s="71"/>
      <c r="BH2216" s="71"/>
      <c r="BI2216" s="71"/>
      <c r="BJ2216" s="71"/>
      <c r="BK2216" s="71"/>
      <c r="BL2216" s="71"/>
      <c r="BM2216" s="71"/>
      <c r="BN2216" s="71"/>
      <c r="BO2216" s="71"/>
      <c r="BP2216" s="71"/>
      <c r="BQ2216" s="71"/>
      <c r="BR2216" s="71"/>
      <c r="BS2216" s="71"/>
      <c r="BT2216" s="71"/>
      <c r="BU2216" s="71"/>
      <c r="BV2216" s="71"/>
    </row>
    <row r="2217">
      <c r="A2217" s="53"/>
      <c r="B2217" s="53"/>
      <c r="C2217" s="73" t="s">
        <v>53</v>
      </c>
      <c r="D2217" s="74" t="s">
        <v>5380</v>
      </c>
      <c r="E2217" s="54" t="s">
        <v>38</v>
      </c>
      <c r="F2217" s="54" t="s">
        <v>42</v>
      </c>
      <c r="G2217" s="88" t="s">
        <v>5381</v>
      </c>
      <c r="H2217" s="54" t="s">
        <v>5382</v>
      </c>
      <c r="I2217" s="54">
        <f t="shared" si="24"/>
        <v>39</v>
      </c>
      <c r="J2217" s="56"/>
      <c r="K2217" s="57"/>
      <c r="L2217" s="76" t="s">
        <v>661</v>
      </c>
      <c r="M2217" s="59"/>
      <c r="N2217" s="60">
        <v>633.0</v>
      </c>
      <c r="O2217" s="61">
        <v>683.0</v>
      </c>
      <c r="P2217" s="62">
        <v>737.6400000000001</v>
      </c>
      <c r="Q2217" s="63">
        <v>737.6400000000001</v>
      </c>
      <c r="R2217" s="64">
        <v>822.0</v>
      </c>
      <c r="S2217" s="111">
        <v>863.0</v>
      </c>
      <c r="T2217" s="65">
        <f t="shared" si="93"/>
        <v>138.08</v>
      </c>
      <c r="U2217" s="65">
        <f t="shared" si="94"/>
        <v>1001.08</v>
      </c>
      <c r="V2217" s="66">
        <f t="shared" si="111"/>
        <v>0.0498783455</v>
      </c>
      <c r="W2217" s="67">
        <f t="shared" si="96"/>
        <v>819.85</v>
      </c>
      <c r="X2217" s="67">
        <f t="shared" si="112"/>
        <v>131.176</v>
      </c>
      <c r="Y2217" s="67">
        <f t="shared" si="113"/>
        <v>951.026</v>
      </c>
      <c r="Z2217" s="67">
        <f t="shared" si="99"/>
        <v>776.7</v>
      </c>
      <c r="AA2217" s="67">
        <f t="shared" si="114"/>
        <v>124.272</v>
      </c>
      <c r="AB2217" s="67">
        <f t="shared" si="115"/>
        <v>900.972</v>
      </c>
      <c r="AC2217" s="67">
        <f t="shared" si="102"/>
        <v>733.55</v>
      </c>
      <c r="AD2217" s="67">
        <f t="shared" si="116"/>
        <v>117.368</v>
      </c>
      <c r="AE2217" s="67">
        <f t="shared" si="117"/>
        <v>850.918</v>
      </c>
      <c r="AF2217" s="67">
        <f t="shared" si="105"/>
        <v>716.29</v>
      </c>
      <c r="AG2217" s="67">
        <f t="shared" si="118"/>
        <v>114.6064</v>
      </c>
      <c r="AH2217" s="67">
        <f t="shared" si="119"/>
        <v>830.8964</v>
      </c>
      <c r="AI2217" s="67">
        <f t="shared" si="108"/>
        <v>690.4</v>
      </c>
      <c r="AJ2217" s="68">
        <f t="shared" si="120"/>
        <v>110.464</v>
      </c>
      <c r="AK2217" s="68">
        <f t="shared" si="121"/>
        <v>800.864</v>
      </c>
      <c r="AL2217" s="70"/>
      <c r="AM2217" s="70"/>
      <c r="AN2217" s="71"/>
      <c r="AO2217" s="71"/>
      <c r="AP2217" s="71"/>
      <c r="AQ2217" s="71"/>
      <c r="AR2217" s="71"/>
      <c r="AS2217" s="71"/>
      <c r="AT2217" s="71"/>
      <c r="AU2217" s="71"/>
      <c r="AV2217" s="71"/>
      <c r="AW2217" s="71"/>
      <c r="AX2217" s="71"/>
      <c r="AY2217" s="71"/>
      <c r="AZ2217" s="71"/>
      <c r="BA2217" s="71"/>
      <c r="BB2217" s="71"/>
      <c r="BC2217" s="71"/>
      <c r="BD2217" s="71"/>
      <c r="BE2217" s="71"/>
      <c r="BF2217" s="71"/>
      <c r="BG2217" s="71"/>
      <c r="BH2217" s="71"/>
      <c r="BI2217" s="71"/>
      <c r="BJ2217" s="71"/>
      <c r="BK2217" s="71"/>
      <c r="BL2217" s="71"/>
      <c r="BM2217" s="71"/>
      <c r="BN2217" s="71"/>
      <c r="BO2217" s="71"/>
      <c r="BP2217" s="71"/>
      <c r="BQ2217" s="71"/>
      <c r="BR2217" s="71"/>
      <c r="BS2217" s="71"/>
      <c r="BT2217" s="71"/>
      <c r="BU2217" s="71"/>
      <c r="BV2217" s="71"/>
    </row>
    <row r="2218">
      <c r="A2218" s="53"/>
      <c r="B2218" s="53">
        <v>0.0</v>
      </c>
      <c r="C2218" s="73" t="s">
        <v>53</v>
      </c>
      <c r="D2218" s="53" t="s">
        <v>5383</v>
      </c>
      <c r="E2218" s="54" t="s">
        <v>38</v>
      </c>
      <c r="F2218" s="54" t="s">
        <v>42</v>
      </c>
      <c r="G2218" s="193" t="s">
        <v>5384</v>
      </c>
      <c r="H2218" s="193" t="s">
        <v>5385</v>
      </c>
      <c r="I2218" s="54">
        <f t="shared" si="24"/>
        <v>40</v>
      </c>
      <c r="J2218" s="56"/>
      <c r="K2218" s="57"/>
      <c r="L2218" s="76" t="s">
        <v>661</v>
      </c>
      <c r="M2218" s="59"/>
      <c r="N2218" s="79"/>
      <c r="O2218" s="61">
        <v>6135.0</v>
      </c>
      <c r="P2218" s="62">
        <v>6625.8</v>
      </c>
      <c r="Q2218" s="63">
        <v>6625.8</v>
      </c>
      <c r="R2218" s="64">
        <v>6958.0</v>
      </c>
      <c r="S2218" s="111">
        <v>7306.0</v>
      </c>
      <c r="T2218" s="65">
        <f t="shared" si="93"/>
        <v>1168.96</v>
      </c>
      <c r="U2218" s="65">
        <f t="shared" si="94"/>
        <v>8474.96</v>
      </c>
      <c r="V2218" s="66">
        <f t="shared" si="111"/>
        <v>0.05001437195</v>
      </c>
      <c r="W2218" s="67" t="b">
        <f t="shared" si="96"/>
        <v>0</v>
      </c>
      <c r="X2218" s="67">
        <f t="shared" si="112"/>
        <v>0</v>
      </c>
      <c r="Y2218" s="67">
        <f t="shared" si="113"/>
        <v>0</v>
      </c>
      <c r="Z2218" s="67" t="b">
        <f t="shared" si="99"/>
        <v>0</v>
      </c>
      <c r="AA2218" s="67">
        <f t="shared" si="114"/>
        <v>0</v>
      </c>
      <c r="AB2218" s="67">
        <f t="shared" si="115"/>
        <v>0</v>
      </c>
      <c r="AC2218" s="67" t="b">
        <f t="shared" si="102"/>
        <v>0</v>
      </c>
      <c r="AD2218" s="67">
        <f t="shared" si="116"/>
        <v>0</v>
      </c>
      <c r="AE2218" s="67">
        <f t="shared" si="117"/>
        <v>0</v>
      </c>
      <c r="AF2218" s="67" t="b">
        <f t="shared" si="105"/>
        <v>0</v>
      </c>
      <c r="AG2218" s="67">
        <f t="shared" si="118"/>
        <v>0</v>
      </c>
      <c r="AH2218" s="67">
        <f t="shared" si="119"/>
        <v>0</v>
      </c>
      <c r="AI2218" s="67" t="b">
        <f t="shared" si="108"/>
        <v>0</v>
      </c>
      <c r="AJ2218" s="68">
        <f t="shared" si="120"/>
        <v>0</v>
      </c>
      <c r="AK2218" s="68">
        <f t="shared" si="121"/>
        <v>0</v>
      </c>
      <c r="AL2218" s="70"/>
      <c r="AM2218" s="70"/>
      <c r="AN2218" s="71"/>
      <c r="AO2218" s="71"/>
      <c r="AP2218" s="71"/>
      <c r="AQ2218" s="71"/>
      <c r="AR2218" s="71"/>
      <c r="AS2218" s="71"/>
      <c r="AT2218" s="71"/>
      <c r="AU2218" s="71"/>
      <c r="AV2218" s="71"/>
      <c r="AW2218" s="71"/>
      <c r="AX2218" s="71"/>
      <c r="AY2218" s="71"/>
      <c r="AZ2218" s="71"/>
      <c r="BA2218" s="71"/>
      <c r="BB2218" s="71"/>
      <c r="BC2218" s="71"/>
      <c r="BD2218" s="71"/>
      <c r="BE2218" s="71"/>
      <c r="BF2218" s="71"/>
      <c r="BG2218" s="71"/>
      <c r="BH2218" s="71"/>
      <c r="BI2218" s="71"/>
      <c r="BJ2218" s="71"/>
      <c r="BK2218" s="71"/>
      <c r="BL2218" s="71"/>
      <c r="BM2218" s="71"/>
      <c r="BN2218" s="71"/>
      <c r="BO2218" s="71"/>
      <c r="BP2218" s="71"/>
      <c r="BQ2218" s="71"/>
      <c r="BR2218" s="71"/>
      <c r="BS2218" s="71"/>
      <c r="BT2218" s="71"/>
      <c r="BU2218" s="71"/>
      <c r="BV2218" s="71"/>
    </row>
    <row r="2219">
      <c r="A2219" s="53"/>
      <c r="B2219" s="53">
        <v>0.0</v>
      </c>
      <c r="C2219" s="73" t="s">
        <v>53</v>
      </c>
      <c r="D2219" s="53" t="s">
        <v>5386</v>
      </c>
      <c r="E2219" s="54" t="s">
        <v>38</v>
      </c>
      <c r="F2219" s="54" t="s">
        <v>42</v>
      </c>
      <c r="G2219" s="193" t="s">
        <v>5387</v>
      </c>
      <c r="H2219" s="193" t="s">
        <v>5388</v>
      </c>
      <c r="I2219" s="54">
        <f t="shared" si="24"/>
        <v>40</v>
      </c>
      <c r="J2219" s="56"/>
      <c r="K2219" s="57"/>
      <c r="L2219" s="76" t="s">
        <v>661</v>
      </c>
      <c r="M2219" s="59"/>
      <c r="N2219" s="60"/>
      <c r="O2219" s="61">
        <v>3785.0</v>
      </c>
      <c r="P2219" s="62">
        <v>4087.8</v>
      </c>
      <c r="Q2219" s="63">
        <v>4087.8</v>
      </c>
      <c r="R2219" s="64">
        <v>4293.0</v>
      </c>
      <c r="S2219" s="111">
        <v>4508.0</v>
      </c>
      <c r="T2219" s="65">
        <f t="shared" si="93"/>
        <v>721.28</v>
      </c>
      <c r="U2219" s="65">
        <f t="shared" si="94"/>
        <v>5229.28</v>
      </c>
      <c r="V2219" s="66">
        <f t="shared" si="111"/>
        <v>0.05008152807</v>
      </c>
      <c r="W2219" s="67" t="b">
        <f t="shared" si="96"/>
        <v>0</v>
      </c>
      <c r="X2219" s="67">
        <f t="shared" si="112"/>
        <v>0</v>
      </c>
      <c r="Y2219" s="67">
        <f t="shared" si="113"/>
        <v>0</v>
      </c>
      <c r="Z2219" s="67" t="b">
        <f t="shared" si="99"/>
        <v>0</v>
      </c>
      <c r="AA2219" s="67">
        <f t="shared" si="114"/>
        <v>0</v>
      </c>
      <c r="AB2219" s="67">
        <f t="shared" si="115"/>
        <v>0</v>
      </c>
      <c r="AC2219" s="67" t="b">
        <f t="shared" si="102"/>
        <v>0</v>
      </c>
      <c r="AD2219" s="67">
        <f t="shared" si="116"/>
        <v>0</v>
      </c>
      <c r="AE2219" s="67">
        <f t="shared" si="117"/>
        <v>0</v>
      </c>
      <c r="AF2219" s="67" t="b">
        <f t="shared" si="105"/>
        <v>0</v>
      </c>
      <c r="AG2219" s="67">
        <f t="shared" si="118"/>
        <v>0</v>
      </c>
      <c r="AH2219" s="67">
        <f t="shared" si="119"/>
        <v>0</v>
      </c>
      <c r="AI2219" s="67" t="b">
        <f t="shared" si="108"/>
        <v>0</v>
      </c>
      <c r="AJ2219" s="68">
        <f t="shared" si="120"/>
        <v>0</v>
      </c>
      <c r="AK2219" s="68">
        <f t="shared" si="121"/>
        <v>0</v>
      </c>
      <c r="AL2219" s="70"/>
      <c r="AM2219" s="70"/>
      <c r="AN2219" s="71"/>
      <c r="AO2219" s="71"/>
      <c r="AP2219" s="71"/>
      <c r="AQ2219" s="71"/>
      <c r="AR2219" s="71"/>
      <c r="AS2219" s="71"/>
      <c r="AT2219" s="71"/>
      <c r="AU2219" s="71"/>
      <c r="AV2219" s="71"/>
      <c r="AW2219" s="71"/>
      <c r="AX2219" s="71"/>
      <c r="AY2219" s="71"/>
      <c r="AZ2219" s="71"/>
      <c r="BA2219" s="71"/>
      <c r="BB2219" s="71"/>
      <c r="BC2219" s="71"/>
      <c r="BD2219" s="71"/>
      <c r="BE2219" s="71"/>
      <c r="BF2219" s="71"/>
      <c r="BG2219" s="71"/>
      <c r="BH2219" s="71"/>
      <c r="BI2219" s="71"/>
      <c r="BJ2219" s="71"/>
      <c r="BK2219" s="71"/>
      <c r="BL2219" s="71"/>
      <c r="BM2219" s="71"/>
      <c r="BN2219" s="71"/>
      <c r="BO2219" s="71"/>
      <c r="BP2219" s="71"/>
      <c r="BQ2219" s="71"/>
      <c r="BR2219" s="71"/>
      <c r="BS2219" s="71"/>
      <c r="BT2219" s="71"/>
      <c r="BU2219" s="71"/>
      <c r="BV2219" s="71"/>
    </row>
    <row r="2220">
      <c r="A2220" s="53"/>
      <c r="B2220" s="53"/>
      <c r="C2220" s="120" t="s">
        <v>603</v>
      </c>
      <c r="D2220" s="128" t="s">
        <v>5389</v>
      </c>
      <c r="E2220" s="54" t="s">
        <v>38</v>
      </c>
      <c r="F2220" s="54" t="s">
        <v>42</v>
      </c>
      <c r="G2220" s="194" t="s">
        <v>5390</v>
      </c>
      <c r="H2220" s="195" t="s">
        <v>5391</v>
      </c>
      <c r="I2220" s="54">
        <f t="shared" si="24"/>
        <v>30</v>
      </c>
      <c r="J2220" s="56"/>
      <c r="K2220" s="57"/>
      <c r="L2220" s="76" t="s">
        <v>661</v>
      </c>
      <c r="M2220" s="59"/>
      <c r="N2220" s="60"/>
      <c r="O2220" s="129">
        <v>5375.0</v>
      </c>
      <c r="P2220" s="62">
        <v>5805.0</v>
      </c>
      <c r="Q2220" s="63">
        <v>5805.0</v>
      </c>
      <c r="R2220" s="64">
        <v>6096.0</v>
      </c>
      <c r="S2220" s="111">
        <v>6401.0</v>
      </c>
      <c r="T2220" s="65">
        <f t="shared" si="93"/>
        <v>1024.16</v>
      </c>
      <c r="U2220" s="65">
        <f t="shared" si="94"/>
        <v>7425.16</v>
      </c>
      <c r="V2220" s="66">
        <f t="shared" si="111"/>
        <v>0.0500328084</v>
      </c>
      <c r="W2220" s="67">
        <f t="shared" si="96"/>
        <v>6080.95</v>
      </c>
      <c r="X2220" s="67">
        <f t="shared" si="112"/>
        <v>972.952</v>
      </c>
      <c r="Y2220" s="67">
        <f t="shared" si="113"/>
        <v>7053.902</v>
      </c>
      <c r="Z2220" s="67">
        <f t="shared" si="99"/>
        <v>5760.9</v>
      </c>
      <c r="AA2220" s="67">
        <f t="shared" si="114"/>
        <v>921.744</v>
      </c>
      <c r="AB2220" s="67">
        <f t="shared" si="115"/>
        <v>6682.644</v>
      </c>
      <c r="AC2220" s="67">
        <f t="shared" si="102"/>
        <v>5440.85</v>
      </c>
      <c r="AD2220" s="67">
        <f t="shared" si="116"/>
        <v>870.536</v>
      </c>
      <c r="AE2220" s="67">
        <f t="shared" si="117"/>
        <v>6311.386</v>
      </c>
      <c r="AF2220" s="67">
        <f t="shared" si="105"/>
        <v>5312.83</v>
      </c>
      <c r="AG2220" s="67">
        <f t="shared" si="118"/>
        <v>850.0528</v>
      </c>
      <c r="AH2220" s="67">
        <f t="shared" si="119"/>
        <v>6162.8828</v>
      </c>
      <c r="AI2220" s="67">
        <f t="shared" si="108"/>
        <v>5120.8</v>
      </c>
      <c r="AJ2220" s="68">
        <f t="shared" si="120"/>
        <v>819.328</v>
      </c>
      <c r="AK2220" s="68">
        <f t="shared" si="121"/>
        <v>5940.128</v>
      </c>
      <c r="AL2220" s="70"/>
      <c r="AM2220" s="70"/>
      <c r="AN2220" s="71"/>
      <c r="AO2220" s="71"/>
      <c r="AP2220" s="71"/>
      <c r="AQ2220" s="71"/>
      <c r="AR2220" s="71"/>
      <c r="AS2220" s="71"/>
      <c r="AT2220" s="71"/>
      <c r="AU2220" s="71"/>
      <c r="AV2220" s="71"/>
      <c r="AW2220" s="71"/>
      <c r="AX2220" s="71"/>
      <c r="AY2220" s="71"/>
      <c r="AZ2220" s="71"/>
      <c r="BA2220" s="71"/>
      <c r="BB2220" s="71"/>
      <c r="BC2220" s="71"/>
      <c r="BD2220" s="71"/>
      <c r="BE2220" s="71"/>
      <c r="BF2220" s="71"/>
      <c r="BG2220" s="71"/>
      <c r="BH2220" s="71"/>
      <c r="BI2220" s="71"/>
      <c r="BJ2220" s="71"/>
      <c r="BK2220" s="71"/>
      <c r="BL2220" s="71"/>
      <c r="BM2220" s="71"/>
      <c r="BN2220" s="71"/>
      <c r="BO2220" s="71"/>
      <c r="BP2220" s="71"/>
      <c r="BQ2220" s="71"/>
      <c r="BR2220" s="71"/>
      <c r="BS2220" s="71"/>
      <c r="BT2220" s="71"/>
      <c r="BU2220" s="71"/>
      <c r="BV2220" s="71"/>
    </row>
    <row r="2221">
      <c r="A2221" s="53"/>
      <c r="B2221" s="53"/>
      <c r="C2221" s="53" t="s">
        <v>53</v>
      </c>
      <c r="D2221" s="53" t="s">
        <v>5392</v>
      </c>
      <c r="E2221" s="54" t="s">
        <v>38</v>
      </c>
      <c r="F2221" s="55" t="s">
        <v>42</v>
      </c>
      <c r="G2221" s="193" t="s">
        <v>5393</v>
      </c>
      <c r="H2221" s="193" t="s">
        <v>5394</v>
      </c>
      <c r="I2221" s="54">
        <f t="shared" si="24"/>
        <v>40</v>
      </c>
      <c r="J2221" s="56"/>
      <c r="K2221" s="57"/>
      <c r="L2221" s="76" t="s">
        <v>661</v>
      </c>
      <c r="M2221" s="59"/>
      <c r="N2221" s="60"/>
      <c r="O2221" s="90"/>
      <c r="P2221" s="62">
        <v>8858.0</v>
      </c>
      <c r="Q2221" s="63">
        <v>8858.0</v>
      </c>
      <c r="R2221" s="64">
        <v>9301.0</v>
      </c>
      <c r="S2221" s="111">
        <v>9766.0</v>
      </c>
      <c r="T2221" s="65">
        <f t="shared" si="93"/>
        <v>1562.56</v>
      </c>
      <c r="U2221" s="65">
        <f t="shared" si="94"/>
        <v>11328.56</v>
      </c>
      <c r="V2221" s="66">
        <f t="shared" si="111"/>
        <v>0.04999462423</v>
      </c>
      <c r="W2221" s="67">
        <f t="shared" si="96"/>
        <v>9277.7</v>
      </c>
      <c r="X2221" s="67">
        <f t="shared" si="112"/>
        <v>1484.432</v>
      </c>
      <c r="Y2221" s="67">
        <f t="shared" si="113"/>
        <v>10762.132</v>
      </c>
      <c r="Z2221" s="67">
        <f t="shared" si="99"/>
        <v>8789.4</v>
      </c>
      <c r="AA2221" s="67">
        <f t="shared" si="114"/>
        <v>1406.304</v>
      </c>
      <c r="AB2221" s="67">
        <f t="shared" si="115"/>
        <v>10195.704</v>
      </c>
      <c r="AC2221" s="67">
        <f t="shared" si="102"/>
        <v>8301.1</v>
      </c>
      <c r="AD2221" s="67">
        <f t="shared" si="116"/>
        <v>1328.176</v>
      </c>
      <c r="AE2221" s="67">
        <f t="shared" si="117"/>
        <v>9629.276</v>
      </c>
      <c r="AF2221" s="67">
        <f t="shared" si="105"/>
        <v>8105.78</v>
      </c>
      <c r="AG2221" s="67">
        <f t="shared" si="118"/>
        <v>1296.9248</v>
      </c>
      <c r="AH2221" s="67">
        <f t="shared" si="119"/>
        <v>9402.7048</v>
      </c>
      <c r="AI2221" s="67">
        <f t="shared" si="108"/>
        <v>7812.8</v>
      </c>
      <c r="AJ2221" s="68">
        <f t="shared" si="120"/>
        <v>1250.048</v>
      </c>
      <c r="AK2221" s="68">
        <f t="shared" si="121"/>
        <v>9062.848</v>
      </c>
      <c r="AL2221" s="70"/>
      <c r="AM2221" s="70"/>
      <c r="AN2221" s="71"/>
      <c r="AO2221" s="71"/>
      <c r="AP2221" s="71"/>
      <c r="AQ2221" s="71"/>
      <c r="AR2221" s="71"/>
      <c r="AS2221" s="71"/>
      <c r="AT2221" s="71"/>
      <c r="AU2221" s="71"/>
      <c r="AV2221" s="71"/>
      <c r="AW2221" s="71"/>
      <c r="AX2221" s="71"/>
      <c r="AY2221" s="71"/>
      <c r="AZ2221" s="71"/>
      <c r="BA2221" s="71"/>
      <c r="BB2221" s="71"/>
      <c r="BC2221" s="71"/>
      <c r="BD2221" s="71"/>
      <c r="BE2221" s="71"/>
      <c r="BF2221" s="71"/>
      <c r="BG2221" s="71"/>
      <c r="BH2221" s="71"/>
      <c r="BI2221" s="71"/>
      <c r="BJ2221" s="71"/>
      <c r="BK2221" s="71"/>
      <c r="BL2221" s="71"/>
      <c r="BM2221" s="71"/>
      <c r="BN2221" s="71"/>
      <c r="BO2221" s="71"/>
      <c r="BP2221" s="71"/>
      <c r="BQ2221" s="71"/>
      <c r="BR2221" s="71"/>
      <c r="BS2221" s="71"/>
      <c r="BT2221" s="71"/>
      <c r="BU2221" s="71"/>
      <c r="BV2221" s="71"/>
    </row>
    <row r="2222">
      <c r="A2222" s="53"/>
      <c r="B2222" s="53"/>
      <c r="C2222" s="120" t="s">
        <v>603</v>
      </c>
      <c r="D2222" s="128" t="s">
        <v>5395</v>
      </c>
      <c r="E2222" s="54" t="s">
        <v>38</v>
      </c>
      <c r="F2222" s="54" t="s">
        <v>42</v>
      </c>
      <c r="G2222" s="194" t="s">
        <v>5396</v>
      </c>
      <c r="H2222" s="195" t="s">
        <v>5397</v>
      </c>
      <c r="I2222" s="54">
        <f t="shared" si="24"/>
        <v>29</v>
      </c>
      <c r="J2222" s="56"/>
      <c r="K2222" s="57"/>
      <c r="L2222" s="76" t="s">
        <v>661</v>
      </c>
      <c r="M2222" s="59"/>
      <c r="N2222" s="60">
        <v>3620.4</v>
      </c>
      <c r="O2222" s="129">
        <v>3910.0</v>
      </c>
      <c r="P2222" s="62">
        <v>4222.8</v>
      </c>
      <c r="Q2222" s="63">
        <v>4222.8</v>
      </c>
      <c r="R2222" s="64">
        <v>4435.0</v>
      </c>
      <c r="S2222" s="111">
        <v>4657.0</v>
      </c>
      <c r="T2222" s="65">
        <f t="shared" si="93"/>
        <v>745.12</v>
      </c>
      <c r="U2222" s="65">
        <f t="shared" si="94"/>
        <v>5402.12</v>
      </c>
      <c r="V2222" s="66">
        <f t="shared" si="111"/>
        <v>0.05005636979</v>
      </c>
      <c r="W2222" s="67">
        <f t="shared" si="96"/>
        <v>4424.15</v>
      </c>
      <c r="X2222" s="67">
        <f t="shared" si="112"/>
        <v>707.864</v>
      </c>
      <c r="Y2222" s="67">
        <f t="shared" si="113"/>
        <v>5132.014</v>
      </c>
      <c r="Z2222" s="67">
        <f t="shared" si="99"/>
        <v>4191.3</v>
      </c>
      <c r="AA2222" s="67">
        <f t="shared" si="114"/>
        <v>670.608</v>
      </c>
      <c r="AB2222" s="67">
        <f t="shared" si="115"/>
        <v>4861.908</v>
      </c>
      <c r="AC2222" s="67">
        <f t="shared" si="102"/>
        <v>3958.45</v>
      </c>
      <c r="AD2222" s="67">
        <f t="shared" si="116"/>
        <v>633.352</v>
      </c>
      <c r="AE2222" s="67">
        <f t="shared" si="117"/>
        <v>4591.802</v>
      </c>
      <c r="AF2222" s="67">
        <f t="shared" si="105"/>
        <v>3865.31</v>
      </c>
      <c r="AG2222" s="67">
        <f t="shared" si="118"/>
        <v>618.4496</v>
      </c>
      <c r="AH2222" s="67">
        <f t="shared" si="119"/>
        <v>4483.7596</v>
      </c>
      <c r="AI2222" s="67">
        <f t="shared" si="108"/>
        <v>3725.6</v>
      </c>
      <c r="AJ2222" s="68">
        <f t="shared" si="120"/>
        <v>596.096</v>
      </c>
      <c r="AK2222" s="68">
        <f t="shared" si="121"/>
        <v>4321.696</v>
      </c>
      <c r="AL2222" s="70"/>
      <c r="AM2222" s="70"/>
      <c r="AN2222" s="71"/>
      <c r="AO2222" s="71"/>
      <c r="AP2222" s="71"/>
      <c r="AQ2222" s="71"/>
      <c r="AR2222" s="71"/>
      <c r="AS2222" s="71"/>
      <c r="AT2222" s="71"/>
      <c r="AU2222" s="71"/>
      <c r="AV2222" s="71"/>
      <c r="AW2222" s="71"/>
      <c r="AX2222" s="71"/>
      <c r="AY2222" s="71"/>
      <c r="AZ2222" s="71"/>
      <c r="BA2222" s="71"/>
      <c r="BB2222" s="71"/>
      <c r="BC2222" s="71"/>
      <c r="BD2222" s="71"/>
      <c r="BE2222" s="71"/>
      <c r="BF2222" s="71"/>
      <c r="BG2222" s="71"/>
      <c r="BH2222" s="71"/>
      <c r="BI2222" s="71"/>
      <c r="BJ2222" s="71"/>
      <c r="BK2222" s="71"/>
      <c r="BL2222" s="71"/>
      <c r="BM2222" s="71"/>
      <c r="BN2222" s="71"/>
      <c r="BO2222" s="71"/>
      <c r="BP2222" s="71"/>
      <c r="BQ2222" s="71"/>
      <c r="BR2222" s="71"/>
      <c r="BS2222" s="71"/>
      <c r="BT2222" s="71"/>
      <c r="BU2222" s="71"/>
      <c r="BV2222" s="71"/>
    </row>
    <row r="2223">
      <c r="A2223" s="53"/>
      <c r="B2223" s="53"/>
      <c r="C2223" s="120" t="s">
        <v>603</v>
      </c>
      <c r="D2223" s="53" t="s">
        <v>5398</v>
      </c>
      <c r="E2223" s="54" t="s">
        <v>38</v>
      </c>
      <c r="F2223" s="54" t="s">
        <v>42</v>
      </c>
      <c r="G2223" s="193" t="s">
        <v>5399</v>
      </c>
      <c r="H2223" s="195" t="s">
        <v>5400</v>
      </c>
      <c r="I2223" s="54">
        <f t="shared" si="24"/>
        <v>30</v>
      </c>
      <c r="J2223" s="56"/>
      <c r="K2223" s="57"/>
      <c r="L2223" s="76" t="s">
        <v>661</v>
      </c>
      <c r="M2223" s="59"/>
      <c r="N2223" s="79">
        <v>2497.0</v>
      </c>
      <c r="O2223" s="61">
        <v>3022.0</v>
      </c>
      <c r="P2223" s="62">
        <v>3263.76</v>
      </c>
      <c r="Q2223" s="63">
        <v>3263.76</v>
      </c>
      <c r="R2223" s="64">
        <v>3428.0</v>
      </c>
      <c r="S2223" s="111">
        <v>3599.0</v>
      </c>
      <c r="T2223" s="65">
        <f t="shared" si="93"/>
        <v>575.84</v>
      </c>
      <c r="U2223" s="65">
        <f t="shared" si="94"/>
        <v>4174.84</v>
      </c>
      <c r="V2223" s="66">
        <f t="shared" si="111"/>
        <v>0.04988331389</v>
      </c>
      <c r="W2223" s="67">
        <f t="shared" si="96"/>
        <v>3419.05</v>
      </c>
      <c r="X2223" s="67">
        <f t="shared" si="112"/>
        <v>547.048</v>
      </c>
      <c r="Y2223" s="67">
        <f t="shared" si="113"/>
        <v>3966.098</v>
      </c>
      <c r="Z2223" s="67">
        <f t="shared" si="99"/>
        <v>3239.1</v>
      </c>
      <c r="AA2223" s="67">
        <f t="shared" si="114"/>
        <v>518.256</v>
      </c>
      <c r="AB2223" s="67">
        <f t="shared" si="115"/>
        <v>3757.356</v>
      </c>
      <c r="AC2223" s="67">
        <f t="shared" si="102"/>
        <v>3059.15</v>
      </c>
      <c r="AD2223" s="67">
        <f t="shared" si="116"/>
        <v>489.464</v>
      </c>
      <c r="AE2223" s="67">
        <f t="shared" si="117"/>
        <v>3548.614</v>
      </c>
      <c r="AF2223" s="67">
        <f t="shared" si="105"/>
        <v>2987.17</v>
      </c>
      <c r="AG2223" s="67">
        <f t="shared" si="118"/>
        <v>477.9472</v>
      </c>
      <c r="AH2223" s="67">
        <f t="shared" si="119"/>
        <v>3465.1172</v>
      </c>
      <c r="AI2223" s="67">
        <f t="shared" si="108"/>
        <v>2879.2</v>
      </c>
      <c r="AJ2223" s="68">
        <f t="shared" si="120"/>
        <v>460.672</v>
      </c>
      <c r="AK2223" s="68">
        <f t="shared" si="121"/>
        <v>3339.872</v>
      </c>
      <c r="AL2223" s="70"/>
      <c r="AM2223" s="70"/>
      <c r="AN2223" s="71"/>
      <c r="AO2223" s="71"/>
      <c r="AP2223" s="71"/>
      <c r="AQ2223" s="71"/>
      <c r="AR2223" s="71"/>
      <c r="AS2223" s="71"/>
      <c r="AT2223" s="71"/>
      <c r="AU2223" s="71"/>
      <c r="AV2223" s="71"/>
      <c r="AW2223" s="71"/>
      <c r="AX2223" s="71"/>
      <c r="AY2223" s="71"/>
      <c r="AZ2223" s="71"/>
      <c r="BA2223" s="71"/>
      <c r="BB2223" s="71"/>
      <c r="BC2223" s="71"/>
      <c r="BD2223" s="71"/>
      <c r="BE2223" s="71"/>
      <c r="BF2223" s="71"/>
      <c r="BG2223" s="71"/>
      <c r="BH2223" s="71"/>
      <c r="BI2223" s="71"/>
      <c r="BJ2223" s="71"/>
      <c r="BK2223" s="71"/>
      <c r="BL2223" s="71"/>
      <c r="BM2223" s="71"/>
      <c r="BN2223" s="71"/>
      <c r="BO2223" s="71"/>
      <c r="BP2223" s="71"/>
      <c r="BQ2223" s="71"/>
      <c r="BR2223" s="71"/>
      <c r="BS2223" s="71"/>
      <c r="BT2223" s="71"/>
      <c r="BU2223" s="71"/>
      <c r="BV2223" s="71"/>
    </row>
    <row r="2224">
      <c r="A2224" s="53"/>
      <c r="B2224" s="53"/>
      <c r="C2224" s="120" t="s">
        <v>603</v>
      </c>
      <c r="D2224" s="128" t="s">
        <v>5401</v>
      </c>
      <c r="E2224" s="54" t="s">
        <v>38</v>
      </c>
      <c r="F2224" s="54" t="s">
        <v>42</v>
      </c>
      <c r="G2224" s="194" t="s">
        <v>5402</v>
      </c>
      <c r="H2224" s="195" t="s">
        <v>5403</v>
      </c>
      <c r="I2224" s="54">
        <f t="shared" si="24"/>
        <v>30</v>
      </c>
      <c r="J2224" s="56"/>
      <c r="K2224" s="57"/>
      <c r="L2224" s="76" t="s">
        <v>661</v>
      </c>
      <c r="M2224" s="59"/>
      <c r="N2224" s="60">
        <v>2799.3</v>
      </c>
      <c r="O2224" s="129">
        <v>3023.0</v>
      </c>
      <c r="P2224" s="62">
        <v>3264.84</v>
      </c>
      <c r="Q2224" s="63">
        <v>3264.84</v>
      </c>
      <c r="R2224" s="64">
        <v>3429.0</v>
      </c>
      <c r="S2224" s="111">
        <v>3600.0</v>
      </c>
      <c r="T2224" s="65">
        <f t="shared" si="93"/>
        <v>576</v>
      </c>
      <c r="U2224" s="65">
        <f t="shared" si="94"/>
        <v>4176</v>
      </c>
      <c r="V2224" s="66">
        <f t="shared" si="111"/>
        <v>0.0498687664</v>
      </c>
      <c r="W2224" s="67">
        <f t="shared" si="96"/>
        <v>3420</v>
      </c>
      <c r="X2224" s="67">
        <f t="shared" si="112"/>
        <v>547.2</v>
      </c>
      <c r="Y2224" s="67">
        <f t="shared" si="113"/>
        <v>3967.2</v>
      </c>
      <c r="Z2224" s="67">
        <f t="shared" si="99"/>
        <v>3240</v>
      </c>
      <c r="AA2224" s="67">
        <f t="shared" si="114"/>
        <v>518.4</v>
      </c>
      <c r="AB2224" s="67">
        <f t="shared" si="115"/>
        <v>3758.4</v>
      </c>
      <c r="AC2224" s="67">
        <f t="shared" si="102"/>
        <v>3060</v>
      </c>
      <c r="AD2224" s="67">
        <f t="shared" si="116"/>
        <v>489.6</v>
      </c>
      <c r="AE2224" s="67">
        <f t="shared" si="117"/>
        <v>3549.6</v>
      </c>
      <c r="AF2224" s="67">
        <f t="shared" si="105"/>
        <v>2988</v>
      </c>
      <c r="AG2224" s="67">
        <f t="shared" si="118"/>
        <v>478.08</v>
      </c>
      <c r="AH2224" s="67">
        <f t="shared" si="119"/>
        <v>3466.08</v>
      </c>
      <c r="AI2224" s="67">
        <f t="shared" si="108"/>
        <v>2880</v>
      </c>
      <c r="AJ2224" s="68">
        <f t="shared" si="120"/>
        <v>460.8</v>
      </c>
      <c r="AK2224" s="68">
        <f t="shared" si="121"/>
        <v>3340.8</v>
      </c>
      <c r="AL2224" s="70"/>
      <c r="AM2224" s="70"/>
      <c r="AN2224" s="71"/>
      <c r="AO2224" s="71"/>
      <c r="AP2224" s="71"/>
      <c r="AQ2224" s="71"/>
      <c r="AR2224" s="71"/>
      <c r="AS2224" s="71"/>
      <c r="AT2224" s="71"/>
      <c r="AU2224" s="71"/>
      <c r="AV2224" s="71"/>
      <c r="AW2224" s="71"/>
      <c r="AX2224" s="71"/>
      <c r="AY2224" s="71"/>
      <c r="AZ2224" s="71"/>
      <c r="BA2224" s="71"/>
      <c r="BB2224" s="71"/>
      <c r="BC2224" s="71"/>
      <c r="BD2224" s="71"/>
      <c r="BE2224" s="71"/>
      <c r="BF2224" s="71"/>
      <c r="BG2224" s="71"/>
      <c r="BH2224" s="71"/>
      <c r="BI2224" s="71"/>
      <c r="BJ2224" s="71"/>
      <c r="BK2224" s="71"/>
      <c r="BL2224" s="71"/>
      <c r="BM2224" s="71"/>
      <c r="BN2224" s="71"/>
      <c r="BO2224" s="71"/>
      <c r="BP2224" s="71"/>
      <c r="BQ2224" s="71"/>
      <c r="BR2224" s="71"/>
      <c r="BS2224" s="71"/>
      <c r="BT2224" s="71"/>
      <c r="BU2224" s="71"/>
      <c r="BV2224" s="71"/>
    </row>
    <row r="2225">
      <c r="A2225" s="53"/>
      <c r="B2225" s="53"/>
      <c r="C2225" s="120" t="s">
        <v>603</v>
      </c>
      <c r="D2225" s="128" t="s">
        <v>5404</v>
      </c>
      <c r="E2225" s="54" t="s">
        <v>38</v>
      </c>
      <c r="F2225" s="54" t="s">
        <v>42</v>
      </c>
      <c r="G2225" s="196" t="s">
        <v>5405</v>
      </c>
      <c r="H2225" s="195" t="s">
        <v>5406</v>
      </c>
      <c r="I2225" s="54">
        <f t="shared" si="24"/>
        <v>30</v>
      </c>
      <c r="J2225" s="56"/>
      <c r="K2225" s="57"/>
      <c r="L2225" s="76" t="s">
        <v>661</v>
      </c>
      <c r="M2225" s="59"/>
      <c r="N2225" s="79">
        <v>2799.0</v>
      </c>
      <c r="O2225" s="129">
        <v>3022.0</v>
      </c>
      <c r="P2225" s="62">
        <v>3263.76</v>
      </c>
      <c r="Q2225" s="63">
        <v>3263.76</v>
      </c>
      <c r="R2225" s="64">
        <v>3428.0</v>
      </c>
      <c r="S2225" s="111">
        <v>3599.0</v>
      </c>
      <c r="T2225" s="65">
        <f t="shared" si="93"/>
        <v>575.84</v>
      </c>
      <c r="U2225" s="65">
        <f t="shared" si="94"/>
        <v>4174.84</v>
      </c>
      <c r="V2225" s="66">
        <f t="shared" si="111"/>
        <v>0.04988331389</v>
      </c>
      <c r="W2225" s="67">
        <f t="shared" si="96"/>
        <v>3419.05</v>
      </c>
      <c r="X2225" s="67">
        <f t="shared" si="112"/>
        <v>547.048</v>
      </c>
      <c r="Y2225" s="67">
        <f t="shared" si="113"/>
        <v>3966.098</v>
      </c>
      <c r="Z2225" s="67">
        <f t="shared" si="99"/>
        <v>3239.1</v>
      </c>
      <c r="AA2225" s="67">
        <f t="shared" si="114"/>
        <v>518.256</v>
      </c>
      <c r="AB2225" s="67">
        <f t="shared" si="115"/>
        <v>3757.356</v>
      </c>
      <c r="AC2225" s="67">
        <f t="shared" si="102"/>
        <v>3059.15</v>
      </c>
      <c r="AD2225" s="67">
        <f t="shared" si="116"/>
        <v>489.464</v>
      </c>
      <c r="AE2225" s="67">
        <f t="shared" si="117"/>
        <v>3548.614</v>
      </c>
      <c r="AF2225" s="67">
        <f t="shared" si="105"/>
        <v>2987.17</v>
      </c>
      <c r="AG2225" s="67">
        <f t="shared" si="118"/>
        <v>477.9472</v>
      </c>
      <c r="AH2225" s="67">
        <f t="shared" si="119"/>
        <v>3465.1172</v>
      </c>
      <c r="AI2225" s="67">
        <f t="shared" si="108"/>
        <v>2879.2</v>
      </c>
      <c r="AJ2225" s="68">
        <f t="shared" si="120"/>
        <v>460.672</v>
      </c>
      <c r="AK2225" s="68">
        <f t="shared" si="121"/>
        <v>3339.872</v>
      </c>
      <c r="AL2225" s="70"/>
      <c r="AM2225" s="70"/>
      <c r="AN2225" s="71"/>
      <c r="AO2225" s="71"/>
      <c r="AP2225" s="71"/>
      <c r="AQ2225" s="71"/>
      <c r="AR2225" s="71"/>
      <c r="AS2225" s="71"/>
      <c r="AT2225" s="71"/>
      <c r="AU2225" s="71"/>
      <c r="AV2225" s="71"/>
      <c r="AW2225" s="71"/>
      <c r="AX2225" s="71"/>
      <c r="AY2225" s="71"/>
      <c r="AZ2225" s="71"/>
      <c r="BA2225" s="71"/>
      <c r="BB2225" s="71"/>
      <c r="BC2225" s="71"/>
      <c r="BD2225" s="71"/>
      <c r="BE2225" s="71"/>
      <c r="BF2225" s="71"/>
      <c r="BG2225" s="71"/>
      <c r="BH2225" s="71"/>
      <c r="BI2225" s="71"/>
      <c r="BJ2225" s="71"/>
      <c r="BK2225" s="71"/>
      <c r="BL2225" s="71"/>
      <c r="BM2225" s="71"/>
      <c r="BN2225" s="71"/>
      <c r="BO2225" s="71"/>
      <c r="BP2225" s="71"/>
      <c r="BQ2225" s="71"/>
      <c r="BR2225" s="71"/>
      <c r="BS2225" s="71"/>
      <c r="BT2225" s="71"/>
      <c r="BU2225" s="71"/>
      <c r="BV2225" s="71"/>
    </row>
    <row r="2226">
      <c r="A2226" s="53"/>
      <c r="B2226" s="53"/>
      <c r="C2226" s="53"/>
      <c r="D2226" s="53" t="s">
        <v>5407</v>
      </c>
      <c r="E2226" s="55" t="s">
        <v>38</v>
      </c>
      <c r="F2226" s="89"/>
      <c r="G2226" s="197" t="s">
        <v>5408</v>
      </c>
      <c r="H2226" s="193"/>
      <c r="I2226" s="54">
        <f t="shared" si="24"/>
        <v>0</v>
      </c>
      <c r="J2226" s="56"/>
      <c r="K2226" s="57"/>
      <c r="L2226" s="76" t="s">
        <v>661</v>
      </c>
      <c r="M2226" s="59"/>
      <c r="N2226" s="60"/>
      <c r="O2226" s="90"/>
      <c r="P2226" s="62">
        <v>7879.68</v>
      </c>
      <c r="Q2226" s="63">
        <v>7879.68</v>
      </c>
      <c r="R2226" s="64">
        <v>8688.0</v>
      </c>
      <c r="S2226" s="111">
        <v>9122.0</v>
      </c>
      <c r="T2226" s="65">
        <f t="shared" si="93"/>
        <v>1459.52</v>
      </c>
      <c r="U2226" s="65">
        <f t="shared" si="94"/>
        <v>10581.52</v>
      </c>
      <c r="V2226" s="66">
        <f t="shared" si="111"/>
        <v>0.04995395948</v>
      </c>
      <c r="W2226" s="67">
        <f t="shared" si="96"/>
        <v>8665.9</v>
      </c>
      <c r="X2226" s="67">
        <f t="shared" si="112"/>
        <v>1386.544</v>
      </c>
      <c r="Y2226" s="67">
        <f t="shared" si="113"/>
        <v>10052.444</v>
      </c>
      <c r="Z2226" s="67">
        <f t="shared" si="99"/>
        <v>8209.8</v>
      </c>
      <c r="AA2226" s="67">
        <f t="shared" si="114"/>
        <v>1313.568</v>
      </c>
      <c r="AB2226" s="67">
        <f t="shared" si="115"/>
        <v>9523.368</v>
      </c>
      <c r="AC2226" s="67">
        <f t="shared" si="102"/>
        <v>7753.7</v>
      </c>
      <c r="AD2226" s="67">
        <f t="shared" si="116"/>
        <v>1240.592</v>
      </c>
      <c r="AE2226" s="67">
        <f t="shared" si="117"/>
        <v>8994.292</v>
      </c>
      <c r="AF2226" s="67">
        <f t="shared" si="105"/>
        <v>7571.26</v>
      </c>
      <c r="AG2226" s="67">
        <f t="shared" si="118"/>
        <v>1211.4016</v>
      </c>
      <c r="AH2226" s="67">
        <f t="shared" si="119"/>
        <v>8782.6616</v>
      </c>
      <c r="AI2226" s="67">
        <f t="shared" si="108"/>
        <v>7297.6</v>
      </c>
      <c r="AJ2226" s="68">
        <f t="shared" si="120"/>
        <v>1167.616</v>
      </c>
      <c r="AK2226" s="68">
        <f t="shared" si="121"/>
        <v>8465.216</v>
      </c>
      <c r="AL2226" s="70"/>
      <c r="AM2226" s="70"/>
      <c r="AN2226" s="71"/>
      <c r="AO2226" s="71"/>
      <c r="AP2226" s="71"/>
      <c r="AQ2226" s="71"/>
      <c r="AR2226" s="71"/>
      <c r="AS2226" s="71"/>
      <c r="AT2226" s="71"/>
      <c r="AU2226" s="71"/>
      <c r="AV2226" s="71"/>
      <c r="AW2226" s="71"/>
      <c r="AX2226" s="71"/>
      <c r="AY2226" s="71"/>
      <c r="AZ2226" s="71"/>
      <c r="BA2226" s="71"/>
      <c r="BB2226" s="71"/>
      <c r="BC2226" s="71"/>
      <c r="BD2226" s="71"/>
      <c r="BE2226" s="71"/>
      <c r="BF2226" s="71"/>
      <c r="BG2226" s="71"/>
      <c r="BH2226" s="71"/>
      <c r="BI2226" s="71"/>
      <c r="BJ2226" s="71"/>
      <c r="BK2226" s="71"/>
      <c r="BL2226" s="71"/>
      <c r="BM2226" s="71"/>
      <c r="BN2226" s="71"/>
      <c r="BO2226" s="71"/>
      <c r="BP2226" s="71"/>
      <c r="BQ2226" s="71"/>
      <c r="BR2226" s="71"/>
      <c r="BS2226" s="71"/>
      <c r="BT2226" s="71"/>
      <c r="BU2226" s="71"/>
      <c r="BV2226" s="71"/>
    </row>
    <row r="2227">
      <c r="A2227" s="53"/>
      <c r="B2227" s="53"/>
      <c r="C2227" s="120" t="s">
        <v>603</v>
      </c>
      <c r="D2227" s="53" t="s">
        <v>5409</v>
      </c>
      <c r="E2227" s="54" t="s">
        <v>38</v>
      </c>
      <c r="F2227" s="54" t="s">
        <v>42</v>
      </c>
      <c r="G2227" s="196" t="s">
        <v>5410</v>
      </c>
      <c r="H2227" s="195" t="s">
        <v>5411</v>
      </c>
      <c r="I2227" s="54">
        <f t="shared" si="24"/>
        <v>40</v>
      </c>
      <c r="J2227" s="56"/>
      <c r="K2227" s="57"/>
      <c r="L2227" s="76" t="s">
        <v>661</v>
      </c>
      <c r="M2227" s="59"/>
      <c r="N2227" s="79"/>
      <c r="O2227" s="61">
        <v>9097.0</v>
      </c>
      <c r="P2227" s="62">
        <v>9824.76</v>
      </c>
      <c r="Q2227" s="63">
        <v>9824.76</v>
      </c>
      <c r="R2227" s="64">
        <v>10317.0</v>
      </c>
      <c r="S2227" s="111">
        <v>10833.0</v>
      </c>
      <c r="T2227" s="65">
        <f t="shared" si="93"/>
        <v>1733.28</v>
      </c>
      <c r="U2227" s="65">
        <f t="shared" si="94"/>
        <v>12566.28</v>
      </c>
      <c r="V2227" s="66">
        <f t="shared" si="111"/>
        <v>0.05001453911</v>
      </c>
      <c r="W2227" s="67">
        <f t="shared" si="96"/>
        <v>10291.35</v>
      </c>
      <c r="X2227" s="67">
        <f t="shared" si="112"/>
        <v>1646.616</v>
      </c>
      <c r="Y2227" s="67">
        <f t="shared" si="113"/>
        <v>11937.966</v>
      </c>
      <c r="Z2227" s="67">
        <f t="shared" si="99"/>
        <v>9749.7</v>
      </c>
      <c r="AA2227" s="67">
        <f t="shared" si="114"/>
        <v>1559.952</v>
      </c>
      <c r="AB2227" s="67">
        <f t="shared" si="115"/>
        <v>11309.652</v>
      </c>
      <c r="AC2227" s="67">
        <f t="shared" si="102"/>
        <v>9208.05</v>
      </c>
      <c r="AD2227" s="67">
        <f t="shared" si="116"/>
        <v>1473.288</v>
      </c>
      <c r="AE2227" s="67">
        <f t="shared" si="117"/>
        <v>10681.338</v>
      </c>
      <c r="AF2227" s="67">
        <f t="shared" si="105"/>
        <v>8991.39</v>
      </c>
      <c r="AG2227" s="67">
        <f t="shared" si="118"/>
        <v>1438.6224</v>
      </c>
      <c r="AH2227" s="67">
        <f t="shared" si="119"/>
        <v>10430.0124</v>
      </c>
      <c r="AI2227" s="67">
        <f t="shared" si="108"/>
        <v>8666.4</v>
      </c>
      <c r="AJ2227" s="68">
        <f t="shared" si="120"/>
        <v>1386.624</v>
      </c>
      <c r="AK2227" s="68">
        <f t="shared" si="121"/>
        <v>10053.024</v>
      </c>
      <c r="AL2227" s="70"/>
      <c r="AM2227" s="70"/>
      <c r="AN2227" s="71"/>
      <c r="AO2227" s="71"/>
      <c r="AP2227" s="71"/>
      <c r="AQ2227" s="71"/>
      <c r="AR2227" s="71"/>
      <c r="AS2227" s="71"/>
      <c r="AT2227" s="71"/>
      <c r="AU2227" s="71"/>
      <c r="AV2227" s="71"/>
      <c r="AW2227" s="71"/>
      <c r="AX2227" s="71"/>
      <c r="AY2227" s="71"/>
      <c r="AZ2227" s="71"/>
      <c r="BA2227" s="71"/>
      <c r="BB2227" s="71"/>
      <c r="BC2227" s="71"/>
      <c r="BD2227" s="71"/>
      <c r="BE2227" s="71"/>
      <c r="BF2227" s="71"/>
      <c r="BG2227" s="71"/>
      <c r="BH2227" s="71"/>
      <c r="BI2227" s="71"/>
      <c r="BJ2227" s="71"/>
      <c r="BK2227" s="71"/>
      <c r="BL2227" s="71"/>
      <c r="BM2227" s="71"/>
      <c r="BN2227" s="71"/>
      <c r="BO2227" s="71"/>
      <c r="BP2227" s="71"/>
      <c r="BQ2227" s="71"/>
      <c r="BR2227" s="71"/>
      <c r="BS2227" s="71"/>
      <c r="BT2227" s="71"/>
      <c r="BU2227" s="71"/>
      <c r="BV2227" s="71"/>
    </row>
    <row r="2228">
      <c r="A2228" s="53"/>
      <c r="B2228" s="53"/>
      <c r="C2228" s="120" t="s">
        <v>603</v>
      </c>
      <c r="D2228" s="53" t="s">
        <v>5412</v>
      </c>
      <c r="E2228" s="54" t="s">
        <v>38</v>
      </c>
      <c r="F2228" s="54" t="s">
        <v>42</v>
      </c>
      <c r="G2228" s="193" t="s">
        <v>5413</v>
      </c>
      <c r="H2228" s="195" t="s">
        <v>5414</v>
      </c>
      <c r="I2228" s="54">
        <f t="shared" si="24"/>
        <v>31</v>
      </c>
      <c r="J2228" s="56"/>
      <c r="K2228" s="57"/>
      <c r="L2228" s="76" t="s">
        <v>661</v>
      </c>
      <c r="M2228" s="59"/>
      <c r="N2228" s="79">
        <v>2641.0</v>
      </c>
      <c r="O2228" s="61">
        <v>3022.0</v>
      </c>
      <c r="P2228" s="62">
        <v>3263.76</v>
      </c>
      <c r="Q2228" s="63">
        <v>3263.76</v>
      </c>
      <c r="R2228" s="64">
        <v>3428.0</v>
      </c>
      <c r="S2228" s="111">
        <v>3599.0</v>
      </c>
      <c r="T2228" s="65">
        <f t="shared" si="93"/>
        <v>575.84</v>
      </c>
      <c r="U2228" s="65">
        <f t="shared" si="94"/>
        <v>4174.84</v>
      </c>
      <c r="V2228" s="66">
        <f t="shared" si="111"/>
        <v>0.04988331389</v>
      </c>
      <c r="W2228" s="67">
        <f t="shared" si="96"/>
        <v>3419.05</v>
      </c>
      <c r="X2228" s="67">
        <f t="shared" si="112"/>
        <v>547.048</v>
      </c>
      <c r="Y2228" s="67">
        <f t="shared" si="113"/>
        <v>3966.098</v>
      </c>
      <c r="Z2228" s="67">
        <f t="shared" si="99"/>
        <v>3239.1</v>
      </c>
      <c r="AA2228" s="67">
        <f t="shared" si="114"/>
        <v>518.256</v>
      </c>
      <c r="AB2228" s="67">
        <f t="shared" si="115"/>
        <v>3757.356</v>
      </c>
      <c r="AC2228" s="67">
        <f t="shared" si="102"/>
        <v>3059.15</v>
      </c>
      <c r="AD2228" s="67">
        <f t="shared" si="116"/>
        <v>489.464</v>
      </c>
      <c r="AE2228" s="67">
        <f t="shared" si="117"/>
        <v>3548.614</v>
      </c>
      <c r="AF2228" s="67">
        <f t="shared" si="105"/>
        <v>2987.17</v>
      </c>
      <c r="AG2228" s="67">
        <f t="shared" si="118"/>
        <v>477.9472</v>
      </c>
      <c r="AH2228" s="67">
        <f t="shared" si="119"/>
        <v>3465.1172</v>
      </c>
      <c r="AI2228" s="67">
        <f t="shared" si="108"/>
        <v>2879.2</v>
      </c>
      <c r="AJ2228" s="68">
        <f t="shared" si="120"/>
        <v>460.672</v>
      </c>
      <c r="AK2228" s="68">
        <f t="shared" si="121"/>
        <v>3339.872</v>
      </c>
      <c r="AL2228" s="70"/>
      <c r="AM2228" s="70"/>
      <c r="AN2228" s="71"/>
      <c r="AO2228" s="71"/>
      <c r="AP2228" s="71"/>
      <c r="AQ2228" s="71"/>
      <c r="AR2228" s="71"/>
      <c r="AS2228" s="71"/>
      <c r="AT2228" s="71"/>
      <c r="AU2228" s="71"/>
      <c r="AV2228" s="71"/>
      <c r="AW2228" s="71"/>
      <c r="AX2228" s="71"/>
      <c r="AY2228" s="71"/>
      <c r="AZ2228" s="71"/>
      <c r="BA2228" s="71"/>
      <c r="BB2228" s="71"/>
      <c r="BC2228" s="71"/>
      <c r="BD2228" s="71"/>
      <c r="BE2228" s="71"/>
      <c r="BF2228" s="71"/>
      <c r="BG2228" s="71"/>
      <c r="BH2228" s="71"/>
      <c r="BI2228" s="71"/>
      <c r="BJ2228" s="71"/>
      <c r="BK2228" s="71"/>
      <c r="BL2228" s="71"/>
      <c r="BM2228" s="71"/>
      <c r="BN2228" s="71"/>
      <c r="BO2228" s="71"/>
      <c r="BP2228" s="71"/>
      <c r="BQ2228" s="71"/>
      <c r="BR2228" s="71"/>
      <c r="BS2228" s="71"/>
      <c r="BT2228" s="71"/>
      <c r="BU2228" s="71"/>
      <c r="BV2228" s="71"/>
    </row>
    <row r="2229">
      <c r="A2229" s="53"/>
      <c r="B2229" s="53"/>
      <c r="C2229" s="120" t="s">
        <v>603</v>
      </c>
      <c r="D2229" s="128" t="s">
        <v>5415</v>
      </c>
      <c r="E2229" s="54" t="s">
        <v>38</v>
      </c>
      <c r="F2229" s="54" t="s">
        <v>42</v>
      </c>
      <c r="G2229" s="196" t="s">
        <v>5416</v>
      </c>
      <c r="H2229" s="195" t="s">
        <v>5417</v>
      </c>
      <c r="I2229" s="54">
        <f t="shared" si="24"/>
        <v>30</v>
      </c>
      <c r="J2229" s="56"/>
      <c r="K2229" s="57"/>
      <c r="L2229" s="76" t="s">
        <v>661</v>
      </c>
      <c r="M2229" s="59"/>
      <c r="N2229" s="60">
        <v>2799.3</v>
      </c>
      <c r="O2229" s="129">
        <v>3424.0</v>
      </c>
      <c r="P2229" s="62">
        <v>3697.92</v>
      </c>
      <c r="Q2229" s="63">
        <v>3697.92</v>
      </c>
      <c r="R2229" s="64">
        <v>3883.0</v>
      </c>
      <c r="S2229" s="111">
        <v>4077.0</v>
      </c>
      <c r="T2229" s="65">
        <f t="shared" si="93"/>
        <v>652.32</v>
      </c>
      <c r="U2229" s="65">
        <f t="shared" si="94"/>
        <v>4729.32</v>
      </c>
      <c r="V2229" s="66">
        <f t="shared" si="111"/>
        <v>0.04996137007</v>
      </c>
      <c r="W2229" s="67">
        <f t="shared" si="96"/>
        <v>3873.15</v>
      </c>
      <c r="X2229" s="67">
        <f t="shared" si="112"/>
        <v>619.704</v>
      </c>
      <c r="Y2229" s="67">
        <f t="shared" si="113"/>
        <v>4492.854</v>
      </c>
      <c r="Z2229" s="67">
        <f t="shared" si="99"/>
        <v>3669.3</v>
      </c>
      <c r="AA2229" s="67">
        <f t="shared" si="114"/>
        <v>587.088</v>
      </c>
      <c r="AB2229" s="67">
        <f t="shared" si="115"/>
        <v>4256.388</v>
      </c>
      <c r="AC2229" s="67">
        <f t="shared" si="102"/>
        <v>3465.45</v>
      </c>
      <c r="AD2229" s="67">
        <f t="shared" si="116"/>
        <v>554.472</v>
      </c>
      <c r="AE2229" s="67">
        <f t="shared" si="117"/>
        <v>4019.922</v>
      </c>
      <c r="AF2229" s="67">
        <f t="shared" si="105"/>
        <v>3383.91</v>
      </c>
      <c r="AG2229" s="67">
        <f t="shared" si="118"/>
        <v>541.4256</v>
      </c>
      <c r="AH2229" s="67">
        <f t="shared" si="119"/>
        <v>3925.3356</v>
      </c>
      <c r="AI2229" s="67">
        <f t="shared" si="108"/>
        <v>3261.6</v>
      </c>
      <c r="AJ2229" s="68">
        <f t="shared" si="120"/>
        <v>521.856</v>
      </c>
      <c r="AK2229" s="68">
        <f t="shared" si="121"/>
        <v>3783.456</v>
      </c>
      <c r="AL2229" s="70"/>
      <c r="AM2229" s="70"/>
      <c r="AN2229" s="71"/>
      <c r="AO2229" s="71"/>
      <c r="AP2229" s="71"/>
      <c r="AQ2229" s="71"/>
      <c r="AR2229" s="71"/>
      <c r="AS2229" s="71"/>
      <c r="AT2229" s="71"/>
      <c r="AU2229" s="71"/>
      <c r="AV2229" s="71"/>
      <c r="AW2229" s="71"/>
      <c r="AX2229" s="71"/>
      <c r="AY2229" s="71"/>
      <c r="AZ2229" s="71"/>
      <c r="BA2229" s="71"/>
      <c r="BB2229" s="71"/>
      <c r="BC2229" s="71"/>
      <c r="BD2229" s="71"/>
      <c r="BE2229" s="71"/>
      <c r="BF2229" s="71"/>
      <c r="BG2229" s="71"/>
      <c r="BH2229" s="71"/>
      <c r="BI2229" s="71"/>
      <c r="BJ2229" s="71"/>
      <c r="BK2229" s="71"/>
      <c r="BL2229" s="71"/>
      <c r="BM2229" s="71"/>
      <c r="BN2229" s="71"/>
      <c r="BO2229" s="71"/>
      <c r="BP2229" s="71"/>
      <c r="BQ2229" s="71"/>
      <c r="BR2229" s="71"/>
      <c r="BS2229" s="71"/>
      <c r="BT2229" s="71"/>
      <c r="BU2229" s="71"/>
      <c r="BV2229" s="71"/>
    </row>
    <row r="2230">
      <c r="A2230" s="53"/>
      <c r="B2230" s="53"/>
      <c r="C2230" s="120" t="s">
        <v>603</v>
      </c>
      <c r="D2230" s="128" t="s">
        <v>5418</v>
      </c>
      <c r="E2230" s="54" t="s">
        <v>38</v>
      </c>
      <c r="F2230" s="54" t="s">
        <v>42</v>
      </c>
      <c r="G2230" s="194" t="s">
        <v>5419</v>
      </c>
      <c r="H2230" s="195" t="s">
        <v>5420</v>
      </c>
      <c r="I2230" s="54">
        <f t="shared" si="24"/>
        <v>40</v>
      </c>
      <c r="J2230" s="56"/>
      <c r="K2230" s="57"/>
      <c r="L2230" s="76" t="s">
        <v>661</v>
      </c>
      <c r="M2230" s="59"/>
      <c r="N2230" s="79">
        <v>2340.0</v>
      </c>
      <c r="O2230" s="129">
        <v>2527.0</v>
      </c>
      <c r="P2230" s="62">
        <v>2729.1600000000003</v>
      </c>
      <c r="Q2230" s="63">
        <v>2729.1600000000003</v>
      </c>
      <c r="R2230" s="64">
        <v>2866.0</v>
      </c>
      <c r="S2230" s="111">
        <v>3009.0</v>
      </c>
      <c r="T2230" s="65">
        <f t="shared" si="93"/>
        <v>481.44</v>
      </c>
      <c r="U2230" s="65">
        <f t="shared" si="94"/>
        <v>3490.44</v>
      </c>
      <c r="V2230" s="66">
        <f t="shared" si="111"/>
        <v>0.04989532449</v>
      </c>
      <c r="W2230" s="67">
        <f t="shared" si="96"/>
        <v>2858.55</v>
      </c>
      <c r="X2230" s="67">
        <f t="shared" si="112"/>
        <v>457.368</v>
      </c>
      <c r="Y2230" s="67">
        <f t="shared" si="113"/>
        <v>3315.918</v>
      </c>
      <c r="Z2230" s="67">
        <f t="shared" si="99"/>
        <v>2708.1</v>
      </c>
      <c r="AA2230" s="67">
        <f t="shared" si="114"/>
        <v>433.296</v>
      </c>
      <c r="AB2230" s="67">
        <f t="shared" si="115"/>
        <v>3141.396</v>
      </c>
      <c r="AC2230" s="67">
        <f t="shared" si="102"/>
        <v>2557.65</v>
      </c>
      <c r="AD2230" s="67">
        <f t="shared" si="116"/>
        <v>409.224</v>
      </c>
      <c r="AE2230" s="67">
        <f t="shared" si="117"/>
        <v>2966.874</v>
      </c>
      <c r="AF2230" s="67">
        <f t="shared" si="105"/>
        <v>2497.47</v>
      </c>
      <c r="AG2230" s="67">
        <f t="shared" si="118"/>
        <v>399.5952</v>
      </c>
      <c r="AH2230" s="67">
        <f t="shared" si="119"/>
        <v>2897.0652</v>
      </c>
      <c r="AI2230" s="67">
        <f t="shared" si="108"/>
        <v>2407.2</v>
      </c>
      <c r="AJ2230" s="68">
        <f t="shared" si="120"/>
        <v>385.152</v>
      </c>
      <c r="AK2230" s="68">
        <f t="shared" si="121"/>
        <v>2792.352</v>
      </c>
      <c r="AL2230" s="70"/>
      <c r="AM2230" s="70"/>
      <c r="AN2230" s="71"/>
      <c r="AO2230" s="71"/>
      <c r="AP2230" s="71"/>
      <c r="AQ2230" s="71"/>
      <c r="AR2230" s="71"/>
      <c r="AS2230" s="71"/>
      <c r="AT2230" s="71"/>
      <c r="AU2230" s="71"/>
      <c r="AV2230" s="71"/>
      <c r="AW2230" s="71"/>
      <c r="AX2230" s="71"/>
      <c r="AY2230" s="71"/>
      <c r="AZ2230" s="71"/>
      <c r="BA2230" s="71"/>
      <c r="BB2230" s="71"/>
      <c r="BC2230" s="71"/>
      <c r="BD2230" s="71"/>
      <c r="BE2230" s="71"/>
      <c r="BF2230" s="71"/>
      <c r="BG2230" s="71"/>
      <c r="BH2230" s="71"/>
      <c r="BI2230" s="71"/>
      <c r="BJ2230" s="71"/>
      <c r="BK2230" s="71"/>
      <c r="BL2230" s="71"/>
      <c r="BM2230" s="71"/>
      <c r="BN2230" s="71"/>
      <c r="BO2230" s="71"/>
      <c r="BP2230" s="71"/>
      <c r="BQ2230" s="71"/>
      <c r="BR2230" s="71"/>
      <c r="BS2230" s="71"/>
      <c r="BT2230" s="71"/>
      <c r="BU2230" s="71"/>
      <c r="BV2230" s="71"/>
    </row>
    <row r="2231">
      <c r="A2231" s="53"/>
      <c r="B2231" s="53"/>
      <c r="C2231" s="120" t="s">
        <v>603</v>
      </c>
      <c r="D2231" s="53" t="s">
        <v>5421</v>
      </c>
      <c r="E2231" s="54" t="s">
        <v>38</v>
      </c>
      <c r="F2231" s="54" t="s">
        <v>42</v>
      </c>
      <c r="G2231" s="193" t="s">
        <v>5422</v>
      </c>
      <c r="H2231" s="195" t="s">
        <v>5423</v>
      </c>
      <c r="I2231" s="54">
        <f t="shared" si="24"/>
        <v>40</v>
      </c>
      <c r="J2231" s="56"/>
      <c r="K2231" s="57"/>
      <c r="L2231" s="76" t="s">
        <v>661</v>
      </c>
      <c r="M2231" s="59"/>
      <c r="N2231" s="79"/>
      <c r="O2231" s="61">
        <v>1980.0</v>
      </c>
      <c r="P2231" s="62">
        <v>2138.4</v>
      </c>
      <c r="Q2231" s="63">
        <v>2138.4</v>
      </c>
      <c r="R2231" s="64">
        <v>2245.0</v>
      </c>
      <c r="S2231" s="111">
        <v>2357.0</v>
      </c>
      <c r="T2231" s="65">
        <f t="shared" si="93"/>
        <v>377.12</v>
      </c>
      <c r="U2231" s="65">
        <f t="shared" si="94"/>
        <v>2734.12</v>
      </c>
      <c r="V2231" s="66">
        <f t="shared" si="111"/>
        <v>0.04988864143</v>
      </c>
      <c r="W2231" s="67">
        <f t="shared" si="96"/>
        <v>2239.15</v>
      </c>
      <c r="X2231" s="67">
        <f t="shared" si="112"/>
        <v>358.264</v>
      </c>
      <c r="Y2231" s="67">
        <f t="shared" si="113"/>
        <v>2597.414</v>
      </c>
      <c r="Z2231" s="67">
        <f t="shared" si="99"/>
        <v>2121.3</v>
      </c>
      <c r="AA2231" s="67">
        <f t="shared" si="114"/>
        <v>339.408</v>
      </c>
      <c r="AB2231" s="67">
        <f t="shared" si="115"/>
        <v>2460.708</v>
      </c>
      <c r="AC2231" s="67">
        <f t="shared" si="102"/>
        <v>2003.45</v>
      </c>
      <c r="AD2231" s="67">
        <f t="shared" si="116"/>
        <v>320.552</v>
      </c>
      <c r="AE2231" s="67">
        <f t="shared" si="117"/>
        <v>2324.002</v>
      </c>
      <c r="AF2231" s="67">
        <f t="shared" si="105"/>
        <v>1956.31</v>
      </c>
      <c r="AG2231" s="67">
        <f t="shared" si="118"/>
        <v>313.0096</v>
      </c>
      <c r="AH2231" s="67">
        <f t="shared" si="119"/>
        <v>2269.3196</v>
      </c>
      <c r="AI2231" s="67">
        <f t="shared" si="108"/>
        <v>1885.6</v>
      </c>
      <c r="AJ2231" s="68">
        <f t="shared" si="120"/>
        <v>301.696</v>
      </c>
      <c r="AK2231" s="68">
        <f t="shared" si="121"/>
        <v>2187.296</v>
      </c>
      <c r="AL2231" s="70"/>
      <c r="AM2231" s="70"/>
      <c r="AN2231" s="71"/>
      <c r="AO2231" s="71"/>
      <c r="AP2231" s="71"/>
      <c r="AQ2231" s="71"/>
      <c r="AR2231" s="71"/>
      <c r="AS2231" s="71"/>
      <c r="AT2231" s="71"/>
      <c r="AU2231" s="71"/>
      <c r="AV2231" s="71"/>
      <c r="AW2231" s="71"/>
      <c r="AX2231" s="71"/>
      <c r="AY2231" s="71"/>
      <c r="AZ2231" s="71"/>
      <c r="BA2231" s="71"/>
      <c r="BB2231" s="71"/>
      <c r="BC2231" s="71"/>
      <c r="BD2231" s="71"/>
      <c r="BE2231" s="71"/>
      <c r="BF2231" s="71"/>
      <c r="BG2231" s="71"/>
      <c r="BH2231" s="71"/>
      <c r="BI2231" s="71"/>
      <c r="BJ2231" s="71"/>
      <c r="BK2231" s="71"/>
      <c r="BL2231" s="71"/>
      <c r="BM2231" s="71"/>
      <c r="BN2231" s="71"/>
      <c r="BO2231" s="71"/>
      <c r="BP2231" s="71"/>
      <c r="BQ2231" s="71"/>
      <c r="BR2231" s="71"/>
      <c r="BS2231" s="71"/>
      <c r="BT2231" s="71"/>
      <c r="BU2231" s="71"/>
      <c r="BV2231" s="71"/>
    </row>
    <row r="2232">
      <c r="A2232" s="53"/>
      <c r="B2232" s="53"/>
      <c r="C2232" s="120" t="s">
        <v>603</v>
      </c>
      <c r="D2232" s="53" t="s">
        <v>5424</v>
      </c>
      <c r="E2232" s="54" t="s">
        <v>38</v>
      </c>
      <c r="F2232" s="54" t="s">
        <v>42</v>
      </c>
      <c r="G2232" s="193" t="s">
        <v>5425</v>
      </c>
      <c r="H2232" s="195" t="s">
        <v>5426</v>
      </c>
      <c r="I2232" s="54">
        <f t="shared" si="24"/>
        <v>40</v>
      </c>
      <c r="J2232" s="56"/>
      <c r="K2232" s="57"/>
      <c r="L2232" s="76" t="s">
        <v>661</v>
      </c>
      <c r="M2232" s="59"/>
      <c r="N2232" s="79">
        <v>2497.0</v>
      </c>
      <c r="O2232" s="61">
        <v>3785.0</v>
      </c>
      <c r="P2232" s="62">
        <v>4087.8</v>
      </c>
      <c r="Q2232" s="63">
        <v>4087.8</v>
      </c>
      <c r="R2232" s="64">
        <v>4293.0</v>
      </c>
      <c r="S2232" s="111">
        <v>4508.0</v>
      </c>
      <c r="T2232" s="65">
        <f t="shared" si="93"/>
        <v>721.28</v>
      </c>
      <c r="U2232" s="65">
        <f t="shared" si="94"/>
        <v>5229.28</v>
      </c>
      <c r="V2232" s="66">
        <f t="shared" si="111"/>
        <v>0.05008152807</v>
      </c>
      <c r="W2232" s="67">
        <f t="shared" si="96"/>
        <v>4282.6</v>
      </c>
      <c r="X2232" s="67">
        <f t="shared" si="112"/>
        <v>685.216</v>
      </c>
      <c r="Y2232" s="67">
        <f t="shared" si="113"/>
        <v>4967.816</v>
      </c>
      <c r="Z2232" s="67">
        <f t="shared" si="99"/>
        <v>4057.2</v>
      </c>
      <c r="AA2232" s="67">
        <f t="shared" si="114"/>
        <v>649.152</v>
      </c>
      <c r="AB2232" s="67">
        <f t="shared" si="115"/>
        <v>4706.352</v>
      </c>
      <c r="AC2232" s="67">
        <f t="shared" si="102"/>
        <v>3831.8</v>
      </c>
      <c r="AD2232" s="67">
        <f t="shared" si="116"/>
        <v>613.088</v>
      </c>
      <c r="AE2232" s="67">
        <f t="shared" si="117"/>
        <v>4444.888</v>
      </c>
      <c r="AF2232" s="67">
        <f t="shared" si="105"/>
        <v>3741.64</v>
      </c>
      <c r="AG2232" s="67">
        <f t="shared" si="118"/>
        <v>598.6624</v>
      </c>
      <c r="AH2232" s="67">
        <f t="shared" si="119"/>
        <v>4340.3024</v>
      </c>
      <c r="AI2232" s="67">
        <f t="shared" si="108"/>
        <v>3606.4</v>
      </c>
      <c r="AJ2232" s="68">
        <f t="shared" si="120"/>
        <v>577.024</v>
      </c>
      <c r="AK2232" s="68">
        <f t="shared" si="121"/>
        <v>4183.424</v>
      </c>
      <c r="AL2232" s="70"/>
      <c r="AM2232" s="70"/>
      <c r="AN2232" s="71"/>
      <c r="AO2232" s="71"/>
      <c r="AP2232" s="71"/>
      <c r="AQ2232" s="71"/>
      <c r="AR2232" s="71"/>
      <c r="AS2232" s="71"/>
      <c r="AT2232" s="71"/>
      <c r="AU2232" s="71"/>
      <c r="AV2232" s="71"/>
      <c r="AW2232" s="71"/>
      <c r="AX2232" s="71"/>
      <c r="AY2232" s="71"/>
      <c r="AZ2232" s="71"/>
      <c r="BA2232" s="71"/>
      <c r="BB2232" s="71"/>
      <c r="BC2232" s="71"/>
      <c r="BD2232" s="71"/>
      <c r="BE2232" s="71"/>
      <c r="BF2232" s="71"/>
      <c r="BG2232" s="71"/>
      <c r="BH2232" s="71"/>
      <c r="BI2232" s="71"/>
      <c r="BJ2232" s="71"/>
      <c r="BK2232" s="71"/>
      <c r="BL2232" s="71"/>
      <c r="BM2232" s="71"/>
      <c r="BN2232" s="71"/>
      <c r="BO2232" s="71"/>
      <c r="BP2232" s="71"/>
      <c r="BQ2232" s="71"/>
      <c r="BR2232" s="71"/>
      <c r="BS2232" s="71"/>
      <c r="BT2232" s="71"/>
      <c r="BU2232" s="71"/>
      <c r="BV2232" s="71"/>
    </row>
    <row r="2233">
      <c r="A2233" s="53"/>
      <c r="B2233" s="53"/>
      <c r="C2233" s="120" t="s">
        <v>603</v>
      </c>
      <c r="D2233" s="128" t="s">
        <v>5427</v>
      </c>
      <c r="E2233" s="54" t="s">
        <v>38</v>
      </c>
      <c r="F2233" s="54" t="s">
        <v>42</v>
      </c>
      <c r="G2233" s="193" t="s">
        <v>5428</v>
      </c>
      <c r="H2233" s="195" t="s">
        <v>5429</v>
      </c>
      <c r="I2233" s="54">
        <f t="shared" si="24"/>
        <v>39</v>
      </c>
      <c r="J2233" s="56"/>
      <c r="K2233" s="57"/>
      <c r="L2233" s="76" t="s">
        <v>661</v>
      </c>
      <c r="M2233" s="59"/>
      <c r="N2233" s="60"/>
      <c r="O2233" s="129">
        <v>3785.0</v>
      </c>
      <c r="P2233" s="62">
        <v>4087.8</v>
      </c>
      <c r="Q2233" s="63">
        <v>4087.8</v>
      </c>
      <c r="R2233" s="64">
        <v>4293.0</v>
      </c>
      <c r="S2233" s="111">
        <v>4508.0</v>
      </c>
      <c r="T2233" s="65">
        <f t="shared" si="93"/>
        <v>721.28</v>
      </c>
      <c r="U2233" s="65">
        <f t="shared" si="94"/>
        <v>5229.28</v>
      </c>
      <c r="V2233" s="66">
        <f t="shared" si="111"/>
        <v>0.05008152807</v>
      </c>
      <c r="W2233" s="67">
        <f t="shared" si="96"/>
        <v>4282.6</v>
      </c>
      <c r="X2233" s="67">
        <f t="shared" si="112"/>
        <v>685.216</v>
      </c>
      <c r="Y2233" s="67">
        <f t="shared" si="113"/>
        <v>4967.816</v>
      </c>
      <c r="Z2233" s="67">
        <f t="shared" si="99"/>
        <v>4057.2</v>
      </c>
      <c r="AA2233" s="67">
        <f t="shared" si="114"/>
        <v>649.152</v>
      </c>
      <c r="AB2233" s="67">
        <f t="shared" si="115"/>
        <v>4706.352</v>
      </c>
      <c r="AC2233" s="67">
        <f t="shared" si="102"/>
        <v>3831.8</v>
      </c>
      <c r="AD2233" s="67">
        <f t="shared" si="116"/>
        <v>613.088</v>
      </c>
      <c r="AE2233" s="67">
        <f t="shared" si="117"/>
        <v>4444.888</v>
      </c>
      <c r="AF2233" s="67">
        <f t="shared" si="105"/>
        <v>3741.64</v>
      </c>
      <c r="AG2233" s="67">
        <f t="shared" si="118"/>
        <v>598.6624</v>
      </c>
      <c r="AH2233" s="67">
        <f t="shared" si="119"/>
        <v>4340.3024</v>
      </c>
      <c r="AI2233" s="67">
        <f t="shared" si="108"/>
        <v>3606.4</v>
      </c>
      <c r="AJ2233" s="68">
        <f t="shared" si="120"/>
        <v>577.024</v>
      </c>
      <c r="AK2233" s="68">
        <f t="shared" si="121"/>
        <v>4183.424</v>
      </c>
      <c r="AL2233" s="70"/>
      <c r="AM2233" s="70"/>
      <c r="AN2233" s="71"/>
      <c r="AO2233" s="71"/>
      <c r="AP2233" s="71"/>
      <c r="AQ2233" s="71"/>
      <c r="AR2233" s="71"/>
      <c r="AS2233" s="71"/>
      <c r="AT2233" s="71"/>
      <c r="AU2233" s="71"/>
      <c r="AV2233" s="71"/>
      <c r="AW2233" s="71"/>
      <c r="AX2233" s="71"/>
      <c r="AY2233" s="71"/>
      <c r="AZ2233" s="71"/>
      <c r="BA2233" s="71"/>
      <c r="BB2233" s="71"/>
      <c r="BC2233" s="71"/>
      <c r="BD2233" s="71"/>
      <c r="BE2233" s="71"/>
      <c r="BF2233" s="71"/>
      <c r="BG2233" s="71"/>
      <c r="BH2233" s="71"/>
      <c r="BI2233" s="71"/>
      <c r="BJ2233" s="71"/>
      <c r="BK2233" s="71"/>
      <c r="BL2233" s="71"/>
      <c r="BM2233" s="71"/>
      <c r="BN2233" s="71"/>
      <c r="BO2233" s="71"/>
      <c r="BP2233" s="71"/>
      <c r="BQ2233" s="71"/>
      <c r="BR2233" s="71"/>
      <c r="BS2233" s="71"/>
      <c r="BT2233" s="71"/>
      <c r="BU2233" s="71"/>
      <c r="BV2233" s="71"/>
    </row>
    <row r="2234">
      <c r="A2234" s="53"/>
      <c r="B2234" s="53"/>
      <c r="C2234" s="73" t="s">
        <v>53</v>
      </c>
      <c r="D2234" s="53" t="s">
        <v>5430</v>
      </c>
      <c r="E2234" s="54" t="s">
        <v>38</v>
      </c>
      <c r="F2234" s="54" t="s">
        <v>42</v>
      </c>
      <c r="G2234" s="193" t="s">
        <v>5431</v>
      </c>
      <c r="H2234" s="193" t="s">
        <v>5432</v>
      </c>
      <c r="I2234" s="54">
        <f t="shared" si="24"/>
        <v>40</v>
      </c>
      <c r="J2234" s="56"/>
      <c r="K2234" s="57"/>
      <c r="L2234" s="76" t="s">
        <v>661</v>
      </c>
      <c r="M2234" s="59"/>
      <c r="N2234" s="60"/>
      <c r="O2234" s="90"/>
      <c r="P2234" s="62">
        <v>8858.0</v>
      </c>
      <c r="Q2234" s="63">
        <v>8858.0</v>
      </c>
      <c r="R2234" s="64">
        <v>9301.0</v>
      </c>
      <c r="S2234" s="111">
        <v>9766.0</v>
      </c>
      <c r="T2234" s="65">
        <f t="shared" si="93"/>
        <v>1562.56</v>
      </c>
      <c r="U2234" s="65">
        <f t="shared" si="94"/>
        <v>11328.56</v>
      </c>
      <c r="V2234" s="66">
        <f t="shared" si="111"/>
        <v>0.04999462423</v>
      </c>
      <c r="W2234" s="67">
        <f t="shared" si="96"/>
        <v>9277.7</v>
      </c>
      <c r="X2234" s="67">
        <f t="shared" si="112"/>
        <v>1484.432</v>
      </c>
      <c r="Y2234" s="67">
        <f t="shared" si="113"/>
        <v>10762.132</v>
      </c>
      <c r="Z2234" s="67">
        <f t="shared" si="99"/>
        <v>8789.4</v>
      </c>
      <c r="AA2234" s="67">
        <f t="shared" si="114"/>
        <v>1406.304</v>
      </c>
      <c r="AB2234" s="67">
        <f t="shared" si="115"/>
        <v>10195.704</v>
      </c>
      <c r="AC2234" s="67">
        <f t="shared" si="102"/>
        <v>8301.1</v>
      </c>
      <c r="AD2234" s="67">
        <f t="shared" si="116"/>
        <v>1328.176</v>
      </c>
      <c r="AE2234" s="67">
        <f t="shared" si="117"/>
        <v>9629.276</v>
      </c>
      <c r="AF2234" s="67">
        <f t="shared" si="105"/>
        <v>8105.78</v>
      </c>
      <c r="AG2234" s="67">
        <f t="shared" si="118"/>
        <v>1296.9248</v>
      </c>
      <c r="AH2234" s="67">
        <f t="shared" si="119"/>
        <v>9402.7048</v>
      </c>
      <c r="AI2234" s="67">
        <f t="shared" si="108"/>
        <v>7812.8</v>
      </c>
      <c r="AJ2234" s="68">
        <f t="shared" si="120"/>
        <v>1250.048</v>
      </c>
      <c r="AK2234" s="68">
        <f t="shared" si="121"/>
        <v>9062.848</v>
      </c>
      <c r="AL2234" s="70"/>
      <c r="AM2234" s="70"/>
      <c r="AN2234" s="71"/>
      <c r="AO2234" s="71"/>
      <c r="AP2234" s="71"/>
      <c r="AQ2234" s="71"/>
      <c r="AR2234" s="71"/>
      <c r="AS2234" s="71"/>
      <c r="AT2234" s="71"/>
      <c r="AU2234" s="71"/>
      <c r="AV2234" s="71"/>
      <c r="AW2234" s="71"/>
      <c r="AX2234" s="71"/>
      <c r="AY2234" s="71"/>
      <c r="AZ2234" s="71"/>
      <c r="BA2234" s="71"/>
      <c r="BB2234" s="71"/>
      <c r="BC2234" s="71"/>
      <c r="BD2234" s="71"/>
      <c r="BE2234" s="71"/>
      <c r="BF2234" s="71"/>
      <c r="BG2234" s="71"/>
      <c r="BH2234" s="71"/>
      <c r="BI2234" s="71"/>
      <c r="BJ2234" s="71"/>
      <c r="BK2234" s="71"/>
      <c r="BL2234" s="71"/>
      <c r="BM2234" s="71"/>
      <c r="BN2234" s="71"/>
      <c r="BO2234" s="71"/>
      <c r="BP2234" s="71"/>
      <c r="BQ2234" s="71"/>
      <c r="BR2234" s="71"/>
      <c r="BS2234" s="71"/>
      <c r="BT2234" s="71"/>
      <c r="BU2234" s="71"/>
      <c r="BV2234" s="71"/>
    </row>
    <row r="2235">
      <c r="A2235" s="53"/>
      <c r="B2235" s="53"/>
      <c r="C2235" s="73" t="s">
        <v>53</v>
      </c>
      <c r="D2235" s="53" t="s">
        <v>5433</v>
      </c>
      <c r="E2235" s="54" t="s">
        <v>38</v>
      </c>
      <c r="F2235" s="54" t="s">
        <v>42</v>
      </c>
      <c r="G2235" s="193" t="s">
        <v>5431</v>
      </c>
      <c r="H2235" s="193" t="s">
        <v>5432</v>
      </c>
      <c r="I2235" s="54">
        <f t="shared" si="24"/>
        <v>40</v>
      </c>
      <c r="J2235" s="56"/>
      <c r="K2235" s="57"/>
      <c r="L2235" s="76" t="s">
        <v>661</v>
      </c>
      <c r="M2235" s="59"/>
      <c r="N2235" s="60"/>
      <c r="O2235" s="90"/>
      <c r="P2235" s="62">
        <v>8858.0</v>
      </c>
      <c r="Q2235" s="63">
        <v>8858.0</v>
      </c>
      <c r="R2235" s="64">
        <v>9301.0</v>
      </c>
      <c r="S2235" s="111">
        <v>9766.0</v>
      </c>
      <c r="T2235" s="65">
        <f t="shared" si="93"/>
        <v>1562.56</v>
      </c>
      <c r="U2235" s="65">
        <f t="shared" si="94"/>
        <v>11328.56</v>
      </c>
      <c r="V2235" s="66">
        <f t="shared" si="111"/>
        <v>0.04999462423</v>
      </c>
      <c r="W2235" s="67">
        <f t="shared" si="96"/>
        <v>9277.7</v>
      </c>
      <c r="X2235" s="67">
        <f t="shared" si="112"/>
        <v>1484.432</v>
      </c>
      <c r="Y2235" s="67">
        <f t="shared" si="113"/>
        <v>10762.132</v>
      </c>
      <c r="Z2235" s="67">
        <f t="shared" si="99"/>
        <v>8789.4</v>
      </c>
      <c r="AA2235" s="67">
        <f t="shared" si="114"/>
        <v>1406.304</v>
      </c>
      <c r="AB2235" s="67">
        <f t="shared" si="115"/>
        <v>10195.704</v>
      </c>
      <c r="AC2235" s="67">
        <f t="shared" si="102"/>
        <v>8301.1</v>
      </c>
      <c r="AD2235" s="67">
        <f t="shared" si="116"/>
        <v>1328.176</v>
      </c>
      <c r="AE2235" s="67">
        <f t="shared" si="117"/>
        <v>9629.276</v>
      </c>
      <c r="AF2235" s="67">
        <f t="shared" si="105"/>
        <v>8105.78</v>
      </c>
      <c r="AG2235" s="67">
        <f t="shared" si="118"/>
        <v>1296.9248</v>
      </c>
      <c r="AH2235" s="67">
        <f t="shared" si="119"/>
        <v>9402.7048</v>
      </c>
      <c r="AI2235" s="67">
        <f t="shared" si="108"/>
        <v>7812.8</v>
      </c>
      <c r="AJ2235" s="68">
        <f t="shared" si="120"/>
        <v>1250.048</v>
      </c>
      <c r="AK2235" s="68">
        <f t="shared" si="121"/>
        <v>9062.848</v>
      </c>
      <c r="AL2235" s="70"/>
      <c r="AM2235" s="70"/>
      <c r="AN2235" s="71"/>
      <c r="AO2235" s="71"/>
      <c r="AP2235" s="71"/>
      <c r="AQ2235" s="71"/>
      <c r="AR2235" s="71"/>
      <c r="AS2235" s="71"/>
      <c r="AT2235" s="71"/>
      <c r="AU2235" s="71"/>
      <c r="AV2235" s="71"/>
      <c r="AW2235" s="71"/>
      <c r="AX2235" s="71"/>
      <c r="AY2235" s="71"/>
      <c r="AZ2235" s="71"/>
      <c r="BA2235" s="71"/>
      <c r="BB2235" s="71"/>
      <c r="BC2235" s="71"/>
      <c r="BD2235" s="71"/>
      <c r="BE2235" s="71"/>
      <c r="BF2235" s="71"/>
      <c r="BG2235" s="71"/>
      <c r="BH2235" s="71"/>
      <c r="BI2235" s="71"/>
      <c r="BJ2235" s="71"/>
      <c r="BK2235" s="71"/>
      <c r="BL2235" s="71"/>
      <c r="BM2235" s="71"/>
      <c r="BN2235" s="71"/>
      <c r="BO2235" s="71"/>
      <c r="BP2235" s="71"/>
      <c r="BQ2235" s="71"/>
      <c r="BR2235" s="71"/>
      <c r="BS2235" s="71"/>
      <c r="BT2235" s="71"/>
      <c r="BU2235" s="71"/>
      <c r="BV2235" s="71"/>
    </row>
    <row r="2236">
      <c r="A2236" s="53"/>
      <c r="B2236" s="53"/>
      <c r="C2236" s="120" t="s">
        <v>603</v>
      </c>
      <c r="D2236" s="53" t="s">
        <v>5434</v>
      </c>
      <c r="E2236" s="54" t="s">
        <v>38</v>
      </c>
      <c r="F2236" s="54" t="s">
        <v>42</v>
      </c>
      <c r="G2236" s="193" t="s">
        <v>5435</v>
      </c>
      <c r="H2236" s="195" t="s">
        <v>5436</v>
      </c>
      <c r="I2236" s="54">
        <f t="shared" si="24"/>
        <v>39</v>
      </c>
      <c r="J2236" s="56"/>
      <c r="K2236" s="57"/>
      <c r="L2236" s="76" t="s">
        <v>661</v>
      </c>
      <c r="M2236" s="59"/>
      <c r="N2236" s="79"/>
      <c r="O2236" s="61">
        <v>7377.0</v>
      </c>
      <c r="P2236" s="62">
        <v>7967.160000000001</v>
      </c>
      <c r="Q2236" s="63">
        <v>7967.160000000001</v>
      </c>
      <c r="R2236" s="64">
        <v>8366.0</v>
      </c>
      <c r="S2236" s="111">
        <v>8784.0</v>
      </c>
      <c r="T2236" s="65">
        <f t="shared" si="93"/>
        <v>1405.44</v>
      </c>
      <c r="U2236" s="65">
        <f t="shared" si="94"/>
        <v>10189.44</v>
      </c>
      <c r="V2236" s="66">
        <f t="shared" si="111"/>
        <v>0.04996414057</v>
      </c>
      <c r="W2236" s="67">
        <f t="shared" si="96"/>
        <v>8344.8</v>
      </c>
      <c r="X2236" s="67">
        <f t="shared" si="112"/>
        <v>1335.168</v>
      </c>
      <c r="Y2236" s="67">
        <f t="shared" si="113"/>
        <v>9679.968</v>
      </c>
      <c r="Z2236" s="67">
        <f t="shared" si="99"/>
        <v>7905.6</v>
      </c>
      <c r="AA2236" s="67">
        <f t="shared" si="114"/>
        <v>1264.896</v>
      </c>
      <c r="AB2236" s="67">
        <f t="shared" si="115"/>
        <v>9170.496</v>
      </c>
      <c r="AC2236" s="67">
        <f t="shared" si="102"/>
        <v>7466.4</v>
      </c>
      <c r="AD2236" s="67">
        <f t="shared" si="116"/>
        <v>1194.624</v>
      </c>
      <c r="AE2236" s="67">
        <f t="shared" si="117"/>
        <v>8661.024</v>
      </c>
      <c r="AF2236" s="67">
        <f t="shared" si="105"/>
        <v>7290.72</v>
      </c>
      <c r="AG2236" s="67">
        <f t="shared" si="118"/>
        <v>1166.5152</v>
      </c>
      <c r="AH2236" s="67">
        <f t="shared" si="119"/>
        <v>8457.2352</v>
      </c>
      <c r="AI2236" s="67">
        <f t="shared" si="108"/>
        <v>7027.2</v>
      </c>
      <c r="AJ2236" s="68">
        <f t="shared" si="120"/>
        <v>1124.352</v>
      </c>
      <c r="AK2236" s="68">
        <f t="shared" si="121"/>
        <v>8151.552</v>
      </c>
      <c r="AL2236" s="70"/>
      <c r="AM2236" s="70"/>
      <c r="AN2236" s="71"/>
      <c r="AO2236" s="71"/>
      <c r="AP2236" s="71"/>
      <c r="AQ2236" s="71"/>
      <c r="AR2236" s="71"/>
      <c r="AS2236" s="71"/>
      <c r="AT2236" s="71"/>
      <c r="AU2236" s="71"/>
      <c r="AV2236" s="71"/>
      <c r="AW2236" s="71"/>
      <c r="AX2236" s="71"/>
      <c r="AY2236" s="71"/>
      <c r="AZ2236" s="71"/>
      <c r="BA2236" s="71"/>
      <c r="BB2236" s="71"/>
      <c r="BC2236" s="71"/>
      <c r="BD2236" s="71"/>
      <c r="BE2236" s="71"/>
      <c r="BF2236" s="71"/>
      <c r="BG2236" s="71"/>
      <c r="BH2236" s="71"/>
      <c r="BI2236" s="71"/>
      <c r="BJ2236" s="71"/>
      <c r="BK2236" s="71"/>
      <c r="BL2236" s="71"/>
      <c r="BM2236" s="71"/>
      <c r="BN2236" s="71"/>
      <c r="BO2236" s="71"/>
      <c r="BP2236" s="71"/>
      <c r="BQ2236" s="71"/>
      <c r="BR2236" s="71"/>
      <c r="BS2236" s="71"/>
      <c r="BT2236" s="71"/>
      <c r="BU2236" s="71"/>
      <c r="BV2236" s="71"/>
    </row>
    <row r="2237">
      <c r="A2237" s="53"/>
      <c r="B2237" s="53"/>
      <c r="C2237" s="53" t="s">
        <v>53</v>
      </c>
      <c r="D2237" s="53" t="s">
        <v>5437</v>
      </c>
      <c r="E2237" s="54" t="s">
        <v>38</v>
      </c>
      <c r="F2237" s="55" t="s">
        <v>42</v>
      </c>
      <c r="G2237" s="193" t="s">
        <v>5438</v>
      </c>
      <c r="H2237" s="193" t="s">
        <v>5439</v>
      </c>
      <c r="I2237" s="54">
        <f t="shared" si="24"/>
        <v>39</v>
      </c>
      <c r="J2237" s="56"/>
      <c r="K2237" s="57"/>
      <c r="L2237" s="76" t="s">
        <v>661</v>
      </c>
      <c r="M2237" s="59"/>
      <c r="N2237" s="60"/>
      <c r="O2237" s="90"/>
      <c r="P2237" s="62">
        <v>6700.0</v>
      </c>
      <c r="Q2237" s="63">
        <v>6700.0</v>
      </c>
      <c r="R2237" s="64">
        <v>7035.0</v>
      </c>
      <c r="S2237" s="111">
        <v>7387.0</v>
      </c>
      <c r="T2237" s="65">
        <f t="shared" si="93"/>
        <v>1181.92</v>
      </c>
      <c r="U2237" s="65">
        <f t="shared" si="94"/>
        <v>8568.92</v>
      </c>
      <c r="V2237" s="66">
        <f t="shared" si="111"/>
        <v>0.0500355366</v>
      </c>
      <c r="W2237" s="67">
        <f t="shared" si="96"/>
        <v>7017.65</v>
      </c>
      <c r="X2237" s="67">
        <f t="shared" si="112"/>
        <v>1122.824</v>
      </c>
      <c r="Y2237" s="67">
        <f t="shared" si="113"/>
        <v>8140.474</v>
      </c>
      <c r="Z2237" s="67">
        <f t="shared" si="99"/>
        <v>6648.3</v>
      </c>
      <c r="AA2237" s="67">
        <f t="shared" si="114"/>
        <v>1063.728</v>
      </c>
      <c r="AB2237" s="67">
        <f t="shared" si="115"/>
        <v>7712.028</v>
      </c>
      <c r="AC2237" s="67">
        <f t="shared" si="102"/>
        <v>6278.95</v>
      </c>
      <c r="AD2237" s="67">
        <f t="shared" si="116"/>
        <v>1004.632</v>
      </c>
      <c r="AE2237" s="67">
        <f t="shared" si="117"/>
        <v>7283.582</v>
      </c>
      <c r="AF2237" s="67">
        <f t="shared" si="105"/>
        <v>6131.21</v>
      </c>
      <c r="AG2237" s="67">
        <f t="shared" si="118"/>
        <v>980.9936</v>
      </c>
      <c r="AH2237" s="67">
        <f t="shared" si="119"/>
        <v>7112.2036</v>
      </c>
      <c r="AI2237" s="67">
        <f t="shared" si="108"/>
        <v>5909.6</v>
      </c>
      <c r="AJ2237" s="68">
        <f t="shared" si="120"/>
        <v>945.536</v>
      </c>
      <c r="AK2237" s="68">
        <f t="shared" si="121"/>
        <v>6855.136</v>
      </c>
      <c r="AL2237" s="70"/>
      <c r="AM2237" s="70"/>
      <c r="AN2237" s="71"/>
      <c r="AO2237" s="71"/>
      <c r="AP2237" s="71"/>
      <c r="AQ2237" s="71"/>
      <c r="AR2237" s="71"/>
      <c r="AS2237" s="71"/>
      <c r="AT2237" s="71"/>
      <c r="AU2237" s="71"/>
      <c r="AV2237" s="71"/>
      <c r="AW2237" s="71"/>
      <c r="AX2237" s="71"/>
      <c r="AY2237" s="71"/>
      <c r="AZ2237" s="71"/>
      <c r="BA2237" s="71"/>
      <c r="BB2237" s="71"/>
      <c r="BC2237" s="71"/>
      <c r="BD2237" s="71"/>
      <c r="BE2237" s="71"/>
      <c r="BF2237" s="71"/>
      <c r="BG2237" s="71"/>
      <c r="BH2237" s="71"/>
      <c r="BI2237" s="71"/>
      <c r="BJ2237" s="71"/>
      <c r="BK2237" s="71"/>
      <c r="BL2237" s="71"/>
      <c r="BM2237" s="71"/>
      <c r="BN2237" s="71"/>
      <c r="BO2237" s="71"/>
      <c r="BP2237" s="71"/>
      <c r="BQ2237" s="71"/>
      <c r="BR2237" s="71"/>
      <c r="BS2237" s="71"/>
      <c r="BT2237" s="71"/>
      <c r="BU2237" s="71"/>
      <c r="BV2237" s="71"/>
    </row>
    <row r="2238">
      <c r="A2238" s="53"/>
      <c r="B2238" s="53"/>
      <c r="C2238" s="120" t="s">
        <v>603</v>
      </c>
      <c r="D2238" s="128" t="s">
        <v>5440</v>
      </c>
      <c r="E2238" s="54" t="s">
        <v>38</v>
      </c>
      <c r="F2238" s="54" t="s">
        <v>42</v>
      </c>
      <c r="G2238" s="196" t="s">
        <v>5441</v>
      </c>
      <c r="H2238" s="195" t="s">
        <v>5442</v>
      </c>
      <c r="I2238" s="54">
        <f t="shared" si="24"/>
        <v>30</v>
      </c>
      <c r="J2238" s="56"/>
      <c r="K2238" s="57"/>
      <c r="L2238" s="76" t="s">
        <v>661</v>
      </c>
      <c r="M2238" s="59"/>
      <c r="N2238" s="60">
        <v>2799.3</v>
      </c>
      <c r="O2238" s="129">
        <v>3785.0</v>
      </c>
      <c r="P2238" s="62">
        <v>4087.8</v>
      </c>
      <c r="Q2238" s="63">
        <v>4087.8</v>
      </c>
      <c r="R2238" s="64">
        <v>4293.0</v>
      </c>
      <c r="S2238" s="111">
        <v>4508.0</v>
      </c>
      <c r="T2238" s="65">
        <f t="shared" si="93"/>
        <v>721.28</v>
      </c>
      <c r="U2238" s="65">
        <f t="shared" si="94"/>
        <v>5229.28</v>
      </c>
      <c r="V2238" s="66">
        <f t="shared" si="111"/>
        <v>0.05008152807</v>
      </c>
      <c r="W2238" s="67">
        <f t="shared" si="96"/>
        <v>4282.6</v>
      </c>
      <c r="X2238" s="67">
        <f t="shared" si="112"/>
        <v>685.216</v>
      </c>
      <c r="Y2238" s="67">
        <f t="shared" si="113"/>
        <v>4967.816</v>
      </c>
      <c r="Z2238" s="67">
        <f t="shared" si="99"/>
        <v>4057.2</v>
      </c>
      <c r="AA2238" s="67">
        <f t="shared" si="114"/>
        <v>649.152</v>
      </c>
      <c r="AB2238" s="67">
        <f t="shared" si="115"/>
        <v>4706.352</v>
      </c>
      <c r="AC2238" s="67">
        <f t="shared" si="102"/>
        <v>3831.8</v>
      </c>
      <c r="AD2238" s="67">
        <f t="shared" si="116"/>
        <v>613.088</v>
      </c>
      <c r="AE2238" s="67">
        <f t="shared" si="117"/>
        <v>4444.888</v>
      </c>
      <c r="AF2238" s="67">
        <f t="shared" si="105"/>
        <v>3741.64</v>
      </c>
      <c r="AG2238" s="67">
        <f t="shared" si="118"/>
        <v>598.6624</v>
      </c>
      <c r="AH2238" s="67">
        <f t="shared" si="119"/>
        <v>4340.3024</v>
      </c>
      <c r="AI2238" s="67">
        <f t="shared" si="108"/>
        <v>3606.4</v>
      </c>
      <c r="AJ2238" s="68">
        <f t="shared" si="120"/>
        <v>577.024</v>
      </c>
      <c r="AK2238" s="68">
        <f t="shared" si="121"/>
        <v>4183.424</v>
      </c>
      <c r="AL2238" s="70"/>
      <c r="AM2238" s="70"/>
      <c r="AN2238" s="71"/>
      <c r="AO2238" s="71"/>
      <c r="AP2238" s="71"/>
      <c r="AQ2238" s="71"/>
      <c r="AR2238" s="71"/>
      <c r="AS2238" s="71"/>
      <c r="AT2238" s="71"/>
      <c r="AU2238" s="71"/>
      <c r="AV2238" s="71"/>
      <c r="AW2238" s="71"/>
      <c r="AX2238" s="71"/>
      <c r="AY2238" s="71"/>
      <c r="AZ2238" s="71"/>
      <c r="BA2238" s="71"/>
      <c r="BB2238" s="71"/>
      <c r="BC2238" s="71"/>
      <c r="BD2238" s="71"/>
      <c r="BE2238" s="71"/>
      <c r="BF2238" s="71"/>
      <c r="BG2238" s="71"/>
      <c r="BH2238" s="71"/>
      <c r="BI2238" s="71"/>
      <c r="BJ2238" s="71"/>
      <c r="BK2238" s="71"/>
      <c r="BL2238" s="71"/>
      <c r="BM2238" s="71"/>
      <c r="BN2238" s="71"/>
      <c r="BO2238" s="71"/>
      <c r="BP2238" s="71"/>
      <c r="BQ2238" s="71"/>
      <c r="BR2238" s="71"/>
      <c r="BS2238" s="71"/>
      <c r="BT2238" s="71"/>
      <c r="BU2238" s="71"/>
      <c r="BV2238" s="71"/>
    </row>
    <row r="2239">
      <c r="A2239" s="53"/>
      <c r="B2239" s="53"/>
      <c r="C2239" s="120" t="s">
        <v>603</v>
      </c>
      <c r="D2239" s="53" t="s">
        <v>5443</v>
      </c>
      <c r="E2239" s="54" t="s">
        <v>38</v>
      </c>
      <c r="F2239" s="54" t="s">
        <v>42</v>
      </c>
      <c r="G2239" s="193" t="s">
        <v>5444</v>
      </c>
      <c r="H2239" s="195" t="s">
        <v>5445</v>
      </c>
      <c r="I2239" s="54">
        <f t="shared" si="24"/>
        <v>34</v>
      </c>
      <c r="J2239" s="56"/>
      <c r="K2239" s="57"/>
      <c r="L2239" s="76" t="s">
        <v>661</v>
      </c>
      <c r="M2239" s="59"/>
      <c r="N2239" s="79"/>
      <c r="O2239" s="61">
        <v>3022.0</v>
      </c>
      <c r="P2239" s="62">
        <v>3263.76</v>
      </c>
      <c r="Q2239" s="63">
        <v>3263.76</v>
      </c>
      <c r="R2239" s="64">
        <v>3428.0</v>
      </c>
      <c r="S2239" s="111">
        <v>3599.0</v>
      </c>
      <c r="T2239" s="65">
        <f t="shared" si="93"/>
        <v>575.84</v>
      </c>
      <c r="U2239" s="65">
        <f t="shared" si="94"/>
        <v>4174.84</v>
      </c>
      <c r="V2239" s="66">
        <f t="shared" si="111"/>
        <v>0.04988331389</v>
      </c>
      <c r="W2239" s="67">
        <f t="shared" si="96"/>
        <v>3419.05</v>
      </c>
      <c r="X2239" s="67">
        <f t="shared" si="112"/>
        <v>547.048</v>
      </c>
      <c r="Y2239" s="67">
        <f t="shared" si="113"/>
        <v>3966.098</v>
      </c>
      <c r="Z2239" s="67">
        <f t="shared" si="99"/>
        <v>3239.1</v>
      </c>
      <c r="AA2239" s="67">
        <f t="shared" si="114"/>
        <v>518.256</v>
      </c>
      <c r="AB2239" s="67">
        <f t="shared" si="115"/>
        <v>3757.356</v>
      </c>
      <c r="AC2239" s="67">
        <f t="shared" si="102"/>
        <v>3059.15</v>
      </c>
      <c r="AD2239" s="67">
        <f t="shared" si="116"/>
        <v>489.464</v>
      </c>
      <c r="AE2239" s="67">
        <f t="shared" si="117"/>
        <v>3548.614</v>
      </c>
      <c r="AF2239" s="67">
        <f t="shared" si="105"/>
        <v>2987.17</v>
      </c>
      <c r="AG2239" s="67">
        <f t="shared" si="118"/>
        <v>477.9472</v>
      </c>
      <c r="AH2239" s="67">
        <f t="shared" si="119"/>
        <v>3465.1172</v>
      </c>
      <c r="AI2239" s="67">
        <f t="shared" si="108"/>
        <v>2879.2</v>
      </c>
      <c r="AJ2239" s="68">
        <f t="shared" si="120"/>
        <v>460.672</v>
      </c>
      <c r="AK2239" s="68">
        <f t="shared" si="121"/>
        <v>3339.872</v>
      </c>
      <c r="AL2239" s="70"/>
      <c r="AM2239" s="70"/>
      <c r="AN2239" s="71"/>
      <c r="AO2239" s="71"/>
      <c r="AP2239" s="71"/>
      <c r="AQ2239" s="71"/>
      <c r="AR2239" s="71"/>
      <c r="AS2239" s="71"/>
      <c r="AT2239" s="71"/>
      <c r="AU2239" s="71"/>
      <c r="AV2239" s="71"/>
      <c r="AW2239" s="71"/>
      <c r="AX2239" s="71"/>
      <c r="AY2239" s="71"/>
      <c r="AZ2239" s="71"/>
      <c r="BA2239" s="71"/>
      <c r="BB2239" s="71"/>
      <c r="BC2239" s="71"/>
      <c r="BD2239" s="71"/>
      <c r="BE2239" s="71"/>
      <c r="BF2239" s="71"/>
      <c r="BG2239" s="71"/>
      <c r="BH2239" s="71"/>
      <c r="BI2239" s="71"/>
      <c r="BJ2239" s="71"/>
      <c r="BK2239" s="71"/>
      <c r="BL2239" s="71"/>
      <c r="BM2239" s="71"/>
      <c r="BN2239" s="71"/>
      <c r="BO2239" s="71"/>
      <c r="BP2239" s="71"/>
      <c r="BQ2239" s="71"/>
      <c r="BR2239" s="71"/>
      <c r="BS2239" s="71"/>
      <c r="BT2239" s="71"/>
      <c r="BU2239" s="71"/>
      <c r="BV2239" s="71"/>
    </row>
    <row r="2240">
      <c r="A2240" s="53"/>
      <c r="B2240" s="53"/>
      <c r="C2240" s="120" t="s">
        <v>603</v>
      </c>
      <c r="D2240" s="128" t="s">
        <v>5446</v>
      </c>
      <c r="E2240" s="54" t="s">
        <v>38</v>
      </c>
      <c r="F2240" s="54" t="s">
        <v>42</v>
      </c>
      <c r="G2240" s="194" t="s">
        <v>5447</v>
      </c>
      <c r="H2240" s="195" t="s">
        <v>5448</v>
      </c>
      <c r="I2240" s="54">
        <f t="shared" si="24"/>
        <v>37</v>
      </c>
      <c r="J2240" s="56"/>
      <c r="K2240" s="57"/>
      <c r="L2240" s="76" t="s">
        <v>661</v>
      </c>
      <c r="M2240" s="59"/>
      <c r="N2240" s="79">
        <v>1800.0</v>
      </c>
      <c r="O2240" s="129">
        <v>1944.0</v>
      </c>
      <c r="P2240" s="62">
        <v>2099.52</v>
      </c>
      <c r="Q2240" s="63">
        <v>2099.52</v>
      </c>
      <c r="R2240" s="64">
        <v>2205.0</v>
      </c>
      <c r="S2240" s="111">
        <v>2315.0</v>
      </c>
      <c r="T2240" s="65">
        <f t="shared" si="93"/>
        <v>370.4</v>
      </c>
      <c r="U2240" s="65">
        <f t="shared" si="94"/>
        <v>2685.4</v>
      </c>
      <c r="V2240" s="66">
        <f t="shared" si="111"/>
        <v>0.04988662132</v>
      </c>
      <c r="W2240" s="67">
        <f t="shared" si="96"/>
        <v>2199.25</v>
      </c>
      <c r="X2240" s="67">
        <f t="shared" si="112"/>
        <v>351.88</v>
      </c>
      <c r="Y2240" s="67">
        <f t="shared" si="113"/>
        <v>2551.13</v>
      </c>
      <c r="Z2240" s="67">
        <f t="shared" si="99"/>
        <v>2083.5</v>
      </c>
      <c r="AA2240" s="67">
        <f t="shared" si="114"/>
        <v>333.36</v>
      </c>
      <c r="AB2240" s="67">
        <f t="shared" si="115"/>
        <v>2416.86</v>
      </c>
      <c r="AC2240" s="67">
        <f t="shared" si="102"/>
        <v>1967.75</v>
      </c>
      <c r="AD2240" s="67">
        <f t="shared" si="116"/>
        <v>314.84</v>
      </c>
      <c r="AE2240" s="67">
        <f t="shared" si="117"/>
        <v>2282.59</v>
      </c>
      <c r="AF2240" s="67">
        <f t="shared" si="105"/>
        <v>1921.45</v>
      </c>
      <c r="AG2240" s="67">
        <f t="shared" si="118"/>
        <v>307.432</v>
      </c>
      <c r="AH2240" s="67">
        <f t="shared" si="119"/>
        <v>2228.882</v>
      </c>
      <c r="AI2240" s="67">
        <f t="shared" si="108"/>
        <v>1852</v>
      </c>
      <c r="AJ2240" s="68">
        <f t="shared" si="120"/>
        <v>296.32</v>
      </c>
      <c r="AK2240" s="68">
        <f t="shared" si="121"/>
        <v>2148.32</v>
      </c>
      <c r="AL2240" s="70"/>
      <c r="AM2240" s="70"/>
      <c r="AN2240" s="71"/>
      <c r="AO2240" s="71"/>
      <c r="AP2240" s="71"/>
      <c r="AQ2240" s="71"/>
      <c r="AR2240" s="71"/>
      <c r="AS2240" s="71"/>
      <c r="AT2240" s="71"/>
      <c r="AU2240" s="71"/>
      <c r="AV2240" s="71"/>
      <c r="AW2240" s="71"/>
      <c r="AX2240" s="71"/>
      <c r="AY2240" s="71"/>
      <c r="AZ2240" s="71"/>
      <c r="BA2240" s="71"/>
      <c r="BB2240" s="71"/>
      <c r="BC2240" s="71"/>
      <c r="BD2240" s="71"/>
      <c r="BE2240" s="71"/>
      <c r="BF2240" s="71"/>
      <c r="BG2240" s="71"/>
      <c r="BH2240" s="71"/>
      <c r="BI2240" s="71"/>
      <c r="BJ2240" s="71"/>
      <c r="BK2240" s="71"/>
      <c r="BL2240" s="71"/>
      <c r="BM2240" s="71"/>
      <c r="BN2240" s="71"/>
      <c r="BO2240" s="71"/>
      <c r="BP2240" s="71"/>
      <c r="BQ2240" s="71"/>
      <c r="BR2240" s="71"/>
      <c r="BS2240" s="71"/>
      <c r="BT2240" s="71"/>
      <c r="BU2240" s="71"/>
      <c r="BV2240" s="71"/>
    </row>
    <row r="2241">
      <c r="A2241" s="53"/>
      <c r="B2241" s="53"/>
      <c r="C2241" s="120" t="s">
        <v>603</v>
      </c>
      <c r="D2241" s="53" t="s">
        <v>5449</v>
      </c>
      <c r="E2241" s="54" t="s">
        <v>38</v>
      </c>
      <c r="F2241" s="54" t="s">
        <v>42</v>
      </c>
      <c r="G2241" s="193" t="s">
        <v>5450</v>
      </c>
      <c r="H2241" s="195" t="s">
        <v>5451</v>
      </c>
      <c r="I2241" s="54">
        <f t="shared" si="24"/>
        <v>38</v>
      </c>
      <c r="J2241" s="56"/>
      <c r="K2241" s="57"/>
      <c r="L2241" s="76" t="s">
        <v>661</v>
      </c>
      <c r="M2241" s="59"/>
      <c r="N2241" s="79"/>
      <c r="O2241" s="61">
        <v>13648.0</v>
      </c>
      <c r="P2241" s="62">
        <v>14739.84</v>
      </c>
      <c r="Q2241" s="63">
        <v>14739.84</v>
      </c>
      <c r="R2241" s="64">
        <v>15477.0</v>
      </c>
      <c r="S2241" s="111">
        <v>16251.0</v>
      </c>
      <c r="T2241" s="65">
        <f t="shared" si="93"/>
        <v>2600.16</v>
      </c>
      <c r="U2241" s="65">
        <f t="shared" si="94"/>
        <v>18851.16</v>
      </c>
      <c r="V2241" s="66">
        <f t="shared" si="111"/>
        <v>0.0500096918</v>
      </c>
      <c r="W2241" s="67">
        <f t="shared" si="96"/>
        <v>15438.45</v>
      </c>
      <c r="X2241" s="67">
        <f t="shared" si="112"/>
        <v>2470.152</v>
      </c>
      <c r="Y2241" s="67">
        <f t="shared" si="113"/>
        <v>17908.602</v>
      </c>
      <c r="Z2241" s="67">
        <f t="shared" si="99"/>
        <v>14625.9</v>
      </c>
      <c r="AA2241" s="67">
        <f t="shared" si="114"/>
        <v>2340.144</v>
      </c>
      <c r="AB2241" s="67">
        <f t="shared" si="115"/>
        <v>16966.044</v>
      </c>
      <c r="AC2241" s="67">
        <f t="shared" si="102"/>
        <v>13813.35</v>
      </c>
      <c r="AD2241" s="67">
        <f t="shared" si="116"/>
        <v>2210.136</v>
      </c>
      <c r="AE2241" s="67">
        <f t="shared" si="117"/>
        <v>16023.486</v>
      </c>
      <c r="AF2241" s="67">
        <f t="shared" si="105"/>
        <v>13488.33</v>
      </c>
      <c r="AG2241" s="67">
        <f t="shared" si="118"/>
        <v>2158.1328</v>
      </c>
      <c r="AH2241" s="67">
        <f t="shared" si="119"/>
        <v>15646.4628</v>
      </c>
      <c r="AI2241" s="67">
        <f t="shared" si="108"/>
        <v>13000.8</v>
      </c>
      <c r="AJ2241" s="68">
        <f t="shared" si="120"/>
        <v>2080.128</v>
      </c>
      <c r="AK2241" s="68">
        <f t="shared" si="121"/>
        <v>15080.928</v>
      </c>
      <c r="AL2241" s="70"/>
      <c r="AM2241" s="70"/>
      <c r="AN2241" s="71"/>
      <c r="AO2241" s="71"/>
      <c r="AP2241" s="71"/>
      <c r="AQ2241" s="71"/>
      <c r="AR2241" s="71"/>
      <c r="AS2241" s="71"/>
      <c r="AT2241" s="71"/>
      <c r="AU2241" s="71"/>
      <c r="AV2241" s="71"/>
      <c r="AW2241" s="71"/>
      <c r="AX2241" s="71"/>
      <c r="AY2241" s="71"/>
      <c r="AZ2241" s="71"/>
      <c r="BA2241" s="71"/>
      <c r="BB2241" s="71"/>
      <c r="BC2241" s="71"/>
      <c r="BD2241" s="71"/>
      <c r="BE2241" s="71"/>
      <c r="BF2241" s="71"/>
      <c r="BG2241" s="71"/>
      <c r="BH2241" s="71"/>
      <c r="BI2241" s="71"/>
      <c r="BJ2241" s="71"/>
      <c r="BK2241" s="71"/>
      <c r="BL2241" s="71"/>
      <c r="BM2241" s="71"/>
      <c r="BN2241" s="71"/>
      <c r="BO2241" s="71"/>
      <c r="BP2241" s="71"/>
      <c r="BQ2241" s="71"/>
      <c r="BR2241" s="71"/>
      <c r="BS2241" s="71"/>
      <c r="BT2241" s="71"/>
      <c r="BU2241" s="71"/>
      <c r="BV2241" s="71"/>
    </row>
    <row r="2242">
      <c r="A2242" s="53"/>
      <c r="B2242" s="53"/>
      <c r="C2242" s="120" t="s">
        <v>603</v>
      </c>
      <c r="D2242" s="53" t="s">
        <v>5452</v>
      </c>
      <c r="E2242" s="54" t="s">
        <v>38</v>
      </c>
      <c r="F2242" s="54" t="s">
        <v>42</v>
      </c>
      <c r="G2242" s="193" t="s">
        <v>5453</v>
      </c>
      <c r="H2242" s="195" t="s">
        <v>5454</v>
      </c>
      <c r="I2242" s="54">
        <f t="shared" si="24"/>
        <v>34</v>
      </c>
      <c r="J2242" s="56"/>
      <c r="K2242" s="57"/>
      <c r="L2242" s="76" t="s">
        <v>661</v>
      </c>
      <c r="M2242" s="59"/>
      <c r="N2242" s="79">
        <v>4868.0</v>
      </c>
      <c r="O2242" s="61">
        <v>7377.0</v>
      </c>
      <c r="P2242" s="62">
        <v>7967.160000000001</v>
      </c>
      <c r="Q2242" s="63">
        <v>7967.160000000001</v>
      </c>
      <c r="R2242" s="64">
        <v>8366.0</v>
      </c>
      <c r="S2242" s="111">
        <v>8784.0</v>
      </c>
      <c r="T2242" s="65">
        <f t="shared" si="93"/>
        <v>1405.44</v>
      </c>
      <c r="U2242" s="65">
        <f t="shared" si="94"/>
        <v>10189.44</v>
      </c>
      <c r="V2242" s="66">
        <f t="shared" si="111"/>
        <v>0.04996414057</v>
      </c>
      <c r="W2242" s="67">
        <f t="shared" si="96"/>
        <v>8344.8</v>
      </c>
      <c r="X2242" s="67">
        <f t="shared" si="112"/>
        <v>1335.168</v>
      </c>
      <c r="Y2242" s="67">
        <f t="shared" si="113"/>
        <v>9679.968</v>
      </c>
      <c r="Z2242" s="67">
        <f t="shared" si="99"/>
        <v>7905.6</v>
      </c>
      <c r="AA2242" s="67">
        <f t="shared" si="114"/>
        <v>1264.896</v>
      </c>
      <c r="AB2242" s="67">
        <f t="shared" si="115"/>
        <v>9170.496</v>
      </c>
      <c r="AC2242" s="67">
        <f t="shared" si="102"/>
        <v>7466.4</v>
      </c>
      <c r="AD2242" s="67">
        <f t="shared" si="116"/>
        <v>1194.624</v>
      </c>
      <c r="AE2242" s="67">
        <f t="shared" si="117"/>
        <v>8661.024</v>
      </c>
      <c r="AF2242" s="67">
        <f t="shared" si="105"/>
        <v>7290.72</v>
      </c>
      <c r="AG2242" s="67">
        <f t="shared" si="118"/>
        <v>1166.5152</v>
      </c>
      <c r="AH2242" s="67">
        <f t="shared" si="119"/>
        <v>8457.2352</v>
      </c>
      <c r="AI2242" s="67">
        <f t="shared" si="108"/>
        <v>7027.2</v>
      </c>
      <c r="AJ2242" s="68">
        <f t="shared" si="120"/>
        <v>1124.352</v>
      </c>
      <c r="AK2242" s="68">
        <f t="shared" si="121"/>
        <v>8151.552</v>
      </c>
      <c r="AL2242" s="70"/>
      <c r="AM2242" s="70"/>
      <c r="AN2242" s="71"/>
      <c r="AO2242" s="71"/>
      <c r="AP2242" s="71"/>
      <c r="AQ2242" s="71"/>
      <c r="AR2242" s="71"/>
      <c r="AS2242" s="71"/>
      <c r="AT2242" s="71"/>
      <c r="AU2242" s="71"/>
      <c r="AV2242" s="71"/>
      <c r="AW2242" s="71"/>
      <c r="AX2242" s="71"/>
      <c r="AY2242" s="71"/>
      <c r="AZ2242" s="71"/>
      <c r="BA2242" s="71"/>
      <c r="BB2242" s="71"/>
      <c r="BC2242" s="71"/>
      <c r="BD2242" s="71"/>
      <c r="BE2242" s="71"/>
      <c r="BF2242" s="71"/>
      <c r="BG2242" s="71"/>
      <c r="BH2242" s="71"/>
      <c r="BI2242" s="71"/>
      <c r="BJ2242" s="71"/>
      <c r="BK2242" s="71"/>
      <c r="BL2242" s="71"/>
      <c r="BM2242" s="71"/>
      <c r="BN2242" s="71"/>
      <c r="BO2242" s="71"/>
      <c r="BP2242" s="71"/>
      <c r="BQ2242" s="71"/>
      <c r="BR2242" s="71"/>
      <c r="BS2242" s="71"/>
      <c r="BT2242" s="71"/>
      <c r="BU2242" s="71"/>
      <c r="BV2242" s="71"/>
    </row>
    <row r="2243">
      <c r="A2243" s="53"/>
      <c r="B2243" s="53"/>
      <c r="C2243" s="120" t="s">
        <v>603</v>
      </c>
      <c r="D2243" s="53" t="s">
        <v>5455</v>
      </c>
      <c r="E2243" s="54" t="s">
        <v>38</v>
      </c>
      <c r="F2243" s="54" t="s">
        <v>42</v>
      </c>
      <c r="G2243" s="193" t="s">
        <v>5456</v>
      </c>
      <c r="H2243" s="195" t="s">
        <v>5457</v>
      </c>
      <c r="I2243" s="54">
        <f t="shared" si="24"/>
        <v>33</v>
      </c>
      <c r="J2243" s="56"/>
      <c r="K2243" s="57"/>
      <c r="L2243" s="76" t="s">
        <v>661</v>
      </c>
      <c r="M2243" s="59"/>
      <c r="N2243" s="79">
        <v>3921.0</v>
      </c>
      <c r="O2243" s="61">
        <v>5941.0</v>
      </c>
      <c r="P2243" s="62">
        <v>6416.280000000001</v>
      </c>
      <c r="Q2243" s="63">
        <v>6416.280000000001</v>
      </c>
      <c r="R2243" s="64">
        <v>6737.0</v>
      </c>
      <c r="S2243" s="111">
        <v>7074.0</v>
      </c>
      <c r="T2243" s="65">
        <f t="shared" si="93"/>
        <v>1131.84</v>
      </c>
      <c r="U2243" s="65">
        <f t="shared" si="94"/>
        <v>8205.84</v>
      </c>
      <c r="V2243" s="66">
        <f t="shared" si="111"/>
        <v>0.0500222651</v>
      </c>
      <c r="W2243" s="67">
        <f t="shared" si="96"/>
        <v>6720.3</v>
      </c>
      <c r="X2243" s="67">
        <f t="shared" si="112"/>
        <v>1075.248</v>
      </c>
      <c r="Y2243" s="67">
        <f t="shared" si="113"/>
        <v>7795.548</v>
      </c>
      <c r="Z2243" s="67">
        <f t="shared" si="99"/>
        <v>6366.6</v>
      </c>
      <c r="AA2243" s="67">
        <f t="shared" si="114"/>
        <v>1018.656</v>
      </c>
      <c r="AB2243" s="67">
        <f t="shared" si="115"/>
        <v>7385.256</v>
      </c>
      <c r="AC2243" s="67">
        <f t="shared" si="102"/>
        <v>6012.9</v>
      </c>
      <c r="AD2243" s="67">
        <f t="shared" si="116"/>
        <v>962.064</v>
      </c>
      <c r="AE2243" s="67">
        <f t="shared" si="117"/>
        <v>6974.964</v>
      </c>
      <c r="AF2243" s="67">
        <f t="shared" si="105"/>
        <v>5871.42</v>
      </c>
      <c r="AG2243" s="67">
        <f t="shared" si="118"/>
        <v>939.4272</v>
      </c>
      <c r="AH2243" s="67">
        <f t="shared" si="119"/>
        <v>6810.8472</v>
      </c>
      <c r="AI2243" s="67">
        <f t="shared" si="108"/>
        <v>5659.2</v>
      </c>
      <c r="AJ2243" s="68">
        <f t="shared" si="120"/>
        <v>905.472</v>
      </c>
      <c r="AK2243" s="68">
        <f t="shared" si="121"/>
        <v>6564.672</v>
      </c>
      <c r="AL2243" s="70"/>
      <c r="AM2243" s="70"/>
      <c r="AN2243" s="71"/>
      <c r="AO2243" s="71"/>
      <c r="AP2243" s="71"/>
      <c r="AQ2243" s="71"/>
      <c r="AR2243" s="71"/>
      <c r="AS2243" s="71"/>
      <c r="AT2243" s="71"/>
      <c r="AU2243" s="71"/>
      <c r="AV2243" s="71"/>
      <c r="AW2243" s="71"/>
      <c r="AX2243" s="71"/>
      <c r="AY2243" s="71"/>
      <c r="AZ2243" s="71"/>
      <c r="BA2243" s="71"/>
      <c r="BB2243" s="71"/>
      <c r="BC2243" s="71"/>
      <c r="BD2243" s="71"/>
      <c r="BE2243" s="71"/>
      <c r="BF2243" s="71"/>
      <c r="BG2243" s="71"/>
      <c r="BH2243" s="71"/>
      <c r="BI2243" s="71"/>
      <c r="BJ2243" s="71"/>
      <c r="BK2243" s="71"/>
      <c r="BL2243" s="71"/>
      <c r="BM2243" s="71"/>
      <c r="BN2243" s="71"/>
      <c r="BO2243" s="71"/>
      <c r="BP2243" s="71"/>
      <c r="BQ2243" s="71"/>
      <c r="BR2243" s="71"/>
      <c r="BS2243" s="71"/>
      <c r="BT2243" s="71"/>
      <c r="BU2243" s="71"/>
      <c r="BV2243" s="71"/>
    </row>
    <row r="2244">
      <c r="A2244" s="53"/>
      <c r="B2244" s="53"/>
      <c r="C2244" s="120" t="s">
        <v>603</v>
      </c>
      <c r="D2244" s="128" t="s">
        <v>5458</v>
      </c>
      <c r="E2244" s="54" t="s">
        <v>38</v>
      </c>
      <c r="F2244" s="54" t="s">
        <v>42</v>
      </c>
      <c r="G2244" s="193" t="s">
        <v>5459</v>
      </c>
      <c r="H2244" s="195" t="s">
        <v>5460</v>
      </c>
      <c r="I2244" s="54">
        <f t="shared" si="24"/>
        <v>39</v>
      </c>
      <c r="J2244" s="56"/>
      <c r="K2244" s="57"/>
      <c r="L2244" s="76" t="s">
        <v>661</v>
      </c>
      <c r="M2244" s="59"/>
      <c r="N2244" s="79"/>
      <c r="O2244" s="129">
        <v>4146.0</v>
      </c>
      <c r="P2244" s="62">
        <v>4477.68</v>
      </c>
      <c r="Q2244" s="63">
        <v>4477.68</v>
      </c>
      <c r="R2244" s="64">
        <v>4702.0</v>
      </c>
      <c r="S2244" s="111">
        <v>4937.0</v>
      </c>
      <c r="T2244" s="65">
        <f t="shared" si="93"/>
        <v>789.92</v>
      </c>
      <c r="U2244" s="65">
        <f t="shared" si="94"/>
        <v>5726.92</v>
      </c>
      <c r="V2244" s="66">
        <f t="shared" si="111"/>
        <v>0.04997873245</v>
      </c>
      <c r="W2244" s="67">
        <f t="shared" si="96"/>
        <v>4690.15</v>
      </c>
      <c r="X2244" s="67">
        <f t="shared" si="112"/>
        <v>750.424</v>
      </c>
      <c r="Y2244" s="67">
        <f t="shared" si="113"/>
        <v>5440.574</v>
      </c>
      <c r="Z2244" s="67">
        <f t="shared" si="99"/>
        <v>4443.3</v>
      </c>
      <c r="AA2244" s="67">
        <f t="shared" si="114"/>
        <v>710.928</v>
      </c>
      <c r="AB2244" s="67">
        <f t="shared" si="115"/>
        <v>5154.228</v>
      </c>
      <c r="AC2244" s="67">
        <f t="shared" si="102"/>
        <v>4196.45</v>
      </c>
      <c r="AD2244" s="67">
        <f t="shared" si="116"/>
        <v>671.432</v>
      </c>
      <c r="AE2244" s="67">
        <f t="shared" si="117"/>
        <v>4867.882</v>
      </c>
      <c r="AF2244" s="67">
        <f t="shared" si="105"/>
        <v>4097.71</v>
      </c>
      <c r="AG2244" s="67">
        <f t="shared" si="118"/>
        <v>655.6336</v>
      </c>
      <c r="AH2244" s="67">
        <f t="shared" si="119"/>
        <v>4753.3436</v>
      </c>
      <c r="AI2244" s="67">
        <f t="shared" si="108"/>
        <v>3949.6</v>
      </c>
      <c r="AJ2244" s="68">
        <f t="shared" si="120"/>
        <v>631.936</v>
      </c>
      <c r="AK2244" s="68">
        <f t="shared" si="121"/>
        <v>4581.536</v>
      </c>
      <c r="AL2244" s="70"/>
      <c r="AM2244" s="70"/>
      <c r="AN2244" s="71"/>
      <c r="AO2244" s="71"/>
      <c r="AP2244" s="71"/>
      <c r="AQ2244" s="71"/>
      <c r="AR2244" s="71"/>
      <c r="AS2244" s="71"/>
      <c r="AT2244" s="71"/>
      <c r="AU2244" s="71"/>
      <c r="AV2244" s="71"/>
      <c r="AW2244" s="71"/>
      <c r="AX2244" s="71"/>
      <c r="AY2244" s="71"/>
      <c r="AZ2244" s="71"/>
      <c r="BA2244" s="71"/>
      <c r="BB2244" s="71"/>
      <c r="BC2244" s="71"/>
      <c r="BD2244" s="71"/>
      <c r="BE2244" s="71"/>
      <c r="BF2244" s="71"/>
      <c r="BG2244" s="71"/>
      <c r="BH2244" s="71"/>
      <c r="BI2244" s="71"/>
      <c r="BJ2244" s="71"/>
      <c r="BK2244" s="71"/>
      <c r="BL2244" s="71"/>
      <c r="BM2244" s="71"/>
      <c r="BN2244" s="71"/>
      <c r="BO2244" s="71"/>
      <c r="BP2244" s="71"/>
      <c r="BQ2244" s="71"/>
      <c r="BR2244" s="71"/>
      <c r="BS2244" s="71"/>
      <c r="BT2244" s="71"/>
      <c r="BU2244" s="71"/>
      <c r="BV2244" s="71"/>
    </row>
    <row r="2245">
      <c r="A2245" s="53"/>
      <c r="B2245" s="53"/>
      <c r="C2245" s="120" t="s">
        <v>603</v>
      </c>
      <c r="D2245" s="128" t="s">
        <v>5461</v>
      </c>
      <c r="E2245" s="54" t="s">
        <v>38</v>
      </c>
      <c r="F2245" s="54" t="s">
        <v>42</v>
      </c>
      <c r="G2245" s="194" t="s">
        <v>5462</v>
      </c>
      <c r="H2245" s="195" t="s">
        <v>5463</v>
      </c>
      <c r="I2245" s="54">
        <f t="shared" si="24"/>
        <v>40</v>
      </c>
      <c r="J2245" s="56"/>
      <c r="K2245" s="57"/>
      <c r="L2245" s="76" t="s">
        <v>661</v>
      </c>
      <c r="M2245" s="59"/>
      <c r="N2245" s="79">
        <v>4300.0</v>
      </c>
      <c r="O2245" s="129">
        <v>7377.0</v>
      </c>
      <c r="P2245" s="62">
        <v>7967.160000000001</v>
      </c>
      <c r="Q2245" s="63">
        <v>7967.160000000001</v>
      </c>
      <c r="R2245" s="64">
        <v>8366.0</v>
      </c>
      <c r="S2245" s="111">
        <v>8784.0</v>
      </c>
      <c r="T2245" s="65">
        <f t="shared" si="93"/>
        <v>1405.44</v>
      </c>
      <c r="U2245" s="65">
        <f t="shared" si="94"/>
        <v>10189.44</v>
      </c>
      <c r="V2245" s="66">
        <f t="shared" si="111"/>
        <v>0.04996414057</v>
      </c>
      <c r="W2245" s="67">
        <f t="shared" si="96"/>
        <v>8344.8</v>
      </c>
      <c r="X2245" s="67">
        <f t="shared" si="112"/>
        <v>1335.168</v>
      </c>
      <c r="Y2245" s="67">
        <f t="shared" si="113"/>
        <v>9679.968</v>
      </c>
      <c r="Z2245" s="67">
        <f t="shared" si="99"/>
        <v>7905.6</v>
      </c>
      <c r="AA2245" s="67">
        <f t="shared" si="114"/>
        <v>1264.896</v>
      </c>
      <c r="AB2245" s="67">
        <f t="shared" si="115"/>
        <v>9170.496</v>
      </c>
      <c r="AC2245" s="67">
        <f t="shared" si="102"/>
        <v>7466.4</v>
      </c>
      <c r="AD2245" s="67">
        <f t="shared" si="116"/>
        <v>1194.624</v>
      </c>
      <c r="AE2245" s="67">
        <f t="shared" si="117"/>
        <v>8661.024</v>
      </c>
      <c r="AF2245" s="67">
        <f t="shared" si="105"/>
        <v>7290.72</v>
      </c>
      <c r="AG2245" s="67">
        <f t="shared" si="118"/>
        <v>1166.5152</v>
      </c>
      <c r="AH2245" s="67">
        <f t="shared" si="119"/>
        <v>8457.2352</v>
      </c>
      <c r="AI2245" s="67">
        <f t="shared" si="108"/>
        <v>7027.2</v>
      </c>
      <c r="AJ2245" s="68">
        <f t="shared" si="120"/>
        <v>1124.352</v>
      </c>
      <c r="AK2245" s="68">
        <f t="shared" si="121"/>
        <v>8151.552</v>
      </c>
      <c r="AL2245" s="70"/>
      <c r="AM2245" s="70"/>
      <c r="AN2245" s="71"/>
      <c r="AO2245" s="71"/>
      <c r="AP2245" s="71"/>
      <c r="AQ2245" s="71"/>
      <c r="AR2245" s="71"/>
      <c r="AS2245" s="71"/>
      <c r="AT2245" s="71"/>
      <c r="AU2245" s="71"/>
      <c r="AV2245" s="71"/>
      <c r="AW2245" s="71"/>
      <c r="AX2245" s="71"/>
      <c r="AY2245" s="71"/>
      <c r="AZ2245" s="71"/>
      <c r="BA2245" s="71"/>
      <c r="BB2245" s="71"/>
      <c r="BC2245" s="71"/>
      <c r="BD2245" s="71"/>
      <c r="BE2245" s="71"/>
      <c r="BF2245" s="71"/>
      <c r="BG2245" s="71"/>
      <c r="BH2245" s="71"/>
      <c r="BI2245" s="71"/>
      <c r="BJ2245" s="71"/>
      <c r="BK2245" s="71"/>
      <c r="BL2245" s="71"/>
      <c r="BM2245" s="71"/>
      <c r="BN2245" s="71"/>
      <c r="BO2245" s="71"/>
      <c r="BP2245" s="71"/>
      <c r="BQ2245" s="71"/>
      <c r="BR2245" s="71"/>
      <c r="BS2245" s="71"/>
      <c r="BT2245" s="71"/>
      <c r="BU2245" s="71"/>
      <c r="BV2245" s="71"/>
    </row>
    <row r="2246">
      <c r="A2246" s="53"/>
      <c r="B2246" s="53"/>
      <c r="C2246" s="120" t="s">
        <v>603</v>
      </c>
      <c r="D2246" s="128" t="s">
        <v>5464</v>
      </c>
      <c r="E2246" s="54" t="s">
        <v>38</v>
      </c>
      <c r="F2246" s="54" t="s">
        <v>42</v>
      </c>
      <c r="G2246" s="194" t="s">
        <v>5465</v>
      </c>
      <c r="H2246" s="195" t="s">
        <v>5466</v>
      </c>
      <c r="I2246" s="54">
        <f t="shared" si="24"/>
        <v>34</v>
      </c>
      <c r="J2246" s="56"/>
      <c r="K2246" s="57"/>
      <c r="L2246" s="76" t="s">
        <v>661</v>
      </c>
      <c r="M2246" s="59"/>
      <c r="N2246" s="60"/>
      <c r="O2246" s="129">
        <v>8081.0</v>
      </c>
      <c r="P2246" s="62">
        <v>8727.480000000001</v>
      </c>
      <c r="Q2246" s="63">
        <v>8727.480000000001</v>
      </c>
      <c r="R2246" s="64">
        <v>9164.0</v>
      </c>
      <c r="S2246" s="111">
        <v>9622.0</v>
      </c>
      <c r="T2246" s="65">
        <f t="shared" si="93"/>
        <v>1539.52</v>
      </c>
      <c r="U2246" s="65">
        <f t="shared" si="94"/>
        <v>11161.52</v>
      </c>
      <c r="V2246" s="66">
        <f t="shared" si="111"/>
        <v>0.04997817547</v>
      </c>
      <c r="W2246" s="67">
        <f t="shared" si="96"/>
        <v>9140.9</v>
      </c>
      <c r="X2246" s="67">
        <f t="shared" si="112"/>
        <v>1462.544</v>
      </c>
      <c r="Y2246" s="67">
        <f t="shared" si="113"/>
        <v>10603.444</v>
      </c>
      <c r="Z2246" s="67">
        <f t="shared" si="99"/>
        <v>8659.8</v>
      </c>
      <c r="AA2246" s="67">
        <f t="shared" si="114"/>
        <v>1385.568</v>
      </c>
      <c r="AB2246" s="67">
        <f t="shared" si="115"/>
        <v>10045.368</v>
      </c>
      <c r="AC2246" s="67">
        <f t="shared" si="102"/>
        <v>8178.7</v>
      </c>
      <c r="AD2246" s="67">
        <f t="shared" si="116"/>
        <v>1308.592</v>
      </c>
      <c r="AE2246" s="67">
        <f t="shared" si="117"/>
        <v>9487.292</v>
      </c>
      <c r="AF2246" s="67">
        <f t="shared" si="105"/>
        <v>7986.26</v>
      </c>
      <c r="AG2246" s="67">
        <f t="shared" si="118"/>
        <v>1277.8016</v>
      </c>
      <c r="AH2246" s="67">
        <f t="shared" si="119"/>
        <v>9264.0616</v>
      </c>
      <c r="AI2246" s="67">
        <f t="shared" si="108"/>
        <v>7697.6</v>
      </c>
      <c r="AJ2246" s="68">
        <f t="shared" si="120"/>
        <v>1231.616</v>
      </c>
      <c r="AK2246" s="68">
        <f t="shared" si="121"/>
        <v>8929.216</v>
      </c>
      <c r="AL2246" s="70"/>
      <c r="AM2246" s="70"/>
      <c r="AN2246" s="71"/>
      <c r="AO2246" s="71"/>
      <c r="AP2246" s="71"/>
      <c r="AQ2246" s="71"/>
      <c r="AR2246" s="71"/>
      <c r="AS2246" s="71"/>
      <c r="AT2246" s="71"/>
      <c r="AU2246" s="71"/>
      <c r="AV2246" s="71"/>
      <c r="AW2246" s="71"/>
      <c r="AX2246" s="71"/>
      <c r="AY2246" s="71"/>
      <c r="AZ2246" s="71"/>
      <c r="BA2246" s="71"/>
      <c r="BB2246" s="71"/>
      <c r="BC2246" s="71"/>
      <c r="BD2246" s="71"/>
      <c r="BE2246" s="71"/>
      <c r="BF2246" s="71"/>
      <c r="BG2246" s="71"/>
      <c r="BH2246" s="71"/>
      <c r="BI2246" s="71"/>
      <c r="BJ2246" s="71"/>
      <c r="BK2246" s="71"/>
      <c r="BL2246" s="71"/>
      <c r="BM2246" s="71"/>
      <c r="BN2246" s="71"/>
      <c r="BO2246" s="71"/>
      <c r="BP2246" s="71"/>
      <c r="BQ2246" s="71"/>
      <c r="BR2246" s="71"/>
      <c r="BS2246" s="71"/>
      <c r="BT2246" s="71"/>
      <c r="BU2246" s="71"/>
      <c r="BV2246" s="71"/>
    </row>
    <row r="2247">
      <c r="A2247" s="53"/>
      <c r="B2247" s="53"/>
      <c r="C2247" s="120" t="s">
        <v>603</v>
      </c>
      <c r="D2247" s="53" t="s">
        <v>5467</v>
      </c>
      <c r="E2247" s="54" t="s">
        <v>38</v>
      </c>
      <c r="F2247" s="54" t="s">
        <v>42</v>
      </c>
      <c r="G2247" s="193" t="s">
        <v>5468</v>
      </c>
      <c r="H2247" s="193" t="s">
        <v>5469</v>
      </c>
      <c r="I2247" s="54">
        <f t="shared" si="24"/>
        <v>33</v>
      </c>
      <c r="J2247" s="56"/>
      <c r="K2247" s="57"/>
      <c r="L2247" s="76" t="s">
        <v>661</v>
      </c>
      <c r="M2247" s="59"/>
      <c r="N2247" s="79"/>
      <c r="O2247" s="61">
        <v>4146.0</v>
      </c>
      <c r="P2247" s="62">
        <v>4477.68</v>
      </c>
      <c r="Q2247" s="63">
        <v>4477.68</v>
      </c>
      <c r="R2247" s="64">
        <v>4702.0</v>
      </c>
      <c r="S2247" s="111">
        <v>4937.0</v>
      </c>
      <c r="T2247" s="65">
        <f t="shared" si="93"/>
        <v>789.92</v>
      </c>
      <c r="U2247" s="65">
        <f t="shared" si="94"/>
        <v>5726.92</v>
      </c>
      <c r="V2247" s="66">
        <f t="shared" si="111"/>
        <v>0.04997873245</v>
      </c>
      <c r="W2247" s="67">
        <f t="shared" si="96"/>
        <v>4690.15</v>
      </c>
      <c r="X2247" s="67">
        <f t="shared" si="112"/>
        <v>750.424</v>
      </c>
      <c r="Y2247" s="67">
        <f t="shared" si="113"/>
        <v>5440.574</v>
      </c>
      <c r="Z2247" s="67">
        <f t="shared" si="99"/>
        <v>4443.3</v>
      </c>
      <c r="AA2247" s="67">
        <f t="shared" si="114"/>
        <v>710.928</v>
      </c>
      <c r="AB2247" s="67">
        <f t="shared" si="115"/>
        <v>5154.228</v>
      </c>
      <c r="AC2247" s="67">
        <f t="shared" si="102"/>
        <v>4196.45</v>
      </c>
      <c r="AD2247" s="67">
        <f t="shared" si="116"/>
        <v>671.432</v>
      </c>
      <c r="AE2247" s="67">
        <f t="shared" si="117"/>
        <v>4867.882</v>
      </c>
      <c r="AF2247" s="67">
        <f t="shared" si="105"/>
        <v>4097.71</v>
      </c>
      <c r="AG2247" s="67">
        <f t="shared" si="118"/>
        <v>655.6336</v>
      </c>
      <c r="AH2247" s="67">
        <f t="shared" si="119"/>
        <v>4753.3436</v>
      </c>
      <c r="AI2247" s="67">
        <f t="shared" si="108"/>
        <v>3949.6</v>
      </c>
      <c r="AJ2247" s="68">
        <f t="shared" si="120"/>
        <v>631.936</v>
      </c>
      <c r="AK2247" s="68">
        <f t="shared" si="121"/>
        <v>4581.536</v>
      </c>
      <c r="AL2247" s="70"/>
      <c r="AM2247" s="70"/>
      <c r="AN2247" s="71"/>
      <c r="AO2247" s="71"/>
      <c r="AP2247" s="71"/>
      <c r="AQ2247" s="71"/>
      <c r="AR2247" s="71"/>
      <c r="AS2247" s="71"/>
      <c r="AT2247" s="71"/>
      <c r="AU2247" s="71"/>
      <c r="AV2247" s="71"/>
      <c r="AW2247" s="71"/>
      <c r="AX2247" s="71"/>
      <c r="AY2247" s="71"/>
      <c r="AZ2247" s="71"/>
      <c r="BA2247" s="71"/>
      <c r="BB2247" s="71"/>
      <c r="BC2247" s="71"/>
      <c r="BD2247" s="71"/>
      <c r="BE2247" s="71"/>
      <c r="BF2247" s="71"/>
      <c r="BG2247" s="71"/>
      <c r="BH2247" s="71"/>
      <c r="BI2247" s="71"/>
      <c r="BJ2247" s="71"/>
      <c r="BK2247" s="71"/>
      <c r="BL2247" s="71"/>
      <c r="BM2247" s="71"/>
      <c r="BN2247" s="71"/>
      <c r="BO2247" s="71"/>
      <c r="BP2247" s="71"/>
      <c r="BQ2247" s="71"/>
      <c r="BR2247" s="71"/>
      <c r="BS2247" s="71"/>
      <c r="BT2247" s="71"/>
      <c r="BU2247" s="71"/>
      <c r="BV2247" s="71"/>
    </row>
    <row r="2248">
      <c r="A2248" s="53"/>
      <c r="B2248" s="53"/>
      <c r="C2248" s="120" t="s">
        <v>603</v>
      </c>
      <c r="D2248" s="128" t="s">
        <v>5470</v>
      </c>
      <c r="E2248" s="54" t="s">
        <v>38</v>
      </c>
      <c r="F2248" s="54" t="s">
        <v>42</v>
      </c>
      <c r="G2248" s="193" t="s">
        <v>5471</v>
      </c>
      <c r="H2248" s="195" t="s">
        <v>5472</v>
      </c>
      <c r="I2248" s="54">
        <f t="shared" si="24"/>
        <v>40</v>
      </c>
      <c r="J2248" s="56"/>
      <c r="K2248" s="57"/>
      <c r="L2248" s="76" t="s">
        <v>661</v>
      </c>
      <c r="M2248" s="59"/>
      <c r="N2248" s="60"/>
      <c r="O2248" s="129">
        <v>1800.0</v>
      </c>
      <c r="P2248" s="62">
        <v>1944.0000000000002</v>
      </c>
      <c r="Q2248" s="63">
        <v>1944.0000000000002</v>
      </c>
      <c r="R2248" s="64">
        <v>2042.0</v>
      </c>
      <c r="S2248" s="111">
        <v>2144.0</v>
      </c>
      <c r="T2248" s="65">
        <f t="shared" si="93"/>
        <v>343.04</v>
      </c>
      <c r="U2248" s="65">
        <f t="shared" si="94"/>
        <v>2487.04</v>
      </c>
      <c r="V2248" s="66">
        <f t="shared" si="111"/>
        <v>0.0499510284</v>
      </c>
      <c r="W2248" s="67">
        <f t="shared" si="96"/>
        <v>2036.8</v>
      </c>
      <c r="X2248" s="67">
        <f t="shared" si="112"/>
        <v>325.888</v>
      </c>
      <c r="Y2248" s="67">
        <f t="shared" si="113"/>
        <v>2362.688</v>
      </c>
      <c r="Z2248" s="67">
        <f t="shared" si="99"/>
        <v>1929.6</v>
      </c>
      <c r="AA2248" s="67">
        <f t="shared" si="114"/>
        <v>308.736</v>
      </c>
      <c r="AB2248" s="67">
        <f t="shared" si="115"/>
        <v>2238.336</v>
      </c>
      <c r="AC2248" s="67">
        <f t="shared" si="102"/>
        <v>1822.4</v>
      </c>
      <c r="AD2248" s="67">
        <f t="shared" si="116"/>
        <v>291.584</v>
      </c>
      <c r="AE2248" s="67">
        <f t="shared" si="117"/>
        <v>2113.984</v>
      </c>
      <c r="AF2248" s="67">
        <f t="shared" si="105"/>
        <v>1779.52</v>
      </c>
      <c r="AG2248" s="67">
        <f t="shared" si="118"/>
        <v>284.7232</v>
      </c>
      <c r="AH2248" s="67">
        <f t="shared" si="119"/>
        <v>2064.2432</v>
      </c>
      <c r="AI2248" s="67">
        <f t="shared" si="108"/>
        <v>1715.2</v>
      </c>
      <c r="AJ2248" s="68">
        <f t="shared" si="120"/>
        <v>274.432</v>
      </c>
      <c r="AK2248" s="68">
        <f t="shared" si="121"/>
        <v>1989.632</v>
      </c>
      <c r="AL2248" s="70"/>
      <c r="AM2248" s="70"/>
      <c r="AN2248" s="71"/>
      <c r="AO2248" s="71"/>
      <c r="AP2248" s="71"/>
      <c r="AQ2248" s="71"/>
      <c r="AR2248" s="71"/>
      <c r="AS2248" s="71"/>
      <c r="AT2248" s="71"/>
      <c r="AU2248" s="71"/>
      <c r="AV2248" s="71"/>
      <c r="AW2248" s="71"/>
      <c r="AX2248" s="71"/>
      <c r="AY2248" s="71"/>
      <c r="AZ2248" s="71"/>
      <c r="BA2248" s="71"/>
      <c r="BB2248" s="71"/>
      <c r="BC2248" s="71"/>
      <c r="BD2248" s="71"/>
      <c r="BE2248" s="71"/>
      <c r="BF2248" s="71"/>
      <c r="BG2248" s="71"/>
      <c r="BH2248" s="71"/>
      <c r="BI2248" s="71"/>
      <c r="BJ2248" s="71"/>
      <c r="BK2248" s="71"/>
      <c r="BL2248" s="71"/>
      <c r="BM2248" s="71"/>
      <c r="BN2248" s="71"/>
      <c r="BO2248" s="71"/>
      <c r="BP2248" s="71"/>
      <c r="BQ2248" s="71"/>
      <c r="BR2248" s="71"/>
      <c r="BS2248" s="71"/>
      <c r="BT2248" s="71"/>
      <c r="BU2248" s="71"/>
      <c r="BV2248" s="71"/>
    </row>
    <row r="2249">
      <c r="A2249" s="53"/>
      <c r="B2249" s="53"/>
      <c r="C2249" s="120" t="s">
        <v>603</v>
      </c>
      <c r="D2249" s="128" t="s">
        <v>5473</v>
      </c>
      <c r="E2249" s="54" t="s">
        <v>38</v>
      </c>
      <c r="F2249" s="54" t="s">
        <v>42</v>
      </c>
      <c r="G2249" s="196" t="s">
        <v>5474</v>
      </c>
      <c r="H2249" s="195" t="s">
        <v>5475</v>
      </c>
      <c r="I2249" s="54">
        <f t="shared" si="24"/>
        <v>30</v>
      </c>
      <c r="J2249" s="56"/>
      <c r="K2249" s="57"/>
      <c r="L2249" s="76" t="s">
        <v>661</v>
      </c>
      <c r="M2249" s="59"/>
      <c r="N2249" s="60">
        <v>5646.900000000001</v>
      </c>
      <c r="O2249" s="129">
        <v>8081.0</v>
      </c>
      <c r="P2249" s="62">
        <v>8727.480000000001</v>
      </c>
      <c r="Q2249" s="63">
        <v>8727.480000000001</v>
      </c>
      <c r="R2249" s="64">
        <v>9164.0</v>
      </c>
      <c r="S2249" s="111">
        <v>9622.0</v>
      </c>
      <c r="T2249" s="65">
        <f t="shared" si="93"/>
        <v>1539.52</v>
      </c>
      <c r="U2249" s="65">
        <f t="shared" si="94"/>
        <v>11161.52</v>
      </c>
      <c r="V2249" s="66">
        <f t="shared" si="111"/>
        <v>0.04997817547</v>
      </c>
      <c r="W2249" s="67">
        <f t="shared" si="96"/>
        <v>9140.9</v>
      </c>
      <c r="X2249" s="67">
        <f t="shared" si="112"/>
        <v>1462.544</v>
      </c>
      <c r="Y2249" s="67">
        <f t="shared" si="113"/>
        <v>10603.444</v>
      </c>
      <c r="Z2249" s="67">
        <f t="shared" si="99"/>
        <v>8659.8</v>
      </c>
      <c r="AA2249" s="67">
        <f t="shared" si="114"/>
        <v>1385.568</v>
      </c>
      <c r="AB2249" s="67">
        <f t="shared" si="115"/>
        <v>10045.368</v>
      </c>
      <c r="AC2249" s="67">
        <f t="shared" si="102"/>
        <v>8178.7</v>
      </c>
      <c r="AD2249" s="67">
        <f t="shared" si="116"/>
        <v>1308.592</v>
      </c>
      <c r="AE2249" s="67">
        <f t="shared" si="117"/>
        <v>9487.292</v>
      </c>
      <c r="AF2249" s="67">
        <f t="shared" si="105"/>
        <v>7986.26</v>
      </c>
      <c r="AG2249" s="67">
        <f t="shared" si="118"/>
        <v>1277.8016</v>
      </c>
      <c r="AH2249" s="67">
        <f t="shared" si="119"/>
        <v>9264.0616</v>
      </c>
      <c r="AI2249" s="67">
        <f t="shared" si="108"/>
        <v>7697.6</v>
      </c>
      <c r="AJ2249" s="68">
        <f t="shared" si="120"/>
        <v>1231.616</v>
      </c>
      <c r="AK2249" s="68">
        <f t="shared" si="121"/>
        <v>8929.216</v>
      </c>
      <c r="AL2249" s="70"/>
      <c r="AM2249" s="70"/>
      <c r="AN2249" s="71"/>
      <c r="AO2249" s="71"/>
      <c r="AP2249" s="71"/>
      <c r="AQ2249" s="71"/>
      <c r="AR2249" s="71"/>
      <c r="AS2249" s="71"/>
      <c r="AT2249" s="71"/>
      <c r="AU2249" s="71"/>
      <c r="AV2249" s="71"/>
      <c r="AW2249" s="71"/>
      <c r="AX2249" s="71"/>
      <c r="AY2249" s="71"/>
      <c r="AZ2249" s="71"/>
      <c r="BA2249" s="71"/>
      <c r="BB2249" s="71"/>
      <c r="BC2249" s="71"/>
      <c r="BD2249" s="71"/>
      <c r="BE2249" s="71"/>
      <c r="BF2249" s="71"/>
      <c r="BG2249" s="71"/>
      <c r="BH2249" s="71"/>
      <c r="BI2249" s="71"/>
      <c r="BJ2249" s="71"/>
      <c r="BK2249" s="71"/>
      <c r="BL2249" s="71"/>
      <c r="BM2249" s="71"/>
      <c r="BN2249" s="71"/>
      <c r="BO2249" s="71"/>
      <c r="BP2249" s="71"/>
      <c r="BQ2249" s="71"/>
      <c r="BR2249" s="71"/>
      <c r="BS2249" s="71"/>
      <c r="BT2249" s="71"/>
      <c r="BU2249" s="71"/>
      <c r="BV2249" s="71"/>
    </row>
    <row r="2250">
      <c r="A2250" s="53"/>
      <c r="B2250" s="53"/>
      <c r="C2250" s="120" t="s">
        <v>603</v>
      </c>
      <c r="D2250" s="53" t="s">
        <v>5476</v>
      </c>
      <c r="E2250" s="54" t="s">
        <v>38</v>
      </c>
      <c r="F2250" s="54" t="s">
        <v>42</v>
      </c>
      <c r="G2250" s="193" t="s">
        <v>5477</v>
      </c>
      <c r="H2250" s="195" t="s">
        <v>5478</v>
      </c>
      <c r="I2250" s="54">
        <f t="shared" si="24"/>
        <v>33</v>
      </c>
      <c r="J2250" s="56"/>
      <c r="K2250" s="57"/>
      <c r="L2250" s="76" t="s">
        <v>661</v>
      </c>
      <c r="M2250" s="59"/>
      <c r="N2250" s="79">
        <v>3921.0</v>
      </c>
      <c r="O2250" s="61">
        <v>6507.0</v>
      </c>
      <c r="P2250" s="62">
        <v>7027.56</v>
      </c>
      <c r="Q2250" s="63">
        <v>7027.56</v>
      </c>
      <c r="R2250" s="64">
        <v>7380.0</v>
      </c>
      <c r="S2250" s="111">
        <v>7749.0</v>
      </c>
      <c r="T2250" s="65">
        <f t="shared" si="93"/>
        <v>1239.84</v>
      </c>
      <c r="U2250" s="65">
        <f t="shared" si="94"/>
        <v>8988.84</v>
      </c>
      <c r="V2250" s="66">
        <f t="shared" si="111"/>
        <v>0.05</v>
      </c>
      <c r="W2250" s="67">
        <f t="shared" si="96"/>
        <v>7361.55</v>
      </c>
      <c r="X2250" s="67">
        <f t="shared" si="112"/>
        <v>1177.848</v>
      </c>
      <c r="Y2250" s="67">
        <f t="shared" si="113"/>
        <v>8539.398</v>
      </c>
      <c r="Z2250" s="67">
        <f t="shared" si="99"/>
        <v>6974.1</v>
      </c>
      <c r="AA2250" s="67">
        <f t="shared" si="114"/>
        <v>1115.856</v>
      </c>
      <c r="AB2250" s="67">
        <f t="shared" si="115"/>
        <v>8089.956</v>
      </c>
      <c r="AC2250" s="67">
        <f t="shared" si="102"/>
        <v>6586.65</v>
      </c>
      <c r="AD2250" s="67">
        <f t="shared" si="116"/>
        <v>1053.864</v>
      </c>
      <c r="AE2250" s="67">
        <f t="shared" si="117"/>
        <v>7640.514</v>
      </c>
      <c r="AF2250" s="67">
        <f t="shared" si="105"/>
        <v>6431.67</v>
      </c>
      <c r="AG2250" s="67">
        <f t="shared" si="118"/>
        <v>1029.0672</v>
      </c>
      <c r="AH2250" s="67">
        <f t="shared" si="119"/>
        <v>7460.7372</v>
      </c>
      <c r="AI2250" s="67">
        <f t="shared" si="108"/>
        <v>6199.2</v>
      </c>
      <c r="AJ2250" s="68">
        <f t="shared" si="120"/>
        <v>991.872</v>
      </c>
      <c r="AK2250" s="68">
        <f t="shared" si="121"/>
        <v>7191.072</v>
      </c>
      <c r="AL2250" s="70"/>
      <c r="AM2250" s="70"/>
      <c r="AN2250" s="71"/>
      <c r="AO2250" s="71"/>
      <c r="AP2250" s="71"/>
      <c r="AQ2250" s="71"/>
      <c r="AR2250" s="71"/>
      <c r="AS2250" s="71"/>
      <c r="AT2250" s="71"/>
      <c r="AU2250" s="71"/>
      <c r="AV2250" s="71"/>
      <c r="AW2250" s="71"/>
      <c r="AX2250" s="71"/>
      <c r="AY2250" s="71"/>
      <c r="AZ2250" s="71"/>
      <c r="BA2250" s="71"/>
      <c r="BB2250" s="71"/>
      <c r="BC2250" s="71"/>
      <c r="BD2250" s="71"/>
      <c r="BE2250" s="71"/>
      <c r="BF2250" s="71"/>
      <c r="BG2250" s="71"/>
      <c r="BH2250" s="71"/>
      <c r="BI2250" s="71"/>
      <c r="BJ2250" s="71"/>
      <c r="BK2250" s="71"/>
      <c r="BL2250" s="71"/>
      <c r="BM2250" s="71"/>
      <c r="BN2250" s="71"/>
      <c r="BO2250" s="71"/>
      <c r="BP2250" s="71"/>
      <c r="BQ2250" s="71"/>
      <c r="BR2250" s="71"/>
      <c r="BS2250" s="71"/>
      <c r="BT2250" s="71"/>
      <c r="BU2250" s="71"/>
      <c r="BV2250" s="71"/>
    </row>
    <row r="2251">
      <c r="A2251" s="53"/>
      <c r="B2251" s="53"/>
      <c r="C2251" s="120" t="s">
        <v>603</v>
      </c>
      <c r="D2251" s="53" t="s">
        <v>5479</v>
      </c>
      <c r="E2251" s="54" t="s">
        <v>38</v>
      </c>
      <c r="F2251" s="54" t="s">
        <v>42</v>
      </c>
      <c r="G2251" s="193" t="s">
        <v>5480</v>
      </c>
      <c r="H2251" s="195" t="s">
        <v>5481</v>
      </c>
      <c r="I2251" s="54">
        <f t="shared" si="24"/>
        <v>40</v>
      </c>
      <c r="J2251" s="56"/>
      <c r="K2251" s="57"/>
      <c r="L2251" s="76" t="s">
        <v>661</v>
      </c>
      <c r="M2251" s="59"/>
      <c r="N2251" s="79">
        <v>5187.0</v>
      </c>
      <c r="O2251" s="61">
        <v>6507.0</v>
      </c>
      <c r="P2251" s="62">
        <v>7027.56</v>
      </c>
      <c r="Q2251" s="63">
        <v>7027.56</v>
      </c>
      <c r="R2251" s="64">
        <v>7380.0</v>
      </c>
      <c r="S2251" s="111">
        <v>7749.0</v>
      </c>
      <c r="T2251" s="65">
        <f t="shared" si="93"/>
        <v>1239.84</v>
      </c>
      <c r="U2251" s="65">
        <f t="shared" si="94"/>
        <v>8988.84</v>
      </c>
      <c r="V2251" s="66">
        <f t="shared" si="111"/>
        <v>0.05</v>
      </c>
      <c r="W2251" s="67">
        <f t="shared" si="96"/>
        <v>7361.55</v>
      </c>
      <c r="X2251" s="67">
        <f t="shared" si="112"/>
        <v>1177.848</v>
      </c>
      <c r="Y2251" s="67">
        <f t="shared" si="113"/>
        <v>8539.398</v>
      </c>
      <c r="Z2251" s="67">
        <f t="shared" si="99"/>
        <v>6974.1</v>
      </c>
      <c r="AA2251" s="67">
        <f t="shared" si="114"/>
        <v>1115.856</v>
      </c>
      <c r="AB2251" s="67">
        <f t="shared" si="115"/>
        <v>8089.956</v>
      </c>
      <c r="AC2251" s="67">
        <f t="shared" si="102"/>
        <v>6586.65</v>
      </c>
      <c r="AD2251" s="67">
        <f t="shared" si="116"/>
        <v>1053.864</v>
      </c>
      <c r="AE2251" s="67">
        <f t="shared" si="117"/>
        <v>7640.514</v>
      </c>
      <c r="AF2251" s="67">
        <f t="shared" si="105"/>
        <v>6431.67</v>
      </c>
      <c r="AG2251" s="67">
        <f t="shared" si="118"/>
        <v>1029.0672</v>
      </c>
      <c r="AH2251" s="67">
        <f t="shared" si="119"/>
        <v>7460.7372</v>
      </c>
      <c r="AI2251" s="67">
        <f t="shared" si="108"/>
        <v>6199.2</v>
      </c>
      <c r="AJ2251" s="68">
        <f t="shared" si="120"/>
        <v>991.872</v>
      </c>
      <c r="AK2251" s="68">
        <f t="shared" si="121"/>
        <v>7191.072</v>
      </c>
      <c r="AL2251" s="70"/>
      <c r="AM2251" s="70"/>
      <c r="AN2251" s="71"/>
      <c r="AO2251" s="71"/>
      <c r="AP2251" s="71"/>
      <c r="AQ2251" s="71"/>
      <c r="AR2251" s="71"/>
      <c r="AS2251" s="71"/>
      <c r="AT2251" s="71"/>
      <c r="AU2251" s="71"/>
      <c r="AV2251" s="71"/>
      <c r="AW2251" s="71"/>
      <c r="AX2251" s="71"/>
      <c r="AY2251" s="71"/>
      <c r="AZ2251" s="71"/>
      <c r="BA2251" s="71"/>
      <c r="BB2251" s="71"/>
      <c r="BC2251" s="71"/>
      <c r="BD2251" s="71"/>
      <c r="BE2251" s="71"/>
      <c r="BF2251" s="71"/>
      <c r="BG2251" s="71"/>
      <c r="BH2251" s="71"/>
      <c r="BI2251" s="71"/>
      <c r="BJ2251" s="71"/>
      <c r="BK2251" s="71"/>
      <c r="BL2251" s="71"/>
      <c r="BM2251" s="71"/>
      <c r="BN2251" s="71"/>
      <c r="BO2251" s="71"/>
      <c r="BP2251" s="71"/>
      <c r="BQ2251" s="71"/>
      <c r="BR2251" s="71"/>
      <c r="BS2251" s="71"/>
      <c r="BT2251" s="71"/>
      <c r="BU2251" s="71"/>
      <c r="BV2251" s="71"/>
    </row>
    <row r="2252">
      <c r="A2252" s="53"/>
      <c r="B2252" s="53"/>
      <c r="C2252" s="120" t="s">
        <v>603</v>
      </c>
      <c r="D2252" s="53" t="s">
        <v>5482</v>
      </c>
      <c r="E2252" s="54" t="s">
        <v>38</v>
      </c>
      <c r="F2252" s="54" t="s">
        <v>42</v>
      </c>
      <c r="G2252" s="193" t="s">
        <v>5483</v>
      </c>
      <c r="H2252" s="195" t="s">
        <v>5484</v>
      </c>
      <c r="I2252" s="54">
        <f t="shared" si="24"/>
        <v>40</v>
      </c>
      <c r="J2252" s="56"/>
      <c r="K2252" s="57"/>
      <c r="L2252" s="76" t="s">
        <v>661</v>
      </c>
      <c r="M2252" s="59"/>
      <c r="N2252" s="79"/>
      <c r="O2252" s="61">
        <v>1800.0</v>
      </c>
      <c r="P2252" s="62">
        <v>1944.0000000000002</v>
      </c>
      <c r="Q2252" s="63">
        <v>1944.0000000000002</v>
      </c>
      <c r="R2252" s="64">
        <v>2042.0</v>
      </c>
      <c r="S2252" s="111">
        <v>2144.0</v>
      </c>
      <c r="T2252" s="65">
        <f t="shared" si="93"/>
        <v>343.04</v>
      </c>
      <c r="U2252" s="65">
        <f t="shared" si="94"/>
        <v>2487.04</v>
      </c>
      <c r="V2252" s="66">
        <f t="shared" si="111"/>
        <v>0.0499510284</v>
      </c>
      <c r="W2252" s="67">
        <f t="shared" si="96"/>
        <v>2036.8</v>
      </c>
      <c r="X2252" s="67">
        <f t="shared" si="112"/>
        <v>325.888</v>
      </c>
      <c r="Y2252" s="67">
        <f t="shared" si="113"/>
        <v>2362.688</v>
      </c>
      <c r="Z2252" s="67">
        <f t="shared" si="99"/>
        <v>1929.6</v>
      </c>
      <c r="AA2252" s="67">
        <f t="shared" si="114"/>
        <v>308.736</v>
      </c>
      <c r="AB2252" s="67">
        <f t="shared" si="115"/>
        <v>2238.336</v>
      </c>
      <c r="AC2252" s="67">
        <f t="shared" si="102"/>
        <v>1822.4</v>
      </c>
      <c r="AD2252" s="67">
        <f t="shared" si="116"/>
        <v>291.584</v>
      </c>
      <c r="AE2252" s="67">
        <f t="shared" si="117"/>
        <v>2113.984</v>
      </c>
      <c r="AF2252" s="67">
        <f t="shared" si="105"/>
        <v>1779.52</v>
      </c>
      <c r="AG2252" s="67">
        <f t="shared" si="118"/>
        <v>284.7232</v>
      </c>
      <c r="AH2252" s="67">
        <f t="shared" si="119"/>
        <v>2064.2432</v>
      </c>
      <c r="AI2252" s="67">
        <f t="shared" si="108"/>
        <v>1715.2</v>
      </c>
      <c r="AJ2252" s="68">
        <f t="shared" si="120"/>
        <v>274.432</v>
      </c>
      <c r="AK2252" s="68">
        <f t="shared" si="121"/>
        <v>1989.632</v>
      </c>
      <c r="AL2252" s="70"/>
      <c r="AM2252" s="70"/>
      <c r="AN2252" s="71"/>
      <c r="AO2252" s="71"/>
      <c r="AP2252" s="71"/>
      <c r="AQ2252" s="71"/>
      <c r="AR2252" s="71"/>
      <c r="AS2252" s="71"/>
      <c r="AT2252" s="71"/>
      <c r="AU2252" s="71"/>
      <c r="AV2252" s="71"/>
      <c r="AW2252" s="71"/>
      <c r="AX2252" s="71"/>
      <c r="AY2252" s="71"/>
      <c r="AZ2252" s="71"/>
      <c r="BA2252" s="71"/>
      <c r="BB2252" s="71"/>
      <c r="BC2252" s="71"/>
      <c r="BD2252" s="71"/>
      <c r="BE2252" s="71"/>
      <c r="BF2252" s="71"/>
      <c r="BG2252" s="71"/>
      <c r="BH2252" s="71"/>
      <c r="BI2252" s="71"/>
      <c r="BJ2252" s="71"/>
      <c r="BK2252" s="71"/>
      <c r="BL2252" s="71"/>
      <c r="BM2252" s="71"/>
      <c r="BN2252" s="71"/>
      <c r="BO2252" s="71"/>
      <c r="BP2252" s="71"/>
      <c r="BQ2252" s="71"/>
      <c r="BR2252" s="71"/>
      <c r="BS2252" s="71"/>
      <c r="BT2252" s="71"/>
      <c r="BU2252" s="71"/>
      <c r="BV2252" s="71"/>
    </row>
    <row r="2253">
      <c r="A2253" s="53"/>
      <c r="B2253" s="53"/>
      <c r="C2253" s="120" t="s">
        <v>603</v>
      </c>
      <c r="D2253" s="53" t="s">
        <v>5485</v>
      </c>
      <c r="E2253" s="54" t="s">
        <v>38</v>
      </c>
      <c r="F2253" s="54" t="s">
        <v>42</v>
      </c>
      <c r="G2253" s="193" t="s">
        <v>5486</v>
      </c>
      <c r="H2253" s="195" t="s">
        <v>5487</v>
      </c>
      <c r="I2253" s="54">
        <f t="shared" si="24"/>
        <v>33</v>
      </c>
      <c r="J2253" s="56"/>
      <c r="K2253" s="57"/>
      <c r="L2253" s="76" t="s">
        <v>661</v>
      </c>
      <c r="M2253" s="59"/>
      <c r="N2253" s="79">
        <v>2497.0</v>
      </c>
      <c r="O2253" s="61">
        <v>3022.0</v>
      </c>
      <c r="P2253" s="62">
        <v>3263.76</v>
      </c>
      <c r="Q2253" s="63">
        <v>3263.76</v>
      </c>
      <c r="R2253" s="64">
        <v>3428.0</v>
      </c>
      <c r="S2253" s="111">
        <v>3599.0</v>
      </c>
      <c r="T2253" s="65">
        <f t="shared" si="93"/>
        <v>575.84</v>
      </c>
      <c r="U2253" s="65">
        <f t="shared" si="94"/>
        <v>4174.84</v>
      </c>
      <c r="V2253" s="66">
        <f t="shared" si="111"/>
        <v>0.04988331389</v>
      </c>
      <c r="W2253" s="67">
        <f t="shared" si="96"/>
        <v>3419.05</v>
      </c>
      <c r="X2253" s="67">
        <f t="shared" si="112"/>
        <v>547.048</v>
      </c>
      <c r="Y2253" s="67">
        <f t="shared" si="113"/>
        <v>3966.098</v>
      </c>
      <c r="Z2253" s="67">
        <f t="shared" si="99"/>
        <v>3239.1</v>
      </c>
      <c r="AA2253" s="67">
        <f t="shared" si="114"/>
        <v>518.256</v>
      </c>
      <c r="AB2253" s="67">
        <f t="shared" si="115"/>
        <v>3757.356</v>
      </c>
      <c r="AC2253" s="67">
        <f t="shared" si="102"/>
        <v>3059.15</v>
      </c>
      <c r="AD2253" s="67">
        <f t="shared" si="116"/>
        <v>489.464</v>
      </c>
      <c r="AE2253" s="67">
        <f t="shared" si="117"/>
        <v>3548.614</v>
      </c>
      <c r="AF2253" s="67">
        <f t="shared" si="105"/>
        <v>2987.17</v>
      </c>
      <c r="AG2253" s="67">
        <f t="shared" si="118"/>
        <v>477.9472</v>
      </c>
      <c r="AH2253" s="67">
        <f t="shared" si="119"/>
        <v>3465.1172</v>
      </c>
      <c r="AI2253" s="67">
        <f t="shared" si="108"/>
        <v>2879.2</v>
      </c>
      <c r="AJ2253" s="68">
        <f t="shared" si="120"/>
        <v>460.672</v>
      </c>
      <c r="AK2253" s="68">
        <f t="shared" si="121"/>
        <v>3339.872</v>
      </c>
      <c r="AL2253" s="70"/>
      <c r="AM2253" s="70"/>
      <c r="AN2253" s="71"/>
      <c r="AO2253" s="71"/>
      <c r="AP2253" s="71"/>
      <c r="AQ2253" s="71"/>
      <c r="AR2253" s="71"/>
      <c r="AS2253" s="71"/>
      <c r="AT2253" s="71"/>
      <c r="AU2253" s="71"/>
      <c r="AV2253" s="71"/>
      <c r="AW2253" s="71"/>
      <c r="AX2253" s="71"/>
      <c r="AY2253" s="71"/>
      <c r="AZ2253" s="71"/>
      <c r="BA2253" s="71"/>
      <c r="BB2253" s="71"/>
      <c r="BC2253" s="71"/>
      <c r="BD2253" s="71"/>
      <c r="BE2253" s="71"/>
      <c r="BF2253" s="71"/>
      <c r="BG2253" s="71"/>
      <c r="BH2253" s="71"/>
      <c r="BI2253" s="71"/>
      <c r="BJ2253" s="71"/>
      <c r="BK2253" s="71"/>
      <c r="BL2253" s="71"/>
      <c r="BM2253" s="71"/>
      <c r="BN2253" s="71"/>
      <c r="BO2253" s="71"/>
      <c r="BP2253" s="71"/>
      <c r="BQ2253" s="71"/>
      <c r="BR2253" s="71"/>
      <c r="BS2253" s="71"/>
      <c r="BT2253" s="71"/>
      <c r="BU2253" s="71"/>
      <c r="BV2253" s="71"/>
    </row>
    <row r="2254">
      <c r="A2254" s="53"/>
      <c r="B2254" s="53"/>
      <c r="C2254" s="120" t="s">
        <v>603</v>
      </c>
      <c r="D2254" s="53" t="s">
        <v>5488</v>
      </c>
      <c r="E2254" s="54" t="s">
        <v>38</v>
      </c>
      <c r="F2254" s="54" t="s">
        <v>42</v>
      </c>
      <c r="G2254" s="193" t="s">
        <v>5489</v>
      </c>
      <c r="H2254" s="195" t="s">
        <v>5490</v>
      </c>
      <c r="I2254" s="54">
        <f t="shared" si="24"/>
        <v>34</v>
      </c>
      <c r="J2254" s="56"/>
      <c r="K2254" s="57"/>
      <c r="L2254" s="76" t="s">
        <v>661</v>
      </c>
      <c r="M2254" s="59"/>
      <c r="N2254" s="79">
        <v>6346.0</v>
      </c>
      <c r="O2254" s="61">
        <v>8081.0</v>
      </c>
      <c r="P2254" s="62">
        <v>8727.480000000001</v>
      </c>
      <c r="Q2254" s="63">
        <v>8727.480000000001</v>
      </c>
      <c r="R2254" s="64">
        <v>9164.0</v>
      </c>
      <c r="S2254" s="111">
        <v>9622.0</v>
      </c>
      <c r="T2254" s="65">
        <f t="shared" si="93"/>
        <v>1539.52</v>
      </c>
      <c r="U2254" s="65">
        <f t="shared" si="94"/>
        <v>11161.52</v>
      </c>
      <c r="V2254" s="66">
        <f t="shared" si="111"/>
        <v>0.04997817547</v>
      </c>
      <c r="W2254" s="67">
        <f t="shared" si="96"/>
        <v>9140.9</v>
      </c>
      <c r="X2254" s="67">
        <f t="shared" si="112"/>
        <v>1462.544</v>
      </c>
      <c r="Y2254" s="67">
        <f t="shared" si="113"/>
        <v>10603.444</v>
      </c>
      <c r="Z2254" s="67">
        <f t="shared" si="99"/>
        <v>8659.8</v>
      </c>
      <c r="AA2254" s="67">
        <f t="shared" si="114"/>
        <v>1385.568</v>
      </c>
      <c r="AB2254" s="67">
        <f t="shared" si="115"/>
        <v>10045.368</v>
      </c>
      <c r="AC2254" s="67">
        <f t="shared" si="102"/>
        <v>8178.7</v>
      </c>
      <c r="AD2254" s="67">
        <f t="shared" si="116"/>
        <v>1308.592</v>
      </c>
      <c r="AE2254" s="67">
        <f t="shared" si="117"/>
        <v>9487.292</v>
      </c>
      <c r="AF2254" s="67">
        <f t="shared" si="105"/>
        <v>7986.26</v>
      </c>
      <c r="AG2254" s="67">
        <f t="shared" si="118"/>
        <v>1277.8016</v>
      </c>
      <c r="AH2254" s="67">
        <f t="shared" si="119"/>
        <v>9264.0616</v>
      </c>
      <c r="AI2254" s="67">
        <f t="shared" si="108"/>
        <v>7697.6</v>
      </c>
      <c r="AJ2254" s="68">
        <f t="shared" si="120"/>
        <v>1231.616</v>
      </c>
      <c r="AK2254" s="68">
        <f t="shared" si="121"/>
        <v>8929.216</v>
      </c>
      <c r="AL2254" s="70"/>
      <c r="AM2254" s="70"/>
      <c r="AN2254" s="71"/>
      <c r="AO2254" s="71"/>
      <c r="AP2254" s="71"/>
      <c r="AQ2254" s="71"/>
      <c r="AR2254" s="71"/>
      <c r="AS2254" s="71"/>
      <c r="AT2254" s="71"/>
      <c r="AU2254" s="71"/>
      <c r="AV2254" s="71"/>
      <c r="AW2254" s="71"/>
      <c r="AX2254" s="71"/>
      <c r="AY2254" s="71"/>
      <c r="AZ2254" s="71"/>
      <c r="BA2254" s="71"/>
      <c r="BB2254" s="71"/>
      <c r="BC2254" s="71"/>
      <c r="BD2254" s="71"/>
      <c r="BE2254" s="71"/>
      <c r="BF2254" s="71"/>
      <c r="BG2254" s="71"/>
      <c r="BH2254" s="71"/>
      <c r="BI2254" s="71"/>
      <c r="BJ2254" s="71"/>
      <c r="BK2254" s="71"/>
      <c r="BL2254" s="71"/>
      <c r="BM2254" s="71"/>
      <c r="BN2254" s="71"/>
      <c r="BO2254" s="71"/>
      <c r="BP2254" s="71"/>
      <c r="BQ2254" s="71"/>
      <c r="BR2254" s="71"/>
      <c r="BS2254" s="71"/>
      <c r="BT2254" s="71"/>
      <c r="BU2254" s="71"/>
      <c r="BV2254" s="71"/>
    </row>
    <row r="2255">
      <c r="A2255" s="53"/>
      <c r="B2255" s="53"/>
      <c r="C2255" s="73" t="s">
        <v>53</v>
      </c>
      <c r="D2255" s="53" t="s">
        <v>5491</v>
      </c>
      <c r="E2255" s="54" t="s">
        <v>38</v>
      </c>
      <c r="F2255" s="54" t="s">
        <v>42</v>
      </c>
      <c r="G2255" s="193" t="s">
        <v>5492</v>
      </c>
      <c r="H2255" s="193" t="s">
        <v>5493</v>
      </c>
      <c r="I2255" s="54">
        <f t="shared" si="24"/>
        <v>32</v>
      </c>
      <c r="J2255" s="56"/>
      <c r="K2255" s="57"/>
      <c r="L2255" s="76" t="s">
        <v>661</v>
      </c>
      <c r="M2255" s="59"/>
      <c r="N2255" s="60"/>
      <c r="O2255" s="90"/>
      <c r="P2255" s="62">
        <v>8858.0</v>
      </c>
      <c r="Q2255" s="63">
        <v>8858.0</v>
      </c>
      <c r="R2255" s="64">
        <v>9301.0</v>
      </c>
      <c r="S2255" s="111">
        <v>9766.0</v>
      </c>
      <c r="T2255" s="65">
        <f t="shared" si="93"/>
        <v>1562.56</v>
      </c>
      <c r="U2255" s="65">
        <f t="shared" si="94"/>
        <v>11328.56</v>
      </c>
      <c r="V2255" s="66">
        <f t="shared" si="111"/>
        <v>0.04999462423</v>
      </c>
      <c r="W2255" s="67">
        <f t="shared" si="96"/>
        <v>9277.7</v>
      </c>
      <c r="X2255" s="67">
        <f t="shared" si="112"/>
        <v>1484.432</v>
      </c>
      <c r="Y2255" s="67">
        <f t="shared" si="113"/>
        <v>10762.132</v>
      </c>
      <c r="Z2255" s="67">
        <f t="shared" si="99"/>
        <v>8789.4</v>
      </c>
      <c r="AA2255" s="67">
        <f t="shared" si="114"/>
        <v>1406.304</v>
      </c>
      <c r="AB2255" s="67">
        <f t="shared" si="115"/>
        <v>10195.704</v>
      </c>
      <c r="AC2255" s="67">
        <f t="shared" si="102"/>
        <v>8301.1</v>
      </c>
      <c r="AD2255" s="67">
        <f t="shared" si="116"/>
        <v>1328.176</v>
      </c>
      <c r="AE2255" s="67">
        <f t="shared" si="117"/>
        <v>9629.276</v>
      </c>
      <c r="AF2255" s="67">
        <f t="shared" si="105"/>
        <v>8105.78</v>
      </c>
      <c r="AG2255" s="67">
        <f t="shared" si="118"/>
        <v>1296.9248</v>
      </c>
      <c r="AH2255" s="67">
        <f t="shared" si="119"/>
        <v>9402.7048</v>
      </c>
      <c r="AI2255" s="67">
        <f t="shared" si="108"/>
        <v>7812.8</v>
      </c>
      <c r="AJ2255" s="68">
        <f t="shared" si="120"/>
        <v>1250.048</v>
      </c>
      <c r="AK2255" s="68">
        <f t="shared" si="121"/>
        <v>9062.848</v>
      </c>
      <c r="AL2255" s="70"/>
      <c r="AM2255" s="70"/>
      <c r="AN2255" s="71"/>
      <c r="AO2255" s="71"/>
      <c r="AP2255" s="71"/>
      <c r="AQ2255" s="71"/>
      <c r="AR2255" s="71"/>
      <c r="AS2255" s="71"/>
      <c r="AT2255" s="71"/>
      <c r="AU2255" s="71"/>
      <c r="AV2255" s="71"/>
      <c r="AW2255" s="71"/>
      <c r="AX2255" s="71"/>
      <c r="AY2255" s="71"/>
      <c r="AZ2255" s="71"/>
      <c r="BA2255" s="71"/>
      <c r="BB2255" s="71"/>
      <c r="BC2255" s="71"/>
      <c r="BD2255" s="71"/>
      <c r="BE2255" s="71"/>
      <c r="BF2255" s="71"/>
      <c r="BG2255" s="71"/>
      <c r="BH2255" s="71"/>
      <c r="BI2255" s="71"/>
      <c r="BJ2255" s="71"/>
      <c r="BK2255" s="71"/>
      <c r="BL2255" s="71"/>
      <c r="BM2255" s="71"/>
      <c r="BN2255" s="71"/>
      <c r="BO2255" s="71"/>
      <c r="BP2255" s="71"/>
      <c r="BQ2255" s="71"/>
      <c r="BR2255" s="71"/>
      <c r="BS2255" s="71"/>
      <c r="BT2255" s="71"/>
      <c r="BU2255" s="71"/>
      <c r="BV2255" s="71"/>
    </row>
    <row r="2256">
      <c r="A2256" s="53"/>
      <c r="B2256" s="53"/>
      <c r="C2256" s="120" t="s">
        <v>603</v>
      </c>
      <c r="D2256" s="53" t="s">
        <v>5494</v>
      </c>
      <c r="E2256" s="54" t="s">
        <v>38</v>
      </c>
      <c r="F2256" s="54" t="s">
        <v>42</v>
      </c>
      <c r="G2256" s="193" t="s">
        <v>5495</v>
      </c>
      <c r="H2256" s="195" t="s">
        <v>5496</v>
      </c>
      <c r="I2256" s="54">
        <f t="shared" si="24"/>
        <v>38</v>
      </c>
      <c r="J2256" s="56"/>
      <c r="K2256" s="57"/>
      <c r="L2256" s="76" t="s">
        <v>661</v>
      </c>
      <c r="M2256" s="59"/>
      <c r="N2256" s="79">
        <v>6025.0</v>
      </c>
      <c r="O2256" s="61">
        <v>7325.0</v>
      </c>
      <c r="P2256" s="62">
        <v>7911.000000000001</v>
      </c>
      <c r="Q2256" s="63">
        <v>7911.000000000001</v>
      </c>
      <c r="R2256" s="64">
        <v>8307.0</v>
      </c>
      <c r="S2256" s="111">
        <v>8722.0</v>
      </c>
      <c r="T2256" s="65">
        <f t="shared" si="93"/>
        <v>1395.52</v>
      </c>
      <c r="U2256" s="65">
        <f t="shared" si="94"/>
        <v>10117.52</v>
      </c>
      <c r="V2256" s="66">
        <f t="shared" si="111"/>
        <v>0.04995786686</v>
      </c>
      <c r="W2256" s="67">
        <f t="shared" si="96"/>
        <v>8285.9</v>
      </c>
      <c r="X2256" s="67">
        <f t="shared" si="112"/>
        <v>1325.744</v>
      </c>
      <c r="Y2256" s="67">
        <f t="shared" si="113"/>
        <v>9611.644</v>
      </c>
      <c r="Z2256" s="67">
        <f t="shared" si="99"/>
        <v>7849.8</v>
      </c>
      <c r="AA2256" s="67">
        <f t="shared" si="114"/>
        <v>1255.968</v>
      </c>
      <c r="AB2256" s="67">
        <f t="shared" si="115"/>
        <v>9105.768</v>
      </c>
      <c r="AC2256" s="67">
        <f t="shared" si="102"/>
        <v>7413.7</v>
      </c>
      <c r="AD2256" s="67">
        <f t="shared" si="116"/>
        <v>1186.192</v>
      </c>
      <c r="AE2256" s="67">
        <f t="shared" si="117"/>
        <v>8599.892</v>
      </c>
      <c r="AF2256" s="67">
        <f t="shared" si="105"/>
        <v>7239.26</v>
      </c>
      <c r="AG2256" s="67">
        <f t="shared" si="118"/>
        <v>1158.2816</v>
      </c>
      <c r="AH2256" s="67">
        <f t="shared" si="119"/>
        <v>8397.5416</v>
      </c>
      <c r="AI2256" s="67">
        <f t="shared" si="108"/>
        <v>6977.6</v>
      </c>
      <c r="AJ2256" s="68">
        <f t="shared" si="120"/>
        <v>1116.416</v>
      </c>
      <c r="AK2256" s="68">
        <f t="shared" si="121"/>
        <v>8094.016</v>
      </c>
      <c r="AL2256" s="70"/>
      <c r="AM2256" s="70"/>
      <c r="AN2256" s="71"/>
      <c r="AO2256" s="71"/>
      <c r="AP2256" s="71"/>
      <c r="AQ2256" s="71"/>
      <c r="AR2256" s="71"/>
      <c r="AS2256" s="71"/>
      <c r="AT2256" s="71"/>
      <c r="AU2256" s="71"/>
      <c r="AV2256" s="71"/>
      <c r="AW2256" s="71"/>
      <c r="AX2256" s="71"/>
      <c r="AY2256" s="71"/>
      <c r="AZ2256" s="71"/>
      <c r="BA2256" s="71"/>
      <c r="BB2256" s="71"/>
      <c r="BC2256" s="71"/>
      <c r="BD2256" s="71"/>
      <c r="BE2256" s="71"/>
      <c r="BF2256" s="71"/>
      <c r="BG2256" s="71"/>
      <c r="BH2256" s="71"/>
      <c r="BI2256" s="71"/>
      <c r="BJ2256" s="71"/>
      <c r="BK2256" s="71"/>
      <c r="BL2256" s="71"/>
      <c r="BM2256" s="71"/>
      <c r="BN2256" s="71"/>
      <c r="BO2256" s="71"/>
      <c r="BP2256" s="71"/>
      <c r="BQ2256" s="71"/>
      <c r="BR2256" s="71"/>
      <c r="BS2256" s="71"/>
      <c r="BT2256" s="71"/>
      <c r="BU2256" s="71"/>
      <c r="BV2256" s="71"/>
    </row>
    <row r="2257">
      <c r="A2257" s="53"/>
      <c r="B2257" s="53"/>
      <c r="C2257" s="120" t="s">
        <v>603</v>
      </c>
      <c r="D2257" s="53" t="s">
        <v>5497</v>
      </c>
      <c r="E2257" s="54" t="s">
        <v>38</v>
      </c>
      <c r="F2257" s="54" t="s">
        <v>42</v>
      </c>
      <c r="G2257" s="193" t="s">
        <v>5498</v>
      </c>
      <c r="H2257" s="195" t="s">
        <v>5499</v>
      </c>
      <c r="I2257" s="54">
        <f t="shared" si="24"/>
        <v>36</v>
      </c>
      <c r="J2257" s="56"/>
      <c r="K2257" s="57"/>
      <c r="L2257" s="76" t="s">
        <v>661</v>
      </c>
      <c r="M2257" s="59"/>
      <c r="N2257" s="79">
        <v>6080.0</v>
      </c>
      <c r="O2257" s="61">
        <v>8081.0</v>
      </c>
      <c r="P2257" s="62">
        <v>8727.480000000001</v>
      </c>
      <c r="Q2257" s="63">
        <v>8727.480000000001</v>
      </c>
      <c r="R2257" s="64">
        <v>9164.0</v>
      </c>
      <c r="S2257" s="111">
        <v>9622.0</v>
      </c>
      <c r="T2257" s="65">
        <f t="shared" si="93"/>
        <v>1539.52</v>
      </c>
      <c r="U2257" s="65">
        <f t="shared" si="94"/>
        <v>11161.52</v>
      </c>
      <c r="V2257" s="66">
        <f t="shared" si="111"/>
        <v>0.04997817547</v>
      </c>
      <c r="W2257" s="67">
        <f t="shared" si="96"/>
        <v>9140.9</v>
      </c>
      <c r="X2257" s="67">
        <f t="shared" si="112"/>
        <v>1462.544</v>
      </c>
      <c r="Y2257" s="67">
        <f t="shared" si="113"/>
        <v>10603.444</v>
      </c>
      <c r="Z2257" s="67">
        <f t="shared" si="99"/>
        <v>8659.8</v>
      </c>
      <c r="AA2257" s="67">
        <f t="shared" si="114"/>
        <v>1385.568</v>
      </c>
      <c r="AB2257" s="67">
        <f t="shared" si="115"/>
        <v>10045.368</v>
      </c>
      <c r="AC2257" s="67">
        <f t="shared" si="102"/>
        <v>8178.7</v>
      </c>
      <c r="AD2257" s="67">
        <f t="shared" si="116"/>
        <v>1308.592</v>
      </c>
      <c r="AE2257" s="67">
        <f t="shared" si="117"/>
        <v>9487.292</v>
      </c>
      <c r="AF2257" s="67">
        <f t="shared" si="105"/>
        <v>7986.26</v>
      </c>
      <c r="AG2257" s="67">
        <f t="shared" si="118"/>
        <v>1277.8016</v>
      </c>
      <c r="AH2257" s="67">
        <f t="shared" si="119"/>
        <v>9264.0616</v>
      </c>
      <c r="AI2257" s="67">
        <f t="shared" si="108"/>
        <v>7697.6</v>
      </c>
      <c r="AJ2257" s="68">
        <f t="shared" si="120"/>
        <v>1231.616</v>
      </c>
      <c r="AK2257" s="68">
        <f t="shared" si="121"/>
        <v>8929.216</v>
      </c>
      <c r="AL2257" s="70"/>
      <c r="AM2257" s="70"/>
      <c r="AN2257" s="71"/>
      <c r="AO2257" s="71"/>
      <c r="AP2257" s="71"/>
      <c r="AQ2257" s="71"/>
      <c r="AR2257" s="71"/>
      <c r="AS2257" s="71"/>
      <c r="AT2257" s="71"/>
      <c r="AU2257" s="71"/>
      <c r="AV2257" s="71"/>
      <c r="AW2257" s="71"/>
      <c r="AX2257" s="71"/>
      <c r="AY2257" s="71"/>
      <c r="AZ2257" s="71"/>
      <c r="BA2257" s="71"/>
      <c r="BB2257" s="71"/>
      <c r="BC2257" s="71"/>
      <c r="BD2257" s="71"/>
      <c r="BE2257" s="71"/>
      <c r="BF2257" s="71"/>
      <c r="BG2257" s="71"/>
      <c r="BH2257" s="71"/>
      <c r="BI2257" s="71"/>
      <c r="BJ2257" s="71"/>
      <c r="BK2257" s="71"/>
      <c r="BL2257" s="71"/>
      <c r="BM2257" s="71"/>
      <c r="BN2257" s="71"/>
      <c r="BO2257" s="71"/>
      <c r="BP2257" s="71"/>
      <c r="BQ2257" s="71"/>
      <c r="BR2257" s="71"/>
      <c r="BS2257" s="71"/>
      <c r="BT2257" s="71"/>
      <c r="BU2257" s="71"/>
      <c r="BV2257" s="71"/>
    </row>
    <row r="2258">
      <c r="A2258" s="53"/>
      <c r="B2258" s="53"/>
      <c r="C2258" s="120" t="s">
        <v>603</v>
      </c>
      <c r="D2258" s="53" t="s">
        <v>5500</v>
      </c>
      <c r="E2258" s="54" t="s">
        <v>38</v>
      </c>
      <c r="F2258" s="54" t="s">
        <v>42</v>
      </c>
      <c r="G2258" s="193" t="s">
        <v>5501</v>
      </c>
      <c r="H2258" s="195" t="s">
        <v>5502</v>
      </c>
      <c r="I2258" s="54">
        <f t="shared" si="24"/>
        <v>37</v>
      </c>
      <c r="J2258" s="56"/>
      <c r="K2258" s="57"/>
      <c r="L2258" s="76" t="s">
        <v>661</v>
      </c>
      <c r="M2258" s="59"/>
      <c r="N2258" s="79">
        <v>3171.0</v>
      </c>
      <c r="O2258" s="61">
        <v>3424.0</v>
      </c>
      <c r="P2258" s="62">
        <v>3697.92</v>
      </c>
      <c r="Q2258" s="63">
        <v>3697.92</v>
      </c>
      <c r="R2258" s="64">
        <v>3883.0</v>
      </c>
      <c r="S2258" s="111">
        <v>4077.0</v>
      </c>
      <c r="T2258" s="65">
        <f t="shared" si="93"/>
        <v>652.32</v>
      </c>
      <c r="U2258" s="65">
        <f t="shared" si="94"/>
        <v>4729.32</v>
      </c>
      <c r="V2258" s="66">
        <f t="shared" si="111"/>
        <v>0.04996137007</v>
      </c>
      <c r="W2258" s="67">
        <f t="shared" si="96"/>
        <v>3873.15</v>
      </c>
      <c r="X2258" s="67">
        <f t="shared" si="112"/>
        <v>619.704</v>
      </c>
      <c r="Y2258" s="67">
        <f t="shared" si="113"/>
        <v>4492.854</v>
      </c>
      <c r="Z2258" s="67">
        <f t="shared" si="99"/>
        <v>3669.3</v>
      </c>
      <c r="AA2258" s="67">
        <f t="shared" si="114"/>
        <v>587.088</v>
      </c>
      <c r="AB2258" s="67">
        <f t="shared" si="115"/>
        <v>4256.388</v>
      </c>
      <c r="AC2258" s="67">
        <f t="shared" si="102"/>
        <v>3465.45</v>
      </c>
      <c r="AD2258" s="67">
        <f t="shared" si="116"/>
        <v>554.472</v>
      </c>
      <c r="AE2258" s="67">
        <f t="shared" si="117"/>
        <v>4019.922</v>
      </c>
      <c r="AF2258" s="67">
        <f t="shared" si="105"/>
        <v>3383.91</v>
      </c>
      <c r="AG2258" s="67">
        <f t="shared" si="118"/>
        <v>541.4256</v>
      </c>
      <c r="AH2258" s="67">
        <f t="shared" si="119"/>
        <v>3925.3356</v>
      </c>
      <c r="AI2258" s="67">
        <f t="shared" si="108"/>
        <v>3261.6</v>
      </c>
      <c r="AJ2258" s="68">
        <f t="shared" si="120"/>
        <v>521.856</v>
      </c>
      <c r="AK2258" s="68">
        <f t="shared" si="121"/>
        <v>3783.456</v>
      </c>
      <c r="AL2258" s="70"/>
      <c r="AM2258" s="70"/>
      <c r="AN2258" s="71"/>
      <c r="AO2258" s="71"/>
      <c r="AP2258" s="71"/>
      <c r="AQ2258" s="71"/>
      <c r="AR2258" s="71"/>
      <c r="AS2258" s="71"/>
      <c r="AT2258" s="71"/>
      <c r="AU2258" s="71"/>
      <c r="AV2258" s="71"/>
      <c r="AW2258" s="71"/>
      <c r="AX2258" s="71"/>
      <c r="AY2258" s="71"/>
      <c r="AZ2258" s="71"/>
      <c r="BA2258" s="71"/>
      <c r="BB2258" s="71"/>
      <c r="BC2258" s="71"/>
      <c r="BD2258" s="71"/>
      <c r="BE2258" s="71"/>
      <c r="BF2258" s="71"/>
      <c r="BG2258" s="71"/>
      <c r="BH2258" s="71"/>
      <c r="BI2258" s="71"/>
      <c r="BJ2258" s="71"/>
      <c r="BK2258" s="71"/>
      <c r="BL2258" s="71"/>
      <c r="BM2258" s="71"/>
      <c r="BN2258" s="71"/>
      <c r="BO2258" s="71"/>
      <c r="BP2258" s="71"/>
      <c r="BQ2258" s="71"/>
      <c r="BR2258" s="71"/>
      <c r="BS2258" s="71"/>
      <c r="BT2258" s="71"/>
      <c r="BU2258" s="71"/>
      <c r="BV2258" s="71"/>
    </row>
    <row r="2259">
      <c r="A2259" s="53"/>
      <c r="B2259" s="53"/>
      <c r="C2259" s="120" t="s">
        <v>603</v>
      </c>
      <c r="D2259" s="128" t="s">
        <v>5503</v>
      </c>
      <c r="E2259" s="54" t="s">
        <v>38</v>
      </c>
      <c r="F2259" s="54" t="s">
        <v>42</v>
      </c>
      <c r="G2259" s="193" t="s">
        <v>5504</v>
      </c>
      <c r="H2259" s="195" t="s">
        <v>5505</v>
      </c>
      <c r="I2259" s="54">
        <f t="shared" si="24"/>
        <v>38</v>
      </c>
      <c r="J2259" s="56"/>
      <c r="K2259" s="57"/>
      <c r="L2259" s="76" t="s">
        <v>661</v>
      </c>
      <c r="M2259" s="59"/>
      <c r="N2259" s="60"/>
      <c r="O2259" s="129">
        <v>5375.0</v>
      </c>
      <c r="P2259" s="62">
        <v>5805.0</v>
      </c>
      <c r="Q2259" s="63">
        <v>5805.0</v>
      </c>
      <c r="R2259" s="64">
        <v>6096.0</v>
      </c>
      <c r="S2259" s="111">
        <v>6401.0</v>
      </c>
      <c r="T2259" s="65">
        <f t="shared" si="93"/>
        <v>1024.16</v>
      </c>
      <c r="U2259" s="65">
        <f t="shared" si="94"/>
        <v>7425.16</v>
      </c>
      <c r="V2259" s="66">
        <f t="shared" si="111"/>
        <v>0.0500328084</v>
      </c>
      <c r="W2259" s="67">
        <f t="shared" si="96"/>
        <v>6080.95</v>
      </c>
      <c r="X2259" s="67">
        <f t="shared" si="112"/>
        <v>972.952</v>
      </c>
      <c r="Y2259" s="67">
        <f t="shared" si="113"/>
        <v>7053.902</v>
      </c>
      <c r="Z2259" s="67">
        <f t="shared" si="99"/>
        <v>5760.9</v>
      </c>
      <c r="AA2259" s="67">
        <f t="shared" si="114"/>
        <v>921.744</v>
      </c>
      <c r="AB2259" s="67">
        <f t="shared" si="115"/>
        <v>6682.644</v>
      </c>
      <c r="AC2259" s="67">
        <f t="shared" si="102"/>
        <v>5440.85</v>
      </c>
      <c r="AD2259" s="67">
        <f t="shared" si="116"/>
        <v>870.536</v>
      </c>
      <c r="AE2259" s="67">
        <f t="shared" si="117"/>
        <v>6311.386</v>
      </c>
      <c r="AF2259" s="67">
        <f t="shared" si="105"/>
        <v>5312.83</v>
      </c>
      <c r="AG2259" s="67">
        <f t="shared" si="118"/>
        <v>850.0528</v>
      </c>
      <c r="AH2259" s="67">
        <f t="shared" si="119"/>
        <v>6162.8828</v>
      </c>
      <c r="AI2259" s="67">
        <f t="shared" si="108"/>
        <v>5120.8</v>
      </c>
      <c r="AJ2259" s="68">
        <f t="shared" si="120"/>
        <v>819.328</v>
      </c>
      <c r="AK2259" s="68">
        <f t="shared" si="121"/>
        <v>5940.128</v>
      </c>
      <c r="AL2259" s="70"/>
      <c r="AM2259" s="70"/>
      <c r="AN2259" s="71"/>
      <c r="AO2259" s="71"/>
      <c r="AP2259" s="71"/>
      <c r="AQ2259" s="71"/>
      <c r="AR2259" s="71"/>
      <c r="AS2259" s="71"/>
      <c r="AT2259" s="71"/>
      <c r="AU2259" s="71"/>
      <c r="AV2259" s="71"/>
      <c r="AW2259" s="71"/>
      <c r="AX2259" s="71"/>
      <c r="AY2259" s="71"/>
      <c r="AZ2259" s="71"/>
      <c r="BA2259" s="71"/>
      <c r="BB2259" s="71"/>
      <c r="BC2259" s="71"/>
      <c r="BD2259" s="71"/>
      <c r="BE2259" s="71"/>
      <c r="BF2259" s="71"/>
      <c r="BG2259" s="71"/>
      <c r="BH2259" s="71"/>
      <c r="BI2259" s="71"/>
      <c r="BJ2259" s="71"/>
      <c r="BK2259" s="71"/>
      <c r="BL2259" s="71"/>
      <c r="BM2259" s="71"/>
      <c r="BN2259" s="71"/>
      <c r="BO2259" s="71"/>
      <c r="BP2259" s="71"/>
      <c r="BQ2259" s="71"/>
      <c r="BR2259" s="71"/>
      <c r="BS2259" s="71"/>
      <c r="BT2259" s="71"/>
      <c r="BU2259" s="71"/>
      <c r="BV2259" s="71"/>
    </row>
    <row r="2260">
      <c r="A2260" s="53"/>
      <c r="B2260" s="53"/>
      <c r="C2260" s="120" t="s">
        <v>603</v>
      </c>
      <c r="D2260" s="128" t="s">
        <v>5506</v>
      </c>
      <c r="E2260" s="54" t="s">
        <v>38</v>
      </c>
      <c r="F2260" s="54" t="s">
        <v>42</v>
      </c>
      <c r="G2260" s="193" t="s">
        <v>5507</v>
      </c>
      <c r="H2260" s="195" t="s">
        <v>5508</v>
      </c>
      <c r="I2260" s="54">
        <f t="shared" si="24"/>
        <v>40</v>
      </c>
      <c r="J2260" s="56"/>
      <c r="K2260" s="57"/>
      <c r="L2260" s="76" t="s">
        <v>661</v>
      </c>
      <c r="M2260" s="59"/>
      <c r="N2260" s="60"/>
      <c r="O2260" s="129">
        <v>1800.0</v>
      </c>
      <c r="P2260" s="62">
        <v>1944.0000000000002</v>
      </c>
      <c r="Q2260" s="63">
        <v>1944.0000000000002</v>
      </c>
      <c r="R2260" s="64">
        <v>2042.0</v>
      </c>
      <c r="S2260" s="111">
        <v>2144.0</v>
      </c>
      <c r="T2260" s="65">
        <f t="shared" si="93"/>
        <v>343.04</v>
      </c>
      <c r="U2260" s="65">
        <f t="shared" si="94"/>
        <v>2487.04</v>
      </c>
      <c r="V2260" s="66">
        <f t="shared" si="111"/>
        <v>0.0499510284</v>
      </c>
      <c r="W2260" s="67">
        <f t="shared" si="96"/>
        <v>2036.8</v>
      </c>
      <c r="X2260" s="67">
        <f t="shared" si="112"/>
        <v>325.888</v>
      </c>
      <c r="Y2260" s="67">
        <f t="shared" si="113"/>
        <v>2362.688</v>
      </c>
      <c r="Z2260" s="67">
        <f t="shared" si="99"/>
        <v>1929.6</v>
      </c>
      <c r="AA2260" s="67">
        <f t="shared" si="114"/>
        <v>308.736</v>
      </c>
      <c r="AB2260" s="67">
        <f t="shared" si="115"/>
        <v>2238.336</v>
      </c>
      <c r="AC2260" s="67">
        <f t="shared" si="102"/>
        <v>1822.4</v>
      </c>
      <c r="AD2260" s="67">
        <f t="shared" si="116"/>
        <v>291.584</v>
      </c>
      <c r="AE2260" s="67">
        <f t="shared" si="117"/>
        <v>2113.984</v>
      </c>
      <c r="AF2260" s="67">
        <f t="shared" si="105"/>
        <v>1779.52</v>
      </c>
      <c r="AG2260" s="67">
        <f t="shared" si="118"/>
        <v>284.7232</v>
      </c>
      <c r="AH2260" s="67">
        <f t="shared" si="119"/>
        <v>2064.2432</v>
      </c>
      <c r="AI2260" s="67">
        <f t="shared" si="108"/>
        <v>1715.2</v>
      </c>
      <c r="AJ2260" s="68">
        <f t="shared" si="120"/>
        <v>274.432</v>
      </c>
      <c r="AK2260" s="68">
        <f t="shared" si="121"/>
        <v>1989.632</v>
      </c>
      <c r="AL2260" s="70"/>
      <c r="AM2260" s="70"/>
      <c r="AN2260" s="71"/>
      <c r="AO2260" s="71"/>
      <c r="AP2260" s="71"/>
      <c r="AQ2260" s="71"/>
      <c r="AR2260" s="71"/>
      <c r="AS2260" s="71"/>
      <c r="AT2260" s="71"/>
      <c r="AU2260" s="71"/>
      <c r="AV2260" s="71"/>
      <c r="AW2260" s="71"/>
      <c r="AX2260" s="71"/>
      <c r="AY2260" s="71"/>
      <c r="AZ2260" s="71"/>
      <c r="BA2260" s="71"/>
      <c r="BB2260" s="71"/>
      <c r="BC2260" s="71"/>
      <c r="BD2260" s="71"/>
      <c r="BE2260" s="71"/>
      <c r="BF2260" s="71"/>
      <c r="BG2260" s="71"/>
      <c r="BH2260" s="71"/>
      <c r="BI2260" s="71"/>
      <c r="BJ2260" s="71"/>
      <c r="BK2260" s="71"/>
      <c r="BL2260" s="71"/>
      <c r="BM2260" s="71"/>
      <c r="BN2260" s="71"/>
      <c r="BO2260" s="71"/>
      <c r="BP2260" s="71"/>
      <c r="BQ2260" s="71"/>
      <c r="BR2260" s="71"/>
      <c r="BS2260" s="71"/>
      <c r="BT2260" s="71"/>
      <c r="BU2260" s="71"/>
      <c r="BV2260" s="71"/>
    </row>
    <row r="2261">
      <c r="A2261" s="53"/>
      <c r="B2261" s="53"/>
      <c r="C2261" s="120" t="s">
        <v>603</v>
      </c>
      <c r="D2261" s="128" t="s">
        <v>5509</v>
      </c>
      <c r="E2261" s="54" t="s">
        <v>38</v>
      </c>
      <c r="F2261" s="54" t="s">
        <v>42</v>
      </c>
      <c r="G2261" s="196" t="s">
        <v>5510</v>
      </c>
      <c r="H2261" s="195" t="s">
        <v>5511</v>
      </c>
      <c r="I2261" s="54">
        <f t="shared" si="24"/>
        <v>30</v>
      </c>
      <c r="J2261" s="56"/>
      <c r="K2261" s="57"/>
      <c r="L2261" s="76" t="s">
        <v>661</v>
      </c>
      <c r="M2261" s="59"/>
      <c r="N2261" s="60">
        <v>6331.5</v>
      </c>
      <c r="O2261" s="129">
        <v>9097.0</v>
      </c>
      <c r="P2261" s="62">
        <v>9824.76</v>
      </c>
      <c r="Q2261" s="63">
        <v>9824.76</v>
      </c>
      <c r="R2261" s="64">
        <v>10317.0</v>
      </c>
      <c r="S2261" s="111">
        <v>10833.0</v>
      </c>
      <c r="T2261" s="65">
        <f t="shared" si="93"/>
        <v>1733.28</v>
      </c>
      <c r="U2261" s="65">
        <f t="shared" si="94"/>
        <v>12566.28</v>
      </c>
      <c r="V2261" s="66">
        <f t="shared" si="111"/>
        <v>0.05001453911</v>
      </c>
      <c r="W2261" s="67">
        <f t="shared" si="96"/>
        <v>10291.35</v>
      </c>
      <c r="X2261" s="67">
        <f t="shared" si="112"/>
        <v>1646.616</v>
      </c>
      <c r="Y2261" s="67">
        <f t="shared" si="113"/>
        <v>11937.966</v>
      </c>
      <c r="Z2261" s="67">
        <f t="shared" si="99"/>
        <v>9749.7</v>
      </c>
      <c r="AA2261" s="67">
        <f t="shared" si="114"/>
        <v>1559.952</v>
      </c>
      <c r="AB2261" s="67">
        <f t="shared" si="115"/>
        <v>11309.652</v>
      </c>
      <c r="AC2261" s="67">
        <f t="shared" si="102"/>
        <v>9208.05</v>
      </c>
      <c r="AD2261" s="67">
        <f t="shared" si="116"/>
        <v>1473.288</v>
      </c>
      <c r="AE2261" s="67">
        <f t="shared" si="117"/>
        <v>10681.338</v>
      </c>
      <c r="AF2261" s="67">
        <f t="shared" si="105"/>
        <v>8991.39</v>
      </c>
      <c r="AG2261" s="67">
        <f t="shared" si="118"/>
        <v>1438.6224</v>
      </c>
      <c r="AH2261" s="67">
        <f t="shared" si="119"/>
        <v>10430.0124</v>
      </c>
      <c r="AI2261" s="67">
        <f t="shared" si="108"/>
        <v>8666.4</v>
      </c>
      <c r="AJ2261" s="68">
        <f t="shared" si="120"/>
        <v>1386.624</v>
      </c>
      <c r="AK2261" s="68">
        <f t="shared" si="121"/>
        <v>10053.024</v>
      </c>
      <c r="AL2261" s="70"/>
      <c r="AM2261" s="70"/>
      <c r="AN2261" s="71"/>
      <c r="AO2261" s="71"/>
      <c r="AP2261" s="71"/>
      <c r="AQ2261" s="71"/>
      <c r="AR2261" s="71"/>
      <c r="AS2261" s="71"/>
      <c r="AT2261" s="71"/>
      <c r="AU2261" s="71"/>
      <c r="AV2261" s="71"/>
      <c r="AW2261" s="71"/>
      <c r="AX2261" s="71"/>
      <c r="AY2261" s="71"/>
      <c r="AZ2261" s="71"/>
      <c r="BA2261" s="71"/>
      <c r="BB2261" s="71"/>
      <c r="BC2261" s="71"/>
      <c r="BD2261" s="71"/>
      <c r="BE2261" s="71"/>
      <c r="BF2261" s="71"/>
      <c r="BG2261" s="71"/>
      <c r="BH2261" s="71"/>
      <c r="BI2261" s="71"/>
      <c r="BJ2261" s="71"/>
      <c r="BK2261" s="71"/>
      <c r="BL2261" s="71"/>
      <c r="BM2261" s="71"/>
      <c r="BN2261" s="71"/>
      <c r="BO2261" s="71"/>
      <c r="BP2261" s="71"/>
      <c r="BQ2261" s="71"/>
      <c r="BR2261" s="71"/>
      <c r="BS2261" s="71"/>
      <c r="BT2261" s="71"/>
      <c r="BU2261" s="71"/>
      <c r="BV2261" s="71"/>
    </row>
    <row r="2262">
      <c r="A2262" s="53"/>
      <c r="B2262" s="53"/>
      <c r="C2262" s="120" t="s">
        <v>603</v>
      </c>
      <c r="D2262" s="128" t="s">
        <v>5512</v>
      </c>
      <c r="E2262" s="54" t="s">
        <v>38</v>
      </c>
      <c r="F2262" s="54" t="s">
        <v>42</v>
      </c>
      <c r="G2262" s="196" t="s">
        <v>5513</v>
      </c>
      <c r="H2262" s="195" t="s">
        <v>5514</v>
      </c>
      <c r="I2262" s="54">
        <f t="shared" si="24"/>
        <v>30</v>
      </c>
      <c r="J2262" s="56"/>
      <c r="K2262" s="57"/>
      <c r="L2262" s="76" t="s">
        <v>661</v>
      </c>
      <c r="M2262" s="59"/>
      <c r="N2262" s="60">
        <v>4394.25</v>
      </c>
      <c r="O2262" s="129">
        <v>4746.0</v>
      </c>
      <c r="P2262" s="62">
        <v>5125.68</v>
      </c>
      <c r="Q2262" s="63">
        <v>5125.68</v>
      </c>
      <c r="R2262" s="64">
        <v>5383.0</v>
      </c>
      <c r="S2262" s="111">
        <v>5652.0</v>
      </c>
      <c r="T2262" s="65">
        <f t="shared" si="93"/>
        <v>904.32</v>
      </c>
      <c r="U2262" s="65">
        <f t="shared" si="94"/>
        <v>6556.32</v>
      </c>
      <c r="V2262" s="66">
        <f t="shared" si="111"/>
        <v>0.0499721345</v>
      </c>
      <c r="W2262" s="67">
        <f t="shared" si="96"/>
        <v>5369.4</v>
      </c>
      <c r="X2262" s="67">
        <f t="shared" si="112"/>
        <v>859.104</v>
      </c>
      <c r="Y2262" s="67">
        <f t="shared" si="113"/>
        <v>6228.504</v>
      </c>
      <c r="Z2262" s="67">
        <f t="shared" si="99"/>
        <v>5086.8</v>
      </c>
      <c r="AA2262" s="67">
        <f t="shared" si="114"/>
        <v>813.888</v>
      </c>
      <c r="AB2262" s="67">
        <f t="shared" si="115"/>
        <v>5900.688</v>
      </c>
      <c r="AC2262" s="67">
        <f t="shared" si="102"/>
        <v>4804.2</v>
      </c>
      <c r="AD2262" s="67">
        <f t="shared" si="116"/>
        <v>768.672</v>
      </c>
      <c r="AE2262" s="67">
        <f t="shared" si="117"/>
        <v>5572.872</v>
      </c>
      <c r="AF2262" s="67">
        <f t="shared" si="105"/>
        <v>4691.16</v>
      </c>
      <c r="AG2262" s="67">
        <f t="shared" si="118"/>
        <v>750.5856</v>
      </c>
      <c r="AH2262" s="67">
        <f t="shared" si="119"/>
        <v>5441.7456</v>
      </c>
      <c r="AI2262" s="67">
        <f t="shared" si="108"/>
        <v>4521.6</v>
      </c>
      <c r="AJ2262" s="68">
        <f t="shared" si="120"/>
        <v>723.456</v>
      </c>
      <c r="AK2262" s="68">
        <f t="shared" si="121"/>
        <v>5245.056</v>
      </c>
      <c r="AL2262" s="70"/>
      <c r="AM2262" s="70"/>
      <c r="AN2262" s="71"/>
      <c r="AO2262" s="71"/>
      <c r="AP2262" s="71"/>
      <c r="AQ2262" s="71"/>
      <c r="AR2262" s="71"/>
      <c r="AS2262" s="71"/>
      <c r="AT2262" s="71"/>
      <c r="AU2262" s="71"/>
      <c r="AV2262" s="71"/>
      <c r="AW2262" s="71"/>
      <c r="AX2262" s="71"/>
      <c r="AY2262" s="71"/>
      <c r="AZ2262" s="71"/>
      <c r="BA2262" s="71"/>
      <c r="BB2262" s="71"/>
      <c r="BC2262" s="71"/>
      <c r="BD2262" s="71"/>
      <c r="BE2262" s="71"/>
      <c r="BF2262" s="71"/>
      <c r="BG2262" s="71"/>
      <c r="BH2262" s="71"/>
      <c r="BI2262" s="71"/>
      <c r="BJ2262" s="71"/>
      <c r="BK2262" s="71"/>
      <c r="BL2262" s="71"/>
      <c r="BM2262" s="71"/>
      <c r="BN2262" s="71"/>
      <c r="BO2262" s="71"/>
      <c r="BP2262" s="71"/>
      <c r="BQ2262" s="71"/>
      <c r="BR2262" s="71"/>
      <c r="BS2262" s="71"/>
      <c r="BT2262" s="71"/>
      <c r="BU2262" s="71"/>
      <c r="BV2262" s="71"/>
    </row>
    <row r="2263">
      <c r="A2263" s="53"/>
      <c r="B2263" s="53"/>
      <c r="C2263" s="120" t="s">
        <v>603</v>
      </c>
      <c r="D2263" s="128" t="s">
        <v>5515</v>
      </c>
      <c r="E2263" s="54" t="s">
        <v>38</v>
      </c>
      <c r="F2263" s="54" t="s">
        <v>42</v>
      </c>
      <c r="G2263" s="196" t="s">
        <v>5516</v>
      </c>
      <c r="H2263" s="195" t="s">
        <v>5517</v>
      </c>
      <c r="I2263" s="54">
        <f t="shared" si="24"/>
        <v>33</v>
      </c>
      <c r="J2263" s="56"/>
      <c r="K2263" s="57"/>
      <c r="L2263" s="76" t="s">
        <v>661</v>
      </c>
      <c r="M2263" s="59"/>
      <c r="N2263" s="60"/>
      <c r="O2263" s="129">
        <v>9097.0</v>
      </c>
      <c r="P2263" s="62">
        <v>7296.0</v>
      </c>
      <c r="Q2263" s="63">
        <v>7296.0</v>
      </c>
      <c r="R2263" s="64">
        <v>7661.0</v>
      </c>
      <c r="S2263" s="111">
        <v>8044.0</v>
      </c>
      <c r="T2263" s="65">
        <f t="shared" si="93"/>
        <v>1287.04</v>
      </c>
      <c r="U2263" s="65">
        <f t="shared" si="94"/>
        <v>9331.04</v>
      </c>
      <c r="V2263" s="66">
        <f t="shared" si="111"/>
        <v>0.04999347344</v>
      </c>
      <c r="W2263" s="67">
        <f t="shared" si="96"/>
        <v>7641.8</v>
      </c>
      <c r="X2263" s="67">
        <f t="shared" si="112"/>
        <v>1222.688</v>
      </c>
      <c r="Y2263" s="67">
        <f t="shared" si="113"/>
        <v>8864.488</v>
      </c>
      <c r="Z2263" s="67">
        <f t="shared" si="99"/>
        <v>7239.6</v>
      </c>
      <c r="AA2263" s="67">
        <f t="shared" si="114"/>
        <v>1158.336</v>
      </c>
      <c r="AB2263" s="67">
        <f t="shared" si="115"/>
        <v>8397.936</v>
      </c>
      <c r="AC2263" s="67">
        <f t="shared" si="102"/>
        <v>6837.4</v>
      </c>
      <c r="AD2263" s="67">
        <f t="shared" si="116"/>
        <v>1093.984</v>
      </c>
      <c r="AE2263" s="67">
        <f t="shared" si="117"/>
        <v>7931.384</v>
      </c>
      <c r="AF2263" s="67">
        <f t="shared" si="105"/>
        <v>6676.52</v>
      </c>
      <c r="AG2263" s="67">
        <f t="shared" si="118"/>
        <v>1068.2432</v>
      </c>
      <c r="AH2263" s="67">
        <f t="shared" si="119"/>
        <v>7744.7632</v>
      </c>
      <c r="AI2263" s="67">
        <f t="shared" si="108"/>
        <v>6435.2</v>
      </c>
      <c r="AJ2263" s="68">
        <f t="shared" si="120"/>
        <v>1029.632</v>
      </c>
      <c r="AK2263" s="68">
        <f t="shared" si="121"/>
        <v>7464.832</v>
      </c>
      <c r="AL2263" s="70"/>
      <c r="AM2263" s="70"/>
      <c r="AN2263" s="71"/>
      <c r="AO2263" s="71"/>
      <c r="AP2263" s="71"/>
      <c r="AQ2263" s="71"/>
      <c r="AR2263" s="71"/>
      <c r="AS2263" s="71"/>
      <c r="AT2263" s="71"/>
      <c r="AU2263" s="71"/>
      <c r="AV2263" s="71"/>
      <c r="AW2263" s="71"/>
      <c r="AX2263" s="71"/>
      <c r="AY2263" s="71"/>
      <c r="AZ2263" s="71"/>
      <c r="BA2263" s="71"/>
      <c r="BB2263" s="71"/>
      <c r="BC2263" s="71"/>
      <c r="BD2263" s="71"/>
      <c r="BE2263" s="71"/>
      <c r="BF2263" s="71"/>
      <c r="BG2263" s="71"/>
      <c r="BH2263" s="71"/>
      <c r="BI2263" s="71"/>
      <c r="BJ2263" s="71"/>
      <c r="BK2263" s="71"/>
      <c r="BL2263" s="71"/>
      <c r="BM2263" s="71"/>
      <c r="BN2263" s="71"/>
      <c r="BO2263" s="71"/>
      <c r="BP2263" s="71"/>
      <c r="BQ2263" s="71"/>
      <c r="BR2263" s="71"/>
      <c r="BS2263" s="71"/>
      <c r="BT2263" s="71"/>
      <c r="BU2263" s="71"/>
      <c r="BV2263" s="71"/>
    </row>
    <row r="2264">
      <c r="A2264" s="53"/>
      <c r="B2264" s="53"/>
      <c r="C2264" s="120" t="s">
        <v>603</v>
      </c>
      <c r="D2264" s="128" t="s">
        <v>5518</v>
      </c>
      <c r="E2264" s="54" t="s">
        <v>38</v>
      </c>
      <c r="F2264" s="54" t="s">
        <v>42</v>
      </c>
      <c r="G2264" s="193" t="s">
        <v>5519</v>
      </c>
      <c r="H2264" s="195" t="s">
        <v>5520</v>
      </c>
      <c r="I2264" s="54">
        <f t="shared" si="24"/>
        <v>38</v>
      </c>
      <c r="J2264" s="56"/>
      <c r="K2264" s="57"/>
      <c r="L2264" s="76" t="s">
        <v>661</v>
      </c>
      <c r="M2264" s="59"/>
      <c r="N2264" s="60"/>
      <c r="O2264" s="129">
        <v>3022.0</v>
      </c>
      <c r="P2264" s="62">
        <v>3263.76</v>
      </c>
      <c r="Q2264" s="63">
        <v>3263.76</v>
      </c>
      <c r="R2264" s="64">
        <v>3428.0</v>
      </c>
      <c r="S2264" s="111">
        <v>3599.0</v>
      </c>
      <c r="T2264" s="65">
        <f t="shared" si="93"/>
        <v>575.84</v>
      </c>
      <c r="U2264" s="65">
        <f t="shared" si="94"/>
        <v>4174.84</v>
      </c>
      <c r="V2264" s="66">
        <f t="shared" si="111"/>
        <v>0.04988331389</v>
      </c>
      <c r="W2264" s="67">
        <f t="shared" si="96"/>
        <v>3419.05</v>
      </c>
      <c r="X2264" s="67">
        <f t="shared" si="112"/>
        <v>547.048</v>
      </c>
      <c r="Y2264" s="67">
        <f t="shared" si="113"/>
        <v>3966.098</v>
      </c>
      <c r="Z2264" s="67">
        <f t="shared" si="99"/>
        <v>3239.1</v>
      </c>
      <c r="AA2264" s="67">
        <f t="shared" si="114"/>
        <v>518.256</v>
      </c>
      <c r="AB2264" s="67">
        <f t="shared" si="115"/>
        <v>3757.356</v>
      </c>
      <c r="AC2264" s="67">
        <f t="shared" si="102"/>
        <v>3059.15</v>
      </c>
      <c r="AD2264" s="67">
        <f t="shared" si="116"/>
        <v>489.464</v>
      </c>
      <c r="AE2264" s="67">
        <f t="shared" si="117"/>
        <v>3548.614</v>
      </c>
      <c r="AF2264" s="67">
        <f t="shared" si="105"/>
        <v>2987.17</v>
      </c>
      <c r="AG2264" s="67">
        <f t="shared" si="118"/>
        <v>477.9472</v>
      </c>
      <c r="AH2264" s="67">
        <f t="shared" si="119"/>
        <v>3465.1172</v>
      </c>
      <c r="AI2264" s="67">
        <f t="shared" si="108"/>
        <v>2879.2</v>
      </c>
      <c r="AJ2264" s="68">
        <f t="shared" si="120"/>
        <v>460.672</v>
      </c>
      <c r="AK2264" s="68">
        <f t="shared" si="121"/>
        <v>3339.872</v>
      </c>
      <c r="AL2264" s="70"/>
      <c r="AM2264" s="70"/>
      <c r="AN2264" s="71"/>
      <c r="AO2264" s="71"/>
      <c r="AP2264" s="71"/>
      <c r="AQ2264" s="71"/>
      <c r="AR2264" s="71"/>
      <c r="AS2264" s="71"/>
      <c r="AT2264" s="71"/>
      <c r="AU2264" s="71"/>
      <c r="AV2264" s="71"/>
      <c r="AW2264" s="71"/>
      <c r="AX2264" s="71"/>
      <c r="AY2264" s="71"/>
      <c r="AZ2264" s="71"/>
      <c r="BA2264" s="71"/>
      <c r="BB2264" s="71"/>
      <c r="BC2264" s="71"/>
      <c r="BD2264" s="71"/>
      <c r="BE2264" s="71"/>
      <c r="BF2264" s="71"/>
      <c r="BG2264" s="71"/>
      <c r="BH2264" s="71"/>
      <c r="BI2264" s="71"/>
      <c r="BJ2264" s="71"/>
      <c r="BK2264" s="71"/>
      <c r="BL2264" s="71"/>
      <c r="BM2264" s="71"/>
      <c r="BN2264" s="71"/>
      <c r="BO2264" s="71"/>
      <c r="BP2264" s="71"/>
      <c r="BQ2264" s="71"/>
      <c r="BR2264" s="71"/>
      <c r="BS2264" s="71"/>
      <c r="BT2264" s="71"/>
      <c r="BU2264" s="71"/>
      <c r="BV2264" s="71"/>
    </row>
    <row r="2265">
      <c r="A2265" s="53"/>
      <c r="B2265" s="53"/>
      <c r="C2265" s="120" t="s">
        <v>603</v>
      </c>
      <c r="D2265" s="128" t="s">
        <v>5521</v>
      </c>
      <c r="E2265" s="54" t="s">
        <v>38</v>
      </c>
      <c r="F2265" s="54" t="s">
        <v>42</v>
      </c>
      <c r="G2265" s="193" t="s">
        <v>5522</v>
      </c>
      <c r="H2265" s="195" t="s">
        <v>5523</v>
      </c>
      <c r="I2265" s="54">
        <f t="shared" si="24"/>
        <v>40</v>
      </c>
      <c r="J2265" s="56"/>
      <c r="K2265" s="57"/>
      <c r="L2265" s="76" t="s">
        <v>661</v>
      </c>
      <c r="M2265" s="59"/>
      <c r="N2265" s="60"/>
      <c r="O2265" s="129">
        <v>1944.0</v>
      </c>
      <c r="P2265" s="62">
        <v>2099.52</v>
      </c>
      <c r="Q2265" s="63">
        <v>2099.52</v>
      </c>
      <c r="R2265" s="64">
        <v>2205.0</v>
      </c>
      <c r="S2265" s="111">
        <v>2315.0</v>
      </c>
      <c r="T2265" s="65">
        <f t="shared" si="93"/>
        <v>370.4</v>
      </c>
      <c r="U2265" s="65">
        <f t="shared" si="94"/>
        <v>2685.4</v>
      </c>
      <c r="V2265" s="66">
        <f t="shared" si="111"/>
        <v>0.04988662132</v>
      </c>
      <c r="W2265" s="67">
        <f t="shared" si="96"/>
        <v>2199.25</v>
      </c>
      <c r="X2265" s="67">
        <f t="shared" si="112"/>
        <v>351.88</v>
      </c>
      <c r="Y2265" s="67">
        <f t="shared" si="113"/>
        <v>2551.13</v>
      </c>
      <c r="Z2265" s="67">
        <f t="shared" si="99"/>
        <v>2083.5</v>
      </c>
      <c r="AA2265" s="67">
        <f t="shared" si="114"/>
        <v>333.36</v>
      </c>
      <c r="AB2265" s="67">
        <f t="shared" si="115"/>
        <v>2416.86</v>
      </c>
      <c r="AC2265" s="67">
        <f t="shared" si="102"/>
        <v>1967.75</v>
      </c>
      <c r="AD2265" s="67">
        <f t="shared" si="116"/>
        <v>314.84</v>
      </c>
      <c r="AE2265" s="67">
        <f t="shared" si="117"/>
        <v>2282.59</v>
      </c>
      <c r="AF2265" s="67">
        <f t="shared" si="105"/>
        <v>1921.45</v>
      </c>
      <c r="AG2265" s="67">
        <f t="shared" si="118"/>
        <v>307.432</v>
      </c>
      <c r="AH2265" s="67">
        <f t="shared" si="119"/>
        <v>2228.882</v>
      </c>
      <c r="AI2265" s="67">
        <f t="shared" si="108"/>
        <v>1852</v>
      </c>
      <c r="AJ2265" s="68">
        <f t="shared" si="120"/>
        <v>296.32</v>
      </c>
      <c r="AK2265" s="68">
        <f t="shared" si="121"/>
        <v>2148.32</v>
      </c>
      <c r="AL2265" s="70"/>
      <c r="AM2265" s="70"/>
      <c r="AN2265" s="71"/>
      <c r="AO2265" s="71"/>
      <c r="AP2265" s="71"/>
      <c r="AQ2265" s="71"/>
      <c r="AR2265" s="71"/>
      <c r="AS2265" s="71"/>
      <c r="AT2265" s="71"/>
      <c r="AU2265" s="71"/>
      <c r="AV2265" s="71"/>
      <c r="AW2265" s="71"/>
      <c r="AX2265" s="71"/>
      <c r="AY2265" s="71"/>
      <c r="AZ2265" s="71"/>
      <c r="BA2265" s="71"/>
      <c r="BB2265" s="71"/>
      <c r="BC2265" s="71"/>
      <c r="BD2265" s="71"/>
      <c r="BE2265" s="71"/>
      <c r="BF2265" s="71"/>
      <c r="BG2265" s="71"/>
      <c r="BH2265" s="71"/>
      <c r="BI2265" s="71"/>
      <c r="BJ2265" s="71"/>
      <c r="BK2265" s="71"/>
      <c r="BL2265" s="71"/>
      <c r="BM2265" s="71"/>
      <c r="BN2265" s="71"/>
      <c r="BO2265" s="71"/>
      <c r="BP2265" s="71"/>
      <c r="BQ2265" s="71"/>
      <c r="BR2265" s="71"/>
      <c r="BS2265" s="71"/>
      <c r="BT2265" s="71"/>
      <c r="BU2265" s="71"/>
      <c r="BV2265" s="71"/>
    </row>
    <row r="2266">
      <c r="A2266" s="53"/>
      <c r="B2266" s="53"/>
      <c r="C2266" s="73" t="s">
        <v>53</v>
      </c>
      <c r="D2266" s="53" t="s">
        <v>5524</v>
      </c>
      <c r="E2266" s="54" t="s">
        <v>38</v>
      </c>
      <c r="F2266" s="54" t="s">
        <v>42</v>
      </c>
      <c r="G2266" s="193" t="s">
        <v>5525</v>
      </c>
      <c r="H2266" s="193" t="s">
        <v>5526</v>
      </c>
      <c r="I2266" s="54">
        <f t="shared" si="24"/>
        <v>39</v>
      </c>
      <c r="J2266" s="56"/>
      <c r="K2266" s="57"/>
      <c r="L2266" s="76" t="s">
        <v>661</v>
      </c>
      <c r="M2266" s="59"/>
      <c r="N2266" s="60"/>
      <c r="O2266" s="61">
        <v>9097.0</v>
      </c>
      <c r="P2266" s="62">
        <v>9824.76</v>
      </c>
      <c r="Q2266" s="63">
        <v>9824.76</v>
      </c>
      <c r="R2266" s="64">
        <v>10317.0</v>
      </c>
      <c r="S2266" s="111">
        <v>10833.0</v>
      </c>
      <c r="T2266" s="65">
        <f t="shared" si="93"/>
        <v>1733.28</v>
      </c>
      <c r="U2266" s="65">
        <f t="shared" si="94"/>
        <v>12566.28</v>
      </c>
      <c r="V2266" s="66">
        <f t="shared" si="111"/>
        <v>0.05001453911</v>
      </c>
      <c r="W2266" s="67">
        <f t="shared" si="96"/>
        <v>10291.35</v>
      </c>
      <c r="X2266" s="67">
        <f t="shared" si="112"/>
        <v>1646.616</v>
      </c>
      <c r="Y2266" s="67">
        <f t="shared" si="113"/>
        <v>11937.966</v>
      </c>
      <c r="Z2266" s="67">
        <f t="shared" si="99"/>
        <v>9749.7</v>
      </c>
      <c r="AA2266" s="67">
        <f t="shared" si="114"/>
        <v>1559.952</v>
      </c>
      <c r="AB2266" s="67">
        <f t="shared" si="115"/>
        <v>11309.652</v>
      </c>
      <c r="AC2266" s="67">
        <f t="shared" si="102"/>
        <v>9208.05</v>
      </c>
      <c r="AD2266" s="67">
        <f t="shared" si="116"/>
        <v>1473.288</v>
      </c>
      <c r="AE2266" s="67">
        <f t="shared" si="117"/>
        <v>10681.338</v>
      </c>
      <c r="AF2266" s="67">
        <f t="shared" si="105"/>
        <v>8991.39</v>
      </c>
      <c r="AG2266" s="67">
        <f t="shared" si="118"/>
        <v>1438.6224</v>
      </c>
      <c r="AH2266" s="67">
        <f t="shared" si="119"/>
        <v>10430.0124</v>
      </c>
      <c r="AI2266" s="67">
        <f t="shared" si="108"/>
        <v>8666.4</v>
      </c>
      <c r="AJ2266" s="68">
        <f t="shared" si="120"/>
        <v>1386.624</v>
      </c>
      <c r="AK2266" s="68">
        <f t="shared" si="121"/>
        <v>10053.024</v>
      </c>
      <c r="AL2266" s="70"/>
      <c r="AM2266" s="70"/>
      <c r="AN2266" s="71"/>
      <c r="AO2266" s="71"/>
      <c r="AP2266" s="71"/>
      <c r="AQ2266" s="71"/>
      <c r="AR2266" s="71"/>
      <c r="AS2266" s="71"/>
      <c r="AT2266" s="71"/>
      <c r="AU2266" s="71"/>
      <c r="AV2266" s="71"/>
      <c r="AW2266" s="71"/>
      <c r="AX2266" s="71"/>
      <c r="AY2266" s="71"/>
      <c r="AZ2266" s="71"/>
      <c r="BA2266" s="71"/>
      <c r="BB2266" s="71"/>
      <c r="BC2266" s="71"/>
      <c r="BD2266" s="71"/>
      <c r="BE2266" s="71"/>
      <c r="BF2266" s="71"/>
      <c r="BG2266" s="71"/>
      <c r="BH2266" s="71"/>
      <c r="BI2266" s="71"/>
      <c r="BJ2266" s="71"/>
      <c r="BK2266" s="71"/>
      <c r="BL2266" s="71"/>
      <c r="BM2266" s="71"/>
      <c r="BN2266" s="71"/>
      <c r="BO2266" s="71"/>
      <c r="BP2266" s="71"/>
      <c r="BQ2266" s="71"/>
      <c r="BR2266" s="71"/>
      <c r="BS2266" s="71"/>
      <c r="BT2266" s="71"/>
      <c r="BU2266" s="71"/>
      <c r="BV2266" s="71"/>
    </row>
    <row r="2267">
      <c r="A2267" s="53"/>
      <c r="B2267" s="53"/>
      <c r="C2267" s="120" t="s">
        <v>603</v>
      </c>
      <c r="D2267" s="128" t="s">
        <v>5527</v>
      </c>
      <c r="E2267" s="54" t="s">
        <v>38</v>
      </c>
      <c r="F2267" s="54" t="s">
        <v>42</v>
      </c>
      <c r="G2267" s="196" t="s">
        <v>5528</v>
      </c>
      <c r="H2267" s="195" t="s">
        <v>5529</v>
      </c>
      <c r="I2267" s="54">
        <f t="shared" si="24"/>
        <v>30</v>
      </c>
      <c r="J2267" s="56"/>
      <c r="K2267" s="57"/>
      <c r="L2267" s="76" t="s">
        <v>661</v>
      </c>
      <c r="M2267" s="59"/>
      <c r="N2267" s="60">
        <v>4394.25</v>
      </c>
      <c r="O2267" s="129">
        <v>5941.0</v>
      </c>
      <c r="P2267" s="62">
        <v>6416.280000000001</v>
      </c>
      <c r="Q2267" s="63">
        <v>6416.280000000001</v>
      </c>
      <c r="R2267" s="64">
        <v>6737.0</v>
      </c>
      <c r="S2267" s="111">
        <v>7074.0</v>
      </c>
      <c r="T2267" s="65">
        <f t="shared" si="93"/>
        <v>1131.84</v>
      </c>
      <c r="U2267" s="65">
        <f t="shared" si="94"/>
        <v>8205.84</v>
      </c>
      <c r="V2267" s="66">
        <f t="shared" si="111"/>
        <v>0.0500222651</v>
      </c>
      <c r="W2267" s="67">
        <f t="shared" si="96"/>
        <v>6720.3</v>
      </c>
      <c r="X2267" s="67">
        <f t="shared" si="112"/>
        <v>1075.248</v>
      </c>
      <c r="Y2267" s="67">
        <f t="shared" si="113"/>
        <v>7795.548</v>
      </c>
      <c r="Z2267" s="67">
        <f t="shared" si="99"/>
        <v>6366.6</v>
      </c>
      <c r="AA2267" s="67">
        <f t="shared" si="114"/>
        <v>1018.656</v>
      </c>
      <c r="AB2267" s="67">
        <f t="shared" si="115"/>
        <v>7385.256</v>
      </c>
      <c r="AC2267" s="67">
        <f t="shared" si="102"/>
        <v>6012.9</v>
      </c>
      <c r="AD2267" s="67">
        <f t="shared" si="116"/>
        <v>962.064</v>
      </c>
      <c r="AE2267" s="67">
        <f t="shared" si="117"/>
        <v>6974.964</v>
      </c>
      <c r="AF2267" s="67">
        <f t="shared" si="105"/>
        <v>5871.42</v>
      </c>
      <c r="AG2267" s="67">
        <f t="shared" si="118"/>
        <v>939.4272</v>
      </c>
      <c r="AH2267" s="67">
        <f t="shared" si="119"/>
        <v>6810.8472</v>
      </c>
      <c r="AI2267" s="67">
        <f t="shared" si="108"/>
        <v>5659.2</v>
      </c>
      <c r="AJ2267" s="68">
        <f t="shared" si="120"/>
        <v>905.472</v>
      </c>
      <c r="AK2267" s="68">
        <f t="shared" si="121"/>
        <v>6564.672</v>
      </c>
      <c r="AL2267" s="70"/>
      <c r="AM2267" s="70"/>
      <c r="AN2267" s="71"/>
      <c r="AO2267" s="71"/>
      <c r="AP2267" s="71"/>
      <c r="AQ2267" s="71"/>
      <c r="AR2267" s="71"/>
      <c r="AS2267" s="71"/>
      <c r="AT2267" s="71"/>
      <c r="AU2267" s="71"/>
      <c r="AV2267" s="71"/>
      <c r="AW2267" s="71"/>
      <c r="AX2267" s="71"/>
      <c r="AY2267" s="71"/>
      <c r="AZ2267" s="71"/>
      <c r="BA2267" s="71"/>
      <c r="BB2267" s="71"/>
      <c r="BC2267" s="71"/>
      <c r="BD2267" s="71"/>
      <c r="BE2267" s="71"/>
      <c r="BF2267" s="71"/>
      <c r="BG2267" s="71"/>
      <c r="BH2267" s="71"/>
      <c r="BI2267" s="71"/>
      <c r="BJ2267" s="71"/>
      <c r="BK2267" s="71"/>
      <c r="BL2267" s="71"/>
      <c r="BM2267" s="71"/>
      <c r="BN2267" s="71"/>
      <c r="BO2267" s="71"/>
      <c r="BP2267" s="71"/>
      <c r="BQ2267" s="71"/>
      <c r="BR2267" s="71"/>
      <c r="BS2267" s="71"/>
      <c r="BT2267" s="71"/>
      <c r="BU2267" s="71"/>
      <c r="BV2267" s="71"/>
    </row>
    <row r="2268">
      <c r="A2268" s="53"/>
      <c r="B2268" s="53"/>
      <c r="C2268" s="120" t="s">
        <v>603</v>
      </c>
      <c r="D2268" s="53" t="s">
        <v>5530</v>
      </c>
      <c r="E2268" s="54" t="s">
        <v>38</v>
      </c>
      <c r="F2268" s="54" t="s">
        <v>42</v>
      </c>
      <c r="G2268" s="193" t="s">
        <v>5531</v>
      </c>
      <c r="H2268" s="195" t="s">
        <v>5532</v>
      </c>
      <c r="I2268" s="54">
        <f t="shared" si="24"/>
        <v>30</v>
      </c>
      <c r="J2268" s="56"/>
      <c r="K2268" s="57"/>
      <c r="L2268" s="76" t="s">
        <v>661</v>
      </c>
      <c r="M2268" s="59"/>
      <c r="N2268" s="60">
        <v>2640.75</v>
      </c>
      <c r="O2268" s="61">
        <v>3022.0</v>
      </c>
      <c r="P2268" s="62">
        <v>3263.76</v>
      </c>
      <c r="Q2268" s="63">
        <v>3263.76</v>
      </c>
      <c r="R2268" s="64">
        <v>3428.0</v>
      </c>
      <c r="S2268" s="111">
        <v>3599.0</v>
      </c>
      <c r="T2268" s="65">
        <f t="shared" si="93"/>
        <v>575.84</v>
      </c>
      <c r="U2268" s="65">
        <f t="shared" si="94"/>
        <v>4174.84</v>
      </c>
      <c r="V2268" s="66">
        <f t="shared" si="111"/>
        <v>0.04988331389</v>
      </c>
      <c r="W2268" s="67">
        <f t="shared" si="96"/>
        <v>3419.05</v>
      </c>
      <c r="X2268" s="67">
        <f t="shared" si="112"/>
        <v>547.048</v>
      </c>
      <c r="Y2268" s="67">
        <f t="shared" si="113"/>
        <v>3966.098</v>
      </c>
      <c r="Z2268" s="67">
        <f t="shared" si="99"/>
        <v>3239.1</v>
      </c>
      <c r="AA2268" s="67">
        <f t="shared" si="114"/>
        <v>518.256</v>
      </c>
      <c r="AB2268" s="67">
        <f t="shared" si="115"/>
        <v>3757.356</v>
      </c>
      <c r="AC2268" s="67">
        <f t="shared" si="102"/>
        <v>3059.15</v>
      </c>
      <c r="AD2268" s="67">
        <f t="shared" si="116"/>
        <v>489.464</v>
      </c>
      <c r="AE2268" s="67">
        <f t="shared" si="117"/>
        <v>3548.614</v>
      </c>
      <c r="AF2268" s="67">
        <f t="shared" si="105"/>
        <v>2987.17</v>
      </c>
      <c r="AG2268" s="67">
        <f t="shared" si="118"/>
        <v>477.9472</v>
      </c>
      <c r="AH2268" s="67">
        <f t="shared" si="119"/>
        <v>3465.1172</v>
      </c>
      <c r="AI2268" s="67">
        <f t="shared" si="108"/>
        <v>2879.2</v>
      </c>
      <c r="AJ2268" s="68">
        <f t="shared" si="120"/>
        <v>460.672</v>
      </c>
      <c r="AK2268" s="68">
        <f t="shared" si="121"/>
        <v>3339.872</v>
      </c>
      <c r="AL2268" s="70"/>
      <c r="AM2268" s="70"/>
      <c r="AN2268" s="71"/>
      <c r="AO2268" s="71"/>
      <c r="AP2268" s="71"/>
      <c r="AQ2268" s="71"/>
      <c r="AR2268" s="71"/>
      <c r="AS2268" s="71"/>
      <c r="AT2268" s="71"/>
      <c r="AU2268" s="71"/>
      <c r="AV2268" s="71"/>
      <c r="AW2268" s="71"/>
      <c r="AX2268" s="71"/>
      <c r="AY2268" s="71"/>
      <c r="AZ2268" s="71"/>
      <c r="BA2268" s="71"/>
      <c r="BB2268" s="71"/>
      <c r="BC2268" s="71"/>
      <c r="BD2268" s="71"/>
      <c r="BE2268" s="71"/>
      <c r="BF2268" s="71"/>
      <c r="BG2268" s="71"/>
      <c r="BH2268" s="71"/>
      <c r="BI2268" s="71"/>
      <c r="BJ2268" s="71"/>
      <c r="BK2268" s="71"/>
      <c r="BL2268" s="71"/>
      <c r="BM2268" s="71"/>
      <c r="BN2268" s="71"/>
      <c r="BO2268" s="71"/>
      <c r="BP2268" s="71"/>
      <c r="BQ2268" s="71"/>
      <c r="BR2268" s="71"/>
      <c r="BS2268" s="71"/>
      <c r="BT2268" s="71"/>
      <c r="BU2268" s="71"/>
      <c r="BV2268" s="71"/>
    </row>
    <row r="2269">
      <c r="A2269" s="53"/>
      <c r="B2269" s="53"/>
      <c r="C2269" s="53" t="s">
        <v>53</v>
      </c>
      <c r="D2269" s="53" t="s">
        <v>5533</v>
      </c>
      <c r="E2269" s="54" t="s">
        <v>38</v>
      </c>
      <c r="F2269" s="55" t="s">
        <v>42</v>
      </c>
      <c r="G2269" s="198" t="s">
        <v>5534</v>
      </c>
      <c r="H2269" s="193"/>
      <c r="I2269" s="54">
        <f t="shared" si="24"/>
        <v>0</v>
      </c>
      <c r="J2269" s="56"/>
      <c r="K2269" s="57"/>
      <c r="L2269" s="76" t="s">
        <v>661</v>
      </c>
      <c r="M2269" s="59"/>
      <c r="N2269" s="60"/>
      <c r="O2269" s="90"/>
      <c r="P2269" s="62">
        <v>7920.0</v>
      </c>
      <c r="Q2269" s="63">
        <v>7920.0</v>
      </c>
      <c r="R2269" s="64">
        <v>8316.0</v>
      </c>
      <c r="S2269" s="111">
        <v>8732.0</v>
      </c>
      <c r="T2269" s="65">
        <f t="shared" si="93"/>
        <v>1397.12</v>
      </c>
      <c r="U2269" s="65">
        <f t="shared" si="94"/>
        <v>10129.12</v>
      </c>
      <c r="V2269" s="66">
        <f t="shared" si="111"/>
        <v>0.05002405002</v>
      </c>
      <c r="W2269" s="67">
        <f t="shared" si="96"/>
        <v>8295.4</v>
      </c>
      <c r="X2269" s="67">
        <f t="shared" si="112"/>
        <v>1327.264</v>
      </c>
      <c r="Y2269" s="67">
        <f t="shared" si="113"/>
        <v>9622.664</v>
      </c>
      <c r="Z2269" s="67">
        <f t="shared" si="99"/>
        <v>7858.8</v>
      </c>
      <c r="AA2269" s="67">
        <f t="shared" si="114"/>
        <v>1257.408</v>
      </c>
      <c r="AB2269" s="67">
        <f t="shared" si="115"/>
        <v>9116.208</v>
      </c>
      <c r="AC2269" s="67">
        <f t="shared" si="102"/>
        <v>7422.2</v>
      </c>
      <c r="AD2269" s="67">
        <f t="shared" si="116"/>
        <v>1187.552</v>
      </c>
      <c r="AE2269" s="67">
        <f t="shared" si="117"/>
        <v>8609.752</v>
      </c>
      <c r="AF2269" s="67">
        <f t="shared" si="105"/>
        <v>7247.56</v>
      </c>
      <c r="AG2269" s="67">
        <f t="shared" si="118"/>
        <v>1159.6096</v>
      </c>
      <c r="AH2269" s="67">
        <f t="shared" si="119"/>
        <v>8407.1696</v>
      </c>
      <c r="AI2269" s="67">
        <f t="shared" si="108"/>
        <v>6985.6</v>
      </c>
      <c r="AJ2269" s="68">
        <f t="shared" si="120"/>
        <v>1117.696</v>
      </c>
      <c r="AK2269" s="68">
        <f t="shared" si="121"/>
        <v>8103.296</v>
      </c>
      <c r="AL2269" s="70"/>
      <c r="AM2269" s="70"/>
      <c r="AN2269" s="71"/>
      <c r="AO2269" s="71"/>
      <c r="AP2269" s="71"/>
      <c r="AQ2269" s="71"/>
      <c r="AR2269" s="71"/>
      <c r="AS2269" s="71"/>
      <c r="AT2269" s="71"/>
      <c r="AU2269" s="71"/>
      <c r="AV2269" s="71"/>
      <c r="AW2269" s="71"/>
      <c r="AX2269" s="71"/>
      <c r="AY2269" s="71"/>
      <c r="AZ2269" s="71"/>
      <c r="BA2269" s="71"/>
      <c r="BB2269" s="71"/>
      <c r="BC2269" s="71"/>
      <c r="BD2269" s="71"/>
      <c r="BE2269" s="71"/>
      <c r="BF2269" s="71"/>
      <c r="BG2269" s="71"/>
      <c r="BH2269" s="71"/>
      <c r="BI2269" s="71"/>
      <c r="BJ2269" s="71"/>
      <c r="BK2269" s="71"/>
      <c r="BL2269" s="71"/>
      <c r="BM2269" s="71"/>
      <c r="BN2269" s="71"/>
      <c r="BO2269" s="71"/>
      <c r="BP2269" s="71"/>
      <c r="BQ2269" s="71"/>
      <c r="BR2269" s="71"/>
      <c r="BS2269" s="71"/>
      <c r="BT2269" s="71"/>
      <c r="BU2269" s="71"/>
      <c r="BV2269" s="71"/>
    </row>
    <row r="2270">
      <c r="A2270" s="53"/>
      <c r="B2270" s="53"/>
      <c r="C2270" s="120" t="s">
        <v>603</v>
      </c>
      <c r="D2270" s="128" t="s">
        <v>5535</v>
      </c>
      <c r="E2270" s="54" t="s">
        <v>38</v>
      </c>
      <c r="F2270" s="54" t="s">
        <v>42</v>
      </c>
      <c r="G2270" s="193" t="s">
        <v>5536</v>
      </c>
      <c r="H2270" s="195" t="s">
        <v>5537</v>
      </c>
      <c r="I2270" s="54">
        <f t="shared" si="24"/>
        <v>40</v>
      </c>
      <c r="J2270" s="56"/>
      <c r="K2270" s="57"/>
      <c r="L2270" s="76" t="s">
        <v>661</v>
      </c>
      <c r="M2270" s="59"/>
      <c r="N2270" s="79"/>
      <c r="O2270" s="61">
        <v>1800.0</v>
      </c>
      <c r="P2270" s="62">
        <v>1944.0000000000002</v>
      </c>
      <c r="Q2270" s="63">
        <v>1944.0000000000002</v>
      </c>
      <c r="R2270" s="64">
        <v>2042.0</v>
      </c>
      <c r="S2270" s="111">
        <v>2144.0</v>
      </c>
      <c r="T2270" s="65">
        <f t="shared" si="93"/>
        <v>343.04</v>
      </c>
      <c r="U2270" s="65">
        <f t="shared" si="94"/>
        <v>2487.04</v>
      </c>
      <c r="V2270" s="66">
        <f t="shared" si="111"/>
        <v>0.0499510284</v>
      </c>
      <c r="W2270" s="67">
        <f t="shared" si="96"/>
        <v>2036.8</v>
      </c>
      <c r="X2270" s="67">
        <f t="shared" si="112"/>
        <v>325.888</v>
      </c>
      <c r="Y2270" s="67">
        <f t="shared" si="113"/>
        <v>2362.688</v>
      </c>
      <c r="Z2270" s="67">
        <f t="shared" si="99"/>
        <v>1929.6</v>
      </c>
      <c r="AA2270" s="67">
        <f t="shared" si="114"/>
        <v>308.736</v>
      </c>
      <c r="AB2270" s="67">
        <f t="shared" si="115"/>
        <v>2238.336</v>
      </c>
      <c r="AC2270" s="67">
        <f t="shared" si="102"/>
        <v>1822.4</v>
      </c>
      <c r="AD2270" s="67">
        <f t="shared" si="116"/>
        <v>291.584</v>
      </c>
      <c r="AE2270" s="67">
        <f t="shared" si="117"/>
        <v>2113.984</v>
      </c>
      <c r="AF2270" s="67">
        <f t="shared" si="105"/>
        <v>1779.52</v>
      </c>
      <c r="AG2270" s="67">
        <f t="shared" si="118"/>
        <v>284.7232</v>
      </c>
      <c r="AH2270" s="67">
        <f t="shared" si="119"/>
        <v>2064.2432</v>
      </c>
      <c r="AI2270" s="67">
        <f t="shared" si="108"/>
        <v>1715.2</v>
      </c>
      <c r="AJ2270" s="68">
        <f t="shared" si="120"/>
        <v>274.432</v>
      </c>
      <c r="AK2270" s="68">
        <f t="shared" si="121"/>
        <v>1989.632</v>
      </c>
      <c r="AL2270" s="70"/>
      <c r="AM2270" s="70"/>
      <c r="AN2270" s="71"/>
      <c r="AO2270" s="71"/>
      <c r="AP2270" s="71"/>
      <c r="AQ2270" s="71"/>
      <c r="AR2270" s="71"/>
      <c r="AS2270" s="71"/>
      <c r="AT2270" s="71"/>
      <c r="AU2270" s="71"/>
      <c r="AV2270" s="71"/>
      <c r="AW2270" s="71"/>
      <c r="AX2270" s="71"/>
      <c r="AY2270" s="71"/>
      <c r="AZ2270" s="71"/>
      <c r="BA2270" s="71"/>
      <c r="BB2270" s="71"/>
      <c r="BC2270" s="71"/>
      <c r="BD2270" s="71"/>
      <c r="BE2270" s="71"/>
      <c r="BF2270" s="71"/>
      <c r="BG2270" s="71"/>
      <c r="BH2270" s="71"/>
      <c r="BI2270" s="71"/>
      <c r="BJ2270" s="71"/>
      <c r="BK2270" s="71"/>
      <c r="BL2270" s="71"/>
      <c r="BM2270" s="71"/>
      <c r="BN2270" s="71"/>
      <c r="BO2270" s="71"/>
      <c r="BP2270" s="71"/>
      <c r="BQ2270" s="71"/>
      <c r="BR2270" s="71"/>
      <c r="BS2270" s="71"/>
      <c r="BT2270" s="71"/>
      <c r="BU2270" s="71"/>
      <c r="BV2270" s="71"/>
    </row>
    <row r="2271">
      <c r="A2271" s="53"/>
      <c r="B2271" s="53"/>
      <c r="C2271" s="53" t="s">
        <v>53</v>
      </c>
      <c r="D2271" s="53" t="s">
        <v>5538</v>
      </c>
      <c r="E2271" s="54" t="s">
        <v>38</v>
      </c>
      <c r="F2271" s="55" t="s">
        <v>42</v>
      </c>
      <c r="G2271" s="198" t="s">
        <v>5539</v>
      </c>
      <c r="H2271" s="193"/>
      <c r="I2271" s="54">
        <f t="shared" si="24"/>
        <v>0</v>
      </c>
      <c r="J2271" s="56"/>
      <c r="K2271" s="57"/>
      <c r="L2271" s="76" t="s">
        <v>661</v>
      </c>
      <c r="M2271" s="59"/>
      <c r="N2271" s="60"/>
      <c r="O2271" s="90"/>
      <c r="P2271" s="62">
        <v>7920.0</v>
      </c>
      <c r="Q2271" s="63">
        <v>7920.0</v>
      </c>
      <c r="R2271" s="64">
        <v>8316.0</v>
      </c>
      <c r="S2271" s="111">
        <v>8732.0</v>
      </c>
      <c r="T2271" s="65">
        <f t="shared" si="93"/>
        <v>1397.12</v>
      </c>
      <c r="U2271" s="65">
        <f t="shared" si="94"/>
        <v>10129.12</v>
      </c>
      <c r="V2271" s="66">
        <f t="shared" si="111"/>
        <v>0.05002405002</v>
      </c>
      <c r="W2271" s="67">
        <f t="shared" si="96"/>
        <v>8295.4</v>
      </c>
      <c r="X2271" s="67">
        <f t="shared" si="112"/>
        <v>1327.264</v>
      </c>
      <c r="Y2271" s="67">
        <f t="shared" si="113"/>
        <v>9622.664</v>
      </c>
      <c r="Z2271" s="67">
        <f t="shared" si="99"/>
        <v>7858.8</v>
      </c>
      <c r="AA2271" s="67">
        <f t="shared" si="114"/>
        <v>1257.408</v>
      </c>
      <c r="AB2271" s="67">
        <f t="shared" si="115"/>
        <v>9116.208</v>
      </c>
      <c r="AC2271" s="67">
        <f t="shared" si="102"/>
        <v>7422.2</v>
      </c>
      <c r="AD2271" s="67">
        <f t="shared" si="116"/>
        <v>1187.552</v>
      </c>
      <c r="AE2271" s="67">
        <f t="shared" si="117"/>
        <v>8609.752</v>
      </c>
      <c r="AF2271" s="67">
        <f t="shared" si="105"/>
        <v>7247.56</v>
      </c>
      <c r="AG2271" s="67">
        <f t="shared" si="118"/>
        <v>1159.6096</v>
      </c>
      <c r="AH2271" s="67">
        <f t="shared" si="119"/>
        <v>8407.1696</v>
      </c>
      <c r="AI2271" s="67">
        <f t="shared" si="108"/>
        <v>6985.6</v>
      </c>
      <c r="AJ2271" s="68">
        <f t="shared" si="120"/>
        <v>1117.696</v>
      </c>
      <c r="AK2271" s="68">
        <f t="shared" si="121"/>
        <v>8103.296</v>
      </c>
      <c r="AL2271" s="70"/>
      <c r="AM2271" s="70"/>
      <c r="AN2271" s="71"/>
      <c r="AO2271" s="71"/>
      <c r="AP2271" s="71"/>
      <c r="AQ2271" s="71"/>
      <c r="AR2271" s="71"/>
      <c r="AS2271" s="71"/>
      <c r="AT2271" s="71"/>
      <c r="AU2271" s="71"/>
      <c r="AV2271" s="71"/>
      <c r="AW2271" s="71"/>
      <c r="AX2271" s="71"/>
      <c r="AY2271" s="71"/>
      <c r="AZ2271" s="71"/>
      <c r="BA2271" s="71"/>
      <c r="BB2271" s="71"/>
      <c r="BC2271" s="71"/>
      <c r="BD2271" s="71"/>
      <c r="BE2271" s="71"/>
      <c r="BF2271" s="71"/>
      <c r="BG2271" s="71"/>
      <c r="BH2271" s="71"/>
      <c r="BI2271" s="71"/>
      <c r="BJ2271" s="71"/>
      <c r="BK2271" s="71"/>
      <c r="BL2271" s="71"/>
      <c r="BM2271" s="71"/>
      <c r="BN2271" s="71"/>
      <c r="BO2271" s="71"/>
      <c r="BP2271" s="71"/>
      <c r="BQ2271" s="71"/>
      <c r="BR2271" s="71"/>
      <c r="BS2271" s="71"/>
      <c r="BT2271" s="71"/>
      <c r="BU2271" s="71"/>
      <c r="BV2271" s="71"/>
    </row>
    <row r="2272">
      <c r="A2272" s="53"/>
      <c r="B2272" s="53"/>
      <c r="C2272" s="120" t="s">
        <v>603</v>
      </c>
      <c r="D2272" s="53" t="s">
        <v>5540</v>
      </c>
      <c r="E2272" s="54" t="s">
        <v>38</v>
      </c>
      <c r="F2272" s="54" t="s">
        <v>42</v>
      </c>
      <c r="G2272" s="193" t="s">
        <v>5541</v>
      </c>
      <c r="H2272" s="195" t="s">
        <v>5542</v>
      </c>
      <c r="I2272" s="54">
        <f t="shared" si="24"/>
        <v>30</v>
      </c>
      <c r="J2272" s="56"/>
      <c r="K2272" s="57"/>
      <c r="L2272" s="76" t="s">
        <v>661</v>
      </c>
      <c r="M2272" s="59"/>
      <c r="N2272" s="79"/>
      <c r="O2272" s="61">
        <v>0.0</v>
      </c>
      <c r="P2272" s="62">
        <v>11003.04</v>
      </c>
      <c r="Q2272" s="63">
        <v>11003.04</v>
      </c>
      <c r="R2272" s="64">
        <v>11554.0</v>
      </c>
      <c r="S2272" s="111">
        <v>12132.0</v>
      </c>
      <c r="T2272" s="65">
        <f t="shared" si="93"/>
        <v>1941.12</v>
      </c>
      <c r="U2272" s="65">
        <f t="shared" si="94"/>
        <v>14073.12</v>
      </c>
      <c r="V2272" s="66">
        <f t="shared" si="111"/>
        <v>0.05002596503</v>
      </c>
      <c r="W2272" s="67">
        <f t="shared" si="96"/>
        <v>11525.4</v>
      </c>
      <c r="X2272" s="67">
        <f t="shared" si="112"/>
        <v>1844.064</v>
      </c>
      <c r="Y2272" s="67">
        <f t="shared" si="113"/>
        <v>13369.464</v>
      </c>
      <c r="Z2272" s="67">
        <f t="shared" si="99"/>
        <v>10918.8</v>
      </c>
      <c r="AA2272" s="67">
        <f t="shared" si="114"/>
        <v>1747.008</v>
      </c>
      <c r="AB2272" s="67">
        <f t="shared" si="115"/>
        <v>12665.808</v>
      </c>
      <c r="AC2272" s="67">
        <f t="shared" si="102"/>
        <v>10312.2</v>
      </c>
      <c r="AD2272" s="67">
        <f t="shared" si="116"/>
        <v>1649.952</v>
      </c>
      <c r="AE2272" s="67">
        <f t="shared" si="117"/>
        <v>11962.152</v>
      </c>
      <c r="AF2272" s="67">
        <f t="shared" si="105"/>
        <v>10069.56</v>
      </c>
      <c r="AG2272" s="67">
        <f t="shared" si="118"/>
        <v>1611.1296</v>
      </c>
      <c r="AH2272" s="67">
        <f t="shared" si="119"/>
        <v>11680.6896</v>
      </c>
      <c r="AI2272" s="67">
        <f t="shared" si="108"/>
        <v>9705.6</v>
      </c>
      <c r="AJ2272" s="68">
        <f t="shared" si="120"/>
        <v>1552.896</v>
      </c>
      <c r="AK2272" s="68">
        <f t="shared" si="121"/>
        <v>11258.496</v>
      </c>
      <c r="AL2272" s="70"/>
      <c r="AM2272" s="70"/>
      <c r="AN2272" s="71"/>
      <c r="AO2272" s="71"/>
      <c r="AP2272" s="71"/>
      <c r="AQ2272" s="71"/>
      <c r="AR2272" s="71"/>
      <c r="AS2272" s="71"/>
      <c r="AT2272" s="71"/>
      <c r="AU2272" s="71"/>
      <c r="AV2272" s="71"/>
      <c r="AW2272" s="71"/>
      <c r="AX2272" s="71"/>
      <c r="AY2272" s="71"/>
      <c r="AZ2272" s="71"/>
      <c r="BA2272" s="71"/>
      <c r="BB2272" s="71"/>
      <c r="BC2272" s="71"/>
      <c r="BD2272" s="71"/>
      <c r="BE2272" s="71"/>
      <c r="BF2272" s="71"/>
      <c r="BG2272" s="71"/>
      <c r="BH2272" s="71"/>
      <c r="BI2272" s="71"/>
      <c r="BJ2272" s="71"/>
      <c r="BK2272" s="71"/>
      <c r="BL2272" s="71"/>
      <c r="BM2272" s="71"/>
      <c r="BN2272" s="71"/>
      <c r="BO2272" s="71"/>
      <c r="BP2272" s="71"/>
      <c r="BQ2272" s="71"/>
      <c r="BR2272" s="71"/>
      <c r="BS2272" s="71"/>
      <c r="BT2272" s="71"/>
      <c r="BU2272" s="71"/>
      <c r="BV2272" s="71"/>
    </row>
    <row r="2273">
      <c r="A2273" s="53"/>
      <c r="B2273" s="53"/>
      <c r="C2273" s="120" t="s">
        <v>603</v>
      </c>
      <c r="D2273" s="53" t="s">
        <v>5543</v>
      </c>
      <c r="E2273" s="54" t="s">
        <v>38</v>
      </c>
      <c r="F2273" s="54" t="s">
        <v>42</v>
      </c>
      <c r="G2273" s="193" t="s">
        <v>5544</v>
      </c>
      <c r="H2273" s="195" t="s">
        <v>5545</v>
      </c>
      <c r="I2273" s="54">
        <f t="shared" si="24"/>
        <v>32</v>
      </c>
      <c r="J2273" s="56"/>
      <c r="K2273" s="57"/>
      <c r="L2273" s="76" t="s">
        <v>661</v>
      </c>
      <c r="M2273" s="59"/>
      <c r="N2273" s="79">
        <v>2799.0</v>
      </c>
      <c r="O2273" s="61">
        <v>3022.0</v>
      </c>
      <c r="P2273" s="62">
        <v>3263.76</v>
      </c>
      <c r="Q2273" s="63">
        <v>3263.76</v>
      </c>
      <c r="R2273" s="64">
        <v>3428.0</v>
      </c>
      <c r="S2273" s="111">
        <v>3599.0</v>
      </c>
      <c r="T2273" s="65">
        <f t="shared" si="93"/>
        <v>575.84</v>
      </c>
      <c r="U2273" s="65">
        <f t="shared" si="94"/>
        <v>4174.84</v>
      </c>
      <c r="V2273" s="66">
        <f t="shared" si="111"/>
        <v>0.04988331389</v>
      </c>
      <c r="W2273" s="67">
        <f t="shared" si="96"/>
        <v>3419.05</v>
      </c>
      <c r="X2273" s="67">
        <f t="shared" si="112"/>
        <v>547.048</v>
      </c>
      <c r="Y2273" s="67">
        <f t="shared" si="113"/>
        <v>3966.098</v>
      </c>
      <c r="Z2273" s="67">
        <f t="shared" si="99"/>
        <v>3239.1</v>
      </c>
      <c r="AA2273" s="67">
        <f t="shared" si="114"/>
        <v>518.256</v>
      </c>
      <c r="AB2273" s="67">
        <f t="shared" si="115"/>
        <v>3757.356</v>
      </c>
      <c r="AC2273" s="67">
        <f t="shared" si="102"/>
        <v>3059.15</v>
      </c>
      <c r="AD2273" s="67">
        <f t="shared" si="116"/>
        <v>489.464</v>
      </c>
      <c r="AE2273" s="67">
        <f t="shared" si="117"/>
        <v>3548.614</v>
      </c>
      <c r="AF2273" s="67">
        <f t="shared" si="105"/>
        <v>2987.17</v>
      </c>
      <c r="AG2273" s="67">
        <f t="shared" si="118"/>
        <v>477.9472</v>
      </c>
      <c r="AH2273" s="67">
        <f t="shared" si="119"/>
        <v>3465.1172</v>
      </c>
      <c r="AI2273" s="67">
        <f t="shared" si="108"/>
        <v>2879.2</v>
      </c>
      <c r="AJ2273" s="68">
        <f t="shared" si="120"/>
        <v>460.672</v>
      </c>
      <c r="AK2273" s="68">
        <f t="shared" si="121"/>
        <v>3339.872</v>
      </c>
      <c r="AL2273" s="70"/>
      <c r="AM2273" s="70"/>
      <c r="AN2273" s="71"/>
      <c r="AO2273" s="71"/>
      <c r="AP2273" s="71"/>
      <c r="AQ2273" s="71"/>
      <c r="AR2273" s="71"/>
      <c r="AS2273" s="71"/>
      <c r="AT2273" s="71"/>
      <c r="AU2273" s="71"/>
      <c r="AV2273" s="71"/>
      <c r="AW2273" s="71"/>
      <c r="AX2273" s="71"/>
      <c r="AY2273" s="71"/>
      <c r="AZ2273" s="71"/>
      <c r="BA2273" s="71"/>
      <c r="BB2273" s="71"/>
      <c r="BC2273" s="71"/>
      <c r="BD2273" s="71"/>
      <c r="BE2273" s="71"/>
      <c r="BF2273" s="71"/>
      <c r="BG2273" s="71"/>
      <c r="BH2273" s="71"/>
      <c r="BI2273" s="71"/>
      <c r="BJ2273" s="71"/>
      <c r="BK2273" s="71"/>
      <c r="BL2273" s="71"/>
      <c r="BM2273" s="71"/>
      <c r="BN2273" s="71"/>
      <c r="BO2273" s="71"/>
      <c r="BP2273" s="71"/>
      <c r="BQ2273" s="71"/>
      <c r="BR2273" s="71"/>
      <c r="BS2273" s="71"/>
      <c r="BT2273" s="71"/>
      <c r="BU2273" s="71"/>
      <c r="BV2273" s="71"/>
    </row>
    <row r="2274">
      <c r="A2274" s="53"/>
      <c r="B2274" s="53"/>
      <c r="C2274" s="120" t="s">
        <v>603</v>
      </c>
      <c r="D2274" s="53" t="s">
        <v>5546</v>
      </c>
      <c r="E2274" s="54" t="s">
        <v>38</v>
      </c>
      <c r="F2274" s="54" t="s">
        <v>42</v>
      </c>
      <c r="G2274" s="193" t="s">
        <v>5547</v>
      </c>
      <c r="H2274" s="195" t="s">
        <v>5548</v>
      </c>
      <c r="I2274" s="54">
        <f t="shared" si="24"/>
        <v>36</v>
      </c>
      <c r="J2274" s="56"/>
      <c r="K2274" s="57"/>
      <c r="L2274" s="76" t="s">
        <v>661</v>
      </c>
      <c r="M2274" s="59"/>
      <c r="N2274" s="79">
        <v>6332.44</v>
      </c>
      <c r="O2274" s="61">
        <v>10188.0</v>
      </c>
      <c r="P2274" s="62">
        <v>11003.04</v>
      </c>
      <c r="Q2274" s="63">
        <v>11003.04</v>
      </c>
      <c r="R2274" s="64">
        <v>11554.0</v>
      </c>
      <c r="S2274" s="111">
        <v>12132.0</v>
      </c>
      <c r="T2274" s="65">
        <f t="shared" si="93"/>
        <v>1941.12</v>
      </c>
      <c r="U2274" s="65">
        <f t="shared" si="94"/>
        <v>14073.12</v>
      </c>
      <c r="V2274" s="66">
        <f t="shared" si="111"/>
        <v>0.05002596503</v>
      </c>
      <c r="W2274" s="67">
        <f t="shared" si="96"/>
        <v>11525.4</v>
      </c>
      <c r="X2274" s="67">
        <f t="shared" si="112"/>
        <v>1844.064</v>
      </c>
      <c r="Y2274" s="67">
        <f t="shared" si="113"/>
        <v>13369.464</v>
      </c>
      <c r="Z2274" s="67">
        <f t="shared" si="99"/>
        <v>10918.8</v>
      </c>
      <c r="AA2274" s="67">
        <f t="shared" si="114"/>
        <v>1747.008</v>
      </c>
      <c r="AB2274" s="67">
        <f t="shared" si="115"/>
        <v>12665.808</v>
      </c>
      <c r="AC2274" s="67">
        <f t="shared" si="102"/>
        <v>10312.2</v>
      </c>
      <c r="AD2274" s="67">
        <f t="shared" si="116"/>
        <v>1649.952</v>
      </c>
      <c r="AE2274" s="67">
        <f t="shared" si="117"/>
        <v>11962.152</v>
      </c>
      <c r="AF2274" s="67">
        <f t="shared" si="105"/>
        <v>10069.56</v>
      </c>
      <c r="AG2274" s="67">
        <f t="shared" si="118"/>
        <v>1611.1296</v>
      </c>
      <c r="AH2274" s="67">
        <f t="shared" si="119"/>
        <v>11680.6896</v>
      </c>
      <c r="AI2274" s="67">
        <f t="shared" si="108"/>
        <v>9705.6</v>
      </c>
      <c r="AJ2274" s="68">
        <f t="shared" si="120"/>
        <v>1552.896</v>
      </c>
      <c r="AK2274" s="68">
        <f t="shared" si="121"/>
        <v>11258.496</v>
      </c>
      <c r="AL2274" s="70"/>
      <c r="AM2274" s="70"/>
      <c r="AN2274" s="71"/>
      <c r="AO2274" s="71"/>
      <c r="AP2274" s="71"/>
      <c r="AQ2274" s="71"/>
      <c r="AR2274" s="71"/>
      <c r="AS2274" s="71"/>
      <c r="AT2274" s="71"/>
      <c r="AU2274" s="71"/>
      <c r="AV2274" s="71"/>
      <c r="AW2274" s="71"/>
      <c r="AX2274" s="71"/>
      <c r="AY2274" s="71"/>
      <c r="AZ2274" s="71"/>
      <c r="BA2274" s="71"/>
      <c r="BB2274" s="71"/>
      <c r="BC2274" s="71"/>
      <c r="BD2274" s="71"/>
      <c r="BE2274" s="71"/>
      <c r="BF2274" s="71"/>
      <c r="BG2274" s="71"/>
      <c r="BH2274" s="71"/>
      <c r="BI2274" s="71"/>
      <c r="BJ2274" s="71"/>
      <c r="BK2274" s="71"/>
      <c r="BL2274" s="71"/>
      <c r="BM2274" s="71"/>
      <c r="BN2274" s="71"/>
      <c r="BO2274" s="71"/>
      <c r="BP2274" s="71"/>
      <c r="BQ2274" s="71"/>
      <c r="BR2274" s="71"/>
      <c r="BS2274" s="71"/>
      <c r="BT2274" s="71"/>
      <c r="BU2274" s="71"/>
      <c r="BV2274" s="71"/>
    </row>
    <row r="2275">
      <c r="A2275" s="53"/>
      <c r="B2275" s="53"/>
      <c r="C2275" s="73" t="s">
        <v>603</v>
      </c>
      <c r="D2275" s="53" t="s">
        <v>5549</v>
      </c>
      <c r="E2275" s="54" t="s">
        <v>38</v>
      </c>
      <c r="F2275" s="54" t="s">
        <v>42</v>
      </c>
      <c r="G2275" s="193" t="s">
        <v>5550</v>
      </c>
      <c r="H2275" s="195" t="s">
        <v>5551</v>
      </c>
      <c r="I2275" s="54">
        <f t="shared" si="24"/>
        <v>38</v>
      </c>
      <c r="J2275" s="56"/>
      <c r="K2275" s="57"/>
      <c r="L2275" s="76" t="s">
        <v>661</v>
      </c>
      <c r="M2275" s="59"/>
      <c r="N2275" s="79">
        <v>2640.0</v>
      </c>
      <c r="O2275" s="61">
        <v>3424.0</v>
      </c>
      <c r="P2275" s="62">
        <v>3697.92</v>
      </c>
      <c r="Q2275" s="63">
        <v>3697.92</v>
      </c>
      <c r="R2275" s="64">
        <v>3883.0</v>
      </c>
      <c r="S2275" s="111">
        <v>4077.0</v>
      </c>
      <c r="T2275" s="65">
        <f t="shared" si="93"/>
        <v>652.32</v>
      </c>
      <c r="U2275" s="65">
        <f t="shared" si="94"/>
        <v>4729.32</v>
      </c>
      <c r="V2275" s="66">
        <f t="shared" si="111"/>
        <v>0.04996137007</v>
      </c>
      <c r="W2275" s="67">
        <f t="shared" si="96"/>
        <v>3873.15</v>
      </c>
      <c r="X2275" s="67">
        <f t="shared" si="112"/>
        <v>619.704</v>
      </c>
      <c r="Y2275" s="67">
        <f t="shared" si="113"/>
        <v>4492.854</v>
      </c>
      <c r="Z2275" s="67">
        <f t="shared" si="99"/>
        <v>3669.3</v>
      </c>
      <c r="AA2275" s="67">
        <f t="shared" si="114"/>
        <v>587.088</v>
      </c>
      <c r="AB2275" s="67">
        <f t="shared" si="115"/>
        <v>4256.388</v>
      </c>
      <c r="AC2275" s="67">
        <f t="shared" si="102"/>
        <v>3465.45</v>
      </c>
      <c r="AD2275" s="67">
        <f t="shared" si="116"/>
        <v>554.472</v>
      </c>
      <c r="AE2275" s="67">
        <f t="shared" si="117"/>
        <v>4019.922</v>
      </c>
      <c r="AF2275" s="67">
        <f t="shared" si="105"/>
        <v>3383.91</v>
      </c>
      <c r="AG2275" s="67">
        <f t="shared" si="118"/>
        <v>541.4256</v>
      </c>
      <c r="AH2275" s="67">
        <f t="shared" si="119"/>
        <v>3925.3356</v>
      </c>
      <c r="AI2275" s="67">
        <f t="shared" si="108"/>
        <v>3261.6</v>
      </c>
      <c r="AJ2275" s="68">
        <f t="shared" si="120"/>
        <v>521.856</v>
      </c>
      <c r="AK2275" s="68">
        <f t="shared" si="121"/>
        <v>3783.456</v>
      </c>
      <c r="AL2275" s="70"/>
      <c r="AM2275" s="70"/>
      <c r="AN2275" s="71"/>
      <c r="AO2275" s="71"/>
      <c r="AP2275" s="71"/>
      <c r="AQ2275" s="71"/>
      <c r="AR2275" s="71"/>
      <c r="AS2275" s="71"/>
      <c r="AT2275" s="71"/>
      <c r="AU2275" s="71"/>
      <c r="AV2275" s="71"/>
      <c r="AW2275" s="71"/>
      <c r="AX2275" s="71"/>
      <c r="AY2275" s="71"/>
      <c r="AZ2275" s="71"/>
      <c r="BA2275" s="71"/>
      <c r="BB2275" s="71"/>
      <c r="BC2275" s="71"/>
      <c r="BD2275" s="71"/>
      <c r="BE2275" s="71"/>
      <c r="BF2275" s="71"/>
      <c r="BG2275" s="71"/>
      <c r="BH2275" s="71"/>
      <c r="BI2275" s="71"/>
      <c r="BJ2275" s="71"/>
      <c r="BK2275" s="71"/>
      <c r="BL2275" s="71"/>
      <c r="BM2275" s="71"/>
      <c r="BN2275" s="71"/>
      <c r="BO2275" s="71"/>
      <c r="BP2275" s="71"/>
      <c r="BQ2275" s="71"/>
      <c r="BR2275" s="71"/>
      <c r="BS2275" s="71"/>
      <c r="BT2275" s="71"/>
      <c r="BU2275" s="71"/>
      <c r="BV2275" s="71"/>
    </row>
    <row r="2276">
      <c r="A2276" s="53"/>
      <c r="B2276" s="53"/>
      <c r="C2276" s="73" t="s">
        <v>603</v>
      </c>
      <c r="D2276" s="53" t="s">
        <v>5552</v>
      </c>
      <c r="E2276" s="54" t="s">
        <v>38</v>
      </c>
      <c r="F2276" s="54" t="s">
        <v>42</v>
      </c>
      <c r="G2276" s="193" t="s">
        <v>5553</v>
      </c>
      <c r="H2276" s="195" t="s">
        <v>5554</v>
      </c>
      <c r="I2276" s="54">
        <f t="shared" si="24"/>
        <v>37</v>
      </c>
      <c r="J2276" s="56"/>
      <c r="K2276" s="57"/>
      <c r="L2276" s="76" t="s">
        <v>661</v>
      </c>
      <c r="M2276" s="59"/>
      <c r="N2276" s="79">
        <v>3621.0</v>
      </c>
      <c r="O2276" s="61">
        <v>3910.0</v>
      </c>
      <c r="P2276" s="62">
        <v>3697.92</v>
      </c>
      <c r="Q2276" s="63">
        <v>3697.92</v>
      </c>
      <c r="R2276" s="64">
        <v>3883.0</v>
      </c>
      <c r="S2276" s="111">
        <v>4077.0</v>
      </c>
      <c r="T2276" s="65">
        <f t="shared" si="93"/>
        <v>652.32</v>
      </c>
      <c r="U2276" s="65">
        <f t="shared" si="94"/>
        <v>4729.32</v>
      </c>
      <c r="V2276" s="66">
        <f t="shared" si="111"/>
        <v>0.04996137007</v>
      </c>
      <c r="W2276" s="67">
        <f t="shared" si="96"/>
        <v>3873.15</v>
      </c>
      <c r="X2276" s="67">
        <f t="shared" si="112"/>
        <v>619.704</v>
      </c>
      <c r="Y2276" s="67">
        <f t="shared" si="113"/>
        <v>4492.854</v>
      </c>
      <c r="Z2276" s="67">
        <f t="shared" si="99"/>
        <v>3669.3</v>
      </c>
      <c r="AA2276" s="67">
        <f t="shared" si="114"/>
        <v>587.088</v>
      </c>
      <c r="AB2276" s="67">
        <f t="shared" si="115"/>
        <v>4256.388</v>
      </c>
      <c r="AC2276" s="67">
        <f t="shared" si="102"/>
        <v>3465.45</v>
      </c>
      <c r="AD2276" s="67">
        <f t="shared" si="116"/>
        <v>554.472</v>
      </c>
      <c r="AE2276" s="67">
        <f t="shared" si="117"/>
        <v>4019.922</v>
      </c>
      <c r="AF2276" s="67">
        <f t="shared" si="105"/>
        <v>3383.91</v>
      </c>
      <c r="AG2276" s="67">
        <f t="shared" si="118"/>
        <v>541.4256</v>
      </c>
      <c r="AH2276" s="67">
        <f t="shared" si="119"/>
        <v>3925.3356</v>
      </c>
      <c r="AI2276" s="67">
        <f t="shared" si="108"/>
        <v>3261.6</v>
      </c>
      <c r="AJ2276" s="68">
        <f t="shared" si="120"/>
        <v>521.856</v>
      </c>
      <c r="AK2276" s="68">
        <f t="shared" si="121"/>
        <v>3783.456</v>
      </c>
      <c r="AL2276" s="70"/>
      <c r="AM2276" s="70"/>
      <c r="AN2276" s="71"/>
      <c r="AO2276" s="71"/>
      <c r="AP2276" s="71"/>
      <c r="AQ2276" s="71"/>
      <c r="AR2276" s="71"/>
      <c r="AS2276" s="71"/>
      <c r="AT2276" s="71"/>
      <c r="AU2276" s="71"/>
      <c r="AV2276" s="71"/>
      <c r="AW2276" s="71"/>
      <c r="AX2276" s="71"/>
      <c r="AY2276" s="71"/>
      <c r="AZ2276" s="71"/>
      <c r="BA2276" s="71"/>
      <c r="BB2276" s="71"/>
      <c r="BC2276" s="71"/>
      <c r="BD2276" s="71"/>
      <c r="BE2276" s="71"/>
      <c r="BF2276" s="71"/>
      <c r="BG2276" s="71"/>
      <c r="BH2276" s="71"/>
      <c r="BI2276" s="71"/>
      <c r="BJ2276" s="71"/>
      <c r="BK2276" s="71"/>
      <c r="BL2276" s="71"/>
      <c r="BM2276" s="71"/>
      <c r="BN2276" s="71"/>
      <c r="BO2276" s="71"/>
      <c r="BP2276" s="71"/>
      <c r="BQ2276" s="71"/>
      <c r="BR2276" s="71"/>
      <c r="BS2276" s="71"/>
      <c r="BT2276" s="71"/>
      <c r="BU2276" s="71"/>
      <c r="BV2276" s="71"/>
    </row>
    <row r="2277">
      <c r="A2277" s="53"/>
      <c r="B2277" s="53"/>
      <c r="C2277" s="73" t="s">
        <v>603</v>
      </c>
      <c r="D2277" s="53" t="s">
        <v>5555</v>
      </c>
      <c r="E2277" s="54" t="s">
        <v>38</v>
      </c>
      <c r="F2277" s="54" t="s">
        <v>42</v>
      </c>
      <c r="G2277" s="193" t="s">
        <v>5556</v>
      </c>
      <c r="H2277" s="193" t="s">
        <v>5557</v>
      </c>
      <c r="I2277" s="54">
        <f t="shared" si="24"/>
        <v>33</v>
      </c>
      <c r="J2277" s="56"/>
      <c r="K2277" s="57"/>
      <c r="L2277" s="76" t="s">
        <v>661</v>
      </c>
      <c r="M2277" s="59"/>
      <c r="N2277" s="60"/>
      <c r="O2277" s="61">
        <v>5941.0</v>
      </c>
      <c r="P2277" s="62">
        <v>6416.280000000001</v>
      </c>
      <c r="Q2277" s="63">
        <v>6416.280000000001</v>
      </c>
      <c r="R2277" s="64">
        <v>6737.0</v>
      </c>
      <c r="S2277" s="111">
        <v>7074.0</v>
      </c>
      <c r="T2277" s="65">
        <f t="shared" si="93"/>
        <v>1131.84</v>
      </c>
      <c r="U2277" s="65">
        <f t="shared" si="94"/>
        <v>8205.84</v>
      </c>
      <c r="V2277" s="66">
        <f t="shared" si="111"/>
        <v>0.0500222651</v>
      </c>
      <c r="W2277" s="67">
        <f t="shared" si="96"/>
        <v>6720.3</v>
      </c>
      <c r="X2277" s="67">
        <f t="shared" si="112"/>
        <v>1075.248</v>
      </c>
      <c r="Y2277" s="67">
        <f t="shared" si="113"/>
        <v>7795.548</v>
      </c>
      <c r="Z2277" s="67">
        <f t="shared" si="99"/>
        <v>6366.6</v>
      </c>
      <c r="AA2277" s="67">
        <f t="shared" si="114"/>
        <v>1018.656</v>
      </c>
      <c r="AB2277" s="67">
        <f t="shared" si="115"/>
        <v>7385.256</v>
      </c>
      <c r="AC2277" s="67">
        <f t="shared" si="102"/>
        <v>6012.9</v>
      </c>
      <c r="AD2277" s="67">
        <f t="shared" si="116"/>
        <v>962.064</v>
      </c>
      <c r="AE2277" s="67">
        <f t="shared" si="117"/>
        <v>6974.964</v>
      </c>
      <c r="AF2277" s="67">
        <f t="shared" si="105"/>
        <v>5871.42</v>
      </c>
      <c r="AG2277" s="67">
        <f t="shared" si="118"/>
        <v>939.4272</v>
      </c>
      <c r="AH2277" s="67">
        <f t="shared" si="119"/>
        <v>6810.8472</v>
      </c>
      <c r="AI2277" s="67">
        <f t="shared" si="108"/>
        <v>5659.2</v>
      </c>
      <c r="AJ2277" s="68">
        <f t="shared" si="120"/>
        <v>905.472</v>
      </c>
      <c r="AK2277" s="68">
        <f t="shared" si="121"/>
        <v>6564.672</v>
      </c>
      <c r="AL2277" s="70"/>
      <c r="AM2277" s="70"/>
      <c r="AN2277" s="71"/>
      <c r="AO2277" s="71"/>
      <c r="AP2277" s="71"/>
      <c r="AQ2277" s="71"/>
      <c r="AR2277" s="71"/>
      <c r="AS2277" s="71"/>
      <c r="AT2277" s="71"/>
      <c r="AU2277" s="71"/>
      <c r="AV2277" s="71"/>
      <c r="AW2277" s="71"/>
      <c r="AX2277" s="71"/>
      <c r="AY2277" s="71"/>
      <c r="AZ2277" s="71"/>
      <c r="BA2277" s="71"/>
      <c r="BB2277" s="71"/>
      <c r="BC2277" s="71"/>
      <c r="BD2277" s="71"/>
      <c r="BE2277" s="71"/>
      <c r="BF2277" s="71"/>
      <c r="BG2277" s="71"/>
      <c r="BH2277" s="71"/>
      <c r="BI2277" s="71"/>
      <c r="BJ2277" s="71"/>
      <c r="BK2277" s="71"/>
      <c r="BL2277" s="71"/>
      <c r="BM2277" s="71"/>
      <c r="BN2277" s="71"/>
      <c r="BO2277" s="71"/>
      <c r="BP2277" s="71"/>
      <c r="BQ2277" s="71"/>
      <c r="BR2277" s="71"/>
      <c r="BS2277" s="71"/>
      <c r="BT2277" s="71"/>
      <c r="BU2277" s="71"/>
      <c r="BV2277" s="71"/>
    </row>
    <row r="2278">
      <c r="A2278" s="53"/>
      <c r="B2278" s="53"/>
      <c r="C2278" s="120" t="s">
        <v>603</v>
      </c>
      <c r="D2278" s="53" t="s">
        <v>5558</v>
      </c>
      <c r="E2278" s="54" t="s">
        <v>38</v>
      </c>
      <c r="F2278" s="54" t="s">
        <v>42</v>
      </c>
      <c r="G2278" s="193" t="s">
        <v>5559</v>
      </c>
      <c r="H2278" s="195" t="s">
        <v>5560</v>
      </c>
      <c r="I2278" s="54">
        <f t="shared" si="24"/>
        <v>40</v>
      </c>
      <c r="J2278" s="56"/>
      <c r="K2278" s="57"/>
      <c r="L2278" s="76" t="s">
        <v>661</v>
      </c>
      <c r="M2278" s="59"/>
      <c r="N2278" s="60">
        <v>3305.4</v>
      </c>
      <c r="O2278" s="61">
        <v>3569.0</v>
      </c>
      <c r="P2278" s="62">
        <v>3854.5200000000004</v>
      </c>
      <c r="Q2278" s="63">
        <v>3854.5200000000004</v>
      </c>
      <c r="R2278" s="64">
        <v>4048.0</v>
      </c>
      <c r="S2278" s="111">
        <v>4250.0</v>
      </c>
      <c r="T2278" s="65">
        <f t="shared" si="93"/>
        <v>680</v>
      </c>
      <c r="U2278" s="65">
        <f t="shared" si="94"/>
        <v>4930</v>
      </c>
      <c r="V2278" s="66">
        <f t="shared" si="111"/>
        <v>0.04990118577</v>
      </c>
      <c r="W2278" s="67">
        <f t="shared" si="96"/>
        <v>4037.5</v>
      </c>
      <c r="X2278" s="67">
        <f t="shared" si="112"/>
        <v>646</v>
      </c>
      <c r="Y2278" s="67">
        <f t="shared" si="113"/>
        <v>4683.5</v>
      </c>
      <c r="Z2278" s="67">
        <f t="shared" si="99"/>
        <v>3825</v>
      </c>
      <c r="AA2278" s="67">
        <f t="shared" si="114"/>
        <v>612</v>
      </c>
      <c r="AB2278" s="67">
        <f t="shared" si="115"/>
        <v>4437</v>
      </c>
      <c r="AC2278" s="67">
        <f t="shared" si="102"/>
        <v>3612.5</v>
      </c>
      <c r="AD2278" s="67">
        <f t="shared" si="116"/>
        <v>578</v>
      </c>
      <c r="AE2278" s="67">
        <f t="shared" si="117"/>
        <v>4190.5</v>
      </c>
      <c r="AF2278" s="67">
        <f t="shared" si="105"/>
        <v>3527.5</v>
      </c>
      <c r="AG2278" s="67">
        <f t="shared" si="118"/>
        <v>564.4</v>
      </c>
      <c r="AH2278" s="67">
        <f t="shared" si="119"/>
        <v>4091.9</v>
      </c>
      <c r="AI2278" s="67">
        <f t="shared" si="108"/>
        <v>3400</v>
      </c>
      <c r="AJ2278" s="68">
        <f t="shared" si="120"/>
        <v>544</v>
      </c>
      <c r="AK2278" s="68">
        <f t="shared" si="121"/>
        <v>3944</v>
      </c>
      <c r="AL2278" s="70"/>
      <c r="AM2278" s="70"/>
      <c r="AN2278" s="71"/>
      <c r="AO2278" s="71"/>
      <c r="AP2278" s="71"/>
      <c r="AQ2278" s="71"/>
      <c r="AR2278" s="71"/>
      <c r="AS2278" s="71"/>
      <c r="AT2278" s="71"/>
      <c r="AU2278" s="71"/>
      <c r="AV2278" s="71"/>
      <c r="AW2278" s="71"/>
      <c r="AX2278" s="71"/>
      <c r="AY2278" s="71"/>
      <c r="AZ2278" s="71"/>
      <c r="BA2278" s="71"/>
      <c r="BB2278" s="71"/>
      <c r="BC2278" s="71"/>
      <c r="BD2278" s="71"/>
      <c r="BE2278" s="71"/>
      <c r="BF2278" s="71"/>
      <c r="BG2278" s="71"/>
      <c r="BH2278" s="71"/>
      <c r="BI2278" s="71"/>
      <c r="BJ2278" s="71"/>
      <c r="BK2278" s="71"/>
      <c r="BL2278" s="71"/>
      <c r="BM2278" s="71"/>
      <c r="BN2278" s="71"/>
      <c r="BO2278" s="71"/>
      <c r="BP2278" s="71"/>
      <c r="BQ2278" s="71"/>
      <c r="BR2278" s="71"/>
      <c r="BS2278" s="71"/>
      <c r="BT2278" s="71"/>
      <c r="BU2278" s="71"/>
      <c r="BV2278" s="71"/>
    </row>
    <row r="2279">
      <c r="A2279" s="53"/>
      <c r="B2279" s="53"/>
      <c r="C2279" s="73" t="s">
        <v>53</v>
      </c>
      <c r="D2279" s="53" t="s">
        <v>5561</v>
      </c>
      <c r="E2279" s="54" t="s">
        <v>38</v>
      </c>
      <c r="F2279" s="54" t="s">
        <v>42</v>
      </c>
      <c r="G2279" s="193" t="s">
        <v>5562</v>
      </c>
      <c r="H2279" s="193" t="s">
        <v>5563</v>
      </c>
      <c r="I2279" s="54">
        <f t="shared" si="24"/>
        <v>36</v>
      </c>
      <c r="J2279" s="56"/>
      <c r="K2279" s="57"/>
      <c r="L2279" s="76" t="s">
        <v>661</v>
      </c>
      <c r="M2279" s="59"/>
      <c r="N2279" s="60"/>
      <c r="O2279" s="90"/>
      <c r="P2279" s="62">
        <v>8858.0</v>
      </c>
      <c r="Q2279" s="63">
        <v>8858.0</v>
      </c>
      <c r="R2279" s="64">
        <v>9301.0</v>
      </c>
      <c r="S2279" s="111">
        <v>9766.0</v>
      </c>
      <c r="T2279" s="65">
        <f t="shared" si="93"/>
        <v>1562.56</v>
      </c>
      <c r="U2279" s="65">
        <f t="shared" si="94"/>
        <v>11328.56</v>
      </c>
      <c r="V2279" s="66">
        <f t="shared" si="111"/>
        <v>0.04999462423</v>
      </c>
      <c r="W2279" s="67">
        <f t="shared" si="96"/>
        <v>9277.7</v>
      </c>
      <c r="X2279" s="67">
        <f t="shared" si="112"/>
        <v>1484.432</v>
      </c>
      <c r="Y2279" s="67">
        <f t="shared" si="113"/>
        <v>10762.132</v>
      </c>
      <c r="Z2279" s="67">
        <f t="shared" si="99"/>
        <v>8789.4</v>
      </c>
      <c r="AA2279" s="67">
        <f t="shared" si="114"/>
        <v>1406.304</v>
      </c>
      <c r="AB2279" s="67">
        <f t="shared" si="115"/>
        <v>10195.704</v>
      </c>
      <c r="AC2279" s="67">
        <f t="shared" si="102"/>
        <v>8301.1</v>
      </c>
      <c r="AD2279" s="67">
        <f t="shared" si="116"/>
        <v>1328.176</v>
      </c>
      <c r="AE2279" s="67">
        <f t="shared" si="117"/>
        <v>9629.276</v>
      </c>
      <c r="AF2279" s="67">
        <f t="shared" si="105"/>
        <v>8105.78</v>
      </c>
      <c r="AG2279" s="67">
        <f t="shared" si="118"/>
        <v>1296.9248</v>
      </c>
      <c r="AH2279" s="67">
        <f t="shared" si="119"/>
        <v>9402.7048</v>
      </c>
      <c r="AI2279" s="67">
        <f t="shared" si="108"/>
        <v>7812.8</v>
      </c>
      <c r="AJ2279" s="68">
        <f t="shared" si="120"/>
        <v>1250.048</v>
      </c>
      <c r="AK2279" s="68">
        <f t="shared" si="121"/>
        <v>9062.848</v>
      </c>
      <c r="AL2279" s="70"/>
      <c r="AM2279" s="70"/>
      <c r="AN2279" s="71"/>
      <c r="AO2279" s="71"/>
      <c r="AP2279" s="71"/>
      <c r="AQ2279" s="71"/>
      <c r="AR2279" s="71"/>
      <c r="AS2279" s="71"/>
      <c r="AT2279" s="71"/>
      <c r="AU2279" s="71"/>
      <c r="AV2279" s="71"/>
      <c r="AW2279" s="71"/>
      <c r="AX2279" s="71"/>
      <c r="AY2279" s="71"/>
      <c r="AZ2279" s="71"/>
      <c r="BA2279" s="71"/>
      <c r="BB2279" s="71"/>
      <c r="BC2279" s="71"/>
      <c r="BD2279" s="71"/>
      <c r="BE2279" s="71"/>
      <c r="BF2279" s="71"/>
      <c r="BG2279" s="71"/>
      <c r="BH2279" s="71"/>
      <c r="BI2279" s="71"/>
      <c r="BJ2279" s="71"/>
      <c r="BK2279" s="71"/>
      <c r="BL2279" s="71"/>
      <c r="BM2279" s="71"/>
      <c r="BN2279" s="71"/>
      <c r="BO2279" s="71"/>
      <c r="BP2279" s="71"/>
      <c r="BQ2279" s="71"/>
      <c r="BR2279" s="71"/>
      <c r="BS2279" s="71"/>
      <c r="BT2279" s="71"/>
      <c r="BU2279" s="71"/>
      <c r="BV2279" s="71"/>
    </row>
    <row r="2280">
      <c r="A2280" s="53"/>
      <c r="B2280" s="53"/>
      <c r="C2280" s="73" t="s">
        <v>53</v>
      </c>
      <c r="D2280" s="53" t="s">
        <v>5564</v>
      </c>
      <c r="E2280" s="54" t="s">
        <v>38</v>
      </c>
      <c r="F2280" s="55" t="s">
        <v>39</v>
      </c>
      <c r="G2280" s="193" t="s">
        <v>5565</v>
      </c>
      <c r="H2280" s="195" t="s">
        <v>5566</v>
      </c>
      <c r="I2280" s="54">
        <f t="shared" si="24"/>
        <v>38</v>
      </c>
      <c r="J2280" s="56"/>
      <c r="K2280" s="57"/>
      <c r="L2280" s="76" t="s">
        <v>661</v>
      </c>
      <c r="M2280" s="59"/>
      <c r="N2280" s="60"/>
      <c r="O2280" s="90"/>
      <c r="P2280" s="62">
        <v>7027.58</v>
      </c>
      <c r="Q2280" s="63">
        <v>7027.58</v>
      </c>
      <c r="R2280" s="64">
        <v>7380.0</v>
      </c>
      <c r="S2280" s="111">
        <v>7749.0</v>
      </c>
      <c r="T2280" s="65">
        <f t="shared" si="93"/>
        <v>1239.84</v>
      </c>
      <c r="U2280" s="65">
        <f t="shared" si="94"/>
        <v>8988.84</v>
      </c>
      <c r="V2280" s="66">
        <f t="shared" si="111"/>
        <v>0.05</v>
      </c>
      <c r="W2280" s="67">
        <f t="shared" si="96"/>
        <v>7361.55</v>
      </c>
      <c r="X2280" s="67">
        <f t="shared" si="112"/>
        <v>1177.848</v>
      </c>
      <c r="Y2280" s="67">
        <f t="shared" si="113"/>
        <v>8539.398</v>
      </c>
      <c r="Z2280" s="67">
        <f t="shared" si="99"/>
        <v>6974.1</v>
      </c>
      <c r="AA2280" s="67">
        <f t="shared" si="114"/>
        <v>1115.856</v>
      </c>
      <c r="AB2280" s="67">
        <f t="shared" si="115"/>
        <v>8089.956</v>
      </c>
      <c r="AC2280" s="67">
        <f t="shared" si="102"/>
        <v>6586.65</v>
      </c>
      <c r="AD2280" s="67">
        <f t="shared" si="116"/>
        <v>1053.864</v>
      </c>
      <c r="AE2280" s="67">
        <f t="shared" si="117"/>
        <v>7640.514</v>
      </c>
      <c r="AF2280" s="67">
        <f t="shared" si="105"/>
        <v>6431.67</v>
      </c>
      <c r="AG2280" s="67">
        <f t="shared" si="118"/>
        <v>1029.0672</v>
      </c>
      <c r="AH2280" s="67">
        <f t="shared" si="119"/>
        <v>7460.7372</v>
      </c>
      <c r="AI2280" s="67">
        <f t="shared" si="108"/>
        <v>6199.2</v>
      </c>
      <c r="AJ2280" s="68">
        <f t="shared" si="120"/>
        <v>991.872</v>
      </c>
      <c r="AK2280" s="68">
        <f t="shared" si="121"/>
        <v>7191.072</v>
      </c>
      <c r="AL2280" s="70"/>
      <c r="AM2280" s="70"/>
      <c r="AN2280" s="71"/>
      <c r="AO2280" s="71"/>
      <c r="AP2280" s="71"/>
      <c r="AQ2280" s="71"/>
      <c r="AR2280" s="71"/>
      <c r="AS2280" s="71"/>
      <c r="AT2280" s="71"/>
      <c r="AU2280" s="71"/>
      <c r="AV2280" s="71"/>
      <c r="AW2280" s="71"/>
      <c r="AX2280" s="71"/>
      <c r="AY2280" s="71"/>
      <c r="AZ2280" s="71"/>
      <c r="BA2280" s="71"/>
      <c r="BB2280" s="71"/>
      <c r="BC2280" s="71"/>
      <c r="BD2280" s="71"/>
      <c r="BE2280" s="71"/>
      <c r="BF2280" s="71"/>
      <c r="BG2280" s="71"/>
      <c r="BH2280" s="71"/>
      <c r="BI2280" s="71"/>
      <c r="BJ2280" s="71"/>
      <c r="BK2280" s="71"/>
      <c r="BL2280" s="71"/>
      <c r="BM2280" s="71"/>
      <c r="BN2280" s="71"/>
      <c r="BO2280" s="71"/>
      <c r="BP2280" s="71"/>
      <c r="BQ2280" s="71"/>
      <c r="BR2280" s="71"/>
      <c r="BS2280" s="71"/>
      <c r="BT2280" s="71"/>
      <c r="BU2280" s="71"/>
      <c r="BV2280" s="71"/>
    </row>
    <row r="2281">
      <c r="A2281" s="53"/>
      <c r="B2281" s="53"/>
      <c r="C2281" s="73" t="s">
        <v>53</v>
      </c>
      <c r="D2281" s="53" t="s">
        <v>5567</v>
      </c>
      <c r="E2281" s="54" t="s">
        <v>38</v>
      </c>
      <c r="F2281" s="54" t="s">
        <v>42</v>
      </c>
      <c r="G2281" s="193" t="s">
        <v>5568</v>
      </c>
      <c r="H2281" s="195" t="s">
        <v>5569</v>
      </c>
      <c r="I2281" s="54">
        <f t="shared" si="24"/>
        <v>39</v>
      </c>
      <c r="J2281" s="56"/>
      <c r="K2281" s="57"/>
      <c r="L2281" s="76" t="s">
        <v>661</v>
      </c>
      <c r="M2281" s="59"/>
      <c r="N2281" s="79">
        <v>7157.0</v>
      </c>
      <c r="O2281" s="61">
        <v>7729.0</v>
      </c>
      <c r="P2281" s="62">
        <v>8347.32</v>
      </c>
      <c r="Q2281" s="63">
        <v>8347.32</v>
      </c>
      <c r="R2281" s="64">
        <v>8765.0</v>
      </c>
      <c r="S2281" s="111">
        <v>9203.0</v>
      </c>
      <c r="T2281" s="65">
        <f t="shared" si="93"/>
        <v>1472.48</v>
      </c>
      <c r="U2281" s="65">
        <f t="shared" si="94"/>
        <v>10675.48</v>
      </c>
      <c r="V2281" s="66">
        <f t="shared" si="111"/>
        <v>0.04997147747</v>
      </c>
      <c r="W2281" s="67">
        <f t="shared" si="96"/>
        <v>8742.85</v>
      </c>
      <c r="X2281" s="67">
        <f t="shared" si="112"/>
        <v>1398.856</v>
      </c>
      <c r="Y2281" s="67">
        <f t="shared" si="113"/>
        <v>10141.706</v>
      </c>
      <c r="Z2281" s="67">
        <f t="shared" si="99"/>
        <v>8282.7</v>
      </c>
      <c r="AA2281" s="67">
        <f t="shared" si="114"/>
        <v>1325.232</v>
      </c>
      <c r="AB2281" s="67">
        <f t="shared" si="115"/>
        <v>9607.932</v>
      </c>
      <c r="AC2281" s="67">
        <f t="shared" si="102"/>
        <v>7822.55</v>
      </c>
      <c r="AD2281" s="67">
        <f t="shared" si="116"/>
        <v>1251.608</v>
      </c>
      <c r="AE2281" s="67">
        <f t="shared" si="117"/>
        <v>9074.158</v>
      </c>
      <c r="AF2281" s="67">
        <f t="shared" si="105"/>
        <v>7638.49</v>
      </c>
      <c r="AG2281" s="67">
        <f t="shared" si="118"/>
        <v>1222.1584</v>
      </c>
      <c r="AH2281" s="67">
        <f t="shared" si="119"/>
        <v>8860.6484</v>
      </c>
      <c r="AI2281" s="67">
        <f t="shared" si="108"/>
        <v>7362.4</v>
      </c>
      <c r="AJ2281" s="68">
        <f t="shared" si="120"/>
        <v>1177.984</v>
      </c>
      <c r="AK2281" s="68">
        <f t="shared" si="121"/>
        <v>8540.384</v>
      </c>
      <c r="AL2281" s="70"/>
      <c r="AM2281" s="70"/>
      <c r="AN2281" s="71"/>
      <c r="AO2281" s="71"/>
      <c r="AP2281" s="71"/>
      <c r="AQ2281" s="71"/>
      <c r="AR2281" s="71"/>
      <c r="AS2281" s="71"/>
      <c r="AT2281" s="71"/>
      <c r="AU2281" s="71"/>
      <c r="AV2281" s="71"/>
      <c r="AW2281" s="71"/>
      <c r="AX2281" s="71"/>
      <c r="AY2281" s="71"/>
      <c r="AZ2281" s="71"/>
      <c r="BA2281" s="71"/>
      <c r="BB2281" s="71"/>
      <c r="BC2281" s="71"/>
      <c r="BD2281" s="71"/>
      <c r="BE2281" s="71"/>
      <c r="BF2281" s="71"/>
      <c r="BG2281" s="71"/>
      <c r="BH2281" s="71"/>
      <c r="BI2281" s="71"/>
      <c r="BJ2281" s="71"/>
      <c r="BK2281" s="71"/>
      <c r="BL2281" s="71"/>
      <c r="BM2281" s="71"/>
      <c r="BN2281" s="71"/>
      <c r="BO2281" s="71"/>
      <c r="BP2281" s="71"/>
      <c r="BQ2281" s="71"/>
      <c r="BR2281" s="71"/>
      <c r="BS2281" s="71"/>
      <c r="BT2281" s="71"/>
      <c r="BU2281" s="71"/>
      <c r="BV2281" s="71"/>
    </row>
    <row r="2282">
      <c r="A2282" s="53"/>
      <c r="B2282" s="53"/>
      <c r="C2282" s="73" t="s">
        <v>53</v>
      </c>
      <c r="D2282" s="53" t="s">
        <v>5570</v>
      </c>
      <c r="E2282" s="54" t="s">
        <v>38</v>
      </c>
      <c r="F2282" s="54" t="s">
        <v>42</v>
      </c>
      <c r="G2282" s="193" t="s">
        <v>5571</v>
      </c>
      <c r="H2282" s="195" t="s">
        <v>5572</v>
      </c>
      <c r="I2282" s="54">
        <f t="shared" si="24"/>
        <v>37</v>
      </c>
      <c r="J2282" s="56"/>
      <c r="K2282" s="57"/>
      <c r="L2282" s="76" t="s">
        <v>661</v>
      </c>
      <c r="M2282" s="59"/>
      <c r="N2282" s="79">
        <v>6181.0</v>
      </c>
      <c r="O2282" s="61">
        <v>7377.0</v>
      </c>
      <c r="P2282" s="62">
        <v>7967.160000000001</v>
      </c>
      <c r="Q2282" s="63">
        <v>7967.160000000001</v>
      </c>
      <c r="R2282" s="64">
        <v>8366.0</v>
      </c>
      <c r="S2282" s="111">
        <v>8784.0</v>
      </c>
      <c r="T2282" s="65">
        <f t="shared" si="93"/>
        <v>1405.44</v>
      </c>
      <c r="U2282" s="65">
        <f t="shared" si="94"/>
        <v>10189.44</v>
      </c>
      <c r="V2282" s="66">
        <f t="shared" si="111"/>
        <v>0.04996414057</v>
      </c>
      <c r="W2282" s="67">
        <f t="shared" si="96"/>
        <v>8344.8</v>
      </c>
      <c r="X2282" s="67">
        <f t="shared" si="112"/>
        <v>1335.168</v>
      </c>
      <c r="Y2282" s="67">
        <f t="shared" si="113"/>
        <v>9679.968</v>
      </c>
      <c r="Z2282" s="67">
        <f t="shared" si="99"/>
        <v>7905.6</v>
      </c>
      <c r="AA2282" s="67">
        <f t="shared" si="114"/>
        <v>1264.896</v>
      </c>
      <c r="AB2282" s="67">
        <f t="shared" si="115"/>
        <v>9170.496</v>
      </c>
      <c r="AC2282" s="67">
        <f t="shared" si="102"/>
        <v>7466.4</v>
      </c>
      <c r="AD2282" s="67">
        <f t="shared" si="116"/>
        <v>1194.624</v>
      </c>
      <c r="AE2282" s="67">
        <f t="shared" si="117"/>
        <v>8661.024</v>
      </c>
      <c r="AF2282" s="67">
        <f t="shared" si="105"/>
        <v>7290.72</v>
      </c>
      <c r="AG2282" s="67">
        <f t="shared" si="118"/>
        <v>1166.5152</v>
      </c>
      <c r="AH2282" s="67">
        <f t="shared" si="119"/>
        <v>8457.2352</v>
      </c>
      <c r="AI2282" s="67">
        <f t="shared" si="108"/>
        <v>7027.2</v>
      </c>
      <c r="AJ2282" s="68">
        <f t="shared" si="120"/>
        <v>1124.352</v>
      </c>
      <c r="AK2282" s="68">
        <f t="shared" si="121"/>
        <v>8151.552</v>
      </c>
      <c r="AL2282" s="70"/>
      <c r="AM2282" s="70"/>
      <c r="AN2282" s="71"/>
      <c r="AO2282" s="71"/>
      <c r="AP2282" s="71"/>
      <c r="AQ2282" s="71"/>
      <c r="AR2282" s="71"/>
      <c r="AS2282" s="71"/>
      <c r="AT2282" s="71"/>
      <c r="AU2282" s="71"/>
      <c r="AV2282" s="71"/>
      <c r="AW2282" s="71"/>
      <c r="AX2282" s="71"/>
      <c r="AY2282" s="71"/>
      <c r="AZ2282" s="71"/>
      <c r="BA2282" s="71"/>
      <c r="BB2282" s="71"/>
      <c r="BC2282" s="71"/>
      <c r="BD2282" s="71"/>
      <c r="BE2282" s="71"/>
      <c r="BF2282" s="71"/>
      <c r="BG2282" s="71"/>
      <c r="BH2282" s="71"/>
      <c r="BI2282" s="71"/>
      <c r="BJ2282" s="71"/>
      <c r="BK2282" s="71"/>
      <c r="BL2282" s="71"/>
      <c r="BM2282" s="71"/>
      <c r="BN2282" s="71"/>
      <c r="BO2282" s="71"/>
      <c r="BP2282" s="71"/>
      <c r="BQ2282" s="71"/>
      <c r="BR2282" s="71"/>
      <c r="BS2282" s="71"/>
      <c r="BT2282" s="71"/>
      <c r="BU2282" s="71"/>
      <c r="BV2282" s="71"/>
    </row>
    <row r="2283">
      <c r="A2283" s="53"/>
      <c r="B2283" s="53"/>
      <c r="C2283" s="73" t="s">
        <v>53</v>
      </c>
      <c r="D2283" s="53" t="s">
        <v>5573</v>
      </c>
      <c r="E2283" s="54" t="s">
        <v>38</v>
      </c>
      <c r="F2283" s="54" t="s">
        <v>42</v>
      </c>
      <c r="G2283" s="193" t="s">
        <v>5574</v>
      </c>
      <c r="H2283" s="195" t="s">
        <v>5572</v>
      </c>
      <c r="I2283" s="54">
        <f t="shared" si="24"/>
        <v>37</v>
      </c>
      <c r="J2283" s="56"/>
      <c r="K2283" s="57"/>
      <c r="L2283" s="76" t="s">
        <v>661</v>
      </c>
      <c r="M2283" s="59"/>
      <c r="N2283" s="79">
        <v>6181.0</v>
      </c>
      <c r="O2283" s="61">
        <v>7377.0</v>
      </c>
      <c r="P2283" s="62">
        <v>7967.160000000001</v>
      </c>
      <c r="Q2283" s="63">
        <v>7967.160000000001</v>
      </c>
      <c r="R2283" s="64">
        <v>8366.0</v>
      </c>
      <c r="S2283" s="111">
        <v>8784.0</v>
      </c>
      <c r="T2283" s="65">
        <f t="shared" si="93"/>
        <v>1405.44</v>
      </c>
      <c r="U2283" s="65">
        <f t="shared" si="94"/>
        <v>10189.44</v>
      </c>
      <c r="V2283" s="66">
        <f t="shared" si="111"/>
        <v>0.04996414057</v>
      </c>
      <c r="W2283" s="67">
        <f t="shared" si="96"/>
        <v>8344.8</v>
      </c>
      <c r="X2283" s="67">
        <f t="shared" si="112"/>
        <v>1335.168</v>
      </c>
      <c r="Y2283" s="67">
        <f t="shared" si="113"/>
        <v>9679.968</v>
      </c>
      <c r="Z2283" s="67">
        <f t="shared" si="99"/>
        <v>7905.6</v>
      </c>
      <c r="AA2283" s="67">
        <f t="shared" si="114"/>
        <v>1264.896</v>
      </c>
      <c r="AB2283" s="67">
        <f t="shared" si="115"/>
        <v>9170.496</v>
      </c>
      <c r="AC2283" s="67">
        <f t="shared" si="102"/>
        <v>7466.4</v>
      </c>
      <c r="AD2283" s="67">
        <f t="shared" si="116"/>
        <v>1194.624</v>
      </c>
      <c r="AE2283" s="67">
        <f t="shared" si="117"/>
        <v>8661.024</v>
      </c>
      <c r="AF2283" s="67">
        <f t="shared" si="105"/>
        <v>7290.72</v>
      </c>
      <c r="AG2283" s="67">
        <f t="shared" si="118"/>
        <v>1166.5152</v>
      </c>
      <c r="AH2283" s="67">
        <f t="shared" si="119"/>
        <v>8457.2352</v>
      </c>
      <c r="AI2283" s="67">
        <f t="shared" si="108"/>
        <v>7027.2</v>
      </c>
      <c r="AJ2283" s="68">
        <f t="shared" si="120"/>
        <v>1124.352</v>
      </c>
      <c r="AK2283" s="68">
        <f t="shared" si="121"/>
        <v>8151.552</v>
      </c>
      <c r="AL2283" s="70"/>
      <c r="AM2283" s="70"/>
      <c r="AN2283" s="71"/>
      <c r="AO2283" s="71"/>
      <c r="AP2283" s="71"/>
      <c r="AQ2283" s="71"/>
      <c r="AR2283" s="71"/>
      <c r="AS2283" s="71"/>
      <c r="AT2283" s="71"/>
      <c r="AU2283" s="71"/>
      <c r="AV2283" s="71"/>
      <c r="AW2283" s="71"/>
      <c r="AX2283" s="71"/>
      <c r="AY2283" s="71"/>
      <c r="AZ2283" s="71"/>
      <c r="BA2283" s="71"/>
      <c r="BB2283" s="71"/>
      <c r="BC2283" s="71"/>
      <c r="BD2283" s="71"/>
      <c r="BE2283" s="71"/>
      <c r="BF2283" s="71"/>
      <c r="BG2283" s="71"/>
      <c r="BH2283" s="71"/>
      <c r="BI2283" s="71"/>
      <c r="BJ2283" s="71"/>
      <c r="BK2283" s="71"/>
      <c r="BL2283" s="71"/>
      <c r="BM2283" s="71"/>
      <c r="BN2283" s="71"/>
      <c r="BO2283" s="71"/>
      <c r="BP2283" s="71"/>
      <c r="BQ2283" s="71"/>
      <c r="BR2283" s="71"/>
      <c r="BS2283" s="71"/>
      <c r="BT2283" s="71"/>
      <c r="BU2283" s="71"/>
      <c r="BV2283" s="71"/>
    </row>
    <row r="2284">
      <c r="A2284" s="53"/>
      <c r="B2284" s="53"/>
      <c r="C2284" s="73" t="s">
        <v>53</v>
      </c>
      <c r="D2284" s="53" t="s">
        <v>5575</v>
      </c>
      <c r="E2284" s="54" t="s">
        <v>38</v>
      </c>
      <c r="F2284" s="54" t="s">
        <v>42</v>
      </c>
      <c r="G2284" s="193" t="s">
        <v>5576</v>
      </c>
      <c r="H2284" s="195" t="s">
        <v>5577</v>
      </c>
      <c r="I2284" s="54">
        <f t="shared" si="24"/>
        <v>37</v>
      </c>
      <c r="J2284" s="56"/>
      <c r="K2284" s="57"/>
      <c r="L2284" s="76" t="s">
        <v>661</v>
      </c>
      <c r="M2284" s="59"/>
      <c r="N2284" s="79">
        <v>2799.0</v>
      </c>
      <c r="O2284" s="61">
        <v>3424.0</v>
      </c>
      <c r="P2284" s="62">
        <v>3697.92</v>
      </c>
      <c r="Q2284" s="63">
        <v>3697.92</v>
      </c>
      <c r="R2284" s="64">
        <v>3883.0</v>
      </c>
      <c r="S2284" s="111">
        <v>4077.0</v>
      </c>
      <c r="T2284" s="65">
        <f t="shared" si="93"/>
        <v>652.32</v>
      </c>
      <c r="U2284" s="65">
        <f t="shared" si="94"/>
        <v>4729.32</v>
      </c>
      <c r="V2284" s="66">
        <f t="shared" si="111"/>
        <v>0.04996137007</v>
      </c>
      <c r="W2284" s="67">
        <f t="shared" si="96"/>
        <v>3873.15</v>
      </c>
      <c r="X2284" s="67">
        <f t="shared" si="112"/>
        <v>619.704</v>
      </c>
      <c r="Y2284" s="67">
        <f t="shared" si="113"/>
        <v>4492.854</v>
      </c>
      <c r="Z2284" s="67">
        <f t="shared" si="99"/>
        <v>3669.3</v>
      </c>
      <c r="AA2284" s="67">
        <f t="shared" si="114"/>
        <v>587.088</v>
      </c>
      <c r="AB2284" s="67">
        <f t="shared" si="115"/>
        <v>4256.388</v>
      </c>
      <c r="AC2284" s="67">
        <f t="shared" si="102"/>
        <v>3465.45</v>
      </c>
      <c r="AD2284" s="67">
        <f t="shared" si="116"/>
        <v>554.472</v>
      </c>
      <c r="AE2284" s="67">
        <f t="shared" si="117"/>
        <v>4019.922</v>
      </c>
      <c r="AF2284" s="67">
        <f t="shared" si="105"/>
        <v>3383.91</v>
      </c>
      <c r="AG2284" s="67">
        <f t="shared" si="118"/>
        <v>541.4256</v>
      </c>
      <c r="AH2284" s="67">
        <f t="shared" si="119"/>
        <v>3925.3356</v>
      </c>
      <c r="AI2284" s="67">
        <f t="shared" si="108"/>
        <v>3261.6</v>
      </c>
      <c r="AJ2284" s="68">
        <f t="shared" si="120"/>
        <v>521.856</v>
      </c>
      <c r="AK2284" s="68">
        <f t="shared" si="121"/>
        <v>3783.456</v>
      </c>
      <c r="AL2284" s="70"/>
      <c r="AM2284" s="70"/>
      <c r="AN2284" s="71"/>
      <c r="AO2284" s="71"/>
      <c r="AP2284" s="71"/>
      <c r="AQ2284" s="71"/>
      <c r="AR2284" s="71"/>
      <c r="AS2284" s="71"/>
      <c r="AT2284" s="71"/>
      <c r="AU2284" s="71"/>
      <c r="AV2284" s="71"/>
      <c r="AW2284" s="71"/>
      <c r="AX2284" s="71"/>
      <c r="AY2284" s="71"/>
      <c r="AZ2284" s="71"/>
      <c r="BA2284" s="71"/>
      <c r="BB2284" s="71"/>
      <c r="BC2284" s="71"/>
      <c r="BD2284" s="71"/>
      <c r="BE2284" s="71"/>
      <c r="BF2284" s="71"/>
      <c r="BG2284" s="71"/>
      <c r="BH2284" s="71"/>
      <c r="BI2284" s="71"/>
      <c r="BJ2284" s="71"/>
      <c r="BK2284" s="71"/>
      <c r="BL2284" s="71"/>
      <c r="BM2284" s="71"/>
      <c r="BN2284" s="71"/>
      <c r="BO2284" s="71"/>
      <c r="BP2284" s="71"/>
      <c r="BQ2284" s="71"/>
      <c r="BR2284" s="71"/>
      <c r="BS2284" s="71"/>
      <c r="BT2284" s="71"/>
      <c r="BU2284" s="71"/>
      <c r="BV2284" s="71"/>
    </row>
    <row r="2285">
      <c r="A2285" s="53"/>
      <c r="B2285" s="53"/>
      <c r="C2285" s="73" t="s">
        <v>53</v>
      </c>
      <c r="D2285" s="53" t="s">
        <v>5578</v>
      </c>
      <c r="E2285" s="54" t="s">
        <v>38</v>
      </c>
      <c r="F2285" s="54" t="s">
        <v>42</v>
      </c>
      <c r="G2285" s="193" t="s">
        <v>5579</v>
      </c>
      <c r="H2285" s="193" t="s">
        <v>5580</v>
      </c>
      <c r="I2285" s="54">
        <f t="shared" si="24"/>
        <v>31</v>
      </c>
      <c r="J2285" s="56"/>
      <c r="K2285" s="57"/>
      <c r="L2285" s="76" t="s">
        <v>661</v>
      </c>
      <c r="M2285" s="59"/>
      <c r="N2285" s="60"/>
      <c r="O2285" s="61">
        <v>5375.0</v>
      </c>
      <c r="P2285" s="62">
        <v>5805.0</v>
      </c>
      <c r="Q2285" s="63">
        <v>5805.0</v>
      </c>
      <c r="R2285" s="64">
        <v>6096.0</v>
      </c>
      <c r="S2285" s="111">
        <v>6401.0</v>
      </c>
      <c r="T2285" s="65">
        <f t="shared" si="93"/>
        <v>1024.16</v>
      </c>
      <c r="U2285" s="65">
        <f t="shared" si="94"/>
        <v>7425.16</v>
      </c>
      <c r="V2285" s="66">
        <f t="shared" si="111"/>
        <v>0.0500328084</v>
      </c>
      <c r="W2285" s="67">
        <f t="shared" si="96"/>
        <v>6080.95</v>
      </c>
      <c r="X2285" s="67">
        <f t="shared" si="112"/>
        <v>972.952</v>
      </c>
      <c r="Y2285" s="67">
        <f t="shared" si="113"/>
        <v>7053.902</v>
      </c>
      <c r="Z2285" s="67">
        <f t="shared" si="99"/>
        <v>5760.9</v>
      </c>
      <c r="AA2285" s="67">
        <f t="shared" si="114"/>
        <v>921.744</v>
      </c>
      <c r="AB2285" s="67">
        <f t="shared" si="115"/>
        <v>6682.644</v>
      </c>
      <c r="AC2285" s="67">
        <f t="shared" si="102"/>
        <v>5440.85</v>
      </c>
      <c r="AD2285" s="67">
        <f t="shared" si="116"/>
        <v>870.536</v>
      </c>
      <c r="AE2285" s="67">
        <f t="shared" si="117"/>
        <v>6311.386</v>
      </c>
      <c r="AF2285" s="67">
        <f t="shared" si="105"/>
        <v>5312.83</v>
      </c>
      <c r="AG2285" s="67">
        <f t="shared" si="118"/>
        <v>850.0528</v>
      </c>
      <c r="AH2285" s="67">
        <f t="shared" si="119"/>
        <v>6162.8828</v>
      </c>
      <c r="AI2285" s="67">
        <f t="shared" si="108"/>
        <v>5120.8</v>
      </c>
      <c r="AJ2285" s="68">
        <f t="shared" si="120"/>
        <v>819.328</v>
      </c>
      <c r="AK2285" s="68">
        <f t="shared" si="121"/>
        <v>5940.128</v>
      </c>
      <c r="AL2285" s="70"/>
      <c r="AM2285" s="70"/>
      <c r="AN2285" s="71"/>
      <c r="AO2285" s="71"/>
      <c r="AP2285" s="71"/>
      <c r="AQ2285" s="71"/>
      <c r="AR2285" s="71"/>
      <c r="AS2285" s="71"/>
      <c r="AT2285" s="71"/>
      <c r="AU2285" s="71"/>
      <c r="AV2285" s="71"/>
      <c r="AW2285" s="71"/>
      <c r="AX2285" s="71"/>
      <c r="AY2285" s="71"/>
      <c r="AZ2285" s="71"/>
      <c r="BA2285" s="71"/>
      <c r="BB2285" s="71"/>
      <c r="BC2285" s="71"/>
      <c r="BD2285" s="71"/>
      <c r="BE2285" s="71"/>
      <c r="BF2285" s="71"/>
      <c r="BG2285" s="71"/>
      <c r="BH2285" s="71"/>
      <c r="BI2285" s="71"/>
      <c r="BJ2285" s="71"/>
      <c r="BK2285" s="71"/>
      <c r="BL2285" s="71"/>
      <c r="BM2285" s="71"/>
      <c r="BN2285" s="71"/>
      <c r="BO2285" s="71"/>
      <c r="BP2285" s="71"/>
      <c r="BQ2285" s="71"/>
      <c r="BR2285" s="71"/>
      <c r="BS2285" s="71"/>
      <c r="BT2285" s="71"/>
      <c r="BU2285" s="71"/>
      <c r="BV2285" s="71"/>
    </row>
    <row r="2286">
      <c r="A2286" s="53"/>
      <c r="B2286" s="53"/>
      <c r="C2286" s="73" t="s">
        <v>53</v>
      </c>
      <c r="D2286" s="53" t="s">
        <v>5581</v>
      </c>
      <c r="E2286" s="54" t="s">
        <v>38</v>
      </c>
      <c r="F2286" s="54" t="s">
        <v>42</v>
      </c>
      <c r="G2286" s="193" t="s">
        <v>5582</v>
      </c>
      <c r="H2286" s="195" t="s">
        <v>5583</v>
      </c>
      <c r="I2286" s="54">
        <f t="shared" si="24"/>
        <v>29</v>
      </c>
      <c r="J2286" s="56"/>
      <c r="K2286" s="57"/>
      <c r="L2286" s="76" t="s">
        <v>661</v>
      </c>
      <c r="M2286" s="59"/>
      <c r="N2286" s="60"/>
      <c r="O2286" s="61">
        <v>6507.0</v>
      </c>
      <c r="P2286" s="62">
        <v>7027.56</v>
      </c>
      <c r="Q2286" s="63">
        <v>7027.56</v>
      </c>
      <c r="R2286" s="64">
        <v>7380.0</v>
      </c>
      <c r="S2286" s="111">
        <v>7749.0</v>
      </c>
      <c r="T2286" s="65">
        <f t="shared" si="93"/>
        <v>1239.84</v>
      </c>
      <c r="U2286" s="65">
        <f t="shared" si="94"/>
        <v>8988.84</v>
      </c>
      <c r="V2286" s="66">
        <f t="shared" si="111"/>
        <v>0.05</v>
      </c>
      <c r="W2286" s="67">
        <f t="shared" si="96"/>
        <v>7361.55</v>
      </c>
      <c r="X2286" s="67">
        <f t="shared" si="112"/>
        <v>1177.848</v>
      </c>
      <c r="Y2286" s="67">
        <f t="shared" si="113"/>
        <v>8539.398</v>
      </c>
      <c r="Z2286" s="67">
        <f t="shared" si="99"/>
        <v>6974.1</v>
      </c>
      <c r="AA2286" s="67">
        <f t="shared" si="114"/>
        <v>1115.856</v>
      </c>
      <c r="AB2286" s="67">
        <f t="shared" si="115"/>
        <v>8089.956</v>
      </c>
      <c r="AC2286" s="67">
        <f t="shared" si="102"/>
        <v>6586.65</v>
      </c>
      <c r="AD2286" s="67">
        <f t="shared" si="116"/>
        <v>1053.864</v>
      </c>
      <c r="AE2286" s="67">
        <f t="shared" si="117"/>
        <v>7640.514</v>
      </c>
      <c r="AF2286" s="67">
        <f t="shared" si="105"/>
        <v>6431.67</v>
      </c>
      <c r="AG2286" s="67">
        <f t="shared" si="118"/>
        <v>1029.0672</v>
      </c>
      <c r="AH2286" s="67">
        <f t="shared" si="119"/>
        <v>7460.7372</v>
      </c>
      <c r="AI2286" s="67">
        <f t="shared" si="108"/>
        <v>6199.2</v>
      </c>
      <c r="AJ2286" s="68">
        <f t="shared" si="120"/>
        <v>991.872</v>
      </c>
      <c r="AK2286" s="68">
        <f t="shared" si="121"/>
        <v>7191.072</v>
      </c>
      <c r="AL2286" s="70"/>
      <c r="AM2286" s="70"/>
      <c r="AN2286" s="71"/>
      <c r="AO2286" s="71"/>
      <c r="AP2286" s="71"/>
      <c r="AQ2286" s="71"/>
      <c r="AR2286" s="71"/>
      <c r="AS2286" s="71"/>
      <c r="AT2286" s="71"/>
      <c r="AU2286" s="71"/>
      <c r="AV2286" s="71"/>
      <c r="AW2286" s="71"/>
      <c r="AX2286" s="71"/>
      <c r="AY2286" s="71"/>
      <c r="AZ2286" s="71"/>
      <c r="BA2286" s="71"/>
      <c r="BB2286" s="71"/>
      <c r="BC2286" s="71"/>
      <c r="BD2286" s="71"/>
      <c r="BE2286" s="71"/>
      <c r="BF2286" s="71"/>
      <c r="BG2286" s="71"/>
      <c r="BH2286" s="71"/>
      <c r="BI2286" s="71"/>
      <c r="BJ2286" s="71"/>
      <c r="BK2286" s="71"/>
      <c r="BL2286" s="71"/>
      <c r="BM2286" s="71"/>
      <c r="BN2286" s="71"/>
      <c r="BO2286" s="71"/>
      <c r="BP2286" s="71"/>
      <c r="BQ2286" s="71"/>
      <c r="BR2286" s="71"/>
      <c r="BS2286" s="71"/>
      <c r="BT2286" s="71"/>
      <c r="BU2286" s="71"/>
      <c r="BV2286" s="71"/>
    </row>
    <row r="2287">
      <c r="A2287" s="53"/>
      <c r="B2287" s="53"/>
      <c r="C2287" s="73" t="s">
        <v>53</v>
      </c>
      <c r="D2287" s="53" t="s">
        <v>5584</v>
      </c>
      <c r="E2287" s="54" t="s">
        <v>38</v>
      </c>
      <c r="F2287" s="54" t="s">
        <v>42</v>
      </c>
      <c r="G2287" s="193" t="s">
        <v>5585</v>
      </c>
      <c r="H2287" s="195" t="s">
        <v>5586</v>
      </c>
      <c r="I2287" s="54">
        <f t="shared" si="24"/>
        <v>40</v>
      </c>
      <c r="J2287" s="56"/>
      <c r="K2287" s="57"/>
      <c r="L2287" s="76" t="s">
        <v>661</v>
      </c>
      <c r="M2287" s="59"/>
      <c r="N2287" s="60"/>
      <c r="O2287" s="61">
        <v>3424.0</v>
      </c>
      <c r="P2287" s="62">
        <v>3697.92</v>
      </c>
      <c r="Q2287" s="63">
        <v>3697.92</v>
      </c>
      <c r="R2287" s="64">
        <v>3883.0</v>
      </c>
      <c r="S2287" s="111">
        <v>4077.0</v>
      </c>
      <c r="T2287" s="65">
        <f t="shared" si="93"/>
        <v>652.32</v>
      </c>
      <c r="U2287" s="65">
        <f t="shared" si="94"/>
        <v>4729.32</v>
      </c>
      <c r="V2287" s="66">
        <f t="shared" si="111"/>
        <v>0.04996137007</v>
      </c>
      <c r="W2287" s="67">
        <f t="shared" si="96"/>
        <v>3873.15</v>
      </c>
      <c r="X2287" s="67">
        <f t="shared" si="112"/>
        <v>619.704</v>
      </c>
      <c r="Y2287" s="67">
        <f t="shared" si="113"/>
        <v>4492.854</v>
      </c>
      <c r="Z2287" s="67">
        <f t="shared" si="99"/>
        <v>3669.3</v>
      </c>
      <c r="AA2287" s="67">
        <f t="shared" si="114"/>
        <v>587.088</v>
      </c>
      <c r="AB2287" s="67">
        <f t="shared" si="115"/>
        <v>4256.388</v>
      </c>
      <c r="AC2287" s="67">
        <f t="shared" si="102"/>
        <v>3465.45</v>
      </c>
      <c r="AD2287" s="67">
        <f t="shared" si="116"/>
        <v>554.472</v>
      </c>
      <c r="AE2287" s="67">
        <f t="shared" si="117"/>
        <v>4019.922</v>
      </c>
      <c r="AF2287" s="67">
        <f t="shared" si="105"/>
        <v>3383.91</v>
      </c>
      <c r="AG2287" s="67">
        <f t="shared" si="118"/>
        <v>541.4256</v>
      </c>
      <c r="AH2287" s="67">
        <f t="shared" si="119"/>
        <v>3925.3356</v>
      </c>
      <c r="AI2287" s="67">
        <f t="shared" si="108"/>
        <v>3261.6</v>
      </c>
      <c r="AJ2287" s="68">
        <f t="shared" si="120"/>
        <v>521.856</v>
      </c>
      <c r="AK2287" s="68">
        <f t="shared" si="121"/>
        <v>3783.456</v>
      </c>
      <c r="AL2287" s="70"/>
      <c r="AM2287" s="70"/>
      <c r="AN2287" s="71"/>
      <c r="AO2287" s="71"/>
      <c r="AP2287" s="71"/>
      <c r="AQ2287" s="71"/>
      <c r="AR2287" s="71"/>
      <c r="AS2287" s="71"/>
      <c r="AT2287" s="71"/>
      <c r="AU2287" s="71"/>
      <c r="AV2287" s="71"/>
      <c r="AW2287" s="71"/>
      <c r="AX2287" s="71"/>
      <c r="AY2287" s="71"/>
      <c r="AZ2287" s="71"/>
      <c r="BA2287" s="71"/>
      <c r="BB2287" s="71"/>
      <c r="BC2287" s="71"/>
      <c r="BD2287" s="71"/>
      <c r="BE2287" s="71"/>
      <c r="BF2287" s="71"/>
      <c r="BG2287" s="71"/>
      <c r="BH2287" s="71"/>
      <c r="BI2287" s="71"/>
      <c r="BJ2287" s="71"/>
      <c r="BK2287" s="71"/>
      <c r="BL2287" s="71"/>
      <c r="BM2287" s="71"/>
      <c r="BN2287" s="71"/>
      <c r="BO2287" s="71"/>
      <c r="BP2287" s="71"/>
      <c r="BQ2287" s="71"/>
      <c r="BR2287" s="71"/>
      <c r="BS2287" s="71"/>
      <c r="BT2287" s="71"/>
      <c r="BU2287" s="71"/>
      <c r="BV2287" s="71"/>
    </row>
    <row r="2288">
      <c r="A2288" s="53"/>
      <c r="B2288" s="53"/>
      <c r="C2288" s="120" t="s">
        <v>603</v>
      </c>
      <c r="D2288" s="53" t="s">
        <v>5587</v>
      </c>
      <c r="E2288" s="54" t="s">
        <v>38</v>
      </c>
      <c r="F2288" s="54" t="s">
        <v>42</v>
      </c>
      <c r="G2288" s="193" t="s">
        <v>5588</v>
      </c>
      <c r="H2288" s="195" t="s">
        <v>5589</v>
      </c>
      <c r="I2288" s="54">
        <f t="shared" si="24"/>
        <v>33</v>
      </c>
      <c r="J2288" s="56"/>
      <c r="K2288" s="57"/>
      <c r="L2288" s="76" t="s">
        <v>661</v>
      </c>
      <c r="M2288" s="59"/>
      <c r="N2288" s="60">
        <v>5831.7</v>
      </c>
      <c r="O2288" s="61">
        <v>6507.0</v>
      </c>
      <c r="P2288" s="62">
        <v>7027.56</v>
      </c>
      <c r="Q2288" s="63">
        <v>7027.56</v>
      </c>
      <c r="R2288" s="64">
        <v>7380.0</v>
      </c>
      <c r="S2288" s="111">
        <v>7749.0</v>
      </c>
      <c r="T2288" s="65">
        <f t="shared" si="93"/>
        <v>1239.84</v>
      </c>
      <c r="U2288" s="65">
        <f t="shared" si="94"/>
        <v>8988.84</v>
      </c>
      <c r="V2288" s="66">
        <f t="shared" si="111"/>
        <v>0.05</v>
      </c>
      <c r="W2288" s="67">
        <f t="shared" si="96"/>
        <v>7361.55</v>
      </c>
      <c r="X2288" s="67">
        <f t="shared" si="112"/>
        <v>1177.848</v>
      </c>
      <c r="Y2288" s="67">
        <f t="shared" si="113"/>
        <v>8539.398</v>
      </c>
      <c r="Z2288" s="67">
        <f t="shared" si="99"/>
        <v>6974.1</v>
      </c>
      <c r="AA2288" s="67">
        <f t="shared" si="114"/>
        <v>1115.856</v>
      </c>
      <c r="AB2288" s="67">
        <f t="shared" si="115"/>
        <v>8089.956</v>
      </c>
      <c r="AC2288" s="67">
        <f t="shared" si="102"/>
        <v>6586.65</v>
      </c>
      <c r="AD2288" s="67">
        <f t="shared" si="116"/>
        <v>1053.864</v>
      </c>
      <c r="AE2288" s="67">
        <f t="shared" si="117"/>
        <v>7640.514</v>
      </c>
      <c r="AF2288" s="67">
        <f t="shared" si="105"/>
        <v>6431.67</v>
      </c>
      <c r="AG2288" s="67">
        <f t="shared" si="118"/>
        <v>1029.0672</v>
      </c>
      <c r="AH2288" s="67">
        <f t="shared" si="119"/>
        <v>7460.7372</v>
      </c>
      <c r="AI2288" s="67">
        <f t="shared" si="108"/>
        <v>6199.2</v>
      </c>
      <c r="AJ2288" s="68">
        <f t="shared" si="120"/>
        <v>991.872</v>
      </c>
      <c r="AK2288" s="68">
        <f t="shared" si="121"/>
        <v>7191.072</v>
      </c>
      <c r="AL2288" s="70"/>
      <c r="AM2288" s="70"/>
      <c r="AN2288" s="71"/>
      <c r="AO2288" s="71"/>
      <c r="AP2288" s="71"/>
      <c r="AQ2288" s="71"/>
      <c r="AR2288" s="71"/>
      <c r="AS2288" s="71"/>
      <c r="AT2288" s="71"/>
      <c r="AU2288" s="71"/>
      <c r="AV2288" s="71"/>
      <c r="AW2288" s="71"/>
      <c r="AX2288" s="71"/>
      <c r="AY2288" s="71"/>
      <c r="AZ2288" s="71"/>
      <c r="BA2288" s="71"/>
      <c r="BB2288" s="71"/>
      <c r="BC2288" s="71"/>
      <c r="BD2288" s="71"/>
      <c r="BE2288" s="71"/>
      <c r="BF2288" s="71"/>
      <c r="BG2288" s="71"/>
      <c r="BH2288" s="71"/>
      <c r="BI2288" s="71"/>
      <c r="BJ2288" s="71"/>
      <c r="BK2288" s="71"/>
      <c r="BL2288" s="71"/>
      <c r="BM2288" s="71"/>
      <c r="BN2288" s="71"/>
      <c r="BO2288" s="71"/>
      <c r="BP2288" s="71"/>
      <c r="BQ2288" s="71"/>
      <c r="BR2288" s="71"/>
      <c r="BS2288" s="71"/>
      <c r="BT2288" s="71"/>
      <c r="BU2288" s="71"/>
      <c r="BV2288" s="71"/>
    </row>
    <row r="2289">
      <c r="A2289" s="53"/>
      <c r="B2289" s="53"/>
      <c r="C2289" s="120" t="s">
        <v>603</v>
      </c>
      <c r="D2289" s="53" t="s">
        <v>5590</v>
      </c>
      <c r="E2289" s="54" t="s">
        <v>38</v>
      </c>
      <c r="F2289" s="54" t="s">
        <v>42</v>
      </c>
      <c r="G2289" s="193" t="s">
        <v>5591</v>
      </c>
      <c r="H2289" s="195" t="s">
        <v>5592</v>
      </c>
      <c r="I2289" s="54">
        <f t="shared" si="24"/>
        <v>40</v>
      </c>
      <c r="J2289" s="56"/>
      <c r="K2289" s="57"/>
      <c r="L2289" s="76" t="s">
        <v>661</v>
      </c>
      <c r="M2289" s="59"/>
      <c r="N2289" s="60"/>
      <c r="O2289" s="61">
        <v>3424.0</v>
      </c>
      <c r="P2289" s="62">
        <v>3697.92</v>
      </c>
      <c r="Q2289" s="63">
        <v>3697.92</v>
      </c>
      <c r="R2289" s="64">
        <v>3883.0</v>
      </c>
      <c r="S2289" s="111">
        <v>4077.0</v>
      </c>
      <c r="T2289" s="65">
        <f t="shared" si="93"/>
        <v>652.32</v>
      </c>
      <c r="U2289" s="65">
        <f t="shared" si="94"/>
        <v>4729.32</v>
      </c>
      <c r="V2289" s="66">
        <f t="shared" si="111"/>
        <v>0.04996137007</v>
      </c>
      <c r="W2289" s="67">
        <f t="shared" si="96"/>
        <v>3873.15</v>
      </c>
      <c r="X2289" s="67">
        <f t="shared" si="112"/>
        <v>619.704</v>
      </c>
      <c r="Y2289" s="67">
        <f t="shared" si="113"/>
        <v>4492.854</v>
      </c>
      <c r="Z2289" s="67">
        <f t="shared" si="99"/>
        <v>3669.3</v>
      </c>
      <c r="AA2289" s="67">
        <f t="shared" si="114"/>
        <v>587.088</v>
      </c>
      <c r="AB2289" s="67">
        <f t="shared" si="115"/>
        <v>4256.388</v>
      </c>
      <c r="AC2289" s="67">
        <f t="shared" si="102"/>
        <v>3465.45</v>
      </c>
      <c r="AD2289" s="67">
        <f t="shared" si="116"/>
        <v>554.472</v>
      </c>
      <c r="AE2289" s="67">
        <f t="shared" si="117"/>
        <v>4019.922</v>
      </c>
      <c r="AF2289" s="67">
        <f t="shared" si="105"/>
        <v>3383.91</v>
      </c>
      <c r="AG2289" s="67">
        <f t="shared" si="118"/>
        <v>541.4256</v>
      </c>
      <c r="AH2289" s="67">
        <f t="shared" si="119"/>
        <v>3925.3356</v>
      </c>
      <c r="AI2289" s="67">
        <f t="shared" si="108"/>
        <v>3261.6</v>
      </c>
      <c r="AJ2289" s="68">
        <f t="shared" si="120"/>
        <v>521.856</v>
      </c>
      <c r="AK2289" s="68">
        <f t="shared" si="121"/>
        <v>3783.456</v>
      </c>
      <c r="AL2289" s="70"/>
      <c r="AM2289" s="70"/>
      <c r="AN2289" s="71"/>
      <c r="AO2289" s="71"/>
      <c r="AP2289" s="71"/>
      <c r="AQ2289" s="71"/>
      <c r="AR2289" s="71"/>
      <c r="AS2289" s="71"/>
      <c r="AT2289" s="71"/>
      <c r="AU2289" s="71"/>
      <c r="AV2289" s="71"/>
      <c r="AW2289" s="71"/>
      <c r="AX2289" s="71"/>
      <c r="AY2289" s="71"/>
      <c r="AZ2289" s="71"/>
      <c r="BA2289" s="71"/>
      <c r="BB2289" s="71"/>
      <c r="BC2289" s="71"/>
      <c r="BD2289" s="71"/>
      <c r="BE2289" s="71"/>
      <c r="BF2289" s="71"/>
      <c r="BG2289" s="71"/>
      <c r="BH2289" s="71"/>
      <c r="BI2289" s="71"/>
      <c r="BJ2289" s="71"/>
      <c r="BK2289" s="71"/>
      <c r="BL2289" s="71"/>
      <c r="BM2289" s="71"/>
      <c r="BN2289" s="71"/>
      <c r="BO2289" s="71"/>
      <c r="BP2289" s="71"/>
      <c r="BQ2289" s="71"/>
      <c r="BR2289" s="71"/>
      <c r="BS2289" s="71"/>
      <c r="BT2289" s="71"/>
      <c r="BU2289" s="71"/>
      <c r="BV2289" s="71"/>
    </row>
    <row r="2290">
      <c r="A2290" s="53"/>
      <c r="B2290" s="53"/>
      <c r="C2290" s="120" t="s">
        <v>603</v>
      </c>
      <c r="D2290" s="53" t="s">
        <v>5593</v>
      </c>
      <c r="E2290" s="54" t="s">
        <v>38</v>
      </c>
      <c r="F2290" s="54" t="s">
        <v>42</v>
      </c>
      <c r="G2290" s="193" t="s">
        <v>5594</v>
      </c>
      <c r="H2290" s="195" t="s">
        <v>5595</v>
      </c>
      <c r="I2290" s="54">
        <f t="shared" si="24"/>
        <v>38</v>
      </c>
      <c r="J2290" s="56"/>
      <c r="K2290" s="57"/>
      <c r="L2290" s="76" t="s">
        <v>661</v>
      </c>
      <c r="M2290" s="59"/>
      <c r="N2290" s="60">
        <v>3469.2000000000003</v>
      </c>
      <c r="O2290" s="61">
        <v>3785.0</v>
      </c>
      <c r="P2290" s="62">
        <v>4087.8</v>
      </c>
      <c r="Q2290" s="63">
        <v>4087.8</v>
      </c>
      <c r="R2290" s="64">
        <v>4293.0</v>
      </c>
      <c r="S2290" s="111">
        <v>4508.0</v>
      </c>
      <c r="T2290" s="65">
        <f t="shared" si="93"/>
        <v>721.28</v>
      </c>
      <c r="U2290" s="65">
        <f t="shared" si="94"/>
        <v>5229.28</v>
      </c>
      <c r="V2290" s="66">
        <f t="shared" si="111"/>
        <v>0.05008152807</v>
      </c>
      <c r="W2290" s="67">
        <f t="shared" si="96"/>
        <v>4282.6</v>
      </c>
      <c r="X2290" s="67">
        <f t="shared" si="112"/>
        <v>685.216</v>
      </c>
      <c r="Y2290" s="67">
        <f t="shared" si="113"/>
        <v>4967.816</v>
      </c>
      <c r="Z2290" s="67">
        <f t="shared" si="99"/>
        <v>4057.2</v>
      </c>
      <c r="AA2290" s="67">
        <f t="shared" si="114"/>
        <v>649.152</v>
      </c>
      <c r="AB2290" s="67">
        <f t="shared" si="115"/>
        <v>4706.352</v>
      </c>
      <c r="AC2290" s="67">
        <f t="shared" si="102"/>
        <v>3831.8</v>
      </c>
      <c r="AD2290" s="67">
        <f t="shared" si="116"/>
        <v>613.088</v>
      </c>
      <c r="AE2290" s="67">
        <f t="shared" si="117"/>
        <v>4444.888</v>
      </c>
      <c r="AF2290" s="67">
        <f t="shared" si="105"/>
        <v>3741.64</v>
      </c>
      <c r="AG2290" s="67">
        <f t="shared" si="118"/>
        <v>598.6624</v>
      </c>
      <c r="AH2290" s="67">
        <f t="shared" si="119"/>
        <v>4340.3024</v>
      </c>
      <c r="AI2290" s="67">
        <f t="shared" si="108"/>
        <v>3606.4</v>
      </c>
      <c r="AJ2290" s="68">
        <f t="shared" si="120"/>
        <v>577.024</v>
      </c>
      <c r="AK2290" s="68">
        <f t="shared" si="121"/>
        <v>4183.424</v>
      </c>
      <c r="AL2290" s="70"/>
      <c r="AM2290" s="70"/>
      <c r="AN2290" s="71"/>
      <c r="AO2290" s="71"/>
      <c r="AP2290" s="71"/>
      <c r="AQ2290" s="71"/>
      <c r="AR2290" s="71"/>
      <c r="AS2290" s="71"/>
      <c r="AT2290" s="71"/>
      <c r="AU2290" s="71"/>
      <c r="AV2290" s="71"/>
      <c r="AW2290" s="71"/>
      <c r="AX2290" s="71"/>
      <c r="AY2290" s="71"/>
      <c r="AZ2290" s="71"/>
      <c r="BA2290" s="71"/>
      <c r="BB2290" s="71"/>
      <c r="BC2290" s="71"/>
      <c r="BD2290" s="71"/>
      <c r="BE2290" s="71"/>
      <c r="BF2290" s="71"/>
      <c r="BG2290" s="71"/>
      <c r="BH2290" s="71"/>
      <c r="BI2290" s="71"/>
      <c r="BJ2290" s="71"/>
      <c r="BK2290" s="71"/>
      <c r="BL2290" s="71"/>
      <c r="BM2290" s="71"/>
      <c r="BN2290" s="71"/>
      <c r="BO2290" s="71"/>
      <c r="BP2290" s="71"/>
      <c r="BQ2290" s="71"/>
      <c r="BR2290" s="71"/>
      <c r="BS2290" s="71"/>
      <c r="BT2290" s="71"/>
      <c r="BU2290" s="71"/>
      <c r="BV2290" s="71"/>
    </row>
    <row r="2291">
      <c r="A2291" s="53"/>
      <c r="B2291" s="53"/>
      <c r="C2291" s="120" t="s">
        <v>603</v>
      </c>
      <c r="D2291" s="53" t="s">
        <v>5596</v>
      </c>
      <c r="E2291" s="54" t="s">
        <v>38</v>
      </c>
      <c r="F2291" s="54" t="s">
        <v>42</v>
      </c>
      <c r="G2291" s="193" t="s">
        <v>5597</v>
      </c>
      <c r="H2291" s="195" t="s">
        <v>5598</v>
      </c>
      <c r="I2291" s="54">
        <f t="shared" si="24"/>
        <v>40</v>
      </c>
      <c r="J2291" s="56"/>
      <c r="K2291" s="57"/>
      <c r="L2291" s="76" t="s">
        <v>661</v>
      </c>
      <c r="M2291" s="59"/>
      <c r="N2291" s="60"/>
      <c r="O2291" s="61">
        <v>2080.0</v>
      </c>
      <c r="P2291" s="62">
        <v>2246.4</v>
      </c>
      <c r="Q2291" s="63">
        <v>2246.4</v>
      </c>
      <c r="R2291" s="64">
        <v>2359.0</v>
      </c>
      <c r="S2291" s="111">
        <v>2477.0</v>
      </c>
      <c r="T2291" s="65">
        <f t="shared" si="93"/>
        <v>396.32</v>
      </c>
      <c r="U2291" s="65">
        <f t="shared" si="94"/>
        <v>2873.32</v>
      </c>
      <c r="V2291" s="66">
        <f t="shared" si="111"/>
        <v>0.05002119542</v>
      </c>
      <c r="W2291" s="67">
        <f t="shared" si="96"/>
        <v>2353.15</v>
      </c>
      <c r="X2291" s="67">
        <f t="shared" si="112"/>
        <v>376.504</v>
      </c>
      <c r="Y2291" s="67">
        <f t="shared" si="113"/>
        <v>2729.654</v>
      </c>
      <c r="Z2291" s="67">
        <f t="shared" si="99"/>
        <v>2229.3</v>
      </c>
      <c r="AA2291" s="67">
        <f t="shared" si="114"/>
        <v>356.688</v>
      </c>
      <c r="AB2291" s="67">
        <f t="shared" si="115"/>
        <v>2585.988</v>
      </c>
      <c r="AC2291" s="67">
        <f t="shared" si="102"/>
        <v>2105.45</v>
      </c>
      <c r="AD2291" s="67">
        <f t="shared" si="116"/>
        <v>336.872</v>
      </c>
      <c r="AE2291" s="67">
        <f t="shared" si="117"/>
        <v>2442.322</v>
      </c>
      <c r="AF2291" s="67">
        <f t="shared" si="105"/>
        <v>2055.91</v>
      </c>
      <c r="AG2291" s="67">
        <f t="shared" si="118"/>
        <v>328.9456</v>
      </c>
      <c r="AH2291" s="67">
        <f t="shared" si="119"/>
        <v>2384.8556</v>
      </c>
      <c r="AI2291" s="67">
        <f t="shared" si="108"/>
        <v>1981.6</v>
      </c>
      <c r="AJ2291" s="68">
        <f t="shared" si="120"/>
        <v>317.056</v>
      </c>
      <c r="AK2291" s="68">
        <f t="shared" si="121"/>
        <v>2298.656</v>
      </c>
      <c r="AL2291" s="70"/>
      <c r="AM2291" s="70"/>
      <c r="AN2291" s="71"/>
      <c r="AO2291" s="71"/>
      <c r="AP2291" s="71"/>
      <c r="AQ2291" s="71"/>
      <c r="AR2291" s="71"/>
      <c r="AS2291" s="71"/>
      <c r="AT2291" s="71"/>
      <c r="AU2291" s="71"/>
      <c r="AV2291" s="71"/>
      <c r="AW2291" s="71"/>
      <c r="AX2291" s="71"/>
      <c r="AY2291" s="71"/>
      <c r="AZ2291" s="71"/>
      <c r="BA2291" s="71"/>
      <c r="BB2291" s="71"/>
      <c r="BC2291" s="71"/>
      <c r="BD2291" s="71"/>
      <c r="BE2291" s="71"/>
      <c r="BF2291" s="71"/>
      <c r="BG2291" s="71"/>
      <c r="BH2291" s="71"/>
      <c r="BI2291" s="71"/>
      <c r="BJ2291" s="71"/>
      <c r="BK2291" s="71"/>
      <c r="BL2291" s="71"/>
      <c r="BM2291" s="71"/>
      <c r="BN2291" s="71"/>
      <c r="BO2291" s="71"/>
      <c r="BP2291" s="71"/>
      <c r="BQ2291" s="71"/>
      <c r="BR2291" s="71"/>
      <c r="BS2291" s="71"/>
      <c r="BT2291" s="71"/>
      <c r="BU2291" s="71"/>
      <c r="BV2291" s="71"/>
    </row>
    <row r="2292">
      <c r="A2292" s="53"/>
      <c r="B2292" s="53"/>
      <c r="C2292" s="73" t="s">
        <v>53</v>
      </c>
      <c r="D2292" s="53" t="s">
        <v>5599</v>
      </c>
      <c r="E2292" s="54" t="s">
        <v>38</v>
      </c>
      <c r="F2292" s="54" t="s">
        <v>42</v>
      </c>
      <c r="G2292" s="193" t="s">
        <v>5600</v>
      </c>
      <c r="H2292" s="195" t="s">
        <v>5601</v>
      </c>
      <c r="I2292" s="54">
        <f t="shared" si="24"/>
        <v>37</v>
      </c>
      <c r="J2292" s="56"/>
      <c r="K2292" s="57"/>
      <c r="L2292" s="76" t="s">
        <v>661</v>
      </c>
      <c r="M2292" s="59"/>
      <c r="N2292" s="79">
        <v>6346.0</v>
      </c>
      <c r="O2292" s="61">
        <v>8081.0</v>
      </c>
      <c r="P2292" s="62">
        <v>8727.480000000001</v>
      </c>
      <c r="Q2292" s="63">
        <v>8727.480000000001</v>
      </c>
      <c r="R2292" s="64">
        <v>9164.0</v>
      </c>
      <c r="S2292" s="111">
        <v>9622.0</v>
      </c>
      <c r="T2292" s="65">
        <f t="shared" si="93"/>
        <v>1539.52</v>
      </c>
      <c r="U2292" s="65">
        <f t="shared" si="94"/>
        <v>11161.52</v>
      </c>
      <c r="V2292" s="66">
        <f t="shared" si="111"/>
        <v>0.04997817547</v>
      </c>
      <c r="W2292" s="67">
        <f t="shared" si="96"/>
        <v>9140.9</v>
      </c>
      <c r="X2292" s="67">
        <f t="shared" si="112"/>
        <v>1462.544</v>
      </c>
      <c r="Y2292" s="67">
        <f t="shared" si="113"/>
        <v>10603.444</v>
      </c>
      <c r="Z2292" s="67">
        <f t="shared" si="99"/>
        <v>8659.8</v>
      </c>
      <c r="AA2292" s="67">
        <f t="shared" si="114"/>
        <v>1385.568</v>
      </c>
      <c r="AB2292" s="67">
        <f t="shared" si="115"/>
        <v>10045.368</v>
      </c>
      <c r="AC2292" s="67">
        <f t="shared" si="102"/>
        <v>8178.7</v>
      </c>
      <c r="AD2292" s="67">
        <f t="shared" si="116"/>
        <v>1308.592</v>
      </c>
      <c r="AE2292" s="67">
        <f t="shared" si="117"/>
        <v>9487.292</v>
      </c>
      <c r="AF2292" s="67">
        <f t="shared" si="105"/>
        <v>7986.26</v>
      </c>
      <c r="AG2292" s="67">
        <f t="shared" si="118"/>
        <v>1277.8016</v>
      </c>
      <c r="AH2292" s="67">
        <f t="shared" si="119"/>
        <v>9264.0616</v>
      </c>
      <c r="AI2292" s="67">
        <f t="shared" si="108"/>
        <v>7697.6</v>
      </c>
      <c r="AJ2292" s="68">
        <f t="shared" si="120"/>
        <v>1231.616</v>
      </c>
      <c r="AK2292" s="68">
        <f t="shared" si="121"/>
        <v>8929.216</v>
      </c>
      <c r="AL2292" s="70"/>
      <c r="AM2292" s="70"/>
      <c r="AN2292" s="71"/>
      <c r="AO2292" s="71"/>
      <c r="AP2292" s="71"/>
      <c r="AQ2292" s="71"/>
      <c r="AR2292" s="71"/>
      <c r="AS2292" s="71"/>
      <c r="AT2292" s="71"/>
      <c r="AU2292" s="71"/>
      <c r="AV2292" s="71"/>
      <c r="AW2292" s="71"/>
      <c r="AX2292" s="71"/>
      <c r="AY2292" s="71"/>
      <c r="AZ2292" s="71"/>
      <c r="BA2292" s="71"/>
      <c r="BB2292" s="71"/>
      <c r="BC2292" s="71"/>
      <c r="BD2292" s="71"/>
      <c r="BE2292" s="71"/>
      <c r="BF2292" s="71"/>
      <c r="BG2292" s="71"/>
      <c r="BH2292" s="71"/>
      <c r="BI2292" s="71"/>
      <c r="BJ2292" s="71"/>
      <c r="BK2292" s="71"/>
      <c r="BL2292" s="71"/>
      <c r="BM2292" s="71"/>
      <c r="BN2292" s="71"/>
      <c r="BO2292" s="71"/>
      <c r="BP2292" s="71"/>
      <c r="BQ2292" s="71"/>
      <c r="BR2292" s="71"/>
      <c r="BS2292" s="71"/>
      <c r="BT2292" s="71"/>
      <c r="BU2292" s="71"/>
      <c r="BV2292" s="71"/>
    </row>
    <row r="2293">
      <c r="A2293" s="53"/>
      <c r="B2293" s="53"/>
      <c r="C2293" s="73" t="s">
        <v>53</v>
      </c>
      <c r="D2293" s="53" t="s">
        <v>5602</v>
      </c>
      <c r="E2293" s="54" t="s">
        <v>38</v>
      </c>
      <c r="F2293" s="54" t="s">
        <v>42</v>
      </c>
      <c r="G2293" s="193" t="s">
        <v>5603</v>
      </c>
      <c r="H2293" s="195" t="s">
        <v>5604</v>
      </c>
      <c r="I2293" s="54">
        <f t="shared" si="24"/>
        <v>40</v>
      </c>
      <c r="J2293" s="56"/>
      <c r="K2293" s="57"/>
      <c r="L2293" s="76" t="s">
        <v>661</v>
      </c>
      <c r="M2293" s="59"/>
      <c r="N2293" s="79"/>
      <c r="O2293" s="61">
        <v>9721.0</v>
      </c>
      <c r="P2293" s="62">
        <v>10498.68</v>
      </c>
      <c r="Q2293" s="63">
        <v>10498.68</v>
      </c>
      <c r="R2293" s="64">
        <v>11024.0</v>
      </c>
      <c r="S2293" s="111">
        <v>11575.0</v>
      </c>
      <c r="T2293" s="65">
        <f t="shared" si="93"/>
        <v>1852</v>
      </c>
      <c r="U2293" s="65">
        <f t="shared" si="94"/>
        <v>13427</v>
      </c>
      <c r="V2293" s="66">
        <f t="shared" si="111"/>
        <v>0.04998185776</v>
      </c>
      <c r="W2293" s="67">
        <f t="shared" si="96"/>
        <v>10996.25</v>
      </c>
      <c r="X2293" s="67">
        <f t="shared" si="112"/>
        <v>1759.4</v>
      </c>
      <c r="Y2293" s="67">
        <f t="shared" si="113"/>
        <v>12755.65</v>
      </c>
      <c r="Z2293" s="67">
        <f t="shared" si="99"/>
        <v>10417.5</v>
      </c>
      <c r="AA2293" s="67">
        <f t="shared" si="114"/>
        <v>1666.8</v>
      </c>
      <c r="AB2293" s="67">
        <f t="shared" si="115"/>
        <v>12084.3</v>
      </c>
      <c r="AC2293" s="67">
        <f t="shared" si="102"/>
        <v>9838.75</v>
      </c>
      <c r="AD2293" s="67">
        <f t="shared" si="116"/>
        <v>1574.2</v>
      </c>
      <c r="AE2293" s="67">
        <f t="shared" si="117"/>
        <v>11412.95</v>
      </c>
      <c r="AF2293" s="67">
        <f t="shared" si="105"/>
        <v>9607.25</v>
      </c>
      <c r="AG2293" s="67">
        <f t="shared" si="118"/>
        <v>1537.16</v>
      </c>
      <c r="AH2293" s="67">
        <f t="shared" si="119"/>
        <v>11144.41</v>
      </c>
      <c r="AI2293" s="67">
        <f t="shared" si="108"/>
        <v>9260</v>
      </c>
      <c r="AJ2293" s="68">
        <f t="shared" si="120"/>
        <v>1481.6</v>
      </c>
      <c r="AK2293" s="68">
        <f t="shared" si="121"/>
        <v>10741.6</v>
      </c>
      <c r="AL2293" s="70"/>
      <c r="AM2293" s="70"/>
      <c r="AN2293" s="71"/>
      <c r="AO2293" s="71"/>
      <c r="AP2293" s="71"/>
      <c r="AQ2293" s="71"/>
      <c r="AR2293" s="71"/>
      <c r="AS2293" s="71"/>
      <c r="AT2293" s="71"/>
      <c r="AU2293" s="71"/>
      <c r="AV2293" s="71"/>
      <c r="AW2293" s="71"/>
      <c r="AX2293" s="71"/>
      <c r="AY2293" s="71"/>
      <c r="AZ2293" s="71"/>
      <c r="BA2293" s="71"/>
      <c r="BB2293" s="71"/>
      <c r="BC2293" s="71"/>
      <c r="BD2293" s="71"/>
      <c r="BE2293" s="71"/>
      <c r="BF2293" s="71"/>
      <c r="BG2293" s="71"/>
      <c r="BH2293" s="71"/>
      <c r="BI2293" s="71"/>
      <c r="BJ2293" s="71"/>
      <c r="BK2293" s="71"/>
      <c r="BL2293" s="71"/>
      <c r="BM2293" s="71"/>
      <c r="BN2293" s="71"/>
      <c r="BO2293" s="71"/>
      <c r="BP2293" s="71"/>
      <c r="BQ2293" s="71"/>
      <c r="BR2293" s="71"/>
      <c r="BS2293" s="71"/>
      <c r="BT2293" s="71"/>
      <c r="BU2293" s="71"/>
      <c r="BV2293" s="71"/>
    </row>
    <row r="2294">
      <c r="A2294" s="53"/>
      <c r="B2294" s="53"/>
      <c r="C2294" s="73" t="s">
        <v>53</v>
      </c>
      <c r="D2294" s="53" t="s">
        <v>5605</v>
      </c>
      <c r="E2294" s="54" t="s">
        <v>38</v>
      </c>
      <c r="F2294" s="54" t="s">
        <v>42</v>
      </c>
      <c r="G2294" s="193" t="s">
        <v>5606</v>
      </c>
      <c r="H2294" s="193" t="s">
        <v>5607</v>
      </c>
      <c r="I2294" s="54">
        <f t="shared" si="24"/>
        <v>34</v>
      </c>
      <c r="J2294" s="56"/>
      <c r="K2294" s="57"/>
      <c r="L2294" s="76" t="s">
        <v>661</v>
      </c>
      <c r="M2294" s="59"/>
      <c r="N2294" s="79"/>
      <c r="O2294" s="61">
        <v>5375.0</v>
      </c>
      <c r="P2294" s="62">
        <v>5805.0</v>
      </c>
      <c r="Q2294" s="63">
        <v>5805.0</v>
      </c>
      <c r="R2294" s="64">
        <v>6096.0</v>
      </c>
      <c r="S2294" s="111">
        <v>6401.0</v>
      </c>
      <c r="T2294" s="65">
        <f t="shared" si="93"/>
        <v>1024.16</v>
      </c>
      <c r="U2294" s="65">
        <f t="shared" si="94"/>
        <v>7425.16</v>
      </c>
      <c r="V2294" s="66">
        <f t="shared" si="111"/>
        <v>0.0500328084</v>
      </c>
      <c r="W2294" s="67">
        <f t="shared" si="96"/>
        <v>6080.95</v>
      </c>
      <c r="X2294" s="67">
        <f t="shared" si="112"/>
        <v>972.952</v>
      </c>
      <c r="Y2294" s="67">
        <f t="shared" si="113"/>
        <v>7053.902</v>
      </c>
      <c r="Z2294" s="67">
        <f t="shared" si="99"/>
        <v>5760.9</v>
      </c>
      <c r="AA2294" s="67">
        <f t="shared" si="114"/>
        <v>921.744</v>
      </c>
      <c r="AB2294" s="67">
        <f t="shared" si="115"/>
        <v>6682.644</v>
      </c>
      <c r="AC2294" s="67">
        <f t="shared" si="102"/>
        <v>5440.85</v>
      </c>
      <c r="AD2294" s="67">
        <f t="shared" si="116"/>
        <v>870.536</v>
      </c>
      <c r="AE2294" s="67">
        <f t="shared" si="117"/>
        <v>6311.386</v>
      </c>
      <c r="AF2294" s="67">
        <f t="shared" si="105"/>
        <v>5312.83</v>
      </c>
      <c r="AG2294" s="67">
        <f t="shared" si="118"/>
        <v>850.0528</v>
      </c>
      <c r="AH2294" s="67">
        <f t="shared" si="119"/>
        <v>6162.8828</v>
      </c>
      <c r="AI2294" s="67">
        <f t="shared" si="108"/>
        <v>5120.8</v>
      </c>
      <c r="AJ2294" s="68">
        <f t="shared" si="120"/>
        <v>819.328</v>
      </c>
      <c r="AK2294" s="68">
        <f t="shared" si="121"/>
        <v>5940.128</v>
      </c>
      <c r="AL2294" s="70"/>
      <c r="AM2294" s="70"/>
      <c r="AN2294" s="71"/>
      <c r="AO2294" s="71"/>
      <c r="AP2294" s="71"/>
      <c r="AQ2294" s="71"/>
      <c r="AR2294" s="71"/>
      <c r="AS2294" s="71"/>
      <c r="AT2294" s="71"/>
      <c r="AU2294" s="71"/>
      <c r="AV2294" s="71"/>
      <c r="AW2294" s="71"/>
      <c r="AX2294" s="71"/>
      <c r="AY2294" s="71"/>
      <c r="AZ2294" s="71"/>
      <c r="BA2294" s="71"/>
      <c r="BB2294" s="71"/>
      <c r="BC2294" s="71"/>
      <c r="BD2294" s="71"/>
      <c r="BE2294" s="71"/>
      <c r="BF2294" s="71"/>
      <c r="BG2294" s="71"/>
      <c r="BH2294" s="71"/>
      <c r="BI2294" s="71"/>
      <c r="BJ2294" s="71"/>
      <c r="BK2294" s="71"/>
      <c r="BL2294" s="71"/>
      <c r="BM2294" s="71"/>
      <c r="BN2294" s="71"/>
      <c r="BO2294" s="71"/>
      <c r="BP2294" s="71"/>
      <c r="BQ2294" s="71"/>
      <c r="BR2294" s="71"/>
      <c r="BS2294" s="71"/>
      <c r="BT2294" s="71"/>
      <c r="BU2294" s="71"/>
      <c r="BV2294" s="71"/>
    </row>
    <row r="2295">
      <c r="A2295" s="53"/>
      <c r="B2295" s="53"/>
      <c r="C2295" s="73" t="s">
        <v>53</v>
      </c>
      <c r="D2295" s="53" t="s">
        <v>5608</v>
      </c>
      <c r="E2295" s="54" t="s">
        <v>38</v>
      </c>
      <c r="F2295" s="54" t="s">
        <v>42</v>
      </c>
      <c r="G2295" s="193" t="s">
        <v>5609</v>
      </c>
      <c r="H2295" s="195" t="s">
        <v>5610</v>
      </c>
      <c r="I2295" s="54">
        <f t="shared" si="24"/>
        <v>40</v>
      </c>
      <c r="J2295" s="56"/>
      <c r="K2295" s="57"/>
      <c r="L2295" s="76" t="s">
        <v>661</v>
      </c>
      <c r="M2295" s="59"/>
      <c r="N2295" s="79"/>
      <c r="O2295" s="61">
        <v>5772.0</v>
      </c>
      <c r="P2295" s="62">
        <v>6233.76</v>
      </c>
      <c r="Q2295" s="63">
        <v>6233.76</v>
      </c>
      <c r="R2295" s="64">
        <v>6546.0</v>
      </c>
      <c r="S2295" s="111">
        <v>6873.0</v>
      </c>
      <c r="T2295" s="65">
        <f t="shared" si="93"/>
        <v>1099.68</v>
      </c>
      <c r="U2295" s="65">
        <f t="shared" si="94"/>
        <v>7972.68</v>
      </c>
      <c r="V2295" s="66">
        <f t="shared" si="111"/>
        <v>0.04995417049</v>
      </c>
      <c r="W2295" s="67">
        <f t="shared" si="96"/>
        <v>6529.35</v>
      </c>
      <c r="X2295" s="67">
        <f t="shared" si="112"/>
        <v>1044.696</v>
      </c>
      <c r="Y2295" s="67">
        <f t="shared" si="113"/>
        <v>7574.046</v>
      </c>
      <c r="Z2295" s="67">
        <f t="shared" si="99"/>
        <v>6185.7</v>
      </c>
      <c r="AA2295" s="67">
        <f t="shared" si="114"/>
        <v>989.712</v>
      </c>
      <c r="AB2295" s="67">
        <f t="shared" si="115"/>
        <v>7175.412</v>
      </c>
      <c r="AC2295" s="67">
        <f t="shared" si="102"/>
        <v>5842.05</v>
      </c>
      <c r="AD2295" s="67">
        <f t="shared" si="116"/>
        <v>934.728</v>
      </c>
      <c r="AE2295" s="67">
        <f t="shared" si="117"/>
        <v>6776.778</v>
      </c>
      <c r="AF2295" s="67">
        <f t="shared" si="105"/>
        <v>5704.59</v>
      </c>
      <c r="AG2295" s="67">
        <f t="shared" si="118"/>
        <v>912.7344</v>
      </c>
      <c r="AH2295" s="67">
        <f t="shared" si="119"/>
        <v>6617.3244</v>
      </c>
      <c r="AI2295" s="67">
        <f t="shared" si="108"/>
        <v>5498.4</v>
      </c>
      <c r="AJ2295" s="68">
        <f t="shared" si="120"/>
        <v>879.744</v>
      </c>
      <c r="AK2295" s="68">
        <f t="shared" si="121"/>
        <v>6378.144</v>
      </c>
      <c r="AL2295" s="70"/>
      <c r="AM2295" s="70"/>
      <c r="AN2295" s="71"/>
      <c r="AO2295" s="71"/>
      <c r="AP2295" s="71"/>
      <c r="AQ2295" s="71"/>
      <c r="AR2295" s="71"/>
      <c r="AS2295" s="71"/>
      <c r="AT2295" s="71"/>
      <c r="AU2295" s="71"/>
      <c r="AV2295" s="71"/>
      <c r="AW2295" s="71"/>
      <c r="AX2295" s="71"/>
      <c r="AY2295" s="71"/>
      <c r="AZ2295" s="71"/>
      <c r="BA2295" s="71"/>
      <c r="BB2295" s="71"/>
      <c r="BC2295" s="71"/>
      <c r="BD2295" s="71"/>
      <c r="BE2295" s="71"/>
      <c r="BF2295" s="71"/>
      <c r="BG2295" s="71"/>
      <c r="BH2295" s="71"/>
      <c r="BI2295" s="71"/>
      <c r="BJ2295" s="71"/>
      <c r="BK2295" s="71"/>
      <c r="BL2295" s="71"/>
      <c r="BM2295" s="71"/>
      <c r="BN2295" s="71"/>
      <c r="BO2295" s="71"/>
      <c r="BP2295" s="71"/>
      <c r="BQ2295" s="71"/>
      <c r="BR2295" s="71"/>
      <c r="BS2295" s="71"/>
      <c r="BT2295" s="71"/>
      <c r="BU2295" s="71"/>
      <c r="BV2295" s="71"/>
    </row>
    <row r="2296">
      <c r="A2296" s="53"/>
      <c r="B2296" s="53"/>
      <c r="C2296" s="73" t="s">
        <v>53</v>
      </c>
      <c r="D2296" s="53" t="s">
        <v>5611</v>
      </c>
      <c r="E2296" s="54" t="s">
        <v>38</v>
      </c>
      <c r="F2296" s="54" t="s">
        <v>42</v>
      </c>
      <c r="G2296" s="193" t="s">
        <v>5612</v>
      </c>
      <c r="H2296" s="195" t="s">
        <v>5613</v>
      </c>
      <c r="I2296" s="54">
        <f t="shared" si="24"/>
        <v>32</v>
      </c>
      <c r="J2296" s="56"/>
      <c r="K2296" s="57"/>
      <c r="L2296" s="76" t="s">
        <v>661</v>
      </c>
      <c r="M2296" s="59"/>
      <c r="N2296" s="79"/>
      <c r="O2296" s="61">
        <v>3785.0</v>
      </c>
      <c r="P2296" s="62">
        <v>4087.8</v>
      </c>
      <c r="Q2296" s="63">
        <v>4087.8</v>
      </c>
      <c r="R2296" s="64">
        <v>4293.0</v>
      </c>
      <c r="S2296" s="111">
        <v>4508.0</v>
      </c>
      <c r="T2296" s="65">
        <f t="shared" si="93"/>
        <v>721.28</v>
      </c>
      <c r="U2296" s="65">
        <f t="shared" si="94"/>
        <v>5229.28</v>
      </c>
      <c r="V2296" s="66">
        <f t="shared" si="111"/>
        <v>0.05008152807</v>
      </c>
      <c r="W2296" s="67">
        <f t="shared" si="96"/>
        <v>4282.6</v>
      </c>
      <c r="X2296" s="67">
        <f t="shared" si="112"/>
        <v>685.216</v>
      </c>
      <c r="Y2296" s="67">
        <f t="shared" si="113"/>
        <v>4967.816</v>
      </c>
      <c r="Z2296" s="67">
        <f t="shared" si="99"/>
        <v>4057.2</v>
      </c>
      <c r="AA2296" s="67">
        <f t="shared" si="114"/>
        <v>649.152</v>
      </c>
      <c r="AB2296" s="67">
        <f t="shared" si="115"/>
        <v>4706.352</v>
      </c>
      <c r="AC2296" s="67">
        <f t="shared" si="102"/>
        <v>3831.8</v>
      </c>
      <c r="AD2296" s="67">
        <f t="shared" si="116"/>
        <v>613.088</v>
      </c>
      <c r="AE2296" s="67">
        <f t="shared" si="117"/>
        <v>4444.888</v>
      </c>
      <c r="AF2296" s="67">
        <f t="shared" si="105"/>
        <v>3741.64</v>
      </c>
      <c r="AG2296" s="67">
        <f t="shared" si="118"/>
        <v>598.6624</v>
      </c>
      <c r="AH2296" s="67">
        <f t="shared" si="119"/>
        <v>4340.3024</v>
      </c>
      <c r="AI2296" s="67">
        <f t="shared" si="108"/>
        <v>3606.4</v>
      </c>
      <c r="AJ2296" s="68">
        <f t="shared" si="120"/>
        <v>577.024</v>
      </c>
      <c r="AK2296" s="68">
        <f t="shared" si="121"/>
        <v>4183.424</v>
      </c>
      <c r="AL2296" s="70"/>
      <c r="AM2296" s="70"/>
      <c r="AN2296" s="71"/>
      <c r="AO2296" s="71"/>
      <c r="AP2296" s="71"/>
      <c r="AQ2296" s="71"/>
      <c r="AR2296" s="71"/>
      <c r="AS2296" s="71"/>
      <c r="AT2296" s="71"/>
      <c r="AU2296" s="71"/>
      <c r="AV2296" s="71"/>
      <c r="AW2296" s="71"/>
      <c r="AX2296" s="71"/>
      <c r="AY2296" s="71"/>
      <c r="AZ2296" s="71"/>
      <c r="BA2296" s="71"/>
      <c r="BB2296" s="71"/>
      <c r="BC2296" s="71"/>
      <c r="BD2296" s="71"/>
      <c r="BE2296" s="71"/>
      <c r="BF2296" s="71"/>
      <c r="BG2296" s="71"/>
      <c r="BH2296" s="71"/>
      <c r="BI2296" s="71"/>
      <c r="BJ2296" s="71"/>
      <c r="BK2296" s="71"/>
      <c r="BL2296" s="71"/>
      <c r="BM2296" s="71"/>
      <c r="BN2296" s="71"/>
      <c r="BO2296" s="71"/>
      <c r="BP2296" s="71"/>
      <c r="BQ2296" s="71"/>
      <c r="BR2296" s="71"/>
      <c r="BS2296" s="71"/>
      <c r="BT2296" s="71"/>
      <c r="BU2296" s="71"/>
      <c r="BV2296" s="71"/>
    </row>
    <row r="2297">
      <c r="A2297" s="53"/>
      <c r="B2297" s="53"/>
      <c r="C2297" s="73" t="s">
        <v>53</v>
      </c>
      <c r="D2297" s="53" t="s">
        <v>5614</v>
      </c>
      <c r="E2297" s="54" t="s">
        <v>38</v>
      </c>
      <c r="F2297" s="54" t="s">
        <v>42</v>
      </c>
      <c r="G2297" s="193" t="s">
        <v>5615</v>
      </c>
      <c r="H2297" s="195" t="s">
        <v>5616</v>
      </c>
      <c r="I2297" s="54">
        <f t="shared" si="24"/>
        <v>31</v>
      </c>
      <c r="J2297" s="56"/>
      <c r="K2297" s="57"/>
      <c r="L2297" s="76" t="s">
        <v>661</v>
      </c>
      <c r="M2297" s="59"/>
      <c r="N2297" s="79">
        <v>6181.0</v>
      </c>
      <c r="O2297" s="61">
        <v>8081.0</v>
      </c>
      <c r="P2297" s="62">
        <v>8727.480000000001</v>
      </c>
      <c r="Q2297" s="63">
        <v>8727.480000000001</v>
      </c>
      <c r="R2297" s="64">
        <v>9164.0</v>
      </c>
      <c r="S2297" s="111">
        <v>9622.0</v>
      </c>
      <c r="T2297" s="65">
        <f t="shared" si="93"/>
        <v>1539.52</v>
      </c>
      <c r="U2297" s="65">
        <f t="shared" si="94"/>
        <v>11161.52</v>
      </c>
      <c r="V2297" s="66">
        <f t="shared" si="111"/>
        <v>0.04997817547</v>
      </c>
      <c r="W2297" s="67">
        <f t="shared" si="96"/>
        <v>9140.9</v>
      </c>
      <c r="X2297" s="67">
        <f t="shared" si="112"/>
        <v>1462.544</v>
      </c>
      <c r="Y2297" s="67">
        <f t="shared" si="113"/>
        <v>10603.444</v>
      </c>
      <c r="Z2297" s="67">
        <f t="shared" si="99"/>
        <v>8659.8</v>
      </c>
      <c r="AA2297" s="67">
        <f t="shared" si="114"/>
        <v>1385.568</v>
      </c>
      <c r="AB2297" s="67">
        <f t="shared" si="115"/>
        <v>10045.368</v>
      </c>
      <c r="AC2297" s="67">
        <f t="shared" si="102"/>
        <v>8178.7</v>
      </c>
      <c r="AD2297" s="67">
        <f t="shared" si="116"/>
        <v>1308.592</v>
      </c>
      <c r="AE2297" s="67">
        <f t="shared" si="117"/>
        <v>9487.292</v>
      </c>
      <c r="AF2297" s="67">
        <f t="shared" si="105"/>
        <v>7986.26</v>
      </c>
      <c r="AG2297" s="67">
        <f t="shared" si="118"/>
        <v>1277.8016</v>
      </c>
      <c r="AH2297" s="67">
        <f t="shared" si="119"/>
        <v>9264.0616</v>
      </c>
      <c r="AI2297" s="67">
        <f t="shared" si="108"/>
        <v>7697.6</v>
      </c>
      <c r="AJ2297" s="68">
        <f t="shared" si="120"/>
        <v>1231.616</v>
      </c>
      <c r="AK2297" s="68">
        <f t="shared" si="121"/>
        <v>8929.216</v>
      </c>
      <c r="AL2297" s="70"/>
      <c r="AM2297" s="70"/>
      <c r="AN2297" s="71"/>
      <c r="AO2297" s="71"/>
      <c r="AP2297" s="71"/>
      <c r="AQ2297" s="71"/>
      <c r="AR2297" s="71"/>
      <c r="AS2297" s="71"/>
      <c r="AT2297" s="71"/>
      <c r="AU2297" s="71"/>
      <c r="AV2297" s="71"/>
      <c r="AW2297" s="71"/>
      <c r="AX2297" s="71"/>
      <c r="AY2297" s="71"/>
      <c r="AZ2297" s="71"/>
      <c r="BA2297" s="71"/>
      <c r="BB2297" s="71"/>
      <c r="BC2297" s="71"/>
      <c r="BD2297" s="71"/>
      <c r="BE2297" s="71"/>
      <c r="BF2297" s="71"/>
      <c r="BG2297" s="71"/>
      <c r="BH2297" s="71"/>
      <c r="BI2297" s="71"/>
      <c r="BJ2297" s="71"/>
      <c r="BK2297" s="71"/>
      <c r="BL2297" s="71"/>
      <c r="BM2297" s="71"/>
      <c r="BN2297" s="71"/>
      <c r="BO2297" s="71"/>
      <c r="BP2297" s="71"/>
      <c r="BQ2297" s="71"/>
      <c r="BR2297" s="71"/>
      <c r="BS2297" s="71"/>
      <c r="BT2297" s="71"/>
      <c r="BU2297" s="71"/>
      <c r="BV2297" s="71"/>
    </row>
    <row r="2298">
      <c r="A2298" s="53"/>
      <c r="B2298" s="53"/>
      <c r="C2298" s="73" t="s">
        <v>53</v>
      </c>
      <c r="D2298" s="53" t="s">
        <v>5617</v>
      </c>
      <c r="E2298" s="54" t="s">
        <v>38</v>
      </c>
      <c r="F2298" s="54" t="s">
        <v>42</v>
      </c>
      <c r="G2298" s="193" t="s">
        <v>5618</v>
      </c>
      <c r="H2298" s="195" t="s">
        <v>5619</v>
      </c>
      <c r="I2298" s="54">
        <f t="shared" si="24"/>
        <v>35</v>
      </c>
      <c r="J2298" s="56"/>
      <c r="K2298" s="57"/>
      <c r="L2298" s="76" t="s">
        <v>661</v>
      </c>
      <c r="M2298" s="59"/>
      <c r="N2298" s="79">
        <v>6080.0</v>
      </c>
      <c r="O2298" s="61">
        <v>8081.0</v>
      </c>
      <c r="P2298" s="62">
        <v>8727.480000000001</v>
      </c>
      <c r="Q2298" s="63">
        <v>8727.480000000001</v>
      </c>
      <c r="R2298" s="64">
        <v>9164.0</v>
      </c>
      <c r="S2298" s="111">
        <v>9622.0</v>
      </c>
      <c r="T2298" s="65">
        <f t="shared" si="93"/>
        <v>1539.52</v>
      </c>
      <c r="U2298" s="65">
        <f t="shared" si="94"/>
        <v>11161.52</v>
      </c>
      <c r="V2298" s="66">
        <f t="shared" si="111"/>
        <v>0.04997817547</v>
      </c>
      <c r="W2298" s="67">
        <f t="shared" si="96"/>
        <v>9140.9</v>
      </c>
      <c r="X2298" s="67">
        <f t="shared" si="112"/>
        <v>1462.544</v>
      </c>
      <c r="Y2298" s="67">
        <f t="shared" si="113"/>
        <v>10603.444</v>
      </c>
      <c r="Z2298" s="67">
        <f t="shared" si="99"/>
        <v>8659.8</v>
      </c>
      <c r="AA2298" s="67">
        <f t="shared" si="114"/>
        <v>1385.568</v>
      </c>
      <c r="AB2298" s="67">
        <f t="shared" si="115"/>
        <v>10045.368</v>
      </c>
      <c r="AC2298" s="67">
        <f t="shared" si="102"/>
        <v>8178.7</v>
      </c>
      <c r="AD2298" s="67">
        <f t="shared" si="116"/>
        <v>1308.592</v>
      </c>
      <c r="AE2298" s="67">
        <f t="shared" si="117"/>
        <v>9487.292</v>
      </c>
      <c r="AF2298" s="67">
        <f t="shared" si="105"/>
        <v>7986.26</v>
      </c>
      <c r="AG2298" s="67">
        <f t="shared" si="118"/>
        <v>1277.8016</v>
      </c>
      <c r="AH2298" s="67">
        <f t="shared" si="119"/>
        <v>9264.0616</v>
      </c>
      <c r="AI2298" s="67">
        <f t="shared" si="108"/>
        <v>7697.6</v>
      </c>
      <c r="AJ2298" s="68">
        <f t="shared" si="120"/>
        <v>1231.616</v>
      </c>
      <c r="AK2298" s="68">
        <f t="shared" si="121"/>
        <v>8929.216</v>
      </c>
      <c r="AL2298" s="70"/>
      <c r="AM2298" s="70"/>
      <c r="AN2298" s="71"/>
      <c r="AO2298" s="71"/>
      <c r="AP2298" s="71"/>
      <c r="AQ2298" s="71"/>
      <c r="AR2298" s="71"/>
      <c r="AS2298" s="71"/>
      <c r="AT2298" s="71"/>
      <c r="AU2298" s="71"/>
      <c r="AV2298" s="71"/>
      <c r="AW2298" s="71"/>
      <c r="AX2298" s="71"/>
      <c r="AY2298" s="71"/>
      <c r="AZ2298" s="71"/>
      <c r="BA2298" s="71"/>
      <c r="BB2298" s="71"/>
      <c r="BC2298" s="71"/>
      <c r="BD2298" s="71"/>
      <c r="BE2298" s="71"/>
      <c r="BF2298" s="71"/>
      <c r="BG2298" s="71"/>
      <c r="BH2298" s="71"/>
      <c r="BI2298" s="71"/>
      <c r="BJ2298" s="71"/>
      <c r="BK2298" s="71"/>
      <c r="BL2298" s="71"/>
      <c r="BM2298" s="71"/>
      <c r="BN2298" s="71"/>
      <c r="BO2298" s="71"/>
      <c r="BP2298" s="71"/>
      <c r="BQ2298" s="71"/>
      <c r="BR2298" s="71"/>
      <c r="BS2298" s="71"/>
      <c r="BT2298" s="71"/>
      <c r="BU2298" s="71"/>
      <c r="BV2298" s="71"/>
    </row>
    <row r="2299">
      <c r="A2299" s="53"/>
      <c r="B2299" s="53"/>
      <c r="C2299" s="73" t="s">
        <v>53</v>
      </c>
      <c r="D2299" s="53" t="s">
        <v>5620</v>
      </c>
      <c r="E2299" s="54" t="s">
        <v>38</v>
      </c>
      <c r="F2299" s="54" t="s">
        <v>42</v>
      </c>
      <c r="G2299" s="193" t="s">
        <v>5621</v>
      </c>
      <c r="H2299" s="195" t="s">
        <v>5622</v>
      </c>
      <c r="I2299" s="54">
        <f t="shared" si="24"/>
        <v>40</v>
      </c>
      <c r="J2299" s="56"/>
      <c r="K2299" s="57"/>
      <c r="L2299" s="76" t="s">
        <v>661</v>
      </c>
      <c r="M2299" s="59"/>
      <c r="N2299" s="60"/>
      <c r="O2299" s="61">
        <v>5417.0</v>
      </c>
      <c r="P2299" s="62">
        <v>5850.360000000001</v>
      </c>
      <c r="Q2299" s="63">
        <v>5850.360000000001</v>
      </c>
      <c r="R2299" s="64">
        <v>6143.0</v>
      </c>
      <c r="S2299" s="111">
        <v>6450.0</v>
      </c>
      <c r="T2299" s="65">
        <f t="shared" si="93"/>
        <v>1032</v>
      </c>
      <c r="U2299" s="65">
        <f t="shared" si="94"/>
        <v>7482</v>
      </c>
      <c r="V2299" s="66">
        <f t="shared" si="111"/>
        <v>0.04997558196</v>
      </c>
      <c r="W2299" s="67">
        <f t="shared" si="96"/>
        <v>6127.5</v>
      </c>
      <c r="X2299" s="67">
        <f t="shared" si="112"/>
        <v>980.4</v>
      </c>
      <c r="Y2299" s="67">
        <f t="shared" si="113"/>
        <v>7107.9</v>
      </c>
      <c r="Z2299" s="67">
        <f t="shared" si="99"/>
        <v>5805</v>
      </c>
      <c r="AA2299" s="67">
        <f t="shared" si="114"/>
        <v>928.8</v>
      </c>
      <c r="AB2299" s="67">
        <f t="shared" si="115"/>
        <v>6733.8</v>
      </c>
      <c r="AC2299" s="67">
        <f t="shared" si="102"/>
        <v>5482.5</v>
      </c>
      <c r="AD2299" s="67">
        <f t="shared" si="116"/>
        <v>877.2</v>
      </c>
      <c r="AE2299" s="67">
        <f t="shared" si="117"/>
        <v>6359.7</v>
      </c>
      <c r="AF2299" s="67">
        <f t="shared" si="105"/>
        <v>5353.5</v>
      </c>
      <c r="AG2299" s="67">
        <f t="shared" si="118"/>
        <v>856.56</v>
      </c>
      <c r="AH2299" s="67">
        <f t="shared" si="119"/>
        <v>6210.06</v>
      </c>
      <c r="AI2299" s="67">
        <f t="shared" si="108"/>
        <v>5160</v>
      </c>
      <c r="AJ2299" s="68">
        <f t="shared" si="120"/>
        <v>825.6</v>
      </c>
      <c r="AK2299" s="68">
        <f t="shared" si="121"/>
        <v>5985.6</v>
      </c>
      <c r="AL2299" s="70"/>
      <c r="AM2299" s="70"/>
      <c r="AN2299" s="71"/>
      <c r="AO2299" s="71"/>
      <c r="AP2299" s="71"/>
      <c r="AQ2299" s="71"/>
      <c r="AR2299" s="71"/>
      <c r="AS2299" s="71"/>
      <c r="AT2299" s="71"/>
      <c r="AU2299" s="71"/>
      <c r="AV2299" s="71"/>
      <c r="AW2299" s="71"/>
      <c r="AX2299" s="71"/>
      <c r="AY2299" s="71"/>
      <c r="AZ2299" s="71"/>
      <c r="BA2299" s="71"/>
      <c r="BB2299" s="71"/>
      <c r="BC2299" s="71"/>
      <c r="BD2299" s="71"/>
      <c r="BE2299" s="71"/>
      <c r="BF2299" s="71"/>
      <c r="BG2299" s="71"/>
      <c r="BH2299" s="71"/>
      <c r="BI2299" s="71"/>
      <c r="BJ2299" s="71"/>
      <c r="BK2299" s="71"/>
      <c r="BL2299" s="71"/>
      <c r="BM2299" s="71"/>
      <c r="BN2299" s="71"/>
      <c r="BO2299" s="71"/>
      <c r="BP2299" s="71"/>
      <c r="BQ2299" s="71"/>
      <c r="BR2299" s="71"/>
      <c r="BS2299" s="71"/>
      <c r="BT2299" s="71"/>
      <c r="BU2299" s="71"/>
      <c r="BV2299" s="71"/>
    </row>
    <row r="2300">
      <c r="A2300" s="53"/>
      <c r="B2300" s="53"/>
      <c r="C2300" s="73" t="s">
        <v>53</v>
      </c>
      <c r="D2300" s="53" t="s">
        <v>5623</v>
      </c>
      <c r="E2300" s="54" t="s">
        <v>38</v>
      </c>
      <c r="F2300" s="54" t="s">
        <v>42</v>
      </c>
      <c r="G2300" s="193" t="s">
        <v>5624</v>
      </c>
      <c r="H2300" s="193" t="s">
        <v>5625</v>
      </c>
      <c r="I2300" s="54">
        <f t="shared" si="24"/>
        <v>38</v>
      </c>
      <c r="J2300" s="56"/>
      <c r="K2300" s="57"/>
      <c r="L2300" s="76" t="s">
        <v>661</v>
      </c>
      <c r="M2300" s="59"/>
      <c r="N2300" s="60"/>
      <c r="O2300" s="90"/>
      <c r="P2300" s="62">
        <v>4087.07</v>
      </c>
      <c r="Q2300" s="63">
        <v>4087.07</v>
      </c>
      <c r="R2300" s="64">
        <v>4292.0</v>
      </c>
      <c r="S2300" s="111">
        <v>4507.0</v>
      </c>
      <c r="T2300" s="65">
        <f t="shared" si="93"/>
        <v>721.12</v>
      </c>
      <c r="U2300" s="65">
        <f t="shared" si="94"/>
        <v>5228.12</v>
      </c>
      <c r="V2300" s="66">
        <f t="shared" si="111"/>
        <v>0.05009319664</v>
      </c>
      <c r="W2300" s="67">
        <f t="shared" si="96"/>
        <v>4281.65</v>
      </c>
      <c r="X2300" s="67">
        <f t="shared" si="112"/>
        <v>685.064</v>
      </c>
      <c r="Y2300" s="67">
        <f t="shared" si="113"/>
        <v>4966.714</v>
      </c>
      <c r="Z2300" s="67">
        <f t="shared" si="99"/>
        <v>4056.3</v>
      </c>
      <c r="AA2300" s="67">
        <f t="shared" si="114"/>
        <v>649.008</v>
      </c>
      <c r="AB2300" s="67">
        <f t="shared" si="115"/>
        <v>4705.308</v>
      </c>
      <c r="AC2300" s="67">
        <f t="shared" si="102"/>
        <v>3830.95</v>
      </c>
      <c r="AD2300" s="67">
        <f t="shared" si="116"/>
        <v>612.952</v>
      </c>
      <c r="AE2300" s="67">
        <f t="shared" si="117"/>
        <v>4443.902</v>
      </c>
      <c r="AF2300" s="67">
        <f t="shared" si="105"/>
        <v>3740.81</v>
      </c>
      <c r="AG2300" s="67">
        <f t="shared" si="118"/>
        <v>598.5296</v>
      </c>
      <c r="AH2300" s="67">
        <f t="shared" si="119"/>
        <v>4339.3396</v>
      </c>
      <c r="AI2300" s="67">
        <f t="shared" si="108"/>
        <v>3605.6</v>
      </c>
      <c r="AJ2300" s="68">
        <f t="shared" si="120"/>
        <v>576.896</v>
      </c>
      <c r="AK2300" s="68">
        <f t="shared" si="121"/>
        <v>4182.496</v>
      </c>
      <c r="AL2300" s="70"/>
      <c r="AM2300" s="70"/>
      <c r="AN2300" s="71"/>
      <c r="AO2300" s="71"/>
      <c r="AP2300" s="71"/>
      <c r="AQ2300" s="71"/>
      <c r="AR2300" s="71"/>
      <c r="AS2300" s="71"/>
      <c r="AT2300" s="71"/>
      <c r="AU2300" s="71"/>
      <c r="AV2300" s="71"/>
      <c r="AW2300" s="71"/>
      <c r="AX2300" s="71"/>
      <c r="AY2300" s="71"/>
      <c r="AZ2300" s="71"/>
      <c r="BA2300" s="71"/>
      <c r="BB2300" s="71"/>
      <c r="BC2300" s="71"/>
      <c r="BD2300" s="71"/>
      <c r="BE2300" s="71"/>
      <c r="BF2300" s="71"/>
      <c r="BG2300" s="71"/>
      <c r="BH2300" s="71"/>
      <c r="BI2300" s="71"/>
      <c r="BJ2300" s="71"/>
      <c r="BK2300" s="71"/>
      <c r="BL2300" s="71"/>
      <c r="BM2300" s="71"/>
      <c r="BN2300" s="71"/>
      <c r="BO2300" s="71"/>
      <c r="BP2300" s="71"/>
      <c r="BQ2300" s="71"/>
      <c r="BR2300" s="71"/>
      <c r="BS2300" s="71"/>
      <c r="BT2300" s="71"/>
      <c r="BU2300" s="71"/>
      <c r="BV2300" s="71"/>
    </row>
    <row r="2301">
      <c r="A2301" s="53"/>
      <c r="B2301" s="53"/>
      <c r="C2301" s="73" t="s">
        <v>53</v>
      </c>
      <c r="D2301" s="53" t="s">
        <v>5626</v>
      </c>
      <c r="E2301" s="54" t="s">
        <v>38</v>
      </c>
      <c r="F2301" s="54" t="s">
        <v>42</v>
      </c>
      <c r="G2301" s="193" t="s">
        <v>5627</v>
      </c>
      <c r="H2301" s="195" t="s">
        <v>5628</v>
      </c>
      <c r="I2301" s="54">
        <f t="shared" si="24"/>
        <v>40</v>
      </c>
      <c r="J2301" s="56"/>
      <c r="K2301" s="57"/>
      <c r="L2301" s="76" t="s">
        <v>661</v>
      </c>
      <c r="M2301" s="59"/>
      <c r="N2301" s="79">
        <v>6025.0</v>
      </c>
      <c r="O2301" s="61">
        <v>6507.0</v>
      </c>
      <c r="P2301" s="62">
        <v>7027.56</v>
      </c>
      <c r="Q2301" s="63">
        <v>7027.56</v>
      </c>
      <c r="R2301" s="64">
        <v>7380.0</v>
      </c>
      <c r="S2301" s="111">
        <v>7749.0</v>
      </c>
      <c r="T2301" s="65">
        <f t="shared" si="93"/>
        <v>1239.84</v>
      </c>
      <c r="U2301" s="65">
        <f t="shared" si="94"/>
        <v>8988.84</v>
      </c>
      <c r="V2301" s="66">
        <f t="shared" si="111"/>
        <v>0.05</v>
      </c>
      <c r="W2301" s="67">
        <f t="shared" si="96"/>
        <v>7361.55</v>
      </c>
      <c r="X2301" s="67">
        <f t="shared" si="112"/>
        <v>1177.848</v>
      </c>
      <c r="Y2301" s="67">
        <f t="shared" si="113"/>
        <v>8539.398</v>
      </c>
      <c r="Z2301" s="67">
        <f t="shared" si="99"/>
        <v>6974.1</v>
      </c>
      <c r="AA2301" s="67">
        <f t="shared" si="114"/>
        <v>1115.856</v>
      </c>
      <c r="AB2301" s="67">
        <f t="shared" si="115"/>
        <v>8089.956</v>
      </c>
      <c r="AC2301" s="67">
        <f t="shared" si="102"/>
        <v>6586.65</v>
      </c>
      <c r="AD2301" s="67">
        <f t="shared" si="116"/>
        <v>1053.864</v>
      </c>
      <c r="AE2301" s="67">
        <f t="shared" si="117"/>
        <v>7640.514</v>
      </c>
      <c r="AF2301" s="67">
        <f t="shared" si="105"/>
        <v>6431.67</v>
      </c>
      <c r="AG2301" s="67">
        <f t="shared" si="118"/>
        <v>1029.0672</v>
      </c>
      <c r="AH2301" s="67">
        <f t="shared" si="119"/>
        <v>7460.7372</v>
      </c>
      <c r="AI2301" s="67">
        <f t="shared" si="108"/>
        <v>6199.2</v>
      </c>
      <c r="AJ2301" s="68">
        <f t="shared" si="120"/>
        <v>991.872</v>
      </c>
      <c r="AK2301" s="68">
        <f t="shared" si="121"/>
        <v>7191.072</v>
      </c>
      <c r="AL2301" s="70"/>
      <c r="AM2301" s="70"/>
      <c r="AN2301" s="71"/>
      <c r="AO2301" s="71"/>
      <c r="AP2301" s="71"/>
      <c r="AQ2301" s="71"/>
      <c r="AR2301" s="71"/>
      <c r="AS2301" s="71"/>
      <c r="AT2301" s="71"/>
      <c r="AU2301" s="71"/>
      <c r="AV2301" s="71"/>
      <c r="AW2301" s="71"/>
      <c r="AX2301" s="71"/>
      <c r="AY2301" s="71"/>
      <c r="AZ2301" s="71"/>
      <c r="BA2301" s="71"/>
      <c r="BB2301" s="71"/>
      <c r="BC2301" s="71"/>
      <c r="BD2301" s="71"/>
      <c r="BE2301" s="71"/>
      <c r="BF2301" s="71"/>
      <c r="BG2301" s="71"/>
      <c r="BH2301" s="71"/>
      <c r="BI2301" s="71"/>
      <c r="BJ2301" s="71"/>
      <c r="BK2301" s="71"/>
      <c r="BL2301" s="71"/>
      <c r="BM2301" s="71"/>
      <c r="BN2301" s="71"/>
      <c r="BO2301" s="71"/>
      <c r="BP2301" s="71"/>
      <c r="BQ2301" s="71"/>
      <c r="BR2301" s="71"/>
      <c r="BS2301" s="71"/>
      <c r="BT2301" s="71"/>
      <c r="BU2301" s="71"/>
      <c r="BV2301" s="71"/>
    </row>
    <row r="2302">
      <c r="A2302" s="53"/>
      <c r="B2302" s="53"/>
      <c r="C2302" s="73" t="s">
        <v>53</v>
      </c>
      <c r="D2302" s="53" t="s">
        <v>5629</v>
      </c>
      <c r="E2302" s="54" t="s">
        <v>38</v>
      </c>
      <c r="F2302" s="54" t="s">
        <v>42</v>
      </c>
      <c r="G2302" s="193" t="s">
        <v>5630</v>
      </c>
      <c r="H2302" s="195" t="s">
        <v>5631</v>
      </c>
      <c r="I2302" s="54">
        <f t="shared" si="24"/>
        <v>40</v>
      </c>
      <c r="J2302" s="56"/>
      <c r="K2302" s="57"/>
      <c r="L2302" s="76" t="s">
        <v>661</v>
      </c>
      <c r="M2302" s="59"/>
      <c r="N2302" s="79">
        <v>6025.0</v>
      </c>
      <c r="O2302" s="61">
        <v>6507.0</v>
      </c>
      <c r="P2302" s="62">
        <v>7027.56</v>
      </c>
      <c r="Q2302" s="63">
        <v>7027.56</v>
      </c>
      <c r="R2302" s="64">
        <v>7380.0</v>
      </c>
      <c r="S2302" s="111">
        <v>7749.0</v>
      </c>
      <c r="T2302" s="65">
        <f t="shared" si="93"/>
        <v>1239.84</v>
      </c>
      <c r="U2302" s="65">
        <f t="shared" si="94"/>
        <v>8988.84</v>
      </c>
      <c r="V2302" s="66">
        <f t="shared" si="111"/>
        <v>0.05</v>
      </c>
      <c r="W2302" s="67">
        <f t="shared" si="96"/>
        <v>7361.55</v>
      </c>
      <c r="X2302" s="67">
        <f t="shared" si="112"/>
        <v>1177.848</v>
      </c>
      <c r="Y2302" s="67">
        <f t="shared" si="113"/>
        <v>8539.398</v>
      </c>
      <c r="Z2302" s="67">
        <f t="shared" si="99"/>
        <v>6974.1</v>
      </c>
      <c r="AA2302" s="67">
        <f t="shared" si="114"/>
        <v>1115.856</v>
      </c>
      <c r="AB2302" s="67">
        <f t="shared" si="115"/>
        <v>8089.956</v>
      </c>
      <c r="AC2302" s="67">
        <f t="shared" si="102"/>
        <v>6586.65</v>
      </c>
      <c r="AD2302" s="67">
        <f t="shared" si="116"/>
        <v>1053.864</v>
      </c>
      <c r="AE2302" s="67">
        <f t="shared" si="117"/>
        <v>7640.514</v>
      </c>
      <c r="AF2302" s="67">
        <f t="shared" si="105"/>
        <v>6431.67</v>
      </c>
      <c r="AG2302" s="67">
        <f t="shared" si="118"/>
        <v>1029.0672</v>
      </c>
      <c r="AH2302" s="67">
        <f t="shared" si="119"/>
        <v>7460.7372</v>
      </c>
      <c r="AI2302" s="67">
        <f t="shared" si="108"/>
        <v>6199.2</v>
      </c>
      <c r="AJ2302" s="68">
        <f t="shared" si="120"/>
        <v>991.872</v>
      </c>
      <c r="AK2302" s="68">
        <f t="shared" si="121"/>
        <v>7191.072</v>
      </c>
      <c r="AL2302" s="70"/>
      <c r="AM2302" s="70"/>
      <c r="AN2302" s="71"/>
      <c r="AO2302" s="71"/>
      <c r="AP2302" s="71"/>
      <c r="AQ2302" s="71"/>
      <c r="AR2302" s="71"/>
      <c r="AS2302" s="71"/>
      <c r="AT2302" s="71"/>
      <c r="AU2302" s="71"/>
      <c r="AV2302" s="71"/>
      <c r="AW2302" s="71"/>
      <c r="AX2302" s="71"/>
      <c r="AY2302" s="71"/>
      <c r="AZ2302" s="71"/>
      <c r="BA2302" s="71"/>
      <c r="BB2302" s="71"/>
      <c r="BC2302" s="71"/>
      <c r="BD2302" s="71"/>
      <c r="BE2302" s="71"/>
      <c r="BF2302" s="71"/>
      <c r="BG2302" s="71"/>
      <c r="BH2302" s="71"/>
      <c r="BI2302" s="71"/>
      <c r="BJ2302" s="71"/>
      <c r="BK2302" s="71"/>
      <c r="BL2302" s="71"/>
      <c r="BM2302" s="71"/>
      <c r="BN2302" s="71"/>
      <c r="BO2302" s="71"/>
      <c r="BP2302" s="71"/>
      <c r="BQ2302" s="71"/>
      <c r="BR2302" s="71"/>
      <c r="BS2302" s="71"/>
      <c r="BT2302" s="71"/>
      <c r="BU2302" s="71"/>
      <c r="BV2302" s="71"/>
    </row>
    <row r="2303">
      <c r="A2303" s="53"/>
      <c r="B2303" s="53"/>
      <c r="C2303" s="73" t="s">
        <v>53</v>
      </c>
      <c r="D2303" s="53" t="s">
        <v>5632</v>
      </c>
      <c r="E2303" s="54" t="s">
        <v>38</v>
      </c>
      <c r="F2303" s="54" t="s">
        <v>42</v>
      </c>
      <c r="G2303" s="193" t="s">
        <v>5633</v>
      </c>
      <c r="H2303" s="195" t="s">
        <v>5634</v>
      </c>
      <c r="I2303" s="54">
        <f t="shared" si="24"/>
        <v>33</v>
      </c>
      <c r="J2303" s="56"/>
      <c r="K2303" s="57"/>
      <c r="L2303" s="76" t="s">
        <v>661</v>
      </c>
      <c r="M2303" s="59"/>
      <c r="N2303" s="79"/>
      <c r="O2303" s="61">
        <v>3785.0</v>
      </c>
      <c r="P2303" s="62">
        <v>4087.8</v>
      </c>
      <c r="Q2303" s="63">
        <v>4087.8</v>
      </c>
      <c r="R2303" s="64">
        <v>4293.0</v>
      </c>
      <c r="S2303" s="111">
        <v>4508.0</v>
      </c>
      <c r="T2303" s="65">
        <f t="shared" si="93"/>
        <v>721.28</v>
      </c>
      <c r="U2303" s="65">
        <f t="shared" si="94"/>
        <v>5229.28</v>
      </c>
      <c r="V2303" s="66">
        <f t="shared" si="111"/>
        <v>0.05008152807</v>
      </c>
      <c r="W2303" s="67">
        <f t="shared" si="96"/>
        <v>4282.6</v>
      </c>
      <c r="X2303" s="67">
        <f t="shared" si="112"/>
        <v>685.216</v>
      </c>
      <c r="Y2303" s="67">
        <f t="shared" si="113"/>
        <v>4967.816</v>
      </c>
      <c r="Z2303" s="67">
        <f t="shared" si="99"/>
        <v>4057.2</v>
      </c>
      <c r="AA2303" s="67">
        <f t="shared" si="114"/>
        <v>649.152</v>
      </c>
      <c r="AB2303" s="67">
        <f t="shared" si="115"/>
        <v>4706.352</v>
      </c>
      <c r="AC2303" s="67">
        <f t="shared" si="102"/>
        <v>3831.8</v>
      </c>
      <c r="AD2303" s="67">
        <f t="shared" si="116"/>
        <v>613.088</v>
      </c>
      <c r="AE2303" s="67">
        <f t="shared" si="117"/>
        <v>4444.888</v>
      </c>
      <c r="AF2303" s="67">
        <f t="shared" si="105"/>
        <v>3741.64</v>
      </c>
      <c r="AG2303" s="67">
        <f t="shared" si="118"/>
        <v>598.6624</v>
      </c>
      <c r="AH2303" s="67">
        <f t="shared" si="119"/>
        <v>4340.3024</v>
      </c>
      <c r="AI2303" s="67">
        <f t="shared" si="108"/>
        <v>3606.4</v>
      </c>
      <c r="AJ2303" s="68">
        <f t="shared" si="120"/>
        <v>577.024</v>
      </c>
      <c r="AK2303" s="68">
        <f t="shared" si="121"/>
        <v>4183.424</v>
      </c>
      <c r="AL2303" s="70"/>
      <c r="AM2303" s="70"/>
      <c r="AN2303" s="71"/>
      <c r="AO2303" s="71"/>
      <c r="AP2303" s="71"/>
      <c r="AQ2303" s="71"/>
      <c r="AR2303" s="71"/>
      <c r="AS2303" s="71"/>
      <c r="AT2303" s="71"/>
      <c r="AU2303" s="71"/>
      <c r="AV2303" s="71"/>
      <c r="AW2303" s="71"/>
      <c r="AX2303" s="71"/>
      <c r="AY2303" s="71"/>
      <c r="AZ2303" s="71"/>
      <c r="BA2303" s="71"/>
      <c r="BB2303" s="71"/>
      <c r="BC2303" s="71"/>
      <c r="BD2303" s="71"/>
      <c r="BE2303" s="71"/>
      <c r="BF2303" s="71"/>
      <c r="BG2303" s="71"/>
      <c r="BH2303" s="71"/>
      <c r="BI2303" s="71"/>
      <c r="BJ2303" s="71"/>
      <c r="BK2303" s="71"/>
      <c r="BL2303" s="71"/>
      <c r="BM2303" s="71"/>
      <c r="BN2303" s="71"/>
      <c r="BO2303" s="71"/>
      <c r="BP2303" s="71"/>
      <c r="BQ2303" s="71"/>
      <c r="BR2303" s="71"/>
      <c r="BS2303" s="71"/>
      <c r="BT2303" s="71"/>
      <c r="BU2303" s="71"/>
      <c r="BV2303" s="71"/>
    </row>
    <row r="2304">
      <c r="A2304" s="53"/>
      <c r="B2304" s="53"/>
      <c r="C2304" s="73" t="s">
        <v>53</v>
      </c>
      <c r="D2304" s="53" t="s">
        <v>5635</v>
      </c>
      <c r="E2304" s="54" t="s">
        <v>38</v>
      </c>
      <c r="F2304" s="54" t="s">
        <v>42</v>
      </c>
      <c r="G2304" s="193" t="s">
        <v>5636</v>
      </c>
      <c r="H2304" s="193" t="s">
        <v>5637</v>
      </c>
      <c r="I2304" s="54">
        <f t="shared" si="24"/>
        <v>40</v>
      </c>
      <c r="J2304" s="56"/>
      <c r="K2304" s="57"/>
      <c r="L2304" s="76" t="s">
        <v>661</v>
      </c>
      <c r="M2304" s="59"/>
      <c r="N2304" s="79"/>
      <c r="O2304" s="61">
        <v>4148.0</v>
      </c>
      <c r="P2304" s="62">
        <v>4479.84</v>
      </c>
      <c r="Q2304" s="63">
        <v>4479.84</v>
      </c>
      <c r="R2304" s="64">
        <v>4704.0</v>
      </c>
      <c r="S2304" s="111">
        <v>4939.0</v>
      </c>
      <c r="T2304" s="65">
        <f t="shared" si="93"/>
        <v>790.24</v>
      </c>
      <c r="U2304" s="65">
        <f t="shared" si="94"/>
        <v>5729.24</v>
      </c>
      <c r="V2304" s="66">
        <f t="shared" si="111"/>
        <v>0.04995748299</v>
      </c>
      <c r="W2304" s="67">
        <f t="shared" si="96"/>
        <v>4692.05</v>
      </c>
      <c r="X2304" s="67">
        <f t="shared" si="112"/>
        <v>750.728</v>
      </c>
      <c r="Y2304" s="67">
        <f t="shared" si="113"/>
        <v>5442.778</v>
      </c>
      <c r="Z2304" s="67">
        <f t="shared" si="99"/>
        <v>4445.1</v>
      </c>
      <c r="AA2304" s="67">
        <f t="shared" si="114"/>
        <v>711.216</v>
      </c>
      <c r="AB2304" s="67">
        <f t="shared" si="115"/>
        <v>5156.316</v>
      </c>
      <c r="AC2304" s="67">
        <f t="shared" si="102"/>
        <v>4198.15</v>
      </c>
      <c r="AD2304" s="67">
        <f t="shared" si="116"/>
        <v>671.704</v>
      </c>
      <c r="AE2304" s="67">
        <f t="shared" si="117"/>
        <v>4869.854</v>
      </c>
      <c r="AF2304" s="67">
        <f t="shared" si="105"/>
        <v>4099.37</v>
      </c>
      <c r="AG2304" s="67">
        <f t="shared" si="118"/>
        <v>655.8992</v>
      </c>
      <c r="AH2304" s="67">
        <f t="shared" si="119"/>
        <v>4755.2692</v>
      </c>
      <c r="AI2304" s="67">
        <f t="shared" si="108"/>
        <v>3951.2</v>
      </c>
      <c r="AJ2304" s="68">
        <f t="shared" si="120"/>
        <v>632.192</v>
      </c>
      <c r="AK2304" s="68">
        <f t="shared" si="121"/>
        <v>4583.392</v>
      </c>
      <c r="AL2304" s="70"/>
      <c r="AM2304" s="70"/>
      <c r="AN2304" s="71"/>
      <c r="AO2304" s="71"/>
      <c r="AP2304" s="71"/>
      <c r="AQ2304" s="71"/>
      <c r="AR2304" s="71"/>
      <c r="AS2304" s="71"/>
      <c r="AT2304" s="71"/>
      <c r="AU2304" s="71"/>
      <c r="AV2304" s="71"/>
      <c r="AW2304" s="71"/>
      <c r="AX2304" s="71"/>
      <c r="AY2304" s="71"/>
      <c r="AZ2304" s="71"/>
      <c r="BA2304" s="71"/>
      <c r="BB2304" s="71"/>
      <c r="BC2304" s="71"/>
      <c r="BD2304" s="71"/>
      <c r="BE2304" s="71"/>
      <c r="BF2304" s="71"/>
      <c r="BG2304" s="71"/>
      <c r="BH2304" s="71"/>
      <c r="BI2304" s="71"/>
      <c r="BJ2304" s="71"/>
      <c r="BK2304" s="71"/>
      <c r="BL2304" s="71"/>
      <c r="BM2304" s="71"/>
      <c r="BN2304" s="71"/>
      <c r="BO2304" s="71"/>
      <c r="BP2304" s="71"/>
      <c r="BQ2304" s="71"/>
      <c r="BR2304" s="71"/>
      <c r="BS2304" s="71"/>
      <c r="BT2304" s="71"/>
      <c r="BU2304" s="71"/>
      <c r="BV2304" s="71"/>
    </row>
    <row r="2305">
      <c r="A2305" s="53"/>
      <c r="B2305" s="53"/>
      <c r="C2305" s="73" t="s">
        <v>53</v>
      </c>
      <c r="D2305" s="53" t="s">
        <v>5638</v>
      </c>
      <c r="E2305" s="54" t="s">
        <v>38</v>
      </c>
      <c r="F2305" s="54" t="s">
        <v>42</v>
      </c>
      <c r="G2305" s="193" t="s">
        <v>5639</v>
      </c>
      <c r="H2305" s="193" t="s">
        <v>5640</v>
      </c>
      <c r="I2305" s="54">
        <f t="shared" si="24"/>
        <v>36</v>
      </c>
      <c r="J2305" s="56"/>
      <c r="K2305" s="57"/>
      <c r="L2305" s="76" t="s">
        <v>661</v>
      </c>
      <c r="M2305" s="59"/>
      <c r="N2305" s="60"/>
      <c r="O2305" s="90"/>
      <c r="P2305" s="62">
        <v>7727.56</v>
      </c>
      <c r="Q2305" s="63">
        <v>7727.56</v>
      </c>
      <c r="R2305" s="64">
        <v>8115.0</v>
      </c>
      <c r="S2305" s="111">
        <v>8521.0</v>
      </c>
      <c r="T2305" s="65">
        <f t="shared" si="93"/>
        <v>1363.36</v>
      </c>
      <c r="U2305" s="65">
        <f t="shared" si="94"/>
        <v>9884.36</v>
      </c>
      <c r="V2305" s="66"/>
      <c r="W2305" s="67">
        <f t="shared" si="96"/>
        <v>8094.95</v>
      </c>
      <c r="X2305" s="67">
        <f t="shared" si="112"/>
        <v>1295.192</v>
      </c>
      <c r="Y2305" s="67">
        <f t="shared" si="113"/>
        <v>9390.142</v>
      </c>
      <c r="Z2305" s="67">
        <f t="shared" si="99"/>
        <v>7668.9</v>
      </c>
      <c r="AA2305" s="67">
        <f t="shared" si="114"/>
        <v>1227.024</v>
      </c>
      <c r="AB2305" s="67">
        <f t="shared" si="115"/>
        <v>8895.924</v>
      </c>
      <c r="AC2305" s="67">
        <f t="shared" si="102"/>
        <v>7242.85</v>
      </c>
      <c r="AD2305" s="67">
        <f t="shared" si="116"/>
        <v>1158.856</v>
      </c>
      <c r="AE2305" s="67">
        <f t="shared" si="117"/>
        <v>8401.706</v>
      </c>
      <c r="AF2305" s="67">
        <f t="shared" si="105"/>
        <v>7072.43</v>
      </c>
      <c r="AG2305" s="67">
        <f t="shared" si="118"/>
        <v>1131.5888</v>
      </c>
      <c r="AH2305" s="67">
        <f t="shared" si="119"/>
        <v>8204.0188</v>
      </c>
      <c r="AI2305" s="67">
        <f t="shared" si="108"/>
        <v>6816.8</v>
      </c>
      <c r="AJ2305" s="68">
        <f t="shared" si="120"/>
        <v>1090.688</v>
      </c>
      <c r="AK2305" s="68">
        <f t="shared" si="121"/>
        <v>7907.488</v>
      </c>
      <c r="AL2305" s="70"/>
      <c r="AM2305" s="70"/>
      <c r="AN2305" s="71"/>
      <c r="AO2305" s="71"/>
      <c r="AP2305" s="71"/>
      <c r="AQ2305" s="71"/>
      <c r="AR2305" s="71"/>
      <c r="AS2305" s="71"/>
      <c r="AT2305" s="71"/>
      <c r="AU2305" s="71"/>
      <c r="AV2305" s="71"/>
      <c r="AW2305" s="71"/>
      <c r="AX2305" s="71"/>
      <c r="AY2305" s="71"/>
      <c r="AZ2305" s="71"/>
      <c r="BA2305" s="71"/>
      <c r="BB2305" s="71"/>
      <c r="BC2305" s="71"/>
      <c r="BD2305" s="71"/>
      <c r="BE2305" s="71"/>
      <c r="BF2305" s="71"/>
      <c r="BG2305" s="71"/>
      <c r="BH2305" s="71"/>
      <c r="BI2305" s="71"/>
      <c r="BJ2305" s="71"/>
      <c r="BK2305" s="71"/>
      <c r="BL2305" s="71"/>
      <c r="BM2305" s="71"/>
      <c r="BN2305" s="71"/>
      <c r="BO2305" s="71"/>
      <c r="BP2305" s="71"/>
      <c r="BQ2305" s="71"/>
      <c r="BR2305" s="71"/>
      <c r="BS2305" s="71"/>
      <c r="BT2305" s="71"/>
      <c r="BU2305" s="71"/>
      <c r="BV2305" s="71"/>
    </row>
    <row r="2306">
      <c r="A2306" s="53"/>
      <c r="B2306" s="53"/>
      <c r="C2306" s="53" t="s">
        <v>53</v>
      </c>
      <c r="D2306" s="131" t="s">
        <v>5641</v>
      </c>
      <c r="E2306" s="54" t="s">
        <v>38</v>
      </c>
      <c r="F2306" s="54" t="s">
        <v>42</v>
      </c>
      <c r="G2306" s="193" t="s">
        <v>5642</v>
      </c>
      <c r="H2306" s="193" t="s">
        <v>5642</v>
      </c>
      <c r="I2306" s="54">
        <f t="shared" si="24"/>
        <v>25</v>
      </c>
      <c r="J2306" s="56"/>
      <c r="K2306" s="57"/>
      <c r="L2306" s="76" t="s">
        <v>661</v>
      </c>
      <c r="M2306" s="59"/>
      <c r="N2306" s="60"/>
      <c r="O2306" s="90"/>
      <c r="P2306" s="62">
        <v>1000.0</v>
      </c>
      <c r="Q2306" s="63">
        <v>1000.0</v>
      </c>
      <c r="R2306" s="64">
        <v>1050.0</v>
      </c>
      <c r="S2306" s="111">
        <v>1103.0</v>
      </c>
      <c r="T2306" s="65">
        <f t="shared" si="93"/>
        <v>176.48</v>
      </c>
      <c r="U2306" s="65">
        <f t="shared" si="94"/>
        <v>1279.48</v>
      </c>
      <c r="V2306" s="66">
        <f t="shared" ref="V2306:V2415" si="122">(S2306-R2306)/R2306</f>
        <v>0.05047619048</v>
      </c>
      <c r="W2306" s="67">
        <f t="shared" si="96"/>
        <v>1047.85</v>
      </c>
      <c r="X2306" s="67">
        <f t="shared" si="112"/>
        <v>167.656</v>
      </c>
      <c r="Y2306" s="67">
        <f t="shared" si="113"/>
        <v>1215.506</v>
      </c>
      <c r="Z2306" s="67">
        <f t="shared" si="99"/>
        <v>992.7</v>
      </c>
      <c r="AA2306" s="67">
        <f t="shared" si="114"/>
        <v>158.832</v>
      </c>
      <c r="AB2306" s="67">
        <f t="shared" si="115"/>
        <v>1151.532</v>
      </c>
      <c r="AC2306" s="67">
        <f t="shared" si="102"/>
        <v>937.55</v>
      </c>
      <c r="AD2306" s="67">
        <f t="shared" si="116"/>
        <v>150.008</v>
      </c>
      <c r="AE2306" s="67">
        <f t="shared" si="117"/>
        <v>1087.558</v>
      </c>
      <c r="AF2306" s="67">
        <f t="shared" si="105"/>
        <v>915.49</v>
      </c>
      <c r="AG2306" s="67">
        <f t="shared" si="118"/>
        <v>146.4784</v>
      </c>
      <c r="AH2306" s="67">
        <f t="shared" si="119"/>
        <v>1061.9684</v>
      </c>
      <c r="AI2306" s="67">
        <f t="shared" si="108"/>
        <v>882.4</v>
      </c>
      <c r="AJ2306" s="68">
        <f t="shared" si="120"/>
        <v>141.184</v>
      </c>
      <c r="AK2306" s="68">
        <f t="shared" si="121"/>
        <v>1023.584</v>
      </c>
      <c r="AL2306" s="70"/>
      <c r="AM2306" s="70"/>
      <c r="AN2306" s="71"/>
      <c r="AO2306" s="71"/>
      <c r="AP2306" s="71"/>
      <c r="AQ2306" s="71"/>
      <c r="AR2306" s="71"/>
      <c r="AS2306" s="71"/>
      <c r="AT2306" s="71"/>
      <c r="AU2306" s="71"/>
      <c r="AV2306" s="71"/>
      <c r="AW2306" s="71"/>
      <c r="AX2306" s="71"/>
      <c r="AY2306" s="71"/>
      <c r="AZ2306" s="71"/>
      <c r="BA2306" s="71"/>
      <c r="BB2306" s="71"/>
      <c r="BC2306" s="71"/>
      <c r="BD2306" s="71"/>
      <c r="BE2306" s="71"/>
      <c r="BF2306" s="71"/>
      <c r="BG2306" s="71"/>
      <c r="BH2306" s="71"/>
      <c r="BI2306" s="71"/>
      <c r="BJ2306" s="71"/>
      <c r="BK2306" s="71"/>
      <c r="BL2306" s="71"/>
      <c r="BM2306" s="71"/>
      <c r="BN2306" s="71"/>
      <c r="BO2306" s="71"/>
      <c r="BP2306" s="71"/>
      <c r="BQ2306" s="71"/>
      <c r="BR2306" s="71"/>
      <c r="BS2306" s="71"/>
      <c r="BT2306" s="71"/>
      <c r="BU2306" s="71"/>
      <c r="BV2306" s="71"/>
    </row>
    <row r="2307">
      <c r="A2307" s="53"/>
      <c r="B2307" s="53"/>
      <c r="C2307" s="73" t="s">
        <v>53</v>
      </c>
      <c r="D2307" s="53" t="s">
        <v>5643</v>
      </c>
      <c r="E2307" s="54" t="s">
        <v>38</v>
      </c>
      <c r="F2307" s="54" t="s">
        <v>42</v>
      </c>
      <c r="G2307" s="193" t="s">
        <v>5644</v>
      </c>
      <c r="H2307" s="195" t="s">
        <v>5645</v>
      </c>
      <c r="I2307" s="54">
        <f t="shared" si="24"/>
        <v>40</v>
      </c>
      <c r="J2307" s="56"/>
      <c r="K2307" s="57"/>
      <c r="L2307" s="76" t="s">
        <v>661</v>
      </c>
      <c r="M2307" s="59"/>
      <c r="N2307" s="79">
        <v>3171.0</v>
      </c>
      <c r="O2307" s="61">
        <v>3424.0</v>
      </c>
      <c r="P2307" s="62">
        <v>3697.92</v>
      </c>
      <c r="Q2307" s="63">
        <v>3697.92</v>
      </c>
      <c r="R2307" s="64">
        <v>3883.0</v>
      </c>
      <c r="S2307" s="111">
        <v>4077.0</v>
      </c>
      <c r="T2307" s="65">
        <f t="shared" si="93"/>
        <v>652.32</v>
      </c>
      <c r="U2307" s="65">
        <f t="shared" si="94"/>
        <v>4729.32</v>
      </c>
      <c r="V2307" s="66">
        <f t="shared" si="122"/>
        <v>0.04996137007</v>
      </c>
      <c r="W2307" s="67">
        <f t="shared" si="96"/>
        <v>3873.15</v>
      </c>
      <c r="X2307" s="67">
        <f t="shared" si="112"/>
        <v>619.704</v>
      </c>
      <c r="Y2307" s="67">
        <f t="shared" si="113"/>
        <v>4492.854</v>
      </c>
      <c r="Z2307" s="67">
        <f t="shared" si="99"/>
        <v>3669.3</v>
      </c>
      <c r="AA2307" s="67">
        <f t="shared" si="114"/>
        <v>587.088</v>
      </c>
      <c r="AB2307" s="67">
        <f t="shared" si="115"/>
        <v>4256.388</v>
      </c>
      <c r="AC2307" s="67">
        <f t="shared" si="102"/>
        <v>3465.45</v>
      </c>
      <c r="AD2307" s="67">
        <f t="shared" si="116"/>
        <v>554.472</v>
      </c>
      <c r="AE2307" s="67">
        <f t="shared" si="117"/>
        <v>4019.922</v>
      </c>
      <c r="AF2307" s="67">
        <f t="shared" si="105"/>
        <v>3383.91</v>
      </c>
      <c r="AG2307" s="67">
        <f t="shared" si="118"/>
        <v>541.4256</v>
      </c>
      <c r="AH2307" s="67">
        <f t="shared" si="119"/>
        <v>3925.3356</v>
      </c>
      <c r="AI2307" s="67">
        <f t="shared" si="108"/>
        <v>3261.6</v>
      </c>
      <c r="AJ2307" s="68">
        <f t="shared" si="120"/>
        <v>521.856</v>
      </c>
      <c r="AK2307" s="68">
        <f t="shared" si="121"/>
        <v>3783.456</v>
      </c>
      <c r="AL2307" s="70"/>
      <c r="AM2307" s="70"/>
      <c r="AN2307" s="71"/>
      <c r="AO2307" s="71"/>
      <c r="AP2307" s="71"/>
      <c r="AQ2307" s="71"/>
      <c r="AR2307" s="71"/>
      <c r="AS2307" s="71"/>
      <c r="AT2307" s="71"/>
      <c r="AU2307" s="71"/>
      <c r="AV2307" s="71"/>
      <c r="AW2307" s="71"/>
      <c r="AX2307" s="71"/>
      <c r="AY2307" s="71"/>
      <c r="AZ2307" s="71"/>
      <c r="BA2307" s="71"/>
      <c r="BB2307" s="71"/>
      <c r="BC2307" s="71"/>
      <c r="BD2307" s="71"/>
      <c r="BE2307" s="71"/>
      <c r="BF2307" s="71"/>
      <c r="BG2307" s="71"/>
      <c r="BH2307" s="71"/>
      <c r="BI2307" s="71"/>
      <c r="BJ2307" s="71"/>
      <c r="BK2307" s="71"/>
      <c r="BL2307" s="71"/>
      <c r="BM2307" s="71"/>
      <c r="BN2307" s="71"/>
      <c r="BO2307" s="71"/>
      <c r="BP2307" s="71"/>
      <c r="BQ2307" s="71"/>
      <c r="BR2307" s="71"/>
      <c r="BS2307" s="71"/>
      <c r="BT2307" s="71"/>
      <c r="BU2307" s="71"/>
      <c r="BV2307" s="71"/>
    </row>
    <row r="2308">
      <c r="A2308" s="53"/>
      <c r="B2308" s="53"/>
      <c r="C2308" s="73" t="s">
        <v>53</v>
      </c>
      <c r="D2308" s="53" t="s">
        <v>5646</v>
      </c>
      <c r="E2308" s="54" t="s">
        <v>38</v>
      </c>
      <c r="F2308" s="54" t="s">
        <v>42</v>
      </c>
      <c r="G2308" s="193" t="s">
        <v>5647</v>
      </c>
      <c r="H2308" s="195" t="s">
        <v>5648</v>
      </c>
      <c r="I2308" s="54">
        <f t="shared" si="24"/>
        <v>36</v>
      </c>
      <c r="J2308" s="56"/>
      <c r="K2308" s="57"/>
      <c r="L2308" s="76" t="s">
        <v>661</v>
      </c>
      <c r="M2308" s="59"/>
      <c r="N2308" s="79"/>
      <c r="O2308" s="61">
        <v>6507.0</v>
      </c>
      <c r="P2308" s="62">
        <v>7027.56</v>
      </c>
      <c r="Q2308" s="63">
        <v>7027.56</v>
      </c>
      <c r="R2308" s="64">
        <v>7380.0</v>
      </c>
      <c r="S2308" s="111">
        <v>7749.0</v>
      </c>
      <c r="T2308" s="65">
        <f t="shared" si="93"/>
        <v>1239.84</v>
      </c>
      <c r="U2308" s="65">
        <f t="shared" si="94"/>
        <v>8988.84</v>
      </c>
      <c r="V2308" s="66">
        <f t="shared" si="122"/>
        <v>0.05</v>
      </c>
      <c r="W2308" s="67">
        <f t="shared" si="96"/>
        <v>7361.55</v>
      </c>
      <c r="X2308" s="67">
        <f t="shared" si="112"/>
        <v>1177.848</v>
      </c>
      <c r="Y2308" s="67">
        <f t="shared" si="113"/>
        <v>8539.398</v>
      </c>
      <c r="Z2308" s="67">
        <f t="shared" si="99"/>
        <v>6974.1</v>
      </c>
      <c r="AA2308" s="67">
        <f t="shared" si="114"/>
        <v>1115.856</v>
      </c>
      <c r="AB2308" s="67">
        <f t="shared" si="115"/>
        <v>8089.956</v>
      </c>
      <c r="AC2308" s="67">
        <f t="shared" si="102"/>
        <v>6586.65</v>
      </c>
      <c r="AD2308" s="67">
        <f t="shared" si="116"/>
        <v>1053.864</v>
      </c>
      <c r="AE2308" s="67">
        <f t="shared" si="117"/>
        <v>7640.514</v>
      </c>
      <c r="AF2308" s="67">
        <f t="shared" si="105"/>
        <v>6431.67</v>
      </c>
      <c r="AG2308" s="67">
        <f t="shared" si="118"/>
        <v>1029.0672</v>
      </c>
      <c r="AH2308" s="67">
        <f t="shared" si="119"/>
        <v>7460.7372</v>
      </c>
      <c r="AI2308" s="67">
        <f t="shared" si="108"/>
        <v>6199.2</v>
      </c>
      <c r="AJ2308" s="68">
        <f t="shared" si="120"/>
        <v>991.872</v>
      </c>
      <c r="AK2308" s="68">
        <f t="shared" si="121"/>
        <v>7191.072</v>
      </c>
      <c r="AL2308" s="70"/>
      <c r="AM2308" s="70"/>
      <c r="AN2308" s="71"/>
      <c r="AO2308" s="71"/>
      <c r="AP2308" s="71"/>
      <c r="AQ2308" s="71"/>
      <c r="AR2308" s="71"/>
      <c r="AS2308" s="71"/>
      <c r="AT2308" s="71"/>
      <c r="AU2308" s="71"/>
      <c r="AV2308" s="71"/>
      <c r="AW2308" s="71"/>
      <c r="AX2308" s="71"/>
      <c r="AY2308" s="71"/>
      <c r="AZ2308" s="71"/>
      <c r="BA2308" s="71"/>
      <c r="BB2308" s="71"/>
      <c r="BC2308" s="71"/>
      <c r="BD2308" s="71"/>
      <c r="BE2308" s="71"/>
      <c r="BF2308" s="71"/>
      <c r="BG2308" s="71"/>
      <c r="BH2308" s="71"/>
      <c r="BI2308" s="71"/>
      <c r="BJ2308" s="71"/>
      <c r="BK2308" s="71"/>
      <c r="BL2308" s="71"/>
      <c r="BM2308" s="71"/>
      <c r="BN2308" s="71"/>
      <c r="BO2308" s="71"/>
      <c r="BP2308" s="71"/>
      <c r="BQ2308" s="71"/>
      <c r="BR2308" s="71"/>
      <c r="BS2308" s="71"/>
      <c r="BT2308" s="71"/>
      <c r="BU2308" s="71"/>
      <c r="BV2308" s="71"/>
    </row>
    <row r="2309">
      <c r="A2309" s="53"/>
      <c r="B2309" s="53"/>
      <c r="C2309" s="53" t="s">
        <v>53</v>
      </c>
      <c r="D2309" s="53" t="s">
        <v>5649</v>
      </c>
      <c r="E2309" s="54" t="s">
        <v>38</v>
      </c>
      <c r="F2309" s="55" t="s">
        <v>42</v>
      </c>
      <c r="G2309" s="193" t="s">
        <v>5650</v>
      </c>
      <c r="H2309" s="193" t="s">
        <v>5650</v>
      </c>
      <c r="I2309" s="54">
        <f t="shared" si="24"/>
        <v>38</v>
      </c>
      <c r="J2309" s="56"/>
      <c r="K2309" s="57"/>
      <c r="L2309" s="76" t="s">
        <v>661</v>
      </c>
      <c r="M2309" s="59"/>
      <c r="N2309" s="60"/>
      <c r="O2309" s="90"/>
      <c r="P2309" s="62">
        <v>7365.0</v>
      </c>
      <c r="Q2309" s="63">
        <v>7365.0</v>
      </c>
      <c r="R2309" s="64">
        <v>7734.0</v>
      </c>
      <c r="S2309" s="111">
        <v>8121.0</v>
      </c>
      <c r="T2309" s="65">
        <f t="shared" si="93"/>
        <v>1299.36</v>
      </c>
      <c r="U2309" s="65">
        <f t="shared" si="94"/>
        <v>9420.36</v>
      </c>
      <c r="V2309" s="66">
        <f t="shared" si="122"/>
        <v>0.05003878976</v>
      </c>
      <c r="W2309" s="67">
        <f t="shared" si="96"/>
        <v>7714.95</v>
      </c>
      <c r="X2309" s="67">
        <f t="shared" si="112"/>
        <v>1234.392</v>
      </c>
      <c r="Y2309" s="67">
        <f t="shared" si="113"/>
        <v>8949.342</v>
      </c>
      <c r="Z2309" s="67">
        <f t="shared" si="99"/>
        <v>7308.9</v>
      </c>
      <c r="AA2309" s="67">
        <f t="shared" si="114"/>
        <v>1169.424</v>
      </c>
      <c r="AB2309" s="67">
        <f t="shared" si="115"/>
        <v>8478.324</v>
      </c>
      <c r="AC2309" s="67">
        <f t="shared" si="102"/>
        <v>6902.85</v>
      </c>
      <c r="AD2309" s="67">
        <f t="shared" si="116"/>
        <v>1104.456</v>
      </c>
      <c r="AE2309" s="67">
        <f t="shared" si="117"/>
        <v>8007.306</v>
      </c>
      <c r="AF2309" s="67">
        <f t="shared" si="105"/>
        <v>6740.43</v>
      </c>
      <c r="AG2309" s="67">
        <f t="shared" si="118"/>
        <v>1078.4688</v>
      </c>
      <c r="AH2309" s="67">
        <f t="shared" si="119"/>
        <v>7818.8988</v>
      </c>
      <c r="AI2309" s="67">
        <f t="shared" si="108"/>
        <v>6496.8</v>
      </c>
      <c r="AJ2309" s="68">
        <f t="shared" si="120"/>
        <v>1039.488</v>
      </c>
      <c r="AK2309" s="68">
        <f t="shared" si="121"/>
        <v>7536.288</v>
      </c>
      <c r="AL2309" s="70"/>
      <c r="AM2309" s="70"/>
      <c r="AN2309" s="71"/>
      <c r="AO2309" s="71"/>
      <c r="AP2309" s="71"/>
      <c r="AQ2309" s="71"/>
      <c r="AR2309" s="71"/>
      <c r="AS2309" s="71"/>
      <c r="AT2309" s="71"/>
      <c r="AU2309" s="71"/>
      <c r="AV2309" s="71"/>
      <c r="AW2309" s="71"/>
      <c r="AX2309" s="71"/>
      <c r="AY2309" s="71"/>
      <c r="AZ2309" s="71"/>
      <c r="BA2309" s="71"/>
      <c r="BB2309" s="71"/>
      <c r="BC2309" s="71"/>
      <c r="BD2309" s="71"/>
      <c r="BE2309" s="71"/>
      <c r="BF2309" s="71"/>
      <c r="BG2309" s="71"/>
      <c r="BH2309" s="71"/>
      <c r="BI2309" s="71"/>
      <c r="BJ2309" s="71"/>
      <c r="BK2309" s="71"/>
      <c r="BL2309" s="71"/>
      <c r="BM2309" s="71"/>
      <c r="BN2309" s="71"/>
      <c r="BO2309" s="71"/>
      <c r="BP2309" s="71"/>
      <c r="BQ2309" s="71"/>
      <c r="BR2309" s="71"/>
      <c r="BS2309" s="71"/>
      <c r="BT2309" s="71"/>
      <c r="BU2309" s="71"/>
      <c r="BV2309" s="71"/>
    </row>
    <row r="2310">
      <c r="A2310" s="53"/>
      <c r="B2310" s="53"/>
      <c r="C2310" s="120" t="s">
        <v>603</v>
      </c>
      <c r="D2310" s="53" t="s">
        <v>5651</v>
      </c>
      <c r="E2310" s="54" t="s">
        <v>38</v>
      </c>
      <c r="F2310" s="54" t="s">
        <v>42</v>
      </c>
      <c r="G2310" s="193" t="s">
        <v>5652</v>
      </c>
      <c r="H2310" s="195" t="s">
        <v>5653</v>
      </c>
      <c r="I2310" s="54">
        <f t="shared" si="24"/>
        <v>40</v>
      </c>
      <c r="J2310" s="56"/>
      <c r="K2310" s="57"/>
      <c r="L2310" s="76" t="s">
        <v>661</v>
      </c>
      <c r="M2310" s="59"/>
      <c r="N2310" s="60"/>
      <c r="O2310" s="61">
        <v>3785.0</v>
      </c>
      <c r="P2310" s="62">
        <v>4087.8</v>
      </c>
      <c r="Q2310" s="63">
        <v>4087.8</v>
      </c>
      <c r="R2310" s="64">
        <v>4293.0</v>
      </c>
      <c r="S2310" s="111">
        <v>4508.0</v>
      </c>
      <c r="T2310" s="65">
        <f t="shared" si="93"/>
        <v>721.28</v>
      </c>
      <c r="U2310" s="65">
        <f t="shared" si="94"/>
        <v>5229.28</v>
      </c>
      <c r="V2310" s="66">
        <f t="shared" si="122"/>
        <v>0.05008152807</v>
      </c>
      <c r="W2310" s="67">
        <f t="shared" si="96"/>
        <v>4282.6</v>
      </c>
      <c r="X2310" s="67">
        <f t="shared" si="112"/>
        <v>685.216</v>
      </c>
      <c r="Y2310" s="67">
        <f t="shared" si="113"/>
        <v>4967.816</v>
      </c>
      <c r="Z2310" s="67">
        <f t="shared" si="99"/>
        <v>4057.2</v>
      </c>
      <c r="AA2310" s="67">
        <f t="shared" si="114"/>
        <v>649.152</v>
      </c>
      <c r="AB2310" s="67">
        <f t="shared" si="115"/>
        <v>4706.352</v>
      </c>
      <c r="AC2310" s="67">
        <f t="shared" si="102"/>
        <v>3831.8</v>
      </c>
      <c r="AD2310" s="67">
        <f t="shared" si="116"/>
        <v>613.088</v>
      </c>
      <c r="AE2310" s="67">
        <f t="shared" si="117"/>
        <v>4444.888</v>
      </c>
      <c r="AF2310" s="67">
        <f t="shared" si="105"/>
        <v>3741.64</v>
      </c>
      <c r="AG2310" s="67">
        <f t="shared" si="118"/>
        <v>598.6624</v>
      </c>
      <c r="AH2310" s="67">
        <f t="shared" si="119"/>
        <v>4340.3024</v>
      </c>
      <c r="AI2310" s="67">
        <f t="shared" si="108"/>
        <v>3606.4</v>
      </c>
      <c r="AJ2310" s="68">
        <f t="shared" si="120"/>
        <v>577.024</v>
      </c>
      <c r="AK2310" s="68">
        <f t="shared" si="121"/>
        <v>4183.424</v>
      </c>
      <c r="AL2310" s="70"/>
      <c r="AM2310" s="70"/>
      <c r="AN2310" s="71"/>
      <c r="AO2310" s="71"/>
      <c r="AP2310" s="71"/>
      <c r="AQ2310" s="71"/>
      <c r="AR2310" s="71"/>
      <c r="AS2310" s="71"/>
      <c r="AT2310" s="71"/>
      <c r="AU2310" s="71"/>
      <c r="AV2310" s="71"/>
      <c r="AW2310" s="71"/>
      <c r="AX2310" s="71"/>
      <c r="AY2310" s="71"/>
      <c r="AZ2310" s="71"/>
      <c r="BA2310" s="71"/>
      <c r="BB2310" s="71"/>
      <c r="BC2310" s="71"/>
      <c r="BD2310" s="71"/>
      <c r="BE2310" s="71"/>
      <c r="BF2310" s="71"/>
      <c r="BG2310" s="71"/>
      <c r="BH2310" s="71"/>
      <c r="BI2310" s="71"/>
      <c r="BJ2310" s="71"/>
      <c r="BK2310" s="71"/>
      <c r="BL2310" s="71"/>
      <c r="BM2310" s="71"/>
      <c r="BN2310" s="71"/>
      <c r="BO2310" s="71"/>
      <c r="BP2310" s="71"/>
      <c r="BQ2310" s="71"/>
      <c r="BR2310" s="71"/>
      <c r="BS2310" s="71"/>
      <c r="BT2310" s="71"/>
      <c r="BU2310" s="71"/>
      <c r="BV2310" s="71"/>
    </row>
    <row r="2311">
      <c r="A2311" s="53"/>
      <c r="B2311" s="53"/>
      <c r="C2311" s="73" t="s">
        <v>53</v>
      </c>
      <c r="D2311" s="53" t="s">
        <v>5654</v>
      </c>
      <c r="E2311" s="54" t="s">
        <v>38</v>
      </c>
      <c r="F2311" s="54" t="s">
        <v>42</v>
      </c>
      <c r="G2311" s="193" t="s">
        <v>5655</v>
      </c>
      <c r="H2311" s="195" t="s">
        <v>5656</v>
      </c>
      <c r="I2311" s="54">
        <f t="shared" si="24"/>
        <v>36</v>
      </c>
      <c r="J2311" s="56"/>
      <c r="K2311" s="57"/>
      <c r="L2311" s="76" t="s">
        <v>661</v>
      </c>
      <c r="M2311" s="59"/>
      <c r="N2311" s="79">
        <v>3171.0</v>
      </c>
      <c r="O2311" s="61">
        <v>3785.0</v>
      </c>
      <c r="P2311" s="62">
        <v>4087.8</v>
      </c>
      <c r="Q2311" s="63">
        <v>4087.8</v>
      </c>
      <c r="R2311" s="64">
        <v>4293.0</v>
      </c>
      <c r="S2311" s="111">
        <v>4508.0</v>
      </c>
      <c r="T2311" s="65">
        <f t="shared" si="93"/>
        <v>721.28</v>
      </c>
      <c r="U2311" s="65">
        <f t="shared" si="94"/>
        <v>5229.28</v>
      </c>
      <c r="V2311" s="66">
        <f t="shared" si="122"/>
        <v>0.05008152807</v>
      </c>
      <c r="W2311" s="67">
        <f t="shared" si="96"/>
        <v>4282.6</v>
      </c>
      <c r="X2311" s="67">
        <f t="shared" si="112"/>
        <v>685.216</v>
      </c>
      <c r="Y2311" s="67">
        <f t="shared" si="113"/>
        <v>4967.816</v>
      </c>
      <c r="Z2311" s="67">
        <f t="shared" si="99"/>
        <v>4057.2</v>
      </c>
      <c r="AA2311" s="67">
        <f t="shared" si="114"/>
        <v>649.152</v>
      </c>
      <c r="AB2311" s="67">
        <f t="shared" si="115"/>
        <v>4706.352</v>
      </c>
      <c r="AC2311" s="67">
        <f t="shared" si="102"/>
        <v>3831.8</v>
      </c>
      <c r="AD2311" s="67">
        <f t="shared" si="116"/>
        <v>613.088</v>
      </c>
      <c r="AE2311" s="67">
        <f t="shared" si="117"/>
        <v>4444.888</v>
      </c>
      <c r="AF2311" s="67">
        <f t="shared" si="105"/>
        <v>3741.64</v>
      </c>
      <c r="AG2311" s="67">
        <f t="shared" si="118"/>
        <v>598.6624</v>
      </c>
      <c r="AH2311" s="67">
        <f t="shared" si="119"/>
        <v>4340.3024</v>
      </c>
      <c r="AI2311" s="67">
        <f t="shared" si="108"/>
        <v>3606.4</v>
      </c>
      <c r="AJ2311" s="68">
        <f t="shared" si="120"/>
        <v>577.024</v>
      </c>
      <c r="AK2311" s="68">
        <f t="shared" si="121"/>
        <v>4183.424</v>
      </c>
      <c r="AL2311" s="70"/>
      <c r="AM2311" s="70"/>
      <c r="AN2311" s="71"/>
      <c r="AO2311" s="71"/>
      <c r="AP2311" s="71"/>
      <c r="AQ2311" s="71"/>
      <c r="AR2311" s="71"/>
      <c r="AS2311" s="71"/>
      <c r="AT2311" s="71"/>
      <c r="AU2311" s="71"/>
      <c r="AV2311" s="71"/>
      <c r="AW2311" s="71"/>
      <c r="AX2311" s="71"/>
      <c r="AY2311" s="71"/>
      <c r="AZ2311" s="71"/>
      <c r="BA2311" s="71"/>
      <c r="BB2311" s="71"/>
      <c r="BC2311" s="71"/>
      <c r="BD2311" s="71"/>
      <c r="BE2311" s="71"/>
      <c r="BF2311" s="71"/>
      <c r="BG2311" s="71"/>
      <c r="BH2311" s="71"/>
      <c r="BI2311" s="71"/>
      <c r="BJ2311" s="71"/>
      <c r="BK2311" s="71"/>
      <c r="BL2311" s="71"/>
      <c r="BM2311" s="71"/>
      <c r="BN2311" s="71"/>
      <c r="BO2311" s="71"/>
      <c r="BP2311" s="71"/>
      <c r="BQ2311" s="71"/>
      <c r="BR2311" s="71"/>
      <c r="BS2311" s="71"/>
      <c r="BT2311" s="71"/>
      <c r="BU2311" s="71"/>
      <c r="BV2311" s="71"/>
    </row>
    <row r="2312">
      <c r="A2312" s="53"/>
      <c r="B2312" s="53"/>
      <c r="C2312" s="120" t="s">
        <v>603</v>
      </c>
      <c r="D2312" s="53" t="s">
        <v>5657</v>
      </c>
      <c r="E2312" s="54" t="s">
        <v>38</v>
      </c>
      <c r="F2312" s="54" t="s">
        <v>42</v>
      </c>
      <c r="G2312" s="193" t="s">
        <v>5658</v>
      </c>
      <c r="H2312" s="195" t="s">
        <v>5659</v>
      </c>
      <c r="I2312" s="54">
        <f t="shared" si="24"/>
        <v>39</v>
      </c>
      <c r="J2312" s="56"/>
      <c r="K2312" s="57"/>
      <c r="L2312" s="76" t="s">
        <v>661</v>
      </c>
      <c r="M2312" s="59"/>
      <c r="N2312" s="60">
        <v>4506.6</v>
      </c>
      <c r="O2312" s="61">
        <v>5226.0</v>
      </c>
      <c r="P2312" s="62">
        <v>5644.08</v>
      </c>
      <c r="Q2312" s="63">
        <v>5644.08</v>
      </c>
      <c r="R2312" s="64">
        <v>5927.0</v>
      </c>
      <c r="S2312" s="111">
        <v>6223.0</v>
      </c>
      <c r="T2312" s="65">
        <f t="shared" si="93"/>
        <v>995.68</v>
      </c>
      <c r="U2312" s="65">
        <f t="shared" si="94"/>
        <v>7218.68</v>
      </c>
      <c r="V2312" s="66">
        <f t="shared" si="122"/>
        <v>0.0499409482</v>
      </c>
      <c r="W2312" s="67">
        <f t="shared" si="96"/>
        <v>5911.85</v>
      </c>
      <c r="X2312" s="67">
        <f t="shared" si="112"/>
        <v>945.896</v>
      </c>
      <c r="Y2312" s="67">
        <f t="shared" si="113"/>
        <v>6857.746</v>
      </c>
      <c r="Z2312" s="67">
        <f t="shared" si="99"/>
        <v>5600.7</v>
      </c>
      <c r="AA2312" s="67">
        <f t="shared" si="114"/>
        <v>896.112</v>
      </c>
      <c r="AB2312" s="67">
        <f t="shared" si="115"/>
        <v>6496.812</v>
      </c>
      <c r="AC2312" s="67">
        <f t="shared" si="102"/>
        <v>5289.55</v>
      </c>
      <c r="AD2312" s="67">
        <f t="shared" si="116"/>
        <v>846.328</v>
      </c>
      <c r="AE2312" s="67">
        <f t="shared" si="117"/>
        <v>6135.878</v>
      </c>
      <c r="AF2312" s="67">
        <f t="shared" si="105"/>
        <v>5165.09</v>
      </c>
      <c r="AG2312" s="67">
        <f t="shared" si="118"/>
        <v>826.4144</v>
      </c>
      <c r="AH2312" s="67">
        <f t="shared" si="119"/>
        <v>5991.5044</v>
      </c>
      <c r="AI2312" s="67">
        <f t="shared" si="108"/>
        <v>4978.4</v>
      </c>
      <c r="AJ2312" s="68">
        <f t="shared" si="120"/>
        <v>796.544</v>
      </c>
      <c r="AK2312" s="68">
        <f t="shared" si="121"/>
        <v>5774.944</v>
      </c>
      <c r="AL2312" s="70"/>
      <c r="AM2312" s="70"/>
      <c r="AN2312" s="71"/>
      <c r="AO2312" s="71"/>
      <c r="AP2312" s="71"/>
      <c r="AQ2312" s="71"/>
      <c r="AR2312" s="71"/>
      <c r="AS2312" s="71"/>
      <c r="AT2312" s="71"/>
      <c r="AU2312" s="71"/>
      <c r="AV2312" s="71"/>
      <c r="AW2312" s="71"/>
      <c r="AX2312" s="71"/>
      <c r="AY2312" s="71"/>
      <c r="AZ2312" s="71"/>
      <c r="BA2312" s="71"/>
      <c r="BB2312" s="71"/>
      <c r="BC2312" s="71"/>
      <c r="BD2312" s="71"/>
      <c r="BE2312" s="71"/>
      <c r="BF2312" s="71"/>
      <c r="BG2312" s="71"/>
      <c r="BH2312" s="71"/>
      <c r="BI2312" s="71"/>
      <c r="BJ2312" s="71"/>
      <c r="BK2312" s="71"/>
      <c r="BL2312" s="71"/>
      <c r="BM2312" s="71"/>
      <c r="BN2312" s="71"/>
      <c r="BO2312" s="71"/>
      <c r="BP2312" s="71"/>
      <c r="BQ2312" s="71"/>
      <c r="BR2312" s="71"/>
      <c r="BS2312" s="71"/>
      <c r="BT2312" s="71"/>
      <c r="BU2312" s="71"/>
      <c r="BV2312" s="71"/>
    </row>
    <row r="2313">
      <c r="A2313" s="53"/>
      <c r="B2313" s="53"/>
      <c r="C2313" s="53" t="s">
        <v>53</v>
      </c>
      <c r="D2313" s="53" t="s">
        <v>5660</v>
      </c>
      <c r="E2313" s="54" t="s">
        <v>38</v>
      </c>
      <c r="F2313" s="55" t="s">
        <v>42</v>
      </c>
      <c r="G2313" s="193" t="s">
        <v>5661</v>
      </c>
      <c r="H2313" s="193" t="s">
        <v>5662</v>
      </c>
      <c r="I2313" s="54">
        <f t="shared" si="24"/>
        <v>38</v>
      </c>
      <c r="J2313" s="56"/>
      <c r="K2313" s="57"/>
      <c r="L2313" s="76" t="s">
        <v>661</v>
      </c>
      <c r="M2313" s="59"/>
      <c r="N2313" s="60"/>
      <c r="O2313" s="90"/>
      <c r="P2313" s="62">
        <v>7300.0</v>
      </c>
      <c r="Q2313" s="63">
        <v>7300.0</v>
      </c>
      <c r="R2313" s="64">
        <v>7665.0</v>
      </c>
      <c r="S2313" s="111">
        <v>8048.0</v>
      </c>
      <c r="T2313" s="65">
        <f t="shared" si="93"/>
        <v>1287.68</v>
      </c>
      <c r="U2313" s="65">
        <f t="shared" si="94"/>
        <v>9335.68</v>
      </c>
      <c r="V2313" s="66">
        <f t="shared" si="122"/>
        <v>0.04996738421</v>
      </c>
      <c r="W2313" s="67">
        <f t="shared" si="96"/>
        <v>7645.6</v>
      </c>
      <c r="X2313" s="67">
        <f t="shared" si="112"/>
        <v>1223.296</v>
      </c>
      <c r="Y2313" s="67">
        <f t="shared" si="113"/>
        <v>8868.896</v>
      </c>
      <c r="Z2313" s="67">
        <f t="shared" si="99"/>
        <v>7243.2</v>
      </c>
      <c r="AA2313" s="67">
        <f t="shared" si="114"/>
        <v>1158.912</v>
      </c>
      <c r="AB2313" s="67">
        <f t="shared" si="115"/>
        <v>8402.112</v>
      </c>
      <c r="AC2313" s="67">
        <f t="shared" si="102"/>
        <v>6840.8</v>
      </c>
      <c r="AD2313" s="67">
        <f t="shared" si="116"/>
        <v>1094.528</v>
      </c>
      <c r="AE2313" s="67">
        <f t="shared" si="117"/>
        <v>7935.328</v>
      </c>
      <c r="AF2313" s="67">
        <f t="shared" si="105"/>
        <v>6679.84</v>
      </c>
      <c r="AG2313" s="67">
        <f t="shared" si="118"/>
        <v>1068.7744</v>
      </c>
      <c r="AH2313" s="67">
        <f t="shared" si="119"/>
        <v>7748.6144</v>
      </c>
      <c r="AI2313" s="67">
        <f t="shared" si="108"/>
        <v>6438.4</v>
      </c>
      <c r="AJ2313" s="68">
        <f t="shared" si="120"/>
        <v>1030.144</v>
      </c>
      <c r="AK2313" s="68">
        <f t="shared" si="121"/>
        <v>7468.544</v>
      </c>
      <c r="AL2313" s="70"/>
      <c r="AM2313" s="70"/>
      <c r="AN2313" s="71"/>
      <c r="AO2313" s="71"/>
      <c r="AP2313" s="71"/>
      <c r="AQ2313" s="71"/>
      <c r="AR2313" s="71"/>
      <c r="AS2313" s="71"/>
      <c r="AT2313" s="71"/>
      <c r="AU2313" s="71"/>
      <c r="AV2313" s="71"/>
      <c r="AW2313" s="71"/>
      <c r="AX2313" s="71"/>
      <c r="AY2313" s="71"/>
      <c r="AZ2313" s="71"/>
      <c r="BA2313" s="71"/>
      <c r="BB2313" s="71"/>
      <c r="BC2313" s="71"/>
      <c r="BD2313" s="71"/>
      <c r="BE2313" s="71"/>
      <c r="BF2313" s="71"/>
      <c r="BG2313" s="71"/>
      <c r="BH2313" s="71"/>
      <c r="BI2313" s="71"/>
      <c r="BJ2313" s="71"/>
      <c r="BK2313" s="71"/>
      <c r="BL2313" s="71"/>
      <c r="BM2313" s="71"/>
      <c r="BN2313" s="71"/>
      <c r="BO2313" s="71"/>
      <c r="BP2313" s="71"/>
      <c r="BQ2313" s="71"/>
      <c r="BR2313" s="71"/>
      <c r="BS2313" s="71"/>
      <c r="BT2313" s="71"/>
      <c r="BU2313" s="71"/>
      <c r="BV2313" s="71"/>
    </row>
    <row r="2314">
      <c r="A2314" s="53"/>
      <c r="B2314" s="53"/>
      <c r="C2314" s="73" t="s">
        <v>53</v>
      </c>
      <c r="D2314" s="53" t="s">
        <v>5663</v>
      </c>
      <c r="E2314" s="54" t="s">
        <v>38</v>
      </c>
      <c r="F2314" s="54" t="s">
        <v>42</v>
      </c>
      <c r="G2314" s="193" t="s">
        <v>5664</v>
      </c>
      <c r="H2314" s="193" t="s">
        <v>5665</v>
      </c>
      <c r="I2314" s="54">
        <f t="shared" si="24"/>
        <v>35</v>
      </c>
      <c r="J2314" s="56"/>
      <c r="K2314" s="57"/>
      <c r="L2314" s="76" t="s">
        <v>661</v>
      </c>
      <c r="M2314" s="59"/>
      <c r="N2314" s="60"/>
      <c r="O2314" s="61"/>
      <c r="P2314" s="62">
        <v>5772.0</v>
      </c>
      <c r="Q2314" s="63">
        <v>5772.0</v>
      </c>
      <c r="R2314" s="64">
        <v>6061.0</v>
      </c>
      <c r="S2314" s="111">
        <v>6364.0</v>
      </c>
      <c r="T2314" s="65">
        <f t="shared" si="93"/>
        <v>1018.24</v>
      </c>
      <c r="U2314" s="65">
        <f t="shared" si="94"/>
        <v>7382.24</v>
      </c>
      <c r="V2314" s="66">
        <f t="shared" si="122"/>
        <v>0.04999175054</v>
      </c>
      <c r="W2314" s="67">
        <f t="shared" si="96"/>
        <v>6045.8</v>
      </c>
      <c r="X2314" s="67">
        <f t="shared" si="112"/>
        <v>967.328</v>
      </c>
      <c r="Y2314" s="67">
        <f t="shared" si="113"/>
        <v>7013.128</v>
      </c>
      <c r="Z2314" s="67">
        <f t="shared" si="99"/>
        <v>5727.6</v>
      </c>
      <c r="AA2314" s="67">
        <f t="shared" si="114"/>
        <v>916.416</v>
      </c>
      <c r="AB2314" s="67">
        <f t="shared" si="115"/>
        <v>6644.016</v>
      </c>
      <c r="AC2314" s="67">
        <f t="shared" si="102"/>
        <v>5409.4</v>
      </c>
      <c r="AD2314" s="67">
        <f t="shared" si="116"/>
        <v>865.504</v>
      </c>
      <c r="AE2314" s="67">
        <f t="shared" si="117"/>
        <v>6274.904</v>
      </c>
      <c r="AF2314" s="67">
        <f t="shared" si="105"/>
        <v>5282.12</v>
      </c>
      <c r="AG2314" s="67">
        <f t="shared" si="118"/>
        <v>845.1392</v>
      </c>
      <c r="AH2314" s="67">
        <f t="shared" si="119"/>
        <v>6127.2592</v>
      </c>
      <c r="AI2314" s="67">
        <f t="shared" si="108"/>
        <v>5091.2</v>
      </c>
      <c r="AJ2314" s="68">
        <f t="shared" si="120"/>
        <v>814.592</v>
      </c>
      <c r="AK2314" s="68">
        <f t="shared" si="121"/>
        <v>5905.792</v>
      </c>
      <c r="AL2314" s="70"/>
      <c r="AM2314" s="70"/>
      <c r="AN2314" s="71"/>
      <c r="AO2314" s="71"/>
      <c r="AP2314" s="71"/>
      <c r="AQ2314" s="71"/>
      <c r="AR2314" s="71"/>
      <c r="AS2314" s="71"/>
      <c r="AT2314" s="71"/>
      <c r="AU2314" s="71"/>
      <c r="AV2314" s="71"/>
      <c r="AW2314" s="71"/>
      <c r="AX2314" s="71"/>
      <c r="AY2314" s="71"/>
      <c r="AZ2314" s="71"/>
      <c r="BA2314" s="71"/>
      <c r="BB2314" s="71"/>
      <c r="BC2314" s="71"/>
      <c r="BD2314" s="71"/>
      <c r="BE2314" s="71"/>
      <c r="BF2314" s="71"/>
      <c r="BG2314" s="71"/>
      <c r="BH2314" s="71"/>
      <c r="BI2314" s="71"/>
      <c r="BJ2314" s="71"/>
      <c r="BK2314" s="71"/>
      <c r="BL2314" s="71"/>
      <c r="BM2314" s="71"/>
      <c r="BN2314" s="71"/>
      <c r="BO2314" s="71"/>
      <c r="BP2314" s="71"/>
      <c r="BQ2314" s="71"/>
      <c r="BR2314" s="71"/>
      <c r="BS2314" s="71"/>
      <c r="BT2314" s="71"/>
      <c r="BU2314" s="71"/>
      <c r="BV2314" s="71"/>
    </row>
    <row r="2315">
      <c r="A2315" s="53"/>
      <c r="B2315" s="53"/>
      <c r="C2315" s="73" t="s">
        <v>12</v>
      </c>
      <c r="D2315" s="53" t="s">
        <v>5666</v>
      </c>
      <c r="E2315" s="54" t="s">
        <v>38</v>
      </c>
      <c r="F2315" s="54" t="s">
        <v>42</v>
      </c>
      <c r="G2315" s="193" t="s">
        <v>5667</v>
      </c>
      <c r="H2315" s="195" t="s">
        <v>5668</v>
      </c>
      <c r="I2315" s="54">
        <f t="shared" si="24"/>
        <v>40</v>
      </c>
      <c r="J2315" s="56"/>
      <c r="K2315" s="57"/>
      <c r="L2315" s="76" t="s">
        <v>661</v>
      </c>
      <c r="M2315" s="59"/>
      <c r="N2315" s="79"/>
      <c r="O2315" s="61">
        <v>6507.0</v>
      </c>
      <c r="P2315" s="62">
        <v>7027.56</v>
      </c>
      <c r="Q2315" s="63">
        <v>7027.56</v>
      </c>
      <c r="R2315" s="64">
        <v>7380.0</v>
      </c>
      <c r="S2315" s="111">
        <v>7749.0</v>
      </c>
      <c r="T2315" s="65">
        <f t="shared" si="93"/>
        <v>1239.84</v>
      </c>
      <c r="U2315" s="65">
        <f t="shared" si="94"/>
        <v>8988.84</v>
      </c>
      <c r="V2315" s="66">
        <f t="shared" si="122"/>
        <v>0.05</v>
      </c>
      <c r="W2315" s="67">
        <f t="shared" si="96"/>
        <v>7361.55</v>
      </c>
      <c r="X2315" s="67">
        <f t="shared" si="112"/>
        <v>1177.848</v>
      </c>
      <c r="Y2315" s="67">
        <f t="shared" si="113"/>
        <v>8539.398</v>
      </c>
      <c r="Z2315" s="67">
        <f t="shared" si="99"/>
        <v>6974.1</v>
      </c>
      <c r="AA2315" s="67">
        <f t="shared" si="114"/>
        <v>1115.856</v>
      </c>
      <c r="AB2315" s="67">
        <f t="shared" si="115"/>
        <v>8089.956</v>
      </c>
      <c r="AC2315" s="67">
        <f t="shared" si="102"/>
        <v>6586.65</v>
      </c>
      <c r="AD2315" s="67">
        <f t="shared" si="116"/>
        <v>1053.864</v>
      </c>
      <c r="AE2315" s="67">
        <f t="shared" si="117"/>
        <v>7640.514</v>
      </c>
      <c r="AF2315" s="67">
        <f t="shared" si="105"/>
        <v>6431.67</v>
      </c>
      <c r="AG2315" s="67">
        <f t="shared" si="118"/>
        <v>1029.0672</v>
      </c>
      <c r="AH2315" s="67">
        <f t="shared" si="119"/>
        <v>7460.7372</v>
      </c>
      <c r="AI2315" s="67">
        <f t="shared" si="108"/>
        <v>6199.2</v>
      </c>
      <c r="AJ2315" s="68">
        <f t="shared" si="120"/>
        <v>991.872</v>
      </c>
      <c r="AK2315" s="68">
        <f t="shared" si="121"/>
        <v>7191.072</v>
      </c>
      <c r="AL2315" s="70"/>
      <c r="AM2315" s="70"/>
      <c r="AN2315" s="71"/>
      <c r="AO2315" s="71"/>
      <c r="AP2315" s="71"/>
      <c r="AQ2315" s="71"/>
      <c r="AR2315" s="71"/>
      <c r="AS2315" s="71"/>
      <c r="AT2315" s="71"/>
      <c r="AU2315" s="71"/>
      <c r="AV2315" s="71"/>
      <c r="AW2315" s="71"/>
      <c r="AX2315" s="71"/>
      <c r="AY2315" s="71"/>
      <c r="AZ2315" s="71"/>
      <c r="BA2315" s="71"/>
      <c r="BB2315" s="71"/>
      <c r="BC2315" s="71"/>
      <c r="BD2315" s="71"/>
      <c r="BE2315" s="71"/>
      <c r="BF2315" s="71"/>
      <c r="BG2315" s="71"/>
      <c r="BH2315" s="71"/>
      <c r="BI2315" s="71"/>
      <c r="BJ2315" s="71"/>
      <c r="BK2315" s="71"/>
      <c r="BL2315" s="71"/>
      <c r="BM2315" s="71"/>
      <c r="BN2315" s="71"/>
      <c r="BO2315" s="71"/>
      <c r="BP2315" s="71"/>
      <c r="BQ2315" s="71"/>
      <c r="BR2315" s="71"/>
      <c r="BS2315" s="71"/>
      <c r="BT2315" s="71"/>
      <c r="BU2315" s="71"/>
      <c r="BV2315" s="71"/>
    </row>
    <row r="2316">
      <c r="A2316" s="53"/>
      <c r="B2316" s="53"/>
      <c r="C2316" s="73" t="s">
        <v>53</v>
      </c>
      <c r="D2316" s="53" t="s">
        <v>5669</v>
      </c>
      <c r="E2316" s="54" t="s">
        <v>38</v>
      </c>
      <c r="F2316" s="54" t="s">
        <v>42</v>
      </c>
      <c r="G2316" s="193" t="s">
        <v>5670</v>
      </c>
      <c r="H2316" s="195" t="s">
        <v>5671</v>
      </c>
      <c r="I2316" s="54">
        <f t="shared" si="24"/>
        <v>40</v>
      </c>
      <c r="J2316" s="56"/>
      <c r="K2316" s="57"/>
      <c r="L2316" s="76" t="s">
        <v>661</v>
      </c>
      <c r="M2316" s="59"/>
      <c r="N2316" s="79">
        <v>3171.0</v>
      </c>
      <c r="O2316" s="61">
        <v>3785.0</v>
      </c>
      <c r="P2316" s="62">
        <v>4087.8</v>
      </c>
      <c r="Q2316" s="63">
        <v>4087.8</v>
      </c>
      <c r="R2316" s="64">
        <v>4293.0</v>
      </c>
      <c r="S2316" s="111">
        <v>4508.0</v>
      </c>
      <c r="T2316" s="65">
        <f t="shared" si="93"/>
        <v>721.28</v>
      </c>
      <c r="U2316" s="65">
        <f t="shared" si="94"/>
        <v>5229.28</v>
      </c>
      <c r="V2316" s="66">
        <f t="shared" si="122"/>
        <v>0.05008152807</v>
      </c>
      <c r="W2316" s="67">
        <f t="shared" si="96"/>
        <v>4282.6</v>
      </c>
      <c r="X2316" s="67">
        <f t="shared" si="112"/>
        <v>685.216</v>
      </c>
      <c r="Y2316" s="67">
        <f t="shared" si="113"/>
        <v>4967.816</v>
      </c>
      <c r="Z2316" s="67">
        <f t="shared" si="99"/>
        <v>4057.2</v>
      </c>
      <c r="AA2316" s="67">
        <f t="shared" si="114"/>
        <v>649.152</v>
      </c>
      <c r="AB2316" s="67">
        <f t="shared" si="115"/>
        <v>4706.352</v>
      </c>
      <c r="AC2316" s="67">
        <f t="shared" si="102"/>
        <v>3831.8</v>
      </c>
      <c r="AD2316" s="67">
        <f t="shared" si="116"/>
        <v>613.088</v>
      </c>
      <c r="AE2316" s="67">
        <f t="shared" si="117"/>
        <v>4444.888</v>
      </c>
      <c r="AF2316" s="67">
        <f t="shared" si="105"/>
        <v>3741.64</v>
      </c>
      <c r="AG2316" s="67">
        <f t="shared" si="118"/>
        <v>598.6624</v>
      </c>
      <c r="AH2316" s="67">
        <f t="shared" si="119"/>
        <v>4340.3024</v>
      </c>
      <c r="AI2316" s="67">
        <f t="shared" si="108"/>
        <v>3606.4</v>
      </c>
      <c r="AJ2316" s="68">
        <f t="shared" si="120"/>
        <v>577.024</v>
      </c>
      <c r="AK2316" s="68">
        <f t="shared" si="121"/>
        <v>4183.424</v>
      </c>
      <c r="AL2316" s="70"/>
      <c r="AM2316" s="70"/>
      <c r="AN2316" s="71"/>
      <c r="AO2316" s="71"/>
      <c r="AP2316" s="71"/>
      <c r="AQ2316" s="71"/>
      <c r="AR2316" s="71"/>
      <c r="AS2316" s="71"/>
      <c r="AT2316" s="71"/>
      <c r="AU2316" s="71"/>
      <c r="AV2316" s="71"/>
      <c r="AW2316" s="71"/>
      <c r="AX2316" s="71"/>
      <c r="AY2316" s="71"/>
      <c r="AZ2316" s="71"/>
      <c r="BA2316" s="71"/>
      <c r="BB2316" s="71"/>
      <c r="BC2316" s="71"/>
      <c r="BD2316" s="71"/>
      <c r="BE2316" s="71"/>
      <c r="BF2316" s="71"/>
      <c r="BG2316" s="71"/>
      <c r="BH2316" s="71"/>
      <c r="BI2316" s="71"/>
      <c r="BJ2316" s="71"/>
      <c r="BK2316" s="71"/>
      <c r="BL2316" s="71"/>
      <c r="BM2316" s="71"/>
      <c r="BN2316" s="71"/>
      <c r="BO2316" s="71"/>
      <c r="BP2316" s="71"/>
      <c r="BQ2316" s="71"/>
      <c r="BR2316" s="71"/>
      <c r="BS2316" s="71"/>
      <c r="BT2316" s="71"/>
      <c r="BU2316" s="71"/>
      <c r="BV2316" s="71"/>
    </row>
    <row r="2317">
      <c r="A2317" s="53">
        <v>1.0</v>
      </c>
      <c r="B2317" s="53"/>
      <c r="C2317" s="73" t="s">
        <v>53</v>
      </c>
      <c r="D2317" s="74" t="s">
        <v>5672</v>
      </c>
      <c r="E2317" s="54" t="s">
        <v>38</v>
      </c>
      <c r="F2317" s="54" t="s">
        <v>42</v>
      </c>
      <c r="G2317" s="88" t="s">
        <v>5673</v>
      </c>
      <c r="H2317" s="54" t="s">
        <v>5674</v>
      </c>
      <c r="I2317" s="54">
        <f t="shared" si="24"/>
        <v>19</v>
      </c>
      <c r="J2317" s="56"/>
      <c r="K2317" s="57"/>
      <c r="L2317" s="87"/>
      <c r="M2317" s="59"/>
      <c r="N2317" s="60">
        <v>91.0</v>
      </c>
      <c r="O2317" s="61">
        <v>98.0</v>
      </c>
      <c r="P2317" s="62">
        <v>105.84</v>
      </c>
      <c r="Q2317" s="63">
        <v>105.84</v>
      </c>
      <c r="R2317" s="64">
        <v>119.0</v>
      </c>
      <c r="S2317" s="111">
        <v>125.0</v>
      </c>
      <c r="T2317" s="65">
        <f t="shared" si="93"/>
        <v>20</v>
      </c>
      <c r="U2317" s="65">
        <f t="shared" si="94"/>
        <v>145</v>
      </c>
      <c r="V2317" s="66">
        <f t="shared" si="122"/>
        <v>0.05042016807</v>
      </c>
      <c r="W2317" s="67">
        <f t="shared" si="96"/>
        <v>118.75</v>
      </c>
      <c r="X2317" s="67">
        <f t="shared" si="112"/>
        <v>19</v>
      </c>
      <c r="Y2317" s="67">
        <f t="shared" si="113"/>
        <v>137.75</v>
      </c>
      <c r="Z2317" s="67">
        <f t="shared" si="99"/>
        <v>112.5</v>
      </c>
      <c r="AA2317" s="67">
        <f t="shared" si="114"/>
        <v>18</v>
      </c>
      <c r="AB2317" s="67">
        <f t="shared" si="115"/>
        <v>130.5</v>
      </c>
      <c r="AC2317" s="67">
        <f t="shared" si="102"/>
        <v>106.25</v>
      </c>
      <c r="AD2317" s="67">
        <f t="shared" si="116"/>
        <v>17</v>
      </c>
      <c r="AE2317" s="67">
        <f t="shared" si="117"/>
        <v>123.25</v>
      </c>
      <c r="AF2317" s="67">
        <f t="shared" si="105"/>
        <v>103.75</v>
      </c>
      <c r="AG2317" s="67">
        <f t="shared" si="118"/>
        <v>16.6</v>
      </c>
      <c r="AH2317" s="67">
        <f t="shared" si="119"/>
        <v>120.35</v>
      </c>
      <c r="AI2317" s="67">
        <f t="shared" si="108"/>
        <v>100</v>
      </c>
      <c r="AJ2317" s="68">
        <f t="shared" si="120"/>
        <v>16</v>
      </c>
      <c r="AK2317" s="68">
        <f t="shared" si="121"/>
        <v>116</v>
      </c>
      <c r="AL2317" s="70"/>
      <c r="AM2317" s="70"/>
      <c r="AN2317" s="71"/>
      <c r="AO2317" s="71"/>
      <c r="AP2317" s="71"/>
      <c r="AQ2317" s="71"/>
      <c r="AR2317" s="71"/>
      <c r="AS2317" s="71"/>
      <c r="AT2317" s="71"/>
      <c r="AU2317" s="71"/>
      <c r="AV2317" s="71"/>
      <c r="AW2317" s="71"/>
      <c r="AX2317" s="71"/>
      <c r="AY2317" s="71"/>
      <c r="AZ2317" s="71"/>
      <c r="BA2317" s="71"/>
      <c r="BB2317" s="71"/>
      <c r="BC2317" s="71"/>
      <c r="BD2317" s="71"/>
      <c r="BE2317" s="71"/>
      <c r="BF2317" s="71"/>
      <c r="BG2317" s="71"/>
      <c r="BH2317" s="71"/>
      <c r="BI2317" s="71"/>
      <c r="BJ2317" s="71"/>
      <c r="BK2317" s="71"/>
      <c r="BL2317" s="71"/>
      <c r="BM2317" s="71"/>
      <c r="BN2317" s="71"/>
      <c r="BO2317" s="71"/>
      <c r="BP2317" s="71"/>
      <c r="BQ2317" s="71"/>
      <c r="BR2317" s="71"/>
      <c r="BS2317" s="71"/>
      <c r="BT2317" s="71"/>
      <c r="BU2317" s="71"/>
      <c r="BV2317" s="71"/>
    </row>
    <row r="2318">
      <c r="A2318" s="53"/>
      <c r="B2318" s="53"/>
      <c r="C2318" s="73" t="s">
        <v>53</v>
      </c>
      <c r="D2318" s="53" t="s">
        <v>5675</v>
      </c>
      <c r="E2318" s="54" t="s">
        <v>38</v>
      </c>
      <c r="F2318" s="54" t="s">
        <v>42</v>
      </c>
      <c r="G2318" s="55" t="s">
        <v>5676</v>
      </c>
      <c r="H2318" s="54" t="s">
        <v>5677</v>
      </c>
      <c r="I2318" s="54">
        <f t="shared" si="24"/>
        <v>33</v>
      </c>
      <c r="J2318" s="56"/>
      <c r="K2318" s="57"/>
      <c r="L2318" s="76"/>
      <c r="M2318" s="59"/>
      <c r="N2318" s="79">
        <v>115.0</v>
      </c>
      <c r="O2318" s="61">
        <v>124.0</v>
      </c>
      <c r="P2318" s="62">
        <v>133.92000000000002</v>
      </c>
      <c r="Q2318" s="63">
        <v>133.92000000000002</v>
      </c>
      <c r="R2318" s="64">
        <v>141.0</v>
      </c>
      <c r="S2318" s="111">
        <v>148.0</v>
      </c>
      <c r="T2318" s="65">
        <f t="shared" si="93"/>
        <v>23.68</v>
      </c>
      <c r="U2318" s="65">
        <f t="shared" si="94"/>
        <v>171.68</v>
      </c>
      <c r="V2318" s="66">
        <f t="shared" si="122"/>
        <v>0.04964539007</v>
      </c>
      <c r="W2318" s="67">
        <f t="shared" si="96"/>
        <v>140.6</v>
      </c>
      <c r="X2318" s="67">
        <f t="shared" si="112"/>
        <v>22.496</v>
      </c>
      <c r="Y2318" s="67">
        <f t="shared" si="113"/>
        <v>163.096</v>
      </c>
      <c r="Z2318" s="67">
        <f t="shared" si="99"/>
        <v>133.2</v>
      </c>
      <c r="AA2318" s="67">
        <f t="shared" si="114"/>
        <v>21.312</v>
      </c>
      <c r="AB2318" s="67">
        <f t="shared" si="115"/>
        <v>154.512</v>
      </c>
      <c r="AC2318" s="67">
        <f t="shared" si="102"/>
        <v>125.8</v>
      </c>
      <c r="AD2318" s="67">
        <f t="shared" si="116"/>
        <v>20.128</v>
      </c>
      <c r="AE2318" s="67">
        <f t="shared" si="117"/>
        <v>145.928</v>
      </c>
      <c r="AF2318" s="67">
        <f t="shared" si="105"/>
        <v>122.84</v>
      </c>
      <c r="AG2318" s="67">
        <f t="shared" si="118"/>
        <v>19.6544</v>
      </c>
      <c r="AH2318" s="67">
        <f t="shared" si="119"/>
        <v>142.4944</v>
      </c>
      <c r="AI2318" s="67">
        <f t="shared" si="108"/>
        <v>118.4</v>
      </c>
      <c r="AJ2318" s="68">
        <f t="shared" si="120"/>
        <v>18.944</v>
      </c>
      <c r="AK2318" s="68">
        <f t="shared" si="121"/>
        <v>137.344</v>
      </c>
      <c r="AL2318" s="70"/>
      <c r="AM2318" s="70"/>
      <c r="AN2318" s="71"/>
      <c r="AO2318" s="71"/>
      <c r="AP2318" s="71"/>
      <c r="AQ2318" s="71"/>
      <c r="AR2318" s="71"/>
      <c r="AS2318" s="71"/>
      <c r="AT2318" s="71"/>
      <c r="AU2318" s="71"/>
      <c r="AV2318" s="71"/>
      <c r="AW2318" s="71"/>
      <c r="AX2318" s="71"/>
      <c r="AY2318" s="71"/>
      <c r="AZ2318" s="71"/>
      <c r="BA2318" s="71"/>
      <c r="BB2318" s="71"/>
      <c r="BC2318" s="71"/>
      <c r="BD2318" s="71"/>
      <c r="BE2318" s="71"/>
      <c r="BF2318" s="71"/>
      <c r="BG2318" s="71"/>
      <c r="BH2318" s="71"/>
      <c r="BI2318" s="71"/>
      <c r="BJ2318" s="71"/>
      <c r="BK2318" s="71"/>
      <c r="BL2318" s="71"/>
      <c r="BM2318" s="71"/>
      <c r="BN2318" s="71"/>
      <c r="BO2318" s="71"/>
      <c r="BP2318" s="71"/>
      <c r="BQ2318" s="71"/>
      <c r="BR2318" s="71"/>
      <c r="BS2318" s="71"/>
      <c r="BT2318" s="71"/>
      <c r="BU2318" s="71"/>
      <c r="BV2318" s="71"/>
    </row>
    <row r="2319">
      <c r="A2319" s="53"/>
      <c r="B2319" s="53"/>
      <c r="C2319" s="73" t="s">
        <v>53</v>
      </c>
      <c r="D2319" s="53" t="s">
        <v>5678</v>
      </c>
      <c r="E2319" s="54" t="s">
        <v>38</v>
      </c>
      <c r="F2319" s="54" t="s">
        <v>42</v>
      </c>
      <c r="G2319" s="55" t="s">
        <v>5679</v>
      </c>
      <c r="H2319" s="54" t="s">
        <v>5680</v>
      </c>
      <c r="I2319" s="54">
        <f t="shared" si="24"/>
        <v>35</v>
      </c>
      <c r="J2319" s="56"/>
      <c r="K2319" s="57"/>
      <c r="L2319" s="76"/>
      <c r="M2319" s="59"/>
      <c r="N2319" s="79">
        <v>88.0</v>
      </c>
      <c r="O2319" s="61">
        <v>95.0</v>
      </c>
      <c r="P2319" s="62">
        <v>102.60000000000001</v>
      </c>
      <c r="Q2319" s="63">
        <v>102.60000000000001</v>
      </c>
      <c r="R2319" s="64">
        <v>109.0</v>
      </c>
      <c r="S2319" s="111">
        <v>114.0</v>
      </c>
      <c r="T2319" s="65">
        <f t="shared" si="93"/>
        <v>18.24</v>
      </c>
      <c r="U2319" s="65">
        <f t="shared" si="94"/>
        <v>132.24</v>
      </c>
      <c r="V2319" s="66">
        <f t="shared" si="122"/>
        <v>0.04587155963</v>
      </c>
      <c r="W2319" s="67">
        <f t="shared" si="96"/>
        <v>108.3</v>
      </c>
      <c r="X2319" s="67">
        <f t="shared" si="112"/>
        <v>17.328</v>
      </c>
      <c r="Y2319" s="67">
        <f t="shared" si="113"/>
        <v>125.628</v>
      </c>
      <c r="Z2319" s="67">
        <f t="shared" si="99"/>
        <v>102.6</v>
      </c>
      <c r="AA2319" s="67">
        <f t="shared" si="114"/>
        <v>16.416</v>
      </c>
      <c r="AB2319" s="67">
        <f t="shared" si="115"/>
        <v>119.016</v>
      </c>
      <c r="AC2319" s="67">
        <f t="shared" si="102"/>
        <v>96.9</v>
      </c>
      <c r="AD2319" s="67">
        <f t="shared" si="116"/>
        <v>15.504</v>
      </c>
      <c r="AE2319" s="67">
        <f t="shared" si="117"/>
        <v>112.404</v>
      </c>
      <c r="AF2319" s="67">
        <f t="shared" si="105"/>
        <v>94.62</v>
      </c>
      <c r="AG2319" s="67">
        <f t="shared" si="118"/>
        <v>15.1392</v>
      </c>
      <c r="AH2319" s="67">
        <f t="shared" si="119"/>
        <v>109.7592</v>
      </c>
      <c r="AI2319" s="67">
        <f t="shared" si="108"/>
        <v>91.2</v>
      </c>
      <c r="AJ2319" s="68">
        <f t="shared" si="120"/>
        <v>14.592</v>
      </c>
      <c r="AK2319" s="68">
        <f t="shared" si="121"/>
        <v>105.792</v>
      </c>
      <c r="AL2319" s="70"/>
      <c r="AM2319" s="70"/>
      <c r="AN2319" s="71"/>
      <c r="AO2319" s="71"/>
      <c r="AP2319" s="71"/>
      <c r="AQ2319" s="71"/>
      <c r="AR2319" s="71"/>
      <c r="AS2319" s="71"/>
      <c r="AT2319" s="71"/>
      <c r="AU2319" s="71"/>
      <c r="AV2319" s="71"/>
      <c r="AW2319" s="71"/>
      <c r="AX2319" s="71"/>
      <c r="AY2319" s="71"/>
      <c r="AZ2319" s="71"/>
      <c r="BA2319" s="71"/>
      <c r="BB2319" s="71"/>
      <c r="BC2319" s="71"/>
      <c r="BD2319" s="71"/>
      <c r="BE2319" s="71"/>
      <c r="BF2319" s="71"/>
      <c r="BG2319" s="71"/>
      <c r="BH2319" s="71"/>
      <c r="BI2319" s="71"/>
      <c r="BJ2319" s="71"/>
      <c r="BK2319" s="71"/>
      <c r="BL2319" s="71"/>
      <c r="BM2319" s="71"/>
      <c r="BN2319" s="71"/>
      <c r="BO2319" s="71"/>
      <c r="BP2319" s="71"/>
      <c r="BQ2319" s="71"/>
      <c r="BR2319" s="71"/>
      <c r="BS2319" s="71"/>
      <c r="BT2319" s="71"/>
      <c r="BU2319" s="71"/>
      <c r="BV2319" s="71"/>
    </row>
    <row r="2320">
      <c r="A2320" s="53">
        <v>1.0</v>
      </c>
      <c r="B2320" s="53"/>
      <c r="C2320" s="73" t="s">
        <v>53</v>
      </c>
      <c r="D2320" s="74" t="s">
        <v>5681</v>
      </c>
      <c r="E2320" s="54" t="s">
        <v>38</v>
      </c>
      <c r="F2320" s="54" t="s">
        <v>42</v>
      </c>
      <c r="G2320" s="88" t="s">
        <v>5682</v>
      </c>
      <c r="H2320" s="54" t="s">
        <v>5683</v>
      </c>
      <c r="I2320" s="54">
        <f t="shared" si="24"/>
        <v>23</v>
      </c>
      <c r="J2320" s="56"/>
      <c r="K2320" s="57"/>
      <c r="L2320" s="87"/>
      <c r="M2320" s="59"/>
      <c r="N2320" s="60">
        <v>84.0</v>
      </c>
      <c r="O2320" s="61">
        <v>90.0</v>
      </c>
      <c r="P2320" s="62">
        <v>97.2</v>
      </c>
      <c r="Q2320" s="63">
        <v>97.2</v>
      </c>
      <c r="R2320" s="64">
        <v>110.0</v>
      </c>
      <c r="S2320" s="111">
        <v>116.0</v>
      </c>
      <c r="T2320" s="65">
        <f t="shared" si="93"/>
        <v>18.56</v>
      </c>
      <c r="U2320" s="65">
        <f t="shared" si="94"/>
        <v>134.56</v>
      </c>
      <c r="V2320" s="66">
        <f t="shared" si="122"/>
        <v>0.05454545455</v>
      </c>
      <c r="W2320" s="67">
        <f t="shared" si="96"/>
        <v>110.2</v>
      </c>
      <c r="X2320" s="67">
        <f t="shared" si="112"/>
        <v>17.632</v>
      </c>
      <c r="Y2320" s="67">
        <f t="shared" si="113"/>
        <v>127.832</v>
      </c>
      <c r="Z2320" s="67">
        <f t="shared" si="99"/>
        <v>104.4</v>
      </c>
      <c r="AA2320" s="67">
        <f t="shared" si="114"/>
        <v>16.704</v>
      </c>
      <c r="AB2320" s="67">
        <f t="shared" si="115"/>
        <v>121.104</v>
      </c>
      <c r="AC2320" s="67">
        <f t="shared" si="102"/>
        <v>98.6</v>
      </c>
      <c r="AD2320" s="67">
        <f t="shared" si="116"/>
        <v>15.776</v>
      </c>
      <c r="AE2320" s="67">
        <f t="shared" si="117"/>
        <v>114.376</v>
      </c>
      <c r="AF2320" s="67">
        <f t="shared" si="105"/>
        <v>96.28</v>
      </c>
      <c r="AG2320" s="67">
        <f t="shared" si="118"/>
        <v>15.4048</v>
      </c>
      <c r="AH2320" s="67">
        <f t="shared" si="119"/>
        <v>111.6848</v>
      </c>
      <c r="AI2320" s="67">
        <f t="shared" si="108"/>
        <v>92.8</v>
      </c>
      <c r="AJ2320" s="68">
        <f t="shared" si="120"/>
        <v>14.848</v>
      </c>
      <c r="AK2320" s="68">
        <f t="shared" si="121"/>
        <v>107.648</v>
      </c>
      <c r="AL2320" s="70"/>
      <c r="AM2320" s="70"/>
      <c r="AN2320" s="71"/>
      <c r="AO2320" s="71"/>
      <c r="AP2320" s="71"/>
      <c r="AQ2320" s="71"/>
      <c r="AR2320" s="71"/>
      <c r="AS2320" s="71"/>
      <c r="AT2320" s="71"/>
      <c r="AU2320" s="71"/>
      <c r="AV2320" s="71"/>
      <c r="AW2320" s="71"/>
      <c r="AX2320" s="71"/>
      <c r="AY2320" s="71"/>
      <c r="AZ2320" s="71"/>
      <c r="BA2320" s="71"/>
      <c r="BB2320" s="71"/>
      <c r="BC2320" s="71"/>
      <c r="BD2320" s="71"/>
      <c r="BE2320" s="71"/>
      <c r="BF2320" s="71"/>
      <c r="BG2320" s="71"/>
      <c r="BH2320" s="71"/>
      <c r="BI2320" s="71"/>
      <c r="BJ2320" s="71"/>
      <c r="BK2320" s="71"/>
      <c r="BL2320" s="71"/>
      <c r="BM2320" s="71"/>
      <c r="BN2320" s="71"/>
      <c r="BO2320" s="71"/>
      <c r="BP2320" s="71"/>
      <c r="BQ2320" s="71"/>
      <c r="BR2320" s="71"/>
      <c r="BS2320" s="71"/>
      <c r="BT2320" s="71"/>
      <c r="BU2320" s="71"/>
      <c r="BV2320" s="71"/>
    </row>
    <row r="2321">
      <c r="A2321" s="53"/>
      <c r="B2321" s="53"/>
      <c r="C2321" s="73" t="s">
        <v>53</v>
      </c>
      <c r="D2321" s="53" t="s">
        <v>5684</v>
      </c>
      <c r="E2321" s="54" t="s">
        <v>38</v>
      </c>
      <c r="F2321" s="55" t="s">
        <v>309</v>
      </c>
      <c r="G2321" s="54" t="s">
        <v>5682</v>
      </c>
      <c r="H2321" s="55"/>
      <c r="I2321" s="54">
        <f t="shared" si="24"/>
        <v>0</v>
      </c>
      <c r="J2321" s="56"/>
      <c r="K2321" s="57"/>
      <c r="L2321" s="76"/>
      <c r="M2321" s="59"/>
      <c r="N2321" s="60"/>
      <c r="O2321" s="90">
        <v>90.0</v>
      </c>
      <c r="P2321" s="62">
        <v>97.2</v>
      </c>
      <c r="Q2321" s="63">
        <v>97.2</v>
      </c>
      <c r="R2321" s="64">
        <v>110.0</v>
      </c>
      <c r="S2321" s="111">
        <v>116.0</v>
      </c>
      <c r="T2321" s="65">
        <f t="shared" si="93"/>
        <v>18.56</v>
      </c>
      <c r="U2321" s="65">
        <f t="shared" si="94"/>
        <v>134.56</v>
      </c>
      <c r="V2321" s="66">
        <f t="shared" si="122"/>
        <v>0.05454545455</v>
      </c>
      <c r="W2321" s="67">
        <f t="shared" si="96"/>
        <v>110.2</v>
      </c>
      <c r="X2321" s="67">
        <f t="shared" si="112"/>
        <v>17.632</v>
      </c>
      <c r="Y2321" s="67">
        <f t="shared" si="113"/>
        <v>127.832</v>
      </c>
      <c r="Z2321" s="67">
        <f t="shared" si="99"/>
        <v>104.4</v>
      </c>
      <c r="AA2321" s="67">
        <f t="shared" si="114"/>
        <v>16.704</v>
      </c>
      <c r="AB2321" s="67">
        <f t="shared" si="115"/>
        <v>121.104</v>
      </c>
      <c r="AC2321" s="67">
        <f t="shared" si="102"/>
        <v>98.6</v>
      </c>
      <c r="AD2321" s="67">
        <f t="shared" si="116"/>
        <v>15.776</v>
      </c>
      <c r="AE2321" s="67">
        <f t="shared" si="117"/>
        <v>114.376</v>
      </c>
      <c r="AF2321" s="67">
        <f t="shared" si="105"/>
        <v>96.28</v>
      </c>
      <c r="AG2321" s="67">
        <f t="shared" si="118"/>
        <v>15.4048</v>
      </c>
      <c r="AH2321" s="67">
        <f t="shared" si="119"/>
        <v>111.6848</v>
      </c>
      <c r="AI2321" s="67">
        <f t="shared" si="108"/>
        <v>92.8</v>
      </c>
      <c r="AJ2321" s="68">
        <f t="shared" si="120"/>
        <v>14.848</v>
      </c>
      <c r="AK2321" s="68">
        <f t="shared" si="121"/>
        <v>107.648</v>
      </c>
      <c r="AL2321" s="70"/>
      <c r="AM2321" s="70"/>
      <c r="AN2321" s="71"/>
      <c r="AO2321" s="71"/>
      <c r="AP2321" s="71"/>
      <c r="AQ2321" s="71"/>
      <c r="AR2321" s="71"/>
      <c r="AS2321" s="71"/>
      <c r="AT2321" s="71"/>
      <c r="AU2321" s="71"/>
      <c r="AV2321" s="71"/>
      <c r="AW2321" s="71"/>
      <c r="AX2321" s="71"/>
      <c r="AY2321" s="71"/>
      <c r="AZ2321" s="71"/>
      <c r="BA2321" s="71"/>
      <c r="BB2321" s="71"/>
      <c r="BC2321" s="71"/>
      <c r="BD2321" s="71"/>
      <c r="BE2321" s="71"/>
      <c r="BF2321" s="71"/>
      <c r="BG2321" s="71"/>
      <c r="BH2321" s="71"/>
      <c r="BI2321" s="71"/>
      <c r="BJ2321" s="71"/>
      <c r="BK2321" s="71"/>
      <c r="BL2321" s="71"/>
      <c r="BM2321" s="71"/>
      <c r="BN2321" s="71"/>
      <c r="BO2321" s="71"/>
      <c r="BP2321" s="71"/>
      <c r="BQ2321" s="71"/>
      <c r="BR2321" s="71"/>
      <c r="BS2321" s="71"/>
      <c r="BT2321" s="71"/>
      <c r="BU2321" s="71"/>
      <c r="BV2321" s="71"/>
    </row>
    <row r="2322">
      <c r="A2322" s="53"/>
      <c r="B2322" s="53"/>
      <c r="C2322" s="73" t="s">
        <v>53</v>
      </c>
      <c r="D2322" s="53" t="s">
        <v>5685</v>
      </c>
      <c r="E2322" s="54" t="s">
        <v>38</v>
      </c>
      <c r="F2322" s="54" t="s">
        <v>42</v>
      </c>
      <c r="G2322" s="54" t="s">
        <v>5686</v>
      </c>
      <c r="H2322" s="54" t="s">
        <v>5687</v>
      </c>
      <c r="I2322" s="54">
        <f t="shared" si="24"/>
        <v>40</v>
      </c>
      <c r="J2322" s="56"/>
      <c r="K2322" s="57"/>
      <c r="L2322" s="87"/>
      <c r="M2322" s="59"/>
      <c r="N2322" s="60"/>
      <c r="O2322" s="61">
        <v>1650.0</v>
      </c>
      <c r="P2322" s="62">
        <v>1782.0000000000002</v>
      </c>
      <c r="Q2322" s="63">
        <v>1782.0000000000002</v>
      </c>
      <c r="R2322" s="64">
        <v>1872.0</v>
      </c>
      <c r="S2322" s="111">
        <v>1966.0</v>
      </c>
      <c r="T2322" s="65">
        <f t="shared" si="93"/>
        <v>314.56</v>
      </c>
      <c r="U2322" s="65">
        <f t="shared" si="94"/>
        <v>2280.56</v>
      </c>
      <c r="V2322" s="66">
        <f t="shared" si="122"/>
        <v>0.05021367521</v>
      </c>
      <c r="W2322" s="67">
        <f t="shared" si="96"/>
        <v>1867.7</v>
      </c>
      <c r="X2322" s="67">
        <f t="shared" si="112"/>
        <v>298.832</v>
      </c>
      <c r="Y2322" s="67">
        <f t="shared" si="113"/>
        <v>2166.532</v>
      </c>
      <c r="Z2322" s="67">
        <f t="shared" si="99"/>
        <v>1769.4</v>
      </c>
      <c r="AA2322" s="67">
        <f t="shared" si="114"/>
        <v>283.104</v>
      </c>
      <c r="AB2322" s="67">
        <f t="shared" si="115"/>
        <v>2052.504</v>
      </c>
      <c r="AC2322" s="67">
        <f t="shared" si="102"/>
        <v>1671.1</v>
      </c>
      <c r="AD2322" s="67">
        <f t="shared" si="116"/>
        <v>267.376</v>
      </c>
      <c r="AE2322" s="67">
        <f t="shared" si="117"/>
        <v>1938.476</v>
      </c>
      <c r="AF2322" s="67">
        <f t="shared" si="105"/>
        <v>1631.78</v>
      </c>
      <c r="AG2322" s="67">
        <f t="shared" si="118"/>
        <v>261.0848</v>
      </c>
      <c r="AH2322" s="67">
        <f t="shared" si="119"/>
        <v>1892.8648</v>
      </c>
      <c r="AI2322" s="67">
        <f t="shared" si="108"/>
        <v>1572.8</v>
      </c>
      <c r="AJ2322" s="68">
        <f t="shared" si="120"/>
        <v>251.648</v>
      </c>
      <c r="AK2322" s="68">
        <f t="shared" si="121"/>
        <v>1824.448</v>
      </c>
      <c r="AL2322" s="70"/>
      <c r="AM2322" s="70"/>
      <c r="AN2322" s="71"/>
      <c r="AO2322" s="71"/>
      <c r="AP2322" s="71"/>
      <c r="AQ2322" s="71"/>
      <c r="AR2322" s="71"/>
      <c r="AS2322" s="71"/>
      <c r="AT2322" s="71"/>
      <c r="AU2322" s="71"/>
      <c r="AV2322" s="71"/>
      <c r="AW2322" s="71"/>
      <c r="AX2322" s="71"/>
      <c r="AY2322" s="71"/>
      <c r="AZ2322" s="71"/>
      <c r="BA2322" s="71"/>
      <c r="BB2322" s="71"/>
      <c r="BC2322" s="71"/>
      <c r="BD2322" s="71"/>
      <c r="BE2322" s="71"/>
      <c r="BF2322" s="71"/>
      <c r="BG2322" s="71"/>
      <c r="BH2322" s="71"/>
      <c r="BI2322" s="71"/>
      <c r="BJ2322" s="71"/>
      <c r="BK2322" s="71"/>
      <c r="BL2322" s="71"/>
      <c r="BM2322" s="71"/>
      <c r="BN2322" s="71"/>
      <c r="BO2322" s="71"/>
      <c r="BP2322" s="71"/>
      <c r="BQ2322" s="71"/>
      <c r="BR2322" s="71"/>
      <c r="BS2322" s="71"/>
      <c r="BT2322" s="71"/>
      <c r="BU2322" s="71"/>
      <c r="BV2322" s="71"/>
    </row>
    <row r="2323">
      <c r="A2323" s="53"/>
      <c r="B2323" s="53">
        <v>1.0</v>
      </c>
      <c r="C2323" s="73" t="s">
        <v>53</v>
      </c>
      <c r="D2323" s="53" t="s">
        <v>5688</v>
      </c>
      <c r="E2323" s="54" t="s">
        <v>38</v>
      </c>
      <c r="F2323" s="54" t="s">
        <v>42</v>
      </c>
      <c r="G2323" s="54" t="s">
        <v>5689</v>
      </c>
      <c r="H2323" s="54" t="s">
        <v>5689</v>
      </c>
      <c r="I2323" s="54">
        <f t="shared" si="24"/>
        <v>31</v>
      </c>
      <c r="J2323" s="56"/>
      <c r="K2323" s="57"/>
      <c r="L2323" s="76"/>
      <c r="M2323" s="59"/>
      <c r="N2323" s="60"/>
      <c r="O2323" s="61">
        <v>145.0</v>
      </c>
      <c r="P2323" s="62">
        <v>156.60000000000002</v>
      </c>
      <c r="Q2323" s="63">
        <v>156.60000000000002</v>
      </c>
      <c r="R2323" s="64">
        <v>165.0</v>
      </c>
      <c r="S2323" s="107">
        <v>173.0</v>
      </c>
      <c r="T2323" s="65">
        <f t="shared" si="93"/>
        <v>27.68</v>
      </c>
      <c r="U2323" s="65">
        <f t="shared" si="94"/>
        <v>200.68</v>
      </c>
      <c r="V2323" s="66">
        <f t="shared" si="122"/>
        <v>0.04848484848</v>
      </c>
      <c r="W2323" s="67">
        <f t="shared" si="96"/>
        <v>164.35</v>
      </c>
      <c r="X2323" s="67">
        <f t="shared" si="112"/>
        <v>26.296</v>
      </c>
      <c r="Y2323" s="67">
        <f t="shared" si="113"/>
        <v>190.646</v>
      </c>
      <c r="Z2323" s="67">
        <f t="shared" si="99"/>
        <v>155.7</v>
      </c>
      <c r="AA2323" s="67">
        <f t="shared" si="114"/>
        <v>24.912</v>
      </c>
      <c r="AB2323" s="67">
        <f t="shared" si="115"/>
        <v>180.612</v>
      </c>
      <c r="AC2323" s="67">
        <f t="shared" si="102"/>
        <v>147.05</v>
      </c>
      <c r="AD2323" s="67">
        <f t="shared" si="116"/>
        <v>23.528</v>
      </c>
      <c r="AE2323" s="67">
        <f t="shared" si="117"/>
        <v>170.578</v>
      </c>
      <c r="AF2323" s="67">
        <f t="shared" si="105"/>
        <v>143.59</v>
      </c>
      <c r="AG2323" s="67">
        <f t="shared" si="118"/>
        <v>22.9744</v>
      </c>
      <c r="AH2323" s="67">
        <f t="shared" si="119"/>
        <v>166.5644</v>
      </c>
      <c r="AI2323" s="67">
        <f t="shared" si="108"/>
        <v>138.4</v>
      </c>
      <c r="AJ2323" s="68">
        <f t="shared" si="120"/>
        <v>22.144</v>
      </c>
      <c r="AK2323" s="68">
        <f t="shared" si="121"/>
        <v>160.544</v>
      </c>
      <c r="AL2323" s="70"/>
      <c r="AM2323" s="70"/>
      <c r="AN2323" s="71"/>
      <c r="AO2323" s="71"/>
      <c r="AP2323" s="71"/>
      <c r="AQ2323" s="71"/>
      <c r="AR2323" s="71"/>
      <c r="AS2323" s="71"/>
      <c r="AT2323" s="71"/>
      <c r="AU2323" s="71"/>
      <c r="AV2323" s="71"/>
      <c r="AW2323" s="71"/>
      <c r="AX2323" s="71"/>
      <c r="AY2323" s="71"/>
      <c r="AZ2323" s="71"/>
      <c r="BA2323" s="71"/>
      <c r="BB2323" s="71"/>
      <c r="BC2323" s="71"/>
      <c r="BD2323" s="71"/>
      <c r="BE2323" s="71"/>
      <c r="BF2323" s="71"/>
      <c r="BG2323" s="71"/>
      <c r="BH2323" s="71"/>
      <c r="BI2323" s="71"/>
      <c r="BJ2323" s="71"/>
      <c r="BK2323" s="71"/>
      <c r="BL2323" s="71"/>
      <c r="BM2323" s="71"/>
      <c r="BN2323" s="71"/>
      <c r="BO2323" s="71"/>
      <c r="BP2323" s="71"/>
      <c r="BQ2323" s="71"/>
      <c r="BR2323" s="71"/>
      <c r="BS2323" s="71"/>
      <c r="BT2323" s="71"/>
      <c r="BU2323" s="71"/>
      <c r="BV2323" s="71"/>
    </row>
    <row r="2324">
      <c r="A2324" s="53">
        <v>1.0</v>
      </c>
      <c r="B2324" s="53"/>
      <c r="C2324" s="73" t="s">
        <v>53</v>
      </c>
      <c r="D2324" s="74" t="s">
        <v>5690</v>
      </c>
      <c r="E2324" s="54" t="s">
        <v>38</v>
      </c>
      <c r="F2324" s="54" t="s">
        <v>42</v>
      </c>
      <c r="G2324" s="88" t="s">
        <v>5691</v>
      </c>
      <c r="H2324" s="54" t="s">
        <v>5692</v>
      </c>
      <c r="I2324" s="54">
        <f t="shared" si="24"/>
        <v>38</v>
      </c>
      <c r="J2324" s="56"/>
      <c r="K2324" s="57"/>
      <c r="L2324" s="76"/>
      <c r="M2324" s="59"/>
      <c r="N2324" s="60">
        <v>1061.0</v>
      </c>
      <c r="O2324" s="61">
        <v>1145.0</v>
      </c>
      <c r="P2324" s="62">
        <v>1236.6000000000001</v>
      </c>
      <c r="Q2324" s="63">
        <v>1236.6000000000001</v>
      </c>
      <c r="R2324" s="64">
        <v>1733.0</v>
      </c>
      <c r="S2324" s="111">
        <v>1820.0</v>
      </c>
      <c r="T2324" s="65">
        <f t="shared" si="93"/>
        <v>291.2</v>
      </c>
      <c r="U2324" s="65">
        <f t="shared" si="94"/>
        <v>2111.2</v>
      </c>
      <c r="V2324" s="66">
        <f t="shared" si="122"/>
        <v>0.05020196192</v>
      </c>
      <c r="W2324" s="67">
        <f t="shared" si="96"/>
        <v>1729</v>
      </c>
      <c r="X2324" s="67">
        <f t="shared" si="112"/>
        <v>276.64</v>
      </c>
      <c r="Y2324" s="67">
        <f t="shared" si="113"/>
        <v>2005.64</v>
      </c>
      <c r="Z2324" s="67">
        <f t="shared" si="99"/>
        <v>1638</v>
      </c>
      <c r="AA2324" s="67">
        <f t="shared" si="114"/>
        <v>262.08</v>
      </c>
      <c r="AB2324" s="67">
        <f t="shared" si="115"/>
        <v>1900.08</v>
      </c>
      <c r="AC2324" s="67">
        <f t="shared" si="102"/>
        <v>1547</v>
      </c>
      <c r="AD2324" s="67">
        <f t="shared" si="116"/>
        <v>247.52</v>
      </c>
      <c r="AE2324" s="67">
        <f t="shared" si="117"/>
        <v>1794.52</v>
      </c>
      <c r="AF2324" s="67">
        <f t="shared" si="105"/>
        <v>1510.6</v>
      </c>
      <c r="AG2324" s="67">
        <f t="shared" si="118"/>
        <v>241.696</v>
      </c>
      <c r="AH2324" s="67">
        <f t="shared" si="119"/>
        <v>1752.296</v>
      </c>
      <c r="AI2324" s="67">
        <f t="shared" si="108"/>
        <v>1456</v>
      </c>
      <c r="AJ2324" s="68">
        <f t="shared" si="120"/>
        <v>232.96</v>
      </c>
      <c r="AK2324" s="68">
        <f t="shared" si="121"/>
        <v>1688.96</v>
      </c>
      <c r="AL2324" s="70"/>
      <c r="AM2324" s="70"/>
      <c r="AN2324" s="71"/>
      <c r="AO2324" s="71"/>
      <c r="AP2324" s="71"/>
      <c r="AQ2324" s="71"/>
      <c r="AR2324" s="71"/>
      <c r="AS2324" s="71"/>
      <c r="AT2324" s="71"/>
      <c r="AU2324" s="71"/>
      <c r="AV2324" s="71"/>
      <c r="AW2324" s="71"/>
      <c r="AX2324" s="71"/>
      <c r="AY2324" s="71"/>
      <c r="AZ2324" s="71"/>
      <c r="BA2324" s="71"/>
      <c r="BB2324" s="71"/>
      <c r="BC2324" s="71"/>
      <c r="BD2324" s="71"/>
      <c r="BE2324" s="71"/>
      <c r="BF2324" s="71"/>
      <c r="BG2324" s="71"/>
      <c r="BH2324" s="71"/>
      <c r="BI2324" s="71"/>
      <c r="BJ2324" s="71"/>
      <c r="BK2324" s="71"/>
      <c r="BL2324" s="71"/>
      <c r="BM2324" s="71"/>
      <c r="BN2324" s="71"/>
      <c r="BO2324" s="71"/>
      <c r="BP2324" s="71"/>
      <c r="BQ2324" s="71"/>
      <c r="BR2324" s="71"/>
      <c r="BS2324" s="71"/>
      <c r="BT2324" s="71"/>
      <c r="BU2324" s="71"/>
      <c r="BV2324" s="71"/>
    </row>
    <row r="2325">
      <c r="A2325" s="53"/>
      <c r="B2325" s="53"/>
      <c r="C2325" s="73" t="s">
        <v>53</v>
      </c>
      <c r="D2325" s="53" t="s">
        <v>5693</v>
      </c>
      <c r="E2325" s="54" t="s">
        <v>38</v>
      </c>
      <c r="F2325" s="54" t="s">
        <v>42</v>
      </c>
      <c r="G2325" s="55" t="s">
        <v>5694</v>
      </c>
      <c r="H2325" s="54" t="s">
        <v>5695</v>
      </c>
      <c r="I2325" s="54">
        <f t="shared" si="24"/>
        <v>35</v>
      </c>
      <c r="J2325" s="56"/>
      <c r="K2325" s="57"/>
      <c r="L2325" s="87"/>
      <c r="M2325" s="59"/>
      <c r="N2325" s="79"/>
      <c r="O2325" s="61">
        <v>3200.0</v>
      </c>
      <c r="P2325" s="62">
        <v>3456.0</v>
      </c>
      <c r="Q2325" s="63">
        <v>3456.0</v>
      </c>
      <c r="R2325" s="64">
        <v>3629.0</v>
      </c>
      <c r="S2325" s="111">
        <v>3810.0</v>
      </c>
      <c r="T2325" s="65">
        <f t="shared" si="93"/>
        <v>609.6</v>
      </c>
      <c r="U2325" s="65">
        <f t="shared" si="94"/>
        <v>4419.6</v>
      </c>
      <c r="V2325" s="66">
        <f t="shared" si="122"/>
        <v>0.0498759989</v>
      </c>
      <c r="W2325" s="67">
        <f t="shared" si="96"/>
        <v>3619.5</v>
      </c>
      <c r="X2325" s="67">
        <f t="shared" si="112"/>
        <v>579.12</v>
      </c>
      <c r="Y2325" s="67">
        <f t="shared" si="113"/>
        <v>4198.62</v>
      </c>
      <c r="Z2325" s="67">
        <f t="shared" si="99"/>
        <v>3429</v>
      </c>
      <c r="AA2325" s="67">
        <f t="shared" si="114"/>
        <v>548.64</v>
      </c>
      <c r="AB2325" s="67">
        <f t="shared" si="115"/>
        <v>3977.64</v>
      </c>
      <c r="AC2325" s="67">
        <f t="shared" si="102"/>
        <v>3238.5</v>
      </c>
      <c r="AD2325" s="67">
        <f t="shared" si="116"/>
        <v>518.16</v>
      </c>
      <c r="AE2325" s="67">
        <f t="shared" si="117"/>
        <v>3756.66</v>
      </c>
      <c r="AF2325" s="67">
        <f t="shared" si="105"/>
        <v>3162.3</v>
      </c>
      <c r="AG2325" s="67">
        <f t="shared" si="118"/>
        <v>505.968</v>
      </c>
      <c r="AH2325" s="67">
        <f t="shared" si="119"/>
        <v>3668.268</v>
      </c>
      <c r="AI2325" s="67">
        <f t="shared" si="108"/>
        <v>3048</v>
      </c>
      <c r="AJ2325" s="68">
        <f t="shared" si="120"/>
        <v>487.68</v>
      </c>
      <c r="AK2325" s="68">
        <f t="shared" si="121"/>
        <v>3535.68</v>
      </c>
      <c r="AL2325" s="70"/>
      <c r="AM2325" s="70"/>
      <c r="AN2325" s="71"/>
      <c r="AO2325" s="71"/>
      <c r="AP2325" s="71"/>
      <c r="AQ2325" s="71"/>
      <c r="AR2325" s="71"/>
      <c r="AS2325" s="71"/>
      <c r="AT2325" s="71"/>
      <c r="AU2325" s="71"/>
      <c r="AV2325" s="71"/>
      <c r="AW2325" s="71"/>
      <c r="AX2325" s="71"/>
      <c r="AY2325" s="71"/>
      <c r="AZ2325" s="71"/>
      <c r="BA2325" s="71"/>
      <c r="BB2325" s="71"/>
      <c r="BC2325" s="71"/>
      <c r="BD2325" s="71"/>
      <c r="BE2325" s="71"/>
      <c r="BF2325" s="71"/>
      <c r="BG2325" s="71"/>
      <c r="BH2325" s="71"/>
      <c r="BI2325" s="71"/>
      <c r="BJ2325" s="71"/>
      <c r="BK2325" s="71"/>
      <c r="BL2325" s="71"/>
      <c r="BM2325" s="71"/>
      <c r="BN2325" s="71"/>
      <c r="BO2325" s="71"/>
      <c r="BP2325" s="71"/>
      <c r="BQ2325" s="71"/>
      <c r="BR2325" s="71"/>
      <c r="BS2325" s="71"/>
      <c r="BT2325" s="71"/>
      <c r="BU2325" s="71"/>
      <c r="BV2325" s="71"/>
    </row>
    <row r="2326">
      <c r="A2326" s="53"/>
      <c r="B2326" s="53"/>
      <c r="C2326" s="73" t="s">
        <v>53</v>
      </c>
      <c r="D2326" s="53" t="s">
        <v>5696</v>
      </c>
      <c r="E2326" s="54" t="s">
        <v>38</v>
      </c>
      <c r="F2326" s="54" t="s">
        <v>42</v>
      </c>
      <c r="G2326" s="55" t="s">
        <v>5697</v>
      </c>
      <c r="H2326" s="54" t="s">
        <v>5698</v>
      </c>
      <c r="I2326" s="54">
        <f t="shared" si="24"/>
        <v>36</v>
      </c>
      <c r="J2326" s="56"/>
      <c r="K2326" s="57"/>
      <c r="L2326" s="87"/>
      <c r="M2326" s="59"/>
      <c r="N2326" s="79"/>
      <c r="O2326" s="61">
        <v>3200.0</v>
      </c>
      <c r="P2326" s="62">
        <v>3456.0</v>
      </c>
      <c r="Q2326" s="63">
        <v>3456.0</v>
      </c>
      <c r="R2326" s="64">
        <v>3629.0</v>
      </c>
      <c r="S2326" s="111">
        <v>3810.0</v>
      </c>
      <c r="T2326" s="65">
        <f t="shared" si="93"/>
        <v>609.6</v>
      </c>
      <c r="U2326" s="65">
        <f t="shared" si="94"/>
        <v>4419.6</v>
      </c>
      <c r="V2326" s="66">
        <f t="shared" si="122"/>
        <v>0.0498759989</v>
      </c>
      <c r="W2326" s="67">
        <f t="shared" si="96"/>
        <v>3619.5</v>
      </c>
      <c r="X2326" s="67">
        <f t="shared" si="112"/>
        <v>579.12</v>
      </c>
      <c r="Y2326" s="67">
        <f t="shared" si="113"/>
        <v>4198.62</v>
      </c>
      <c r="Z2326" s="67">
        <f t="shared" si="99"/>
        <v>3429</v>
      </c>
      <c r="AA2326" s="67">
        <f t="shared" si="114"/>
        <v>548.64</v>
      </c>
      <c r="AB2326" s="67">
        <f t="shared" si="115"/>
        <v>3977.64</v>
      </c>
      <c r="AC2326" s="67">
        <f t="shared" si="102"/>
        <v>3238.5</v>
      </c>
      <c r="AD2326" s="67">
        <f t="shared" si="116"/>
        <v>518.16</v>
      </c>
      <c r="AE2326" s="67">
        <f t="shared" si="117"/>
        <v>3756.66</v>
      </c>
      <c r="AF2326" s="67">
        <f t="shared" si="105"/>
        <v>3162.3</v>
      </c>
      <c r="AG2326" s="67">
        <f t="shared" si="118"/>
        <v>505.968</v>
      </c>
      <c r="AH2326" s="67">
        <f t="shared" si="119"/>
        <v>3668.268</v>
      </c>
      <c r="AI2326" s="67">
        <f t="shared" si="108"/>
        <v>3048</v>
      </c>
      <c r="AJ2326" s="68">
        <f t="shared" si="120"/>
        <v>487.68</v>
      </c>
      <c r="AK2326" s="68">
        <f t="shared" si="121"/>
        <v>3535.68</v>
      </c>
      <c r="AL2326" s="70"/>
      <c r="AM2326" s="70"/>
      <c r="AN2326" s="71"/>
      <c r="AO2326" s="71"/>
      <c r="AP2326" s="71"/>
      <c r="AQ2326" s="71"/>
      <c r="AR2326" s="71"/>
      <c r="AS2326" s="71"/>
      <c r="AT2326" s="71"/>
      <c r="AU2326" s="71"/>
      <c r="AV2326" s="71"/>
      <c r="AW2326" s="71"/>
      <c r="AX2326" s="71"/>
      <c r="AY2326" s="71"/>
      <c r="AZ2326" s="71"/>
      <c r="BA2326" s="71"/>
      <c r="BB2326" s="71"/>
      <c r="BC2326" s="71"/>
      <c r="BD2326" s="71"/>
      <c r="BE2326" s="71"/>
      <c r="BF2326" s="71"/>
      <c r="BG2326" s="71"/>
      <c r="BH2326" s="71"/>
      <c r="BI2326" s="71"/>
      <c r="BJ2326" s="71"/>
      <c r="BK2326" s="71"/>
      <c r="BL2326" s="71"/>
      <c r="BM2326" s="71"/>
      <c r="BN2326" s="71"/>
      <c r="BO2326" s="71"/>
      <c r="BP2326" s="71"/>
      <c r="BQ2326" s="71"/>
      <c r="BR2326" s="71"/>
      <c r="BS2326" s="71"/>
      <c r="BT2326" s="71"/>
      <c r="BU2326" s="71"/>
      <c r="BV2326" s="71"/>
    </row>
    <row r="2327">
      <c r="A2327" s="53"/>
      <c r="B2327" s="53"/>
      <c r="C2327" s="73" t="s">
        <v>53</v>
      </c>
      <c r="D2327" s="53" t="s">
        <v>5699</v>
      </c>
      <c r="E2327" s="54" t="s">
        <v>38</v>
      </c>
      <c r="F2327" s="54" t="s">
        <v>42</v>
      </c>
      <c r="G2327" s="55" t="s">
        <v>5700</v>
      </c>
      <c r="H2327" s="54" t="s">
        <v>5701</v>
      </c>
      <c r="I2327" s="54">
        <f t="shared" si="24"/>
        <v>39</v>
      </c>
      <c r="J2327" s="56"/>
      <c r="K2327" s="57"/>
      <c r="L2327" s="87"/>
      <c r="M2327" s="59"/>
      <c r="N2327" s="79"/>
      <c r="O2327" s="61">
        <v>3950.0</v>
      </c>
      <c r="P2327" s="62">
        <v>4266.0</v>
      </c>
      <c r="Q2327" s="63">
        <v>4266.0</v>
      </c>
      <c r="R2327" s="64">
        <v>4480.0</v>
      </c>
      <c r="S2327" s="111">
        <v>4704.0</v>
      </c>
      <c r="T2327" s="65">
        <f t="shared" si="93"/>
        <v>752.64</v>
      </c>
      <c r="U2327" s="65">
        <f t="shared" si="94"/>
        <v>5456.64</v>
      </c>
      <c r="V2327" s="66">
        <f t="shared" si="122"/>
        <v>0.05</v>
      </c>
      <c r="W2327" s="67">
        <f t="shared" si="96"/>
        <v>4468.8</v>
      </c>
      <c r="X2327" s="67">
        <f t="shared" si="112"/>
        <v>715.008</v>
      </c>
      <c r="Y2327" s="67">
        <f t="shared" si="113"/>
        <v>5183.808</v>
      </c>
      <c r="Z2327" s="67">
        <f t="shared" si="99"/>
        <v>4233.6</v>
      </c>
      <c r="AA2327" s="67">
        <f t="shared" si="114"/>
        <v>677.376</v>
      </c>
      <c r="AB2327" s="67">
        <f t="shared" si="115"/>
        <v>4910.976</v>
      </c>
      <c r="AC2327" s="67">
        <f t="shared" si="102"/>
        <v>3998.4</v>
      </c>
      <c r="AD2327" s="67">
        <f t="shared" si="116"/>
        <v>639.744</v>
      </c>
      <c r="AE2327" s="67">
        <f t="shared" si="117"/>
        <v>4638.144</v>
      </c>
      <c r="AF2327" s="67">
        <f t="shared" si="105"/>
        <v>3904.32</v>
      </c>
      <c r="AG2327" s="67">
        <f t="shared" si="118"/>
        <v>624.6912</v>
      </c>
      <c r="AH2327" s="67">
        <f t="shared" si="119"/>
        <v>4529.0112</v>
      </c>
      <c r="AI2327" s="67">
        <f t="shared" si="108"/>
        <v>3763.2</v>
      </c>
      <c r="AJ2327" s="68">
        <f t="shared" si="120"/>
        <v>602.112</v>
      </c>
      <c r="AK2327" s="68">
        <f t="shared" si="121"/>
        <v>4365.312</v>
      </c>
      <c r="AL2327" s="70"/>
      <c r="AM2327" s="70"/>
      <c r="AN2327" s="71"/>
      <c r="AO2327" s="71"/>
      <c r="AP2327" s="71"/>
      <c r="AQ2327" s="71"/>
      <c r="AR2327" s="71"/>
      <c r="AS2327" s="71"/>
      <c r="AT2327" s="71"/>
      <c r="AU2327" s="71"/>
      <c r="AV2327" s="71"/>
      <c r="AW2327" s="71"/>
      <c r="AX2327" s="71"/>
      <c r="AY2327" s="71"/>
      <c r="AZ2327" s="71"/>
      <c r="BA2327" s="71"/>
      <c r="BB2327" s="71"/>
      <c r="BC2327" s="71"/>
      <c r="BD2327" s="71"/>
      <c r="BE2327" s="71"/>
      <c r="BF2327" s="71"/>
      <c r="BG2327" s="71"/>
      <c r="BH2327" s="71"/>
      <c r="BI2327" s="71"/>
      <c r="BJ2327" s="71"/>
      <c r="BK2327" s="71"/>
      <c r="BL2327" s="71"/>
      <c r="BM2327" s="71"/>
      <c r="BN2327" s="71"/>
      <c r="BO2327" s="71"/>
      <c r="BP2327" s="71"/>
      <c r="BQ2327" s="71"/>
      <c r="BR2327" s="71"/>
      <c r="BS2327" s="71"/>
      <c r="BT2327" s="71"/>
      <c r="BU2327" s="71"/>
      <c r="BV2327" s="71"/>
    </row>
    <row r="2328">
      <c r="A2328" s="53"/>
      <c r="B2328" s="53"/>
      <c r="C2328" s="73" t="s">
        <v>53</v>
      </c>
      <c r="D2328" s="53" t="s">
        <v>5702</v>
      </c>
      <c r="E2328" s="54" t="s">
        <v>38</v>
      </c>
      <c r="F2328" s="54" t="s">
        <v>42</v>
      </c>
      <c r="G2328" s="55" t="s">
        <v>5703</v>
      </c>
      <c r="H2328" s="54" t="s">
        <v>5704</v>
      </c>
      <c r="I2328" s="54">
        <f t="shared" si="24"/>
        <v>40</v>
      </c>
      <c r="J2328" s="56"/>
      <c r="K2328" s="57"/>
      <c r="L2328" s="87"/>
      <c r="M2328" s="59"/>
      <c r="N2328" s="79">
        <v>1920.0</v>
      </c>
      <c r="O2328" s="61">
        <v>3950.0</v>
      </c>
      <c r="P2328" s="62">
        <v>4266.0</v>
      </c>
      <c r="Q2328" s="63">
        <v>4266.0</v>
      </c>
      <c r="R2328" s="64">
        <v>4480.0</v>
      </c>
      <c r="S2328" s="111">
        <v>4704.0</v>
      </c>
      <c r="T2328" s="65">
        <f t="shared" si="93"/>
        <v>752.64</v>
      </c>
      <c r="U2328" s="65">
        <f t="shared" si="94"/>
        <v>5456.64</v>
      </c>
      <c r="V2328" s="66">
        <f t="shared" si="122"/>
        <v>0.05</v>
      </c>
      <c r="W2328" s="67">
        <f t="shared" si="96"/>
        <v>4468.8</v>
      </c>
      <c r="X2328" s="67">
        <f t="shared" si="112"/>
        <v>715.008</v>
      </c>
      <c r="Y2328" s="67">
        <f t="shared" si="113"/>
        <v>5183.808</v>
      </c>
      <c r="Z2328" s="67">
        <f t="shared" si="99"/>
        <v>4233.6</v>
      </c>
      <c r="AA2328" s="67">
        <f t="shared" si="114"/>
        <v>677.376</v>
      </c>
      <c r="AB2328" s="67">
        <f t="shared" si="115"/>
        <v>4910.976</v>
      </c>
      <c r="AC2328" s="67">
        <f t="shared" si="102"/>
        <v>3998.4</v>
      </c>
      <c r="AD2328" s="67">
        <f t="shared" si="116"/>
        <v>639.744</v>
      </c>
      <c r="AE2328" s="67">
        <f t="shared" si="117"/>
        <v>4638.144</v>
      </c>
      <c r="AF2328" s="67">
        <f t="shared" si="105"/>
        <v>3904.32</v>
      </c>
      <c r="AG2328" s="67">
        <f t="shared" si="118"/>
        <v>624.6912</v>
      </c>
      <c r="AH2328" s="67">
        <f t="shared" si="119"/>
        <v>4529.0112</v>
      </c>
      <c r="AI2328" s="67">
        <f t="shared" si="108"/>
        <v>3763.2</v>
      </c>
      <c r="AJ2328" s="68">
        <f t="shared" si="120"/>
        <v>602.112</v>
      </c>
      <c r="AK2328" s="68">
        <f t="shared" si="121"/>
        <v>4365.312</v>
      </c>
      <c r="AL2328" s="70"/>
      <c r="AM2328" s="70"/>
      <c r="AN2328" s="71"/>
      <c r="AO2328" s="71"/>
      <c r="AP2328" s="71"/>
      <c r="AQ2328" s="71"/>
      <c r="AR2328" s="71"/>
      <c r="AS2328" s="71"/>
      <c r="AT2328" s="71"/>
      <c r="AU2328" s="71"/>
      <c r="AV2328" s="71"/>
      <c r="AW2328" s="71"/>
      <c r="AX2328" s="71"/>
      <c r="AY2328" s="71"/>
      <c r="AZ2328" s="71"/>
      <c r="BA2328" s="71"/>
      <c r="BB2328" s="71"/>
      <c r="BC2328" s="71"/>
      <c r="BD2328" s="71"/>
      <c r="BE2328" s="71"/>
      <c r="BF2328" s="71"/>
      <c r="BG2328" s="71"/>
      <c r="BH2328" s="71"/>
      <c r="BI2328" s="71"/>
      <c r="BJ2328" s="71"/>
      <c r="BK2328" s="71"/>
      <c r="BL2328" s="71"/>
      <c r="BM2328" s="71"/>
      <c r="BN2328" s="71"/>
      <c r="BO2328" s="71"/>
      <c r="BP2328" s="71"/>
      <c r="BQ2328" s="71"/>
      <c r="BR2328" s="71"/>
      <c r="BS2328" s="71"/>
      <c r="BT2328" s="71"/>
      <c r="BU2328" s="71"/>
      <c r="BV2328" s="71"/>
    </row>
    <row r="2329">
      <c r="A2329" s="53"/>
      <c r="B2329" s="53"/>
      <c r="C2329" s="73" t="s">
        <v>53</v>
      </c>
      <c r="D2329" s="53" t="s">
        <v>5705</v>
      </c>
      <c r="E2329" s="54" t="s">
        <v>38</v>
      </c>
      <c r="F2329" s="54" t="s">
        <v>42</v>
      </c>
      <c r="G2329" s="55" t="s">
        <v>5706</v>
      </c>
      <c r="H2329" s="54" t="s">
        <v>5706</v>
      </c>
      <c r="I2329" s="54">
        <f t="shared" si="24"/>
        <v>32</v>
      </c>
      <c r="J2329" s="56"/>
      <c r="K2329" s="57"/>
      <c r="L2329" s="87"/>
      <c r="M2329" s="59"/>
      <c r="N2329" s="79">
        <v>394.0</v>
      </c>
      <c r="O2329" s="61">
        <v>425.0</v>
      </c>
      <c r="P2329" s="62">
        <v>459.00000000000006</v>
      </c>
      <c r="Q2329" s="63">
        <v>459.00000000000006</v>
      </c>
      <c r="R2329" s="64">
        <v>482.0</v>
      </c>
      <c r="S2329" s="111">
        <v>506.0</v>
      </c>
      <c r="T2329" s="65">
        <f t="shared" si="93"/>
        <v>80.96</v>
      </c>
      <c r="U2329" s="65">
        <f t="shared" si="94"/>
        <v>586.96</v>
      </c>
      <c r="V2329" s="66">
        <f t="shared" si="122"/>
        <v>0.04979253112</v>
      </c>
      <c r="W2329" s="67">
        <f t="shared" si="96"/>
        <v>480.7</v>
      </c>
      <c r="X2329" s="67">
        <f t="shared" si="112"/>
        <v>76.912</v>
      </c>
      <c r="Y2329" s="67">
        <f t="shared" si="113"/>
        <v>557.612</v>
      </c>
      <c r="Z2329" s="67">
        <f t="shared" si="99"/>
        <v>455.4</v>
      </c>
      <c r="AA2329" s="67">
        <f t="shared" si="114"/>
        <v>72.864</v>
      </c>
      <c r="AB2329" s="67">
        <f t="shared" si="115"/>
        <v>528.264</v>
      </c>
      <c r="AC2329" s="67">
        <f t="shared" si="102"/>
        <v>430.1</v>
      </c>
      <c r="AD2329" s="67">
        <f t="shared" si="116"/>
        <v>68.816</v>
      </c>
      <c r="AE2329" s="67">
        <f t="shared" si="117"/>
        <v>498.916</v>
      </c>
      <c r="AF2329" s="67">
        <f t="shared" si="105"/>
        <v>419.98</v>
      </c>
      <c r="AG2329" s="67">
        <f t="shared" si="118"/>
        <v>67.1968</v>
      </c>
      <c r="AH2329" s="67">
        <f t="shared" si="119"/>
        <v>487.1768</v>
      </c>
      <c r="AI2329" s="67">
        <f t="shared" si="108"/>
        <v>404.8</v>
      </c>
      <c r="AJ2329" s="68">
        <f t="shared" si="120"/>
        <v>64.768</v>
      </c>
      <c r="AK2329" s="68">
        <f t="shared" si="121"/>
        <v>469.568</v>
      </c>
      <c r="AL2329" s="70"/>
      <c r="AM2329" s="70"/>
      <c r="AN2329" s="71"/>
      <c r="AO2329" s="71"/>
      <c r="AP2329" s="71"/>
      <c r="AQ2329" s="71"/>
      <c r="AR2329" s="71"/>
      <c r="AS2329" s="71"/>
      <c r="AT2329" s="71"/>
      <c r="AU2329" s="71"/>
      <c r="AV2329" s="71"/>
      <c r="AW2329" s="71"/>
      <c r="AX2329" s="71"/>
      <c r="AY2329" s="71"/>
      <c r="AZ2329" s="71"/>
      <c r="BA2329" s="71"/>
      <c r="BB2329" s="71"/>
      <c r="BC2329" s="71"/>
      <c r="BD2329" s="71"/>
      <c r="BE2329" s="71"/>
      <c r="BF2329" s="71"/>
      <c r="BG2329" s="71"/>
      <c r="BH2329" s="71"/>
      <c r="BI2329" s="71"/>
      <c r="BJ2329" s="71"/>
      <c r="BK2329" s="71"/>
      <c r="BL2329" s="71"/>
      <c r="BM2329" s="71"/>
      <c r="BN2329" s="71"/>
      <c r="BO2329" s="71"/>
      <c r="BP2329" s="71"/>
      <c r="BQ2329" s="71"/>
      <c r="BR2329" s="71"/>
      <c r="BS2329" s="71"/>
      <c r="BT2329" s="71"/>
      <c r="BU2329" s="71"/>
      <c r="BV2329" s="71"/>
    </row>
    <row r="2330">
      <c r="A2330" s="53"/>
      <c r="B2330" s="53"/>
      <c r="C2330" s="73" t="s">
        <v>53</v>
      </c>
      <c r="D2330" s="53" t="s">
        <v>5707</v>
      </c>
      <c r="E2330" s="54" t="s">
        <v>38</v>
      </c>
      <c r="F2330" s="54" t="s">
        <v>42</v>
      </c>
      <c r="G2330" s="55" t="s">
        <v>5708</v>
      </c>
      <c r="H2330" s="54" t="s">
        <v>5709</v>
      </c>
      <c r="I2330" s="54">
        <f t="shared" si="24"/>
        <v>40</v>
      </c>
      <c r="J2330" s="56"/>
      <c r="K2330" s="57"/>
      <c r="L2330" s="76"/>
      <c r="M2330" s="59"/>
      <c r="N2330" s="79">
        <v>1500.0</v>
      </c>
      <c r="O2330" s="61">
        <v>1620.0</v>
      </c>
      <c r="P2330" s="62">
        <v>1749.6000000000001</v>
      </c>
      <c r="Q2330" s="63">
        <v>1749.6000000000001</v>
      </c>
      <c r="R2330" s="64">
        <v>1838.0</v>
      </c>
      <c r="S2330" s="111">
        <v>1930.0</v>
      </c>
      <c r="T2330" s="65">
        <f t="shared" si="93"/>
        <v>308.8</v>
      </c>
      <c r="U2330" s="65">
        <f t="shared" si="94"/>
        <v>2238.8</v>
      </c>
      <c r="V2330" s="66">
        <f t="shared" si="122"/>
        <v>0.05005440696</v>
      </c>
      <c r="W2330" s="67">
        <f t="shared" si="96"/>
        <v>1833.5</v>
      </c>
      <c r="X2330" s="67">
        <f t="shared" si="112"/>
        <v>293.36</v>
      </c>
      <c r="Y2330" s="67">
        <f t="shared" si="113"/>
        <v>2126.86</v>
      </c>
      <c r="Z2330" s="67">
        <f t="shared" si="99"/>
        <v>1737</v>
      </c>
      <c r="AA2330" s="67">
        <f t="shared" si="114"/>
        <v>277.92</v>
      </c>
      <c r="AB2330" s="67">
        <f t="shared" si="115"/>
        <v>2014.92</v>
      </c>
      <c r="AC2330" s="67">
        <f t="shared" si="102"/>
        <v>1640.5</v>
      </c>
      <c r="AD2330" s="67">
        <f t="shared" si="116"/>
        <v>262.48</v>
      </c>
      <c r="AE2330" s="67">
        <f t="shared" si="117"/>
        <v>1902.98</v>
      </c>
      <c r="AF2330" s="67">
        <f t="shared" si="105"/>
        <v>1601.9</v>
      </c>
      <c r="AG2330" s="67">
        <f t="shared" si="118"/>
        <v>256.304</v>
      </c>
      <c r="AH2330" s="67">
        <f t="shared" si="119"/>
        <v>1858.204</v>
      </c>
      <c r="AI2330" s="67">
        <f t="shared" si="108"/>
        <v>1544</v>
      </c>
      <c r="AJ2330" s="68">
        <f t="shared" si="120"/>
        <v>247.04</v>
      </c>
      <c r="AK2330" s="68">
        <f t="shared" si="121"/>
        <v>1791.04</v>
      </c>
      <c r="AL2330" s="70"/>
      <c r="AM2330" s="70"/>
      <c r="AN2330" s="71"/>
      <c r="AO2330" s="71"/>
      <c r="AP2330" s="71"/>
      <c r="AQ2330" s="71"/>
      <c r="AR2330" s="71"/>
      <c r="AS2330" s="71"/>
      <c r="AT2330" s="71"/>
      <c r="AU2330" s="71"/>
      <c r="AV2330" s="71"/>
      <c r="AW2330" s="71"/>
      <c r="AX2330" s="71"/>
      <c r="AY2330" s="71"/>
      <c r="AZ2330" s="71"/>
      <c r="BA2330" s="71"/>
      <c r="BB2330" s="71"/>
      <c r="BC2330" s="71"/>
      <c r="BD2330" s="71"/>
      <c r="BE2330" s="71"/>
      <c r="BF2330" s="71"/>
      <c r="BG2330" s="71"/>
      <c r="BH2330" s="71"/>
      <c r="BI2330" s="71"/>
      <c r="BJ2330" s="71"/>
      <c r="BK2330" s="71"/>
      <c r="BL2330" s="71"/>
      <c r="BM2330" s="71"/>
      <c r="BN2330" s="71"/>
      <c r="BO2330" s="71"/>
      <c r="BP2330" s="71"/>
      <c r="BQ2330" s="71"/>
      <c r="BR2330" s="71"/>
      <c r="BS2330" s="71"/>
      <c r="BT2330" s="71"/>
      <c r="BU2330" s="71"/>
      <c r="BV2330" s="71"/>
    </row>
    <row r="2331">
      <c r="A2331" s="53"/>
      <c r="B2331" s="53"/>
      <c r="C2331" s="73" t="s">
        <v>53</v>
      </c>
      <c r="D2331" s="53" t="s">
        <v>5710</v>
      </c>
      <c r="E2331" s="54" t="s">
        <v>38</v>
      </c>
      <c r="F2331" s="54" t="s">
        <v>42</v>
      </c>
      <c r="G2331" s="55" t="s">
        <v>5711</v>
      </c>
      <c r="H2331" s="54" t="s">
        <v>5712</v>
      </c>
      <c r="I2331" s="54">
        <f t="shared" si="24"/>
        <v>36</v>
      </c>
      <c r="J2331" s="56"/>
      <c r="K2331" s="57"/>
      <c r="L2331" s="76"/>
      <c r="M2331" s="59"/>
      <c r="N2331" s="79">
        <v>1100.0</v>
      </c>
      <c r="O2331" s="61">
        <v>1188.0</v>
      </c>
      <c r="P2331" s="62">
        <v>1283.0400000000002</v>
      </c>
      <c r="Q2331" s="63">
        <v>1283.0400000000002</v>
      </c>
      <c r="R2331" s="64">
        <v>1348.0</v>
      </c>
      <c r="S2331" s="111">
        <v>1415.0</v>
      </c>
      <c r="T2331" s="65">
        <f t="shared" si="93"/>
        <v>226.4</v>
      </c>
      <c r="U2331" s="65">
        <f t="shared" si="94"/>
        <v>1641.4</v>
      </c>
      <c r="V2331" s="66">
        <f t="shared" si="122"/>
        <v>0.04970326409</v>
      </c>
      <c r="W2331" s="67">
        <f t="shared" si="96"/>
        <v>1344.25</v>
      </c>
      <c r="X2331" s="67">
        <f t="shared" si="112"/>
        <v>215.08</v>
      </c>
      <c r="Y2331" s="67">
        <f t="shared" si="113"/>
        <v>1559.33</v>
      </c>
      <c r="Z2331" s="67">
        <f t="shared" si="99"/>
        <v>1273.5</v>
      </c>
      <c r="AA2331" s="67">
        <f t="shared" si="114"/>
        <v>203.76</v>
      </c>
      <c r="AB2331" s="67">
        <f t="shared" si="115"/>
        <v>1477.26</v>
      </c>
      <c r="AC2331" s="67">
        <f t="shared" si="102"/>
        <v>1202.75</v>
      </c>
      <c r="AD2331" s="67">
        <f t="shared" si="116"/>
        <v>192.44</v>
      </c>
      <c r="AE2331" s="67">
        <f t="shared" si="117"/>
        <v>1395.19</v>
      </c>
      <c r="AF2331" s="67">
        <f t="shared" si="105"/>
        <v>1174.45</v>
      </c>
      <c r="AG2331" s="67">
        <f t="shared" si="118"/>
        <v>187.912</v>
      </c>
      <c r="AH2331" s="67">
        <f t="shared" si="119"/>
        <v>1362.362</v>
      </c>
      <c r="AI2331" s="67">
        <f t="shared" si="108"/>
        <v>1132</v>
      </c>
      <c r="AJ2331" s="68">
        <f t="shared" si="120"/>
        <v>181.12</v>
      </c>
      <c r="AK2331" s="68">
        <f t="shared" si="121"/>
        <v>1313.12</v>
      </c>
      <c r="AL2331" s="70"/>
      <c r="AM2331" s="70"/>
      <c r="AN2331" s="71"/>
      <c r="AO2331" s="71"/>
      <c r="AP2331" s="71"/>
      <c r="AQ2331" s="71"/>
      <c r="AR2331" s="71"/>
      <c r="AS2331" s="71"/>
      <c r="AT2331" s="71"/>
      <c r="AU2331" s="71"/>
      <c r="AV2331" s="71"/>
      <c r="AW2331" s="71"/>
      <c r="AX2331" s="71"/>
      <c r="AY2331" s="71"/>
      <c r="AZ2331" s="71"/>
      <c r="BA2331" s="71"/>
      <c r="BB2331" s="71"/>
      <c r="BC2331" s="71"/>
      <c r="BD2331" s="71"/>
      <c r="BE2331" s="71"/>
      <c r="BF2331" s="71"/>
      <c r="BG2331" s="71"/>
      <c r="BH2331" s="71"/>
      <c r="BI2331" s="71"/>
      <c r="BJ2331" s="71"/>
      <c r="BK2331" s="71"/>
      <c r="BL2331" s="71"/>
      <c r="BM2331" s="71"/>
      <c r="BN2331" s="71"/>
      <c r="BO2331" s="71"/>
      <c r="BP2331" s="71"/>
      <c r="BQ2331" s="71"/>
      <c r="BR2331" s="71"/>
      <c r="BS2331" s="71"/>
      <c r="BT2331" s="71"/>
      <c r="BU2331" s="71"/>
      <c r="BV2331" s="71"/>
    </row>
    <row r="2332">
      <c r="A2332" s="53"/>
      <c r="B2332" s="53"/>
      <c r="C2332" s="73" t="s">
        <v>53</v>
      </c>
      <c r="D2332" s="53" t="s">
        <v>5713</v>
      </c>
      <c r="E2332" s="54" t="s">
        <v>38</v>
      </c>
      <c r="F2332" s="54" t="s">
        <v>42</v>
      </c>
      <c r="G2332" s="54" t="s">
        <v>5714</v>
      </c>
      <c r="H2332" s="54" t="s">
        <v>5715</v>
      </c>
      <c r="I2332" s="54">
        <f t="shared" si="24"/>
        <v>40</v>
      </c>
      <c r="J2332" s="56"/>
      <c r="K2332" s="57"/>
      <c r="L2332" s="87"/>
      <c r="M2332" s="59"/>
      <c r="N2332" s="60"/>
      <c r="O2332" s="61">
        <v>1250.0</v>
      </c>
      <c r="P2332" s="62">
        <v>1350.0</v>
      </c>
      <c r="Q2332" s="63">
        <v>1350.0</v>
      </c>
      <c r="R2332" s="64">
        <v>1418.0</v>
      </c>
      <c r="S2332" s="111">
        <v>1489.0</v>
      </c>
      <c r="T2332" s="65">
        <f t="shared" si="93"/>
        <v>238.24</v>
      </c>
      <c r="U2332" s="65">
        <f t="shared" si="94"/>
        <v>1727.24</v>
      </c>
      <c r="V2332" s="66">
        <f t="shared" si="122"/>
        <v>0.05007052186</v>
      </c>
      <c r="W2332" s="67">
        <f t="shared" si="96"/>
        <v>1414.55</v>
      </c>
      <c r="X2332" s="67">
        <f t="shared" si="112"/>
        <v>226.328</v>
      </c>
      <c r="Y2332" s="67">
        <f t="shared" si="113"/>
        <v>1640.878</v>
      </c>
      <c r="Z2332" s="67">
        <f t="shared" si="99"/>
        <v>1340.1</v>
      </c>
      <c r="AA2332" s="67">
        <f t="shared" si="114"/>
        <v>214.416</v>
      </c>
      <c r="AB2332" s="67">
        <f t="shared" si="115"/>
        <v>1554.516</v>
      </c>
      <c r="AC2332" s="67">
        <f t="shared" si="102"/>
        <v>1265.65</v>
      </c>
      <c r="AD2332" s="67">
        <f t="shared" si="116"/>
        <v>202.504</v>
      </c>
      <c r="AE2332" s="67">
        <f t="shared" si="117"/>
        <v>1468.154</v>
      </c>
      <c r="AF2332" s="67">
        <f t="shared" si="105"/>
        <v>1235.87</v>
      </c>
      <c r="AG2332" s="67">
        <f t="shared" si="118"/>
        <v>197.7392</v>
      </c>
      <c r="AH2332" s="67">
        <f t="shared" si="119"/>
        <v>1433.6092</v>
      </c>
      <c r="AI2332" s="67">
        <f t="shared" si="108"/>
        <v>1191.2</v>
      </c>
      <c r="AJ2332" s="68">
        <f t="shared" si="120"/>
        <v>190.592</v>
      </c>
      <c r="AK2332" s="68">
        <f t="shared" si="121"/>
        <v>1381.792</v>
      </c>
      <c r="AL2332" s="70"/>
      <c r="AM2332" s="70"/>
      <c r="AN2332" s="71"/>
      <c r="AO2332" s="71"/>
      <c r="AP2332" s="71"/>
      <c r="AQ2332" s="71"/>
      <c r="AR2332" s="71"/>
      <c r="AS2332" s="71"/>
      <c r="AT2332" s="71"/>
      <c r="AU2332" s="71"/>
      <c r="AV2332" s="71"/>
      <c r="AW2332" s="71"/>
      <c r="AX2332" s="71"/>
      <c r="AY2332" s="71"/>
      <c r="AZ2332" s="71"/>
      <c r="BA2332" s="71"/>
      <c r="BB2332" s="71"/>
      <c r="BC2332" s="71"/>
      <c r="BD2332" s="71"/>
      <c r="BE2332" s="71"/>
      <c r="BF2332" s="71"/>
      <c r="BG2332" s="71"/>
      <c r="BH2332" s="71"/>
      <c r="BI2332" s="71"/>
      <c r="BJ2332" s="71"/>
      <c r="BK2332" s="71"/>
      <c r="BL2332" s="71"/>
      <c r="BM2332" s="71"/>
      <c r="BN2332" s="71"/>
      <c r="BO2332" s="71"/>
      <c r="BP2332" s="71"/>
      <c r="BQ2332" s="71"/>
      <c r="BR2332" s="71"/>
      <c r="BS2332" s="71"/>
      <c r="BT2332" s="71"/>
      <c r="BU2332" s="71"/>
      <c r="BV2332" s="71"/>
    </row>
    <row r="2333">
      <c r="A2333" s="53"/>
      <c r="B2333" s="53"/>
      <c r="C2333" s="73" t="s">
        <v>53</v>
      </c>
      <c r="D2333" s="53" t="s">
        <v>5716</v>
      </c>
      <c r="E2333" s="54" t="s">
        <v>38</v>
      </c>
      <c r="F2333" s="54" t="s">
        <v>42</v>
      </c>
      <c r="G2333" s="54" t="s">
        <v>5717</v>
      </c>
      <c r="H2333" s="54" t="s">
        <v>5718</v>
      </c>
      <c r="I2333" s="54">
        <f t="shared" si="24"/>
        <v>38</v>
      </c>
      <c r="J2333" s="56"/>
      <c r="K2333" s="57"/>
      <c r="L2333" s="76"/>
      <c r="M2333" s="59"/>
      <c r="N2333" s="60"/>
      <c r="O2333" s="61">
        <v>6540.0</v>
      </c>
      <c r="P2333" s="62">
        <v>7063.200000000001</v>
      </c>
      <c r="Q2333" s="63">
        <v>7063.200000000001</v>
      </c>
      <c r="R2333" s="64">
        <v>7417.0</v>
      </c>
      <c r="S2333" s="111">
        <v>7788.0</v>
      </c>
      <c r="T2333" s="65">
        <f t="shared" si="93"/>
        <v>1246.08</v>
      </c>
      <c r="U2333" s="65">
        <f t="shared" si="94"/>
        <v>9034.08</v>
      </c>
      <c r="V2333" s="66">
        <f t="shared" si="122"/>
        <v>0.05002022381</v>
      </c>
      <c r="W2333" s="67">
        <f t="shared" si="96"/>
        <v>7398.6</v>
      </c>
      <c r="X2333" s="67">
        <f t="shared" si="112"/>
        <v>1183.776</v>
      </c>
      <c r="Y2333" s="67">
        <f t="shared" si="113"/>
        <v>8582.376</v>
      </c>
      <c r="Z2333" s="67">
        <f t="shared" si="99"/>
        <v>7009.2</v>
      </c>
      <c r="AA2333" s="67">
        <f t="shared" si="114"/>
        <v>1121.472</v>
      </c>
      <c r="AB2333" s="67">
        <f t="shared" si="115"/>
        <v>8130.672</v>
      </c>
      <c r="AC2333" s="67">
        <f t="shared" si="102"/>
        <v>6619.8</v>
      </c>
      <c r="AD2333" s="67">
        <f t="shared" si="116"/>
        <v>1059.168</v>
      </c>
      <c r="AE2333" s="67">
        <f t="shared" si="117"/>
        <v>7678.968</v>
      </c>
      <c r="AF2333" s="67">
        <f t="shared" si="105"/>
        <v>6464.04</v>
      </c>
      <c r="AG2333" s="67">
        <f t="shared" si="118"/>
        <v>1034.2464</v>
      </c>
      <c r="AH2333" s="67">
        <f t="shared" si="119"/>
        <v>7498.2864</v>
      </c>
      <c r="AI2333" s="67">
        <f t="shared" si="108"/>
        <v>6230.4</v>
      </c>
      <c r="AJ2333" s="68">
        <f t="shared" si="120"/>
        <v>996.864</v>
      </c>
      <c r="AK2333" s="68">
        <f t="shared" si="121"/>
        <v>7227.264</v>
      </c>
      <c r="AL2333" s="70"/>
      <c r="AM2333" s="70"/>
      <c r="AN2333" s="71"/>
      <c r="AO2333" s="71"/>
      <c r="AP2333" s="71"/>
      <c r="AQ2333" s="71"/>
      <c r="AR2333" s="71"/>
      <c r="AS2333" s="71"/>
      <c r="AT2333" s="71"/>
      <c r="AU2333" s="71"/>
      <c r="AV2333" s="71"/>
      <c r="AW2333" s="71"/>
      <c r="AX2333" s="71"/>
      <c r="AY2333" s="71"/>
      <c r="AZ2333" s="71"/>
      <c r="BA2333" s="71"/>
      <c r="BB2333" s="71"/>
      <c r="BC2333" s="71"/>
      <c r="BD2333" s="71"/>
      <c r="BE2333" s="71"/>
      <c r="BF2333" s="71"/>
      <c r="BG2333" s="71"/>
      <c r="BH2333" s="71"/>
      <c r="BI2333" s="71"/>
      <c r="BJ2333" s="71"/>
      <c r="BK2333" s="71"/>
      <c r="BL2333" s="71"/>
      <c r="BM2333" s="71"/>
      <c r="BN2333" s="71"/>
      <c r="BO2333" s="71"/>
      <c r="BP2333" s="71"/>
      <c r="BQ2333" s="71"/>
      <c r="BR2333" s="71"/>
      <c r="BS2333" s="71"/>
      <c r="BT2333" s="71"/>
      <c r="BU2333" s="71"/>
      <c r="BV2333" s="71"/>
    </row>
    <row r="2334">
      <c r="A2334" s="53"/>
      <c r="B2334" s="53"/>
      <c r="C2334" s="73" t="s">
        <v>53</v>
      </c>
      <c r="D2334" s="53" t="s">
        <v>5719</v>
      </c>
      <c r="E2334" s="54" t="s">
        <v>38</v>
      </c>
      <c r="F2334" s="54" t="s">
        <v>42</v>
      </c>
      <c r="G2334" s="54" t="s">
        <v>5720</v>
      </c>
      <c r="H2334" s="54" t="s">
        <v>5721</v>
      </c>
      <c r="I2334" s="54">
        <f t="shared" si="24"/>
        <v>40</v>
      </c>
      <c r="J2334" s="56"/>
      <c r="K2334" s="57"/>
      <c r="L2334" s="76"/>
      <c r="M2334" s="59"/>
      <c r="N2334" s="60"/>
      <c r="O2334" s="61">
        <v>9620.0</v>
      </c>
      <c r="P2334" s="62">
        <v>10389.6</v>
      </c>
      <c r="Q2334" s="63">
        <v>10389.6</v>
      </c>
      <c r="R2334" s="64">
        <v>10910.0</v>
      </c>
      <c r="S2334" s="111">
        <v>11456.0</v>
      </c>
      <c r="T2334" s="65">
        <f t="shared" si="93"/>
        <v>1832.96</v>
      </c>
      <c r="U2334" s="65">
        <f t="shared" si="94"/>
        <v>13288.96</v>
      </c>
      <c r="V2334" s="66">
        <f t="shared" si="122"/>
        <v>0.05004582951</v>
      </c>
      <c r="W2334" s="67">
        <f t="shared" si="96"/>
        <v>10883.2</v>
      </c>
      <c r="X2334" s="67">
        <f t="shared" si="112"/>
        <v>1741.312</v>
      </c>
      <c r="Y2334" s="67">
        <f t="shared" si="113"/>
        <v>12624.512</v>
      </c>
      <c r="Z2334" s="67">
        <f t="shared" si="99"/>
        <v>10310.4</v>
      </c>
      <c r="AA2334" s="67">
        <f t="shared" si="114"/>
        <v>1649.664</v>
      </c>
      <c r="AB2334" s="67">
        <f t="shared" si="115"/>
        <v>11960.064</v>
      </c>
      <c r="AC2334" s="67">
        <f t="shared" si="102"/>
        <v>9737.6</v>
      </c>
      <c r="AD2334" s="67">
        <f t="shared" si="116"/>
        <v>1558.016</v>
      </c>
      <c r="AE2334" s="67">
        <f t="shared" si="117"/>
        <v>11295.616</v>
      </c>
      <c r="AF2334" s="67">
        <f t="shared" si="105"/>
        <v>9508.48</v>
      </c>
      <c r="AG2334" s="67">
        <f t="shared" si="118"/>
        <v>1521.3568</v>
      </c>
      <c r="AH2334" s="67">
        <f t="shared" si="119"/>
        <v>11029.8368</v>
      </c>
      <c r="AI2334" s="67">
        <f t="shared" si="108"/>
        <v>9164.8</v>
      </c>
      <c r="AJ2334" s="68">
        <f t="shared" si="120"/>
        <v>1466.368</v>
      </c>
      <c r="AK2334" s="68">
        <f t="shared" si="121"/>
        <v>10631.168</v>
      </c>
      <c r="AL2334" s="70"/>
      <c r="AM2334" s="70"/>
      <c r="AN2334" s="71"/>
      <c r="AO2334" s="71"/>
      <c r="AP2334" s="71"/>
      <c r="AQ2334" s="71"/>
      <c r="AR2334" s="71"/>
      <c r="AS2334" s="71"/>
      <c r="AT2334" s="71"/>
      <c r="AU2334" s="71"/>
      <c r="AV2334" s="71"/>
      <c r="AW2334" s="71"/>
      <c r="AX2334" s="71"/>
      <c r="AY2334" s="71"/>
      <c r="AZ2334" s="71"/>
      <c r="BA2334" s="71"/>
      <c r="BB2334" s="71"/>
      <c r="BC2334" s="71"/>
      <c r="BD2334" s="71"/>
      <c r="BE2334" s="71"/>
      <c r="BF2334" s="71"/>
      <c r="BG2334" s="71"/>
      <c r="BH2334" s="71"/>
      <c r="BI2334" s="71"/>
      <c r="BJ2334" s="71"/>
      <c r="BK2334" s="71"/>
      <c r="BL2334" s="71"/>
      <c r="BM2334" s="71"/>
      <c r="BN2334" s="71"/>
      <c r="BO2334" s="71"/>
      <c r="BP2334" s="71"/>
      <c r="BQ2334" s="71"/>
      <c r="BR2334" s="71"/>
      <c r="BS2334" s="71"/>
      <c r="BT2334" s="71"/>
      <c r="BU2334" s="71"/>
      <c r="BV2334" s="71"/>
    </row>
    <row r="2335">
      <c r="A2335" s="53">
        <v>1.0</v>
      </c>
      <c r="B2335" s="53"/>
      <c r="C2335" s="73" t="s">
        <v>603</v>
      </c>
      <c r="D2335" s="53" t="s">
        <v>5722</v>
      </c>
      <c r="E2335" s="54" t="s">
        <v>38</v>
      </c>
      <c r="F2335" s="54" t="s">
        <v>42</v>
      </c>
      <c r="G2335" s="54" t="s">
        <v>5723</v>
      </c>
      <c r="H2335" s="54" t="s">
        <v>5724</v>
      </c>
      <c r="I2335" s="54">
        <f t="shared" si="24"/>
        <v>40</v>
      </c>
      <c r="J2335" s="56"/>
      <c r="K2335" s="57"/>
      <c r="L2335" s="87"/>
      <c r="M2335" s="59"/>
      <c r="N2335" s="60">
        <v>5444.0</v>
      </c>
      <c r="O2335" s="61">
        <v>5879.0</v>
      </c>
      <c r="P2335" s="62">
        <v>6349.320000000001</v>
      </c>
      <c r="Q2335" s="63">
        <v>6349.320000000001</v>
      </c>
      <c r="R2335" s="64">
        <v>7068.0</v>
      </c>
      <c r="S2335" s="111">
        <v>7421.0</v>
      </c>
      <c r="T2335" s="65">
        <f t="shared" si="93"/>
        <v>1187.36</v>
      </c>
      <c r="U2335" s="65">
        <f t="shared" si="94"/>
        <v>8608.36</v>
      </c>
      <c r="V2335" s="66">
        <f t="shared" si="122"/>
        <v>0.0499434069</v>
      </c>
      <c r="W2335" s="67">
        <f t="shared" si="96"/>
        <v>7049.95</v>
      </c>
      <c r="X2335" s="67">
        <f t="shared" si="112"/>
        <v>1127.992</v>
      </c>
      <c r="Y2335" s="67">
        <f t="shared" si="113"/>
        <v>8177.942</v>
      </c>
      <c r="Z2335" s="67">
        <f t="shared" si="99"/>
        <v>6678.9</v>
      </c>
      <c r="AA2335" s="67">
        <f t="shared" si="114"/>
        <v>1068.624</v>
      </c>
      <c r="AB2335" s="67">
        <f t="shared" si="115"/>
        <v>7747.524</v>
      </c>
      <c r="AC2335" s="67">
        <f t="shared" si="102"/>
        <v>6307.85</v>
      </c>
      <c r="AD2335" s="67">
        <f t="shared" si="116"/>
        <v>1009.256</v>
      </c>
      <c r="AE2335" s="67">
        <f t="shared" si="117"/>
        <v>7317.106</v>
      </c>
      <c r="AF2335" s="67">
        <f t="shared" si="105"/>
        <v>6159.43</v>
      </c>
      <c r="AG2335" s="67">
        <f t="shared" si="118"/>
        <v>985.5088</v>
      </c>
      <c r="AH2335" s="67">
        <f t="shared" si="119"/>
        <v>7144.9388</v>
      </c>
      <c r="AI2335" s="67">
        <f t="shared" si="108"/>
        <v>5936.8</v>
      </c>
      <c r="AJ2335" s="68">
        <f t="shared" si="120"/>
        <v>949.888</v>
      </c>
      <c r="AK2335" s="68">
        <f t="shared" si="121"/>
        <v>6886.688</v>
      </c>
      <c r="AL2335" s="70"/>
      <c r="AM2335" s="70"/>
      <c r="AN2335" s="71"/>
      <c r="AO2335" s="71"/>
      <c r="AP2335" s="71"/>
      <c r="AQ2335" s="71"/>
      <c r="AR2335" s="71"/>
      <c r="AS2335" s="71"/>
      <c r="AT2335" s="71"/>
      <c r="AU2335" s="71"/>
      <c r="AV2335" s="71"/>
      <c r="AW2335" s="71"/>
      <c r="AX2335" s="71"/>
      <c r="AY2335" s="71"/>
      <c r="AZ2335" s="71"/>
      <c r="BA2335" s="71"/>
      <c r="BB2335" s="71"/>
      <c r="BC2335" s="71"/>
      <c r="BD2335" s="71"/>
      <c r="BE2335" s="71"/>
      <c r="BF2335" s="71"/>
      <c r="BG2335" s="71"/>
      <c r="BH2335" s="71"/>
      <c r="BI2335" s="71"/>
      <c r="BJ2335" s="71"/>
      <c r="BK2335" s="71"/>
      <c r="BL2335" s="71"/>
      <c r="BM2335" s="71"/>
      <c r="BN2335" s="71"/>
      <c r="BO2335" s="71"/>
      <c r="BP2335" s="71"/>
      <c r="BQ2335" s="71"/>
      <c r="BR2335" s="71"/>
      <c r="BS2335" s="71"/>
      <c r="BT2335" s="71"/>
      <c r="BU2335" s="71"/>
      <c r="BV2335" s="71"/>
    </row>
    <row r="2336">
      <c r="A2336" s="53">
        <v>1.0</v>
      </c>
      <c r="B2336" s="53"/>
      <c r="C2336" s="73" t="s">
        <v>603</v>
      </c>
      <c r="D2336" s="53" t="s">
        <v>5725</v>
      </c>
      <c r="E2336" s="54" t="s">
        <v>38</v>
      </c>
      <c r="F2336" s="54" t="s">
        <v>42</v>
      </c>
      <c r="G2336" s="54" t="s">
        <v>5726</v>
      </c>
      <c r="H2336" s="54" t="s">
        <v>5727</v>
      </c>
      <c r="I2336" s="54">
        <f t="shared" si="24"/>
        <v>35</v>
      </c>
      <c r="J2336" s="56"/>
      <c r="K2336" s="57"/>
      <c r="L2336" s="87"/>
      <c r="M2336" s="59"/>
      <c r="N2336" s="60">
        <v>7880.0</v>
      </c>
      <c r="O2336" s="61">
        <v>8510.0</v>
      </c>
      <c r="P2336" s="62">
        <v>9190.800000000001</v>
      </c>
      <c r="Q2336" s="63">
        <v>9190.800000000001</v>
      </c>
      <c r="R2336" s="64">
        <v>10231.0</v>
      </c>
      <c r="S2336" s="111">
        <v>10743.0</v>
      </c>
      <c r="T2336" s="65">
        <f t="shared" si="93"/>
        <v>1718.88</v>
      </c>
      <c r="U2336" s="65">
        <f t="shared" si="94"/>
        <v>12461.88</v>
      </c>
      <c r="V2336" s="66">
        <f t="shared" si="122"/>
        <v>0.05004398397</v>
      </c>
      <c r="W2336" s="67">
        <f t="shared" si="96"/>
        <v>10205.85</v>
      </c>
      <c r="X2336" s="67">
        <f t="shared" si="112"/>
        <v>1632.936</v>
      </c>
      <c r="Y2336" s="67">
        <f t="shared" si="113"/>
        <v>11838.786</v>
      </c>
      <c r="Z2336" s="67">
        <f t="shared" si="99"/>
        <v>9668.7</v>
      </c>
      <c r="AA2336" s="67">
        <f t="shared" si="114"/>
        <v>1546.992</v>
      </c>
      <c r="AB2336" s="67">
        <f t="shared" si="115"/>
        <v>11215.692</v>
      </c>
      <c r="AC2336" s="67">
        <f t="shared" si="102"/>
        <v>9131.55</v>
      </c>
      <c r="AD2336" s="67">
        <f t="shared" si="116"/>
        <v>1461.048</v>
      </c>
      <c r="AE2336" s="67">
        <f t="shared" si="117"/>
        <v>10592.598</v>
      </c>
      <c r="AF2336" s="67">
        <f t="shared" si="105"/>
        <v>8916.69</v>
      </c>
      <c r="AG2336" s="67">
        <f t="shared" si="118"/>
        <v>1426.6704</v>
      </c>
      <c r="AH2336" s="67">
        <f t="shared" si="119"/>
        <v>10343.3604</v>
      </c>
      <c r="AI2336" s="67">
        <f t="shared" si="108"/>
        <v>8594.4</v>
      </c>
      <c r="AJ2336" s="68">
        <f t="shared" si="120"/>
        <v>1375.104</v>
      </c>
      <c r="AK2336" s="68">
        <f t="shared" si="121"/>
        <v>9969.504</v>
      </c>
      <c r="AL2336" s="70"/>
      <c r="AM2336" s="70"/>
      <c r="AN2336" s="71"/>
      <c r="AO2336" s="71"/>
      <c r="AP2336" s="71"/>
      <c r="AQ2336" s="71"/>
      <c r="AR2336" s="71"/>
      <c r="AS2336" s="71"/>
      <c r="AT2336" s="71"/>
      <c r="AU2336" s="71"/>
      <c r="AV2336" s="71"/>
      <c r="AW2336" s="71"/>
      <c r="AX2336" s="71"/>
      <c r="AY2336" s="71"/>
      <c r="AZ2336" s="71"/>
      <c r="BA2336" s="71"/>
      <c r="BB2336" s="71"/>
      <c r="BC2336" s="71"/>
      <c r="BD2336" s="71"/>
      <c r="BE2336" s="71"/>
      <c r="BF2336" s="71"/>
      <c r="BG2336" s="71"/>
      <c r="BH2336" s="71"/>
      <c r="BI2336" s="71"/>
      <c r="BJ2336" s="71"/>
      <c r="BK2336" s="71"/>
      <c r="BL2336" s="71"/>
      <c r="BM2336" s="71"/>
      <c r="BN2336" s="71"/>
      <c r="BO2336" s="71"/>
      <c r="BP2336" s="71"/>
      <c r="BQ2336" s="71"/>
      <c r="BR2336" s="71"/>
      <c r="BS2336" s="71"/>
      <c r="BT2336" s="71"/>
      <c r="BU2336" s="71"/>
      <c r="BV2336" s="71"/>
    </row>
    <row r="2337">
      <c r="A2337" s="53">
        <v>1.0</v>
      </c>
      <c r="B2337" s="53"/>
      <c r="C2337" s="73" t="s">
        <v>603</v>
      </c>
      <c r="D2337" s="53" t="s">
        <v>5728</v>
      </c>
      <c r="E2337" s="54" t="s">
        <v>38</v>
      </c>
      <c r="F2337" s="54" t="s">
        <v>42</v>
      </c>
      <c r="G2337" s="88" t="s">
        <v>5729</v>
      </c>
      <c r="H2337" s="54" t="s">
        <v>5730</v>
      </c>
      <c r="I2337" s="54">
        <f t="shared" si="24"/>
        <v>33</v>
      </c>
      <c r="J2337" s="56"/>
      <c r="K2337" s="57"/>
      <c r="L2337" s="87"/>
      <c r="M2337" s="59"/>
      <c r="N2337" s="60">
        <v>13436.0</v>
      </c>
      <c r="O2337" s="61">
        <v>14510.0</v>
      </c>
      <c r="P2337" s="62">
        <v>15670.800000000001</v>
      </c>
      <c r="Q2337" s="63">
        <v>15670.800000000001</v>
      </c>
      <c r="R2337" s="64">
        <v>17443.0</v>
      </c>
      <c r="S2337" s="111">
        <v>18315.0</v>
      </c>
      <c r="T2337" s="65">
        <f t="shared" si="93"/>
        <v>2930.4</v>
      </c>
      <c r="U2337" s="65">
        <f t="shared" si="94"/>
        <v>21245.4</v>
      </c>
      <c r="V2337" s="66">
        <f t="shared" si="122"/>
        <v>0.04999140056</v>
      </c>
      <c r="W2337" s="67">
        <f t="shared" si="96"/>
        <v>17399.25</v>
      </c>
      <c r="X2337" s="67">
        <f t="shared" si="112"/>
        <v>2783.88</v>
      </c>
      <c r="Y2337" s="67">
        <f t="shared" si="113"/>
        <v>20183.13</v>
      </c>
      <c r="Z2337" s="67">
        <f t="shared" si="99"/>
        <v>16483.5</v>
      </c>
      <c r="AA2337" s="67">
        <f t="shared" si="114"/>
        <v>2637.36</v>
      </c>
      <c r="AB2337" s="67">
        <f t="shared" si="115"/>
        <v>19120.86</v>
      </c>
      <c r="AC2337" s="67">
        <f t="shared" si="102"/>
        <v>15567.75</v>
      </c>
      <c r="AD2337" s="67">
        <f t="shared" si="116"/>
        <v>2490.84</v>
      </c>
      <c r="AE2337" s="67">
        <f t="shared" si="117"/>
        <v>18058.59</v>
      </c>
      <c r="AF2337" s="67">
        <f t="shared" si="105"/>
        <v>15201.45</v>
      </c>
      <c r="AG2337" s="67">
        <f t="shared" si="118"/>
        <v>2432.232</v>
      </c>
      <c r="AH2337" s="67">
        <f t="shared" si="119"/>
        <v>17633.682</v>
      </c>
      <c r="AI2337" s="67">
        <f t="shared" si="108"/>
        <v>14652</v>
      </c>
      <c r="AJ2337" s="68">
        <f t="shared" si="120"/>
        <v>2344.32</v>
      </c>
      <c r="AK2337" s="68">
        <f t="shared" si="121"/>
        <v>16996.32</v>
      </c>
      <c r="AL2337" s="70"/>
      <c r="AM2337" s="70"/>
      <c r="AN2337" s="71"/>
      <c r="AO2337" s="71"/>
      <c r="AP2337" s="71"/>
      <c r="AQ2337" s="71"/>
      <c r="AR2337" s="71"/>
      <c r="AS2337" s="71"/>
      <c r="AT2337" s="71"/>
      <c r="AU2337" s="71"/>
      <c r="AV2337" s="71"/>
      <c r="AW2337" s="71"/>
      <c r="AX2337" s="71"/>
      <c r="AY2337" s="71"/>
      <c r="AZ2337" s="71"/>
      <c r="BA2337" s="71"/>
      <c r="BB2337" s="71"/>
      <c r="BC2337" s="71"/>
      <c r="BD2337" s="71"/>
      <c r="BE2337" s="71"/>
      <c r="BF2337" s="71"/>
      <c r="BG2337" s="71"/>
      <c r="BH2337" s="71"/>
      <c r="BI2337" s="71"/>
      <c r="BJ2337" s="71"/>
      <c r="BK2337" s="71"/>
      <c r="BL2337" s="71"/>
      <c r="BM2337" s="71"/>
      <c r="BN2337" s="71"/>
      <c r="BO2337" s="71"/>
      <c r="BP2337" s="71"/>
      <c r="BQ2337" s="71"/>
      <c r="BR2337" s="71"/>
      <c r="BS2337" s="71"/>
      <c r="BT2337" s="71"/>
      <c r="BU2337" s="71"/>
      <c r="BV2337" s="71"/>
    </row>
    <row r="2338">
      <c r="A2338" s="53">
        <v>1.0</v>
      </c>
      <c r="B2338" s="53"/>
      <c r="C2338" s="73" t="s">
        <v>603</v>
      </c>
      <c r="D2338" s="74" t="s">
        <v>5731</v>
      </c>
      <c r="E2338" s="54" t="s">
        <v>38</v>
      </c>
      <c r="F2338" s="54" t="s">
        <v>42</v>
      </c>
      <c r="G2338" s="88" t="s">
        <v>5732</v>
      </c>
      <c r="H2338" s="54" t="s">
        <v>5733</v>
      </c>
      <c r="I2338" s="54">
        <f t="shared" si="24"/>
        <v>32</v>
      </c>
      <c r="J2338" s="56"/>
      <c r="K2338" s="57"/>
      <c r="L2338" s="87"/>
      <c r="M2338" s="59"/>
      <c r="N2338" s="60">
        <v>13436.0</v>
      </c>
      <c r="O2338" s="61">
        <v>14510.0</v>
      </c>
      <c r="P2338" s="62">
        <v>15670.800000000001</v>
      </c>
      <c r="Q2338" s="63">
        <v>15670.800000000001</v>
      </c>
      <c r="R2338" s="64">
        <v>17443.0</v>
      </c>
      <c r="S2338" s="111">
        <v>18315.0</v>
      </c>
      <c r="T2338" s="65">
        <f t="shared" si="93"/>
        <v>2930.4</v>
      </c>
      <c r="U2338" s="65">
        <f t="shared" si="94"/>
        <v>21245.4</v>
      </c>
      <c r="V2338" s="66">
        <f t="shared" si="122"/>
        <v>0.04999140056</v>
      </c>
      <c r="W2338" s="67">
        <f t="shared" si="96"/>
        <v>17399.25</v>
      </c>
      <c r="X2338" s="67">
        <f t="shared" si="112"/>
        <v>2783.88</v>
      </c>
      <c r="Y2338" s="67">
        <f t="shared" si="113"/>
        <v>20183.13</v>
      </c>
      <c r="Z2338" s="67">
        <f t="shared" si="99"/>
        <v>16483.5</v>
      </c>
      <c r="AA2338" s="67">
        <f t="shared" si="114"/>
        <v>2637.36</v>
      </c>
      <c r="AB2338" s="67">
        <f t="shared" si="115"/>
        <v>19120.86</v>
      </c>
      <c r="AC2338" s="67">
        <f t="shared" si="102"/>
        <v>15567.75</v>
      </c>
      <c r="AD2338" s="67">
        <f t="shared" si="116"/>
        <v>2490.84</v>
      </c>
      <c r="AE2338" s="67">
        <f t="shared" si="117"/>
        <v>18058.59</v>
      </c>
      <c r="AF2338" s="67">
        <f t="shared" si="105"/>
        <v>15201.45</v>
      </c>
      <c r="AG2338" s="67">
        <f t="shared" si="118"/>
        <v>2432.232</v>
      </c>
      <c r="AH2338" s="67">
        <f t="shared" si="119"/>
        <v>17633.682</v>
      </c>
      <c r="AI2338" s="67">
        <f t="shared" si="108"/>
        <v>14652</v>
      </c>
      <c r="AJ2338" s="68">
        <f t="shared" si="120"/>
        <v>2344.32</v>
      </c>
      <c r="AK2338" s="68">
        <f t="shared" si="121"/>
        <v>16996.32</v>
      </c>
      <c r="AL2338" s="70"/>
      <c r="AM2338" s="70"/>
      <c r="AN2338" s="71"/>
      <c r="AO2338" s="71"/>
      <c r="AP2338" s="71"/>
      <c r="AQ2338" s="71"/>
      <c r="AR2338" s="71"/>
      <c r="AS2338" s="71"/>
      <c r="AT2338" s="71"/>
      <c r="AU2338" s="71"/>
      <c r="AV2338" s="71"/>
      <c r="AW2338" s="71"/>
      <c r="AX2338" s="71"/>
      <c r="AY2338" s="71"/>
      <c r="AZ2338" s="71"/>
      <c r="BA2338" s="71"/>
      <c r="BB2338" s="71"/>
      <c r="BC2338" s="71"/>
      <c r="BD2338" s="71"/>
      <c r="BE2338" s="71"/>
      <c r="BF2338" s="71"/>
      <c r="BG2338" s="71"/>
      <c r="BH2338" s="71"/>
      <c r="BI2338" s="71"/>
      <c r="BJ2338" s="71"/>
      <c r="BK2338" s="71"/>
      <c r="BL2338" s="71"/>
      <c r="BM2338" s="71"/>
      <c r="BN2338" s="71"/>
      <c r="BO2338" s="71"/>
      <c r="BP2338" s="71"/>
      <c r="BQ2338" s="71"/>
      <c r="BR2338" s="71"/>
      <c r="BS2338" s="71"/>
      <c r="BT2338" s="71"/>
      <c r="BU2338" s="71"/>
      <c r="BV2338" s="71"/>
    </row>
    <row r="2339">
      <c r="A2339" s="53">
        <v>1.0</v>
      </c>
      <c r="B2339" s="53"/>
      <c r="C2339" s="73" t="s">
        <v>603</v>
      </c>
      <c r="D2339" s="53" t="s">
        <v>5734</v>
      </c>
      <c r="E2339" s="54" t="s">
        <v>38</v>
      </c>
      <c r="F2339" s="54" t="s">
        <v>42</v>
      </c>
      <c r="G2339" s="88" t="s">
        <v>5735</v>
      </c>
      <c r="H2339" s="54" t="s">
        <v>5736</v>
      </c>
      <c r="I2339" s="54">
        <f t="shared" si="24"/>
        <v>33</v>
      </c>
      <c r="J2339" s="56"/>
      <c r="K2339" s="57"/>
      <c r="L2339" s="87"/>
      <c r="M2339" s="59"/>
      <c r="N2339" s="60">
        <v>15385.0</v>
      </c>
      <c r="O2339" s="61">
        <v>16615.0</v>
      </c>
      <c r="P2339" s="62">
        <v>17944.2</v>
      </c>
      <c r="Q2339" s="63">
        <v>17944.2</v>
      </c>
      <c r="R2339" s="64">
        <v>19973.0</v>
      </c>
      <c r="S2339" s="111">
        <v>20972.0</v>
      </c>
      <c r="T2339" s="65">
        <f t="shared" si="93"/>
        <v>3355.52</v>
      </c>
      <c r="U2339" s="65">
        <f t="shared" si="94"/>
        <v>24327.52</v>
      </c>
      <c r="V2339" s="66">
        <f t="shared" si="122"/>
        <v>0.05001752366</v>
      </c>
      <c r="W2339" s="67">
        <f t="shared" si="96"/>
        <v>19923.4</v>
      </c>
      <c r="X2339" s="67">
        <f t="shared" si="112"/>
        <v>3187.744</v>
      </c>
      <c r="Y2339" s="67">
        <f t="shared" si="113"/>
        <v>23111.144</v>
      </c>
      <c r="Z2339" s="67">
        <f t="shared" si="99"/>
        <v>18874.8</v>
      </c>
      <c r="AA2339" s="67">
        <f t="shared" si="114"/>
        <v>3019.968</v>
      </c>
      <c r="AB2339" s="67">
        <f t="shared" si="115"/>
        <v>21894.768</v>
      </c>
      <c r="AC2339" s="67">
        <f t="shared" si="102"/>
        <v>17826.2</v>
      </c>
      <c r="AD2339" s="67">
        <f t="shared" si="116"/>
        <v>2852.192</v>
      </c>
      <c r="AE2339" s="67">
        <f t="shared" si="117"/>
        <v>20678.392</v>
      </c>
      <c r="AF2339" s="67">
        <f t="shared" si="105"/>
        <v>17406.76</v>
      </c>
      <c r="AG2339" s="67">
        <f t="shared" si="118"/>
        <v>2785.0816</v>
      </c>
      <c r="AH2339" s="67">
        <f t="shared" si="119"/>
        <v>20191.8416</v>
      </c>
      <c r="AI2339" s="67">
        <f t="shared" si="108"/>
        <v>16777.6</v>
      </c>
      <c r="AJ2339" s="68">
        <f t="shared" si="120"/>
        <v>2684.416</v>
      </c>
      <c r="AK2339" s="68">
        <f t="shared" si="121"/>
        <v>19462.016</v>
      </c>
      <c r="AL2339" s="70"/>
      <c r="AM2339" s="70"/>
      <c r="AN2339" s="71"/>
      <c r="AO2339" s="71"/>
      <c r="AP2339" s="71"/>
      <c r="AQ2339" s="71"/>
      <c r="AR2339" s="71"/>
      <c r="AS2339" s="71"/>
      <c r="AT2339" s="71"/>
      <c r="AU2339" s="71"/>
      <c r="AV2339" s="71"/>
      <c r="AW2339" s="71"/>
      <c r="AX2339" s="71"/>
      <c r="AY2339" s="71"/>
      <c r="AZ2339" s="71"/>
      <c r="BA2339" s="71"/>
      <c r="BB2339" s="71"/>
      <c r="BC2339" s="71"/>
      <c r="BD2339" s="71"/>
      <c r="BE2339" s="71"/>
      <c r="BF2339" s="71"/>
      <c r="BG2339" s="71"/>
      <c r="BH2339" s="71"/>
      <c r="BI2339" s="71"/>
      <c r="BJ2339" s="71"/>
      <c r="BK2339" s="71"/>
      <c r="BL2339" s="71"/>
      <c r="BM2339" s="71"/>
      <c r="BN2339" s="71"/>
      <c r="BO2339" s="71"/>
      <c r="BP2339" s="71"/>
      <c r="BQ2339" s="71"/>
      <c r="BR2339" s="71"/>
      <c r="BS2339" s="71"/>
      <c r="BT2339" s="71"/>
      <c r="BU2339" s="71"/>
      <c r="BV2339" s="71"/>
    </row>
    <row r="2340">
      <c r="A2340" s="53">
        <v>1.0</v>
      </c>
      <c r="B2340" s="53"/>
      <c r="C2340" s="73" t="s">
        <v>603</v>
      </c>
      <c r="D2340" s="53" t="s">
        <v>5737</v>
      </c>
      <c r="E2340" s="54" t="s">
        <v>38</v>
      </c>
      <c r="F2340" s="54" t="s">
        <v>42</v>
      </c>
      <c r="G2340" s="54" t="s">
        <v>5738</v>
      </c>
      <c r="H2340" s="54" t="s">
        <v>5739</v>
      </c>
      <c r="I2340" s="54">
        <f t="shared" si="24"/>
        <v>40</v>
      </c>
      <c r="J2340" s="56"/>
      <c r="K2340" s="57"/>
      <c r="L2340" s="87"/>
      <c r="M2340" s="59"/>
      <c r="N2340" s="60">
        <v>5444.0</v>
      </c>
      <c r="O2340" s="61">
        <v>5879.0</v>
      </c>
      <c r="P2340" s="62">
        <v>6349.320000000001</v>
      </c>
      <c r="Q2340" s="63">
        <v>6349.320000000001</v>
      </c>
      <c r="R2340" s="64">
        <v>7068.0</v>
      </c>
      <c r="S2340" s="111">
        <v>7421.0</v>
      </c>
      <c r="T2340" s="65">
        <f t="shared" si="93"/>
        <v>1187.36</v>
      </c>
      <c r="U2340" s="65">
        <f t="shared" si="94"/>
        <v>8608.36</v>
      </c>
      <c r="V2340" s="66">
        <f t="shared" si="122"/>
        <v>0.0499434069</v>
      </c>
      <c r="W2340" s="67">
        <f t="shared" si="96"/>
        <v>7049.95</v>
      </c>
      <c r="X2340" s="67">
        <f t="shared" si="112"/>
        <v>1127.992</v>
      </c>
      <c r="Y2340" s="67">
        <f t="shared" si="113"/>
        <v>8177.942</v>
      </c>
      <c r="Z2340" s="67">
        <f t="shared" si="99"/>
        <v>6678.9</v>
      </c>
      <c r="AA2340" s="67">
        <f t="shared" si="114"/>
        <v>1068.624</v>
      </c>
      <c r="AB2340" s="67">
        <f t="shared" si="115"/>
        <v>7747.524</v>
      </c>
      <c r="AC2340" s="67">
        <f t="shared" si="102"/>
        <v>6307.85</v>
      </c>
      <c r="AD2340" s="67">
        <f t="shared" si="116"/>
        <v>1009.256</v>
      </c>
      <c r="AE2340" s="67">
        <f t="shared" si="117"/>
        <v>7317.106</v>
      </c>
      <c r="AF2340" s="67">
        <f t="shared" si="105"/>
        <v>6159.43</v>
      </c>
      <c r="AG2340" s="67">
        <f t="shared" si="118"/>
        <v>985.5088</v>
      </c>
      <c r="AH2340" s="67">
        <f t="shared" si="119"/>
        <v>7144.9388</v>
      </c>
      <c r="AI2340" s="67">
        <f t="shared" si="108"/>
        <v>5936.8</v>
      </c>
      <c r="AJ2340" s="68">
        <f t="shared" si="120"/>
        <v>949.888</v>
      </c>
      <c r="AK2340" s="68">
        <f t="shared" si="121"/>
        <v>6886.688</v>
      </c>
      <c r="AL2340" s="70"/>
      <c r="AM2340" s="70"/>
      <c r="AN2340" s="71"/>
      <c r="AO2340" s="71"/>
      <c r="AP2340" s="71"/>
      <c r="AQ2340" s="71"/>
      <c r="AR2340" s="71"/>
      <c r="AS2340" s="71"/>
      <c r="AT2340" s="71"/>
      <c r="AU2340" s="71"/>
      <c r="AV2340" s="71"/>
      <c r="AW2340" s="71"/>
      <c r="AX2340" s="71"/>
      <c r="AY2340" s="71"/>
      <c r="AZ2340" s="71"/>
      <c r="BA2340" s="71"/>
      <c r="BB2340" s="71"/>
      <c r="BC2340" s="71"/>
      <c r="BD2340" s="71"/>
      <c r="BE2340" s="71"/>
      <c r="BF2340" s="71"/>
      <c r="BG2340" s="71"/>
      <c r="BH2340" s="71"/>
      <c r="BI2340" s="71"/>
      <c r="BJ2340" s="71"/>
      <c r="BK2340" s="71"/>
      <c r="BL2340" s="71"/>
      <c r="BM2340" s="71"/>
      <c r="BN2340" s="71"/>
      <c r="BO2340" s="71"/>
      <c r="BP2340" s="71"/>
      <c r="BQ2340" s="71"/>
      <c r="BR2340" s="71"/>
      <c r="BS2340" s="71"/>
      <c r="BT2340" s="71"/>
      <c r="BU2340" s="71"/>
      <c r="BV2340" s="71"/>
    </row>
    <row r="2341">
      <c r="A2341" s="53">
        <v>1.0</v>
      </c>
      <c r="B2341" s="53"/>
      <c r="C2341" s="73" t="s">
        <v>603</v>
      </c>
      <c r="D2341" s="53" t="s">
        <v>5740</v>
      </c>
      <c r="E2341" s="54" t="s">
        <v>38</v>
      </c>
      <c r="F2341" s="54" t="s">
        <v>42</v>
      </c>
      <c r="G2341" s="54" t="s">
        <v>5741</v>
      </c>
      <c r="H2341" s="54" t="s">
        <v>5741</v>
      </c>
      <c r="I2341" s="54">
        <f t="shared" si="24"/>
        <v>40</v>
      </c>
      <c r="J2341" s="56"/>
      <c r="K2341" s="57"/>
      <c r="L2341" s="87"/>
      <c r="M2341" s="59"/>
      <c r="N2341" s="60">
        <v>7880.0</v>
      </c>
      <c r="O2341" s="61">
        <v>8510.0</v>
      </c>
      <c r="P2341" s="62">
        <v>9190.800000000001</v>
      </c>
      <c r="Q2341" s="63">
        <v>9190.800000000001</v>
      </c>
      <c r="R2341" s="64">
        <v>10231.0</v>
      </c>
      <c r="S2341" s="111">
        <v>10743.0</v>
      </c>
      <c r="T2341" s="65">
        <f t="shared" si="93"/>
        <v>1718.88</v>
      </c>
      <c r="U2341" s="65">
        <f t="shared" si="94"/>
        <v>12461.88</v>
      </c>
      <c r="V2341" s="66">
        <f t="shared" si="122"/>
        <v>0.05004398397</v>
      </c>
      <c r="W2341" s="67">
        <f t="shared" si="96"/>
        <v>10205.85</v>
      </c>
      <c r="X2341" s="67">
        <f t="shared" si="112"/>
        <v>1632.936</v>
      </c>
      <c r="Y2341" s="67">
        <f t="shared" si="113"/>
        <v>11838.786</v>
      </c>
      <c r="Z2341" s="67">
        <f t="shared" si="99"/>
        <v>9668.7</v>
      </c>
      <c r="AA2341" s="67">
        <f t="shared" si="114"/>
        <v>1546.992</v>
      </c>
      <c r="AB2341" s="67">
        <f t="shared" si="115"/>
        <v>11215.692</v>
      </c>
      <c r="AC2341" s="67">
        <f t="shared" si="102"/>
        <v>9131.55</v>
      </c>
      <c r="AD2341" s="67">
        <f t="shared" si="116"/>
        <v>1461.048</v>
      </c>
      <c r="AE2341" s="67">
        <f t="shared" si="117"/>
        <v>10592.598</v>
      </c>
      <c r="AF2341" s="67">
        <f t="shared" si="105"/>
        <v>8916.69</v>
      </c>
      <c r="AG2341" s="67">
        <f t="shared" si="118"/>
        <v>1426.6704</v>
      </c>
      <c r="AH2341" s="67">
        <f t="shared" si="119"/>
        <v>10343.3604</v>
      </c>
      <c r="AI2341" s="67">
        <f t="shared" si="108"/>
        <v>8594.4</v>
      </c>
      <c r="AJ2341" s="68">
        <f t="shared" si="120"/>
        <v>1375.104</v>
      </c>
      <c r="AK2341" s="68">
        <f t="shared" si="121"/>
        <v>9969.504</v>
      </c>
      <c r="AL2341" s="70"/>
      <c r="AM2341" s="70"/>
      <c r="AN2341" s="71"/>
      <c r="AO2341" s="71"/>
      <c r="AP2341" s="71"/>
      <c r="AQ2341" s="71"/>
      <c r="AR2341" s="71"/>
      <c r="AS2341" s="71"/>
      <c r="AT2341" s="71"/>
      <c r="AU2341" s="71"/>
      <c r="AV2341" s="71"/>
      <c r="AW2341" s="71"/>
      <c r="AX2341" s="71"/>
      <c r="AY2341" s="71"/>
      <c r="AZ2341" s="71"/>
      <c r="BA2341" s="71"/>
      <c r="BB2341" s="71"/>
      <c r="BC2341" s="71"/>
      <c r="BD2341" s="71"/>
      <c r="BE2341" s="71"/>
      <c r="BF2341" s="71"/>
      <c r="BG2341" s="71"/>
      <c r="BH2341" s="71"/>
      <c r="BI2341" s="71"/>
      <c r="BJ2341" s="71"/>
      <c r="BK2341" s="71"/>
      <c r="BL2341" s="71"/>
      <c r="BM2341" s="71"/>
      <c r="BN2341" s="71"/>
      <c r="BO2341" s="71"/>
      <c r="BP2341" s="71"/>
      <c r="BQ2341" s="71"/>
      <c r="BR2341" s="71"/>
      <c r="BS2341" s="71"/>
      <c r="BT2341" s="71"/>
      <c r="BU2341" s="71"/>
      <c r="BV2341" s="71"/>
    </row>
    <row r="2342">
      <c r="A2342" s="53">
        <v>1.0</v>
      </c>
      <c r="B2342" s="53"/>
      <c r="C2342" s="73" t="s">
        <v>603</v>
      </c>
      <c r="D2342" s="53" t="s">
        <v>5742</v>
      </c>
      <c r="E2342" s="54" t="s">
        <v>38</v>
      </c>
      <c r="F2342" s="54" t="s">
        <v>42</v>
      </c>
      <c r="G2342" s="88" t="s">
        <v>5743</v>
      </c>
      <c r="H2342" s="54" t="s">
        <v>5743</v>
      </c>
      <c r="I2342" s="54">
        <f t="shared" si="24"/>
        <v>40</v>
      </c>
      <c r="J2342" s="56"/>
      <c r="K2342" s="57"/>
      <c r="L2342" s="87"/>
      <c r="M2342" s="59"/>
      <c r="N2342" s="60">
        <v>13436.0</v>
      </c>
      <c r="O2342" s="61">
        <v>14510.0</v>
      </c>
      <c r="P2342" s="62">
        <v>15670.800000000001</v>
      </c>
      <c r="Q2342" s="63">
        <v>15670.800000000001</v>
      </c>
      <c r="R2342" s="64">
        <v>17443.0</v>
      </c>
      <c r="S2342" s="111">
        <v>18315.0</v>
      </c>
      <c r="T2342" s="65">
        <f t="shared" si="93"/>
        <v>2930.4</v>
      </c>
      <c r="U2342" s="65">
        <f t="shared" si="94"/>
        <v>21245.4</v>
      </c>
      <c r="V2342" s="66">
        <f t="shared" si="122"/>
        <v>0.04999140056</v>
      </c>
      <c r="W2342" s="67">
        <f t="shared" si="96"/>
        <v>17399.25</v>
      </c>
      <c r="X2342" s="67">
        <f t="shared" si="112"/>
        <v>2783.88</v>
      </c>
      <c r="Y2342" s="67">
        <f t="shared" si="113"/>
        <v>20183.13</v>
      </c>
      <c r="Z2342" s="67">
        <f t="shared" si="99"/>
        <v>16483.5</v>
      </c>
      <c r="AA2342" s="67">
        <f t="shared" si="114"/>
        <v>2637.36</v>
      </c>
      <c r="AB2342" s="67">
        <f t="shared" si="115"/>
        <v>19120.86</v>
      </c>
      <c r="AC2342" s="67">
        <f t="shared" si="102"/>
        <v>15567.75</v>
      </c>
      <c r="AD2342" s="67">
        <f t="shared" si="116"/>
        <v>2490.84</v>
      </c>
      <c r="AE2342" s="67">
        <f t="shared" si="117"/>
        <v>18058.59</v>
      </c>
      <c r="AF2342" s="67">
        <f t="shared" si="105"/>
        <v>15201.45</v>
      </c>
      <c r="AG2342" s="67">
        <f t="shared" si="118"/>
        <v>2432.232</v>
      </c>
      <c r="AH2342" s="67">
        <f t="shared" si="119"/>
        <v>17633.682</v>
      </c>
      <c r="AI2342" s="67">
        <f t="shared" si="108"/>
        <v>14652</v>
      </c>
      <c r="AJ2342" s="68">
        <f t="shared" si="120"/>
        <v>2344.32</v>
      </c>
      <c r="AK2342" s="68">
        <f t="shared" si="121"/>
        <v>16996.32</v>
      </c>
      <c r="AL2342" s="70"/>
      <c r="AM2342" s="70"/>
      <c r="AN2342" s="71"/>
      <c r="AO2342" s="71"/>
      <c r="AP2342" s="71"/>
      <c r="AQ2342" s="71"/>
      <c r="AR2342" s="71"/>
      <c r="AS2342" s="71"/>
      <c r="AT2342" s="71"/>
      <c r="AU2342" s="71"/>
      <c r="AV2342" s="71"/>
      <c r="AW2342" s="71"/>
      <c r="AX2342" s="71"/>
      <c r="AY2342" s="71"/>
      <c r="AZ2342" s="71"/>
      <c r="BA2342" s="71"/>
      <c r="BB2342" s="71"/>
      <c r="BC2342" s="71"/>
      <c r="BD2342" s="71"/>
      <c r="BE2342" s="71"/>
      <c r="BF2342" s="71"/>
      <c r="BG2342" s="71"/>
      <c r="BH2342" s="71"/>
      <c r="BI2342" s="71"/>
      <c r="BJ2342" s="71"/>
      <c r="BK2342" s="71"/>
      <c r="BL2342" s="71"/>
      <c r="BM2342" s="71"/>
      <c r="BN2342" s="71"/>
      <c r="BO2342" s="71"/>
      <c r="BP2342" s="71"/>
      <c r="BQ2342" s="71"/>
      <c r="BR2342" s="71"/>
      <c r="BS2342" s="71"/>
      <c r="BT2342" s="71"/>
      <c r="BU2342" s="71"/>
      <c r="BV2342" s="71"/>
    </row>
    <row r="2343">
      <c r="A2343" s="53">
        <v>1.0</v>
      </c>
      <c r="B2343" s="53"/>
      <c r="C2343" s="73" t="s">
        <v>603</v>
      </c>
      <c r="D2343" s="74" t="s">
        <v>5744</v>
      </c>
      <c r="E2343" s="54" t="s">
        <v>38</v>
      </c>
      <c r="F2343" s="54" t="s">
        <v>42</v>
      </c>
      <c r="G2343" s="88" t="s">
        <v>5745</v>
      </c>
      <c r="H2343" s="54" t="s">
        <v>5746</v>
      </c>
      <c r="I2343" s="54">
        <f t="shared" si="24"/>
        <v>31</v>
      </c>
      <c r="J2343" s="56"/>
      <c r="K2343" s="57"/>
      <c r="L2343" s="87"/>
      <c r="M2343" s="59"/>
      <c r="N2343" s="60">
        <v>10185.0</v>
      </c>
      <c r="O2343" s="61">
        <v>10999.0</v>
      </c>
      <c r="P2343" s="62">
        <v>11878.92</v>
      </c>
      <c r="Q2343" s="63">
        <v>11878.92</v>
      </c>
      <c r="R2343" s="64">
        <v>13222.0</v>
      </c>
      <c r="S2343" s="111">
        <v>13883.0</v>
      </c>
      <c r="T2343" s="65">
        <f t="shared" si="93"/>
        <v>2221.28</v>
      </c>
      <c r="U2343" s="65">
        <f t="shared" si="94"/>
        <v>16104.28</v>
      </c>
      <c r="V2343" s="66">
        <f t="shared" si="122"/>
        <v>0.04999243685</v>
      </c>
      <c r="W2343" s="67">
        <f t="shared" si="96"/>
        <v>13188.85</v>
      </c>
      <c r="X2343" s="67">
        <f t="shared" si="112"/>
        <v>2110.216</v>
      </c>
      <c r="Y2343" s="67">
        <f t="shared" si="113"/>
        <v>15299.066</v>
      </c>
      <c r="Z2343" s="67">
        <f t="shared" si="99"/>
        <v>12494.7</v>
      </c>
      <c r="AA2343" s="67">
        <f t="shared" si="114"/>
        <v>1999.152</v>
      </c>
      <c r="AB2343" s="67">
        <f t="shared" si="115"/>
        <v>14493.852</v>
      </c>
      <c r="AC2343" s="67">
        <f t="shared" si="102"/>
        <v>11800.55</v>
      </c>
      <c r="AD2343" s="67">
        <f t="shared" si="116"/>
        <v>1888.088</v>
      </c>
      <c r="AE2343" s="67">
        <f t="shared" si="117"/>
        <v>13688.638</v>
      </c>
      <c r="AF2343" s="67">
        <f t="shared" si="105"/>
        <v>11522.89</v>
      </c>
      <c r="AG2343" s="67">
        <f t="shared" si="118"/>
        <v>1843.6624</v>
      </c>
      <c r="AH2343" s="67">
        <f t="shared" si="119"/>
        <v>13366.5524</v>
      </c>
      <c r="AI2343" s="67">
        <f t="shared" si="108"/>
        <v>11106.4</v>
      </c>
      <c r="AJ2343" s="68">
        <f t="shared" si="120"/>
        <v>1777.024</v>
      </c>
      <c r="AK2343" s="68">
        <f t="shared" si="121"/>
        <v>12883.424</v>
      </c>
      <c r="AL2343" s="70"/>
      <c r="AM2343" s="70"/>
      <c r="AN2343" s="71"/>
      <c r="AO2343" s="71"/>
      <c r="AP2343" s="71"/>
      <c r="AQ2343" s="71"/>
      <c r="AR2343" s="71"/>
      <c r="AS2343" s="71"/>
      <c r="AT2343" s="71"/>
      <c r="AU2343" s="71"/>
      <c r="AV2343" s="71"/>
      <c r="AW2343" s="71"/>
      <c r="AX2343" s="71"/>
      <c r="AY2343" s="71"/>
      <c r="AZ2343" s="71"/>
      <c r="BA2343" s="71"/>
      <c r="BB2343" s="71"/>
      <c r="BC2343" s="71"/>
      <c r="BD2343" s="71"/>
      <c r="BE2343" s="71"/>
      <c r="BF2343" s="71"/>
      <c r="BG2343" s="71"/>
      <c r="BH2343" s="71"/>
      <c r="BI2343" s="71"/>
      <c r="BJ2343" s="71"/>
      <c r="BK2343" s="71"/>
      <c r="BL2343" s="71"/>
      <c r="BM2343" s="71"/>
      <c r="BN2343" s="71"/>
      <c r="BO2343" s="71"/>
      <c r="BP2343" s="71"/>
      <c r="BQ2343" s="71"/>
      <c r="BR2343" s="71"/>
      <c r="BS2343" s="71"/>
      <c r="BT2343" s="71"/>
      <c r="BU2343" s="71"/>
      <c r="BV2343" s="71"/>
    </row>
    <row r="2344">
      <c r="A2344" s="53">
        <v>1.0</v>
      </c>
      <c r="B2344" s="53"/>
      <c r="C2344" s="73" t="s">
        <v>603</v>
      </c>
      <c r="D2344" s="53" t="s">
        <v>5747</v>
      </c>
      <c r="E2344" s="54" t="s">
        <v>38</v>
      </c>
      <c r="F2344" s="54" t="s">
        <v>42</v>
      </c>
      <c r="G2344" s="88" t="s">
        <v>5748</v>
      </c>
      <c r="H2344" s="54" t="s">
        <v>5748</v>
      </c>
      <c r="I2344" s="54">
        <f t="shared" si="24"/>
        <v>38</v>
      </c>
      <c r="J2344" s="56"/>
      <c r="K2344" s="57"/>
      <c r="L2344" s="87"/>
      <c r="M2344" s="59"/>
      <c r="N2344" s="60">
        <v>15385.0</v>
      </c>
      <c r="O2344" s="61">
        <v>16615.0</v>
      </c>
      <c r="P2344" s="62">
        <v>17944.2</v>
      </c>
      <c r="Q2344" s="63">
        <v>17944.2</v>
      </c>
      <c r="R2344" s="64">
        <v>19973.0</v>
      </c>
      <c r="S2344" s="111">
        <v>20972.0</v>
      </c>
      <c r="T2344" s="65">
        <f t="shared" si="93"/>
        <v>3355.52</v>
      </c>
      <c r="U2344" s="65">
        <f t="shared" si="94"/>
        <v>24327.52</v>
      </c>
      <c r="V2344" s="66">
        <f t="shared" si="122"/>
        <v>0.05001752366</v>
      </c>
      <c r="W2344" s="67">
        <f t="shared" si="96"/>
        <v>19923.4</v>
      </c>
      <c r="X2344" s="67">
        <f t="shared" si="112"/>
        <v>3187.744</v>
      </c>
      <c r="Y2344" s="67">
        <f t="shared" si="113"/>
        <v>23111.144</v>
      </c>
      <c r="Z2344" s="67">
        <f t="shared" si="99"/>
        <v>18874.8</v>
      </c>
      <c r="AA2344" s="67">
        <f t="shared" si="114"/>
        <v>3019.968</v>
      </c>
      <c r="AB2344" s="67">
        <f t="shared" si="115"/>
        <v>21894.768</v>
      </c>
      <c r="AC2344" s="67">
        <f t="shared" si="102"/>
        <v>17826.2</v>
      </c>
      <c r="AD2344" s="67">
        <f t="shared" si="116"/>
        <v>2852.192</v>
      </c>
      <c r="AE2344" s="67">
        <f t="shared" si="117"/>
        <v>20678.392</v>
      </c>
      <c r="AF2344" s="67">
        <f t="shared" si="105"/>
        <v>17406.76</v>
      </c>
      <c r="AG2344" s="67">
        <f t="shared" si="118"/>
        <v>2785.0816</v>
      </c>
      <c r="AH2344" s="67">
        <f t="shared" si="119"/>
        <v>20191.8416</v>
      </c>
      <c r="AI2344" s="67">
        <f t="shared" si="108"/>
        <v>16777.6</v>
      </c>
      <c r="AJ2344" s="68">
        <f t="shared" si="120"/>
        <v>2684.416</v>
      </c>
      <c r="AK2344" s="68">
        <f t="shared" si="121"/>
        <v>19462.016</v>
      </c>
      <c r="AL2344" s="70"/>
      <c r="AM2344" s="70"/>
      <c r="AN2344" s="71"/>
      <c r="AO2344" s="71"/>
      <c r="AP2344" s="71"/>
      <c r="AQ2344" s="71"/>
      <c r="AR2344" s="71"/>
      <c r="AS2344" s="71"/>
      <c r="AT2344" s="71"/>
      <c r="AU2344" s="71"/>
      <c r="AV2344" s="71"/>
      <c r="AW2344" s="71"/>
      <c r="AX2344" s="71"/>
      <c r="AY2344" s="71"/>
      <c r="AZ2344" s="71"/>
      <c r="BA2344" s="71"/>
      <c r="BB2344" s="71"/>
      <c r="BC2344" s="71"/>
      <c r="BD2344" s="71"/>
      <c r="BE2344" s="71"/>
      <c r="BF2344" s="71"/>
      <c r="BG2344" s="71"/>
      <c r="BH2344" s="71"/>
      <c r="BI2344" s="71"/>
      <c r="BJ2344" s="71"/>
      <c r="BK2344" s="71"/>
      <c r="BL2344" s="71"/>
      <c r="BM2344" s="71"/>
      <c r="BN2344" s="71"/>
      <c r="BO2344" s="71"/>
      <c r="BP2344" s="71"/>
      <c r="BQ2344" s="71"/>
      <c r="BR2344" s="71"/>
      <c r="BS2344" s="71"/>
      <c r="BT2344" s="71"/>
      <c r="BU2344" s="71"/>
      <c r="BV2344" s="71"/>
    </row>
    <row r="2345">
      <c r="A2345" s="53">
        <v>1.0</v>
      </c>
      <c r="B2345" s="53"/>
      <c r="C2345" s="73" t="s">
        <v>53</v>
      </c>
      <c r="D2345" s="74" t="s">
        <v>5749</v>
      </c>
      <c r="E2345" s="54" t="s">
        <v>38</v>
      </c>
      <c r="F2345" s="54" t="s">
        <v>42</v>
      </c>
      <c r="G2345" s="88" t="s">
        <v>5750</v>
      </c>
      <c r="H2345" s="54" t="s">
        <v>5751</v>
      </c>
      <c r="I2345" s="54">
        <f t="shared" si="24"/>
        <v>24</v>
      </c>
      <c r="J2345" s="56"/>
      <c r="K2345" s="57"/>
      <c r="L2345" s="87"/>
      <c r="M2345" s="59"/>
      <c r="N2345" s="60">
        <v>524.0</v>
      </c>
      <c r="O2345" s="61">
        <v>565.0</v>
      </c>
      <c r="P2345" s="62">
        <v>610.2</v>
      </c>
      <c r="Q2345" s="63">
        <v>610.2</v>
      </c>
      <c r="R2345" s="64">
        <v>680.0</v>
      </c>
      <c r="S2345" s="111">
        <v>714.0</v>
      </c>
      <c r="T2345" s="65">
        <f t="shared" si="93"/>
        <v>114.24</v>
      </c>
      <c r="U2345" s="65">
        <f t="shared" si="94"/>
        <v>828.24</v>
      </c>
      <c r="V2345" s="66">
        <f t="shared" si="122"/>
        <v>0.05</v>
      </c>
      <c r="W2345" s="67">
        <f t="shared" si="96"/>
        <v>678.3</v>
      </c>
      <c r="X2345" s="67">
        <f t="shared" si="112"/>
        <v>108.528</v>
      </c>
      <c r="Y2345" s="67">
        <f t="shared" si="113"/>
        <v>786.828</v>
      </c>
      <c r="Z2345" s="67">
        <f t="shared" si="99"/>
        <v>642.6</v>
      </c>
      <c r="AA2345" s="67">
        <f t="shared" si="114"/>
        <v>102.816</v>
      </c>
      <c r="AB2345" s="67">
        <f t="shared" si="115"/>
        <v>745.416</v>
      </c>
      <c r="AC2345" s="67">
        <f t="shared" si="102"/>
        <v>606.9</v>
      </c>
      <c r="AD2345" s="67">
        <f t="shared" si="116"/>
        <v>97.104</v>
      </c>
      <c r="AE2345" s="67">
        <f t="shared" si="117"/>
        <v>704.004</v>
      </c>
      <c r="AF2345" s="67">
        <f t="shared" si="105"/>
        <v>592.62</v>
      </c>
      <c r="AG2345" s="67">
        <f t="shared" si="118"/>
        <v>94.8192</v>
      </c>
      <c r="AH2345" s="67">
        <f t="shared" si="119"/>
        <v>687.4392</v>
      </c>
      <c r="AI2345" s="67">
        <f t="shared" si="108"/>
        <v>571.2</v>
      </c>
      <c r="AJ2345" s="68">
        <f t="shared" si="120"/>
        <v>91.392</v>
      </c>
      <c r="AK2345" s="68">
        <f t="shared" si="121"/>
        <v>662.592</v>
      </c>
      <c r="AL2345" s="70"/>
      <c r="AM2345" s="70"/>
      <c r="AN2345" s="71"/>
      <c r="AO2345" s="71"/>
      <c r="AP2345" s="71"/>
      <c r="AQ2345" s="71"/>
      <c r="AR2345" s="71"/>
      <c r="AS2345" s="71"/>
      <c r="AT2345" s="71"/>
      <c r="AU2345" s="71"/>
      <c r="AV2345" s="71"/>
      <c r="AW2345" s="71"/>
      <c r="AX2345" s="71"/>
      <c r="AY2345" s="71"/>
      <c r="AZ2345" s="71"/>
      <c r="BA2345" s="71"/>
      <c r="BB2345" s="71"/>
      <c r="BC2345" s="71"/>
      <c r="BD2345" s="71"/>
      <c r="BE2345" s="71"/>
      <c r="BF2345" s="71"/>
      <c r="BG2345" s="71"/>
      <c r="BH2345" s="71"/>
      <c r="BI2345" s="71"/>
      <c r="BJ2345" s="71"/>
      <c r="BK2345" s="71"/>
      <c r="BL2345" s="71"/>
      <c r="BM2345" s="71"/>
      <c r="BN2345" s="71"/>
      <c r="BO2345" s="71"/>
      <c r="BP2345" s="71"/>
      <c r="BQ2345" s="71"/>
      <c r="BR2345" s="71"/>
      <c r="BS2345" s="71"/>
      <c r="BT2345" s="71"/>
      <c r="BU2345" s="71"/>
      <c r="BV2345" s="71"/>
    </row>
    <row r="2346">
      <c r="A2346" s="53">
        <v>1.0</v>
      </c>
      <c r="B2346" s="53"/>
      <c r="C2346" s="73" t="s">
        <v>53</v>
      </c>
      <c r="D2346" s="74" t="s">
        <v>5752</v>
      </c>
      <c r="E2346" s="54" t="s">
        <v>38</v>
      </c>
      <c r="F2346" s="54" t="s">
        <v>42</v>
      </c>
      <c r="G2346" s="88" t="s">
        <v>5753</v>
      </c>
      <c r="H2346" s="54" t="s">
        <v>5754</v>
      </c>
      <c r="I2346" s="54">
        <f t="shared" si="24"/>
        <v>34</v>
      </c>
      <c r="J2346" s="56"/>
      <c r="K2346" s="57"/>
      <c r="L2346" s="87"/>
      <c r="M2346" s="59"/>
      <c r="N2346" s="60">
        <v>806.0</v>
      </c>
      <c r="O2346" s="61">
        <v>870.0</v>
      </c>
      <c r="P2346" s="62">
        <v>939.6</v>
      </c>
      <c r="Q2346" s="63">
        <v>939.6</v>
      </c>
      <c r="R2346" s="64">
        <v>1046.0</v>
      </c>
      <c r="S2346" s="111">
        <v>1098.0</v>
      </c>
      <c r="T2346" s="65">
        <f t="shared" si="93"/>
        <v>175.68</v>
      </c>
      <c r="U2346" s="65">
        <f t="shared" si="94"/>
        <v>1273.68</v>
      </c>
      <c r="V2346" s="66">
        <f t="shared" si="122"/>
        <v>0.04971319312</v>
      </c>
      <c r="W2346" s="67">
        <f t="shared" si="96"/>
        <v>1043.1</v>
      </c>
      <c r="X2346" s="67">
        <f t="shared" si="112"/>
        <v>166.896</v>
      </c>
      <c r="Y2346" s="67">
        <f t="shared" si="113"/>
        <v>1209.996</v>
      </c>
      <c r="Z2346" s="67">
        <f t="shared" si="99"/>
        <v>988.2</v>
      </c>
      <c r="AA2346" s="67">
        <f t="shared" si="114"/>
        <v>158.112</v>
      </c>
      <c r="AB2346" s="67">
        <f t="shared" si="115"/>
        <v>1146.312</v>
      </c>
      <c r="AC2346" s="67">
        <f t="shared" si="102"/>
        <v>933.3</v>
      </c>
      <c r="AD2346" s="67">
        <f t="shared" si="116"/>
        <v>149.328</v>
      </c>
      <c r="AE2346" s="67">
        <f t="shared" si="117"/>
        <v>1082.628</v>
      </c>
      <c r="AF2346" s="67">
        <f t="shared" si="105"/>
        <v>911.34</v>
      </c>
      <c r="AG2346" s="67">
        <f t="shared" si="118"/>
        <v>145.8144</v>
      </c>
      <c r="AH2346" s="67">
        <f t="shared" si="119"/>
        <v>1057.1544</v>
      </c>
      <c r="AI2346" s="67">
        <f t="shared" si="108"/>
        <v>878.4</v>
      </c>
      <c r="AJ2346" s="68">
        <f t="shared" si="120"/>
        <v>140.544</v>
      </c>
      <c r="AK2346" s="68">
        <f t="shared" si="121"/>
        <v>1018.944</v>
      </c>
      <c r="AL2346" s="70"/>
      <c r="AM2346" s="70"/>
      <c r="AN2346" s="71"/>
      <c r="AO2346" s="71"/>
      <c r="AP2346" s="71"/>
      <c r="AQ2346" s="71"/>
      <c r="AR2346" s="71"/>
      <c r="AS2346" s="71"/>
      <c r="AT2346" s="71"/>
      <c r="AU2346" s="71"/>
      <c r="AV2346" s="71"/>
      <c r="AW2346" s="71"/>
      <c r="AX2346" s="71"/>
      <c r="AY2346" s="71"/>
      <c r="AZ2346" s="71"/>
      <c r="BA2346" s="71"/>
      <c r="BB2346" s="71"/>
      <c r="BC2346" s="71"/>
      <c r="BD2346" s="71"/>
      <c r="BE2346" s="71"/>
      <c r="BF2346" s="71"/>
      <c r="BG2346" s="71"/>
      <c r="BH2346" s="71"/>
      <c r="BI2346" s="71"/>
      <c r="BJ2346" s="71"/>
      <c r="BK2346" s="71"/>
      <c r="BL2346" s="71"/>
      <c r="BM2346" s="71"/>
      <c r="BN2346" s="71"/>
      <c r="BO2346" s="71"/>
      <c r="BP2346" s="71"/>
      <c r="BQ2346" s="71"/>
      <c r="BR2346" s="71"/>
      <c r="BS2346" s="71"/>
      <c r="BT2346" s="71"/>
      <c r="BU2346" s="71"/>
      <c r="BV2346" s="71"/>
    </row>
    <row r="2347">
      <c r="A2347" s="53">
        <v>1.0</v>
      </c>
      <c r="B2347" s="53"/>
      <c r="C2347" s="73" t="s">
        <v>53</v>
      </c>
      <c r="D2347" s="74" t="s">
        <v>5755</v>
      </c>
      <c r="E2347" s="54" t="s">
        <v>38</v>
      </c>
      <c r="F2347" s="54" t="s">
        <v>42</v>
      </c>
      <c r="G2347" s="88" t="s">
        <v>5756</v>
      </c>
      <c r="H2347" s="54" t="s">
        <v>5757</v>
      </c>
      <c r="I2347" s="54">
        <f t="shared" si="24"/>
        <v>38</v>
      </c>
      <c r="J2347" s="56"/>
      <c r="K2347" s="57"/>
      <c r="L2347" s="87"/>
      <c r="M2347" s="59"/>
      <c r="N2347" s="60">
        <v>739.0</v>
      </c>
      <c r="O2347" s="61">
        <v>798.0</v>
      </c>
      <c r="P2347" s="62">
        <v>861.84</v>
      </c>
      <c r="Q2347" s="63">
        <v>861.84</v>
      </c>
      <c r="R2347" s="64">
        <v>960.0</v>
      </c>
      <c r="S2347" s="111">
        <v>1008.0</v>
      </c>
      <c r="T2347" s="65">
        <f t="shared" si="93"/>
        <v>161.28</v>
      </c>
      <c r="U2347" s="65">
        <f t="shared" si="94"/>
        <v>1169.28</v>
      </c>
      <c r="V2347" s="66">
        <f t="shared" si="122"/>
        <v>0.05</v>
      </c>
      <c r="W2347" s="67">
        <f t="shared" si="96"/>
        <v>957.6</v>
      </c>
      <c r="X2347" s="67">
        <f t="shared" si="112"/>
        <v>153.216</v>
      </c>
      <c r="Y2347" s="67">
        <f t="shared" si="113"/>
        <v>1110.816</v>
      </c>
      <c r="Z2347" s="67">
        <f t="shared" si="99"/>
        <v>907.2</v>
      </c>
      <c r="AA2347" s="67">
        <f t="shared" si="114"/>
        <v>145.152</v>
      </c>
      <c r="AB2347" s="67">
        <f t="shared" si="115"/>
        <v>1052.352</v>
      </c>
      <c r="AC2347" s="67">
        <f t="shared" si="102"/>
        <v>856.8</v>
      </c>
      <c r="AD2347" s="67">
        <f t="shared" si="116"/>
        <v>137.088</v>
      </c>
      <c r="AE2347" s="67">
        <f t="shared" si="117"/>
        <v>993.888</v>
      </c>
      <c r="AF2347" s="67">
        <f t="shared" si="105"/>
        <v>836.64</v>
      </c>
      <c r="AG2347" s="67">
        <f t="shared" si="118"/>
        <v>133.8624</v>
      </c>
      <c r="AH2347" s="67">
        <f t="shared" si="119"/>
        <v>970.5024</v>
      </c>
      <c r="AI2347" s="67">
        <f t="shared" si="108"/>
        <v>806.4</v>
      </c>
      <c r="AJ2347" s="68">
        <f t="shared" si="120"/>
        <v>129.024</v>
      </c>
      <c r="AK2347" s="68">
        <f t="shared" si="121"/>
        <v>935.424</v>
      </c>
      <c r="AL2347" s="70"/>
      <c r="AM2347" s="70"/>
      <c r="AN2347" s="71"/>
      <c r="AO2347" s="71"/>
      <c r="AP2347" s="71"/>
      <c r="AQ2347" s="71"/>
      <c r="AR2347" s="71"/>
      <c r="AS2347" s="71"/>
      <c r="AT2347" s="71"/>
      <c r="AU2347" s="71"/>
      <c r="AV2347" s="71"/>
      <c r="AW2347" s="71"/>
      <c r="AX2347" s="71"/>
      <c r="AY2347" s="71"/>
      <c r="AZ2347" s="71"/>
      <c r="BA2347" s="71"/>
      <c r="BB2347" s="71"/>
      <c r="BC2347" s="71"/>
      <c r="BD2347" s="71"/>
      <c r="BE2347" s="71"/>
      <c r="BF2347" s="71"/>
      <c r="BG2347" s="71"/>
      <c r="BH2347" s="71"/>
      <c r="BI2347" s="71"/>
      <c r="BJ2347" s="71"/>
      <c r="BK2347" s="71"/>
      <c r="BL2347" s="71"/>
      <c r="BM2347" s="71"/>
      <c r="BN2347" s="71"/>
      <c r="BO2347" s="71"/>
      <c r="BP2347" s="71"/>
      <c r="BQ2347" s="71"/>
      <c r="BR2347" s="71"/>
      <c r="BS2347" s="71"/>
      <c r="BT2347" s="71"/>
      <c r="BU2347" s="71"/>
      <c r="BV2347" s="71"/>
    </row>
    <row r="2348">
      <c r="A2348" s="53">
        <v>1.0</v>
      </c>
      <c r="B2348" s="53"/>
      <c r="C2348" s="73" t="s">
        <v>53</v>
      </c>
      <c r="D2348" s="74" t="s">
        <v>5758</v>
      </c>
      <c r="E2348" s="54" t="s">
        <v>38</v>
      </c>
      <c r="F2348" s="54" t="s">
        <v>42</v>
      </c>
      <c r="G2348" s="88" t="s">
        <v>5759</v>
      </c>
      <c r="H2348" s="54" t="s">
        <v>5760</v>
      </c>
      <c r="I2348" s="54">
        <f t="shared" si="24"/>
        <v>35</v>
      </c>
      <c r="J2348" s="56"/>
      <c r="K2348" s="57"/>
      <c r="L2348" s="87"/>
      <c r="M2348" s="59"/>
      <c r="N2348" s="60">
        <v>825.0</v>
      </c>
      <c r="O2348" s="61">
        <v>891.0</v>
      </c>
      <c r="P2348" s="62">
        <v>962.2800000000001</v>
      </c>
      <c r="Q2348" s="63">
        <v>962.2800000000001</v>
      </c>
      <c r="R2348" s="64">
        <v>1073.0</v>
      </c>
      <c r="S2348" s="111">
        <v>1127.0</v>
      </c>
      <c r="T2348" s="65">
        <f t="shared" si="93"/>
        <v>180.32</v>
      </c>
      <c r="U2348" s="65">
        <f t="shared" si="94"/>
        <v>1307.32</v>
      </c>
      <c r="V2348" s="66">
        <f t="shared" si="122"/>
        <v>0.05032618826</v>
      </c>
      <c r="W2348" s="67">
        <f t="shared" si="96"/>
        <v>1070.65</v>
      </c>
      <c r="X2348" s="67">
        <f t="shared" si="112"/>
        <v>171.304</v>
      </c>
      <c r="Y2348" s="67">
        <f t="shared" si="113"/>
        <v>1241.954</v>
      </c>
      <c r="Z2348" s="67">
        <f t="shared" si="99"/>
        <v>1014.3</v>
      </c>
      <c r="AA2348" s="67">
        <f t="shared" si="114"/>
        <v>162.288</v>
      </c>
      <c r="AB2348" s="67">
        <f t="shared" si="115"/>
        <v>1176.588</v>
      </c>
      <c r="AC2348" s="67">
        <f t="shared" si="102"/>
        <v>957.95</v>
      </c>
      <c r="AD2348" s="67">
        <f t="shared" si="116"/>
        <v>153.272</v>
      </c>
      <c r="AE2348" s="67">
        <f t="shared" si="117"/>
        <v>1111.222</v>
      </c>
      <c r="AF2348" s="67">
        <f t="shared" si="105"/>
        <v>935.41</v>
      </c>
      <c r="AG2348" s="67">
        <f t="shared" si="118"/>
        <v>149.6656</v>
      </c>
      <c r="AH2348" s="67">
        <f t="shared" si="119"/>
        <v>1085.0756</v>
      </c>
      <c r="AI2348" s="67">
        <f t="shared" si="108"/>
        <v>901.6</v>
      </c>
      <c r="AJ2348" s="68">
        <f t="shared" si="120"/>
        <v>144.256</v>
      </c>
      <c r="AK2348" s="68">
        <f t="shared" si="121"/>
        <v>1045.856</v>
      </c>
      <c r="AL2348" s="70"/>
      <c r="AM2348" s="70"/>
      <c r="AN2348" s="71"/>
      <c r="AO2348" s="71"/>
      <c r="AP2348" s="71"/>
      <c r="AQ2348" s="71"/>
      <c r="AR2348" s="71"/>
      <c r="AS2348" s="71"/>
      <c r="AT2348" s="71"/>
      <c r="AU2348" s="71"/>
      <c r="AV2348" s="71"/>
      <c r="AW2348" s="71"/>
      <c r="AX2348" s="71"/>
      <c r="AY2348" s="71"/>
      <c r="AZ2348" s="71"/>
      <c r="BA2348" s="71"/>
      <c r="BB2348" s="71"/>
      <c r="BC2348" s="71"/>
      <c r="BD2348" s="71"/>
      <c r="BE2348" s="71"/>
      <c r="BF2348" s="71"/>
      <c r="BG2348" s="71"/>
      <c r="BH2348" s="71"/>
      <c r="BI2348" s="71"/>
      <c r="BJ2348" s="71"/>
      <c r="BK2348" s="71"/>
      <c r="BL2348" s="71"/>
      <c r="BM2348" s="71"/>
      <c r="BN2348" s="71"/>
      <c r="BO2348" s="71"/>
      <c r="BP2348" s="71"/>
      <c r="BQ2348" s="71"/>
      <c r="BR2348" s="71"/>
      <c r="BS2348" s="71"/>
      <c r="BT2348" s="71"/>
      <c r="BU2348" s="71"/>
      <c r="BV2348" s="71"/>
    </row>
    <row r="2349">
      <c r="A2349" s="53">
        <v>1.0</v>
      </c>
      <c r="B2349" s="53"/>
      <c r="C2349" s="73" t="s">
        <v>53</v>
      </c>
      <c r="D2349" s="74" t="s">
        <v>5761</v>
      </c>
      <c r="E2349" s="54" t="s">
        <v>38</v>
      </c>
      <c r="F2349" s="54" t="s">
        <v>42</v>
      </c>
      <c r="G2349" s="88" t="s">
        <v>5762</v>
      </c>
      <c r="H2349" s="54" t="s">
        <v>5763</v>
      </c>
      <c r="I2349" s="54">
        <f t="shared" si="24"/>
        <v>39</v>
      </c>
      <c r="J2349" s="56"/>
      <c r="K2349" s="57"/>
      <c r="L2349" s="87"/>
      <c r="M2349" s="59"/>
      <c r="N2349" s="60">
        <v>746.0</v>
      </c>
      <c r="O2349" s="61">
        <v>805.0</v>
      </c>
      <c r="P2349" s="62">
        <v>869.4000000000001</v>
      </c>
      <c r="Q2349" s="63">
        <v>869.4000000000001</v>
      </c>
      <c r="R2349" s="64">
        <v>969.0</v>
      </c>
      <c r="S2349" s="111">
        <v>1017.0</v>
      </c>
      <c r="T2349" s="65">
        <f t="shared" si="93"/>
        <v>162.72</v>
      </c>
      <c r="U2349" s="65">
        <f t="shared" si="94"/>
        <v>1179.72</v>
      </c>
      <c r="V2349" s="66">
        <f t="shared" si="122"/>
        <v>0.04953560372</v>
      </c>
      <c r="W2349" s="67">
        <f t="shared" si="96"/>
        <v>966.15</v>
      </c>
      <c r="X2349" s="67">
        <f t="shared" si="112"/>
        <v>154.584</v>
      </c>
      <c r="Y2349" s="67">
        <f t="shared" si="113"/>
        <v>1120.734</v>
      </c>
      <c r="Z2349" s="67">
        <f t="shared" si="99"/>
        <v>915.3</v>
      </c>
      <c r="AA2349" s="67">
        <f t="shared" si="114"/>
        <v>146.448</v>
      </c>
      <c r="AB2349" s="67">
        <f t="shared" si="115"/>
        <v>1061.748</v>
      </c>
      <c r="AC2349" s="67">
        <f t="shared" si="102"/>
        <v>864.45</v>
      </c>
      <c r="AD2349" s="67">
        <f t="shared" si="116"/>
        <v>138.312</v>
      </c>
      <c r="AE2349" s="67">
        <f t="shared" si="117"/>
        <v>1002.762</v>
      </c>
      <c r="AF2349" s="67">
        <f t="shared" si="105"/>
        <v>844.11</v>
      </c>
      <c r="AG2349" s="67">
        <f t="shared" si="118"/>
        <v>135.0576</v>
      </c>
      <c r="AH2349" s="67">
        <f t="shared" si="119"/>
        <v>979.1676</v>
      </c>
      <c r="AI2349" s="67">
        <f t="shared" si="108"/>
        <v>813.6</v>
      </c>
      <c r="AJ2349" s="68">
        <f t="shared" si="120"/>
        <v>130.176</v>
      </c>
      <c r="AK2349" s="68">
        <f t="shared" si="121"/>
        <v>943.776</v>
      </c>
      <c r="AL2349" s="70"/>
      <c r="AM2349" s="70"/>
      <c r="AN2349" s="71"/>
      <c r="AO2349" s="71"/>
      <c r="AP2349" s="71"/>
      <c r="AQ2349" s="71"/>
      <c r="AR2349" s="71"/>
      <c r="AS2349" s="71"/>
      <c r="AT2349" s="71"/>
      <c r="AU2349" s="71"/>
      <c r="AV2349" s="71"/>
      <c r="AW2349" s="71"/>
      <c r="AX2349" s="71"/>
      <c r="AY2349" s="71"/>
      <c r="AZ2349" s="71"/>
      <c r="BA2349" s="71"/>
      <c r="BB2349" s="71"/>
      <c r="BC2349" s="71"/>
      <c r="BD2349" s="71"/>
      <c r="BE2349" s="71"/>
      <c r="BF2349" s="71"/>
      <c r="BG2349" s="71"/>
      <c r="BH2349" s="71"/>
      <c r="BI2349" s="71"/>
      <c r="BJ2349" s="71"/>
      <c r="BK2349" s="71"/>
      <c r="BL2349" s="71"/>
      <c r="BM2349" s="71"/>
      <c r="BN2349" s="71"/>
      <c r="BO2349" s="71"/>
      <c r="BP2349" s="71"/>
      <c r="BQ2349" s="71"/>
      <c r="BR2349" s="71"/>
      <c r="BS2349" s="71"/>
      <c r="BT2349" s="71"/>
      <c r="BU2349" s="71"/>
      <c r="BV2349" s="71"/>
    </row>
    <row r="2350">
      <c r="A2350" s="53">
        <v>1.0</v>
      </c>
      <c r="B2350" s="53"/>
      <c r="C2350" s="73" t="s">
        <v>53</v>
      </c>
      <c r="D2350" s="74" t="s">
        <v>5764</v>
      </c>
      <c r="E2350" s="54" t="s">
        <v>38</v>
      </c>
      <c r="F2350" s="54" t="s">
        <v>42</v>
      </c>
      <c r="G2350" s="88" t="s">
        <v>5765</v>
      </c>
      <c r="H2350" s="54" t="s">
        <v>5766</v>
      </c>
      <c r="I2350" s="54">
        <f t="shared" si="24"/>
        <v>31</v>
      </c>
      <c r="J2350" s="56"/>
      <c r="K2350" s="57"/>
      <c r="L2350" s="87"/>
      <c r="M2350" s="59"/>
      <c r="N2350" s="60">
        <v>1004.0</v>
      </c>
      <c r="O2350" s="61">
        <v>1084.0</v>
      </c>
      <c r="P2350" s="62">
        <v>1170.72</v>
      </c>
      <c r="Q2350" s="63">
        <v>1170.72</v>
      </c>
      <c r="R2350" s="64">
        <v>1304.0</v>
      </c>
      <c r="S2350" s="111">
        <v>1369.0</v>
      </c>
      <c r="T2350" s="65">
        <f t="shared" si="93"/>
        <v>219.04</v>
      </c>
      <c r="U2350" s="65">
        <f t="shared" si="94"/>
        <v>1588.04</v>
      </c>
      <c r="V2350" s="66">
        <f t="shared" si="122"/>
        <v>0.04984662577</v>
      </c>
      <c r="W2350" s="67">
        <f t="shared" si="96"/>
        <v>1300.55</v>
      </c>
      <c r="X2350" s="67">
        <f t="shared" si="112"/>
        <v>208.088</v>
      </c>
      <c r="Y2350" s="67">
        <f t="shared" si="113"/>
        <v>1508.638</v>
      </c>
      <c r="Z2350" s="67">
        <f t="shared" si="99"/>
        <v>1232.1</v>
      </c>
      <c r="AA2350" s="67">
        <f t="shared" si="114"/>
        <v>197.136</v>
      </c>
      <c r="AB2350" s="67">
        <f t="shared" si="115"/>
        <v>1429.236</v>
      </c>
      <c r="AC2350" s="67">
        <f t="shared" si="102"/>
        <v>1163.65</v>
      </c>
      <c r="AD2350" s="67">
        <f t="shared" si="116"/>
        <v>186.184</v>
      </c>
      <c r="AE2350" s="67">
        <f t="shared" si="117"/>
        <v>1349.834</v>
      </c>
      <c r="AF2350" s="67">
        <f t="shared" si="105"/>
        <v>1136.27</v>
      </c>
      <c r="AG2350" s="67">
        <f t="shared" si="118"/>
        <v>181.8032</v>
      </c>
      <c r="AH2350" s="67">
        <f t="shared" si="119"/>
        <v>1318.0732</v>
      </c>
      <c r="AI2350" s="67">
        <f t="shared" si="108"/>
        <v>1095.2</v>
      </c>
      <c r="AJ2350" s="68">
        <f t="shared" si="120"/>
        <v>175.232</v>
      </c>
      <c r="AK2350" s="68">
        <f t="shared" si="121"/>
        <v>1270.432</v>
      </c>
      <c r="AL2350" s="70"/>
      <c r="AM2350" s="70"/>
      <c r="AN2350" s="71"/>
      <c r="AO2350" s="71"/>
      <c r="AP2350" s="71"/>
      <c r="AQ2350" s="71"/>
      <c r="AR2350" s="71"/>
      <c r="AS2350" s="71"/>
      <c r="AT2350" s="71"/>
      <c r="AU2350" s="71"/>
      <c r="AV2350" s="71"/>
      <c r="AW2350" s="71"/>
      <c r="AX2350" s="71"/>
      <c r="AY2350" s="71"/>
      <c r="AZ2350" s="71"/>
      <c r="BA2350" s="71"/>
      <c r="BB2350" s="71"/>
      <c r="BC2350" s="71"/>
      <c r="BD2350" s="71"/>
      <c r="BE2350" s="71"/>
      <c r="BF2350" s="71"/>
      <c r="BG2350" s="71"/>
      <c r="BH2350" s="71"/>
      <c r="BI2350" s="71"/>
      <c r="BJ2350" s="71"/>
      <c r="BK2350" s="71"/>
      <c r="BL2350" s="71"/>
      <c r="BM2350" s="71"/>
      <c r="BN2350" s="71"/>
      <c r="BO2350" s="71"/>
      <c r="BP2350" s="71"/>
      <c r="BQ2350" s="71"/>
      <c r="BR2350" s="71"/>
      <c r="BS2350" s="71"/>
      <c r="BT2350" s="71"/>
      <c r="BU2350" s="71"/>
      <c r="BV2350" s="71"/>
    </row>
    <row r="2351">
      <c r="A2351" s="53">
        <v>1.0</v>
      </c>
      <c r="B2351" s="53"/>
      <c r="C2351" s="73" t="s">
        <v>53</v>
      </c>
      <c r="D2351" s="74" t="s">
        <v>5767</v>
      </c>
      <c r="E2351" s="54" t="s">
        <v>38</v>
      </c>
      <c r="F2351" s="54" t="s">
        <v>42</v>
      </c>
      <c r="G2351" s="88" t="s">
        <v>5768</v>
      </c>
      <c r="H2351" s="54" t="s">
        <v>5769</v>
      </c>
      <c r="I2351" s="54">
        <f t="shared" si="24"/>
        <v>35</v>
      </c>
      <c r="J2351" s="56"/>
      <c r="K2351" s="57"/>
      <c r="L2351" s="87"/>
      <c r="M2351" s="59"/>
      <c r="N2351" s="60">
        <v>961.0</v>
      </c>
      <c r="O2351" s="61">
        <v>1037.0</v>
      </c>
      <c r="P2351" s="62">
        <v>1119.96</v>
      </c>
      <c r="Q2351" s="63">
        <v>1119.96</v>
      </c>
      <c r="R2351" s="64">
        <v>1248.0</v>
      </c>
      <c r="S2351" s="111">
        <v>1310.0</v>
      </c>
      <c r="T2351" s="65">
        <f t="shared" si="93"/>
        <v>209.6</v>
      </c>
      <c r="U2351" s="65">
        <f t="shared" si="94"/>
        <v>1519.6</v>
      </c>
      <c r="V2351" s="66">
        <f t="shared" si="122"/>
        <v>0.04967948718</v>
      </c>
      <c r="W2351" s="67">
        <f t="shared" si="96"/>
        <v>1244.5</v>
      </c>
      <c r="X2351" s="67">
        <f t="shared" si="112"/>
        <v>199.12</v>
      </c>
      <c r="Y2351" s="67">
        <f t="shared" si="113"/>
        <v>1443.62</v>
      </c>
      <c r="Z2351" s="67">
        <f t="shared" si="99"/>
        <v>1179</v>
      </c>
      <c r="AA2351" s="67">
        <f t="shared" si="114"/>
        <v>188.64</v>
      </c>
      <c r="AB2351" s="67">
        <f t="shared" si="115"/>
        <v>1367.64</v>
      </c>
      <c r="AC2351" s="67">
        <f t="shared" si="102"/>
        <v>1113.5</v>
      </c>
      <c r="AD2351" s="67">
        <f t="shared" si="116"/>
        <v>178.16</v>
      </c>
      <c r="AE2351" s="67">
        <f t="shared" si="117"/>
        <v>1291.66</v>
      </c>
      <c r="AF2351" s="67">
        <f t="shared" si="105"/>
        <v>1087.3</v>
      </c>
      <c r="AG2351" s="67">
        <f t="shared" si="118"/>
        <v>173.968</v>
      </c>
      <c r="AH2351" s="67">
        <f t="shared" si="119"/>
        <v>1261.268</v>
      </c>
      <c r="AI2351" s="67">
        <f t="shared" si="108"/>
        <v>1048</v>
      </c>
      <c r="AJ2351" s="68">
        <f t="shared" si="120"/>
        <v>167.68</v>
      </c>
      <c r="AK2351" s="68">
        <f t="shared" si="121"/>
        <v>1215.68</v>
      </c>
      <c r="AL2351" s="70"/>
      <c r="AM2351" s="70"/>
      <c r="AN2351" s="71"/>
      <c r="AO2351" s="71"/>
      <c r="AP2351" s="71"/>
      <c r="AQ2351" s="71"/>
      <c r="AR2351" s="71"/>
      <c r="AS2351" s="71"/>
      <c r="AT2351" s="71"/>
      <c r="AU2351" s="71"/>
      <c r="AV2351" s="71"/>
      <c r="AW2351" s="71"/>
      <c r="AX2351" s="71"/>
      <c r="AY2351" s="71"/>
      <c r="AZ2351" s="71"/>
      <c r="BA2351" s="71"/>
      <c r="BB2351" s="71"/>
      <c r="BC2351" s="71"/>
      <c r="BD2351" s="71"/>
      <c r="BE2351" s="71"/>
      <c r="BF2351" s="71"/>
      <c r="BG2351" s="71"/>
      <c r="BH2351" s="71"/>
      <c r="BI2351" s="71"/>
      <c r="BJ2351" s="71"/>
      <c r="BK2351" s="71"/>
      <c r="BL2351" s="71"/>
      <c r="BM2351" s="71"/>
      <c r="BN2351" s="71"/>
      <c r="BO2351" s="71"/>
      <c r="BP2351" s="71"/>
      <c r="BQ2351" s="71"/>
      <c r="BR2351" s="71"/>
      <c r="BS2351" s="71"/>
      <c r="BT2351" s="71"/>
      <c r="BU2351" s="71"/>
      <c r="BV2351" s="71"/>
    </row>
    <row r="2352">
      <c r="A2352" s="53">
        <v>1.0</v>
      </c>
      <c r="B2352" s="53"/>
      <c r="C2352" s="53" t="s">
        <v>53</v>
      </c>
      <c r="D2352" s="53" t="s">
        <v>5770</v>
      </c>
      <c r="E2352" s="86" t="s">
        <v>38</v>
      </c>
      <c r="F2352" s="91" t="s">
        <v>42</v>
      </c>
      <c r="G2352" s="84" t="s">
        <v>5771</v>
      </c>
      <c r="H2352" s="84" t="s">
        <v>5772</v>
      </c>
      <c r="I2352" s="54">
        <f t="shared" si="24"/>
        <v>39</v>
      </c>
      <c r="J2352" s="56"/>
      <c r="K2352" s="57"/>
      <c r="L2352" s="76"/>
      <c r="M2352" s="59"/>
      <c r="N2352" s="79"/>
      <c r="O2352" s="90"/>
      <c r="P2352" s="90"/>
      <c r="Q2352" s="94"/>
      <c r="R2352" s="64">
        <v>419.0</v>
      </c>
      <c r="S2352" s="111">
        <v>440.0</v>
      </c>
      <c r="T2352" s="65">
        <f t="shared" si="93"/>
        <v>70.4</v>
      </c>
      <c r="U2352" s="65">
        <f t="shared" si="94"/>
        <v>510.4</v>
      </c>
      <c r="V2352" s="66">
        <f t="shared" si="122"/>
        <v>0.05011933174</v>
      </c>
      <c r="W2352" s="67">
        <f t="shared" si="96"/>
        <v>418</v>
      </c>
      <c r="X2352" s="67">
        <f t="shared" si="112"/>
        <v>66.88</v>
      </c>
      <c r="Y2352" s="67">
        <f t="shared" si="113"/>
        <v>484.88</v>
      </c>
      <c r="Z2352" s="67">
        <f t="shared" si="99"/>
        <v>396</v>
      </c>
      <c r="AA2352" s="67">
        <f t="shared" si="114"/>
        <v>63.36</v>
      </c>
      <c r="AB2352" s="67">
        <f t="shared" si="115"/>
        <v>459.36</v>
      </c>
      <c r="AC2352" s="67">
        <f t="shared" si="102"/>
        <v>374</v>
      </c>
      <c r="AD2352" s="67">
        <f t="shared" si="116"/>
        <v>59.84</v>
      </c>
      <c r="AE2352" s="67">
        <f t="shared" si="117"/>
        <v>433.84</v>
      </c>
      <c r="AF2352" s="67">
        <f t="shared" si="105"/>
        <v>365.2</v>
      </c>
      <c r="AG2352" s="67">
        <f t="shared" si="118"/>
        <v>58.432</v>
      </c>
      <c r="AH2352" s="67">
        <f t="shared" si="119"/>
        <v>423.632</v>
      </c>
      <c r="AI2352" s="67">
        <f t="shared" si="108"/>
        <v>352</v>
      </c>
      <c r="AJ2352" s="68">
        <f t="shared" si="120"/>
        <v>56.32</v>
      </c>
      <c r="AK2352" s="68">
        <f t="shared" si="121"/>
        <v>408.32</v>
      </c>
      <c r="AL2352" s="70"/>
      <c r="AM2352" s="70"/>
      <c r="AN2352" s="71"/>
      <c r="AO2352" s="71"/>
      <c r="AP2352" s="71"/>
      <c r="AQ2352" s="71"/>
      <c r="AR2352" s="71"/>
      <c r="AS2352" s="71"/>
      <c r="AT2352" s="71"/>
      <c r="AU2352" s="71"/>
      <c r="AV2352" s="71"/>
      <c r="AW2352" s="71"/>
      <c r="AX2352" s="71"/>
      <c r="AY2352" s="71"/>
      <c r="AZ2352" s="71"/>
      <c r="BA2352" s="71"/>
      <c r="BB2352" s="71"/>
      <c r="BC2352" s="71"/>
      <c r="BD2352" s="71"/>
      <c r="BE2352" s="71"/>
      <c r="BF2352" s="71"/>
      <c r="BG2352" s="71"/>
      <c r="BH2352" s="71"/>
      <c r="BI2352" s="71"/>
      <c r="BJ2352" s="71"/>
      <c r="BK2352" s="71"/>
      <c r="BL2352" s="71"/>
      <c r="BM2352" s="71"/>
      <c r="BN2352" s="71"/>
      <c r="BO2352" s="71"/>
      <c r="BP2352" s="71"/>
      <c r="BQ2352" s="71"/>
      <c r="BR2352" s="71"/>
      <c r="BS2352" s="71"/>
      <c r="BT2352" s="71"/>
      <c r="BU2352" s="71"/>
      <c r="BV2352" s="71"/>
    </row>
    <row r="2353">
      <c r="A2353" s="53"/>
      <c r="B2353" s="53"/>
      <c r="C2353" s="73" t="s">
        <v>53</v>
      </c>
      <c r="D2353" s="128" t="s">
        <v>5773</v>
      </c>
      <c r="E2353" s="54" t="s">
        <v>38</v>
      </c>
      <c r="F2353" s="54" t="s">
        <v>42</v>
      </c>
      <c r="G2353" s="55" t="s">
        <v>5774</v>
      </c>
      <c r="H2353" s="54" t="s">
        <v>5775</v>
      </c>
      <c r="I2353" s="54">
        <f t="shared" si="24"/>
        <v>39</v>
      </c>
      <c r="J2353" s="56"/>
      <c r="K2353" s="57"/>
      <c r="L2353" s="76"/>
      <c r="M2353" s="59"/>
      <c r="N2353" s="60"/>
      <c r="O2353" s="129">
        <v>1854.0</v>
      </c>
      <c r="P2353" s="62">
        <v>2002.3200000000002</v>
      </c>
      <c r="Q2353" s="63">
        <v>2002.3200000000002</v>
      </c>
      <c r="R2353" s="64">
        <v>2103.0</v>
      </c>
      <c r="S2353" s="111">
        <v>2208.0</v>
      </c>
      <c r="T2353" s="65">
        <f t="shared" si="93"/>
        <v>353.28</v>
      </c>
      <c r="U2353" s="65">
        <f t="shared" si="94"/>
        <v>2561.28</v>
      </c>
      <c r="V2353" s="66">
        <f t="shared" si="122"/>
        <v>0.04992867332</v>
      </c>
      <c r="W2353" s="67">
        <f t="shared" si="96"/>
        <v>2097.6</v>
      </c>
      <c r="X2353" s="67">
        <f t="shared" si="112"/>
        <v>335.616</v>
      </c>
      <c r="Y2353" s="67">
        <f t="shared" si="113"/>
        <v>2433.216</v>
      </c>
      <c r="Z2353" s="67">
        <f t="shared" si="99"/>
        <v>1987.2</v>
      </c>
      <c r="AA2353" s="67">
        <f t="shared" si="114"/>
        <v>317.952</v>
      </c>
      <c r="AB2353" s="67">
        <f t="shared" si="115"/>
        <v>2305.152</v>
      </c>
      <c r="AC2353" s="67">
        <f t="shared" si="102"/>
        <v>1876.8</v>
      </c>
      <c r="AD2353" s="67">
        <f t="shared" si="116"/>
        <v>300.288</v>
      </c>
      <c r="AE2353" s="67">
        <f t="shared" si="117"/>
        <v>2177.088</v>
      </c>
      <c r="AF2353" s="67">
        <f t="shared" si="105"/>
        <v>1832.64</v>
      </c>
      <c r="AG2353" s="67">
        <f t="shared" si="118"/>
        <v>293.2224</v>
      </c>
      <c r="AH2353" s="67">
        <f t="shared" si="119"/>
        <v>2125.8624</v>
      </c>
      <c r="AI2353" s="67">
        <f t="shared" si="108"/>
        <v>1766.4</v>
      </c>
      <c r="AJ2353" s="68">
        <f t="shared" si="120"/>
        <v>282.624</v>
      </c>
      <c r="AK2353" s="68">
        <f t="shared" si="121"/>
        <v>2049.024</v>
      </c>
      <c r="AL2353" s="70"/>
      <c r="AM2353" s="70"/>
      <c r="AN2353" s="71"/>
      <c r="AO2353" s="71"/>
      <c r="AP2353" s="71"/>
      <c r="AQ2353" s="71"/>
      <c r="AR2353" s="71"/>
      <c r="AS2353" s="71"/>
      <c r="AT2353" s="71"/>
      <c r="AU2353" s="71"/>
      <c r="AV2353" s="71"/>
      <c r="AW2353" s="71"/>
      <c r="AX2353" s="71"/>
      <c r="AY2353" s="71"/>
      <c r="AZ2353" s="71"/>
      <c r="BA2353" s="71"/>
      <c r="BB2353" s="71"/>
      <c r="BC2353" s="71"/>
      <c r="BD2353" s="71"/>
      <c r="BE2353" s="71"/>
      <c r="BF2353" s="71"/>
      <c r="BG2353" s="71"/>
      <c r="BH2353" s="71"/>
      <c r="BI2353" s="71"/>
      <c r="BJ2353" s="71"/>
      <c r="BK2353" s="71"/>
      <c r="BL2353" s="71"/>
      <c r="BM2353" s="71"/>
      <c r="BN2353" s="71"/>
      <c r="BO2353" s="71"/>
      <c r="BP2353" s="71"/>
      <c r="BQ2353" s="71"/>
      <c r="BR2353" s="71"/>
      <c r="BS2353" s="71"/>
      <c r="BT2353" s="71"/>
      <c r="BU2353" s="71"/>
      <c r="BV2353" s="71"/>
    </row>
    <row r="2354">
      <c r="A2354" s="53"/>
      <c r="B2354" s="53"/>
      <c r="C2354" s="73" t="s">
        <v>53</v>
      </c>
      <c r="D2354" s="128" t="s">
        <v>5776</v>
      </c>
      <c r="E2354" s="54" t="s">
        <v>38</v>
      </c>
      <c r="F2354" s="54" t="s">
        <v>42</v>
      </c>
      <c r="G2354" s="55" t="s">
        <v>5777</v>
      </c>
      <c r="H2354" s="54" t="s">
        <v>5778</v>
      </c>
      <c r="I2354" s="54">
        <f t="shared" si="24"/>
        <v>40</v>
      </c>
      <c r="J2354" s="56"/>
      <c r="K2354" s="57"/>
      <c r="L2354" s="76"/>
      <c r="M2354" s="59"/>
      <c r="N2354" s="60">
        <v>909.3000000000001</v>
      </c>
      <c r="O2354" s="129">
        <v>982.0</v>
      </c>
      <c r="P2354" s="62">
        <v>1060.5600000000002</v>
      </c>
      <c r="Q2354" s="63">
        <v>1060.5600000000002</v>
      </c>
      <c r="R2354" s="64">
        <v>1115.0</v>
      </c>
      <c r="S2354" s="111">
        <v>1171.0</v>
      </c>
      <c r="T2354" s="65">
        <f t="shared" si="93"/>
        <v>187.36</v>
      </c>
      <c r="U2354" s="65">
        <f t="shared" si="94"/>
        <v>1358.36</v>
      </c>
      <c r="V2354" s="66">
        <f t="shared" si="122"/>
        <v>0.05022421525</v>
      </c>
      <c r="W2354" s="67">
        <f t="shared" si="96"/>
        <v>1112.45</v>
      </c>
      <c r="X2354" s="67">
        <f t="shared" si="112"/>
        <v>177.992</v>
      </c>
      <c r="Y2354" s="67">
        <f t="shared" si="113"/>
        <v>1290.442</v>
      </c>
      <c r="Z2354" s="67">
        <f t="shared" si="99"/>
        <v>1053.9</v>
      </c>
      <c r="AA2354" s="67">
        <f t="shared" si="114"/>
        <v>168.624</v>
      </c>
      <c r="AB2354" s="67">
        <f t="shared" si="115"/>
        <v>1222.524</v>
      </c>
      <c r="AC2354" s="67">
        <f t="shared" si="102"/>
        <v>995.35</v>
      </c>
      <c r="AD2354" s="67">
        <f t="shared" si="116"/>
        <v>159.256</v>
      </c>
      <c r="AE2354" s="67">
        <f t="shared" si="117"/>
        <v>1154.606</v>
      </c>
      <c r="AF2354" s="67">
        <f t="shared" si="105"/>
        <v>971.93</v>
      </c>
      <c r="AG2354" s="67">
        <f t="shared" si="118"/>
        <v>155.5088</v>
      </c>
      <c r="AH2354" s="67">
        <f t="shared" si="119"/>
        <v>1127.4388</v>
      </c>
      <c r="AI2354" s="67">
        <f t="shared" si="108"/>
        <v>936.8</v>
      </c>
      <c r="AJ2354" s="68">
        <f t="shared" si="120"/>
        <v>149.888</v>
      </c>
      <c r="AK2354" s="68">
        <f t="shared" si="121"/>
        <v>1086.688</v>
      </c>
      <c r="AL2354" s="70"/>
      <c r="AM2354" s="70"/>
      <c r="AN2354" s="71"/>
      <c r="AO2354" s="71"/>
      <c r="AP2354" s="71"/>
      <c r="AQ2354" s="71"/>
      <c r="AR2354" s="71"/>
      <c r="AS2354" s="71"/>
      <c r="AT2354" s="71"/>
      <c r="AU2354" s="71"/>
      <c r="AV2354" s="71"/>
      <c r="AW2354" s="71"/>
      <c r="AX2354" s="71"/>
      <c r="AY2354" s="71"/>
      <c r="AZ2354" s="71"/>
      <c r="BA2354" s="71"/>
      <c r="BB2354" s="71"/>
      <c r="BC2354" s="71"/>
      <c r="BD2354" s="71"/>
      <c r="BE2354" s="71"/>
      <c r="BF2354" s="71"/>
      <c r="BG2354" s="71"/>
      <c r="BH2354" s="71"/>
      <c r="BI2354" s="71"/>
      <c r="BJ2354" s="71"/>
      <c r="BK2354" s="71"/>
      <c r="BL2354" s="71"/>
      <c r="BM2354" s="71"/>
      <c r="BN2354" s="71"/>
      <c r="BO2354" s="71"/>
      <c r="BP2354" s="71"/>
      <c r="BQ2354" s="71"/>
      <c r="BR2354" s="71"/>
      <c r="BS2354" s="71"/>
      <c r="BT2354" s="71"/>
      <c r="BU2354" s="71"/>
      <c r="BV2354" s="71"/>
    </row>
    <row r="2355">
      <c r="A2355" s="53"/>
      <c r="B2355" s="53"/>
      <c r="C2355" s="73" t="s">
        <v>53</v>
      </c>
      <c r="D2355" s="53" t="s">
        <v>5779</v>
      </c>
      <c r="E2355" s="54" t="s">
        <v>38</v>
      </c>
      <c r="F2355" s="54" t="s">
        <v>42</v>
      </c>
      <c r="G2355" s="55" t="s">
        <v>5780</v>
      </c>
      <c r="H2355" s="54" t="s">
        <v>5781</v>
      </c>
      <c r="I2355" s="54">
        <f t="shared" si="24"/>
        <v>40</v>
      </c>
      <c r="J2355" s="56"/>
      <c r="K2355" s="57"/>
      <c r="L2355" s="76"/>
      <c r="M2355" s="59"/>
      <c r="N2355" s="60"/>
      <c r="O2355" s="61">
        <v>1515.0</v>
      </c>
      <c r="P2355" s="62">
        <v>1636.2</v>
      </c>
      <c r="Q2355" s="63">
        <v>1636.2</v>
      </c>
      <c r="R2355" s="64">
        <v>1718.0</v>
      </c>
      <c r="S2355" s="111">
        <v>1804.0</v>
      </c>
      <c r="T2355" s="65">
        <f t="shared" si="93"/>
        <v>288.64</v>
      </c>
      <c r="U2355" s="65">
        <f t="shared" si="94"/>
        <v>2092.64</v>
      </c>
      <c r="V2355" s="66">
        <f t="shared" si="122"/>
        <v>0.05005820722</v>
      </c>
      <c r="W2355" s="67">
        <f t="shared" si="96"/>
        <v>1713.8</v>
      </c>
      <c r="X2355" s="67">
        <f t="shared" si="112"/>
        <v>274.208</v>
      </c>
      <c r="Y2355" s="67">
        <f t="shared" si="113"/>
        <v>1988.008</v>
      </c>
      <c r="Z2355" s="67">
        <f t="shared" si="99"/>
        <v>1623.6</v>
      </c>
      <c r="AA2355" s="67">
        <f t="shared" si="114"/>
        <v>259.776</v>
      </c>
      <c r="AB2355" s="67">
        <f t="shared" si="115"/>
        <v>1883.376</v>
      </c>
      <c r="AC2355" s="67">
        <f t="shared" si="102"/>
        <v>1533.4</v>
      </c>
      <c r="AD2355" s="67">
        <f t="shared" si="116"/>
        <v>245.344</v>
      </c>
      <c r="AE2355" s="67">
        <f t="shared" si="117"/>
        <v>1778.744</v>
      </c>
      <c r="AF2355" s="67">
        <f t="shared" si="105"/>
        <v>1497.32</v>
      </c>
      <c r="AG2355" s="67">
        <f t="shared" si="118"/>
        <v>239.5712</v>
      </c>
      <c r="AH2355" s="67">
        <f t="shared" si="119"/>
        <v>1736.8912</v>
      </c>
      <c r="AI2355" s="67">
        <f t="shared" si="108"/>
        <v>1443.2</v>
      </c>
      <c r="AJ2355" s="68">
        <f t="shared" si="120"/>
        <v>230.912</v>
      </c>
      <c r="AK2355" s="68">
        <f t="shared" si="121"/>
        <v>1674.112</v>
      </c>
      <c r="AL2355" s="70"/>
      <c r="AM2355" s="70"/>
      <c r="AN2355" s="71"/>
      <c r="AO2355" s="71"/>
      <c r="AP2355" s="71"/>
      <c r="AQ2355" s="71"/>
      <c r="AR2355" s="71"/>
      <c r="AS2355" s="71"/>
      <c r="AT2355" s="71"/>
      <c r="AU2355" s="71"/>
      <c r="AV2355" s="71"/>
      <c r="AW2355" s="71"/>
      <c r="AX2355" s="71"/>
      <c r="AY2355" s="71"/>
      <c r="AZ2355" s="71"/>
      <c r="BA2355" s="71"/>
      <c r="BB2355" s="71"/>
      <c r="BC2355" s="71"/>
      <c r="BD2355" s="71"/>
      <c r="BE2355" s="71"/>
      <c r="BF2355" s="71"/>
      <c r="BG2355" s="71"/>
      <c r="BH2355" s="71"/>
      <c r="BI2355" s="71"/>
      <c r="BJ2355" s="71"/>
      <c r="BK2355" s="71"/>
      <c r="BL2355" s="71"/>
      <c r="BM2355" s="71"/>
      <c r="BN2355" s="71"/>
      <c r="BO2355" s="71"/>
      <c r="BP2355" s="71"/>
      <c r="BQ2355" s="71"/>
      <c r="BR2355" s="71"/>
      <c r="BS2355" s="71"/>
      <c r="BT2355" s="71"/>
      <c r="BU2355" s="71"/>
      <c r="BV2355" s="71"/>
    </row>
    <row r="2356">
      <c r="A2356" s="53"/>
      <c r="B2356" s="53"/>
      <c r="C2356" s="73" t="s">
        <v>53</v>
      </c>
      <c r="D2356" s="53" t="s">
        <v>5782</v>
      </c>
      <c r="E2356" s="54" t="s">
        <v>38</v>
      </c>
      <c r="F2356" s="54" t="s">
        <v>42</v>
      </c>
      <c r="G2356" s="55" t="s">
        <v>5783</v>
      </c>
      <c r="H2356" s="54" t="s">
        <v>5784</v>
      </c>
      <c r="I2356" s="54">
        <f t="shared" si="24"/>
        <v>40</v>
      </c>
      <c r="J2356" s="56"/>
      <c r="K2356" s="57"/>
      <c r="L2356" s="76"/>
      <c r="M2356" s="59"/>
      <c r="N2356" s="79">
        <v>1215.0</v>
      </c>
      <c r="O2356" s="61">
        <v>1312.0</v>
      </c>
      <c r="P2356" s="62">
        <v>1416.96</v>
      </c>
      <c r="Q2356" s="63">
        <v>1416.96</v>
      </c>
      <c r="R2356" s="64">
        <v>1488.0</v>
      </c>
      <c r="S2356" s="111">
        <v>1562.0</v>
      </c>
      <c r="T2356" s="65">
        <f t="shared" si="93"/>
        <v>249.92</v>
      </c>
      <c r="U2356" s="65">
        <f t="shared" si="94"/>
        <v>1811.92</v>
      </c>
      <c r="V2356" s="66">
        <f t="shared" si="122"/>
        <v>0.0497311828</v>
      </c>
      <c r="W2356" s="67">
        <f t="shared" si="96"/>
        <v>1483.9</v>
      </c>
      <c r="X2356" s="67">
        <f t="shared" si="112"/>
        <v>237.424</v>
      </c>
      <c r="Y2356" s="67">
        <f t="shared" si="113"/>
        <v>1721.324</v>
      </c>
      <c r="Z2356" s="67">
        <f t="shared" si="99"/>
        <v>1405.8</v>
      </c>
      <c r="AA2356" s="67">
        <f t="shared" si="114"/>
        <v>224.928</v>
      </c>
      <c r="AB2356" s="67">
        <f t="shared" si="115"/>
        <v>1630.728</v>
      </c>
      <c r="AC2356" s="67">
        <f t="shared" si="102"/>
        <v>1327.7</v>
      </c>
      <c r="AD2356" s="67">
        <f t="shared" si="116"/>
        <v>212.432</v>
      </c>
      <c r="AE2356" s="67">
        <f t="shared" si="117"/>
        <v>1540.132</v>
      </c>
      <c r="AF2356" s="67">
        <f t="shared" si="105"/>
        <v>1296.46</v>
      </c>
      <c r="AG2356" s="67">
        <f t="shared" si="118"/>
        <v>207.4336</v>
      </c>
      <c r="AH2356" s="67">
        <f t="shared" si="119"/>
        <v>1503.8936</v>
      </c>
      <c r="AI2356" s="67">
        <f t="shared" si="108"/>
        <v>1249.6</v>
      </c>
      <c r="AJ2356" s="68">
        <f t="shared" si="120"/>
        <v>199.936</v>
      </c>
      <c r="AK2356" s="68">
        <f t="shared" si="121"/>
        <v>1449.536</v>
      </c>
      <c r="AL2356" s="70"/>
      <c r="AM2356" s="70"/>
      <c r="AN2356" s="71"/>
      <c r="AO2356" s="71"/>
      <c r="AP2356" s="71"/>
      <c r="AQ2356" s="71"/>
      <c r="AR2356" s="71"/>
      <c r="AS2356" s="71"/>
      <c r="AT2356" s="71"/>
      <c r="AU2356" s="71"/>
      <c r="AV2356" s="71"/>
      <c r="AW2356" s="71"/>
      <c r="AX2356" s="71"/>
      <c r="AY2356" s="71"/>
      <c r="AZ2356" s="71"/>
      <c r="BA2356" s="71"/>
      <c r="BB2356" s="71"/>
      <c r="BC2356" s="71"/>
      <c r="BD2356" s="71"/>
      <c r="BE2356" s="71"/>
      <c r="BF2356" s="71"/>
      <c r="BG2356" s="71"/>
      <c r="BH2356" s="71"/>
      <c r="BI2356" s="71"/>
      <c r="BJ2356" s="71"/>
      <c r="BK2356" s="71"/>
      <c r="BL2356" s="71"/>
      <c r="BM2356" s="71"/>
      <c r="BN2356" s="71"/>
      <c r="BO2356" s="71"/>
      <c r="BP2356" s="71"/>
      <c r="BQ2356" s="71"/>
      <c r="BR2356" s="71"/>
      <c r="BS2356" s="71"/>
      <c r="BT2356" s="71"/>
      <c r="BU2356" s="71"/>
      <c r="BV2356" s="71"/>
    </row>
    <row r="2357">
      <c r="A2357" s="53"/>
      <c r="B2357" s="53"/>
      <c r="C2357" s="73" t="s">
        <v>53</v>
      </c>
      <c r="D2357" s="53" t="s">
        <v>5785</v>
      </c>
      <c r="E2357" s="54" t="s">
        <v>38</v>
      </c>
      <c r="F2357" s="54" t="s">
        <v>42</v>
      </c>
      <c r="G2357" s="54" t="s">
        <v>5786</v>
      </c>
      <c r="H2357" s="54" t="s">
        <v>5787</v>
      </c>
      <c r="I2357" s="54">
        <f t="shared" si="24"/>
        <v>40</v>
      </c>
      <c r="J2357" s="56"/>
      <c r="K2357" s="57"/>
      <c r="L2357" s="76"/>
      <c r="M2357" s="59"/>
      <c r="N2357" s="60"/>
      <c r="O2357" s="61">
        <v>1785.0</v>
      </c>
      <c r="P2357" s="62">
        <v>1927.8000000000002</v>
      </c>
      <c r="Q2357" s="63">
        <v>1927.8000000000002</v>
      </c>
      <c r="R2357" s="64">
        <v>2025.0</v>
      </c>
      <c r="S2357" s="111">
        <v>2126.0</v>
      </c>
      <c r="T2357" s="65">
        <f t="shared" si="93"/>
        <v>340.16</v>
      </c>
      <c r="U2357" s="65">
        <f t="shared" si="94"/>
        <v>2466.16</v>
      </c>
      <c r="V2357" s="66">
        <f t="shared" si="122"/>
        <v>0.04987654321</v>
      </c>
      <c r="W2357" s="67">
        <f t="shared" si="96"/>
        <v>2019.7</v>
      </c>
      <c r="X2357" s="67">
        <f t="shared" si="112"/>
        <v>323.152</v>
      </c>
      <c r="Y2357" s="67">
        <f t="shared" si="113"/>
        <v>2342.852</v>
      </c>
      <c r="Z2357" s="67">
        <f t="shared" si="99"/>
        <v>1913.4</v>
      </c>
      <c r="AA2357" s="67">
        <f t="shared" si="114"/>
        <v>306.144</v>
      </c>
      <c r="AB2357" s="67">
        <f t="shared" si="115"/>
        <v>2219.544</v>
      </c>
      <c r="AC2357" s="67">
        <f t="shared" si="102"/>
        <v>1807.1</v>
      </c>
      <c r="AD2357" s="67">
        <f t="shared" si="116"/>
        <v>289.136</v>
      </c>
      <c r="AE2357" s="67">
        <f t="shared" si="117"/>
        <v>2096.236</v>
      </c>
      <c r="AF2357" s="67">
        <f t="shared" si="105"/>
        <v>1764.58</v>
      </c>
      <c r="AG2357" s="67">
        <f t="shared" si="118"/>
        <v>282.3328</v>
      </c>
      <c r="AH2357" s="67">
        <f t="shared" si="119"/>
        <v>2046.9128</v>
      </c>
      <c r="AI2357" s="67">
        <f t="shared" si="108"/>
        <v>1700.8</v>
      </c>
      <c r="AJ2357" s="68">
        <f t="shared" si="120"/>
        <v>272.128</v>
      </c>
      <c r="AK2357" s="68">
        <f t="shared" si="121"/>
        <v>1972.928</v>
      </c>
      <c r="AL2357" s="70"/>
      <c r="AM2357" s="70"/>
      <c r="AN2357" s="71"/>
      <c r="AO2357" s="71"/>
      <c r="AP2357" s="71"/>
      <c r="AQ2357" s="71"/>
      <c r="AR2357" s="71"/>
      <c r="AS2357" s="71"/>
      <c r="AT2357" s="71"/>
      <c r="AU2357" s="71"/>
      <c r="AV2357" s="71"/>
      <c r="AW2357" s="71"/>
      <c r="AX2357" s="71"/>
      <c r="AY2357" s="71"/>
      <c r="AZ2357" s="71"/>
      <c r="BA2357" s="71"/>
      <c r="BB2357" s="71"/>
      <c r="BC2357" s="71"/>
      <c r="BD2357" s="71"/>
      <c r="BE2357" s="71"/>
      <c r="BF2357" s="71"/>
      <c r="BG2357" s="71"/>
      <c r="BH2357" s="71"/>
      <c r="BI2357" s="71"/>
      <c r="BJ2357" s="71"/>
      <c r="BK2357" s="71"/>
      <c r="BL2357" s="71"/>
      <c r="BM2357" s="71"/>
      <c r="BN2357" s="71"/>
      <c r="BO2357" s="71"/>
      <c r="BP2357" s="71"/>
      <c r="BQ2357" s="71"/>
      <c r="BR2357" s="71"/>
      <c r="BS2357" s="71"/>
      <c r="BT2357" s="71"/>
      <c r="BU2357" s="71"/>
      <c r="BV2357" s="71"/>
    </row>
    <row r="2358">
      <c r="A2358" s="53">
        <v>1.0</v>
      </c>
      <c r="B2358" s="53"/>
      <c r="C2358" s="73" t="s">
        <v>53</v>
      </c>
      <c r="D2358" s="74" t="s">
        <v>5788</v>
      </c>
      <c r="E2358" s="54" t="s">
        <v>38</v>
      </c>
      <c r="F2358" s="54" t="s">
        <v>42</v>
      </c>
      <c r="G2358" s="88" t="s">
        <v>5789</v>
      </c>
      <c r="H2358" s="54" t="s">
        <v>5790</v>
      </c>
      <c r="I2358" s="54">
        <f t="shared" si="24"/>
        <v>39</v>
      </c>
      <c r="J2358" s="56"/>
      <c r="K2358" s="57"/>
      <c r="L2358" s="87"/>
      <c r="M2358" s="59"/>
      <c r="N2358" s="60">
        <v>298.0</v>
      </c>
      <c r="O2358" s="61">
        <v>321.0</v>
      </c>
      <c r="P2358" s="62">
        <v>346.68</v>
      </c>
      <c r="Q2358" s="63">
        <v>346.68</v>
      </c>
      <c r="R2358" s="64">
        <v>387.0</v>
      </c>
      <c r="S2358" s="111">
        <v>406.0</v>
      </c>
      <c r="T2358" s="65">
        <f t="shared" si="93"/>
        <v>64.96</v>
      </c>
      <c r="U2358" s="65">
        <f t="shared" si="94"/>
        <v>470.96</v>
      </c>
      <c r="V2358" s="66">
        <f t="shared" si="122"/>
        <v>0.04909560724</v>
      </c>
      <c r="W2358" s="67">
        <f t="shared" si="96"/>
        <v>385.7</v>
      </c>
      <c r="X2358" s="67">
        <f t="shared" si="112"/>
        <v>61.712</v>
      </c>
      <c r="Y2358" s="67">
        <f t="shared" si="113"/>
        <v>447.412</v>
      </c>
      <c r="Z2358" s="67">
        <f t="shared" si="99"/>
        <v>365.4</v>
      </c>
      <c r="AA2358" s="67">
        <f t="shared" si="114"/>
        <v>58.464</v>
      </c>
      <c r="AB2358" s="67">
        <f t="shared" si="115"/>
        <v>423.864</v>
      </c>
      <c r="AC2358" s="67">
        <f t="shared" si="102"/>
        <v>345.1</v>
      </c>
      <c r="AD2358" s="67">
        <f t="shared" si="116"/>
        <v>55.216</v>
      </c>
      <c r="AE2358" s="67">
        <f t="shared" si="117"/>
        <v>400.316</v>
      </c>
      <c r="AF2358" s="67">
        <f t="shared" si="105"/>
        <v>336.98</v>
      </c>
      <c r="AG2358" s="67">
        <f t="shared" si="118"/>
        <v>53.9168</v>
      </c>
      <c r="AH2358" s="67">
        <f t="shared" si="119"/>
        <v>390.8968</v>
      </c>
      <c r="AI2358" s="67">
        <f t="shared" si="108"/>
        <v>324.8</v>
      </c>
      <c r="AJ2358" s="68">
        <f t="shared" si="120"/>
        <v>51.968</v>
      </c>
      <c r="AK2358" s="68">
        <f t="shared" si="121"/>
        <v>376.768</v>
      </c>
      <c r="AL2358" s="70"/>
      <c r="AM2358" s="70"/>
      <c r="AN2358" s="71"/>
      <c r="AO2358" s="71"/>
      <c r="AP2358" s="71"/>
      <c r="AQ2358" s="71"/>
      <c r="AR2358" s="71"/>
      <c r="AS2358" s="71"/>
      <c r="AT2358" s="71"/>
      <c r="AU2358" s="71"/>
      <c r="AV2358" s="71"/>
      <c r="AW2358" s="71"/>
      <c r="AX2358" s="71"/>
      <c r="AY2358" s="71"/>
      <c r="AZ2358" s="71"/>
      <c r="BA2358" s="71"/>
      <c r="BB2358" s="71"/>
      <c r="BC2358" s="71"/>
      <c r="BD2358" s="71"/>
      <c r="BE2358" s="71"/>
      <c r="BF2358" s="71"/>
      <c r="BG2358" s="71"/>
      <c r="BH2358" s="71"/>
      <c r="BI2358" s="71"/>
      <c r="BJ2358" s="71"/>
      <c r="BK2358" s="71"/>
      <c r="BL2358" s="71"/>
      <c r="BM2358" s="71"/>
      <c r="BN2358" s="71"/>
      <c r="BO2358" s="71"/>
      <c r="BP2358" s="71"/>
      <c r="BQ2358" s="71"/>
      <c r="BR2358" s="71"/>
      <c r="BS2358" s="71"/>
      <c r="BT2358" s="71"/>
      <c r="BU2358" s="71"/>
      <c r="BV2358" s="71"/>
    </row>
    <row r="2359">
      <c r="A2359" s="53">
        <v>1.0</v>
      </c>
      <c r="B2359" s="53"/>
      <c r="C2359" s="73" t="s">
        <v>53</v>
      </c>
      <c r="D2359" s="74" t="s">
        <v>5791</v>
      </c>
      <c r="E2359" s="54" t="s">
        <v>38</v>
      </c>
      <c r="F2359" s="54" t="s">
        <v>42</v>
      </c>
      <c r="G2359" s="88" t="s">
        <v>5792</v>
      </c>
      <c r="H2359" s="54" t="s">
        <v>5793</v>
      </c>
      <c r="I2359" s="54">
        <f t="shared" si="24"/>
        <v>39</v>
      </c>
      <c r="J2359" s="56"/>
      <c r="K2359" s="57"/>
      <c r="L2359" s="87"/>
      <c r="M2359" s="59"/>
      <c r="N2359" s="60">
        <v>257.0</v>
      </c>
      <c r="O2359" s="61">
        <v>277.0</v>
      </c>
      <c r="P2359" s="62">
        <v>299.16</v>
      </c>
      <c r="Q2359" s="63">
        <v>299.16</v>
      </c>
      <c r="R2359" s="64">
        <v>334.0</v>
      </c>
      <c r="S2359" s="111">
        <v>351.0</v>
      </c>
      <c r="T2359" s="65">
        <f t="shared" si="93"/>
        <v>56.16</v>
      </c>
      <c r="U2359" s="65">
        <f t="shared" si="94"/>
        <v>407.16</v>
      </c>
      <c r="V2359" s="66">
        <f t="shared" si="122"/>
        <v>0.05089820359</v>
      </c>
      <c r="W2359" s="67">
        <f t="shared" si="96"/>
        <v>333.45</v>
      </c>
      <c r="X2359" s="67">
        <f t="shared" si="112"/>
        <v>53.352</v>
      </c>
      <c r="Y2359" s="67">
        <f t="shared" si="113"/>
        <v>386.802</v>
      </c>
      <c r="Z2359" s="67">
        <f t="shared" si="99"/>
        <v>315.9</v>
      </c>
      <c r="AA2359" s="67">
        <f t="shared" si="114"/>
        <v>50.544</v>
      </c>
      <c r="AB2359" s="67">
        <f t="shared" si="115"/>
        <v>366.444</v>
      </c>
      <c r="AC2359" s="67">
        <f t="shared" si="102"/>
        <v>298.35</v>
      </c>
      <c r="AD2359" s="67">
        <f t="shared" si="116"/>
        <v>47.736</v>
      </c>
      <c r="AE2359" s="67">
        <f t="shared" si="117"/>
        <v>346.086</v>
      </c>
      <c r="AF2359" s="67">
        <f t="shared" si="105"/>
        <v>291.33</v>
      </c>
      <c r="AG2359" s="67">
        <f t="shared" si="118"/>
        <v>46.6128</v>
      </c>
      <c r="AH2359" s="67">
        <f t="shared" si="119"/>
        <v>337.9428</v>
      </c>
      <c r="AI2359" s="67">
        <f t="shared" si="108"/>
        <v>280.8</v>
      </c>
      <c r="AJ2359" s="68">
        <f t="shared" si="120"/>
        <v>44.928</v>
      </c>
      <c r="AK2359" s="68">
        <f t="shared" si="121"/>
        <v>325.728</v>
      </c>
      <c r="AL2359" s="70"/>
      <c r="AM2359" s="70"/>
      <c r="AN2359" s="71"/>
      <c r="AO2359" s="71"/>
      <c r="AP2359" s="71"/>
      <c r="AQ2359" s="71"/>
      <c r="AR2359" s="71"/>
      <c r="AS2359" s="71"/>
      <c r="AT2359" s="71"/>
      <c r="AU2359" s="71"/>
      <c r="AV2359" s="71"/>
      <c r="AW2359" s="71"/>
      <c r="AX2359" s="71"/>
      <c r="AY2359" s="71"/>
      <c r="AZ2359" s="71"/>
      <c r="BA2359" s="71"/>
      <c r="BB2359" s="71"/>
      <c r="BC2359" s="71"/>
      <c r="BD2359" s="71"/>
      <c r="BE2359" s="71"/>
      <c r="BF2359" s="71"/>
      <c r="BG2359" s="71"/>
      <c r="BH2359" s="71"/>
      <c r="BI2359" s="71"/>
      <c r="BJ2359" s="71"/>
      <c r="BK2359" s="71"/>
      <c r="BL2359" s="71"/>
      <c r="BM2359" s="71"/>
      <c r="BN2359" s="71"/>
      <c r="BO2359" s="71"/>
      <c r="BP2359" s="71"/>
      <c r="BQ2359" s="71"/>
      <c r="BR2359" s="71"/>
      <c r="BS2359" s="71"/>
      <c r="BT2359" s="71"/>
      <c r="BU2359" s="71"/>
      <c r="BV2359" s="71"/>
    </row>
    <row r="2360">
      <c r="A2360" s="53">
        <v>1.0</v>
      </c>
      <c r="B2360" s="53"/>
      <c r="C2360" s="73" t="s">
        <v>53</v>
      </c>
      <c r="D2360" s="74" t="s">
        <v>5794</v>
      </c>
      <c r="E2360" s="54" t="s">
        <v>38</v>
      </c>
      <c r="F2360" s="54" t="s">
        <v>42</v>
      </c>
      <c r="G2360" s="88" t="s">
        <v>5795</v>
      </c>
      <c r="H2360" s="54" t="s">
        <v>5796</v>
      </c>
      <c r="I2360" s="54">
        <f t="shared" si="24"/>
        <v>32</v>
      </c>
      <c r="J2360" s="56"/>
      <c r="K2360" s="57"/>
      <c r="L2360" s="87"/>
      <c r="M2360" s="59"/>
      <c r="N2360" s="60">
        <v>370.0</v>
      </c>
      <c r="O2360" s="61">
        <v>399.0</v>
      </c>
      <c r="P2360" s="62">
        <v>430.92</v>
      </c>
      <c r="Q2360" s="63">
        <v>430.92</v>
      </c>
      <c r="R2360" s="64">
        <v>480.0</v>
      </c>
      <c r="S2360" s="111">
        <v>504.0</v>
      </c>
      <c r="T2360" s="65">
        <f t="shared" si="93"/>
        <v>80.64</v>
      </c>
      <c r="U2360" s="65">
        <f t="shared" si="94"/>
        <v>584.64</v>
      </c>
      <c r="V2360" s="66">
        <f t="shared" si="122"/>
        <v>0.05</v>
      </c>
      <c r="W2360" s="67">
        <f t="shared" si="96"/>
        <v>478.8</v>
      </c>
      <c r="X2360" s="67">
        <f t="shared" si="112"/>
        <v>76.608</v>
      </c>
      <c r="Y2360" s="67">
        <f t="shared" si="113"/>
        <v>555.408</v>
      </c>
      <c r="Z2360" s="67">
        <f t="shared" si="99"/>
        <v>453.6</v>
      </c>
      <c r="AA2360" s="67">
        <f t="shared" si="114"/>
        <v>72.576</v>
      </c>
      <c r="AB2360" s="67">
        <f t="shared" si="115"/>
        <v>526.176</v>
      </c>
      <c r="AC2360" s="67">
        <f t="shared" si="102"/>
        <v>428.4</v>
      </c>
      <c r="AD2360" s="67">
        <f t="shared" si="116"/>
        <v>68.544</v>
      </c>
      <c r="AE2360" s="67">
        <f t="shared" si="117"/>
        <v>496.944</v>
      </c>
      <c r="AF2360" s="67">
        <f t="shared" si="105"/>
        <v>418.32</v>
      </c>
      <c r="AG2360" s="67">
        <f t="shared" si="118"/>
        <v>66.9312</v>
      </c>
      <c r="AH2360" s="67">
        <f t="shared" si="119"/>
        <v>485.2512</v>
      </c>
      <c r="AI2360" s="67">
        <f t="shared" si="108"/>
        <v>403.2</v>
      </c>
      <c r="AJ2360" s="68">
        <f t="shared" si="120"/>
        <v>64.512</v>
      </c>
      <c r="AK2360" s="68">
        <f t="shared" si="121"/>
        <v>467.712</v>
      </c>
      <c r="AL2360" s="70"/>
      <c r="AM2360" s="70"/>
      <c r="AN2360" s="71"/>
      <c r="AO2360" s="71"/>
      <c r="AP2360" s="71"/>
      <c r="AQ2360" s="71"/>
      <c r="AR2360" s="71"/>
      <c r="AS2360" s="71"/>
      <c r="AT2360" s="71"/>
      <c r="AU2360" s="71"/>
      <c r="AV2360" s="71"/>
      <c r="AW2360" s="71"/>
      <c r="AX2360" s="71"/>
      <c r="AY2360" s="71"/>
      <c r="AZ2360" s="71"/>
      <c r="BA2360" s="71"/>
      <c r="BB2360" s="71"/>
      <c r="BC2360" s="71"/>
      <c r="BD2360" s="71"/>
      <c r="BE2360" s="71"/>
      <c r="BF2360" s="71"/>
      <c r="BG2360" s="71"/>
      <c r="BH2360" s="71"/>
      <c r="BI2360" s="71"/>
      <c r="BJ2360" s="71"/>
      <c r="BK2360" s="71"/>
      <c r="BL2360" s="71"/>
      <c r="BM2360" s="71"/>
      <c r="BN2360" s="71"/>
      <c r="BO2360" s="71"/>
      <c r="BP2360" s="71"/>
      <c r="BQ2360" s="71"/>
      <c r="BR2360" s="71"/>
      <c r="BS2360" s="71"/>
      <c r="BT2360" s="71"/>
      <c r="BU2360" s="71"/>
      <c r="BV2360" s="71"/>
    </row>
    <row r="2361">
      <c r="A2361" s="53">
        <v>1.0</v>
      </c>
      <c r="B2361" s="53"/>
      <c r="C2361" s="73" t="s">
        <v>53</v>
      </c>
      <c r="D2361" s="74" t="s">
        <v>5797</v>
      </c>
      <c r="E2361" s="54" t="s">
        <v>38</v>
      </c>
      <c r="F2361" s="54" t="s">
        <v>42</v>
      </c>
      <c r="G2361" s="88" t="s">
        <v>5798</v>
      </c>
      <c r="H2361" s="54" t="s">
        <v>5799</v>
      </c>
      <c r="I2361" s="54">
        <f t="shared" si="24"/>
        <v>32</v>
      </c>
      <c r="J2361" s="56"/>
      <c r="K2361" s="57"/>
      <c r="L2361" s="87"/>
      <c r="M2361" s="59"/>
      <c r="N2361" s="60">
        <v>243.0</v>
      </c>
      <c r="O2361" s="61">
        <v>262.0</v>
      </c>
      <c r="P2361" s="62">
        <v>282.96000000000004</v>
      </c>
      <c r="Q2361" s="63">
        <v>282.96000000000004</v>
      </c>
      <c r="R2361" s="64">
        <v>315.0</v>
      </c>
      <c r="S2361" s="111">
        <v>331.0</v>
      </c>
      <c r="T2361" s="65">
        <f t="shared" si="93"/>
        <v>52.96</v>
      </c>
      <c r="U2361" s="65">
        <f t="shared" si="94"/>
        <v>383.96</v>
      </c>
      <c r="V2361" s="66">
        <f t="shared" si="122"/>
        <v>0.05079365079</v>
      </c>
      <c r="W2361" s="67">
        <f t="shared" si="96"/>
        <v>314.45</v>
      </c>
      <c r="X2361" s="67">
        <f t="shared" si="112"/>
        <v>50.312</v>
      </c>
      <c r="Y2361" s="67">
        <f t="shared" si="113"/>
        <v>364.762</v>
      </c>
      <c r="Z2361" s="67">
        <f t="shared" si="99"/>
        <v>297.9</v>
      </c>
      <c r="AA2361" s="67">
        <f t="shared" si="114"/>
        <v>47.664</v>
      </c>
      <c r="AB2361" s="67">
        <f t="shared" si="115"/>
        <v>345.564</v>
      </c>
      <c r="AC2361" s="67">
        <f t="shared" si="102"/>
        <v>281.35</v>
      </c>
      <c r="AD2361" s="67">
        <f t="shared" si="116"/>
        <v>45.016</v>
      </c>
      <c r="AE2361" s="67">
        <f t="shared" si="117"/>
        <v>326.366</v>
      </c>
      <c r="AF2361" s="67">
        <f t="shared" si="105"/>
        <v>274.73</v>
      </c>
      <c r="AG2361" s="67">
        <f t="shared" si="118"/>
        <v>43.9568</v>
      </c>
      <c r="AH2361" s="67">
        <f t="shared" si="119"/>
        <v>318.6868</v>
      </c>
      <c r="AI2361" s="67">
        <f t="shared" si="108"/>
        <v>264.8</v>
      </c>
      <c r="AJ2361" s="68">
        <f t="shared" si="120"/>
        <v>42.368</v>
      </c>
      <c r="AK2361" s="68">
        <f t="shared" si="121"/>
        <v>307.168</v>
      </c>
      <c r="AL2361" s="70"/>
      <c r="AM2361" s="70"/>
      <c r="AN2361" s="71"/>
      <c r="AO2361" s="71"/>
      <c r="AP2361" s="71"/>
      <c r="AQ2361" s="71"/>
      <c r="AR2361" s="71"/>
      <c r="AS2361" s="71"/>
      <c r="AT2361" s="71"/>
      <c r="AU2361" s="71"/>
      <c r="AV2361" s="71"/>
      <c r="AW2361" s="71"/>
      <c r="AX2361" s="71"/>
      <c r="AY2361" s="71"/>
      <c r="AZ2361" s="71"/>
      <c r="BA2361" s="71"/>
      <c r="BB2361" s="71"/>
      <c r="BC2361" s="71"/>
      <c r="BD2361" s="71"/>
      <c r="BE2361" s="71"/>
      <c r="BF2361" s="71"/>
      <c r="BG2361" s="71"/>
      <c r="BH2361" s="71"/>
      <c r="BI2361" s="71"/>
      <c r="BJ2361" s="71"/>
      <c r="BK2361" s="71"/>
      <c r="BL2361" s="71"/>
      <c r="BM2361" s="71"/>
      <c r="BN2361" s="71"/>
      <c r="BO2361" s="71"/>
      <c r="BP2361" s="71"/>
      <c r="BQ2361" s="71"/>
      <c r="BR2361" s="71"/>
      <c r="BS2361" s="71"/>
      <c r="BT2361" s="71"/>
      <c r="BU2361" s="71"/>
      <c r="BV2361" s="71"/>
    </row>
    <row r="2362">
      <c r="A2362" s="53"/>
      <c r="B2362" s="53"/>
      <c r="C2362" s="73" t="s">
        <v>53</v>
      </c>
      <c r="D2362" s="53" t="s">
        <v>5800</v>
      </c>
      <c r="E2362" s="54" t="s">
        <v>38</v>
      </c>
      <c r="F2362" s="54" t="s">
        <v>42</v>
      </c>
      <c r="G2362" s="55" t="s">
        <v>5801</v>
      </c>
      <c r="H2362" s="54" t="s">
        <v>5802</v>
      </c>
      <c r="I2362" s="54">
        <f t="shared" si="24"/>
        <v>39</v>
      </c>
      <c r="J2362" s="56"/>
      <c r="K2362" s="57"/>
      <c r="L2362" s="76"/>
      <c r="M2362" s="59"/>
      <c r="N2362" s="79">
        <v>1200.0</v>
      </c>
      <c r="O2362" s="61">
        <v>1296.0</v>
      </c>
      <c r="P2362" s="62">
        <v>1399.68</v>
      </c>
      <c r="Q2362" s="63">
        <v>1399.68</v>
      </c>
      <c r="R2362" s="64">
        <v>1470.0</v>
      </c>
      <c r="S2362" s="111">
        <v>1544.0</v>
      </c>
      <c r="T2362" s="65">
        <f t="shared" si="93"/>
        <v>247.04</v>
      </c>
      <c r="U2362" s="65">
        <f t="shared" si="94"/>
        <v>1791.04</v>
      </c>
      <c r="V2362" s="66">
        <f t="shared" si="122"/>
        <v>0.05034013605</v>
      </c>
      <c r="W2362" s="67">
        <f t="shared" si="96"/>
        <v>1466.8</v>
      </c>
      <c r="X2362" s="67">
        <f t="shared" si="112"/>
        <v>234.688</v>
      </c>
      <c r="Y2362" s="67">
        <f t="shared" si="113"/>
        <v>1701.488</v>
      </c>
      <c r="Z2362" s="67">
        <f t="shared" si="99"/>
        <v>1389.6</v>
      </c>
      <c r="AA2362" s="67">
        <f t="shared" si="114"/>
        <v>222.336</v>
      </c>
      <c r="AB2362" s="67">
        <f t="shared" si="115"/>
        <v>1611.936</v>
      </c>
      <c r="AC2362" s="67">
        <f t="shared" si="102"/>
        <v>1312.4</v>
      </c>
      <c r="AD2362" s="67">
        <f t="shared" si="116"/>
        <v>209.984</v>
      </c>
      <c r="AE2362" s="67">
        <f t="shared" si="117"/>
        <v>1522.384</v>
      </c>
      <c r="AF2362" s="67">
        <f t="shared" si="105"/>
        <v>1281.52</v>
      </c>
      <c r="AG2362" s="67">
        <f t="shared" si="118"/>
        <v>205.0432</v>
      </c>
      <c r="AH2362" s="67">
        <f t="shared" si="119"/>
        <v>1486.5632</v>
      </c>
      <c r="AI2362" s="67">
        <f t="shared" si="108"/>
        <v>1235.2</v>
      </c>
      <c r="AJ2362" s="68">
        <f t="shared" si="120"/>
        <v>197.632</v>
      </c>
      <c r="AK2362" s="68">
        <f t="shared" si="121"/>
        <v>1432.832</v>
      </c>
      <c r="AL2362" s="70"/>
      <c r="AM2362" s="70"/>
      <c r="AN2362" s="71"/>
      <c r="AO2362" s="71"/>
      <c r="AP2362" s="71"/>
      <c r="AQ2362" s="71"/>
      <c r="AR2362" s="71"/>
      <c r="AS2362" s="71"/>
      <c r="AT2362" s="71"/>
      <c r="AU2362" s="71"/>
      <c r="AV2362" s="71"/>
      <c r="AW2362" s="71"/>
      <c r="AX2362" s="71"/>
      <c r="AY2362" s="71"/>
      <c r="AZ2362" s="71"/>
      <c r="BA2362" s="71"/>
      <c r="BB2362" s="71"/>
      <c r="BC2362" s="71"/>
      <c r="BD2362" s="71"/>
      <c r="BE2362" s="71"/>
      <c r="BF2362" s="71"/>
      <c r="BG2362" s="71"/>
      <c r="BH2362" s="71"/>
      <c r="BI2362" s="71"/>
      <c r="BJ2362" s="71"/>
      <c r="BK2362" s="71"/>
      <c r="BL2362" s="71"/>
      <c r="BM2362" s="71"/>
      <c r="BN2362" s="71"/>
      <c r="BO2362" s="71"/>
      <c r="BP2362" s="71"/>
      <c r="BQ2362" s="71"/>
      <c r="BR2362" s="71"/>
      <c r="BS2362" s="71"/>
      <c r="BT2362" s="71"/>
      <c r="BU2362" s="71"/>
      <c r="BV2362" s="71"/>
    </row>
    <row r="2363">
      <c r="A2363" s="53">
        <v>1.0</v>
      </c>
      <c r="B2363" s="53"/>
      <c r="C2363" s="73" t="s">
        <v>53</v>
      </c>
      <c r="D2363" s="74" t="s">
        <v>5803</v>
      </c>
      <c r="E2363" s="54" t="s">
        <v>38</v>
      </c>
      <c r="F2363" s="54" t="s">
        <v>42</v>
      </c>
      <c r="G2363" s="88" t="s">
        <v>5804</v>
      </c>
      <c r="H2363" s="54" t="s">
        <v>5805</v>
      </c>
      <c r="I2363" s="54">
        <f t="shared" si="24"/>
        <v>32</v>
      </c>
      <c r="J2363" s="56"/>
      <c r="K2363" s="57"/>
      <c r="L2363" s="87"/>
      <c r="M2363" s="59"/>
      <c r="N2363" s="60">
        <v>355.0</v>
      </c>
      <c r="O2363" s="61">
        <v>383.0</v>
      </c>
      <c r="P2363" s="62">
        <v>413.64000000000004</v>
      </c>
      <c r="Q2363" s="63">
        <v>413.64000000000004</v>
      </c>
      <c r="R2363" s="64">
        <v>461.0</v>
      </c>
      <c r="S2363" s="111">
        <v>484.0</v>
      </c>
      <c r="T2363" s="65">
        <f t="shared" si="93"/>
        <v>77.44</v>
      </c>
      <c r="U2363" s="65">
        <f t="shared" si="94"/>
        <v>561.44</v>
      </c>
      <c r="V2363" s="66">
        <f t="shared" si="122"/>
        <v>0.04989154013</v>
      </c>
      <c r="W2363" s="67">
        <f t="shared" si="96"/>
        <v>459.8</v>
      </c>
      <c r="X2363" s="67">
        <f t="shared" si="112"/>
        <v>73.568</v>
      </c>
      <c r="Y2363" s="67">
        <f t="shared" si="113"/>
        <v>533.368</v>
      </c>
      <c r="Z2363" s="67">
        <f t="shared" si="99"/>
        <v>435.6</v>
      </c>
      <c r="AA2363" s="67">
        <f t="shared" si="114"/>
        <v>69.696</v>
      </c>
      <c r="AB2363" s="67">
        <f t="shared" si="115"/>
        <v>505.296</v>
      </c>
      <c r="AC2363" s="67">
        <f t="shared" si="102"/>
        <v>411.4</v>
      </c>
      <c r="AD2363" s="67">
        <f t="shared" si="116"/>
        <v>65.824</v>
      </c>
      <c r="AE2363" s="67">
        <f t="shared" si="117"/>
        <v>477.224</v>
      </c>
      <c r="AF2363" s="67">
        <f t="shared" si="105"/>
        <v>401.72</v>
      </c>
      <c r="AG2363" s="67">
        <f t="shared" si="118"/>
        <v>64.2752</v>
      </c>
      <c r="AH2363" s="67">
        <f t="shared" si="119"/>
        <v>465.9952</v>
      </c>
      <c r="AI2363" s="67">
        <f t="shared" si="108"/>
        <v>387.2</v>
      </c>
      <c r="AJ2363" s="68">
        <f t="shared" si="120"/>
        <v>61.952</v>
      </c>
      <c r="AK2363" s="68">
        <f t="shared" si="121"/>
        <v>449.152</v>
      </c>
      <c r="AL2363" s="70"/>
      <c r="AM2363" s="70"/>
      <c r="AN2363" s="71"/>
      <c r="AO2363" s="71"/>
      <c r="AP2363" s="71"/>
      <c r="AQ2363" s="71"/>
      <c r="AR2363" s="71"/>
      <c r="AS2363" s="71"/>
      <c r="AT2363" s="71"/>
      <c r="AU2363" s="71"/>
      <c r="AV2363" s="71"/>
      <c r="AW2363" s="71"/>
      <c r="AX2363" s="71"/>
      <c r="AY2363" s="71"/>
      <c r="AZ2363" s="71"/>
      <c r="BA2363" s="71"/>
      <c r="BB2363" s="71"/>
      <c r="BC2363" s="71"/>
      <c r="BD2363" s="71"/>
      <c r="BE2363" s="71"/>
      <c r="BF2363" s="71"/>
      <c r="BG2363" s="71"/>
      <c r="BH2363" s="71"/>
      <c r="BI2363" s="71"/>
      <c r="BJ2363" s="71"/>
      <c r="BK2363" s="71"/>
      <c r="BL2363" s="71"/>
      <c r="BM2363" s="71"/>
      <c r="BN2363" s="71"/>
      <c r="BO2363" s="71"/>
      <c r="BP2363" s="71"/>
      <c r="BQ2363" s="71"/>
      <c r="BR2363" s="71"/>
      <c r="BS2363" s="71"/>
      <c r="BT2363" s="71"/>
      <c r="BU2363" s="71"/>
      <c r="BV2363" s="71"/>
    </row>
    <row r="2364">
      <c r="A2364" s="53">
        <v>1.0</v>
      </c>
      <c r="B2364" s="53"/>
      <c r="C2364" s="73" t="s">
        <v>53</v>
      </c>
      <c r="D2364" s="74" t="s">
        <v>5806</v>
      </c>
      <c r="E2364" s="54" t="s">
        <v>38</v>
      </c>
      <c r="F2364" s="54" t="s">
        <v>42</v>
      </c>
      <c r="G2364" s="88" t="s">
        <v>5807</v>
      </c>
      <c r="H2364" s="54" t="s">
        <v>5808</v>
      </c>
      <c r="I2364" s="54">
        <f t="shared" si="24"/>
        <v>32</v>
      </c>
      <c r="J2364" s="56"/>
      <c r="K2364" s="57"/>
      <c r="L2364" s="87"/>
      <c r="M2364" s="59"/>
      <c r="N2364" s="60">
        <v>231.0</v>
      </c>
      <c r="O2364" s="61">
        <v>249.0</v>
      </c>
      <c r="P2364" s="62">
        <v>268.92</v>
      </c>
      <c r="Q2364" s="63">
        <v>268.92</v>
      </c>
      <c r="R2364" s="64">
        <v>301.0</v>
      </c>
      <c r="S2364" s="111">
        <v>316.0</v>
      </c>
      <c r="T2364" s="65">
        <f t="shared" si="93"/>
        <v>50.56</v>
      </c>
      <c r="U2364" s="65">
        <f t="shared" si="94"/>
        <v>366.56</v>
      </c>
      <c r="V2364" s="66">
        <f t="shared" si="122"/>
        <v>0.04983388704</v>
      </c>
      <c r="W2364" s="67">
        <f t="shared" si="96"/>
        <v>300.2</v>
      </c>
      <c r="X2364" s="67">
        <f t="shared" si="112"/>
        <v>48.032</v>
      </c>
      <c r="Y2364" s="67">
        <f t="shared" si="113"/>
        <v>348.232</v>
      </c>
      <c r="Z2364" s="67">
        <f t="shared" si="99"/>
        <v>284.4</v>
      </c>
      <c r="AA2364" s="67">
        <f t="shared" si="114"/>
        <v>45.504</v>
      </c>
      <c r="AB2364" s="67">
        <f t="shared" si="115"/>
        <v>329.904</v>
      </c>
      <c r="AC2364" s="67">
        <f t="shared" si="102"/>
        <v>268.6</v>
      </c>
      <c r="AD2364" s="67">
        <f t="shared" si="116"/>
        <v>42.976</v>
      </c>
      <c r="AE2364" s="67">
        <f t="shared" si="117"/>
        <v>311.576</v>
      </c>
      <c r="AF2364" s="67">
        <f t="shared" si="105"/>
        <v>262.28</v>
      </c>
      <c r="AG2364" s="67">
        <f t="shared" si="118"/>
        <v>41.9648</v>
      </c>
      <c r="AH2364" s="67">
        <f t="shared" si="119"/>
        <v>304.2448</v>
      </c>
      <c r="AI2364" s="67">
        <f t="shared" si="108"/>
        <v>252.8</v>
      </c>
      <c r="AJ2364" s="68">
        <f t="shared" si="120"/>
        <v>40.448</v>
      </c>
      <c r="AK2364" s="68">
        <f t="shared" si="121"/>
        <v>293.248</v>
      </c>
      <c r="AL2364" s="70"/>
      <c r="AM2364" s="70"/>
      <c r="AN2364" s="71"/>
      <c r="AO2364" s="71"/>
      <c r="AP2364" s="71"/>
      <c r="AQ2364" s="71"/>
      <c r="AR2364" s="71"/>
      <c r="AS2364" s="71"/>
      <c r="AT2364" s="71"/>
      <c r="AU2364" s="71"/>
      <c r="AV2364" s="71"/>
      <c r="AW2364" s="71"/>
      <c r="AX2364" s="71"/>
      <c r="AY2364" s="71"/>
      <c r="AZ2364" s="71"/>
      <c r="BA2364" s="71"/>
      <c r="BB2364" s="71"/>
      <c r="BC2364" s="71"/>
      <c r="BD2364" s="71"/>
      <c r="BE2364" s="71"/>
      <c r="BF2364" s="71"/>
      <c r="BG2364" s="71"/>
      <c r="BH2364" s="71"/>
      <c r="BI2364" s="71"/>
      <c r="BJ2364" s="71"/>
      <c r="BK2364" s="71"/>
      <c r="BL2364" s="71"/>
      <c r="BM2364" s="71"/>
      <c r="BN2364" s="71"/>
      <c r="BO2364" s="71"/>
      <c r="BP2364" s="71"/>
      <c r="BQ2364" s="71"/>
      <c r="BR2364" s="71"/>
      <c r="BS2364" s="71"/>
      <c r="BT2364" s="71"/>
      <c r="BU2364" s="71"/>
      <c r="BV2364" s="71"/>
    </row>
    <row r="2365">
      <c r="A2365" s="53"/>
      <c r="B2365" s="53"/>
      <c r="C2365" s="73" t="s">
        <v>53</v>
      </c>
      <c r="D2365" s="53" t="s">
        <v>5809</v>
      </c>
      <c r="E2365" s="54" t="s">
        <v>38</v>
      </c>
      <c r="F2365" s="54" t="s">
        <v>42</v>
      </c>
      <c r="G2365" s="55" t="s">
        <v>5810</v>
      </c>
      <c r="H2365" s="54" t="s">
        <v>5811</v>
      </c>
      <c r="I2365" s="54">
        <f t="shared" si="24"/>
        <v>40</v>
      </c>
      <c r="J2365" s="56"/>
      <c r="K2365" s="57"/>
      <c r="L2365" s="76"/>
      <c r="M2365" s="59"/>
      <c r="N2365" s="79">
        <v>1300.0</v>
      </c>
      <c r="O2365" s="61">
        <v>1404.0</v>
      </c>
      <c r="P2365" s="62">
        <v>1516.3200000000002</v>
      </c>
      <c r="Q2365" s="63">
        <v>1516.3200000000002</v>
      </c>
      <c r="R2365" s="64">
        <v>1592.0</v>
      </c>
      <c r="S2365" s="111">
        <v>1672.0</v>
      </c>
      <c r="T2365" s="65">
        <f t="shared" si="93"/>
        <v>267.52</v>
      </c>
      <c r="U2365" s="65">
        <f t="shared" si="94"/>
        <v>1939.52</v>
      </c>
      <c r="V2365" s="66">
        <f t="shared" si="122"/>
        <v>0.05025125628</v>
      </c>
      <c r="W2365" s="67">
        <f t="shared" si="96"/>
        <v>1588.4</v>
      </c>
      <c r="X2365" s="67">
        <f t="shared" si="112"/>
        <v>254.144</v>
      </c>
      <c r="Y2365" s="67">
        <f t="shared" si="113"/>
        <v>1842.544</v>
      </c>
      <c r="Z2365" s="67">
        <f t="shared" si="99"/>
        <v>1504.8</v>
      </c>
      <c r="AA2365" s="67">
        <f t="shared" si="114"/>
        <v>240.768</v>
      </c>
      <c r="AB2365" s="67">
        <f t="shared" si="115"/>
        <v>1745.568</v>
      </c>
      <c r="AC2365" s="67">
        <f t="shared" si="102"/>
        <v>1421.2</v>
      </c>
      <c r="AD2365" s="67">
        <f t="shared" si="116"/>
        <v>227.392</v>
      </c>
      <c r="AE2365" s="67">
        <f t="shared" si="117"/>
        <v>1648.592</v>
      </c>
      <c r="AF2365" s="67">
        <f t="shared" si="105"/>
        <v>1387.76</v>
      </c>
      <c r="AG2365" s="67">
        <f t="shared" si="118"/>
        <v>222.0416</v>
      </c>
      <c r="AH2365" s="67">
        <f t="shared" si="119"/>
        <v>1609.8016</v>
      </c>
      <c r="AI2365" s="67">
        <f t="shared" si="108"/>
        <v>1337.6</v>
      </c>
      <c r="AJ2365" s="68">
        <f t="shared" si="120"/>
        <v>214.016</v>
      </c>
      <c r="AK2365" s="68">
        <f t="shared" si="121"/>
        <v>1551.616</v>
      </c>
      <c r="AL2365" s="70"/>
      <c r="AM2365" s="70"/>
      <c r="AN2365" s="71"/>
      <c r="AO2365" s="71"/>
      <c r="AP2365" s="71"/>
      <c r="AQ2365" s="71"/>
      <c r="AR2365" s="71"/>
      <c r="AS2365" s="71"/>
      <c r="AT2365" s="71"/>
      <c r="AU2365" s="71"/>
      <c r="AV2365" s="71"/>
      <c r="AW2365" s="71"/>
      <c r="AX2365" s="71"/>
      <c r="AY2365" s="71"/>
      <c r="AZ2365" s="71"/>
      <c r="BA2365" s="71"/>
      <c r="BB2365" s="71"/>
      <c r="BC2365" s="71"/>
      <c r="BD2365" s="71"/>
      <c r="BE2365" s="71"/>
      <c r="BF2365" s="71"/>
      <c r="BG2365" s="71"/>
      <c r="BH2365" s="71"/>
      <c r="BI2365" s="71"/>
      <c r="BJ2365" s="71"/>
      <c r="BK2365" s="71"/>
      <c r="BL2365" s="71"/>
      <c r="BM2365" s="71"/>
      <c r="BN2365" s="71"/>
      <c r="BO2365" s="71"/>
      <c r="BP2365" s="71"/>
      <c r="BQ2365" s="71"/>
      <c r="BR2365" s="71"/>
      <c r="BS2365" s="71"/>
      <c r="BT2365" s="71"/>
      <c r="BU2365" s="71"/>
      <c r="BV2365" s="71"/>
    </row>
    <row r="2366">
      <c r="A2366" s="53"/>
      <c r="B2366" s="53"/>
      <c r="C2366" s="53" t="s">
        <v>53</v>
      </c>
      <c r="D2366" s="53" t="s">
        <v>5812</v>
      </c>
      <c r="E2366" s="86" t="s">
        <v>38</v>
      </c>
      <c r="F2366" s="91" t="s">
        <v>42</v>
      </c>
      <c r="G2366" s="84" t="s">
        <v>5813</v>
      </c>
      <c r="H2366" s="84" t="s">
        <v>5814</v>
      </c>
      <c r="I2366" s="54">
        <f t="shared" si="24"/>
        <v>39</v>
      </c>
      <c r="J2366" s="56"/>
      <c r="K2366" s="57"/>
      <c r="L2366" s="76"/>
      <c r="M2366" s="59"/>
      <c r="N2366" s="79"/>
      <c r="O2366" s="90"/>
      <c r="P2366" s="90"/>
      <c r="Q2366" s="94"/>
      <c r="R2366" s="64">
        <v>413.0</v>
      </c>
      <c r="S2366" s="111">
        <v>434.0</v>
      </c>
      <c r="T2366" s="65">
        <f t="shared" si="93"/>
        <v>69.44</v>
      </c>
      <c r="U2366" s="65">
        <f t="shared" si="94"/>
        <v>503.44</v>
      </c>
      <c r="V2366" s="66">
        <f t="shared" si="122"/>
        <v>0.05084745763</v>
      </c>
      <c r="W2366" s="67">
        <f t="shared" si="96"/>
        <v>412.3</v>
      </c>
      <c r="X2366" s="67">
        <f t="shared" si="112"/>
        <v>65.968</v>
      </c>
      <c r="Y2366" s="67">
        <f t="shared" si="113"/>
        <v>478.268</v>
      </c>
      <c r="Z2366" s="67">
        <f t="shared" si="99"/>
        <v>390.6</v>
      </c>
      <c r="AA2366" s="67">
        <f t="shared" si="114"/>
        <v>62.496</v>
      </c>
      <c r="AB2366" s="67">
        <f t="shared" si="115"/>
        <v>453.096</v>
      </c>
      <c r="AC2366" s="67">
        <f t="shared" si="102"/>
        <v>368.9</v>
      </c>
      <c r="AD2366" s="67">
        <f t="shared" si="116"/>
        <v>59.024</v>
      </c>
      <c r="AE2366" s="67">
        <f t="shared" si="117"/>
        <v>427.924</v>
      </c>
      <c r="AF2366" s="67">
        <f t="shared" si="105"/>
        <v>360.22</v>
      </c>
      <c r="AG2366" s="67">
        <f t="shared" si="118"/>
        <v>57.6352</v>
      </c>
      <c r="AH2366" s="67">
        <f t="shared" si="119"/>
        <v>417.8552</v>
      </c>
      <c r="AI2366" s="67">
        <f t="shared" si="108"/>
        <v>347.2</v>
      </c>
      <c r="AJ2366" s="68">
        <f t="shared" si="120"/>
        <v>55.552</v>
      </c>
      <c r="AK2366" s="68">
        <f t="shared" si="121"/>
        <v>402.752</v>
      </c>
      <c r="AL2366" s="70"/>
      <c r="AM2366" s="70"/>
      <c r="AN2366" s="71"/>
      <c r="AO2366" s="71"/>
      <c r="AP2366" s="71"/>
      <c r="AQ2366" s="71"/>
      <c r="AR2366" s="71"/>
      <c r="AS2366" s="71"/>
      <c r="AT2366" s="71"/>
      <c r="AU2366" s="71"/>
      <c r="AV2366" s="71"/>
      <c r="AW2366" s="71"/>
      <c r="AX2366" s="71"/>
      <c r="AY2366" s="71"/>
      <c r="AZ2366" s="71"/>
      <c r="BA2366" s="71"/>
      <c r="BB2366" s="71"/>
      <c r="BC2366" s="71"/>
      <c r="BD2366" s="71"/>
      <c r="BE2366" s="71"/>
      <c r="BF2366" s="71"/>
      <c r="BG2366" s="71"/>
      <c r="BH2366" s="71"/>
      <c r="BI2366" s="71"/>
      <c r="BJ2366" s="71"/>
      <c r="BK2366" s="71"/>
      <c r="BL2366" s="71"/>
      <c r="BM2366" s="71"/>
      <c r="BN2366" s="71"/>
      <c r="BO2366" s="71"/>
      <c r="BP2366" s="71"/>
      <c r="BQ2366" s="71"/>
      <c r="BR2366" s="71"/>
      <c r="BS2366" s="71"/>
      <c r="BT2366" s="71"/>
      <c r="BU2366" s="71"/>
      <c r="BV2366" s="71"/>
    </row>
    <row r="2367">
      <c r="A2367" s="53"/>
      <c r="B2367" s="53"/>
      <c r="C2367" s="53" t="s">
        <v>53</v>
      </c>
      <c r="D2367" s="53" t="s">
        <v>5815</v>
      </c>
      <c r="E2367" s="86" t="s">
        <v>38</v>
      </c>
      <c r="F2367" s="91" t="s">
        <v>42</v>
      </c>
      <c r="G2367" s="84" t="s">
        <v>5816</v>
      </c>
      <c r="H2367" s="84" t="s">
        <v>5817</v>
      </c>
      <c r="I2367" s="54">
        <f t="shared" si="24"/>
        <v>39</v>
      </c>
      <c r="J2367" s="56"/>
      <c r="K2367" s="57"/>
      <c r="L2367" s="76"/>
      <c r="M2367" s="59"/>
      <c r="N2367" s="79"/>
      <c r="O2367" s="90"/>
      <c r="P2367" s="90"/>
      <c r="Q2367" s="94"/>
      <c r="R2367" s="64">
        <v>413.0</v>
      </c>
      <c r="S2367" s="111">
        <v>434.0</v>
      </c>
      <c r="T2367" s="65">
        <f t="shared" si="93"/>
        <v>69.44</v>
      </c>
      <c r="U2367" s="65">
        <f t="shared" si="94"/>
        <v>503.44</v>
      </c>
      <c r="V2367" s="66">
        <f t="shared" si="122"/>
        <v>0.05084745763</v>
      </c>
      <c r="W2367" s="67">
        <f t="shared" si="96"/>
        <v>412.3</v>
      </c>
      <c r="X2367" s="67">
        <f t="shared" si="112"/>
        <v>65.968</v>
      </c>
      <c r="Y2367" s="67">
        <f t="shared" si="113"/>
        <v>478.268</v>
      </c>
      <c r="Z2367" s="67">
        <f t="shared" si="99"/>
        <v>390.6</v>
      </c>
      <c r="AA2367" s="67">
        <f t="shared" si="114"/>
        <v>62.496</v>
      </c>
      <c r="AB2367" s="67">
        <f t="shared" si="115"/>
        <v>453.096</v>
      </c>
      <c r="AC2367" s="67">
        <f t="shared" si="102"/>
        <v>368.9</v>
      </c>
      <c r="AD2367" s="67">
        <f t="shared" si="116"/>
        <v>59.024</v>
      </c>
      <c r="AE2367" s="67">
        <f t="shared" si="117"/>
        <v>427.924</v>
      </c>
      <c r="AF2367" s="67">
        <f t="shared" si="105"/>
        <v>360.22</v>
      </c>
      <c r="AG2367" s="67">
        <f t="shared" si="118"/>
        <v>57.6352</v>
      </c>
      <c r="AH2367" s="67">
        <f t="shared" si="119"/>
        <v>417.8552</v>
      </c>
      <c r="AI2367" s="67">
        <f t="shared" si="108"/>
        <v>347.2</v>
      </c>
      <c r="AJ2367" s="68">
        <f t="shared" si="120"/>
        <v>55.552</v>
      </c>
      <c r="AK2367" s="68">
        <f t="shared" si="121"/>
        <v>402.752</v>
      </c>
      <c r="AL2367" s="70"/>
      <c r="AM2367" s="70"/>
      <c r="AN2367" s="71"/>
      <c r="AO2367" s="71"/>
      <c r="AP2367" s="71"/>
      <c r="AQ2367" s="71"/>
      <c r="AR2367" s="71"/>
      <c r="AS2367" s="71"/>
      <c r="AT2367" s="71"/>
      <c r="AU2367" s="71"/>
      <c r="AV2367" s="71"/>
      <c r="AW2367" s="71"/>
      <c r="AX2367" s="71"/>
      <c r="AY2367" s="71"/>
      <c r="AZ2367" s="71"/>
      <c r="BA2367" s="71"/>
      <c r="BB2367" s="71"/>
      <c r="BC2367" s="71"/>
      <c r="BD2367" s="71"/>
      <c r="BE2367" s="71"/>
      <c r="BF2367" s="71"/>
      <c r="BG2367" s="71"/>
      <c r="BH2367" s="71"/>
      <c r="BI2367" s="71"/>
      <c r="BJ2367" s="71"/>
      <c r="BK2367" s="71"/>
      <c r="BL2367" s="71"/>
      <c r="BM2367" s="71"/>
      <c r="BN2367" s="71"/>
      <c r="BO2367" s="71"/>
      <c r="BP2367" s="71"/>
      <c r="BQ2367" s="71"/>
      <c r="BR2367" s="71"/>
      <c r="BS2367" s="71"/>
      <c r="BT2367" s="71"/>
      <c r="BU2367" s="71"/>
      <c r="BV2367" s="71"/>
    </row>
    <row r="2368">
      <c r="A2368" s="53"/>
      <c r="B2368" s="53"/>
      <c r="C2368" s="53" t="s">
        <v>53</v>
      </c>
      <c r="D2368" s="53" t="s">
        <v>5818</v>
      </c>
      <c r="E2368" s="86" t="s">
        <v>38</v>
      </c>
      <c r="F2368" s="91" t="s">
        <v>42</v>
      </c>
      <c r="G2368" s="84" t="s">
        <v>5819</v>
      </c>
      <c r="H2368" s="84" t="s">
        <v>5820</v>
      </c>
      <c r="I2368" s="54">
        <f t="shared" si="24"/>
        <v>40</v>
      </c>
      <c r="J2368" s="56"/>
      <c r="K2368" s="57"/>
      <c r="L2368" s="76"/>
      <c r="M2368" s="59"/>
      <c r="N2368" s="79"/>
      <c r="O2368" s="90"/>
      <c r="P2368" s="90"/>
      <c r="Q2368" s="94"/>
      <c r="R2368" s="64">
        <v>449.0</v>
      </c>
      <c r="S2368" s="111">
        <v>471.0</v>
      </c>
      <c r="T2368" s="65">
        <f t="shared" si="93"/>
        <v>75.36</v>
      </c>
      <c r="U2368" s="65">
        <f t="shared" si="94"/>
        <v>546.36</v>
      </c>
      <c r="V2368" s="66">
        <f t="shared" si="122"/>
        <v>0.04899777283</v>
      </c>
      <c r="W2368" s="67">
        <f t="shared" si="96"/>
        <v>447.45</v>
      </c>
      <c r="X2368" s="67">
        <f t="shared" si="112"/>
        <v>71.592</v>
      </c>
      <c r="Y2368" s="67">
        <f t="shared" si="113"/>
        <v>519.042</v>
      </c>
      <c r="Z2368" s="67">
        <f t="shared" si="99"/>
        <v>423.9</v>
      </c>
      <c r="AA2368" s="67">
        <f t="shared" si="114"/>
        <v>67.824</v>
      </c>
      <c r="AB2368" s="67">
        <f t="shared" si="115"/>
        <v>491.724</v>
      </c>
      <c r="AC2368" s="67">
        <f t="shared" si="102"/>
        <v>400.35</v>
      </c>
      <c r="AD2368" s="67">
        <f t="shared" si="116"/>
        <v>64.056</v>
      </c>
      <c r="AE2368" s="67">
        <f t="shared" si="117"/>
        <v>464.406</v>
      </c>
      <c r="AF2368" s="67">
        <f t="shared" si="105"/>
        <v>390.93</v>
      </c>
      <c r="AG2368" s="67">
        <f t="shared" si="118"/>
        <v>62.5488</v>
      </c>
      <c r="AH2368" s="67">
        <f t="shared" si="119"/>
        <v>453.4788</v>
      </c>
      <c r="AI2368" s="67">
        <f t="shared" si="108"/>
        <v>376.8</v>
      </c>
      <c r="AJ2368" s="68">
        <f t="shared" si="120"/>
        <v>60.288</v>
      </c>
      <c r="AK2368" s="68">
        <f t="shared" si="121"/>
        <v>437.088</v>
      </c>
      <c r="AL2368" s="70"/>
      <c r="AM2368" s="70"/>
      <c r="AN2368" s="71"/>
      <c r="AO2368" s="71"/>
      <c r="AP2368" s="71"/>
      <c r="AQ2368" s="71"/>
      <c r="AR2368" s="71"/>
      <c r="AS2368" s="71"/>
      <c r="AT2368" s="71"/>
      <c r="AU2368" s="71"/>
      <c r="AV2368" s="71"/>
      <c r="AW2368" s="71"/>
      <c r="AX2368" s="71"/>
      <c r="AY2368" s="71"/>
      <c r="AZ2368" s="71"/>
      <c r="BA2368" s="71"/>
      <c r="BB2368" s="71"/>
      <c r="BC2368" s="71"/>
      <c r="BD2368" s="71"/>
      <c r="BE2368" s="71"/>
      <c r="BF2368" s="71"/>
      <c r="BG2368" s="71"/>
      <c r="BH2368" s="71"/>
      <c r="BI2368" s="71"/>
      <c r="BJ2368" s="71"/>
      <c r="BK2368" s="71"/>
      <c r="BL2368" s="71"/>
      <c r="BM2368" s="71"/>
      <c r="BN2368" s="71"/>
      <c r="BO2368" s="71"/>
      <c r="BP2368" s="71"/>
      <c r="BQ2368" s="71"/>
      <c r="BR2368" s="71"/>
      <c r="BS2368" s="71"/>
      <c r="BT2368" s="71"/>
      <c r="BU2368" s="71"/>
      <c r="BV2368" s="71"/>
    </row>
    <row r="2369">
      <c r="A2369" s="53"/>
      <c r="B2369" s="53"/>
      <c r="C2369" s="53" t="s">
        <v>53</v>
      </c>
      <c r="D2369" s="53" t="s">
        <v>5821</v>
      </c>
      <c r="E2369" s="86" t="s">
        <v>38</v>
      </c>
      <c r="F2369" s="91" t="s">
        <v>42</v>
      </c>
      <c r="G2369" s="84" t="s">
        <v>5822</v>
      </c>
      <c r="H2369" s="84" t="s">
        <v>5823</v>
      </c>
      <c r="I2369" s="54">
        <f t="shared" si="24"/>
        <v>40</v>
      </c>
      <c r="J2369" s="56"/>
      <c r="K2369" s="57"/>
      <c r="L2369" s="76"/>
      <c r="M2369" s="59"/>
      <c r="N2369" s="79"/>
      <c r="O2369" s="90"/>
      <c r="P2369" s="90"/>
      <c r="Q2369" s="94"/>
      <c r="R2369" s="64">
        <v>449.0</v>
      </c>
      <c r="S2369" s="111">
        <v>471.0</v>
      </c>
      <c r="T2369" s="65">
        <f t="shared" si="93"/>
        <v>75.36</v>
      </c>
      <c r="U2369" s="65">
        <f t="shared" si="94"/>
        <v>546.36</v>
      </c>
      <c r="V2369" s="66">
        <f t="shared" si="122"/>
        <v>0.04899777283</v>
      </c>
      <c r="W2369" s="67">
        <f t="shared" si="96"/>
        <v>447.45</v>
      </c>
      <c r="X2369" s="67">
        <f t="shared" si="112"/>
        <v>71.592</v>
      </c>
      <c r="Y2369" s="67">
        <f t="shared" si="113"/>
        <v>519.042</v>
      </c>
      <c r="Z2369" s="67">
        <f t="shared" si="99"/>
        <v>423.9</v>
      </c>
      <c r="AA2369" s="67">
        <f t="shared" si="114"/>
        <v>67.824</v>
      </c>
      <c r="AB2369" s="67">
        <f t="shared" si="115"/>
        <v>491.724</v>
      </c>
      <c r="AC2369" s="67">
        <f t="shared" si="102"/>
        <v>400.35</v>
      </c>
      <c r="AD2369" s="67">
        <f t="shared" si="116"/>
        <v>64.056</v>
      </c>
      <c r="AE2369" s="67">
        <f t="shared" si="117"/>
        <v>464.406</v>
      </c>
      <c r="AF2369" s="67">
        <f t="shared" si="105"/>
        <v>390.93</v>
      </c>
      <c r="AG2369" s="67">
        <f t="shared" si="118"/>
        <v>62.5488</v>
      </c>
      <c r="AH2369" s="67">
        <f t="shared" si="119"/>
        <v>453.4788</v>
      </c>
      <c r="AI2369" s="67">
        <f t="shared" si="108"/>
        <v>376.8</v>
      </c>
      <c r="AJ2369" s="68">
        <f t="shared" si="120"/>
        <v>60.288</v>
      </c>
      <c r="AK2369" s="68">
        <f t="shared" si="121"/>
        <v>437.088</v>
      </c>
      <c r="AL2369" s="70"/>
      <c r="AM2369" s="70"/>
      <c r="AN2369" s="71"/>
      <c r="AO2369" s="71"/>
      <c r="AP2369" s="71"/>
      <c r="AQ2369" s="71"/>
      <c r="AR2369" s="71"/>
      <c r="AS2369" s="71"/>
      <c r="AT2369" s="71"/>
      <c r="AU2369" s="71"/>
      <c r="AV2369" s="71"/>
      <c r="AW2369" s="71"/>
      <c r="AX2369" s="71"/>
      <c r="AY2369" s="71"/>
      <c r="AZ2369" s="71"/>
      <c r="BA2369" s="71"/>
      <c r="BB2369" s="71"/>
      <c r="BC2369" s="71"/>
      <c r="BD2369" s="71"/>
      <c r="BE2369" s="71"/>
      <c r="BF2369" s="71"/>
      <c r="BG2369" s="71"/>
      <c r="BH2369" s="71"/>
      <c r="BI2369" s="71"/>
      <c r="BJ2369" s="71"/>
      <c r="BK2369" s="71"/>
      <c r="BL2369" s="71"/>
      <c r="BM2369" s="71"/>
      <c r="BN2369" s="71"/>
      <c r="BO2369" s="71"/>
      <c r="BP2369" s="71"/>
      <c r="BQ2369" s="71"/>
      <c r="BR2369" s="71"/>
      <c r="BS2369" s="71"/>
      <c r="BT2369" s="71"/>
      <c r="BU2369" s="71"/>
      <c r="BV2369" s="71"/>
    </row>
    <row r="2370">
      <c r="A2370" s="53">
        <v>1.0</v>
      </c>
      <c r="B2370" s="53"/>
      <c r="C2370" s="73" t="s">
        <v>53</v>
      </c>
      <c r="D2370" s="74" t="s">
        <v>5824</v>
      </c>
      <c r="E2370" s="54" t="s">
        <v>38</v>
      </c>
      <c r="F2370" s="54" t="s">
        <v>42</v>
      </c>
      <c r="G2370" s="88" t="s">
        <v>5825</v>
      </c>
      <c r="H2370" s="54" t="s">
        <v>5826</v>
      </c>
      <c r="I2370" s="54">
        <f t="shared" si="24"/>
        <v>36</v>
      </c>
      <c r="J2370" s="56"/>
      <c r="K2370" s="57"/>
      <c r="L2370" s="87"/>
      <c r="M2370" s="59"/>
      <c r="N2370" s="60">
        <v>297.0</v>
      </c>
      <c r="O2370" s="61">
        <v>320.0</v>
      </c>
      <c r="P2370" s="62">
        <v>345.6</v>
      </c>
      <c r="Q2370" s="63">
        <v>345.6</v>
      </c>
      <c r="R2370" s="64">
        <v>386.0</v>
      </c>
      <c r="S2370" s="111">
        <v>405.0</v>
      </c>
      <c r="T2370" s="65">
        <f t="shared" si="93"/>
        <v>64.8</v>
      </c>
      <c r="U2370" s="65">
        <f t="shared" si="94"/>
        <v>469.8</v>
      </c>
      <c r="V2370" s="66">
        <f t="shared" si="122"/>
        <v>0.04922279793</v>
      </c>
      <c r="W2370" s="67">
        <f t="shared" si="96"/>
        <v>384.75</v>
      </c>
      <c r="X2370" s="67">
        <f t="shared" si="112"/>
        <v>61.56</v>
      </c>
      <c r="Y2370" s="67">
        <f t="shared" si="113"/>
        <v>446.31</v>
      </c>
      <c r="Z2370" s="67">
        <f t="shared" si="99"/>
        <v>364.5</v>
      </c>
      <c r="AA2370" s="67">
        <f t="shared" si="114"/>
        <v>58.32</v>
      </c>
      <c r="AB2370" s="67">
        <f t="shared" si="115"/>
        <v>422.82</v>
      </c>
      <c r="AC2370" s="67">
        <f t="shared" si="102"/>
        <v>344.25</v>
      </c>
      <c r="AD2370" s="67">
        <f t="shared" si="116"/>
        <v>55.08</v>
      </c>
      <c r="AE2370" s="67">
        <f t="shared" si="117"/>
        <v>399.33</v>
      </c>
      <c r="AF2370" s="67">
        <f t="shared" si="105"/>
        <v>336.15</v>
      </c>
      <c r="AG2370" s="67">
        <f t="shared" si="118"/>
        <v>53.784</v>
      </c>
      <c r="AH2370" s="67">
        <f t="shared" si="119"/>
        <v>389.934</v>
      </c>
      <c r="AI2370" s="67">
        <f t="shared" si="108"/>
        <v>324</v>
      </c>
      <c r="AJ2370" s="68">
        <f t="shared" si="120"/>
        <v>51.84</v>
      </c>
      <c r="AK2370" s="68">
        <f t="shared" si="121"/>
        <v>375.84</v>
      </c>
      <c r="AL2370" s="70"/>
      <c r="AM2370" s="70"/>
      <c r="AN2370" s="71"/>
      <c r="AO2370" s="71"/>
      <c r="AP2370" s="71"/>
      <c r="AQ2370" s="71"/>
      <c r="AR2370" s="71"/>
      <c r="AS2370" s="71"/>
      <c r="AT2370" s="71"/>
      <c r="AU2370" s="71"/>
      <c r="AV2370" s="71"/>
      <c r="AW2370" s="71"/>
      <c r="AX2370" s="71"/>
      <c r="AY2370" s="71"/>
      <c r="AZ2370" s="71"/>
      <c r="BA2370" s="71"/>
      <c r="BB2370" s="71"/>
      <c r="BC2370" s="71"/>
      <c r="BD2370" s="71"/>
      <c r="BE2370" s="71"/>
      <c r="BF2370" s="71"/>
      <c r="BG2370" s="71"/>
      <c r="BH2370" s="71"/>
      <c r="BI2370" s="71"/>
      <c r="BJ2370" s="71"/>
      <c r="BK2370" s="71"/>
      <c r="BL2370" s="71"/>
      <c r="BM2370" s="71"/>
      <c r="BN2370" s="71"/>
      <c r="BO2370" s="71"/>
      <c r="BP2370" s="71"/>
      <c r="BQ2370" s="71"/>
      <c r="BR2370" s="71"/>
      <c r="BS2370" s="71"/>
      <c r="BT2370" s="71"/>
      <c r="BU2370" s="71"/>
      <c r="BV2370" s="71"/>
    </row>
    <row r="2371">
      <c r="A2371" s="53">
        <v>1.0</v>
      </c>
      <c r="B2371" s="53"/>
      <c r="C2371" s="73" t="s">
        <v>53</v>
      </c>
      <c r="D2371" s="74" t="s">
        <v>5827</v>
      </c>
      <c r="E2371" s="54" t="s">
        <v>38</v>
      </c>
      <c r="F2371" s="54" t="s">
        <v>42</v>
      </c>
      <c r="G2371" s="88" t="s">
        <v>5828</v>
      </c>
      <c r="H2371" s="54" t="s">
        <v>5829</v>
      </c>
      <c r="I2371" s="54">
        <f t="shared" si="24"/>
        <v>36</v>
      </c>
      <c r="J2371" s="56"/>
      <c r="K2371" s="57"/>
      <c r="L2371" s="87"/>
      <c r="M2371" s="59"/>
      <c r="N2371" s="60">
        <v>297.0</v>
      </c>
      <c r="O2371" s="61">
        <v>320.0</v>
      </c>
      <c r="P2371" s="62">
        <v>345.6</v>
      </c>
      <c r="Q2371" s="63">
        <v>345.6</v>
      </c>
      <c r="R2371" s="64">
        <v>386.0</v>
      </c>
      <c r="S2371" s="111">
        <v>405.0</v>
      </c>
      <c r="T2371" s="65">
        <f t="shared" si="93"/>
        <v>64.8</v>
      </c>
      <c r="U2371" s="65">
        <f t="shared" si="94"/>
        <v>469.8</v>
      </c>
      <c r="V2371" s="66">
        <f t="shared" si="122"/>
        <v>0.04922279793</v>
      </c>
      <c r="W2371" s="67">
        <f t="shared" si="96"/>
        <v>384.75</v>
      </c>
      <c r="X2371" s="67">
        <f t="shared" si="112"/>
        <v>61.56</v>
      </c>
      <c r="Y2371" s="67">
        <f t="shared" si="113"/>
        <v>446.31</v>
      </c>
      <c r="Z2371" s="67">
        <f t="shared" si="99"/>
        <v>364.5</v>
      </c>
      <c r="AA2371" s="67">
        <f t="shared" si="114"/>
        <v>58.32</v>
      </c>
      <c r="AB2371" s="67">
        <f t="shared" si="115"/>
        <v>422.82</v>
      </c>
      <c r="AC2371" s="67">
        <f t="shared" si="102"/>
        <v>344.25</v>
      </c>
      <c r="AD2371" s="67">
        <f t="shared" si="116"/>
        <v>55.08</v>
      </c>
      <c r="AE2371" s="67">
        <f t="shared" si="117"/>
        <v>399.33</v>
      </c>
      <c r="AF2371" s="67">
        <f t="shared" si="105"/>
        <v>336.15</v>
      </c>
      <c r="AG2371" s="67">
        <f t="shared" si="118"/>
        <v>53.784</v>
      </c>
      <c r="AH2371" s="67">
        <f t="shared" si="119"/>
        <v>389.934</v>
      </c>
      <c r="AI2371" s="67">
        <f t="shared" si="108"/>
        <v>324</v>
      </c>
      <c r="AJ2371" s="68">
        <f t="shared" si="120"/>
        <v>51.84</v>
      </c>
      <c r="AK2371" s="68">
        <f t="shared" si="121"/>
        <v>375.84</v>
      </c>
      <c r="AL2371" s="70"/>
      <c r="AM2371" s="70"/>
      <c r="AN2371" s="71"/>
      <c r="AO2371" s="71"/>
      <c r="AP2371" s="71"/>
      <c r="AQ2371" s="71"/>
      <c r="AR2371" s="71"/>
      <c r="AS2371" s="71"/>
      <c r="AT2371" s="71"/>
      <c r="AU2371" s="71"/>
      <c r="AV2371" s="71"/>
      <c r="AW2371" s="71"/>
      <c r="AX2371" s="71"/>
      <c r="AY2371" s="71"/>
      <c r="AZ2371" s="71"/>
      <c r="BA2371" s="71"/>
      <c r="BB2371" s="71"/>
      <c r="BC2371" s="71"/>
      <c r="BD2371" s="71"/>
      <c r="BE2371" s="71"/>
      <c r="BF2371" s="71"/>
      <c r="BG2371" s="71"/>
      <c r="BH2371" s="71"/>
      <c r="BI2371" s="71"/>
      <c r="BJ2371" s="71"/>
      <c r="BK2371" s="71"/>
      <c r="BL2371" s="71"/>
      <c r="BM2371" s="71"/>
      <c r="BN2371" s="71"/>
      <c r="BO2371" s="71"/>
      <c r="BP2371" s="71"/>
      <c r="BQ2371" s="71"/>
      <c r="BR2371" s="71"/>
      <c r="BS2371" s="71"/>
      <c r="BT2371" s="71"/>
      <c r="BU2371" s="71"/>
      <c r="BV2371" s="71"/>
    </row>
    <row r="2372">
      <c r="A2372" s="53"/>
      <c r="B2372" s="53"/>
      <c r="C2372" s="73" t="s">
        <v>53</v>
      </c>
      <c r="D2372" s="53" t="s">
        <v>5830</v>
      </c>
      <c r="E2372" s="54" t="s">
        <v>38</v>
      </c>
      <c r="F2372" s="54" t="s">
        <v>42</v>
      </c>
      <c r="G2372" s="54" t="s">
        <v>5831</v>
      </c>
      <c r="H2372" s="54" t="s">
        <v>5832</v>
      </c>
      <c r="I2372" s="54">
        <f t="shared" si="24"/>
        <v>38</v>
      </c>
      <c r="J2372" s="56"/>
      <c r="K2372" s="57"/>
      <c r="L2372" s="76"/>
      <c r="M2372" s="59"/>
      <c r="N2372" s="60"/>
      <c r="O2372" s="61">
        <v>6540.0</v>
      </c>
      <c r="P2372" s="62">
        <v>7063.200000000001</v>
      </c>
      <c r="Q2372" s="63">
        <v>7063.200000000001</v>
      </c>
      <c r="R2372" s="64">
        <v>7417.0</v>
      </c>
      <c r="S2372" s="111">
        <v>7788.0</v>
      </c>
      <c r="T2372" s="65">
        <f t="shared" si="93"/>
        <v>1246.08</v>
      </c>
      <c r="U2372" s="65">
        <f t="shared" si="94"/>
        <v>9034.08</v>
      </c>
      <c r="V2372" s="66">
        <f t="shared" si="122"/>
        <v>0.05002022381</v>
      </c>
      <c r="W2372" s="67">
        <f t="shared" si="96"/>
        <v>7398.6</v>
      </c>
      <c r="X2372" s="67">
        <f t="shared" si="112"/>
        <v>1183.776</v>
      </c>
      <c r="Y2372" s="67">
        <f t="shared" si="113"/>
        <v>8582.376</v>
      </c>
      <c r="Z2372" s="67">
        <f t="shared" si="99"/>
        <v>7009.2</v>
      </c>
      <c r="AA2372" s="67">
        <f t="shared" si="114"/>
        <v>1121.472</v>
      </c>
      <c r="AB2372" s="67">
        <f t="shared" si="115"/>
        <v>8130.672</v>
      </c>
      <c r="AC2372" s="67">
        <f t="shared" si="102"/>
        <v>6619.8</v>
      </c>
      <c r="AD2372" s="67">
        <f t="shared" si="116"/>
        <v>1059.168</v>
      </c>
      <c r="AE2372" s="67">
        <f t="shared" si="117"/>
        <v>7678.968</v>
      </c>
      <c r="AF2372" s="67">
        <f t="shared" si="105"/>
        <v>6464.04</v>
      </c>
      <c r="AG2372" s="67">
        <f t="shared" si="118"/>
        <v>1034.2464</v>
      </c>
      <c r="AH2372" s="67">
        <f t="shared" si="119"/>
        <v>7498.2864</v>
      </c>
      <c r="AI2372" s="67">
        <f t="shared" si="108"/>
        <v>6230.4</v>
      </c>
      <c r="AJ2372" s="68">
        <f t="shared" si="120"/>
        <v>996.864</v>
      </c>
      <c r="AK2372" s="68">
        <f t="shared" si="121"/>
        <v>7227.264</v>
      </c>
      <c r="AL2372" s="70"/>
      <c r="AM2372" s="70"/>
      <c r="AN2372" s="71"/>
      <c r="AO2372" s="71"/>
      <c r="AP2372" s="71"/>
      <c r="AQ2372" s="71"/>
      <c r="AR2372" s="71"/>
      <c r="AS2372" s="71"/>
      <c r="AT2372" s="71"/>
      <c r="AU2372" s="71"/>
      <c r="AV2372" s="71"/>
      <c r="AW2372" s="71"/>
      <c r="AX2372" s="71"/>
      <c r="AY2372" s="71"/>
      <c r="AZ2372" s="71"/>
      <c r="BA2372" s="71"/>
      <c r="BB2372" s="71"/>
      <c r="BC2372" s="71"/>
      <c r="BD2372" s="71"/>
      <c r="BE2372" s="71"/>
      <c r="BF2372" s="71"/>
      <c r="BG2372" s="71"/>
      <c r="BH2372" s="71"/>
      <c r="BI2372" s="71"/>
      <c r="BJ2372" s="71"/>
      <c r="BK2372" s="71"/>
      <c r="BL2372" s="71"/>
      <c r="BM2372" s="71"/>
      <c r="BN2372" s="71"/>
      <c r="BO2372" s="71"/>
      <c r="BP2372" s="71"/>
      <c r="BQ2372" s="71"/>
      <c r="BR2372" s="71"/>
      <c r="BS2372" s="71"/>
      <c r="BT2372" s="71"/>
      <c r="BU2372" s="71"/>
      <c r="BV2372" s="71"/>
    </row>
    <row r="2373">
      <c r="A2373" s="53"/>
      <c r="B2373" s="53"/>
      <c r="C2373" s="73" t="s">
        <v>53</v>
      </c>
      <c r="D2373" s="53" t="s">
        <v>5833</v>
      </c>
      <c r="E2373" s="54" t="s">
        <v>38</v>
      </c>
      <c r="F2373" s="54" t="s">
        <v>42</v>
      </c>
      <c r="G2373" s="54" t="s">
        <v>5834</v>
      </c>
      <c r="H2373" s="54" t="s">
        <v>5835</v>
      </c>
      <c r="I2373" s="54">
        <f t="shared" si="24"/>
        <v>40</v>
      </c>
      <c r="J2373" s="56"/>
      <c r="K2373" s="57"/>
      <c r="L2373" s="76"/>
      <c r="M2373" s="59"/>
      <c r="N2373" s="60"/>
      <c r="O2373" s="61">
        <v>9620.0</v>
      </c>
      <c r="P2373" s="62">
        <v>10389.6</v>
      </c>
      <c r="Q2373" s="63">
        <v>10389.6</v>
      </c>
      <c r="R2373" s="64">
        <v>10910.0</v>
      </c>
      <c r="S2373" s="111">
        <v>11456.0</v>
      </c>
      <c r="T2373" s="65">
        <f t="shared" si="93"/>
        <v>1832.96</v>
      </c>
      <c r="U2373" s="65">
        <f t="shared" si="94"/>
        <v>13288.96</v>
      </c>
      <c r="V2373" s="66">
        <f t="shared" si="122"/>
        <v>0.05004582951</v>
      </c>
      <c r="W2373" s="67">
        <f t="shared" si="96"/>
        <v>10883.2</v>
      </c>
      <c r="X2373" s="67">
        <f t="shared" si="112"/>
        <v>1741.312</v>
      </c>
      <c r="Y2373" s="67">
        <f t="shared" si="113"/>
        <v>12624.512</v>
      </c>
      <c r="Z2373" s="67">
        <f t="shared" si="99"/>
        <v>10310.4</v>
      </c>
      <c r="AA2373" s="67">
        <f t="shared" si="114"/>
        <v>1649.664</v>
      </c>
      <c r="AB2373" s="67">
        <f t="shared" si="115"/>
        <v>11960.064</v>
      </c>
      <c r="AC2373" s="67">
        <f t="shared" si="102"/>
        <v>9737.6</v>
      </c>
      <c r="AD2373" s="67">
        <f t="shared" si="116"/>
        <v>1558.016</v>
      </c>
      <c r="AE2373" s="67">
        <f t="shared" si="117"/>
        <v>11295.616</v>
      </c>
      <c r="AF2373" s="67">
        <f t="shared" si="105"/>
        <v>9508.48</v>
      </c>
      <c r="AG2373" s="67">
        <f t="shared" si="118"/>
        <v>1521.3568</v>
      </c>
      <c r="AH2373" s="67">
        <f t="shared" si="119"/>
        <v>11029.8368</v>
      </c>
      <c r="AI2373" s="67">
        <f t="shared" si="108"/>
        <v>9164.8</v>
      </c>
      <c r="AJ2373" s="68">
        <f t="shared" si="120"/>
        <v>1466.368</v>
      </c>
      <c r="AK2373" s="68">
        <f t="shared" si="121"/>
        <v>10631.168</v>
      </c>
      <c r="AL2373" s="70"/>
      <c r="AM2373" s="70"/>
      <c r="AN2373" s="71"/>
      <c r="AO2373" s="71"/>
      <c r="AP2373" s="71"/>
      <c r="AQ2373" s="71"/>
      <c r="AR2373" s="71"/>
      <c r="AS2373" s="71"/>
      <c r="AT2373" s="71"/>
      <c r="AU2373" s="71"/>
      <c r="AV2373" s="71"/>
      <c r="AW2373" s="71"/>
      <c r="AX2373" s="71"/>
      <c r="AY2373" s="71"/>
      <c r="AZ2373" s="71"/>
      <c r="BA2373" s="71"/>
      <c r="BB2373" s="71"/>
      <c r="BC2373" s="71"/>
      <c r="BD2373" s="71"/>
      <c r="BE2373" s="71"/>
      <c r="BF2373" s="71"/>
      <c r="BG2373" s="71"/>
      <c r="BH2373" s="71"/>
      <c r="BI2373" s="71"/>
      <c r="BJ2373" s="71"/>
      <c r="BK2373" s="71"/>
      <c r="BL2373" s="71"/>
      <c r="BM2373" s="71"/>
      <c r="BN2373" s="71"/>
      <c r="BO2373" s="71"/>
      <c r="BP2373" s="71"/>
      <c r="BQ2373" s="71"/>
      <c r="BR2373" s="71"/>
      <c r="BS2373" s="71"/>
      <c r="BT2373" s="71"/>
      <c r="BU2373" s="71"/>
      <c r="BV2373" s="71"/>
    </row>
    <row r="2374">
      <c r="A2374" s="53">
        <v>1.0</v>
      </c>
      <c r="B2374" s="53"/>
      <c r="C2374" s="73" t="s">
        <v>53</v>
      </c>
      <c r="D2374" s="74" t="s">
        <v>5836</v>
      </c>
      <c r="E2374" s="54" t="s">
        <v>38</v>
      </c>
      <c r="F2374" s="54" t="s">
        <v>42</v>
      </c>
      <c r="G2374" s="88" t="s">
        <v>5837</v>
      </c>
      <c r="H2374" s="54" t="s">
        <v>5838</v>
      </c>
      <c r="I2374" s="54">
        <f t="shared" si="24"/>
        <v>40</v>
      </c>
      <c r="J2374" s="56"/>
      <c r="K2374" s="57"/>
      <c r="L2374" s="87"/>
      <c r="M2374" s="59"/>
      <c r="N2374" s="60">
        <v>351.0</v>
      </c>
      <c r="O2374" s="61">
        <v>379.0</v>
      </c>
      <c r="P2374" s="62">
        <v>409.32000000000005</v>
      </c>
      <c r="Q2374" s="63">
        <v>409.32000000000005</v>
      </c>
      <c r="R2374" s="64">
        <v>456.0</v>
      </c>
      <c r="S2374" s="111">
        <v>479.0</v>
      </c>
      <c r="T2374" s="65">
        <f t="shared" si="93"/>
        <v>76.64</v>
      </c>
      <c r="U2374" s="65">
        <f t="shared" si="94"/>
        <v>555.64</v>
      </c>
      <c r="V2374" s="66">
        <f t="shared" si="122"/>
        <v>0.05043859649</v>
      </c>
      <c r="W2374" s="67">
        <f t="shared" si="96"/>
        <v>455.05</v>
      </c>
      <c r="X2374" s="67">
        <f t="shared" si="112"/>
        <v>72.808</v>
      </c>
      <c r="Y2374" s="67">
        <f t="shared" si="113"/>
        <v>527.858</v>
      </c>
      <c r="Z2374" s="67">
        <f t="shared" si="99"/>
        <v>431.1</v>
      </c>
      <c r="AA2374" s="67">
        <f t="shared" si="114"/>
        <v>68.976</v>
      </c>
      <c r="AB2374" s="67">
        <f t="shared" si="115"/>
        <v>500.076</v>
      </c>
      <c r="AC2374" s="67">
        <f t="shared" si="102"/>
        <v>407.15</v>
      </c>
      <c r="AD2374" s="67">
        <f t="shared" si="116"/>
        <v>65.144</v>
      </c>
      <c r="AE2374" s="67">
        <f t="shared" si="117"/>
        <v>472.294</v>
      </c>
      <c r="AF2374" s="67">
        <f t="shared" si="105"/>
        <v>397.57</v>
      </c>
      <c r="AG2374" s="67">
        <f t="shared" si="118"/>
        <v>63.6112</v>
      </c>
      <c r="AH2374" s="67">
        <f t="shared" si="119"/>
        <v>461.1812</v>
      </c>
      <c r="AI2374" s="67">
        <f t="shared" si="108"/>
        <v>383.2</v>
      </c>
      <c r="AJ2374" s="68">
        <f t="shared" si="120"/>
        <v>61.312</v>
      </c>
      <c r="AK2374" s="68">
        <f t="shared" si="121"/>
        <v>444.512</v>
      </c>
      <c r="AL2374" s="70"/>
      <c r="AM2374" s="70"/>
      <c r="AN2374" s="71"/>
      <c r="AO2374" s="71"/>
      <c r="AP2374" s="71"/>
      <c r="AQ2374" s="71"/>
      <c r="AR2374" s="71"/>
      <c r="AS2374" s="71"/>
      <c r="AT2374" s="71"/>
      <c r="AU2374" s="71"/>
      <c r="AV2374" s="71"/>
      <c r="AW2374" s="71"/>
      <c r="AX2374" s="71"/>
      <c r="AY2374" s="71"/>
      <c r="AZ2374" s="71"/>
      <c r="BA2374" s="71"/>
      <c r="BB2374" s="71"/>
      <c r="BC2374" s="71"/>
      <c r="BD2374" s="71"/>
      <c r="BE2374" s="71"/>
      <c r="BF2374" s="71"/>
      <c r="BG2374" s="71"/>
      <c r="BH2374" s="71"/>
      <c r="BI2374" s="71"/>
      <c r="BJ2374" s="71"/>
      <c r="BK2374" s="71"/>
      <c r="BL2374" s="71"/>
      <c r="BM2374" s="71"/>
      <c r="BN2374" s="71"/>
      <c r="BO2374" s="71"/>
      <c r="BP2374" s="71"/>
      <c r="BQ2374" s="71"/>
      <c r="BR2374" s="71"/>
      <c r="BS2374" s="71"/>
      <c r="BT2374" s="71"/>
      <c r="BU2374" s="71"/>
      <c r="BV2374" s="71"/>
    </row>
    <row r="2375">
      <c r="A2375" s="53"/>
      <c r="B2375" s="53"/>
      <c r="C2375" s="73" t="s">
        <v>53</v>
      </c>
      <c r="D2375" s="53" t="s">
        <v>5839</v>
      </c>
      <c r="E2375" s="54" t="s">
        <v>38</v>
      </c>
      <c r="F2375" s="54" t="s">
        <v>42</v>
      </c>
      <c r="G2375" s="55" t="s">
        <v>5840</v>
      </c>
      <c r="H2375" s="54" t="s">
        <v>5841</v>
      </c>
      <c r="I2375" s="54">
        <f t="shared" si="24"/>
        <v>40</v>
      </c>
      <c r="J2375" s="56"/>
      <c r="K2375" s="57"/>
      <c r="L2375" s="76"/>
      <c r="M2375" s="59"/>
      <c r="N2375" s="79"/>
      <c r="O2375" s="61">
        <v>788.0</v>
      </c>
      <c r="P2375" s="62">
        <v>851.0400000000001</v>
      </c>
      <c r="Q2375" s="63">
        <v>851.0400000000001</v>
      </c>
      <c r="R2375" s="64">
        <v>894.0</v>
      </c>
      <c r="S2375" s="111">
        <v>939.0</v>
      </c>
      <c r="T2375" s="65">
        <f t="shared" si="93"/>
        <v>150.24</v>
      </c>
      <c r="U2375" s="65">
        <f t="shared" si="94"/>
        <v>1089.24</v>
      </c>
      <c r="V2375" s="66">
        <f t="shared" si="122"/>
        <v>0.05033557047</v>
      </c>
      <c r="W2375" s="67">
        <f t="shared" si="96"/>
        <v>892.05</v>
      </c>
      <c r="X2375" s="67">
        <f t="shared" si="112"/>
        <v>142.728</v>
      </c>
      <c r="Y2375" s="67">
        <f t="shared" si="113"/>
        <v>1034.778</v>
      </c>
      <c r="Z2375" s="67">
        <f t="shared" si="99"/>
        <v>845.1</v>
      </c>
      <c r="AA2375" s="67">
        <f t="shared" si="114"/>
        <v>135.216</v>
      </c>
      <c r="AB2375" s="67">
        <f t="shared" si="115"/>
        <v>980.316</v>
      </c>
      <c r="AC2375" s="67">
        <f t="shared" si="102"/>
        <v>798.15</v>
      </c>
      <c r="AD2375" s="67">
        <f t="shared" si="116"/>
        <v>127.704</v>
      </c>
      <c r="AE2375" s="67">
        <f t="shared" si="117"/>
        <v>925.854</v>
      </c>
      <c r="AF2375" s="67">
        <f t="shared" si="105"/>
        <v>779.37</v>
      </c>
      <c r="AG2375" s="67">
        <f t="shared" si="118"/>
        <v>124.6992</v>
      </c>
      <c r="AH2375" s="67">
        <f t="shared" si="119"/>
        <v>904.0692</v>
      </c>
      <c r="AI2375" s="67">
        <f t="shared" si="108"/>
        <v>751.2</v>
      </c>
      <c r="AJ2375" s="68">
        <f t="shared" si="120"/>
        <v>120.192</v>
      </c>
      <c r="AK2375" s="68">
        <f t="shared" si="121"/>
        <v>871.392</v>
      </c>
      <c r="AL2375" s="70"/>
      <c r="AM2375" s="70"/>
      <c r="AN2375" s="71"/>
      <c r="AO2375" s="71"/>
      <c r="AP2375" s="71"/>
      <c r="AQ2375" s="71"/>
      <c r="AR2375" s="71"/>
      <c r="AS2375" s="71"/>
      <c r="AT2375" s="71"/>
      <c r="AU2375" s="71"/>
      <c r="AV2375" s="71"/>
      <c r="AW2375" s="71"/>
      <c r="AX2375" s="71"/>
      <c r="AY2375" s="71"/>
      <c r="AZ2375" s="71"/>
      <c r="BA2375" s="71"/>
      <c r="BB2375" s="71"/>
      <c r="BC2375" s="71"/>
      <c r="BD2375" s="71"/>
      <c r="BE2375" s="71"/>
      <c r="BF2375" s="71"/>
      <c r="BG2375" s="71"/>
      <c r="BH2375" s="71"/>
      <c r="BI2375" s="71"/>
      <c r="BJ2375" s="71"/>
      <c r="BK2375" s="71"/>
      <c r="BL2375" s="71"/>
      <c r="BM2375" s="71"/>
      <c r="BN2375" s="71"/>
      <c r="BO2375" s="71"/>
      <c r="BP2375" s="71"/>
      <c r="BQ2375" s="71"/>
      <c r="BR2375" s="71"/>
      <c r="BS2375" s="71"/>
      <c r="BT2375" s="71"/>
      <c r="BU2375" s="71"/>
      <c r="BV2375" s="71"/>
    </row>
    <row r="2376">
      <c r="A2376" s="53"/>
      <c r="B2376" s="53"/>
      <c r="C2376" s="73" t="s">
        <v>53</v>
      </c>
      <c r="D2376" s="53" t="s">
        <v>5842</v>
      </c>
      <c r="E2376" s="54" t="s">
        <v>38</v>
      </c>
      <c r="F2376" s="54" t="s">
        <v>42</v>
      </c>
      <c r="G2376" s="55" t="s">
        <v>5843</v>
      </c>
      <c r="H2376" s="54" t="s">
        <v>5843</v>
      </c>
      <c r="I2376" s="54">
        <f t="shared" si="24"/>
        <v>31</v>
      </c>
      <c r="J2376" s="56"/>
      <c r="K2376" s="57"/>
      <c r="L2376" s="87"/>
      <c r="M2376" s="59"/>
      <c r="N2376" s="79">
        <v>394.0</v>
      </c>
      <c r="O2376" s="61">
        <v>425.0</v>
      </c>
      <c r="P2376" s="62">
        <v>459.00000000000006</v>
      </c>
      <c r="Q2376" s="63">
        <v>459.00000000000006</v>
      </c>
      <c r="R2376" s="64">
        <v>482.0</v>
      </c>
      <c r="S2376" s="111">
        <v>506.0</v>
      </c>
      <c r="T2376" s="65">
        <f t="shared" si="93"/>
        <v>80.96</v>
      </c>
      <c r="U2376" s="65">
        <f t="shared" si="94"/>
        <v>586.96</v>
      </c>
      <c r="V2376" s="66">
        <f t="shared" si="122"/>
        <v>0.04979253112</v>
      </c>
      <c r="W2376" s="67">
        <f t="shared" si="96"/>
        <v>480.7</v>
      </c>
      <c r="X2376" s="67">
        <f t="shared" si="112"/>
        <v>76.912</v>
      </c>
      <c r="Y2376" s="67">
        <f t="shared" si="113"/>
        <v>557.612</v>
      </c>
      <c r="Z2376" s="67">
        <f t="shared" si="99"/>
        <v>455.4</v>
      </c>
      <c r="AA2376" s="67">
        <f t="shared" si="114"/>
        <v>72.864</v>
      </c>
      <c r="AB2376" s="67">
        <f t="shared" si="115"/>
        <v>528.264</v>
      </c>
      <c r="AC2376" s="67">
        <f t="shared" si="102"/>
        <v>430.1</v>
      </c>
      <c r="AD2376" s="67">
        <f t="shared" si="116"/>
        <v>68.816</v>
      </c>
      <c r="AE2376" s="67">
        <f t="shared" si="117"/>
        <v>498.916</v>
      </c>
      <c r="AF2376" s="67">
        <f t="shared" si="105"/>
        <v>419.98</v>
      </c>
      <c r="AG2376" s="67">
        <f t="shared" si="118"/>
        <v>67.1968</v>
      </c>
      <c r="AH2376" s="67">
        <f t="shared" si="119"/>
        <v>487.1768</v>
      </c>
      <c r="AI2376" s="67">
        <f t="shared" si="108"/>
        <v>404.8</v>
      </c>
      <c r="AJ2376" s="68">
        <f t="shared" si="120"/>
        <v>64.768</v>
      </c>
      <c r="AK2376" s="68">
        <f t="shared" si="121"/>
        <v>469.568</v>
      </c>
      <c r="AL2376" s="70"/>
      <c r="AM2376" s="70"/>
      <c r="AN2376" s="71"/>
      <c r="AO2376" s="71"/>
      <c r="AP2376" s="71"/>
      <c r="AQ2376" s="71"/>
      <c r="AR2376" s="71"/>
      <c r="AS2376" s="71"/>
      <c r="AT2376" s="71"/>
      <c r="AU2376" s="71"/>
      <c r="AV2376" s="71"/>
      <c r="AW2376" s="71"/>
      <c r="AX2376" s="71"/>
      <c r="AY2376" s="71"/>
      <c r="AZ2376" s="71"/>
      <c r="BA2376" s="71"/>
      <c r="BB2376" s="71"/>
      <c r="BC2376" s="71"/>
      <c r="BD2376" s="71"/>
      <c r="BE2376" s="71"/>
      <c r="BF2376" s="71"/>
      <c r="BG2376" s="71"/>
      <c r="BH2376" s="71"/>
      <c r="BI2376" s="71"/>
      <c r="BJ2376" s="71"/>
      <c r="BK2376" s="71"/>
      <c r="BL2376" s="71"/>
      <c r="BM2376" s="71"/>
      <c r="BN2376" s="71"/>
      <c r="BO2376" s="71"/>
      <c r="BP2376" s="71"/>
      <c r="BQ2376" s="71"/>
      <c r="BR2376" s="71"/>
      <c r="BS2376" s="71"/>
      <c r="BT2376" s="71"/>
      <c r="BU2376" s="71"/>
      <c r="BV2376" s="71"/>
    </row>
    <row r="2377">
      <c r="A2377" s="53"/>
      <c r="B2377" s="53"/>
      <c r="C2377" s="120" t="s">
        <v>12</v>
      </c>
      <c r="D2377" s="128" t="s">
        <v>5844</v>
      </c>
      <c r="E2377" s="54" t="s">
        <v>38</v>
      </c>
      <c r="F2377" s="54" t="s">
        <v>42</v>
      </c>
      <c r="G2377" s="130" t="s">
        <v>5845</v>
      </c>
      <c r="H2377" s="54" t="s">
        <v>5846</v>
      </c>
      <c r="I2377" s="54">
        <f t="shared" si="24"/>
        <v>34</v>
      </c>
      <c r="J2377" s="56"/>
      <c r="K2377" s="57"/>
      <c r="L2377" s="87"/>
      <c r="M2377" s="59"/>
      <c r="N2377" s="60">
        <v>4352.25</v>
      </c>
      <c r="O2377" s="129">
        <v>4700.0</v>
      </c>
      <c r="P2377" s="62">
        <v>5076.0</v>
      </c>
      <c r="Q2377" s="63">
        <v>5076.0</v>
      </c>
      <c r="R2377" s="64">
        <v>5330.0</v>
      </c>
      <c r="S2377" s="111">
        <v>5597.0</v>
      </c>
      <c r="T2377" s="65">
        <f t="shared" si="93"/>
        <v>895.52</v>
      </c>
      <c r="U2377" s="65">
        <f t="shared" si="94"/>
        <v>6492.52</v>
      </c>
      <c r="V2377" s="66">
        <f t="shared" si="122"/>
        <v>0.05009380863</v>
      </c>
      <c r="W2377" s="67">
        <f t="shared" si="96"/>
        <v>5317.15</v>
      </c>
      <c r="X2377" s="67">
        <f t="shared" si="112"/>
        <v>850.744</v>
      </c>
      <c r="Y2377" s="67">
        <f t="shared" si="113"/>
        <v>6167.894</v>
      </c>
      <c r="Z2377" s="67">
        <f t="shared" si="99"/>
        <v>5037.3</v>
      </c>
      <c r="AA2377" s="67">
        <f t="shared" si="114"/>
        <v>805.968</v>
      </c>
      <c r="AB2377" s="67">
        <f t="shared" si="115"/>
        <v>5843.268</v>
      </c>
      <c r="AC2377" s="67">
        <f t="shared" si="102"/>
        <v>4757.45</v>
      </c>
      <c r="AD2377" s="67">
        <f t="shared" si="116"/>
        <v>761.192</v>
      </c>
      <c r="AE2377" s="67">
        <f t="shared" si="117"/>
        <v>5518.642</v>
      </c>
      <c r="AF2377" s="67">
        <f t="shared" si="105"/>
        <v>4645.51</v>
      </c>
      <c r="AG2377" s="67">
        <f t="shared" si="118"/>
        <v>743.2816</v>
      </c>
      <c r="AH2377" s="67">
        <f t="shared" si="119"/>
        <v>5388.7916</v>
      </c>
      <c r="AI2377" s="67">
        <f t="shared" si="108"/>
        <v>4477.6</v>
      </c>
      <c r="AJ2377" s="68">
        <f t="shared" si="120"/>
        <v>716.416</v>
      </c>
      <c r="AK2377" s="68">
        <f t="shared" si="121"/>
        <v>5194.016</v>
      </c>
      <c r="AL2377" s="70"/>
      <c r="AM2377" s="70"/>
      <c r="AN2377" s="71"/>
      <c r="AO2377" s="71"/>
      <c r="AP2377" s="71"/>
      <c r="AQ2377" s="71"/>
      <c r="AR2377" s="71"/>
      <c r="AS2377" s="71"/>
      <c r="AT2377" s="71"/>
      <c r="AU2377" s="71"/>
      <c r="AV2377" s="71"/>
      <c r="AW2377" s="71"/>
      <c r="AX2377" s="71"/>
      <c r="AY2377" s="71"/>
      <c r="AZ2377" s="71"/>
      <c r="BA2377" s="71"/>
      <c r="BB2377" s="71"/>
      <c r="BC2377" s="71"/>
      <c r="BD2377" s="71"/>
      <c r="BE2377" s="71"/>
      <c r="BF2377" s="71"/>
      <c r="BG2377" s="71"/>
      <c r="BH2377" s="71"/>
      <c r="BI2377" s="71"/>
      <c r="BJ2377" s="71"/>
      <c r="BK2377" s="71"/>
      <c r="BL2377" s="71"/>
      <c r="BM2377" s="71"/>
      <c r="BN2377" s="71"/>
      <c r="BO2377" s="71"/>
      <c r="BP2377" s="71"/>
      <c r="BQ2377" s="71"/>
      <c r="BR2377" s="71"/>
      <c r="BS2377" s="71"/>
      <c r="BT2377" s="71"/>
      <c r="BU2377" s="71"/>
      <c r="BV2377" s="71"/>
    </row>
    <row r="2378">
      <c r="A2378" s="53">
        <v>1.0</v>
      </c>
      <c r="B2378" s="53"/>
      <c r="C2378" s="120" t="s">
        <v>12</v>
      </c>
      <c r="D2378" s="74" t="s">
        <v>5847</v>
      </c>
      <c r="E2378" s="54" t="s">
        <v>38</v>
      </c>
      <c r="F2378" s="54" t="s">
        <v>42</v>
      </c>
      <c r="G2378" s="88" t="s">
        <v>5848</v>
      </c>
      <c r="H2378" s="54" t="s">
        <v>5849</v>
      </c>
      <c r="I2378" s="54">
        <f t="shared" si="24"/>
        <v>28</v>
      </c>
      <c r="J2378" s="56"/>
      <c r="K2378" s="57"/>
      <c r="L2378" s="76"/>
      <c r="M2378" s="59"/>
      <c r="N2378" s="60">
        <v>49.0</v>
      </c>
      <c r="O2378" s="61">
        <v>52.0</v>
      </c>
      <c r="P2378" s="62">
        <v>56.160000000000004</v>
      </c>
      <c r="Q2378" s="63">
        <v>56.160000000000004</v>
      </c>
      <c r="R2378" s="64">
        <v>63.0</v>
      </c>
      <c r="S2378" s="111">
        <v>66.0</v>
      </c>
      <c r="T2378" s="65">
        <f t="shared" si="93"/>
        <v>10.56</v>
      </c>
      <c r="U2378" s="65">
        <f t="shared" si="94"/>
        <v>76.56</v>
      </c>
      <c r="V2378" s="66">
        <f t="shared" si="122"/>
        <v>0.04761904762</v>
      </c>
      <c r="W2378" s="67">
        <f t="shared" si="96"/>
        <v>62.7</v>
      </c>
      <c r="X2378" s="67">
        <f t="shared" si="112"/>
        <v>10.032</v>
      </c>
      <c r="Y2378" s="67">
        <f t="shared" si="113"/>
        <v>72.732</v>
      </c>
      <c r="Z2378" s="67">
        <f t="shared" si="99"/>
        <v>59.4</v>
      </c>
      <c r="AA2378" s="67">
        <f t="shared" si="114"/>
        <v>9.504</v>
      </c>
      <c r="AB2378" s="67">
        <f t="shared" si="115"/>
        <v>68.904</v>
      </c>
      <c r="AC2378" s="67">
        <f t="shared" si="102"/>
        <v>56.1</v>
      </c>
      <c r="AD2378" s="67">
        <f t="shared" si="116"/>
        <v>8.976</v>
      </c>
      <c r="AE2378" s="67">
        <f t="shared" si="117"/>
        <v>65.076</v>
      </c>
      <c r="AF2378" s="67">
        <f t="shared" si="105"/>
        <v>54.78</v>
      </c>
      <c r="AG2378" s="67">
        <f t="shared" si="118"/>
        <v>8.7648</v>
      </c>
      <c r="AH2378" s="67">
        <f t="shared" si="119"/>
        <v>63.5448</v>
      </c>
      <c r="AI2378" s="67">
        <f t="shared" si="108"/>
        <v>52.8</v>
      </c>
      <c r="AJ2378" s="68">
        <f t="shared" si="120"/>
        <v>8.448</v>
      </c>
      <c r="AK2378" s="68">
        <f t="shared" si="121"/>
        <v>61.248</v>
      </c>
      <c r="AL2378" s="70"/>
      <c r="AM2378" s="70"/>
      <c r="AN2378" s="71"/>
      <c r="AO2378" s="71"/>
      <c r="AP2378" s="71"/>
      <c r="AQ2378" s="71"/>
      <c r="AR2378" s="71"/>
      <c r="AS2378" s="71"/>
      <c r="AT2378" s="71"/>
      <c r="AU2378" s="71"/>
      <c r="AV2378" s="71"/>
      <c r="AW2378" s="71"/>
      <c r="AX2378" s="71"/>
      <c r="AY2378" s="71"/>
      <c r="AZ2378" s="71"/>
      <c r="BA2378" s="71"/>
      <c r="BB2378" s="71"/>
      <c r="BC2378" s="71"/>
      <c r="BD2378" s="71"/>
      <c r="BE2378" s="71"/>
      <c r="BF2378" s="71"/>
      <c r="BG2378" s="71"/>
      <c r="BH2378" s="71"/>
      <c r="BI2378" s="71"/>
      <c r="BJ2378" s="71"/>
      <c r="BK2378" s="71"/>
      <c r="BL2378" s="71"/>
      <c r="BM2378" s="71"/>
      <c r="BN2378" s="71"/>
      <c r="BO2378" s="71"/>
      <c r="BP2378" s="71"/>
      <c r="BQ2378" s="71"/>
      <c r="BR2378" s="71"/>
      <c r="BS2378" s="71"/>
      <c r="BT2378" s="71"/>
      <c r="BU2378" s="71"/>
      <c r="BV2378" s="71"/>
    </row>
    <row r="2379">
      <c r="A2379" s="53"/>
      <c r="B2379" s="53"/>
      <c r="C2379" s="73" t="s">
        <v>12</v>
      </c>
      <c r="D2379" s="53" t="s">
        <v>5850</v>
      </c>
      <c r="E2379" s="54" t="s">
        <v>38</v>
      </c>
      <c r="F2379" s="54" t="s">
        <v>42</v>
      </c>
      <c r="G2379" s="55" t="s">
        <v>5851</v>
      </c>
      <c r="H2379" s="54" t="s">
        <v>5851</v>
      </c>
      <c r="I2379" s="54">
        <f t="shared" si="24"/>
        <v>27</v>
      </c>
      <c r="J2379" s="56"/>
      <c r="K2379" s="57"/>
      <c r="L2379" s="76"/>
      <c r="M2379" s="59"/>
      <c r="N2379" s="79">
        <v>750.0</v>
      </c>
      <c r="O2379" s="61">
        <v>810.0</v>
      </c>
      <c r="P2379" s="62">
        <v>874.8000000000001</v>
      </c>
      <c r="Q2379" s="63">
        <v>874.8000000000001</v>
      </c>
      <c r="R2379" s="64">
        <v>919.0</v>
      </c>
      <c r="S2379" s="111">
        <v>965.0</v>
      </c>
      <c r="T2379" s="65">
        <f t="shared" si="93"/>
        <v>154.4</v>
      </c>
      <c r="U2379" s="65">
        <f t="shared" si="94"/>
        <v>1119.4</v>
      </c>
      <c r="V2379" s="66">
        <f t="shared" si="122"/>
        <v>0.05005440696</v>
      </c>
      <c r="W2379" s="67">
        <f t="shared" si="96"/>
        <v>916.75</v>
      </c>
      <c r="X2379" s="67">
        <f t="shared" si="112"/>
        <v>146.68</v>
      </c>
      <c r="Y2379" s="67">
        <f t="shared" si="113"/>
        <v>1063.43</v>
      </c>
      <c r="Z2379" s="67">
        <f t="shared" si="99"/>
        <v>868.5</v>
      </c>
      <c r="AA2379" s="67">
        <f t="shared" si="114"/>
        <v>138.96</v>
      </c>
      <c r="AB2379" s="67">
        <f t="shared" si="115"/>
        <v>1007.46</v>
      </c>
      <c r="AC2379" s="67">
        <f t="shared" si="102"/>
        <v>820.25</v>
      </c>
      <c r="AD2379" s="67">
        <f t="shared" si="116"/>
        <v>131.24</v>
      </c>
      <c r="AE2379" s="67">
        <f t="shared" si="117"/>
        <v>951.49</v>
      </c>
      <c r="AF2379" s="67">
        <f t="shared" si="105"/>
        <v>800.95</v>
      </c>
      <c r="AG2379" s="67">
        <f t="shared" si="118"/>
        <v>128.152</v>
      </c>
      <c r="AH2379" s="67">
        <f t="shared" si="119"/>
        <v>929.102</v>
      </c>
      <c r="AI2379" s="67">
        <f t="shared" si="108"/>
        <v>772</v>
      </c>
      <c r="AJ2379" s="68">
        <f t="shared" si="120"/>
        <v>123.52</v>
      </c>
      <c r="AK2379" s="68">
        <f t="shared" si="121"/>
        <v>895.52</v>
      </c>
      <c r="AL2379" s="70"/>
      <c r="AM2379" s="70"/>
      <c r="AN2379" s="71"/>
      <c r="AO2379" s="71"/>
      <c r="AP2379" s="71"/>
      <c r="AQ2379" s="71"/>
      <c r="AR2379" s="71"/>
      <c r="AS2379" s="71"/>
      <c r="AT2379" s="71"/>
      <c r="AU2379" s="71"/>
      <c r="AV2379" s="71"/>
      <c r="AW2379" s="71"/>
      <c r="AX2379" s="71"/>
      <c r="AY2379" s="71"/>
      <c r="AZ2379" s="71"/>
      <c r="BA2379" s="71"/>
      <c r="BB2379" s="71"/>
      <c r="BC2379" s="71"/>
      <c r="BD2379" s="71"/>
      <c r="BE2379" s="71"/>
      <c r="BF2379" s="71"/>
      <c r="BG2379" s="71"/>
      <c r="BH2379" s="71"/>
      <c r="BI2379" s="71"/>
      <c r="BJ2379" s="71"/>
      <c r="BK2379" s="71"/>
      <c r="BL2379" s="71"/>
      <c r="BM2379" s="71"/>
      <c r="BN2379" s="71"/>
      <c r="BO2379" s="71"/>
      <c r="BP2379" s="71"/>
      <c r="BQ2379" s="71"/>
      <c r="BR2379" s="71"/>
      <c r="BS2379" s="71"/>
      <c r="BT2379" s="71"/>
      <c r="BU2379" s="71"/>
      <c r="BV2379" s="71"/>
    </row>
    <row r="2380">
      <c r="A2380" s="53"/>
      <c r="B2380" s="53"/>
      <c r="C2380" s="120" t="s">
        <v>53</v>
      </c>
      <c r="D2380" s="53" t="s">
        <v>5852</v>
      </c>
      <c r="E2380" s="54" t="s">
        <v>38</v>
      </c>
      <c r="F2380" s="54" t="s">
        <v>42</v>
      </c>
      <c r="G2380" s="54" t="s">
        <v>5853</v>
      </c>
      <c r="H2380" s="54" t="s">
        <v>5854</v>
      </c>
      <c r="I2380" s="54">
        <f t="shared" si="24"/>
        <v>38</v>
      </c>
      <c r="J2380" s="56"/>
      <c r="K2380" s="57"/>
      <c r="L2380" s="76"/>
      <c r="M2380" s="59"/>
      <c r="N2380" s="60"/>
      <c r="O2380" s="61">
        <v>235.0</v>
      </c>
      <c r="P2380" s="62">
        <v>253.8</v>
      </c>
      <c r="Q2380" s="63">
        <v>253.8</v>
      </c>
      <c r="R2380" s="64">
        <v>267.0</v>
      </c>
      <c r="S2380" s="111">
        <v>280.0</v>
      </c>
      <c r="T2380" s="65">
        <f t="shared" si="93"/>
        <v>44.8</v>
      </c>
      <c r="U2380" s="65">
        <f t="shared" si="94"/>
        <v>324.8</v>
      </c>
      <c r="V2380" s="66">
        <f t="shared" si="122"/>
        <v>0.04868913858</v>
      </c>
      <c r="W2380" s="67">
        <f t="shared" si="96"/>
        <v>266</v>
      </c>
      <c r="X2380" s="67">
        <f t="shared" si="112"/>
        <v>42.56</v>
      </c>
      <c r="Y2380" s="67">
        <f t="shared" si="113"/>
        <v>308.56</v>
      </c>
      <c r="Z2380" s="67">
        <f t="shared" si="99"/>
        <v>252</v>
      </c>
      <c r="AA2380" s="67">
        <f t="shared" si="114"/>
        <v>40.32</v>
      </c>
      <c r="AB2380" s="67">
        <f t="shared" si="115"/>
        <v>292.32</v>
      </c>
      <c r="AC2380" s="67">
        <f t="shared" si="102"/>
        <v>238</v>
      </c>
      <c r="AD2380" s="67">
        <f t="shared" si="116"/>
        <v>38.08</v>
      </c>
      <c r="AE2380" s="67">
        <f t="shared" si="117"/>
        <v>276.08</v>
      </c>
      <c r="AF2380" s="67">
        <f t="shared" si="105"/>
        <v>232.4</v>
      </c>
      <c r="AG2380" s="67">
        <f t="shared" si="118"/>
        <v>37.184</v>
      </c>
      <c r="AH2380" s="67">
        <f t="shared" si="119"/>
        <v>269.584</v>
      </c>
      <c r="AI2380" s="67">
        <f t="shared" si="108"/>
        <v>224</v>
      </c>
      <c r="AJ2380" s="68">
        <f t="shared" si="120"/>
        <v>35.84</v>
      </c>
      <c r="AK2380" s="68">
        <f t="shared" si="121"/>
        <v>259.84</v>
      </c>
      <c r="AL2380" s="70"/>
      <c r="AM2380" s="70"/>
      <c r="AN2380" s="71"/>
      <c r="AO2380" s="71"/>
      <c r="AP2380" s="71"/>
      <c r="AQ2380" s="71"/>
      <c r="AR2380" s="71"/>
      <c r="AS2380" s="71"/>
      <c r="AT2380" s="71"/>
      <c r="AU2380" s="71"/>
      <c r="AV2380" s="71"/>
      <c r="AW2380" s="71"/>
      <c r="AX2380" s="71"/>
      <c r="AY2380" s="71"/>
      <c r="AZ2380" s="71"/>
      <c r="BA2380" s="71"/>
      <c r="BB2380" s="71"/>
      <c r="BC2380" s="71"/>
      <c r="BD2380" s="71"/>
      <c r="BE2380" s="71"/>
      <c r="BF2380" s="71"/>
      <c r="BG2380" s="71"/>
      <c r="BH2380" s="71"/>
      <c r="BI2380" s="71"/>
      <c r="BJ2380" s="71"/>
      <c r="BK2380" s="71"/>
      <c r="BL2380" s="71"/>
      <c r="BM2380" s="71"/>
      <c r="BN2380" s="71"/>
      <c r="BO2380" s="71"/>
      <c r="BP2380" s="71"/>
      <c r="BQ2380" s="71"/>
      <c r="BR2380" s="71"/>
      <c r="BS2380" s="71"/>
      <c r="BT2380" s="71"/>
      <c r="BU2380" s="71"/>
      <c r="BV2380" s="71"/>
    </row>
    <row r="2381">
      <c r="A2381" s="53"/>
      <c r="B2381" s="53"/>
      <c r="C2381" s="53" t="s">
        <v>36</v>
      </c>
      <c r="D2381" s="85" t="s">
        <v>5855</v>
      </c>
      <c r="E2381" s="54" t="s">
        <v>38</v>
      </c>
      <c r="F2381" s="55" t="s">
        <v>39</v>
      </c>
      <c r="G2381" s="86" t="s">
        <v>5856</v>
      </c>
      <c r="H2381" s="55"/>
      <c r="I2381" s="54">
        <f t="shared" si="24"/>
        <v>0</v>
      </c>
      <c r="J2381" s="56"/>
      <c r="K2381" s="57"/>
      <c r="L2381" s="76"/>
      <c r="M2381" s="59"/>
      <c r="N2381" s="60"/>
      <c r="O2381" s="61">
        <v>6.0</v>
      </c>
      <c r="P2381" s="62">
        <v>6.48</v>
      </c>
      <c r="Q2381" s="63">
        <v>6.48</v>
      </c>
      <c r="R2381" s="78">
        <v>6.0</v>
      </c>
      <c r="S2381" s="107">
        <v>6.300000000000001</v>
      </c>
      <c r="T2381" s="65">
        <f t="shared" si="93"/>
        <v>1.008</v>
      </c>
      <c r="U2381" s="65">
        <f t="shared" si="94"/>
        <v>7.308</v>
      </c>
      <c r="V2381" s="66">
        <f t="shared" si="122"/>
        <v>0.05</v>
      </c>
      <c r="W2381" s="67">
        <f t="shared" si="96"/>
        <v>5.985</v>
      </c>
      <c r="X2381" s="67">
        <f t="shared" si="112"/>
        <v>0.9576</v>
      </c>
      <c r="Y2381" s="67">
        <f t="shared" si="113"/>
        <v>6.9426</v>
      </c>
      <c r="Z2381" s="67">
        <f t="shared" si="99"/>
        <v>5.67</v>
      </c>
      <c r="AA2381" s="67">
        <f t="shared" si="114"/>
        <v>0.9072</v>
      </c>
      <c r="AB2381" s="67">
        <f t="shared" si="115"/>
        <v>6.5772</v>
      </c>
      <c r="AC2381" s="67">
        <f t="shared" si="102"/>
        <v>5.355</v>
      </c>
      <c r="AD2381" s="67">
        <f t="shared" si="116"/>
        <v>0.8568</v>
      </c>
      <c r="AE2381" s="67">
        <f t="shared" si="117"/>
        <v>6.2118</v>
      </c>
      <c r="AF2381" s="67">
        <f t="shared" si="105"/>
        <v>5.229</v>
      </c>
      <c r="AG2381" s="67">
        <f t="shared" si="118"/>
        <v>0.83664</v>
      </c>
      <c r="AH2381" s="67">
        <f t="shared" si="119"/>
        <v>6.06564</v>
      </c>
      <c r="AI2381" s="67">
        <f t="shared" si="108"/>
        <v>5.04</v>
      </c>
      <c r="AJ2381" s="68">
        <f t="shared" si="120"/>
        <v>0.8064</v>
      </c>
      <c r="AK2381" s="68">
        <f t="shared" si="121"/>
        <v>5.8464</v>
      </c>
      <c r="AL2381" s="70"/>
      <c r="AM2381" s="70"/>
      <c r="AN2381" s="71"/>
      <c r="AO2381" s="71"/>
      <c r="AP2381" s="71"/>
      <c r="AQ2381" s="71"/>
      <c r="AR2381" s="71"/>
      <c r="AS2381" s="71"/>
      <c r="AT2381" s="71"/>
      <c r="AU2381" s="71"/>
      <c r="AV2381" s="71"/>
      <c r="AW2381" s="71"/>
      <c r="AX2381" s="71"/>
      <c r="AY2381" s="71"/>
      <c r="AZ2381" s="71"/>
      <c r="BA2381" s="71"/>
      <c r="BB2381" s="71"/>
      <c r="BC2381" s="71"/>
      <c r="BD2381" s="71"/>
      <c r="BE2381" s="71"/>
      <c r="BF2381" s="71"/>
      <c r="BG2381" s="71"/>
      <c r="BH2381" s="71"/>
      <c r="BI2381" s="71"/>
      <c r="BJ2381" s="71"/>
      <c r="BK2381" s="71"/>
      <c r="BL2381" s="71"/>
      <c r="BM2381" s="71"/>
      <c r="BN2381" s="71"/>
      <c r="BO2381" s="71"/>
      <c r="BP2381" s="71"/>
      <c r="BQ2381" s="71"/>
      <c r="BR2381" s="71"/>
      <c r="BS2381" s="71"/>
      <c r="BT2381" s="71"/>
      <c r="BU2381" s="71"/>
      <c r="BV2381" s="71"/>
    </row>
    <row r="2382">
      <c r="A2382" s="53"/>
      <c r="B2382" s="53"/>
      <c r="C2382" s="53" t="s">
        <v>36</v>
      </c>
      <c r="D2382" s="85" t="s">
        <v>5857</v>
      </c>
      <c r="E2382" s="54" t="s">
        <v>38</v>
      </c>
      <c r="F2382" s="55" t="s">
        <v>39</v>
      </c>
      <c r="G2382" s="86" t="s">
        <v>5858</v>
      </c>
      <c r="H2382" s="55"/>
      <c r="I2382" s="54">
        <f t="shared" si="24"/>
        <v>0</v>
      </c>
      <c r="J2382" s="56"/>
      <c r="K2382" s="57"/>
      <c r="L2382" s="76"/>
      <c r="M2382" s="59"/>
      <c r="N2382" s="60"/>
      <c r="O2382" s="61">
        <v>6.0</v>
      </c>
      <c r="P2382" s="62">
        <v>6.48</v>
      </c>
      <c r="Q2382" s="63">
        <v>6.48</v>
      </c>
      <c r="R2382" s="78">
        <v>6.0</v>
      </c>
      <c r="S2382" s="107">
        <v>6.300000000000001</v>
      </c>
      <c r="T2382" s="65">
        <f t="shared" si="93"/>
        <v>1.008</v>
      </c>
      <c r="U2382" s="65">
        <f t="shared" si="94"/>
        <v>7.308</v>
      </c>
      <c r="V2382" s="66">
        <f t="shared" si="122"/>
        <v>0.05</v>
      </c>
      <c r="W2382" s="67">
        <f t="shared" si="96"/>
        <v>5.985</v>
      </c>
      <c r="X2382" s="67">
        <f t="shared" si="112"/>
        <v>0.9576</v>
      </c>
      <c r="Y2382" s="67">
        <f t="shared" si="113"/>
        <v>6.9426</v>
      </c>
      <c r="Z2382" s="67">
        <f t="shared" si="99"/>
        <v>5.67</v>
      </c>
      <c r="AA2382" s="67">
        <f t="shared" si="114"/>
        <v>0.9072</v>
      </c>
      <c r="AB2382" s="67">
        <f t="shared" si="115"/>
        <v>6.5772</v>
      </c>
      <c r="AC2382" s="67">
        <f t="shared" si="102"/>
        <v>5.355</v>
      </c>
      <c r="AD2382" s="67">
        <f t="shared" si="116"/>
        <v>0.8568</v>
      </c>
      <c r="AE2382" s="67">
        <f t="shared" si="117"/>
        <v>6.2118</v>
      </c>
      <c r="AF2382" s="67">
        <f t="shared" si="105"/>
        <v>5.229</v>
      </c>
      <c r="AG2382" s="67">
        <f t="shared" si="118"/>
        <v>0.83664</v>
      </c>
      <c r="AH2382" s="67">
        <f t="shared" si="119"/>
        <v>6.06564</v>
      </c>
      <c r="AI2382" s="67">
        <f t="shared" si="108"/>
        <v>5.04</v>
      </c>
      <c r="AJ2382" s="68">
        <f t="shared" si="120"/>
        <v>0.8064</v>
      </c>
      <c r="AK2382" s="68">
        <f t="shared" si="121"/>
        <v>5.8464</v>
      </c>
      <c r="AL2382" s="70"/>
      <c r="AM2382" s="70"/>
      <c r="AN2382" s="71"/>
      <c r="AO2382" s="71"/>
      <c r="AP2382" s="71"/>
      <c r="AQ2382" s="71"/>
      <c r="AR2382" s="71"/>
      <c r="AS2382" s="71"/>
      <c r="AT2382" s="71"/>
      <c r="AU2382" s="71"/>
      <c r="AV2382" s="71"/>
      <c r="AW2382" s="71"/>
      <c r="AX2382" s="71"/>
      <c r="AY2382" s="71"/>
      <c r="AZ2382" s="71"/>
      <c r="BA2382" s="71"/>
      <c r="BB2382" s="71"/>
      <c r="BC2382" s="71"/>
      <c r="BD2382" s="71"/>
      <c r="BE2382" s="71"/>
      <c r="BF2382" s="71"/>
      <c r="BG2382" s="71"/>
      <c r="BH2382" s="71"/>
      <c r="BI2382" s="71"/>
      <c r="BJ2382" s="71"/>
      <c r="BK2382" s="71"/>
      <c r="BL2382" s="71"/>
      <c r="BM2382" s="71"/>
      <c r="BN2382" s="71"/>
      <c r="BO2382" s="71"/>
      <c r="BP2382" s="71"/>
      <c r="BQ2382" s="71"/>
      <c r="BR2382" s="71"/>
      <c r="BS2382" s="71"/>
      <c r="BT2382" s="71"/>
      <c r="BU2382" s="71"/>
      <c r="BV2382" s="71"/>
    </row>
    <row r="2383">
      <c r="A2383" s="53"/>
      <c r="B2383" s="53"/>
      <c r="C2383" s="53" t="s">
        <v>36</v>
      </c>
      <c r="D2383" s="85" t="s">
        <v>5859</v>
      </c>
      <c r="E2383" s="54" t="s">
        <v>38</v>
      </c>
      <c r="F2383" s="55" t="s">
        <v>39</v>
      </c>
      <c r="G2383" s="86" t="s">
        <v>5860</v>
      </c>
      <c r="H2383" s="55"/>
      <c r="I2383" s="54">
        <f t="shared" si="24"/>
        <v>0</v>
      </c>
      <c r="J2383" s="56"/>
      <c r="K2383" s="57"/>
      <c r="L2383" s="76"/>
      <c r="M2383" s="59"/>
      <c r="N2383" s="60"/>
      <c r="O2383" s="61">
        <v>9.6</v>
      </c>
      <c r="P2383" s="62">
        <v>10.368</v>
      </c>
      <c r="Q2383" s="63">
        <v>10.368</v>
      </c>
      <c r="R2383" s="78">
        <v>10.0</v>
      </c>
      <c r="S2383" s="107">
        <v>10.5</v>
      </c>
      <c r="T2383" s="65">
        <f t="shared" si="93"/>
        <v>1.68</v>
      </c>
      <c r="U2383" s="65">
        <f t="shared" si="94"/>
        <v>12.18</v>
      </c>
      <c r="V2383" s="66">
        <f t="shared" si="122"/>
        <v>0.05</v>
      </c>
      <c r="W2383" s="67">
        <f t="shared" si="96"/>
        <v>9.975</v>
      </c>
      <c r="X2383" s="67">
        <f t="shared" si="112"/>
        <v>1.596</v>
      </c>
      <c r="Y2383" s="67">
        <f t="shared" si="113"/>
        <v>11.571</v>
      </c>
      <c r="Z2383" s="67">
        <f t="shared" si="99"/>
        <v>9.45</v>
      </c>
      <c r="AA2383" s="67">
        <f t="shared" si="114"/>
        <v>1.512</v>
      </c>
      <c r="AB2383" s="67">
        <f t="shared" si="115"/>
        <v>10.962</v>
      </c>
      <c r="AC2383" s="67">
        <f t="shared" si="102"/>
        <v>8.925</v>
      </c>
      <c r="AD2383" s="67">
        <f t="shared" si="116"/>
        <v>1.428</v>
      </c>
      <c r="AE2383" s="67">
        <f t="shared" si="117"/>
        <v>10.353</v>
      </c>
      <c r="AF2383" s="67">
        <f t="shared" si="105"/>
        <v>8.715</v>
      </c>
      <c r="AG2383" s="67">
        <f t="shared" si="118"/>
        <v>1.3944</v>
      </c>
      <c r="AH2383" s="67">
        <f t="shared" si="119"/>
        <v>10.1094</v>
      </c>
      <c r="AI2383" s="67">
        <f t="shared" si="108"/>
        <v>8.4</v>
      </c>
      <c r="AJ2383" s="68">
        <f t="shared" si="120"/>
        <v>1.344</v>
      </c>
      <c r="AK2383" s="68">
        <f t="shared" si="121"/>
        <v>9.744</v>
      </c>
      <c r="AL2383" s="70"/>
      <c r="AM2383" s="70"/>
      <c r="AN2383" s="71"/>
      <c r="AO2383" s="71"/>
      <c r="AP2383" s="71"/>
      <c r="AQ2383" s="71"/>
      <c r="AR2383" s="71"/>
      <c r="AS2383" s="71"/>
      <c r="AT2383" s="71"/>
      <c r="AU2383" s="71"/>
      <c r="AV2383" s="71"/>
      <c r="AW2383" s="71"/>
      <c r="AX2383" s="71"/>
      <c r="AY2383" s="71"/>
      <c r="AZ2383" s="71"/>
      <c r="BA2383" s="71"/>
      <c r="BB2383" s="71"/>
      <c r="BC2383" s="71"/>
      <c r="BD2383" s="71"/>
      <c r="BE2383" s="71"/>
      <c r="BF2383" s="71"/>
      <c r="BG2383" s="71"/>
      <c r="BH2383" s="71"/>
      <c r="BI2383" s="71"/>
      <c r="BJ2383" s="71"/>
      <c r="BK2383" s="71"/>
      <c r="BL2383" s="71"/>
      <c r="BM2383" s="71"/>
      <c r="BN2383" s="71"/>
      <c r="BO2383" s="71"/>
      <c r="BP2383" s="71"/>
      <c r="BQ2383" s="71"/>
      <c r="BR2383" s="71"/>
      <c r="BS2383" s="71"/>
      <c r="BT2383" s="71"/>
      <c r="BU2383" s="71"/>
      <c r="BV2383" s="71"/>
    </row>
    <row r="2384">
      <c r="A2384" s="53"/>
      <c r="B2384" s="53"/>
      <c r="C2384" s="53" t="s">
        <v>36</v>
      </c>
      <c r="D2384" s="85" t="s">
        <v>5861</v>
      </c>
      <c r="E2384" s="54" t="s">
        <v>38</v>
      </c>
      <c r="F2384" s="55" t="s">
        <v>39</v>
      </c>
      <c r="G2384" s="86" t="s">
        <v>5862</v>
      </c>
      <c r="H2384" s="55"/>
      <c r="I2384" s="54">
        <f t="shared" si="24"/>
        <v>0</v>
      </c>
      <c r="J2384" s="56"/>
      <c r="K2384" s="57"/>
      <c r="L2384" s="76"/>
      <c r="M2384" s="59"/>
      <c r="N2384" s="60"/>
      <c r="O2384" s="61">
        <v>8.4</v>
      </c>
      <c r="P2384" s="62">
        <v>9.072000000000001</v>
      </c>
      <c r="Q2384" s="63">
        <v>9.072000000000001</v>
      </c>
      <c r="R2384" s="64">
        <v>10.0</v>
      </c>
      <c r="S2384" s="107">
        <v>10.5</v>
      </c>
      <c r="T2384" s="65">
        <f t="shared" si="93"/>
        <v>1.68</v>
      </c>
      <c r="U2384" s="65">
        <f t="shared" si="94"/>
        <v>12.18</v>
      </c>
      <c r="V2384" s="66">
        <f t="shared" si="122"/>
        <v>0.05</v>
      </c>
      <c r="W2384" s="67">
        <f t="shared" si="96"/>
        <v>9.975</v>
      </c>
      <c r="X2384" s="67">
        <f t="shared" si="112"/>
        <v>1.596</v>
      </c>
      <c r="Y2384" s="67">
        <f t="shared" si="113"/>
        <v>11.571</v>
      </c>
      <c r="Z2384" s="67">
        <f t="shared" si="99"/>
        <v>9.45</v>
      </c>
      <c r="AA2384" s="67">
        <f t="shared" si="114"/>
        <v>1.512</v>
      </c>
      <c r="AB2384" s="67">
        <f t="shared" si="115"/>
        <v>10.962</v>
      </c>
      <c r="AC2384" s="67">
        <f t="shared" si="102"/>
        <v>8.925</v>
      </c>
      <c r="AD2384" s="67">
        <f t="shared" si="116"/>
        <v>1.428</v>
      </c>
      <c r="AE2384" s="67">
        <f t="shared" si="117"/>
        <v>10.353</v>
      </c>
      <c r="AF2384" s="67">
        <f t="shared" si="105"/>
        <v>8.715</v>
      </c>
      <c r="AG2384" s="67">
        <f t="shared" si="118"/>
        <v>1.3944</v>
      </c>
      <c r="AH2384" s="67">
        <f t="shared" si="119"/>
        <v>10.1094</v>
      </c>
      <c r="AI2384" s="67">
        <f t="shared" si="108"/>
        <v>8.4</v>
      </c>
      <c r="AJ2384" s="68">
        <f t="shared" si="120"/>
        <v>1.344</v>
      </c>
      <c r="AK2384" s="68">
        <f t="shared" si="121"/>
        <v>9.744</v>
      </c>
      <c r="AL2384" s="70"/>
      <c r="AM2384" s="70"/>
      <c r="AN2384" s="71"/>
      <c r="AO2384" s="71"/>
      <c r="AP2384" s="71"/>
      <c r="AQ2384" s="71"/>
      <c r="AR2384" s="71"/>
      <c r="AS2384" s="71"/>
      <c r="AT2384" s="71"/>
      <c r="AU2384" s="71"/>
      <c r="AV2384" s="71"/>
      <c r="AW2384" s="71"/>
      <c r="AX2384" s="71"/>
      <c r="AY2384" s="71"/>
      <c r="AZ2384" s="71"/>
      <c r="BA2384" s="71"/>
      <c r="BB2384" s="71"/>
      <c r="BC2384" s="71"/>
      <c r="BD2384" s="71"/>
      <c r="BE2384" s="71"/>
      <c r="BF2384" s="71"/>
      <c r="BG2384" s="71"/>
      <c r="BH2384" s="71"/>
      <c r="BI2384" s="71"/>
      <c r="BJ2384" s="71"/>
      <c r="BK2384" s="71"/>
      <c r="BL2384" s="71"/>
      <c r="BM2384" s="71"/>
      <c r="BN2384" s="71"/>
      <c r="BO2384" s="71"/>
      <c r="BP2384" s="71"/>
      <c r="BQ2384" s="71"/>
      <c r="BR2384" s="71"/>
      <c r="BS2384" s="71"/>
      <c r="BT2384" s="71"/>
      <c r="BU2384" s="71"/>
      <c r="BV2384" s="71"/>
    </row>
    <row r="2385">
      <c r="A2385" s="53"/>
      <c r="B2385" s="53"/>
      <c r="C2385" s="53" t="s">
        <v>36</v>
      </c>
      <c r="D2385" s="85" t="s">
        <v>5863</v>
      </c>
      <c r="E2385" s="54" t="s">
        <v>38</v>
      </c>
      <c r="F2385" s="55" t="s">
        <v>39</v>
      </c>
      <c r="G2385" s="86" t="s">
        <v>5864</v>
      </c>
      <c r="H2385" s="55"/>
      <c r="I2385" s="54">
        <f t="shared" si="24"/>
        <v>0</v>
      </c>
      <c r="J2385" s="56"/>
      <c r="K2385" s="57"/>
      <c r="L2385" s="76"/>
      <c r="M2385" s="59"/>
      <c r="N2385" s="60"/>
      <c r="O2385" s="61">
        <v>15.36</v>
      </c>
      <c r="P2385" s="62">
        <v>16.5888</v>
      </c>
      <c r="Q2385" s="63">
        <v>16.5888</v>
      </c>
      <c r="R2385" s="64">
        <v>18.0</v>
      </c>
      <c r="S2385" s="107">
        <v>18.900000000000002</v>
      </c>
      <c r="T2385" s="65">
        <f t="shared" si="93"/>
        <v>3.024</v>
      </c>
      <c r="U2385" s="65">
        <f t="shared" si="94"/>
        <v>21.924</v>
      </c>
      <c r="V2385" s="66">
        <f t="shared" si="122"/>
        <v>0.05</v>
      </c>
      <c r="W2385" s="67">
        <f t="shared" si="96"/>
        <v>17.955</v>
      </c>
      <c r="X2385" s="67">
        <f t="shared" si="112"/>
        <v>2.8728</v>
      </c>
      <c r="Y2385" s="67">
        <f t="shared" si="113"/>
        <v>20.8278</v>
      </c>
      <c r="Z2385" s="67">
        <f t="shared" si="99"/>
        <v>17.01</v>
      </c>
      <c r="AA2385" s="67">
        <f t="shared" si="114"/>
        <v>2.7216</v>
      </c>
      <c r="AB2385" s="67">
        <f t="shared" si="115"/>
        <v>19.7316</v>
      </c>
      <c r="AC2385" s="67">
        <f t="shared" si="102"/>
        <v>16.065</v>
      </c>
      <c r="AD2385" s="67">
        <f t="shared" si="116"/>
        <v>2.5704</v>
      </c>
      <c r="AE2385" s="67">
        <f t="shared" si="117"/>
        <v>18.6354</v>
      </c>
      <c r="AF2385" s="67">
        <f t="shared" si="105"/>
        <v>15.687</v>
      </c>
      <c r="AG2385" s="67">
        <f t="shared" si="118"/>
        <v>2.50992</v>
      </c>
      <c r="AH2385" s="67">
        <f t="shared" si="119"/>
        <v>18.19692</v>
      </c>
      <c r="AI2385" s="67">
        <f t="shared" si="108"/>
        <v>15.12</v>
      </c>
      <c r="AJ2385" s="68">
        <f t="shared" si="120"/>
        <v>2.4192</v>
      </c>
      <c r="AK2385" s="68">
        <f t="shared" si="121"/>
        <v>17.5392</v>
      </c>
      <c r="AL2385" s="70"/>
      <c r="AM2385" s="70"/>
      <c r="AN2385" s="71"/>
      <c r="AO2385" s="71"/>
      <c r="AP2385" s="71"/>
      <c r="AQ2385" s="71"/>
      <c r="AR2385" s="71"/>
      <c r="AS2385" s="71"/>
      <c r="AT2385" s="71"/>
      <c r="AU2385" s="71"/>
      <c r="AV2385" s="71"/>
      <c r="AW2385" s="71"/>
      <c r="AX2385" s="71"/>
      <c r="AY2385" s="71"/>
      <c r="AZ2385" s="71"/>
      <c r="BA2385" s="71"/>
      <c r="BB2385" s="71"/>
      <c r="BC2385" s="71"/>
      <c r="BD2385" s="71"/>
      <c r="BE2385" s="71"/>
      <c r="BF2385" s="71"/>
      <c r="BG2385" s="71"/>
      <c r="BH2385" s="71"/>
      <c r="BI2385" s="71"/>
      <c r="BJ2385" s="71"/>
      <c r="BK2385" s="71"/>
      <c r="BL2385" s="71"/>
      <c r="BM2385" s="71"/>
      <c r="BN2385" s="71"/>
      <c r="BO2385" s="71"/>
      <c r="BP2385" s="71"/>
      <c r="BQ2385" s="71"/>
      <c r="BR2385" s="71"/>
      <c r="BS2385" s="71"/>
      <c r="BT2385" s="71"/>
      <c r="BU2385" s="71"/>
      <c r="BV2385" s="71"/>
    </row>
    <row r="2386">
      <c r="A2386" s="53"/>
      <c r="B2386" s="53"/>
      <c r="C2386" s="53" t="s">
        <v>12</v>
      </c>
      <c r="D2386" s="53" t="s">
        <v>5865</v>
      </c>
      <c r="E2386" s="54" t="s">
        <v>38</v>
      </c>
      <c r="F2386" s="55" t="s">
        <v>39</v>
      </c>
      <c r="G2386" s="55" t="s">
        <v>5866</v>
      </c>
      <c r="H2386" s="55" t="s">
        <v>5867</v>
      </c>
      <c r="I2386" s="54">
        <f t="shared" si="24"/>
        <v>37</v>
      </c>
      <c r="J2386" s="56"/>
      <c r="K2386" s="57"/>
      <c r="L2386" s="76"/>
      <c r="M2386" s="59"/>
      <c r="N2386" s="60"/>
      <c r="O2386" s="61">
        <v>3.2</v>
      </c>
      <c r="P2386" s="62">
        <v>3.4560000000000004</v>
      </c>
      <c r="Q2386" s="63">
        <v>3.4560000000000004</v>
      </c>
      <c r="R2386" s="78">
        <v>3.0</v>
      </c>
      <c r="S2386" s="111">
        <v>3.1500000000000004</v>
      </c>
      <c r="T2386" s="65">
        <f t="shared" si="93"/>
        <v>0.504</v>
      </c>
      <c r="U2386" s="65">
        <f t="shared" si="94"/>
        <v>3.654</v>
      </c>
      <c r="V2386" s="66">
        <f t="shared" si="122"/>
        <v>0.05</v>
      </c>
      <c r="W2386" s="67">
        <f t="shared" si="96"/>
        <v>2.9925</v>
      </c>
      <c r="X2386" s="67">
        <f t="shared" si="112"/>
        <v>0.4788</v>
      </c>
      <c r="Y2386" s="67">
        <f t="shared" si="113"/>
        <v>3.4713</v>
      </c>
      <c r="Z2386" s="67">
        <f t="shared" si="99"/>
        <v>2.835</v>
      </c>
      <c r="AA2386" s="67">
        <f t="shared" si="114"/>
        <v>0.4536</v>
      </c>
      <c r="AB2386" s="67">
        <f t="shared" si="115"/>
        <v>3.2886</v>
      </c>
      <c r="AC2386" s="67">
        <f t="shared" si="102"/>
        <v>2.6775</v>
      </c>
      <c r="AD2386" s="67">
        <f t="shared" si="116"/>
        <v>0.4284</v>
      </c>
      <c r="AE2386" s="67">
        <f t="shared" si="117"/>
        <v>3.1059</v>
      </c>
      <c r="AF2386" s="67">
        <f t="shared" si="105"/>
        <v>2.6145</v>
      </c>
      <c r="AG2386" s="67">
        <f t="shared" si="118"/>
        <v>0.41832</v>
      </c>
      <c r="AH2386" s="67">
        <f t="shared" si="119"/>
        <v>3.03282</v>
      </c>
      <c r="AI2386" s="67">
        <f t="shared" si="108"/>
        <v>2.52</v>
      </c>
      <c r="AJ2386" s="68">
        <f t="shared" si="120"/>
        <v>0.4032</v>
      </c>
      <c r="AK2386" s="68">
        <f t="shared" si="121"/>
        <v>2.9232</v>
      </c>
      <c r="AL2386" s="70"/>
      <c r="AM2386" s="70"/>
      <c r="AN2386" s="71"/>
      <c r="AO2386" s="71"/>
      <c r="AP2386" s="71"/>
      <c r="AQ2386" s="71"/>
      <c r="AR2386" s="71"/>
      <c r="AS2386" s="71"/>
      <c r="AT2386" s="71"/>
      <c r="AU2386" s="71"/>
      <c r="AV2386" s="71"/>
      <c r="AW2386" s="71"/>
      <c r="AX2386" s="71"/>
      <c r="AY2386" s="71"/>
      <c r="AZ2386" s="71"/>
      <c r="BA2386" s="71"/>
      <c r="BB2386" s="71"/>
      <c r="BC2386" s="71"/>
      <c r="BD2386" s="71"/>
      <c r="BE2386" s="71"/>
      <c r="BF2386" s="71"/>
      <c r="BG2386" s="71"/>
      <c r="BH2386" s="71"/>
      <c r="BI2386" s="71"/>
      <c r="BJ2386" s="71"/>
      <c r="BK2386" s="71"/>
      <c r="BL2386" s="71"/>
      <c r="BM2386" s="71"/>
      <c r="BN2386" s="71"/>
      <c r="BO2386" s="71"/>
      <c r="BP2386" s="71"/>
      <c r="BQ2386" s="71"/>
      <c r="BR2386" s="71"/>
      <c r="BS2386" s="71"/>
      <c r="BT2386" s="71"/>
      <c r="BU2386" s="71"/>
      <c r="BV2386" s="71"/>
    </row>
    <row r="2387">
      <c r="A2387" s="53"/>
      <c r="B2387" s="53"/>
      <c r="C2387" s="53" t="s">
        <v>36</v>
      </c>
      <c r="D2387" s="85" t="s">
        <v>5868</v>
      </c>
      <c r="E2387" s="54" t="s">
        <v>38</v>
      </c>
      <c r="F2387" s="55" t="s">
        <v>39</v>
      </c>
      <c r="G2387" s="86" t="s">
        <v>5869</v>
      </c>
      <c r="H2387" s="55"/>
      <c r="I2387" s="54">
        <f t="shared" si="24"/>
        <v>0</v>
      </c>
      <c r="J2387" s="56"/>
      <c r="K2387" s="57"/>
      <c r="L2387" s="76"/>
      <c r="M2387" s="59"/>
      <c r="N2387" s="60"/>
      <c r="O2387" s="61">
        <v>3.2</v>
      </c>
      <c r="P2387" s="62">
        <v>3.4560000000000004</v>
      </c>
      <c r="Q2387" s="63">
        <v>3.4560000000000004</v>
      </c>
      <c r="R2387" s="78">
        <v>3.0</v>
      </c>
      <c r="S2387" s="107">
        <v>3.1500000000000004</v>
      </c>
      <c r="T2387" s="65">
        <f t="shared" si="93"/>
        <v>0.504</v>
      </c>
      <c r="U2387" s="65">
        <f t="shared" si="94"/>
        <v>3.654</v>
      </c>
      <c r="V2387" s="66">
        <f t="shared" si="122"/>
        <v>0.05</v>
      </c>
      <c r="W2387" s="67">
        <f t="shared" si="96"/>
        <v>2.9925</v>
      </c>
      <c r="X2387" s="67">
        <f t="shared" si="112"/>
        <v>0.4788</v>
      </c>
      <c r="Y2387" s="67">
        <f t="shared" si="113"/>
        <v>3.4713</v>
      </c>
      <c r="Z2387" s="67">
        <f t="shared" si="99"/>
        <v>2.835</v>
      </c>
      <c r="AA2387" s="67">
        <f t="shared" si="114"/>
        <v>0.4536</v>
      </c>
      <c r="AB2387" s="67">
        <f t="shared" si="115"/>
        <v>3.2886</v>
      </c>
      <c r="AC2387" s="67">
        <f t="shared" si="102"/>
        <v>2.6775</v>
      </c>
      <c r="AD2387" s="67">
        <f t="shared" si="116"/>
        <v>0.4284</v>
      </c>
      <c r="AE2387" s="67">
        <f t="shared" si="117"/>
        <v>3.1059</v>
      </c>
      <c r="AF2387" s="67">
        <f t="shared" si="105"/>
        <v>2.6145</v>
      </c>
      <c r="AG2387" s="67">
        <f t="shared" si="118"/>
        <v>0.41832</v>
      </c>
      <c r="AH2387" s="67">
        <f t="shared" si="119"/>
        <v>3.03282</v>
      </c>
      <c r="AI2387" s="67">
        <f t="shared" si="108"/>
        <v>2.52</v>
      </c>
      <c r="AJ2387" s="68">
        <f t="shared" si="120"/>
        <v>0.4032</v>
      </c>
      <c r="AK2387" s="68">
        <f t="shared" si="121"/>
        <v>2.9232</v>
      </c>
      <c r="AL2387" s="70"/>
      <c r="AM2387" s="70"/>
      <c r="AN2387" s="71"/>
      <c r="AO2387" s="71"/>
      <c r="AP2387" s="71"/>
      <c r="AQ2387" s="71"/>
      <c r="AR2387" s="71"/>
      <c r="AS2387" s="71"/>
      <c r="AT2387" s="71"/>
      <c r="AU2387" s="71"/>
      <c r="AV2387" s="71"/>
      <c r="AW2387" s="71"/>
      <c r="AX2387" s="71"/>
      <c r="AY2387" s="71"/>
      <c r="AZ2387" s="71"/>
      <c r="BA2387" s="71"/>
      <c r="BB2387" s="71"/>
      <c r="BC2387" s="71"/>
      <c r="BD2387" s="71"/>
      <c r="BE2387" s="71"/>
      <c r="BF2387" s="71"/>
      <c r="BG2387" s="71"/>
      <c r="BH2387" s="71"/>
      <c r="BI2387" s="71"/>
      <c r="BJ2387" s="71"/>
      <c r="BK2387" s="71"/>
      <c r="BL2387" s="71"/>
      <c r="BM2387" s="71"/>
      <c r="BN2387" s="71"/>
      <c r="BO2387" s="71"/>
      <c r="BP2387" s="71"/>
      <c r="BQ2387" s="71"/>
      <c r="BR2387" s="71"/>
      <c r="BS2387" s="71"/>
      <c r="BT2387" s="71"/>
      <c r="BU2387" s="71"/>
      <c r="BV2387" s="71"/>
    </row>
    <row r="2388">
      <c r="A2388" s="53"/>
      <c r="B2388" s="53"/>
      <c r="C2388" s="53" t="s">
        <v>36</v>
      </c>
      <c r="D2388" s="85" t="s">
        <v>5870</v>
      </c>
      <c r="E2388" s="54" t="s">
        <v>38</v>
      </c>
      <c r="F2388" s="55" t="s">
        <v>39</v>
      </c>
      <c r="G2388" s="86" t="s">
        <v>5871</v>
      </c>
      <c r="H2388" s="55"/>
      <c r="I2388" s="54">
        <f t="shared" si="24"/>
        <v>0</v>
      </c>
      <c r="J2388" s="56"/>
      <c r="K2388" s="57"/>
      <c r="L2388" s="76"/>
      <c r="M2388" s="59"/>
      <c r="N2388" s="60"/>
      <c r="O2388" s="61">
        <v>3.2</v>
      </c>
      <c r="P2388" s="62">
        <v>3.4560000000000004</v>
      </c>
      <c r="Q2388" s="63">
        <v>3.4560000000000004</v>
      </c>
      <c r="R2388" s="78">
        <v>3.0</v>
      </c>
      <c r="S2388" s="107">
        <v>3.1500000000000004</v>
      </c>
      <c r="T2388" s="65">
        <f t="shared" si="93"/>
        <v>0.504</v>
      </c>
      <c r="U2388" s="65">
        <f t="shared" si="94"/>
        <v>3.654</v>
      </c>
      <c r="V2388" s="66">
        <f t="shared" si="122"/>
        <v>0.05</v>
      </c>
      <c r="W2388" s="67">
        <f t="shared" si="96"/>
        <v>2.9925</v>
      </c>
      <c r="X2388" s="67">
        <f t="shared" si="112"/>
        <v>0.4788</v>
      </c>
      <c r="Y2388" s="67">
        <f t="shared" si="113"/>
        <v>3.4713</v>
      </c>
      <c r="Z2388" s="67">
        <f t="shared" si="99"/>
        <v>2.835</v>
      </c>
      <c r="AA2388" s="67">
        <f t="shared" si="114"/>
        <v>0.4536</v>
      </c>
      <c r="AB2388" s="67">
        <f t="shared" si="115"/>
        <v>3.2886</v>
      </c>
      <c r="AC2388" s="67">
        <f t="shared" si="102"/>
        <v>2.6775</v>
      </c>
      <c r="AD2388" s="67">
        <f t="shared" si="116"/>
        <v>0.4284</v>
      </c>
      <c r="AE2388" s="67">
        <f t="shared" si="117"/>
        <v>3.1059</v>
      </c>
      <c r="AF2388" s="67">
        <f t="shared" si="105"/>
        <v>2.6145</v>
      </c>
      <c r="AG2388" s="67">
        <f t="shared" si="118"/>
        <v>0.41832</v>
      </c>
      <c r="AH2388" s="67">
        <f t="shared" si="119"/>
        <v>3.03282</v>
      </c>
      <c r="AI2388" s="67">
        <f t="shared" si="108"/>
        <v>2.52</v>
      </c>
      <c r="AJ2388" s="68">
        <f t="shared" si="120"/>
        <v>0.4032</v>
      </c>
      <c r="AK2388" s="68">
        <f t="shared" si="121"/>
        <v>2.9232</v>
      </c>
      <c r="AL2388" s="70"/>
      <c r="AM2388" s="70"/>
      <c r="AN2388" s="71"/>
      <c r="AO2388" s="71"/>
      <c r="AP2388" s="71"/>
      <c r="AQ2388" s="71"/>
      <c r="AR2388" s="71"/>
      <c r="AS2388" s="71"/>
      <c r="AT2388" s="71"/>
      <c r="AU2388" s="71"/>
      <c r="AV2388" s="71"/>
      <c r="AW2388" s="71"/>
      <c r="AX2388" s="71"/>
      <c r="AY2388" s="71"/>
      <c r="AZ2388" s="71"/>
      <c r="BA2388" s="71"/>
      <c r="BB2388" s="71"/>
      <c r="BC2388" s="71"/>
      <c r="BD2388" s="71"/>
      <c r="BE2388" s="71"/>
      <c r="BF2388" s="71"/>
      <c r="BG2388" s="71"/>
      <c r="BH2388" s="71"/>
      <c r="BI2388" s="71"/>
      <c r="BJ2388" s="71"/>
      <c r="BK2388" s="71"/>
      <c r="BL2388" s="71"/>
      <c r="BM2388" s="71"/>
      <c r="BN2388" s="71"/>
      <c r="BO2388" s="71"/>
      <c r="BP2388" s="71"/>
      <c r="BQ2388" s="71"/>
      <c r="BR2388" s="71"/>
      <c r="BS2388" s="71"/>
      <c r="BT2388" s="71"/>
      <c r="BU2388" s="71"/>
      <c r="BV2388" s="71"/>
    </row>
    <row r="2389">
      <c r="A2389" s="53"/>
      <c r="B2389" s="53"/>
      <c r="C2389" s="53" t="s">
        <v>36</v>
      </c>
      <c r="D2389" s="85" t="s">
        <v>5872</v>
      </c>
      <c r="E2389" s="54" t="s">
        <v>38</v>
      </c>
      <c r="F2389" s="55" t="s">
        <v>39</v>
      </c>
      <c r="G2389" s="86" t="s">
        <v>5873</v>
      </c>
      <c r="H2389" s="55"/>
      <c r="I2389" s="54">
        <f t="shared" si="24"/>
        <v>0</v>
      </c>
      <c r="J2389" s="56"/>
      <c r="K2389" s="57"/>
      <c r="L2389" s="76"/>
      <c r="M2389" s="59"/>
      <c r="N2389" s="60"/>
      <c r="O2389" s="61">
        <v>3.2</v>
      </c>
      <c r="P2389" s="62">
        <v>3.4560000000000004</v>
      </c>
      <c r="Q2389" s="63">
        <v>3.4560000000000004</v>
      </c>
      <c r="R2389" s="78">
        <v>3.0</v>
      </c>
      <c r="S2389" s="107">
        <v>3.1500000000000004</v>
      </c>
      <c r="T2389" s="65">
        <f t="shared" si="93"/>
        <v>0.504</v>
      </c>
      <c r="U2389" s="65">
        <f t="shared" si="94"/>
        <v>3.654</v>
      </c>
      <c r="V2389" s="66">
        <f t="shared" si="122"/>
        <v>0.05</v>
      </c>
      <c r="W2389" s="67">
        <f t="shared" si="96"/>
        <v>2.9925</v>
      </c>
      <c r="X2389" s="67">
        <f t="shared" si="112"/>
        <v>0.4788</v>
      </c>
      <c r="Y2389" s="67">
        <f t="shared" si="113"/>
        <v>3.4713</v>
      </c>
      <c r="Z2389" s="67">
        <f t="shared" si="99"/>
        <v>2.835</v>
      </c>
      <c r="AA2389" s="67">
        <f t="shared" si="114"/>
        <v>0.4536</v>
      </c>
      <c r="AB2389" s="67">
        <f t="shared" si="115"/>
        <v>3.2886</v>
      </c>
      <c r="AC2389" s="67">
        <f t="shared" si="102"/>
        <v>2.6775</v>
      </c>
      <c r="AD2389" s="67">
        <f t="shared" si="116"/>
        <v>0.4284</v>
      </c>
      <c r="AE2389" s="67">
        <f t="shared" si="117"/>
        <v>3.1059</v>
      </c>
      <c r="AF2389" s="67">
        <f t="shared" si="105"/>
        <v>2.6145</v>
      </c>
      <c r="AG2389" s="67">
        <f t="shared" si="118"/>
        <v>0.41832</v>
      </c>
      <c r="AH2389" s="67">
        <f t="shared" si="119"/>
        <v>3.03282</v>
      </c>
      <c r="AI2389" s="67">
        <f t="shared" si="108"/>
        <v>2.52</v>
      </c>
      <c r="AJ2389" s="68">
        <f t="shared" si="120"/>
        <v>0.4032</v>
      </c>
      <c r="AK2389" s="68">
        <f t="shared" si="121"/>
        <v>2.9232</v>
      </c>
      <c r="AL2389" s="70"/>
      <c r="AM2389" s="70"/>
      <c r="AN2389" s="71"/>
      <c r="AO2389" s="71"/>
      <c r="AP2389" s="71"/>
      <c r="AQ2389" s="71"/>
      <c r="AR2389" s="71"/>
      <c r="AS2389" s="71"/>
      <c r="AT2389" s="71"/>
      <c r="AU2389" s="71"/>
      <c r="AV2389" s="71"/>
      <c r="AW2389" s="71"/>
      <c r="AX2389" s="71"/>
      <c r="AY2389" s="71"/>
      <c r="AZ2389" s="71"/>
      <c r="BA2389" s="71"/>
      <c r="BB2389" s="71"/>
      <c r="BC2389" s="71"/>
      <c r="BD2389" s="71"/>
      <c r="BE2389" s="71"/>
      <c r="BF2389" s="71"/>
      <c r="BG2389" s="71"/>
      <c r="BH2389" s="71"/>
      <c r="BI2389" s="71"/>
      <c r="BJ2389" s="71"/>
      <c r="BK2389" s="71"/>
      <c r="BL2389" s="71"/>
      <c r="BM2389" s="71"/>
      <c r="BN2389" s="71"/>
      <c r="BO2389" s="71"/>
      <c r="BP2389" s="71"/>
      <c r="BQ2389" s="71"/>
      <c r="BR2389" s="71"/>
      <c r="BS2389" s="71"/>
      <c r="BT2389" s="71"/>
      <c r="BU2389" s="71"/>
      <c r="BV2389" s="71"/>
    </row>
    <row r="2390">
      <c r="A2390" s="53"/>
      <c r="B2390" s="53"/>
      <c r="C2390" s="53" t="s">
        <v>36</v>
      </c>
      <c r="D2390" s="85" t="s">
        <v>5874</v>
      </c>
      <c r="E2390" s="54" t="s">
        <v>38</v>
      </c>
      <c r="F2390" s="55" t="s">
        <v>39</v>
      </c>
      <c r="G2390" s="86" t="s">
        <v>5875</v>
      </c>
      <c r="H2390" s="55"/>
      <c r="I2390" s="54">
        <f t="shared" si="24"/>
        <v>0</v>
      </c>
      <c r="J2390" s="56"/>
      <c r="K2390" s="57"/>
      <c r="L2390" s="76"/>
      <c r="M2390" s="59"/>
      <c r="N2390" s="60"/>
      <c r="O2390" s="61">
        <v>6.0</v>
      </c>
      <c r="P2390" s="62">
        <v>6.48</v>
      </c>
      <c r="Q2390" s="63">
        <v>6.48</v>
      </c>
      <c r="R2390" s="78">
        <v>6.0</v>
      </c>
      <c r="S2390" s="107">
        <v>6.300000000000001</v>
      </c>
      <c r="T2390" s="65">
        <f t="shared" si="93"/>
        <v>1.008</v>
      </c>
      <c r="U2390" s="65">
        <f t="shared" si="94"/>
        <v>7.308</v>
      </c>
      <c r="V2390" s="66">
        <f t="shared" si="122"/>
        <v>0.05</v>
      </c>
      <c r="W2390" s="67">
        <f t="shared" si="96"/>
        <v>5.985</v>
      </c>
      <c r="X2390" s="67">
        <f t="shared" si="112"/>
        <v>0.9576</v>
      </c>
      <c r="Y2390" s="67">
        <f t="shared" si="113"/>
        <v>6.9426</v>
      </c>
      <c r="Z2390" s="67">
        <f t="shared" si="99"/>
        <v>5.67</v>
      </c>
      <c r="AA2390" s="67">
        <f t="shared" si="114"/>
        <v>0.9072</v>
      </c>
      <c r="AB2390" s="67">
        <f t="shared" si="115"/>
        <v>6.5772</v>
      </c>
      <c r="AC2390" s="67">
        <f t="shared" si="102"/>
        <v>5.355</v>
      </c>
      <c r="AD2390" s="67">
        <f t="shared" si="116"/>
        <v>0.8568</v>
      </c>
      <c r="AE2390" s="67">
        <f t="shared" si="117"/>
        <v>6.2118</v>
      </c>
      <c r="AF2390" s="67">
        <f t="shared" si="105"/>
        <v>5.229</v>
      </c>
      <c r="AG2390" s="67">
        <f t="shared" si="118"/>
        <v>0.83664</v>
      </c>
      <c r="AH2390" s="67">
        <f t="shared" si="119"/>
        <v>6.06564</v>
      </c>
      <c r="AI2390" s="67">
        <f t="shared" si="108"/>
        <v>5.04</v>
      </c>
      <c r="AJ2390" s="68">
        <f t="shared" si="120"/>
        <v>0.8064</v>
      </c>
      <c r="AK2390" s="68">
        <f t="shared" si="121"/>
        <v>5.8464</v>
      </c>
      <c r="AL2390" s="70"/>
      <c r="AM2390" s="70"/>
      <c r="AN2390" s="71"/>
      <c r="AO2390" s="71"/>
      <c r="AP2390" s="71"/>
      <c r="AQ2390" s="71"/>
      <c r="AR2390" s="71"/>
      <c r="AS2390" s="71"/>
      <c r="AT2390" s="71"/>
      <c r="AU2390" s="71"/>
      <c r="AV2390" s="71"/>
      <c r="AW2390" s="71"/>
      <c r="AX2390" s="71"/>
      <c r="AY2390" s="71"/>
      <c r="AZ2390" s="71"/>
      <c r="BA2390" s="71"/>
      <c r="BB2390" s="71"/>
      <c r="BC2390" s="71"/>
      <c r="BD2390" s="71"/>
      <c r="BE2390" s="71"/>
      <c r="BF2390" s="71"/>
      <c r="BG2390" s="71"/>
      <c r="BH2390" s="71"/>
      <c r="BI2390" s="71"/>
      <c r="BJ2390" s="71"/>
      <c r="BK2390" s="71"/>
      <c r="BL2390" s="71"/>
      <c r="BM2390" s="71"/>
      <c r="BN2390" s="71"/>
      <c r="BO2390" s="71"/>
      <c r="BP2390" s="71"/>
      <c r="BQ2390" s="71"/>
      <c r="BR2390" s="71"/>
      <c r="BS2390" s="71"/>
      <c r="BT2390" s="71"/>
      <c r="BU2390" s="71"/>
      <c r="BV2390" s="71"/>
    </row>
    <row r="2391">
      <c r="A2391" s="53">
        <v>1.0</v>
      </c>
      <c r="B2391" s="53"/>
      <c r="C2391" s="120" t="s">
        <v>53</v>
      </c>
      <c r="D2391" s="74" t="s">
        <v>5876</v>
      </c>
      <c r="E2391" s="54" t="s">
        <v>38</v>
      </c>
      <c r="F2391" s="54" t="s">
        <v>42</v>
      </c>
      <c r="G2391" s="88" t="s">
        <v>5877</v>
      </c>
      <c r="H2391" s="54" t="s">
        <v>5878</v>
      </c>
      <c r="I2391" s="54">
        <f t="shared" si="24"/>
        <v>24</v>
      </c>
      <c r="J2391" s="56"/>
      <c r="K2391" s="57"/>
      <c r="L2391" s="87"/>
      <c r="M2391" s="59"/>
      <c r="N2391" s="60">
        <v>31.0</v>
      </c>
      <c r="O2391" s="61">
        <v>33.0</v>
      </c>
      <c r="P2391" s="62">
        <v>35.64</v>
      </c>
      <c r="Q2391" s="63">
        <v>35.64</v>
      </c>
      <c r="R2391" s="64">
        <v>40.0</v>
      </c>
      <c r="S2391" s="111">
        <v>42.0</v>
      </c>
      <c r="T2391" s="65">
        <f t="shared" si="93"/>
        <v>6.72</v>
      </c>
      <c r="U2391" s="65">
        <f t="shared" si="94"/>
        <v>48.72</v>
      </c>
      <c r="V2391" s="66">
        <f t="shared" si="122"/>
        <v>0.05</v>
      </c>
      <c r="W2391" s="67">
        <f t="shared" si="96"/>
        <v>39.9</v>
      </c>
      <c r="X2391" s="67">
        <f t="shared" si="112"/>
        <v>6.384</v>
      </c>
      <c r="Y2391" s="67">
        <f t="shared" si="113"/>
        <v>46.284</v>
      </c>
      <c r="Z2391" s="67">
        <f t="shared" si="99"/>
        <v>37.8</v>
      </c>
      <c r="AA2391" s="67">
        <f t="shared" si="114"/>
        <v>6.048</v>
      </c>
      <c r="AB2391" s="67">
        <f t="shared" si="115"/>
        <v>43.848</v>
      </c>
      <c r="AC2391" s="67">
        <f t="shared" si="102"/>
        <v>35.7</v>
      </c>
      <c r="AD2391" s="67">
        <f t="shared" si="116"/>
        <v>5.712</v>
      </c>
      <c r="AE2391" s="67">
        <f t="shared" si="117"/>
        <v>41.412</v>
      </c>
      <c r="AF2391" s="67">
        <f t="shared" si="105"/>
        <v>34.86</v>
      </c>
      <c r="AG2391" s="67">
        <f t="shared" si="118"/>
        <v>5.5776</v>
      </c>
      <c r="AH2391" s="67">
        <f t="shared" si="119"/>
        <v>40.4376</v>
      </c>
      <c r="AI2391" s="67">
        <f t="shared" si="108"/>
        <v>33.6</v>
      </c>
      <c r="AJ2391" s="68">
        <f t="shared" si="120"/>
        <v>5.376</v>
      </c>
      <c r="AK2391" s="68">
        <f t="shared" si="121"/>
        <v>38.976</v>
      </c>
      <c r="AL2391" s="70"/>
      <c r="AM2391" s="70"/>
      <c r="AN2391" s="71"/>
      <c r="AO2391" s="71"/>
      <c r="AP2391" s="71"/>
      <c r="AQ2391" s="71"/>
      <c r="AR2391" s="71"/>
      <c r="AS2391" s="71"/>
      <c r="AT2391" s="71"/>
      <c r="AU2391" s="71"/>
      <c r="AV2391" s="71"/>
      <c r="AW2391" s="71"/>
      <c r="AX2391" s="71"/>
      <c r="AY2391" s="71"/>
      <c r="AZ2391" s="71"/>
      <c r="BA2391" s="71"/>
      <c r="BB2391" s="71"/>
      <c r="BC2391" s="71"/>
      <c r="BD2391" s="71"/>
      <c r="BE2391" s="71"/>
      <c r="BF2391" s="71"/>
      <c r="BG2391" s="71"/>
      <c r="BH2391" s="71"/>
      <c r="BI2391" s="71"/>
      <c r="BJ2391" s="71"/>
      <c r="BK2391" s="71"/>
      <c r="BL2391" s="71"/>
      <c r="BM2391" s="71"/>
      <c r="BN2391" s="71"/>
      <c r="BO2391" s="71"/>
      <c r="BP2391" s="71"/>
      <c r="BQ2391" s="71"/>
      <c r="BR2391" s="71"/>
      <c r="BS2391" s="71"/>
      <c r="BT2391" s="71"/>
      <c r="BU2391" s="71"/>
      <c r="BV2391" s="71"/>
    </row>
    <row r="2392">
      <c r="A2392" s="53">
        <v>1.0</v>
      </c>
      <c r="B2392" s="53"/>
      <c r="C2392" s="120" t="s">
        <v>53</v>
      </c>
      <c r="D2392" s="74" t="s">
        <v>5879</v>
      </c>
      <c r="E2392" s="54" t="s">
        <v>38</v>
      </c>
      <c r="F2392" s="54" t="s">
        <v>42</v>
      </c>
      <c r="G2392" s="88" t="s">
        <v>5880</v>
      </c>
      <c r="H2392" s="54" t="s">
        <v>5880</v>
      </c>
      <c r="I2392" s="54">
        <f t="shared" si="24"/>
        <v>28</v>
      </c>
      <c r="J2392" s="56"/>
      <c r="K2392" s="57"/>
      <c r="L2392" s="87"/>
      <c r="M2392" s="59"/>
      <c r="N2392" s="60">
        <v>24.0</v>
      </c>
      <c r="O2392" s="61">
        <v>25.0</v>
      </c>
      <c r="P2392" s="62">
        <v>27.0</v>
      </c>
      <c r="Q2392" s="63">
        <v>27.0</v>
      </c>
      <c r="R2392" s="64">
        <v>31.0</v>
      </c>
      <c r="S2392" s="111">
        <v>33.0</v>
      </c>
      <c r="T2392" s="65">
        <f t="shared" si="93"/>
        <v>5.28</v>
      </c>
      <c r="U2392" s="65">
        <f t="shared" si="94"/>
        <v>38.28</v>
      </c>
      <c r="V2392" s="66">
        <f t="shared" si="122"/>
        <v>0.06451612903</v>
      </c>
      <c r="W2392" s="67">
        <f t="shared" si="96"/>
        <v>31.35</v>
      </c>
      <c r="X2392" s="67">
        <f t="shared" si="112"/>
        <v>5.016</v>
      </c>
      <c r="Y2392" s="67">
        <f t="shared" si="113"/>
        <v>36.366</v>
      </c>
      <c r="Z2392" s="67">
        <f t="shared" si="99"/>
        <v>29.7</v>
      </c>
      <c r="AA2392" s="67">
        <f t="shared" si="114"/>
        <v>4.752</v>
      </c>
      <c r="AB2392" s="67">
        <f t="shared" si="115"/>
        <v>34.452</v>
      </c>
      <c r="AC2392" s="67">
        <f t="shared" si="102"/>
        <v>28.05</v>
      </c>
      <c r="AD2392" s="67">
        <f t="shared" si="116"/>
        <v>4.488</v>
      </c>
      <c r="AE2392" s="67">
        <f t="shared" si="117"/>
        <v>32.538</v>
      </c>
      <c r="AF2392" s="67">
        <f t="shared" si="105"/>
        <v>27.39</v>
      </c>
      <c r="AG2392" s="67">
        <f t="shared" si="118"/>
        <v>4.3824</v>
      </c>
      <c r="AH2392" s="67">
        <f t="shared" si="119"/>
        <v>31.7724</v>
      </c>
      <c r="AI2392" s="67">
        <f t="shared" si="108"/>
        <v>26.4</v>
      </c>
      <c r="AJ2392" s="68">
        <f t="shared" si="120"/>
        <v>4.224</v>
      </c>
      <c r="AK2392" s="68">
        <f t="shared" si="121"/>
        <v>30.624</v>
      </c>
      <c r="AL2392" s="70"/>
      <c r="AM2392" s="70"/>
      <c r="AN2392" s="71"/>
      <c r="AO2392" s="71"/>
      <c r="AP2392" s="71"/>
      <c r="AQ2392" s="71"/>
      <c r="AR2392" s="71"/>
      <c r="AS2392" s="71"/>
      <c r="AT2392" s="71"/>
      <c r="AU2392" s="71"/>
      <c r="AV2392" s="71"/>
      <c r="AW2392" s="71"/>
      <c r="AX2392" s="71"/>
      <c r="AY2392" s="71"/>
      <c r="AZ2392" s="71"/>
      <c r="BA2392" s="71"/>
      <c r="BB2392" s="71"/>
      <c r="BC2392" s="71"/>
      <c r="BD2392" s="71"/>
      <c r="BE2392" s="71"/>
      <c r="BF2392" s="71"/>
      <c r="BG2392" s="71"/>
      <c r="BH2392" s="71"/>
      <c r="BI2392" s="71"/>
      <c r="BJ2392" s="71"/>
      <c r="BK2392" s="71"/>
      <c r="BL2392" s="71"/>
      <c r="BM2392" s="71"/>
      <c r="BN2392" s="71"/>
      <c r="BO2392" s="71"/>
      <c r="BP2392" s="71"/>
      <c r="BQ2392" s="71"/>
      <c r="BR2392" s="71"/>
      <c r="BS2392" s="71"/>
      <c r="BT2392" s="71"/>
      <c r="BU2392" s="71"/>
      <c r="BV2392" s="71"/>
    </row>
    <row r="2393">
      <c r="A2393" s="53"/>
      <c r="B2393" s="53"/>
      <c r="C2393" s="73" t="s">
        <v>12</v>
      </c>
      <c r="D2393" s="53" t="s">
        <v>5881</v>
      </c>
      <c r="E2393" s="54" t="s">
        <v>38</v>
      </c>
      <c r="F2393" s="54" t="s">
        <v>42</v>
      </c>
      <c r="G2393" s="55" t="s">
        <v>5882</v>
      </c>
      <c r="H2393" s="55" t="s">
        <v>5882</v>
      </c>
      <c r="I2393" s="54">
        <f t="shared" si="24"/>
        <v>35</v>
      </c>
      <c r="J2393" s="56"/>
      <c r="K2393" s="57"/>
      <c r="L2393" s="87"/>
      <c r="M2393" s="59"/>
      <c r="N2393" s="60"/>
      <c r="O2393" s="90"/>
      <c r="P2393" s="62">
        <v>44.0</v>
      </c>
      <c r="Q2393" s="63">
        <v>44.0</v>
      </c>
      <c r="R2393" s="64">
        <v>47.0</v>
      </c>
      <c r="S2393" s="111">
        <v>49.0</v>
      </c>
      <c r="T2393" s="65">
        <f t="shared" si="93"/>
        <v>7.84</v>
      </c>
      <c r="U2393" s="65">
        <f t="shared" si="94"/>
        <v>56.84</v>
      </c>
      <c r="V2393" s="66">
        <f t="shared" si="122"/>
        <v>0.04255319149</v>
      </c>
      <c r="W2393" s="67">
        <f t="shared" si="96"/>
        <v>46.55</v>
      </c>
      <c r="X2393" s="67">
        <f t="shared" si="112"/>
        <v>7.448</v>
      </c>
      <c r="Y2393" s="67">
        <f t="shared" si="113"/>
        <v>53.998</v>
      </c>
      <c r="Z2393" s="67">
        <f t="shared" si="99"/>
        <v>44.1</v>
      </c>
      <c r="AA2393" s="67">
        <f t="shared" si="114"/>
        <v>7.056</v>
      </c>
      <c r="AB2393" s="67">
        <f t="shared" si="115"/>
        <v>51.156</v>
      </c>
      <c r="AC2393" s="67">
        <f t="shared" si="102"/>
        <v>41.65</v>
      </c>
      <c r="AD2393" s="67">
        <f t="shared" si="116"/>
        <v>6.664</v>
      </c>
      <c r="AE2393" s="67">
        <f t="shared" si="117"/>
        <v>48.314</v>
      </c>
      <c r="AF2393" s="67">
        <f t="shared" si="105"/>
        <v>40.67</v>
      </c>
      <c r="AG2393" s="67">
        <f t="shared" si="118"/>
        <v>6.5072</v>
      </c>
      <c r="AH2393" s="67">
        <f t="shared" si="119"/>
        <v>47.1772</v>
      </c>
      <c r="AI2393" s="67">
        <f t="shared" si="108"/>
        <v>39.2</v>
      </c>
      <c r="AJ2393" s="68">
        <f t="shared" si="120"/>
        <v>6.272</v>
      </c>
      <c r="AK2393" s="68">
        <f t="shared" si="121"/>
        <v>45.472</v>
      </c>
      <c r="AL2393" s="70"/>
      <c r="AM2393" s="70"/>
      <c r="AN2393" s="71"/>
      <c r="AO2393" s="71"/>
      <c r="AP2393" s="71"/>
      <c r="AQ2393" s="71"/>
      <c r="AR2393" s="71"/>
      <c r="AS2393" s="71"/>
      <c r="AT2393" s="71"/>
      <c r="AU2393" s="71"/>
      <c r="AV2393" s="71"/>
      <c r="AW2393" s="71"/>
      <c r="AX2393" s="71"/>
      <c r="AY2393" s="71"/>
      <c r="AZ2393" s="71"/>
      <c r="BA2393" s="71"/>
      <c r="BB2393" s="71"/>
      <c r="BC2393" s="71"/>
      <c r="BD2393" s="71"/>
      <c r="BE2393" s="71"/>
      <c r="BF2393" s="71"/>
      <c r="BG2393" s="71"/>
      <c r="BH2393" s="71"/>
      <c r="BI2393" s="71"/>
      <c r="BJ2393" s="71"/>
      <c r="BK2393" s="71"/>
      <c r="BL2393" s="71"/>
      <c r="BM2393" s="71"/>
      <c r="BN2393" s="71"/>
      <c r="BO2393" s="71"/>
      <c r="BP2393" s="71"/>
      <c r="BQ2393" s="71"/>
      <c r="BR2393" s="71"/>
      <c r="BS2393" s="71"/>
      <c r="BT2393" s="71"/>
      <c r="BU2393" s="71"/>
      <c r="BV2393" s="71"/>
    </row>
    <row r="2394">
      <c r="A2394" s="53">
        <v>1.0</v>
      </c>
      <c r="B2394" s="53"/>
      <c r="C2394" s="120" t="s">
        <v>12</v>
      </c>
      <c r="D2394" s="74" t="s">
        <v>5883</v>
      </c>
      <c r="E2394" s="54" t="s">
        <v>38</v>
      </c>
      <c r="F2394" s="54" t="s">
        <v>42</v>
      </c>
      <c r="G2394" s="54" t="s">
        <v>5884</v>
      </c>
      <c r="H2394" s="54" t="s">
        <v>5885</v>
      </c>
      <c r="I2394" s="54">
        <f t="shared" si="24"/>
        <v>40</v>
      </c>
      <c r="J2394" s="56"/>
      <c r="K2394" s="57"/>
      <c r="L2394" s="87"/>
      <c r="M2394" s="59"/>
      <c r="N2394" s="60">
        <v>3.0</v>
      </c>
      <c r="O2394" s="61">
        <v>3.0</v>
      </c>
      <c r="P2394" s="62">
        <v>3.24</v>
      </c>
      <c r="Q2394" s="63">
        <v>3.24</v>
      </c>
      <c r="R2394" s="78">
        <v>4.0</v>
      </c>
      <c r="S2394" s="111">
        <v>4.2</v>
      </c>
      <c r="T2394" s="65">
        <f t="shared" si="93"/>
        <v>0.672</v>
      </c>
      <c r="U2394" s="65">
        <f t="shared" si="94"/>
        <v>4.872</v>
      </c>
      <c r="V2394" s="66">
        <f t="shared" si="122"/>
        <v>0.05</v>
      </c>
      <c r="W2394" s="67">
        <f t="shared" si="96"/>
        <v>3.99</v>
      </c>
      <c r="X2394" s="67">
        <f t="shared" si="112"/>
        <v>0.6384</v>
      </c>
      <c r="Y2394" s="67">
        <f t="shared" si="113"/>
        <v>4.6284</v>
      </c>
      <c r="Z2394" s="67">
        <f t="shared" si="99"/>
        <v>3.78</v>
      </c>
      <c r="AA2394" s="67">
        <f t="shared" si="114"/>
        <v>0.6048</v>
      </c>
      <c r="AB2394" s="67">
        <f t="shared" si="115"/>
        <v>4.3848</v>
      </c>
      <c r="AC2394" s="67">
        <f t="shared" si="102"/>
        <v>3.57</v>
      </c>
      <c r="AD2394" s="67">
        <f t="shared" si="116"/>
        <v>0.5712</v>
      </c>
      <c r="AE2394" s="67">
        <f t="shared" si="117"/>
        <v>4.1412</v>
      </c>
      <c r="AF2394" s="67">
        <f t="shared" si="105"/>
        <v>3.486</v>
      </c>
      <c r="AG2394" s="67">
        <f t="shared" si="118"/>
        <v>0.55776</v>
      </c>
      <c r="AH2394" s="67">
        <f t="shared" si="119"/>
        <v>4.04376</v>
      </c>
      <c r="AI2394" s="67">
        <f t="shared" si="108"/>
        <v>3.36</v>
      </c>
      <c r="AJ2394" s="68">
        <f t="shared" si="120"/>
        <v>0.5376</v>
      </c>
      <c r="AK2394" s="68">
        <f t="shared" si="121"/>
        <v>3.8976</v>
      </c>
      <c r="AL2394" s="70"/>
      <c r="AM2394" s="70"/>
      <c r="AN2394" s="71"/>
      <c r="AO2394" s="71"/>
      <c r="AP2394" s="71"/>
      <c r="AQ2394" s="71"/>
      <c r="AR2394" s="71"/>
      <c r="AS2394" s="71"/>
      <c r="AT2394" s="71"/>
      <c r="AU2394" s="71"/>
      <c r="AV2394" s="71"/>
      <c r="AW2394" s="71"/>
      <c r="AX2394" s="71"/>
      <c r="AY2394" s="71"/>
      <c r="AZ2394" s="71"/>
      <c r="BA2394" s="71"/>
      <c r="BB2394" s="71"/>
      <c r="BC2394" s="71"/>
      <c r="BD2394" s="71"/>
      <c r="BE2394" s="71"/>
      <c r="BF2394" s="71"/>
      <c r="BG2394" s="71"/>
      <c r="BH2394" s="71"/>
      <c r="BI2394" s="71"/>
      <c r="BJ2394" s="71"/>
      <c r="BK2394" s="71"/>
      <c r="BL2394" s="71"/>
      <c r="BM2394" s="71"/>
      <c r="BN2394" s="71"/>
      <c r="BO2394" s="71"/>
      <c r="BP2394" s="71"/>
      <c r="BQ2394" s="71"/>
      <c r="BR2394" s="71"/>
      <c r="BS2394" s="71"/>
      <c r="BT2394" s="71"/>
      <c r="BU2394" s="71"/>
      <c r="BV2394" s="71"/>
    </row>
    <row r="2395">
      <c r="A2395" s="53">
        <v>1.0</v>
      </c>
      <c r="B2395" s="53"/>
      <c r="C2395" s="120" t="s">
        <v>12</v>
      </c>
      <c r="D2395" s="74" t="s">
        <v>5886</v>
      </c>
      <c r="E2395" s="54" t="s">
        <v>38</v>
      </c>
      <c r="F2395" s="54" t="s">
        <v>42</v>
      </c>
      <c r="G2395" s="88" t="s">
        <v>5887</v>
      </c>
      <c r="H2395" s="54" t="s">
        <v>5888</v>
      </c>
      <c r="I2395" s="54">
        <f t="shared" si="24"/>
        <v>40</v>
      </c>
      <c r="J2395" s="56"/>
      <c r="K2395" s="57"/>
      <c r="L2395" s="87"/>
      <c r="M2395" s="59"/>
      <c r="N2395" s="60">
        <v>3.0</v>
      </c>
      <c r="O2395" s="61">
        <v>3.0</v>
      </c>
      <c r="P2395" s="62">
        <v>3.24</v>
      </c>
      <c r="Q2395" s="63">
        <v>3.24</v>
      </c>
      <c r="R2395" s="78">
        <v>4.0</v>
      </c>
      <c r="S2395" s="111">
        <v>4.2</v>
      </c>
      <c r="T2395" s="65">
        <f t="shared" si="93"/>
        <v>0.672</v>
      </c>
      <c r="U2395" s="65">
        <f t="shared" si="94"/>
        <v>4.872</v>
      </c>
      <c r="V2395" s="66">
        <f t="shared" si="122"/>
        <v>0.05</v>
      </c>
      <c r="W2395" s="67">
        <f t="shared" si="96"/>
        <v>3.99</v>
      </c>
      <c r="X2395" s="67">
        <f t="shared" si="112"/>
        <v>0.6384</v>
      </c>
      <c r="Y2395" s="67">
        <f t="shared" si="113"/>
        <v>4.6284</v>
      </c>
      <c r="Z2395" s="67">
        <f t="shared" si="99"/>
        <v>3.78</v>
      </c>
      <c r="AA2395" s="67">
        <f t="shared" si="114"/>
        <v>0.6048</v>
      </c>
      <c r="AB2395" s="67">
        <f t="shared" si="115"/>
        <v>4.3848</v>
      </c>
      <c r="AC2395" s="67">
        <f t="shared" si="102"/>
        <v>3.57</v>
      </c>
      <c r="AD2395" s="67">
        <f t="shared" si="116"/>
        <v>0.5712</v>
      </c>
      <c r="AE2395" s="67">
        <f t="shared" si="117"/>
        <v>4.1412</v>
      </c>
      <c r="AF2395" s="67">
        <f t="shared" si="105"/>
        <v>3.486</v>
      </c>
      <c r="AG2395" s="67">
        <f t="shared" si="118"/>
        <v>0.55776</v>
      </c>
      <c r="AH2395" s="67">
        <f t="shared" si="119"/>
        <v>4.04376</v>
      </c>
      <c r="AI2395" s="67">
        <f t="shared" si="108"/>
        <v>3.36</v>
      </c>
      <c r="AJ2395" s="68">
        <f t="shared" si="120"/>
        <v>0.5376</v>
      </c>
      <c r="AK2395" s="68">
        <f t="shared" si="121"/>
        <v>3.8976</v>
      </c>
      <c r="AL2395" s="70"/>
      <c r="AM2395" s="70"/>
      <c r="AN2395" s="71"/>
      <c r="AO2395" s="71"/>
      <c r="AP2395" s="71"/>
      <c r="AQ2395" s="71"/>
      <c r="AR2395" s="71"/>
      <c r="AS2395" s="71"/>
      <c r="AT2395" s="71"/>
      <c r="AU2395" s="71"/>
      <c r="AV2395" s="71"/>
      <c r="AW2395" s="71"/>
      <c r="AX2395" s="71"/>
      <c r="AY2395" s="71"/>
      <c r="AZ2395" s="71"/>
      <c r="BA2395" s="71"/>
      <c r="BB2395" s="71"/>
      <c r="BC2395" s="71"/>
      <c r="BD2395" s="71"/>
      <c r="BE2395" s="71"/>
      <c r="BF2395" s="71"/>
      <c r="BG2395" s="71"/>
      <c r="BH2395" s="71"/>
      <c r="BI2395" s="71"/>
      <c r="BJ2395" s="71"/>
      <c r="BK2395" s="71"/>
      <c r="BL2395" s="71"/>
      <c r="BM2395" s="71"/>
      <c r="BN2395" s="71"/>
      <c r="BO2395" s="71"/>
      <c r="BP2395" s="71"/>
      <c r="BQ2395" s="71"/>
      <c r="BR2395" s="71"/>
      <c r="BS2395" s="71"/>
      <c r="BT2395" s="71"/>
      <c r="BU2395" s="71"/>
      <c r="BV2395" s="71"/>
    </row>
    <row r="2396">
      <c r="A2396" s="53"/>
      <c r="B2396" s="53"/>
      <c r="C2396" s="53" t="s">
        <v>36</v>
      </c>
      <c r="D2396" s="85" t="s">
        <v>5889</v>
      </c>
      <c r="E2396" s="54" t="s">
        <v>38</v>
      </c>
      <c r="F2396" s="55" t="s">
        <v>39</v>
      </c>
      <c r="G2396" s="86" t="s">
        <v>5890</v>
      </c>
      <c r="H2396" s="55"/>
      <c r="I2396" s="54">
        <f t="shared" si="24"/>
        <v>0</v>
      </c>
      <c r="J2396" s="56"/>
      <c r="K2396" s="57"/>
      <c r="L2396" s="76"/>
      <c r="M2396" s="59"/>
      <c r="N2396" s="60"/>
      <c r="O2396" s="61">
        <v>5.0</v>
      </c>
      <c r="P2396" s="62">
        <v>5.4</v>
      </c>
      <c r="Q2396" s="63">
        <v>5.4</v>
      </c>
      <c r="R2396" s="78">
        <v>5.0</v>
      </c>
      <c r="S2396" s="107">
        <v>5.25</v>
      </c>
      <c r="T2396" s="65">
        <f t="shared" si="93"/>
        <v>0.84</v>
      </c>
      <c r="U2396" s="65">
        <f t="shared" si="94"/>
        <v>6.09</v>
      </c>
      <c r="V2396" s="66">
        <f t="shared" si="122"/>
        <v>0.05</v>
      </c>
      <c r="W2396" s="67">
        <f t="shared" si="96"/>
        <v>4.9875</v>
      </c>
      <c r="X2396" s="67">
        <f t="shared" si="112"/>
        <v>0.798</v>
      </c>
      <c r="Y2396" s="67">
        <f t="shared" si="113"/>
        <v>5.7855</v>
      </c>
      <c r="Z2396" s="67">
        <f t="shared" si="99"/>
        <v>4.725</v>
      </c>
      <c r="AA2396" s="67">
        <f t="shared" si="114"/>
        <v>0.756</v>
      </c>
      <c r="AB2396" s="67">
        <f t="shared" si="115"/>
        <v>5.481</v>
      </c>
      <c r="AC2396" s="67">
        <f t="shared" si="102"/>
        <v>4.4625</v>
      </c>
      <c r="AD2396" s="67">
        <f t="shared" si="116"/>
        <v>0.714</v>
      </c>
      <c r="AE2396" s="67">
        <f t="shared" si="117"/>
        <v>5.1765</v>
      </c>
      <c r="AF2396" s="67">
        <f t="shared" si="105"/>
        <v>4.3575</v>
      </c>
      <c r="AG2396" s="67">
        <f t="shared" si="118"/>
        <v>0.6972</v>
      </c>
      <c r="AH2396" s="67">
        <f t="shared" si="119"/>
        <v>5.0547</v>
      </c>
      <c r="AI2396" s="67">
        <f t="shared" si="108"/>
        <v>4.2</v>
      </c>
      <c r="AJ2396" s="68">
        <f t="shared" si="120"/>
        <v>0.672</v>
      </c>
      <c r="AK2396" s="68">
        <f t="shared" si="121"/>
        <v>4.872</v>
      </c>
      <c r="AL2396" s="70"/>
      <c r="AM2396" s="70"/>
      <c r="AN2396" s="71"/>
      <c r="AO2396" s="71"/>
      <c r="AP2396" s="71"/>
      <c r="AQ2396" s="71"/>
      <c r="AR2396" s="71"/>
      <c r="AS2396" s="71"/>
      <c r="AT2396" s="71"/>
      <c r="AU2396" s="71"/>
      <c r="AV2396" s="71"/>
      <c r="AW2396" s="71"/>
      <c r="AX2396" s="71"/>
      <c r="AY2396" s="71"/>
      <c r="AZ2396" s="71"/>
      <c r="BA2396" s="71"/>
      <c r="BB2396" s="71"/>
      <c r="BC2396" s="71"/>
      <c r="BD2396" s="71"/>
      <c r="BE2396" s="71"/>
      <c r="BF2396" s="71"/>
      <c r="BG2396" s="71"/>
      <c r="BH2396" s="71"/>
      <c r="BI2396" s="71"/>
      <c r="BJ2396" s="71"/>
      <c r="BK2396" s="71"/>
      <c r="BL2396" s="71"/>
      <c r="BM2396" s="71"/>
      <c r="BN2396" s="71"/>
      <c r="BO2396" s="71"/>
      <c r="BP2396" s="71"/>
      <c r="BQ2396" s="71"/>
      <c r="BR2396" s="71"/>
      <c r="BS2396" s="71"/>
      <c r="BT2396" s="71"/>
      <c r="BU2396" s="71"/>
      <c r="BV2396" s="71"/>
    </row>
    <row r="2397">
      <c r="A2397" s="53"/>
      <c r="B2397" s="53"/>
      <c r="C2397" s="53" t="s">
        <v>36</v>
      </c>
      <c r="D2397" s="85" t="s">
        <v>5891</v>
      </c>
      <c r="E2397" s="54" t="s">
        <v>38</v>
      </c>
      <c r="F2397" s="55" t="s">
        <v>39</v>
      </c>
      <c r="G2397" s="86" t="s">
        <v>5892</v>
      </c>
      <c r="H2397" s="55"/>
      <c r="I2397" s="54">
        <f t="shared" si="24"/>
        <v>0</v>
      </c>
      <c r="J2397" s="56"/>
      <c r="K2397" s="57"/>
      <c r="L2397" s="76"/>
      <c r="M2397" s="59"/>
      <c r="N2397" s="60"/>
      <c r="O2397" s="61">
        <v>3.6</v>
      </c>
      <c r="P2397" s="62">
        <v>3.8880000000000003</v>
      </c>
      <c r="Q2397" s="63">
        <v>3.8880000000000003</v>
      </c>
      <c r="R2397" s="78">
        <v>3.0</v>
      </c>
      <c r="S2397" s="107">
        <v>3.1500000000000004</v>
      </c>
      <c r="T2397" s="65">
        <f t="shared" si="93"/>
        <v>0.504</v>
      </c>
      <c r="U2397" s="65">
        <f t="shared" si="94"/>
        <v>3.654</v>
      </c>
      <c r="V2397" s="66">
        <f t="shared" si="122"/>
        <v>0.05</v>
      </c>
      <c r="W2397" s="67">
        <f t="shared" si="96"/>
        <v>2.9925</v>
      </c>
      <c r="X2397" s="67">
        <f t="shared" si="112"/>
        <v>0.4788</v>
      </c>
      <c r="Y2397" s="67">
        <f t="shared" si="113"/>
        <v>3.4713</v>
      </c>
      <c r="Z2397" s="67">
        <f t="shared" si="99"/>
        <v>2.835</v>
      </c>
      <c r="AA2397" s="67">
        <f t="shared" si="114"/>
        <v>0.4536</v>
      </c>
      <c r="AB2397" s="67">
        <f t="shared" si="115"/>
        <v>3.2886</v>
      </c>
      <c r="AC2397" s="67">
        <f t="shared" si="102"/>
        <v>2.6775</v>
      </c>
      <c r="AD2397" s="67">
        <f t="shared" si="116"/>
        <v>0.4284</v>
      </c>
      <c r="AE2397" s="67">
        <f t="shared" si="117"/>
        <v>3.1059</v>
      </c>
      <c r="AF2397" s="67">
        <f t="shared" si="105"/>
        <v>2.6145</v>
      </c>
      <c r="AG2397" s="67">
        <f t="shared" si="118"/>
        <v>0.41832</v>
      </c>
      <c r="AH2397" s="67">
        <f t="shared" si="119"/>
        <v>3.03282</v>
      </c>
      <c r="AI2397" s="67">
        <f t="shared" si="108"/>
        <v>2.52</v>
      </c>
      <c r="AJ2397" s="68">
        <f t="shared" si="120"/>
        <v>0.4032</v>
      </c>
      <c r="AK2397" s="68">
        <f t="shared" si="121"/>
        <v>2.9232</v>
      </c>
      <c r="AL2397" s="70"/>
      <c r="AM2397" s="70"/>
      <c r="AN2397" s="71"/>
      <c r="AO2397" s="71"/>
      <c r="AP2397" s="71"/>
      <c r="AQ2397" s="71"/>
      <c r="AR2397" s="71"/>
      <c r="AS2397" s="71"/>
      <c r="AT2397" s="71"/>
      <c r="AU2397" s="71"/>
      <c r="AV2397" s="71"/>
      <c r="AW2397" s="71"/>
      <c r="AX2397" s="71"/>
      <c r="AY2397" s="71"/>
      <c r="AZ2397" s="71"/>
      <c r="BA2397" s="71"/>
      <c r="BB2397" s="71"/>
      <c r="BC2397" s="71"/>
      <c r="BD2397" s="71"/>
      <c r="BE2397" s="71"/>
      <c r="BF2397" s="71"/>
      <c r="BG2397" s="71"/>
      <c r="BH2397" s="71"/>
      <c r="BI2397" s="71"/>
      <c r="BJ2397" s="71"/>
      <c r="BK2397" s="71"/>
      <c r="BL2397" s="71"/>
      <c r="BM2397" s="71"/>
      <c r="BN2397" s="71"/>
      <c r="BO2397" s="71"/>
      <c r="BP2397" s="71"/>
      <c r="BQ2397" s="71"/>
      <c r="BR2397" s="71"/>
      <c r="BS2397" s="71"/>
      <c r="BT2397" s="71"/>
      <c r="BU2397" s="71"/>
      <c r="BV2397" s="71"/>
    </row>
    <row r="2398">
      <c r="A2398" s="53"/>
      <c r="B2398" s="53"/>
      <c r="C2398" s="53" t="s">
        <v>36</v>
      </c>
      <c r="D2398" s="85" t="s">
        <v>5893</v>
      </c>
      <c r="E2398" s="54" t="s">
        <v>38</v>
      </c>
      <c r="F2398" s="55" t="s">
        <v>39</v>
      </c>
      <c r="G2398" s="86" t="s">
        <v>5894</v>
      </c>
      <c r="H2398" s="55"/>
      <c r="I2398" s="54">
        <f t="shared" si="24"/>
        <v>0</v>
      </c>
      <c r="J2398" s="56"/>
      <c r="K2398" s="57"/>
      <c r="L2398" s="76"/>
      <c r="M2398" s="59"/>
      <c r="N2398" s="60"/>
      <c r="O2398" s="61">
        <v>28.8</v>
      </c>
      <c r="P2398" s="62">
        <v>31.104000000000003</v>
      </c>
      <c r="Q2398" s="63">
        <v>31.104000000000003</v>
      </c>
      <c r="R2398" s="64">
        <v>33.0</v>
      </c>
      <c r="S2398" s="107">
        <v>35.0</v>
      </c>
      <c r="T2398" s="65">
        <f t="shared" si="93"/>
        <v>5.6</v>
      </c>
      <c r="U2398" s="65">
        <f t="shared" si="94"/>
        <v>40.6</v>
      </c>
      <c r="V2398" s="66">
        <f t="shared" si="122"/>
        <v>0.06060606061</v>
      </c>
      <c r="W2398" s="67">
        <f t="shared" si="96"/>
        <v>33.25</v>
      </c>
      <c r="X2398" s="67">
        <f t="shared" si="112"/>
        <v>5.32</v>
      </c>
      <c r="Y2398" s="67">
        <f t="shared" si="113"/>
        <v>38.57</v>
      </c>
      <c r="Z2398" s="67">
        <f t="shared" si="99"/>
        <v>31.5</v>
      </c>
      <c r="AA2398" s="67">
        <f t="shared" si="114"/>
        <v>5.04</v>
      </c>
      <c r="AB2398" s="67">
        <f t="shared" si="115"/>
        <v>36.54</v>
      </c>
      <c r="AC2398" s="67">
        <f t="shared" si="102"/>
        <v>29.75</v>
      </c>
      <c r="AD2398" s="67">
        <f t="shared" si="116"/>
        <v>4.76</v>
      </c>
      <c r="AE2398" s="67">
        <f t="shared" si="117"/>
        <v>34.51</v>
      </c>
      <c r="AF2398" s="67">
        <f t="shared" si="105"/>
        <v>29.05</v>
      </c>
      <c r="AG2398" s="67">
        <f t="shared" si="118"/>
        <v>4.648</v>
      </c>
      <c r="AH2398" s="67">
        <f t="shared" si="119"/>
        <v>33.698</v>
      </c>
      <c r="AI2398" s="67">
        <f t="shared" si="108"/>
        <v>28</v>
      </c>
      <c r="AJ2398" s="68">
        <f t="shared" si="120"/>
        <v>4.48</v>
      </c>
      <c r="AK2398" s="68">
        <f t="shared" si="121"/>
        <v>32.48</v>
      </c>
      <c r="AL2398" s="70"/>
      <c r="AM2398" s="70"/>
      <c r="AN2398" s="71"/>
      <c r="AO2398" s="71"/>
      <c r="AP2398" s="71"/>
      <c r="AQ2398" s="71"/>
      <c r="AR2398" s="71"/>
      <c r="AS2398" s="71"/>
      <c r="AT2398" s="71"/>
      <c r="AU2398" s="71"/>
      <c r="AV2398" s="71"/>
      <c r="AW2398" s="71"/>
      <c r="AX2398" s="71"/>
      <c r="AY2398" s="71"/>
      <c r="AZ2398" s="71"/>
      <c r="BA2398" s="71"/>
      <c r="BB2398" s="71"/>
      <c r="BC2398" s="71"/>
      <c r="BD2398" s="71"/>
      <c r="BE2398" s="71"/>
      <c r="BF2398" s="71"/>
      <c r="BG2398" s="71"/>
      <c r="BH2398" s="71"/>
      <c r="BI2398" s="71"/>
      <c r="BJ2398" s="71"/>
      <c r="BK2398" s="71"/>
      <c r="BL2398" s="71"/>
      <c r="BM2398" s="71"/>
      <c r="BN2398" s="71"/>
      <c r="BO2398" s="71"/>
      <c r="BP2398" s="71"/>
      <c r="BQ2398" s="71"/>
      <c r="BR2398" s="71"/>
      <c r="BS2398" s="71"/>
      <c r="BT2398" s="71"/>
      <c r="BU2398" s="71"/>
      <c r="BV2398" s="71"/>
    </row>
    <row r="2399">
      <c r="A2399" s="53"/>
      <c r="B2399" s="53"/>
      <c r="C2399" s="53" t="s">
        <v>12</v>
      </c>
      <c r="D2399" s="53" t="s">
        <v>5895</v>
      </c>
      <c r="E2399" s="54" t="s">
        <v>38</v>
      </c>
      <c r="F2399" s="55" t="s">
        <v>39</v>
      </c>
      <c r="G2399" s="55" t="s">
        <v>5896</v>
      </c>
      <c r="H2399" s="55" t="s">
        <v>5894</v>
      </c>
      <c r="I2399" s="54">
        <f t="shared" si="24"/>
        <v>33</v>
      </c>
      <c r="J2399" s="56"/>
      <c r="K2399" s="57"/>
      <c r="L2399" s="76"/>
      <c r="M2399" s="59"/>
      <c r="N2399" s="60"/>
      <c r="O2399" s="61">
        <v>3.2</v>
      </c>
      <c r="P2399" s="62">
        <v>3.4560000000000004</v>
      </c>
      <c r="Q2399" s="63">
        <v>3.4560000000000004</v>
      </c>
      <c r="R2399" s="78">
        <v>3.0</v>
      </c>
      <c r="S2399" s="111">
        <v>3.1500000000000004</v>
      </c>
      <c r="T2399" s="65">
        <f t="shared" si="93"/>
        <v>0.504</v>
      </c>
      <c r="U2399" s="65">
        <f t="shared" si="94"/>
        <v>3.654</v>
      </c>
      <c r="V2399" s="66">
        <f t="shared" si="122"/>
        <v>0.05</v>
      </c>
      <c r="W2399" s="67">
        <f t="shared" si="96"/>
        <v>2.9925</v>
      </c>
      <c r="X2399" s="67">
        <f t="shared" si="112"/>
        <v>0.4788</v>
      </c>
      <c r="Y2399" s="67">
        <f t="shared" si="113"/>
        <v>3.4713</v>
      </c>
      <c r="Z2399" s="67">
        <f t="shared" si="99"/>
        <v>2.835</v>
      </c>
      <c r="AA2399" s="67">
        <f t="shared" si="114"/>
        <v>0.4536</v>
      </c>
      <c r="AB2399" s="67">
        <f t="shared" si="115"/>
        <v>3.2886</v>
      </c>
      <c r="AC2399" s="67">
        <f t="shared" si="102"/>
        <v>2.6775</v>
      </c>
      <c r="AD2399" s="67">
        <f t="shared" si="116"/>
        <v>0.4284</v>
      </c>
      <c r="AE2399" s="67">
        <f t="shared" si="117"/>
        <v>3.1059</v>
      </c>
      <c r="AF2399" s="67">
        <f t="shared" si="105"/>
        <v>2.6145</v>
      </c>
      <c r="AG2399" s="67">
        <f t="shared" si="118"/>
        <v>0.41832</v>
      </c>
      <c r="AH2399" s="67">
        <f t="shared" si="119"/>
        <v>3.03282</v>
      </c>
      <c r="AI2399" s="67">
        <f t="shared" si="108"/>
        <v>2.52</v>
      </c>
      <c r="AJ2399" s="68">
        <f t="shared" si="120"/>
        <v>0.4032</v>
      </c>
      <c r="AK2399" s="68">
        <f t="shared" si="121"/>
        <v>2.9232</v>
      </c>
      <c r="AL2399" s="70"/>
      <c r="AM2399" s="70"/>
      <c r="AN2399" s="71"/>
      <c r="AO2399" s="71"/>
      <c r="AP2399" s="71"/>
      <c r="AQ2399" s="71"/>
      <c r="AR2399" s="71"/>
      <c r="AS2399" s="71"/>
      <c r="AT2399" s="71"/>
      <c r="AU2399" s="71"/>
      <c r="AV2399" s="71"/>
      <c r="AW2399" s="71"/>
      <c r="AX2399" s="71"/>
      <c r="AY2399" s="71"/>
      <c r="AZ2399" s="71"/>
      <c r="BA2399" s="71"/>
      <c r="BB2399" s="71"/>
      <c r="BC2399" s="71"/>
      <c r="BD2399" s="71"/>
      <c r="BE2399" s="71"/>
      <c r="BF2399" s="71"/>
      <c r="BG2399" s="71"/>
      <c r="BH2399" s="71"/>
      <c r="BI2399" s="71"/>
      <c r="BJ2399" s="71"/>
      <c r="BK2399" s="71"/>
      <c r="BL2399" s="71"/>
      <c r="BM2399" s="71"/>
      <c r="BN2399" s="71"/>
      <c r="BO2399" s="71"/>
      <c r="BP2399" s="71"/>
      <c r="BQ2399" s="71"/>
      <c r="BR2399" s="71"/>
      <c r="BS2399" s="71"/>
      <c r="BT2399" s="71"/>
      <c r="BU2399" s="71"/>
      <c r="BV2399" s="71"/>
    </row>
    <row r="2400">
      <c r="A2400" s="53"/>
      <c r="B2400" s="53"/>
      <c r="C2400" s="53" t="s">
        <v>36</v>
      </c>
      <c r="D2400" s="85" t="s">
        <v>5897</v>
      </c>
      <c r="E2400" s="54" t="s">
        <v>38</v>
      </c>
      <c r="F2400" s="55" t="s">
        <v>39</v>
      </c>
      <c r="G2400" s="86" t="s">
        <v>5898</v>
      </c>
      <c r="H2400" s="55"/>
      <c r="I2400" s="54">
        <f t="shared" si="24"/>
        <v>0</v>
      </c>
      <c r="J2400" s="56"/>
      <c r="K2400" s="57"/>
      <c r="L2400" s="76"/>
      <c r="M2400" s="59"/>
      <c r="N2400" s="60"/>
      <c r="O2400" s="61">
        <v>15.36</v>
      </c>
      <c r="P2400" s="62">
        <v>16.5888</v>
      </c>
      <c r="Q2400" s="63">
        <v>16.5888</v>
      </c>
      <c r="R2400" s="64">
        <v>18.0</v>
      </c>
      <c r="S2400" s="107">
        <v>18.900000000000002</v>
      </c>
      <c r="T2400" s="65">
        <f t="shared" si="93"/>
        <v>3.024</v>
      </c>
      <c r="U2400" s="65">
        <f t="shared" si="94"/>
        <v>21.924</v>
      </c>
      <c r="V2400" s="66">
        <f t="shared" si="122"/>
        <v>0.05</v>
      </c>
      <c r="W2400" s="67">
        <f t="shared" si="96"/>
        <v>17.955</v>
      </c>
      <c r="X2400" s="67">
        <f t="shared" si="112"/>
        <v>2.8728</v>
      </c>
      <c r="Y2400" s="67">
        <f t="shared" si="113"/>
        <v>20.8278</v>
      </c>
      <c r="Z2400" s="67">
        <f t="shared" si="99"/>
        <v>17.01</v>
      </c>
      <c r="AA2400" s="67">
        <f t="shared" si="114"/>
        <v>2.7216</v>
      </c>
      <c r="AB2400" s="67">
        <f t="shared" si="115"/>
        <v>19.7316</v>
      </c>
      <c r="AC2400" s="67">
        <f t="shared" si="102"/>
        <v>16.065</v>
      </c>
      <c r="AD2400" s="67">
        <f t="shared" si="116"/>
        <v>2.5704</v>
      </c>
      <c r="AE2400" s="67">
        <f t="shared" si="117"/>
        <v>18.6354</v>
      </c>
      <c r="AF2400" s="67">
        <f t="shared" si="105"/>
        <v>15.687</v>
      </c>
      <c r="AG2400" s="67">
        <f t="shared" si="118"/>
        <v>2.50992</v>
      </c>
      <c r="AH2400" s="67">
        <f t="shared" si="119"/>
        <v>18.19692</v>
      </c>
      <c r="AI2400" s="67">
        <f t="shared" si="108"/>
        <v>15.12</v>
      </c>
      <c r="AJ2400" s="68">
        <f t="shared" si="120"/>
        <v>2.4192</v>
      </c>
      <c r="AK2400" s="68">
        <f t="shared" si="121"/>
        <v>17.5392</v>
      </c>
      <c r="AL2400" s="70"/>
      <c r="AM2400" s="70"/>
      <c r="AN2400" s="71"/>
      <c r="AO2400" s="71"/>
      <c r="AP2400" s="71"/>
      <c r="AQ2400" s="71"/>
      <c r="AR2400" s="71"/>
      <c r="AS2400" s="71"/>
      <c r="AT2400" s="71"/>
      <c r="AU2400" s="71"/>
      <c r="AV2400" s="71"/>
      <c r="AW2400" s="71"/>
      <c r="AX2400" s="71"/>
      <c r="AY2400" s="71"/>
      <c r="AZ2400" s="71"/>
      <c r="BA2400" s="71"/>
      <c r="BB2400" s="71"/>
      <c r="BC2400" s="71"/>
      <c r="BD2400" s="71"/>
      <c r="BE2400" s="71"/>
      <c r="BF2400" s="71"/>
      <c r="BG2400" s="71"/>
      <c r="BH2400" s="71"/>
      <c r="BI2400" s="71"/>
      <c r="BJ2400" s="71"/>
      <c r="BK2400" s="71"/>
      <c r="BL2400" s="71"/>
      <c r="BM2400" s="71"/>
      <c r="BN2400" s="71"/>
      <c r="BO2400" s="71"/>
      <c r="BP2400" s="71"/>
      <c r="BQ2400" s="71"/>
      <c r="BR2400" s="71"/>
      <c r="BS2400" s="71"/>
      <c r="BT2400" s="71"/>
      <c r="BU2400" s="71"/>
      <c r="BV2400" s="71"/>
    </row>
    <row r="2401">
      <c r="A2401" s="53"/>
      <c r="B2401" s="53"/>
      <c r="C2401" s="53" t="s">
        <v>12</v>
      </c>
      <c r="D2401" s="53" t="s">
        <v>5899</v>
      </c>
      <c r="E2401" s="54" t="s">
        <v>38</v>
      </c>
      <c r="F2401" s="55" t="s">
        <v>39</v>
      </c>
      <c r="G2401" s="55" t="s">
        <v>5900</v>
      </c>
      <c r="H2401" s="55" t="s">
        <v>5898</v>
      </c>
      <c r="I2401" s="54">
        <f t="shared" si="24"/>
        <v>32</v>
      </c>
      <c r="J2401" s="56"/>
      <c r="K2401" s="57"/>
      <c r="L2401" s="76"/>
      <c r="M2401" s="59"/>
      <c r="N2401" s="60"/>
      <c r="O2401" s="61">
        <v>4.8</v>
      </c>
      <c r="P2401" s="62">
        <v>5.184</v>
      </c>
      <c r="Q2401" s="63">
        <v>5.184</v>
      </c>
      <c r="R2401" s="78">
        <v>5.0</v>
      </c>
      <c r="S2401" s="111">
        <v>5.25</v>
      </c>
      <c r="T2401" s="65">
        <f t="shared" si="93"/>
        <v>0.84</v>
      </c>
      <c r="U2401" s="65">
        <f t="shared" si="94"/>
        <v>6.09</v>
      </c>
      <c r="V2401" s="66">
        <f t="shared" si="122"/>
        <v>0.05</v>
      </c>
      <c r="W2401" s="67">
        <f t="shared" si="96"/>
        <v>4.9875</v>
      </c>
      <c r="X2401" s="67">
        <f t="shared" si="112"/>
        <v>0.798</v>
      </c>
      <c r="Y2401" s="67">
        <f t="shared" si="113"/>
        <v>5.7855</v>
      </c>
      <c r="Z2401" s="67">
        <f t="shared" si="99"/>
        <v>4.725</v>
      </c>
      <c r="AA2401" s="67">
        <f t="shared" si="114"/>
        <v>0.756</v>
      </c>
      <c r="AB2401" s="67">
        <f t="shared" si="115"/>
        <v>5.481</v>
      </c>
      <c r="AC2401" s="67">
        <f t="shared" si="102"/>
        <v>4.4625</v>
      </c>
      <c r="AD2401" s="67">
        <f t="shared" si="116"/>
        <v>0.714</v>
      </c>
      <c r="AE2401" s="67">
        <f t="shared" si="117"/>
        <v>5.1765</v>
      </c>
      <c r="AF2401" s="67">
        <f t="shared" si="105"/>
        <v>4.3575</v>
      </c>
      <c r="AG2401" s="67">
        <f t="shared" si="118"/>
        <v>0.6972</v>
      </c>
      <c r="AH2401" s="67">
        <f t="shared" si="119"/>
        <v>5.0547</v>
      </c>
      <c r="AI2401" s="67">
        <f t="shared" si="108"/>
        <v>4.2</v>
      </c>
      <c r="AJ2401" s="68">
        <f t="shared" si="120"/>
        <v>0.672</v>
      </c>
      <c r="AK2401" s="68">
        <f t="shared" si="121"/>
        <v>4.872</v>
      </c>
      <c r="AL2401" s="70"/>
      <c r="AM2401" s="70"/>
      <c r="AN2401" s="71"/>
      <c r="AO2401" s="71"/>
      <c r="AP2401" s="71"/>
      <c r="AQ2401" s="71"/>
      <c r="AR2401" s="71"/>
      <c r="AS2401" s="71"/>
      <c r="AT2401" s="71"/>
      <c r="AU2401" s="71"/>
      <c r="AV2401" s="71"/>
      <c r="AW2401" s="71"/>
      <c r="AX2401" s="71"/>
      <c r="AY2401" s="71"/>
      <c r="AZ2401" s="71"/>
      <c r="BA2401" s="71"/>
      <c r="BB2401" s="71"/>
      <c r="BC2401" s="71"/>
      <c r="BD2401" s="71"/>
      <c r="BE2401" s="71"/>
      <c r="BF2401" s="71"/>
      <c r="BG2401" s="71"/>
      <c r="BH2401" s="71"/>
      <c r="BI2401" s="71"/>
      <c r="BJ2401" s="71"/>
      <c r="BK2401" s="71"/>
      <c r="BL2401" s="71"/>
      <c r="BM2401" s="71"/>
      <c r="BN2401" s="71"/>
      <c r="BO2401" s="71"/>
      <c r="BP2401" s="71"/>
      <c r="BQ2401" s="71"/>
      <c r="BR2401" s="71"/>
      <c r="BS2401" s="71"/>
      <c r="BT2401" s="71"/>
      <c r="BU2401" s="71"/>
      <c r="BV2401" s="71"/>
    </row>
    <row r="2402">
      <c r="A2402" s="53"/>
      <c r="B2402" s="53"/>
      <c r="C2402" s="53" t="s">
        <v>12</v>
      </c>
      <c r="D2402" s="53" t="s">
        <v>5901</v>
      </c>
      <c r="E2402" s="54" t="s">
        <v>38</v>
      </c>
      <c r="F2402" s="55" t="s">
        <v>39</v>
      </c>
      <c r="G2402" s="55" t="s">
        <v>5902</v>
      </c>
      <c r="H2402" s="55" t="s">
        <v>5903</v>
      </c>
      <c r="I2402" s="54">
        <f t="shared" si="24"/>
        <v>32</v>
      </c>
      <c r="J2402" s="56"/>
      <c r="K2402" s="57"/>
      <c r="L2402" s="76"/>
      <c r="M2402" s="59"/>
      <c r="N2402" s="60"/>
      <c r="O2402" s="61">
        <v>3.2</v>
      </c>
      <c r="P2402" s="62">
        <v>3.4560000000000004</v>
      </c>
      <c r="Q2402" s="63">
        <v>3.4560000000000004</v>
      </c>
      <c r="R2402" s="78">
        <v>3.0</v>
      </c>
      <c r="S2402" s="111">
        <v>3.1500000000000004</v>
      </c>
      <c r="T2402" s="65">
        <f t="shared" si="93"/>
        <v>0.504</v>
      </c>
      <c r="U2402" s="65">
        <f t="shared" si="94"/>
        <v>3.654</v>
      </c>
      <c r="V2402" s="66">
        <f t="shared" si="122"/>
        <v>0.05</v>
      </c>
      <c r="W2402" s="67">
        <f t="shared" si="96"/>
        <v>2.9925</v>
      </c>
      <c r="X2402" s="67">
        <f t="shared" si="112"/>
        <v>0.4788</v>
      </c>
      <c r="Y2402" s="67">
        <f t="shared" si="113"/>
        <v>3.4713</v>
      </c>
      <c r="Z2402" s="67">
        <f t="shared" si="99"/>
        <v>2.835</v>
      </c>
      <c r="AA2402" s="67">
        <f t="shared" si="114"/>
        <v>0.4536</v>
      </c>
      <c r="AB2402" s="67">
        <f t="shared" si="115"/>
        <v>3.2886</v>
      </c>
      <c r="AC2402" s="67">
        <f t="shared" si="102"/>
        <v>2.6775</v>
      </c>
      <c r="AD2402" s="67">
        <f t="shared" si="116"/>
        <v>0.4284</v>
      </c>
      <c r="AE2402" s="67">
        <f t="shared" si="117"/>
        <v>3.1059</v>
      </c>
      <c r="AF2402" s="67">
        <f t="shared" si="105"/>
        <v>2.6145</v>
      </c>
      <c r="AG2402" s="67">
        <f t="shared" si="118"/>
        <v>0.41832</v>
      </c>
      <c r="AH2402" s="67">
        <f t="shared" si="119"/>
        <v>3.03282</v>
      </c>
      <c r="AI2402" s="67">
        <f t="shared" si="108"/>
        <v>2.52</v>
      </c>
      <c r="AJ2402" s="68">
        <f t="shared" si="120"/>
        <v>0.4032</v>
      </c>
      <c r="AK2402" s="68">
        <f t="shared" si="121"/>
        <v>2.9232</v>
      </c>
      <c r="AL2402" s="70"/>
      <c r="AM2402" s="70"/>
      <c r="AN2402" s="71"/>
      <c r="AO2402" s="71"/>
      <c r="AP2402" s="71"/>
      <c r="AQ2402" s="71"/>
      <c r="AR2402" s="71"/>
      <c r="AS2402" s="71"/>
      <c r="AT2402" s="71"/>
      <c r="AU2402" s="71"/>
      <c r="AV2402" s="71"/>
      <c r="AW2402" s="71"/>
      <c r="AX2402" s="71"/>
      <c r="AY2402" s="71"/>
      <c r="AZ2402" s="71"/>
      <c r="BA2402" s="71"/>
      <c r="BB2402" s="71"/>
      <c r="BC2402" s="71"/>
      <c r="BD2402" s="71"/>
      <c r="BE2402" s="71"/>
      <c r="BF2402" s="71"/>
      <c r="BG2402" s="71"/>
      <c r="BH2402" s="71"/>
      <c r="BI2402" s="71"/>
      <c r="BJ2402" s="71"/>
      <c r="BK2402" s="71"/>
      <c r="BL2402" s="71"/>
      <c r="BM2402" s="71"/>
      <c r="BN2402" s="71"/>
      <c r="BO2402" s="71"/>
      <c r="BP2402" s="71"/>
      <c r="BQ2402" s="71"/>
      <c r="BR2402" s="71"/>
      <c r="BS2402" s="71"/>
      <c r="BT2402" s="71"/>
      <c r="BU2402" s="71"/>
      <c r="BV2402" s="71"/>
    </row>
    <row r="2403">
      <c r="A2403" s="53"/>
      <c r="B2403" s="53"/>
      <c r="C2403" s="53" t="s">
        <v>36</v>
      </c>
      <c r="D2403" s="85" t="s">
        <v>5904</v>
      </c>
      <c r="E2403" s="54" t="s">
        <v>38</v>
      </c>
      <c r="F2403" s="55" t="s">
        <v>39</v>
      </c>
      <c r="G2403" s="86" t="s">
        <v>5905</v>
      </c>
      <c r="H2403" s="55"/>
      <c r="I2403" s="54">
        <f t="shared" si="24"/>
        <v>0</v>
      </c>
      <c r="J2403" s="56"/>
      <c r="K2403" s="57"/>
      <c r="L2403" s="76"/>
      <c r="M2403" s="59"/>
      <c r="N2403" s="60"/>
      <c r="O2403" s="61">
        <v>3.2</v>
      </c>
      <c r="P2403" s="62">
        <v>3.4560000000000004</v>
      </c>
      <c r="Q2403" s="63">
        <v>3.4560000000000004</v>
      </c>
      <c r="R2403" s="78">
        <v>3.0</v>
      </c>
      <c r="S2403" s="107">
        <v>3.1500000000000004</v>
      </c>
      <c r="T2403" s="65">
        <f t="shared" si="93"/>
        <v>0.504</v>
      </c>
      <c r="U2403" s="65">
        <f t="shared" si="94"/>
        <v>3.654</v>
      </c>
      <c r="V2403" s="66">
        <f t="shared" si="122"/>
        <v>0.05</v>
      </c>
      <c r="W2403" s="67">
        <f t="shared" si="96"/>
        <v>2.9925</v>
      </c>
      <c r="X2403" s="67">
        <f t="shared" si="112"/>
        <v>0.4788</v>
      </c>
      <c r="Y2403" s="67">
        <f t="shared" si="113"/>
        <v>3.4713</v>
      </c>
      <c r="Z2403" s="67">
        <f t="shared" si="99"/>
        <v>2.835</v>
      </c>
      <c r="AA2403" s="67">
        <f t="shared" si="114"/>
        <v>0.4536</v>
      </c>
      <c r="AB2403" s="67">
        <f t="shared" si="115"/>
        <v>3.2886</v>
      </c>
      <c r="AC2403" s="67">
        <f t="shared" si="102"/>
        <v>2.6775</v>
      </c>
      <c r="AD2403" s="67">
        <f t="shared" si="116"/>
        <v>0.4284</v>
      </c>
      <c r="AE2403" s="67">
        <f t="shared" si="117"/>
        <v>3.1059</v>
      </c>
      <c r="AF2403" s="67">
        <f t="shared" si="105"/>
        <v>2.6145</v>
      </c>
      <c r="AG2403" s="67">
        <f t="shared" si="118"/>
        <v>0.41832</v>
      </c>
      <c r="AH2403" s="67">
        <f t="shared" si="119"/>
        <v>3.03282</v>
      </c>
      <c r="AI2403" s="67">
        <f t="shared" si="108"/>
        <v>2.52</v>
      </c>
      <c r="AJ2403" s="68">
        <f t="shared" si="120"/>
        <v>0.4032</v>
      </c>
      <c r="AK2403" s="68">
        <f t="shared" si="121"/>
        <v>2.9232</v>
      </c>
      <c r="AL2403" s="70"/>
      <c r="AM2403" s="70"/>
      <c r="AN2403" s="71"/>
      <c r="AO2403" s="71"/>
      <c r="AP2403" s="71"/>
      <c r="AQ2403" s="71"/>
      <c r="AR2403" s="71"/>
      <c r="AS2403" s="71"/>
      <c r="AT2403" s="71"/>
      <c r="AU2403" s="71"/>
      <c r="AV2403" s="71"/>
      <c r="AW2403" s="71"/>
      <c r="AX2403" s="71"/>
      <c r="AY2403" s="71"/>
      <c r="AZ2403" s="71"/>
      <c r="BA2403" s="71"/>
      <c r="BB2403" s="71"/>
      <c r="BC2403" s="71"/>
      <c r="BD2403" s="71"/>
      <c r="BE2403" s="71"/>
      <c r="BF2403" s="71"/>
      <c r="BG2403" s="71"/>
      <c r="BH2403" s="71"/>
      <c r="BI2403" s="71"/>
      <c r="BJ2403" s="71"/>
      <c r="BK2403" s="71"/>
      <c r="BL2403" s="71"/>
      <c r="BM2403" s="71"/>
      <c r="BN2403" s="71"/>
      <c r="BO2403" s="71"/>
      <c r="BP2403" s="71"/>
      <c r="BQ2403" s="71"/>
      <c r="BR2403" s="71"/>
      <c r="BS2403" s="71"/>
      <c r="BT2403" s="71"/>
      <c r="BU2403" s="71"/>
      <c r="BV2403" s="71"/>
    </row>
    <row r="2404">
      <c r="A2404" s="53"/>
      <c r="B2404" s="53"/>
      <c r="C2404" s="53" t="s">
        <v>36</v>
      </c>
      <c r="D2404" s="85" t="s">
        <v>5906</v>
      </c>
      <c r="E2404" s="54" t="s">
        <v>38</v>
      </c>
      <c r="F2404" s="55" t="s">
        <v>39</v>
      </c>
      <c r="G2404" s="86" t="s">
        <v>5907</v>
      </c>
      <c r="H2404" s="55"/>
      <c r="I2404" s="54">
        <f t="shared" si="24"/>
        <v>0</v>
      </c>
      <c r="J2404" s="56"/>
      <c r="K2404" s="57"/>
      <c r="L2404" s="76"/>
      <c r="M2404" s="59"/>
      <c r="N2404" s="60"/>
      <c r="O2404" s="61">
        <v>6.0</v>
      </c>
      <c r="P2404" s="62">
        <v>6.48</v>
      </c>
      <c r="Q2404" s="63">
        <v>6.48</v>
      </c>
      <c r="R2404" s="78">
        <v>6.0</v>
      </c>
      <c r="S2404" s="107">
        <v>6.300000000000001</v>
      </c>
      <c r="T2404" s="65">
        <f t="shared" si="93"/>
        <v>1.008</v>
      </c>
      <c r="U2404" s="65">
        <f t="shared" si="94"/>
        <v>7.308</v>
      </c>
      <c r="V2404" s="66">
        <f t="shared" si="122"/>
        <v>0.05</v>
      </c>
      <c r="W2404" s="67">
        <f t="shared" si="96"/>
        <v>5.985</v>
      </c>
      <c r="X2404" s="67">
        <f t="shared" si="112"/>
        <v>0.9576</v>
      </c>
      <c r="Y2404" s="67">
        <f t="shared" si="113"/>
        <v>6.9426</v>
      </c>
      <c r="Z2404" s="67">
        <f t="shared" si="99"/>
        <v>5.67</v>
      </c>
      <c r="AA2404" s="67">
        <f t="shared" si="114"/>
        <v>0.9072</v>
      </c>
      <c r="AB2404" s="67">
        <f t="shared" si="115"/>
        <v>6.5772</v>
      </c>
      <c r="AC2404" s="67">
        <f t="shared" si="102"/>
        <v>5.355</v>
      </c>
      <c r="AD2404" s="67">
        <f t="shared" si="116"/>
        <v>0.8568</v>
      </c>
      <c r="AE2404" s="67">
        <f t="shared" si="117"/>
        <v>6.2118</v>
      </c>
      <c r="AF2404" s="67">
        <f t="shared" si="105"/>
        <v>5.229</v>
      </c>
      <c r="AG2404" s="67">
        <f t="shared" si="118"/>
        <v>0.83664</v>
      </c>
      <c r="AH2404" s="67">
        <f t="shared" si="119"/>
        <v>6.06564</v>
      </c>
      <c r="AI2404" s="67">
        <f t="shared" si="108"/>
        <v>5.04</v>
      </c>
      <c r="AJ2404" s="68">
        <f t="shared" si="120"/>
        <v>0.8064</v>
      </c>
      <c r="AK2404" s="68">
        <f t="shared" si="121"/>
        <v>5.8464</v>
      </c>
      <c r="AL2404" s="70"/>
      <c r="AM2404" s="70"/>
      <c r="AN2404" s="71"/>
      <c r="AO2404" s="71"/>
      <c r="AP2404" s="71"/>
      <c r="AQ2404" s="71"/>
      <c r="AR2404" s="71"/>
      <c r="AS2404" s="71"/>
      <c r="AT2404" s="71"/>
      <c r="AU2404" s="71"/>
      <c r="AV2404" s="71"/>
      <c r="AW2404" s="71"/>
      <c r="AX2404" s="71"/>
      <c r="AY2404" s="71"/>
      <c r="AZ2404" s="71"/>
      <c r="BA2404" s="71"/>
      <c r="BB2404" s="71"/>
      <c r="BC2404" s="71"/>
      <c r="BD2404" s="71"/>
      <c r="BE2404" s="71"/>
      <c r="BF2404" s="71"/>
      <c r="BG2404" s="71"/>
      <c r="BH2404" s="71"/>
      <c r="BI2404" s="71"/>
      <c r="BJ2404" s="71"/>
      <c r="BK2404" s="71"/>
      <c r="BL2404" s="71"/>
      <c r="BM2404" s="71"/>
      <c r="BN2404" s="71"/>
      <c r="BO2404" s="71"/>
      <c r="BP2404" s="71"/>
      <c r="BQ2404" s="71"/>
      <c r="BR2404" s="71"/>
      <c r="BS2404" s="71"/>
      <c r="BT2404" s="71"/>
      <c r="BU2404" s="71"/>
      <c r="BV2404" s="71"/>
    </row>
    <row r="2405">
      <c r="A2405" s="53"/>
      <c r="B2405" s="53"/>
      <c r="C2405" s="120" t="s">
        <v>12</v>
      </c>
      <c r="D2405" s="53" t="s">
        <v>5908</v>
      </c>
      <c r="E2405" s="54" t="s">
        <v>38</v>
      </c>
      <c r="F2405" s="54" t="s">
        <v>42</v>
      </c>
      <c r="G2405" s="54" t="s">
        <v>5909</v>
      </c>
      <c r="H2405" s="54" t="s">
        <v>5909</v>
      </c>
      <c r="I2405" s="54">
        <f t="shared" si="24"/>
        <v>29</v>
      </c>
      <c r="J2405" s="56"/>
      <c r="K2405" s="57"/>
      <c r="L2405" s="76"/>
      <c r="M2405" s="59"/>
      <c r="N2405" s="60">
        <v>3.0</v>
      </c>
      <c r="O2405" s="61">
        <v>3.0</v>
      </c>
      <c r="P2405" s="62">
        <v>3.24</v>
      </c>
      <c r="Q2405" s="63">
        <v>3.24</v>
      </c>
      <c r="R2405" s="78">
        <v>3.0</v>
      </c>
      <c r="S2405" s="111">
        <v>3.1500000000000004</v>
      </c>
      <c r="T2405" s="65">
        <f t="shared" si="93"/>
        <v>0.504</v>
      </c>
      <c r="U2405" s="65">
        <f t="shared" si="94"/>
        <v>3.654</v>
      </c>
      <c r="V2405" s="66">
        <f t="shared" si="122"/>
        <v>0.05</v>
      </c>
      <c r="W2405" s="67">
        <f t="shared" si="96"/>
        <v>2.9925</v>
      </c>
      <c r="X2405" s="67">
        <f t="shared" si="112"/>
        <v>0.4788</v>
      </c>
      <c r="Y2405" s="67">
        <f t="shared" si="113"/>
        <v>3.4713</v>
      </c>
      <c r="Z2405" s="67">
        <f t="shared" si="99"/>
        <v>2.835</v>
      </c>
      <c r="AA2405" s="67">
        <f t="shared" si="114"/>
        <v>0.4536</v>
      </c>
      <c r="AB2405" s="67">
        <f t="shared" si="115"/>
        <v>3.2886</v>
      </c>
      <c r="AC2405" s="67">
        <f t="shared" si="102"/>
        <v>2.6775</v>
      </c>
      <c r="AD2405" s="67">
        <f t="shared" si="116"/>
        <v>0.4284</v>
      </c>
      <c r="AE2405" s="67">
        <f t="shared" si="117"/>
        <v>3.1059</v>
      </c>
      <c r="AF2405" s="67">
        <f t="shared" si="105"/>
        <v>2.6145</v>
      </c>
      <c r="AG2405" s="67">
        <f t="shared" si="118"/>
        <v>0.41832</v>
      </c>
      <c r="AH2405" s="67">
        <f t="shared" si="119"/>
        <v>3.03282</v>
      </c>
      <c r="AI2405" s="67">
        <f t="shared" si="108"/>
        <v>2.52</v>
      </c>
      <c r="AJ2405" s="68">
        <f t="shared" si="120"/>
        <v>0.4032</v>
      </c>
      <c r="AK2405" s="68">
        <f t="shared" si="121"/>
        <v>2.9232</v>
      </c>
      <c r="AL2405" s="70"/>
      <c r="AM2405" s="70"/>
      <c r="AN2405" s="71"/>
      <c r="AO2405" s="71"/>
      <c r="AP2405" s="71"/>
      <c r="AQ2405" s="71"/>
      <c r="AR2405" s="71"/>
      <c r="AS2405" s="71"/>
      <c r="AT2405" s="71"/>
      <c r="AU2405" s="71"/>
      <c r="AV2405" s="71"/>
      <c r="AW2405" s="71"/>
      <c r="AX2405" s="71"/>
      <c r="AY2405" s="71"/>
      <c r="AZ2405" s="71"/>
      <c r="BA2405" s="71"/>
      <c r="BB2405" s="71"/>
      <c r="BC2405" s="71"/>
      <c r="BD2405" s="71"/>
      <c r="BE2405" s="71"/>
      <c r="BF2405" s="71"/>
      <c r="BG2405" s="71"/>
      <c r="BH2405" s="71"/>
      <c r="BI2405" s="71"/>
      <c r="BJ2405" s="71"/>
      <c r="BK2405" s="71"/>
      <c r="BL2405" s="71"/>
      <c r="BM2405" s="71"/>
      <c r="BN2405" s="71"/>
      <c r="BO2405" s="71"/>
      <c r="BP2405" s="71"/>
      <c r="BQ2405" s="71"/>
      <c r="BR2405" s="71"/>
      <c r="BS2405" s="71"/>
      <c r="BT2405" s="71"/>
      <c r="BU2405" s="71"/>
      <c r="BV2405" s="71"/>
    </row>
    <row r="2406">
      <c r="A2406" s="53">
        <v>1.0</v>
      </c>
      <c r="B2406" s="53"/>
      <c r="C2406" s="120" t="s">
        <v>53</v>
      </c>
      <c r="D2406" s="74" t="s">
        <v>5910</v>
      </c>
      <c r="E2406" s="54" t="s">
        <v>38</v>
      </c>
      <c r="F2406" s="54" t="s">
        <v>42</v>
      </c>
      <c r="G2406" s="88" t="s">
        <v>5911</v>
      </c>
      <c r="H2406" s="54" t="s">
        <v>5912</v>
      </c>
      <c r="I2406" s="54">
        <f t="shared" si="24"/>
        <v>24</v>
      </c>
      <c r="J2406" s="56"/>
      <c r="K2406" s="57"/>
      <c r="L2406" s="76"/>
      <c r="M2406" s="59"/>
      <c r="N2406" s="60">
        <v>272.0</v>
      </c>
      <c r="O2406" s="61">
        <v>293.0</v>
      </c>
      <c r="P2406" s="62">
        <v>316.44</v>
      </c>
      <c r="Q2406" s="63">
        <v>316.44</v>
      </c>
      <c r="R2406" s="64">
        <v>353.0</v>
      </c>
      <c r="S2406" s="65">
        <v>296.8</v>
      </c>
      <c r="T2406" s="65">
        <f t="shared" si="93"/>
        <v>47.488</v>
      </c>
      <c r="U2406" s="65">
        <f t="shared" si="94"/>
        <v>344.288</v>
      </c>
      <c r="V2406" s="66">
        <f t="shared" si="122"/>
        <v>-0.1592067989</v>
      </c>
      <c r="W2406" s="67">
        <f t="shared" si="96"/>
        <v>281.96</v>
      </c>
      <c r="X2406" s="67">
        <f t="shared" si="112"/>
        <v>45.1136</v>
      </c>
      <c r="Y2406" s="67">
        <f t="shared" si="113"/>
        <v>327.0736</v>
      </c>
      <c r="Z2406" s="67">
        <f t="shared" si="99"/>
        <v>267.12</v>
      </c>
      <c r="AA2406" s="67">
        <f t="shared" si="114"/>
        <v>42.7392</v>
      </c>
      <c r="AB2406" s="67">
        <f t="shared" si="115"/>
        <v>309.8592</v>
      </c>
      <c r="AC2406" s="67">
        <f t="shared" si="102"/>
        <v>252.28</v>
      </c>
      <c r="AD2406" s="67">
        <f t="shared" si="116"/>
        <v>40.3648</v>
      </c>
      <c r="AE2406" s="67">
        <f t="shared" si="117"/>
        <v>292.6448</v>
      </c>
      <c r="AF2406" s="67">
        <f t="shared" si="105"/>
        <v>246.344</v>
      </c>
      <c r="AG2406" s="67">
        <f t="shared" si="118"/>
        <v>39.41504</v>
      </c>
      <c r="AH2406" s="67">
        <f t="shared" si="119"/>
        <v>285.75904</v>
      </c>
      <c r="AI2406" s="67">
        <f t="shared" si="108"/>
        <v>237.44</v>
      </c>
      <c r="AJ2406" s="68">
        <f t="shared" si="120"/>
        <v>37.9904</v>
      </c>
      <c r="AK2406" s="68">
        <f t="shared" si="121"/>
        <v>275.4304</v>
      </c>
      <c r="AL2406" s="70"/>
      <c r="AM2406" s="70"/>
      <c r="AN2406" s="71"/>
      <c r="AO2406" s="71"/>
      <c r="AP2406" s="71"/>
      <c r="AQ2406" s="71"/>
      <c r="AR2406" s="71"/>
      <c r="AS2406" s="71"/>
      <c r="AT2406" s="71"/>
      <c r="AU2406" s="71"/>
      <c r="AV2406" s="71"/>
      <c r="AW2406" s="71"/>
      <c r="AX2406" s="71"/>
      <c r="AY2406" s="71"/>
      <c r="AZ2406" s="71"/>
      <c r="BA2406" s="71"/>
      <c r="BB2406" s="71"/>
      <c r="BC2406" s="71"/>
      <c r="BD2406" s="71"/>
      <c r="BE2406" s="71"/>
      <c r="BF2406" s="71"/>
      <c r="BG2406" s="71"/>
      <c r="BH2406" s="71"/>
      <c r="BI2406" s="71"/>
      <c r="BJ2406" s="71"/>
      <c r="BK2406" s="71"/>
      <c r="BL2406" s="71"/>
      <c r="BM2406" s="71"/>
      <c r="BN2406" s="71"/>
      <c r="BO2406" s="71"/>
      <c r="BP2406" s="71"/>
      <c r="BQ2406" s="71"/>
      <c r="BR2406" s="71"/>
      <c r="BS2406" s="71"/>
      <c r="BT2406" s="71"/>
      <c r="BU2406" s="71"/>
      <c r="BV2406" s="71"/>
    </row>
    <row r="2407">
      <c r="A2407" s="53"/>
      <c r="B2407" s="53"/>
      <c r="C2407" s="73" t="s">
        <v>12</v>
      </c>
      <c r="D2407" s="53" t="s">
        <v>5913</v>
      </c>
      <c r="E2407" s="54" t="s">
        <v>38</v>
      </c>
      <c r="F2407" s="54" t="s">
        <v>42</v>
      </c>
      <c r="G2407" s="55" t="s">
        <v>5914</v>
      </c>
      <c r="H2407" s="55" t="s">
        <v>5914</v>
      </c>
      <c r="I2407" s="54">
        <f t="shared" si="24"/>
        <v>31</v>
      </c>
      <c r="J2407" s="56"/>
      <c r="K2407" s="57"/>
      <c r="L2407" s="77"/>
      <c r="M2407" s="59"/>
      <c r="N2407" s="60"/>
      <c r="O2407" s="90"/>
      <c r="P2407" s="62">
        <v>521.01</v>
      </c>
      <c r="Q2407" s="63">
        <v>521.01</v>
      </c>
      <c r="R2407" s="64">
        <v>548.0</v>
      </c>
      <c r="S2407" s="111">
        <v>575.0</v>
      </c>
      <c r="T2407" s="65">
        <f t="shared" si="93"/>
        <v>92</v>
      </c>
      <c r="U2407" s="65">
        <f t="shared" si="94"/>
        <v>667</v>
      </c>
      <c r="V2407" s="66">
        <f t="shared" si="122"/>
        <v>0.04927007299</v>
      </c>
      <c r="W2407" s="67">
        <f t="shared" si="96"/>
        <v>546.25</v>
      </c>
      <c r="X2407" s="67">
        <f t="shared" si="112"/>
        <v>87.4</v>
      </c>
      <c r="Y2407" s="67">
        <f t="shared" si="113"/>
        <v>633.65</v>
      </c>
      <c r="Z2407" s="67">
        <f t="shared" si="99"/>
        <v>517.5</v>
      </c>
      <c r="AA2407" s="67">
        <f t="shared" si="114"/>
        <v>82.8</v>
      </c>
      <c r="AB2407" s="67">
        <f t="shared" si="115"/>
        <v>600.3</v>
      </c>
      <c r="AC2407" s="67">
        <f t="shared" si="102"/>
        <v>488.75</v>
      </c>
      <c r="AD2407" s="67">
        <f t="shared" si="116"/>
        <v>78.2</v>
      </c>
      <c r="AE2407" s="67">
        <f t="shared" si="117"/>
        <v>566.95</v>
      </c>
      <c r="AF2407" s="67">
        <f t="shared" si="105"/>
        <v>477.25</v>
      </c>
      <c r="AG2407" s="67">
        <f t="shared" si="118"/>
        <v>76.36</v>
      </c>
      <c r="AH2407" s="67">
        <f t="shared" si="119"/>
        <v>553.61</v>
      </c>
      <c r="AI2407" s="67">
        <f t="shared" si="108"/>
        <v>460</v>
      </c>
      <c r="AJ2407" s="68">
        <f t="shared" si="120"/>
        <v>73.6</v>
      </c>
      <c r="AK2407" s="68">
        <f t="shared" si="121"/>
        <v>533.6</v>
      </c>
      <c r="AL2407" s="70"/>
      <c r="AM2407" s="70"/>
      <c r="AN2407" s="71"/>
      <c r="AO2407" s="71"/>
      <c r="AP2407" s="71"/>
      <c r="AQ2407" s="71"/>
      <c r="AR2407" s="71"/>
      <c r="AS2407" s="71"/>
      <c r="AT2407" s="71"/>
      <c r="AU2407" s="71"/>
      <c r="AV2407" s="71"/>
      <c r="AW2407" s="71"/>
      <c r="AX2407" s="71"/>
      <c r="AY2407" s="71"/>
      <c r="AZ2407" s="71"/>
      <c r="BA2407" s="71"/>
      <c r="BB2407" s="71"/>
      <c r="BC2407" s="71"/>
      <c r="BD2407" s="71"/>
      <c r="BE2407" s="71"/>
      <c r="BF2407" s="71"/>
      <c r="BG2407" s="71"/>
      <c r="BH2407" s="71"/>
      <c r="BI2407" s="71"/>
      <c r="BJ2407" s="71"/>
      <c r="BK2407" s="71"/>
      <c r="BL2407" s="71"/>
      <c r="BM2407" s="71"/>
      <c r="BN2407" s="71"/>
      <c r="BO2407" s="71"/>
      <c r="BP2407" s="71"/>
      <c r="BQ2407" s="71"/>
      <c r="BR2407" s="71"/>
      <c r="BS2407" s="71"/>
      <c r="BT2407" s="71"/>
      <c r="BU2407" s="71"/>
      <c r="BV2407" s="71"/>
    </row>
    <row r="2408">
      <c r="A2408" s="53"/>
      <c r="B2408" s="53"/>
      <c r="C2408" s="73" t="s">
        <v>53</v>
      </c>
      <c r="D2408" s="53" t="s">
        <v>5915</v>
      </c>
      <c r="E2408" s="54" t="s">
        <v>38</v>
      </c>
      <c r="F2408" s="54" t="s">
        <v>42</v>
      </c>
      <c r="G2408" s="55" t="s">
        <v>5916</v>
      </c>
      <c r="H2408" s="54" t="s">
        <v>5917</v>
      </c>
      <c r="I2408" s="54">
        <f t="shared" si="24"/>
        <v>28</v>
      </c>
      <c r="J2408" s="56"/>
      <c r="K2408" s="57"/>
      <c r="L2408" s="76"/>
      <c r="M2408" s="59"/>
      <c r="N2408" s="79">
        <v>299.0</v>
      </c>
      <c r="O2408" s="61">
        <v>322.0</v>
      </c>
      <c r="P2408" s="62">
        <v>347.76000000000005</v>
      </c>
      <c r="Q2408" s="63">
        <v>347.76000000000005</v>
      </c>
      <c r="R2408" s="64">
        <v>366.0</v>
      </c>
      <c r="S2408" s="111">
        <v>384.0</v>
      </c>
      <c r="T2408" s="65">
        <f t="shared" si="93"/>
        <v>61.44</v>
      </c>
      <c r="U2408" s="65">
        <f t="shared" si="94"/>
        <v>445.44</v>
      </c>
      <c r="V2408" s="66">
        <f t="shared" si="122"/>
        <v>0.04918032787</v>
      </c>
      <c r="W2408" s="67">
        <f t="shared" si="96"/>
        <v>364.8</v>
      </c>
      <c r="X2408" s="67">
        <f t="shared" si="112"/>
        <v>58.368</v>
      </c>
      <c r="Y2408" s="67">
        <f t="shared" si="113"/>
        <v>423.168</v>
      </c>
      <c r="Z2408" s="67">
        <f t="shared" si="99"/>
        <v>345.6</v>
      </c>
      <c r="AA2408" s="67">
        <f t="shared" si="114"/>
        <v>55.296</v>
      </c>
      <c r="AB2408" s="67">
        <f t="shared" si="115"/>
        <v>400.896</v>
      </c>
      <c r="AC2408" s="67">
        <f t="shared" si="102"/>
        <v>326.4</v>
      </c>
      <c r="AD2408" s="67">
        <f t="shared" si="116"/>
        <v>52.224</v>
      </c>
      <c r="AE2408" s="67">
        <f t="shared" si="117"/>
        <v>378.624</v>
      </c>
      <c r="AF2408" s="67">
        <f t="shared" si="105"/>
        <v>318.72</v>
      </c>
      <c r="AG2408" s="67">
        <f t="shared" si="118"/>
        <v>50.9952</v>
      </c>
      <c r="AH2408" s="67">
        <f t="shared" si="119"/>
        <v>369.7152</v>
      </c>
      <c r="AI2408" s="67">
        <f t="shared" si="108"/>
        <v>307.2</v>
      </c>
      <c r="AJ2408" s="68">
        <f t="shared" si="120"/>
        <v>49.152</v>
      </c>
      <c r="AK2408" s="68">
        <f t="shared" si="121"/>
        <v>356.352</v>
      </c>
      <c r="AL2408" s="70"/>
      <c r="AM2408" s="70"/>
      <c r="AN2408" s="71"/>
      <c r="AO2408" s="71"/>
      <c r="AP2408" s="71"/>
      <c r="AQ2408" s="71"/>
      <c r="AR2408" s="71"/>
      <c r="AS2408" s="71"/>
      <c r="AT2408" s="71"/>
      <c r="AU2408" s="71"/>
      <c r="AV2408" s="71"/>
      <c r="AW2408" s="71"/>
      <c r="AX2408" s="71"/>
      <c r="AY2408" s="71"/>
      <c r="AZ2408" s="71"/>
      <c r="BA2408" s="71"/>
      <c r="BB2408" s="71"/>
      <c r="BC2408" s="71"/>
      <c r="BD2408" s="71"/>
      <c r="BE2408" s="71"/>
      <c r="BF2408" s="71"/>
      <c r="BG2408" s="71"/>
      <c r="BH2408" s="71"/>
      <c r="BI2408" s="71"/>
      <c r="BJ2408" s="71"/>
      <c r="BK2408" s="71"/>
      <c r="BL2408" s="71"/>
      <c r="BM2408" s="71"/>
      <c r="BN2408" s="71"/>
      <c r="BO2408" s="71"/>
      <c r="BP2408" s="71"/>
      <c r="BQ2408" s="71"/>
      <c r="BR2408" s="71"/>
      <c r="BS2408" s="71"/>
      <c r="BT2408" s="71"/>
      <c r="BU2408" s="71"/>
      <c r="BV2408" s="71"/>
    </row>
    <row r="2409">
      <c r="A2409" s="53">
        <v>1.0</v>
      </c>
      <c r="B2409" s="53"/>
      <c r="C2409" s="73" t="s">
        <v>53</v>
      </c>
      <c r="D2409" s="74" t="s">
        <v>5918</v>
      </c>
      <c r="E2409" s="54" t="s">
        <v>38</v>
      </c>
      <c r="F2409" s="54" t="s">
        <v>42</v>
      </c>
      <c r="G2409" s="88" t="s">
        <v>5919</v>
      </c>
      <c r="H2409" s="54" t="s">
        <v>5920</v>
      </c>
      <c r="I2409" s="54">
        <f t="shared" si="24"/>
        <v>16</v>
      </c>
      <c r="J2409" s="56"/>
      <c r="K2409" s="57"/>
      <c r="L2409" s="87"/>
      <c r="M2409" s="59"/>
      <c r="N2409" s="60">
        <v>116.0</v>
      </c>
      <c r="O2409" s="61">
        <v>125.0</v>
      </c>
      <c r="P2409" s="62">
        <v>135.0</v>
      </c>
      <c r="Q2409" s="63">
        <v>135.0</v>
      </c>
      <c r="R2409" s="64">
        <v>152.0</v>
      </c>
      <c r="S2409" s="111">
        <v>160.0</v>
      </c>
      <c r="T2409" s="65">
        <f t="shared" si="93"/>
        <v>25.6</v>
      </c>
      <c r="U2409" s="65">
        <f t="shared" si="94"/>
        <v>185.6</v>
      </c>
      <c r="V2409" s="66">
        <f t="shared" si="122"/>
        <v>0.05263157895</v>
      </c>
      <c r="W2409" s="67">
        <f t="shared" si="96"/>
        <v>152</v>
      </c>
      <c r="X2409" s="67">
        <f t="shared" si="112"/>
        <v>24.32</v>
      </c>
      <c r="Y2409" s="67">
        <f t="shared" si="113"/>
        <v>176.32</v>
      </c>
      <c r="Z2409" s="67">
        <f t="shared" si="99"/>
        <v>144</v>
      </c>
      <c r="AA2409" s="67">
        <f t="shared" si="114"/>
        <v>23.04</v>
      </c>
      <c r="AB2409" s="67">
        <f t="shared" si="115"/>
        <v>167.04</v>
      </c>
      <c r="AC2409" s="67">
        <f t="shared" si="102"/>
        <v>136</v>
      </c>
      <c r="AD2409" s="67">
        <f t="shared" si="116"/>
        <v>21.76</v>
      </c>
      <c r="AE2409" s="67">
        <f t="shared" si="117"/>
        <v>157.76</v>
      </c>
      <c r="AF2409" s="67">
        <f t="shared" si="105"/>
        <v>132.8</v>
      </c>
      <c r="AG2409" s="67">
        <f t="shared" si="118"/>
        <v>21.248</v>
      </c>
      <c r="AH2409" s="67">
        <f t="shared" si="119"/>
        <v>154.048</v>
      </c>
      <c r="AI2409" s="67">
        <f t="shared" si="108"/>
        <v>128</v>
      </c>
      <c r="AJ2409" s="68">
        <f t="shared" si="120"/>
        <v>20.48</v>
      </c>
      <c r="AK2409" s="68">
        <f t="shared" si="121"/>
        <v>148.48</v>
      </c>
      <c r="AL2409" s="70"/>
      <c r="AM2409" s="70"/>
      <c r="AN2409" s="71"/>
      <c r="AO2409" s="71"/>
      <c r="AP2409" s="71"/>
      <c r="AQ2409" s="71"/>
      <c r="AR2409" s="71"/>
      <c r="AS2409" s="71"/>
      <c r="AT2409" s="71"/>
      <c r="AU2409" s="71"/>
      <c r="AV2409" s="71"/>
      <c r="AW2409" s="71"/>
      <c r="AX2409" s="71"/>
      <c r="AY2409" s="71"/>
      <c r="AZ2409" s="71"/>
      <c r="BA2409" s="71"/>
      <c r="BB2409" s="71"/>
      <c r="BC2409" s="71"/>
      <c r="BD2409" s="71"/>
      <c r="BE2409" s="71"/>
      <c r="BF2409" s="71"/>
      <c r="BG2409" s="71"/>
      <c r="BH2409" s="71"/>
      <c r="BI2409" s="71"/>
      <c r="BJ2409" s="71"/>
      <c r="BK2409" s="71"/>
      <c r="BL2409" s="71"/>
      <c r="BM2409" s="71"/>
      <c r="BN2409" s="71"/>
      <c r="BO2409" s="71"/>
      <c r="BP2409" s="71"/>
      <c r="BQ2409" s="71"/>
      <c r="BR2409" s="71"/>
      <c r="BS2409" s="71"/>
      <c r="BT2409" s="71"/>
      <c r="BU2409" s="71"/>
      <c r="BV2409" s="71"/>
    </row>
    <row r="2410">
      <c r="A2410" s="53">
        <v>1.0</v>
      </c>
      <c r="B2410" s="53"/>
      <c r="C2410" s="73" t="s">
        <v>53</v>
      </c>
      <c r="D2410" s="74" t="s">
        <v>5921</v>
      </c>
      <c r="E2410" s="54" t="s">
        <v>38</v>
      </c>
      <c r="F2410" s="54" t="s">
        <v>42</v>
      </c>
      <c r="G2410" s="88" t="s">
        <v>5922</v>
      </c>
      <c r="H2410" s="54" t="s">
        <v>5923</v>
      </c>
      <c r="I2410" s="54">
        <f t="shared" si="24"/>
        <v>39</v>
      </c>
      <c r="J2410" s="56"/>
      <c r="K2410" s="57"/>
      <c r="L2410" s="87"/>
      <c r="M2410" s="59"/>
      <c r="N2410" s="60">
        <v>259.0</v>
      </c>
      <c r="O2410" s="61">
        <v>279.0</v>
      </c>
      <c r="P2410" s="62">
        <v>301.32</v>
      </c>
      <c r="Q2410" s="63">
        <v>301.32</v>
      </c>
      <c r="R2410" s="64">
        <v>336.0</v>
      </c>
      <c r="S2410" s="111">
        <v>353.0</v>
      </c>
      <c r="T2410" s="65">
        <f t="shared" si="93"/>
        <v>56.48</v>
      </c>
      <c r="U2410" s="65">
        <f t="shared" si="94"/>
        <v>409.48</v>
      </c>
      <c r="V2410" s="66">
        <f t="shared" si="122"/>
        <v>0.0505952381</v>
      </c>
      <c r="W2410" s="67">
        <f t="shared" si="96"/>
        <v>335.35</v>
      </c>
      <c r="X2410" s="67">
        <f t="shared" si="112"/>
        <v>53.656</v>
      </c>
      <c r="Y2410" s="67">
        <f t="shared" si="113"/>
        <v>389.006</v>
      </c>
      <c r="Z2410" s="67">
        <f t="shared" si="99"/>
        <v>317.7</v>
      </c>
      <c r="AA2410" s="67">
        <f t="shared" si="114"/>
        <v>50.832</v>
      </c>
      <c r="AB2410" s="67">
        <f t="shared" si="115"/>
        <v>368.532</v>
      </c>
      <c r="AC2410" s="67">
        <f t="shared" si="102"/>
        <v>300.05</v>
      </c>
      <c r="AD2410" s="67">
        <f t="shared" si="116"/>
        <v>48.008</v>
      </c>
      <c r="AE2410" s="67">
        <f t="shared" si="117"/>
        <v>348.058</v>
      </c>
      <c r="AF2410" s="67">
        <f t="shared" si="105"/>
        <v>292.99</v>
      </c>
      <c r="AG2410" s="67">
        <f t="shared" si="118"/>
        <v>46.8784</v>
      </c>
      <c r="AH2410" s="67">
        <f t="shared" si="119"/>
        <v>339.8684</v>
      </c>
      <c r="AI2410" s="67">
        <f t="shared" si="108"/>
        <v>282.4</v>
      </c>
      <c r="AJ2410" s="68">
        <f t="shared" si="120"/>
        <v>45.184</v>
      </c>
      <c r="AK2410" s="68">
        <f t="shared" si="121"/>
        <v>327.584</v>
      </c>
      <c r="AL2410" s="70"/>
      <c r="AM2410" s="70"/>
      <c r="AN2410" s="71"/>
      <c r="AO2410" s="71"/>
      <c r="AP2410" s="71"/>
      <c r="AQ2410" s="71"/>
      <c r="AR2410" s="71"/>
      <c r="AS2410" s="71"/>
      <c r="AT2410" s="71"/>
      <c r="AU2410" s="71"/>
      <c r="AV2410" s="71"/>
      <c r="AW2410" s="71"/>
      <c r="AX2410" s="71"/>
      <c r="AY2410" s="71"/>
      <c r="AZ2410" s="71"/>
      <c r="BA2410" s="71"/>
      <c r="BB2410" s="71"/>
      <c r="BC2410" s="71"/>
      <c r="BD2410" s="71"/>
      <c r="BE2410" s="71"/>
      <c r="BF2410" s="71"/>
      <c r="BG2410" s="71"/>
      <c r="BH2410" s="71"/>
      <c r="BI2410" s="71"/>
      <c r="BJ2410" s="71"/>
      <c r="BK2410" s="71"/>
      <c r="BL2410" s="71"/>
      <c r="BM2410" s="71"/>
      <c r="BN2410" s="71"/>
      <c r="BO2410" s="71"/>
      <c r="BP2410" s="71"/>
      <c r="BQ2410" s="71"/>
      <c r="BR2410" s="71"/>
      <c r="BS2410" s="71"/>
      <c r="BT2410" s="71"/>
      <c r="BU2410" s="71"/>
      <c r="BV2410" s="71"/>
    </row>
    <row r="2411">
      <c r="A2411" s="53"/>
      <c r="B2411" s="53"/>
      <c r="C2411" s="73" t="s">
        <v>12</v>
      </c>
      <c r="D2411" s="53" t="s">
        <v>5924</v>
      </c>
      <c r="E2411" s="54" t="s">
        <v>38</v>
      </c>
      <c r="F2411" s="54" t="s">
        <v>42</v>
      </c>
      <c r="G2411" s="55" t="s">
        <v>5925</v>
      </c>
      <c r="H2411" s="54" t="s">
        <v>5926</v>
      </c>
      <c r="I2411" s="54">
        <f t="shared" si="24"/>
        <v>22</v>
      </c>
      <c r="J2411" s="56"/>
      <c r="K2411" s="57"/>
      <c r="L2411" s="76"/>
      <c r="M2411" s="59"/>
      <c r="N2411" s="79">
        <v>87.0</v>
      </c>
      <c r="O2411" s="61">
        <v>93.0</v>
      </c>
      <c r="P2411" s="62">
        <v>100.44000000000001</v>
      </c>
      <c r="Q2411" s="63">
        <v>100.44000000000001</v>
      </c>
      <c r="R2411" s="64">
        <v>105.0</v>
      </c>
      <c r="S2411" s="111">
        <v>110.0</v>
      </c>
      <c r="T2411" s="65">
        <f t="shared" si="93"/>
        <v>17.6</v>
      </c>
      <c r="U2411" s="65">
        <f t="shared" si="94"/>
        <v>127.6</v>
      </c>
      <c r="V2411" s="66">
        <f t="shared" si="122"/>
        <v>0.04761904762</v>
      </c>
      <c r="W2411" s="67">
        <f t="shared" si="96"/>
        <v>104.5</v>
      </c>
      <c r="X2411" s="67">
        <f t="shared" si="112"/>
        <v>16.72</v>
      </c>
      <c r="Y2411" s="67">
        <f t="shared" si="113"/>
        <v>121.22</v>
      </c>
      <c r="Z2411" s="67">
        <f t="shared" si="99"/>
        <v>99</v>
      </c>
      <c r="AA2411" s="67">
        <f t="shared" si="114"/>
        <v>15.84</v>
      </c>
      <c r="AB2411" s="67">
        <f t="shared" si="115"/>
        <v>114.84</v>
      </c>
      <c r="AC2411" s="67">
        <f t="shared" si="102"/>
        <v>93.5</v>
      </c>
      <c r="AD2411" s="67">
        <f t="shared" si="116"/>
        <v>14.96</v>
      </c>
      <c r="AE2411" s="67">
        <f t="shared" si="117"/>
        <v>108.46</v>
      </c>
      <c r="AF2411" s="67">
        <f t="shared" si="105"/>
        <v>91.3</v>
      </c>
      <c r="AG2411" s="67">
        <f t="shared" si="118"/>
        <v>14.608</v>
      </c>
      <c r="AH2411" s="67">
        <f t="shared" si="119"/>
        <v>105.908</v>
      </c>
      <c r="AI2411" s="67">
        <f t="shared" si="108"/>
        <v>88</v>
      </c>
      <c r="AJ2411" s="68">
        <f t="shared" si="120"/>
        <v>14.08</v>
      </c>
      <c r="AK2411" s="68">
        <f t="shared" si="121"/>
        <v>102.08</v>
      </c>
      <c r="AL2411" s="70"/>
      <c r="AM2411" s="70"/>
      <c r="AN2411" s="71"/>
      <c r="AO2411" s="71"/>
      <c r="AP2411" s="71"/>
      <c r="AQ2411" s="71"/>
      <c r="AR2411" s="71"/>
      <c r="AS2411" s="71"/>
      <c r="AT2411" s="71"/>
      <c r="AU2411" s="71"/>
      <c r="AV2411" s="71"/>
      <c r="AW2411" s="71"/>
      <c r="AX2411" s="71"/>
      <c r="AY2411" s="71"/>
      <c r="AZ2411" s="71"/>
      <c r="BA2411" s="71"/>
      <c r="BB2411" s="71"/>
      <c r="BC2411" s="71"/>
      <c r="BD2411" s="71"/>
      <c r="BE2411" s="71"/>
      <c r="BF2411" s="71"/>
      <c r="BG2411" s="71"/>
      <c r="BH2411" s="71"/>
      <c r="BI2411" s="71"/>
      <c r="BJ2411" s="71"/>
      <c r="BK2411" s="71"/>
      <c r="BL2411" s="71"/>
      <c r="BM2411" s="71"/>
      <c r="BN2411" s="71"/>
      <c r="BO2411" s="71"/>
      <c r="BP2411" s="71"/>
      <c r="BQ2411" s="71"/>
      <c r="BR2411" s="71"/>
      <c r="BS2411" s="71"/>
      <c r="BT2411" s="71"/>
      <c r="BU2411" s="71"/>
      <c r="BV2411" s="71"/>
    </row>
    <row r="2412">
      <c r="A2412" s="53"/>
      <c r="B2412" s="53"/>
      <c r="C2412" s="73" t="s">
        <v>12</v>
      </c>
      <c r="D2412" s="53" t="s">
        <v>5927</v>
      </c>
      <c r="E2412" s="54" t="s">
        <v>38</v>
      </c>
      <c r="F2412" s="54" t="s">
        <v>42</v>
      </c>
      <c r="G2412" s="55" t="s">
        <v>5928</v>
      </c>
      <c r="H2412" s="54" t="s">
        <v>5928</v>
      </c>
      <c r="I2412" s="54">
        <f t="shared" si="24"/>
        <v>23</v>
      </c>
      <c r="J2412" s="56"/>
      <c r="K2412" s="57"/>
      <c r="L2412" s="76"/>
      <c r="M2412" s="59"/>
      <c r="N2412" s="79"/>
      <c r="O2412" s="61">
        <v>664.0</v>
      </c>
      <c r="P2412" s="62">
        <v>717.12</v>
      </c>
      <c r="Q2412" s="63">
        <v>717.12</v>
      </c>
      <c r="R2412" s="64">
        <v>753.0</v>
      </c>
      <c r="S2412" s="111">
        <v>791.0</v>
      </c>
      <c r="T2412" s="65">
        <f t="shared" si="93"/>
        <v>126.56</v>
      </c>
      <c r="U2412" s="65">
        <f t="shared" si="94"/>
        <v>917.56</v>
      </c>
      <c r="V2412" s="66">
        <f t="shared" si="122"/>
        <v>0.05046480744</v>
      </c>
      <c r="W2412" s="67">
        <f t="shared" si="96"/>
        <v>751.45</v>
      </c>
      <c r="X2412" s="67">
        <f t="shared" si="112"/>
        <v>120.232</v>
      </c>
      <c r="Y2412" s="67">
        <f t="shared" si="113"/>
        <v>871.682</v>
      </c>
      <c r="Z2412" s="67">
        <f t="shared" si="99"/>
        <v>711.9</v>
      </c>
      <c r="AA2412" s="67">
        <f t="shared" si="114"/>
        <v>113.904</v>
      </c>
      <c r="AB2412" s="67">
        <f t="shared" si="115"/>
        <v>825.804</v>
      </c>
      <c r="AC2412" s="67">
        <f t="shared" si="102"/>
        <v>672.35</v>
      </c>
      <c r="AD2412" s="67">
        <f t="shared" si="116"/>
        <v>107.576</v>
      </c>
      <c r="AE2412" s="67">
        <f t="shared" si="117"/>
        <v>779.926</v>
      </c>
      <c r="AF2412" s="67">
        <f t="shared" si="105"/>
        <v>656.53</v>
      </c>
      <c r="AG2412" s="67">
        <f t="shared" si="118"/>
        <v>105.0448</v>
      </c>
      <c r="AH2412" s="67">
        <f t="shared" si="119"/>
        <v>761.5748</v>
      </c>
      <c r="AI2412" s="67">
        <f t="shared" si="108"/>
        <v>632.8</v>
      </c>
      <c r="AJ2412" s="68">
        <f t="shared" si="120"/>
        <v>101.248</v>
      </c>
      <c r="AK2412" s="68">
        <f t="shared" si="121"/>
        <v>734.048</v>
      </c>
      <c r="AL2412" s="70"/>
      <c r="AM2412" s="70"/>
      <c r="AN2412" s="71"/>
      <c r="AO2412" s="71"/>
      <c r="AP2412" s="71"/>
      <c r="AQ2412" s="71"/>
      <c r="AR2412" s="71"/>
      <c r="AS2412" s="71"/>
      <c r="AT2412" s="71"/>
      <c r="AU2412" s="71"/>
      <c r="AV2412" s="71"/>
      <c r="AW2412" s="71"/>
      <c r="AX2412" s="71"/>
      <c r="AY2412" s="71"/>
      <c r="AZ2412" s="71"/>
      <c r="BA2412" s="71"/>
      <c r="BB2412" s="71"/>
      <c r="BC2412" s="71"/>
      <c r="BD2412" s="71"/>
      <c r="BE2412" s="71"/>
      <c r="BF2412" s="71"/>
      <c r="BG2412" s="71"/>
      <c r="BH2412" s="71"/>
      <c r="BI2412" s="71"/>
      <c r="BJ2412" s="71"/>
      <c r="BK2412" s="71"/>
      <c r="BL2412" s="71"/>
      <c r="BM2412" s="71"/>
      <c r="BN2412" s="71"/>
      <c r="BO2412" s="71"/>
      <c r="BP2412" s="71"/>
      <c r="BQ2412" s="71"/>
      <c r="BR2412" s="71"/>
      <c r="BS2412" s="71"/>
      <c r="BT2412" s="71"/>
      <c r="BU2412" s="71"/>
      <c r="BV2412" s="71"/>
    </row>
    <row r="2413">
      <c r="A2413" s="53"/>
      <c r="B2413" s="53"/>
      <c r="C2413" s="73" t="s">
        <v>12</v>
      </c>
      <c r="D2413" s="53" t="s">
        <v>5929</v>
      </c>
      <c r="E2413" s="54" t="s">
        <v>38</v>
      </c>
      <c r="F2413" s="54" t="s">
        <v>42</v>
      </c>
      <c r="G2413" s="55" t="s">
        <v>5930</v>
      </c>
      <c r="H2413" s="54" t="s">
        <v>5931</v>
      </c>
      <c r="I2413" s="54">
        <f t="shared" si="24"/>
        <v>19</v>
      </c>
      <c r="J2413" s="56"/>
      <c r="K2413" s="57"/>
      <c r="L2413" s="76"/>
      <c r="M2413" s="59"/>
      <c r="N2413" s="79">
        <v>59.0</v>
      </c>
      <c r="O2413" s="61">
        <v>63.0</v>
      </c>
      <c r="P2413" s="62">
        <v>68.04</v>
      </c>
      <c r="Q2413" s="63">
        <v>68.04</v>
      </c>
      <c r="R2413" s="64">
        <v>72.0</v>
      </c>
      <c r="S2413" s="111">
        <v>76.0</v>
      </c>
      <c r="T2413" s="65">
        <f t="shared" si="93"/>
        <v>12.16</v>
      </c>
      <c r="U2413" s="65">
        <f t="shared" si="94"/>
        <v>88.16</v>
      </c>
      <c r="V2413" s="66">
        <f t="shared" si="122"/>
        <v>0.05555555556</v>
      </c>
      <c r="W2413" s="67">
        <f t="shared" si="96"/>
        <v>72.2</v>
      </c>
      <c r="X2413" s="67">
        <f t="shared" si="112"/>
        <v>11.552</v>
      </c>
      <c r="Y2413" s="67">
        <f t="shared" si="113"/>
        <v>83.752</v>
      </c>
      <c r="Z2413" s="67">
        <f t="shared" si="99"/>
        <v>68.4</v>
      </c>
      <c r="AA2413" s="67">
        <f t="shared" si="114"/>
        <v>10.944</v>
      </c>
      <c r="AB2413" s="67">
        <f t="shared" si="115"/>
        <v>79.344</v>
      </c>
      <c r="AC2413" s="67">
        <f t="shared" si="102"/>
        <v>64.6</v>
      </c>
      <c r="AD2413" s="67">
        <f t="shared" si="116"/>
        <v>10.336</v>
      </c>
      <c r="AE2413" s="67">
        <f t="shared" si="117"/>
        <v>74.936</v>
      </c>
      <c r="AF2413" s="67">
        <f t="shared" si="105"/>
        <v>63.08</v>
      </c>
      <c r="AG2413" s="67">
        <f t="shared" si="118"/>
        <v>10.0928</v>
      </c>
      <c r="AH2413" s="67">
        <f t="shared" si="119"/>
        <v>73.1728</v>
      </c>
      <c r="AI2413" s="67">
        <f t="shared" si="108"/>
        <v>60.8</v>
      </c>
      <c r="AJ2413" s="68">
        <f t="shared" si="120"/>
        <v>9.728</v>
      </c>
      <c r="AK2413" s="68">
        <f t="shared" si="121"/>
        <v>70.528</v>
      </c>
      <c r="AL2413" s="70"/>
      <c r="AM2413" s="70"/>
      <c r="AN2413" s="71"/>
      <c r="AO2413" s="71"/>
      <c r="AP2413" s="71"/>
      <c r="AQ2413" s="71"/>
      <c r="AR2413" s="71"/>
      <c r="AS2413" s="71"/>
      <c r="AT2413" s="71"/>
      <c r="AU2413" s="71"/>
      <c r="AV2413" s="71"/>
      <c r="AW2413" s="71"/>
      <c r="AX2413" s="71"/>
      <c r="AY2413" s="71"/>
      <c r="AZ2413" s="71"/>
      <c r="BA2413" s="71"/>
      <c r="BB2413" s="71"/>
      <c r="BC2413" s="71"/>
      <c r="BD2413" s="71"/>
      <c r="BE2413" s="71"/>
      <c r="BF2413" s="71"/>
      <c r="BG2413" s="71"/>
      <c r="BH2413" s="71"/>
      <c r="BI2413" s="71"/>
      <c r="BJ2413" s="71"/>
      <c r="BK2413" s="71"/>
      <c r="BL2413" s="71"/>
      <c r="BM2413" s="71"/>
      <c r="BN2413" s="71"/>
      <c r="BO2413" s="71"/>
      <c r="BP2413" s="71"/>
      <c r="BQ2413" s="71"/>
      <c r="BR2413" s="71"/>
      <c r="BS2413" s="71"/>
      <c r="BT2413" s="71"/>
      <c r="BU2413" s="71"/>
      <c r="BV2413" s="71"/>
    </row>
    <row r="2414">
      <c r="A2414" s="53"/>
      <c r="B2414" s="53"/>
      <c r="C2414" s="73" t="s">
        <v>12</v>
      </c>
      <c r="D2414" s="53" t="s">
        <v>5932</v>
      </c>
      <c r="E2414" s="54" t="s">
        <v>38</v>
      </c>
      <c r="F2414" s="55" t="s">
        <v>39</v>
      </c>
      <c r="G2414" s="55" t="s">
        <v>5933</v>
      </c>
      <c r="H2414" s="55" t="s">
        <v>5934</v>
      </c>
      <c r="I2414" s="54">
        <f t="shared" si="24"/>
        <v>35</v>
      </c>
      <c r="J2414" s="56"/>
      <c r="K2414" s="57"/>
      <c r="L2414" s="76"/>
      <c r="M2414" s="59"/>
      <c r="N2414" s="60"/>
      <c r="O2414" s="90"/>
      <c r="P2414" s="62">
        <v>246.48</v>
      </c>
      <c r="Q2414" s="63">
        <v>246.48</v>
      </c>
      <c r="R2414" s="64">
        <v>259.0</v>
      </c>
      <c r="S2414" s="111">
        <v>272.0</v>
      </c>
      <c r="T2414" s="65">
        <f t="shared" si="93"/>
        <v>43.52</v>
      </c>
      <c r="U2414" s="65">
        <f t="shared" si="94"/>
        <v>315.52</v>
      </c>
      <c r="V2414" s="66">
        <f t="shared" si="122"/>
        <v>0.05019305019</v>
      </c>
      <c r="W2414" s="67">
        <f t="shared" si="96"/>
        <v>258.4</v>
      </c>
      <c r="X2414" s="67">
        <f t="shared" si="112"/>
        <v>41.344</v>
      </c>
      <c r="Y2414" s="67">
        <f t="shared" si="113"/>
        <v>299.744</v>
      </c>
      <c r="Z2414" s="67">
        <f t="shared" si="99"/>
        <v>244.8</v>
      </c>
      <c r="AA2414" s="67">
        <f t="shared" si="114"/>
        <v>39.168</v>
      </c>
      <c r="AB2414" s="67">
        <f t="shared" si="115"/>
        <v>283.968</v>
      </c>
      <c r="AC2414" s="67">
        <f t="shared" si="102"/>
        <v>231.2</v>
      </c>
      <c r="AD2414" s="67">
        <f t="shared" si="116"/>
        <v>36.992</v>
      </c>
      <c r="AE2414" s="67">
        <f t="shared" si="117"/>
        <v>268.192</v>
      </c>
      <c r="AF2414" s="67">
        <f t="shared" si="105"/>
        <v>225.76</v>
      </c>
      <c r="AG2414" s="67">
        <f t="shared" si="118"/>
        <v>36.1216</v>
      </c>
      <c r="AH2414" s="67">
        <f t="shared" si="119"/>
        <v>261.8816</v>
      </c>
      <c r="AI2414" s="67">
        <f t="shared" si="108"/>
        <v>217.6</v>
      </c>
      <c r="AJ2414" s="68">
        <f t="shared" si="120"/>
        <v>34.816</v>
      </c>
      <c r="AK2414" s="68">
        <f t="shared" si="121"/>
        <v>252.416</v>
      </c>
      <c r="AL2414" s="70"/>
      <c r="AM2414" s="70"/>
      <c r="AN2414" s="71"/>
      <c r="AO2414" s="71"/>
      <c r="AP2414" s="71"/>
      <c r="AQ2414" s="71"/>
      <c r="AR2414" s="71"/>
      <c r="AS2414" s="71"/>
      <c r="AT2414" s="71"/>
      <c r="AU2414" s="71"/>
      <c r="AV2414" s="71"/>
      <c r="AW2414" s="71"/>
      <c r="AX2414" s="71"/>
      <c r="AY2414" s="71"/>
      <c r="AZ2414" s="71"/>
      <c r="BA2414" s="71"/>
      <c r="BB2414" s="71"/>
      <c r="BC2414" s="71"/>
      <c r="BD2414" s="71"/>
      <c r="BE2414" s="71"/>
      <c r="BF2414" s="71"/>
      <c r="BG2414" s="71"/>
      <c r="BH2414" s="71"/>
      <c r="BI2414" s="71"/>
      <c r="BJ2414" s="71"/>
      <c r="BK2414" s="71"/>
      <c r="BL2414" s="71"/>
      <c r="BM2414" s="71"/>
      <c r="BN2414" s="71"/>
      <c r="BO2414" s="71"/>
      <c r="BP2414" s="71"/>
      <c r="BQ2414" s="71"/>
      <c r="BR2414" s="71"/>
      <c r="BS2414" s="71"/>
      <c r="BT2414" s="71"/>
      <c r="BU2414" s="71"/>
      <c r="BV2414" s="71"/>
    </row>
    <row r="2415">
      <c r="A2415" s="53"/>
      <c r="B2415" s="53"/>
      <c r="C2415" s="73" t="s">
        <v>12</v>
      </c>
      <c r="D2415" s="53" t="s">
        <v>5935</v>
      </c>
      <c r="E2415" s="54" t="s">
        <v>38</v>
      </c>
      <c r="F2415" s="55" t="s">
        <v>39</v>
      </c>
      <c r="G2415" s="55" t="s">
        <v>5936</v>
      </c>
      <c r="H2415" s="55" t="s">
        <v>5937</v>
      </c>
      <c r="I2415" s="54">
        <f t="shared" si="24"/>
        <v>35</v>
      </c>
      <c r="J2415" s="56"/>
      <c r="K2415" s="57"/>
      <c r="L2415" s="76"/>
      <c r="M2415" s="59"/>
      <c r="N2415" s="60"/>
      <c r="O2415" s="90"/>
      <c r="P2415" s="62">
        <v>205.36</v>
      </c>
      <c r="Q2415" s="63">
        <v>205.36</v>
      </c>
      <c r="R2415" s="64">
        <v>216.0</v>
      </c>
      <c r="S2415" s="111">
        <v>227.0</v>
      </c>
      <c r="T2415" s="65">
        <f t="shared" si="93"/>
        <v>36.32</v>
      </c>
      <c r="U2415" s="65">
        <f t="shared" si="94"/>
        <v>263.32</v>
      </c>
      <c r="V2415" s="66">
        <f t="shared" si="122"/>
        <v>0.05092592593</v>
      </c>
      <c r="W2415" s="67">
        <f t="shared" si="96"/>
        <v>215.65</v>
      </c>
      <c r="X2415" s="67">
        <f t="shared" si="112"/>
        <v>34.504</v>
      </c>
      <c r="Y2415" s="67">
        <f t="shared" si="113"/>
        <v>250.154</v>
      </c>
      <c r="Z2415" s="67">
        <f t="shared" si="99"/>
        <v>204.3</v>
      </c>
      <c r="AA2415" s="67">
        <f t="shared" si="114"/>
        <v>32.688</v>
      </c>
      <c r="AB2415" s="67">
        <f t="shared" si="115"/>
        <v>236.988</v>
      </c>
      <c r="AC2415" s="67">
        <f t="shared" si="102"/>
        <v>192.95</v>
      </c>
      <c r="AD2415" s="67">
        <f t="shared" si="116"/>
        <v>30.872</v>
      </c>
      <c r="AE2415" s="67">
        <f t="shared" si="117"/>
        <v>223.822</v>
      </c>
      <c r="AF2415" s="67">
        <f t="shared" si="105"/>
        <v>188.41</v>
      </c>
      <c r="AG2415" s="67">
        <f t="shared" si="118"/>
        <v>30.1456</v>
      </c>
      <c r="AH2415" s="67">
        <f t="shared" si="119"/>
        <v>218.5556</v>
      </c>
      <c r="AI2415" s="67">
        <f t="shared" si="108"/>
        <v>181.6</v>
      </c>
      <c r="AJ2415" s="68">
        <f t="shared" si="120"/>
        <v>29.056</v>
      </c>
      <c r="AK2415" s="68">
        <f t="shared" si="121"/>
        <v>210.656</v>
      </c>
      <c r="AL2415" s="70"/>
      <c r="AM2415" s="70"/>
      <c r="AN2415" s="71"/>
      <c r="AO2415" s="71"/>
      <c r="AP2415" s="71"/>
      <c r="AQ2415" s="71"/>
      <c r="AR2415" s="71"/>
      <c r="AS2415" s="71"/>
      <c r="AT2415" s="71"/>
      <c r="AU2415" s="71"/>
      <c r="AV2415" s="71"/>
      <c r="AW2415" s="71"/>
      <c r="AX2415" s="71"/>
      <c r="AY2415" s="71"/>
      <c r="AZ2415" s="71"/>
      <c r="BA2415" s="71"/>
      <c r="BB2415" s="71"/>
      <c r="BC2415" s="71"/>
      <c r="BD2415" s="71"/>
      <c r="BE2415" s="71"/>
      <c r="BF2415" s="71"/>
      <c r="BG2415" s="71"/>
      <c r="BH2415" s="71"/>
      <c r="BI2415" s="71"/>
      <c r="BJ2415" s="71"/>
      <c r="BK2415" s="71"/>
      <c r="BL2415" s="71"/>
      <c r="BM2415" s="71"/>
      <c r="BN2415" s="71"/>
      <c r="BO2415" s="71"/>
      <c r="BP2415" s="71"/>
      <c r="BQ2415" s="71"/>
      <c r="BR2415" s="71"/>
      <c r="BS2415" s="71"/>
      <c r="BT2415" s="71"/>
      <c r="BU2415" s="71"/>
      <c r="BV2415" s="71"/>
    </row>
    <row r="2416">
      <c r="A2416" s="53"/>
      <c r="B2416" s="53"/>
      <c r="C2416" s="53" t="s">
        <v>12</v>
      </c>
      <c r="D2416" s="53" t="s">
        <v>5938</v>
      </c>
      <c r="E2416" s="54" t="s">
        <v>38</v>
      </c>
      <c r="F2416" s="54" t="s">
        <v>42</v>
      </c>
      <c r="G2416" s="84" t="s">
        <v>5939</v>
      </c>
      <c r="H2416" s="84" t="s">
        <v>5939</v>
      </c>
      <c r="I2416" s="54">
        <f t="shared" si="24"/>
        <v>34</v>
      </c>
      <c r="J2416" s="56"/>
      <c r="K2416" s="57"/>
      <c r="L2416" s="76"/>
      <c r="M2416" s="59"/>
      <c r="N2416" s="60"/>
      <c r="O2416" s="90"/>
      <c r="P2416" s="62">
        <v>354.0</v>
      </c>
      <c r="Q2416" s="63">
        <v>354.0</v>
      </c>
      <c r="R2416" s="64">
        <v>372.0</v>
      </c>
      <c r="S2416" s="111">
        <v>391.0</v>
      </c>
      <c r="T2416" s="65">
        <f t="shared" si="93"/>
        <v>62.56</v>
      </c>
      <c r="U2416" s="65">
        <f t="shared" si="94"/>
        <v>453.56</v>
      </c>
      <c r="V2416" s="66"/>
      <c r="W2416" s="67">
        <f t="shared" si="96"/>
        <v>371.45</v>
      </c>
      <c r="X2416" s="67">
        <f t="shared" si="112"/>
        <v>59.432</v>
      </c>
      <c r="Y2416" s="67">
        <f t="shared" si="113"/>
        <v>430.882</v>
      </c>
      <c r="Z2416" s="67">
        <f t="shared" si="99"/>
        <v>351.9</v>
      </c>
      <c r="AA2416" s="67">
        <f t="shared" si="114"/>
        <v>56.304</v>
      </c>
      <c r="AB2416" s="67">
        <f t="shared" si="115"/>
        <v>408.204</v>
      </c>
      <c r="AC2416" s="67">
        <f t="shared" si="102"/>
        <v>332.35</v>
      </c>
      <c r="AD2416" s="67">
        <f t="shared" si="116"/>
        <v>53.176</v>
      </c>
      <c r="AE2416" s="67">
        <f t="shared" si="117"/>
        <v>385.526</v>
      </c>
      <c r="AF2416" s="67">
        <f t="shared" si="105"/>
        <v>324.53</v>
      </c>
      <c r="AG2416" s="67">
        <f t="shared" si="118"/>
        <v>51.9248</v>
      </c>
      <c r="AH2416" s="67">
        <f t="shared" si="119"/>
        <v>376.4548</v>
      </c>
      <c r="AI2416" s="67">
        <f t="shared" si="108"/>
        <v>312.8</v>
      </c>
      <c r="AJ2416" s="68">
        <f t="shared" si="120"/>
        <v>50.048</v>
      </c>
      <c r="AK2416" s="68">
        <f t="shared" si="121"/>
        <v>362.848</v>
      </c>
      <c r="AL2416" s="70"/>
      <c r="AM2416" s="70"/>
      <c r="AN2416" s="71"/>
      <c r="AO2416" s="71"/>
      <c r="AP2416" s="71"/>
      <c r="AQ2416" s="71"/>
      <c r="AR2416" s="71"/>
      <c r="AS2416" s="71"/>
      <c r="AT2416" s="71"/>
      <c r="AU2416" s="71"/>
      <c r="AV2416" s="71"/>
      <c r="AW2416" s="71"/>
      <c r="AX2416" s="71"/>
      <c r="AY2416" s="71"/>
      <c r="AZ2416" s="71"/>
      <c r="BA2416" s="71"/>
      <c r="BB2416" s="71"/>
      <c r="BC2416" s="71"/>
      <c r="BD2416" s="71"/>
      <c r="BE2416" s="71"/>
      <c r="BF2416" s="71"/>
      <c r="BG2416" s="71"/>
      <c r="BH2416" s="71"/>
      <c r="BI2416" s="71"/>
      <c r="BJ2416" s="71"/>
      <c r="BK2416" s="71"/>
      <c r="BL2416" s="71"/>
      <c r="BM2416" s="71"/>
      <c r="BN2416" s="71"/>
      <c r="BO2416" s="71"/>
      <c r="BP2416" s="71"/>
      <c r="BQ2416" s="71"/>
      <c r="BR2416" s="71"/>
      <c r="BS2416" s="71"/>
      <c r="BT2416" s="71"/>
      <c r="BU2416" s="71"/>
      <c r="BV2416" s="71"/>
    </row>
    <row r="2417">
      <c r="A2417" s="53"/>
      <c r="B2417" s="53"/>
      <c r="C2417" s="53"/>
      <c r="D2417" s="53" t="s">
        <v>5940</v>
      </c>
      <c r="E2417" s="55" t="s">
        <v>38</v>
      </c>
      <c r="F2417" s="89"/>
      <c r="G2417" s="84" t="s">
        <v>5941</v>
      </c>
      <c r="H2417" s="55"/>
      <c r="I2417" s="54">
        <f t="shared" si="24"/>
        <v>0</v>
      </c>
      <c r="J2417" s="56"/>
      <c r="K2417" s="57"/>
      <c r="L2417" s="55"/>
      <c r="M2417" s="59"/>
      <c r="N2417" s="60"/>
      <c r="O2417" s="90"/>
      <c r="P2417" s="62">
        <v>110880.0</v>
      </c>
      <c r="Q2417" s="63">
        <v>110880.0</v>
      </c>
      <c r="R2417" s="64">
        <v>122246.0</v>
      </c>
      <c r="S2417" s="111">
        <v>128358.0</v>
      </c>
      <c r="T2417" s="65">
        <f t="shared" si="93"/>
        <v>20537.28</v>
      </c>
      <c r="U2417" s="65">
        <f t="shared" si="94"/>
        <v>148895.28</v>
      </c>
      <c r="V2417" s="66">
        <f t="shared" ref="V2417:V2520" si="123">(S2417-R2417)/R2417</f>
        <v>0.04999754593</v>
      </c>
      <c r="W2417" s="67">
        <f t="shared" si="96"/>
        <v>121940.1</v>
      </c>
      <c r="X2417" s="67">
        <f t="shared" si="112"/>
        <v>19510.416</v>
      </c>
      <c r="Y2417" s="67">
        <f t="shared" si="113"/>
        <v>141450.516</v>
      </c>
      <c r="Z2417" s="67">
        <f t="shared" si="99"/>
        <v>115522.2</v>
      </c>
      <c r="AA2417" s="67">
        <f t="shared" si="114"/>
        <v>18483.552</v>
      </c>
      <c r="AB2417" s="67">
        <f t="shared" si="115"/>
        <v>134005.752</v>
      </c>
      <c r="AC2417" s="67">
        <f t="shared" si="102"/>
        <v>109104.3</v>
      </c>
      <c r="AD2417" s="67">
        <f t="shared" si="116"/>
        <v>17456.688</v>
      </c>
      <c r="AE2417" s="67">
        <f t="shared" si="117"/>
        <v>126560.988</v>
      </c>
      <c r="AF2417" s="67">
        <f t="shared" si="105"/>
        <v>106537.14</v>
      </c>
      <c r="AG2417" s="67">
        <f t="shared" si="118"/>
        <v>17045.9424</v>
      </c>
      <c r="AH2417" s="67">
        <f t="shared" si="119"/>
        <v>123583.0824</v>
      </c>
      <c r="AI2417" s="67">
        <f t="shared" si="108"/>
        <v>102686.4</v>
      </c>
      <c r="AJ2417" s="68">
        <f t="shared" si="120"/>
        <v>16429.824</v>
      </c>
      <c r="AK2417" s="68">
        <f t="shared" si="121"/>
        <v>119116.224</v>
      </c>
      <c r="AL2417" s="70"/>
      <c r="AM2417" s="70"/>
      <c r="AN2417" s="71"/>
      <c r="AO2417" s="71"/>
      <c r="AP2417" s="71"/>
      <c r="AQ2417" s="71"/>
      <c r="AR2417" s="71"/>
      <c r="AS2417" s="71"/>
      <c r="AT2417" s="71"/>
      <c r="AU2417" s="71"/>
      <c r="AV2417" s="71"/>
      <c r="AW2417" s="71"/>
      <c r="AX2417" s="71"/>
      <c r="AY2417" s="71"/>
      <c r="AZ2417" s="71"/>
      <c r="BA2417" s="71"/>
      <c r="BB2417" s="71"/>
      <c r="BC2417" s="71"/>
      <c r="BD2417" s="71"/>
      <c r="BE2417" s="71"/>
      <c r="BF2417" s="71"/>
      <c r="BG2417" s="71"/>
      <c r="BH2417" s="71"/>
      <c r="BI2417" s="71"/>
      <c r="BJ2417" s="71"/>
      <c r="BK2417" s="71"/>
      <c r="BL2417" s="71"/>
      <c r="BM2417" s="71"/>
      <c r="BN2417" s="71"/>
      <c r="BO2417" s="71"/>
      <c r="BP2417" s="71"/>
      <c r="BQ2417" s="71"/>
      <c r="BR2417" s="71"/>
      <c r="BS2417" s="71"/>
      <c r="BT2417" s="71"/>
      <c r="BU2417" s="71"/>
      <c r="BV2417" s="71"/>
    </row>
    <row r="2418">
      <c r="A2418" s="53">
        <v>1.0</v>
      </c>
      <c r="B2418" s="53"/>
      <c r="C2418" s="73" t="s">
        <v>53</v>
      </c>
      <c r="D2418" s="74" t="s">
        <v>5942</v>
      </c>
      <c r="E2418" s="54" t="s">
        <v>38</v>
      </c>
      <c r="F2418" s="54" t="s">
        <v>42</v>
      </c>
      <c r="G2418" s="88" t="s">
        <v>5943</v>
      </c>
      <c r="H2418" s="54" t="s">
        <v>5943</v>
      </c>
      <c r="I2418" s="54">
        <f t="shared" si="24"/>
        <v>18</v>
      </c>
      <c r="J2418" s="56"/>
      <c r="K2418" s="57"/>
      <c r="L2418" s="87"/>
      <c r="M2418" s="59"/>
      <c r="N2418" s="60">
        <v>318.0</v>
      </c>
      <c r="O2418" s="61">
        <v>343.0</v>
      </c>
      <c r="P2418" s="62">
        <v>370.44</v>
      </c>
      <c r="Q2418" s="63">
        <v>370.44</v>
      </c>
      <c r="R2418" s="64">
        <v>413.0</v>
      </c>
      <c r="S2418" s="111">
        <v>434.0</v>
      </c>
      <c r="T2418" s="65">
        <f t="shared" si="93"/>
        <v>69.44</v>
      </c>
      <c r="U2418" s="65">
        <f t="shared" si="94"/>
        <v>503.44</v>
      </c>
      <c r="V2418" s="66">
        <f t="shared" si="123"/>
        <v>0.05084745763</v>
      </c>
      <c r="W2418" s="67">
        <f t="shared" si="96"/>
        <v>412.3</v>
      </c>
      <c r="X2418" s="67">
        <f t="shared" si="112"/>
        <v>65.968</v>
      </c>
      <c r="Y2418" s="67">
        <f t="shared" si="113"/>
        <v>478.268</v>
      </c>
      <c r="Z2418" s="67">
        <f t="shared" si="99"/>
        <v>390.6</v>
      </c>
      <c r="AA2418" s="67">
        <f t="shared" si="114"/>
        <v>62.496</v>
      </c>
      <c r="AB2418" s="67">
        <f t="shared" si="115"/>
        <v>453.096</v>
      </c>
      <c r="AC2418" s="67">
        <f t="shared" si="102"/>
        <v>368.9</v>
      </c>
      <c r="AD2418" s="67">
        <f t="shared" si="116"/>
        <v>59.024</v>
      </c>
      <c r="AE2418" s="67">
        <f t="shared" si="117"/>
        <v>427.924</v>
      </c>
      <c r="AF2418" s="67">
        <f t="shared" si="105"/>
        <v>360.22</v>
      </c>
      <c r="AG2418" s="67">
        <f t="shared" si="118"/>
        <v>57.6352</v>
      </c>
      <c r="AH2418" s="67">
        <f t="shared" si="119"/>
        <v>417.8552</v>
      </c>
      <c r="AI2418" s="67">
        <f t="shared" si="108"/>
        <v>347.2</v>
      </c>
      <c r="AJ2418" s="68">
        <f t="shared" si="120"/>
        <v>55.552</v>
      </c>
      <c r="AK2418" s="68">
        <f t="shared" si="121"/>
        <v>402.752</v>
      </c>
      <c r="AL2418" s="70"/>
      <c r="AM2418" s="70"/>
      <c r="AN2418" s="71"/>
      <c r="AO2418" s="71"/>
      <c r="AP2418" s="71"/>
      <c r="AQ2418" s="71"/>
      <c r="AR2418" s="71"/>
      <c r="AS2418" s="71"/>
      <c r="AT2418" s="71"/>
      <c r="AU2418" s="71"/>
      <c r="AV2418" s="71"/>
      <c r="AW2418" s="71"/>
      <c r="AX2418" s="71"/>
      <c r="AY2418" s="71"/>
      <c r="AZ2418" s="71"/>
      <c r="BA2418" s="71"/>
      <c r="BB2418" s="71"/>
      <c r="BC2418" s="71"/>
      <c r="BD2418" s="71"/>
      <c r="BE2418" s="71"/>
      <c r="BF2418" s="71"/>
      <c r="BG2418" s="71"/>
      <c r="BH2418" s="71"/>
      <c r="BI2418" s="71"/>
      <c r="BJ2418" s="71"/>
      <c r="BK2418" s="71"/>
      <c r="BL2418" s="71"/>
      <c r="BM2418" s="71"/>
      <c r="BN2418" s="71"/>
      <c r="BO2418" s="71"/>
      <c r="BP2418" s="71"/>
      <c r="BQ2418" s="71"/>
      <c r="BR2418" s="71"/>
      <c r="BS2418" s="71"/>
      <c r="BT2418" s="71"/>
      <c r="BU2418" s="71"/>
      <c r="BV2418" s="71"/>
    </row>
    <row r="2419">
      <c r="A2419" s="53">
        <v>1.0</v>
      </c>
      <c r="B2419" s="53"/>
      <c r="C2419" s="73" t="s">
        <v>53</v>
      </c>
      <c r="D2419" s="74" t="s">
        <v>5944</v>
      </c>
      <c r="E2419" s="54" t="s">
        <v>38</v>
      </c>
      <c r="F2419" s="54" t="s">
        <v>42</v>
      </c>
      <c r="G2419" s="88" t="s">
        <v>5945</v>
      </c>
      <c r="H2419" s="54" t="s">
        <v>5945</v>
      </c>
      <c r="I2419" s="54">
        <f t="shared" si="24"/>
        <v>20</v>
      </c>
      <c r="J2419" s="56"/>
      <c r="K2419" s="57"/>
      <c r="L2419" s="87"/>
      <c r="M2419" s="59"/>
      <c r="N2419" s="60">
        <v>326.0</v>
      </c>
      <c r="O2419" s="61">
        <v>352.0</v>
      </c>
      <c r="P2419" s="62">
        <v>380.16</v>
      </c>
      <c r="Q2419" s="63">
        <v>380.16</v>
      </c>
      <c r="R2419" s="64">
        <v>424.0</v>
      </c>
      <c r="S2419" s="111">
        <v>445.0</v>
      </c>
      <c r="T2419" s="65">
        <f t="shared" si="93"/>
        <v>71.2</v>
      </c>
      <c r="U2419" s="65">
        <f t="shared" si="94"/>
        <v>516.2</v>
      </c>
      <c r="V2419" s="66">
        <f t="shared" si="123"/>
        <v>0.04952830189</v>
      </c>
      <c r="W2419" s="67">
        <f t="shared" si="96"/>
        <v>422.75</v>
      </c>
      <c r="X2419" s="67">
        <f t="shared" si="112"/>
        <v>67.64</v>
      </c>
      <c r="Y2419" s="67">
        <f t="shared" si="113"/>
        <v>490.39</v>
      </c>
      <c r="Z2419" s="67">
        <f t="shared" si="99"/>
        <v>400.5</v>
      </c>
      <c r="AA2419" s="67">
        <f t="shared" si="114"/>
        <v>64.08</v>
      </c>
      <c r="AB2419" s="67">
        <f t="shared" si="115"/>
        <v>464.58</v>
      </c>
      <c r="AC2419" s="67">
        <f t="shared" si="102"/>
        <v>378.25</v>
      </c>
      <c r="AD2419" s="67">
        <f t="shared" si="116"/>
        <v>60.52</v>
      </c>
      <c r="AE2419" s="67">
        <f t="shared" si="117"/>
        <v>438.77</v>
      </c>
      <c r="AF2419" s="67">
        <f t="shared" si="105"/>
        <v>369.35</v>
      </c>
      <c r="AG2419" s="67">
        <f t="shared" si="118"/>
        <v>59.096</v>
      </c>
      <c r="AH2419" s="67">
        <f t="shared" si="119"/>
        <v>428.446</v>
      </c>
      <c r="AI2419" s="67">
        <f t="shared" si="108"/>
        <v>356</v>
      </c>
      <c r="AJ2419" s="68">
        <f t="shared" si="120"/>
        <v>56.96</v>
      </c>
      <c r="AK2419" s="68">
        <f t="shared" si="121"/>
        <v>412.96</v>
      </c>
      <c r="AL2419" s="70"/>
      <c r="AM2419" s="70"/>
      <c r="AN2419" s="71"/>
      <c r="AO2419" s="71"/>
      <c r="AP2419" s="71"/>
      <c r="AQ2419" s="71"/>
      <c r="AR2419" s="71"/>
      <c r="AS2419" s="71"/>
      <c r="AT2419" s="71"/>
      <c r="AU2419" s="71"/>
      <c r="AV2419" s="71"/>
      <c r="AW2419" s="71"/>
      <c r="AX2419" s="71"/>
      <c r="AY2419" s="71"/>
      <c r="AZ2419" s="71"/>
      <c r="BA2419" s="71"/>
      <c r="BB2419" s="71"/>
      <c r="BC2419" s="71"/>
      <c r="BD2419" s="71"/>
      <c r="BE2419" s="71"/>
      <c r="BF2419" s="71"/>
      <c r="BG2419" s="71"/>
      <c r="BH2419" s="71"/>
      <c r="BI2419" s="71"/>
      <c r="BJ2419" s="71"/>
      <c r="BK2419" s="71"/>
      <c r="BL2419" s="71"/>
      <c r="BM2419" s="71"/>
      <c r="BN2419" s="71"/>
      <c r="BO2419" s="71"/>
      <c r="BP2419" s="71"/>
      <c r="BQ2419" s="71"/>
      <c r="BR2419" s="71"/>
      <c r="BS2419" s="71"/>
      <c r="BT2419" s="71"/>
      <c r="BU2419" s="71"/>
      <c r="BV2419" s="71"/>
    </row>
    <row r="2420">
      <c r="A2420" s="53"/>
      <c r="B2420" s="53"/>
      <c r="C2420" s="73" t="s">
        <v>53</v>
      </c>
      <c r="D2420" s="53" t="s">
        <v>5946</v>
      </c>
      <c r="E2420" s="54" t="s">
        <v>38</v>
      </c>
      <c r="F2420" s="55" t="s">
        <v>309</v>
      </c>
      <c r="G2420" s="54" t="s">
        <v>5945</v>
      </c>
      <c r="H2420" s="55"/>
      <c r="I2420" s="54">
        <f t="shared" si="24"/>
        <v>0</v>
      </c>
      <c r="J2420" s="56"/>
      <c r="K2420" s="57"/>
      <c r="L2420" s="76"/>
      <c r="M2420" s="59"/>
      <c r="N2420" s="60"/>
      <c r="O2420" s="90">
        <v>352.0</v>
      </c>
      <c r="P2420" s="62">
        <v>380.16</v>
      </c>
      <c r="Q2420" s="63">
        <v>380.16</v>
      </c>
      <c r="R2420" s="64">
        <v>424.0</v>
      </c>
      <c r="S2420" s="111">
        <v>445.0</v>
      </c>
      <c r="T2420" s="65">
        <f t="shared" si="93"/>
        <v>71.2</v>
      </c>
      <c r="U2420" s="65">
        <f t="shared" si="94"/>
        <v>516.2</v>
      </c>
      <c r="V2420" s="66">
        <f t="shared" si="123"/>
        <v>0.04952830189</v>
      </c>
      <c r="W2420" s="67">
        <f t="shared" si="96"/>
        <v>422.75</v>
      </c>
      <c r="X2420" s="67">
        <f t="shared" si="112"/>
        <v>67.64</v>
      </c>
      <c r="Y2420" s="67">
        <f t="shared" si="113"/>
        <v>490.39</v>
      </c>
      <c r="Z2420" s="67">
        <f t="shared" si="99"/>
        <v>400.5</v>
      </c>
      <c r="AA2420" s="67">
        <f t="shared" si="114"/>
        <v>64.08</v>
      </c>
      <c r="AB2420" s="67">
        <f t="shared" si="115"/>
        <v>464.58</v>
      </c>
      <c r="AC2420" s="67">
        <f t="shared" si="102"/>
        <v>378.25</v>
      </c>
      <c r="AD2420" s="67">
        <f t="shared" si="116"/>
        <v>60.52</v>
      </c>
      <c r="AE2420" s="67">
        <f t="shared" si="117"/>
        <v>438.77</v>
      </c>
      <c r="AF2420" s="67">
        <f t="shared" si="105"/>
        <v>369.35</v>
      </c>
      <c r="AG2420" s="67">
        <f t="shared" si="118"/>
        <v>59.096</v>
      </c>
      <c r="AH2420" s="67">
        <f t="shared" si="119"/>
        <v>428.446</v>
      </c>
      <c r="AI2420" s="67">
        <f t="shared" si="108"/>
        <v>356</v>
      </c>
      <c r="AJ2420" s="68">
        <f t="shared" si="120"/>
        <v>56.96</v>
      </c>
      <c r="AK2420" s="68">
        <f t="shared" si="121"/>
        <v>412.96</v>
      </c>
      <c r="AL2420" s="70"/>
      <c r="AM2420" s="70"/>
      <c r="AN2420" s="71"/>
      <c r="AO2420" s="71"/>
      <c r="AP2420" s="71"/>
      <c r="AQ2420" s="71"/>
      <c r="AR2420" s="71"/>
      <c r="AS2420" s="71"/>
      <c r="AT2420" s="71"/>
      <c r="AU2420" s="71"/>
      <c r="AV2420" s="71"/>
      <c r="AW2420" s="71"/>
      <c r="AX2420" s="71"/>
      <c r="AY2420" s="71"/>
      <c r="AZ2420" s="71"/>
      <c r="BA2420" s="71"/>
      <c r="BB2420" s="71"/>
      <c r="BC2420" s="71"/>
      <c r="BD2420" s="71"/>
      <c r="BE2420" s="71"/>
      <c r="BF2420" s="71"/>
      <c r="BG2420" s="71"/>
      <c r="BH2420" s="71"/>
      <c r="BI2420" s="71"/>
      <c r="BJ2420" s="71"/>
      <c r="BK2420" s="71"/>
      <c r="BL2420" s="71"/>
      <c r="BM2420" s="71"/>
      <c r="BN2420" s="71"/>
      <c r="BO2420" s="71"/>
      <c r="BP2420" s="71"/>
      <c r="BQ2420" s="71"/>
      <c r="BR2420" s="71"/>
      <c r="BS2420" s="71"/>
      <c r="BT2420" s="71"/>
      <c r="BU2420" s="71"/>
      <c r="BV2420" s="71"/>
    </row>
    <row r="2421">
      <c r="A2421" s="53">
        <v>1.0</v>
      </c>
      <c r="B2421" s="53"/>
      <c r="C2421" s="73" t="s">
        <v>53</v>
      </c>
      <c r="D2421" s="53" t="s">
        <v>5947</v>
      </c>
      <c r="E2421" s="54" t="s">
        <v>38</v>
      </c>
      <c r="F2421" s="54" t="s">
        <v>42</v>
      </c>
      <c r="G2421" s="54" t="s">
        <v>5948</v>
      </c>
      <c r="H2421" s="54" t="s">
        <v>5949</v>
      </c>
      <c r="I2421" s="54">
        <f t="shared" si="24"/>
        <v>39</v>
      </c>
      <c r="J2421" s="56"/>
      <c r="K2421" s="57"/>
      <c r="L2421" s="76"/>
      <c r="M2421" s="59"/>
      <c r="N2421" s="60"/>
      <c r="O2421" s="61">
        <v>111.0</v>
      </c>
      <c r="P2421" s="62">
        <v>119.88000000000001</v>
      </c>
      <c r="Q2421" s="63">
        <v>119.88000000000001</v>
      </c>
      <c r="R2421" s="64">
        <v>126.0</v>
      </c>
      <c r="S2421" s="111">
        <v>132.0</v>
      </c>
      <c r="T2421" s="65">
        <f t="shared" si="93"/>
        <v>21.12</v>
      </c>
      <c r="U2421" s="65">
        <f t="shared" si="94"/>
        <v>153.12</v>
      </c>
      <c r="V2421" s="66">
        <f t="shared" si="123"/>
        <v>0.04761904762</v>
      </c>
      <c r="W2421" s="67">
        <f t="shared" si="96"/>
        <v>125.4</v>
      </c>
      <c r="X2421" s="67">
        <f t="shared" si="112"/>
        <v>20.064</v>
      </c>
      <c r="Y2421" s="67">
        <f t="shared" si="113"/>
        <v>145.464</v>
      </c>
      <c r="Z2421" s="67">
        <f t="shared" si="99"/>
        <v>118.8</v>
      </c>
      <c r="AA2421" s="67">
        <f t="shared" si="114"/>
        <v>19.008</v>
      </c>
      <c r="AB2421" s="67">
        <f t="shared" si="115"/>
        <v>137.808</v>
      </c>
      <c r="AC2421" s="67">
        <f t="shared" si="102"/>
        <v>112.2</v>
      </c>
      <c r="AD2421" s="67">
        <f t="shared" si="116"/>
        <v>17.952</v>
      </c>
      <c r="AE2421" s="67">
        <f t="shared" si="117"/>
        <v>130.152</v>
      </c>
      <c r="AF2421" s="67">
        <f t="shared" si="105"/>
        <v>109.56</v>
      </c>
      <c r="AG2421" s="67">
        <f t="shared" si="118"/>
        <v>17.5296</v>
      </c>
      <c r="AH2421" s="67">
        <f t="shared" si="119"/>
        <v>127.0896</v>
      </c>
      <c r="AI2421" s="67">
        <f t="shared" si="108"/>
        <v>105.6</v>
      </c>
      <c r="AJ2421" s="68">
        <f t="shared" si="120"/>
        <v>16.896</v>
      </c>
      <c r="AK2421" s="68">
        <f t="shared" si="121"/>
        <v>122.496</v>
      </c>
      <c r="AL2421" s="70"/>
      <c r="AM2421" s="70"/>
      <c r="AN2421" s="71"/>
      <c r="AO2421" s="71"/>
      <c r="AP2421" s="71"/>
      <c r="AQ2421" s="71"/>
      <c r="AR2421" s="71"/>
      <c r="AS2421" s="71"/>
      <c r="AT2421" s="71"/>
      <c r="AU2421" s="71"/>
      <c r="AV2421" s="71"/>
      <c r="AW2421" s="71"/>
      <c r="AX2421" s="71"/>
      <c r="AY2421" s="71"/>
      <c r="AZ2421" s="71"/>
      <c r="BA2421" s="71"/>
      <c r="BB2421" s="71"/>
      <c r="BC2421" s="71"/>
      <c r="BD2421" s="71"/>
      <c r="BE2421" s="71"/>
      <c r="BF2421" s="71"/>
      <c r="BG2421" s="71"/>
      <c r="BH2421" s="71"/>
      <c r="BI2421" s="71"/>
      <c r="BJ2421" s="71"/>
      <c r="BK2421" s="71"/>
      <c r="BL2421" s="71"/>
      <c r="BM2421" s="71"/>
      <c r="BN2421" s="71"/>
      <c r="BO2421" s="71"/>
      <c r="BP2421" s="71"/>
      <c r="BQ2421" s="71"/>
      <c r="BR2421" s="71"/>
      <c r="BS2421" s="71"/>
      <c r="BT2421" s="71"/>
      <c r="BU2421" s="71"/>
      <c r="BV2421" s="71"/>
    </row>
    <row r="2422">
      <c r="A2422" s="53">
        <v>1.0</v>
      </c>
      <c r="B2422" s="53"/>
      <c r="C2422" s="73" t="s">
        <v>53</v>
      </c>
      <c r="D2422" s="74" t="s">
        <v>5950</v>
      </c>
      <c r="E2422" s="54" t="s">
        <v>38</v>
      </c>
      <c r="F2422" s="54" t="s">
        <v>42</v>
      </c>
      <c r="G2422" s="88" t="s">
        <v>5951</v>
      </c>
      <c r="H2422" s="54" t="s">
        <v>5952</v>
      </c>
      <c r="I2422" s="54">
        <f t="shared" si="24"/>
        <v>37</v>
      </c>
      <c r="J2422" s="56"/>
      <c r="K2422" s="57"/>
      <c r="L2422" s="87"/>
      <c r="M2422" s="59"/>
      <c r="N2422" s="60">
        <v>103.0</v>
      </c>
      <c r="O2422" s="61">
        <v>235.0</v>
      </c>
      <c r="P2422" s="62">
        <v>253.8</v>
      </c>
      <c r="Q2422" s="63">
        <v>253.8</v>
      </c>
      <c r="R2422" s="64">
        <v>267.0</v>
      </c>
      <c r="S2422" s="111">
        <v>280.0</v>
      </c>
      <c r="T2422" s="65">
        <f t="shared" si="93"/>
        <v>44.8</v>
      </c>
      <c r="U2422" s="65">
        <f t="shared" si="94"/>
        <v>324.8</v>
      </c>
      <c r="V2422" s="66">
        <f t="shared" si="123"/>
        <v>0.04868913858</v>
      </c>
      <c r="W2422" s="67">
        <f t="shared" si="96"/>
        <v>266</v>
      </c>
      <c r="X2422" s="67">
        <f t="shared" si="112"/>
        <v>42.56</v>
      </c>
      <c r="Y2422" s="67">
        <f t="shared" si="113"/>
        <v>308.56</v>
      </c>
      <c r="Z2422" s="67">
        <f t="shared" si="99"/>
        <v>252</v>
      </c>
      <c r="AA2422" s="67">
        <f t="shared" si="114"/>
        <v>40.32</v>
      </c>
      <c r="AB2422" s="67">
        <f t="shared" si="115"/>
        <v>292.32</v>
      </c>
      <c r="AC2422" s="67">
        <f t="shared" si="102"/>
        <v>238</v>
      </c>
      <c r="AD2422" s="67">
        <f t="shared" si="116"/>
        <v>38.08</v>
      </c>
      <c r="AE2422" s="67">
        <f t="shared" si="117"/>
        <v>276.08</v>
      </c>
      <c r="AF2422" s="67">
        <f t="shared" si="105"/>
        <v>232.4</v>
      </c>
      <c r="AG2422" s="67">
        <f t="shared" si="118"/>
        <v>37.184</v>
      </c>
      <c r="AH2422" s="67">
        <f t="shared" si="119"/>
        <v>269.584</v>
      </c>
      <c r="AI2422" s="67">
        <f t="shared" si="108"/>
        <v>224</v>
      </c>
      <c r="AJ2422" s="68">
        <f t="shared" si="120"/>
        <v>35.84</v>
      </c>
      <c r="AK2422" s="68">
        <f t="shared" si="121"/>
        <v>259.84</v>
      </c>
      <c r="AL2422" s="70"/>
      <c r="AM2422" s="70"/>
      <c r="AN2422" s="71"/>
      <c r="AO2422" s="71"/>
      <c r="AP2422" s="71"/>
      <c r="AQ2422" s="71"/>
      <c r="AR2422" s="71"/>
      <c r="AS2422" s="71"/>
      <c r="AT2422" s="71"/>
      <c r="AU2422" s="71"/>
      <c r="AV2422" s="71"/>
      <c r="AW2422" s="71"/>
      <c r="AX2422" s="71"/>
      <c r="AY2422" s="71"/>
      <c r="AZ2422" s="71"/>
      <c r="BA2422" s="71"/>
      <c r="BB2422" s="71"/>
      <c r="BC2422" s="71"/>
      <c r="BD2422" s="71"/>
      <c r="BE2422" s="71"/>
      <c r="BF2422" s="71"/>
      <c r="BG2422" s="71"/>
      <c r="BH2422" s="71"/>
      <c r="BI2422" s="71"/>
      <c r="BJ2422" s="71"/>
      <c r="BK2422" s="71"/>
      <c r="BL2422" s="71"/>
      <c r="BM2422" s="71"/>
      <c r="BN2422" s="71"/>
      <c r="BO2422" s="71"/>
      <c r="BP2422" s="71"/>
      <c r="BQ2422" s="71"/>
      <c r="BR2422" s="71"/>
      <c r="BS2422" s="71"/>
      <c r="BT2422" s="71"/>
      <c r="BU2422" s="71"/>
      <c r="BV2422" s="71"/>
    </row>
    <row r="2423">
      <c r="A2423" s="53">
        <v>1.0</v>
      </c>
      <c r="B2423" s="53"/>
      <c r="C2423" s="73" t="s">
        <v>53</v>
      </c>
      <c r="D2423" s="74" t="s">
        <v>5953</v>
      </c>
      <c r="E2423" s="54" t="s">
        <v>38</v>
      </c>
      <c r="F2423" s="54" t="s">
        <v>42</v>
      </c>
      <c r="G2423" s="88" t="s">
        <v>5954</v>
      </c>
      <c r="H2423" s="54" t="s">
        <v>5955</v>
      </c>
      <c r="I2423" s="54">
        <f t="shared" si="24"/>
        <v>23</v>
      </c>
      <c r="J2423" s="56"/>
      <c r="K2423" s="57"/>
      <c r="L2423" s="87"/>
      <c r="M2423" s="59"/>
      <c r="N2423" s="60">
        <v>19.0</v>
      </c>
      <c r="O2423" s="61">
        <v>20.0</v>
      </c>
      <c r="P2423" s="62">
        <v>21.6</v>
      </c>
      <c r="Q2423" s="63">
        <v>21.6</v>
      </c>
      <c r="R2423" s="64">
        <v>25.0</v>
      </c>
      <c r="S2423" s="111">
        <v>26.0</v>
      </c>
      <c r="T2423" s="65">
        <f t="shared" si="93"/>
        <v>4.16</v>
      </c>
      <c r="U2423" s="65">
        <f t="shared" si="94"/>
        <v>30.16</v>
      </c>
      <c r="V2423" s="66">
        <f t="shared" si="123"/>
        <v>0.04</v>
      </c>
      <c r="W2423" s="67">
        <f t="shared" si="96"/>
        <v>24.7</v>
      </c>
      <c r="X2423" s="67">
        <f t="shared" si="112"/>
        <v>3.952</v>
      </c>
      <c r="Y2423" s="67">
        <f t="shared" si="113"/>
        <v>28.652</v>
      </c>
      <c r="Z2423" s="67">
        <f t="shared" si="99"/>
        <v>23.4</v>
      </c>
      <c r="AA2423" s="67">
        <f t="shared" si="114"/>
        <v>3.744</v>
      </c>
      <c r="AB2423" s="67">
        <f t="shared" si="115"/>
        <v>27.144</v>
      </c>
      <c r="AC2423" s="67">
        <f t="shared" si="102"/>
        <v>22.1</v>
      </c>
      <c r="AD2423" s="67">
        <f t="shared" si="116"/>
        <v>3.536</v>
      </c>
      <c r="AE2423" s="67">
        <f t="shared" si="117"/>
        <v>25.636</v>
      </c>
      <c r="AF2423" s="67">
        <f t="shared" si="105"/>
        <v>21.58</v>
      </c>
      <c r="AG2423" s="67">
        <f t="shared" si="118"/>
        <v>3.4528</v>
      </c>
      <c r="AH2423" s="67">
        <f t="shared" si="119"/>
        <v>25.0328</v>
      </c>
      <c r="AI2423" s="67">
        <f t="shared" si="108"/>
        <v>20.8</v>
      </c>
      <c r="AJ2423" s="68">
        <f t="shared" si="120"/>
        <v>3.328</v>
      </c>
      <c r="AK2423" s="68">
        <f t="shared" si="121"/>
        <v>24.128</v>
      </c>
      <c r="AL2423" s="70"/>
      <c r="AM2423" s="70"/>
      <c r="AN2423" s="71"/>
      <c r="AO2423" s="71"/>
      <c r="AP2423" s="71"/>
      <c r="AQ2423" s="71"/>
      <c r="AR2423" s="71"/>
      <c r="AS2423" s="71"/>
      <c r="AT2423" s="71"/>
      <c r="AU2423" s="71"/>
      <c r="AV2423" s="71"/>
      <c r="AW2423" s="71"/>
      <c r="AX2423" s="71"/>
      <c r="AY2423" s="71"/>
      <c r="AZ2423" s="71"/>
      <c r="BA2423" s="71"/>
      <c r="BB2423" s="71"/>
      <c r="BC2423" s="71"/>
      <c r="BD2423" s="71"/>
      <c r="BE2423" s="71"/>
      <c r="BF2423" s="71"/>
      <c r="BG2423" s="71"/>
      <c r="BH2423" s="71"/>
      <c r="BI2423" s="71"/>
      <c r="BJ2423" s="71"/>
      <c r="BK2423" s="71"/>
      <c r="BL2423" s="71"/>
      <c r="BM2423" s="71"/>
      <c r="BN2423" s="71"/>
      <c r="BO2423" s="71"/>
      <c r="BP2423" s="71"/>
      <c r="BQ2423" s="71"/>
      <c r="BR2423" s="71"/>
      <c r="BS2423" s="71"/>
      <c r="BT2423" s="71"/>
      <c r="BU2423" s="71"/>
      <c r="BV2423" s="71"/>
    </row>
    <row r="2424">
      <c r="A2424" s="53">
        <v>1.0</v>
      </c>
      <c r="B2424" s="53"/>
      <c r="C2424" s="73" t="s">
        <v>53</v>
      </c>
      <c r="D2424" s="74" t="s">
        <v>5956</v>
      </c>
      <c r="E2424" s="54" t="s">
        <v>38</v>
      </c>
      <c r="F2424" s="54" t="s">
        <v>42</v>
      </c>
      <c r="G2424" s="88" t="s">
        <v>5957</v>
      </c>
      <c r="H2424" s="54" t="s">
        <v>5957</v>
      </c>
      <c r="I2424" s="54">
        <f t="shared" si="24"/>
        <v>27</v>
      </c>
      <c r="J2424" s="56"/>
      <c r="K2424" s="57"/>
      <c r="L2424" s="87"/>
      <c r="M2424" s="59"/>
      <c r="N2424" s="60">
        <v>14.0</v>
      </c>
      <c r="O2424" s="61">
        <v>15.0</v>
      </c>
      <c r="P2424" s="62">
        <v>16.200000000000003</v>
      </c>
      <c r="Q2424" s="63">
        <v>16.200000000000003</v>
      </c>
      <c r="R2424" s="64">
        <v>19.0</v>
      </c>
      <c r="S2424" s="111">
        <v>19.95</v>
      </c>
      <c r="T2424" s="65">
        <f t="shared" si="93"/>
        <v>3.192</v>
      </c>
      <c r="U2424" s="65">
        <f t="shared" si="94"/>
        <v>23.142</v>
      </c>
      <c r="V2424" s="66">
        <f t="shared" si="123"/>
        <v>0.05</v>
      </c>
      <c r="W2424" s="67">
        <f t="shared" si="96"/>
        <v>18.9525</v>
      </c>
      <c r="X2424" s="67">
        <f t="shared" si="112"/>
        <v>3.0324</v>
      </c>
      <c r="Y2424" s="67">
        <f t="shared" si="113"/>
        <v>21.9849</v>
      </c>
      <c r="Z2424" s="67">
        <f t="shared" si="99"/>
        <v>17.955</v>
      </c>
      <c r="AA2424" s="67">
        <f t="shared" si="114"/>
        <v>2.8728</v>
      </c>
      <c r="AB2424" s="67">
        <f t="shared" si="115"/>
        <v>20.8278</v>
      </c>
      <c r="AC2424" s="67">
        <f t="shared" si="102"/>
        <v>16.9575</v>
      </c>
      <c r="AD2424" s="67">
        <f t="shared" si="116"/>
        <v>2.7132</v>
      </c>
      <c r="AE2424" s="67">
        <f t="shared" si="117"/>
        <v>19.6707</v>
      </c>
      <c r="AF2424" s="67">
        <f t="shared" si="105"/>
        <v>16.5585</v>
      </c>
      <c r="AG2424" s="67">
        <f t="shared" si="118"/>
        <v>2.64936</v>
      </c>
      <c r="AH2424" s="67">
        <f t="shared" si="119"/>
        <v>19.20786</v>
      </c>
      <c r="AI2424" s="67">
        <f t="shared" si="108"/>
        <v>15.96</v>
      </c>
      <c r="AJ2424" s="68">
        <f t="shared" si="120"/>
        <v>2.5536</v>
      </c>
      <c r="AK2424" s="68">
        <f t="shared" si="121"/>
        <v>18.5136</v>
      </c>
      <c r="AL2424" s="70"/>
      <c r="AM2424" s="70"/>
      <c r="AN2424" s="71"/>
      <c r="AO2424" s="71"/>
      <c r="AP2424" s="71"/>
      <c r="AQ2424" s="71"/>
      <c r="AR2424" s="71"/>
      <c r="AS2424" s="71"/>
      <c r="AT2424" s="71"/>
      <c r="AU2424" s="71"/>
      <c r="AV2424" s="71"/>
      <c r="AW2424" s="71"/>
      <c r="AX2424" s="71"/>
      <c r="AY2424" s="71"/>
      <c r="AZ2424" s="71"/>
      <c r="BA2424" s="71"/>
      <c r="BB2424" s="71"/>
      <c r="BC2424" s="71"/>
      <c r="BD2424" s="71"/>
      <c r="BE2424" s="71"/>
      <c r="BF2424" s="71"/>
      <c r="BG2424" s="71"/>
      <c r="BH2424" s="71"/>
      <c r="BI2424" s="71"/>
      <c r="BJ2424" s="71"/>
      <c r="BK2424" s="71"/>
      <c r="BL2424" s="71"/>
      <c r="BM2424" s="71"/>
      <c r="BN2424" s="71"/>
      <c r="BO2424" s="71"/>
      <c r="BP2424" s="71"/>
      <c r="BQ2424" s="71"/>
      <c r="BR2424" s="71"/>
      <c r="BS2424" s="71"/>
      <c r="BT2424" s="71"/>
      <c r="BU2424" s="71"/>
      <c r="BV2424" s="71"/>
    </row>
    <row r="2425">
      <c r="A2425" s="53"/>
      <c r="B2425" s="53"/>
      <c r="C2425" s="73" t="s">
        <v>12</v>
      </c>
      <c r="D2425" s="53" t="s">
        <v>5958</v>
      </c>
      <c r="E2425" s="54" t="s">
        <v>38</v>
      </c>
      <c r="F2425" s="54" t="s">
        <v>42</v>
      </c>
      <c r="G2425" s="55" t="s">
        <v>5959</v>
      </c>
      <c r="H2425" s="55" t="s">
        <v>5959</v>
      </c>
      <c r="I2425" s="54">
        <f t="shared" si="24"/>
        <v>33</v>
      </c>
      <c r="J2425" s="56"/>
      <c r="K2425" s="57"/>
      <c r="L2425" s="76"/>
      <c r="M2425" s="59"/>
      <c r="N2425" s="60"/>
      <c r="O2425" s="90"/>
      <c r="P2425" s="62">
        <v>32.13</v>
      </c>
      <c r="Q2425" s="63">
        <v>32.13</v>
      </c>
      <c r="R2425" s="64">
        <v>34.0</v>
      </c>
      <c r="S2425" s="111">
        <v>36.0</v>
      </c>
      <c r="T2425" s="65">
        <f t="shared" si="93"/>
        <v>5.76</v>
      </c>
      <c r="U2425" s="65">
        <f t="shared" si="94"/>
        <v>41.76</v>
      </c>
      <c r="V2425" s="66">
        <f t="shared" si="123"/>
        <v>0.05882352941</v>
      </c>
      <c r="W2425" s="67">
        <f t="shared" si="96"/>
        <v>34.2</v>
      </c>
      <c r="X2425" s="67">
        <f t="shared" si="112"/>
        <v>5.472</v>
      </c>
      <c r="Y2425" s="67">
        <f t="shared" si="113"/>
        <v>39.672</v>
      </c>
      <c r="Z2425" s="67">
        <f t="shared" si="99"/>
        <v>32.4</v>
      </c>
      <c r="AA2425" s="67">
        <f t="shared" si="114"/>
        <v>5.184</v>
      </c>
      <c r="AB2425" s="67">
        <f t="shared" si="115"/>
        <v>37.584</v>
      </c>
      <c r="AC2425" s="67">
        <f t="shared" si="102"/>
        <v>30.6</v>
      </c>
      <c r="AD2425" s="67">
        <f t="shared" si="116"/>
        <v>4.896</v>
      </c>
      <c r="AE2425" s="67">
        <f t="shared" si="117"/>
        <v>35.496</v>
      </c>
      <c r="AF2425" s="67">
        <f t="shared" si="105"/>
        <v>29.88</v>
      </c>
      <c r="AG2425" s="67">
        <f t="shared" si="118"/>
        <v>4.7808</v>
      </c>
      <c r="AH2425" s="67">
        <f t="shared" si="119"/>
        <v>34.6608</v>
      </c>
      <c r="AI2425" s="67">
        <f t="shared" si="108"/>
        <v>28.8</v>
      </c>
      <c r="AJ2425" s="68">
        <f t="shared" si="120"/>
        <v>4.608</v>
      </c>
      <c r="AK2425" s="68">
        <f t="shared" si="121"/>
        <v>33.408</v>
      </c>
      <c r="AL2425" s="70"/>
      <c r="AM2425" s="70"/>
      <c r="AN2425" s="71"/>
      <c r="AO2425" s="71"/>
      <c r="AP2425" s="71"/>
      <c r="AQ2425" s="71"/>
      <c r="AR2425" s="71"/>
      <c r="AS2425" s="71"/>
      <c r="AT2425" s="71"/>
      <c r="AU2425" s="71"/>
      <c r="AV2425" s="71"/>
      <c r="AW2425" s="71"/>
      <c r="AX2425" s="71"/>
      <c r="AY2425" s="71"/>
      <c r="AZ2425" s="71"/>
      <c r="BA2425" s="71"/>
      <c r="BB2425" s="71"/>
      <c r="BC2425" s="71"/>
      <c r="BD2425" s="71"/>
      <c r="BE2425" s="71"/>
      <c r="BF2425" s="71"/>
      <c r="BG2425" s="71"/>
      <c r="BH2425" s="71"/>
      <c r="BI2425" s="71"/>
      <c r="BJ2425" s="71"/>
      <c r="BK2425" s="71"/>
      <c r="BL2425" s="71"/>
      <c r="BM2425" s="71"/>
      <c r="BN2425" s="71"/>
      <c r="BO2425" s="71"/>
      <c r="BP2425" s="71"/>
      <c r="BQ2425" s="71"/>
      <c r="BR2425" s="71"/>
      <c r="BS2425" s="71"/>
      <c r="BT2425" s="71"/>
      <c r="BU2425" s="71"/>
      <c r="BV2425" s="71"/>
    </row>
    <row r="2426">
      <c r="A2426" s="53"/>
      <c r="B2426" s="53"/>
      <c r="C2426" s="53" t="s">
        <v>53</v>
      </c>
      <c r="D2426" s="53" t="s">
        <v>5960</v>
      </c>
      <c r="E2426" s="54" t="s">
        <v>38</v>
      </c>
      <c r="F2426" s="54" t="s">
        <v>42</v>
      </c>
      <c r="G2426" s="55" t="s">
        <v>5961</v>
      </c>
      <c r="H2426" s="55" t="s">
        <v>5962</v>
      </c>
      <c r="I2426" s="54">
        <f t="shared" si="24"/>
        <v>40</v>
      </c>
      <c r="J2426" s="56"/>
      <c r="K2426" s="57"/>
      <c r="L2426" s="77"/>
      <c r="M2426" s="59"/>
      <c r="N2426" s="60"/>
      <c r="O2426" s="61">
        <v>480.0</v>
      </c>
      <c r="P2426" s="62">
        <v>518.4000000000001</v>
      </c>
      <c r="Q2426" s="63">
        <v>518.4000000000001</v>
      </c>
      <c r="R2426" s="64">
        <v>544.0</v>
      </c>
      <c r="S2426" s="111">
        <v>571.0</v>
      </c>
      <c r="T2426" s="65">
        <f t="shared" si="93"/>
        <v>91.36</v>
      </c>
      <c r="U2426" s="65">
        <f t="shared" si="94"/>
        <v>662.36</v>
      </c>
      <c r="V2426" s="66">
        <f t="shared" si="123"/>
        <v>0.04963235294</v>
      </c>
      <c r="W2426" s="67">
        <f t="shared" si="96"/>
        <v>542.45</v>
      </c>
      <c r="X2426" s="67">
        <f t="shared" si="112"/>
        <v>86.792</v>
      </c>
      <c r="Y2426" s="67">
        <f t="shared" si="113"/>
        <v>629.242</v>
      </c>
      <c r="Z2426" s="67">
        <f t="shared" si="99"/>
        <v>513.9</v>
      </c>
      <c r="AA2426" s="67">
        <f t="shared" si="114"/>
        <v>82.224</v>
      </c>
      <c r="AB2426" s="67">
        <f t="shared" si="115"/>
        <v>596.124</v>
      </c>
      <c r="AC2426" s="67">
        <f t="shared" si="102"/>
        <v>485.35</v>
      </c>
      <c r="AD2426" s="67">
        <f t="shared" si="116"/>
        <v>77.656</v>
      </c>
      <c r="AE2426" s="67">
        <f t="shared" si="117"/>
        <v>563.006</v>
      </c>
      <c r="AF2426" s="67">
        <f t="shared" si="105"/>
        <v>473.93</v>
      </c>
      <c r="AG2426" s="67">
        <f t="shared" si="118"/>
        <v>75.8288</v>
      </c>
      <c r="AH2426" s="67">
        <f t="shared" si="119"/>
        <v>549.7588</v>
      </c>
      <c r="AI2426" s="67">
        <f t="shared" si="108"/>
        <v>456.8</v>
      </c>
      <c r="AJ2426" s="68">
        <f t="shared" si="120"/>
        <v>73.088</v>
      </c>
      <c r="AK2426" s="68">
        <f t="shared" si="121"/>
        <v>529.888</v>
      </c>
      <c r="AL2426" s="70"/>
      <c r="AM2426" s="70"/>
      <c r="AN2426" s="71"/>
      <c r="AO2426" s="71"/>
      <c r="AP2426" s="71"/>
      <c r="AQ2426" s="71"/>
      <c r="AR2426" s="71"/>
      <c r="AS2426" s="71"/>
      <c r="AT2426" s="71"/>
      <c r="AU2426" s="71"/>
      <c r="AV2426" s="71"/>
      <c r="AW2426" s="71"/>
      <c r="AX2426" s="71"/>
      <c r="AY2426" s="71"/>
      <c r="AZ2426" s="71"/>
      <c r="BA2426" s="71"/>
      <c r="BB2426" s="71"/>
      <c r="BC2426" s="71"/>
      <c r="BD2426" s="71"/>
      <c r="BE2426" s="71"/>
      <c r="BF2426" s="71"/>
      <c r="BG2426" s="71"/>
      <c r="BH2426" s="71"/>
      <c r="BI2426" s="71"/>
      <c r="BJ2426" s="71"/>
      <c r="BK2426" s="71"/>
      <c r="BL2426" s="71"/>
      <c r="BM2426" s="71"/>
      <c r="BN2426" s="71"/>
      <c r="BO2426" s="71"/>
      <c r="BP2426" s="71"/>
      <c r="BQ2426" s="71"/>
      <c r="BR2426" s="71"/>
      <c r="BS2426" s="71"/>
      <c r="BT2426" s="71"/>
      <c r="BU2426" s="71"/>
      <c r="BV2426" s="71"/>
    </row>
    <row r="2427">
      <c r="A2427" s="53">
        <v>1.0</v>
      </c>
      <c r="B2427" s="53"/>
      <c r="C2427" s="73" t="s">
        <v>12</v>
      </c>
      <c r="D2427" s="74" t="s">
        <v>5963</v>
      </c>
      <c r="E2427" s="54" t="s">
        <v>38</v>
      </c>
      <c r="F2427" s="54" t="s">
        <v>42</v>
      </c>
      <c r="G2427" s="54" t="s">
        <v>5964</v>
      </c>
      <c r="H2427" s="54" t="s">
        <v>5965</v>
      </c>
      <c r="I2427" s="54">
        <f t="shared" si="24"/>
        <v>31</v>
      </c>
      <c r="J2427" s="56"/>
      <c r="K2427" s="57"/>
      <c r="L2427" s="87"/>
      <c r="M2427" s="59"/>
      <c r="N2427" s="60">
        <v>52.0</v>
      </c>
      <c r="O2427" s="61">
        <v>56.0</v>
      </c>
      <c r="P2427" s="62">
        <v>60.480000000000004</v>
      </c>
      <c r="Q2427" s="63">
        <v>60.480000000000004</v>
      </c>
      <c r="R2427" s="64">
        <v>69.0</v>
      </c>
      <c r="S2427" s="111">
        <v>72.0</v>
      </c>
      <c r="T2427" s="65">
        <f t="shared" si="93"/>
        <v>11.52</v>
      </c>
      <c r="U2427" s="65">
        <f t="shared" si="94"/>
        <v>83.52</v>
      </c>
      <c r="V2427" s="66">
        <f t="shared" si="123"/>
        <v>0.04347826087</v>
      </c>
      <c r="W2427" s="67">
        <f t="shared" si="96"/>
        <v>68.4</v>
      </c>
      <c r="X2427" s="67">
        <f t="shared" si="112"/>
        <v>10.944</v>
      </c>
      <c r="Y2427" s="67">
        <f t="shared" si="113"/>
        <v>79.344</v>
      </c>
      <c r="Z2427" s="67">
        <f t="shared" si="99"/>
        <v>64.8</v>
      </c>
      <c r="AA2427" s="67">
        <f t="shared" si="114"/>
        <v>10.368</v>
      </c>
      <c r="AB2427" s="67">
        <f t="shared" si="115"/>
        <v>75.168</v>
      </c>
      <c r="AC2427" s="67">
        <f t="shared" si="102"/>
        <v>61.2</v>
      </c>
      <c r="AD2427" s="67">
        <f t="shared" si="116"/>
        <v>9.792</v>
      </c>
      <c r="AE2427" s="67">
        <f t="shared" si="117"/>
        <v>70.992</v>
      </c>
      <c r="AF2427" s="67">
        <f t="shared" si="105"/>
        <v>59.76</v>
      </c>
      <c r="AG2427" s="67">
        <f t="shared" si="118"/>
        <v>9.5616</v>
      </c>
      <c r="AH2427" s="67">
        <f t="shared" si="119"/>
        <v>69.3216</v>
      </c>
      <c r="AI2427" s="67">
        <f t="shared" si="108"/>
        <v>57.6</v>
      </c>
      <c r="AJ2427" s="68">
        <f t="shared" si="120"/>
        <v>9.216</v>
      </c>
      <c r="AK2427" s="68">
        <f t="shared" si="121"/>
        <v>66.816</v>
      </c>
      <c r="AL2427" s="70"/>
      <c r="AM2427" s="70"/>
      <c r="AN2427" s="71"/>
      <c r="AO2427" s="71"/>
      <c r="AP2427" s="71"/>
      <c r="AQ2427" s="71"/>
      <c r="AR2427" s="71"/>
      <c r="AS2427" s="71"/>
      <c r="AT2427" s="71"/>
      <c r="AU2427" s="71"/>
      <c r="AV2427" s="71"/>
      <c r="AW2427" s="71"/>
      <c r="AX2427" s="71"/>
      <c r="AY2427" s="71"/>
      <c r="AZ2427" s="71"/>
      <c r="BA2427" s="71"/>
      <c r="BB2427" s="71"/>
      <c r="BC2427" s="71"/>
      <c r="BD2427" s="71"/>
      <c r="BE2427" s="71"/>
      <c r="BF2427" s="71"/>
      <c r="BG2427" s="71"/>
      <c r="BH2427" s="71"/>
      <c r="BI2427" s="71"/>
      <c r="BJ2427" s="71"/>
      <c r="BK2427" s="71"/>
      <c r="BL2427" s="71"/>
      <c r="BM2427" s="71"/>
      <c r="BN2427" s="71"/>
      <c r="BO2427" s="71"/>
      <c r="BP2427" s="71"/>
      <c r="BQ2427" s="71"/>
      <c r="BR2427" s="71"/>
      <c r="BS2427" s="71"/>
      <c r="BT2427" s="71"/>
      <c r="BU2427" s="71"/>
      <c r="BV2427" s="71"/>
    </row>
    <row r="2428">
      <c r="A2428" s="53">
        <v>1.0</v>
      </c>
      <c r="B2428" s="53"/>
      <c r="C2428" s="73" t="s">
        <v>12</v>
      </c>
      <c r="D2428" s="74" t="s">
        <v>5966</v>
      </c>
      <c r="E2428" s="54" t="s">
        <v>38</v>
      </c>
      <c r="F2428" s="54" t="s">
        <v>42</v>
      </c>
      <c r="G2428" s="54" t="s">
        <v>5967</v>
      </c>
      <c r="H2428" s="54" t="s">
        <v>5967</v>
      </c>
      <c r="I2428" s="54">
        <f t="shared" si="24"/>
        <v>13</v>
      </c>
      <c r="J2428" s="56"/>
      <c r="K2428" s="57"/>
      <c r="L2428" s="87"/>
      <c r="M2428" s="59"/>
      <c r="N2428" s="60">
        <v>23.0</v>
      </c>
      <c r="O2428" s="61">
        <v>24.0</v>
      </c>
      <c r="P2428" s="62">
        <v>18.4</v>
      </c>
      <c r="Q2428" s="63">
        <v>18.4</v>
      </c>
      <c r="R2428" s="64">
        <v>21.0</v>
      </c>
      <c r="S2428" s="111">
        <v>22.0</v>
      </c>
      <c r="T2428" s="65">
        <f t="shared" si="93"/>
        <v>3.52</v>
      </c>
      <c r="U2428" s="65">
        <f t="shared" si="94"/>
        <v>25.52</v>
      </c>
      <c r="V2428" s="66">
        <f t="shared" si="123"/>
        <v>0.04761904762</v>
      </c>
      <c r="W2428" s="67">
        <f t="shared" si="96"/>
        <v>20.9</v>
      </c>
      <c r="X2428" s="67">
        <f t="shared" si="112"/>
        <v>3.344</v>
      </c>
      <c r="Y2428" s="67">
        <f t="shared" si="113"/>
        <v>24.244</v>
      </c>
      <c r="Z2428" s="67">
        <f t="shared" si="99"/>
        <v>19.8</v>
      </c>
      <c r="AA2428" s="67">
        <f t="shared" si="114"/>
        <v>3.168</v>
      </c>
      <c r="AB2428" s="67">
        <f t="shared" si="115"/>
        <v>22.968</v>
      </c>
      <c r="AC2428" s="67">
        <f t="shared" si="102"/>
        <v>18.7</v>
      </c>
      <c r="AD2428" s="67">
        <f t="shared" si="116"/>
        <v>2.992</v>
      </c>
      <c r="AE2428" s="67">
        <f t="shared" si="117"/>
        <v>21.692</v>
      </c>
      <c r="AF2428" s="67">
        <f t="shared" si="105"/>
        <v>18.26</v>
      </c>
      <c r="AG2428" s="67">
        <f t="shared" si="118"/>
        <v>2.9216</v>
      </c>
      <c r="AH2428" s="67">
        <f t="shared" si="119"/>
        <v>21.1816</v>
      </c>
      <c r="AI2428" s="67">
        <f t="shared" si="108"/>
        <v>17.6</v>
      </c>
      <c r="AJ2428" s="68">
        <f t="shared" si="120"/>
        <v>2.816</v>
      </c>
      <c r="AK2428" s="68">
        <f t="shared" si="121"/>
        <v>20.416</v>
      </c>
      <c r="AL2428" s="70"/>
      <c r="AM2428" s="70"/>
      <c r="AN2428" s="71"/>
      <c r="AO2428" s="71"/>
      <c r="AP2428" s="71"/>
      <c r="AQ2428" s="71"/>
      <c r="AR2428" s="71"/>
      <c r="AS2428" s="71"/>
      <c r="AT2428" s="71"/>
      <c r="AU2428" s="71"/>
      <c r="AV2428" s="71"/>
      <c r="AW2428" s="71"/>
      <c r="AX2428" s="71"/>
      <c r="AY2428" s="71"/>
      <c r="AZ2428" s="71"/>
      <c r="BA2428" s="71"/>
      <c r="BB2428" s="71"/>
      <c r="BC2428" s="71"/>
      <c r="BD2428" s="71"/>
      <c r="BE2428" s="71"/>
      <c r="BF2428" s="71"/>
      <c r="BG2428" s="71"/>
      <c r="BH2428" s="71"/>
      <c r="BI2428" s="71"/>
      <c r="BJ2428" s="71"/>
      <c r="BK2428" s="71"/>
      <c r="BL2428" s="71"/>
      <c r="BM2428" s="71"/>
      <c r="BN2428" s="71"/>
      <c r="BO2428" s="71"/>
      <c r="BP2428" s="71"/>
      <c r="BQ2428" s="71"/>
      <c r="BR2428" s="71"/>
      <c r="BS2428" s="71"/>
      <c r="BT2428" s="71"/>
      <c r="BU2428" s="71"/>
      <c r="BV2428" s="71"/>
    </row>
    <row r="2429">
      <c r="A2429" s="53"/>
      <c r="B2429" s="53"/>
      <c r="C2429" s="53" t="s">
        <v>36</v>
      </c>
      <c r="D2429" s="85" t="s">
        <v>5968</v>
      </c>
      <c r="E2429" s="54" t="s">
        <v>38</v>
      </c>
      <c r="F2429" s="55" t="s">
        <v>39</v>
      </c>
      <c r="G2429" s="86" t="s">
        <v>5969</v>
      </c>
      <c r="H2429" s="55"/>
      <c r="I2429" s="54">
        <f t="shared" si="24"/>
        <v>0</v>
      </c>
      <c r="J2429" s="56"/>
      <c r="K2429" s="57"/>
      <c r="L2429" s="76"/>
      <c r="M2429" s="59"/>
      <c r="N2429" s="60"/>
      <c r="O2429" s="61">
        <v>40.32</v>
      </c>
      <c r="P2429" s="62">
        <v>43.5456</v>
      </c>
      <c r="Q2429" s="63">
        <v>43.5456</v>
      </c>
      <c r="R2429" s="64">
        <v>47.0</v>
      </c>
      <c r="S2429" s="107">
        <v>49.0</v>
      </c>
      <c r="T2429" s="65">
        <f t="shared" si="93"/>
        <v>7.84</v>
      </c>
      <c r="U2429" s="65">
        <f t="shared" si="94"/>
        <v>56.84</v>
      </c>
      <c r="V2429" s="66">
        <f t="shared" si="123"/>
        <v>0.04255319149</v>
      </c>
      <c r="W2429" s="67">
        <f t="shared" si="96"/>
        <v>46.55</v>
      </c>
      <c r="X2429" s="67">
        <f t="shared" si="112"/>
        <v>7.448</v>
      </c>
      <c r="Y2429" s="67">
        <f t="shared" si="113"/>
        <v>53.998</v>
      </c>
      <c r="Z2429" s="67">
        <f t="shared" si="99"/>
        <v>44.1</v>
      </c>
      <c r="AA2429" s="67">
        <f t="shared" si="114"/>
        <v>7.056</v>
      </c>
      <c r="AB2429" s="67">
        <f t="shared" si="115"/>
        <v>51.156</v>
      </c>
      <c r="AC2429" s="67">
        <f t="shared" si="102"/>
        <v>41.65</v>
      </c>
      <c r="AD2429" s="67">
        <f t="shared" si="116"/>
        <v>6.664</v>
      </c>
      <c r="AE2429" s="67">
        <f t="shared" si="117"/>
        <v>48.314</v>
      </c>
      <c r="AF2429" s="67">
        <f t="shared" si="105"/>
        <v>40.67</v>
      </c>
      <c r="AG2429" s="67">
        <f t="shared" si="118"/>
        <v>6.5072</v>
      </c>
      <c r="AH2429" s="67">
        <f t="shared" si="119"/>
        <v>47.1772</v>
      </c>
      <c r="AI2429" s="67">
        <f t="shared" si="108"/>
        <v>39.2</v>
      </c>
      <c r="AJ2429" s="68">
        <f t="shared" si="120"/>
        <v>6.272</v>
      </c>
      <c r="AK2429" s="68">
        <f t="shared" si="121"/>
        <v>45.472</v>
      </c>
      <c r="AL2429" s="70"/>
      <c r="AM2429" s="70"/>
      <c r="AN2429" s="71"/>
      <c r="AO2429" s="71"/>
      <c r="AP2429" s="71"/>
      <c r="AQ2429" s="71"/>
      <c r="AR2429" s="71"/>
      <c r="AS2429" s="71"/>
      <c r="AT2429" s="71"/>
      <c r="AU2429" s="71"/>
      <c r="AV2429" s="71"/>
      <c r="AW2429" s="71"/>
      <c r="AX2429" s="71"/>
      <c r="AY2429" s="71"/>
      <c r="AZ2429" s="71"/>
      <c r="BA2429" s="71"/>
      <c r="BB2429" s="71"/>
      <c r="BC2429" s="71"/>
      <c r="BD2429" s="71"/>
      <c r="BE2429" s="71"/>
      <c r="BF2429" s="71"/>
      <c r="BG2429" s="71"/>
      <c r="BH2429" s="71"/>
      <c r="BI2429" s="71"/>
      <c r="BJ2429" s="71"/>
      <c r="BK2429" s="71"/>
      <c r="BL2429" s="71"/>
      <c r="BM2429" s="71"/>
      <c r="BN2429" s="71"/>
      <c r="BO2429" s="71"/>
      <c r="BP2429" s="71"/>
      <c r="BQ2429" s="71"/>
      <c r="BR2429" s="71"/>
      <c r="BS2429" s="71"/>
      <c r="BT2429" s="71"/>
      <c r="BU2429" s="71"/>
      <c r="BV2429" s="71"/>
    </row>
    <row r="2430">
      <c r="A2430" s="53"/>
      <c r="B2430" s="53"/>
      <c r="C2430" s="53" t="s">
        <v>36</v>
      </c>
      <c r="D2430" s="85" t="s">
        <v>5970</v>
      </c>
      <c r="E2430" s="54" t="s">
        <v>38</v>
      </c>
      <c r="F2430" s="55" t="s">
        <v>39</v>
      </c>
      <c r="G2430" s="86" t="s">
        <v>5971</v>
      </c>
      <c r="H2430" s="55"/>
      <c r="I2430" s="54">
        <f t="shared" si="24"/>
        <v>0</v>
      </c>
      <c r="J2430" s="56"/>
      <c r="K2430" s="57"/>
      <c r="L2430" s="76"/>
      <c r="M2430" s="59"/>
      <c r="N2430" s="60"/>
      <c r="O2430" s="61">
        <v>614.4</v>
      </c>
      <c r="P2430" s="62">
        <v>663.552</v>
      </c>
      <c r="Q2430" s="63">
        <v>663.552</v>
      </c>
      <c r="R2430" s="64">
        <v>698.0</v>
      </c>
      <c r="S2430" s="107">
        <v>733.0</v>
      </c>
      <c r="T2430" s="65">
        <f t="shared" si="93"/>
        <v>117.28</v>
      </c>
      <c r="U2430" s="65">
        <f t="shared" si="94"/>
        <v>850.28</v>
      </c>
      <c r="V2430" s="66">
        <f t="shared" si="123"/>
        <v>0.05014326648</v>
      </c>
      <c r="W2430" s="67">
        <f t="shared" si="96"/>
        <v>696.35</v>
      </c>
      <c r="X2430" s="67">
        <f t="shared" si="112"/>
        <v>111.416</v>
      </c>
      <c r="Y2430" s="67">
        <f t="shared" si="113"/>
        <v>807.766</v>
      </c>
      <c r="Z2430" s="67">
        <f t="shared" si="99"/>
        <v>659.7</v>
      </c>
      <c r="AA2430" s="67">
        <f t="shared" si="114"/>
        <v>105.552</v>
      </c>
      <c r="AB2430" s="67">
        <f t="shared" si="115"/>
        <v>765.252</v>
      </c>
      <c r="AC2430" s="67">
        <f t="shared" si="102"/>
        <v>623.05</v>
      </c>
      <c r="AD2430" s="67">
        <f t="shared" si="116"/>
        <v>99.688</v>
      </c>
      <c r="AE2430" s="67">
        <f t="shared" si="117"/>
        <v>722.738</v>
      </c>
      <c r="AF2430" s="67">
        <f t="shared" si="105"/>
        <v>608.39</v>
      </c>
      <c r="AG2430" s="67">
        <f t="shared" si="118"/>
        <v>97.3424</v>
      </c>
      <c r="AH2430" s="67">
        <f t="shared" si="119"/>
        <v>705.7324</v>
      </c>
      <c r="AI2430" s="67">
        <f t="shared" si="108"/>
        <v>586.4</v>
      </c>
      <c r="AJ2430" s="68">
        <f t="shared" si="120"/>
        <v>93.824</v>
      </c>
      <c r="AK2430" s="68">
        <f t="shared" si="121"/>
        <v>680.224</v>
      </c>
      <c r="AL2430" s="70"/>
      <c r="AM2430" s="70"/>
      <c r="AN2430" s="71"/>
      <c r="AO2430" s="71"/>
      <c r="AP2430" s="71"/>
      <c r="AQ2430" s="71"/>
      <c r="AR2430" s="71"/>
      <c r="AS2430" s="71"/>
      <c r="AT2430" s="71"/>
      <c r="AU2430" s="71"/>
      <c r="AV2430" s="71"/>
      <c r="AW2430" s="71"/>
      <c r="AX2430" s="71"/>
      <c r="AY2430" s="71"/>
      <c r="AZ2430" s="71"/>
      <c r="BA2430" s="71"/>
      <c r="BB2430" s="71"/>
      <c r="BC2430" s="71"/>
      <c r="BD2430" s="71"/>
      <c r="BE2430" s="71"/>
      <c r="BF2430" s="71"/>
      <c r="BG2430" s="71"/>
      <c r="BH2430" s="71"/>
      <c r="BI2430" s="71"/>
      <c r="BJ2430" s="71"/>
      <c r="BK2430" s="71"/>
      <c r="BL2430" s="71"/>
      <c r="BM2430" s="71"/>
      <c r="BN2430" s="71"/>
      <c r="BO2430" s="71"/>
      <c r="BP2430" s="71"/>
      <c r="BQ2430" s="71"/>
      <c r="BR2430" s="71"/>
      <c r="BS2430" s="71"/>
      <c r="BT2430" s="71"/>
      <c r="BU2430" s="71"/>
      <c r="BV2430" s="71"/>
    </row>
    <row r="2431">
      <c r="A2431" s="53"/>
      <c r="B2431" s="53"/>
      <c r="C2431" s="53" t="s">
        <v>36</v>
      </c>
      <c r="D2431" s="85" t="s">
        <v>5972</v>
      </c>
      <c r="E2431" s="54" t="s">
        <v>38</v>
      </c>
      <c r="F2431" s="55" t="s">
        <v>39</v>
      </c>
      <c r="G2431" s="86" t="s">
        <v>5973</v>
      </c>
      <c r="H2431" s="55"/>
      <c r="I2431" s="54">
        <f t="shared" si="24"/>
        <v>0</v>
      </c>
      <c r="J2431" s="56"/>
      <c r="K2431" s="57"/>
      <c r="L2431" s="76"/>
      <c r="M2431" s="59"/>
      <c r="N2431" s="60"/>
      <c r="O2431" s="61">
        <v>764.4</v>
      </c>
      <c r="P2431" s="62">
        <v>825.552</v>
      </c>
      <c r="Q2431" s="63">
        <v>825.552</v>
      </c>
      <c r="R2431" s="64">
        <v>868.0</v>
      </c>
      <c r="S2431" s="107">
        <v>911.0</v>
      </c>
      <c r="T2431" s="65">
        <f t="shared" si="93"/>
        <v>145.76</v>
      </c>
      <c r="U2431" s="65">
        <f t="shared" si="94"/>
        <v>1056.76</v>
      </c>
      <c r="V2431" s="66">
        <f t="shared" si="123"/>
        <v>0.04953917051</v>
      </c>
      <c r="W2431" s="67">
        <f t="shared" si="96"/>
        <v>865.45</v>
      </c>
      <c r="X2431" s="67">
        <f t="shared" si="112"/>
        <v>138.472</v>
      </c>
      <c r="Y2431" s="67">
        <f t="shared" si="113"/>
        <v>1003.922</v>
      </c>
      <c r="Z2431" s="67">
        <f t="shared" si="99"/>
        <v>819.9</v>
      </c>
      <c r="AA2431" s="67">
        <f t="shared" si="114"/>
        <v>131.184</v>
      </c>
      <c r="AB2431" s="67">
        <f t="shared" si="115"/>
        <v>951.084</v>
      </c>
      <c r="AC2431" s="67">
        <f t="shared" si="102"/>
        <v>774.35</v>
      </c>
      <c r="AD2431" s="67">
        <f t="shared" si="116"/>
        <v>123.896</v>
      </c>
      <c r="AE2431" s="67">
        <f t="shared" si="117"/>
        <v>898.246</v>
      </c>
      <c r="AF2431" s="67">
        <f t="shared" si="105"/>
        <v>756.13</v>
      </c>
      <c r="AG2431" s="67">
        <f t="shared" si="118"/>
        <v>120.9808</v>
      </c>
      <c r="AH2431" s="67">
        <f t="shared" si="119"/>
        <v>877.1108</v>
      </c>
      <c r="AI2431" s="67">
        <f t="shared" si="108"/>
        <v>728.8</v>
      </c>
      <c r="AJ2431" s="68">
        <f t="shared" si="120"/>
        <v>116.608</v>
      </c>
      <c r="AK2431" s="68">
        <f t="shared" si="121"/>
        <v>845.408</v>
      </c>
      <c r="AL2431" s="70"/>
      <c r="AM2431" s="70"/>
      <c r="AN2431" s="71"/>
      <c r="AO2431" s="71"/>
      <c r="AP2431" s="71"/>
      <c r="AQ2431" s="71"/>
      <c r="AR2431" s="71"/>
      <c r="AS2431" s="71"/>
      <c r="AT2431" s="71"/>
      <c r="AU2431" s="71"/>
      <c r="AV2431" s="71"/>
      <c r="AW2431" s="71"/>
      <c r="AX2431" s="71"/>
      <c r="AY2431" s="71"/>
      <c r="AZ2431" s="71"/>
      <c r="BA2431" s="71"/>
      <c r="BB2431" s="71"/>
      <c r="BC2431" s="71"/>
      <c r="BD2431" s="71"/>
      <c r="BE2431" s="71"/>
      <c r="BF2431" s="71"/>
      <c r="BG2431" s="71"/>
      <c r="BH2431" s="71"/>
      <c r="BI2431" s="71"/>
      <c r="BJ2431" s="71"/>
      <c r="BK2431" s="71"/>
      <c r="BL2431" s="71"/>
      <c r="BM2431" s="71"/>
      <c r="BN2431" s="71"/>
      <c r="BO2431" s="71"/>
      <c r="BP2431" s="71"/>
      <c r="BQ2431" s="71"/>
      <c r="BR2431" s="71"/>
      <c r="BS2431" s="71"/>
      <c r="BT2431" s="71"/>
      <c r="BU2431" s="71"/>
      <c r="BV2431" s="71"/>
    </row>
    <row r="2432">
      <c r="A2432" s="53"/>
      <c r="B2432" s="53"/>
      <c r="C2432" s="53" t="s">
        <v>36</v>
      </c>
      <c r="D2432" s="85" t="s">
        <v>5974</v>
      </c>
      <c r="E2432" s="54" t="s">
        <v>38</v>
      </c>
      <c r="F2432" s="55" t="s">
        <v>39</v>
      </c>
      <c r="G2432" s="86" t="s">
        <v>5975</v>
      </c>
      <c r="H2432" s="55"/>
      <c r="I2432" s="54">
        <f t="shared" si="24"/>
        <v>0</v>
      </c>
      <c r="J2432" s="56"/>
      <c r="K2432" s="57"/>
      <c r="L2432" s="76"/>
      <c r="M2432" s="59"/>
      <c r="N2432" s="60"/>
      <c r="O2432" s="61">
        <v>172.8</v>
      </c>
      <c r="P2432" s="62">
        <v>186.62400000000002</v>
      </c>
      <c r="Q2432" s="63">
        <v>186.62400000000002</v>
      </c>
      <c r="R2432" s="64">
        <v>197.0</v>
      </c>
      <c r="S2432" s="107">
        <v>207.0</v>
      </c>
      <c r="T2432" s="65">
        <f t="shared" si="93"/>
        <v>33.12</v>
      </c>
      <c r="U2432" s="65">
        <f t="shared" si="94"/>
        <v>240.12</v>
      </c>
      <c r="V2432" s="66">
        <f t="shared" si="123"/>
        <v>0.05076142132</v>
      </c>
      <c r="W2432" s="67">
        <f t="shared" si="96"/>
        <v>196.65</v>
      </c>
      <c r="X2432" s="67">
        <f t="shared" si="112"/>
        <v>31.464</v>
      </c>
      <c r="Y2432" s="67">
        <f t="shared" si="113"/>
        <v>228.114</v>
      </c>
      <c r="Z2432" s="67">
        <f t="shared" si="99"/>
        <v>186.3</v>
      </c>
      <c r="AA2432" s="67">
        <f t="shared" si="114"/>
        <v>29.808</v>
      </c>
      <c r="AB2432" s="67">
        <f t="shared" si="115"/>
        <v>216.108</v>
      </c>
      <c r="AC2432" s="67">
        <f t="shared" si="102"/>
        <v>175.95</v>
      </c>
      <c r="AD2432" s="67">
        <f t="shared" si="116"/>
        <v>28.152</v>
      </c>
      <c r="AE2432" s="67">
        <f t="shared" si="117"/>
        <v>204.102</v>
      </c>
      <c r="AF2432" s="67">
        <f t="shared" si="105"/>
        <v>171.81</v>
      </c>
      <c r="AG2432" s="67">
        <f t="shared" si="118"/>
        <v>27.4896</v>
      </c>
      <c r="AH2432" s="67">
        <f t="shared" si="119"/>
        <v>199.2996</v>
      </c>
      <c r="AI2432" s="67">
        <f t="shared" si="108"/>
        <v>165.6</v>
      </c>
      <c r="AJ2432" s="68">
        <f t="shared" si="120"/>
        <v>26.496</v>
      </c>
      <c r="AK2432" s="68">
        <f t="shared" si="121"/>
        <v>192.096</v>
      </c>
      <c r="AL2432" s="70"/>
      <c r="AM2432" s="70"/>
      <c r="AN2432" s="71"/>
      <c r="AO2432" s="71"/>
      <c r="AP2432" s="71"/>
      <c r="AQ2432" s="71"/>
      <c r="AR2432" s="71"/>
      <c r="AS2432" s="71"/>
      <c r="AT2432" s="71"/>
      <c r="AU2432" s="71"/>
      <c r="AV2432" s="71"/>
      <c r="AW2432" s="71"/>
      <c r="AX2432" s="71"/>
      <c r="AY2432" s="71"/>
      <c r="AZ2432" s="71"/>
      <c r="BA2432" s="71"/>
      <c r="BB2432" s="71"/>
      <c r="BC2432" s="71"/>
      <c r="BD2432" s="71"/>
      <c r="BE2432" s="71"/>
      <c r="BF2432" s="71"/>
      <c r="BG2432" s="71"/>
      <c r="BH2432" s="71"/>
      <c r="BI2432" s="71"/>
      <c r="BJ2432" s="71"/>
      <c r="BK2432" s="71"/>
      <c r="BL2432" s="71"/>
      <c r="BM2432" s="71"/>
      <c r="BN2432" s="71"/>
      <c r="BO2432" s="71"/>
      <c r="BP2432" s="71"/>
      <c r="BQ2432" s="71"/>
      <c r="BR2432" s="71"/>
      <c r="BS2432" s="71"/>
      <c r="BT2432" s="71"/>
      <c r="BU2432" s="71"/>
      <c r="BV2432" s="71"/>
    </row>
    <row r="2433">
      <c r="A2433" s="53"/>
      <c r="B2433" s="53"/>
      <c r="C2433" s="53" t="s">
        <v>53</v>
      </c>
      <c r="D2433" s="53" t="s">
        <v>5976</v>
      </c>
      <c r="E2433" s="54" t="s">
        <v>38</v>
      </c>
      <c r="F2433" s="55" t="s">
        <v>39</v>
      </c>
      <c r="G2433" s="55" t="s">
        <v>5977</v>
      </c>
      <c r="H2433" s="55" t="s">
        <v>5978</v>
      </c>
      <c r="I2433" s="54">
        <f t="shared" si="24"/>
        <v>36</v>
      </c>
      <c r="J2433" s="56"/>
      <c r="K2433" s="57"/>
      <c r="L2433" s="76"/>
      <c r="M2433" s="59"/>
      <c r="N2433" s="60"/>
      <c r="O2433" s="61">
        <v>172.8</v>
      </c>
      <c r="P2433" s="62">
        <v>186.62400000000002</v>
      </c>
      <c r="Q2433" s="63">
        <v>186.62400000000002</v>
      </c>
      <c r="R2433" s="64">
        <v>197.0</v>
      </c>
      <c r="S2433" s="111">
        <v>207.0</v>
      </c>
      <c r="T2433" s="65">
        <f t="shared" si="93"/>
        <v>33.12</v>
      </c>
      <c r="U2433" s="65">
        <f t="shared" si="94"/>
        <v>240.12</v>
      </c>
      <c r="V2433" s="66">
        <f t="shared" si="123"/>
        <v>0.05076142132</v>
      </c>
      <c r="W2433" s="67">
        <f t="shared" si="96"/>
        <v>196.65</v>
      </c>
      <c r="X2433" s="67">
        <f t="shared" si="112"/>
        <v>31.464</v>
      </c>
      <c r="Y2433" s="67">
        <f t="shared" si="113"/>
        <v>228.114</v>
      </c>
      <c r="Z2433" s="67">
        <f t="shared" si="99"/>
        <v>186.3</v>
      </c>
      <c r="AA2433" s="67">
        <f t="shared" si="114"/>
        <v>29.808</v>
      </c>
      <c r="AB2433" s="67">
        <f t="shared" si="115"/>
        <v>216.108</v>
      </c>
      <c r="AC2433" s="67">
        <f t="shared" si="102"/>
        <v>175.95</v>
      </c>
      <c r="AD2433" s="67">
        <f t="shared" si="116"/>
        <v>28.152</v>
      </c>
      <c r="AE2433" s="67">
        <f t="shared" si="117"/>
        <v>204.102</v>
      </c>
      <c r="AF2433" s="67">
        <f t="shared" si="105"/>
        <v>171.81</v>
      </c>
      <c r="AG2433" s="67">
        <f t="shared" si="118"/>
        <v>27.4896</v>
      </c>
      <c r="AH2433" s="67">
        <f t="shared" si="119"/>
        <v>199.2996</v>
      </c>
      <c r="AI2433" s="67">
        <f t="shared" si="108"/>
        <v>165.6</v>
      </c>
      <c r="AJ2433" s="68">
        <f t="shared" si="120"/>
        <v>26.496</v>
      </c>
      <c r="AK2433" s="68">
        <f t="shared" si="121"/>
        <v>192.096</v>
      </c>
      <c r="AL2433" s="70"/>
      <c r="AM2433" s="70"/>
      <c r="AN2433" s="71"/>
      <c r="AO2433" s="71"/>
      <c r="AP2433" s="71"/>
      <c r="AQ2433" s="71"/>
      <c r="AR2433" s="71"/>
      <c r="AS2433" s="71"/>
      <c r="AT2433" s="71"/>
      <c r="AU2433" s="71"/>
      <c r="AV2433" s="71"/>
      <c r="AW2433" s="71"/>
      <c r="AX2433" s="71"/>
      <c r="AY2433" s="71"/>
      <c r="AZ2433" s="71"/>
      <c r="BA2433" s="71"/>
      <c r="BB2433" s="71"/>
      <c r="BC2433" s="71"/>
      <c r="BD2433" s="71"/>
      <c r="BE2433" s="71"/>
      <c r="BF2433" s="71"/>
      <c r="BG2433" s="71"/>
      <c r="BH2433" s="71"/>
      <c r="BI2433" s="71"/>
      <c r="BJ2433" s="71"/>
      <c r="BK2433" s="71"/>
      <c r="BL2433" s="71"/>
      <c r="BM2433" s="71"/>
      <c r="BN2433" s="71"/>
      <c r="BO2433" s="71"/>
      <c r="BP2433" s="71"/>
      <c r="BQ2433" s="71"/>
      <c r="BR2433" s="71"/>
      <c r="BS2433" s="71"/>
      <c r="BT2433" s="71"/>
      <c r="BU2433" s="71"/>
      <c r="BV2433" s="71"/>
    </row>
    <row r="2434">
      <c r="A2434" s="53">
        <v>1.0</v>
      </c>
      <c r="B2434" s="53"/>
      <c r="C2434" s="73" t="s">
        <v>53</v>
      </c>
      <c r="D2434" s="74" t="s">
        <v>5979</v>
      </c>
      <c r="E2434" s="54" t="s">
        <v>38</v>
      </c>
      <c r="F2434" s="54" t="s">
        <v>42</v>
      </c>
      <c r="G2434" s="88" t="s">
        <v>5980</v>
      </c>
      <c r="H2434" s="54" t="s">
        <v>5981</v>
      </c>
      <c r="I2434" s="54">
        <f t="shared" si="24"/>
        <v>33</v>
      </c>
      <c r="J2434" s="56"/>
      <c r="K2434" s="57"/>
      <c r="L2434" s="87"/>
      <c r="M2434" s="59"/>
      <c r="N2434" s="60">
        <v>20.0</v>
      </c>
      <c r="O2434" s="61">
        <v>21.0</v>
      </c>
      <c r="P2434" s="62">
        <v>22.68</v>
      </c>
      <c r="Q2434" s="63">
        <v>22.68</v>
      </c>
      <c r="R2434" s="64">
        <v>27.0</v>
      </c>
      <c r="S2434" s="111">
        <v>28.0</v>
      </c>
      <c r="T2434" s="65">
        <f t="shared" si="93"/>
        <v>4.48</v>
      </c>
      <c r="U2434" s="65">
        <f t="shared" si="94"/>
        <v>32.48</v>
      </c>
      <c r="V2434" s="66">
        <f t="shared" si="123"/>
        <v>0.03703703704</v>
      </c>
      <c r="W2434" s="67">
        <f t="shared" si="96"/>
        <v>26.6</v>
      </c>
      <c r="X2434" s="67">
        <f t="shared" si="112"/>
        <v>4.256</v>
      </c>
      <c r="Y2434" s="67">
        <f t="shared" si="113"/>
        <v>30.856</v>
      </c>
      <c r="Z2434" s="67">
        <f t="shared" si="99"/>
        <v>25.2</v>
      </c>
      <c r="AA2434" s="67">
        <f t="shared" si="114"/>
        <v>4.032</v>
      </c>
      <c r="AB2434" s="67">
        <f t="shared" si="115"/>
        <v>29.232</v>
      </c>
      <c r="AC2434" s="67">
        <f t="shared" si="102"/>
        <v>23.8</v>
      </c>
      <c r="AD2434" s="67">
        <f t="shared" si="116"/>
        <v>3.808</v>
      </c>
      <c r="AE2434" s="67">
        <f t="shared" si="117"/>
        <v>27.608</v>
      </c>
      <c r="AF2434" s="67">
        <f t="shared" si="105"/>
        <v>23.24</v>
      </c>
      <c r="AG2434" s="67">
        <f t="shared" si="118"/>
        <v>3.7184</v>
      </c>
      <c r="AH2434" s="67">
        <f t="shared" si="119"/>
        <v>26.9584</v>
      </c>
      <c r="AI2434" s="67">
        <f t="shared" si="108"/>
        <v>22.4</v>
      </c>
      <c r="AJ2434" s="68">
        <f t="shared" si="120"/>
        <v>3.584</v>
      </c>
      <c r="AK2434" s="68">
        <f t="shared" si="121"/>
        <v>25.984</v>
      </c>
      <c r="AL2434" s="70"/>
      <c r="AM2434" s="70"/>
      <c r="AN2434" s="71"/>
      <c r="AO2434" s="71"/>
      <c r="AP2434" s="71"/>
      <c r="AQ2434" s="71"/>
      <c r="AR2434" s="71"/>
      <c r="AS2434" s="71"/>
      <c r="AT2434" s="71"/>
      <c r="AU2434" s="71"/>
      <c r="AV2434" s="71"/>
      <c r="AW2434" s="71"/>
      <c r="AX2434" s="71"/>
      <c r="AY2434" s="71"/>
      <c r="AZ2434" s="71"/>
      <c r="BA2434" s="71"/>
      <c r="BB2434" s="71"/>
      <c r="BC2434" s="71"/>
      <c r="BD2434" s="71"/>
      <c r="BE2434" s="71"/>
      <c r="BF2434" s="71"/>
      <c r="BG2434" s="71"/>
      <c r="BH2434" s="71"/>
      <c r="BI2434" s="71"/>
      <c r="BJ2434" s="71"/>
      <c r="BK2434" s="71"/>
      <c r="BL2434" s="71"/>
      <c r="BM2434" s="71"/>
      <c r="BN2434" s="71"/>
      <c r="BO2434" s="71"/>
      <c r="BP2434" s="71"/>
      <c r="BQ2434" s="71"/>
      <c r="BR2434" s="71"/>
      <c r="BS2434" s="71"/>
      <c r="BT2434" s="71"/>
      <c r="BU2434" s="71"/>
      <c r="BV2434" s="71"/>
    </row>
    <row r="2435">
      <c r="A2435" s="53">
        <v>1.0</v>
      </c>
      <c r="B2435" s="53"/>
      <c r="C2435" s="73" t="s">
        <v>53</v>
      </c>
      <c r="D2435" s="74" t="s">
        <v>5982</v>
      </c>
      <c r="E2435" s="54" t="s">
        <v>38</v>
      </c>
      <c r="F2435" s="54" t="s">
        <v>42</v>
      </c>
      <c r="G2435" s="88" t="s">
        <v>5983</v>
      </c>
      <c r="H2435" s="54" t="s">
        <v>5984</v>
      </c>
      <c r="I2435" s="54">
        <f t="shared" si="24"/>
        <v>30</v>
      </c>
      <c r="J2435" s="56"/>
      <c r="K2435" s="57"/>
      <c r="L2435" s="87"/>
      <c r="M2435" s="59"/>
      <c r="N2435" s="60">
        <v>14.0</v>
      </c>
      <c r="O2435" s="61">
        <v>15.0</v>
      </c>
      <c r="P2435" s="62">
        <v>16.200000000000003</v>
      </c>
      <c r="Q2435" s="63">
        <v>16.200000000000003</v>
      </c>
      <c r="R2435" s="64">
        <v>19.0</v>
      </c>
      <c r="S2435" s="111">
        <v>19.95</v>
      </c>
      <c r="T2435" s="65">
        <f t="shared" si="93"/>
        <v>3.192</v>
      </c>
      <c r="U2435" s="65">
        <f t="shared" si="94"/>
        <v>23.142</v>
      </c>
      <c r="V2435" s="66">
        <f t="shared" si="123"/>
        <v>0.05</v>
      </c>
      <c r="W2435" s="67">
        <f t="shared" si="96"/>
        <v>18.9525</v>
      </c>
      <c r="X2435" s="67">
        <f t="shared" si="112"/>
        <v>3.0324</v>
      </c>
      <c r="Y2435" s="67">
        <f t="shared" si="113"/>
        <v>21.9849</v>
      </c>
      <c r="Z2435" s="67">
        <f t="shared" si="99"/>
        <v>17.955</v>
      </c>
      <c r="AA2435" s="67">
        <f t="shared" si="114"/>
        <v>2.8728</v>
      </c>
      <c r="AB2435" s="67">
        <f t="shared" si="115"/>
        <v>20.8278</v>
      </c>
      <c r="AC2435" s="67">
        <f t="shared" si="102"/>
        <v>16.9575</v>
      </c>
      <c r="AD2435" s="67">
        <f t="shared" si="116"/>
        <v>2.7132</v>
      </c>
      <c r="AE2435" s="67">
        <f t="shared" si="117"/>
        <v>19.6707</v>
      </c>
      <c r="AF2435" s="67">
        <f t="shared" si="105"/>
        <v>16.5585</v>
      </c>
      <c r="AG2435" s="67">
        <f t="shared" si="118"/>
        <v>2.64936</v>
      </c>
      <c r="AH2435" s="67">
        <f t="shared" si="119"/>
        <v>19.20786</v>
      </c>
      <c r="AI2435" s="67">
        <f t="shared" si="108"/>
        <v>15.96</v>
      </c>
      <c r="AJ2435" s="68">
        <f t="shared" si="120"/>
        <v>2.5536</v>
      </c>
      <c r="AK2435" s="68">
        <f t="shared" si="121"/>
        <v>18.5136</v>
      </c>
      <c r="AL2435" s="70"/>
      <c r="AM2435" s="70"/>
      <c r="AN2435" s="71"/>
      <c r="AO2435" s="71"/>
      <c r="AP2435" s="71"/>
      <c r="AQ2435" s="71"/>
      <c r="AR2435" s="71"/>
      <c r="AS2435" s="71"/>
      <c r="AT2435" s="71"/>
      <c r="AU2435" s="71"/>
      <c r="AV2435" s="71"/>
      <c r="AW2435" s="71"/>
      <c r="AX2435" s="71"/>
      <c r="AY2435" s="71"/>
      <c r="AZ2435" s="71"/>
      <c r="BA2435" s="71"/>
      <c r="BB2435" s="71"/>
      <c r="BC2435" s="71"/>
      <c r="BD2435" s="71"/>
      <c r="BE2435" s="71"/>
      <c r="BF2435" s="71"/>
      <c r="BG2435" s="71"/>
      <c r="BH2435" s="71"/>
      <c r="BI2435" s="71"/>
      <c r="BJ2435" s="71"/>
      <c r="BK2435" s="71"/>
      <c r="BL2435" s="71"/>
      <c r="BM2435" s="71"/>
      <c r="BN2435" s="71"/>
      <c r="BO2435" s="71"/>
      <c r="BP2435" s="71"/>
      <c r="BQ2435" s="71"/>
      <c r="BR2435" s="71"/>
      <c r="BS2435" s="71"/>
      <c r="BT2435" s="71"/>
      <c r="BU2435" s="71"/>
      <c r="BV2435" s="71"/>
    </row>
    <row r="2436">
      <c r="A2436" s="53">
        <v>1.0</v>
      </c>
      <c r="B2436" s="53"/>
      <c r="C2436" s="73" t="s">
        <v>53</v>
      </c>
      <c r="D2436" s="74" t="s">
        <v>5985</v>
      </c>
      <c r="E2436" s="54" t="s">
        <v>38</v>
      </c>
      <c r="F2436" s="54" t="s">
        <v>42</v>
      </c>
      <c r="G2436" s="88" t="s">
        <v>5986</v>
      </c>
      <c r="H2436" s="54" t="s">
        <v>5987</v>
      </c>
      <c r="I2436" s="54">
        <f t="shared" si="24"/>
        <v>18</v>
      </c>
      <c r="J2436" s="56"/>
      <c r="K2436" s="57"/>
      <c r="L2436" s="87"/>
      <c r="M2436" s="59"/>
      <c r="N2436" s="60">
        <v>14.0</v>
      </c>
      <c r="O2436" s="61">
        <v>15.0</v>
      </c>
      <c r="P2436" s="62">
        <v>16.200000000000003</v>
      </c>
      <c r="Q2436" s="63">
        <v>16.200000000000003</v>
      </c>
      <c r="R2436" s="64">
        <v>19.0</v>
      </c>
      <c r="S2436" s="111">
        <v>19.95</v>
      </c>
      <c r="T2436" s="65">
        <f t="shared" si="93"/>
        <v>3.192</v>
      </c>
      <c r="U2436" s="65">
        <f t="shared" si="94"/>
        <v>23.142</v>
      </c>
      <c r="V2436" s="66">
        <f t="shared" si="123"/>
        <v>0.05</v>
      </c>
      <c r="W2436" s="67">
        <f t="shared" si="96"/>
        <v>18.9525</v>
      </c>
      <c r="X2436" s="67">
        <f t="shared" si="112"/>
        <v>3.0324</v>
      </c>
      <c r="Y2436" s="67">
        <f t="shared" si="113"/>
        <v>21.9849</v>
      </c>
      <c r="Z2436" s="67">
        <f t="shared" si="99"/>
        <v>17.955</v>
      </c>
      <c r="AA2436" s="67">
        <f t="shared" si="114"/>
        <v>2.8728</v>
      </c>
      <c r="AB2436" s="67">
        <f t="shared" si="115"/>
        <v>20.8278</v>
      </c>
      <c r="AC2436" s="67">
        <f t="shared" si="102"/>
        <v>16.9575</v>
      </c>
      <c r="AD2436" s="67">
        <f t="shared" si="116"/>
        <v>2.7132</v>
      </c>
      <c r="AE2436" s="67">
        <f t="shared" si="117"/>
        <v>19.6707</v>
      </c>
      <c r="AF2436" s="67">
        <f t="shared" si="105"/>
        <v>16.5585</v>
      </c>
      <c r="AG2436" s="67">
        <f t="shared" si="118"/>
        <v>2.64936</v>
      </c>
      <c r="AH2436" s="67">
        <f t="shared" si="119"/>
        <v>19.20786</v>
      </c>
      <c r="AI2436" s="67">
        <f t="shared" si="108"/>
        <v>15.96</v>
      </c>
      <c r="AJ2436" s="68">
        <f t="shared" si="120"/>
        <v>2.5536</v>
      </c>
      <c r="AK2436" s="68">
        <f t="shared" si="121"/>
        <v>18.5136</v>
      </c>
      <c r="AL2436" s="70"/>
      <c r="AM2436" s="70"/>
      <c r="AN2436" s="71"/>
      <c r="AO2436" s="71"/>
      <c r="AP2436" s="71"/>
      <c r="AQ2436" s="71"/>
      <c r="AR2436" s="71"/>
      <c r="AS2436" s="71"/>
      <c r="AT2436" s="71"/>
      <c r="AU2436" s="71"/>
      <c r="AV2436" s="71"/>
      <c r="AW2436" s="71"/>
      <c r="AX2436" s="71"/>
      <c r="AY2436" s="71"/>
      <c r="AZ2436" s="71"/>
      <c r="BA2436" s="71"/>
      <c r="BB2436" s="71"/>
      <c r="BC2436" s="71"/>
      <c r="BD2436" s="71"/>
      <c r="BE2436" s="71"/>
      <c r="BF2436" s="71"/>
      <c r="BG2436" s="71"/>
      <c r="BH2436" s="71"/>
      <c r="BI2436" s="71"/>
      <c r="BJ2436" s="71"/>
      <c r="BK2436" s="71"/>
      <c r="BL2436" s="71"/>
      <c r="BM2436" s="71"/>
      <c r="BN2436" s="71"/>
      <c r="BO2436" s="71"/>
      <c r="BP2436" s="71"/>
      <c r="BQ2436" s="71"/>
      <c r="BR2436" s="71"/>
      <c r="BS2436" s="71"/>
      <c r="BT2436" s="71"/>
      <c r="BU2436" s="71"/>
      <c r="BV2436" s="71"/>
    </row>
    <row r="2437">
      <c r="A2437" s="53"/>
      <c r="B2437" s="53"/>
      <c r="C2437" s="53" t="s">
        <v>53</v>
      </c>
      <c r="D2437" s="53" t="s">
        <v>5988</v>
      </c>
      <c r="E2437" s="54" t="s">
        <v>38</v>
      </c>
      <c r="F2437" s="55" t="s">
        <v>39</v>
      </c>
      <c r="G2437" s="55" t="s">
        <v>5989</v>
      </c>
      <c r="H2437" s="55" t="s">
        <v>5986</v>
      </c>
      <c r="I2437" s="54">
        <f t="shared" si="24"/>
        <v>23</v>
      </c>
      <c r="J2437" s="56"/>
      <c r="K2437" s="57"/>
      <c r="L2437" s="76"/>
      <c r="M2437" s="59"/>
      <c r="N2437" s="60"/>
      <c r="O2437" s="61">
        <v>364.8</v>
      </c>
      <c r="P2437" s="62">
        <v>393.98400000000004</v>
      </c>
      <c r="Q2437" s="63">
        <v>393.98400000000004</v>
      </c>
      <c r="R2437" s="64">
        <v>414.0</v>
      </c>
      <c r="S2437" s="111">
        <v>435.0</v>
      </c>
      <c r="T2437" s="65">
        <f t="shared" si="93"/>
        <v>69.6</v>
      </c>
      <c r="U2437" s="65">
        <f t="shared" si="94"/>
        <v>504.6</v>
      </c>
      <c r="V2437" s="66">
        <f t="shared" si="123"/>
        <v>0.05072463768</v>
      </c>
      <c r="W2437" s="67">
        <f t="shared" si="96"/>
        <v>413.25</v>
      </c>
      <c r="X2437" s="67">
        <f t="shared" si="112"/>
        <v>66.12</v>
      </c>
      <c r="Y2437" s="67">
        <f t="shared" si="113"/>
        <v>479.37</v>
      </c>
      <c r="Z2437" s="67">
        <f t="shared" si="99"/>
        <v>391.5</v>
      </c>
      <c r="AA2437" s="67">
        <f t="shared" si="114"/>
        <v>62.64</v>
      </c>
      <c r="AB2437" s="67">
        <f t="shared" si="115"/>
        <v>454.14</v>
      </c>
      <c r="AC2437" s="67">
        <f t="shared" si="102"/>
        <v>369.75</v>
      </c>
      <c r="AD2437" s="67">
        <f t="shared" si="116"/>
        <v>59.16</v>
      </c>
      <c r="AE2437" s="67">
        <f t="shared" si="117"/>
        <v>428.91</v>
      </c>
      <c r="AF2437" s="67">
        <f t="shared" si="105"/>
        <v>361.05</v>
      </c>
      <c r="AG2437" s="67">
        <f t="shared" si="118"/>
        <v>57.768</v>
      </c>
      <c r="AH2437" s="67">
        <f t="shared" si="119"/>
        <v>418.818</v>
      </c>
      <c r="AI2437" s="67">
        <f t="shared" si="108"/>
        <v>348</v>
      </c>
      <c r="AJ2437" s="68">
        <f t="shared" si="120"/>
        <v>55.68</v>
      </c>
      <c r="AK2437" s="68">
        <f t="shared" si="121"/>
        <v>403.68</v>
      </c>
      <c r="AL2437" s="70"/>
      <c r="AM2437" s="70"/>
      <c r="AN2437" s="71"/>
      <c r="AO2437" s="71"/>
      <c r="AP2437" s="71"/>
      <c r="AQ2437" s="71"/>
      <c r="AR2437" s="71"/>
      <c r="AS2437" s="71"/>
      <c r="AT2437" s="71"/>
      <c r="AU2437" s="71"/>
      <c r="AV2437" s="71"/>
      <c r="AW2437" s="71"/>
      <c r="AX2437" s="71"/>
      <c r="AY2437" s="71"/>
      <c r="AZ2437" s="71"/>
      <c r="BA2437" s="71"/>
      <c r="BB2437" s="71"/>
      <c r="BC2437" s="71"/>
      <c r="BD2437" s="71"/>
      <c r="BE2437" s="71"/>
      <c r="BF2437" s="71"/>
      <c r="BG2437" s="71"/>
      <c r="BH2437" s="71"/>
      <c r="BI2437" s="71"/>
      <c r="BJ2437" s="71"/>
      <c r="BK2437" s="71"/>
      <c r="BL2437" s="71"/>
      <c r="BM2437" s="71"/>
      <c r="BN2437" s="71"/>
      <c r="BO2437" s="71"/>
      <c r="BP2437" s="71"/>
      <c r="BQ2437" s="71"/>
      <c r="BR2437" s="71"/>
      <c r="BS2437" s="71"/>
      <c r="BT2437" s="71"/>
      <c r="BU2437" s="71"/>
      <c r="BV2437" s="71"/>
    </row>
    <row r="2438">
      <c r="A2438" s="53"/>
      <c r="B2438" s="53"/>
      <c r="C2438" s="53" t="s">
        <v>36</v>
      </c>
      <c r="D2438" s="85" t="s">
        <v>5990</v>
      </c>
      <c r="E2438" s="54" t="s">
        <v>38</v>
      </c>
      <c r="F2438" s="55" t="s">
        <v>39</v>
      </c>
      <c r="G2438" s="86" t="s">
        <v>5991</v>
      </c>
      <c r="H2438" s="55"/>
      <c r="I2438" s="54">
        <f t="shared" si="24"/>
        <v>0</v>
      </c>
      <c r="J2438" s="56"/>
      <c r="K2438" s="57"/>
      <c r="L2438" s="76"/>
      <c r="M2438" s="59"/>
      <c r="N2438" s="60"/>
      <c r="O2438" s="61">
        <v>364.8</v>
      </c>
      <c r="P2438" s="62">
        <v>393.98400000000004</v>
      </c>
      <c r="Q2438" s="63">
        <v>393.98400000000004</v>
      </c>
      <c r="R2438" s="64">
        <v>414.0</v>
      </c>
      <c r="S2438" s="107">
        <v>435.0</v>
      </c>
      <c r="T2438" s="65">
        <f t="shared" si="93"/>
        <v>69.6</v>
      </c>
      <c r="U2438" s="65">
        <f t="shared" si="94"/>
        <v>504.6</v>
      </c>
      <c r="V2438" s="66">
        <f t="shared" si="123"/>
        <v>0.05072463768</v>
      </c>
      <c r="W2438" s="67">
        <f t="shared" si="96"/>
        <v>413.25</v>
      </c>
      <c r="X2438" s="67">
        <f t="shared" si="112"/>
        <v>66.12</v>
      </c>
      <c r="Y2438" s="67">
        <f t="shared" si="113"/>
        <v>479.37</v>
      </c>
      <c r="Z2438" s="67">
        <f t="shared" si="99"/>
        <v>391.5</v>
      </c>
      <c r="AA2438" s="67">
        <f t="shared" si="114"/>
        <v>62.64</v>
      </c>
      <c r="AB2438" s="67">
        <f t="shared" si="115"/>
        <v>454.14</v>
      </c>
      <c r="AC2438" s="67">
        <f t="shared" si="102"/>
        <v>369.75</v>
      </c>
      <c r="AD2438" s="67">
        <f t="shared" si="116"/>
        <v>59.16</v>
      </c>
      <c r="AE2438" s="67">
        <f t="shared" si="117"/>
        <v>428.91</v>
      </c>
      <c r="AF2438" s="67">
        <f t="shared" si="105"/>
        <v>361.05</v>
      </c>
      <c r="AG2438" s="67">
        <f t="shared" si="118"/>
        <v>57.768</v>
      </c>
      <c r="AH2438" s="67">
        <f t="shared" si="119"/>
        <v>418.818</v>
      </c>
      <c r="AI2438" s="67">
        <f t="shared" si="108"/>
        <v>348</v>
      </c>
      <c r="AJ2438" s="68">
        <f t="shared" si="120"/>
        <v>55.68</v>
      </c>
      <c r="AK2438" s="68">
        <f t="shared" si="121"/>
        <v>403.68</v>
      </c>
      <c r="AL2438" s="70"/>
      <c r="AM2438" s="70"/>
      <c r="AN2438" s="71"/>
      <c r="AO2438" s="71"/>
      <c r="AP2438" s="71"/>
      <c r="AQ2438" s="71"/>
      <c r="AR2438" s="71"/>
      <c r="AS2438" s="71"/>
      <c r="AT2438" s="71"/>
      <c r="AU2438" s="71"/>
      <c r="AV2438" s="71"/>
      <c r="AW2438" s="71"/>
      <c r="AX2438" s="71"/>
      <c r="AY2438" s="71"/>
      <c r="AZ2438" s="71"/>
      <c r="BA2438" s="71"/>
      <c r="BB2438" s="71"/>
      <c r="BC2438" s="71"/>
      <c r="BD2438" s="71"/>
      <c r="BE2438" s="71"/>
      <c r="BF2438" s="71"/>
      <c r="BG2438" s="71"/>
      <c r="BH2438" s="71"/>
      <c r="BI2438" s="71"/>
      <c r="BJ2438" s="71"/>
      <c r="BK2438" s="71"/>
      <c r="BL2438" s="71"/>
      <c r="BM2438" s="71"/>
      <c r="BN2438" s="71"/>
      <c r="BO2438" s="71"/>
      <c r="BP2438" s="71"/>
      <c r="BQ2438" s="71"/>
      <c r="BR2438" s="71"/>
      <c r="BS2438" s="71"/>
      <c r="BT2438" s="71"/>
      <c r="BU2438" s="71"/>
      <c r="BV2438" s="71"/>
    </row>
    <row r="2439">
      <c r="A2439" s="53">
        <v>1.0</v>
      </c>
      <c r="B2439" s="53"/>
      <c r="C2439" s="73" t="s">
        <v>53</v>
      </c>
      <c r="D2439" s="74" t="s">
        <v>5992</v>
      </c>
      <c r="E2439" s="54" t="s">
        <v>38</v>
      </c>
      <c r="F2439" s="54" t="s">
        <v>42</v>
      </c>
      <c r="G2439" s="88" t="s">
        <v>5993</v>
      </c>
      <c r="H2439" s="54" t="s">
        <v>5994</v>
      </c>
      <c r="I2439" s="54">
        <f t="shared" si="24"/>
        <v>32</v>
      </c>
      <c r="J2439" s="56"/>
      <c r="K2439" s="57"/>
      <c r="L2439" s="87"/>
      <c r="M2439" s="59"/>
      <c r="N2439" s="60">
        <v>14.0</v>
      </c>
      <c r="O2439" s="61">
        <v>15.0</v>
      </c>
      <c r="P2439" s="62">
        <v>16.200000000000003</v>
      </c>
      <c r="Q2439" s="63">
        <v>16.200000000000003</v>
      </c>
      <c r="R2439" s="64">
        <v>19.0</v>
      </c>
      <c r="S2439" s="111">
        <v>19.95</v>
      </c>
      <c r="T2439" s="65">
        <f t="shared" si="93"/>
        <v>3.192</v>
      </c>
      <c r="U2439" s="65">
        <f t="shared" si="94"/>
        <v>23.142</v>
      </c>
      <c r="V2439" s="66">
        <f t="shared" si="123"/>
        <v>0.05</v>
      </c>
      <c r="W2439" s="67">
        <f t="shared" si="96"/>
        <v>18.9525</v>
      </c>
      <c r="X2439" s="67">
        <f t="shared" si="112"/>
        <v>3.0324</v>
      </c>
      <c r="Y2439" s="67">
        <f t="shared" si="113"/>
        <v>21.9849</v>
      </c>
      <c r="Z2439" s="67">
        <f t="shared" si="99"/>
        <v>17.955</v>
      </c>
      <c r="AA2439" s="67">
        <f t="shared" si="114"/>
        <v>2.8728</v>
      </c>
      <c r="AB2439" s="67">
        <f t="shared" si="115"/>
        <v>20.8278</v>
      </c>
      <c r="AC2439" s="67">
        <f t="shared" si="102"/>
        <v>16.9575</v>
      </c>
      <c r="AD2439" s="67">
        <f t="shared" si="116"/>
        <v>2.7132</v>
      </c>
      <c r="AE2439" s="67">
        <f t="shared" si="117"/>
        <v>19.6707</v>
      </c>
      <c r="AF2439" s="67">
        <f t="shared" si="105"/>
        <v>16.5585</v>
      </c>
      <c r="AG2439" s="67">
        <f t="shared" si="118"/>
        <v>2.64936</v>
      </c>
      <c r="AH2439" s="67">
        <f t="shared" si="119"/>
        <v>19.20786</v>
      </c>
      <c r="AI2439" s="67">
        <f t="shared" si="108"/>
        <v>15.96</v>
      </c>
      <c r="AJ2439" s="68">
        <f t="shared" si="120"/>
        <v>2.5536</v>
      </c>
      <c r="AK2439" s="68">
        <f t="shared" si="121"/>
        <v>18.5136</v>
      </c>
      <c r="AL2439" s="70"/>
      <c r="AM2439" s="70"/>
      <c r="AN2439" s="71"/>
      <c r="AO2439" s="71"/>
      <c r="AP2439" s="71"/>
      <c r="AQ2439" s="71"/>
      <c r="AR2439" s="71"/>
      <c r="AS2439" s="71"/>
      <c r="AT2439" s="71"/>
      <c r="AU2439" s="71"/>
      <c r="AV2439" s="71"/>
      <c r="AW2439" s="71"/>
      <c r="AX2439" s="71"/>
      <c r="AY2439" s="71"/>
      <c r="AZ2439" s="71"/>
      <c r="BA2439" s="71"/>
      <c r="BB2439" s="71"/>
      <c r="BC2439" s="71"/>
      <c r="BD2439" s="71"/>
      <c r="BE2439" s="71"/>
      <c r="BF2439" s="71"/>
      <c r="BG2439" s="71"/>
      <c r="BH2439" s="71"/>
      <c r="BI2439" s="71"/>
      <c r="BJ2439" s="71"/>
      <c r="BK2439" s="71"/>
      <c r="BL2439" s="71"/>
      <c r="BM2439" s="71"/>
      <c r="BN2439" s="71"/>
      <c r="BO2439" s="71"/>
      <c r="BP2439" s="71"/>
      <c r="BQ2439" s="71"/>
      <c r="BR2439" s="71"/>
      <c r="BS2439" s="71"/>
      <c r="BT2439" s="71"/>
      <c r="BU2439" s="71"/>
      <c r="BV2439" s="71"/>
    </row>
    <row r="2440">
      <c r="A2440" s="53">
        <v>1.0</v>
      </c>
      <c r="B2440" s="53"/>
      <c r="C2440" s="73" t="s">
        <v>53</v>
      </c>
      <c r="D2440" s="74" t="s">
        <v>5995</v>
      </c>
      <c r="E2440" s="54" t="s">
        <v>38</v>
      </c>
      <c r="F2440" s="54" t="s">
        <v>42</v>
      </c>
      <c r="G2440" s="88" t="s">
        <v>5996</v>
      </c>
      <c r="H2440" s="54" t="s">
        <v>5997</v>
      </c>
      <c r="I2440" s="54">
        <f t="shared" si="24"/>
        <v>26</v>
      </c>
      <c r="J2440" s="56"/>
      <c r="K2440" s="57"/>
      <c r="L2440" s="87"/>
      <c r="M2440" s="59"/>
      <c r="N2440" s="60">
        <v>90.0</v>
      </c>
      <c r="O2440" s="61">
        <v>97.0</v>
      </c>
      <c r="P2440" s="62">
        <v>104.76</v>
      </c>
      <c r="Q2440" s="63">
        <v>104.76</v>
      </c>
      <c r="R2440" s="64">
        <v>118.0</v>
      </c>
      <c r="S2440" s="111">
        <v>124.0</v>
      </c>
      <c r="T2440" s="65">
        <f t="shared" si="93"/>
        <v>19.84</v>
      </c>
      <c r="U2440" s="65">
        <f t="shared" si="94"/>
        <v>143.84</v>
      </c>
      <c r="V2440" s="66">
        <f t="shared" si="123"/>
        <v>0.05084745763</v>
      </c>
      <c r="W2440" s="67">
        <f t="shared" si="96"/>
        <v>117.8</v>
      </c>
      <c r="X2440" s="67">
        <f t="shared" si="112"/>
        <v>18.848</v>
      </c>
      <c r="Y2440" s="67">
        <f t="shared" si="113"/>
        <v>136.648</v>
      </c>
      <c r="Z2440" s="67">
        <f t="shared" si="99"/>
        <v>111.6</v>
      </c>
      <c r="AA2440" s="67">
        <f t="shared" si="114"/>
        <v>17.856</v>
      </c>
      <c r="AB2440" s="67">
        <f t="shared" si="115"/>
        <v>129.456</v>
      </c>
      <c r="AC2440" s="67">
        <f t="shared" si="102"/>
        <v>105.4</v>
      </c>
      <c r="AD2440" s="67">
        <f t="shared" si="116"/>
        <v>16.864</v>
      </c>
      <c r="AE2440" s="67">
        <f t="shared" si="117"/>
        <v>122.264</v>
      </c>
      <c r="AF2440" s="67">
        <f t="shared" si="105"/>
        <v>102.92</v>
      </c>
      <c r="AG2440" s="67">
        <f t="shared" si="118"/>
        <v>16.4672</v>
      </c>
      <c r="AH2440" s="67">
        <f t="shared" si="119"/>
        <v>119.3872</v>
      </c>
      <c r="AI2440" s="67">
        <f t="shared" si="108"/>
        <v>99.2</v>
      </c>
      <c r="AJ2440" s="68">
        <f t="shared" si="120"/>
        <v>15.872</v>
      </c>
      <c r="AK2440" s="68">
        <f t="shared" si="121"/>
        <v>115.072</v>
      </c>
      <c r="AL2440" s="70"/>
      <c r="AM2440" s="70"/>
      <c r="AN2440" s="71"/>
      <c r="AO2440" s="71"/>
      <c r="AP2440" s="71"/>
      <c r="AQ2440" s="71"/>
      <c r="AR2440" s="71"/>
      <c r="AS2440" s="71"/>
      <c r="AT2440" s="71"/>
      <c r="AU2440" s="71"/>
      <c r="AV2440" s="71"/>
      <c r="AW2440" s="71"/>
      <c r="AX2440" s="71"/>
      <c r="AY2440" s="71"/>
      <c r="AZ2440" s="71"/>
      <c r="BA2440" s="71"/>
      <c r="BB2440" s="71"/>
      <c r="BC2440" s="71"/>
      <c r="BD2440" s="71"/>
      <c r="BE2440" s="71"/>
      <c r="BF2440" s="71"/>
      <c r="BG2440" s="71"/>
      <c r="BH2440" s="71"/>
      <c r="BI2440" s="71"/>
      <c r="BJ2440" s="71"/>
      <c r="BK2440" s="71"/>
      <c r="BL2440" s="71"/>
      <c r="BM2440" s="71"/>
      <c r="BN2440" s="71"/>
      <c r="BO2440" s="71"/>
      <c r="BP2440" s="71"/>
      <c r="BQ2440" s="71"/>
      <c r="BR2440" s="71"/>
      <c r="BS2440" s="71"/>
      <c r="BT2440" s="71"/>
      <c r="BU2440" s="71"/>
      <c r="BV2440" s="71"/>
    </row>
    <row r="2441">
      <c r="A2441" s="53"/>
      <c r="B2441" s="53"/>
      <c r="C2441" s="53" t="s">
        <v>36</v>
      </c>
      <c r="D2441" s="85" t="s">
        <v>5998</v>
      </c>
      <c r="E2441" s="54" t="s">
        <v>38</v>
      </c>
      <c r="F2441" s="55" t="s">
        <v>39</v>
      </c>
      <c r="G2441" s="86" t="s">
        <v>5999</v>
      </c>
      <c r="H2441" s="55"/>
      <c r="I2441" s="54">
        <f t="shared" si="24"/>
        <v>0</v>
      </c>
      <c r="J2441" s="56"/>
      <c r="K2441" s="57"/>
      <c r="L2441" s="76"/>
      <c r="M2441" s="59"/>
      <c r="N2441" s="60"/>
      <c r="O2441" s="61">
        <v>422.4</v>
      </c>
      <c r="P2441" s="62">
        <v>456.192</v>
      </c>
      <c r="Q2441" s="63">
        <v>456.192</v>
      </c>
      <c r="R2441" s="64">
        <v>479.0</v>
      </c>
      <c r="S2441" s="107">
        <v>503.0</v>
      </c>
      <c r="T2441" s="65">
        <f t="shared" si="93"/>
        <v>80.48</v>
      </c>
      <c r="U2441" s="65">
        <f t="shared" si="94"/>
        <v>583.48</v>
      </c>
      <c r="V2441" s="66">
        <f t="shared" si="123"/>
        <v>0.05010438413</v>
      </c>
      <c r="W2441" s="67">
        <f t="shared" si="96"/>
        <v>477.85</v>
      </c>
      <c r="X2441" s="67">
        <f t="shared" si="112"/>
        <v>76.456</v>
      </c>
      <c r="Y2441" s="67">
        <f t="shared" si="113"/>
        <v>554.306</v>
      </c>
      <c r="Z2441" s="67">
        <f t="shared" si="99"/>
        <v>452.7</v>
      </c>
      <c r="AA2441" s="67">
        <f t="shared" si="114"/>
        <v>72.432</v>
      </c>
      <c r="AB2441" s="67">
        <f t="shared" si="115"/>
        <v>525.132</v>
      </c>
      <c r="AC2441" s="67">
        <f t="shared" si="102"/>
        <v>427.55</v>
      </c>
      <c r="AD2441" s="67">
        <f t="shared" si="116"/>
        <v>68.408</v>
      </c>
      <c r="AE2441" s="67">
        <f t="shared" si="117"/>
        <v>495.958</v>
      </c>
      <c r="AF2441" s="67">
        <f t="shared" si="105"/>
        <v>417.49</v>
      </c>
      <c r="AG2441" s="67">
        <f t="shared" si="118"/>
        <v>66.7984</v>
      </c>
      <c r="AH2441" s="67">
        <f t="shared" si="119"/>
        <v>484.2884</v>
      </c>
      <c r="AI2441" s="67">
        <f t="shared" si="108"/>
        <v>402.4</v>
      </c>
      <c r="AJ2441" s="68">
        <f t="shared" si="120"/>
        <v>64.384</v>
      </c>
      <c r="AK2441" s="68">
        <f t="shared" si="121"/>
        <v>466.784</v>
      </c>
      <c r="AL2441" s="70"/>
      <c r="AM2441" s="70"/>
      <c r="AN2441" s="71"/>
      <c r="AO2441" s="71"/>
      <c r="AP2441" s="71"/>
      <c r="AQ2441" s="71"/>
      <c r="AR2441" s="71"/>
      <c r="AS2441" s="71"/>
      <c r="AT2441" s="71"/>
      <c r="AU2441" s="71"/>
      <c r="AV2441" s="71"/>
      <c r="AW2441" s="71"/>
      <c r="AX2441" s="71"/>
      <c r="AY2441" s="71"/>
      <c r="AZ2441" s="71"/>
      <c r="BA2441" s="71"/>
      <c r="BB2441" s="71"/>
      <c r="BC2441" s="71"/>
      <c r="BD2441" s="71"/>
      <c r="BE2441" s="71"/>
      <c r="BF2441" s="71"/>
      <c r="BG2441" s="71"/>
      <c r="BH2441" s="71"/>
      <c r="BI2441" s="71"/>
      <c r="BJ2441" s="71"/>
      <c r="BK2441" s="71"/>
      <c r="BL2441" s="71"/>
      <c r="BM2441" s="71"/>
      <c r="BN2441" s="71"/>
      <c r="BO2441" s="71"/>
      <c r="BP2441" s="71"/>
      <c r="BQ2441" s="71"/>
      <c r="BR2441" s="71"/>
      <c r="BS2441" s="71"/>
      <c r="BT2441" s="71"/>
      <c r="BU2441" s="71"/>
      <c r="BV2441" s="71"/>
    </row>
    <row r="2442">
      <c r="A2442" s="53">
        <v>1.0</v>
      </c>
      <c r="B2442" s="53"/>
      <c r="C2442" s="73" t="s">
        <v>53</v>
      </c>
      <c r="D2442" s="74" t="s">
        <v>6000</v>
      </c>
      <c r="E2442" s="54" t="s">
        <v>38</v>
      </c>
      <c r="F2442" s="54" t="s">
        <v>42</v>
      </c>
      <c r="G2442" s="88" t="s">
        <v>6001</v>
      </c>
      <c r="H2442" s="54" t="s">
        <v>6002</v>
      </c>
      <c r="I2442" s="54">
        <f t="shared" si="24"/>
        <v>29</v>
      </c>
      <c r="J2442" s="56"/>
      <c r="K2442" s="57"/>
      <c r="L2442" s="87"/>
      <c r="M2442" s="59"/>
      <c r="N2442" s="60">
        <v>16.0</v>
      </c>
      <c r="O2442" s="61">
        <v>17.0</v>
      </c>
      <c r="P2442" s="62">
        <v>18.36</v>
      </c>
      <c r="Q2442" s="63">
        <v>18.36</v>
      </c>
      <c r="R2442" s="64">
        <v>21.0</v>
      </c>
      <c r="S2442" s="111">
        <v>22.0</v>
      </c>
      <c r="T2442" s="65">
        <f t="shared" si="93"/>
        <v>3.52</v>
      </c>
      <c r="U2442" s="65">
        <f t="shared" si="94"/>
        <v>25.52</v>
      </c>
      <c r="V2442" s="66">
        <f t="shared" si="123"/>
        <v>0.04761904762</v>
      </c>
      <c r="W2442" s="67">
        <f t="shared" si="96"/>
        <v>20.9</v>
      </c>
      <c r="X2442" s="67">
        <f t="shared" si="112"/>
        <v>3.344</v>
      </c>
      <c r="Y2442" s="67">
        <f t="shared" si="113"/>
        <v>24.244</v>
      </c>
      <c r="Z2442" s="67">
        <f t="shared" si="99"/>
        <v>19.8</v>
      </c>
      <c r="AA2442" s="67">
        <f t="shared" si="114"/>
        <v>3.168</v>
      </c>
      <c r="AB2442" s="67">
        <f t="shared" si="115"/>
        <v>22.968</v>
      </c>
      <c r="AC2442" s="67">
        <f t="shared" si="102"/>
        <v>18.7</v>
      </c>
      <c r="AD2442" s="67">
        <f t="shared" si="116"/>
        <v>2.992</v>
      </c>
      <c r="AE2442" s="67">
        <f t="shared" si="117"/>
        <v>21.692</v>
      </c>
      <c r="AF2442" s="67">
        <f t="shared" si="105"/>
        <v>18.26</v>
      </c>
      <c r="AG2442" s="67">
        <f t="shared" si="118"/>
        <v>2.9216</v>
      </c>
      <c r="AH2442" s="67">
        <f t="shared" si="119"/>
        <v>21.1816</v>
      </c>
      <c r="AI2442" s="67">
        <f t="shared" si="108"/>
        <v>17.6</v>
      </c>
      <c r="AJ2442" s="68">
        <f t="shared" si="120"/>
        <v>2.816</v>
      </c>
      <c r="AK2442" s="68">
        <f t="shared" si="121"/>
        <v>20.416</v>
      </c>
      <c r="AL2442" s="70"/>
      <c r="AM2442" s="70"/>
      <c r="AN2442" s="71"/>
      <c r="AO2442" s="71"/>
      <c r="AP2442" s="71"/>
      <c r="AQ2442" s="71"/>
      <c r="AR2442" s="71"/>
      <c r="AS2442" s="71"/>
      <c r="AT2442" s="71"/>
      <c r="AU2442" s="71"/>
      <c r="AV2442" s="71"/>
      <c r="AW2442" s="71"/>
      <c r="AX2442" s="71"/>
      <c r="AY2442" s="71"/>
      <c r="AZ2442" s="71"/>
      <c r="BA2442" s="71"/>
      <c r="BB2442" s="71"/>
      <c r="BC2442" s="71"/>
      <c r="BD2442" s="71"/>
      <c r="BE2442" s="71"/>
      <c r="BF2442" s="71"/>
      <c r="BG2442" s="71"/>
      <c r="BH2442" s="71"/>
      <c r="BI2442" s="71"/>
      <c r="BJ2442" s="71"/>
      <c r="BK2442" s="71"/>
      <c r="BL2442" s="71"/>
      <c r="BM2442" s="71"/>
      <c r="BN2442" s="71"/>
      <c r="BO2442" s="71"/>
      <c r="BP2442" s="71"/>
      <c r="BQ2442" s="71"/>
      <c r="BR2442" s="71"/>
      <c r="BS2442" s="71"/>
      <c r="BT2442" s="71"/>
      <c r="BU2442" s="71"/>
      <c r="BV2442" s="71"/>
    </row>
    <row r="2443">
      <c r="A2443" s="53">
        <v>1.0</v>
      </c>
      <c r="B2443" s="53"/>
      <c r="C2443" s="73" t="s">
        <v>53</v>
      </c>
      <c r="D2443" s="74" t="s">
        <v>6003</v>
      </c>
      <c r="E2443" s="54" t="s">
        <v>38</v>
      </c>
      <c r="F2443" s="54" t="s">
        <v>42</v>
      </c>
      <c r="G2443" s="88" t="s">
        <v>6004</v>
      </c>
      <c r="H2443" s="54" t="s">
        <v>6005</v>
      </c>
      <c r="I2443" s="54">
        <f t="shared" si="24"/>
        <v>34</v>
      </c>
      <c r="J2443" s="56"/>
      <c r="K2443" s="57"/>
      <c r="L2443" s="87"/>
      <c r="M2443" s="59"/>
      <c r="N2443" s="60">
        <v>33.0</v>
      </c>
      <c r="O2443" s="61">
        <v>35.0</v>
      </c>
      <c r="P2443" s="62">
        <v>37.800000000000004</v>
      </c>
      <c r="Q2443" s="63">
        <v>37.800000000000004</v>
      </c>
      <c r="R2443" s="64">
        <v>44.0</v>
      </c>
      <c r="S2443" s="111">
        <v>46.0</v>
      </c>
      <c r="T2443" s="65">
        <f t="shared" si="93"/>
        <v>7.36</v>
      </c>
      <c r="U2443" s="65">
        <f t="shared" si="94"/>
        <v>53.36</v>
      </c>
      <c r="V2443" s="66">
        <f t="shared" si="123"/>
        <v>0.04545454545</v>
      </c>
      <c r="W2443" s="67">
        <f t="shared" si="96"/>
        <v>43.7</v>
      </c>
      <c r="X2443" s="67">
        <f t="shared" si="112"/>
        <v>6.992</v>
      </c>
      <c r="Y2443" s="67">
        <f t="shared" si="113"/>
        <v>50.692</v>
      </c>
      <c r="Z2443" s="67">
        <f t="shared" si="99"/>
        <v>41.4</v>
      </c>
      <c r="AA2443" s="67">
        <f t="shared" si="114"/>
        <v>6.624</v>
      </c>
      <c r="AB2443" s="67">
        <f t="shared" si="115"/>
        <v>48.024</v>
      </c>
      <c r="AC2443" s="67">
        <f t="shared" si="102"/>
        <v>39.1</v>
      </c>
      <c r="AD2443" s="67">
        <f t="shared" si="116"/>
        <v>6.256</v>
      </c>
      <c r="AE2443" s="67">
        <f t="shared" si="117"/>
        <v>45.356</v>
      </c>
      <c r="AF2443" s="67">
        <f t="shared" si="105"/>
        <v>38.18</v>
      </c>
      <c r="AG2443" s="67">
        <f t="shared" si="118"/>
        <v>6.1088</v>
      </c>
      <c r="AH2443" s="67">
        <f t="shared" si="119"/>
        <v>44.2888</v>
      </c>
      <c r="AI2443" s="67">
        <f t="shared" si="108"/>
        <v>36.8</v>
      </c>
      <c r="AJ2443" s="68">
        <f t="shared" si="120"/>
        <v>5.888</v>
      </c>
      <c r="AK2443" s="68">
        <f t="shared" si="121"/>
        <v>42.688</v>
      </c>
      <c r="AL2443" s="70"/>
      <c r="AM2443" s="70"/>
      <c r="AN2443" s="71"/>
      <c r="AO2443" s="71"/>
      <c r="AP2443" s="71"/>
      <c r="AQ2443" s="71"/>
      <c r="AR2443" s="71"/>
      <c r="AS2443" s="71"/>
      <c r="AT2443" s="71"/>
      <c r="AU2443" s="71"/>
      <c r="AV2443" s="71"/>
      <c r="AW2443" s="71"/>
      <c r="AX2443" s="71"/>
      <c r="AY2443" s="71"/>
      <c r="AZ2443" s="71"/>
      <c r="BA2443" s="71"/>
      <c r="BB2443" s="71"/>
      <c r="BC2443" s="71"/>
      <c r="BD2443" s="71"/>
      <c r="BE2443" s="71"/>
      <c r="BF2443" s="71"/>
      <c r="BG2443" s="71"/>
      <c r="BH2443" s="71"/>
      <c r="BI2443" s="71"/>
      <c r="BJ2443" s="71"/>
      <c r="BK2443" s="71"/>
      <c r="BL2443" s="71"/>
      <c r="BM2443" s="71"/>
      <c r="BN2443" s="71"/>
      <c r="BO2443" s="71"/>
      <c r="BP2443" s="71"/>
      <c r="BQ2443" s="71"/>
      <c r="BR2443" s="71"/>
      <c r="BS2443" s="71"/>
      <c r="BT2443" s="71"/>
      <c r="BU2443" s="71"/>
      <c r="BV2443" s="71"/>
    </row>
    <row r="2444">
      <c r="A2444" s="53">
        <v>1.0</v>
      </c>
      <c r="B2444" s="53"/>
      <c r="C2444" s="73" t="s">
        <v>53</v>
      </c>
      <c r="D2444" s="74" t="s">
        <v>6006</v>
      </c>
      <c r="E2444" s="54" t="s">
        <v>38</v>
      </c>
      <c r="F2444" s="54" t="s">
        <v>42</v>
      </c>
      <c r="G2444" s="88" t="s">
        <v>6007</v>
      </c>
      <c r="H2444" s="54" t="s">
        <v>6008</v>
      </c>
      <c r="I2444" s="54">
        <f t="shared" si="24"/>
        <v>30</v>
      </c>
      <c r="J2444" s="56"/>
      <c r="K2444" s="57"/>
      <c r="L2444" s="87"/>
      <c r="M2444" s="59"/>
      <c r="N2444" s="60">
        <v>60.0</v>
      </c>
      <c r="O2444" s="61">
        <v>64.0</v>
      </c>
      <c r="P2444" s="62">
        <v>69.12</v>
      </c>
      <c r="Q2444" s="63">
        <v>69.12</v>
      </c>
      <c r="R2444" s="64">
        <v>78.0</v>
      </c>
      <c r="S2444" s="111">
        <v>82.0</v>
      </c>
      <c r="T2444" s="65">
        <f t="shared" si="93"/>
        <v>13.12</v>
      </c>
      <c r="U2444" s="65">
        <f t="shared" si="94"/>
        <v>95.12</v>
      </c>
      <c r="V2444" s="66">
        <f t="shared" si="123"/>
        <v>0.05128205128</v>
      </c>
      <c r="W2444" s="67">
        <f t="shared" si="96"/>
        <v>77.9</v>
      </c>
      <c r="X2444" s="67">
        <f t="shared" si="112"/>
        <v>12.464</v>
      </c>
      <c r="Y2444" s="67">
        <f t="shared" si="113"/>
        <v>90.364</v>
      </c>
      <c r="Z2444" s="67">
        <f t="shared" si="99"/>
        <v>73.8</v>
      </c>
      <c r="AA2444" s="67">
        <f t="shared" si="114"/>
        <v>11.808</v>
      </c>
      <c r="AB2444" s="67">
        <f t="shared" si="115"/>
        <v>85.608</v>
      </c>
      <c r="AC2444" s="67">
        <f t="shared" si="102"/>
        <v>69.7</v>
      </c>
      <c r="AD2444" s="67">
        <f t="shared" si="116"/>
        <v>11.152</v>
      </c>
      <c r="AE2444" s="67">
        <f t="shared" si="117"/>
        <v>80.852</v>
      </c>
      <c r="AF2444" s="67">
        <f t="shared" si="105"/>
        <v>68.06</v>
      </c>
      <c r="AG2444" s="67">
        <f t="shared" si="118"/>
        <v>10.8896</v>
      </c>
      <c r="AH2444" s="67">
        <f t="shared" si="119"/>
        <v>78.9496</v>
      </c>
      <c r="AI2444" s="67">
        <f t="shared" si="108"/>
        <v>65.6</v>
      </c>
      <c r="AJ2444" s="68">
        <f t="shared" si="120"/>
        <v>10.496</v>
      </c>
      <c r="AK2444" s="68">
        <f t="shared" si="121"/>
        <v>76.096</v>
      </c>
      <c r="AL2444" s="70"/>
      <c r="AM2444" s="70"/>
      <c r="AN2444" s="71"/>
      <c r="AO2444" s="71"/>
      <c r="AP2444" s="71"/>
      <c r="AQ2444" s="71"/>
      <c r="AR2444" s="71"/>
      <c r="AS2444" s="71"/>
      <c r="AT2444" s="71"/>
      <c r="AU2444" s="71"/>
      <c r="AV2444" s="71"/>
      <c r="AW2444" s="71"/>
      <c r="AX2444" s="71"/>
      <c r="AY2444" s="71"/>
      <c r="AZ2444" s="71"/>
      <c r="BA2444" s="71"/>
      <c r="BB2444" s="71"/>
      <c r="BC2444" s="71"/>
      <c r="BD2444" s="71"/>
      <c r="BE2444" s="71"/>
      <c r="BF2444" s="71"/>
      <c r="BG2444" s="71"/>
      <c r="BH2444" s="71"/>
      <c r="BI2444" s="71"/>
      <c r="BJ2444" s="71"/>
      <c r="BK2444" s="71"/>
      <c r="BL2444" s="71"/>
      <c r="BM2444" s="71"/>
      <c r="BN2444" s="71"/>
      <c r="BO2444" s="71"/>
      <c r="BP2444" s="71"/>
      <c r="BQ2444" s="71"/>
      <c r="BR2444" s="71"/>
      <c r="BS2444" s="71"/>
      <c r="BT2444" s="71"/>
      <c r="BU2444" s="71"/>
      <c r="BV2444" s="71"/>
    </row>
    <row r="2445">
      <c r="A2445" s="53">
        <v>1.0</v>
      </c>
      <c r="B2445" s="53"/>
      <c r="C2445" s="73" t="s">
        <v>53</v>
      </c>
      <c r="D2445" s="74" t="s">
        <v>6009</v>
      </c>
      <c r="E2445" s="54" t="s">
        <v>38</v>
      </c>
      <c r="F2445" s="54" t="s">
        <v>42</v>
      </c>
      <c r="G2445" s="88" t="s">
        <v>6010</v>
      </c>
      <c r="H2445" s="54" t="s">
        <v>6011</v>
      </c>
      <c r="I2445" s="54">
        <f t="shared" si="24"/>
        <v>27</v>
      </c>
      <c r="J2445" s="56"/>
      <c r="K2445" s="57"/>
      <c r="L2445" s="87"/>
      <c r="M2445" s="59"/>
      <c r="N2445" s="60">
        <v>72.0</v>
      </c>
      <c r="O2445" s="61">
        <v>77.0</v>
      </c>
      <c r="P2445" s="62">
        <v>83.16000000000001</v>
      </c>
      <c r="Q2445" s="63">
        <v>83.16000000000001</v>
      </c>
      <c r="R2445" s="64">
        <v>94.0</v>
      </c>
      <c r="S2445" s="111">
        <v>99.0</v>
      </c>
      <c r="T2445" s="65">
        <f t="shared" si="93"/>
        <v>15.84</v>
      </c>
      <c r="U2445" s="65">
        <f t="shared" si="94"/>
        <v>114.84</v>
      </c>
      <c r="V2445" s="66">
        <f t="shared" si="123"/>
        <v>0.05319148936</v>
      </c>
      <c r="W2445" s="67">
        <f t="shared" si="96"/>
        <v>94.05</v>
      </c>
      <c r="X2445" s="67">
        <f t="shared" si="112"/>
        <v>15.048</v>
      </c>
      <c r="Y2445" s="67">
        <f t="shared" si="113"/>
        <v>109.098</v>
      </c>
      <c r="Z2445" s="67">
        <f t="shared" si="99"/>
        <v>89.1</v>
      </c>
      <c r="AA2445" s="67">
        <f t="shared" si="114"/>
        <v>14.256</v>
      </c>
      <c r="AB2445" s="67">
        <f t="shared" si="115"/>
        <v>103.356</v>
      </c>
      <c r="AC2445" s="67">
        <f t="shared" si="102"/>
        <v>84.15</v>
      </c>
      <c r="AD2445" s="67">
        <f t="shared" si="116"/>
        <v>13.464</v>
      </c>
      <c r="AE2445" s="67">
        <f t="shared" si="117"/>
        <v>97.614</v>
      </c>
      <c r="AF2445" s="67">
        <f t="shared" si="105"/>
        <v>82.17</v>
      </c>
      <c r="AG2445" s="67">
        <f t="shared" si="118"/>
        <v>13.1472</v>
      </c>
      <c r="AH2445" s="67">
        <f t="shared" si="119"/>
        <v>95.3172</v>
      </c>
      <c r="AI2445" s="67">
        <f t="shared" si="108"/>
        <v>79.2</v>
      </c>
      <c r="AJ2445" s="68">
        <f t="shared" si="120"/>
        <v>12.672</v>
      </c>
      <c r="AK2445" s="68">
        <f t="shared" si="121"/>
        <v>91.872</v>
      </c>
      <c r="AL2445" s="70"/>
      <c r="AM2445" s="70"/>
      <c r="AN2445" s="71"/>
      <c r="AO2445" s="71"/>
      <c r="AP2445" s="71"/>
      <c r="AQ2445" s="71"/>
      <c r="AR2445" s="71"/>
      <c r="AS2445" s="71"/>
      <c r="AT2445" s="71"/>
      <c r="AU2445" s="71"/>
      <c r="AV2445" s="71"/>
      <c r="AW2445" s="71"/>
      <c r="AX2445" s="71"/>
      <c r="AY2445" s="71"/>
      <c r="AZ2445" s="71"/>
      <c r="BA2445" s="71"/>
      <c r="BB2445" s="71"/>
      <c r="BC2445" s="71"/>
      <c r="BD2445" s="71"/>
      <c r="BE2445" s="71"/>
      <c r="BF2445" s="71"/>
      <c r="BG2445" s="71"/>
      <c r="BH2445" s="71"/>
      <c r="BI2445" s="71"/>
      <c r="BJ2445" s="71"/>
      <c r="BK2445" s="71"/>
      <c r="BL2445" s="71"/>
      <c r="BM2445" s="71"/>
      <c r="BN2445" s="71"/>
      <c r="BO2445" s="71"/>
      <c r="BP2445" s="71"/>
      <c r="BQ2445" s="71"/>
      <c r="BR2445" s="71"/>
      <c r="BS2445" s="71"/>
      <c r="BT2445" s="71"/>
      <c r="BU2445" s="71"/>
      <c r="BV2445" s="71"/>
    </row>
    <row r="2446">
      <c r="A2446" s="53">
        <v>1.0</v>
      </c>
      <c r="B2446" s="53"/>
      <c r="C2446" s="73" t="s">
        <v>53</v>
      </c>
      <c r="D2446" s="74" t="s">
        <v>6012</v>
      </c>
      <c r="E2446" s="54" t="s">
        <v>38</v>
      </c>
      <c r="F2446" s="54" t="s">
        <v>42</v>
      </c>
      <c r="G2446" s="88" t="s">
        <v>6013</v>
      </c>
      <c r="H2446" s="54" t="s">
        <v>6014</v>
      </c>
      <c r="I2446" s="54">
        <f t="shared" si="24"/>
        <v>35</v>
      </c>
      <c r="J2446" s="56"/>
      <c r="K2446" s="57"/>
      <c r="L2446" s="87"/>
      <c r="M2446" s="59"/>
      <c r="N2446" s="60">
        <v>60.0</v>
      </c>
      <c r="O2446" s="61">
        <v>64.0</v>
      </c>
      <c r="P2446" s="62">
        <v>69.12</v>
      </c>
      <c r="Q2446" s="63">
        <v>69.12</v>
      </c>
      <c r="R2446" s="64">
        <v>78.0</v>
      </c>
      <c r="S2446" s="111">
        <v>82.0</v>
      </c>
      <c r="T2446" s="65">
        <f t="shared" si="93"/>
        <v>13.12</v>
      </c>
      <c r="U2446" s="65">
        <f t="shared" si="94"/>
        <v>95.12</v>
      </c>
      <c r="V2446" s="66">
        <f t="shared" si="123"/>
        <v>0.05128205128</v>
      </c>
      <c r="W2446" s="67">
        <f t="shared" si="96"/>
        <v>77.9</v>
      </c>
      <c r="X2446" s="67">
        <f t="shared" si="112"/>
        <v>12.464</v>
      </c>
      <c r="Y2446" s="67">
        <f t="shared" si="113"/>
        <v>90.364</v>
      </c>
      <c r="Z2446" s="67">
        <f t="shared" si="99"/>
        <v>73.8</v>
      </c>
      <c r="AA2446" s="67">
        <f t="shared" si="114"/>
        <v>11.808</v>
      </c>
      <c r="AB2446" s="67">
        <f t="shared" si="115"/>
        <v>85.608</v>
      </c>
      <c r="AC2446" s="67">
        <f t="shared" si="102"/>
        <v>69.7</v>
      </c>
      <c r="AD2446" s="67">
        <f t="shared" si="116"/>
        <v>11.152</v>
      </c>
      <c r="AE2446" s="67">
        <f t="shared" si="117"/>
        <v>80.852</v>
      </c>
      <c r="AF2446" s="67">
        <f t="shared" si="105"/>
        <v>68.06</v>
      </c>
      <c r="AG2446" s="67">
        <f t="shared" si="118"/>
        <v>10.8896</v>
      </c>
      <c r="AH2446" s="67">
        <f t="shared" si="119"/>
        <v>78.9496</v>
      </c>
      <c r="AI2446" s="67">
        <f t="shared" si="108"/>
        <v>65.6</v>
      </c>
      <c r="AJ2446" s="68">
        <f t="shared" si="120"/>
        <v>10.496</v>
      </c>
      <c r="AK2446" s="68">
        <f t="shared" si="121"/>
        <v>76.096</v>
      </c>
      <c r="AL2446" s="70"/>
      <c r="AM2446" s="70"/>
      <c r="AN2446" s="71"/>
      <c r="AO2446" s="71"/>
      <c r="AP2446" s="71"/>
      <c r="AQ2446" s="71"/>
      <c r="AR2446" s="71"/>
      <c r="AS2446" s="71"/>
      <c r="AT2446" s="71"/>
      <c r="AU2446" s="71"/>
      <c r="AV2446" s="71"/>
      <c r="AW2446" s="71"/>
      <c r="AX2446" s="71"/>
      <c r="AY2446" s="71"/>
      <c r="AZ2446" s="71"/>
      <c r="BA2446" s="71"/>
      <c r="BB2446" s="71"/>
      <c r="BC2446" s="71"/>
      <c r="BD2446" s="71"/>
      <c r="BE2446" s="71"/>
      <c r="BF2446" s="71"/>
      <c r="BG2446" s="71"/>
      <c r="BH2446" s="71"/>
      <c r="BI2446" s="71"/>
      <c r="BJ2446" s="71"/>
      <c r="BK2446" s="71"/>
      <c r="BL2446" s="71"/>
      <c r="BM2446" s="71"/>
      <c r="BN2446" s="71"/>
      <c r="BO2446" s="71"/>
      <c r="BP2446" s="71"/>
      <c r="BQ2446" s="71"/>
      <c r="BR2446" s="71"/>
      <c r="BS2446" s="71"/>
      <c r="BT2446" s="71"/>
      <c r="BU2446" s="71"/>
      <c r="BV2446" s="71"/>
    </row>
    <row r="2447">
      <c r="A2447" s="53"/>
      <c r="B2447" s="53"/>
      <c r="C2447" s="53" t="s">
        <v>36</v>
      </c>
      <c r="D2447" s="85" t="s">
        <v>6015</v>
      </c>
      <c r="E2447" s="54" t="s">
        <v>38</v>
      </c>
      <c r="F2447" s="55" t="s">
        <v>39</v>
      </c>
      <c r="G2447" s="86" t="s">
        <v>6016</v>
      </c>
      <c r="H2447" s="86" t="s">
        <v>6016</v>
      </c>
      <c r="I2447" s="54">
        <f t="shared" si="24"/>
        <v>32</v>
      </c>
      <c r="J2447" s="56"/>
      <c r="K2447" s="57"/>
      <c r="L2447" s="76"/>
      <c r="M2447" s="59"/>
      <c r="N2447" s="60"/>
      <c r="O2447" s="61">
        <v>4780.8</v>
      </c>
      <c r="P2447" s="62">
        <v>5420.0</v>
      </c>
      <c r="Q2447" s="63">
        <v>5420.0</v>
      </c>
      <c r="R2447" s="64">
        <v>5691.0</v>
      </c>
      <c r="S2447" s="107">
        <v>5976.0</v>
      </c>
      <c r="T2447" s="65">
        <f t="shared" si="93"/>
        <v>956.16</v>
      </c>
      <c r="U2447" s="65">
        <f t="shared" si="94"/>
        <v>6932.16</v>
      </c>
      <c r="V2447" s="66">
        <f t="shared" si="123"/>
        <v>0.05007907222</v>
      </c>
      <c r="W2447" s="67">
        <f t="shared" si="96"/>
        <v>5677.2</v>
      </c>
      <c r="X2447" s="67">
        <f t="shared" si="112"/>
        <v>908.352</v>
      </c>
      <c r="Y2447" s="67">
        <f t="shared" si="113"/>
        <v>6585.552</v>
      </c>
      <c r="Z2447" s="67">
        <f t="shared" si="99"/>
        <v>5378.4</v>
      </c>
      <c r="AA2447" s="67">
        <f t="shared" si="114"/>
        <v>860.544</v>
      </c>
      <c r="AB2447" s="67">
        <f t="shared" si="115"/>
        <v>6238.944</v>
      </c>
      <c r="AC2447" s="67">
        <f t="shared" si="102"/>
        <v>5079.6</v>
      </c>
      <c r="AD2447" s="67">
        <f t="shared" si="116"/>
        <v>812.736</v>
      </c>
      <c r="AE2447" s="67">
        <f t="shared" si="117"/>
        <v>5892.336</v>
      </c>
      <c r="AF2447" s="67">
        <f t="shared" si="105"/>
        <v>4960.08</v>
      </c>
      <c r="AG2447" s="67">
        <f t="shared" si="118"/>
        <v>793.6128</v>
      </c>
      <c r="AH2447" s="67">
        <f t="shared" si="119"/>
        <v>5753.6928</v>
      </c>
      <c r="AI2447" s="67">
        <f t="shared" si="108"/>
        <v>4780.8</v>
      </c>
      <c r="AJ2447" s="68">
        <f t="shared" si="120"/>
        <v>764.928</v>
      </c>
      <c r="AK2447" s="68">
        <f t="shared" si="121"/>
        <v>5545.728</v>
      </c>
      <c r="AL2447" s="70"/>
      <c r="AM2447" s="70"/>
      <c r="AN2447" s="71"/>
      <c r="AO2447" s="71"/>
      <c r="AP2447" s="71"/>
      <c r="AQ2447" s="71"/>
      <c r="AR2447" s="71"/>
      <c r="AS2447" s="71"/>
      <c r="AT2447" s="71"/>
      <c r="AU2447" s="71"/>
      <c r="AV2447" s="71"/>
      <c r="AW2447" s="71"/>
      <c r="AX2447" s="71"/>
      <c r="AY2447" s="71"/>
      <c r="AZ2447" s="71"/>
      <c r="BA2447" s="71"/>
      <c r="BB2447" s="71"/>
      <c r="BC2447" s="71"/>
      <c r="BD2447" s="71"/>
      <c r="BE2447" s="71"/>
      <c r="BF2447" s="71"/>
      <c r="BG2447" s="71"/>
      <c r="BH2447" s="71"/>
      <c r="BI2447" s="71"/>
      <c r="BJ2447" s="71"/>
      <c r="BK2447" s="71"/>
      <c r="BL2447" s="71"/>
      <c r="BM2447" s="71"/>
      <c r="BN2447" s="71"/>
      <c r="BO2447" s="71"/>
      <c r="BP2447" s="71"/>
      <c r="BQ2447" s="71"/>
      <c r="BR2447" s="71"/>
      <c r="BS2447" s="71"/>
      <c r="BT2447" s="71"/>
      <c r="BU2447" s="71"/>
      <c r="BV2447" s="71"/>
    </row>
    <row r="2448">
      <c r="A2448" s="53"/>
      <c r="B2448" s="53"/>
      <c r="C2448" s="53" t="s">
        <v>53</v>
      </c>
      <c r="D2448" s="53" t="s">
        <v>6017</v>
      </c>
      <c r="E2448" s="86" t="s">
        <v>38</v>
      </c>
      <c r="F2448" s="91" t="s">
        <v>42</v>
      </c>
      <c r="G2448" s="84" t="s">
        <v>6018</v>
      </c>
      <c r="H2448" s="84" t="s">
        <v>6019</v>
      </c>
      <c r="I2448" s="54">
        <f t="shared" si="24"/>
        <v>30</v>
      </c>
      <c r="J2448" s="56"/>
      <c r="K2448" s="57"/>
      <c r="L2448" s="76"/>
      <c r="M2448" s="59"/>
      <c r="N2448" s="79"/>
      <c r="O2448" s="90"/>
      <c r="P2448" s="90"/>
      <c r="Q2448" s="94"/>
      <c r="R2448" s="64">
        <v>1283.0</v>
      </c>
      <c r="S2448" s="111">
        <v>1347.0</v>
      </c>
      <c r="T2448" s="65">
        <f t="shared" si="93"/>
        <v>215.52</v>
      </c>
      <c r="U2448" s="65">
        <f t="shared" si="94"/>
        <v>1562.52</v>
      </c>
      <c r="V2448" s="66">
        <f t="shared" si="123"/>
        <v>0.04988308652</v>
      </c>
      <c r="W2448" s="67">
        <f t="shared" si="96"/>
        <v>1279.65</v>
      </c>
      <c r="X2448" s="67">
        <f t="shared" si="112"/>
        <v>204.744</v>
      </c>
      <c r="Y2448" s="67">
        <f t="shared" si="113"/>
        <v>1484.394</v>
      </c>
      <c r="Z2448" s="67">
        <f t="shared" si="99"/>
        <v>1212.3</v>
      </c>
      <c r="AA2448" s="67">
        <f t="shared" si="114"/>
        <v>193.968</v>
      </c>
      <c r="AB2448" s="67">
        <f t="shared" si="115"/>
        <v>1406.268</v>
      </c>
      <c r="AC2448" s="67">
        <f t="shared" si="102"/>
        <v>1144.95</v>
      </c>
      <c r="AD2448" s="67">
        <f t="shared" si="116"/>
        <v>183.192</v>
      </c>
      <c r="AE2448" s="67">
        <f t="shared" si="117"/>
        <v>1328.142</v>
      </c>
      <c r="AF2448" s="67">
        <f t="shared" si="105"/>
        <v>1118.01</v>
      </c>
      <c r="AG2448" s="67">
        <f t="shared" si="118"/>
        <v>178.8816</v>
      </c>
      <c r="AH2448" s="67">
        <f t="shared" si="119"/>
        <v>1296.8916</v>
      </c>
      <c r="AI2448" s="67">
        <f t="shared" si="108"/>
        <v>1077.6</v>
      </c>
      <c r="AJ2448" s="68">
        <f t="shared" si="120"/>
        <v>172.416</v>
      </c>
      <c r="AK2448" s="68">
        <f t="shared" si="121"/>
        <v>1250.016</v>
      </c>
      <c r="AL2448" s="70"/>
      <c r="AM2448" s="70"/>
      <c r="AN2448" s="71"/>
      <c r="AO2448" s="71"/>
      <c r="AP2448" s="71"/>
      <c r="AQ2448" s="71"/>
      <c r="AR2448" s="71"/>
      <c r="AS2448" s="71"/>
      <c r="AT2448" s="71"/>
      <c r="AU2448" s="71"/>
      <c r="AV2448" s="71"/>
      <c r="AW2448" s="71"/>
      <c r="AX2448" s="71"/>
      <c r="AY2448" s="71"/>
      <c r="AZ2448" s="71"/>
      <c r="BA2448" s="71"/>
      <c r="BB2448" s="71"/>
      <c r="BC2448" s="71"/>
      <c r="BD2448" s="71"/>
      <c r="BE2448" s="71"/>
      <c r="BF2448" s="71"/>
      <c r="BG2448" s="71"/>
      <c r="BH2448" s="71"/>
      <c r="BI2448" s="71"/>
      <c r="BJ2448" s="71"/>
      <c r="BK2448" s="71"/>
      <c r="BL2448" s="71"/>
      <c r="BM2448" s="71"/>
      <c r="BN2448" s="71"/>
      <c r="BO2448" s="71"/>
      <c r="BP2448" s="71"/>
      <c r="BQ2448" s="71"/>
      <c r="BR2448" s="71"/>
      <c r="BS2448" s="71"/>
      <c r="BT2448" s="71"/>
      <c r="BU2448" s="71"/>
      <c r="BV2448" s="71"/>
    </row>
    <row r="2449">
      <c r="A2449" s="53">
        <v>1.0</v>
      </c>
      <c r="B2449" s="53"/>
      <c r="C2449" s="73" t="s">
        <v>53</v>
      </c>
      <c r="D2449" s="74" t="s">
        <v>6020</v>
      </c>
      <c r="E2449" s="54" t="s">
        <v>38</v>
      </c>
      <c r="F2449" s="54" t="s">
        <v>42</v>
      </c>
      <c r="G2449" s="154" t="s">
        <v>6021</v>
      </c>
      <c r="H2449" s="54" t="s">
        <v>6022</v>
      </c>
      <c r="I2449" s="54">
        <f t="shared" si="24"/>
        <v>20</v>
      </c>
      <c r="J2449" s="56"/>
      <c r="K2449" s="57"/>
      <c r="L2449" s="76"/>
      <c r="M2449" s="59"/>
      <c r="N2449" s="60">
        <v>86.0</v>
      </c>
      <c r="O2449" s="61">
        <v>92.0</v>
      </c>
      <c r="P2449" s="62">
        <v>99.36000000000001</v>
      </c>
      <c r="Q2449" s="63">
        <v>99.36000000000001</v>
      </c>
      <c r="R2449" s="64">
        <v>126.0</v>
      </c>
      <c r="S2449" s="111">
        <v>132.0</v>
      </c>
      <c r="T2449" s="65">
        <f t="shared" si="93"/>
        <v>21.12</v>
      </c>
      <c r="U2449" s="65">
        <f t="shared" si="94"/>
        <v>153.12</v>
      </c>
      <c r="V2449" s="66">
        <f t="shared" si="123"/>
        <v>0.04761904762</v>
      </c>
      <c r="W2449" s="67">
        <f t="shared" si="96"/>
        <v>125.4</v>
      </c>
      <c r="X2449" s="67">
        <f t="shared" si="112"/>
        <v>20.064</v>
      </c>
      <c r="Y2449" s="67">
        <f t="shared" si="113"/>
        <v>145.464</v>
      </c>
      <c r="Z2449" s="67">
        <f t="shared" si="99"/>
        <v>118.8</v>
      </c>
      <c r="AA2449" s="67">
        <f t="shared" si="114"/>
        <v>19.008</v>
      </c>
      <c r="AB2449" s="67">
        <f t="shared" si="115"/>
        <v>137.808</v>
      </c>
      <c r="AC2449" s="67">
        <f t="shared" si="102"/>
        <v>112.2</v>
      </c>
      <c r="AD2449" s="67">
        <f t="shared" si="116"/>
        <v>17.952</v>
      </c>
      <c r="AE2449" s="67">
        <f t="shared" si="117"/>
        <v>130.152</v>
      </c>
      <c r="AF2449" s="67">
        <f t="shared" si="105"/>
        <v>109.56</v>
      </c>
      <c r="AG2449" s="67">
        <f t="shared" si="118"/>
        <v>17.5296</v>
      </c>
      <c r="AH2449" s="67">
        <f t="shared" si="119"/>
        <v>127.0896</v>
      </c>
      <c r="AI2449" s="67">
        <f t="shared" si="108"/>
        <v>105.6</v>
      </c>
      <c r="AJ2449" s="68">
        <f t="shared" si="120"/>
        <v>16.896</v>
      </c>
      <c r="AK2449" s="68">
        <f t="shared" si="121"/>
        <v>122.496</v>
      </c>
      <c r="AL2449" s="70"/>
      <c r="AM2449" s="70"/>
      <c r="AN2449" s="71"/>
      <c r="AO2449" s="71"/>
      <c r="AP2449" s="71"/>
      <c r="AQ2449" s="71"/>
      <c r="AR2449" s="71"/>
      <c r="AS2449" s="71"/>
      <c r="AT2449" s="71"/>
      <c r="AU2449" s="71"/>
      <c r="AV2449" s="71"/>
      <c r="AW2449" s="71"/>
      <c r="AX2449" s="71"/>
      <c r="AY2449" s="71"/>
      <c r="AZ2449" s="71"/>
      <c r="BA2449" s="71"/>
      <c r="BB2449" s="71"/>
      <c r="BC2449" s="71"/>
      <c r="BD2449" s="71"/>
      <c r="BE2449" s="71"/>
      <c r="BF2449" s="71"/>
      <c r="BG2449" s="71"/>
      <c r="BH2449" s="71"/>
      <c r="BI2449" s="71"/>
      <c r="BJ2449" s="71"/>
      <c r="BK2449" s="71"/>
      <c r="BL2449" s="71"/>
      <c r="BM2449" s="71"/>
      <c r="BN2449" s="71"/>
      <c r="BO2449" s="71"/>
      <c r="BP2449" s="71"/>
      <c r="BQ2449" s="71"/>
      <c r="BR2449" s="71"/>
      <c r="BS2449" s="71"/>
      <c r="BT2449" s="71"/>
      <c r="BU2449" s="71"/>
      <c r="BV2449" s="71"/>
    </row>
    <row r="2450">
      <c r="A2450" s="53"/>
      <c r="B2450" s="53"/>
      <c r="C2450" s="73" t="s">
        <v>53</v>
      </c>
      <c r="D2450" s="53" t="s">
        <v>6023</v>
      </c>
      <c r="E2450" s="54" t="s">
        <v>38</v>
      </c>
      <c r="F2450" s="55" t="s">
        <v>309</v>
      </c>
      <c r="G2450" s="54" t="s">
        <v>6024</v>
      </c>
      <c r="H2450" s="55"/>
      <c r="I2450" s="54">
        <f t="shared" si="24"/>
        <v>0</v>
      </c>
      <c r="J2450" s="56"/>
      <c r="K2450" s="57"/>
      <c r="L2450" s="76"/>
      <c r="M2450" s="59"/>
      <c r="N2450" s="60"/>
      <c r="O2450" s="90">
        <v>92.0</v>
      </c>
      <c r="P2450" s="62">
        <v>99.36000000000001</v>
      </c>
      <c r="Q2450" s="63">
        <v>99.36000000000001</v>
      </c>
      <c r="R2450" s="64">
        <v>126.0</v>
      </c>
      <c r="S2450" s="111">
        <v>132.0</v>
      </c>
      <c r="T2450" s="65">
        <f t="shared" si="93"/>
        <v>21.12</v>
      </c>
      <c r="U2450" s="65">
        <f t="shared" si="94"/>
        <v>153.12</v>
      </c>
      <c r="V2450" s="66">
        <f t="shared" si="123"/>
        <v>0.04761904762</v>
      </c>
      <c r="W2450" s="67">
        <f t="shared" si="96"/>
        <v>125.4</v>
      </c>
      <c r="X2450" s="67">
        <f t="shared" si="112"/>
        <v>20.064</v>
      </c>
      <c r="Y2450" s="67">
        <f t="shared" si="113"/>
        <v>145.464</v>
      </c>
      <c r="Z2450" s="67">
        <f t="shared" si="99"/>
        <v>118.8</v>
      </c>
      <c r="AA2450" s="67">
        <f t="shared" si="114"/>
        <v>19.008</v>
      </c>
      <c r="AB2450" s="67">
        <f t="shared" si="115"/>
        <v>137.808</v>
      </c>
      <c r="AC2450" s="67">
        <f t="shared" si="102"/>
        <v>112.2</v>
      </c>
      <c r="AD2450" s="67">
        <f t="shared" si="116"/>
        <v>17.952</v>
      </c>
      <c r="AE2450" s="67">
        <f t="shared" si="117"/>
        <v>130.152</v>
      </c>
      <c r="AF2450" s="67">
        <f t="shared" si="105"/>
        <v>109.56</v>
      </c>
      <c r="AG2450" s="67">
        <f t="shared" si="118"/>
        <v>17.5296</v>
      </c>
      <c r="AH2450" s="67">
        <f t="shared" si="119"/>
        <v>127.0896</v>
      </c>
      <c r="AI2450" s="67">
        <f t="shared" si="108"/>
        <v>105.6</v>
      </c>
      <c r="AJ2450" s="68">
        <f t="shared" si="120"/>
        <v>16.896</v>
      </c>
      <c r="AK2450" s="68">
        <f t="shared" si="121"/>
        <v>122.496</v>
      </c>
      <c r="AL2450" s="70"/>
      <c r="AM2450" s="70"/>
      <c r="AN2450" s="71"/>
      <c r="AO2450" s="71"/>
      <c r="AP2450" s="71"/>
      <c r="AQ2450" s="71"/>
      <c r="AR2450" s="71"/>
      <c r="AS2450" s="71"/>
      <c r="AT2450" s="71"/>
      <c r="AU2450" s="71"/>
      <c r="AV2450" s="71"/>
      <c r="AW2450" s="71"/>
      <c r="AX2450" s="71"/>
      <c r="AY2450" s="71"/>
      <c r="AZ2450" s="71"/>
      <c r="BA2450" s="71"/>
      <c r="BB2450" s="71"/>
      <c r="BC2450" s="71"/>
      <c r="BD2450" s="71"/>
      <c r="BE2450" s="71"/>
      <c r="BF2450" s="71"/>
      <c r="BG2450" s="71"/>
      <c r="BH2450" s="71"/>
      <c r="BI2450" s="71"/>
      <c r="BJ2450" s="71"/>
      <c r="BK2450" s="71"/>
      <c r="BL2450" s="71"/>
      <c r="BM2450" s="71"/>
      <c r="BN2450" s="71"/>
      <c r="BO2450" s="71"/>
      <c r="BP2450" s="71"/>
      <c r="BQ2450" s="71"/>
      <c r="BR2450" s="71"/>
      <c r="BS2450" s="71"/>
      <c r="BT2450" s="71"/>
      <c r="BU2450" s="71"/>
      <c r="BV2450" s="71"/>
    </row>
    <row r="2451">
      <c r="A2451" s="53">
        <v>1.0</v>
      </c>
      <c r="B2451" s="53"/>
      <c r="C2451" s="73" t="s">
        <v>53</v>
      </c>
      <c r="D2451" s="74" t="s">
        <v>6025</v>
      </c>
      <c r="E2451" s="54" t="s">
        <v>38</v>
      </c>
      <c r="F2451" s="54" t="s">
        <v>42</v>
      </c>
      <c r="G2451" s="154" t="s">
        <v>6026</v>
      </c>
      <c r="H2451" s="54" t="s">
        <v>6027</v>
      </c>
      <c r="I2451" s="54">
        <f t="shared" si="24"/>
        <v>25</v>
      </c>
      <c r="J2451" s="56"/>
      <c r="K2451" s="57"/>
      <c r="L2451" s="87"/>
      <c r="M2451" s="59"/>
      <c r="N2451" s="60">
        <v>283.0</v>
      </c>
      <c r="O2451" s="61">
        <v>305.0</v>
      </c>
      <c r="P2451" s="62">
        <v>350.0</v>
      </c>
      <c r="Q2451" s="63">
        <v>350.0</v>
      </c>
      <c r="R2451" s="64">
        <v>412.0</v>
      </c>
      <c r="S2451" s="111">
        <v>433.0</v>
      </c>
      <c r="T2451" s="65">
        <f t="shared" si="93"/>
        <v>69.28</v>
      </c>
      <c r="U2451" s="65">
        <f t="shared" si="94"/>
        <v>502.28</v>
      </c>
      <c r="V2451" s="66">
        <f t="shared" si="123"/>
        <v>0.05097087379</v>
      </c>
      <c r="W2451" s="67">
        <f t="shared" si="96"/>
        <v>411.35</v>
      </c>
      <c r="X2451" s="67">
        <f t="shared" si="112"/>
        <v>65.816</v>
      </c>
      <c r="Y2451" s="67">
        <f t="shared" si="113"/>
        <v>477.166</v>
      </c>
      <c r="Z2451" s="67">
        <f t="shared" si="99"/>
        <v>389.7</v>
      </c>
      <c r="AA2451" s="67">
        <f t="shared" si="114"/>
        <v>62.352</v>
      </c>
      <c r="AB2451" s="67">
        <f t="shared" si="115"/>
        <v>452.052</v>
      </c>
      <c r="AC2451" s="67">
        <f t="shared" si="102"/>
        <v>368.05</v>
      </c>
      <c r="AD2451" s="67">
        <f t="shared" si="116"/>
        <v>58.888</v>
      </c>
      <c r="AE2451" s="67">
        <f t="shared" si="117"/>
        <v>426.938</v>
      </c>
      <c r="AF2451" s="67">
        <f t="shared" si="105"/>
        <v>359.39</v>
      </c>
      <c r="AG2451" s="67">
        <f t="shared" si="118"/>
        <v>57.5024</v>
      </c>
      <c r="AH2451" s="67">
        <f t="shared" si="119"/>
        <v>416.8924</v>
      </c>
      <c r="AI2451" s="67">
        <f t="shared" si="108"/>
        <v>346.4</v>
      </c>
      <c r="AJ2451" s="68">
        <f t="shared" si="120"/>
        <v>55.424</v>
      </c>
      <c r="AK2451" s="68">
        <f t="shared" si="121"/>
        <v>401.824</v>
      </c>
      <c r="AL2451" s="70"/>
      <c r="AM2451" s="70"/>
      <c r="AN2451" s="71"/>
      <c r="AO2451" s="71"/>
      <c r="AP2451" s="71"/>
      <c r="AQ2451" s="71"/>
      <c r="AR2451" s="71"/>
      <c r="AS2451" s="71"/>
      <c r="AT2451" s="71"/>
      <c r="AU2451" s="71"/>
      <c r="AV2451" s="71"/>
      <c r="AW2451" s="71"/>
      <c r="AX2451" s="71"/>
      <c r="AY2451" s="71"/>
      <c r="AZ2451" s="71"/>
      <c r="BA2451" s="71"/>
      <c r="BB2451" s="71"/>
      <c r="BC2451" s="71"/>
      <c r="BD2451" s="71"/>
      <c r="BE2451" s="71"/>
      <c r="BF2451" s="71"/>
      <c r="BG2451" s="71"/>
      <c r="BH2451" s="71"/>
      <c r="BI2451" s="71"/>
      <c r="BJ2451" s="71"/>
      <c r="BK2451" s="71"/>
      <c r="BL2451" s="71"/>
      <c r="BM2451" s="71"/>
      <c r="BN2451" s="71"/>
      <c r="BO2451" s="71"/>
      <c r="BP2451" s="71"/>
      <c r="BQ2451" s="71"/>
      <c r="BR2451" s="71"/>
      <c r="BS2451" s="71"/>
      <c r="BT2451" s="71"/>
      <c r="BU2451" s="71"/>
      <c r="BV2451" s="71"/>
    </row>
    <row r="2452">
      <c r="A2452" s="53">
        <v>1.0</v>
      </c>
      <c r="B2452" s="53"/>
      <c r="C2452" s="73" t="s">
        <v>53</v>
      </c>
      <c r="D2452" s="74" t="s">
        <v>6028</v>
      </c>
      <c r="E2452" s="54" t="s">
        <v>38</v>
      </c>
      <c r="F2452" s="54" t="s">
        <v>42</v>
      </c>
      <c r="G2452" s="154" t="s">
        <v>6029</v>
      </c>
      <c r="H2452" s="54" t="s">
        <v>6030</v>
      </c>
      <c r="I2452" s="54">
        <f t="shared" si="24"/>
        <v>28</v>
      </c>
      <c r="J2452" s="56"/>
      <c r="K2452" s="57"/>
      <c r="L2452" s="87"/>
      <c r="M2452" s="59"/>
      <c r="N2452" s="60">
        <v>242.0</v>
      </c>
      <c r="O2452" s="61">
        <v>261.0</v>
      </c>
      <c r="P2452" s="62">
        <v>281.88</v>
      </c>
      <c r="Q2452" s="63">
        <v>281.88</v>
      </c>
      <c r="R2452" s="64">
        <v>314.0</v>
      </c>
      <c r="S2452" s="111">
        <v>330.0</v>
      </c>
      <c r="T2452" s="65">
        <f t="shared" si="93"/>
        <v>52.8</v>
      </c>
      <c r="U2452" s="65">
        <f t="shared" si="94"/>
        <v>382.8</v>
      </c>
      <c r="V2452" s="66">
        <f t="shared" si="123"/>
        <v>0.05095541401</v>
      </c>
      <c r="W2452" s="67">
        <f t="shared" si="96"/>
        <v>313.5</v>
      </c>
      <c r="X2452" s="67">
        <f t="shared" si="112"/>
        <v>50.16</v>
      </c>
      <c r="Y2452" s="67">
        <f t="shared" si="113"/>
        <v>363.66</v>
      </c>
      <c r="Z2452" s="67">
        <f t="shared" si="99"/>
        <v>297</v>
      </c>
      <c r="AA2452" s="67">
        <f t="shared" si="114"/>
        <v>47.52</v>
      </c>
      <c r="AB2452" s="67">
        <f t="shared" si="115"/>
        <v>344.52</v>
      </c>
      <c r="AC2452" s="67">
        <f t="shared" si="102"/>
        <v>280.5</v>
      </c>
      <c r="AD2452" s="67">
        <f t="shared" si="116"/>
        <v>44.88</v>
      </c>
      <c r="AE2452" s="67">
        <f t="shared" si="117"/>
        <v>325.38</v>
      </c>
      <c r="AF2452" s="67">
        <f t="shared" si="105"/>
        <v>273.9</v>
      </c>
      <c r="AG2452" s="67">
        <f t="shared" si="118"/>
        <v>43.824</v>
      </c>
      <c r="AH2452" s="67">
        <f t="shared" si="119"/>
        <v>317.724</v>
      </c>
      <c r="AI2452" s="67">
        <f t="shared" si="108"/>
        <v>264</v>
      </c>
      <c r="AJ2452" s="68">
        <f t="shared" si="120"/>
        <v>42.24</v>
      </c>
      <c r="AK2452" s="68">
        <f t="shared" si="121"/>
        <v>306.24</v>
      </c>
      <c r="AL2452" s="70"/>
      <c r="AM2452" s="70"/>
      <c r="AN2452" s="71"/>
      <c r="AO2452" s="71"/>
      <c r="AP2452" s="71"/>
      <c r="AQ2452" s="71"/>
      <c r="AR2452" s="71"/>
      <c r="AS2452" s="71"/>
      <c r="AT2452" s="71"/>
      <c r="AU2452" s="71"/>
      <c r="AV2452" s="71"/>
      <c r="AW2452" s="71"/>
      <c r="AX2452" s="71"/>
      <c r="AY2452" s="71"/>
      <c r="AZ2452" s="71"/>
      <c r="BA2452" s="71"/>
      <c r="BB2452" s="71"/>
      <c r="BC2452" s="71"/>
      <c r="BD2452" s="71"/>
      <c r="BE2452" s="71"/>
      <c r="BF2452" s="71"/>
      <c r="BG2452" s="71"/>
      <c r="BH2452" s="71"/>
      <c r="BI2452" s="71"/>
      <c r="BJ2452" s="71"/>
      <c r="BK2452" s="71"/>
      <c r="BL2452" s="71"/>
      <c r="BM2452" s="71"/>
      <c r="BN2452" s="71"/>
      <c r="BO2452" s="71"/>
      <c r="BP2452" s="71"/>
      <c r="BQ2452" s="71"/>
      <c r="BR2452" s="71"/>
      <c r="BS2452" s="71"/>
      <c r="BT2452" s="71"/>
      <c r="BU2452" s="71"/>
      <c r="BV2452" s="71"/>
    </row>
    <row r="2453">
      <c r="A2453" s="53">
        <v>1.0</v>
      </c>
      <c r="B2453" s="53"/>
      <c r="C2453" s="73" t="s">
        <v>53</v>
      </c>
      <c r="D2453" s="74" t="s">
        <v>6031</v>
      </c>
      <c r="E2453" s="54" t="s">
        <v>38</v>
      </c>
      <c r="F2453" s="54" t="s">
        <v>42</v>
      </c>
      <c r="G2453" s="154" t="s">
        <v>6032</v>
      </c>
      <c r="H2453" s="54" t="s">
        <v>6033</v>
      </c>
      <c r="I2453" s="54">
        <f t="shared" si="24"/>
        <v>22</v>
      </c>
      <c r="J2453" s="56"/>
      <c r="K2453" s="57"/>
      <c r="L2453" s="76"/>
      <c r="M2453" s="59"/>
      <c r="N2453" s="60">
        <v>86.0</v>
      </c>
      <c r="O2453" s="61">
        <v>92.0</v>
      </c>
      <c r="P2453" s="62">
        <v>99.36000000000001</v>
      </c>
      <c r="Q2453" s="63">
        <v>99.36000000000001</v>
      </c>
      <c r="R2453" s="64">
        <v>126.0</v>
      </c>
      <c r="S2453" s="111">
        <v>132.0</v>
      </c>
      <c r="T2453" s="65">
        <f t="shared" si="93"/>
        <v>21.12</v>
      </c>
      <c r="U2453" s="65">
        <f t="shared" si="94"/>
        <v>153.12</v>
      </c>
      <c r="V2453" s="66">
        <f t="shared" si="123"/>
        <v>0.04761904762</v>
      </c>
      <c r="W2453" s="67">
        <f t="shared" si="96"/>
        <v>125.4</v>
      </c>
      <c r="X2453" s="67">
        <f t="shared" si="112"/>
        <v>20.064</v>
      </c>
      <c r="Y2453" s="67">
        <f t="shared" si="113"/>
        <v>145.464</v>
      </c>
      <c r="Z2453" s="67">
        <f t="shared" si="99"/>
        <v>118.8</v>
      </c>
      <c r="AA2453" s="67">
        <f t="shared" si="114"/>
        <v>19.008</v>
      </c>
      <c r="AB2453" s="67">
        <f t="shared" si="115"/>
        <v>137.808</v>
      </c>
      <c r="AC2453" s="67">
        <f t="shared" si="102"/>
        <v>112.2</v>
      </c>
      <c r="AD2453" s="67">
        <f t="shared" si="116"/>
        <v>17.952</v>
      </c>
      <c r="AE2453" s="67">
        <f t="shared" si="117"/>
        <v>130.152</v>
      </c>
      <c r="AF2453" s="67">
        <f t="shared" si="105"/>
        <v>109.56</v>
      </c>
      <c r="AG2453" s="67">
        <f t="shared" si="118"/>
        <v>17.5296</v>
      </c>
      <c r="AH2453" s="67">
        <f t="shared" si="119"/>
        <v>127.0896</v>
      </c>
      <c r="AI2453" s="67">
        <f t="shared" si="108"/>
        <v>105.6</v>
      </c>
      <c r="AJ2453" s="68">
        <f t="shared" si="120"/>
        <v>16.896</v>
      </c>
      <c r="AK2453" s="68">
        <f t="shared" si="121"/>
        <v>122.496</v>
      </c>
      <c r="AL2453" s="70"/>
      <c r="AM2453" s="70"/>
      <c r="AN2453" s="71"/>
      <c r="AO2453" s="71"/>
      <c r="AP2453" s="71"/>
      <c r="AQ2453" s="71"/>
      <c r="AR2453" s="71"/>
      <c r="AS2453" s="71"/>
      <c r="AT2453" s="71"/>
      <c r="AU2453" s="71"/>
      <c r="AV2453" s="71"/>
      <c r="AW2453" s="71"/>
      <c r="AX2453" s="71"/>
      <c r="AY2453" s="71"/>
      <c r="AZ2453" s="71"/>
      <c r="BA2453" s="71"/>
      <c r="BB2453" s="71"/>
      <c r="BC2453" s="71"/>
      <c r="BD2453" s="71"/>
      <c r="BE2453" s="71"/>
      <c r="BF2453" s="71"/>
      <c r="BG2453" s="71"/>
      <c r="BH2453" s="71"/>
      <c r="BI2453" s="71"/>
      <c r="BJ2453" s="71"/>
      <c r="BK2453" s="71"/>
      <c r="BL2453" s="71"/>
      <c r="BM2453" s="71"/>
      <c r="BN2453" s="71"/>
      <c r="BO2453" s="71"/>
      <c r="BP2453" s="71"/>
      <c r="BQ2453" s="71"/>
      <c r="BR2453" s="71"/>
      <c r="BS2453" s="71"/>
      <c r="BT2453" s="71"/>
      <c r="BU2453" s="71"/>
      <c r="BV2453" s="71"/>
    </row>
    <row r="2454">
      <c r="A2454" s="53"/>
      <c r="B2454" s="53"/>
      <c r="C2454" s="73" t="s">
        <v>53</v>
      </c>
      <c r="D2454" s="53" t="s">
        <v>6034</v>
      </c>
      <c r="E2454" s="54" t="s">
        <v>38</v>
      </c>
      <c r="F2454" s="55" t="s">
        <v>309</v>
      </c>
      <c r="G2454" s="54" t="s">
        <v>6035</v>
      </c>
      <c r="H2454" s="55"/>
      <c r="I2454" s="54">
        <f t="shared" si="24"/>
        <v>0</v>
      </c>
      <c r="J2454" s="56"/>
      <c r="K2454" s="57"/>
      <c r="L2454" s="76"/>
      <c r="M2454" s="59"/>
      <c r="N2454" s="60"/>
      <c r="O2454" s="61">
        <v>92.0</v>
      </c>
      <c r="P2454" s="62">
        <v>99.36000000000001</v>
      </c>
      <c r="Q2454" s="63">
        <v>99.36000000000001</v>
      </c>
      <c r="R2454" s="64">
        <v>126.0</v>
      </c>
      <c r="S2454" s="111">
        <v>132.0</v>
      </c>
      <c r="T2454" s="65">
        <f t="shared" si="93"/>
        <v>21.12</v>
      </c>
      <c r="U2454" s="65">
        <f t="shared" si="94"/>
        <v>153.12</v>
      </c>
      <c r="V2454" s="66">
        <f t="shared" si="123"/>
        <v>0.04761904762</v>
      </c>
      <c r="W2454" s="67">
        <f t="shared" si="96"/>
        <v>125.4</v>
      </c>
      <c r="X2454" s="67">
        <f t="shared" si="112"/>
        <v>20.064</v>
      </c>
      <c r="Y2454" s="67">
        <f t="shared" si="113"/>
        <v>145.464</v>
      </c>
      <c r="Z2454" s="67">
        <f t="shared" si="99"/>
        <v>118.8</v>
      </c>
      <c r="AA2454" s="67">
        <f t="shared" si="114"/>
        <v>19.008</v>
      </c>
      <c r="AB2454" s="67">
        <f t="shared" si="115"/>
        <v>137.808</v>
      </c>
      <c r="AC2454" s="67">
        <f t="shared" si="102"/>
        <v>112.2</v>
      </c>
      <c r="AD2454" s="67">
        <f t="shared" si="116"/>
        <v>17.952</v>
      </c>
      <c r="AE2454" s="67">
        <f t="shared" si="117"/>
        <v>130.152</v>
      </c>
      <c r="AF2454" s="67">
        <f t="shared" si="105"/>
        <v>109.56</v>
      </c>
      <c r="AG2454" s="67">
        <f t="shared" si="118"/>
        <v>17.5296</v>
      </c>
      <c r="AH2454" s="67">
        <f t="shared" si="119"/>
        <v>127.0896</v>
      </c>
      <c r="AI2454" s="67">
        <f t="shared" si="108"/>
        <v>105.6</v>
      </c>
      <c r="AJ2454" s="68">
        <f t="shared" si="120"/>
        <v>16.896</v>
      </c>
      <c r="AK2454" s="68">
        <f t="shared" si="121"/>
        <v>122.496</v>
      </c>
      <c r="AL2454" s="70"/>
      <c r="AM2454" s="70"/>
      <c r="AN2454" s="71"/>
      <c r="AO2454" s="71"/>
      <c r="AP2454" s="71"/>
      <c r="AQ2454" s="71"/>
      <c r="AR2454" s="71"/>
      <c r="AS2454" s="71"/>
      <c r="AT2454" s="71"/>
      <c r="AU2454" s="71"/>
      <c r="AV2454" s="71"/>
      <c r="AW2454" s="71"/>
      <c r="AX2454" s="71"/>
      <c r="AY2454" s="71"/>
      <c r="AZ2454" s="71"/>
      <c r="BA2454" s="71"/>
      <c r="BB2454" s="71"/>
      <c r="BC2454" s="71"/>
      <c r="BD2454" s="71"/>
      <c r="BE2454" s="71"/>
      <c r="BF2454" s="71"/>
      <c r="BG2454" s="71"/>
      <c r="BH2454" s="71"/>
      <c r="BI2454" s="71"/>
      <c r="BJ2454" s="71"/>
      <c r="BK2454" s="71"/>
      <c r="BL2454" s="71"/>
      <c r="BM2454" s="71"/>
      <c r="BN2454" s="71"/>
      <c r="BO2454" s="71"/>
      <c r="BP2454" s="71"/>
      <c r="BQ2454" s="71"/>
      <c r="BR2454" s="71"/>
      <c r="BS2454" s="71"/>
      <c r="BT2454" s="71"/>
      <c r="BU2454" s="71"/>
      <c r="BV2454" s="71"/>
    </row>
    <row r="2455">
      <c r="A2455" s="53">
        <v>1.0</v>
      </c>
      <c r="B2455" s="53"/>
      <c r="C2455" s="73" t="s">
        <v>53</v>
      </c>
      <c r="D2455" s="74" t="s">
        <v>6036</v>
      </c>
      <c r="E2455" s="54" t="s">
        <v>38</v>
      </c>
      <c r="F2455" s="54" t="s">
        <v>42</v>
      </c>
      <c r="G2455" s="199" t="s">
        <v>6037</v>
      </c>
      <c r="H2455" s="54" t="s">
        <v>6038</v>
      </c>
      <c r="I2455" s="54">
        <f t="shared" si="24"/>
        <v>27</v>
      </c>
      <c r="J2455" s="56"/>
      <c r="K2455" s="57"/>
      <c r="L2455" s="87"/>
      <c r="M2455" s="59"/>
      <c r="N2455" s="60">
        <v>283.0</v>
      </c>
      <c r="O2455" s="61">
        <v>305.0</v>
      </c>
      <c r="P2455" s="62">
        <v>350.0</v>
      </c>
      <c r="Q2455" s="63">
        <v>350.0</v>
      </c>
      <c r="R2455" s="64">
        <v>412.0</v>
      </c>
      <c r="S2455" s="111">
        <v>433.0</v>
      </c>
      <c r="T2455" s="65">
        <f t="shared" si="93"/>
        <v>69.28</v>
      </c>
      <c r="U2455" s="65">
        <f t="shared" si="94"/>
        <v>502.28</v>
      </c>
      <c r="V2455" s="66">
        <f t="shared" si="123"/>
        <v>0.05097087379</v>
      </c>
      <c r="W2455" s="67">
        <f t="shared" si="96"/>
        <v>411.35</v>
      </c>
      <c r="X2455" s="67">
        <f t="shared" si="112"/>
        <v>65.816</v>
      </c>
      <c r="Y2455" s="67">
        <f t="shared" si="113"/>
        <v>477.166</v>
      </c>
      <c r="Z2455" s="67">
        <f t="shared" si="99"/>
        <v>389.7</v>
      </c>
      <c r="AA2455" s="67">
        <f t="shared" si="114"/>
        <v>62.352</v>
      </c>
      <c r="AB2455" s="67">
        <f t="shared" si="115"/>
        <v>452.052</v>
      </c>
      <c r="AC2455" s="67">
        <f t="shared" si="102"/>
        <v>368.05</v>
      </c>
      <c r="AD2455" s="67">
        <f t="shared" si="116"/>
        <v>58.888</v>
      </c>
      <c r="AE2455" s="67">
        <f t="shared" si="117"/>
        <v>426.938</v>
      </c>
      <c r="AF2455" s="67">
        <f t="shared" si="105"/>
        <v>359.39</v>
      </c>
      <c r="AG2455" s="67">
        <f t="shared" si="118"/>
        <v>57.5024</v>
      </c>
      <c r="AH2455" s="67">
        <f t="shared" si="119"/>
        <v>416.8924</v>
      </c>
      <c r="AI2455" s="67">
        <f t="shared" si="108"/>
        <v>346.4</v>
      </c>
      <c r="AJ2455" s="68">
        <f t="shared" si="120"/>
        <v>55.424</v>
      </c>
      <c r="AK2455" s="68">
        <f t="shared" si="121"/>
        <v>401.824</v>
      </c>
      <c r="AL2455" s="70"/>
      <c r="AM2455" s="70"/>
      <c r="AN2455" s="71"/>
      <c r="AO2455" s="71"/>
      <c r="AP2455" s="71"/>
      <c r="AQ2455" s="71"/>
      <c r="AR2455" s="71"/>
      <c r="AS2455" s="71"/>
      <c r="AT2455" s="71"/>
      <c r="AU2455" s="71"/>
      <c r="AV2455" s="71"/>
      <c r="AW2455" s="71"/>
      <c r="AX2455" s="71"/>
      <c r="AY2455" s="71"/>
      <c r="AZ2455" s="71"/>
      <c r="BA2455" s="71"/>
      <c r="BB2455" s="71"/>
      <c r="BC2455" s="71"/>
      <c r="BD2455" s="71"/>
      <c r="BE2455" s="71"/>
      <c r="BF2455" s="71"/>
      <c r="BG2455" s="71"/>
      <c r="BH2455" s="71"/>
      <c r="BI2455" s="71"/>
      <c r="BJ2455" s="71"/>
      <c r="BK2455" s="71"/>
      <c r="BL2455" s="71"/>
      <c r="BM2455" s="71"/>
      <c r="BN2455" s="71"/>
      <c r="BO2455" s="71"/>
      <c r="BP2455" s="71"/>
      <c r="BQ2455" s="71"/>
      <c r="BR2455" s="71"/>
      <c r="BS2455" s="71"/>
      <c r="BT2455" s="71"/>
      <c r="BU2455" s="71"/>
      <c r="BV2455" s="71"/>
    </row>
    <row r="2456">
      <c r="A2456" s="53">
        <v>1.0</v>
      </c>
      <c r="B2456" s="53"/>
      <c r="C2456" s="73" t="s">
        <v>53</v>
      </c>
      <c r="D2456" s="74" t="s">
        <v>6039</v>
      </c>
      <c r="E2456" s="54" t="s">
        <v>38</v>
      </c>
      <c r="F2456" s="54" t="s">
        <v>42</v>
      </c>
      <c r="G2456" s="154" t="s">
        <v>6040</v>
      </c>
      <c r="H2456" s="54" t="s">
        <v>6041</v>
      </c>
      <c r="I2456" s="54">
        <f t="shared" si="24"/>
        <v>30</v>
      </c>
      <c r="J2456" s="56"/>
      <c r="K2456" s="57"/>
      <c r="L2456" s="87"/>
      <c r="M2456" s="59"/>
      <c r="N2456" s="60">
        <v>242.0</v>
      </c>
      <c r="O2456" s="61">
        <v>261.0</v>
      </c>
      <c r="P2456" s="62">
        <v>281.88</v>
      </c>
      <c r="Q2456" s="63">
        <v>281.88</v>
      </c>
      <c r="R2456" s="64">
        <v>314.0</v>
      </c>
      <c r="S2456" s="111">
        <v>330.0</v>
      </c>
      <c r="T2456" s="65">
        <f t="shared" si="93"/>
        <v>52.8</v>
      </c>
      <c r="U2456" s="65">
        <f t="shared" si="94"/>
        <v>382.8</v>
      </c>
      <c r="V2456" s="66">
        <f t="shared" si="123"/>
        <v>0.05095541401</v>
      </c>
      <c r="W2456" s="67">
        <f t="shared" si="96"/>
        <v>313.5</v>
      </c>
      <c r="X2456" s="67">
        <f t="shared" si="112"/>
        <v>50.16</v>
      </c>
      <c r="Y2456" s="67">
        <f t="shared" si="113"/>
        <v>363.66</v>
      </c>
      <c r="Z2456" s="67">
        <f t="shared" si="99"/>
        <v>297</v>
      </c>
      <c r="AA2456" s="67">
        <f t="shared" si="114"/>
        <v>47.52</v>
      </c>
      <c r="AB2456" s="67">
        <f t="shared" si="115"/>
        <v>344.52</v>
      </c>
      <c r="AC2456" s="67">
        <f t="shared" si="102"/>
        <v>280.5</v>
      </c>
      <c r="AD2456" s="67">
        <f t="shared" si="116"/>
        <v>44.88</v>
      </c>
      <c r="AE2456" s="67">
        <f t="shared" si="117"/>
        <v>325.38</v>
      </c>
      <c r="AF2456" s="67">
        <f t="shared" si="105"/>
        <v>273.9</v>
      </c>
      <c r="AG2456" s="67">
        <f t="shared" si="118"/>
        <v>43.824</v>
      </c>
      <c r="AH2456" s="67">
        <f t="shared" si="119"/>
        <v>317.724</v>
      </c>
      <c r="AI2456" s="67">
        <f t="shared" si="108"/>
        <v>264</v>
      </c>
      <c r="AJ2456" s="68">
        <f t="shared" si="120"/>
        <v>42.24</v>
      </c>
      <c r="AK2456" s="68">
        <f t="shared" si="121"/>
        <v>306.24</v>
      </c>
      <c r="AL2456" s="70"/>
      <c r="AM2456" s="70"/>
      <c r="AN2456" s="71"/>
      <c r="AO2456" s="71"/>
      <c r="AP2456" s="71"/>
      <c r="AQ2456" s="71"/>
      <c r="AR2456" s="71"/>
      <c r="AS2456" s="71"/>
      <c r="AT2456" s="71"/>
      <c r="AU2456" s="71"/>
      <c r="AV2456" s="71"/>
      <c r="AW2456" s="71"/>
      <c r="AX2456" s="71"/>
      <c r="AY2456" s="71"/>
      <c r="AZ2456" s="71"/>
      <c r="BA2456" s="71"/>
      <c r="BB2456" s="71"/>
      <c r="BC2456" s="71"/>
      <c r="BD2456" s="71"/>
      <c r="BE2456" s="71"/>
      <c r="BF2456" s="71"/>
      <c r="BG2456" s="71"/>
      <c r="BH2456" s="71"/>
      <c r="BI2456" s="71"/>
      <c r="BJ2456" s="71"/>
      <c r="BK2456" s="71"/>
      <c r="BL2456" s="71"/>
      <c r="BM2456" s="71"/>
      <c r="BN2456" s="71"/>
      <c r="BO2456" s="71"/>
      <c r="BP2456" s="71"/>
      <c r="BQ2456" s="71"/>
      <c r="BR2456" s="71"/>
      <c r="BS2456" s="71"/>
      <c r="BT2456" s="71"/>
      <c r="BU2456" s="71"/>
      <c r="BV2456" s="71"/>
    </row>
    <row r="2457">
      <c r="A2457" s="53"/>
      <c r="B2457" s="53"/>
      <c r="C2457" s="73" t="s">
        <v>53</v>
      </c>
      <c r="D2457" s="53" t="s">
        <v>6042</v>
      </c>
      <c r="E2457" s="54" t="s">
        <v>38</v>
      </c>
      <c r="F2457" s="54" t="s">
        <v>42</v>
      </c>
      <c r="G2457" s="55" t="s">
        <v>6043</v>
      </c>
      <c r="H2457" s="54" t="s">
        <v>6044</v>
      </c>
      <c r="I2457" s="54">
        <f t="shared" si="24"/>
        <v>22</v>
      </c>
      <c r="J2457" s="56"/>
      <c r="K2457" s="57"/>
      <c r="L2457" s="76"/>
      <c r="M2457" s="59"/>
      <c r="N2457" s="79">
        <v>2350.0</v>
      </c>
      <c r="O2457" s="61">
        <v>2538.0</v>
      </c>
      <c r="P2457" s="62">
        <v>2741.04</v>
      </c>
      <c r="Q2457" s="63">
        <v>2741.04</v>
      </c>
      <c r="R2457" s="64">
        <v>2879.0</v>
      </c>
      <c r="S2457" s="111">
        <v>3023.0</v>
      </c>
      <c r="T2457" s="65">
        <f t="shared" si="93"/>
        <v>483.68</v>
      </c>
      <c r="U2457" s="65">
        <f t="shared" si="94"/>
        <v>3506.68</v>
      </c>
      <c r="V2457" s="66">
        <f t="shared" si="123"/>
        <v>0.05001736714</v>
      </c>
      <c r="W2457" s="67">
        <f t="shared" si="96"/>
        <v>2871.85</v>
      </c>
      <c r="X2457" s="67">
        <f t="shared" si="112"/>
        <v>459.496</v>
      </c>
      <c r="Y2457" s="67">
        <f t="shared" si="113"/>
        <v>3331.346</v>
      </c>
      <c r="Z2457" s="67">
        <f t="shared" si="99"/>
        <v>2720.7</v>
      </c>
      <c r="AA2457" s="67">
        <f t="shared" si="114"/>
        <v>435.312</v>
      </c>
      <c r="AB2457" s="67">
        <f t="shared" si="115"/>
        <v>3156.012</v>
      </c>
      <c r="AC2457" s="67">
        <f t="shared" si="102"/>
        <v>2569.55</v>
      </c>
      <c r="AD2457" s="67">
        <f t="shared" si="116"/>
        <v>411.128</v>
      </c>
      <c r="AE2457" s="67">
        <f t="shared" si="117"/>
        <v>2980.678</v>
      </c>
      <c r="AF2457" s="67">
        <f t="shared" si="105"/>
        <v>2509.09</v>
      </c>
      <c r="AG2457" s="67">
        <f t="shared" si="118"/>
        <v>401.4544</v>
      </c>
      <c r="AH2457" s="67">
        <f t="shared" si="119"/>
        <v>2910.5444</v>
      </c>
      <c r="AI2457" s="67">
        <f t="shared" si="108"/>
        <v>2418.4</v>
      </c>
      <c r="AJ2457" s="68">
        <f t="shared" si="120"/>
        <v>386.944</v>
      </c>
      <c r="AK2457" s="68">
        <f t="shared" si="121"/>
        <v>2805.344</v>
      </c>
      <c r="AL2457" s="70"/>
      <c r="AM2457" s="70"/>
      <c r="AN2457" s="71"/>
      <c r="AO2457" s="71"/>
      <c r="AP2457" s="71"/>
      <c r="AQ2457" s="71"/>
      <c r="AR2457" s="71"/>
      <c r="AS2457" s="71"/>
      <c r="AT2457" s="71"/>
      <c r="AU2457" s="71"/>
      <c r="AV2457" s="71"/>
      <c r="AW2457" s="71"/>
      <c r="AX2457" s="71"/>
      <c r="AY2457" s="71"/>
      <c r="AZ2457" s="71"/>
      <c r="BA2457" s="71"/>
      <c r="BB2457" s="71"/>
      <c r="BC2457" s="71"/>
      <c r="BD2457" s="71"/>
      <c r="BE2457" s="71"/>
      <c r="BF2457" s="71"/>
      <c r="BG2457" s="71"/>
      <c r="BH2457" s="71"/>
      <c r="BI2457" s="71"/>
      <c r="BJ2457" s="71"/>
      <c r="BK2457" s="71"/>
      <c r="BL2457" s="71"/>
      <c r="BM2457" s="71"/>
      <c r="BN2457" s="71"/>
      <c r="BO2457" s="71"/>
      <c r="BP2457" s="71"/>
      <c r="BQ2457" s="71"/>
      <c r="BR2457" s="71"/>
      <c r="BS2457" s="71"/>
      <c r="BT2457" s="71"/>
      <c r="BU2457" s="71"/>
      <c r="BV2457" s="71"/>
    </row>
    <row r="2458">
      <c r="A2458" s="53">
        <v>1.0</v>
      </c>
      <c r="B2458" s="53"/>
      <c r="C2458" s="73" t="s">
        <v>53</v>
      </c>
      <c r="D2458" s="74" t="s">
        <v>6045</v>
      </c>
      <c r="E2458" s="54" t="s">
        <v>38</v>
      </c>
      <c r="F2458" s="54" t="s">
        <v>42</v>
      </c>
      <c r="G2458" s="88" t="s">
        <v>6046</v>
      </c>
      <c r="H2458" s="54" t="s">
        <v>6047</v>
      </c>
      <c r="I2458" s="54">
        <f t="shared" si="24"/>
        <v>30</v>
      </c>
      <c r="J2458" s="56"/>
      <c r="K2458" s="57"/>
      <c r="L2458" s="87"/>
      <c r="M2458" s="59"/>
      <c r="N2458" s="60">
        <v>1927.0</v>
      </c>
      <c r="O2458" s="61">
        <v>2081.0</v>
      </c>
      <c r="P2458" s="62">
        <v>2247.48</v>
      </c>
      <c r="Q2458" s="63">
        <v>2247.48</v>
      </c>
      <c r="R2458" s="64">
        <v>2503.0</v>
      </c>
      <c r="S2458" s="111">
        <v>2628.0</v>
      </c>
      <c r="T2458" s="65">
        <f t="shared" si="93"/>
        <v>420.48</v>
      </c>
      <c r="U2458" s="65">
        <f t="shared" si="94"/>
        <v>3048.48</v>
      </c>
      <c r="V2458" s="66">
        <f t="shared" si="123"/>
        <v>0.04994007191</v>
      </c>
      <c r="W2458" s="67">
        <f t="shared" si="96"/>
        <v>2496.6</v>
      </c>
      <c r="X2458" s="67">
        <f t="shared" si="112"/>
        <v>399.456</v>
      </c>
      <c r="Y2458" s="67">
        <f t="shared" si="113"/>
        <v>2896.056</v>
      </c>
      <c r="Z2458" s="67">
        <f t="shared" si="99"/>
        <v>2365.2</v>
      </c>
      <c r="AA2458" s="67">
        <f t="shared" si="114"/>
        <v>378.432</v>
      </c>
      <c r="AB2458" s="67">
        <f t="shared" si="115"/>
        <v>2743.632</v>
      </c>
      <c r="AC2458" s="67">
        <f t="shared" si="102"/>
        <v>2233.8</v>
      </c>
      <c r="AD2458" s="67">
        <f t="shared" si="116"/>
        <v>357.408</v>
      </c>
      <c r="AE2458" s="67">
        <f t="shared" si="117"/>
        <v>2591.208</v>
      </c>
      <c r="AF2458" s="67">
        <f t="shared" si="105"/>
        <v>2181.24</v>
      </c>
      <c r="AG2458" s="67">
        <f t="shared" si="118"/>
        <v>348.9984</v>
      </c>
      <c r="AH2458" s="67">
        <f t="shared" si="119"/>
        <v>2530.2384</v>
      </c>
      <c r="AI2458" s="67">
        <f t="shared" si="108"/>
        <v>2102.4</v>
      </c>
      <c r="AJ2458" s="68">
        <f t="shared" si="120"/>
        <v>336.384</v>
      </c>
      <c r="AK2458" s="68">
        <f t="shared" si="121"/>
        <v>2438.784</v>
      </c>
      <c r="AL2458" s="70"/>
      <c r="AM2458" s="70"/>
      <c r="AN2458" s="71"/>
      <c r="AO2458" s="71"/>
      <c r="AP2458" s="71"/>
      <c r="AQ2458" s="71"/>
      <c r="AR2458" s="71"/>
      <c r="AS2458" s="71"/>
      <c r="AT2458" s="71"/>
      <c r="AU2458" s="71"/>
      <c r="AV2458" s="71"/>
      <c r="AW2458" s="71"/>
      <c r="AX2458" s="71"/>
      <c r="AY2458" s="71"/>
      <c r="AZ2458" s="71"/>
      <c r="BA2458" s="71"/>
      <c r="BB2458" s="71"/>
      <c r="BC2458" s="71"/>
      <c r="BD2458" s="71"/>
      <c r="BE2458" s="71"/>
      <c r="BF2458" s="71"/>
      <c r="BG2458" s="71"/>
      <c r="BH2458" s="71"/>
      <c r="BI2458" s="71"/>
      <c r="BJ2458" s="71"/>
      <c r="BK2458" s="71"/>
      <c r="BL2458" s="71"/>
      <c r="BM2458" s="71"/>
      <c r="BN2458" s="71"/>
      <c r="BO2458" s="71"/>
      <c r="BP2458" s="71"/>
      <c r="BQ2458" s="71"/>
      <c r="BR2458" s="71"/>
      <c r="BS2458" s="71"/>
      <c r="BT2458" s="71"/>
      <c r="BU2458" s="71"/>
      <c r="BV2458" s="71"/>
    </row>
    <row r="2459">
      <c r="A2459" s="53"/>
      <c r="B2459" s="53"/>
      <c r="C2459" s="73" t="s">
        <v>53</v>
      </c>
      <c r="D2459" s="53" t="s">
        <v>6048</v>
      </c>
      <c r="E2459" s="54" t="s">
        <v>38</v>
      </c>
      <c r="F2459" s="55" t="s">
        <v>309</v>
      </c>
      <c r="G2459" s="54" t="s">
        <v>6046</v>
      </c>
      <c r="H2459" s="55"/>
      <c r="I2459" s="54">
        <f t="shared" si="24"/>
        <v>0</v>
      </c>
      <c r="J2459" s="56"/>
      <c r="K2459" s="57"/>
      <c r="L2459" s="76"/>
      <c r="M2459" s="59"/>
      <c r="N2459" s="60"/>
      <c r="O2459" s="90">
        <v>2081.0</v>
      </c>
      <c r="P2459" s="62">
        <v>2247.48</v>
      </c>
      <c r="Q2459" s="63">
        <v>2247.48</v>
      </c>
      <c r="R2459" s="64">
        <v>2503.0</v>
      </c>
      <c r="S2459" s="111">
        <v>2628.0</v>
      </c>
      <c r="T2459" s="65">
        <f t="shared" si="93"/>
        <v>420.48</v>
      </c>
      <c r="U2459" s="65">
        <f t="shared" si="94"/>
        <v>3048.48</v>
      </c>
      <c r="V2459" s="66">
        <f t="shared" si="123"/>
        <v>0.04994007191</v>
      </c>
      <c r="W2459" s="67">
        <f t="shared" si="96"/>
        <v>2496.6</v>
      </c>
      <c r="X2459" s="67">
        <f t="shared" si="112"/>
        <v>399.456</v>
      </c>
      <c r="Y2459" s="67">
        <f t="shared" si="113"/>
        <v>2896.056</v>
      </c>
      <c r="Z2459" s="67">
        <f t="shared" si="99"/>
        <v>2365.2</v>
      </c>
      <c r="AA2459" s="67">
        <f t="shared" si="114"/>
        <v>378.432</v>
      </c>
      <c r="AB2459" s="67">
        <f t="shared" si="115"/>
        <v>2743.632</v>
      </c>
      <c r="AC2459" s="67">
        <f t="shared" si="102"/>
        <v>2233.8</v>
      </c>
      <c r="AD2459" s="67">
        <f t="shared" si="116"/>
        <v>357.408</v>
      </c>
      <c r="AE2459" s="67">
        <f t="shared" si="117"/>
        <v>2591.208</v>
      </c>
      <c r="AF2459" s="67">
        <f t="shared" si="105"/>
        <v>2181.24</v>
      </c>
      <c r="AG2459" s="67">
        <f t="shared" si="118"/>
        <v>348.9984</v>
      </c>
      <c r="AH2459" s="67">
        <f t="shared" si="119"/>
        <v>2530.2384</v>
      </c>
      <c r="AI2459" s="67">
        <f t="shared" si="108"/>
        <v>2102.4</v>
      </c>
      <c r="AJ2459" s="68">
        <f t="shared" si="120"/>
        <v>336.384</v>
      </c>
      <c r="AK2459" s="68">
        <f t="shared" si="121"/>
        <v>2438.784</v>
      </c>
      <c r="AL2459" s="70"/>
      <c r="AM2459" s="70"/>
      <c r="AN2459" s="71"/>
      <c r="AO2459" s="71"/>
      <c r="AP2459" s="71"/>
      <c r="AQ2459" s="71"/>
      <c r="AR2459" s="71"/>
      <c r="AS2459" s="71"/>
      <c r="AT2459" s="71"/>
      <c r="AU2459" s="71"/>
      <c r="AV2459" s="71"/>
      <c r="AW2459" s="71"/>
      <c r="AX2459" s="71"/>
      <c r="AY2459" s="71"/>
      <c r="AZ2459" s="71"/>
      <c r="BA2459" s="71"/>
      <c r="BB2459" s="71"/>
      <c r="BC2459" s="71"/>
      <c r="BD2459" s="71"/>
      <c r="BE2459" s="71"/>
      <c r="BF2459" s="71"/>
      <c r="BG2459" s="71"/>
      <c r="BH2459" s="71"/>
      <c r="BI2459" s="71"/>
      <c r="BJ2459" s="71"/>
      <c r="BK2459" s="71"/>
      <c r="BL2459" s="71"/>
      <c r="BM2459" s="71"/>
      <c r="BN2459" s="71"/>
      <c r="BO2459" s="71"/>
      <c r="BP2459" s="71"/>
      <c r="BQ2459" s="71"/>
      <c r="BR2459" s="71"/>
      <c r="BS2459" s="71"/>
      <c r="BT2459" s="71"/>
      <c r="BU2459" s="71"/>
      <c r="BV2459" s="71"/>
    </row>
    <row r="2460">
      <c r="A2460" s="53">
        <v>1.0</v>
      </c>
      <c r="B2460" s="53"/>
      <c r="C2460" s="73" t="s">
        <v>53</v>
      </c>
      <c r="D2460" s="74" t="s">
        <v>6049</v>
      </c>
      <c r="E2460" s="54" t="s">
        <v>38</v>
      </c>
      <c r="F2460" s="54" t="s">
        <v>42</v>
      </c>
      <c r="G2460" s="88" t="s">
        <v>6050</v>
      </c>
      <c r="H2460" s="54" t="s">
        <v>6051</v>
      </c>
      <c r="I2460" s="54">
        <f t="shared" si="24"/>
        <v>40</v>
      </c>
      <c r="J2460" s="56"/>
      <c r="K2460" s="57"/>
      <c r="L2460" s="87"/>
      <c r="M2460" s="59"/>
      <c r="N2460" s="60">
        <v>1192.0</v>
      </c>
      <c r="O2460" s="61">
        <v>1287.0</v>
      </c>
      <c r="P2460" s="62">
        <v>1389.96</v>
      </c>
      <c r="Q2460" s="63">
        <v>1389.96</v>
      </c>
      <c r="R2460" s="64">
        <v>1548.0</v>
      </c>
      <c r="S2460" s="111">
        <v>1625.0</v>
      </c>
      <c r="T2460" s="65">
        <f t="shared" si="93"/>
        <v>260</v>
      </c>
      <c r="U2460" s="65">
        <f t="shared" si="94"/>
        <v>1885</v>
      </c>
      <c r="V2460" s="66">
        <f t="shared" si="123"/>
        <v>0.04974160207</v>
      </c>
      <c r="W2460" s="67">
        <f t="shared" si="96"/>
        <v>1543.75</v>
      </c>
      <c r="X2460" s="67">
        <f t="shared" si="112"/>
        <v>247</v>
      </c>
      <c r="Y2460" s="67">
        <f t="shared" si="113"/>
        <v>1790.75</v>
      </c>
      <c r="Z2460" s="67">
        <f t="shared" si="99"/>
        <v>1462.5</v>
      </c>
      <c r="AA2460" s="67">
        <f t="shared" si="114"/>
        <v>234</v>
      </c>
      <c r="AB2460" s="67">
        <f t="shared" si="115"/>
        <v>1696.5</v>
      </c>
      <c r="AC2460" s="67">
        <f t="shared" si="102"/>
        <v>1381.25</v>
      </c>
      <c r="AD2460" s="67">
        <f t="shared" si="116"/>
        <v>221</v>
      </c>
      <c r="AE2460" s="67">
        <f t="shared" si="117"/>
        <v>1602.25</v>
      </c>
      <c r="AF2460" s="67">
        <f t="shared" si="105"/>
        <v>1348.75</v>
      </c>
      <c r="AG2460" s="67">
        <f t="shared" si="118"/>
        <v>215.8</v>
      </c>
      <c r="AH2460" s="67">
        <f t="shared" si="119"/>
        <v>1564.55</v>
      </c>
      <c r="AI2460" s="67">
        <f t="shared" si="108"/>
        <v>1300</v>
      </c>
      <c r="AJ2460" s="68">
        <f t="shared" si="120"/>
        <v>208</v>
      </c>
      <c r="AK2460" s="68">
        <f t="shared" si="121"/>
        <v>1508</v>
      </c>
      <c r="AL2460" s="70"/>
      <c r="AM2460" s="70"/>
      <c r="AN2460" s="71"/>
      <c r="AO2460" s="71"/>
      <c r="AP2460" s="71"/>
      <c r="AQ2460" s="71"/>
      <c r="AR2460" s="71"/>
      <c r="AS2460" s="71"/>
      <c r="AT2460" s="71"/>
      <c r="AU2460" s="71"/>
      <c r="AV2460" s="71"/>
      <c r="AW2460" s="71"/>
      <c r="AX2460" s="71"/>
      <c r="AY2460" s="71"/>
      <c r="AZ2460" s="71"/>
      <c r="BA2460" s="71"/>
      <c r="BB2460" s="71"/>
      <c r="BC2460" s="71"/>
      <c r="BD2460" s="71"/>
      <c r="BE2460" s="71"/>
      <c r="BF2460" s="71"/>
      <c r="BG2460" s="71"/>
      <c r="BH2460" s="71"/>
      <c r="BI2460" s="71"/>
      <c r="BJ2460" s="71"/>
      <c r="BK2460" s="71"/>
      <c r="BL2460" s="71"/>
      <c r="BM2460" s="71"/>
      <c r="BN2460" s="71"/>
      <c r="BO2460" s="71"/>
      <c r="BP2460" s="71"/>
      <c r="BQ2460" s="71"/>
      <c r="BR2460" s="71"/>
      <c r="BS2460" s="71"/>
      <c r="BT2460" s="71"/>
      <c r="BU2460" s="71"/>
      <c r="BV2460" s="71"/>
    </row>
    <row r="2461">
      <c r="A2461" s="53"/>
      <c r="B2461" s="53"/>
      <c r="C2461" s="73" t="s">
        <v>53</v>
      </c>
      <c r="D2461" s="53" t="s">
        <v>6052</v>
      </c>
      <c r="E2461" s="54" t="s">
        <v>38</v>
      </c>
      <c r="F2461" s="55" t="s">
        <v>309</v>
      </c>
      <c r="G2461" s="54" t="s">
        <v>6053</v>
      </c>
      <c r="H2461" s="55"/>
      <c r="I2461" s="54">
        <f t="shared" si="24"/>
        <v>0</v>
      </c>
      <c r="J2461" s="56"/>
      <c r="K2461" s="57"/>
      <c r="L2461" s="76"/>
      <c r="M2461" s="59"/>
      <c r="N2461" s="60"/>
      <c r="O2461" s="90">
        <v>1581.0</v>
      </c>
      <c r="P2461" s="62">
        <v>1707.48</v>
      </c>
      <c r="Q2461" s="63">
        <v>1707.48</v>
      </c>
      <c r="R2461" s="64">
        <v>1901.0</v>
      </c>
      <c r="S2461" s="111">
        <v>1996.0</v>
      </c>
      <c r="T2461" s="65">
        <f t="shared" si="93"/>
        <v>319.36</v>
      </c>
      <c r="U2461" s="65">
        <f t="shared" si="94"/>
        <v>2315.36</v>
      </c>
      <c r="V2461" s="66">
        <f t="shared" si="123"/>
        <v>0.04997369805</v>
      </c>
      <c r="W2461" s="67">
        <f t="shared" si="96"/>
        <v>1896.2</v>
      </c>
      <c r="X2461" s="67">
        <f t="shared" si="112"/>
        <v>303.392</v>
      </c>
      <c r="Y2461" s="67">
        <f t="shared" si="113"/>
        <v>2199.592</v>
      </c>
      <c r="Z2461" s="67">
        <f t="shared" si="99"/>
        <v>1796.4</v>
      </c>
      <c r="AA2461" s="67">
        <f t="shared" si="114"/>
        <v>287.424</v>
      </c>
      <c r="AB2461" s="67">
        <f t="shared" si="115"/>
        <v>2083.824</v>
      </c>
      <c r="AC2461" s="67">
        <f t="shared" si="102"/>
        <v>1696.6</v>
      </c>
      <c r="AD2461" s="67">
        <f t="shared" si="116"/>
        <v>271.456</v>
      </c>
      <c r="AE2461" s="67">
        <f t="shared" si="117"/>
        <v>1968.056</v>
      </c>
      <c r="AF2461" s="67">
        <f t="shared" si="105"/>
        <v>1656.68</v>
      </c>
      <c r="AG2461" s="67">
        <f t="shared" si="118"/>
        <v>265.0688</v>
      </c>
      <c r="AH2461" s="67">
        <f t="shared" si="119"/>
        <v>1921.7488</v>
      </c>
      <c r="AI2461" s="67">
        <f t="shared" si="108"/>
        <v>1596.8</v>
      </c>
      <c r="AJ2461" s="68">
        <f t="shared" si="120"/>
        <v>255.488</v>
      </c>
      <c r="AK2461" s="68">
        <f t="shared" si="121"/>
        <v>1852.288</v>
      </c>
      <c r="AL2461" s="70"/>
      <c r="AM2461" s="70"/>
      <c r="AN2461" s="71"/>
      <c r="AO2461" s="71"/>
      <c r="AP2461" s="71"/>
      <c r="AQ2461" s="71"/>
      <c r="AR2461" s="71"/>
      <c r="AS2461" s="71"/>
      <c r="AT2461" s="71"/>
      <c r="AU2461" s="71"/>
      <c r="AV2461" s="71"/>
      <c r="AW2461" s="71"/>
      <c r="AX2461" s="71"/>
      <c r="AY2461" s="71"/>
      <c r="AZ2461" s="71"/>
      <c r="BA2461" s="71"/>
      <c r="BB2461" s="71"/>
      <c r="BC2461" s="71"/>
      <c r="BD2461" s="71"/>
      <c r="BE2461" s="71"/>
      <c r="BF2461" s="71"/>
      <c r="BG2461" s="71"/>
      <c r="BH2461" s="71"/>
      <c r="BI2461" s="71"/>
      <c r="BJ2461" s="71"/>
      <c r="BK2461" s="71"/>
      <c r="BL2461" s="71"/>
      <c r="BM2461" s="71"/>
      <c r="BN2461" s="71"/>
      <c r="BO2461" s="71"/>
      <c r="BP2461" s="71"/>
      <c r="BQ2461" s="71"/>
      <c r="BR2461" s="71"/>
      <c r="BS2461" s="71"/>
      <c r="BT2461" s="71"/>
      <c r="BU2461" s="71"/>
      <c r="BV2461" s="71"/>
    </row>
    <row r="2462">
      <c r="A2462" s="53">
        <v>1.0</v>
      </c>
      <c r="B2462" s="53"/>
      <c r="C2462" s="73" t="s">
        <v>53</v>
      </c>
      <c r="D2462" s="74" t="s">
        <v>6054</v>
      </c>
      <c r="E2462" s="54" t="s">
        <v>38</v>
      </c>
      <c r="F2462" s="54" t="s">
        <v>42</v>
      </c>
      <c r="G2462" s="88" t="s">
        <v>6055</v>
      </c>
      <c r="H2462" s="54" t="s">
        <v>6053</v>
      </c>
      <c r="I2462" s="54">
        <f t="shared" si="24"/>
        <v>34</v>
      </c>
      <c r="J2462" s="56"/>
      <c r="K2462" s="57"/>
      <c r="L2462" s="87"/>
      <c r="M2462" s="59"/>
      <c r="N2462" s="60">
        <v>1464.0</v>
      </c>
      <c r="O2462" s="61">
        <v>1581.0</v>
      </c>
      <c r="P2462" s="62">
        <v>1707.48</v>
      </c>
      <c r="Q2462" s="63">
        <v>1707.48</v>
      </c>
      <c r="R2462" s="64">
        <v>1901.0</v>
      </c>
      <c r="S2462" s="111">
        <v>1996.0</v>
      </c>
      <c r="T2462" s="65">
        <f t="shared" si="93"/>
        <v>319.36</v>
      </c>
      <c r="U2462" s="65">
        <f t="shared" si="94"/>
        <v>2315.36</v>
      </c>
      <c r="V2462" s="66">
        <f t="shared" si="123"/>
        <v>0.04997369805</v>
      </c>
      <c r="W2462" s="67">
        <f t="shared" si="96"/>
        <v>1896.2</v>
      </c>
      <c r="X2462" s="67">
        <f t="shared" si="112"/>
        <v>303.392</v>
      </c>
      <c r="Y2462" s="67">
        <f t="shared" si="113"/>
        <v>2199.592</v>
      </c>
      <c r="Z2462" s="67">
        <f t="shared" si="99"/>
        <v>1796.4</v>
      </c>
      <c r="AA2462" s="67">
        <f t="shared" si="114"/>
        <v>287.424</v>
      </c>
      <c r="AB2462" s="67">
        <f t="shared" si="115"/>
        <v>2083.824</v>
      </c>
      <c r="AC2462" s="67">
        <f t="shared" si="102"/>
        <v>1696.6</v>
      </c>
      <c r="AD2462" s="67">
        <f t="shared" si="116"/>
        <v>271.456</v>
      </c>
      <c r="AE2462" s="67">
        <f t="shared" si="117"/>
        <v>1968.056</v>
      </c>
      <c r="AF2462" s="67">
        <f t="shared" si="105"/>
        <v>1656.68</v>
      </c>
      <c r="AG2462" s="67">
        <f t="shared" si="118"/>
        <v>265.0688</v>
      </c>
      <c r="AH2462" s="67">
        <f t="shared" si="119"/>
        <v>1921.7488</v>
      </c>
      <c r="AI2462" s="67">
        <f t="shared" si="108"/>
        <v>1596.8</v>
      </c>
      <c r="AJ2462" s="68">
        <f t="shared" si="120"/>
        <v>255.488</v>
      </c>
      <c r="AK2462" s="68">
        <f t="shared" si="121"/>
        <v>1852.288</v>
      </c>
      <c r="AL2462" s="70"/>
      <c r="AM2462" s="70"/>
      <c r="AN2462" s="71"/>
      <c r="AO2462" s="71"/>
      <c r="AP2462" s="71"/>
      <c r="AQ2462" s="71"/>
      <c r="AR2462" s="71"/>
      <c r="AS2462" s="71"/>
      <c r="AT2462" s="71"/>
      <c r="AU2462" s="71"/>
      <c r="AV2462" s="71"/>
      <c r="AW2462" s="71"/>
      <c r="AX2462" s="71"/>
      <c r="AY2462" s="71"/>
      <c r="AZ2462" s="71"/>
      <c r="BA2462" s="71"/>
      <c r="BB2462" s="71"/>
      <c r="BC2462" s="71"/>
      <c r="BD2462" s="71"/>
      <c r="BE2462" s="71"/>
      <c r="BF2462" s="71"/>
      <c r="BG2462" s="71"/>
      <c r="BH2462" s="71"/>
      <c r="BI2462" s="71"/>
      <c r="BJ2462" s="71"/>
      <c r="BK2462" s="71"/>
      <c r="BL2462" s="71"/>
      <c r="BM2462" s="71"/>
      <c r="BN2462" s="71"/>
      <c r="BO2462" s="71"/>
      <c r="BP2462" s="71"/>
      <c r="BQ2462" s="71"/>
      <c r="BR2462" s="71"/>
      <c r="BS2462" s="71"/>
      <c r="BT2462" s="71"/>
      <c r="BU2462" s="71"/>
      <c r="BV2462" s="71"/>
    </row>
    <row r="2463">
      <c r="A2463" s="53">
        <v>1.0</v>
      </c>
      <c r="B2463" s="53"/>
      <c r="C2463" s="73" t="s">
        <v>12</v>
      </c>
      <c r="D2463" s="53" t="s">
        <v>6056</v>
      </c>
      <c r="E2463" s="54" t="s">
        <v>38</v>
      </c>
      <c r="F2463" s="54" t="s">
        <v>42</v>
      </c>
      <c r="G2463" s="54" t="s">
        <v>6057</v>
      </c>
      <c r="H2463" s="54" t="s">
        <v>6057</v>
      </c>
      <c r="I2463" s="54">
        <f t="shared" si="24"/>
        <v>29</v>
      </c>
      <c r="J2463" s="56"/>
      <c r="K2463" s="57"/>
      <c r="L2463" s="76"/>
      <c r="M2463" s="59"/>
      <c r="N2463" s="79">
        <v>300.0</v>
      </c>
      <c r="O2463" s="61">
        <v>324.0</v>
      </c>
      <c r="P2463" s="62">
        <v>412.5</v>
      </c>
      <c r="Q2463" s="63">
        <v>412.5</v>
      </c>
      <c r="R2463" s="78">
        <v>400.0</v>
      </c>
      <c r="S2463" s="111">
        <v>420.0</v>
      </c>
      <c r="T2463" s="65">
        <f t="shared" si="93"/>
        <v>67.2</v>
      </c>
      <c r="U2463" s="65">
        <f t="shared" si="94"/>
        <v>487.2</v>
      </c>
      <c r="V2463" s="66">
        <f t="shared" si="123"/>
        <v>0.05</v>
      </c>
      <c r="W2463" s="67">
        <f t="shared" si="96"/>
        <v>399</v>
      </c>
      <c r="X2463" s="67">
        <f t="shared" si="112"/>
        <v>63.84</v>
      </c>
      <c r="Y2463" s="67">
        <f t="shared" si="113"/>
        <v>462.84</v>
      </c>
      <c r="Z2463" s="67">
        <f t="shared" si="99"/>
        <v>378</v>
      </c>
      <c r="AA2463" s="67">
        <f t="shared" si="114"/>
        <v>60.48</v>
      </c>
      <c r="AB2463" s="67">
        <f t="shared" si="115"/>
        <v>438.48</v>
      </c>
      <c r="AC2463" s="67">
        <f t="shared" si="102"/>
        <v>357</v>
      </c>
      <c r="AD2463" s="67">
        <f t="shared" si="116"/>
        <v>57.12</v>
      </c>
      <c r="AE2463" s="67">
        <f t="shared" si="117"/>
        <v>414.12</v>
      </c>
      <c r="AF2463" s="67">
        <f t="shared" si="105"/>
        <v>348.6</v>
      </c>
      <c r="AG2463" s="67">
        <f t="shared" si="118"/>
        <v>55.776</v>
      </c>
      <c r="AH2463" s="67">
        <f t="shared" si="119"/>
        <v>404.376</v>
      </c>
      <c r="AI2463" s="67">
        <f t="shared" si="108"/>
        <v>336</v>
      </c>
      <c r="AJ2463" s="68">
        <f t="shared" si="120"/>
        <v>53.76</v>
      </c>
      <c r="AK2463" s="68">
        <f t="shared" si="121"/>
        <v>389.76</v>
      </c>
      <c r="AL2463" s="70"/>
      <c r="AM2463" s="70"/>
      <c r="AN2463" s="71"/>
      <c r="AO2463" s="71"/>
      <c r="AP2463" s="71"/>
      <c r="AQ2463" s="71"/>
      <c r="AR2463" s="71"/>
      <c r="AS2463" s="71"/>
      <c r="AT2463" s="71"/>
      <c r="AU2463" s="71"/>
      <c r="AV2463" s="71"/>
      <c r="AW2463" s="71"/>
      <c r="AX2463" s="71"/>
      <c r="AY2463" s="71"/>
      <c r="AZ2463" s="71"/>
      <c r="BA2463" s="71"/>
      <c r="BB2463" s="71"/>
      <c r="BC2463" s="71"/>
      <c r="BD2463" s="71"/>
      <c r="BE2463" s="71"/>
      <c r="BF2463" s="71"/>
      <c r="BG2463" s="71"/>
      <c r="BH2463" s="71"/>
      <c r="BI2463" s="71"/>
      <c r="BJ2463" s="71"/>
      <c r="BK2463" s="71"/>
      <c r="BL2463" s="71"/>
      <c r="BM2463" s="71"/>
      <c r="BN2463" s="71"/>
      <c r="BO2463" s="71"/>
      <c r="BP2463" s="71"/>
      <c r="BQ2463" s="71"/>
      <c r="BR2463" s="71"/>
      <c r="BS2463" s="71"/>
      <c r="BT2463" s="71"/>
      <c r="BU2463" s="71"/>
      <c r="BV2463" s="71"/>
    </row>
    <row r="2464">
      <c r="A2464" s="53"/>
      <c r="B2464" s="53"/>
      <c r="C2464" s="73" t="s">
        <v>53</v>
      </c>
      <c r="D2464" s="53" t="s">
        <v>6058</v>
      </c>
      <c r="E2464" s="54" t="s">
        <v>38</v>
      </c>
      <c r="F2464" s="55" t="s">
        <v>309</v>
      </c>
      <c r="G2464" s="54" t="s">
        <v>6059</v>
      </c>
      <c r="H2464" s="55"/>
      <c r="I2464" s="54">
        <f t="shared" si="24"/>
        <v>0</v>
      </c>
      <c r="J2464" s="56"/>
      <c r="K2464" s="57"/>
      <c r="L2464" s="76" t="s">
        <v>661</v>
      </c>
      <c r="M2464" s="59"/>
      <c r="N2464" s="60"/>
      <c r="O2464" s="90">
        <v>1505.0</v>
      </c>
      <c r="P2464" s="62">
        <v>1625.4</v>
      </c>
      <c r="Q2464" s="63">
        <v>1625.4</v>
      </c>
      <c r="R2464" s="64">
        <v>1707.0</v>
      </c>
      <c r="S2464" s="111">
        <v>1792.0</v>
      </c>
      <c r="T2464" s="65">
        <f t="shared" si="93"/>
        <v>286.72</v>
      </c>
      <c r="U2464" s="65">
        <f t="shared" si="94"/>
        <v>2078.72</v>
      </c>
      <c r="V2464" s="66">
        <f t="shared" si="123"/>
        <v>0.04979496192</v>
      </c>
      <c r="W2464" s="67">
        <f t="shared" si="96"/>
        <v>1702.4</v>
      </c>
      <c r="X2464" s="67">
        <f t="shared" si="112"/>
        <v>272.384</v>
      </c>
      <c r="Y2464" s="67">
        <f t="shared" si="113"/>
        <v>1974.784</v>
      </c>
      <c r="Z2464" s="67">
        <f t="shared" si="99"/>
        <v>1612.8</v>
      </c>
      <c r="AA2464" s="67">
        <f t="shared" si="114"/>
        <v>258.048</v>
      </c>
      <c r="AB2464" s="67">
        <f t="shared" si="115"/>
        <v>1870.848</v>
      </c>
      <c r="AC2464" s="67">
        <f t="shared" si="102"/>
        <v>1523.2</v>
      </c>
      <c r="AD2464" s="67">
        <f t="shared" si="116"/>
        <v>243.712</v>
      </c>
      <c r="AE2464" s="67">
        <f t="shared" si="117"/>
        <v>1766.912</v>
      </c>
      <c r="AF2464" s="67">
        <f t="shared" si="105"/>
        <v>1487.36</v>
      </c>
      <c r="AG2464" s="67">
        <f t="shared" si="118"/>
        <v>237.9776</v>
      </c>
      <c r="AH2464" s="67">
        <f t="shared" si="119"/>
        <v>1725.3376</v>
      </c>
      <c r="AI2464" s="67">
        <f t="shared" si="108"/>
        <v>1433.6</v>
      </c>
      <c r="AJ2464" s="68">
        <f t="shared" si="120"/>
        <v>229.376</v>
      </c>
      <c r="AK2464" s="68">
        <f t="shared" si="121"/>
        <v>1662.976</v>
      </c>
      <c r="AL2464" s="70"/>
      <c r="AM2464" s="70"/>
      <c r="AN2464" s="71"/>
      <c r="AO2464" s="71"/>
      <c r="AP2464" s="71"/>
      <c r="AQ2464" s="71"/>
      <c r="AR2464" s="71"/>
      <c r="AS2464" s="71"/>
      <c r="AT2464" s="71"/>
      <c r="AU2464" s="71"/>
      <c r="AV2464" s="71"/>
      <c r="AW2464" s="71"/>
      <c r="AX2464" s="71"/>
      <c r="AY2464" s="71"/>
      <c r="AZ2464" s="71"/>
      <c r="BA2464" s="71"/>
      <c r="BB2464" s="71"/>
      <c r="BC2464" s="71"/>
      <c r="BD2464" s="71"/>
      <c r="BE2464" s="71"/>
      <c r="BF2464" s="71"/>
      <c r="BG2464" s="71"/>
      <c r="BH2464" s="71"/>
      <c r="BI2464" s="71"/>
      <c r="BJ2464" s="71"/>
      <c r="BK2464" s="71"/>
      <c r="BL2464" s="71"/>
      <c r="BM2464" s="71"/>
      <c r="BN2464" s="71"/>
      <c r="BO2464" s="71"/>
      <c r="BP2464" s="71"/>
      <c r="BQ2464" s="71"/>
      <c r="BR2464" s="71"/>
      <c r="BS2464" s="71"/>
      <c r="BT2464" s="71"/>
      <c r="BU2464" s="71"/>
      <c r="BV2464" s="71"/>
    </row>
    <row r="2465">
      <c r="A2465" s="53">
        <v>1.0</v>
      </c>
      <c r="B2465" s="53"/>
      <c r="C2465" s="73" t="s">
        <v>53</v>
      </c>
      <c r="D2465" s="74" t="s">
        <v>6060</v>
      </c>
      <c r="E2465" s="54" t="s">
        <v>38</v>
      </c>
      <c r="F2465" s="54" t="s">
        <v>42</v>
      </c>
      <c r="G2465" s="55" t="s">
        <v>6061</v>
      </c>
      <c r="H2465" s="54" t="s">
        <v>6062</v>
      </c>
      <c r="I2465" s="54">
        <f t="shared" si="24"/>
        <v>27</v>
      </c>
      <c r="J2465" s="56"/>
      <c r="K2465" s="57"/>
      <c r="L2465" s="87"/>
      <c r="M2465" s="59"/>
      <c r="N2465" s="60">
        <v>9117.0</v>
      </c>
      <c r="O2465" s="61">
        <v>9846.0</v>
      </c>
      <c r="P2465" s="62">
        <v>10633.68</v>
      </c>
      <c r="Q2465" s="63">
        <v>10633.68</v>
      </c>
      <c r="R2465" s="64">
        <v>11836.0</v>
      </c>
      <c r="S2465" s="111">
        <v>12428.0</v>
      </c>
      <c r="T2465" s="65">
        <f t="shared" si="93"/>
        <v>1988.48</v>
      </c>
      <c r="U2465" s="65">
        <f t="shared" si="94"/>
        <v>14416.48</v>
      </c>
      <c r="V2465" s="66">
        <f t="shared" si="123"/>
        <v>0.0500168976</v>
      </c>
      <c r="W2465" s="67">
        <f t="shared" si="96"/>
        <v>11806.6</v>
      </c>
      <c r="X2465" s="67">
        <f t="shared" si="112"/>
        <v>1889.056</v>
      </c>
      <c r="Y2465" s="67">
        <f t="shared" si="113"/>
        <v>13695.656</v>
      </c>
      <c r="Z2465" s="67">
        <f t="shared" si="99"/>
        <v>11185.2</v>
      </c>
      <c r="AA2465" s="67">
        <f t="shared" si="114"/>
        <v>1789.632</v>
      </c>
      <c r="AB2465" s="67">
        <f t="shared" si="115"/>
        <v>12974.832</v>
      </c>
      <c r="AC2465" s="67">
        <f t="shared" si="102"/>
        <v>10563.8</v>
      </c>
      <c r="AD2465" s="67">
        <f t="shared" si="116"/>
        <v>1690.208</v>
      </c>
      <c r="AE2465" s="67">
        <f t="shared" si="117"/>
        <v>12254.008</v>
      </c>
      <c r="AF2465" s="67">
        <f t="shared" si="105"/>
        <v>10315.24</v>
      </c>
      <c r="AG2465" s="67">
        <f t="shared" si="118"/>
        <v>1650.4384</v>
      </c>
      <c r="AH2465" s="67">
        <f t="shared" si="119"/>
        <v>11965.6784</v>
      </c>
      <c r="AI2465" s="67">
        <f t="shared" si="108"/>
        <v>9942.4</v>
      </c>
      <c r="AJ2465" s="68">
        <f t="shared" si="120"/>
        <v>1590.784</v>
      </c>
      <c r="AK2465" s="68">
        <f t="shared" si="121"/>
        <v>11533.184</v>
      </c>
      <c r="AL2465" s="70"/>
      <c r="AM2465" s="70"/>
      <c r="AN2465" s="71"/>
      <c r="AO2465" s="71"/>
      <c r="AP2465" s="71"/>
      <c r="AQ2465" s="71"/>
      <c r="AR2465" s="71"/>
      <c r="AS2465" s="71"/>
      <c r="AT2465" s="71"/>
      <c r="AU2465" s="71"/>
      <c r="AV2465" s="71"/>
      <c r="AW2465" s="71"/>
      <c r="AX2465" s="71"/>
      <c r="AY2465" s="71"/>
      <c r="AZ2465" s="71"/>
      <c r="BA2465" s="71"/>
      <c r="BB2465" s="71"/>
      <c r="BC2465" s="71"/>
      <c r="BD2465" s="71"/>
      <c r="BE2465" s="71"/>
      <c r="BF2465" s="71"/>
      <c r="BG2465" s="71"/>
      <c r="BH2465" s="71"/>
      <c r="BI2465" s="71"/>
      <c r="BJ2465" s="71"/>
      <c r="BK2465" s="71"/>
      <c r="BL2465" s="71"/>
      <c r="BM2465" s="71"/>
      <c r="BN2465" s="71"/>
      <c r="BO2465" s="71"/>
      <c r="BP2465" s="71"/>
      <c r="BQ2465" s="71"/>
      <c r="BR2465" s="71"/>
      <c r="BS2465" s="71"/>
      <c r="BT2465" s="71"/>
      <c r="BU2465" s="71"/>
      <c r="BV2465" s="71"/>
    </row>
    <row r="2466">
      <c r="A2466" s="53">
        <v>1.0</v>
      </c>
      <c r="B2466" s="53"/>
      <c r="C2466" s="73" t="s">
        <v>53</v>
      </c>
      <c r="D2466" s="74" t="s">
        <v>6063</v>
      </c>
      <c r="E2466" s="54" t="s">
        <v>38</v>
      </c>
      <c r="F2466" s="54" t="s">
        <v>42</v>
      </c>
      <c r="G2466" s="88" t="s">
        <v>6064</v>
      </c>
      <c r="H2466" s="54" t="s">
        <v>6065</v>
      </c>
      <c r="I2466" s="54">
        <f t="shared" si="24"/>
        <v>30</v>
      </c>
      <c r="J2466" s="56"/>
      <c r="K2466" s="57"/>
      <c r="L2466" s="87"/>
      <c r="M2466" s="59"/>
      <c r="N2466" s="60">
        <v>549.0</v>
      </c>
      <c r="O2466" s="61">
        <v>592.0</v>
      </c>
      <c r="P2466" s="62">
        <v>639.36</v>
      </c>
      <c r="Q2466" s="63">
        <v>639.36</v>
      </c>
      <c r="R2466" s="64">
        <v>712.0</v>
      </c>
      <c r="S2466" s="111">
        <v>748.0</v>
      </c>
      <c r="T2466" s="65">
        <f t="shared" si="93"/>
        <v>119.68</v>
      </c>
      <c r="U2466" s="65">
        <f t="shared" si="94"/>
        <v>867.68</v>
      </c>
      <c r="V2466" s="66">
        <f t="shared" si="123"/>
        <v>0.05056179775</v>
      </c>
      <c r="W2466" s="67">
        <f t="shared" si="96"/>
        <v>710.6</v>
      </c>
      <c r="X2466" s="67">
        <f t="shared" si="112"/>
        <v>113.696</v>
      </c>
      <c r="Y2466" s="67">
        <f t="shared" si="113"/>
        <v>824.296</v>
      </c>
      <c r="Z2466" s="67">
        <f t="shared" si="99"/>
        <v>673.2</v>
      </c>
      <c r="AA2466" s="67">
        <f t="shared" si="114"/>
        <v>107.712</v>
      </c>
      <c r="AB2466" s="67">
        <f t="shared" si="115"/>
        <v>780.912</v>
      </c>
      <c r="AC2466" s="67">
        <f t="shared" si="102"/>
        <v>635.8</v>
      </c>
      <c r="AD2466" s="67">
        <f t="shared" si="116"/>
        <v>101.728</v>
      </c>
      <c r="AE2466" s="67">
        <f t="shared" si="117"/>
        <v>737.528</v>
      </c>
      <c r="AF2466" s="67">
        <f t="shared" si="105"/>
        <v>620.84</v>
      </c>
      <c r="AG2466" s="67">
        <f t="shared" si="118"/>
        <v>99.3344</v>
      </c>
      <c r="AH2466" s="67">
        <f t="shared" si="119"/>
        <v>720.1744</v>
      </c>
      <c r="AI2466" s="67">
        <f t="shared" si="108"/>
        <v>598.4</v>
      </c>
      <c r="AJ2466" s="68">
        <f t="shared" si="120"/>
        <v>95.744</v>
      </c>
      <c r="AK2466" s="68">
        <f t="shared" si="121"/>
        <v>694.144</v>
      </c>
      <c r="AL2466" s="70"/>
      <c r="AM2466" s="70"/>
      <c r="AN2466" s="71"/>
      <c r="AO2466" s="71"/>
      <c r="AP2466" s="71"/>
      <c r="AQ2466" s="71"/>
      <c r="AR2466" s="71"/>
      <c r="AS2466" s="71"/>
      <c r="AT2466" s="71"/>
      <c r="AU2466" s="71"/>
      <c r="AV2466" s="71"/>
      <c r="AW2466" s="71"/>
      <c r="AX2466" s="71"/>
      <c r="AY2466" s="71"/>
      <c r="AZ2466" s="71"/>
      <c r="BA2466" s="71"/>
      <c r="BB2466" s="71"/>
      <c r="BC2466" s="71"/>
      <c r="BD2466" s="71"/>
      <c r="BE2466" s="71"/>
      <c r="BF2466" s="71"/>
      <c r="BG2466" s="71"/>
      <c r="BH2466" s="71"/>
      <c r="BI2466" s="71"/>
      <c r="BJ2466" s="71"/>
      <c r="BK2466" s="71"/>
      <c r="BL2466" s="71"/>
      <c r="BM2466" s="71"/>
      <c r="BN2466" s="71"/>
      <c r="BO2466" s="71"/>
      <c r="BP2466" s="71"/>
      <c r="BQ2466" s="71"/>
      <c r="BR2466" s="71"/>
      <c r="BS2466" s="71"/>
      <c r="BT2466" s="71"/>
      <c r="BU2466" s="71"/>
      <c r="BV2466" s="71"/>
    </row>
    <row r="2467">
      <c r="A2467" s="53"/>
      <c r="B2467" s="53"/>
      <c r="C2467" s="73" t="s">
        <v>53</v>
      </c>
      <c r="D2467" s="53" t="s">
        <v>6066</v>
      </c>
      <c r="E2467" s="54" t="s">
        <v>38</v>
      </c>
      <c r="F2467" s="55" t="s">
        <v>309</v>
      </c>
      <c r="G2467" s="54" t="s">
        <v>6067</v>
      </c>
      <c r="H2467" s="55"/>
      <c r="I2467" s="54">
        <f t="shared" si="24"/>
        <v>0</v>
      </c>
      <c r="J2467" s="56"/>
      <c r="K2467" s="57"/>
      <c r="L2467" s="76"/>
      <c r="M2467" s="59"/>
      <c r="N2467" s="60"/>
      <c r="O2467" s="90">
        <v>577.0</v>
      </c>
      <c r="P2467" s="62">
        <v>623.1600000000001</v>
      </c>
      <c r="Q2467" s="63">
        <v>623.1600000000001</v>
      </c>
      <c r="R2467" s="64">
        <v>695.0</v>
      </c>
      <c r="S2467" s="111">
        <v>730.0</v>
      </c>
      <c r="T2467" s="65">
        <f t="shared" si="93"/>
        <v>116.8</v>
      </c>
      <c r="U2467" s="65">
        <f t="shared" si="94"/>
        <v>846.8</v>
      </c>
      <c r="V2467" s="66">
        <f t="shared" si="123"/>
        <v>0.05035971223</v>
      </c>
      <c r="W2467" s="67">
        <f t="shared" si="96"/>
        <v>693.5</v>
      </c>
      <c r="X2467" s="67">
        <f t="shared" si="112"/>
        <v>110.96</v>
      </c>
      <c r="Y2467" s="67">
        <f t="shared" si="113"/>
        <v>804.46</v>
      </c>
      <c r="Z2467" s="67">
        <f t="shared" si="99"/>
        <v>657</v>
      </c>
      <c r="AA2467" s="67">
        <f t="shared" si="114"/>
        <v>105.12</v>
      </c>
      <c r="AB2467" s="67">
        <f t="shared" si="115"/>
        <v>762.12</v>
      </c>
      <c r="AC2467" s="67">
        <f t="shared" si="102"/>
        <v>620.5</v>
      </c>
      <c r="AD2467" s="67">
        <f t="shared" si="116"/>
        <v>99.28</v>
      </c>
      <c r="AE2467" s="67">
        <f t="shared" si="117"/>
        <v>719.78</v>
      </c>
      <c r="AF2467" s="67">
        <f t="shared" si="105"/>
        <v>605.9</v>
      </c>
      <c r="AG2467" s="67">
        <f t="shared" si="118"/>
        <v>96.944</v>
      </c>
      <c r="AH2467" s="67">
        <f t="shared" si="119"/>
        <v>702.844</v>
      </c>
      <c r="AI2467" s="67">
        <f t="shared" si="108"/>
        <v>584</v>
      </c>
      <c r="AJ2467" s="68">
        <f t="shared" si="120"/>
        <v>93.44</v>
      </c>
      <c r="AK2467" s="68">
        <f t="shared" si="121"/>
        <v>677.44</v>
      </c>
      <c r="AL2467" s="70"/>
      <c r="AM2467" s="70"/>
      <c r="AN2467" s="71"/>
      <c r="AO2467" s="71"/>
      <c r="AP2467" s="71"/>
      <c r="AQ2467" s="71"/>
      <c r="AR2467" s="71"/>
      <c r="AS2467" s="71"/>
      <c r="AT2467" s="71"/>
      <c r="AU2467" s="71"/>
      <c r="AV2467" s="71"/>
      <c r="AW2467" s="71"/>
      <c r="AX2467" s="71"/>
      <c r="AY2467" s="71"/>
      <c r="AZ2467" s="71"/>
      <c r="BA2467" s="71"/>
      <c r="BB2467" s="71"/>
      <c r="BC2467" s="71"/>
      <c r="BD2467" s="71"/>
      <c r="BE2467" s="71"/>
      <c r="BF2467" s="71"/>
      <c r="BG2467" s="71"/>
      <c r="BH2467" s="71"/>
      <c r="BI2467" s="71"/>
      <c r="BJ2467" s="71"/>
      <c r="BK2467" s="71"/>
      <c r="BL2467" s="71"/>
      <c r="BM2467" s="71"/>
      <c r="BN2467" s="71"/>
      <c r="BO2467" s="71"/>
      <c r="BP2467" s="71"/>
      <c r="BQ2467" s="71"/>
      <c r="BR2467" s="71"/>
      <c r="BS2467" s="71"/>
      <c r="BT2467" s="71"/>
      <c r="BU2467" s="71"/>
      <c r="BV2467" s="71"/>
    </row>
    <row r="2468">
      <c r="A2468" s="53">
        <v>1.0</v>
      </c>
      <c r="B2468" s="53"/>
      <c r="C2468" s="73" t="s">
        <v>53</v>
      </c>
      <c r="D2468" s="74" t="s">
        <v>6068</v>
      </c>
      <c r="E2468" s="54" t="s">
        <v>38</v>
      </c>
      <c r="F2468" s="54" t="s">
        <v>42</v>
      </c>
      <c r="G2468" s="88" t="s">
        <v>6069</v>
      </c>
      <c r="H2468" s="54" t="s">
        <v>6067</v>
      </c>
      <c r="I2468" s="54">
        <f t="shared" si="24"/>
        <v>34</v>
      </c>
      <c r="J2468" s="56"/>
      <c r="K2468" s="57"/>
      <c r="L2468" s="87"/>
      <c r="M2468" s="59"/>
      <c r="N2468" s="60">
        <v>535.0</v>
      </c>
      <c r="O2468" s="61">
        <v>577.0</v>
      </c>
      <c r="P2468" s="62">
        <v>623.1600000000001</v>
      </c>
      <c r="Q2468" s="63">
        <v>623.1600000000001</v>
      </c>
      <c r="R2468" s="64">
        <v>695.0</v>
      </c>
      <c r="S2468" s="111">
        <v>730.0</v>
      </c>
      <c r="T2468" s="65">
        <f t="shared" si="93"/>
        <v>116.8</v>
      </c>
      <c r="U2468" s="65">
        <f t="shared" si="94"/>
        <v>846.8</v>
      </c>
      <c r="V2468" s="66">
        <f t="shared" si="123"/>
        <v>0.05035971223</v>
      </c>
      <c r="W2468" s="67">
        <f t="shared" si="96"/>
        <v>693.5</v>
      </c>
      <c r="X2468" s="67">
        <f t="shared" si="112"/>
        <v>110.96</v>
      </c>
      <c r="Y2468" s="67">
        <f t="shared" si="113"/>
        <v>804.46</v>
      </c>
      <c r="Z2468" s="67">
        <f t="shared" si="99"/>
        <v>657</v>
      </c>
      <c r="AA2468" s="67">
        <f t="shared" si="114"/>
        <v>105.12</v>
      </c>
      <c r="AB2468" s="67">
        <f t="shared" si="115"/>
        <v>762.12</v>
      </c>
      <c r="AC2468" s="67">
        <f t="shared" si="102"/>
        <v>620.5</v>
      </c>
      <c r="AD2468" s="67">
        <f t="shared" si="116"/>
        <v>99.28</v>
      </c>
      <c r="AE2468" s="67">
        <f t="shared" si="117"/>
        <v>719.78</v>
      </c>
      <c r="AF2468" s="67">
        <f t="shared" si="105"/>
        <v>605.9</v>
      </c>
      <c r="AG2468" s="67">
        <f t="shared" si="118"/>
        <v>96.944</v>
      </c>
      <c r="AH2468" s="67">
        <f t="shared" si="119"/>
        <v>702.844</v>
      </c>
      <c r="AI2468" s="67">
        <f t="shared" si="108"/>
        <v>584</v>
      </c>
      <c r="AJ2468" s="68">
        <f t="shared" si="120"/>
        <v>93.44</v>
      </c>
      <c r="AK2468" s="68">
        <f t="shared" si="121"/>
        <v>677.44</v>
      </c>
      <c r="AL2468" s="70"/>
      <c r="AM2468" s="70"/>
      <c r="AN2468" s="71"/>
      <c r="AO2468" s="71"/>
      <c r="AP2468" s="71"/>
      <c r="AQ2468" s="71"/>
      <c r="AR2468" s="71"/>
      <c r="AS2468" s="71"/>
      <c r="AT2468" s="71"/>
      <c r="AU2468" s="71"/>
      <c r="AV2468" s="71"/>
      <c r="AW2468" s="71"/>
      <c r="AX2468" s="71"/>
      <c r="AY2468" s="71"/>
      <c r="AZ2468" s="71"/>
      <c r="BA2468" s="71"/>
      <c r="BB2468" s="71"/>
      <c r="BC2468" s="71"/>
      <c r="BD2468" s="71"/>
      <c r="BE2468" s="71"/>
      <c r="BF2468" s="71"/>
      <c r="BG2468" s="71"/>
      <c r="BH2468" s="71"/>
      <c r="BI2468" s="71"/>
      <c r="BJ2468" s="71"/>
      <c r="BK2468" s="71"/>
      <c r="BL2468" s="71"/>
      <c r="BM2468" s="71"/>
      <c r="BN2468" s="71"/>
      <c r="BO2468" s="71"/>
      <c r="BP2468" s="71"/>
      <c r="BQ2468" s="71"/>
      <c r="BR2468" s="71"/>
      <c r="BS2468" s="71"/>
      <c r="BT2468" s="71"/>
      <c r="BU2468" s="71"/>
      <c r="BV2468" s="71"/>
    </row>
    <row r="2469">
      <c r="A2469" s="53">
        <v>1.0</v>
      </c>
      <c r="B2469" s="53"/>
      <c r="C2469" s="73" t="s">
        <v>53</v>
      </c>
      <c r="D2469" s="53" t="s">
        <v>6070</v>
      </c>
      <c r="E2469" s="54" t="s">
        <v>38</v>
      </c>
      <c r="F2469" s="54" t="s">
        <v>42</v>
      </c>
      <c r="G2469" s="144" t="s">
        <v>6071</v>
      </c>
      <c r="H2469" s="54" t="s">
        <v>6072</v>
      </c>
      <c r="I2469" s="54">
        <f t="shared" si="24"/>
        <v>35</v>
      </c>
      <c r="J2469" s="56"/>
      <c r="K2469" s="57"/>
      <c r="L2469" s="87"/>
      <c r="M2469" s="59"/>
      <c r="N2469" s="60">
        <v>1698.0</v>
      </c>
      <c r="O2469" s="61">
        <v>1833.0</v>
      </c>
      <c r="P2469" s="62">
        <v>1979.64</v>
      </c>
      <c r="Q2469" s="63">
        <v>1979.64</v>
      </c>
      <c r="R2469" s="64">
        <v>2204.0</v>
      </c>
      <c r="S2469" s="111">
        <v>2314.0</v>
      </c>
      <c r="T2469" s="65">
        <f t="shared" si="93"/>
        <v>370.24</v>
      </c>
      <c r="U2469" s="65">
        <f t="shared" si="94"/>
        <v>2684.24</v>
      </c>
      <c r="V2469" s="66">
        <f t="shared" si="123"/>
        <v>0.0499092559</v>
      </c>
      <c r="W2469" s="67">
        <f t="shared" si="96"/>
        <v>2198.3</v>
      </c>
      <c r="X2469" s="67">
        <f t="shared" si="112"/>
        <v>351.728</v>
      </c>
      <c r="Y2469" s="67">
        <f t="shared" si="113"/>
        <v>2550.028</v>
      </c>
      <c r="Z2469" s="67">
        <f t="shared" si="99"/>
        <v>2082.6</v>
      </c>
      <c r="AA2469" s="67">
        <f t="shared" si="114"/>
        <v>333.216</v>
      </c>
      <c r="AB2469" s="67">
        <f t="shared" si="115"/>
        <v>2415.816</v>
      </c>
      <c r="AC2469" s="67">
        <f t="shared" si="102"/>
        <v>1966.9</v>
      </c>
      <c r="AD2469" s="67">
        <f t="shared" si="116"/>
        <v>314.704</v>
      </c>
      <c r="AE2469" s="67">
        <f t="shared" si="117"/>
        <v>2281.604</v>
      </c>
      <c r="AF2469" s="67">
        <f t="shared" si="105"/>
        <v>1920.62</v>
      </c>
      <c r="AG2469" s="67">
        <f t="shared" si="118"/>
        <v>307.2992</v>
      </c>
      <c r="AH2469" s="67">
        <f t="shared" si="119"/>
        <v>2227.9192</v>
      </c>
      <c r="AI2469" s="67">
        <f t="shared" si="108"/>
        <v>1851.2</v>
      </c>
      <c r="AJ2469" s="68">
        <f t="shared" si="120"/>
        <v>296.192</v>
      </c>
      <c r="AK2469" s="68">
        <f t="shared" si="121"/>
        <v>2147.392</v>
      </c>
      <c r="AL2469" s="70"/>
      <c r="AM2469" s="70"/>
      <c r="AN2469" s="71"/>
      <c r="AO2469" s="71"/>
      <c r="AP2469" s="71"/>
      <c r="AQ2469" s="71"/>
      <c r="AR2469" s="71"/>
      <c r="AS2469" s="71"/>
      <c r="AT2469" s="71"/>
      <c r="AU2469" s="71"/>
      <c r="AV2469" s="71"/>
      <c r="AW2469" s="71"/>
      <c r="AX2469" s="71"/>
      <c r="AY2469" s="71"/>
      <c r="AZ2469" s="71"/>
      <c r="BA2469" s="71"/>
      <c r="BB2469" s="71"/>
      <c r="BC2469" s="71"/>
      <c r="BD2469" s="71"/>
      <c r="BE2469" s="71"/>
      <c r="BF2469" s="71"/>
      <c r="BG2469" s="71"/>
      <c r="BH2469" s="71"/>
      <c r="BI2469" s="71"/>
      <c r="BJ2469" s="71"/>
      <c r="BK2469" s="71"/>
      <c r="BL2469" s="71"/>
      <c r="BM2469" s="71"/>
      <c r="BN2469" s="71"/>
      <c r="BO2469" s="71"/>
      <c r="BP2469" s="71"/>
      <c r="BQ2469" s="71"/>
      <c r="BR2469" s="71"/>
      <c r="BS2469" s="71"/>
      <c r="BT2469" s="71"/>
      <c r="BU2469" s="71"/>
      <c r="BV2469" s="71"/>
    </row>
    <row r="2470">
      <c r="A2470" s="53">
        <v>1.0</v>
      </c>
      <c r="B2470" s="53"/>
      <c r="C2470" s="73" t="s">
        <v>12</v>
      </c>
      <c r="D2470" s="53" t="s">
        <v>6073</v>
      </c>
      <c r="E2470" s="54" t="s">
        <v>38</v>
      </c>
      <c r="F2470" s="54" t="s">
        <v>42</v>
      </c>
      <c r="G2470" s="54" t="s">
        <v>6074</v>
      </c>
      <c r="H2470" s="54" t="s">
        <v>6074</v>
      </c>
      <c r="I2470" s="54">
        <f t="shared" si="24"/>
        <v>29</v>
      </c>
      <c r="J2470" s="56"/>
      <c r="K2470" s="57"/>
      <c r="L2470" s="76"/>
      <c r="M2470" s="59"/>
      <c r="N2470" s="79">
        <v>300.0</v>
      </c>
      <c r="O2470" s="61">
        <v>324.0</v>
      </c>
      <c r="P2470" s="62">
        <v>412.5</v>
      </c>
      <c r="Q2470" s="63">
        <v>412.5</v>
      </c>
      <c r="R2470" s="78">
        <v>400.0</v>
      </c>
      <c r="S2470" s="111">
        <v>420.0</v>
      </c>
      <c r="T2470" s="65">
        <f t="shared" si="93"/>
        <v>67.2</v>
      </c>
      <c r="U2470" s="65">
        <f t="shared" si="94"/>
        <v>487.2</v>
      </c>
      <c r="V2470" s="66">
        <f t="shared" si="123"/>
        <v>0.05</v>
      </c>
      <c r="W2470" s="67">
        <f t="shared" si="96"/>
        <v>399</v>
      </c>
      <c r="X2470" s="67">
        <f t="shared" si="112"/>
        <v>63.84</v>
      </c>
      <c r="Y2470" s="67">
        <f t="shared" si="113"/>
        <v>462.84</v>
      </c>
      <c r="Z2470" s="67">
        <f t="shared" si="99"/>
        <v>378</v>
      </c>
      <c r="AA2470" s="67">
        <f t="shared" si="114"/>
        <v>60.48</v>
      </c>
      <c r="AB2470" s="67">
        <f t="shared" si="115"/>
        <v>438.48</v>
      </c>
      <c r="AC2470" s="67">
        <f t="shared" si="102"/>
        <v>357</v>
      </c>
      <c r="AD2470" s="67">
        <f t="shared" si="116"/>
        <v>57.12</v>
      </c>
      <c r="AE2470" s="67">
        <f t="shared" si="117"/>
        <v>414.12</v>
      </c>
      <c r="AF2470" s="67">
        <f t="shared" si="105"/>
        <v>348.6</v>
      </c>
      <c r="AG2470" s="67">
        <f t="shared" si="118"/>
        <v>55.776</v>
      </c>
      <c r="AH2470" s="67">
        <f t="shared" si="119"/>
        <v>404.376</v>
      </c>
      <c r="AI2470" s="67">
        <f t="shared" si="108"/>
        <v>336</v>
      </c>
      <c r="AJ2470" s="68">
        <f t="shared" si="120"/>
        <v>53.76</v>
      </c>
      <c r="AK2470" s="68">
        <f t="shared" si="121"/>
        <v>389.76</v>
      </c>
      <c r="AL2470" s="70"/>
      <c r="AM2470" s="70"/>
      <c r="AN2470" s="71"/>
      <c r="AO2470" s="71"/>
      <c r="AP2470" s="71"/>
      <c r="AQ2470" s="71"/>
      <c r="AR2470" s="71"/>
      <c r="AS2470" s="71"/>
      <c r="AT2470" s="71"/>
      <c r="AU2470" s="71"/>
      <c r="AV2470" s="71"/>
      <c r="AW2470" s="71"/>
      <c r="AX2470" s="71"/>
      <c r="AY2470" s="71"/>
      <c r="AZ2470" s="71"/>
      <c r="BA2470" s="71"/>
      <c r="BB2470" s="71"/>
      <c r="BC2470" s="71"/>
      <c r="BD2470" s="71"/>
      <c r="BE2470" s="71"/>
      <c r="BF2470" s="71"/>
      <c r="BG2470" s="71"/>
      <c r="BH2470" s="71"/>
      <c r="BI2470" s="71"/>
      <c r="BJ2470" s="71"/>
      <c r="BK2470" s="71"/>
      <c r="BL2470" s="71"/>
      <c r="BM2470" s="71"/>
      <c r="BN2470" s="71"/>
      <c r="BO2470" s="71"/>
      <c r="BP2470" s="71"/>
      <c r="BQ2470" s="71"/>
      <c r="BR2470" s="71"/>
      <c r="BS2470" s="71"/>
      <c r="BT2470" s="71"/>
      <c r="BU2470" s="71"/>
      <c r="BV2470" s="71"/>
    </row>
    <row r="2471">
      <c r="A2471" s="53">
        <v>1.0</v>
      </c>
      <c r="B2471" s="53"/>
      <c r="C2471" s="73" t="s">
        <v>53</v>
      </c>
      <c r="D2471" s="74" t="s">
        <v>6075</v>
      </c>
      <c r="E2471" s="54" t="s">
        <v>38</v>
      </c>
      <c r="F2471" s="54" t="s">
        <v>42</v>
      </c>
      <c r="G2471" s="154" t="s">
        <v>6076</v>
      </c>
      <c r="H2471" s="54" t="s">
        <v>6077</v>
      </c>
      <c r="I2471" s="54">
        <f t="shared" si="24"/>
        <v>19</v>
      </c>
      <c r="J2471" s="56"/>
      <c r="K2471" s="57"/>
      <c r="L2471" s="76"/>
      <c r="M2471" s="59"/>
      <c r="N2471" s="60">
        <v>87.0</v>
      </c>
      <c r="O2471" s="61">
        <v>94.0</v>
      </c>
      <c r="P2471" s="62">
        <v>101.52000000000001</v>
      </c>
      <c r="Q2471" s="63">
        <v>101.52000000000001</v>
      </c>
      <c r="R2471" s="64">
        <v>130.0</v>
      </c>
      <c r="S2471" s="111">
        <v>137.0</v>
      </c>
      <c r="T2471" s="65">
        <f t="shared" si="93"/>
        <v>21.92</v>
      </c>
      <c r="U2471" s="65">
        <f t="shared" si="94"/>
        <v>158.92</v>
      </c>
      <c r="V2471" s="66">
        <f t="shared" si="123"/>
        <v>0.05384615385</v>
      </c>
      <c r="W2471" s="67">
        <f t="shared" si="96"/>
        <v>130.15</v>
      </c>
      <c r="X2471" s="67">
        <f t="shared" si="112"/>
        <v>20.824</v>
      </c>
      <c r="Y2471" s="67">
        <f t="shared" si="113"/>
        <v>150.974</v>
      </c>
      <c r="Z2471" s="67">
        <f t="shared" si="99"/>
        <v>123.3</v>
      </c>
      <c r="AA2471" s="67">
        <f t="shared" si="114"/>
        <v>19.728</v>
      </c>
      <c r="AB2471" s="67">
        <f t="shared" si="115"/>
        <v>143.028</v>
      </c>
      <c r="AC2471" s="67">
        <f t="shared" si="102"/>
        <v>116.45</v>
      </c>
      <c r="AD2471" s="67">
        <f t="shared" si="116"/>
        <v>18.632</v>
      </c>
      <c r="AE2471" s="67">
        <f t="shared" si="117"/>
        <v>135.082</v>
      </c>
      <c r="AF2471" s="67">
        <f t="shared" si="105"/>
        <v>113.71</v>
      </c>
      <c r="AG2471" s="67">
        <f t="shared" si="118"/>
        <v>18.1936</v>
      </c>
      <c r="AH2471" s="67">
        <f t="shared" si="119"/>
        <v>131.9036</v>
      </c>
      <c r="AI2471" s="67">
        <f t="shared" si="108"/>
        <v>109.6</v>
      </c>
      <c r="AJ2471" s="68">
        <f t="shared" si="120"/>
        <v>17.536</v>
      </c>
      <c r="AK2471" s="68">
        <f t="shared" si="121"/>
        <v>127.136</v>
      </c>
      <c r="AL2471" s="70"/>
      <c r="AM2471" s="70"/>
      <c r="AN2471" s="71"/>
      <c r="AO2471" s="71"/>
      <c r="AP2471" s="71"/>
      <c r="AQ2471" s="71"/>
      <c r="AR2471" s="71"/>
      <c r="AS2471" s="71"/>
      <c r="AT2471" s="71"/>
      <c r="AU2471" s="71"/>
      <c r="AV2471" s="71"/>
      <c r="AW2471" s="71"/>
      <c r="AX2471" s="71"/>
      <c r="AY2471" s="71"/>
      <c r="AZ2471" s="71"/>
      <c r="BA2471" s="71"/>
      <c r="BB2471" s="71"/>
      <c r="BC2471" s="71"/>
      <c r="BD2471" s="71"/>
      <c r="BE2471" s="71"/>
      <c r="BF2471" s="71"/>
      <c r="BG2471" s="71"/>
      <c r="BH2471" s="71"/>
      <c r="BI2471" s="71"/>
      <c r="BJ2471" s="71"/>
      <c r="BK2471" s="71"/>
      <c r="BL2471" s="71"/>
      <c r="BM2471" s="71"/>
      <c r="BN2471" s="71"/>
      <c r="BO2471" s="71"/>
      <c r="BP2471" s="71"/>
      <c r="BQ2471" s="71"/>
      <c r="BR2471" s="71"/>
      <c r="BS2471" s="71"/>
      <c r="BT2471" s="71"/>
      <c r="BU2471" s="71"/>
      <c r="BV2471" s="71"/>
    </row>
    <row r="2472">
      <c r="A2472" s="53"/>
      <c r="B2472" s="53"/>
      <c r="C2472" s="73" t="s">
        <v>53</v>
      </c>
      <c r="D2472" s="53" t="s">
        <v>6078</v>
      </c>
      <c r="E2472" s="54" t="s">
        <v>38</v>
      </c>
      <c r="F2472" s="55" t="s">
        <v>309</v>
      </c>
      <c r="G2472" s="54" t="s">
        <v>6079</v>
      </c>
      <c r="H2472" s="55"/>
      <c r="I2472" s="54">
        <f t="shared" si="24"/>
        <v>0</v>
      </c>
      <c r="J2472" s="56"/>
      <c r="K2472" s="57"/>
      <c r="L2472" s="76"/>
      <c r="M2472" s="59"/>
      <c r="N2472" s="60"/>
      <c r="O2472" s="90">
        <v>93.0</v>
      </c>
      <c r="P2472" s="62">
        <v>100.44000000000001</v>
      </c>
      <c r="Q2472" s="63">
        <v>100.44000000000001</v>
      </c>
      <c r="R2472" s="64">
        <v>130.0</v>
      </c>
      <c r="S2472" s="111">
        <v>137.0</v>
      </c>
      <c r="T2472" s="65">
        <f t="shared" si="93"/>
        <v>21.92</v>
      </c>
      <c r="U2472" s="65">
        <f t="shared" si="94"/>
        <v>158.92</v>
      </c>
      <c r="V2472" s="66">
        <f t="shared" si="123"/>
        <v>0.05384615385</v>
      </c>
      <c r="W2472" s="67">
        <f t="shared" si="96"/>
        <v>130.15</v>
      </c>
      <c r="X2472" s="67">
        <f t="shared" si="112"/>
        <v>20.824</v>
      </c>
      <c r="Y2472" s="67">
        <f t="shared" si="113"/>
        <v>150.974</v>
      </c>
      <c r="Z2472" s="67">
        <f t="shared" si="99"/>
        <v>123.3</v>
      </c>
      <c r="AA2472" s="67">
        <f t="shared" si="114"/>
        <v>19.728</v>
      </c>
      <c r="AB2472" s="67">
        <f t="shared" si="115"/>
        <v>143.028</v>
      </c>
      <c r="AC2472" s="67">
        <f t="shared" si="102"/>
        <v>116.45</v>
      </c>
      <c r="AD2472" s="67">
        <f t="shared" si="116"/>
        <v>18.632</v>
      </c>
      <c r="AE2472" s="67">
        <f t="shared" si="117"/>
        <v>135.082</v>
      </c>
      <c r="AF2472" s="67">
        <f t="shared" si="105"/>
        <v>113.71</v>
      </c>
      <c r="AG2472" s="67">
        <f t="shared" si="118"/>
        <v>18.1936</v>
      </c>
      <c r="AH2472" s="67">
        <f t="shared" si="119"/>
        <v>131.9036</v>
      </c>
      <c r="AI2472" s="67">
        <f t="shared" si="108"/>
        <v>109.6</v>
      </c>
      <c r="AJ2472" s="68">
        <f t="shared" si="120"/>
        <v>17.536</v>
      </c>
      <c r="AK2472" s="68">
        <f t="shared" si="121"/>
        <v>127.136</v>
      </c>
      <c r="AL2472" s="70"/>
      <c r="AM2472" s="70"/>
      <c r="AN2472" s="71"/>
      <c r="AO2472" s="71"/>
      <c r="AP2472" s="71"/>
      <c r="AQ2472" s="71"/>
      <c r="AR2472" s="71"/>
      <c r="AS2472" s="71"/>
      <c r="AT2472" s="71"/>
      <c r="AU2472" s="71"/>
      <c r="AV2472" s="71"/>
      <c r="AW2472" s="71"/>
      <c r="AX2472" s="71"/>
      <c r="AY2472" s="71"/>
      <c r="AZ2472" s="71"/>
      <c r="BA2472" s="71"/>
      <c r="BB2472" s="71"/>
      <c r="BC2472" s="71"/>
      <c r="BD2472" s="71"/>
      <c r="BE2472" s="71"/>
      <c r="BF2472" s="71"/>
      <c r="BG2472" s="71"/>
      <c r="BH2472" s="71"/>
      <c r="BI2472" s="71"/>
      <c r="BJ2472" s="71"/>
      <c r="BK2472" s="71"/>
      <c r="BL2472" s="71"/>
      <c r="BM2472" s="71"/>
      <c r="BN2472" s="71"/>
      <c r="BO2472" s="71"/>
      <c r="BP2472" s="71"/>
      <c r="BQ2472" s="71"/>
      <c r="BR2472" s="71"/>
      <c r="BS2472" s="71"/>
      <c r="BT2472" s="71"/>
      <c r="BU2472" s="71"/>
      <c r="BV2472" s="71"/>
    </row>
    <row r="2473">
      <c r="A2473" s="53">
        <v>1.0</v>
      </c>
      <c r="B2473" s="53"/>
      <c r="C2473" s="73" t="s">
        <v>53</v>
      </c>
      <c r="D2473" s="74" t="s">
        <v>6080</v>
      </c>
      <c r="E2473" s="54" t="s">
        <v>38</v>
      </c>
      <c r="F2473" s="54" t="s">
        <v>42</v>
      </c>
      <c r="G2473" s="199" t="s">
        <v>6081</v>
      </c>
      <c r="H2473" s="54" t="s">
        <v>6082</v>
      </c>
      <c r="I2473" s="54">
        <f t="shared" si="24"/>
        <v>21</v>
      </c>
      <c r="J2473" s="56"/>
      <c r="K2473" s="57"/>
      <c r="L2473" s="87"/>
      <c r="M2473" s="59"/>
      <c r="N2473" s="60">
        <v>283.0</v>
      </c>
      <c r="O2473" s="61">
        <v>305.0</v>
      </c>
      <c r="P2473" s="62">
        <v>350.0</v>
      </c>
      <c r="Q2473" s="63">
        <v>350.0</v>
      </c>
      <c r="R2473" s="64">
        <v>412.0</v>
      </c>
      <c r="S2473" s="111">
        <v>433.0</v>
      </c>
      <c r="T2473" s="65">
        <f t="shared" si="93"/>
        <v>69.28</v>
      </c>
      <c r="U2473" s="65">
        <f t="shared" si="94"/>
        <v>502.28</v>
      </c>
      <c r="V2473" s="66">
        <f t="shared" si="123"/>
        <v>0.05097087379</v>
      </c>
      <c r="W2473" s="67">
        <f t="shared" si="96"/>
        <v>411.35</v>
      </c>
      <c r="X2473" s="67">
        <f t="shared" si="112"/>
        <v>65.816</v>
      </c>
      <c r="Y2473" s="67">
        <f t="shared" si="113"/>
        <v>477.166</v>
      </c>
      <c r="Z2473" s="67">
        <f t="shared" si="99"/>
        <v>389.7</v>
      </c>
      <c r="AA2473" s="67">
        <f t="shared" si="114"/>
        <v>62.352</v>
      </c>
      <c r="AB2473" s="67">
        <f t="shared" si="115"/>
        <v>452.052</v>
      </c>
      <c r="AC2473" s="67">
        <f t="shared" si="102"/>
        <v>368.05</v>
      </c>
      <c r="AD2473" s="67">
        <f t="shared" si="116"/>
        <v>58.888</v>
      </c>
      <c r="AE2473" s="67">
        <f t="shared" si="117"/>
        <v>426.938</v>
      </c>
      <c r="AF2473" s="67">
        <f t="shared" si="105"/>
        <v>359.39</v>
      </c>
      <c r="AG2473" s="67">
        <f t="shared" si="118"/>
        <v>57.5024</v>
      </c>
      <c r="AH2473" s="67">
        <f t="shared" si="119"/>
        <v>416.8924</v>
      </c>
      <c r="AI2473" s="67">
        <f t="shared" si="108"/>
        <v>346.4</v>
      </c>
      <c r="AJ2473" s="68">
        <f t="shared" si="120"/>
        <v>55.424</v>
      </c>
      <c r="AK2473" s="68">
        <f t="shared" si="121"/>
        <v>401.824</v>
      </c>
      <c r="AL2473" s="70"/>
      <c r="AM2473" s="70"/>
      <c r="AN2473" s="71"/>
      <c r="AO2473" s="71"/>
      <c r="AP2473" s="71"/>
      <c r="AQ2473" s="71"/>
      <c r="AR2473" s="71"/>
      <c r="AS2473" s="71"/>
      <c r="AT2473" s="71"/>
      <c r="AU2473" s="71"/>
      <c r="AV2473" s="71"/>
      <c r="AW2473" s="71"/>
      <c r="AX2473" s="71"/>
      <c r="AY2473" s="71"/>
      <c r="AZ2473" s="71"/>
      <c r="BA2473" s="71"/>
      <c r="BB2473" s="71"/>
      <c r="BC2473" s="71"/>
      <c r="BD2473" s="71"/>
      <c r="BE2473" s="71"/>
      <c r="BF2473" s="71"/>
      <c r="BG2473" s="71"/>
      <c r="BH2473" s="71"/>
      <c r="BI2473" s="71"/>
      <c r="BJ2473" s="71"/>
      <c r="BK2473" s="71"/>
      <c r="BL2473" s="71"/>
      <c r="BM2473" s="71"/>
      <c r="BN2473" s="71"/>
      <c r="BO2473" s="71"/>
      <c r="BP2473" s="71"/>
      <c r="BQ2473" s="71"/>
      <c r="BR2473" s="71"/>
      <c r="BS2473" s="71"/>
      <c r="BT2473" s="71"/>
      <c r="BU2473" s="71"/>
      <c r="BV2473" s="71"/>
    </row>
    <row r="2474">
      <c r="A2474" s="53">
        <v>1.0</v>
      </c>
      <c r="B2474" s="53"/>
      <c r="C2474" s="73" t="s">
        <v>53</v>
      </c>
      <c r="D2474" s="74" t="s">
        <v>6083</v>
      </c>
      <c r="E2474" s="54" t="s">
        <v>38</v>
      </c>
      <c r="F2474" s="54" t="s">
        <v>42</v>
      </c>
      <c r="G2474" s="154" t="s">
        <v>6084</v>
      </c>
      <c r="H2474" s="54" t="s">
        <v>6085</v>
      </c>
      <c r="I2474" s="54">
        <f t="shared" si="24"/>
        <v>28</v>
      </c>
      <c r="J2474" s="56"/>
      <c r="K2474" s="57"/>
      <c r="L2474" s="87"/>
      <c r="M2474" s="59"/>
      <c r="N2474" s="60">
        <v>242.0</v>
      </c>
      <c r="O2474" s="61">
        <v>261.0</v>
      </c>
      <c r="P2474" s="62">
        <v>281.88</v>
      </c>
      <c r="Q2474" s="63">
        <v>281.88</v>
      </c>
      <c r="R2474" s="64">
        <v>314.0</v>
      </c>
      <c r="S2474" s="111">
        <v>330.0</v>
      </c>
      <c r="T2474" s="65">
        <f t="shared" si="93"/>
        <v>52.8</v>
      </c>
      <c r="U2474" s="65">
        <f t="shared" si="94"/>
        <v>382.8</v>
      </c>
      <c r="V2474" s="66">
        <f t="shared" si="123"/>
        <v>0.05095541401</v>
      </c>
      <c r="W2474" s="67">
        <f t="shared" si="96"/>
        <v>313.5</v>
      </c>
      <c r="X2474" s="67">
        <f t="shared" si="112"/>
        <v>50.16</v>
      </c>
      <c r="Y2474" s="67">
        <f t="shared" si="113"/>
        <v>363.66</v>
      </c>
      <c r="Z2474" s="67">
        <f t="shared" si="99"/>
        <v>297</v>
      </c>
      <c r="AA2474" s="67">
        <f t="shared" si="114"/>
        <v>47.52</v>
      </c>
      <c r="AB2474" s="67">
        <f t="shared" si="115"/>
        <v>344.52</v>
      </c>
      <c r="AC2474" s="67">
        <f t="shared" si="102"/>
        <v>280.5</v>
      </c>
      <c r="AD2474" s="67">
        <f t="shared" si="116"/>
        <v>44.88</v>
      </c>
      <c r="AE2474" s="67">
        <f t="shared" si="117"/>
        <v>325.38</v>
      </c>
      <c r="AF2474" s="67">
        <f t="shared" si="105"/>
        <v>273.9</v>
      </c>
      <c r="AG2474" s="67">
        <f t="shared" si="118"/>
        <v>43.824</v>
      </c>
      <c r="AH2474" s="67">
        <f t="shared" si="119"/>
        <v>317.724</v>
      </c>
      <c r="AI2474" s="67">
        <f t="shared" si="108"/>
        <v>264</v>
      </c>
      <c r="AJ2474" s="68">
        <f t="shared" si="120"/>
        <v>42.24</v>
      </c>
      <c r="AK2474" s="68">
        <f t="shared" si="121"/>
        <v>306.24</v>
      </c>
      <c r="AL2474" s="70"/>
      <c r="AM2474" s="70"/>
      <c r="AN2474" s="71"/>
      <c r="AO2474" s="71"/>
      <c r="AP2474" s="71"/>
      <c r="AQ2474" s="71"/>
      <c r="AR2474" s="71"/>
      <c r="AS2474" s="71"/>
      <c r="AT2474" s="71"/>
      <c r="AU2474" s="71"/>
      <c r="AV2474" s="71"/>
      <c r="AW2474" s="71"/>
      <c r="AX2474" s="71"/>
      <c r="AY2474" s="71"/>
      <c r="AZ2474" s="71"/>
      <c r="BA2474" s="71"/>
      <c r="BB2474" s="71"/>
      <c r="BC2474" s="71"/>
      <c r="BD2474" s="71"/>
      <c r="BE2474" s="71"/>
      <c r="BF2474" s="71"/>
      <c r="BG2474" s="71"/>
      <c r="BH2474" s="71"/>
      <c r="BI2474" s="71"/>
      <c r="BJ2474" s="71"/>
      <c r="BK2474" s="71"/>
      <c r="BL2474" s="71"/>
      <c r="BM2474" s="71"/>
      <c r="BN2474" s="71"/>
      <c r="BO2474" s="71"/>
      <c r="BP2474" s="71"/>
      <c r="BQ2474" s="71"/>
      <c r="BR2474" s="71"/>
      <c r="BS2474" s="71"/>
      <c r="BT2474" s="71"/>
      <c r="BU2474" s="71"/>
      <c r="BV2474" s="71"/>
    </row>
    <row r="2475">
      <c r="A2475" s="53">
        <v>1.0</v>
      </c>
      <c r="B2475" s="53"/>
      <c r="C2475" s="53" t="s">
        <v>12</v>
      </c>
      <c r="D2475" s="53" t="s">
        <v>6086</v>
      </c>
      <c r="E2475" s="86" t="s">
        <v>38</v>
      </c>
      <c r="F2475" s="91" t="s">
        <v>42</v>
      </c>
      <c r="G2475" s="84" t="s">
        <v>6087</v>
      </c>
      <c r="H2475" s="84" t="s">
        <v>6087</v>
      </c>
      <c r="I2475" s="54">
        <f t="shared" ref="I2475:I2476" si="124">IF($D$2731="","",LEN(H2475))</f>
        <v>39</v>
      </c>
      <c r="J2475" s="56"/>
      <c r="K2475" s="57"/>
      <c r="L2475" s="200"/>
      <c r="M2475" s="59"/>
      <c r="N2475" s="93"/>
      <c r="O2475" s="61"/>
      <c r="P2475" s="90"/>
      <c r="Q2475" s="94"/>
      <c r="R2475" s="95">
        <v>380.0</v>
      </c>
      <c r="S2475" s="111">
        <v>399.0</v>
      </c>
      <c r="T2475" s="65">
        <f t="shared" si="93"/>
        <v>63.84</v>
      </c>
      <c r="U2475" s="65">
        <f t="shared" si="94"/>
        <v>462.84</v>
      </c>
      <c r="V2475" s="66">
        <f t="shared" si="123"/>
        <v>0.05</v>
      </c>
      <c r="W2475" s="67">
        <f t="shared" si="96"/>
        <v>379.05</v>
      </c>
      <c r="X2475" s="67">
        <f t="shared" si="112"/>
        <v>60.648</v>
      </c>
      <c r="Y2475" s="67">
        <f t="shared" si="113"/>
        <v>439.698</v>
      </c>
      <c r="Z2475" s="67">
        <f t="shared" si="99"/>
        <v>359.1</v>
      </c>
      <c r="AA2475" s="67">
        <f t="shared" si="114"/>
        <v>57.456</v>
      </c>
      <c r="AB2475" s="67">
        <f t="shared" si="115"/>
        <v>416.556</v>
      </c>
      <c r="AC2475" s="67">
        <f t="shared" si="102"/>
        <v>339.15</v>
      </c>
      <c r="AD2475" s="67">
        <f t="shared" si="116"/>
        <v>54.264</v>
      </c>
      <c r="AE2475" s="67">
        <f t="shared" si="117"/>
        <v>393.414</v>
      </c>
      <c r="AF2475" s="67">
        <f t="shared" si="105"/>
        <v>331.17</v>
      </c>
      <c r="AG2475" s="67">
        <f t="shared" si="118"/>
        <v>52.9872</v>
      </c>
      <c r="AH2475" s="67">
        <f t="shared" si="119"/>
        <v>384.1572</v>
      </c>
      <c r="AI2475" s="67">
        <f t="shared" si="108"/>
        <v>319.2</v>
      </c>
      <c r="AJ2475" s="96"/>
      <c r="AK2475" s="96"/>
      <c r="AL2475" s="70"/>
      <c r="AM2475" s="70"/>
      <c r="AN2475" s="71"/>
      <c r="AO2475" s="71"/>
      <c r="AP2475" s="71"/>
      <c r="AQ2475" s="71"/>
      <c r="AR2475" s="71"/>
      <c r="AS2475" s="71"/>
      <c r="AT2475" s="71"/>
      <c r="AU2475" s="71"/>
      <c r="AV2475" s="71"/>
      <c r="AW2475" s="71"/>
      <c r="AX2475" s="71"/>
      <c r="AY2475" s="71"/>
      <c r="AZ2475" s="71"/>
      <c r="BA2475" s="71"/>
      <c r="BB2475" s="71"/>
      <c r="BC2475" s="71"/>
      <c r="BD2475" s="71"/>
      <c r="BE2475" s="71"/>
      <c r="BF2475" s="71"/>
      <c r="BG2475" s="71"/>
      <c r="BH2475" s="71"/>
      <c r="BI2475" s="71"/>
      <c r="BJ2475" s="71"/>
      <c r="BK2475" s="71"/>
      <c r="BL2475" s="71"/>
      <c r="BM2475" s="71"/>
      <c r="BN2475" s="71"/>
      <c r="BO2475" s="71"/>
      <c r="BP2475" s="71"/>
      <c r="BQ2475" s="71"/>
      <c r="BR2475" s="71"/>
      <c r="BS2475" s="71"/>
      <c r="BT2475" s="71"/>
      <c r="BU2475" s="71"/>
      <c r="BV2475" s="71"/>
    </row>
    <row r="2476">
      <c r="A2476" s="53">
        <v>1.0</v>
      </c>
      <c r="B2476" s="53"/>
      <c r="C2476" s="53" t="s">
        <v>12</v>
      </c>
      <c r="D2476" s="53" t="s">
        <v>6088</v>
      </c>
      <c r="E2476" s="86" t="s">
        <v>38</v>
      </c>
      <c r="F2476" s="91" t="s">
        <v>42</v>
      </c>
      <c r="G2476" s="84" t="s">
        <v>6089</v>
      </c>
      <c r="H2476" s="84" t="s">
        <v>6089</v>
      </c>
      <c r="I2476" s="54">
        <f t="shared" si="124"/>
        <v>40</v>
      </c>
      <c r="J2476" s="56"/>
      <c r="K2476" s="57"/>
      <c r="L2476" s="200"/>
      <c r="M2476" s="59"/>
      <c r="N2476" s="93"/>
      <c r="O2476" s="61"/>
      <c r="P2476" s="90"/>
      <c r="Q2476" s="94"/>
      <c r="R2476" s="95">
        <v>380.0</v>
      </c>
      <c r="S2476" s="111">
        <v>399.0</v>
      </c>
      <c r="T2476" s="65">
        <f t="shared" si="93"/>
        <v>63.84</v>
      </c>
      <c r="U2476" s="65">
        <f t="shared" si="94"/>
        <v>462.84</v>
      </c>
      <c r="V2476" s="66">
        <f t="shared" si="123"/>
        <v>0.05</v>
      </c>
      <c r="W2476" s="67">
        <f t="shared" si="96"/>
        <v>379.05</v>
      </c>
      <c r="X2476" s="67">
        <f t="shared" si="112"/>
        <v>60.648</v>
      </c>
      <c r="Y2476" s="67">
        <f t="shared" si="113"/>
        <v>439.698</v>
      </c>
      <c r="Z2476" s="67">
        <f t="shared" si="99"/>
        <v>359.1</v>
      </c>
      <c r="AA2476" s="67">
        <f t="shared" si="114"/>
        <v>57.456</v>
      </c>
      <c r="AB2476" s="67">
        <f t="shared" si="115"/>
        <v>416.556</v>
      </c>
      <c r="AC2476" s="67">
        <f t="shared" si="102"/>
        <v>339.15</v>
      </c>
      <c r="AD2476" s="67">
        <f t="shared" si="116"/>
        <v>54.264</v>
      </c>
      <c r="AE2476" s="67">
        <f t="shared" si="117"/>
        <v>393.414</v>
      </c>
      <c r="AF2476" s="67">
        <f t="shared" si="105"/>
        <v>331.17</v>
      </c>
      <c r="AG2476" s="67">
        <f t="shared" si="118"/>
        <v>52.9872</v>
      </c>
      <c r="AH2476" s="67">
        <f t="shared" si="119"/>
        <v>384.1572</v>
      </c>
      <c r="AI2476" s="67">
        <f t="shared" si="108"/>
        <v>319.2</v>
      </c>
      <c r="AJ2476" s="96"/>
      <c r="AK2476" s="96"/>
      <c r="AL2476" s="70"/>
      <c r="AM2476" s="70"/>
      <c r="AN2476" s="71"/>
      <c r="AO2476" s="71"/>
      <c r="AP2476" s="71"/>
      <c r="AQ2476" s="71"/>
      <c r="AR2476" s="71"/>
      <c r="AS2476" s="71"/>
      <c r="AT2476" s="71"/>
      <c r="AU2476" s="71"/>
      <c r="AV2476" s="71"/>
      <c r="AW2476" s="71"/>
      <c r="AX2476" s="71"/>
      <c r="AY2476" s="71"/>
      <c r="AZ2476" s="71"/>
      <c r="BA2476" s="71"/>
      <c r="BB2476" s="71"/>
      <c r="BC2476" s="71"/>
      <c r="BD2476" s="71"/>
      <c r="BE2476" s="71"/>
      <c r="BF2476" s="71"/>
      <c r="BG2476" s="71"/>
      <c r="BH2476" s="71"/>
      <c r="BI2476" s="71"/>
      <c r="BJ2476" s="71"/>
      <c r="BK2476" s="71"/>
      <c r="BL2476" s="71"/>
      <c r="BM2476" s="71"/>
      <c r="BN2476" s="71"/>
      <c r="BO2476" s="71"/>
      <c r="BP2476" s="71"/>
      <c r="BQ2476" s="71"/>
      <c r="BR2476" s="71"/>
      <c r="BS2476" s="71"/>
      <c r="BT2476" s="71"/>
      <c r="BU2476" s="71"/>
      <c r="BV2476" s="71"/>
    </row>
    <row r="2477">
      <c r="A2477" s="53">
        <v>1.0</v>
      </c>
      <c r="B2477" s="53"/>
      <c r="C2477" s="73" t="s">
        <v>53</v>
      </c>
      <c r="D2477" s="74" t="s">
        <v>6090</v>
      </c>
      <c r="E2477" s="54" t="s">
        <v>38</v>
      </c>
      <c r="F2477" s="54" t="s">
        <v>42</v>
      </c>
      <c r="G2477" s="154" t="s">
        <v>6091</v>
      </c>
      <c r="H2477" s="54" t="s">
        <v>6092</v>
      </c>
      <c r="I2477" s="54">
        <f t="shared" ref="I2477:I2773" si="125">IF(D2477="","",LEN(H2477))</f>
        <v>22</v>
      </c>
      <c r="J2477" s="56"/>
      <c r="K2477" s="57"/>
      <c r="L2477" s="76"/>
      <c r="M2477" s="59"/>
      <c r="N2477" s="60">
        <v>87.0</v>
      </c>
      <c r="O2477" s="61">
        <v>94.0</v>
      </c>
      <c r="P2477" s="62">
        <v>101.52000000000001</v>
      </c>
      <c r="Q2477" s="63">
        <v>101.52000000000001</v>
      </c>
      <c r="R2477" s="64">
        <v>130.0</v>
      </c>
      <c r="S2477" s="111">
        <v>137.0</v>
      </c>
      <c r="T2477" s="65">
        <f t="shared" si="93"/>
        <v>21.92</v>
      </c>
      <c r="U2477" s="65">
        <f t="shared" si="94"/>
        <v>158.92</v>
      </c>
      <c r="V2477" s="66">
        <f t="shared" si="123"/>
        <v>0.05384615385</v>
      </c>
      <c r="W2477" s="67">
        <f t="shared" si="96"/>
        <v>130.15</v>
      </c>
      <c r="X2477" s="67">
        <f t="shared" si="112"/>
        <v>20.824</v>
      </c>
      <c r="Y2477" s="67">
        <f t="shared" si="113"/>
        <v>150.974</v>
      </c>
      <c r="Z2477" s="67">
        <f t="shared" si="99"/>
        <v>123.3</v>
      </c>
      <c r="AA2477" s="67">
        <f t="shared" si="114"/>
        <v>19.728</v>
      </c>
      <c r="AB2477" s="67">
        <f t="shared" si="115"/>
        <v>143.028</v>
      </c>
      <c r="AC2477" s="67">
        <f t="shared" si="102"/>
        <v>116.45</v>
      </c>
      <c r="AD2477" s="67">
        <f t="shared" si="116"/>
        <v>18.632</v>
      </c>
      <c r="AE2477" s="67">
        <f t="shared" si="117"/>
        <v>135.082</v>
      </c>
      <c r="AF2477" s="67">
        <f t="shared" si="105"/>
        <v>113.71</v>
      </c>
      <c r="AG2477" s="67">
        <f t="shared" si="118"/>
        <v>18.1936</v>
      </c>
      <c r="AH2477" s="67">
        <f t="shared" si="119"/>
        <v>131.9036</v>
      </c>
      <c r="AI2477" s="67">
        <f t="shared" si="108"/>
        <v>109.6</v>
      </c>
      <c r="AJ2477" s="68">
        <f t="shared" ref="AJ2477:AJ2737" si="126">AI2477*0.16</f>
        <v>17.536</v>
      </c>
      <c r="AK2477" s="68">
        <f t="shared" ref="AK2477:AK2737" si="127">AI2477+AJ2477</f>
        <v>127.136</v>
      </c>
      <c r="AL2477" s="70"/>
      <c r="AM2477" s="70"/>
      <c r="AN2477" s="71"/>
      <c r="AO2477" s="71"/>
      <c r="AP2477" s="71"/>
      <c r="AQ2477" s="71"/>
      <c r="AR2477" s="71"/>
      <c r="AS2477" s="71"/>
      <c r="AT2477" s="71"/>
      <c r="AU2477" s="71"/>
      <c r="AV2477" s="71"/>
      <c r="AW2477" s="71"/>
      <c r="AX2477" s="71"/>
      <c r="AY2477" s="71"/>
      <c r="AZ2477" s="71"/>
      <c r="BA2477" s="71"/>
      <c r="BB2477" s="71"/>
      <c r="BC2477" s="71"/>
      <c r="BD2477" s="71"/>
      <c r="BE2477" s="71"/>
      <c r="BF2477" s="71"/>
      <c r="BG2477" s="71"/>
      <c r="BH2477" s="71"/>
      <c r="BI2477" s="71"/>
      <c r="BJ2477" s="71"/>
      <c r="BK2477" s="71"/>
      <c r="BL2477" s="71"/>
      <c r="BM2477" s="71"/>
      <c r="BN2477" s="71"/>
      <c r="BO2477" s="71"/>
      <c r="BP2477" s="71"/>
      <c r="BQ2477" s="71"/>
      <c r="BR2477" s="71"/>
      <c r="BS2477" s="71"/>
      <c r="BT2477" s="71"/>
      <c r="BU2477" s="71"/>
      <c r="BV2477" s="71"/>
    </row>
    <row r="2478">
      <c r="A2478" s="53"/>
      <c r="B2478" s="53"/>
      <c r="C2478" s="73" t="s">
        <v>53</v>
      </c>
      <c r="D2478" s="53" t="s">
        <v>6093</v>
      </c>
      <c r="E2478" s="54" t="s">
        <v>38</v>
      </c>
      <c r="F2478" s="55" t="s">
        <v>309</v>
      </c>
      <c r="G2478" s="54" t="s">
        <v>6094</v>
      </c>
      <c r="H2478" s="55"/>
      <c r="I2478" s="54">
        <f t="shared" si="125"/>
        <v>0</v>
      </c>
      <c r="J2478" s="56"/>
      <c r="K2478" s="57"/>
      <c r="L2478" s="76"/>
      <c r="M2478" s="59"/>
      <c r="N2478" s="60"/>
      <c r="O2478" s="90">
        <v>88.0</v>
      </c>
      <c r="P2478" s="62">
        <v>95.04</v>
      </c>
      <c r="Q2478" s="63">
        <v>95.04</v>
      </c>
      <c r="R2478" s="64">
        <v>130.0</v>
      </c>
      <c r="S2478" s="111">
        <v>137.0</v>
      </c>
      <c r="T2478" s="65">
        <f t="shared" si="93"/>
        <v>21.92</v>
      </c>
      <c r="U2478" s="65">
        <f t="shared" si="94"/>
        <v>158.92</v>
      </c>
      <c r="V2478" s="66">
        <f t="shared" si="123"/>
        <v>0.05384615385</v>
      </c>
      <c r="W2478" s="67">
        <f t="shared" si="96"/>
        <v>130.15</v>
      </c>
      <c r="X2478" s="67">
        <f t="shared" si="112"/>
        <v>20.824</v>
      </c>
      <c r="Y2478" s="67">
        <f t="shared" si="113"/>
        <v>150.974</v>
      </c>
      <c r="Z2478" s="67">
        <f t="shared" si="99"/>
        <v>123.3</v>
      </c>
      <c r="AA2478" s="67">
        <f t="shared" si="114"/>
        <v>19.728</v>
      </c>
      <c r="AB2478" s="67">
        <f t="shared" si="115"/>
        <v>143.028</v>
      </c>
      <c r="AC2478" s="67">
        <f t="shared" si="102"/>
        <v>116.45</v>
      </c>
      <c r="AD2478" s="67">
        <f t="shared" si="116"/>
        <v>18.632</v>
      </c>
      <c r="AE2478" s="67">
        <f t="shared" si="117"/>
        <v>135.082</v>
      </c>
      <c r="AF2478" s="67">
        <f t="shared" si="105"/>
        <v>113.71</v>
      </c>
      <c r="AG2478" s="67">
        <f t="shared" si="118"/>
        <v>18.1936</v>
      </c>
      <c r="AH2478" s="67">
        <f t="shared" si="119"/>
        <v>131.9036</v>
      </c>
      <c r="AI2478" s="67">
        <f t="shared" si="108"/>
        <v>109.6</v>
      </c>
      <c r="AJ2478" s="68">
        <f t="shared" si="126"/>
        <v>17.536</v>
      </c>
      <c r="AK2478" s="68">
        <f t="shared" si="127"/>
        <v>127.136</v>
      </c>
      <c r="AL2478" s="70"/>
      <c r="AM2478" s="70"/>
      <c r="AN2478" s="71"/>
      <c r="AO2478" s="71"/>
      <c r="AP2478" s="71"/>
      <c r="AQ2478" s="71"/>
      <c r="AR2478" s="71"/>
      <c r="AS2478" s="71"/>
      <c r="AT2478" s="71"/>
      <c r="AU2478" s="71"/>
      <c r="AV2478" s="71"/>
      <c r="AW2478" s="71"/>
      <c r="AX2478" s="71"/>
      <c r="AY2478" s="71"/>
      <c r="AZ2478" s="71"/>
      <c r="BA2478" s="71"/>
      <c r="BB2478" s="71"/>
      <c r="BC2478" s="71"/>
      <c r="BD2478" s="71"/>
      <c r="BE2478" s="71"/>
      <c r="BF2478" s="71"/>
      <c r="BG2478" s="71"/>
      <c r="BH2478" s="71"/>
      <c r="BI2478" s="71"/>
      <c r="BJ2478" s="71"/>
      <c r="BK2478" s="71"/>
      <c r="BL2478" s="71"/>
      <c r="BM2478" s="71"/>
      <c r="BN2478" s="71"/>
      <c r="BO2478" s="71"/>
      <c r="BP2478" s="71"/>
      <c r="BQ2478" s="71"/>
      <c r="BR2478" s="71"/>
      <c r="BS2478" s="71"/>
      <c r="BT2478" s="71"/>
      <c r="BU2478" s="71"/>
      <c r="BV2478" s="71"/>
    </row>
    <row r="2479">
      <c r="A2479" s="53">
        <v>1.0</v>
      </c>
      <c r="B2479" s="53"/>
      <c r="C2479" s="73" t="s">
        <v>53</v>
      </c>
      <c r="D2479" s="74" t="s">
        <v>6095</v>
      </c>
      <c r="E2479" s="54" t="s">
        <v>38</v>
      </c>
      <c r="F2479" s="54" t="s">
        <v>42</v>
      </c>
      <c r="G2479" s="154" t="s">
        <v>6096</v>
      </c>
      <c r="H2479" s="54" t="s">
        <v>6097</v>
      </c>
      <c r="I2479" s="54">
        <f t="shared" si="125"/>
        <v>27</v>
      </c>
      <c r="J2479" s="56"/>
      <c r="K2479" s="57"/>
      <c r="L2479" s="87"/>
      <c r="M2479" s="59"/>
      <c r="N2479" s="60">
        <v>283.0</v>
      </c>
      <c r="O2479" s="61">
        <v>305.0</v>
      </c>
      <c r="P2479" s="62">
        <v>350.0</v>
      </c>
      <c r="Q2479" s="63">
        <v>350.0</v>
      </c>
      <c r="R2479" s="64">
        <v>412.0</v>
      </c>
      <c r="S2479" s="111">
        <v>433.0</v>
      </c>
      <c r="T2479" s="65">
        <f t="shared" si="93"/>
        <v>69.28</v>
      </c>
      <c r="U2479" s="65">
        <f t="shared" si="94"/>
        <v>502.28</v>
      </c>
      <c r="V2479" s="66">
        <f t="shared" si="123"/>
        <v>0.05097087379</v>
      </c>
      <c r="W2479" s="67">
        <f t="shared" si="96"/>
        <v>411.35</v>
      </c>
      <c r="X2479" s="67">
        <f t="shared" si="112"/>
        <v>65.816</v>
      </c>
      <c r="Y2479" s="67">
        <f t="shared" si="113"/>
        <v>477.166</v>
      </c>
      <c r="Z2479" s="67">
        <f t="shared" si="99"/>
        <v>389.7</v>
      </c>
      <c r="AA2479" s="67">
        <f t="shared" si="114"/>
        <v>62.352</v>
      </c>
      <c r="AB2479" s="67">
        <f t="shared" si="115"/>
        <v>452.052</v>
      </c>
      <c r="AC2479" s="67">
        <f t="shared" si="102"/>
        <v>368.05</v>
      </c>
      <c r="AD2479" s="67">
        <f t="shared" si="116"/>
        <v>58.888</v>
      </c>
      <c r="AE2479" s="67">
        <f t="shared" si="117"/>
        <v>426.938</v>
      </c>
      <c r="AF2479" s="67">
        <f t="shared" si="105"/>
        <v>359.39</v>
      </c>
      <c r="AG2479" s="67">
        <f t="shared" si="118"/>
        <v>57.5024</v>
      </c>
      <c r="AH2479" s="67">
        <f t="shared" si="119"/>
        <v>416.8924</v>
      </c>
      <c r="AI2479" s="67">
        <f t="shared" si="108"/>
        <v>346.4</v>
      </c>
      <c r="AJ2479" s="68">
        <f t="shared" si="126"/>
        <v>55.424</v>
      </c>
      <c r="AK2479" s="68">
        <f t="shared" si="127"/>
        <v>401.824</v>
      </c>
      <c r="AL2479" s="70"/>
      <c r="AM2479" s="70"/>
      <c r="AN2479" s="71"/>
      <c r="AO2479" s="71"/>
      <c r="AP2479" s="71"/>
      <c r="AQ2479" s="71"/>
      <c r="AR2479" s="71"/>
      <c r="AS2479" s="71"/>
      <c r="AT2479" s="71"/>
      <c r="AU2479" s="71"/>
      <c r="AV2479" s="71"/>
      <c r="AW2479" s="71"/>
      <c r="AX2479" s="71"/>
      <c r="AY2479" s="71"/>
      <c r="AZ2479" s="71"/>
      <c r="BA2479" s="71"/>
      <c r="BB2479" s="71"/>
      <c r="BC2479" s="71"/>
      <c r="BD2479" s="71"/>
      <c r="BE2479" s="71"/>
      <c r="BF2479" s="71"/>
      <c r="BG2479" s="71"/>
      <c r="BH2479" s="71"/>
      <c r="BI2479" s="71"/>
      <c r="BJ2479" s="71"/>
      <c r="BK2479" s="71"/>
      <c r="BL2479" s="71"/>
      <c r="BM2479" s="71"/>
      <c r="BN2479" s="71"/>
      <c r="BO2479" s="71"/>
      <c r="BP2479" s="71"/>
      <c r="BQ2479" s="71"/>
      <c r="BR2479" s="71"/>
      <c r="BS2479" s="71"/>
      <c r="BT2479" s="71"/>
      <c r="BU2479" s="71"/>
      <c r="BV2479" s="71"/>
    </row>
    <row r="2480">
      <c r="A2480" s="53">
        <v>1.0</v>
      </c>
      <c r="B2480" s="53"/>
      <c r="C2480" s="73" t="s">
        <v>53</v>
      </c>
      <c r="D2480" s="74" t="s">
        <v>6098</v>
      </c>
      <c r="E2480" s="54" t="s">
        <v>38</v>
      </c>
      <c r="F2480" s="54" t="s">
        <v>42</v>
      </c>
      <c r="G2480" s="154" t="s">
        <v>6099</v>
      </c>
      <c r="H2480" s="54" t="s">
        <v>6100</v>
      </c>
      <c r="I2480" s="54">
        <f t="shared" si="125"/>
        <v>30</v>
      </c>
      <c r="J2480" s="56"/>
      <c r="K2480" s="57"/>
      <c r="L2480" s="87"/>
      <c r="M2480" s="59"/>
      <c r="N2480" s="60">
        <v>242.0</v>
      </c>
      <c r="O2480" s="61">
        <v>261.0</v>
      </c>
      <c r="P2480" s="62">
        <v>281.88</v>
      </c>
      <c r="Q2480" s="63">
        <v>281.88</v>
      </c>
      <c r="R2480" s="64">
        <v>314.0</v>
      </c>
      <c r="S2480" s="111">
        <v>330.0</v>
      </c>
      <c r="T2480" s="65">
        <f t="shared" si="93"/>
        <v>52.8</v>
      </c>
      <c r="U2480" s="65">
        <f t="shared" si="94"/>
        <v>382.8</v>
      </c>
      <c r="V2480" s="66">
        <f t="shared" si="123"/>
        <v>0.05095541401</v>
      </c>
      <c r="W2480" s="67">
        <f t="shared" si="96"/>
        <v>313.5</v>
      </c>
      <c r="X2480" s="67">
        <f t="shared" si="112"/>
        <v>50.16</v>
      </c>
      <c r="Y2480" s="67">
        <f t="shared" si="113"/>
        <v>363.66</v>
      </c>
      <c r="Z2480" s="67">
        <f t="shared" si="99"/>
        <v>297</v>
      </c>
      <c r="AA2480" s="67">
        <f t="shared" si="114"/>
        <v>47.52</v>
      </c>
      <c r="AB2480" s="67">
        <f t="shared" si="115"/>
        <v>344.52</v>
      </c>
      <c r="AC2480" s="67">
        <f t="shared" si="102"/>
        <v>280.5</v>
      </c>
      <c r="AD2480" s="67">
        <f t="shared" si="116"/>
        <v>44.88</v>
      </c>
      <c r="AE2480" s="67">
        <f t="shared" si="117"/>
        <v>325.38</v>
      </c>
      <c r="AF2480" s="67">
        <f t="shared" si="105"/>
        <v>273.9</v>
      </c>
      <c r="AG2480" s="67">
        <f t="shared" si="118"/>
        <v>43.824</v>
      </c>
      <c r="AH2480" s="67">
        <f t="shared" si="119"/>
        <v>317.724</v>
      </c>
      <c r="AI2480" s="67">
        <f t="shared" si="108"/>
        <v>264</v>
      </c>
      <c r="AJ2480" s="68">
        <f t="shared" si="126"/>
        <v>42.24</v>
      </c>
      <c r="AK2480" s="68">
        <f t="shared" si="127"/>
        <v>306.24</v>
      </c>
      <c r="AL2480" s="70"/>
      <c r="AM2480" s="70"/>
      <c r="AN2480" s="71"/>
      <c r="AO2480" s="71"/>
      <c r="AP2480" s="71"/>
      <c r="AQ2480" s="71"/>
      <c r="AR2480" s="71"/>
      <c r="AS2480" s="71"/>
      <c r="AT2480" s="71"/>
      <c r="AU2480" s="71"/>
      <c r="AV2480" s="71"/>
      <c r="AW2480" s="71"/>
      <c r="AX2480" s="71"/>
      <c r="AY2480" s="71"/>
      <c r="AZ2480" s="71"/>
      <c r="BA2480" s="71"/>
      <c r="BB2480" s="71"/>
      <c r="BC2480" s="71"/>
      <c r="BD2480" s="71"/>
      <c r="BE2480" s="71"/>
      <c r="BF2480" s="71"/>
      <c r="BG2480" s="71"/>
      <c r="BH2480" s="71"/>
      <c r="BI2480" s="71"/>
      <c r="BJ2480" s="71"/>
      <c r="BK2480" s="71"/>
      <c r="BL2480" s="71"/>
      <c r="BM2480" s="71"/>
      <c r="BN2480" s="71"/>
      <c r="BO2480" s="71"/>
      <c r="BP2480" s="71"/>
      <c r="BQ2480" s="71"/>
      <c r="BR2480" s="71"/>
      <c r="BS2480" s="71"/>
      <c r="BT2480" s="71"/>
      <c r="BU2480" s="71"/>
      <c r="BV2480" s="71"/>
    </row>
    <row r="2481">
      <c r="A2481" s="53">
        <v>1.0</v>
      </c>
      <c r="B2481" s="53"/>
      <c r="C2481" s="53" t="s">
        <v>12</v>
      </c>
      <c r="D2481" s="53" t="s">
        <v>6101</v>
      </c>
      <c r="E2481" s="86" t="s">
        <v>38</v>
      </c>
      <c r="F2481" s="91" t="s">
        <v>42</v>
      </c>
      <c r="G2481" s="84" t="s">
        <v>6102</v>
      </c>
      <c r="H2481" s="84" t="s">
        <v>6103</v>
      </c>
      <c r="I2481" s="54">
        <f t="shared" si="125"/>
        <v>20</v>
      </c>
      <c r="J2481" s="56"/>
      <c r="K2481" s="57"/>
      <c r="L2481" s="76"/>
      <c r="M2481" s="59"/>
      <c r="N2481" s="60"/>
      <c r="O2481" s="90"/>
      <c r="P2481" s="62">
        <v>260.0</v>
      </c>
      <c r="Q2481" s="63">
        <v>260.0</v>
      </c>
      <c r="R2481" s="64">
        <v>562.0</v>
      </c>
      <c r="S2481" s="111">
        <v>590.0</v>
      </c>
      <c r="T2481" s="65">
        <f t="shared" si="93"/>
        <v>94.4</v>
      </c>
      <c r="U2481" s="65">
        <f t="shared" si="94"/>
        <v>684.4</v>
      </c>
      <c r="V2481" s="66">
        <f t="shared" si="123"/>
        <v>0.04982206406</v>
      </c>
      <c r="W2481" s="67">
        <f t="shared" si="96"/>
        <v>560.5</v>
      </c>
      <c r="X2481" s="67">
        <f t="shared" si="112"/>
        <v>89.68</v>
      </c>
      <c r="Y2481" s="67">
        <f t="shared" si="113"/>
        <v>650.18</v>
      </c>
      <c r="Z2481" s="67">
        <f t="shared" si="99"/>
        <v>531</v>
      </c>
      <c r="AA2481" s="67">
        <f t="shared" si="114"/>
        <v>84.96</v>
      </c>
      <c r="AB2481" s="67">
        <f t="shared" si="115"/>
        <v>615.96</v>
      </c>
      <c r="AC2481" s="67">
        <f t="shared" si="102"/>
        <v>501.5</v>
      </c>
      <c r="AD2481" s="67">
        <f t="shared" si="116"/>
        <v>80.24</v>
      </c>
      <c r="AE2481" s="67">
        <f t="shared" si="117"/>
        <v>581.74</v>
      </c>
      <c r="AF2481" s="67">
        <f t="shared" si="105"/>
        <v>489.7</v>
      </c>
      <c r="AG2481" s="67">
        <f t="shared" si="118"/>
        <v>78.352</v>
      </c>
      <c r="AH2481" s="67">
        <f t="shared" si="119"/>
        <v>568.052</v>
      </c>
      <c r="AI2481" s="67">
        <f t="shared" si="108"/>
        <v>472</v>
      </c>
      <c r="AJ2481" s="68">
        <f t="shared" si="126"/>
        <v>75.52</v>
      </c>
      <c r="AK2481" s="68">
        <f t="shared" si="127"/>
        <v>547.52</v>
      </c>
      <c r="AL2481" s="70"/>
      <c r="AM2481" s="70"/>
      <c r="AN2481" s="71"/>
      <c r="AO2481" s="71"/>
      <c r="AP2481" s="71"/>
      <c r="AQ2481" s="71"/>
      <c r="AR2481" s="71"/>
      <c r="AS2481" s="71"/>
      <c r="AT2481" s="71"/>
      <c r="AU2481" s="71"/>
      <c r="AV2481" s="71"/>
      <c r="AW2481" s="71"/>
      <c r="AX2481" s="71"/>
      <c r="AY2481" s="71"/>
      <c r="AZ2481" s="71"/>
      <c r="BA2481" s="71"/>
      <c r="BB2481" s="71"/>
      <c r="BC2481" s="71"/>
      <c r="BD2481" s="71"/>
      <c r="BE2481" s="71"/>
      <c r="BF2481" s="71"/>
      <c r="BG2481" s="71"/>
      <c r="BH2481" s="71"/>
      <c r="BI2481" s="71"/>
      <c r="BJ2481" s="71"/>
      <c r="BK2481" s="71"/>
      <c r="BL2481" s="71"/>
      <c r="BM2481" s="71"/>
      <c r="BN2481" s="71"/>
      <c r="BO2481" s="71"/>
      <c r="BP2481" s="71"/>
      <c r="BQ2481" s="71"/>
      <c r="BR2481" s="71"/>
      <c r="BS2481" s="71"/>
      <c r="BT2481" s="71"/>
      <c r="BU2481" s="71"/>
      <c r="BV2481" s="71"/>
    </row>
    <row r="2482">
      <c r="A2482" s="53"/>
      <c r="B2482" s="53">
        <v>3.0</v>
      </c>
      <c r="C2482" s="53" t="s">
        <v>36</v>
      </c>
      <c r="D2482" s="120" t="s">
        <v>6104</v>
      </c>
      <c r="E2482" s="54" t="s">
        <v>38</v>
      </c>
      <c r="F2482" s="55" t="s">
        <v>187</v>
      </c>
      <c r="G2482" s="139" t="s">
        <v>6105</v>
      </c>
      <c r="H2482" s="55"/>
      <c r="I2482" s="54">
        <f t="shared" si="125"/>
        <v>0</v>
      </c>
      <c r="J2482" s="56"/>
      <c r="K2482" s="57"/>
      <c r="L2482" s="76"/>
      <c r="M2482" s="59"/>
      <c r="N2482" s="60"/>
      <c r="O2482" s="61">
        <v>13874.0</v>
      </c>
      <c r="P2482" s="62">
        <v>14983.920000000002</v>
      </c>
      <c r="Q2482" s="63">
        <v>14983.920000000002</v>
      </c>
      <c r="R2482" s="64">
        <v>16520.0</v>
      </c>
      <c r="S2482" s="107">
        <v>17346.0</v>
      </c>
      <c r="T2482" s="65">
        <f t="shared" si="93"/>
        <v>2775.36</v>
      </c>
      <c r="U2482" s="65">
        <f t="shared" si="94"/>
        <v>20121.36</v>
      </c>
      <c r="V2482" s="66">
        <f t="shared" si="123"/>
        <v>0.05</v>
      </c>
      <c r="W2482" s="67">
        <f t="shared" si="96"/>
        <v>16478.7</v>
      </c>
      <c r="X2482" s="67">
        <f t="shared" si="112"/>
        <v>2636.592</v>
      </c>
      <c r="Y2482" s="67">
        <f t="shared" si="113"/>
        <v>19115.292</v>
      </c>
      <c r="Z2482" s="67">
        <f t="shared" si="99"/>
        <v>15611.4</v>
      </c>
      <c r="AA2482" s="67">
        <f t="shared" si="114"/>
        <v>2497.824</v>
      </c>
      <c r="AB2482" s="67">
        <f t="shared" si="115"/>
        <v>18109.224</v>
      </c>
      <c r="AC2482" s="67">
        <f t="shared" si="102"/>
        <v>15611.4</v>
      </c>
      <c r="AD2482" s="67">
        <f t="shared" si="116"/>
        <v>2497.824</v>
      </c>
      <c r="AE2482" s="67">
        <f t="shared" si="117"/>
        <v>18109.224</v>
      </c>
      <c r="AF2482" s="67">
        <f t="shared" si="105"/>
        <v>15611.4</v>
      </c>
      <c r="AG2482" s="67">
        <f t="shared" si="118"/>
        <v>2497.824</v>
      </c>
      <c r="AH2482" s="67">
        <f t="shared" si="119"/>
        <v>18109.224</v>
      </c>
      <c r="AI2482" s="67">
        <f t="shared" si="108"/>
        <v>15611.4</v>
      </c>
      <c r="AJ2482" s="68">
        <f t="shared" si="126"/>
        <v>2497.824</v>
      </c>
      <c r="AK2482" s="68">
        <f t="shared" si="127"/>
        <v>18109.224</v>
      </c>
      <c r="AL2482" s="70"/>
      <c r="AM2482" s="70"/>
      <c r="AN2482" s="71"/>
      <c r="AO2482" s="71"/>
      <c r="AP2482" s="71"/>
      <c r="AQ2482" s="71"/>
      <c r="AR2482" s="71"/>
      <c r="AS2482" s="71"/>
      <c r="AT2482" s="71"/>
      <c r="AU2482" s="71"/>
      <c r="AV2482" s="71"/>
      <c r="AW2482" s="71"/>
      <c r="AX2482" s="71"/>
      <c r="AY2482" s="71"/>
      <c r="AZ2482" s="71"/>
      <c r="BA2482" s="71"/>
      <c r="BB2482" s="71"/>
      <c r="BC2482" s="71"/>
      <c r="BD2482" s="71"/>
      <c r="BE2482" s="71"/>
      <c r="BF2482" s="71"/>
      <c r="BG2482" s="71"/>
      <c r="BH2482" s="71"/>
      <c r="BI2482" s="71"/>
      <c r="BJ2482" s="71"/>
      <c r="BK2482" s="71"/>
      <c r="BL2482" s="71"/>
      <c r="BM2482" s="71"/>
      <c r="BN2482" s="71"/>
      <c r="BO2482" s="71"/>
      <c r="BP2482" s="71"/>
      <c r="BQ2482" s="71"/>
      <c r="BR2482" s="71"/>
      <c r="BS2482" s="71"/>
      <c r="BT2482" s="71"/>
      <c r="BU2482" s="71"/>
      <c r="BV2482" s="71"/>
    </row>
    <row r="2483">
      <c r="A2483" s="53"/>
      <c r="B2483" s="53">
        <v>3.0</v>
      </c>
      <c r="C2483" s="53" t="s">
        <v>36</v>
      </c>
      <c r="D2483" s="120" t="s">
        <v>6106</v>
      </c>
      <c r="E2483" s="54" t="s">
        <v>38</v>
      </c>
      <c r="F2483" s="55" t="s">
        <v>187</v>
      </c>
      <c r="G2483" s="138" t="s">
        <v>6107</v>
      </c>
      <c r="H2483" s="55"/>
      <c r="I2483" s="54">
        <f t="shared" si="125"/>
        <v>0</v>
      </c>
      <c r="J2483" s="56"/>
      <c r="K2483" s="57"/>
      <c r="L2483" s="76"/>
      <c r="M2483" s="59"/>
      <c r="N2483" s="60"/>
      <c r="O2483" s="61">
        <v>19735.0</v>
      </c>
      <c r="P2483" s="62">
        <v>21313.800000000003</v>
      </c>
      <c r="Q2483" s="63">
        <v>21313.800000000003</v>
      </c>
      <c r="R2483" s="64">
        <v>23499.0</v>
      </c>
      <c r="S2483" s="107">
        <v>24674.0</v>
      </c>
      <c r="T2483" s="65">
        <f t="shared" si="93"/>
        <v>3947.84</v>
      </c>
      <c r="U2483" s="65">
        <f t="shared" si="94"/>
        <v>28621.84</v>
      </c>
      <c r="V2483" s="66">
        <f t="shared" si="123"/>
        <v>0.05000212775</v>
      </c>
      <c r="W2483" s="67">
        <f t="shared" si="96"/>
        <v>23440.3</v>
      </c>
      <c r="X2483" s="67">
        <f t="shared" si="112"/>
        <v>3750.448</v>
      </c>
      <c r="Y2483" s="67">
        <f t="shared" si="113"/>
        <v>27190.748</v>
      </c>
      <c r="Z2483" s="67">
        <f t="shared" si="99"/>
        <v>22206.6</v>
      </c>
      <c r="AA2483" s="67">
        <f t="shared" si="114"/>
        <v>3553.056</v>
      </c>
      <c r="AB2483" s="67">
        <f t="shared" si="115"/>
        <v>25759.656</v>
      </c>
      <c r="AC2483" s="67">
        <f t="shared" si="102"/>
        <v>22206.6</v>
      </c>
      <c r="AD2483" s="67">
        <f t="shared" si="116"/>
        <v>3553.056</v>
      </c>
      <c r="AE2483" s="67">
        <f t="shared" si="117"/>
        <v>25759.656</v>
      </c>
      <c r="AF2483" s="67">
        <f t="shared" si="105"/>
        <v>22206.6</v>
      </c>
      <c r="AG2483" s="67">
        <f t="shared" si="118"/>
        <v>3553.056</v>
      </c>
      <c r="AH2483" s="67">
        <f t="shared" si="119"/>
        <v>25759.656</v>
      </c>
      <c r="AI2483" s="67">
        <f t="shared" si="108"/>
        <v>22206.6</v>
      </c>
      <c r="AJ2483" s="68">
        <f t="shared" si="126"/>
        <v>3553.056</v>
      </c>
      <c r="AK2483" s="68">
        <f t="shared" si="127"/>
        <v>25759.656</v>
      </c>
      <c r="AL2483" s="70"/>
      <c r="AM2483" s="70"/>
      <c r="AN2483" s="71"/>
      <c r="AO2483" s="71"/>
      <c r="AP2483" s="71"/>
      <c r="AQ2483" s="71"/>
      <c r="AR2483" s="71"/>
      <c r="AS2483" s="71"/>
      <c r="AT2483" s="71"/>
      <c r="AU2483" s="71"/>
      <c r="AV2483" s="71"/>
      <c r="AW2483" s="71"/>
      <c r="AX2483" s="71"/>
      <c r="AY2483" s="71"/>
      <c r="AZ2483" s="71"/>
      <c r="BA2483" s="71"/>
      <c r="BB2483" s="71"/>
      <c r="BC2483" s="71"/>
      <c r="BD2483" s="71"/>
      <c r="BE2483" s="71"/>
      <c r="BF2483" s="71"/>
      <c r="BG2483" s="71"/>
      <c r="BH2483" s="71"/>
      <c r="BI2483" s="71"/>
      <c r="BJ2483" s="71"/>
      <c r="BK2483" s="71"/>
      <c r="BL2483" s="71"/>
      <c r="BM2483" s="71"/>
      <c r="BN2483" s="71"/>
      <c r="BO2483" s="71"/>
      <c r="BP2483" s="71"/>
      <c r="BQ2483" s="71"/>
      <c r="BR2483" s="71"/>
      <c r="BS2483" s="71"/>
      <c r="BT2483" s="71"/>
      <c r="BU2483" s="71"/>
      <c r="BV2483" s="71"/>
    </row>
    <row r="2484">
      <c r="A2484" s="53"/>
      <c r="B2484" s="53">
        <v>3.0</v>
      </c>
      <c r="C2484" s="53" t="s">
        <v>36</v>
      </c>
      <c r="D2484" s="120" t="s">
        <v>6108</v>
      </c>
      <c r="E2484" s="54" t="s">
        <v>38</v>
      </c>
      <c r="F2484" s="55" t="s">
        <v>187</v>
      </c>
      <c r="G2484" s="138" t="s">
        <v>6109</v>
      </c>
      <c r="H2484" s="55"/>
      <c r="I2484" s="54">
        <f t="shared" si="125"/>
        <v>0</v>
      </c>
      <c r="J2484" s="56"/>
      <c r="K2484" s="57"/>
      <c r="L2484" s="76"/>
      <c r="M2484" s="59"/>
      <c r="N2484" s="60"/>
      <c r="O2484" s="61">
        <v>17487.0</v>
      </c>
      <c r="P2484" s="62">
        <v>18885.960000000003</v>
      </c>
      <c r="Q2484" s="63">
        <v>18885.960000000003</v>
      </c>
      <c r="R2484" s="64">
        <v>20822.0</v>
      </c>
      <c r="S2484" s="107">
        <v>21863.0</v>
      </c>
      <c r="T2484" s="65">
        <f t="shared" si="93"/>
        <v>3498.08</v>
      </c>
      <c r="U2484" s="65">
        <f t="shared" si="94"/>
        <v>25361.08</v>
      </c>
      <c r="V2484" s="66">
        <f t="shared" si="123"/>
        <v>0.04999519739</v>
      </c>
      <c r="W2484" s="67">
        <f t="shared" si="96"/>
        <v>20769.85</v>
      </c>
      <c r="X2484" s="67">
        <f t="shared" si="112"/>
        <v>3323.176</v>
      </c>
      <c r="Y2484" s="67">
        <f t="shared" si="113"/>
        <v>24093.026</v>
      </c>
      <c r="Z2484" s="67">
        <f t="shared" si="99"/>
        <v>19676.7</v>
      </c>
      <c r="AA2484" s="67">
        <f t="shared" si="114"/>
        <v>3148.272</v>
      </c>
      <c r="AB2484" s="67">
        <f t="shared" si="115"/>
        <v>22824.972</v>
      </c>
      <c r="AC2484" s="67">
        <f t="shared" si="102"/>
        <v>19676.7</v>
      </c>
      <c r="AD2484" s="67">
        <f t="shared" si="116"/>
        <v>3148.272</v>
      </c>
      <c r="AE2484" s="67">
        <f t="shared" si="117"/>
        <v>22824.972</v>
      </c>
      <c r="AF2484" s="67">
        <f t="shared" si="105"/>
        <v>19676.7</v>
      </c>
      <c r="AG2484" s="67">
        <f t="shared" si="118"/>
        <v>3148.272</v>
      </c>
      <c r="AH2484" s="67">
        <f t="shared" si="119"/>
        <v>22824.972</v>
      </c>
      <c r="AI2484" s="67">
        <f t="shared" si="108"/>
        <v>19676.7</v>
      </c>
      <c r="AJ2484" s="68">
        <f t="shared" si="126"/>
        <v>3148.272</v>
      </c>
      <c r="AK2484" s="68">
        <f t="shared" si="127"/>
        <v>22824.972</v>
      </c>
      <c r="AL2484" s="70"/>
      <c r="AM2484" s="70"/>
      <c r="AN2484" s="71"/>
      <c r="AO2484" s="71"/>
      <c r="AP2484" s="71"/>
      <c r="AQ2484" s="71"/>
      <c r="AR2484" s="71"/>
      <c r="AS2484" s="71"/>
      <c r="AT2484" s="71"/>
      <c r="AU2484" s="71"/>
      <c r="AV2484" s="71"/>
      <c r="AW2484" s="71"/>
      <c r="AX2484" s="71"/>
      <c r="AY2484" s="71"/>
      <c r="AZ2484" s="71"/>
      <c r="BA2484" s="71"/>
      <c r="BB2484" s="71"/>
      <c r="BC2484" s="71"/>
      <c r="BD2484" s="71"/>
      <c r="BE2484" s="71"/>
      <c r="BF2484" s="71"/>
      <c r="BG2484" s="71"/>
      <c r="BH2484" s="71"/>
      <c r="BI2484" s="71"/>
      <c r="BJ2484" s="71"/>
      <c r="BK2484" s="71"/>
      <c r="BL2484" s="71"/>
      <c r="BM2484" s="71"/>
      <c r="BN2484" s="71"/>
      <c r="BO2484" s="71"/>
      <c r="BP2484" s="71"/>
      <c r="BQ2484" s="71"/>
      <c r="BR2484" s="71"/>
      <c r="BS2484" s="71"/>
      <c r="BT2484" s="71"/>
      <c r="BU2484" s="71"/>
      <c r="BV2484" s="71"/>
    </row>
    <row r="2485">
      <c r="A2485" s="53"/>
      <c r="B2485" s="53"/>
      <c r="C2485" s="53" t="s">
        <v>53</v>
      </c>
      <c r="D2485" s="53" t="s">
        <v>6110</v>
      </c>
      <c r="E2485" s="54" t="s">
        <v>38</v>
      </c>
      <c r="F2485" s="54" t="s">
        <v>42</v>
      </c>
      <c r="G2485" s="55" t="s">
        <v>6111</v>
      </c>
      <c r="H2485" s="55" t="s">
        <v>6111</v>
      </c>
      <c r="I2485" s="54">
        <f t="shared" si="125"/>
        <v>34</v>
      </c>
      <c r="J2485" s="56"/>
      <c r="K2485" s="57"/>
      <c r="L2485" s="76"/>
      <c r="M2485" s="59"/>
      <c r="N2485" s="60"/>
      <c r="O2485" s="61">
        <v>1502.0</v>
      </c>
      <c r="P2485" s="62">
        <v>1622.16</v>
      </c>
      <c r="Q2485" s="63">
        <v>1622.16</v>
      </c>
      <c r="R2485" s="64">
        <v>1704.0</v>
      </c>
      <c r="S2485" s="111">
        <v>1789.0</v>
      </c>
      <c r="T2485" s="65">
        <f t="shared" si="93"/>
        <v>286.24</v>
      </c>
      <c r="U2485" s="65">
        <f t="shared" si="94"/>
        <v>2075.24</v>
      </c>
      <c r="V2485" s="66">
        <f t="shared" si="123"/>
        <v>0.04988262911</v>
      </c>
      <c r="W2485" s="67">
        <f t="shared" si="96"/>
        <v>1699.55</v>
      </c>
      <c r="X2485" s="67">
        <f t="shared" si="112"/>
        <v>271.928</v>
      </c>
      <c r="Y2485" s="67">
        <f t="shared" si="113"/>
        <v>1971.478</v>
      </c>
      <c r="Z2485" s="67">
        <f t="shared" si="99"/>
        <v>1610.1</v>
      </c>
      <c r="AA2485" s="67">
        <f t="shared" si="114"/>
        <v>257.616</v>
      </c>
      <c r="AB2485" s="67">
        <f t="shared" si="115"/>
        <v>1867.716</v>
      </c>
      <c r="AC2485" s="67">
        <f t="shared" si="102"/>
        <v>1520.65</v>
      </c>
      <c r="AD2485" s="67">
        <f t="shared" si="116"/>
        <v>243.304</v>
      </c>
      <c r="AE2485" s="67">
        <f t="shared" si="117"/>
        <v>1763.954</v>
      </c>
      <c r="AF2485" s="67">
        <f t="shared" si="105"/>
        <v>1484.87</v>
      </c>
      <c r="AG2485" s="67">
        <f t="shared" si="118"/>
        <v>237.5792</v>
      </c>
      <c r="AH2485" s="67">
        <f t="shared" si="119"/>
        <v>1722.4492</v>
      </c>
      <c r="AI2485" s="67">
        <f t="shared" si="108"/>
        <v>1431.2</v>
      </c>
      <c r="AJ2485" s="68">
        <f t="shared" si="126"/>
        <v>228.992</v>
      </c>
      <c r="AK2485" s="68">
        <f t="shared" si="127"/>
        <v>1660.192</v>
      </c>
      <c r="AL2485" s="70"/>
      <c r="AM2485" s="70"/>
      <c r="AN2485" s="71"/>
      <c r="AO2485" s="71"/>
      <c r="AP2485" s="71"/>
      <c r="AQ2485" s="71"/>
      <c r="AR2485" s="71"/>
      <c r="AS2485" s="71"/>
      <c r="AT2485" s="71"/>
      <c r="AU2485" s="71"/>
      <c r="AV2485" s="71"/>
      <c r="AW2485" s="71"/>
      <c r="AX2485" s="71"/>
      <c r="AY2485" s="71"/>
      <c r="AZ2485" s="71"/>
      <c r="BA2485" s="71"/>
      <c r="BB2485" s="71"/>
      <c r="BC2485" s="71"/>
      <c r="BD2485" s="71"/>
      <c r="BE2485" s="71"/>
      <c r="BF2485" s="71"/>
      <c r="BG2485" s="71"/>
      <c r="BH2485" s="71"/>
      <c r="BI2485" s="71"/>
      <c r="BJ2485" s="71"/>
      <c r="BK2485" s="71"/>
      <c r="BL2485" s="71"/>
      <c r="BM2485" s="71"/>
      <c r="BN2485" s="71"/>
      <c r="BO2485" s="71"/>
      <c r="BP2485" s="71"/>
      <c r="BQ2485" s="71"/>
      <c r="BR2485" s="71"/>
      <c r="BS2485" s="71"/>
      <c r="BT2485" s="71"/>
      <c r="BU2485" s="71"/>
      <c r="BV2485" s="71"/>
    </row>
    <row r="2486">
      <c r="A2486" s="53"/>
      <c r="B2486" s="53"/>
      <c r="C2486" s="73" t="s">
        <v>53</v>
      </c>
      <c r="D2486" s="53" t="s">
        <v>6112</v>
      </c>
      <c r="E2486" s="54" t="s">
        <v>38</v>
      </c>
      <c r="F2486" s="54" t="s">
        <v>42</v>
      </c>
      <c r="G2486" s="55" t="s">
        <v>6113</v>
      </c>
      <c r="H2486" s="54" t="s">
        <v>6114</v>
      </c>
      <c r="I2486" s="54">
        <f t="shared" si="125"/>
        <v>31</v>
      </c>
      <c r="J2486" s="56"/>
      <c r="K2486" s="57"/>
      <c r="L2486" s="87"/>
      <c r="M2486" s="59"/>
      <c r="N2486" s="79">
        <v>801.0</v>
      </c>
      <c r="O2486" s="61">
        <v>865.0</v>
      </c>
      <c r="P2486" s="62">
        <v>2000.0</v>
      </c>
      <c r="Q2486" s="63">
        <v>2000.0</v>
      </c>
      <c r="R2486" s="64">
        <v>2100.0</v>
      </c>
      <c r="S2486" s="111">
        <v>2205.0</v>
      </c>
      <c r="T2486" s="65">
        <f t="shared" si="93"/>
        <v>352.8</v>
      </c>
      <c r="U2486" s="65">
        <f t="shared" si="94"/>
        <v>2557.8</v>
      </c>
      <c r="V2486" s="66">
        <f t="shared" si="123"/>
        <v>0.05</v>
      </c>
      <c r="W2486" s="67">
        <f t="shared" si="96"/>
        <v>2094.75</v>
      </c>
      <c r="X2486" s="67">
        <f t="shared" si="112"/>
        <v>335.16</v>
      </c>
      <c r="Y2486" s="67">
        <f t="shared" si="113"/>
        <v>2429.91</v>
      </c>
      <c r="Z2486" s="67">
        <f t="shared" si="99"/>
        <v>1984.5</v>
      </c>
      <c r="AA2486" s="67">
        <f t="shared" si="114"/>
        <v>317.52</v>
      </c>
      <c r="AB2486" s="67">
        <f t="shared" si="115"/>
        <v>2302.02</v>
      </c>
      <c r="AC2486" s="67">
        <f t="shared" si="102"/>
        <v>1874.25</v>
      </c>
      <c r="AD2486" s="67">
        <f t="shared" si="116"/>
        <v>299.88</v>
      </c>
      <c r="AE2486" s="67">
        <f t="shared" si="117"/>
        <v>2174.13</v>
      </c>
      <c r="AF2486" s="67">
        <f t="shared" si="105"/>
        <v>1830.15</v>
      </c>
      <c r="AG2486" s="67">
        <f t="shared" si="118"/>
        <v>292.824</v>
      </c>
      <c r="AH2486" s="67">
        <f t="shared" si="119"/>
        <v>2122.974</v>
      </c>
      <c r="AI2486" s="67">
        <f t="shared" si="108"/>
        <v>1764</v>
      </c>
      <c r="AJ2486" s="68">
        <f t="shared" si="126"/>
        <v>282.24</v>
      </c>
      <c r="AK2486" s="68">
        <f t="shared" si="127"/>
        <v>2046.24</v>
      </c>
      <c r="AL2486" s="70"/>
      <c r="AM2486" s="70"/>
      <c r="AN2486" s="71"/>
      <c r="AO2486" s="71"/>
      <c r="AP2486" s="71"/>
      <c r="AQ2486" s="71"/>
      <c r="AR2486" s="71"/>
      <c r="AS2486" s="71"/>
      <c r="AT2486" s="71"/>
      <c r="AU2486" s="71"/>
      <c r="AV2486" s="71"/>
      <c r="AW2486" s="71"/>
      <c r="AX2486" s="71"/>
      <c r="AY2486" s="71"/>
      <c r="AZ2486" s="71"/>
      <c r="BA2486" s="71"/>
      <c r="BB2486" s="71"/>
      <c r="BC2486" s="71"/>
      <c r="BD2486" s="71"/>
      <c r="BE2486" s="71"/>
      <c r="BF2486" s="71"/>
      <c r="BG2486" s="71"/>
      <c r="BH2486" s="71"/>
      <c r="BI2486" s="71"/>
      <c r="BJ2486" s="71"/>
      <c r="BK2486" s="71"/>
      <c r="BL2486" s="71"/>
      <c r="BM2486" s="71"/>
      <c r="BN2486" s="71"/>
      <c r="BO2486" s="71"/>
      <c r="BP2486" s="71"/>
      <c r="BQ2486" s="71"/>
      <c r="BR2486" s="71"/>
      <c r="BS2486" s="71"/>
      <c r="BT2486" s="71"/>
      <c r="BU2486" s="71"/>
      <c r="BV2486" s="71"/>
    </row>
    <row r="2487">
      <c r="A2487" s="53"/>
      <c r="B2487" s="53"/>
      <c r="C2487" s="53" t="s">
        <v>12</v>
      </c>
      <c r="D2487" s="53" t="s">
        <v>6115</v>
      </c>
      <c r="E2487" s="54" t="s">
        <v>38</v>
      </c>
      <c r="F2487" s="54" t="s">
        <v>42</v>
      </c>
      <c r="G2487" s="55" t="s">
        <v>6116</v>
      </c>
      <c r="H2487" s="54" t="s">
        <v>6116</v>
      </c>
      <c r="I2487" s="54">
        <f t="shared" si="125"/>
        <v>31</v>
      </c>
      <c r="J2487" s="56"/>
      <c r="K2487" s="57"/>
      <c r="L2487" s="76"/>
      <c r="M2487" s="59"/>
      <c r="N2487" s="79">
        <v>252.0</v>
      </c>
      <c r="O2487" s="61">
        <v>272.0</v>
      </c>
      <c r="P2487" s="63">
        <v>293.76</v>
      </c>
      <c r="Q2487" s="63">
        <v>293.76</v>
      </c>
      <c r="R2487" s="64">
        <v>309.0</v>
      </c>
      <c r="S2487" s="111">
        <v>324.0</v>
      </c>
      <c r="T2487" s="65">
        <f t="shared" si="93"/>
        <v>51.84</v>
      </c>
      <c r="U2487" s="65">
        <f t="shared" si="94"/>
        <v>375.84</v>
      </c>
      <c r="V2487" s="66">
        <f t="shared" si="123"/>
        <v>0.04854368932</v>
      </c>
      <c r="W2487" s="67">
        <f t="shared" si="96"/>
        <v>307.8</v>
      </c>
      <c r="X2487" s="67">
        <f t="shared" si="112"/>
        <v>49.248</v>
      </c>
      <c r="Y2487" s="67">
        <f t="shared" si="113"/>
        <v>357.048</v>
      </c>
      <c r="Z2487" s="67">
        <f t="shared" si="99"/>
        <v>291.6</v>
      </c>
      <c r="AA2487" s="67">
        <f t="shared" si="114"/>
        <v>46.656</v>
      </c>
      <c r="AB2487" s="67">
        <f t="shared" si="115"/>
        <v>338.256</v>
      </c>
      <c r="AC2487" s="67">
        <f t="shared" si="102"/>
        <v>275.4</v>
      </c>
      <c r="AD2487" s="67">
        <f t="shared" si="116"/>
        <v>44.064</v>
      </c>
      <c r="AE2487" s="67">
        <f t="shared" si="117"/>
        <v>319.464</v>
      </c>
      <c r="AF2487" s="67">
        <f t="shared" si="105"/>
        <v>268.92</v>
      </c>
      <c r="AG2487" s="67">
        <f t="shared" si="118"/>
        <v>43.0272</v>
      </c>
      <c r="AH2487" s="67">
        <f t="shared" si="119"/>
        <v>311.9472</v>
      </c>
      <c r="AI2487" s="67">
        <f t="shared" si="108"/>
        <v>259.2</v>
      </c>
      <c r="AJ2487" s="68">
        <f t="shared" si="126"/>
        <v>41.472</v>
      </c>
      <c r="AK2487" s="68">
        <f t="shared" si="127"/>
        <v>300.672</v>
      </c>
      <c r="AL2487" s="70"/>
      <c r="AM2487" s="70"/>
      <c r="AN2487" s="71"/>
      <c r="AO2487" s="71"/>
      <c r="AP2487" s="71"/>
      <c r="AQ2487" s="71"/>
      <c r="AR2487" s="71"/>
      <c r="AS2487" s="71"/>
      <c r="AT2487" s="71"/>
      <c r="AU2487" s="71"/>
      <c r="AV2487" s="71"/>
      <c r="AW2487" s="71"/>
      <c r="AX2487" s="71"/>
      <c r="AY2487" s="71"/>
      <c r="AZ2487" s="71"/>
      <c r="BA2487" s="71"/>
      <c r="BB2487" s="71"/>
      <c r="BC2487" s="71"/>
      <c r="BD2487" s="71"/>
      <c r="BE2487" s="71"/>
      <c r="BF2487" s="71"/>
      <c r="BG2487" s="71"/>
      <c r="BH2487" s="71"/>
      <c r="BI2487" s="71"/>
      <c r="BJ2487" s="71"/>
      <c r="BK2487" s="71"/>
      <c r="BL2487" s="71"/>
      <c r="BM2487" s="71"/>
      <c r="BN2487" s="71"/>
      <c r="BO2487" s="71"/>
      <c r="BP2487" s="71"/>
      <c r="BQ2487" s="71"/>
      <c r="BR2487" s="71"/>
      <c r="BS2487" s="71"/>
      <c r="BT2487" s="71"/>
      <c r="BU2487" s="71"/>
      <c r="BV2487" s="71"/>
    </row>
    <row r="2488">
      <c r="A2488" s="53"/>
      <c r="B2488" s="53"/>
      <c r="C2488" s="53" t="s">
        <v>53</v>
      </c>
      <c r="D2488" s="53" t="s">
        <v>6117</v>
      </c>
      <c r="E2488" s="54" t="s">
        <v>38</v>
      </c>
      <c r="F2488" s="54" t="s">
        <v>42</v>
      </c>
      <c r="G2488" s="55" t="s">
        <v>6118</v>
      </c>
      <c r="H2488" s="55" t="s">
        <v>6118</v>
      </c>
      <c r="I2488" s="54">
        <f t="shared" si="125"/>
        <v>31</v>
      </c>
      <c r="J2488" s="56"/>
      <c r="K2488" s="57"/>
      <c r="L2488" s="76"/>
      <c r="M2488" s="59"/>
      <c r="N2488" s="60"/>
      <c r="O2488" s="61">
        <v>301.0</v>
      </c>
      <c r="P2488" s="62">
        <v>325.08000000000004</v>
      </c>
      <c r="Q2488" s="63">
        <v>325.08000000000004</v>
      </c>
      <c r="R2488" s="64">
        <v>342.0</v>
      </c>
      <c r="S2488" s="111">
        <v>359.0</v>
      </c>
      <c r="T2488" s="65">
        <f t="shared" si="93"/>
        <v>57.44</v>
      </c>
      <c r="U2488" s="65">
        <f t="shared" si="94"/>
        <v>416.44</v>
      </c>
      <c r="V2488" s="66">
        <f t="shared" si="123"/>
        <v>0.04970760234</v>
      </c>
      <c r="W2488" s="67">
        <f t="shared" si="96"/>
        <v>341.05</v>
      </c>
      <c r="X2488" s="67">
        <f t="shared" si="112"/>
        <v>54.568</v>
      </c>
      <c r="Y2488" s="67">
        <f t="shared" si="113"/>
        <v>395.618</v>
      </c>
      <c r="Z2488" s="67">
        <f t="shared" si="99"/>
        <v>323.1</v>
      </c>
      <c r="AA2488" s="67">
        <f t="shared" si="114"/>
        <v>51.696</v>
      </c>
      <c r="AB2488" s="67">
        <f t="shared" si="115"/>
        <v>374.796</v>
      </c>
      <c r="AC2488" s="67">
        <f t="shared" si="102"/>
        <v>305.15</v>
      </c>
      <c r="AD2488" s="67">
        <f t="shared" si="116"/>
        <v>48.824</v>
      </c>
      <c r="AE2488" s="67">
        <f t="shared" si="117"/>
        <v>353.974</v>
      </c>
      <c r="AF2488" s="67">
        <f t="shared" si="105"/>
        <v>297.97</v>
      </c>
      <c r="AG2488" s="67">
        <f t="shared" si="118"/>
        <v>47.6752</v>
      </c>
      <c r="AH2488" s="67">
        <f t="shared" si="119"/>
        <v>345.6452</v>
      </c>
      <c r="AI2488" s="67">
        <f t="shared" si="108"/>
        <v>287.2</v>
      </c>
      <c r="AJ2488" s="68">
        <f t="shared" si="126"/>
        <v>45.952</v>
      </c>
      <c r="AK2488" s="68">
        <f t="shared" si="127"/>
        <v>333.152</v>
      </c>
      <c r="AL2488" s="70"/>
      <c r="AM2488" s="70"/>
      <c r="AN2488" s="71"/>
      <c r="AO2488" s="71"/>
      <c r="AP2488" s="71"/>
      <c r="AQ2488" s="71"/>
      <c r="AR2488" s="71"/>
      <c r="AS2488" s="71"/>
      <c r="AT2488" s="71"/>
      <c r="AU2488" s="71"/>
      <c r="AV2488" s="71"/>
      <c r="AW2488" s="71"/>
      <c r="AX2488" s="71"/>
      <c r="AY2488" s="71"/>
      <c r="AZ2488" s="71"/>
      <c r="BA2488" s="71"/>
      <c r="BB2488" s="71"/>
      <c r="BC2488" s="71"/>
      <c r="BD2488" s="71"/>
      <c r="BE2488" s="71"/>
      <c r="BF2488" s="71"/>
      <c r="BG2488" s="71"/>
      <c r="BH2488" s="71"/>
      <c r="BI2488" s="71"/>
      <c r="BJ2488" s="71"/>
      <c r="BK2488" s="71"/>
      <c r="BL2488" s="71"/>
      <c r="BM2488" s="71"/>
      <c r="BN2488" s="71"/>
      <c r="BO2488" s="71"/>
      <c r="BP2488" s="71"/>
      <c r="BQ2488" s="71"/>
      <c r="BR2488" s="71"/>
      <c r="BS2488" s="71"/>
      <c r="BT2488" s="71"/>
      <c r="BU2488" s="71"/>
      <c r="BV2488" s="71"/>
    </row>
    <row r="2489">
      <c r="A2489" s="53"/>
      <c r="B2489" s="53"/>
      <c r="C2489" s="53" t="s">
        <v>12</v>
      </c>
      <c r="D2489" s="53" t="s">
        <v>6119</v>
      </c>
      <c r="E2489" s="54" t="s">
        <v>38</v>
      </c>
      <c r="F2489" s="54" t="s">
        <v>42</v>
      </c>
      <c r="G2489" s="55" t="s">
        <v>6120</v>
      </c>
      <c r="H2489" s="54" t="s">
        <v>6120</v>
      </c>
      <c r="I2489" s="54">
        <f t="shared" si="125"/>
        <v>31</v>
      </c>
      <c r="J2489" s="56"/>
      <c r="K2489" s="57"/>
      <c r="L2489" s="76"/>
      <c r="M2489" s="59"/>
      <c r="N2489" s="79">
        <v>380.0</v>
      </c>
      <c r="O2489" s="61">
        <v>410.0</v>
      </c>
      <c r="P2489" s="63">
        <v>442.8</v>
      </c>
      <c r="Q2489" s="63">
        <v>442.8</v>
      </c>
      <c r="R2489" s="64">
        <v>466.0</v>
      </c>
      <c r="S2489" s="111">
        <v>489.0</v>
      </c>
      <c r="T2489" s="65">
        <f t="shared" si="93"/>
        <v>78.24</v>
      </c>
      <c r="U2489" s="65">
        <f t="shared" si="94"/>
        <v>567.24</v>
      </c>
      <c r="V2489" s="66">
        <f t="shared" si="123"/>
        <v>0.04935622318</v>
      </c>
      <c r="W2489" s="67">
        <f t="shared" si="96"/>
        <v>464.55</v>
      </c>
      <c r="X2489" s="67">
        <f t="shared" si="112"/>
        <v>74.328</v>
      </c>
      <c r="Y2489" s="67">
        <f t="shared" si="113"/>
        <v>538.878</v>
      </c>
      <c r="Z2489" s="67">
        <f t="shared" si="99"/>
        <v>440.1</v>
      </c>
      <c r="AA2489" s="67">
        <f t="shared" si="114"/>
        <v>70.416</v>
      </c>
      <c r="AB2489" s="67">
        <f t="shared" si="115"/>
        <v>510.516</v>
      </c>
      <c r="AC2489" s="67">
        <f t="shared" si="102"/>
        <v>415.65</v>
      </c>
      <c r="AD2489" s="67">
        <f t="shared" si="116"/>
        <v>66.504</v>
      </c>
      <c r="AE2489" s="67">
        <f t="shared" si="117"/>
        <v>482.154</v>
      </c>
      <c r="AF2489" s="67">
        <f t="shared" si="105"/>
        <v>405.87</v>
      </c>
      <c r="AG2489" s="67">
        <f t="shared" si="118"/>
        <v>64.9392</v>
      </c>
      <c r="AH2489" s="67">
        <f t="shared" si="119"/>
        <v>470.8092</v>
      </c>
      <c r="AI2489" s="67">
        <f t="shared" si="108"/>
        <v>391.2</v>
      </c>
      <c r="AJ2489" s="68">
        <f t="shared" si="126"/>
        <v>62.592</v>
      </c>
      <c r="AK2489" s="68">
        <f t="shared" si="127"/>
        <v>453.792</v>
      </c>
      <c r="AL2489" s="70"/>
      <c r="AM2489" s="70"/>
      <c r="AN2489" s="71"/>
      <c r="AO2489" s="71"/>
      <c r="AP2489" s="71"/>
      <c r="AQ2489" s="71"/>
      <c r="AR2489" s="71"/>
      <c r="AS2489" s="71"/>
      <c r="AT2489" s="71"/>
      <c r="AU2489" s="71"/>
      <c r="AV2489" s="71"/>
      <c r="AW2489" s="71"/>
      <c r="AX2489" s="71"/>
      <c r="AY2489" s="71"/>
      <c r="AZ2489" s="71"/>
      <c r="BA2489" s="71"/>
      <c r="BB2489" s="71"/>
      <c r="BC2489" s="71"/>
      <c r="BD2489" s="71"/>
      <c r="BE2489" s="71"/>
      <c r="BF2489" s="71"/>
      <c r="BG2489" s="71"/>
      <c r="BH2489" s="71"/>
      <c r="BI2489" s="71"/>
      <c r="BJ2489" s="71"/>
      <c r="BK2489" s="71"/>
      <c r="BL2489" s="71"/>
      <c r="BM2489" s="71"/>
      <c r="BN2489" s="71"/>
      <c r="BO2489" s="71"/>
      <c r="BP2489" s="71"/>
      <c r="BQ2489" s="71"/>
      <c r="BR2489" s="71"/>
      <c r="BS2489" s="71"/>
      <c r="BT2489" s="71"/>
      <c r="BU2489" s="71"/>
      <c r="BV2489" s="71"/>
    </row>
    <row r="2490">
      <c r="A2490" s="53">
        <v>1.0</v>
      </c>
      <c r="B2490" s="53"/>
      <c r="C2490" s="73" t="s">
        <v>53</v>
      </c>
      <c r="D2490" s="53" t="s">
        <v>6121</v>
      </c>
      <c r="E2490" s="54" t="s">
        <v>38</v>
      </c>
      <c r="F2490" s="54" t="s">
        <v>42</v>
      </c>
      <c r="G2490" s="54" t="s">
        <v>6122</v>
      </c>
      <c r="H2490" s="54" t="s">
        <v>6123</v>
      </c>
      <c r="I2490" s="54">
        <f t="shared" si="125"/>
        <v>25</v>
      </c>
      <c r="J2490" s="56"/>
      <c r="K2490" s="57"/>
      <c r="L2490" s="87"/>
      <c r="M2490" s="59"/>
      <c r="N2490" s="60">
        <v>2234.0</v>
      </c>
      <c r="O2490" s="61">
        <v>2412.0</v>
      </c>
      <c r="P2490" s="62">
        <v>2604.96</v>
      </c>
      <c r="Q2490" s="63">
        <v>2604.96</v>
      </c>
      <c r="R2490" s="64">
        <v>2901.0</v>
      </c>
      <c r="S2490" s="111">
        <v>3046.0</v>
      </c>
      <c r="T2490" s="65">
        <f t="shared" si="93"/>
        <v>487.36</v>
      </c>
      <c r="U2490" s="65">
        <f t="shared" si="94"/>
        <v>3533.36</v>
      </c>
      <c r="V2490" s="66">
        <f t="shared" si="123"/>
        <v>0.04998276456</v>
      </c>
      <c r="W2490" s="67">
        <f t="shared" si="96"/>
        <v>2893.7</v>
      </c>
      <c r="X2490" s="67">
        <f t="shared" si="112"/>
        <v>462.992</v>
      </c>
      <c r="Y2490" s="67">
        <f t="shared" si="113"/>
        <v>3356.692</v>
      </c>
      <c r="Z2490" s="67">
        <f t="shared" si="99"/>
        <v>2741.4</v>
      </c>
      <c r="AA2490" s="67">
        <f t="shared" si="114"/>
        <v>438.624</v>
      </c>
      <c r="AB2490" s="67">
        <f t="shared" si="115"/>
        <v>3180.024</v>
      </c>
      <c r="AC2490" s="67">
        <f t="shared" si="102"/>
        <v>2589.1</v>
      </c>
      <c r="AD2490" s="67">
        <f t="shared" si="116"/>
        <v>414.256</v>
      </c>
      <c r="AE2490" s="67">
        <f t="shared" si="117"/>
        <v>3003.356</v>
      </c>
      <c r="AF2490" s="67">
        <f t="shared" si="105"/>
        <v>2528.18</v>
      </c>
      <c r="AG2490" s="67">
        <f t="shared" si="118"/>
        <v>404.5088</v>
      </c>
      <c r="AH2490" s="67">
        <f t="shared" si="119"/>
        <v>2932.6888</v>
      </c>
      <c r="AI2490" s="67">
        <f t="shared" si="108"/>
        <v>2436.8</v>
      </c>
      <c r="AJ2490" s="68">
        <f t="shared" si="126"/>
        <v>389.888</v>
      </c>
      <c r="AK2490" s="68">
        <f t="shared" si="127"/>
        <v>2826.688</v>
      </c>
      <c r="AL2490" s="70"/>
      <c r="AM2490" s="70"/>
      <c r="AN2490" s="71"/>
      <c r="AO2490" s="71"/>
      <c r="AP2490" s="71"/>
      <c r="AQ2490" s="71"/>
      <c r="AR2490" s="71"/>
      <c r="AS2490" s="71"/>
      <c r="AT2490" s="71"/>
      <c r="AU2490" s="71"/>
      <c r="AV2490" s="71"/>
      <c r="AW2490" s="71"/>
      <c r="AX2490" s="71"/>
      <c r="AY2490" s="71"/>
      <c r="AZ2490" s="71"/>
      <c r="BA2490" s="71"/>
      <c r="BB2490" s="71"/>
      <c r="BC2490" s="71"/>
      <c r="BD2490" s="71"/>
      <c r="BE2490" s="71"/>
      <c r="BF2490" s="71"/>
      <c r="BG2490" s="71"/>
      <c r="BH2490" s="71"/>
      <c r="BI2490" s="71"/>
      <c r="BJ2490" s="71"/>
      <c r="BK2490" s="71"/>
      <c r="BL2490" s="71"/>
      <c r="BM2490" s="71"/>
      <c r="BN2490" s="71"/>
      <c r="BO2490" s="71"/>
      <c r="BP2490" s="71"/>
      <c r="BQ2490" s="71"/>
      <c r="BR2490" s="71"/>
      <c r="BS2490" s="71"/>
      <c r="BT2490" s="71"/>
      <c r="BU2490" s="71"/>
      <c r="BV2490" s="71"/>
    </row>
    <row r="2491">
      <c r="A2491" s="53"/>
      <c r="B2491" s="53"/>
      <c r="C2491" s="53" t="s">
        <v>53</v>
      </c>
      <c r="D2491" s="53" t="s">
        <v>6124</v>
      </c>
      <c r="E2491" s="54" t="s">
        <v>38</v>
      </c>
      <c r="F2491" s="54" t="s">
        <v>42</v>
      </c>
      <c r="G2491" s="55" t="s">
        <v>6125</v>
      </c>
      <c r="H2491" s="54" t="s">
        <v>6125</v>
      </c>
      <c r="I2491" s="54">
        <f t="shared" si="125"/>
        <v>26</v>
      </c>
      <c r="J2491" s="56"/>
      <c r="K2491" s="57"/>
      <c r="L2491" s="76"/>
      <c r="M2491" s="59"/>
      <c r="N2491" s="79">
        <v>320.0</v>
      </c>
      <c r="O2491" s="61">
        <v>345.0</v>
      </c>
      <c r="P2491" s="63">
        <v>372.6</v>
      </c>
      <c r="Q2491" s="63">
        <v>372.6</v>
      </c>
      <c r="R2491" s="64">
        <v>392.0</v>
      </c>
      <c r="S2491" s="111">
        <v>412.0</v>
      </c>
      <c r="T2491" s="65">
        <f t="shared" si="93"/>
        <v>65.92</v>
      </c>
      <c r="U2491" s="65">
        <f t="shared" si="94"/>
        <v>477.92</v>
      </c>
      <c r="V2491" s="66">
        <f t="shared" si="123"/>
        <v>0.05102040816</v>
      </c>
      <c r="W2491" s="67">
        <f t="shared" si="96"/>
        <v>391.4</v>
      </c>
      <c r="X2491" s="67">
        <f t="shared" si="112"/>
        <v>62.624</v>
      </c>
      <c r="Y2491" s="67">
        <f t="shared" si="113"/>
        <v>454.024</v>
      </c>
      <c r="Z2491" s="67">
        <f t="shared" si="99"/>
        <v>370.8</v>
      </c>
      <c r="AA2491" s="67">
        <f t="shared" si="114"/>
        <v>59.328</v>
      </c>
      <c r="AB2491" s="67">
        <f t="shared" si="115"/>
        <v>430.128</v>
      </c>
      <c r="AC2491" s="67">
        <f t="shared" si="102"/>
        <v>350.2</v>
      </c>
      <c r="AD2491" s="67">
        <f t="shared" si="116"/>
        <v>56.032</v>
      </c>
      <c r="AE2491" s="67">
        <f t="shared" si="117"/>
        <v>406.232</v>
      </c>
      <c r="AF2491" s="67">
        <f t="shared" si="105"/>
        <v>341.96</v>
      </c>
      <c r="AG2491" s="67">
        <f t="shared" si="118"/>
        <v>54.7136</v>
      </c>
      <c r="AH2491" s="67">
        <f t="shared" si="119"/>
        <v>396.6736</v>
      </c>
      <c r="AI2491" s="67">
        <f t="shared" si="108"/>
        <v>329.6</v>
      </c>
      <c r="AJ2491" s="68">
        <f t="shared" si="126"/>
        <v>52.736</v>
      </c>
      <c r="AK2491" s="68">
        <f t="shared" si="127"/>
        <v>382.336</v>
      </c>
      <c r="AL2491" s="70"/>
      <c r="AM2491" s="70"/>
      <c r="AN2491" s="71"/>
      <c r="AO2491" s="71"/>
      <c r="AP2491" s="71"/>
      <c r="AQ2491" s="71"/>
      <c r="AR2491" s="71"/>
      <c r="AS2491" s="71"/>
      <c r="AT2491" s="71"/>
      <c r="AU2491" s="71"/>
      <c r="AV2491" s="71"/>
      <c r="AW2491" s="71"/>
      <c r="AX2491" s="71"/>
      <c r="AY2491" s="71"/>
      <c r="AZ2491" s="71"/>
      <c r="BA2491" s="71"/>
      <c r="BB2491" s="71"/>
      <c r="BC2491" s="71"/>
      <c r="BD2491" s="71"/>
      <c r="BE2491" s="71"/>
      <c r="BF2491" s="71"/>
      <c r="BG2491" s="71"/>
      <c r="BH2491" s="71"/>
      <c r="BI2491" s="71"/>
      <c r="BJ2491" s="71"/>
      <c r="BK2491" s="71"/>
      <c r="BL2491" s="71"/>
      <c r="BM2491" s="71"/>
      <c r="BN2491" s="71"/>
      <c r="BO2491" s="71"/>
      <c r="BP2491" s="71"/>
      <c r="BQ2491" s="71"/>
      <c r="BR2491" s="71"/>
      <c r="BS2491" s="71"/>
      <c r="BT2491" s="71"/>
      <c r="BU2491" s="71"/>
      <c r="BV2491" s="71"/>
    </row>
    <row r="2492">
      <c r="A2492" s="53">
        <v>1.0</v>
      </c>
      <c r="B2492" s="53"/>
      <c r="C2492" s="73" t="s">
        <v>53</v>
      </c>
      <c r="D2492" s="74" t="s">
        <v>6126</v>
      </c>
      <c r="E2492" s="54" t="s">
        <v>38</v>
      </c>
      <c r="F2492" s="54" t="s">
        <v>42</v>
      </c>
      <c r="G2492" s="88" t="s">
        <v>6127</v>
      </c>
      <c r="H2492" s="54" t="s">
        <v>6128</v>
      </c>
      <c r="I2492" s="54">
        <f t="shared" si="125"/>
        <v>37</v>
      </c>
      <c r="J2492" s="56"/>
      <c r="K2492" s="57"/>
      <c r="L2492" s="87"/>
      <c r="M2492" s="59"/>
      <c r="N2492" s="60">
        <v>508.0</v>
      </c>
      <c r="O2492" s="61">
        <v>548.0</v>
      </c>
      <c r="P2492" s="62">
        <v>591.84</v>
      </c>
      <c r="Q2492" s="63">
        <v>591.84</v>
      </c>
      <c r="R2492" s="64">
        <v>685.0</v>
      </c>
      <c r="S2492" s="111">
        <v>719.0</v>
      </c>
      <c r="T2492" s="65">
        <f t="shared" si="93"/>
        <v>115.04</v>
      </c>
      <c r="U2492" s="65">
        <f t="shared" si="94"/>
        <v>834.04</v>
      </c>
      <c r="V2492" s="66">
        <f t="shared" si="123"/>
        <v>0.0496350365</v>
      </c>
      <c r="W2492" s="67">
        <f t="shared" si="96"/>
        <v>683.05</v>
      </c>
      <c r="X2492" s="67">
        <f t="shared" si="112"/>
        <v>109.288</v>
      </c>
      <c r="Y2492" s="67">
        <f t="shared" si="113"/>
        <v>792.338</v>
      </c>
      <c r="Z2492" s="67">
        <f t="shared" si="99"/>
        <v>647.1</v>
      </c>
      <c r="AA2492" s="67">
        <f t="shared" si="114"/>
        <v>103.536</v>
      </c>
      <c r="AB2492" s="67">
        <f t="shared" si="115"/>
        <v>750.636</v>
      </c>
      <c r="AC2492" s="67">
        <f t="shared" si="102"/>
        <v>611.15</v>
      </c>
      <c r="AD2492" s="67">
        <f t="shared" si="116"/>
        <v>97.784</v>
      </c>
      <c r="AE2492" s="67">
        <f t="shared" si="117"/>
        <v>708.934</v>
      </c>
      <c r="AF2492" s="67">
        <f t="shared" si="105"/>
        <v>596.77</v>
      </c>
      <c r="AG2492" s="67">
        <f t="shared" si="118"/>
        <v>95.4832</v>
      </c>
      <c r="AH2492" s="67">
        <f t="shared" si="119"/>
        <v>692.2532</v>
      </c>
      <c r="AI2492" s="67">
        <f t="shared" si="108"/>
        <v>575.2</v>
      </c>
      <c r="AJ2492" s="68">
        <f t="shared" si="126"/>
        <v>92.032</v>
      </c>
      <c r="AK2492" s="68">
        <f t="shared" si="127"/>
        <v>667.232</v>
      </c>
      <c r="AL2492" s="70"/>
      <c r="AM2492" s="70"/>
      <c r="AN2492" s="71"/>
      <c r="AO2492" s="71"/>
      <c r="AP2492" s="71"/>
      <c r="AQ2492" s="71"/>
      <c r="AR2492" s="71"/>
      <c r="AS2492" s="71"/>
      <c r="AT2492" s="71"/>
      <c r="AU2492" s="71"/>
      <c r="AV2492" s="71"/>
      <c r="AW2492" s="71"/>
      <c r="AX2492" s="71"/>
      <c r="AY2492" s="71"/>
      <c r="AZ2492" s="71"/>
      <c r="BA2492" s="71"/>
      <c r="BB2492" s="71"/>
      <c r="BC2492" s="71"/>
      <c r="BD2492" s="71"/>
      <c r="BE2492" s="71"/>
      <c r="BF2492" s="71"/>
      <c r="BG2492" s="71"/>
      <c r="BH2492" s="71"/>
      <c r="BI2492" s="71"/>
      <c r="BJ2492" s="71"/>
      <c r="BK2492" s="71"/>
      <c r="BL2492" s="71"/>
      <c r="BM2492" s="71"/>
      <c r="BN2492" s="71"/>
      <c r="BO2492" s="71"/>
      <c r="BP2492" s="71"/>
      <c r="BQ2492" s="71"/>
      <c r="BR2492" s="71"/>
      <c r="BS2492" s="71"/>
      <c r="BT2492" s="71"/>
      <c r="BU2492" s="71"/>
      <c r="BV2492" s="71"/>
    </row>
    <row r="2493">
      <c r="A2493" s="53">
        <v>1.0</v>
      </c>
      <c r="B2493" s="53"/>
      <c r="C2493" s="73" t="s">
        <v>53</v>
      </c>
      <c r="D2493" s="74" t="s">
        <v>6129</v>
      </c>
      <c r="E2493" s="54" t="s">
        <v>38</v>
      </c>
      <c r="F2493" s="54" t="s">
        <v>42</v>
      </c>
      <c r="G2493" s="88" t="s">
        <v>6130</v>
      </c>
      <c r="H2493" s="54" t="s">
        <v>6131</v>
      </c>
      <c r="I2493" s="54">
        <f t="shared" si="125"/>
        <v>37</v>
      </c>
      <c r="J2493" s="56"/>
      <c r="K2493" s="57"/>
      <c r="L2493" s="87"/>
      <c r="M2493" s="59"/>
      <c r="N2493" s="60">
        <v>536.0</v>
      </c>
      <c r="O2493" s="61">
        <v>578.0</v>
      </c>
      <c r="P2493" s="62">
        <v>624.24</v>
      </c>
      <c r="Q2493" s="63">
        <v>624.24</v>
      </c>
      <c r="R2493" s="64">
        <v>722.0</v>
      </c>
      <c r="S2493" s="111">
        <v>758.0</v>
      </c>
      <c r="T2493" s="65">
        <f t="shared" si="93"/>
        <v>121.28</v>
      </c>
      <c r="U2493" s="65">
        <f t="shared" si="94"/>
        <v>879.28</v>
      </c>
      <c r="V2493" s="66">
        <f t="shared" si="123"/>
        <v>0.04986149584</v>
      </c>
      <c r="W2493" s="67">
        <f t="shared" si="96"/>
        <v>720.1</v>
      </c>
      <c r="X2493" s="67">
        <f t="shared" si="112"/>
        <v>115.216</v>
      </c>
      <c r="Y2493" s="67">
        <f t="shared" si="113"/>
        <v>835.316</v>
      </c>
      <c r="Z2493" s="67">
        <f t="shared" si="99"/>
        <v>682.2</v>
      </c>
      <c r="AA2493" s="67">
        <f t="shared" si="114"/>
        <v>109.152</v>
      </c>
      <c r="AB2493" s="67">
        <f t="shared" si="115"/>
        <v>791.352</v>
      </c>
      <c r="AC2493" s="67">
        <f t="shared" si="102"/>
        <v>644.3</v>
      </c>
      <c r="AD2493" s="67">
        <f t="shared" si="116"/>
        <v>103.088</v>
      </c>
      <c r="AE2493" s="67">
        <f t="shared" si="117"/>
        <v>747.388</v>
      </c>
      <c r="AF2493" s="67">
        <f t="shared" si="105"/>
        <v>629.14</v>
      </c>
      <c r="AG2493" s="67">
        <f t="shared" si="118"/>
        <v>100.6624</v>
      </c>
      <c r="AH2493" s="67">
        <f t="shared" si="119"/>
        <v>729.8024</v>
      </c>
      <c r="AI2493" s="67">
        <f t="shared" si="108"/>
        <v>606.4</v>
      </c>
      <c r="AJ2493" s="68">
        <f t="shared" si="126"/>
        <v>97.024</v>
      </c>
      <c r="AK2493" s="68">
        <f t="shared" si="127"/>
        <v>703.424</v>
      </c>
      <c r="AL2493" s="70"/>
      <c r="AM2493" s="70"/>
      <c r="AN2493" s="71"/>
      <c r="AO2493" s="71"/>
      <c r="AP2493" s="71"/>
      <c r="AQ2493" s="71"/>
      <c r="AR2493" s="71"/>
      <c r="AS2493" s="71"/>
      <c r="AT2493" s="71"/>
      <c r="AU2493" s="71"/>
      <c r="AV2493" s="71"/>
      <c r="AW2493" s="71"/>
      <c r="AX2493" s="71"/>
      <c r="AY2493" s="71"/>
      <c r="AZ2493" s="71"/>
      <c r="BA2493" s="71"/>
      <c r="BB2493" s="71"/>
      <c r="BC2493" s="71"/>
      <c r="BD2493" s="71"/>
      <c r="BE2493" s="71"/>
      <c r="BF2493" s="71"/>
      <c r="BG2493" s="71"/>
      <c r="BH2493" s="71"/>
      <c r="BI2493" s="71"/>
      <c r="BJ2493" s="71"/>
      <c r="BK2493" s="71"/>
      <c r="BL2493" s="71"/>
      <c r="BM2493" s="71"/>
      <c r="BN2493" s="71"/>
      <c r="BO2493" s="71"/>
      <c r="BP2493" s="71"/>
      <c r="BQ2493" s="71"/>
      <c r="BR2493" s="71"/>
      <c r="BS2493" s="71"/>
      <c r="BT2493" s="71"/>
      <c r="BU2493" s="71"/>
      <c r="BV2493" s="71"/>
    </row>
    <row r="2494">
      <c r="A2494" s="53">
        <v>1.0</v>
      </c>
      <c r="B2494" s="53"/>
      <c r="C2494" s="73" t="s">
        <v>53</v>
      </c>
      <c r="D2494" s="74" t="s">
        <v>6132</v>
      </c>
      <c r="E2494" s="54" t="s">
        <v>38</v>
      </c>
      <c r="F2494" s="54" t="s">
        <v>42</v>
      </c>
      <c r="G2494" s="88" t="s">
        <v>6133</v>
      </c>
      <c r="H2494" s="54" t="s">
        <v>6134</v>
      </c>
      <c r="I2494" s="54">
        <f t="shared" si="125"/>
        <v>39</v>
      </c>
      <c r="J2494" s="56"/>
      <c r="K2494" s="57"/>
      <c r="L2494" s="87"/>
      <c r="M2494" s="59"/>
      <c r="N2494" s="60">
        <v>508.0</v>
      </c>
      <c r="O2494" s="61">
        <v>548.0</v>
      </c>
      <c r="P2494" s="62">
        <v>591.84</v>
      </c>
      <c r="Q2494" s="63">
        <v>591.84</v>
      </c>
      <c r="R2494" s="64">
        <v>685.0</v>
      </c>
      <c r="S2494" s="111">
        <v>719.0</v>
      </c>
      <c r="T2494" s="65">
        <f t="shared" si="93"/>
        <v>115.04</v>
      </c>
      <c r="U2494" s="65">
        <f t="shared" si="94"/>
        <v>834.04</v>
      </c>
      <c r="V2494" s="66">
        <f t="shared" si="123"/>
        <v>0.0496350365</v>
      </c>
      <c r="W2494" s="67">
        <f t="shared" si="96"/>
        <v>683.05</v>
      </c>
      <c r="X2494" s="67">
        <f t="shared" si="112"/>
        <v>109.288</v>
      </c>
      <c r="Y2494" s="67">
        <f t="shared" si="113"/>
        <v>792.338</v>
      </c>
      <c r="Z2494" s="67">
        <f t="shared" si="99"/>
        <v>647.1</v>
      </c>
      <c r="AA2494" s="67">
        <f t="shared" si="114"/>
        <v>103.536</v>
      </c>
      <c r="AB2494" s="67">
        <f t="shared" si="115"/>
        <v>750.636</v>
      </c>
      <c r="AC2494" s="67">
        <f t="shared" si="102"/>
        <v>611.15</v>
      </c>
      <c r="AD2494" s="67">
        <f t="shared" si="116"/>
        <v>97.784</v>
      </c>
      <c r="AE2494" s="67">
        <f t="shared" si="117"/>
        <v>708.934</v>
      </c>
      <c r="AF2494" s="67">
        <f t="shared" si="105"/>
        <v>596.77</v>
      </c>
      <c r="AG2494" s="67">
        <f t="shared" si="118"/>
        <v>95.4832</v>
      </c>
      <c r="AH2494" s="67">
        <f t="shared" si="119"/>
        <v>692.2532</v>
      </c>
      <c r="AI2494" s="67">
        <f t="shared" si="108"/>
        <v>575.2</v>
      </c>
      <c r="AJ2494" s="68">
        <f t="shared" si="126"/>
        <v>92.032</v>
      </c>
      <c r="AK2494" s="68">
        <f t="shared" si="127"/>
        <v>667.232</v>
      </c>
      <c r="AL2494" s="70"/>
      <c r="AM2494" s="70"/>
      <c r="AN2494" s="71"/>
      <c r="AO2494" s="71"/>
      <c r="AP2494" s="71"/>
      <c r="AQ2494" s="71"/>
      <c r="AR2494" s="71"/>
      <c r="AS2494" s="71"/>
      <c r="AT2494" s="71"/>
      <c r="AU2494" s="71"/>
      <c r="AV2494" s="71"/>
      <c r="AW2494" s="71"/>
      <c r="AX2494" s="71"/>
      <c r="AY2494" s="71"/>
      <c r="AZ2494" s="71"/>
      <c r="BA2494" s="71"/>
      <c r="BB2494" s="71"/>
      <c r="BC2494" s="71"/>
      <c r="BD2494" s="71"/>
      <c r="BE2494" s="71"/>
      <c r="BF2494" s="71"/>
      <c r="BG2494" s="71"/>
      <c r="BH2494" s="71"/>
      <c r="BI2494" s="71"/>
      <c r="BJ2494" s="71"/>
      <c r="BK2494" s="71"/>
      <c r="BL2494" s="71"/>
      <c r="BM2494" s="71"/>
      <c r="BN2494" s="71"/>
      <c r="BO2494" s="71"/>
      <c r="BP2494" s="71"/>
      <c r="BQ2494" s="71"/>
      <c r="BR2494" s="71"/>
      <c r="BS2494" s="71"/>
      <c r="BT2494" s="71"/>
      <c r="BU2494" s="71"/>
      <c r="BV2494" s="71"/>
    </row>
    <row r="2495">
      <c r="A2495" s="53">
        <v>1.0</v>
      </c>
      <c r="B2495" s="53"/>
      <c r="C2495" s="73" t="s">
        <v>53</v>
      </c>
      <c r="D2495" s="74" t="s">
        <v>6135</v>
      </c>
      <c r="E2495" s="54" t="s">
        <v>38</v>
      </c>
      <c r="F2495" s="54" t="s">
        <v>42</v>
      </c>
      <c r="G2495" s="88" t="s">
        <v>6136</v>
      </c>
      <c r="H2495" s="54" t="s">
        <v>6137</v>
      </c>
      <c r="I2495" s="54">
        <f t="shared" si="125"/>
        <v>38</v>
      </c>
      <c r="J2495" s="56"/>
      <c r="K2495" s="75"/>
      <c r="L2495" s="76"/>
      <c r="M2495" s="59"/>
      <c r="N2495" s="60">
        <v>585.0</v>
      </c>
      <c r="O2495" s="61">
        <v>631.0</v>
      </c>
      <c r="P2495" s="62">
        <v>681.48</v>
      </c>
      <c r="Q2495" s="63">
        <v>681.48</v>
      </c>
      <c r="R2495" s="64">
        <v>788.0</v>
      </c>
      <c r="S2495" s="111">
        <v>827.0</v>
      </c>
      <c r="T2495" s="65">
        <f t="shared" si="93"/>
        <v>132.32</v>
      </c>
      <c r="U2495" s="65">
        <f t="shared" si="94"/>
        <v>959.32</v>
      </c>
      <c r="V2495" s="66">
        <f t="shared" si="123"/>
        <v>0.04949238579</v>
      </c>
      <c r="W2495" s="67">
        <f t="shared" si="96"/>
        <v>785.65</v>
      </c>
      <c r="X2495" s="67">
        <f t="shared" si="112"/>
        <v>125.704</v>
      </c>
      <c r="Y2495" s="67">
        <f t="shared" si="113"/>
        <v>911.354</v>
      </c>
      <c r="Z2495" s="67">
        <f t="shared" si="99"/>
        <v>744.3</v>
      </c>
      <c r="AA2495" s="67">
        <f t="shared" si="114"/>
        <v>119.088</v>
      </c>
      <c r="AB2495" s="67">
        <f t="shared" si="115"/>
        <v>863.388</v>
      </c>
      <c r="AC2495" s="67">
        <f t="shared" si="102"/>
        <v>702.95</v>
      </c>
      <c r="AD2495" s="67">
        <f t="shared" si="116"/>
        <v>112.472</v>
      </c>
      <c r="AE2495" s="67">
        <f t="shared" si="117"/>
        <v>815.422</v>
      </c>
      <c r="AF2495" s="67">
        <f t="shared" si="105"/>
        <v>686.41</v>
      </c>
      <c r="AG2495" s="67">
        <f t="shared" si="118"/>
        <v>109.8256</v>
      </c>
      <c r="AH2495" s="67">
        <f t="shared" si="119"/>
        <v>796.2356</v>
      </c>
      <c r="AI2495" s="67">
        <f t="shared" si="108"/>
        <v>661.6</v>
      </c>
      <c r="AJ2495" s="68">
        <f t="shared" si="126"/>
        <v>105.856</v>
      </c>
      <c r="AK2495" s="68">
        <f t="shared" si="127"/>
        <v>767.456</v>
      </c>
      <c r="AL2495" s="70"/>
      <c r="AM2495" s="70"/>
      <c r="AN2495" s="71"/>
      <c r="AO2495" s="71"/>
      <c r="AP2495" s="71"/>
      <c r="AQ2495" s="71"/>
      <c r="AR2495" s="71"/>
      <c r="AS2495" s="71"/>
      <c r="AT2495" s="71"/>
      <c r="AU2495" s="71"/>
      <c r="AV2495" s="71"/>
      <c r="AW2495" s="71"/>
      <c r="AX2495" s="71"/>
      <c r="AY2495" s="71"/>
      <c r="AZ2495" s="71"/>
      <c r="BA2495" s="71"/>
      <c r="BB2495" s="71"/>
      <c r="BC2495" s="71"/>
      <c r="BD2495" s="71"/>
      <c r="BE2495" s="71"/>
      <c r="BF2495" s="71"/>
      <c r="BG2495" s="71"/>
      <c r="BH2495" s="71"/>
      <c r="BI2495" s="71"/>
      <c r="BJ2495" s="71"/>
      <c r="BK2495" s="71"/>
      <c r="BL2495" s="71"/>
      <c r="BM2495" s="71"/>
      <c r="BN2495" s="71"/>
      <c r="BO2495" s="71"/>
      <c r="BP2495" s="71"/>
      <c r="BQ2495" s="71"/>
      <c r="BR2495" s="71"/>
      <c r="BS2495" s="71"/>
      <c r="BT2495" s="71"/>
      <c r="BU2495" s="71"/>
      <c r="BV2495" s="71"/>
    </row>
    <row r="2496">
      <c r="A2496" s="53"/>
      <c r="B2496" s="53"/>
      <c r="C2496" s="53" t="s">
        <v>53</v>
      </c>
      <c r="D2496" s="53" t="s">
        <v>6138</v>
      </c>
      <c r="E2496" s="54" t="s">
        <v>38</v>
      </c>
      <c r="F2496" s="54" t="s">
        <v>42</v>
      </c>
      <c r="G2496" s="55" t="s">
        <v>6139</v>
      </c>
      <c r="H2496" s="54" t="s">
        <v>6139</v>
      </c>
      <c r="I2496" s="54">
        <f t="shared" si="125"/>
        <v>28</v>
      </c>
      <c r="J2496" s="56"/>
      <c r="K2496" s="57"/>
      <c r="L2496" s="76"/>
      <c r="M2496" s="59"/>
      <c r="N2496" s="79">
        <v>428.0</v>
      </c>
      <c r="O2496" s="61">
        <v>462.0</v>
      </c>
      <c r="P2496" s="63">
        <v>498.96000000000004</v>
      </c>
      <c r="Q2496" s="63">
        <v>498.96000000000004</v>
      </c>
      <c r="R2496" s="64">
        <v>524.0</v>
      </c>
      <c r="S2496" s="111">
        <v>550.0</v>
      </c>
      <c r="T2496" s="65">
        <f t="shared" si="93"/>
        <v>88</v>
      </c>
      <c r="U2496" s="65">
        <f t="shared" si="94"/>
        <v>638</v>
      </c>
      <c r="V2496" s="66">
        <f t="shared" si="123"/>
        <v>0.04961832061</v>
      </c>
      <c r="W2496" s="67">
        <f t="shared" si="96"/>
        <v>522.5</v>
      </c>
      <c r="X2496" s="67">
        <f t="shared" si="112"/>
        <v>83.6</v>
      </c>
      <c r="Y2496" s="67">
        <f t="shared" si="113"/>
        <v>606.1</v>
      </c>
      <c r="Z2496" s="67">
        <f t="shared" si="99"/>
        <v>495</v>
      </c>
      <c r="AA2496" s="67">
        <f t="shared" si="114"/>
        <v>79.2</v>
      </c>
      <c r="AB2496" s="67">
        <f t="shared" si="115"/>
        <v>574.2</v>
      </c>
      <c r="AC2496" s="67">
        <f t="shared" si="102"/>
        <v>467.5</v>
      </c>
      <c r="AD2496" s="67">
        <f t="shared" si="116"/>
        <v>74.8</v>
      </c>
      <c r="AE2496" s="67">
        <f t="shared" si="117"/>
        <v>542.3</v>
      </c>
      <c r="AF2496" s="67">
        <f t="shared" si="105"/>
        <v>456.5</v>
      </c>
      <c r="AG2496" s="67">
        <f t="shared" si="118"/>
        <v>73.04</v>
      </c>
      <c r="AH2496" s="67">
        <f t="shared" si="119"/>
        <v>529.54</v>
      </c>
      <c r="AI2496" s="67">
        <f t="shared" si="108"/>
        <v>440</v>
      </c>
      <c r="AJ2496" s="68">
        <f t="shared" si="126"/>
        <v>70.4</v>
      </c>
      <c r="AK2496" s="68">
        <f t="shared" si="127"/>
        <v>510.4</v>
      </c>
      <c r="AL2496" s="70"/>
      <c r="AM2496" s="70"/>
      <c r="AN2496" s="71"/>
      <c r="AO2496" s="71"/>
      <c r="AP2496" s="71"/>
      <c r="AQ2496" s="71"/>
      <c r="AR2496" s="71"/>
      <c r="AS2496" s="71"/>
      <c r="AT2496" s="71"/>
      <c r="AU2496" s="71"/>
      <c r="AV2496" s="71"/>
      <c r="AW2496" s="71"/>
      <c r="AX2496" s="71"/>
      <c r="AY2496" s="71"/>
      <c r="AZ2496" s="71"/>
      <c r="BA2496" s="71"/>
      <c r="BB2496" s="71"/>
      <c r="BC2496" s="71"/>
      <c r="BD2496" s="71"/>
      <c r="BE2496" s="71"/>
      <c r="BF2496" s="71"/>
      <c r="BG2496" s="71"/>
      <c r="BH2496" s="71"/>
      <c r="BI2496" s="71"/>
      <c r="BJ2496" s="71"/>
      <c r="BK2496" s="71"/>
      <c r="BL2496" s="71"/>
      <c r="BM2496" s="71"/>
      <c r="BN2496" s="71"/>
      <c r="BO2496" s="71"/>
      <c r="BP2496" s="71"/>
      <c r="BQ2496" s="71"/>
      <c r="BR2496" s="71"/>
      <c r="BS2496" s="71"/>
      <c r="BT2496" s="71"/>
      <c r="BU2496" s="71"/>
      <c r="BV2496" s="71"/>
    </row>
    <row r="2497">
      <c r="A2497" s="53">
        <v>1.0</v>
      </c>
      <c r="B2497" s="53"/>
      <c r="C2497" s="73" t="s">
        <v>53</v>
      </c>
      <c r="D2497" s="74" t="s">
        <v>6140</v>
      </c>
      <c r="E2497" s="54" t="s">
        <v>38</v>
      </c>
      <c r="F2497" s="54" t="s">
        <v>42</v>
      </c>
      <c r="G2497" s="54" t="s">
        <v>6141</v>
      </c>
      <c r="H2497" s="54" t="s">
        <v>6142</v>
      </c>
      <c r="I2497" s="54">
        <f t="shared" si="125"/>
        <v>40</v>
      </c>
      <c r="J2497" s="56"/>
      <c r="K2497" s="57"/>
      <c r="L2497" s="87"/>
      <c r="M2497" s="59"/>
      <c r="N2497" s="60">
        <v>1985.0</v>
      </c>
      <c r="O2497" s="61">
        <v>2143.0</v>
      </c>
      <c r="P2497" s="62">
        <v>2314.44</v>
      </c>
      <c r="Q2497" s="63">
        <v>2314.44</v>
      </c>
      <c r="R2497" s="64">
        <v>2577.0</v>
      </c>
      <c r="S2497" s="111">
        <v>2706.0</v>
      </c>
      <c r="T2497" s="65">
        <f t="shared" si="93"/>
        <v>432.96</v>
      </c>
      <c r="U2497" s="65">
        <f t="shared" si="94"/>
        <v>3138.96</v>
      </c>
      <c r="V2497" s="66">
        <f t="shared" si="123"/>
        <v>0.05005820722</v>
      </c>
      <c r="W2497" s="67">
        <f t="shared" si="96"/>
        <v>2570.7</v>
      </c>
      <c r="X2497" s="67">
        <f t="shared" si="112"/>
        <v>411.312</v>
      </c>
      <c r="Y2497" s="67">
        <f t="shared" si="113"/>
        <v>2982.012</v>
      </c>
      <c r="Z2497" s="67">
        <f t="shared" si="99"/>
        <v>2435.4</v>
      </c>
      <c r="AA2497" s="67">
        <f t="shared" si="114"/>
        <v>389.664</v>
      </c>
      <c r="AB2497" s="67">
        <f t="shared" si="115"/>
        <v>2825.064</v>
      </c>
      <c r="AC2497" s="67">
        <f t="shared" si="102"/>
        <v>2300.1</v>
      </c>
      <c r="AD2497" s="67">
        <f t="shared" si="116"/>
        <v>368.016</v>
      </c>
      <c r="AE2497" s="67">
        <f t="shared" si="117"/>
        <v>2668.116</v>
      </c>
      <c r="AF2497" s="67">
        <f t="shared" si="105"/>
        <v>2245.98</v>
      </c>
      <c r="AG2497" s="67">
        <f t="shared" si="118"/>
        <v>359.3568</v>
      </c>
      <c r="AH2497" s="67">
        <f t="shared" si="119"/>
        <v>2605.3368</v>
      </c>
      <c r="AI2497" s="67">
        <f t="shared" si="108"/>
        <v>2164.8</v>
      </c>
      <c r="AJ2497" s="68">
        <f t="shared" si="126"/>
        <v>346.368</v>
      </c>
      <c r="AK2497" s="68">
        <f t="shared" si="127"/>
        <v>2511.168</v>
      </c>
      <c r="AL2497" s="70"/>
      <c r="AM2497" s="70"/>
      <c r="AN2497" s="71"/>
      <c r="AO2497" s="71"/>
      <c r="AP2497" s="71"/>
      <c r="AQ2497" s="71"/>
      <c r="AR2497" s="71"/>
      <c r="AS2497" s="71"/>
      <c r="AT2497" s="71"/>
      <c r="AU2497" s="71"/>
      <c r="AV2497" s="71"/>
      <c r="AW2497" s="71"/>
      <c r="AX2497" s="71"/>
      <c r="AY2497" s="71"/>
      <c r="AZ2497" s="71"/>
      <c r="BA2497" s="71"/>
      <c r="BB2497" s="71"/>
      <c r="BC2497" s="71"/>
      <c r="BD2497" s="71"/>
      <c r="BE2497" s="71"/>
      <c r="BF2497" s="71"/>
      <c r="BG2497" s="71"/>
      <c r="BH2497" s="71"/>
      <c r="BI2497" s="71"/>
      <c r="BJ2497" s="71"/>
      <c r="BK2497" s="71"/>
      <c r="BL2497" s="71"/>
      <c r="BM2497" s="71"/>
      <c r="BN2497" s="71"/>
      <c r="BO2497" s="71"/>
      <c r="BP2497" s="71"/>
      <c r="BQ2497" s="71"/>
      <c r="BR2497" s="71"/>
      <c r="BS2497" s="71"/>
      <c r="BT2497" s="71"/>
      <c r="BU2497" s="71"/>
      <c r="BV2497" s="71"/>
    </row>
    <row r="2498">
      <c r="A2498" s="53">
        <v>1.0</v>
      </c>
      <c r="B2498" s="53"/>
      <c r="C2498" s="73" t="s">
        <v>53</v>
      </c>
      <c r="D2498" s="74" t="s">
        <v>6143</v>
      </c>
      <c r="E2498" s="54" t="s">
        <v>38</v>
      </c>
      <c r="F2498" s="54" t="s">
        <v>42</v>
      </c>
      <c r="G2498" s="188" t="s">
        <v>6144</v>
      </c>
      <c r="H2498" s="188" t="s">
        <v>6145</v>
      </c>
      <c r="I2498" s="54">
        <f t="shared" si="125"/>
        <v>35</v>
      </c>
      <c r="J2498" s="56"/>
      <c r="K2498" s="57"/>
      <c r="L2498" s="87"/>
      <c r="M2498" s="59"/>
      <c r="N2498" s="60">
        <v>2576.0</v>
      </c>
      <c r="O2498" s="61">
        <v>2782.0</v>
      </c>
      <c r="P2498" s="62">
        <v>3004.5600000000004</v>
      </c>
      <c r="Q2498" s="63">
        <v>3004.5600000000004</v>
      </c>
      <c r="R2498" s="64">
        <v>3345.0</v>
      </c>
      <c r="S2498" s="111">
        <v>3512.0</v>
      </c>
      <c r="T2498" s="65">
        <f t="shared" si="93"/>
        <v>561.92</v>
      </c>
      <c r="U2498" s="65">
        <f t="shared" si="94"/>
        <v>4073.92</v>
      </c>
      <c r="V2498" s="66">
        <f t="shared" si="123"/>
        <v>0.04992526158</v>
      </c>
      <c r="W2498" s="67">
        <f t="shared" si="96"/>
        <v>3336.4</v>
      </c>
      <c r="X2498" s="67">
        <f t="shared" si="112"/>
        <v>533.824</v>
      </c>
      <c r="Y2498" s="67">
        <f t="shared" si="113"/>
        <v>3870.224</v>
      </c>
      <c r="Z2498" s="67">
        <f t="shared" si="99"/>
        <v>3160.8</v>
      </c>
      <c r="AA2498" s="67">
        <f t="shared" si="114"/>
        <v>505.728</v>
      </c>
      <c r="AB2498" s="67">
        <f t="shared" si="115"/>
        <v>3666.528</v>
      </c>
      <c r="AC2498" s="67">
        <f t="shared" si="102"/>
        <v>2985.2</v>
      </c>
      <c r="AD2498" s="67">
        <f t="shared" si="116"/>
        <v>477.632</v>
      </c>
      <c r="AE2498" s="67">
        <f t="shared" si="117"/>
        <v>3462.832</v>
      </c>
      <c r="AF2498" s="67">
        <f t="shared" si="105"/>
        <v>2914.96</v>
      </c>
      <c r="AG2498" s="67">
        <f t="shared" si="118"/>
        <v>466.3936</v>
      </c>
      <c r="AH2498" s="67">
        <f t="shared" si="119"/>
        <v>3381.3536</v>
      </c>
      <c r="AI2498" s="67">
        <f t="shared" si="108"/>
        <v>2809.6</v>
      </c>
      <c r="AJ2498" s="68">
        <f t="shared" si="126"/>
        <v>449.536</v>
      </c>
      <c r="AK2498" s="68">
        <f t="shared" si="127"/>
        <v>3259.136</v>
      </c>
      <c r="AL2498" s="70"/>
      <c r="AM2498" s="70"/>
      <c r="AN2498" s="71"/>
      <c r="AO2498" s="71"/>
      <c r="AP2498" s="71"/>
      <c r="AQ2498" s="71"/>
      <c r="AR2498" s="71"/>
      <c r="AS2498" s="71"/>
      <c r="AT2498" s="71"/>
      <c r="AU2498" s="71"/>
      <c r="AV2498" s="71"/>
      <c r="AW2498" s="71"/>
      <c r="AX2498" s="71"/>
      <c r="AY2498" s="71"/>
      <c r="AZ2498" s="71"/>
      <c r="BA2498" s="71"/>
      <c r="BB2498" s="71"/>
      <c r="BC2498" s="71"/>
      <c r="BD2498" s="71"/>
      <c r="BE2498" s="71"/>
      <c r="BF2498" s="71"/>
      <c r="BG2498" s="71"/>
      <c r="BH2498" s="71"/>
      <c r="BI2498" s="71"/>
      <c r="BJ2498" s="71"/>
      <c r="BK2498" s="71"/>
      <c r="BL2498" s="71"/>
      <c r="BM2498" s="71"/>
      <c r="BN2498" s="71"/>
      <c r="BO2498" s="71"/>
      <c r="BP2498" s="71"/>
      <c r="BQ2498" s="71"/>
      <c r="BR2498" s="71"/>
      <c r="BS2498" s="71"/>
      <c r="BT2498" s="71"/>
      <c r="BU2498" s="71"/>
      <c r="BV2498" s="71"/>
    </row>
    <row r="2499">
      <c r="A2499" s="53"/>
      <c r="B2499" s="53"/>
      <c r="C2499" s="53" t="s">
        <v>53</v>
      </c>
      <c r="D2499" s="53" t="s">
        <v>6146</v>
      </c>
      <c r="E2499" s="54" t="s">
        <v>38</v>
      </c>
      <c r="F2499" s="54" t="s">
        <v>42</v>
      </c>
      <c r="G2499" s="55" t="s">
        <v>6147</v>
      </c>
      <c r="H2499" s="54" t="s">
        <v>6148</v>
      </c>
      <c r="I2499" s="54">
        <f t="shared" si="125"/>
        <v>23</v>
      </c>
      <c r="J2499" s="56"/>
      <c r="K2499" s="57"/>
      <c r="L2499" s="76"/>
      <c r="M2499" s="59"/>
      <c r="N2499" s="79">
        <v>279.0</v>
      </c>
      <c r="O2499" s="61">
        <v>301.0</v>
      </c>
      <c r="P2499" s="63">
        <v>325.08000000000004</v>
      </c>
      <c r="Q2499" s="63">
        <v>325.08000000000004</v>
      </c>
      <c r="R2499" s="64">
        <v>342.0</v>
      </c>
      <c r="S2499" s="111">
        <v>359.0</v>
      </c>
      <c r="T2499" s="65">
        <f t="shared" si="93"/>
        <v>57.44</v>
      </c>
      <c r="U2499" s="65">
        <f t="shared" si="94"/>
        <v>416.44</v>
      </c>
      <c r="V2499" s="66">
        <f t="shared" si="123"/>
        <v>0.04970760234</v>
      </c>
      <c r="W2499" s="67">
        <f t="shared" si="96"/>
        <v>341.05</v>
      </c>
      <c r="X2499" s="67">
        <f t="shared" si="112"/>
        <v>54.568</v>
      </c>
      <c r="Y2499" s="67">
        <f t="shared" si="113"/>
        <v>395.618</v>
      </c>
      <c r="Z2499" s="67">
        <f t="shared" si="99"/>
        <v>323.1</v>
      </c>
      <c r="AA2499" s="67">
        <f t="shared" si="114"/>
        <v>51.696</v>
      </c>
      <c r="AB2499" s="67">
        <f t="shared" si="115"/>
        <v>374.796</v>
      </c>
      <c r="AC2499" s="67">
        <f t="shared" si="102"/>
        <v>305.15</v>
      </c>
      <c r="AD2499" s="67">
        <f t="shared" si="116"/>
        <v>48.824</v>
      </c>
      <c r="AE2499" s="67">
        <f t="shared" si="117"/>
        <v>353.974</v>
      </c>
      <c r="AF2499" s="67">
        <f t="shared" si="105"/>
        <v>297.97</v>
      </c>
      <c r="AG2499" s="67">
        <f t="shared" si="118"/>
        <v>47.6752</v>
      </c>
      <c r="AH2499" s="67">
        <f t="shared" si="119"/>
        <v>345.6452</v>
      </c>
      <c r="AI2499" s="67">
        <f t="shared" si="108"/>
        <v>287.2</v>
      </c>
      <c r="AJ2499" s="68">
        <f t="shared" si="126"/>
        <v>45.952</v>
      </c>
      <c r="AK2499" s="68">
        <f t="shared" si="127"/>
        <v>333.152</v>
      </c>
      <c r="AL2499" s="70"/>
      <c r="AM2499" s="70"/>
      <c r="AN2499" s="71"/>
      <c r="AO2499" s="71"/>
      <c r="AP2499" s="71"/>
      <c r="AQ2499" s="71"/>
      <c r="AR2499" s="71"/>
      <c r="AS2499" s="71"/>
      <c r="AT2499" s="71"/>
      <c r="AU2499" s="71"/>
      <c r="AV2499" s="71"/>
      <c r="AW2499" s="71"/>
      <c r="AX2499" s="71"/>
      <c r="AY2499" s="71"/>
      <c r="AZ2499" s="71"/>
      <c r="BA2499" s="71"/>
      <c r="BB2499" s="71"/>
      <c r="BC2499" s="71"/>
      <c r="BD2499" s="71"/>
      <c r="BE2499" s="71"/>
      <c r="BF2499" s="71"/>
      <c r="BG2499" s="71"/>
      <c r="BH2499" s="71"/>
      <c r="BI2499" s="71"/>
      <c r="BJ2499" s="71"/>
      <c r="BK2499" s="71"/>
      <c r="BL2499" s="71"/>
      <c r="BM2499" s="71"/>
      <c r="BN2499" s="71"/>
      <c r="BO2499" s="71"/>
      <c r="BP2499" s="71"/>
      <c r="BQ2499" s="71"/>
      <c r="BR2499" s="71"/>
      <c r="BS2499" s="71"/>
      <c r="BT2499" s="71"/>
      <c r="BU2499" s="71"/>
      <c r="BV2499" s="71"/>
    </row>
    <row r="2500">
      <c r="A2500" s="53"/>
      <c r="B2500" s="53"/>
      <c r="C2500" s="53" t="s">
        <v>53</v>
      </c>
      <c r="D2500" s="53" t="s">
        <v>6149</v>
      </c>
      <c r="E2500" s="54" t="s">
        <v>38</v>
      </c>
      <c r="F2500" s="54" t="s">
        <v>42</v>
      </c>
      <c r="G2500" s="55" t="s">
        <v>6150</v>
      </c>
      <c r="H2500" s="55" t="s">
        <v>6151</v>
      </c>
      <c r="I2500" s="54">
        <f t="shared" si="125"/>
        <v>38</v>
      </c>
      <c r="J2500" s="56"/>
      <c r="K2500" s="57"/>
      <c r="L2500" s="87"/>
      <c r="M2500" s="59"/>
      <c r="N2500" s="60"/>
      <c r="O2500" s="61">
        <v>300.0</v>
      </c>
      <c r="P2500" s="62">
        <v>324.0</v>
      </c>
      <c r="Q2500" s="63">
        <v>324.0</v>
      </c>
      <c r="R2500" s="64">
        <v>341.0</v>
      </c>
      <c r="S2500" s="111">
        <v>358.0</v>
      </c>
      <c r="T2500" s="65">
        <f t="shared" si="93"/>
        <v>57.28</v>
      </c>
      <c r="U2500" s="65">
        <f t="shared" si="94"/>
        <v>415.28</v>
      </c>
      <c r="V2500" s="66">
        <f t="shared" si="123"/>
        <v>0.04985337243</v>
      </c>
      <c r="W2500" s="67">
        <f t="shared" si="96"/>
        <v>340.1</v>
      </c>
      <c r="X2500" s="67">
        <f t="shared" si="112"/>
        <v>54.416</v>
      </c>
      <c r="Y2500" s="67">
        <f t="shared" si="113"/>
        <v>394.516</v>
      </c>
      <c r="Z2500" s="67">
        <f t="shared" si="99"/>
        <v>322.2</v>
      </c>
      <c r="AA2500" s="67">
        <f t="shared" si="114"/>
        <v>51.552</v>
      </c>
      <c r="AB2500" s="67">
        <f t="shared" si="115"/>
        <v>373.752</v>
      </c>
      <c r="AC2500" s="67">
        <f t="shared" si="102"/>
        <v>304.3</v>
      </c>
      <c r="AD2500" s="67">
        <f t="shared" si="116"/>
        <v>48.688</v>
      </c>
      <c r="AE2500" s="67">
        <f t="shared" si="117"/>
        <v>352.988</v>
      </c>
      <c r="AF2500" s="67">
        <f t="shared" si="105"/>
        <v>297.14</v>
      </c>
      <c r="AG2500" s="67">
        <f t="shared" si="118"/>
        <v>47.5424</v>
      </c>
      <c r="AH2500" s="67">
        <f t="shared" si="119"/>
        <v>344.6824</v>
      </c>
      <c r="AI2500" s="67">
        <f t="shared" si="108"/>
        <v>286.4</v>
      </c>
      <c r="AJ2500" s="68">
        <f t="shared" si="126"/>
        <v>45.824</v>
      </c>
      <c r="AK2500" s="68">
        <f t="shared" si="127"/>
        <v>332.224</v>
      </c>
      <c r="AL2500" s="70"/>
      <c r="AM2500" s="70"/>
      <c r="AN2500" s="71"/>
      <c r="AO2500" s="71"/>
      <c r="AP2500" s="71"/>
      <c r="AQ2500" s="71"/>
      <c r="AR2500" s="71"/>
      <c r="AS2500" s="71"/>
      <c r="AT2500" s="71"/>
      <c r="AU2500" s="71"/>
      <c r="AV2500" s="71"/>
      <c r="AW2500" s="71"/>
      <c r="AX2500" s="71"/>
      <c r="AY2500" s="71"/>
      <c r="AZ2500" s="71"/>
      <c r="BA2500" s="71"/>
      <c r="BB2500" s="71"/>
      <c r="BC2500" s="71"/>
      <c r="BD2500" s="71"/>
      <c r="BE2500" s="71"/>
      <c r="BF2500" s="71"/>
      <c r="BG2500" s="71"/>
      <c r="BH2500" s="71"/>
      <c r="BI2500" s="71"/>
      <c r="BJ2500" s="71"/>
      <c r="BK2500" s="71"/>
      <c r="BL2500" s="71"/>
      <c r="BM2500" s="71"/>
      <c r="BN2500" s="71"/>
      <c r="BO2500" s="71"/>
      <c r="BP2500" s="71"/>
      <c r="BQ2500" s="71"/>
      <c r="BR2500" s="71"/>
      <c r="BS2500" s="71"/>
      <c r="BT2500" s="71"/>
      <c r="BU2500" s="71"/>
      <c r="BV2500" s="71"/>
    </row>
    <row r="2501">
      <c r="A2501" s="53"/>
      <c r="B2501" s="53"/>
      <c r="C2501" s="53" t="s">
        <v>36</v>
      </c>
      <c r="D2501" s="85" t="s">
        <v>6152</v>
      </c>
      <c r="E2501" s="54" t="s">
        <v>38</v>
      </c>
      <c r="F2501" s="55" t="s">
        <v>39</v>
      </c>
      <c r="G2501" s="86" t="s">
        <v>6153</v>
      </c>
      <c r="H2501" s="55"/>
      <c r="I2501" s="54">
        <f t="shared" si="125"/>
        <v>0</v>
      </c>
      <c r="J2501" s="56"/>
      <c r="K2501" s="57"/>
      <c r="L2501" s="76"/>
      <c r="M2501" s="59"/>
      <c r="N2501" s="60"/>
      <c r="O2501" s="61">
        <v>806.4</v>
      </c>
      <c r="P2501" s="62">
        <v>870.912</v>
      </c>
      <c r="Q2501" s="63">
        <v>870.912</v>
      </c>
      <c r="R2501" s="64">
        <v>915.0</v>
      </c>
      <c r="S2501" s="107">
        <v>961.0</v>
      </c>
      <c r="T2501" s="65">
        <f t="shared" si="93"/>
        <v>153.76</v>
      </c>
      <c r="U2501" s="65">
        <f t="shared" si="94"/>
        <v>1114.76</v>
      </c>
      <c r="V2501" s="66">
        <f t="shared" si="123"/>
        <v>0.05027322404</v>
      </c>
      <c r="W2501" s="67">
        <f t="shared" si="96"/>
        <v>912.95</v>
      </c>
      <c r="X2501" s="67">
        <f t="shared" si="112"/>
        <v>146.072</v>
      </c>
      <c r="Y2501" s="67">
        <f t="shared" si="113"/>
        <v>1059.022</v>
      </c>
      <c r="Z2501" s="67">
        <f t="shared" si="99"/>
        <v>864.9</v>
      </c>
      <c r="AA2501" s="67">
        <f t="shared" si="114"/>
        <v>138.384</v>
      </c>
      <c r="AB2501" s="67">
        <f t="shared" si="115"/>
        <v>1003.284</v>
      </c>
      <c r="AC2501" s="67">
        <f t="shared" si="102"/>
        <v>816.85</v>
      </c>
      <c r="AD2501" s="67">
        <f t="shared" si="116"/>
        <v>130.696</v>
      </c>
      <c r="AE2501" s="67">
        <f t="shared" si="117"/>
        <v>947.546</v>
      </c>
      <c r="AF2501" s="67">
        <f t="shared" si="105"/>
        <v>797.63</v>
      </c>
      <c r="AG2501" s="67">
        <f t="shared" si="118"/>
        <v>127.6208</v>
      </c>
      <c r="AH2501" s="67">
        <f t="shared" si="119"/>
        <v>925.2508</v>
      </c>
      <c r="AI2501" s="67">
        <f t="shared" si="108"/>
        <v>768.8</v>
      </c>
      <c r="AJ2501" s="68">
        <f t="shared" si="126"/>
        <v>123.008</v>
      </c>
      <c r="AK2501" s="68">
        <f t="shared" si="127"/>
        <v>891.808</v>
      </c>
      <c r="AL2501" s="70"/>
      <c r="AM2501" s="70"/>
      <c r="AN2501" s="71"/>
      <c r="AO2501" s="71"/>
      <c r="AP2501" s="71"/>
      <c r="AQ2501" s="71"/>
      <c r="AR2501" s="71"/>
      <c r="AS2501" s="71"/>
      <c r="AT2501" s="71"/>
      <c r="AU2501" s="71"/>
      <c r="AV2501" s="71"/>
      <c r="AW2501" s="71"/>
      <c r="AX2501" s="71"/>
      <c r="AY2501" s="71"/>
      <c r="AZ2501" s="71"/>
      <c r="BA2501" s="71"/>
      <c r="BB2501" s="71"/>
      <c r="BC2501" s="71"/>
      <c r="BD2501" s="71"/>
      <c r="BE2501" s="71"/>
      <c r="BF2501" s="71"/>
      <c r="BG2501" s="71"/>
      <c r="BH2501" s="71"/>
      <c r="BI2501" s="71"/>
      <c r="BJ2501" s="71"/>
      <c r="BK2501" s="71"/>
      <c r="BL2501" s="71"/>
      <c r="BM2501" s="71"/>
      <c r="BN2501" s="71"/>
      <c r="BO2501" s="71"/>
      <c r="BP2501" s="71"/>
      <c r="BQ2501" s="71"/>
      <c r="BR2501" s="71"/>
      <c r="BS2501" s="71"/>
      <c r="BT2501" s="71"/>
      <c r="BU2501" s="71"/>
      <c r="BV2501" s="71"/>
    </row>
    <row r="2502">
      <c r="A2502" s="53"/>
      <c r="B2502" s="53"/>
      <c r="C2502" s="53" t="s">
        <v>36</v>
      </c>
      <c r="D2502" s="85" t="s">
        <v>6154</v>
      </c>
      <c r="E2502" s="54" t="s">
        <v>38</v>
      </c>
      <c r="F2502" s="55" t="s">
        <v>39</v>
      </c>
      <c r="G2502" s="86" t="s">
        <v>6155</v>
      </c>
      <c r="H2502" s="55"/>
      <c r="I2502" s="54">
        <f t="shared" si="125"/>
        <v>0</v>
      </c>
      <c r="J2502" s="56"/>
      <c r="K2502" s="57"/>
      <c r="L2502" s="76"/>
      <c r="M2502" s="59"/>
      <c r="N2502" s="60"/>
      <c r="O2502" s="61">
        <v>960.0</v>
      </c>
      <c r="P2502" s="62">
        <v>1036.8000000000002</v>
      </c>
      <c r="Q2502" s="63">
        <v>1036.8000000000002</v>
      </c>
      <c r="R2502" s="64">
        <v>1089.0</v>
      </c>
      <c r="S2502" s="107">
        <v>1143.0</v>
      </c>
      <c r="T2502" s="65">
        <f t="shared" si="93"/>
        <v>182.88</v>
      </c>
      <c r="U2502" s="65">
        <f t="shared" si="94"/>
        <v>1325.88</v>
      </c>
      <c r="V2502" s="66">
        <f t="shared" si="123"/>
        <v>0.04958677686</v>
      </c>
      <c r="W2502" s="67">
        <f t="shared" si="96"/>
        <v>1085.85</v>
      </c>
      <c r="X2502" s="67">
        <f t="shared" si="112"/>
        <v>173.736</v>
      </c>
      <c r="Y2502" s="67">
        <f t="shared" si="113"/>
        <v>1259.586</v>
      </c>
      <c r="Z2502" s="67">
        <f t="shared" si="99"/>
        <v>1028.7</v>
      </c>
      <c r="AA2502" s="67">
        <f t="shared" si="114"/>
        <v>164.592</v>
      </c>
      <c r="AB2502" s="67">
        <f t="shared" si="115"/>
        <v>1193.292</v>
      </c>
      <c r="AC2502" s="67">
        <f t="shared" si="102"/>
        <v>971.55</v>
      </c>
      <c r="AD2502" s="67">
        <f t="shared" si="116"/>
        <v>155.448</v>
      </c>
      <c r="AE2502" s="67">
        <f t="shared" si="117"/>
        <v>1126.998</v>
      </c>
      <c r="AF2502" s="67">
        <f t="shared" si="105"/>
        <v>948.69</v>
      </c>
      <c r="AG2502" s="67">
        <f t="shared" si="118"/>
        <v>151.7904</v>
      </c>
      <c r="AH2502" s="67">
        <f t="shared" si="119"/>
        <v>1100.4804</v>
      </c>
      <c r="AI2502" s="67">
        <f t="shared" si="108"/>
        <v>914.4</v>
      </c>
      <c r="AJ2502" s="68">
        <f t="shared" si="126"/>
        <v>146.304</v>
      </c>
      <c r="AK2502" s="68">
        <f t="shared" si="127"/>
        <v>1060.704</v>
      </c>
      <c r="AL2502" s="70"/>
      <c r="AM2502" s="70"/>
      <c r="AN2502" s="71"/>
      <c r="AO2502" s="71"/>
      <c r="AP2502" s="71"/>
      <c r="AQ2502" s="71"/>
      <c r="AR2502" s="71"/>
      <c r="AS2502" s="71"/>
      <c r="AT2502" s="71"/>
      <c r="AU2502" s="71"/>
      <c r="AV2502" s="71"/>
      <c r="AW2502" s="71"/>
      <c r="AX2502" s="71"/>
      <c r="AY2502" s="71"/>
      <c r="AZ2502" s="71"/>
      <c r="BA2502" s="71"/>
      <c r="BB2502" s="71"/>
      <c r="BC2502" s="71"/>
      <c r="BD2502" s="71"/>
      <c r="BE2502" s="71"/>
      <c r="BF2502" s="71"/>
      <c r="BG2502" s="71"/>
      <c r="BH2502" s="71"/>
      <c r="BI2502" s="71"/>
      <c r="BJ2502" s="71"/>
      <c r="BK2502" s="71"/>
      <c r="BL2502" s="71"/>
      <c r="BM2502" s="71"/>
      <c r="BN2502" s="71"/>
      <c r="BO2502" s="71"/>
      <c r="BP2502" s="71"/>
      <c r="BQ2502" s="71"/>
      <c r="BR2502" s="71"/>
      <c r="BS2502" s="71"/>
      <c r="BT2502" s="71"/>
      <c r="BU2502" s="71"/>
      <c r="BV2502" s="71"/>
    </row>
    <row r="2503">
      <c r="A2503" s="53">
        <v>1.0</v>
      </c>
      <c r="B2503" s="53"/>
      <c r="C2503" s="73" t="s">
        <v>53</v>
      </c>
      <c r="D2503" s="74" t="s">
        <v>6156</v>
      </c>
      <c r="E2503" s="54" t="s">
        <v>38</v>
      </c>
      <c r="F2503" s="54" t="s">
        <v>42</v>
      </c>
      <c r="G2503" s="88" t="s">
        <v>6157</v>
      </c>
      <c r="H2503" s="54" t="s">
        <v>6158</v>
      </c>
      <c r="I2503" s="54">
        <f t="shared" si="125"/>
        <v>24</v>
      </c>
      <c r="J2503" s="56"/>
      <c r="K2503" s="57"/>
      <c r="L2503" s="87"/>
      <c r="M2503" s="59"/>
      <c r="N2503" s="60">
        <v>112.0</v>
      </c>
      <c r="O2503" s="61">
        <v>120.0</v>
      </c>
      <c r="P2503" s="62">
        <v>129.60000000000002</v>
      </c>
      <c r="Q2503" s="63">
        <v>129.60000000000002</v>
      </c>
      <c r="R2503" s="64">
        <v>144.0</v>
      </c>
      <c r="S2503" s="111">
        <v>151.0</v>
      </c>
      <c r="T2503" s="65">
        <f t="shared" si="93"/>
        <v>24.16</v>
      </c>
      <c r="U2503" s="65">
        <f t="shared" si="94"/>
        <v>175.16</v>
      </c>
      <c r="V2503" s="66">
        <f t="shared" si="123"/>
        <v>0.04861111111</v>
      </c>
      <c r="W2503" s="67">
        <f t="shared" si="96"/>
        <v>143.45</v>
      </c>
      <c r="X2503" s="67">
        <f t="shared" si="112"/>
        <v>22.952</v>
      </c>
      <c r="Y2503" s="67">
        <f t="shared" si="113"/>
        <v>166.402</v>
      </c>
      <c r="Z2503" s="67">
        <f t="shared" si="99"/>
        <v>135.9</v>
      </c>
      <c r="AA2503" s="67">
        <f t="shared" si="114"/>
        <v>21.744</v>
      </c>
      <c r="AB2503" s="67">
        <f t="shared" si="115"/>
        <v>157.644</v>
      </c>
      <c r="AC2503" s="67">
        <f t="shared" si="102"/>
        <v>128.35</v>
      </c>
      <c r="AD2503" s="67">
        <f t="shared" si="116"/>
        <v>20.536</v>
      </c>
      <c r="AE2503" s="67">
        <f t="shared" si="117"/>
        <v>148.886</v>
      </c>
      <c r="AF2503" s="67">
        <f t="shared" si="105"/>
        <v>125.33</v>
      </c>
      <c r="AG2503" s="67">
        <f t="shared" si="118"/>
        <v>20.0528</v>
      </c>
      <c r="AH2503" s="67">
        <f t="shared" si="119"/>
        <v>145.3828</v>
      </c>
      <c r="AI2503" s="67">
        <f t="shared" si="108"/>
        <v>120.8</v>
      </c>
      <c r="AJ2503" s="68">
        <f t="shared" si="126"/>
        <v>19.328</v>
      </c>
      <c r="AK2503" s="68">
        <f t="shared" si="127"/>
        <v>140.128</v>
      </c>
      <c r="AL2503" s="70"/>
      <c r="AM2503" s="70"/>
      <c r="AN2503" s="71"/>
      <c r="AO2503" s="71"/>
      <c r="AP2503" s="71"/>
      <c r="AQ2503" s="71"/>
      <c r="AR2503" s="71"/>
      <c r="AS2503" s="71"/>
      <c r="AT2503" s="71"/>
      <c r="AU2503" s="71"/>
      <c r="AV2503" s="71"/>
      <c r="AW2503" s="71"/>
      <c r="AX2503" s="71"/>
      <c r="AY2503" s="71"/>
      <c r="AZ2503" s="71"/>
      <c r="BA2503" s="71"/>
      <c r="BB2503" s="71"/>
      <c r="BC2503" s="71"/>
      <c r="BD2503" s="71"/>
      <c r="BE2503" s="71"/>
      <c r="BF2503" s="71"/>
      <c r="BG2503" s="71"/>
      <c r="BH2503" s="71"/>
      <c r="BI2503" s="71"/>
      <c r="BJ2503" s="71"/>
      <c r="BK2503" s="71"/>
      <c r="BL2503" s="71"/>
      <c r="BM2503" s="71"/>
      <c r="BN2503" s="71"/>
      <c r="BO2503" s="71"/>
      <c r="BP2503" s="71"/>
      <c r="BQ2503" s="71"/>
      <c r="BR2503" s="71"/>
      <c r="BS2503" s="71"/>
      <c r="BT2503" s="71"/>
      <c r="BU2503" s="71"/>
      <c r="BV2503" s="71"/>
    </row>
    <row r="2504">
      <c r="A2504" s="53">
        <v>1.0</v>
      </c>
      <c r="B2504" s="53"/>
      <c r="C2504" s="73" t="s">
        <v>53</v>
      </c>
      <c r="D2504" s="74" t="s">
        <v>6159</v>
      </c>
      <c r="E2504" s="54" t="s">
        <v>38</v>
      </c>
      <c r="F2504" s="54" t="s">
        <v>42</v>
      </c>
      <c r="G2504" s="88" t="s">
        <v>6160</v>
      </c>
      <c r="H2504" s="54" t="s">
        <v>6161</v>
      </c>
      <c r="I2504" s="54">
        <f t="shared" si="125"/>
        <v>28</v>
      </c>
      <c r="J2504" s="56"/>
      <c r="K2504" s="57"/>
      <c r="L2504" s="77"/>
      <c r="M2504" s="59"/>
      <c r="N2504" s="60">
        <v>97.0</v>
      </c>
      <c r="O2504" s="61">
        <v>104.0</v>
      </c>
      <c r="P2504" s="62">
        <v>112.32000000000001</v>
      </c>
      <c r="Q2504" s="63">
        <v>112.32000000000001</v>
      </c>
      <c r="R2504" s="64">
        <v>119.0</v>
      </c>
      <c r="S2504" s="65">
        <v>148.0</v>
      </c>
      <c r="T2504" s="65">
        <f t="shared" si="93"/>
        <v>23.68</v>
      </c>
      <c r="U2504" s="65">
        <f t="shared" si="94"/>
        <v>171.68</v>
      </c>
      <c r="V2504" s="66">
        <f t="shared" si="123"/>
        <v>0.243697479</v>
      </c>
      <c r="W2504" s="67">
        <f t="shared" si="96"/>
        <v>140.6</v>
      </c>
      <c r="X2504" s="67">
        <f t="shared" si="112"/>
        <v>22.496</v>
      </c>
      <c r="Y2504" s="67">
        <f t="shared" si="113"/>
        <v>163.096</v>
      </c>
      <c r="Z2504" s="67">
        <f t="shared" si="99"/>
        <v>133.2</v>
      </c>
      <c r="AA2504" s="67">
        <f t="shared" si="114"/>
        <v>21.312</v>
      </c>
      <c r="AB2504" s="67">
        <f t="shared" si="115"/>
        <v>154.512</v>
      </c>
      <c r="AC2504" s="67">
        <f t="shared" si="102"/>
        <v>125.8</v>
      </c>
      <c r="AD2504" s="67">
        <f t="shared" si="116"/>
        <v>20.128</v>
      </c>
      <c r="AE2504" s="67">
        <f t="shared" si="117"/>
        <v>145.928</v>
      </c>
      <c r="AF2504" s="67">
        <f t="shared" si="105"/>
        <v>122.84</v>
      </c>
      <c r="AG2504" s="67">
        <f t="shared" si="118"/>
        <v>19.6544</v>
      </c>
      <c r="AH2504" s="67">
        <f t="shared" si="119"/>
        <v>142.4944</v>
      </c>
      <c r="AI2504" s="67">
        <f t="shared" si="108"/>
        <v>118.4</v>
      </c>
      <c r="AJ2504" s="68">
        <f t="shared" si="126"/>
        <v>18.944</v>
      </c>
      <c r="AK2504" s="68">
        <f t="shared" si="127"/>
        <v>137.344</v>
      </c>
      <c r="AL2504" s="70"/>
      <c r="AM2504" s="70"/>
      <c r="AN2504" s="71"/>
      <c r="AO2504" s="71"/>
      <c r="AP2504" s="71"/>
      <c r="AQ2504" s="71"/>
      <c r="AR2504" s="71"/>
      <c r="AS2504" s="71"/>
      <c r="AT2504" s="71"/>
      <c r="AU2504" s="71"/>
      <c r="AV2504" s="71"/>
      <c r="AW2504" s="71"/>
      <c r="AX2504" s="71"/>
      <c r="AY2504" s="71"/>
      <c r="AZ2504" s="71"/>
      <c r="BA2504" s="71"/>
      <c r="BB2504" s="71"/>
      <c r="BC2504" s="71"/>
      <c r="BD2504" s="71"/>
      <c r="BE2504" s="71"/>
      <c r="BF2504" s="71"/>
      <c r="BG2504" s="71"/>
      <c r="BH2504" s="71"/>
      <c r="BI2504" s="71"/>
      <c r="BJ2504" s="71"/>
      <c r="BK2504" s="71"/>
      <c r="BL2504" s="71"/>
      <c r="BM2504" s="71"/>
      <c r="BN2504" s="71"/>
      <c r="BO2504" s="71"/>
      <c r="BP2504" s="71"/>
      <c r="BQ2504" s="71"/>
      <c r="BR2504" s="71"/>
      <c r="BS2504" s="71"/>
      <c r="BT2504" s="71"/>
      <c r="BU2504" s="71"/>
      <c r="BV2504" s="71"/>
    </row>
    <row r="2505">
      <c r="A2505" s="53"/>
      <c r="B2505" s="53"/>
      <c r="C2505" s="53" t="s">
        <v>53</v>
      </c>
      <c r="D2505" s="53" t="s">
        <v>6162</v>
      </c>
      <c r="E2505" s="54" t="s">
        <v>38</v>
      </c>
      <c r="F2505" s="54" t="s">
        <v>42</v>
      </c>
      <c r="G2505" s="55" t="s">
        <v>6163</v>
      </c>
      <c r="H2505" s="55" t="s">
        <v>6163</v>
      </c>
      <c r="I2505" s="54">
        <f t="shared" si="125"/>
        <v>38</v>
      </c>
      <c r="J2505" s="56"/>
      <c r="K2505" s="57"/>
      <c r="L2505" s="87"/>
      <c r="M2505" s="59"/>
      <c r="N2505" s="60"/>
      <c r="O2505" s="61">
        <v>300.0</v>
      </c>
      <c r="P2505" s="62">
        <v>324.0</v>
      </c>
      <c r="Q2505" s="63">
        <v>324.0</v>
      </c>
      <c r="R2505" s="64">
        <v>341.0</v>
      </c>
      <c r="S2505" s="111">
        <v>358.0</v>
      </c>
      <c r="T2505" s="65">
        <f t="shared" si="93"/>
        <v>57.28</v>
      </c>
      <c r="U2505" s="65">
        <f t="shared" si="94"/>
        <v>415.28</v>
      </c>
      <c r="V2505" s="66">
        <f t="shared" si="123"/>
        <v>0.04985337243</v>
      </c>
      <c r="W2505" s="67">
        <f t="shared" si="96"/>
        <v>340.1</v>
      </c>
      <c r="X2505" s="67">
        <f t="shared" si="112"/>
        <v>54.416</v>
      </c>
      <c r="Y2505" s="67">
        <f t="shared" si="113"/>
        <v>394.516</v>
      </c>
      <c r="Z2505" s="67">
        <f t="shared" si="99"/>
        <v>322.2</v>
      </c>
      <c r="AA2505" s="67">
        <f t="shared" si="114"/>
        <v>51.552</v>
      </c>
      <c r="AB2505" s="67">
        <f t="shared" si="115"/>
        <v>373.752</v>
      </c>
      <c r="AC2505" s="67">
        <f t="shared" si="102"/>
        <v>304.3</v>
      </c>
      <c r="AD2505" s="67">
        <f t="shared" si="116"/>
        <v>48.688</v>
      </c>
      <c r="AE2505" s="67">
        <f t="shared" si="117"/>
        <v>352.988</v>
      </c>
      <c r="AF2505" s="67">
        <f t="shared" si="105"/>
        <v>297.14</v>
      </c>
      <c r="AG2505" s="67">
        <f t="shared" si="118"/>
        <v>47.5424</v>
      </c>
      <c r="AH2505" s="67">
        <f t="shared" si="119"/>
        <v>344.6824</v>
      </c>
      <c r="AI2505" s="67">
        <f t="shared" si="108"/>
        <v>286.4</v>
      </c>
      <c r="AJ2505" s="68">
        <f t="shared" si="126"/>
        <v>45.824</v>
      </c>
      <c r="AK2505" s="68">
        <f t="shared" si="127"/>
        <v>332.224</v>
      </c>
      <c r="AL2505" s="70"/>
      <c r="AM2505" s="70"/>
      <c r="AN2505" s="71"/>
      <c r="AO2505" s="71"/>
      <c r="AP2505" s="71"/>
      <c r="AQ2505" s="71"/>
      <c r="AR2505" s="71"/>
      <c r="AS2505" s="71"/>
      <c r="AT2505" s="71"/>
      <c r="AU2505" s="71"/>
      <c r="AV2505" s="71"/>
      <c r="AW2505" s="71"/>
      <c r="AX2505" s="71"/>
      <c r="AY2505" s="71"/>
      <c r="AZ2505" s="71"/>
      <c r="BA2505" s="71"/>
      <c r="BB2505" s="71"/>
      <c r="BC2505" s="71"/>
      <c r="BD2505" s="71"/>
      <c r="BE2505" s="71"/>
      <c r="BF2505" s="71"/>
      <c r="BG2505" s="71"/>
      <c r="BH2505" s="71"/>
      <c r="BI2505" s="71"/>
      <c r="BJ2505" s="71"/>
      <c r="BK2505" s="71"/>
      <c r="BL2505" s="71"/>
      <c r="BM2505" s="71"/>
      <c r="BN2505" s="71"/>
      <c r="BO2505" s="71"/>
      <c r="BP2505" s="71"/>
      <c r="BQ2505" s="71"/>
      <c r="BR2505" s="71"/>
      <c r="BS2505" s="71"/>
      <c r="BT2505" s="71"/>
      <c r="BU2505" s="71"/>
      <c r="BV2505" s="71"/>
    </row>
    <row r="2506">
      <c r="A2506" s="53"/>
      <c r="B2506" s="53"/>
      <c r="C2506" s="53" t="s">
        <v>36</v>
      </c>
      <c r="D2506" s="85" t="s">
        <v>6164</v>
      </c>
      <c r="E2506" s="54" t="s">
        <v>38</v>
      </c>
      <c r="F2506" s="55" t="s">
        <v>39</v>
      </c>
      <c r="G2506" s="86" t="s">
        <v>6165</v>
      </c>
      <c r="H2506" s="55"/>
      <c r="I2506" s="54">
        <f t="shared" si="125"/>
        <v>0</v>
      </c>
      <c r="J2506" s="56"/>
      <c r="K2506" s="57"/>
      <c r="L2506" s="76"/>
      <c r="M2506" s="59"/>
      <c r="N2506" s="60"/>
      <c r="O2506" s="61">
        <v>566.4</v>
      </c>
      <c r="P2506" s="62">
        <v>611.712</v>
      </c>
      <c r="Q2506" s="63">
        <v>611.712</v>
      </c>
      <c r="R2506" s="64">
        <v>643.0</v>
      </c>
      <c r="S2506" s="107">
        <v>675.0</v>
      </c>
      <c r="T2506" s="65">
        <f t="shared" si="93"/>
        <v>108</v>
      </c>
      <c r="U2506" s="65">
        <f t="shared" si="94"/>
        <v>783</v>
      </c>
      <c r="V2506" s="66">
        <f t="shared" si="123"/>
        <v>0.04976671851</v>
      </c>
      <c r="W2506" s="67">
        <f t="shared" si="96"/>
        <v>641.25</v>
      </c>
      <c r="X2506" s="67">
        <f t="shared" si="112"/>
        <v>102.6</v>
      </c>
      <c r="Y2506" s="67">
        <f t="shared" si="113"/>
        <v>743.85</v>
      </c>
      <c r="Z2506" s="67">
        <f t="shared" si="99"/>
        <v>607.5</v>
      </c>
      <c r="AA2506" s="67">
        <f t="shared" si="114"/>
        <v>97.2</v>
      </c>
      <c r="AB2506" s="67">
        <f t="shared" si="115"/>
        <v>704.7</v>
      </c>
      <c r="AC2506" s="67">
        <f t="shared" si="102"/>
        <v>573.75</v>
      </c>
      <c r="AD2506" s="67">
        <f t="shared" si="116"/>
        <v>91.8</v>
      </c>
      <c r="AE2506" s="67">
        <f t="shared" si="117"/>
        <v>665.55</v>
      </c>
      <c r="AF2506" s="67">
        <f t="shared" si="105"/>
        <v>560.25</v>
      </c>
      <c r="AG2506" s="67">
        <f t="shared" si="118"/>
        <v>89.64</v>
      </c>
      <c r="AH2506" s="67">
        <f t="shared" si="119"/>
        <v>649.89</v>
      </c>
      <c r="AI2506" s="67">
        <f t="shared" si="108"/>
        <v>540</v>
      </c>
      <c r="AJ2506" s="68">
        <f t="shared" si="126"/>
        <v>86.4</v>
      </c>
      <c r="AK2506" s="68">
        <f t="shared" si="127"/>
        <v>626.4</v>
      </c>
      <c r="AL2506" s="70"/>
      <c r="AM2506" s="70"/>
      <c r="AN2506" s="71"/>
      <c r="AO2506" s="71"/>
      <c r="AP2506" s="71"/>
      <c r="AQ2506" s="71"/>
      <c r="AR2506" s="71"/>
      <c r="AS2506" s="71"/>
      <c r="AT2506" s="71"/>
      <c r="AU2506" s="71"/>
      <c r="AV2506" s="71"/>
      <c r="AW2506" s="71"/>
      <c r="AX2506" s="71"/>
      <c r="AY2506" s="71"/>
      <c r="AZ2506" s="71"/>
      <c r="BA2506" s="71"/>
      <c r="BB2506" s="71"/>
      <c r="BC2506" s="71"/>
      <c r="BD2506" s="71"/>
      <c r="BE2506" s="71"/>
      <c r="BF2506" s="71"/>
      <c r="BG2506" s="71"/>
      <c r="BH2506" s="71"/>
      <c r="BI2506" s="71"/>
      <c r="BJ2506" s="71"/>
      <c r="BK2506" s="71"/>
      <c r="BL2506" s="71"/>
      <c r="BM2506" s="71"/>
      <c r="BN2506" s="71"/>
      <c r="BO2506" s="71"/>
      <c r="BP2506" s="71"/>
      <c r="BQ2506" s="71"/>
      <c r="BR2506" s="71"/>
      <c r="BS2506" s="71"/>
      <c r="BT2506" s="71"/>
      <c r="BU2506" s="71"/>
      <c r="BV2506" s="71"/>
    </row>
    <row r="2507">
      <c r="A2507" s="53"/>
      <c r="B2507" s="53"/>
      <c r="C2507" s="53" t="s">
        <v>36</v>
      </c>
      <c r="D2507" s="85" t="s">
        <v>6166</v>
      </c>
      <c r="E2507" s="54" t="s">
        <v>38</v>
      </c>
      <c r="F2507" s="55" t="s">
        <v>39</v>
      </c>
      <c r="G2507" s="86" t="s">
        <v>6167</v>
      </c>
      <c r="H2507" s="55"/>
      <c r="I2507" s="54">
        <f t="shared" si="125"/>
        <v>0</v>
      </c>
      <c r="J2507" s="56"/>
      <c r="K2507" s="57"/>
      <c r="L2507" s="76"/>
      <c r="M2507" s="59"/>
      <c r="N2507" s="60"/>
      <c r="O2507" s="61">
        <v>230.4</v>
      </c>
      <c r="P2507" s="62">
        <v>248.83200000000002</v>
      </c>
      <c r="Q2507" s="63">
        <v>248.83200000000002</v>
      </c>
      <c r="R2507" s="64">
        <v>262.0</v>
      </c>
      <c r="S2507" s="107">
        <v>275.0</v>
      </c>
      <c r="T2507" s="65">
        <f t="shared" si="93"/>
        <v>44</v>
      </c>
      <c r="U2507" s="65">
        <f t="shared" si="94"/>
        <v>319</v>
      </c>
      <c r="V2507" s="66">
        <f t="shared" si="123"/>
        <v>0.04961832061</v>
      </c>
      <c r="W2507" s="67">
        <f t="shared" si="96"/>
        <v>261.25</v>
      </c>
      <c r="X2507" s="67">
        <f t="shared" si="112"/>
        <v>41.8</v>
      </c>
      <c r="Y2507" s="67">
        <f t="shared" si="113"/>
        <v>303.05</v>
      </c>
      <c r="Z2507" s="67">
        <f t="shared" si="99"/>
        <v>247.5</v>
      </c>
      <c r="AA2507" s="67">
        <f t="shared" si="114"/>
        <v>39.6</v>
      </c>
      <c r="AB2507" s="67">
        <f t="shared" si="115"/>
        <v>287.1</v>
      </c>
      <c r="AC2507" s="67">
        <f t="shared" si="102"/>
        <v>233.75</v>
      </c>
      <c r="AD2507" s="67">
        <f t="shared" si="116"/>
        <v>37.4</v>
      </c>
      <c r="AE2507" s="67">
        <f t="shared" si="117"/>
        <v>271.15</v>
      </c>
      <c r="AF2507" s="67">
        <f t="shared" si="105"/>
        <v>228.25</v>
      </c>
      <c r="AG2507" s="67">
        <f t="shared" si="118"/>
        <v>36.52</v>
      </c>
      <c r="AH2507" s="67">
        <f t="shared" si="119"/>
        <v>264.77</v>
      </c>
      <c r="AI2507" s="67">
        <f t="shared" si="108"/>
        <v>220</v>
      </c>
      <c r="AJ2507" s="68">
        <f t="shared" si="126"/>
        <v>35.2</v>
      </c>
      <c r="AK2507" s="68">
        <f t="shared" si="127"/>
        <v>255.2</v>
      </c>
      <c r="AL2507" s="70"/>
      <c r="AM2507" s="70"/>
      <c r="AN2507" s="71"/>
      <c r="AO2507" s="71"/>
      <c r="AP2507" s="71"/>
      <c r="AQ2507" s="71"/>
      <c r="AR2507" s="71"/>
      <c r="AS2507" s="71"/>
      <c r="AT2507" s="71"/>
      <c r="AU2507" s="71"/>
      <c r="AV2507" s="71"/>
      <c r="AW2507" s="71"/>
      <c r="AX2507" s="71"/>
      <c r="AY2507" s="71"/>
      <c r="AZ2507" s="71"/>
      <c r="BA2507" s="71"/>
      <c r="BB2507" s="71"/>
      <c r="BC2507" s="71"/>
      <c r="BD2507" s="71"/>
      <c r="BE2507" s="71"/>
      <c r="BF2507" s="71"/>
      <c r="BG2507" s="71"/>
      <c r="BH2507" s="71"/>
      <c r="BI2507" s="71"/>
      <c r="BJ2507" s="71"/>
      <c r="BK2507" s="71"/>
      <c r="BL2507" s="71"/>
      <c r="BM2507" s="71"/>
      <c r="BN2507" s="71"/>
      <c r="BO2507" s="71"/>
      <c r="BP2507" s="71"/>
      <c r="BQ2507" s="71"/>
      <c r="BR2507" s="71"/>
      <c r="BS2507" s="71"/>
      <c r="BT2507" s="71"/>
      <c r="BU2507" s="71"/>
      <c r="BV2507" s="71"/>
    </row>
    <row r="2508">
      <c r="A2508" s="53"/>
      <c r="B2508" s="53"/>
      <c r="C2508" s="53" t="s">
        <v>36</v>
      </c>
      <c r="D2508" s="85" t="s">
        <v>6168</v>
      </c>
      <c r="E2508" s="54" t="s">
        <v>38</v>
      </c>
      <c r="F2508" s="55" t="s">
        <v>39</v>
      </c>
      <c r="G2508" s="86" t="s">
        <v>6169</v>
      </c>
      <c r="H2508" s="55"/>
      <c r="I2508" s="54">
        <f t="shared" si="125"/>
        <v>0</v>
      </c>
      <c r="J2508" s="56"/>
      <c r="K2508" s="57"/>
      <c r="L2508" s="76"/>
      <c r="M2508" s="59"/>
      <c r="N2508" s="60"/>
      <c r="O2508" s="61">
        <v>960.0</v>
      </c>
      <c r="P2508" s="62">
        <v>1036.8000000000002</v>
      </c>
      <c r="Q2508" s="63">
        <v>1036.8000000000002</v>
      </c>
      <c r="R2508" s="64">
        <v>1089.0</v>
      </c>
      <c r="S2508" s="107">
        <v>1143.0</v>
      </c>
      <c r="T2508" s="65">
        <f t="shared" si="93"/>
        <v>182.88</v>
      </c>
      <c r="U2508" s="65">
        <f t="shared" si="94"/>
        <v>1325.88</v>
      </c>
      <c r="V2508" s="66">
        <f t="shared" si="123"/>
        <v>0.04958677686</v>
      </c>
      <c r="W2508" s="67">
        <f t="shared" si="96"/>
        <v>1085.85</v>
      </c>
      <c r="X2508" s="67">
        <f t="shared" si="112"/>
        <v>173.736</v>
      </c>
      <c r="Y2508" s="67">
        <f t="shared" si="113"/>
        <v>1259.586</v>
      </c>
      <c r="Z2508" s="67">
        <f t="shared" si="99"/>
        <v>1028.7</v>
      </c>
      <c r="AA2508" s="67">
        <f t="shared" si="114"/>
        <v>164.592</v>
      </c>
      <c r="AB2508" s="67">
        <f t="shared" si="115"/>
        <v>1193.292</v>
      </c>
      <c r="AC2508" s="67">
        <f t="shared" si="102"/>
        <v>971.55</v>
      </c>
      <c r="AD2508" s="67">
        <f t="shared" si="116"/>
        <v>155.448</v>
      </c>
      <c r="AE2508" s="67">
        <f t="shared" si="117"/>
        <v>1126.998</v>
      </c>
      <c r="AF2508" s="67">
        <f t="shared" si="105"/>
        <v>948.69</v>
      </c>
      <c r="AG2508" s="67">
        <f t="shared" si="118"/>
        <v>151.7904</v>
      </c>
      <c r="AH2508" s="67">
        <f t="shared" si="119"/>
        <v>1100.4804</v>
      </c>
      <c r="AI2508" s="67">
        <f t="shared" si="108"/>
        <v>914.4</v>
      </c>
      <c r="AJ2508" s="68">
        <f t="shared" si="126"/>
        <v>146.304</v>
      </c>
      <c r="AK2508" s="68">
        <f t="shared" si="127"/>
        <v>1060.704</v>
      </c>
      <c r="AL2508" s="70"/>
      <c r="AM2508" s="70"/>
      <c r="AN2508" s="71"/>
      <c r="AO2508" s="71"/>
      <c r="AP2508" s="71"/>
      <c r="AQ2508" s="71"/>
      <c r="AR2508" s="71"/>
      <c r="AS2508" s="71"/>
      <c r="AT2508" s="71"/>
      <c r="AU2508" s="71"/>
      <c r="AV2508" s="71"/>
      <c r="AW2508" s="71"/>
      <c r="AX2508" s="71"/>
      <c r="AY2508" s="71"/>
      <c r="AZ2508" s="71"/>
      <c r="BA2508" s="71"/>
      <c r="BB2508" s="71"/>
      <c r="BC2508" s="71"/>
      <c r="BD2508" s="71"/>
      <c r="BE2508" s="71"/>
      <c r="BF2508" s="71"/>
      <c r="BG2508" s="71"/>
      <c r="BH2508" s="71"/>
      <c r="BI2508" s="71"/>
      <c r="BJ2508" s="71"/>
      <c r="BK2508" s="71"/>
      <c r="BL2508" s="71"/>
      <c r="BM2508" s="71"/>
      <c r="BN2508" s="71"/>
      <c r="BO2508" s="71"/>
      <c r="BP2508" s="71"/>
      <c r="BQ2508" s="71"/>
      <c r="BR2508" s="71"/>
      <c r="BS2508" s="71"/>
      <c r="BT2508" s="71"/>
      <c r="BU2508" s="71"/>
      <c r="BV2508" s="71"/>
    </row>
    <row r="2509">
      <c r="A2509" s="53">
        <v>1.0</v>
      </c>
      <c r="B2509" s="53"/>
      <c r="C2509" s="73" t="s">
        <v>53</v>
      </c>
      <c r="D2509" s="74" t="s">
        <v>6170</v>
      </c>
      <c r="E2509" s="54" t="s">
        <v>38</v>
      </c>
      <c r="F2509" s="54" t="s">
        <v>42</v>
      </c>
      <c r="G2509" s="88" t="s">
        <v>6171</v>
      </c>
      <c r="H2509" s="54" t="s">
        <v>6172</v>
      </c>
      <c r="I2509" s="54">
        <f t="shared" si="125"/>
        <v>20</v>
      </c>
      <c r="J2509" s="56"/>
      <c r="K2509" s="57"/>
      <c r="L2509" s="87"/>
      <c r="M2509" s="59"/>
      <c r="N2509" s="60">
        <v>331.0</v>
      </c>
      <c r="O2509" s="61">
        <v>357.0</v>
      </c>
      <c r="P2509" s="62">
        <v>385.56</v>
      </c>
      <c r="Q2509" s="63">
        <v>385.56</v>
      </c>
      <c r="R2509" s="64">
        <v>430.0</v>
      </c>
      <c r="S2509" s="111">
        <v>452.0</v>
      </c>
      <c r="T2509" s="65">
        <f t="shared" si="93"/>
        <v>72.32</v>
      </c>
      <c r="U2509" s="65">
        <f t="shared" si="94"/>
        <v>524.32</v>
      </c>
      <c r="V2509" s="66">
        <f t="shared" si="123"/>
        <v>0.0511627907</v>
      </c>
      <c r="W2509" s="67">
        <f t="shared" si="96"/>
        <v>429.4</v>
      </c>
      <c r="X2509" s="67">
        <f t="shared" si="112"/>
        <v>68.704</v>
      </c>
      <c r="Y2509" s="67">
        <f t="shared" si="113"/>
        <v>498.104</v>
      </c>
      <c r="Z2509" s="67">
        <f t="shared" si="99"/>
        <v>406.8</v>
      </c>
      <c r="AA2509" s="67">
        <f t="shared" si="114"/>
        <v>65.088</v>
      </c>
      <c r="AB2509" s="67">
        <f t="shared" si="115"/>
        <v>471.888</v>
      </c>
      <c r="AC2509" s="67">
        <f t="shared" si="102"/>
        <v>384.2</v>
      </c>
      <c r="AD2509" s="67">
        <f t="shared" si="116"/>
        <v>61.472</v>
      </c>
      <c r="AE2509" s="67">
        <f t="shared" si="117"/>
        <v>445.672</v>
      </c>
      <c r="AF2509" s="67">
        <f t="shared" si="105"/>
        <v>375.16</v>
      </c>
      <c r="AG2509" s="67">
        <f t="shared" si="118"/>
        <v>60.0256</v>
      </c>
      <c r="AH2509" s="67">
        <f t="shared" si="119"/>
        <v>435.1856</v>
      </c>
      <c r="AI2509" s="67">
        <f t="shared" si="108"/>
        <v>361.6</v>
      </c>
      <c r="AJ2509" s="68">
        <f t="shared" si="126"/>
        <v>57.856</v>
      </c>
      <c r="AK2509" s="68">
        <f t="shared" si="127"/>
        <v>419.456</v>
      </c>
      <c r="AL2509" s="70"/>
      <c r="AM2509" s="70"/>
      <c r="AN2509" s="71"/>
      <c r="AO2509" s="71"/>
      <c r="AP2509" s="71"/>
      <c r="AQ2509" s="71"/>
      <c r="AR2509" s="71"/>
      <c r="AS2509" s="71"/>
      <c r="AT2509" s="71"/>
      <c r="AU2509" s="71"/>
      <c r="AV2509" s="71"/>
      <c r="AW2509" s="71"/>
      <c r="AX2509" s="71"/>
      <c r="AY2509" s="71"/>
      <c r="AZ2509" s="71"/>
      <c r="BA2509" s="71"/>
      <c r="BB2509" s="71"/>
      <c r="BC2509" s="71"/>
      <c r="BD2509" s="71"/>
      <c r="BE2509" s="71"/>
      <c r="BF2509" s="71"/>
      <c r="BG2509" s="71"/>
      <c r="BH2509" s="71"/>
      <c r="BI2509" s="71"/>
      <c r="BJ2509" s="71"/>
      <c r="BK2509" s="71"/>
      <c r="BL2509" s="71"/>
      <c r="BM2509" s="71"/>
      <c r="BN2509" s="71"/>
      <c r="BO2509" s="71"/>
      <c r="BP2509" s="71"/>
      <c r="BQ2509" s="71"/>
      <c r="BR2509" s="71"/>
      <c r="BS2509" s="71"/>
      <c r="BT2509" s="71"/>
      <c r="BU2509" s="71"/>
      <c r="BV2509" s="71"/>
    </row>
    <row r="2510">
      <c r="A2510" s="53">
        <v>1.0</v>
      </c>
      <c r="B2510" s="53"/>
      <c r="C2510" s="73" t="s">
        <v>53</v>
      </c>
      <c r="D2510" s="74" t="s">
        <v>6173</v>
      </c>
      <c r="E2510" s="54" t="s">
        <v>38</v>
      </c>
      <c r="F2510" s="54" t="s">
        <v>42</v>
      </c>
      <c r="G2510" s="55" t="s">
        <v>6174</v>
      </c>
      <c r="H2510" s="54" t="s">
        <v>6175</v>
      </c>
      <c r="I2510" s="54">
        <f t="shared" si="125"/>
        <v>25</v>
      </c>
      <c r="J2510" s="56"/>
      <c r="K2510" s="57"/>
      <c r="L2510" s="87"/>
      <c r="M2510" s="59"/>
      <c r="N2510" s="60">
        <v>561.0</v>
      </c>
      <c r="O2510" s="61">
        <v>605.0</v>
      </c>
      <c r="P2510" s="62">
        <v>653.4000000000001</v>
      </c>
      <c r="Q2510" s="63">
        <v>653.4000000000001</v>
      </c>
      <c r="R2510" s="64">
        <v>728.0</v>
      </c>
      <c r="S2510" s="111">
        <v>764.0</v>
      </c>
      <c r="T2510" s="65">
        <f t="shared" si="93"/>
        <v>122.24</v>
      </c>
      <c r="U2510" s="65">
        <f t="shared" si="94"/>
        <v>886.24</v>
      </c>
      <c r="V2510" s="66">
        <f t="shared" si="123"/>
        <v>0.04945054945</v>
      </c>
      <c r="W2510" s="67">
        <f t="shared" si="96"/>
        <v>725.8</v>
      </c>
      <c r="X2510" s="67">
        <f t="shared" si="112"/>
        <v>116.128</v>
      </c>
      <c r="Y2510" s="67">
        <f t="shared" si="113"/>
        <v>841.928</v>
      </c>
      <c r="Z2510" s="67">
        <f t="shared" si="99"/>
        <v>687.6</v>
      </c>
      <c r="AA2510" s="67">
        <f t="shared" si="114"/>
        <v>110.016</v>
      </c>
      <c r="AB2510" s="67">
        <f t="shared" si="115"/>
        <v>797.616</v>
      </c>
      <c r="AC2510" s="67">
        <f t="shared" si="102"/>
        <v>649.4</v>
      </c>
      <c r="AD2510" s="67">
        <f t="shared" si="116"/>
        <v>103.904</v>
      </c>
      <c r="AE2510" s="67">
        <f t="shared" si="117"/>
        <v>753.304</v>
      </c>
      <c r="AF2510" s="67">
        <f t="shared" si="105"/>
        <v>634.12</v>
      </c>
      <c r="AG2510" s="67">
        <f t="shared" si="118"/>
        <v>101.4592</v>
      </c>
      <c r="AH2510" s="67">
        <f t="shared" si="119"/>
        <v>735.5792</v>
      </c>
      <c r="AI2510" s="67">
        <f t="shared" si="108"/>
        <v>611.2</v>
      </c>
      <c r="AJ2510" s="68">
        <f t="shared" si="126"/>
        <v>97.792</v>
      </c>
      <c r="AK2510" s="68">
        <f t="shared" si="127"/>
        <v>708.992</v>
      </c>
      <c r="AL2510" s="70"/>
      <c r="AM2510" s="70"/>
      <c r="AN2510" s="71"/>
      <c r="AO2510" s="71"/>
      <c r="AP2510" s="71"/>
      <c r="AQ2510" s="71"/>
      <c r="AR2510" s="71"/>
      <c r="AS2510" s="71"/>
      <c r="AT2510" s="71"/>
      <c r="AU2510" s="71"/>
      <c r="AV2510" s="71"/>
      <c r="AW2510" s="71"/>
      <c r="AX2510" s="71"/>
      <c r="AY2510" s="71"/>
      <c r="AZ2510" s="71"/>
      <c r="BA2510" s="71"/>
      <c r="BB2510" s="71"/>
      <c r="BC2510" s="71"/>
      <c r="BD2510" s="71"/>
      <c r="BE2510" s="71"/>
      <c r="BF2510" s="71"/>
      <c r="BG2510" s="71"/>
      <c r="BH2510" s="71"/>
      <c r="BI2510" s="71"/>
      <c r="BJ2510" s="71"/>
      <c r="BK2510" s="71"/>
      <c r="BL2510" s="71"/>
      <c r="BM2510" s="71"/>
      <c r="BN2510" s="71"/>
      <c r="BO2510" s="71"/>
      <c r="BP2510" s="71"/>
      <c r="BQ2510" s="71"/>
      <c r="BR2510" s="71"/>
      <c r="BS2510" s="71"/>
      <c r="BT2510" s="71"/>
      <c r="BU2510" s="71"/>
      <c r="BV2510" s="71"/>
    </row>
    <row r="2511">
      <c r="A2511" s="53">
        <v>1.0</v>
      </c>
      <c r="B2511" s="53"/>
      <c r="C2511" s="73" t="s">
        <v>53</v>
      </c>
      <c r="D2511" s="74" t="s">
        <v>6176</v>
      </c>
      <c r="E2511" s="54" t="s">
        <v>38</v>
      </c>
      <c r="F2511" s="54" t="s">
        <v>42</v>
      </c>
      <c r="G2511" s="88" t="s">
        <v>6177</v>
      </c>
      <c r="H2511" s="54" t="s">
        <v>6177</v>
      </c>
      <c r="I2511" s="54">
        <f t="shared" si="125"/>
        <v>24</v>
      </c>
      <c r="J2511" s="56"/>
      <c r="K2511" s="57"/>
      <c r="L2511" s="87"/>
      <c r="M2511" s="59"/>
      <c r="N2511" s="60">
        <v>277.0</v>
      </c>
      <c r="O2511" s="61">
        <v>299.0</v>
      </c>
      <c r="P2511" s="62">
        <v>322.92</v>
      </c>
      <c r="Q2511" s="63">
        <v>322.92</v>
      </c>
      <c r="R2511" s="64">
        <v>361.0</v>
      </c>
      <c r="S2511" s="111">
        <v>379.0</v>
      </c>
      <c r="T2511" s="65">
        <f t="shared" si="93"/>
        <v>60.64</v>
      </c>
      <c r="U2511" s="65">
        <f t="shared" si="94"/>
        <v>439.64</v>
      </c>
      <c r="V2511" s="66">
        <f t="shared" si="123"/>
        <v>0.04986149584</v>
      </c>
      <c r="W2511" s="67">
        <f t="shared" si="96"/>
        <v>360.05</v>
      </c>
      <c r="X2511" s="67">
        <f t="shared" si="112"/>
        <v>57.608</v>
      </c>
      <c r="Y2511" s="67">
        <f t="shared" si="113"/>
        <v>417.658</v>
      </c>
      <c r="Z2511" s="67">
        <f t="shared" si="99"/>
        <v>341.1</v>
      </c>
      <c r="AA2511" s="67">
        <f t="shared" si="114"/>
        <v>54.576</v>
      </c>
      <c r="AB2511" s="67">
        <f t="shared" si="115"/>
        <v>395.676</v>
      </c>
      <c r="AC2511" s="67">
        <f t="shared" si="102"/>
        <v>322.15</v>
      </c>
      <c r="AD2511" s="67">
        <f t="shared" si="116"/>
        <v>51.544</v>
      </c>
      <c r="AE2511" s="67">
        <f t="shared" si="117"/>
        <v>373.694</v>
      </c>
      <c r="AF2511" s="67">
        <f t="shared" si="105"/>
        <v>314.57</v>
      </c>
      <c r="AG2511" s="67">
        <f t="shared" si="118"/>
        <v>50.3312</v>
      </c>
      <c r="AH2511" s="67">
        <f t="shared" si="119"/>
        <v>364.9012</v>
      </c>
      <c r="AI2511" s="67">
        <f t="shared" si="108"/>
        <v>303.2</v>
      </c>
      <c r="AJ2511" s="68">
        <f t="shared" si="126"/>
        <v>48.512</v>
      </c>
      <c r="AK2511" s="68">
        <f t="shared" si="127"/>
        <v>351.712</v>
      </c>
      <c r="AL2511" s="70"/>
      <c r="AM2511" s="70"/>
      <c r="AN2511" s="71"/>
      <c r="AO2511" s="71"/>
      <c r="AP2511" s="71"/>
      <c r="AQ2511" s="71"/>
      <c r="AR2511" s="71"/>
      <c r="AS2511" s="71"/>
      <c r="AT2511" s="71"/>
      <c r="AU2511" s="71"/>
      <c r="AV2511" s="71"/>
      <c r="AW2511" s="71"/>
      <c r="AX2511" s="71"/>
      <c r="AY2511" s="71"/>
      <c r="AZ2511" s="71"/>
      <c r="BA2511" s="71"/>
      <c r="BB2511" s="71"/>
      <c r="BC2511" s="71"/>
      <c r="BD2511" s="71"/>
      <c r="BE2511" s="71"/>
      <c r="BF2511" s="71"/>
      <c r="BG2511" s="71"/>
      <c r="BH2511" s="71"/>
      <c r="BI2511" s="71"/>
      <c r="BJ2511" s="71"/>
      <c r="BK2511" s="71"/>
      <c r="BL2511" s="71"/>
      <c r="BM2511" s="71"/>
      <c r="BN2511" s="71"/>
      <c r="BO2511" s="71"/>
      <c r="BP2511" s="71"/>
      <c r="BQ2511" s="71"/>
      <c r="BR2511" s="71"/>
      <c r="BS2511" s="71"/>
      <c r="BT2511" s="71"/>
      <c r="BU2511" s="71"/>
      <c r="BV2511" s="71"/>
    </row>
    <row r="2512">
      <c r="A2512" s="53">
        <v>1.0</v>
      </c>
      <c r="B2512" s="53"/>
      <c r="C2512" s="73" t="s">
        <v>53</v>
      </c>
      <c r="D2512" s="74" t="s">
        <v>6178</v>
      </c>
      <c r="E2512" s="54" t="s">
        <v>38</v>
      </c>
      <c r="F2512" s="54" t="s">
        <v>42</v>
      </c>
      <c r="G2512" s="54" t="s">
        <v>6179</v>
      </c>
      <c r="H2512" s="54" t="s">
        <v>6180</v>
      </c>
      <c r="I2512" s="54">
        <f t="shared" si="125"/>
        <v>29</v>
      </c>
      <c r="J2512" s="56"/>
      <c r="K2512" s="57"/>
      <c r="L2512" s="87"/>
      <c r="M2512" s="59"/>
      <c r="N2512" s="60">
        <v>494.0</v>
      </c>
      <c r="O2512" s="61">
        <v>533.0</v>
      </c>
      <c r="P2512" s="62">
        <v>575.64</v>
      </c>
      <c r="Q2512" s="63">
        <v>575.64</v>
      </c>
      <c r="R2512" s="64">
        <v>642.0</v>
      </c>
      <c r="S2512" s="111">
        <v>674.0</v>
      </c>
      <c r="T2512" s="65">
        <f t="shared" si="93"/>
        <v>107.84</v>
      </c>
      <c r="U2512" s="65">
        <f t="shared" si="94"/>
        <v>781.84</v>
      </c>
      <c r="V2512" s="66">
        <f t="shared" si="123"/>
        <v>0.04984423676</v>
      </c>
      <c r="W2512" s="67">
        <f t="shared" si="96"/>
        <v>640.3</v>
      </c>
      <c r="X2512" s="67">
        <f t="shared" si="112"/>
        <v>102.448</v>
      </c>
      <c r="Y2512" s="67">
        <f t="shared" si="113"/>
        <v>742.748</v>
      </c>
      <c r="Z2512" s="67">
        <f t="shared" si="99"/>
        <v>606.6</v>
      </c>
      <c r="AA2512" s="67">
        <f t="shared" si="114"/>
        <v>97.056</v>
      </c>
      <c r="AB2512" s="67">
        <f t="shared" si="115"/>
        <v>703.656</v>
      </c>
      <c r="AC2512" s="67">
        <f t="shared" si="102"/>
        <v>572.9</v>
      </c>
      <c r="AD2512" s="67">
        <f t="shared" si="116"/>
        <v>91.664</v>
      </c>
      <c r="AE2512" s="67">
        <f t="shared" si="117"/>
        <v>664.564</v>
      </c>
      <c r="AF2512" s="67">
        <f t="shared" si="105"/>
        <v>559.42</v>
      </c>
      <c r="AG2512" s="67">
        <f t="shared" si="118"/>
        <v>89.5072</v>
      </c>
      <c r="AH2512" s="67">
        <f t="shared" si="119"/>
        <v>648.9272</v>
      </c>
      <c r="AI2512" s="67">
        <f t="shared" si="108"/>
        <v>539.2</v>
      </c>
      <c r="AJ2512" s="68">
        <f t="shared" si="126"/>
        <v>86.272</v>
      </c>
      <c r="AK2512" s="68">
        <f t="shared" si="127"/>
        <v>625.472</v>
      </c>
      <c r="AL2512" s="70"/>
      <c r="AM2512" s="70"/>
      <c r="AN2512" s="71"/>
      <c r="AO2512" s="71"/>
      <c r="AP2512" s="71"/>
      <c r="AQ2512" s="71"/>
      <c r="AR2512" s="71"/>
      <c r="AS2512" s="71"/>
      <c r="AT2512" s="71"/>
      <c r="AU2512" s="71"/>
      <c r="AV2512" s="71"/>
      <c r="AW2512" s="71"/>
      <c r="AX2512" s="71"/>
      <c r="AY2512" s="71"/>
      <c r="AZ2512" s="71"/>
      <c r="BA2512" s="71"/>
      <c r="BB2512" s="71"/>
      <c r="BC2512" s="71"/>
      <c r="BD2512" s="71"/>
      <c r="BE2512" s="71"/>
      <c r="BF2512" s="71"/>
      <c r="BG2512" s="71"/>
      <c r="BH2512" s="71"/>
      <c r="BI2512" s="71"/>
      <c r="BJ2512" s="71"/>
      <c r="BK2512" s="71"/>
      <c r="BL2512" s="71"/>
      <c r="BM2512" s="71"/>
      <c r="BN2512" s="71"/>
      <c r="BO2512" s="71"/>
      <c r="BP2512" s="71"/>
      <c r="BQ2512" s="71"/>
      <c r="BR2512" s="71"/>
      <c r="BS2512" s="71"/>
      <c r="BT2512" s="71"/>
      <c r="BU2512" s="71"/>
      <c r="BV2512" s="71"/>
    </row>
    <row r="2513">
      <c r="A2513" s="53">
        <v>1.0</v>
      </c>
      <c r="B2513" s="53"/>
      <c r="C2513" s="73" t="s">
        <v>53</v>
      </c>
      <c r="D2513" s="74" t="s">
        <v>6181</v>
      </c>
      <c r="E2513" s="54" t="s">
        <v>38</v>
      </c>
      <c r="F2513" s="54" t="s">
        <v>42</v>
      </c>
      <c r="G2513" s="88" t="s">
        <v>6182</v>
      </c>
      <c r="H2513" s="54" t="s">
        <v>6183</v>
      </c>
      <c r="I2513" s="54">
        <f t="shared" si="125"/>
        <v>28</v>
      </c>
      <c r="J2513" s="56"/>
      <c r="K2513" s="57"/>
      <c r="L2513" s="87"/>
      <c r="M2513" s="59"/>
      <c r="N2513" s="60">
        <v>294.0</v>
      </c>
      <c r="O2513" s="61">
        <v>317.0</v>
      </c>
      <c r="P2513" s="62">
        <v>342.36</v>
      </c>
      <c r="Q2513" s="63">
        <v>342.36</v>
      </c>
      <c r="R2513" s="64">
        <v>382.0</v>
      </c>
      <c r="S2513" s="111">
        <v>401.0</v>
      </c>
      <c r="T2513" s="65">
        <f t="shared" si="93"/>
        <v>64.16</v>
      </c>
      <c r="U2513" s="65">
        <f t="shared" si="94"/>
        <v>465.16</v>
      </c>
      <c r="V2513" s="66">
        <f t="shared" si="123"/>
        <v>0.0497382199</v>
      </c>
      <c r="W2513" s="67">
        <f t="shared" si="96"/>
        <v>380.95</v>
      </c>
      <c r="X2513" s="67">
        <f t="shared" si="112"/>
        <v>60.952</v>
      </c>
      <c r="Y2513" s="67">
        <f t="shared" si="113"/>
        <v>441.902</v>
      </c>
      <c r="Z2513" s="67">
        <f t="shared" si="99"/>
        <v>360.9</v>
      </c>
      <c r="AA2513" s="67">
        <f t="shared" si="114"/>
        <v>57.744</v>
      </c>
      <c r="AB2513" s="67">
        <f t="shared" si="115"/>
        <v>418.644</v>
      </c>
      <c r="AC2513" s="67">
        <f t="shared" si="102"/>
        <v>340.85</v>
      </c>
      <c r="AD2513" s="67">
        <f t="shared" si="116"/>
        <v>54.536</v>
      </c>
      <c r="AE2513" s="67">
        <f t="shared" si="117"/>
        <v>395.386</v>
      </c>
      <c r="AF2513" s="67">
        <f t="shared" si="105"/>
        <v>332.83</v>
      </c>
      <c r="AG2513" s="67">
        <f t="shared" si="118"/>
        <v>53.2528</v>
      </c>
      <c r="AH2513" s="67">
        <f t="shared" si="119"/>
        <v>386.0828</v>
      </c>
      <c r="AI2513" s="67">
        <f t="shared" si="108"/>
        <v>320.8</v>
      </c>
      <c r="AJ2513" s="68">
        <f t="shared" si="126"/>
        <v>51.328</v>
      </c>
      <c r="AK2513" s="68">
        <f t="shared" si="127"/>
        <v>372.128</v>
      </c>
      <c r="AL2513" s="70"/>
      <c r="AM2513" s="70"/>
      <c r="AN2513" s="71"/>
      <c r="AO2513" s="71"/>
      <c r="AP2513" s="71"/>
      <c r="AQ2513" s="71"/>
      <c r="AR2513" s="71"/>
      <c r="AS2513" s="71"/>
      <c r="AT2513" s="71"/>
      <c r="AU2513" s="71"/>
      <c r="AV2513" s="71"/>
      <c r="AW2513" s="71"/>
      <c r="AX2513" s="71"/>
      <c r="AY2513" s="71"/>
      <c r="AZ2513" s="71"/>
      <c r="BA2513" s="71"/>
      <c r="BB2513" s="71"/>
      <c r="BC2513" s="71"/>
      <c r="BD2513" s="71"/>
      <c r="BE2513" s="71"/>
      <c r="BF2513" s="71"/>
      <c r="BG2513" s="71"/>
      <c r="BH2513" s="71"/>
      <c r="BI2513" s="71"/>
      <c r="BJ2513" s="71"/>
      <c r="BK2513" s="71"/>
      <c r="BL2513" s="71"/>
      <c r="BM2513" s="71"/>
      <c r="BN2513" s="71"/>
      <c r="BO2513" s="71"/>
      <c r="BP2513" s="71"/>
      <c r="BQ2513" s="71"/>
      <c r="BR2513" s="71"/>
      <c r="BS2513" s="71"/>
      <c r="BT2513" s="71"/>
      <c r="BU2513" s="71"/>
      <c r="BV2513" s="71"/>
    </row>
    <row r="2514">
      <c r="A2514" s="53">
        <v>1.0</v>
      </c>
      <c r="B2514" s="53"/>
      <c r="C2514" s="73" t="s">
        <v>53</v>
      </c>
      <c r="D2514" s="74" t="s">
        <v>6184</v>
      </c>
      <c r="E2514" s="54" t="s">
        <v>38</v>
      </c>
      <c r="F2514" s="54" t="s">
        <v>42</v>
      </c>
      <c r="G2514" s="88" t="s">
        <v>6185</v>
      </c>
      <c r="H2514" s="54" t="s">
        <v>6186</v>
      </c>
      <c r="I2514" s="54">
        <f t="shared" si="125"/>
        <v>32</v>
      </c>
      <c r="J2514" s="56"/>
      <c r="K2514" s="57"/>
      <c r="L2514" s="87"/>
      <c r="M2514" s="59"/>
      <c r="N2514" s="60">
        <v>209.0</v>
      </c>
      <c r="O2514" s="61">
        <v>225.0</v>
      </c>
      <c r="P2514" s="62">
        <v>243.00000000000003</v>
      </c>
      <c r="Q2514" s="63">
        <v>243.00000000000003</v>
      </c>
      <c r="R2514" s="64">
        <v>271.0</v>
      </c>
      <c r="S2514" s="111">
        <v>285.0</v>
      </c>
      <c r="T2514" s="65">
        <f t="shared" si="93"/>
        <v>45.6</v>
      </c>
      <c r="U2514" s="65">
        <f t="shared" si="94"/>
        <v>330.6</v>
      </c>
      <c r="V2514" s="66">
        <f t="shared" si="123"/>
        <v>0.05166051661</v>
      </c>
      <c r="W2514" s="67">
        <f t="shared" si="96"/>
        <v>270.75</v>
      </c>
      <c r="X2514" s="67">
        <f t="shared" si="112"/>
        <v>43.32</v>
      </c>
      <c r="Y2514" s="67">
        <f t="shared" si="113"/>
        <v>314.07</v>
      </c>
      <c r="Z2514" s="67">
        <f t="shared" si="99"/>
        <v>256.5</v>
      </c>
      <c r="AA2514" s="67">
        <f t="shared" si="114"/>
        <v>41.04</v>
      </c>
      <c r="AB2514" s="67">
        <f t="shared" si="115"/>
        <v>297.54</v>
      </c>
      <c r="AC2514" s="67">
        <f t="shared" si="102"/>
        <v>242.25</v>
      </c>
      <c r="AD2514" s="67">
        <f t="shared" si="116"/>
        <v>38.76</v>
      </c>
      <c r="AE2514" s="67">
        <f t="shared" si="117"/>
        <v>281.01</v>
      </c>
      <c r="AF2514" s="67">
        <f t="shared" si="105"/>
        <v>236.55</v>
      </c>
      <c r="AG2514" s="67">
        <f t="shared" si="118"/>
        <v>37.848</v>
      </c>
      <c r="AH2514" s="67">
        <f t="shared" si="119"/>
        <v>274.398</v>
      </c>
      <c r="AI2514" s="67">
        <f t="shared" si="108"/>
        <v>228</v>
      </c>
      <c r="AJ2514" s="68">
        <f t="shared" si="126"/>
        <v>36.48</v>
      </c>
      <c r="AK2514" s="68">
        <f t="shared" si="127"/>
        <v>264.48</v>
      </c>
      <c r="AL2514" s="70"/>
      <c r="AM2514" s="70"/>
      <c r="AN2514" s="71"/>
      <c r="AO2514" s="71"/>
      <c r="AP2514" s="71"/>
      <c r="AQ2514" s="71"/>
      <c r="AR2514" s="71"/>
      <c r="AS2514" s="71"/>
      <c r="AT2514" s="71"/>
      <c r="AU2514" s="71"/>
      <c r="AV2514" s="71"/>
      <c r="AW2514" s="71"/>
      <c r="AX2514" s="71"/>
      <c r="AY2514" s="71"/>
      <c r="AZ2514" s="71"/>
      <c r="BA2514" s="71"/>
      <c r="BB2514" s="71"/>
      <c r="BC2514" s="71"/>
      <c r="BD2514" s="71"/>
      <c r="BE2514" s="71"/>
      <c r="BF2514" s="71"/>
      <c r="BG2514" s="71"/>
      <c r="BH2514" s="71"/>
      <c r="BI2514" s="71"/>
      <c r="BJ2514" s="71"/>
      <c r="BK2514" s="71"/>
      <c r="BL2514" s="71"/>
      <c r="BM2514" s="71"/>
      <c r="BN2514" s="71"/>
      <c r="BO2514" s="71"/>
      <c r="BP2514" s="71"/>
      <c r="BQ2514" s="71"/>
      <c r="BR2514" s="71"/>
      <c r="BS2514" s="71"/>
      <c r="BT2514" s="71"/>
      <c r="BU2514" s="71"/>
      <c r="BV2514" s="71"/>
    </row>
    <row r="2515">
      <c r="A2515" s="53"/>
      <c r="B2515" s="53"/>
      <c r="C2515" s="53" t="s">
        <v>36</v>
      </c>
      <c r="D2515" s="85" t="s">
        <v>6187</v>
      </c>
      <c r="E2515" s="54" t="s">
        <v>38</v>
      </c>
      <c r="F2515" s="55" t="s">
        <v>39</v>
      </c>
      <c r="G2515" s="86" t="s">
        <v>6188</v>
      </c>
      <c r="H2515" s="55"/>
      <c r="I2515" s="54">
        <f t="shared" si="125"/>
        <v>0</v>
      </c>
      <c r="J2515" s="56"/>
      <c r="K2515" s="57"/>
      <c r="L2515" s="76"/>
      <c r="M2515" s="59"/>
      <c r="N2515" s="60"/>
      <c r="O2515" s="61">
        <v>528.0</v>
      </c>
      <c r="P2515" s="62">
        <v>570.24</v>
      </c>
      <c r="Q2515" s="63">
        <v>570.24</v>
      </c>
      <c r="R2515" s="64">
        <v>599.0</v>
      </c>
      <c r="S2515" s="107">
        <v>629.0</v>
      </c>
      <c r="T2515" s="65">
        <f t="shared" si="93"/>
        <v>100.64</v>
      </c>
      <c r="U2515" s="65">
        <f t="shared" si="94"/>
        <v>729.64</v>
      </c>
      <c r="V2515" s="66">
        <f t="shared" si="123"/>
        <v>0.05008347245</v>
      </c>
      <c r="W2515" s="67">
        <f t="shared" si="96"/>
        <v>597.55</v>
      </c>
      <c r="X2515" s="67">
        <f t="shared" si="112"/>
        <v>95.608</v>
      </c>
      <c r="Y2515" s="67">
        <f t="shared" si="113"/>
        <v>693.158</v>
      </c>
      <c r="Z2515" s="67">
        <f t="shared" si="99"/>
        <v>566.1</v>
      </c>
      <c r="AA2515" s="67">
        <f t="shared" si="114"/>
        <v>90.576</v>
      </c>
      <c r="AB2515" s="67">
        <f t="shared" si="115"/>
        <v>656.676</v>
      </c>
      <c r="AC2515" s="67">
        <f t="shared" si="102"/>
        <v>534.65</v>
      </c>
      <c r="AD2515" s="67">
        <f t="shared" si="116"/>
        <v>85.544</v>
      </c>
      <c r="AE2515" s="67">
        <f t="shared" si="117"/>
        <v>620.194</v>
      </c>
      <c r="AF2515" s="67">
        <f t="shared" si="105"/>
        <v>522.07</v>
      </c>
      <c r="AG2515" s="67">
        <f t="shared" si="118"/>
        <v>83.5312</v>
      </c>
      <c r="AH2515" s="67">
        <f t="shared" si="119"/>
        <v>605.6012</v>
      </c>
      <c r="AI2515" s="67">
        <f t="shared" si="108"/>
        <v>503.2</v>
      </c>
      <c r="AJ2515" s="68">
        <f t="shared" si="126"/>
        <v>80.512</v>
      </c>
      <c r="AK2515" s="68">
        <f t="shared" si="127"/>
        <v>583.712</v>
      </c>
      <c r="AL2515" s="70"/>
      <c r="AM2515" s="70"/>
      <c r="AN2515" s="71"/>
      <c r="AO2515" s="71"/>
      <c r="AP2515" s="71"/>
      <c r="AQ2515" s="71"/>
      <c r="AR2515" s="71"/>
      <c r="AS2515" s="71"/>
      <c r="AT2515" s="71"/>
      <c r="AU2515" s="71"/>
      <c r="AV2515" s="71"/>
      <c r="AW2515" s="71"/>
      <c r="AX2515" s="71"/>
      <c r="AY2515" s="71"/>
      <c r="AZ2515" s="71"/>
      <c r="BA2515" s="71"/>
      <c r="BB2515" s="71"/>
      <c r="BC2515" s="71"/>
      <c r="BD2515" s="71"/>
      <c r="BE2515" s="71"/>
      <c r="BF2515" s="71"/>
      <c r="BG2515" s="71"/>
      <c r="BH2515" s="71"/>
      <c r="BI2515" s="71"/>
      <c r="BJ2515" s="71"/>
      <c r="BK2515" s="71"/>
      <c r="BL2515" s="71"/>
      <c r="BM2515" s="71"/>
      <c r="BN2515" s="71"/>
      <c r="BO2515" s="71"/>
      <c r="BP2515" s="71"/>
      <c r="BQ2515" s="71"/>
      <c r="BR2515" s="71"/>
      <c r="BS2515" s="71"/>
      <c r="BT2515" s="71"/>
      <c r="BU2515" s="71"/>
      <c r="BV2515" s="71"/>
    </row>
    <row r="2516">
      <c r="A2516" s="53">
        <v>1.0</v>
      </c>
      <c r="B2516" s="53"/>
      <c r="C2516" s="73" t="s">
        <v>53</v>
      </c>
      <c r="D2516" s="74" t="s">
        <v>6189</v>
      </c>
      <c r="E2516" s="54" t="s">
        <v>38</v>
      </c>
      <c r="F2516" s="54" t="s">
        <v>42</v>
      </c>
      <c r="G2516" s="88" t="s">
        <v>6190</v>
      </c>
      <c r="H2516" s="54" t="s">
        <v>6191</v>
      </c>
      <c r="I2516" s="54">
        <f t="shared" si="125"/>
        <v>21</v>
      </c>
      <c r="J2516" s="56"/>
      <c r="K2516" s="57"/>
      <c r="L2516" s="87"/>
      <c r="M2516" s="59"/>
      <c r="N2516" s="60">
        <v>368.0</v>
      </c>
      <c r="O2516" s="61">
        <v>397.0</v>
      </c>
      <c r="P2516" s="62">
        <v>428.76000000000005</v>
      </c>
      <c r="Q2516" s="63">
        <v>428.76000000000005</v>
      </c>
      <c r="R2516" s="64">
        <v>478.0</v>
      </c>
      <c r="S2516" s="111">
        <v>502.0</v>
      </c>
      <c r="T2516" s="65">
        <f t="shared" si="93"/>
        <v>80.32</v>
      </c>
      <c r="U2516" s="65">
        <f t="shared" si="94"/>
        <v>582.32</v>
      </c>
      <c r="V2516" s="66">
        <f t="shared" si="123"/>
        <v>0.05020920502</v>
      </c>
      <c r="W2516" s="67">
        <f t="shared" si="96"/>
        <v>476.9</v>
      </c>
      <c r="X2516" s="67">
        <f t="shared" si="112"/>
        <v>76.304</v>
      </c>
      <c r="Y2516" s="67">
        <f t="shared" si="113"/>
        <v>553.204</v>
      </c>
      <c r="Z2516" s="67">
        <f t="shared" si="99"/>
        <v>451.8</v>
      </c>
      <c r="AA2516" s="67">
        <f t="shared" si="114"/>
        <v>72.288</v>
      </c>
      <c r="AB2516" s="67">
        <f t="shared" si="115"/>
        <v>524.088</v>
      </c>
      <c r="AC2516" s="67">
        <f t="shared" si="102"/>
        <v>426.7</v>
      </c>
      <c r="AD2516" s="67">
        <f t="shared" si="116"/>
        <v>68.272</v>
      </c>
      <c r="AE2516" s="67">
        <f t="shared" si="117"/>
        <v>494.972</v>
      </c>
      <c r="AF2516" s="67">
        <f t="shared" si="105"/>
        <v>416.66</v>
      </c>
      <c r="AG2516" s="67">
        <f t="shared" si="118"/>
        <v>66.6656</v>
      </c>
      <c r="AH2516" s="67">
        <f t="shared" si="119"/>
        <v>483.3256</v>
      </c>
      <c r="AI2516" s="67">
        <f t="shared" si="108"/>
        <v>401.6</v>
      </c>
      <c r="AJ2516" s="68">
        <f t="shared" si="126"/>
        <v>64.256</v>
      </c>
      <c r="AK2516" s="68">
        <f t="shared" si="127"/>
        <v>465.856</v>
      </c>
      <c r="AL2516" s="70"/>
      <c r="AM2516" s="70"/>
      <c r="AN2516" s="71"/>
      <c r="AO2516" s="71"/>
      <c r="AP2516" s="71"/>
      <c r="AQ2516" s="71"/>
      <c r="AR2516" s="71"/>
      <c r="AS2516" s="71"/>
      <c r="AT2516" s="71"/>
      <c r="AU2516" s="71"/>
      <c r="AV2516" s="71"/>
      <c r="AW2516" s="71"/>
      <c r="AX2516" s="71"/>
      <c r="AY2516" s="71"/>
      <c r="AZ2516" s="71"/>
      <c r="BA2516" s="71"/>
      <c r="BB2516" s="71"/>
      <c r="BC2516" s="71"/>
      <c r="BD2516" s="71"/>
      <c r="BE2516" s="71"/>
      <c r="BF2516" s="71"/>
      <c r="BG2516" s="71"/>
      <c r="BH2516" s="71"/>
      <c r="BI2516" s="71"/>
      <c r="BJ2516" s="71"/>
      <c r="BK2516" s="71"/>
      <c r="BL2516" s="71"/>
      <c r="BM2516" s="71"/>
      <c r="BN2516" s="71"/>
      <c r="BO2516" s="71"/>
      <c r="BP2516" s="71"/>
      <c r="BQ2516" s="71"/>
      <c r="BR2516" s="71"/>
      <c r="BS2516" s="71"/>
      <c r="BT2516" s="71"/>
      <c r="BU2516" s="71"/>
      <c r="BV2516" s="71"/>
    </row>
    <row r="2517">
      <c r="A2517" s="53">
        <v>1.0</v>
      </c>
      <c r="B2517" s="53"/>
      <c r="C2517" s="73" t="s">
        <v>53</v>
      </c>
      <c r="D2517" s="74" t="s">
        <v>6192</v>
      </c>
      <c r="E2517" s="54" t="s">
        <v>38</v>
      </c>
      <c r="F2517" s="54" t="s">
        <v>42</v>
      </c>
      <c r="G2517" s="88" t="s">
        <v>6193</v>
      </c>
      <c r="H2517" s="54" t="s">
        <v>6194</v>
      </c>
      <c r="I2517" s="54">
        <f t="shared" si="125"/>
        <v>25</v>
      </c>
      <c r="J2517" s="56"/>
      <c r="K2517" s="57"/>
      <c r="L2517" s="87"/>
      <c r="M2517" s="59"/>
      <c r="N2517" s="60">
        <v>307.0</v>
      </c>
      <c r="O2517" s="61">
        <v>342.0</v>
      </c>
      <c r="P2517" s="62">
        <v>369.36</v>
      </c>
      <c r="Q2517" s="63">
        <v>369.36</v>
      </c>
      <c r="R2517" s="64">
        <v>412.0</v>
      </c>
      <c r="S2517" s="111">
        <v>433.0</v>
      </c>
      <c r="T2517" s="65">
        <f t="shared" si="93"/>
        <v>69.28</v>
      </c>
      <c r="U2517" s="65">
        <f t="shared" si="94"/>
        <v>502.28</v>
      </c>
      <c r="V2517" s="66">
        <f t="shared" si="123"/>
        <v>0.05097087379</v>
      </c>
      <c r="W2517" s="67">
        <f t="shared" si="96"/>
        <v>411.35</v>
      </c>
      <c r="X2517" s="67">
        <f t="shared" si="112"/>
        <v>65.816</v>
      </c>
      <c r="Y2517" s="67">
        <f t="shared" si="113"/>
        <v>477.166</v>
      </c>
      <c r="Z2517" s="67">
        <f t="shared" si="99"/>
        <v>389.7</v>
      </c>
      <c r="AA2517" s="67">
        <f t="shared" si="114"/>
        <v>62.352</v>
      </c>
      <c r="AB2517" s="67">
        <f t="shared" si="115"/>
        <v>452.052</v>
      </c>
      <c r="AC2517" s="67">
        <f t="shared" si="102"/>
        <v>368.05</v>
      </c>
      <c r="AD2517" s="67">
        <f t="shared" si="116"/>
        <v>58.888</v>
      </c>
      <c r="AE2517" s="67">
        <f t="shared" si="117"/>
        <v>426.938</v>
      </c>
      <c r="AF2517" s="67">
        <f t="shared" si="105"/>
        <v>359.39</v>
      </c>
      <c r="AG2517" s="67">
        <f t="shared" si="118"/>
        <v>57.5024</v>
      </c>
      <c r="AH2517" s="67">
        <f t="shared" si="119"/>
        <v>416.8924</v>
      </c>
      <c r="AI2517" s="67">
        <f t="shared" si="108"/>
        <v>346.4</v>
      </c>
      <c r="AJ2517" s="68">
        <f t="shared" si="126"/>
        <v>55.424</v>
      </c>
      <c r="AK2517" s="68">
        <f t="shared" si="127"/>
        <v>401.824</v>
      </c>
      <c r="AL2517" s="70"/>
      <c r="AM2517" s="70"/>
      <c r="AN2517" s="71"/>
      <c r="AO2517" s="71"/>
      <c r="AP2517" s="71"/>
      <c r="AQ2517" s="71"/>
      <c r="AR2517" s="71"/>
      <c r="AS2517" s="71"/>
      <c r="AT2517" s="71"/>
      <c r="AU2517" s="71"/>
      <c r="AV2517" s="71"/>
      <c r="AW2517" s="71"/>
      <c r="AX2517" s="71"/>
      <c r="AY2517" s="71"/>
      <c r="AZ2517" s="71"/>
      <c r="BA2517" s="71"/>
      <c r="BB2517" s="71"/>
      <c r="BC2517" s="71"/>
      <c r="BD2517" s="71"/>
      <c r="BE2517" s="71"/>
      <c r="BF2517" s="71"/>
      <c r="BG2517" s="71"/>
      <c r="BH2517" s="71"/>
      <c r="BI2517" s="71"/>
      <c r="BJ2517" s="71"/>
      <c r="BK2517" s="71"/>
      <c r="BL2517" s="71"/>
      <c r="BM2517" s="71"/>
      <c r="BN2517" s="71"/>
      <c r="BO2517" s="71"/>
      <c r="BP2517" s="71"/>
      <c r="BQ2517" s="71"/>
      <c r="BR2517" s="71"/>
      <c r="BS2517" s="71"/>
      <c r="BT2517" s="71"/>
      <c r="BU2517" s="71"/>
      <c r="BV2517" s="71"/>
    </row>
    <row r="2518">
      <c r="A2518" s="53">
        <v>1.0</v>
      </c>
      <c r="B2518" s="53"/>
      <c r="C2518" s="73" t="s">
        <v>53</v>
      </c>
      <c r="D2518" s="74" t="s">
        <v>6195</v>
      </c>
      <c r="E2518" s="54" t="s">
        <v>38</v>
      </c>
      <c r="F2518" s="54" t="s">
        <v>42</v>
      </c>
      <c r="G2518" s="88" t="s">
        <v>6196</v>
      </c>
      <c r="H2518" s="54" t="s">
        <v>6197</v>
      </c>
      <c r="I2518" s="54">
        <f t="shared" si="125"/>
        <v>34</v>
      </c>
      <c r="J2518" s="56"/>
      <c r="K2518" s="57"/>
      <c r="L2518" s="87"/>
      <c r="M2518" s="59"/>
      <c r="N2518" s="60">
        <v>315.0</v>
      </c>
      <c r="O2518" s="61">
        <v>340.0</v>
      </c>
      <c r="P2518" s="62">
        <v>367.20000000000005</v>
      </c>
      <c r="Q2518" s="63">
        <v>367.20000000000005</v>
      </c>
      <c r="R2518" s="64">
        <v>410.0</v>
      </c>
      <c r="S2518" s="111">
        <v>431.0</v>
      </c>
      <c r="T2518" s="65">
        <f t="shared" si="93"/>
        <v>68.96</v>
      </c>
      <c r="U2518" s="65">
        <f t="shared" si="94"/>
        <v>499.96</v>
      </c>
      <c r="V2518" s="66">
        <f t="shared" si="123"/>
        <v>0.0512195122</v>
      </c>
      <c r="W2518" s="67">
        <f t="shared" si="96"/>
        <v>409.45</v>
      </c>
      <c r="X2518" s="67">
        <f t="shared" si="112"/>
        <v>65.512</v>
      </c>
      <c r="Y2518" s="67">
        <f t="shared" si="113"/>
        <v>474.962</v>
      </c>
      <c r="Z2518" s="67">
        <f t="shared" si="99"/>
        <v>387.9</v>
      </c>
      <c r="AA2518" s="67">
        <f t="shared" si="114"/>
        <v>62.064</v>
      </c>
      <c r="AB2518" s="67">
        <f t="shared" si="115"/>
        <v>449.964</v>
      </c>
      <c r="AC2518" s="67">
        <f t="shared" si="102"/>
        <v>366.35</v>
      </c>
      <c r="AD2518" s="67">
        <f t="shared" si="116"/>
        <v>58.616</v>
      </c>
      <c r="AE2518" s="67">
        <f t="shared" si="117"/>
        <v>424.966</v>
      </c>
      <c r="AF2518" s="67">
        <f t="shared" si="105"/>
        <v>357.73</v>
      </c>
      <c r="AG2518" s="67">
        <f t="shared" si="118"/>
        <v>57.2368</v>
      </c>
      <c r="AH2518" s="67">
        <f t="shared" si="119"/>
        <v>414.9668</v>
      </c>
      <c r="AI2518" s="67">
        <f t="shared" si="108"/>
        <v>344.8</v>
      </c>
      <c r="AJ2518" s="68">
        <f t="shared" si="126"/>
        <v>55.168</v>
      </c>
      <c r="AK2518" s="68">
        <f t="shared" si="127"/>
        <v>399.968</v>
      </c>
      <c r="AL2518" s="70"/>
      <c r="AM2518" s="70"/>
      <c r="AN2518" s="71"/>
      <c r="AO2518" s="71"/>
      <c r="AP2518" s="71"/>
      <c r="AQ2518" s="71"/>
      <c r="AR2518" s="71"/>
      <c r="AS2518" s="71"/>
      <c r="AT2518" s="71"/>
      <c r="AU2518" s="71"/>
      <c r="AV2518" s="71"/>
      <c r="AW2518" s="71"/>
      <c r="AX2518" s="71"/>
      <c r="AY2518" s="71"/>
      <c r="AZ2518" s="71"/>
      <c r="BA2518" s="71"/>
      <c r="BB2518" s="71"/>
      <c r="BC2518" s="71"/>
      <c r="BD2518" s="71"/>
      <c r="BE2518" s="71"/>
      <c r="BF2518" s="71"/>
      <c r="BG2518" s="71"/>
      <c r="BH2518" s="71"/>
      <c r="BI2518" s="71"/>
      <c r="BJ2518" s="71"/>
      <c r="BK2518" s="71"/>
      <c r="BL2518" s="71"/>
      <c r="BM2518" s="71"/>
      <c r="BN2518" s="71"/>
      <c r="BO2518" s="71"/>
      <c r="BP2518" s="71"/>
      <c r="BQ2518" s="71"/>
      <c r="BR2518" s="71"/>
      <c r="BS2518" s="71"/>
      <c r="BT2518" s="71"/>
      <c r="BU2518" s="71"/>
      <c r="BV2518" s="71"/>
    </row>
    <row r="2519">
      <c r="A2519" s="53">
        <v>1.0</v>
      </c>
      <c r="B2519" s="53"/>
      <c r="C2519" s="53" t="s">
        <v>395</v>
      </c>
      <c r="D2519" s="53" t="s">
        <v>6198</v>
      </c>
      <c r="E2519" s="86" t="s">
        <v>38</v>
      </c>
      <c r="F2519" s="91" t="s">
        <v>42</v>
      </c>
      <c r="G2519" s="84" t="s">
        <v>6199</v>
      </c>
      <c r="H2519" s="84" t="s">
        <v>6200</v>
      </c>
      <c r="I2519" s="54">
        <f t="shared" si="125"/>
        <v>40</v>
      </c>
      <c r="J2519" s="56"/>
      <c r="K2519" s="57"/>
      <c r="L2519" s="119"/>
      <c r="M2519" s="59"/>
      <c r="N2519" s="93"/>
      <c r="O2519" s="61"/>
      <c r="P2519" s="90"/>
      <c r="Q2519" s="94"/>
      <c r="R2519" s="95"/>
      <c r="S2519" s="65">
        <v>750.0</v>
      </c>
      <c r="T2519" s="65">
        <f t="shared" si="93"/>
        <v>120</v>
      </c>
      <c r="U2519" s="65">
        <f t="shared" si="94"/>
        <v>870</v>
      </c>
      <c r="V2519" s="66" t="str">
        <f t="shared" si="123"/>
        <v>#DIV/0!</v>
      </c>
      <c r="W2519" s="67">
        <f t="shared" si="96"/>
        <v>712.5</v>
      </c>
      <c r="X2519" s="67">
        <f t="shared" si="112"/>
        <v>114</v>
      </c>
      <c r="Y2519" s="67">
        <f t="shared" si="113"/>
        <v>826.5</v>
      </c>
      <c r="Z2519" s="67">
        <f t="shared" si="99"/>
        <v>675</v>
      </c>
      <c r="AA2519" s="67">
        <f t="shared" si="114"/>
        <v>108</v>
      </c>
      <c r="AB2519" s="67">
        <f t="shared" si="115"/>
        <v>783</v>
      </c>
      <c r="AC2519" s="67">
        <f t="shared" si="102"/>
        <v>637.5</v>
      </c>
      <c r="AD2519" s="67">
        <f t="shared" si="116"/>
        <v>102</v>
      </c>
      <c r="AE2519" s="67">
        <f t="shared" si="117"/>
        <v>739.5</v>
      </c>
      <c r="AF2519" s="67">
        <f t="shared" si="105"/>
        <v>622.5</v>
      </c>
      <c r="AG2519" s="67">
        <f t="shared" si="118"/>
        <v>99.6</v>
      </c>
      <c r="AH2519" s="67">
        <f t="shared" si="119"/>
        <v>722.1</v>
      </c>
      <c r="AI2519" s="67">
        <f t="shared" si="108"/>
        <v>600</v>
      </c>
      <c r="AJ2519" s="68">
        <f t="shared" si="126"/>
        <v>96</v>
      </c>
      <c r="AK2519" s="68">
        <f t="shared" si="127"/>
        <v>696</v>
      </c>
      <c r="AL2519" s="70"/>
      <c r="AM2519" s="70"/>
      <c r="AN2519" s="71"/>
      <c r="AO2519" s="71"/>
      <c r="AP2519" s="71"/>
      <c r="AQ2519" s="71"/>
      <c r="AR2519" s="71"/>
      <c r="AS2519" s="71"/>
      <c r="AT2519" s="71"/>
      <c r="AU2519" s="71"/>
      <c r="AV2519" s="71"/>
      <c r="AW2519" s="71"/>
      <c r="AX2519" s="71"/>
      <c r="AY2519" s="71"/>
      <c r="AZ2519" s="71"/>
      <c r="BA2519" s="71"/>
      <c r="BB2519" s="71"/>
      <c r="BC2519" s="71"/>
      <c r="BD2519" s="71"/>
      <c r="BE2519" s="71"/>
      <c r="BF2519" s="71"/>
      <c r="BG2519" s="71"/>
      <c r="BH2519" s="71"/>
      <c r="BI2519" s="71"/>
      <c r="BJ2519" s="71"/>
      <c r="BK2519" s="71"/>
      <c r="BL2519" s="71"/>
      <c r="BM2519" s="71"/>
      <c r="BN2519" s="71"/>
      <c r="BO2519" s="71"/>
      <c r="BP2519" s="71"/>
      <c r="BQ2519" s="71"/>
      <c r="BR2519" s="71"/>
      <c r="BS2519" s="71"/>
      <c r="BT2519" s="71"/>
      <c r="BU2519" s="71"/>
      <c r="BV2519" s="71"/>
    </row>
    <row r="2520">
      <c r="A2520" s="53"/>
      <c r="B2520" s="53"/>
      <c r="C2520" s="53" t="s">
        <v>36</v>
      </c>
      <c r="D2520" s="85" t="s">
        <v>6201</v>
      </c>
      <c r="E2520" s="54" t="s">
        <v>38</v>
      </c>
      <c r="F2520" s="55" t="s">
        <v>39</v>
      </c>
      <c r="G2520" s="86" t="s">
        <v>6202</v>
      </c>
      <c r="H2520" s="55"/>
      <c r="I2520" s="54">
        <f t="shared" si="125"/>
        <v>0</v>
      </c>
      <c r="J2520" s="56"/>
      <c r="K2520" s="57"/>
      <c r="L2520" s="76"/>
      <c r="M2520" s="59"/>
      <c r="N2520" s="60"/>
      <c r="O2520" s="61">
        <v>460.8</v>
      </c>
      <c r="P2520" s="62">
        <v>497.66400000000004</v>
      </c>
      <c r="Q2520" s="63">
        <v>497.66400000000004</v>
      </c>
      <c r="R2520" s="64">
        <v>523.0</v>
      </c>
      <c r="S2520" s="107">
        <v>549.0</v>
      </c>
      <c r="T2520" s="65">
        <f t="shared" si="93"/>
        <v>87.84</v>
      </c>
      <c r="U2520" s="65">
        <f t="shared" si="94"/>
        <v>636.84</v>
      </c>
      <c r="V2520" s="66">
        <f t="shared" si="123"/>
        <v>0.04971319312</v>
      </c>
      <c r="W2520" s="67">
        <f t="shared" si="96"/>
        <v>521.55</v>
      </c>
      <c r="X2520" s="67">
        <f t="shared" si="112"/>
        <v>83.448</v>
      </c>
      <c r="Y2520" s="67">
        <f t="shared" si="113"/>
        <v>604.998</v>
      </c>
      <c r="Z2520" s="67">
        <f t="shared" si="99"/>
        <v>494.1</v>
      </c>
      <c r="AA2520" s="67">
        <f t="shared" si="114"/>
        <v>79.056</v>
      </c>
      <c r="AB2520" s="67">
        <f t="shared" si="115"/>
        <v>573.156</v>
      </c>
      <c r="AC2520" s="67">
        <f t="shared" si="102"/>
        <v>466.65</v>
      </c>
      <c r="AD2520" s="67">
        <f t="shared" si="116"/>
        <v>74.664</v>
      </c>
      <c r="AE2520" s="67">
        <f t="shared" si="117"/>
        <v>541.314</v>
      </c>
      <c r="AF2520" s="67">
        <f t="shared" si="105"/>
        <v>455.67</v>
      </c>
      <c r="AG2520" s="67">
        <f t="shared" si="118"/>
        <v>72.9072</v>
      </c>
      <c r="AH2520" s="67">
        <f t="shared" si="119"/>
        <v>528.5772</v>
      </c>
      <c r="AI2520" s="67">
        <f t="shared" si="108"/>
        <v>439.2</v>
      </c>
      <c r="AJ2520" s="68">
        <f t="shared" si="126"/>
        <v>70.272</v>
      </c>
      <c r="AK2520" s="68">
        <f t="shared" si="127"/>
        <v>509.472</v>
      </c>
      <c r="AL2520" s="70"/>
      <c r="AM2520" s="70"/>
      <c r="AN2520" s="71"/>
      <c r="AO2520" s="71"/>
      <c r="AP2520" s="71"/>
      <c r="AQ2520" s="71"/>
      <c r="AR2520" s="71"/>
      <c r="AS2520" s="71"/>
      <c r="AT2520" s="71"/>
      <c r="AU2520" s="71"/>
      <c r="AV2520" s="71"/>
      <c r="AW2520" s="71"/>
      <c r="AX2520" s="71"/>
      <c r="AY2520" s="71"/>
      <c r="AZ2520" s="71"/>
      <c r="BA2520" s="71"/>
      <c r="BB2520" s="71"/>
      <c r="BC2520" s="71"/>
      <c r="BD2520" s="71"/>
      <c r="BE2520" s="71"/>
      <c r="BF2520" s="71"/>
      <c r="BG2520" s="71"/>
      <c r="BH2520" s="71"/>
      <c r="BI2520" s="71"/>
      <c r="BJ2520" s="71"/>
      <c r="BK2520" s="71"/>
      <c r="BL2520" s="71"/>
      <c r="BM2520" s="71"/>
      <c r="BN2520" s="71"/>
      <c r="BO2520" s="71"/>
      <c r="BP2520" s="71"/>
      <c r="BQ2520" s="71"/>
      <c r="BR2520" s="71"/>
      <c r="BS2520" s="71"/>
      <c r="BT2520" s="71"/>
      <c r="BU2520" s="71"/>
      <c r="BV2520" s="71"/>
    </row>
    <row r="2521">
      <c r="A2521" s="53">
        <v>1.0</v>
      </c>
      <c r="B2521" s="53"/>
      <c r="C2521" s="53" t="s">
        <v>12</v>
      </c>
      <c r="D2521" s="53">
        <v>7783.0</v>
      </c>
      <c r="E2521" s="86" t="s">
        <v>38</v>
      </c>
      <c r="F2521" s="91" t="s">
        <v>42</v>
      </c>
      <c r="G2521" s="84" t="s">
        <v>6203</v>
      </c>
      <c r="H2521" s="84" t="s">
        <v>6203</v>
      </c>
      <c r="I2521" s="54">
        <f t="shared" si="125"/>
        <v>37</v>
      </c>
      <c r="J2521" s="56"/>
      <c r="K2521" s="57"/>
      <c r="L2521" s="76"/>
      <c r="M2521" s="59"/>
      <c r="N2521" s="60"/>
      <c r="O2521" s="90"/>
      <c r="P2521" s="62">
        <v>85.0</v>
      </c>
      <c r="Q2521" s="63">
        <v>85.0</v>
      </c>
      <c r="R2521" s="64">
        <v>90.0</v>
      </c>
      <c r="S2521" s="111">
        <v>95.0</v>
      </c>
      <c r="T2521" s="65">
        <f t="shared" si="93"/>
        <v>15.2</v>
      </c>
      <c r="U2521" s="65">
        <f t="shared" si="94"/>
        <v>110.2</v>
      </c>
      <c r="V2521" s="66"/>
      <c r="W2521" s="67">
        <f t="shared" si="96"/>
        <v>90.25</v>
      </c>
      <c r="X2521" s="67"/>
      <c r="Y2521" s="67"/>
      <c r="Z2521" s="67">
        <f t="shared" si="99"/>
        <v>85.5</v>
      </c>
      <c r="AA2521" s="67">
        <f t="shared" si="114"/>
        <v>13.68</v>
      </c>
      <c r="AB2521" s="67">
        <f t="shared" si="115"/>
        <v>99.18</v>
      </c>
      <c r="AC2521" s="67">
        <f t="shared" si="102"/>
        <v>80.75</v>
      </c>
      <c r="AD2521" s="67">
        <f t="shared" si="116"/>
        <v>12.92</v>
      </c>
      <c r="AE2521" s="67">
        <f t="shared" si="117"/>
        <v>93.67</v>
      </c>
      <c r="AF2521" s="67">
        <f t="shared" si="105"/>
        <v>78.85</v>
      </c>
      <c r="AG2521" s="67">
        <f t="shared" si="118"/>
        <v>12.616</v>
      </c>
      <c r="AH2521" s="67">
        <f t="shared" si="119"/>
        <v>91.466</v>
      </c>
      <c r="AI2521" s="67">
        <f t="shared" si="108"/>
        <v>76</v>
      </c>
      <c r="AJ2521" s="68">
        <f t="shared" si="126"/>
        <v>12.16</v>
      </c>
      <c r="AK2521" s="68">
        <f t="shared" si="127"/>
        <v>88.16</v>
      </c>
      <c r="AL2521" s="70"/>
      <c r="AM2521" s="70"/>
      <c r="AN2521" s="71"/>
      <c r="AO2521" s="71"/>
      <c r="AP2521" s="71"/>
      <c r="AQ2521" s="71"/>
      <c r="AR2521" s="71"/>
      <c r="AS2521" s="71"/>
      <c r="AT2521" s="71"/>
      <c r="AU2521" s="71"/>
      <c r="AV2521" s="71"/>
      <c r="AW2521" s="71"/>
      <c r="AX2521" s="71"/>
      <c r="AY2521" s="71"/>
      <c r="AZ2521" s="71"/>
      <c r="BA2521" s="71"/>
      <c r="BB2521" s="71"/>
      <c r="BC2521" s="71"/>
      <c r="BD2521" s="71"/>
      <c r="BE2521" s="71"/>
      <c r="BF2521" s="71"/>
      <c r="BG2521" s="71"/>
      <c r="BH2521" s="71"/>
      <c r="BI2521" s="71"/>
      <c r="BJ2521" s="71"/>
      <c r="BK2521" s="71"/>
      <c r="BL2521" s="71"/>
      <c r="BM2521" s="71"/>
      <c r="BN2521" s="71"/>
      <c r="BO2521" s="71"/>
      <c r="BP2521" s="71"/>
      <c r="BQ2521" s="71"/>
      <c r="BR2521" s="71"/>
      <c r="BS2521" s="71"/>
      <c r="BT2521" s="71"/>
      <c r="BU2521" s="71"/>
      <c r="BV2521" s="71"/>
    </row>
    <row r="2522">
      <c r="A2522" s="53"/>
      <c r="B2522" s="53"/>
      <c r="C2522" s="53" t="s">
        <v>36</v>
      </c>
      <c r="D2522" s="85" t="s">
        <v>6204</v>
      </c>
      <c r="E2522" s="54" t="s">
        <v>38</v>
      </c>
      <c r="F2522" s="55" t="s">
        <v>39</v>
      </c>
      <c r="G2522" s="86" t="s">
        <v>6205</v>
      </c>
      <c r="H2522" s="55"/>
      <c r="I2522" s="54">
        <f t="shared" si="125"/>
        <v>0</v>
      </c>
      <c r="J2522" s="56"/>
      <c r="K2522" s="57"/>
      <c r="L2522" s="76"/>
      <c r="M2522" s="59"/>
      <c r="N2522" s="60"/>
      <c r="O2522" s="61">
        <v>97.46</v>
      </c>
      <c r="P2522" s="62">
        <v>105.2568</v>
      </c>
      <c r="Q2522" s="63">
        <v>105.2568</v>
      </c>
      <c r="R2522" s="64">
        <v>111.0</v>
      </c>
      <c r="S2522" s="107">
        <v>117.0</v>
      </c>
      <c r="T2522" s="65">
        <f t="shared" si="93"/>
        <v>18.72</v>
      </c>
      <c r="U2522" s="65">
        <f t="shared" si="94"/>
        <v>135.72</v>
      </c>
      <c r="V2522" s="66">
        <f t="shared" ref="V2522:V2533" si="128">(S2522-R2522)/R2522</f>
        <v>0.05405405405</v>
      </c>
      <c r="W2522" s="67">
        <f t="shared" si="96"/>
        <v>111.15</v>
      </c>
      <c r="X2522" s="67">
        <f t="shared" ref="X2522:X2533" si="129">W2522*0.16</f>
        <v>17.784</v>
      </c>
      <c r="Y2522" s="67">
        <f t="shared" ref="Y2522:Y2533" si="130">W2522+X2522</f>
        <v>128.934</v>
      </c>
      <c r="Z2522" s="67">
        <f t="shared" si="99"/>
        <v>105.3</v>
      </c>
      <c r="AA2522" s="67">
        <f t="shared" si="114"/>
        <v>16.848</v>
      </c>
      <c r="AB2522" s="67">
        <f t="shared" si="115"/>
        <v>122.148</v>
      </c>
      <c r="AC2522" s="67">
        <f t="shared" si="102"/>
        <v>99.45</v>
      </c>
      <c r="AD2522" s="67">
        <f t="shared" si="116"/>
        <v>15.912</v>
      </c>
      <c r="AE2522" s="67">
        <f t="shared" si="117"/>
        <v>115.362</v>
      </c>
      <c r="AF2522" s="67">
        <f t="shared" si="105"/>
        <v>97.11</v>
      </c>
      <c r="AG2522" s="67">
        <f t="shared" si="118"/>
        <v>15.5376</v>
      </c>
      <c r="AH2522" s="67">
        <f t="shared" si="119"/>
        <v>112.6476</v>
      </c>
      <c r="AI2522" s="67">
        <f t="shared" si="108"/>
        <v>93.6</v>
      </c>
      <c r="AJ2522" s="68">
        <f t="shared" si="126"/>
        <v>14.976</v>
      </c>
      <c r="AK2522" s="68">
        <f t="shared" si="127"/>
        <v>108.576</v>
      </c>
      <c r="AL2522" s="70"/>
      <c r="AM2522" s="70"/>
      <c r="AN2522" s="71"/>
      <c r="AO2522" s="71"/>
      <c r="AP2522" s="71"/>
      <c r="AQ2522" s="71"/>
      <c r="AR2522" s="71"/>
      <c r="AS2522" s="71"/>
      <c r="AT2522" s="71"/>
      <c r="AU2522" s="71"/>
      <c r="AV2522" s="71"/>
      <c r="AW2522" s="71"/>
      <c r="AX2522" s="71"/>
      <c r="AY2522" s="71"/>
      <c r="AZ2522" s="71"/>
      <c r="BA2522" s="71"/>
      <c r="BB2522" s="71"/>
      <c r="BC2522" s="71"/>
      <c r="BD2522" s="71"/>
      <c r="BE2522" s="71"/>
      <c r="BF2522" s="71"/>
      <c r="BG2522" s="71"/>
      <c r="BH2522" s="71"/>
      <c r="BI2522" s="71"/>
      <c r="BJ2522" s="71"/>
      <c r="BK2522" s="71"/>
      <c r="BL2522" s="71"/>
      <c r="BM2522" s="71"/>
      <c r="BN2522" s="71"/>
      <c r="BO2522" s="71"/>
      <c r="BP2522" s="71"/>
      <c r="BQ2522" s="71"/>
      <c r="BR2522" s="71"/>
      <c r="BS2522" s="71"/>
      <c r="BT2522" s="71"/>
      <c r="BU2522" s="71"/>
      <c r="BV2522" s="71"/>
    </row>
    <row r="2523">
      <c r="A2523" s="53"/>
      <c r="B2523" s="53"/>
      <c r="C2523" s="53" t="s">
        <v>36</v>
      </c>
      <c r="D2523" s="85" t="s">
        <v>6206</v>
      </c>
      <c r="E2523" s="54" t="s">
        <v>38</v>
      </c>
      <c r="F2523" s="55" t="s">
        <v>39</v>
      </c>
      <c r="G2523" s="86" t="s">
        <v>6207</v>
      </c>
      <c r="H2523" s="55"/>
      <c r="I2523" s="54">
        <f t="shared" si="125"/>
        <v>0</v>
      </c>
      <c r="J2523" s="56"/>
      <c r="K2523" s="57"/>
      <c r="L2523" s="76"/>
      <c r="M2523" s="59"/>
      <c r="N2523" s="60"/>
      <c r="O2523" s="61">
        <v>121.86</v>
      </c>
      <c r="P2523" s="62">
        <v>131.6088</v>
      </c>
      <c r="Q2523" s="63">
        <v>131.6088</v>
      </c>
      <c r="R2523" s="64">
        <v>139.0</v>
      </c>
      <c r="S2523" s="107">
        <v>146.0</v>
      </c>
      <c r="T2523" s="65">
        <f t="shared" si="93"/>
        <v>23.36</v>
      </c>
      <c r="U2523" s="65">
        <f t="shared" si="94"/>
        <v>169.36</v>
      </c>
      <c r="V2523" s="66">
        <f t="shared" si="128"/>
        <v>0.05035971223</v>
      </c>
      <c r="W2523" s="67">
        <f t="shared" si="96"/>
        <v>138.7</v>
      </c>
      <c r="X2523" s="67">
        <f t="shared" si="129"/>
        <v>22.192</v>
      </c>
      <c r="Y2523" s="67">
        <f t="shared" si="130"/>
        <v>160.892</v>
      </c>
      <c r="Z2523" s="67">
        <f t="shared" si="99"/>
        <v>131.4</v>
      </c>
      <c r="AA2523" s="67">
        <f t="shared" si="114"/>
        <v>21.024</v>
      </c>
      <c r="AB2523" s="67">
        <f t="shared" si="115"/>
        <v>152.424</v>
      </c>
      <c r="AC2523" s="67">
        <f t="shared" si="102"/>
        <v>124.1</v>
      </c>
      <c r="AD2523" s="67">
        <f t="shared" si="116"/>
        <v>19.856</v>
      </c>
      <c r="AE2523" s="67">
        <f t="shared" si="117"/>
        <v>143.956</v>
      </c>
      <c r="AF2523" s="67">
        <f t="shared" si="105"/>
        <v>121.18</v>
      </c>
      <c r="AG2523" s="67">
        <f t="shared" si="118"/>
        <v>19.3888</v>
      </c>
      <c r="AH2523" s="67">
        <f t="shared" si="119"/>
        <v>140.5688</v>
      </c>
      <c r="AI2523" s="67">
        <f t="shared" si="108"/>
        <v>116.8</v>
      </c>
      <c r="AJ2523" s="68">
        <f t="shared" si="126"/>
        <v>18.688</v>
      </c>
      <c r="AK2523" s="68">
        <f t="shared" si="127"/>
        <v>135.488</v>
      </c>
      <c r="AL2523" s="70"/>
      <c r="AM2523" s="70"/>
      <c r="AN2523" s="71"/>
      <c r="AO2523" s="71"/>
      <c r="AP2523" s="71"/>
      <c r="AQ2523" s="71"/>
      <c r="AR2523" s="71"/>
      <c r="AS2523" s="71"/>
      <c r="AT2523" s="71"/>
      <c r="AU2523" s="71"/>
      <c r="AV2523" s="71"/>
      <c r="AW2523" s="71"/>
      <c r="AX2523" s="71"/>
      <c r="AY2523" s="71"/>
      <c r="AZ2523" s="71"/>
      <c r="BA2523" s="71"/>
      <c r="BB2523" s="71"/>
      <c r="BC2523" s="71"/>
      <c r="BD2523" s="71"/>
      <c r="BE2523" s="71"/>
      <c r="BF2523" s="71"/>
      <c r="BG2523" s="71"/>
      <c r="BH2523" s="71"/>
      <c r="BI2523" s="71"/>
      <c r="BJ2523" s="71"/>
      <c r="BK2523" s="71"/>
      <c r="BL2523" s="71"/>
      <c r="BM2523" s="71"/>
      <c r="BN2523" s="71"/>
      <c r="BO2523" s="71"/>
      <c r="BP2523" s="71"/>
      <c r="BQ2523" s="71"/>
      <c r="BR2523" s="71"/>
      <c r="BS2523" s="71"/>
      <c r="BT2523" s="71"/>
      <c r="BU2523" s="71"/>
      <c r="BV2523" s="71"/>
    </row>
    <row r="2524">
      <c r="A2524" s="53"/>
      <c r="B2524" s="53"/>
      <c r="C2524" s="120" t="s">
        <v>603</v>
      </c>
      <c r="D2524" s="128" t="s">
        <v>6208</v>
      </c>
      <c r="E2524" s="54" t="s">
        <v>38</v>
      </c>
      <c r="F2524" s="54" t="s">
        <v>42</v>
      </c>
      <c r="G2524" s="130" t="s">
        <v>6209</v>
      </c>
      <c r="H2524" s="54" t="s">
        <v>6210</v>
      </c>
      <c r="I2524" s="54">
        <f t="shared" si="125"/>
        <v>25</v>
      </c>
      <c r="J2524" s="56"/>
      <c r="K2524" s="57"/>
      <c r="L2524" s="76"/>
      <c r="M2524" s="59"/>
      <c r="N2524" s="60">
        <v>124.95</v>
      </c>
      <c r="O2524" s="129">
        <v>134.0</v>
      </c>
      <c r="P2524" s="62">
        <v>144.72</v>
      </c>
      <c r="Q2524" s="63">
        <v>144.72</v>
      </c>
      <c r="R2524" s="64">
        <v>153.0</v>
      </c>
      <c r="S2524" s="111">
        <v>161.0</v>
      </c>
      <c r="T2524" s="65">
        <f t="shared" si="93"/>
        <v>25.76</v>
      </c>
      <c r="U2524" s="65">
        <f t="shared" si="94"/>
        <v>186.76</v>
      </c>
      <c r="V2524" s="66">
        <f t="shared" si="128"/>
        <v>0.0522875817</v>
      </c>
      <c r="W2524" s="67">
        <f t="shared" si="96"/>
        <v>152.95</v>
      </c>
      <c r="X2524" s="67">
        <f t="shared" si="129"/>
        <v>24.472</v>
      </c>
      <c r="Y2524" s="67">
        <f t="shared" si="130"/>
        <v>177.422</v>
      </c>
      <c r="Z2524" s="67">
        <f t="shared" si="99"/>
        <v>144.9</v>
      </c>
      <c r="AA2524" s="67">
        <f t="shared" si="114"/>
        <v>23.184</v>
      </c>
      <c r="AB2524" s="67">
        <f t="shared" si="115"/>
        <v>168.084</v>
      </c>
      <c r="AC2524" s="67">
        <f t="shared" si="102"/>
        <v>136.85</v>
      </c>
      <c r="AD2524" s="67">
        <f t="shared" si="116"/>
        <v>21.896</v>
      </c>
      <c r="AE2524" s="67">
        <f t="shared" si="117"/>
        <v>158.746</v>
      </c>
      <c r="AF2524" s="67">
        <f t="shared" si="105"/>
        <v>133.63</v>
      </c>
      <c r="AG2524" s="67">
        <f t="shared" si="118"/>
        <v>21.3808</v>
      </c>
      <c r="AH2524" s="67">
        <f t="shared" si="119"/>
        <v>155.0108</v>
      </c>
      <c r="AI2524" s="67">
        <f t="shared" si="108"/>
        <v>128.8</v>
      </c>
      <c r="AJ2524" s="68">
        <f t="shared" si="126"/>
        <v>20.608</v>
      </c>
      <c r="AK2524" s="68">
        <f t="shared" si="127"/>
        <v>149.408</v>
      </c>
      <c r="AL2524" s="70"/>
      <c r="AM2524" s="70"/>
      <c r="AN2524" s="71"/>
      <c r="AO2524" s="71"/>
      <c r="AP2524" s="71"/>
      <c r="AQ2524" s="71"/>
      <c r="AR2524" s="71"/>
      <c r="AS2524" s="71"/>
      <c r="AT2524" s="71"/>
      <c r="AU2524" s="71"/>
      <c r="AV2524" s="71"/>
      <c r="AW2524" s="71"/>
      <c r="AX2524" s="71"/>
      <c r="AY2524" s="71"/>
      <c r="AZ2524" s="71"/>
      <c r="BA2524" s="71"/>
      <c r="BB2524" s="71"/>
      <c r="BC2524" s="71"/>
      <c r="BD2524" s="71"/>
      <c r="BE2524" s="71"/>
      <c r="BF2524" s="71"/>
      <c r="BG2524" s="71"/>
      <c r="BH2524" s="71"/>
      <c r="BI2524" s="71"/>
      <c r="BJ2524" s="71"/>
      <c r="BK2524" s="71"/>
      <c r="BL2524" s="71"/>
      <c r="BM2524" s="71"/>
      <c r="BN2524" s="71"/>
      <c r="BO2524" s="71"/>
      <c r="BP2524" s="71"/>
      <c r="BQ2524" s="71"/>
      <c r="BR2524" s="71"/>
      <c r="BS2524" s="71"/>
      <c r="BT2524" s="71"/>
      <c r="BU2524" s="71"/>
      <c r="BV2524" s="71"/>
    </row>
    <row r="2525">
      <c r="A2525" s="53"/>
      <c r="B2525" s="53"/>
      <c r="C2525" s="120" t="s">
        <v>603</v>
      </c>
      <c r="D2525" s="53" t="s">
        <v>6211</v>
      </c>
      <c r="E2525" s="54" t="s">
        <v>38</v>
      </c>
      <c r="F2525" s="54" t="s">
        <v>42</v>
      </c>
      <c r="G2525" s="55" t="s">
        <v>6212</v>
      </c>
      <c r="H2525" s="54" t="s">
        <v>6213</v>
      </c>
      <c r="I2525" s="54">
        <f t="shared" si="125"/>
        <v>40</v>
      </c>
      <c r="J2525" s="56"/>
      <c r="K2525" s="57"/>
      <c r="L2525" s="76"/>
      <c r="M2525" s="59"/>
      <c r="N2525" s="79"/>
      <c r="O2525" s="61">
        <v>42.0</v>
      </c>
      <c r="P2525" s="63">
        <v>45.36</v>
      </c>
      <c r="Q2525" s="63">
        <v>45.36</v>
      </c>
      <c r="R2525" s="64">
        <v>48.0</v>
      </c>
      <c r="S2525" s="111">
        <v>50.0</v>
      </c>
      <c r="T2525" s="65">
        <f t="shared" si="93"/>
        <v>8</v>
      </c>
      <c r="U2525" s="65">
        <f t="shared" si="94"/>
        <v>58</v>
      </c>
      <c r="V2525" s="66">
        <f t="shared" si="128"/>
        <v>0.04166666667</v>
      </c>
      <c r="W2525" s="67">
        <f t="shared" si="96"/>
        <v>47.5</v>
      </c>
      <c r="X2525" s="67">
        <f t="shared" si="129"/>
        <v>7.6</v>
      </c>
      <c r="Y2525" s="67">
        <f t="shared" si="130"/>
        <v>55.1</v>
      </c>
      <c r="Z2525" s="67">
        <f t="shared" si="99"/>
        <v>45</v>
      </c>
      <c r="AA2525" s="67">
        <f t="shared" si="114"/>
        <v>7.2</v>
      </c>
      <c r="AB2525" s="67">
        <f t="shared" si="115"/>
        <v>52.2</v>
      </c>
      <c r="AC2525" s="67">
        <f t="shared" si="102"/>
        <v>42.5</v>
      </c>
      <c r="AD2525" s="67">
        <f t="shared" si="116"/>
        <v>6.8</v>
      </c>
      <c r="AE2525" s="67">
        <f t="shared" si="117"/>
        <v>49.3</v>
      </c>
      <c r="AF2525" s="67">
        <f t="shared" si="105"/>
        <v>41.5</v>
      </c>
      <c r="AG2525" s="67">
        <f t="shared" si="118"/>
        <v>6.64</v>
      </c>
      <c r="AH2525" s="67">
        <f t="shared" si="119"/>
        <v>48.14</v>
      </c>
      <c r="AI2525" s="67">
        <f t="shared" si="108"/>
        <v>40</v>
      </c>
      <c r="AJ2525" s="68">
        <f t="shared" si="126"/>
        <v>6.4</v>
      </c>
      <c r="AK2525" s="68">
        <f t="shared" si="127"/>
        <v>46.4</v>
      </c>
      <c r="AL2525" s="70"/>
      <c r="AM2525" s="70"/>
      <c r="AN2525" s="71"/>
      <c r="AO2525" s="71"/>
      <c r="AP2525" s="71"/>
      <c r="AQ2525" s="71"/>
      <c r="AR2525" s="71"/>
      <c r="AS2525" s="71"/>
      <c r="AT2525" s="71"/>
      <c r="AU2525" s="71"/>
      <c r="AV2525" s="71"/>
      <c r="AW2525" s="71"/>
      <c r="AX2525" s="71"/>
      <c r="AY2525" s="71"/>
      <c r="AZ2525" s="71"/>
      <c r="BA2525" s="71"/>
      <c r="BB2525" s="71"/>
      <c r="BC2525" s="71"/>
      <c r="BD2525" s="71"/>
      <c r="BE2525" s="71"/>
      <c r="BF2525" s="71"/>
      <c r="BG2525" s="71"/>
      <c r="BH2525" s="71"/>
      <c r="BI2525" s="71"/>
      <c r="BJ2525" s="71"/>
      <c r="BK2525" s="71"/>
      <c r="BL2525" s="71"/>
      <c r="BM2525" s="71"/>
      <c r="BN2525" s="71"/>
      <c r="BO2525" s="71"/>
      <c r="BP2525" s="71"/>
      <c r="BQ2525" s="71"/>
      <c r="BR2525" s="71"/>
      <c r="BS2525" s="71"/>
      <c r="BT2525" s="71"/>
      <c r="BU2525" s="71"/>
      <c r="BV2525" s="71"/>
    </row>
    <row r="2526">
      <c r="A2526" s="53"/>
      <c r="B2526" s="53"/>
      <c r="C2526" s="53" t="s">
        <v>53</v>
      </c>
      <c r="D2526" s="53" t="s">
        <v>6214</v>
      </c>
      <c r="E2526" s="54" t="s">
        <v>38</v>
      </c>
      <c r="F2526" s="54" t="s">
        <v>42</v>
      </c>
      <c r="G2526" s="55" t="s">
        <v>6215</v>
      </c>
      <c r="H2526" s="54" t="s">
        <v>6216</v>
      </c>
      <c r="I2526" s="54">
        <f t="shared" si="125"/>
        <v>39</v>
      </c>
      <c r="J2526" s="56"/>
      <c r="K2526" s="57"/>
      <c r="L2526" s="76"/>
      <c r="M2526" s="59"/>
      <c r="N2526" s="79">
        <v>44.0</v>
      </c>
      <c r="O2526" s="61">
        <v>47.0</v>
      </c>
      <c r="P2526" s="63">
        <v>50.760000000000005</v>
      </c>
      <c r="Q2526" s="63">
        <v>50.760000000000005</v>
      </c>
      <c r="R2526" s="64">
        <v>54.0</v>
      </c>
      <c r="S2526" s="111">
        <v>57.0</v>
      </c>
      <c r="T2526" s="65">
        <f t="shared" si="93"/>
        <v>9.12</v>
      </c>
      <c r="U2526" s="65">
        <f t="shared" si="94"/>
        <v>66.12</v>
      </c>
      <c r="V2526" s="66">
        <f t="shared" si="128"/>
        <v>0.05555555556</v>
      </c>
      <c r="W2526" s="67">
        <f t="shared" si="96"/>
        <v>54.15</v>
      </c>
      <c r="X2526" s="67">
        <f t="shared" si="129"/>
        <v>8.664</v>
      </c>
      <c r="Y2526" s="67">
        <f t="shared" si="130"/>
        <v>62.814</v>
      </c>
      <c r="Z2526" s="67">
        <f t="shared" si="99"/>
        <v>51.3</v>
      </c>
      <c r="AA2526" s="67">
        <f t="shared" si="114"/>
        <v>8.208</v>
      </c>
      <c r="AB2526" s="67">
        <f t="shared" si="115"/>
        <v>59.508</v>
      </c>
      <c r="AC2526" s="67">
        <f t="shared" si="102"/>
        <v>48.45</v>
      </c>
      <c r="AD2526" s="67">
        <f t="shared" si="116"/>
        <v>7.752</v>
      </c>
      <c r="AE2526" s="67">
        <f t="shared" si="117"/>
        <v>56.202</v>
      </c>
      <c r="AF2526" s="67">
        <f t="shared" si="105"/>
        <v>47.31</v>
      </c>
      <c r="AG2526" s="67">
        <f t="shared" si="118"/>
        <v>7.5696</v>
      </c>
      <c r="AH2526" s="67">
        <f t="shared" si="119"/>
        <v>54.8796</v>
      </c>
      <c r="AI2526" s="67">
        <f t="shared" si="108"/>
        <v>45.6</v>
      </c>
      <c r="AJ2526" s="68">
        <f t="shared" si="126"/>
        <v>7.296</v>
      </c>
      <c r="AK2526" s="68">
        <f t="shared" si="127"/>
        <v>52.896</v>
      </c>
      <c r="AL2526" s="70"/>
      <c r="AM2526" s="70"/>
      <c r="AN2526" s="71"/>
      <c r="AO2526" s="71"/>
      <c r="AP2526" s="71"/>
      <c r="AQ2526" s="71"/>
      <c r="AR2526" s="71"/>
      <c r="AS2526" s="71"/>
      <c r="AT2526" s="71"/>
      <c r="AU2526" s="71"/>
      <c r="AV2526" s="71"/>
      <c r="AW2526" s="71"/>
      <c r="AX2526" s="71"/>
      <c r="AY2526" s="71"/>
      <c r="AZ2526" s="71"/>
      <c r="BA2526" s="71"/>
      <c r="BB2526" s="71"/>
      <c r="BC2526" s="71"/>
      <c r="BD2526" s="71"/>
      <c r="BE2526" s="71"/>
      <c r="BF2526" s="71"/>
      <c r="BG2526" s="71"/>
      <c r="BH2526" s="71"/>
      <c r="BI2526" s="71"/>
      <c r="BJ2526" s="71"/>
      <c r="BK2526" s="71"/>
      <c r="BL2526" s="71"/>
      <c r="BM2526" s="71"/>
      <c r="BN2526" s="71"/>
      <c r="BO2526" s="71"/>
      <c r="BP2526" s="71"/>
      <c r="BQ2526" s="71"/>
      <c r="BR2526" s="71"/>
      <c r="BS2526" s="71"/>
      <c r="BT2526" s="71"/>
      <c r="BU2526" s="71"/>
      <c r="BV2526" s="71"/>
    </row>
    <row r="2527">
      <c r="A2527" s="53">
        <v>1.0</v>
      </c>
      <c r="B2527" s="53"/>
      <c r="C2527" s="120" t="s">
        <v>603</v>
      </c>
      <c r="D2527" s="74" t="s">
        <v>6217</v>
      </c>
      <c r="E2527" s="54" t="s">
        <v>38</v>
      </c>
      <c r="F2527" s="54" t="s">
        <v>42</v>
      </c>
      <c r="G2527" s="88" t="s">
        <v>6218</v>
      </c>
      <c r="H2527" s="54" t="s">
        <v>6219</v>
      </c>
      <c r="I2527" s="54">
        <f t="shared" si="125"/>
        <v>15</v>
      </c>
      <c r="J2527" s="56"/>
      <c r="K2527" s="57"/>
      <c r="L2527" s="87"/>
      <c r="M2527" s="59"/>
      <c r="N2527" s="60">
        <v>39.0</v>
      </c>
      <c r="O2527" s="61">
        <v>42.0</v>
      </c>
      <c r="P2527" s="62">
        <v>45.36</v>
      </c>
      <c r="Q2527" s="63">
        <v>45.36</v>
      </c>
      <c r="R2527" s="64">
        <v>52.0</v>
      </c>
      <c r="S2527" s="111">
        <v>55.0</v>
      </c>
      <c r="T2527" s="65">
        <f t="shared" si="93"/>
        <v>8.8</v>
      </c>
      <c r="U2527" s="65">
        <f t="shared" si="94"/>
        <v>63.8</v>
      </c>
      <c r="V2527" s="66">
        <f t="shared" si="128"/>
        <v>0.05769230769</v>
      </c>
      <c r="W2527" s="67">
        <f t="shared" si="96"/>
        <v>52.25</v>
      </c>
      <c r="X2527" s="67">
        <f t="shared" si="129"/>
        <v>8.36</v>
      </c>
      <c r="Y2527" s="67">
        <f t="shared" si="130"/>
        <v>60.61</v>
      </c>
      <c r="Z2527" s="67">
        <f t="shared" si="99"/>
        <v>49.5</v>
      </c>
      <c r="AA2527" s="67">
        <f t="shared" si="114"/>
        <v>7.92</v>
      </c>
      <c r="AB2527" s="67">
        <f t="shared" si="115"/>
        <v>57.42</v>
      </c>
      <c r="AC2527" s="67">
        <f t="shared" si="102"/>
        <v>46.75</v>
      </c>
      <c r="AD2527" s="67">
        <f t="shared" si="116"/>
        <v>7.48</v>
      </c>
      <c r="AE2527" s="67">
        <f t="shared" si="117"/>
        <v>54.23</v>
      </c>
      <c r="AF2527" s="67">
        <f t="shared" si="105"/>
        <v>45.65</v>
      </c>
      <c r="AG2527" s="67">
        <f t="shared" si="118"/>
        <v>7.304</v>
      </c>
      <c r="AH2527" s="67">
        <f t="shared" si="119"/>
        <v>52.954</v>
      </c>
      <c r="AI2527" s="67">
        <f t="shared" si="108"/>
        <v>44</v>
      </c>
      <c r="AJ2527" s="68">
        <f t="shared" si="126"/>
        <v>7.04</v>
      </c>
      <c r="AK2527" s="68">
        <f t="shared" si="127"/>
        <v>51.04</v>
      </c>
      <c r="AL2527" s="70"/>
      <c r="AM2527" s="70"/>
      <c r="AN2527" s="71"/>
      <c r="AO2527" s="71"/>
      <c r="AP2527" s="71"/>
      <c r="AQ2527" s="71"/>
      <c r="AR2527" s="71"/>
      <c r="AS2527" s="71"/>
      <c r="AT2527" s="71"/>
      <c r="AU2527" s="71"/>
      <c r="AV2527" s="71"/>
      <c r="AW2527" s="71"/>
      <c r="AX2527" s="71"/>
      <c r="AY2527" s="71"/>
      <c r="AZ2527" s="71"/>
      <c r="BA2527" s="71"/>
      <c r="BB2527" s="71"/>
      <c r="BC2527" s="71"/>
      <c r="BD2527" s="71"/>
      <c r="BE2527" s="71"/>
      <c r="BF2527" s="71"/>
      <c r="BG2527" s="71"/>
      <c r="BH2527" s="71"/>
      <c r="BI2527" s="71"/>
      <c r="BJ2527" s="71"/>
      <c r="BK2527" s="71"/>
      <c r="BL2527" s="71"/>
      <c r="BM2527" s="71"/>
      <c r="BN2527" s="71"/>
      <c r="BO2527" s="71"/>
      <c r="BP2527" s="71"/>
      <c r="BQ2527" s="71"/>
      <c r="BR2527" s="71"/>
      <c r="BS2527" s="71"/>
      <c r="BT2527" s="71"/>
      <c r="BU2527" s="71"/>
      <c r="BV2527" s="71"/>
    </row>
    <row r="2528">
      <c r="A2528" s="53">
        <v>1.0</v>
      </c>
      <c r="B2528" s="53"/>
      <c r="C2528" s="120" t="s">
        <v>603</v>
      </c>
      <c r="D2528" s="74" t="s">
        <v>6220</v>
      </c>
      <c r="E2528" s="54" t="s">
        <v>38</v>
      </c>
      <c r="F2528" s="54" t="s">
        <v>42</v>
      </c>
      <c r="G2528" s="88" t="s">
        <v>6221</v>
      </c>
      <c r="H2528" s="54" t="s">
        <v>6222</v>
      </c>
      <c r="I2528" s="54">
        <f t="shared" si="125"/>
        <v>21</v>
      </c>
      <c r="J2528" s="56"/>
      <c r="K2528" s="57"/>
      <c r="L2528" s="87"/>
      <c r="M2528" s="59"/>
      <c r="N2528" s="60">
        <v>33.0</v>
      </c>
      <c r="O2528" s="61">
        <v>35.0</v>
      </c>
      <c r="P2528" s="62">
        <v>37.800000000000004</v>
      </c>
      <c r="Q2528" s="63">
        <v>37.800000000000004</v>
      </c>
      <c r="R2528" s="64">
        <v>42.0</v>
      </c>
      <c r="S2528" s="111">
        <v>44.0</v>
      </c>
      <c r="T2528" s="65">
        <f t="shared" si="93"/>
        <v>7.04</v>
      </c>
      <c r="U2528" s="65">
        <f t="shared" si="94"/>
        <v>51.04</v>
      </c>
      <c r="V2528" s="66">
        <f t="shared" si="128"/>
        <v>0.04761904762</v>
      </c>
      <c r="W2528" s="67">
        <f t="shared" si="96"/>
        <v>41.8</v>
      </c>
      <c r="X2528" s="67">
        <f t="shared" si="129"/>
        <v>6.688</v>
      </c>
      <c r="Y2528" s="67">
        <f t="shared" si="130"/>
        <v>48.488</v>
      </c>
      <c r="Z2528" s="67">
        <f t="shared" si="99"/>
        <v>39.6</v>
      </c>
      <c r="AA2528" s="67">
        <f t="shared" si="114"/>
        <v>6.336</v>
      </c>
      <c r="AB2528" s="67">
        <f t="shared" si="115"/>
        <v>45.936</v>
      </c>
      <c r="AC2528" s="67">
        <f t="shared" si="102"/>
        <v>37.4</v>
      </c>
      <c r="AD2528" s="67">
        <f t="shared" si="116"/>
        <v>5.984</v>
      </c>
      <c r="AE2528" s="67">
        <f t="shared" si="117"/>
        <v>43.384</v>
      </c>
      <c r="AF2528" s="67">
        <f t="shared" si="105"/>
        <v>36.52</v>
      </c>
      <c r="AG2528" s="67">
        <f t="shared" si="118"/>
        <v>5.8432</v>
      </c>
      <c r="AH2528" s="67">
        <f t="shared" si="119"/>
        <v>42.3632</v>
      </c>
      <c r="AI2528" s="67">
        <f t="shared" si="108"/>
        <v>35.2</v>
      </c>
      <c r="AJ2528" s="68">
        <f t="shared" si="126"/>
        <v>5.632</v>
      </c>
      <c r="AK2528" s="68">
        <f t="shared" si="127"/>
        <v>40.832</v>
      </c>
      <c r="AL2528" s="70"/>
      <c r="AM2528" s="70"/>
      <c r="AN2528" s="71"/>
      <c r="AO2528" s="71"/>
      <c r="AP2528" s="71"/>
      <c r="AQ2528" s="71"/>
      <c r="AR2528" s="71"/>
      <c r="AS2528" s="71"/>
      <c r="AT2528" s="71"/>
      <c r="AU2528" s="71"/>
      <c r="AV2528" s="71"/>
      <c r="AW2528" s="71"/>
      <c r="AX2528" s="71"/>
      <c r="AY2528" s="71"/>
      <c r="AZ2528" s="71"/>
      <c r="BA2528" s="71"/>
      <c r="BB2528" s="71"/>
      <c r="BC2528" s="71"/>
      <c r="BD2528" s="71"/>
      <c r="BE2528" s="71"/>
      <c r="BF2528" s="71"/>
      <c r="BG2528" s="71"/>
      <c r="BH2528" s="71"/>
      <c r="BI2528" s="71"/>
      <c r="BJ2528" s="71"/>
      <c r="BK2528" s="71"/>
      <c r="BL2528" s="71"/>
      <c r="BM2528" s="71"/>
      <c r="BN2528" s="71"/>
      <c r="BO2528" s="71"/>
      <c r="BP2528" s="71"/>
      <c r="BQ2528" s="71"/>
      <c r="BR2528" s="71"/>
      <c r="BS2528" s="71"/>
      <c r="BT2528" s="71"/>
      <c r="BU2528" s="71"/>
      <c r="BV2528" s="71"/>
    </row>
    <row r="2529">
      <c r="A2529" s="53">
        <v>1.0</v>
      </c>
      <c r="B2529" s="53"/>
      <c r="C2529" s="120" t="s">
        <v>603</v>
      </c>
      <c r="D2529" s="74" t="s">
        <v>6223</v>
      </c>
      <c r="E2529" s="54" t="s">
        <v>38</v>
      </c>
      <c r="F2529" s="54" t="s">
        <v>42</v>
      </c>
      <c r="G2529" s="123" t="s">
        <v>6224</v>
      </c>
      <c r="H2529" s="54" t="s">
        <v>6225</v>
      </c>
      <c r="I2529" s="54">
        <f t="shared" si="125"/>
        <v>22</v>
      </c>
      <c r="J2529" s="56"/>
      <c r="K2529" s="57"/>
      <c r="L2529" s="87"/>
      <c r="M2529" s="59"/>
      <c r="N2529" s="60">
        <v>31.0</v>
      </c>
      <c r="O2529" s="61">
        <v>33.0</v>
      </c>
      <c r="P2529" s="62">
        <v>35.64</v>
      </c>
      <c r="Q2529" s="63">
        <v>35.64</v>
      </c>
      <c r="R2529" s="64">
        <v>40.0</v>
      </c>
      <c r="S2529" s="111">
        <v>42.0</v>
      </c>
      <c r="T2529" s="65">
        <f t="shared" si="93"/>
        <v>6.72</v>
      </c>
      <c r="U2529" s="65">
        <f t="shared" si="94"/>
        <v>48.72</v>
      </c>
      <c r="V2529" s="66">
        <f t="shared" si="128"/>
        <v>0.05</v>
      </c>
      <c r="W2529" s="67">
        <f t="shared" si="96"/>
        <v>39.9</v>
      </c>
      <c r="X2529" s="67">
        <f t="shared" si="129"/>
        <v>6.384</v>
      </c>
      <c r="Y2529" s="67">
        <f t="shared" si="130"/>
        <v>46.284</v>
      </c>
      <c r="Z2529" s="67">
        <f t="shared" si="99"/>
        <v>37.8</v>
      </c>
      <c r="AA2529" s="67">
        <f t="shared" si="114"/>
        <v>6.048</v>
      </c>
      <c r="AB2529" s="67">
        <f t="shared" si="115"/>
        <v>43.848</v>
      </c>
      <c r="AC2529" s="67">
        <f t="shared" si="102"/>
        <v>35.7</v>
      </c>
      <c r="AD2529" s="67">
        <f t="shared" si="116"/>
        <v>5.712</v>
      </c>
      <c r="AE2529" s="67">
        <f t="shared" si="117"/>
        <v>41.412</v>
      </c>
      <c r="AF2529" s="67">
        <f t="shared" si="105"/>
        <v>34.86</v>
      </c>
      <c r="AG2529" s="67">
        <f t="shared" si="118"/>
        <v>5.5776</v>
      </c>
      <c r="AH2529" s="67">
        <f t="shared" si="119"/>
        <v>40.4376</v>
      </c>
      <c r="AI2529" s="67">
        <f t="shared" si="108"/>
        <v>33.6</v>
      </c>
      <c r="AJ2529" s="68">
        <f t="shared" si="126"/>
        <v>5.376</v>
      </c>
      <c r="AK2529" s="68">
        <f t="shared" si="127"/>
        <v>38.976</v>
      </c>
      <c r="AL2529" s="70"/>
      <c r="AM2529" s="70"/>
      <c r="AN2529" s="71"/>
      <c r="AO2529" s="71"/>
      <c r="AP2529" s="71"/>
      <c r="AQ2529" s="71"/>
      <c r="AR2529" s="71"/>
      <c r="AS2529" s="71"/>
      <c r="AT2529" s="71"/>
      <c r="AU2529" s="71"/>
      <c r="AV2529" s="71"/>
      <c r="AW2529" s="71"/>
      <c r="AX2529" s="71"/>
      <c r="AY2529" s="71"/>
      <c r="AZ2529" s="71"/>
      <c r="BA2529" s="71"/>
      <c r="BB2529" s="71"/>
      <c r="BC2529" s="71"/>
      <c r="BD2529" s="71"/>
      <c r="BE2529" s="71"/>
      <c r="BF2529" s="71"/>
      <c r="BG2529" s="71"/>
      <c r="BH2529" s="71"/>
      <c r="BI2529" s="71"/>
      <c r="BJ2529" s="71"/>
      <c r="BK2529" s="71"/>
      <c r="BL2529" s="71"/>
      <c r="BM2529" s="71"/>
      <c r="BN2529" s="71"/>
      <c r="BO2529" s="71"/>
      <c r="BP2529" s="71"/>
      <c r="BQ2529" s="71"/>
      <c r="BR2529" s="71"/>
      <c r="BS2529" s="71"/>
      <c r="BT2529" s="71"/>
      <c r="BU2529" s="71"/>
      <c r="BV2529" s="71"/>
    </row>
    <row r="2530">
      <c r="A2530" s="53"/>
      <c r="B2530" s="53"/>
      <c r="C2530" s="120" t="s">
        <v>603</v>
      </c>
      <c r="D2530" s="128" t="s">
        <v>6226</v>
      </c>
      <c r="E2530" s="54" t="s">
        <v>38</v>
      </c>
      <c r="F2530" s="54" t="s">
        <v>42</v>
      </c>
      <c r="G2530" s="130" t="s">
        <v>6227</v>
      </c>
      <c r="H2530" s="54" t="s">
        <v>6228</v>
      </c>
      <c r="I2530" s="54">
        <f t="shared" si="125"/>
        <v>31</v>
      </c>
      <c r="J2530" s="56"/>
      <c r="K2530" s="57"/>
      <c r="L2530" s="76"/>
      <c r="M2530" s="59"/>
      <c r="N2530" s="60">
        <v>156.45000000000002</v>
      </c>
      <c r="O2530" s="129">
        <v>168.0</v>
      </c>
      <c r="P2530" s="62">
        <v>181.44</v>
      </c>
      <c r="Q2530" s="63">
        <v>181.44</v>
      </c>
      <c r="R2530" s="64">
        <v>191.0</v>
      </c>
      <c r="S2530" s="111">
        <v>201.0</v>
      </c>
      <c r="T2530" s="65">
        <f t="shared" si="93"/>
        <v>32.16</v>
      </c>
      <c r="U2530" s="65">
        <f t="shared" si="94"/>
        <v>233.16</v>
      </c>
      <c r="V2530" s="66">
        <f t="shared" si="128"/>
        <v>0.05235602094</v>
      </c>
      <c r="W2530" s="67">
        <f t="shared" si="96"/>
        <v>190.95</v>
      </c>
      <c r="X2530" s="67">
        <f t="shared" si="129"/>
        <v>30.552</v>
      </c>
      <c r="Y2530" s="67">
        <f t="shared" si="130"/>
        <v>221.502</v>
      </c>
      <c r="Z2530" s="67">
        <f t="shared" si="99"/>
        <v>180.9</v>
      </c>
      <c r="AA2530" s="67">
        <f t="shared" si="114"/>
        <v>28.944</v>
      </c>
      <c r="AB2530" s="67">
        <f t="shared" si="115"/>
        <v>209.844</v>
      </c>
      <c r="AC2530" s="67">
        <f t="shared" si="102"/>
        <v>170.85</v>
      </c>
      <c r="AD2530" s="67">
        <f t="shared" si="116"/>
        <v>27.336</v>
      </c>
      <c r="AE2530" s="67">
        <f t="shared" si="117"/>
        <v>198.186</v>
      </c>
      <c r="AF2530" s="67">
        <f t="shared" si="105"/>
        <v>166.83</v>
      </c>
      <c r="AG2530" s="67">
        <f t="shared" si="118"/>
        <v>26.6928</v>
      </c>
      <c r="AH2530" s="67">
        <f t="shared" si="119"/>
        <v>193.5228</v>
      </c>
      <c r="AI2530" s="67">
        <f t="shared" si="108"/>
        <v>160.8</v>
      </c>
      <c r="AJ2530" s="68">
        <f t="shared" si="126"/>
        <v>25.728</v>
      </c>
      <c r="AK2530" s="68">
        <f t="shared" si="127"/>
        <v>186.528</v>
      </c>
      <c r="AL2530" s="70"/>
      <c r="AM2530" s="70"/>
      <c r="AN2530" s="71"/>
      <c r="AO2530" s="71"/>
      <c r="AP2530" s="71"/>
      <c r="AQ2530" s="71"/>
      <c r="AR2530" s="71"/>
      <c r="AS2530" s="71"/>
      <c r="AT2530" s="71"/>
      <c r="AU2530" s="71"/>
      <c r="AV2530" s="71"/>
      <c r="AW2530" s="71"/>
      <c r="AX2530" s="71"/>
      <c r="AY2530" s="71"/>
      <c r="AZ2530" s="71"/>
      <c r="BA2530" s="71"/>
      <c r="BB2530" s="71"/>
      <c r="BC2530" s="71"/>
      <c r="BD2530" s="71"/>
      <c r="BE2530" s="71"/>
      <c r="BF2530" s="71"/>
      <c r="BG2530" s="71"/>
      <c r="BH2530" s="71"/>
      <c r="BI2530" s="71"/>
      <c r="BJ2530" s="71"/>
      <c r="BK2530" s="71"/>
      <c r="BL2530" s="71"/>
      <c r="BM2530" s="71"/>
      <c r="BN2530" s="71"/>
      <c r="BO2530" s="71"/>
      <c r="BP2530" s="71"/>
      <c r="BQ2530" s="71"/>
      <c r="BR2530" s="71"/>
      <c r="BS2530" s="71"/>
      <c r="BT2530" s="71"/>
      <c r="BU2530" s="71"/>
      <c r="BV2530" s="71"/>
    </row>
    <row r="2531">
      <c r="A2531" s="53"/>
      <c r="B2531" s="53"/>
      <c r="C2531" s="73" t="s">
        <v>12</v>
      </c>
      <c r="D2531" s="53" t="s">
        <v>6229</v>
      </c>
      <c r="E2531" s="54" t="s">
        <v>38</v>
      </c>
      <c r="F2531" s="54" t="s">
        <v>42</v>
      </c>
      <c r="G2531" s="55" t="s">
        <v>6230</v>
      </c>
      <c r="H2531" s="55" t="s">
        <v>6231</v>
      </c>
      <c r="I2531" s="54">
        <f t="shared" si="125"/>
        <v>40</v>
      </c>
      <c r="J2531" s="56"/>
      <c r="K2531" s="57"/>
      <c r="L2531" s="76"/>
      <c r="M2531" s="59"/>
      <c r="N2531" s="60"/>
      <c r="O2531" s="90"/>
      <c r="P2531" s="62">
        <v>57.23</v>
      </c>
      <c r="Q2531" s="63">
        <v>57.23</v>
      </c>
      <c r="R2531" s="64">
        <v>60.0</v>
      </c>
      <c r="S2531" s="111">
        <v>63.0</v>
      </c>
      <c r="T2531" s="65">
        <f t="shared" si="93"/>
        <v>10.08</v>
      </c>
      <c r="U2531" s="65">
        <f t="shared" si="94"/>
        <v>73.08</v>
      </c>
      <c r="V2531" s="66">
        <f t="shared" si="128"/>
        <v>0.05</v>
      </c>
      <c r="W2531" s="67">
        <f t="shared" si="96"/>
        <v>59.85</v>
      </c>
      <c r="X2531" s="67">
        <f t="shared" si="129"/>
        <v>9.576</v>
      </c>
      <c r="Y2531" s="67">
        <f t="shared" si="130"/>
        <v>69.426</v>
      </c>
      <c r="Z2531" s="67">
        <f t="shared" si="99"/>
        <v>56.7</v>
      </c>
      <c r="AA2531" s="67">
        <f t="shared" si="114"/>
        <v>9.072</v>
      </c>
      <c r="AB2531" s="67">
        <f t="shared" si="115"/>
        <v>65.772</v>
      </c>
      <c r="AC2531" s="67">
        <f t="shared" si="102"/>
        <v>53.55</v>
      </c>
      <c r="AD2531" s="67">
        <f t="shared" si="116"/>
        <v>8.568</v>
      </c>
      <c r="AE2531" s="67">
        <f t="shared" si="117"/>
        <v>62.118</v>
      </c>
      <c r="AF2531" s="67">
        <f t="shared" si="105"/>
        <v>52.29</v>
      </c>
      <c r="AG2531" s="67">
        <f t="shared" si="118"/>
        <v>8.3664</v>
      </c>
      <c r="AH2531" s="67">
        <f t="shared" si="119"/>
        <v>60.6564</v>
      </c>
      <c r="AI2531" s="67">
        <f t="shared" si="108"/>
        <v>50.4</v>
      </c>
      <c r="AJ2531" s="68">
        <f t="shared" si="126"/>
        <v>8.064</v>
      </c>
      <c r="AK2531" s="68">
        <f t="shared" si="127"/>
        <v>58.464</v>
      </c>
      <c r="AL2531" s="70"/>
      <c r="AM2531" s="70"/>
      <c r="AN2531" s="71"/>
      <c r="AO2531" s="71"/>
      <c r="AP2531" s="71"/>
      <c r="AQ2531" s="71"/>
      <c r="AR2531" s="71"/>
      <c r="AS2531" s="71"/>
      <c r="AT2531" s="71"/>
      <c r="AU2531" s="71"/>
      <c r="AV2531" s="71"/>
      <c r="AW2531" s="71"/>
      <c r="AX2531" s="71"/>
      <c r="AY2531" s="71"/>
      <c r="AZ2531" s="71"/>
      <c r="BA2531" s="71"/>
      <c r="BB2531" s="71"/>
      <c r="BC2531" s="71"/>
      <c r="BD2531" s="71"/>
      <c r="BE2531" s="71"/>
      <c r="BF2531" s="71"/>
      <c r="BG2531" s="71"/>
      <c r="BH2531" s="71"/>
      <c r="BI2531" s="71"/>
      <c r="BJ2531" s="71"/>
      <c r="BK2531" s="71"/>
      <c r="BL2531" s="71"/>
      <c r="BM2531" s="71"/>
      <c r="BN2531" s="71"/>
      <c r="BO2531" s="71"/>
      <c r="BP2531" s="71"/>
      <c r="BQ2531" s="71"/>
      <c r="BR2531" s="71"/>
      <c r="BS2531" s="71"/>
      <c r="BT2531" s="71"/>
      <c r="BU2531" s="71"/>
      <c r="BV2531" s="71"/>
    </row>
    <row r="2532">
      <c r="A2532" s="53"/>
      <c r="B2532" s="53"/>
      <c r="C2532" s="73" t="s">
        <v>12</v>
      </c>
      <c r="D2532" s="53" t="s">
        <v>6232</v>
      </c>
      <c r="E2532" s="54" t="s">
        <v>38</v>
      </c>
      <c r="F2532" s="54" t="s">
        <v>42</v>
      </c>
      <c r="G2532" s="55" t="s">
        <v>6233</v>
      </c>
      <c r="H2532" s="55" t="s">
        <v>6234</v>
      </c>
      <c r="I2532" s="54">
        <f t="shared" si="125"/>
        <v>40</v>
      </c>
      <c r="J2532" s="56"/>
      <c r="K2532" s="57"/>
      <c r="L2532" s="76"/>
      <c r="M2532" s="59"/>
      <c r="N2532" s="60"/>
      <c r="O2532" s="90"/>
      <c r="P2532" s="62">
        <v>79.59</v>
      </c>
      <c r="Q2532" s="63">
        <v>79.59</v>
      </c>
      <c r="R2532" s="64">
        <v>84.0</v>
      </c>
      <c r="S2532" s="111">
        <v>88.0</v>
      </c>
      <c r="T2532" s="65">
        <f t="shared" si="93"/>
        <v>14.08</v>
      </c>
      <c r="U2532" s="65">
        <f t="shared" si="94"/>
        <v>102.08</v>
      </c>
      <c r="V2532" s="66">
        <f t="shared" si="128"/>
        <v>0.04761904762</v>
      </c>
      <c r="W2532" s="67">
        <f t="shared" si="96"/>
        <v>83.6</v>
      </c>
      <c r="X2532" s="67">
        <f t="shared" si="129"/>
        <v>13.376</v>
      </c>
      <c r="Y2532" s="67">
        <f t="shared" si="130"/>
        <v>96.976</v>
      </c>
      <c r="Z2532" s="67">
        <f t="shared" si="99"/>
        <v>79.2</v>
      </c>
      <c r="AA2532" s="67">
        <f t="shared" si="114"/>
        <v>12.672</v>
      </c>
      <c r="AB2532" s="67">
        <f t="shared" si="115"/>
        <v>91.872</v>
      </c>
      <c r="AC2532" s="67">
        <f t="shared" si="102"/>
        <v>74.8</v>
      </c>
      <c r="AD2532" s="67">
        <f t="shared" si="116"/>
        <v>11.968</v>
      </c>
      <c r="AE2532" s="67">
        <f t="shared" si="117"/>
        <v>86.768</v>
      </c>
      <c r="AF2532" s="67">
        <f t="shared" si="105"/>
        <v>73.04</v>
      </c>
      <c r="AG2532" s="67">
        <f t="shared" si="118"/>
        <v>11.6864</v>
      </c>
      <c r="AH2532" s="67">
        <f t="shared" si="119"/>
        <v>84.7264</v>
      </c>
      <c r="AI2532" s="67">
        <f t="shared" si="108"/>
        <v>70.4</v>
      </c>
      <c r="AJ2532" s="68">
        <f t="shared" si="126"/>
        <v>11.264</v>
      </c>
      <c r="AK2532" s="68">
        <f t="shared" si="127"/>
        <v>81.664</v>
      </c>
      <c r="AL2532" s="70"/>
      <c r="AM2532" s="70"/>
      <c r="AN2532" s="71"/>
      <c r="AO2532" s="71"/>
      <c r="AP2532" s="71"/>
      <c r="AQ2532" s="71"/>
      <c r="AR2532" s="71"/>
      <c r="AS2532" s="71"/>
      <c r="AT2532" s="71"/>
      <c r="AU2532" s="71"/>
      <c r="AV2532" s="71"/>
      <c r="AW2532" s="71"/>
      <c r="AX2532" s="71"/>
      <c r="AY2532" s="71"/>
      <c r="AZ2532" s="71"/>
      <c r="BA2532" s="71"/>
      <c r="BB2532" s="71"/>
      <c r="BC2532" s="71"/>
      <c r="BD2532" s="71"/>
      <c r="BE2532" s="71"/>
      <c r="BF2532" s="71"/>
      <c r="BG2532" s="71"/>
      <c r="BH2532" s="71"/>
      <c r="BI2532" s="71"/>
      <c r="BJ2532" s="71"/>
      <c r="BK2532" s="71"/>
      <c r="BL2532" s="71"/>
      <c r="BM2532" s="71"/>
      <c r="BN2532" s="71"/>
      <c r="BO2532" s="71"/>
      <c r="BP2532" s="71"/>
      <c r="BQ2532" s="71"/>
      <c r="BR2532" s="71"/>
      <c r="BS2532" s="71"/>
      <c r="BT2532" s="71"/>
      <c r="BU2532" s="71"/>
      <c r="BV2532" s="71"/>
    </row>
    <row r="2533">
      <c r="A2533" s="53"/>
      <c r="B2533" s="53"/>
      <c r="C2533" s="120" t="s">
        <v>603</v>
      </c>
      <c r="D2533" s="53" t="s">
        <v>6235</v>
      </c>
      <c r="E2533" s="54" t="s">
        <v>38</v>
      </c>
      <c r="F2533" s="54" t="s">
        <v>42</v>
      </c>
      <c r="G2533" s="55" t="s">
        <v>6236</v>
      </c>
      <c r="H2533" s="54" t="s">
        <v>6236</v>
      </c>
      <c r="I2533" s="54">
        <f t="shared" si="125"/>
        <v>35</v>
      </c>
      <c r="J2533" s="56"/>
      <c r="K2533" s="57"/>
      <c r="L2533" s="76"/>
      <c r="M2533" s="59"/>
      <c r="N2533" s="79"/>
      <c r="O2533" s="61">
        <v>114.0</v>
      </c>
      <c r="P2533" s="63">
        <v>123.12</v>
      </c>
      <c r="Q2533" s="63">
        <v>123.12</v>
      </c>
      <c r="R2533" s="64">
        <v>130.0</v>
      </c>
      <c r="S2533" s="111">
        <v>137.0</v>
      </c>
      <c r="T2533" s="65">
        <f t="shared" si="93"/>
        <v>21.92</v>
      </c>
      <c r="U2533" s="65">
        <f t="shared" si="94"/>
        <v>158.92</v>
      </c>
      <c r="V2533" s="66">
        <f t="shared" si="128"/>
        <v>0.05384615385</v>
      </c>
      <c r="W2533" s="67">
        <f t="shared" si="96"/>
        <v>130.15</v>
      </c>
      <c r="X2533" s="67">
        <f t="shared" si="129"/>
        <v>20.824</v>
      </c>
      <c r="Y2533" s="67">
        <f t="shared" si="130"/>
        <v>150.974</v>
      </c>
      <c r="Z2533" s="67">
        <f t="shared" si="99"/>
        <v>123.3</v>
      </c>
      <c r="AA2533" s="67">
        <f t="shared" si="114"/>
        <v>19.728</v>
      </c>
      <c r="AB2533" s="67">
        <f t="shared" si="115"/>
        <v>143.028</v>
      </c>
      <c r="AC2533" s="67">
        <f t="shared" si="102"/>
        <v>116.45</v>
      </c>
      <c r="AD2533" s="67">
        <f t="shared" si="116"/>
        <v>18.632</v>
      </c>
      <c r="AE2533" s="67">
        <f t="shared" si="117"/>
        <v>135.082</v>
      </c>
      <c r="AF2533" s="67">
        <f t="shared" si="105"/>
        <v>113.71</v>
      </c>
      <c r="AG2533" s="67">
        <f t="shared" si="118"/>
        <v>18.1936</v>
      </c>
      <c r="AH2533" s="67">
        <f t="shared" si="119"/>
        <v>131.9036</v>
      </c>
      <c r="AI2533" s="67">
        <f t="shared" si="108"/>
        <v>109.6</v>
      </c>
      <c r="AJ2533" s="68">
        <f t="shared" si="126"/>
        <v>17.536</v>
      </c>
      <c r="AK2533" s="68">
        <f t="shared" si="127"/>
        <v>127.136</v>
      </c>
      <c r="AL2533" s="70"/>
      <c r="AM2533" s="70"/>
      <c r="AN2533" s="71"/>
      <c r="AO2533" s="71"/>
      <c r="AP2533" s="71"/>
      <c r="AQ2533" s="71"/>
      <c r="AR2533" s="71"/>
      <c r="AS2533" s="71"/>
      <c r="AT2533" s="71"/>
      <c r="AU2533" s="71"/>
      <c r="AV2533" s="71"/>
      <c r="AW2533" s="71"/>
      <c r="AX2533" s="71"/>
      <c r="AY2533" s="71"/>
      <c r="AZ2533" s="71"/>
      <c r="BA2533" s="71"/>
      <c r="BB2533" s="71"/>
      <c r="BC2533" s="71"/>
      <c r="BD2533" s="71"/>
      <c r="BE2533" s="71"/>
      <c r="BF2533" s="71"/>
      <c r="BG2533" s="71"/>
      <c r="BH2533" s="71"/>
      <c r="BI2533" s="71"/>
      <c r="BJ2533" s="71"/>
      <c r="BK2533" s="71"/>
      <c r="BL2533" s="71"/>
      <c r="BM2533" s="71"/>
      <c r="BN2533" s="71"/>
      <c r="BO2533" s="71"/>
      <c r="BP2533" s="71"/>
      <c r="BQ2533" s="71"/>
      <c r="BR2533" s="71"/>
      <c r="BS2533" s="71"/>
      <c r="BT2533" s="71"/>
      <c r="BU2533" s="71"/>
      <c r="BV2533" s="71"/>
    </row>
    <row r="2534">
      <c r="A2534" s="53"/>
      <c r="B2534" s="53"/>
      <c r="C2534" s="53" t="s">
        <v>53</v>
      </c>
      <c r="D2534" s="53" t="s">
        <v>6237</v>
      </c>
      <c r="E2534" s="86" t="s">
        <v>38</v>
      </c>
      <c r="F2534" s="91" t="s">
        <v>42</v>
      </c>
      <c r="G2534" s="84" t="s">
        <v>6238</v>
      </c>
      <c r="H2534" s="55" t="s">
        <v>6238</v>
      </c>
      <c r="I2534" s="54">
        <f t="shared" si="125"/>
        <v>40</v>
      </c>
      <c r="J2534" s="56"/>
      <c r="K2534" s="57"/>
      <c r="L2534" s="76"/>
      <c r="M2534" s="59"/>
      <c r="N2534" s="60"/>
      <c r="O2534" s="90"/>
      <c r="P2534" s="62">
        <v>344.0</v>
      </c>
      <c r="Q2534" s="63">
        <v>344.0</v>
      </c>
      <c r="R2534" s="64">
        <v>362.0</v>
      </c>
      <c r="S2534" s="111">
        <v>380.0</v>
      </c>
      <c r="T2534" s="65">
        <f t="shared" si="93"/>
        <v>60.8</v>
      </c>
      <c r="U2534" s="65">
        <f t="shared" si="94"/>
        <v>440.8</v>
      </c>
      <c r="V2534" s="66"/>
      <c r="W2534" s="67">
        <f t="shared" si="96"/>
        <v>361</v>
      </c>
      <c r="X2534" s="67"/>
      <c r="Y2534" s="67"/>
      <c r="Z2534" s="67">
        <f t="shared" si="99"/>
        <v>342</v>
      </c>
      <c r="AA2534" s="67">
        <f t="shared" si="114"/>
        <v>54.72</v>
      </c>
      <c r="AB2534" s="67">
        <f t="shared" si="115"/>
        <v>396.72</v>
      </c>
      <c r="AC2534" s="67">
        <f t="shared" si="102"/>
        <v>323</v>
      </c>
      <c r="AD2534" s="67">
        <f t="shared" si="116"/>
        <v>51.68</v>
      </c>
      <c r="AE2534" s="67">
        <f t="shared" si="117"/>
        <v>374.68</v>
      </c>
      <c r="AF2534" s="67">
        <f t="shared" si="105"/>
        <v>315.4</v>
      </c>
      <c r="AG2534" s="67">
        <f t="shared" si="118"/>
        <v>50.464</v>
      </c>
      <c r="AH2534" s="67">
        <f t="shared" si="119"/>
        <v>365.864</v>
      </c>
      <c r="AI2534" s="67">
        <f t="shared" si="108"/>
        <v>304</v>
      </c>
      <c r="AJ2534" s="68">
        <f t="shared" si="126"/>
        <v>48.64</v>
      </c>
      <c r="AK2534" s="68">
        <f t="shared" si="127"/>
        <v>352.64</v>
      </c>
      <c r="AL2534" s="70"/>
      <c r="AM2534" s="70"/>
      <c r="AN2534" s="71"/>
      <c r="AO2534" s="71"/>
      <c r="AP2534" s="71"/>
      <c r="AQ2534" s="71"/>
      <c r="AR2534" s="71"/>
      <c r="AS2534" s="71"/>
      <c r="AT2534" s="71"/>
      <c r="AU2534" s="71"/>
      <c r="AV2534" s="71"/>
      <c r="AW2534" s="71"/>
      <c r="AX2534" s="71"/>
      <c r="AY2534" s="71"/>
      <c r="AZ2534" s="71"/>
      <c r="BA2534" s="71"/>
      <c r="BB2534" s="71"/>
      <c r="BC2534" s="71"/>
      <c r="BD2534" s="71"/>
      <c r="BE2534" s="71"/>
      <c r="BF2534" s="71"/>
      <c r="BG2534" s="71"/>
      <c r="BH2534" s="71"/>
      <c r="BI2534" s="71"/>
      <c r="BJ2534" s="71"/>
      <c r="BK2534" s="71"/>
      <c r="BL2534" s="71"/>
      <c r="BM2534" s="71"/>
      <c r="BN2534" s="71"/>
      <c r="BO2534" s="71"/>
      <c r="BP2534" s="71"/>
      <c r="BQ2534" s="71"/>
      <c r="BR2534" s="71"/>
      <c r="BS2534" s="71"/>
      <c r="BT2534" s="71"/>
      <c r="BU2534" s="71"/>
      <c r="BV2534" s="71"/>
    </row>
    <row r="2535">
      <c r="A2535" s="53"/>
      <c r="B2535" s="53"/>
      <c r="C2535" s="53" t="s">
        <v>53</v>
      </c>
      <c r="D2535" s="53" t="s">
        <v>6239</v>
      </c>
      <c r="E2535" s="86" t="s">
        <v>38</v>
      </c>
      <c r="F2535" s="91" t="s">
        <v>42</v>
      </c>
      <c r="G2535" s="84" t="s">
        <v>6240</v>
      </c>
      <c r="H2535" s="55" t="s">
        <v>6240</v>
      </c>
      <c r="I2535" s="54">
        <f t="shared" si="125"/>
        <v>40</v>
      </c>
      <c r="J2535" s="56"/>
      <c r="K2535" s="57"/>
      <c r="L2535" s="76"/>
      <c r="M2535" s="59"/>
      <c r="N2535" s="60"/>
      <c r="O2535" s="90"/>
      <c r="P2535" s="62">
        <v>241.0</v>
      </c>
      <c r="Q2535" s="63">
        <v>241.0</v>
      </c>
      <c r="R2535" s="64">
        <v>254.0</v>
      </c>
      <c r="S2535" s="111">
        <v>267.0</v>
      </c>
      <c r="T2535" s="65">
        <f t="shared" si="93"/>
        <v>42.72</v>
      </c>
      <c r="U2535" s="65">
        <f t="shared" si="94"/>
        <v>309.72</v>
      </c>
      <c r="V2535" s="66"/>
      <c r="W2535" s="67">
        <f t="shared" si="96"/>
        <v>253.65</v>
      </c>
      <c r="X2535" s="67"/>
      <c r="Y2535" s="67"/>
      <c r="Z2535" s="67">
        <f t="shared" si="99"/>
        <v>240.3</v>
      </c>
      <c r="AA2535" s="67">
        <f t="shared" si="114"/>
        <v>38.448</v>
      </c>
      <c r="AB2535" s="67">
        <f t="shared" si="115"/>
        <v>278.748</v>
      </c>
      <c r="AC2535" s="67">
        <f t="shared" si="102"/>
        <v>226.95</v>
      </c>
      <c r="AD2535" s="67">
        <f t="shared" si="116"/>
        <v>36.312</v>
      </c>
      <c r="AE2535" s="67">
        <f t="shared" si="117"/>
        <v>263.262</v>
      </c>
      <c r="AF2535" s="67">
        <f t="shared" si="105"/>
        <v>221.61</v>
      </c>
      <c r="AG2535" s="67">
        <f t="shared" si="118"/>
        <v>35.4576</v>
      </c>
      <c r="AH2535" s="67">
        <f t="shared" si="119"/>
        <v>257.0676</v>
      </c>
      <c r="AI2535" s="67">
        <f t="shared" si="108"/>
        <v>213.6</v>
      </c>
      <c r="AJ2535" s="68">
        <f t="shared" si="126"/>
        <v>34.176</v>
      </c>
      <c r="AK2535" s="68">
        <f t="shared" si="127"/>
        <v>247.776</v>
      </c>
      <c r="AL2535" s="70"/>
      <c r="AM2535" s="70"/>
      <c r="AN2535" s="71"/>
      <c r="AO2535" s="71"/>
      <c r="AP2535" s="71"/>
      <c r="AQ2535" s="71"/>
      <c r="AR2535" s="71"/>
      <c r="AS2535" s="71"/>
      <c r="AT2535" s="71"/>
      <c r="AU2535" s="71"/>
      <c r="AV2535" s="71"/>
      <c r="AW2535" s="71"/>
      <c r="AX2535" s="71"/>
      <c r="AY2535" s="71"/>
      <c r="AZ2535" s="71"/>
      <c r="BA2535" s="71"/>
      <c r="BB2535" s="71"/>
      <c r="BC2535" s="71"/>
      <c r="BD2535" s="71"/>
      <c r="BE2535" s="71"/>
      <c r="BF2535" s="71"/>
      <c r="BG2535" s="71"/>
      <c r="BH2535" s="71"/>
      <c r="BI2535" s="71"/>
      <c r="BJ2535" s="71"/>
      <c r="BK2535" s="71"/>
      <c r="BL2535" s="71"/>
      <c r="BM2535" s="71"/>
      <c r="BN2535" s="71"/>
      <c r="BO2535" s="71"/>
      <c r="BP2535" s="71"/>
      <c r="BQ2535" s="71"/>
      <c r="BR2535" s="71"/>
      <c r="BS2535" s="71"/>
      <c r="BT2535" s="71"/>
      <c r="BU2535" s="71"/>
      <c r="BV2535" s="71"/>
    </row>
    <row r="2536">
      <c r="A2536" s="53"/>
      <c r="B2536" s="53"/>
      <c r="C2536" s="53" t="s">
        <v>603</v>
      </c>
      <c r="D2536" s="53" t="s">
        <v>6241</v>
      </c>
      <c r="E2536" s="54" t="s">
        <v>38</v>
      </c>
      <c r="F2536" s="54" t="s">
        <v>42</v>
      </c>
      <c r="G2536" s="55" t="s">
        <v>6242</v>
      </c>
      <c r="H2536" s="54" t="s">
        <v>6242</v>
      </c>
      <c r="I2536" s="54">
        <f t="shared" si="125"/>
        <v>39</v>
      </c>
      <c r="J2536" s="56"/>
      <c r="K2536" s="57"/>
      <c r="L2536" s="76"/>
      <c r="M2536" s="59"/>
      <c r="N2536" s="79">
        <v>150.0</v>
      </c>
      <c r="O2536" s="61">
        <v>162.0</v>
      </c>
      <c r="P2536" s="63">
        <v>174.96</v>
      </c>
      <c r="Q2536" s="63">
        <v>174.96</v>
      </c>
      <c r="R2536" s="64">
        <v>184.0</v>
      </c>
      <c r="S2536" s="111">
        <v>193.0</v>
      </c>
      <c r="T2536" s="65">
        <f t="shared" si="93"/>
        <v>30.88</v>
      </c>
      <c r="U2536" s="65">
        <f t="shared" si="94"/>
        <v>223.88</v>
      </c>
      <c r="V2536" s="66">
        <f t="shared" ref="V2536:V2585" si="131">(S2536-R2536)/R2536</f>
        <v>0.04891304348</v>
      </c>
      <c r="W2536" s="67">
        <f t="shared" si="96"/>
        <v>183.35</v>
      </c>
      <c r="X2536" s="67">
        <f t="shared" ref="X2536:X2780" si="132">W2536*0.16</f>
        <v>29.336</v>
      </c>
      <c r="Y2536" s="67">
        <f t="shared" ref="Y2536:Y2780" si="133">W2536+X2536</f>
        <v>212.686</v>
      </c>
      <c r="Z2536" s="67">
        <f t="shared" si="99"/>
        <v>173.7</v>
      </c>
      <c r="AA2536" s="67">
        <f t="shared" si="114"/>
        <v>27.792</v>
      </c>
      <c r="AB2536" s="67">
        <f t="shared" si="115"/>
        <v>201.492</v>
      </c>
      <c r="AC2536" s="67">
        <f t="shared" si="102"/>
        <v>164.05</v>
      </c>
      <c r="AD2536" s="67">
        <f t="shared" si="116"/>
        <v>26.248</v>
      </c>
      <c r="AE2536" s="67">
        <f t="shared" si="117"/>
        <v>190.298</v>
      </c>
      <c r="AF2536" s="67">
        <f t="shared" si="105"/>
        <v>160.19</v>
      </c>
      <c r="AG2536" s="67">
        <f t="shared" si="118"/>
        <v>25.6304</v>
      </c>
      <c r="AH2536" s="67">
        <f t="shared" si="119"/>
        <v>185.8204</v>
      </c>
      <c r="AI2536" s="67">
        <f t="shared" si="108"/>
        <v>154.4</v>
      </c>
      <c r="AJ2536" s="68">
        <f t="shared" si="126"/>
        <v>24.704</v>
      </c>
      <c r="AK2536" s="68">
        <f t="shared" si="127"/>
        <v>179.104</v>
      </c>
      <c r="AL2536" s="70"/>
      <c r="AM2536" s="70"/>
      <c r="AN2536" s="71"/>
      <c r="AO2536" s="71"/>
      <c r="AP2536" s="71"/>
      <c r="AQ2536" s="71"/>
      <c r="AR2536" s="71"/>
      <c r="AS2536" s="71"/>
      <c r="AT2536" s="71"/>
      <c r="AU2536" s="71"/>
      <c r="AV2536" s="71"/>
      <c r="AW2536" s="71"/>
      <c r="AX2536" s="71"/>
      <c r="AY2536" s="71"/>
      <c r="AZ2536" s="71"/>
      <c r="BA2536" s="71"/>
      <c r="BB2536" s="71"/>
      <c r="BC2536" s="71"/>
      <c r="BD2536" s="71"/>
      <c r="BE2536" s="71"/>
      <c r="BF2536" s="71"/>
      <c r="BG2536" s="71"/>
      <c r="BH2536" s="71"/>
      <c r="BI2536" s="71"/>
      <c r="BJ2536" s="71"/>
      <c r="BK2536" s="71"/>
      <c r="BL2536" s="71"/>
      <c r="BM2536" s="71"/>
      <c r="BN2536" s="71"/>
      <c r="BO2536" s="71"/>
      <c r="BP2536" s="71"/>
      <c r="BQ2536" s="71"/>
      <c r="BR2536" s="71"/>
      <c r="BS2536" s="71"/>
      <c r="BT2536" s="71"/>
      <c r="BU2536" s="71"/>
      <c r="BV2536" s="71"/>
    </row>
    <row r="2537">
      <c r="A2537" s="53"/>
      <c r="B2537" s="53"/>
      <c r="C2537" s="53" t="s">
        <v>53</v>
      </c>
      <c r="D2537" s="53" t="s">
        <v>6243</v>
      </c>
      <c r="E2537" s="54" t="s">
        <v>38</v>
      </c>
      <c r="F2537" s="54" t="s">
        <v>42</v>
      </c>
      <c r="G2537" s="55" t="s">
        <v>6244</v>
      </c>
      <c r="H2537" s="54" t="s">
        <v>6245</v>
      </c>
      <c r="I2537" s="54">
        <f t="shared" si="125"/>
        <v>27</v>
      </c>
      <c r="J2537" s="56"/>
      <c r="K2537" s="57"/>
      <c r="L2537" s="76"/>
      <c r="M2537" s="59"/>
      <c r="N2537" s="79">
        <v>39.0</v>
      </c>
      <c r="O2537" s="61">
        <v>42.0</v>
      </c>
      <c r="P2537" s="63">
        <v>45.36</v>
      </c>
      <c r="Q2537" s="63">
        <v>45.36</v>
      </c>
      <c r="R2537" s="64">
        <v>48.0</v>
      </c>
      <c r="S2537" s="111">
        <v>50.0</v>
      </c>
      <c r="T2537" s="65">
        <f t="shared" si="93"/>
        <v>8</v>
      </c>
      <c r="U2537" s="65">
        <f t="shared" si="94"/>
        <v>58</v>
      </c>
      <c r="V2537" s="66">
        <f t="shared" si="131"/>
        <v>0.04166666667</v>
      </c>
      <c r="W2537" s="67">
        <f t="shared" si="96"/>
        <v>47.5</v>
      </c>
      <c r="X2537" s="67">
        <f t="shared" si="132"/>
        <v>7.6</v>
      </c>
      <c r="Y2537" s="67">
        <f t="shared" si="133"/>
        <v>55.1</v>
      </c>
      <c r="Z2537" s="67">
        <f t="shared" si="99"/>
        <v>45</v>
      </c>
      <c r="AA2537" s="67">
        <f t="shared" si="114"/>
        <v>7.2</v>
      </c>
      <c r="AB2537" s="67">
        <f t="shared" si="115"/>
        <v>52.2</v>
      </c>
      <c r="AC2537" s="67">
        <f t="shared" si="102"/>
        <v>42.5</v>
      </c>
      <c r="AD2537" s="67">
        <f t="shared" si="116"/>
        <v>6.8</v>
      </c>
      <c r="AE2537" s="67">
        <f t="shared" si="117"/>
        <v>49.3</v>
      </c>
      <c r="AF2537" s="67">
        <f t="shared" si="105"/>
        <v>41.5</v>
      </c>
      <c r="AG2537" s="67">
        <f t="shared" si="118"/>
        <v>6.64</v>
      </c>
      <c r="AH2537" s="67">
        <f t="shared" si="119"/>
        <v>48.14</v>
      </c>
      <c r="AI2537" s="67">
        <f t="shared" si="108"/>
        <v>40</v>
      </c>
      <c r="AJ2537" s="68">
        <f t="shared" si="126"/>
        <v>6.4</v>
      </c>
      <c r="AK2537" s="68">
        <f t="shared" si="127"/>
        <v>46.4</v>
      </c>
      <c r="AL2537" s="70"/>
      <c r="AM2537" s="70"/>
      <c r="AN2537" s="71"/>
      <c r="AO2537" s="71"/>
      <c r="AP2537" s="71"/>
      <c r="AQ2537" s="71"/>
      <c r="AR2537" s="71"/>
      <c r="AS2537" s="71"/>
      <c r="AT2537" s="71"/>
      <c r="AU2537" s="71"/>
      <c r="AV2537" s="71"/>
      <c r="AW2537" s="71"/>
      <c r="AX2537" s="71"/>
      <c r="AY2537" s="71"/>
      <c r="AZ2537" s="71"/>
      <c r="BA2537" s="71"/>
      <c r="BB2537" s="71"/>
      <c r="BC2537" s="71"/>
      <c r="BD2537" s="71"/>
      <c r="BE2537" s="71"/>
      <c r="BF2537" s="71"/>
      <c r="BG2537" s="71"/>
      <c r="BH2537" s="71"/>
      <c r="BI2537" s="71"/>
      <c r="BJ2537" s="71"/>
      <c r="BK2537" s="71"/>
      <c r="BL2537" s="71"/>
      <c r="BM2537" s="71"/>
      <c r="BN2537" s="71"/>
      <c r="BO2537" s="71"/>
      <c r="BP2537" s="71"/>
      <c r="BQ2537" s="71"/>
      <c r="BR2537" s="71"/>
      <c r="BS2537" s="71"/>
      <c r="BT2537" s="71"/>
      <c r="BU2537" s="71"/>
      <c r="BV2537" s="71"/>
    </row>
    <row r="2538">
      <c r="A2538" s="53">
        <v>1.0</v>
      </c>
      <c r="B2538" s="53"/>
      <c r="C2538" s="120" t="s">
        <v>603</v>
      </c>
      <c r="D2538" s="74" t="s">
        <v>6246</v>
      </c>
      <c r="E2538" s="54" t="s">
        <v>38</v>
      </c>
      <c r="F2538" s="54" t="s">
        <v>42</v>
      </c>
      <c r="G2538" s="88" t="s">
        <v>6247</v>
      </c>
      <c r="H2538" s="54" t="s">
        <v>6247</v>
      </c>
      <c r="I2538" s="54">
        <f t="shared" si="125"/>
        <v>38</v>
      </c>
      <c r="J2538" s="56"/>
      <c r="K2538" s="57"/>
      <c r="L2538" s="87"/>
      <c r="M2538" s="59"/>
      <c r="N2538" s="60">
        <v>31.0</v>
      </c>
      <c r="O2538" s="61">
        <v>33.0</v>
      </c>
      <c r="P2538" s="62">
        <v>35.64</v>
      </c>
      <c r="Q2538" s="63">
        <v>35.64</v>
      </c>
      <c r="R2538" s="64">
        <v>40.0</v>
      </c>
      <c r="S2538" s="111">
        <v>42.0</v>
      </c>
      <c r="T2538" s="65">
        <f t="shared" si="93"/>
        <v>6.72</v>
      </c>
      <c r="U2538" s="65">
        <f t="shared" si="94"/>
        <v>48.72</v>
      </c>
      <c r="V2538" s="66">
        <f t="shared" si="131"/>
        <v>0.05</v>
      </c>
      <c r="W2538" s="67">
        <f t="shared" si="96"/>
        <v>39.9</v>
      </c>
      <c r="X2538" s="67">
        <f t="shared" si="132"/>
        <v>6.384</v>
      </c>
      <c r="Y2538" s="67">
        <f t="shared" si="133"/>
        <v>46.284</v>
      </c>
      <c r="Z2538" s="67">
        <f t="shared" si="99"/>
        <v>37.8</v>
      </c>
      <c r="AA2538" s="67">
        <f t="shared" si="114"/>
        <v>6.048</v>
      </c>
      <c r="AB2538" s="67">
        <f t="shared" si="115"/>
        <v>43.848</v>
      </c>
      <c r="AC2538" s="67">
        <f t="shared" si="102"/>
        <v>35.7</v>
      </c>
      <c r="AD2538" s="67">
        <f t="shared" si="116"/>
        <v>5.712</v>
      </c>
      <c r="AE2538" s="67">
        <f t="shared" si="117"/>
        <v>41.412</v>
      </c>
      <c r="AF2538" s="67">
        <f t="shared" si="105"/>
        <v>34.86</v>
      </c>
      <c r="AG2538" s="67">
        <f t="shared" si="118"/>
        <v>5.5776</v>
      </c>
      <c r="AH2538" s="67">
        <f t="shared" si="119"/>
        <v>40.4376</v>
      </c>
      <c r="AI2538" s="67">
        <f t="shared" si="108"/>
        <v>33.6</v>
      </c>
      <c r="AJ2538" s="68">
        <f t="shared" si="126"/>
        <v>5.376</v>
      </c>
      <c r="AK2538" s="68">
        <f t="shared" si="127"/>
        <v>38.976</v>
      </c>
      <c r="AL2538" s="70"/>
      <c r="AM2538" s="70"/>
      <c r="AN2538" s="71"/>
      <c r="AO2538" s="71"/>
      <c r="AP2538" s="71"/>
      <c r="AQ2538" s="71"/>
      <c r="AR2538" s="71"/>
      <c r="AS2538" s="71"/>
      <c r="AT2538" s="71"/>
      <c r="AU2538" s="71"/>
      <c r="AV2538" s="71"/>
      <c r="AW2538" s="71"/>
      <c r="AX2538" s="71"/>
      <c r="AY2538" s="71"/>
      <c r="AZ2538" s="71"/>
      <c r="BA2538" s="71"/>
      <c r="BB2538" s="71"/>
      <c r="BC2538" s="71"/>
      <c r="BD2538" s="71"/>
      <c r="BE2538" s="71"/>
      <c r="BF2538" s="71"/>
      <c r="BG2538" s="71"/>
      <c r="BH2538" s="71"/>
      <c r="BI2538" s="71"/>
      <c r="BJ2538" s="71"/>
      <c r="BK2538" s="71"/>
      <c r="BL2538" s="71"/>
      <c r="BM2538" s="71"/>
      <c r="BN2538" s="71"/>
      <c r="BO2538" s="71"/>
      <c r="BP2538" s="71"/>
      <c r="BQ2538" s="71"/>
      <c r="BR2538" s="71"/>
      <c r="BS2538" s="71"/>
      <c r="BT2538" s="71"/>
      <c r="BU2538" s="71"/>
      <c r="BV2538" s="71"/>
    </row>
    <row r="2539">
      <c r="A2539" s="53">
        <v>1.0</v>
      </c>
      <c r="B2539" s="53"/>
      <c r="C2539" s="120" t="s">
        <v>603</v>
      </c>
      <c r="D2539" s="74" t="s">
        <v>6248</v>
      </c>
      <c r="E2539" s="54" t="s">
        <v>38</v>
      </c>
      <c r="F2539" s="54" t="s">
        <v>42</v>
      </c>
      <c r="G2539" s="88" t="s">
        <v>6249</v>
      </c>
      <c r="H2539" s="54" t="s">
        <v>6250</v>
      </c>
      <c r="I2539" s="54">
        <f t="shared" si="125"/>
        <v>23</v>
      </c>
      <c r="J2539" s="56"/>
      <c r="K2539" s="57"/>
      <c r="L2539" s="87"/>
      <c r="M2539" s="59"/>
      <c r="N2539" s="60">
        <v>33.0</v>
      </c>
      <c r="O2539" s="61">
        <v>35.0</v>
      </c>
      <c r="P2539" s="62">
        <v>37.800000000000004</v>
      </c>
      <c r="Q2539" s="63">
        <v>37.800000000000004</v>
      </c>
      <c r="R2539" s="64">
        <v>44.0</v>
      </c>
      <c r="S2539" s="111">
        <v>46.0</v>
      </c>
      <c r="T2539" s="65">
        <f t="shared" si="93"/>
        <v>7.36</v>
      </c>
      <c r="U2539" s="65">
        <f t="shared" si="94"/>
        <v>53.36</v>
      </c>
      <c r="V2539" s="66">
        <f t="shared" si="131"/>
        <v>0.04545454545</v>
      </c>
      <c r="W2539" s="67">
        <f t="shared" si="96"/>
        <v>43.7</v>
      </c>
      <c r="X2539" s="67">
        <f t="shared" si="132"/>
        <v>6.992</v>
      </c>
      <c r="Y2539" s="67">
        <f t="shared" si="133"/>
        <v>50.692</v>
      </c>
      <c r="Z2539" s="67">
        <f t="shared" si="99"/>
        <v>41.4</v>
      </c>
      <c r="AA2539" s="67">
        <f t="shared" si="114"/>
        <v>6.624</v>
      </c>
      <c r="AB2539" s="67">
        <f t="shared" si="115"/>
        <v>48.024</v>
      </c>
      <c r="AC2539" s="67">
        <f t="shared" si="102"/>
        <v>39.1</v>
      </c>
      <c r="AD2539" s="67">
        <f t="shared" si="116"/>
        <v>6.256</v>
      </c>
      <c r="AE2539" s="67">
        <f t="shared" si="117"/>
        <v>45.356</v>
      </c>
      <c r="AF2539" s="67">
        <f t="shared" si="105"/>
        <v>38.18</v>
      </c>
      <c r="AG2539" s="67">
        <f t="shared" si="118"/>
        <v>6.1088</v>
      </c>
      <c r="AH2539" s="67">
        <f t="shared" si="119"/>
        <v>44.2888</v>
      </c>
      <c r="AI2539" s="67">
        <f t="shared" si="108"/>
        <v>36.8</v>
      </c>
      <c r="AJ2539" s="68">
        <f t="shared" si="126"/>
        <v>5.888</v>
      </c>
      <c r="AK2539" s="68">
        <f t="shared" si="127"/>
        <v>42.688</v>
      </c>
      <c r="AL2539" s="70"/>
      <c r="AM2539" s="70"/>
      <c r="AN2539" s="71"/>
      <c r="AO2539" s="71"/>
      <c r="AP2539" s="71"/>
      <c r="AQ2539" s="71"/>
      <c r="AR2539" s="71"/>
      <c r="AS2539" s="71"/>
      <c r="AT2539" s="71"/>
      <c r="AU2539" s="71"/>
      <c r="AV2539" s="71"/>
      <c r="AW2539" s="71"/>
      <c r="AX2539" s="71"/>
      <c r="AY2539" s="71"/>
      <c r="AZ2539" s="71"/>
      <c r="BA2539" s="71"/>
      <c r="BB2539" s="71"/>
      <c r="BC2539" s="71"/>
      <c r="BD2539" s="71"/>
      <c r="BE2539" s="71"/>
      <c r="BF2539" s="71"/>
      <c r="BG2539" s="71"/>
      <c r="BH2539" s="71"/>
      <c r="BI2539" s="71"/>
      <c r="BJ2539" s="71"/>
      <c r="BK2539" s="71"/>
      <c r="BL2539" s="71"/>
      <c r="BM2539" s="71"/>
      <c r="BN2539" s="71"/>
      <c r="BO2539" s="71"/>
      <c r="BP2539" s="71"/>
      <c r="BQ2539" s="71"/>
      <c r="BR2539" s="71"/>
      <c r="BS2539" s="71"/>
      <c r="BT2539" s="71"/>
      <c r="BU2539" s="71"/>
      <c r="BV2539" s="71"/>
    </row>
    <row r="2540">
      <c r="A2540" s="53">
        <v>1.0</v>
      </c>
      <c r="B2540" s="53"/>
      <c r="C2540" s="120" t="s">
        <v>603</v>
      </c>
      <c r="D2540" s="74" t="s">
        <v>6251</v>
      </c>
      <c r="E2540" s="54" t="s">
        <v>38</v>
      </c>
      <c r="F2540" s="54" t="s">
        <v>42</v>
      </c>
      <c r="G2540" s="88" t="s">
        <v>6252</v>
      </c>
      <c r="H2540" s="54" t="s">
        <v>6250</v>
      </c>
      <c r="I2540" s="54">
        <f t="shared" si="125"/>
        <v>23</v>
      </c>
      <c r="J2540" s="56"/>
      <c r="K2540" s="57"/>
      <c r="L2540" s="87"/>
      <c r="M2540" s="59"/>
      <c r="N2540" s="60">
        <v>33.0</v>
      </c>
      <c r="O2540" s="61">
        <v>35.0</v>
      </c>
      <c r="P2540" s="62">
        <v>37.800000000000004</v>
      </c>
      <c r="Q2540" s="63">
        <v>37.800000000000004</v>
      </c>
      <c r="R2540" s="64">
        <v>44.0</v>
      </c>
      <c r="S2540" s="111">
        <v>46.0</v>
      </c>
      <c r="T2540" s="65">
        <f t="shared" si="93"/>
        <v>7.36</v>
      </c>
      <c r="U2540" s="65">
        <f t="shared" si="94"/>
        <v>53.36</v>
      </c>
      <c r="V2540" s="66">
        <f t="shared" si="131"/>
        <v>0.04545454545</v>
      </c>
      <c r="W2540" s="67">
        <f t="shared" si="96"/>
        <v>43.7</v>
      </c>
      <c r="X2540" s="67">
        <f t="shared" si="132"/>
        <v>6.992</v>
      </c>
      <c r="Y2540" s="67">
        <f t="shared" si="133"/>
        <v>50.692</v>
      </c>
      <c r="Z2540" s="67">
        <f t="shared" si="99"/>
        <v>41.4</v>
      </c>
      <c r="AA2540" s="67">
        <f t="shared" si="114"/>
        <v>6.624</v>
      </c>
      <c r="AB2540" s="67">
        <f t="shared" si="115"/>
        <v>48.024</v>
      </c>
      <c r="AC2540" s="67">
        <f t="shared" si="102"/>
        <v>39.1</v>
      </c>
      <c r="AD2540" s="67">
        <f t="shared" si="116"/>
        <v>6.256</v>
      </c>
      <c r="AE2540" s="67">
        <f t="shared" si="117"/>
        <v>45.356</v>
      </c>
      <c r="AF2540" s="67">
        <f t="shared" si="105"/>
        <v>38.18</v>
      </c>
      <c r="AG2540" s="67">
        <f t="shared" si="118"/>
        <v>6.1088</v>
      </c>
      <c r="AH2540" s="67">
        <f t="shared" si="119"/>
        <v>44.2888</v>
      </c>
      <c r="AI2540" s="67">
        <f t="shared" si="108"/>
        <v>36.8</v>
      </c>
      <c r="AJ2540" s="68">
        <f t="shared" si="126"/>
        <v>5.888</v>
      </c>
      <c r="AK2540" s="68">
        <f t="shared" si="127"/>
        <v>42.688</v>
      </c>
      <c r="AL2540" s="70"/>
      <c r="AM2540" s="70"/>
      <c r="AN2540" s="71"/>
      <c r="AO2540" s="71"/>
      <c r="AP2540" s="71"/>
      <c r="AQ2540" s="71"/>
      <c r="AR2540" s="71"/>
      <c r="AS2540" s="71"/>
      <c r="AT2540" s="71"/>
      <c r="AU2540" s="71"/>
      <c r="AV2540" s="71"/>
      <c r="AW2540" s="71"/>
      <c r="AX2540" s="71"/>
      <c r="AY2540" s="71"/>
      <c r="AZ2540" s="71"/>
      <c r="BA2540" s="71"/>
      <c r="BB2540" s="71"/>
      <c r="BC2540" s="71"/>
      <c r="BD2540" s="71"/>
      <c r="BE2540" s="71"/>
      <c r="BF2540" s="71"/>
      <c r="BG2540" s="71"/>
      <c r="BH2540" s="71"/>
      <c r="BI2540" s="71"/>
      <c r="BJ2540" s="71"/>
      <c r="BK2540" s="71"/>
      <c r="BL2540" s="71"/>
      <c r="BM2540" s="71"/>
      <c r="BN2540" s="71"/>
      <c r="BO2540" s="71"/>
      <c r="BP2540" s="71"/>
      <c r="BQ2540" s="71"/>
      <c r="BR2540" s="71"/>
      <c r="BS2540" s="71"/>
      <c r="BT2540" s="71"/>
      <c r="BU2540" s="71"/>
      <c r="BV2540" s="71"/>
    </row>
    <row r="2541">
      <c r="A2541" s="53">
        <v>1.0</v>
      </c>
      <c r="B2541" s="53"/>
      <c r="C2541" s="120" t="s">
        <v>603</v>
      </c>
      <c r="D2541" s="74" t="s">
        <v>6253</v>
      </c>
      <c r="E2541" s="54" t="s">
        <v>38</v>
      </c>
      <c r="F2541" s="54" t="s">
        <v>42</v>
      </c>
      <c r="G2541" s="88" t="s">
        <v>6254</v>
      </c>
      <c r="H2541" s="54" t="s">
        <v>6254</v>
      </c>
      <c r="I2541" s="54">
        <f t="shared" si="125"/>
        <v>39</v>
      </c>
      <c r="J2541" s="56"/>
      <c r="K2541" s="57"/>
      <c r="L2541" s="87"/>
      <c r="M2541" s="59"/>
      <c r="N2541" s="60">
        <v>31.0</v>
      </c>
      <c r="O2541" s="61">
        <v>33.0</v>
      </c>
      <c r="P2541" s="62">
        <v>35.64</v>
      </c>
      <c r="Q2541" s="63">
        <v>35.64</v>
      </c>
      <c r="R2541" s="64">
        <v>40.0</v>
      </c>
      <c r="S2541" s="111">
        <v>42.0</v>
      </c>
      <c r="T2541" s="65">
        <f t="shared" si="93"/>
        <v>6.72</v>
      </c>
      <c r="U2541" s="65">
        <f t="shared" si="94"/>
        <v>48.72</v>
      </c>
      <c r="V2541" s="66">
        <f t="shared" si="131"/>
        <v>0.05</v>
      </c>
      <c r="W2541" s="67">
        <f t="shared" si="96"/>
        <v>39.9</v>
      </c>
      <c r="X2541" s="67">
        <f t="shared" si="132"/>
        <v>6.384</v>
      </c>
      <c r="Y2541" s="67">
        <f t="shared" si="133"/>
        <v>46.284</v>
      </c>
      <c r="Z2541" s="67">
        <f t="shared" si="99"/>
        <v>37.8</v>
      </c>
      <c r="AA2541" s="67">
        <f t="shared" si="114"/>
        <v>6.048</v>
      </c>
      <c r="AB2541" s="67">
        <f t="shared" si="115"/>
        <v>43.848</v>
      </c>
      <c r="AC2541" s="67">
        <f t="shared" si="102"/>
        <v>35.7</v>
      </c>
      <c r="AD2541" s="67">
        <f t="shared" si="116"/>
        <v>5.712</v>
      </c>
      <c r="AE2541" s="67">
        <f t="shared" si="117"/>
        <v>41.412</v>
      </c>
      <c r="AF2541" s="67">
        <f t="shared" si="105"/>
        <v>34.86</v>
      </c>
      <c r="AG2541" s="67">
        <f t="shared" si="118"/>
        <v>5.5776</v>
      </c>
      <c r="AH2541" s="67">
        <f t="shared" si="119"/>
        <v>40.4376</v>
      </c>
      <c r="AI2541" s="67">
        <f t="shared" si="108"/>
        <v>33.6</v>
      </c>
      <c r="AJ2541" s="68">
        <f t="shared" si="126"/>
        <v>5.376</v>
      </c>
      <c r="AK2541" s="68">
        <f t="shared" si="127"/>
        <v>38.976</v>
      </c>
      <c r="AL2541" s="70"/>
      <c r="AM2541" s="70"/>
      <c r="AN2541" s="71"/>
      <c r="AO2541" s="71"/>
      <c r="AP2541" s="71"/>
      <c r="AQ2541" s="71"/>
      <c r="AR2541" s="71"/>
      <c r="AS2541" s="71"/>
      <c r="AT2541" s="71"/>
      <c r="AU2541" s="71"/>
      <c r="AV2541" s="71"/>
      <c r="AW2541" s="71"/>
      <c r="AX2541" s="71"/>
      <c r="AY2541" s="71"/>
      <c r="AZ2541" s="71"/>
      <c r="BA2541" s="71"/>
      <c r="BB2541" s="71"/>
      <c r="BC2541" s="71"/>
      <c r="BD2541" s="71"/>
      <c r="BE2541" s="71"/>
      <c r="BF2541" s="71"/>
      <c r="BG2541" s="71"/>
      <c r="BH2541" s="71"/>
      <c r="BI2541" s="71"/>
      <c r="BJ2541" s="71"/>
      <c r="BK2541" s="71"/>
      <c r="BL2541" s="71"/>
      <c r="BM2541" s="71"/>
      <c r="BN2541" s="71"/>
      <c r="BO2541" s="71"/>
      <c r="BP2541" s="71"/>
      <c r="BQ2541" s="71"/>
      <c r="BR2541" s="71"/>
      <c r="BS2541" s="71"/>
      <c r="BT2541" s="71"/>
      <c r="BU2541" s="71"/>
      <c r="BV2541" s="71"/>
    </row>
    <row r="2542">
      <c r="A2542" s="53">
        <v>1.0</v>
      </c>
      <c r="B2542" s="53"/>
      <c r="C2542" s="120" t="s">
        <v>603</v>
      </c>
      <c r="D2542" s="74" t="s">
        <v>6255</v>
      </c>
      <c r="E2542" s="54" t="s">
        <v>38</v>
      </c>
      <c r="F2542" s="54" t="s">
        <v>42</v>
      </c>
      <c r="G2542" s="88" t="s">
        <v>6256</v>
      </c>
      <c r="H2542" s="54" t="s">
        <v>6257</v>
      </c>
      <c r="I2542" s="54">
        <f t="shared" si="125"/>
        <v>24</v>
      </c>
      <c r="J2542" s="56"/>
      <c r="K2542" s="57"/>
      <c r="L2542" s="87"/>
      <c r="M2542" s="59"/>
      <c r="N2542" s="60">
        <v>31.0</v>
      </c>
      <c r="O2542" s="61">
        <v>33.0</v>
      </c>
      <c r="P2542" s="62">
        <v>35.64</v>
      </c>
      <c r="Q2542" s="63">
        <v>35.64</v>
      </c>
      <c r="R2542" s="64">
        <v>40.0</v>
      </c>
      <c r="S2542" s="111">
        <v>42.0</v>
      </c>
      <c r="T2542" s="65">
        <f t="shared" si="93"/>
        <v>6.72</v>
      </c>
      <c r="U2542" s="65">
        <f t="shared" si="94"/>
        <v>48.72</v>
      </c>
      <c r="V2542" s="66">
        <f t="shared" si="131"/>
        <v>0.05</v>
      </c>
      <c r="W2542" s="67">
        <f t="shared" si="96"/>
        <v>39.9</v>
      </c>
      <c r="X2542" s="67">
        <f t="shared" si="132"/>
        <v>6.384</v>
      </c>
      <c r="Y2542" s="67">
        <f t="shared" si="133"/>
        <v>46.284</v>
      </c>
      <c r="Z2542" s="67">
        <f t="shared" si="99"/>
        <v>37.8</v>
      </c>
      <c r="AA2542" s="67">
        <f t="shared" si="114"/>
        <v>6.048</v>
      </c>
      <c r="AB2542" s="67">
        <f t="shared" si="115"/>
        <v>43.848</v>
      </c>
      <c r="AC2542" s="67">
        <f t="shared" si="102"/>
        <v>35.7</v>
      </c>
      <c r="AD2542" s="67">
        <f t="shared" si="116"/>
        <v>5.712</v>
      </c>
      <c r="AE2542" s="67">
        <f t="shared" si="117"/>
        <v>41.412</v>
      </c>
      <c r="AF2542" s="67">
        <f t="shared" si="105"/>
        <v>34.86</v>
      </c>
      <c r="AG2542" s="67">
        <f t="shared" si="118"/>
        <v>5.5776</v>
      </c>
      <c r="AH2542" s="67">
        <f t="shared" si="119"/>
        <v>40.4376</v>
      </c>
      <c r="AI2542" s="67">
        <f t="shared" si="108"/>
        <v>33.6</v>
      </c>
      <c r="AJ2542" s="68">
        <f t="shared" si="126"/>
        <v>5.376</v>
      </c>
      <c r="AK2542" s="68">
        <f t="shared" si="127"/>
        <v>38.976</v>
      </c>
      <c r="AL2542" s="70"/>
      <c r="AM2542" s="70"/>
      <c r="AN2542" s="71"/>
      <c r="AO2542" s="71"/>
      <c r="AP2542" s="71"/>
      <c r="AQ2542" s="71"/>
      <c r="AR2542" s="71"/>
      <c r="AS2542" s="71"/>
      <c r="AT2542" s="71"/>
      <c r="AU2542" s="71"/>
      <c r="AV2542" s="71"/>
      <c r="AW2542" s="71"/>
      <c r="AX2542" s="71"/>
      <c r="AY2542" s="71"/>
      <c r="AZ2542" s="71"/>
      <c r="BA2542" s="71"/>
      <c r="BB2542" s="71"/>
      <c r="BC2542" s="71"/>
      <c r="BD2542" s="71"/>
      <c r="BE2542" s="71"/>
      <c r="BF2542" s="71"/>
      <c r="BG2542" s="71"/>
      <c r="BH2542" s="71"/>
      <c r="BI2542" s="71"/>
      <c r="BJ2542" s="71"/>
      <c r="BK2542" s="71"/>
      <c r="BL2542" s="71"/>
      <c r="BM2542" s="71"/>
      <c r="BN2542" s="71"/>
      <c r="BO2542" s="71"/>
      <c r="BP2542" s="71"/>
      <c r="BQ2542" s="71"/>
      <c r="BR2542" s="71"/>
      <c r="BS2542" s="71"/>
      <c r="BT2542" s="71"/>
      <c r="BU2542" s="71"/>
      <c r="BV2542" s="71"/>
    </row>
    <row r="2543">
      <c r="A2543" s="53"/>
      <c r="B2543" s="53"/>
      <c r="C2543" s="73" t="s">
        <v>603</v>
      </c>
      <c r="D2543" s="53" t="s">
        <v>6258</v>
      </c>
      <c r="E2543" s="54" t="s">
        <v>38</v>
      </c>
      <c r="F2543" s="55" t="s">
        <v>309</v>
      </c>
      <c r="G2543" s="54" t="s">
        <v>6256</v>
      </c>
      <c r="H2543" s="55"/>
      <c r="I2543" s="54">
        <f t="shared" si="125"/>
        <v>0</v>
      </c>
      <c r="J2543" s="56"/>
      <c r="K2543" s="57"/>
      <c r="L2543" s="76"/>
      <c r="M2543" s="59"/>
      <c r="N2543" s="60"/>
      <c r="O2543" s="90">
        <v>33.0</v>
      </c>
      <c r="P2543" s="62">
        <v>35.64</v>
      </c>
      <c r="Q2543" s="63">
        <v>35.64</v>
      </c>
      <c r="R2543" s="64">
        <v>40.0</v>
      </c>
      <c r="S2543" s="111">
        <v>42.0</v>
      </c>
      <c r="T2543" s="65">
        <f t="shared" si="93"/>
        <v>6.72</v>
      </c>
      <c r="U2543" s="65">
        <f t="shared" si="94"/>
        <v>48.72</v>
      </c>
      <c r="V2543" s="66">
        <f t="shared" si="131"/>
        <v>0.05</v>
      </c>
      <c r="W2543" s="67">
        <f t="shared" si="96"/>
        <v>39.9</v>
      </c>
      <c r="X2543" s="67">
        <f t="shared" si="132"/>
        <v>6.384</v>
      </c>
      <c r="Y2543" s="67">
        <f t="shared" si="133"/>
        <v>46.284</v>
      </c>
      <c r="Z2543" s="67">
        <f t="shared" si="99"/>
        <v>37.8</v>
      </c>
      <c r="AA2543" s="67">
        <f t="shared" si="114"/>
        <v>6.048</v>
      </c>
      <c r="AB2543" s="67">
        <f t="shared" si="115"/>
        <v>43.848</v>
      </c>
      <c r="AC2543" s="67">
        <f t="shared" si="102"/>
        <v>35.7</v>
      </c>
      <c r="AD2543" s="67">
        <f t="shared" si="116"/>
        <v>5.712</v>
      </c>
      <c r="AE2543" s="67">
        <f t="shared" si="117"/>
        <v>41.412</v>
      </c>
      <c r="AF2543" s="67">
        <f t="shared" si="105"/>
        <v>34.86</v>
      </c>
      <c r="AG2543" s="67">
        <f t="shared" si="118"/>
        <v>5.5776</v>
      </c>
      <c r="AH2543" s="67">
        <f t="shared" si="119"/>
        <v>40.4376</v>
      </c>
      <c r="AI2543" s="67">
        <f t="shared" si="108"/>
        <v>33.6</v>
      </c>
      <c r="AJ2543" s="68">
        <f t="shared" si="126"/>
        <v>5.376</v>
      </c>
      <c r="AK2543" s="68">
        <f t="shared" si="127"/>
        <v>38.976</v>
      </c>
      <c r="AL2543" s="70"/>
      <c r="AM2543" s="70"/>
      <c r="AN2543" s="71"/>
      <c r="AO2543" s="71"/>
      <c r="AP2543" s="71"/>
      <c r="AQ2543" s="71"/>
      <c r="AR2543" s="71"/>
      <c r="AS2543" s="71"/>
      <c r="AT2543" s="71"/>
      <c r="AU2543" s="71"/>
      <c r="AV2543" s="71"/>
      <c r="AW2543" s="71"/>
      <c r="AX2543" s="71"/>
      <c r="AY2543" s="71"/>
      <c r="AZ2543" s="71"/>
      <c r="BA2543" s="71"/>
      <c r="BB2543" s="71"/>
      <c r="BC2543" s="71"/>
      <c r="BD2543" s="71"/>
      <c r="BE2543" s="71"/>
      <c r="BF2543" s="71"/>
      <c r="BG2543" s="71"/>
      <c r="BH2543" s="71"/>
      <c r="BI2543" s="71"/>
      <c r="BJ2543" s="71"/>
      <c r="BK2543" s="71"/>
      <c r="BL2543" s="71"/>
      <c r="BM2543" s="71"/>
      <c r="BN2543" s="71"/>
      <c r="BO2543" s="71"/>
      <c r="BP2543" s="71"/>
      <c r="BQ2543" s="71"/>
      <c r="BR2543" s="71"/>
      <c r="BS2543" s="71"/>
      <c r="BT2543" s="71"/>
      <c r="BU2543" s="71"/>
      <c r="BV2543" s="71"/>
    </row>
    <row r="2544">
      <c r="A2544" s="53"/>
      <c r="B2544" s="53"/>
      <c r="C2544" s="53" t="s">
        <v>53</v>
      </c>
      <c r="D2544" s="53" t="s">
        <v>6259</v>
      </c>
      <c r="E2544" s="54" t="s">
        <v>38</v>
      </c>
      <c r="F2544" s="54" t="s">
        <v>42</v>
      </c>
      <c r="G2544" s="55" t="s">
        <v>6260</v>
      </c>
      <c r="H2544" s="55" t="s">
        <v>6260</v>
      </c>
      <c r="I2544" s="54">
        <f t="shared" si="125"/>
        <v>40</v>
      </c>
      <c r="J2544" s="56"/>
      <c r="K2544" s="57"/>
      <c r="L2544" s="76"/>
      <c r="M2544" s="59"/>
      <c r="N2544" s="60"/>
      <c r="O2544" s="61">
        <v>602.0</v>
      </c>
      <c r="P2544" s="62">
        <v>650.1600000000001</v>
      </c>
      <c r="Q2544" s="63">
        <v>650.1600000000001</v>
      </c>
      <c r="R2544" s="64">
        <v>683.0</v>
      </c>
      <c r="S2544" s="111">
        <v>717.0</v>
      </c>
      <c r="T2544" s="65">
        <f t="shared" si="93"/>
        <v>114.72</v>
      </c>
      <c r="U2544" s="65">
        <f t="shared" si="94"/>
        <v>831.72</v>
      </c>
      <c r="V2544" s="66">
        <f t="shared" si="131"/>
        <v>0.04978038067</v>
      </c>
      <c r="W2544" s="67">
        <f t="shared" si="96"/>
        <v>681.15</v>
      </c>
      <c r="X2544" s="67">
        <f t="shared" si="132"/>
        <v>108.984</v>
      </c>
      <c r="Y2544" s="67">
        <f t="shared" si="133"/>
        <v>790.134</v>
      </c>
      <c r="Z2544" s="67">
        <f t="shared" si="99"/>
        <v>645.3</v>
      </c>
      <c r="AA2544" s="67">
        <f t="shared" si="114"/>
        <v>103.248</v>
      </c>
      <c r="AB2544" s="67">
        <f t="shared" si="115"/>
        <v>748.548</v>
      </c>
      <c r="AC2544" s="67">
        <f t="shared" si="102"/>
        <v>609.45</v>
      </c>
      <c r="AD2544" s="67">
        <f t="shared" si="116"/>
        <v>97.512</v>
      </c>
      <c r="AE2544" s="67">
        <f t="shared" si="117"/>
        <v>706.962</v>
      </c>
      <c r="AF2544" s="67">
        <f t="shared" si="105"/>
        <v>595.11</v>
      </c>
      <c r="AG2544" s="67">
        <f t="shared" si="118"/>
        <v>95.2176</v>
      </c>
      <c r="AH2544" s="67">
        <f t="shared" si="119"/>
        <v>690.3276</v>
      </c>
      <c r="AI2544" s="67">
        <f t="shared" si="108"/>
        <v>573.6</v>
      </c>
      <c r="AJ2544" s="68">
        <f t="shared" si="126"/>
        <v>91.776</v>
      </c>
      <c r="AK2544" s="68">
        <f t="shared" si="127"/>
        <v>665.376</v>
      </c>
      <c r="AL2544" s="70"/>
      <c r="AM2544" s="70"/>
      <c r="AN2544" s="71"/>
      <c r="AO2544" s="71"/>
      <c r="AP2544" s="71"/>
      <c r="AQ2544" s="71"/>
      <c r="AR2544" s="71"/>
      <c r="AS2544" s="71"/>
      <c r="AT2544" s="71"/>
      <c r="AU2544" s="71"/>
      <c r="AV2544" s="71"/>
      <c r="AW2544" s="71"/>
      <c r="AX2544" s="71"/>
      <c r="AY2544" s="71"/>
      <c r="AZ2544" s="71"/>
      <c r="BA2544" s="71"/>
      <c r="BB2544" s="71"/>
      <c r="BC2544" s="71"/>
      <c r="BD2544" s="71"/>
      <c r="BE2544" s="71"/>
      <c r="BF2544" s="71"/>
      <c r="BG2544" s="71"/>
      <c r="BH2544" s="71"/>
      <c r="BI2544" s="71"/>
      <c r="BJ2544" s="71"/>
      <c r="BK2544" s="71"/>
      <c r="BL2544" s="71"/>
      <c r="BM2544" s="71"/>
      <c r="BN2544" s="71"/>
      <c r="BO2544" s="71"/>
      <c r="BP2544" s="71"/>
      <c r="BQ2544" s="71"/>
      <c r="BR2544" s="71"/>
      <c r="BS2544" s="71"/>
      <c r="BT2544" s="71"/>
      <c r="BU2544" s="71"/>
      <c r="BV2544" s="71"/>
    </row>
    <row r="2545">
      <c r="A2545" s="53"/>
      <c r="B2545" s="53"/>
      <c r="C2545" s="53" t="s">
        <v>53</v>
      </c>
      <c r="D2545" s="53" t="s">
        <v>6261</v>
      </c>
      <c r="E2545" s="54" t="s">
        <v>38</v>
      </c>
      <c r="F2545" s="54" t="s">
        <v>42</v>
      </c>
      <c r="G2545" s="55" t="s">
        <v>6262</v>
      </c>
      <c r="H2545" s="55" t="s">
        <v>6262</v>
      </c>
      <c r="I2545" s="54">
        <f t="shared" si="125"/>
        <v>40</v>
      </c>
      <c r="J2545" s="56"/>
      <c r="K2545" s="57"/>
      <c r="L2545" s="76"/>
      <c r="M2545" s="59"/>
      <c r="N2545" s="60"/>
      <c r="O2545" s="61">
        <v>991.0</v>
      </c>
      <c r="P2545" s="62">
        <v>1070.28</v>
      </c>
      <c r="Q2545" s="63">
        <v>1070.28</v>
      </c>
      <c r="R2545" s="64">
        <v>1124.0</v>
      </c>
      <c r="S2545" s="111">
        <v>1180.0</v>
      </c>
      <c r="T2545" s="65">
        <f t="shared" si="93"/>
        <v>188.8</v>
      </c>
      <c r="U2545" s="65">
        <f t="shared" si="94"/>
        <v>1368.8</v>
      </c>
      <c r="V2545" s="66">
        <f t="shared" si="131"/>
        <v>0.04982206406</v>
      </c>
      <c r="W2545" s="67">
        <f t="shared" si="96"/>
        <v>1121</v>
      </c>
      <c r="X2545" s="67">
        <f t="shared" si="132"/>
        <v>179.36</v>
      </c>
      <c r="Y2545" s="67">
        <f t="shared" si="133"/>
        <v>1300.36</v>
      </c>
      <c r="Z2545" s="67">
        <f t="shared" si="99"/>
        <v>1062</v>
      </c>
      <c r="AA2545" s="67">
        <f t="shared" si="114"/>
        <v>169.92</v>
      </c>
      <c r="AB2545" s="67">
        <f t="shared" si="115"/>
        <v>1231.92</v>
      </c>
      <c r="AC2545" s="67">
        <f t="shared" si="102"/>
        <v>1003</v>
      </c>
      <c r="AD2545" s="67">
        <f t="shared" si="116"/>
        <v>160.48</v>
      </c>
      <c r="AE2545" s="67">
        <f t="shared" si="117"/>
        <v>1163.48</v>
      </c>
      <c r="AF2545" s="67">
        <f t="shared" si="105"/>
        <v>979.4</v>
      </c>
      <c r="AG2545" s="67">
        <f t="shared" si="118"/>
        <v>156.704</v>
      </c>
      <c r="AH2545" s="67">
        <f t="shared" si="119"/>
        <v>1136.104</v>
      </c>
      <c r="AI2545" s="67">
        <f t="shared" si="108"/>
        <v>944</v>
      </c>
      <c r="AJ2545" s="68">
        <f t="shared" si="126"/>
        <v>151.04</v>
      </c>
      <c r="AK2545" s="68">
        <f t="shared" si="127"/>
        <v>1095.04</v>
      </c>
      <c r="AL2545" s="70"/>
      <c r="AM2545" s="70"/>
      <c r="AN2545" s="71"/>
      <c r="AO2545" s="71"/>
      <c r="AP2545" s="71"/>
      <c r="AQ2545" s="71"/>
      <c r="AR2545" s="71"/>
      <c r="AS2545" s="71"/>
      <c r="AT2545" s="71"/>
      <c r="AU2545" s="71"/>
      <c r="AV2545" s="71"/>
      <c r="AW2545" s="71"/>
      <c r="AX2545" s="71"/>
      <c r="AY2545" s="71"/>
      <c r="AZ2545" s="71"/>
      <c r="BA2545" s="71"/>
      <c r="BB2545" s="71"/>
      <c r="BC2545" s="71"/>
      <c r="BD2545" s="71"/>
      <c r="BE2545" s="71"/>
      <c r="BF2545" s="71"/>
      <c r="BG2545" s="71"/>
      <c r="BH2545" s="71"/>
      <c r="BI2545" s="71"/>
      <c r="BJ2545" s="71"/>
      <c r="BK2545" s="71"/>
      <c r="BL2545" s="71"/>
      <c r="BM2545" s="71"/>
      <c r="BN2545" s="71"/>
      <c r="BO2545" s="71"/>
      <c r="BP2545" s="71"/>
      <c r="BQ2545" s="71"/>
      <c r="BR2545" s="71"/>
      <c r="BS2545" s="71"/>
      <c r="BT2545" s="71"/>
      <c r="BU2545" s="71"/>
      <c r="BV2545" s="71"/>
    </row>
    <row r="2546">
      <c r="A2546" s="53"/>
      <c r="B2546" s="53"/>
      <c r="C2546" s="73" t="s">
        <v>12</v>
      </c>
      <c r="D2546" s="128" t="s">
        <v>6263</v>
      </c>
      <c r="E2546" s="54" t="s">
        <v>38</v>
      </c>
      <c r="F2546" s="54" t="s">
        <v>42</v>
      </c>
      <c r="G2546" s="55" t="s">
        <v>6264</v>
      </c>
      <c r="H2546" s="54" t="s">
        <v>6265</v>
      </c>
      <c r="I2546" s="54">
        <f t="shared" si="125"/>
        <v>26</v>
      </c>
      <c r="J2546" s="56"/>
      <c r="K2546" s="57"/>
      <c r="L2546" s="76"/>
      <c r="M2546" s="59"/>
      <c r="N2546" s="60">
        <v>1310.4</v>
      </c>
      <c r="O2546" s="129">
        <v>1415.0</v>
      </c>
      <c r="P2546" s="62">
        <v>1528.2</v>
      </c>
      <c r="Q2546" s="63">
        <v>1528.2</v>
      </c>
      <c r="R2546" s="64">
        <v>1605.0</v>
      </c>
      <c r="S2546" s="111">
        <v>1685.0</v>
      </c>
      <c r="T2546" s="65">
        <f t="shared" si="93"/>
        <v>269.6</v>
      </c>
      <c r="U2546" s="65">
        <f t="shared" si="94"/>
        <v>1954.6</v>
      </c>
      <c r="V2546" s="66">
        <f t="shared" si="131"/>
        <v>0.04984423676</v>
      </c>
      <c r="W2546" s="67">
        <f t="shared" si="96"/>
        <v>1600.75</v>
      </c>
      <c r="X2546" s="67">
        <f t="shared" si="132"/>
        <v>256.12</v>
      </c>
      <c r="Y2546" s="67">
        <f t="shared" si="133"/>
        <v>1856.87</v>
      </c>
      <c r="Z2546" s="67">
        <f t="shared" si="99"/>
        <v>1516.5</v>
      </c>
      <c r="AA2546" s="67">
        <f t="shared" si="114"/>
        <v>242.64</v>
      </c>
      <c r="AB2546" s="67">
        <f t="shared" si="115"/>
        <v>1759.14</v>
      </c>
      <c r="AC2546" s="67">
        <f t="shared" si="102"/>
        <v>1432.25</v>
      </c>
      <c r="AD2546" s="67">
        <f t="shared" si="116"/>
        <v>229.16</v>
      </c>
      <c r="AE2546" s="67">
        <f t="shared" si="117"/>
        <v>1661.41</v>
      </c>
      <c r="AF2546" s="67">
        <f t="shared" si="105"/>
        <v>1398.55</v>
      </c>
      <c r="AG2546" s="67">
        <f t="shared" si="118"/>
        <v>223.768</v>
      </c>
      <c r="AH2546" s="67">
        <f t="shared" si="119"/>
        <v>1622.318</v>
      </c>
      <c r="AI2546" s="67">
        <f t="shared" si="108"/>
        <v>1348</v>
      </c>
      <c r="AJ2546" s="68">
        <f t="shared" si="126"/>
        <v>215.68</v>
      </c>
      <c r="AK2546" s="68">
        <f t="shared" si="127"/>
        <v>1563.68</v>
      </c>
      <c r="AL2546" s="70"/>
      <c r="AM2546" s="70"/>
      <c r="AN2546" s="71"/>
      <c r="AO2546" s="71"/>
      <c r="AP2546" s="71"/>
      <c r="AQ2546" s="71"/>
      <c r="AR2546" s="71"/>
      <c r="AS2546" s="71"/>
      <c r="AT2546" s="71"/>
      <c r="AU2546" s="71"/>
      <c r="AV2546" s="71"/>
      <c r="AW2546" s="71"/>
      <c r="AX2546" s="71"/>
      <c r="AY2546" s="71"/>
      <c r="AZ2546" s="71"/>
      <c r="BA2546" s="71"/>
      <c r="BB2546" s="71"/>
      <c r="BC2546" s="71"/>
      <c r="BD2546" s="71"/>
      <c r="BE2546" s="71"/>
      <c r="BF2546" s="71"/>
      <c r="BG2546" s="71"/>
      <c r="BH2546" s="71"/>
      <c r="BI2546" s="71"/>
      <c r="BJ2546" s="71"/>
      <c r="BK2546" s="71"/>
      <c r="BL2546" s="71"/>
      <c r="BM2546" s="71"/>
      <c r="BN2546" s="71"/>
      <c r="BO2546" s="71"/>
      <c r="BP2546" s="71"/>
      <c r="BQ2546" s="71"/>
      <c r="BR2546" s="71"/>
      <c r="BS2546" s="71"/>
      <c r="BT2546" s="71"/>
      <c r="BU2546" s="71"/>
      <c r="BV2546" s="71"/>
    </row>
    <row r="2547">
      <c r="A2547" s="53"/>
      <c r="B2547" s="53"/>
      <c r="C2547" s="73" t="s">
        <v>53</v>
      </c>
      <c r="D2547" s="53" t="s">
        <v>6266</v>
      </c>
      <c r="E2547" s="54" t="s">
        <v>38</v>
      </c>
      <c r="F2547" s="54" t="s">
        <v>42</v>
      </c>
      <c r="G2547" s="55" t="s">
        <v>6267</v>
      </c>
      <c r="H2547" s="55" t="s">
        <v>6268</v>
      </c>
      <c r="I2547" s="54">
        <f t="shared" si="125"/>
        <v>40</v>
      </c>
      <c r="J2547" s="56"/>
      <c r="K2547" s="57"/>
      <c r="L2547" s="87"/>
      <c r="M2547" s="59"/>
      <c r="N2547" s="60"/>
      <c r="O2547" s="90"/>
      <c r="P2547" s="62">
        <v>5076.0</v>
      </c>
      <c r="Q2547" s="63">
        <v>5076.0</v>
      </c>
      <c r="R2547" s="64">
        <v>5330.0</v>
      </c>
      <c r="S2547" s="111">
        <v>5597.0</v>
      </c>
      <c r="T2547" s="65">
        <f t="shared" si="93"/>
        <v>895.52</v>
      </c>
      <c r="U2547" s="65">
        <f t="shared" si="94"/>
        <v>6492.52</v>
      </c>
      <c r="V2547" s="66">
        <f t="shared" si="131"/>
        <v>0.05009380863</v>
      </c>
      <c r="W2547" s="67">
        <f t="shared" si="96"/>
        <v>5317.15</v>
      </c>
      <c r="X2547" s="67">
        <f t="shared" si="132"/>
        <v>850.744</v>
      </c>
      <c r="Y2547" s="67">
        <f t="shared" si="133"/>
        <v>6167.894</v>
      </c>
      <c r="Z2547" s="67">
        <f t="shared" si="99"/>
        <v>5037.3</v>
      </c>
      <c r="AA2547" s="67">
        <f t="shared" si="114"/>
        <v>805.968</v>
      </c>
      <c r="AB2547" s="67">
        <f t="shared" si="115"/>
        <v>5843.268</v>
      </c>
      <c r="AC2547" s="67">
        <f t="shared" si="102"/>
        <v>4757.45</v>
      </c>
      <c r="AD2547" s="67">
        <f t="shared" si="116"/>
        <v>761.192</v>
      </c>
      <c r="AE2547" s="67">
        <f t="shared" si="117"/>
        <v>5518.642</v>
      </c>
      <c r="AF2547" s="67">
        <f t="shared" si="105"/>
        <v>4645.51</v>
      </c>
      <c r="AG2547" s="67">
        <f t="shared" si="118"/>
        <v>743.2816</v>
      </c>
      <c r="AH2547" s="67">
        <f t="shared" si="119"/>
        <v>5388.7916</v>
      </c>
      <c r="AI2547" s="67">
        <f t="shared" si="108"/>
        <v>4477.6</v>
      </c>
      <c r="AJ2547" s="68">
        <f t="shared" si="126"/>
        <v>716.416</v>
      </c>
      <c r="AK2547" s="68">
        <f t="shared" si="127"/>
        <v>5194.016</v>
      </c>
      <c r="AL2547" s="70"/>
      <c r="AM2547" s="70"/>
      <c r="AN2547" s="71"/>
      <c r="AO2547" s="71"/>
      <c r="AP2547" s="71"/>
      <c r="AQ2547" s="71"/>
      <c r="AR2547" s="71"/>
      <c r="AS2547" s="71"/>
      <c r="AT2547" s="71"/>
      <c r="AU2547" s="71"/>
      <c r="AV2547" s="71"/>
      <c r="AW2547" s="71"/>
      <c r="AX2547" s="71"/>
      <c r="AY2547" s="71"/>
      <c r="AZ2547" s="71"/>
      <c r="BA2547" s="71"/>
      <c r="BB2547" s="71"/>
      <c r="BC2547" s="71"/>
      <c r="BD2547" s="71"/>
      <c r="BE2547" s="71"/>
      <c r="BF2547" s="71"/>
      <c r="BG2547" s="71"/>
      <c r="BH2547" s="71"/>
      <c r="BI2547" s="71"/>
      <c r="BJ2547" s="71"/>
      <c r="BK2547" s="71"/>
      <c r="BL2547" s="71"/>
      <c r="BM2547" s="71"/>
      <c r="BN2547" s="71"/>
      <c r="BO2547" s="71"/>
      <c r="BP2547" s="71"/>
      <c r="BQ2547" s="71"/>
      <c r="BR2547" s="71"/>
      <c r="BS2547" s="71"/>
      <c r="BT2547" s="71"/>
      <c r="BU2547" s="71"/>
      <c r="BV2547" s="71"/>
    </row>
    <row r="2548">
      <c r="A2548" s="53">
        <v>1.0</v>
      </c>
      <c r="B2548" s="53"/>
      <c r="C2548" s="73" t="s">
        <v>53</v>
      </c>
      <c r="D2548" s="74" t="s">
        <v>6269</v>
      </c>
      <c r="E2548" s="54" t="s">
        <v>38</v>
      </c>
      <c r="F2548" s="54" t="s">
        <v>42</v>
      </c>
      <c r="G2548" s="88" t="s">
        <v>6270</v>
      </c>
      <c r="H2548" s="54" t="s">
        <v>6271</v>
      </c>
      <c r="I2548" s="54">
        <f t="shared" si="125"/>
        <v>34</v>
      </c>
      <c r="J2548" s="56"/>
      <c r="K2548" s="57"/>
      <c r="L2548" s="87"/>
      <c r="M2548" s="59"/>
      <c r="N2548" s="60">
        <v>131.0</v>
      </c>
      <c r="O2548" s="61">
        <v>141.0</v>
      </c>
      <c r="P2548" s="62">
        <v>152.28</v>
      </c>
      <c r="Q2548" s="63">
        <v>152.28</v>
      </c>
      <c r="R2548" s="64">
        <v>171.0</v>
      </c>
      <c r="S2548" s="111">
        <v>180.0</v>
      </c>
      <c r="T2548" s="65">
        <f t="shared" si="93"/>
        <v>28.8</v>
      </c>
      <c r="U2548" s="65">
        <f t="shared" si="94"/>
        <v>208.8</v>
      </c>
      <c r="V2548" s="66">
        <f t="shared" si="131"/>
        <v>0.05263157895</v>
      </c>
      <c r="W2548" s="67">
        <f t="shared" si="96"/>
        <v>171</v>
      </c>
      <c r="X2548" s="67">
        <f t="shared" si="132"/>
        <v>27.36</v>
      </c>
      <c r="Y2548" s="67">
        <f t="shared" si="133"/>
        <v>198.36</v>
      </c>
      <c r="Z2548" s="67">
        <f t="shared" si="99"/>
        <v>162</v>
      </c>
      <c r="AA2548" s="67">
        <f t="shared" si="114"/>
        <v>25.92</v>
      </c>
      <c r="AB2548" s="67">
        <f t="shared" si="115"/>
        <v>187.92</v>
      </c>
      <c r="AC2548" s="67">
        <f t="shared" si="102"/>
        <v>153</v>
      </c>
      <c r="AD2548" s="67">
        <f t="shared" si="116"/>
        <v>24.48</v>
      </c>
      <c r="AE2548" s="67">
        <f t="shared" si="117"/>
        <v>177.48</v>
      </c>
      <c r="AF2548" s="67">
        <f t="shared" si="105"/>
        <v>149.4</v>
      </c>
      <c r="AG2548" s="67">
        <f t="shared" si="118"/>
        <v>23.904</v>
      </c>
      <c r="AH2548" s="67">
        <f t="shared" si="119"/>
        <v>173.304</v>
      </c>
      <c r="AI2548" s="67">
        <f t="shared" si="108"/>
        <v>144</v>
      </c>
      <c r="AJ2548" s="68">
        <f t="shared" si="126"/>
        <v>23.04</v>
      </c>
      <c r="AK2548" s="68">
        <f t="shared" si="127"/>
        <v>167.04</v>
      </c>
      <c r="AL2548" s="70"/>
      <c r="AM2548" s="70"/>
      <c r="AN2548" s="71"/>
      <c r="AO2548" s="71"/>
      <c r="AP2548" s="71"/>
      <c r="AQ2548" s="71"/>
      <c r="AR2548" s="71"/>
      <c r="AS2548" s="71"/>
      <c r="AT2548" s="71"/>
      <c r="AU2548" s="71"/>
      <c r="AV2548" s="71"/>
      <c r="AW2548" s="71"/>
      <c r="AX2548" s="71"/>
      <c r="AY2548" s="71"/>
      <c r="AZ2548" s="71"/>
      <c r="BA2548" s="71"/>
      <c r="BB2548" s="71"/>
      <c r="BC2548" s="71"/>
      <c r="BD2548" s="71"/>
      <c r="BE2548" s="71"/>
      <c r="BF2548" s="71"/>
      <c r="BG2548" s="71"/>
      <c r="BH2548" s="71"/>
      <c r="BI2548" s="71"/>
      <c r="BJ2548" s="71"/>
      <c r="BK2548" s="71"/>
      <c r="BL2548" s="71"/>
      <c r="BM2548" s="71"/>
      <c r="BN2548" s="71"/>
      <c r="BO2548" s="71"/>
      <c r="BP2548" s="71"/>
      <c r="BQ2548" s="71"/>
      <c r="BR2548" s="71"/>
      <c r="BS2548" s="71"/>
      <c r="BT2548" s="71"/>
      <c r="BU2548" s="71"/>
      <c r="BV2548" s="71"/>
    </row>
    <row r="2549">
      <c r="A2549" s="53">
        <v>1.0</v>
      </c>
      <c r="B2549" s="53"/>
      <c r="C2549" s="73" t="s">
        <v>53</v>
      </c>
      <c r="D2549" s="74" t="s">
        <v>6272</v>
      </c>
      <c r="E2549" s="54" t="s">
        <v>38</v>
      </c>
      <c r="F2549" s="54" t="s">
        <v>42</v>
      </c>
      <c r="G2549" s="88" t="s">
        <v>6273</v>
      </c>
      <c r="H2549" s="54" t="s">
        <v>6274</v>
      </c>
      <c r="I2549" s="54">
        <f t="shared" si="125"/>
        <v>29</v>
      </c>
      <c r="J2549" s="56"/>
      <c r="K2549" s="57"/>
      <c r="L2549" s="87"/>
      <c r="M2549" s="59"/>
      <c r="N2549" s="60">
        <v>611.0</v>
      </c>
      <c r="O2549" s="61">
        <v>659.0</v>
      </c>
      <c r="P2549" s="62">
        <v>711.72</v>
      </c>
      <c r="Q2549" s="63">
        <v>711.72</v>
      </c>
      <c r="R2549" s="64">
        <v>786.0</v>
      </c>
      <c r="S2549" s="111">
        <v>825.0</v>
      </c>
      <c r="T2549" s="65">
        <f t="shared" si="93"/>
        <v>132</v>
      </c>
      <c r="U2549" s="65">
        <f t="shared" si="94"/>
        <v>957</v>
      </c>
      <c r="V2549" s="66">
        <f t="shared" si="131"/>
        <v>0.04961832061</v>
      </c>
      <c r="W2549" s="67">
        <f t="shared" si="96"/>
        <v>783.75</v>
      </c>
      <c r="X2549" s="67">
        <f t="shared" si="132"/>
        <v>125.4</v>
      </c>
      <c r="Y2549" s="67">
        <f t="shared" si="133"/>
        <v>909.15</v>
      </c>
      <c r="Z2549" s="67">
        <f t="shared" si="99"/>
        <v>742.5</v>
      </c>
      <c r="AA2549" s="67">
        <f t="shared" si="114"/>
        <v>118.8</v>
      </c>
      <c r="AB2549" s="67">
        <f t="shared" si="115"/>
        <v>861.3</v>
      </c>
      <c r="AC2549" s="67">
        <f t="shared" si="102"/>
        <v>701.25</v>
      </c>
      <c r="AD2549" s="67">
        <f t="shared" si="116"/>
        <v>112.2</v>
      </c>
      <c r="AE2549" s="67">
        <f t="shared" si="117"/>
        <v>813.45</v>
      </c>
      <c r="AF2549" s="67">
        <f t="shared" si="105"/>
        <v>684.75</v>
      </c>
      <c r="AG2549" s="67">
        <f t="shared" si="118"/>
        <v>109.56</v>
      </c>
      <c r="AH2549" s="67">
        <f t="shared" si="119"/>
        <v>794.31</v>
      </c>
      <c r="AI2549" s="67">
        <f t="shared" si="108"/>
        <v>660</v>
      </c>
      <c r="AJ2549" s="68">
        <f t="shared" si="126"/>
        <v>105.6</v>
      </c>
      <c r="AK2549" s="68">
        <f t="shared" si="127"/>
        <v>765.6</v>
      </c>
      <c r="AL2549" s="70"/>
      <c r="AM2549" s="70"/>
      <c r="AN2549" s="71"/>
      <c r="AO2549" s="71"/>
      <c r="AP2549" s="71"/>
      <c r="AQ2549" s="71"/>
      <c r="AR2549" s="71"/>
      <c r="AS2549" s="71"/>
      <c r="AT2549" s="71"/>
      <c r="AU2549" s="71"/>
      <c r="AV2549" s="71"/>
      <c r="AW2549" s="71"/>
      <c r="AX2549" s="71"/>
      <c r="AY2549" s="71"/>
      <c r="AZ2549" s="71"/>
      <c r="BA2549" s="71"/>
      <c r="BB2549" s="71"/>
      <c r="BC2549" s="71"/>
      <c r="BD2549" s="71"/>
      <c r="BE2549" s="71"/>
      <c r="BF2549" s="71"/>
      <c r="BG2549" s="71"/>
      <c r="BH2549" s="71"/>
      <c r="BI2549" s="71"/>
      <c r="BJ2549" s="71"/>
      <c r="BK2549" s="71"/>
      <c r="BL2549" s="71"/>
      <c r="BM2549" s="71"/>
      <c r="BN2549" s="71"/>
      <c r="BO2549" s="71"/>
      <c r="BP2549" s="71"/>
      <c r="BQ2549" s="71"/>
      <c r="BR2549" s="71"/>
      <c r="BS2549" s="71"/>
      <c r="BT2549" s="71"/>
      <c r="BU2549" s="71"/>
      <c r="BV2549" s="71"/>
    </row>
    <row r="2550">
      <c r="A2550" s="53"/>
      <c r="B2550" s="53">
        <v>3.0</v>
      </c>
      <c r="C2550" s="53" t="s">
        <v>36</v>
      </c>
      <c r="D2550" s="85" t="s">
        <v>6275</v>
      </c>
      <c r="E2550" s="54" t="s">
        <v>38</v>
      </c>
      <c r="F2550" s="55" t="s">
        <v>866</v>
      </c>
      <c r="G2550" s="139" t="s">
        <v>6276</v>
      </c>
      <c r="H2550" s="55"/>
      <c r="I2550" s="54">
        <f t="shared" si="125"/>
        <v>0</v>
      </c>
      <c r="J2550" s="56"/>
      <c r="K2550" s="57"/>
      <c r="L2550" s="76"/>
      <c r="M2550" s="59"/>
      <c r="N2550" s="60"/>
      <c r="O2550" s="61">
        <v>8313.0</v>
      </c>
      <c r="P2550" s="62">
        <v>8978.04</v>
      </c>
      <c r="Q2550" s="63">
        <v>8978.04</v>
      </c>
      <c r="R2550" s="64">
        <v>9427.0</v>
      </c>
      <c r="S2550" s="107">
        <v>9898.0</v>
      </c>
      <c r="T2550" s="65">
        <f t="shared" si="93"/>
        <v>1583.68</v>
      </c>
      <c r="U2550" s="65">
        <f t="shared" si="94"/>
        <v>11481.68</v>
      </c>
      <c r="V2550" s="66">
        <f t="shared" si="131"/>
        <v>0.0499628726</v>
      </c>
      <c r="W2550" s="67">
        <f t="shared" si="96"/>
        <v>9403.1</v>
      </c>
      <c r="X2550" s="67">
        <f t="shared" si="132"/>
        <v>1504.496</v>
      </c>
      <c r="Y2550" s="67">
        <f t="shared" si="133"/>
        <v>10907.596</v>
      </c>
      <c r="Z2550" s="67">
        <f t="shared" si="99"/>
        <v>8908.2</v>
      </c>
      <c r="AA2550" s="67">
        <f t="shared" si="114"/>
        <v>1425.312</v>
      </c>
      <c r="AB2550" s="67">
        <f t="shared" si="115"/>
        <v>10333.512</v>
      </c>
      <c r="AC2550" s="67">
        <f t="shared" si="102"/>
        <v>8908.2</v>
      </c>
      <c r="AD2550" s="67">
        <f t="shared" si="116"/>
        <v>1425.312</v>
      </c>
      <c r="AE2550" s="67">
        <f t="shared" si="117"/>
        <v>10333.512</v>
      </c>
      <c r="AF2550" s="67">
        <f t="shared" si="105"/>
        <v>8908.2</v>
      </c>
      <c r="AG2550" s="67">
        <f t="shared" si="118"/>
        <v>1425.312</v>
      </c>
      <c r="AH2550" s="67">
        <f t="shared" si="119"/>
        <v>10333.512</v>
      </c>
      <c r="AI2550" s="67">
        <f t="shared" si="108"/>
        <v>8908.2</v>
      </c>
      <c r="AJ2550" s="68">
        <f t="shared" si="126"/>
        <v>1425.312</v>
      </c>
      <c r="AK2550" s="68">
        <f t="shared" si="127"/>
        <v>10333.512</v>
      </c>
      <c r="AL2550" s="70"/>
      <c r="AM2550" s="70"/>
      <c r="AN2550" s="71"/>
      <c r="AO2550" s="71"/>
      <c r="AP2550" s="71"/>
      <c r="AQ2550" s="71"/>
      <c r="AR2550" s="71"/>
      <c r="AS2550" s="71"/>
      <c r="AT2550" s="71"/>
      <c r="AU2550" s="71"/>
      <c r="AV2550" s="71"/>
      <c r="AW2550" s="71"/>
      <c r="AX2550" s="71"/>
      <c r="AY2550" s="71"/>
      <c r="AZ2550" s="71"/>
      <c r="BA2550" s="71"/>
      <c r="BB2550" s="71"/>
      <c r="BC2550" s="71"/>
      <c r="BD2550" s="71"/>
      <c r="BE2550" s="71"/>
      <c r="BF2550" s="71"/>
      <c r="BG2550" s="71"/>
      <c r="BH2550" s="71"/>
      <c r="BI2550" s="71"/>
      <c r="BJ2550" s="71"/>
      <c r="BK2550" s="71"/>
      <c r="BL2550" s="71"/>
      <c r="BM2550" s="71"/>
      <c r="BN2550" s="71"/>
      <c r="BO2550" s="71"/>
      <c r="BP2550" s="71"/>
      <c r="BQ2550" s="71"/>
      <c r="BR2550" s="71"/>
      <c r="BS2550" s="71"/>
      <c r="BT2550" s="71"/>
      <c r="BU2550" s="71"/>
      <c r="BV2550" s="71"/>
    </row>
    <row r="2551">
      <c r="A2551" s="53"/>
      <c r="B2551" s="53">
        <v>3.0</v>
      </c>
      <c r="C2551" s="53" t="s">
        <v>36</v>
      </c>
      <c r="D2551" s="85" t="s">
        <v>6277</v>
      </c>
      <c r="E2551" s="54" t="s">
        <v>38</v>
      </c>
      <c r="F2551" s="55" t="s">
        <v>866</v>
      </c>
      <c r="G2551" s="139" t="s">
        <v>6278</v>
      </c>
      <c r="H2551" s="55"/>
      <c r="I2551" s="54">
        <f t="shared" si="125"/>
        <v>0</v>
      </c>
      <c r="J2551" s="56"/>
      <c r="K2551" s="57"/>
      <c r="L2551" s="76"/>
      <c r="M2551" s="59"/>
      <c r="N2551" s="60"/>
      <c r="O2551" s="61">
        <v>2491.0</v>
      </c>
      <c r="P2551" s="62">
        <v>2690.28</v>
      </c>
      <c r="Q2551" s="63">
        <v>2690.28</v>
      </c>
      <c r="R2551" s="64">
        <v>2825.0</v>
      </c>
      <c r="S2551" s="107">
        <v>2966.0</v>
      </c>
      <c r="T2551" s="65">
        <f t="shared" si="93"/>
        <v>474.56</v>
      </c>
      <c r="U2551" s="65">
        <f t="shared" si="94"/>
        <v>3440.56</v>
      </c>
      <c r="V2551" s="66">
        <f t="shared" si="131"/>
        <v>0.04991150442</v>
      </c>
      <c r="W2551" s="67">
        <f t="shared" si="96"/>
        <v>2817.7</v>
      </c>
      <c r="X2551" s="67">
        <f t="shared" si="132"/>
        <v>450.832</v>
      </c>
      <c r="Y2551" s="67">
        <f t="shared" si="133"/>
        <v>3268.532</v>
      </c>
      <c r="Z2551" s="67">
        <f t="shared" si="99"/>
        <v>2669.4</v>
      </c>
      <c r="AA2551" s="67">
        <f t="shared" si="114"/>
        <v>427.104</v>
      </c>
      <c r="AB2551" s="67">
        <f t="shared" si="115"/>
        <v>3096.504</v>
      </c>
      <c r="AC2551" s="67">
        <f t="shared" si="102"/>
        <v>2669.4</v>
      </c>
      <c r="AD2551" s="67">
        <f t="shared" si="116"/>
        <v>427.104</v>
      </c>
      <c r="AE2551" s="67">
        <f t="shared" si="117"/>
        <v>3096.504</v>
      </c>
      <c r="AF2551" s="67">
        <f t="shared" si="105"/>
        <v>2669.4</v>
      </c>
      <c r="AG2551" s="67">
        <f t="shared" si="118"/>
        <v>427.104</v>
      </c>
      <c r="AH2551" s="67">
        <f t="shared" si="119"/>
        <v>3096.504</v>
      </c>
      <c r="AI2551" s="67">
        <f t="shared" si="108"/>
        <v>2669.4</v>
      </c>
      <c r="AJ2551" s="68">
        <f t="shared" si="126"/>
        <v>427.104</v>
      </c>
      <c r="AK2551" s="68">
        <f t="shared" si="127"/>
        <v>3096.504</v>
      </c>
      <c r="AL2551" s="70"/>
      <c r="AM2551" s="70"/>
      <c r="AN2551" s="71"/>
      <c r="AO2551" s="71"/>
      <c r="AP2551" s="71"/>
      <c r="AQ2551" s="71"/>
      <c r="AR2551" s="71"/>
      <c r="AS2551" s="71"/>
      <c r="AT2551" s="71"/>
      <c r="AU2551" s="71"/>
      <c r="AV2551" s="71"/>
      <c r="AW2551" s="71"/>
      <c r="AX2551" s="71"/>
      <c r="AY2551" s="71"/>
      <c r="AZ2551" s="71"/>
      <c r="BA2551" s="71"/>
      <c r="BB2551" s="71"/>
      <c r="BC2551" s="71"/>
      <c r="BD2551" s="71"/>
      <c r="BE2551" s="71"/>
      <c r="BF2551" s="71"/>
      <c r="BG2551" s="71"/>
      <c r="BH2551" s="71"/>
      <c r="BI2551" s="71"/>
      <c r="BJ2551" s="71"/>
      <c r="BK2551" s="71"/>
      <c r="BL2551" s="71"/>
      <c r="BM2551" s="71"/>
      <c r="BN2551" s="71"/>
      <c r="BO2551" s="71"/>
      <c r="BP2551" s="71"/>
      <c r="BQ2551" s="71"/>
      <c r="BR2551" s="71"/>
      <c r="BS2551" s="71"/>
      <c r="BT2551" s="71"/>
      <c r="BU2551" s="71"/>
      <c r="BV2551" s="71"/>
    </row>
    <row r="2552">
      <c r="A2552" s="53"/>
      <c r="B2552" s="53">
        <v>3.0</v>
      </c>
      <c r="C2552" s="53" t="s">
        <v>36</v>
      </c>
      <c r="D2552" s="85" t="s">
        <v>6279</v>
      </c>
      <c r="E2552" s="54" t="s">
        <v>38</v>
      </c>
      <c r="F2552" s="55" t="s">
        <v>866</v>
      </c>
      <c r="G2552" s="139" t="s">
        <v>6280</v>
      </c>
      <c r="H2552" s="55"/>
      <c r="I2552" s="54">
        <f t="shared" si="125"/>
        <v>0</v>
      </c>
      <c r="J2552" s="56"/>
      <c r="K2552" s="57"/>
      <c r="L2552" s="76"/>
      <c r="M2552" s="59"/>
      <c r="N2552" s="60"/>
      <c r="O2552" s="61">
        <v>3324.0</v>
      </c>
      <c r="P2552" s="62">
        <v>3589.92</v>
      </c>
      <c r="Q2552" s="63">
        <v>3589.92</v>
      </c>
      <c r="R2552" s="64">
        <v>3770.0</v>
      </c>
      <c r="S2552" s="107">
        <v>3959.0</v>
      </c>
      <c r="T2552" s="65">
        <f t="shared" si="93"/>
        <v>633.44</v>
      </c>
      <c r="U2552" s="65">
        <f t="shared" si="94"/>
        <v>4592.44</v>
      </c>
      <c r="V2552" s="66">
        <f t="shared" si="131"/>
        <v>0.05013262599</v>
      </c>
      <c r="W2552" s="67">
        <f t="shared" si="96"/>
        <v>3761.05</v>
      </c>
      <c r="X2552" s="67">
        <f t="shared" si="132"/>
        <v>601.768</v>
      </c>
      <c r="Y2552" s="67">
        <f t="shared" si="133"/>
        <v>4362.818</v>
      </c>
      <c r="Z2552" s="67">
        <f t="shared" si="99"/>
        <v>3563.1</v>
      </c>
      <c r="AA2552" s="67">
        <f t="shared" si="114"/>
        <v>570.096</v>
      </c>
      <c r="AB2552" s="67">
        <f t="shared" si="115"/>
        <v>4133.196</v>
      </c>
      <c r="AC2552" s="67">
        <f t="shared" si="102"/>
        <v>3563.1</v>
      </c>
      <c r="AD2552" s="67">
        <f t="shared" si="116"/>
        <v>570.096</v>
      </c>
      <c r="AE2552" s="67">
        <f t="shared" si="117"/>
        <v>4133.196</v>
      </c>
      <c r="AF2552" s="67">
        <f t="shared" si="105"/>
        <v>3563.1</v>
      </c>
      <c r="AG2552" s="67">
        <f t="shared" si="118"/>
        <v>570.096</v>
      </c>
      <c r="AH2552" s="67">
        <f t="shared" si="119"/>
        <v>4133.196</v>
      </c>
      <c r="AI2552" s="67">
        <f t="shared" si="108"/>
        <v>3563.1</v>
      </c>
      <c r="AJ2552" s="68">
        <f t="shared" si="126"/>
        <v>570.096</v>
      </c>
      <c r="AK2552" s="68">
        <f t="shared" si="127"/>
        <v>4133.196</v>
      </c>
      <c r="AL2552" s="70"/>
      <c r="AM2552" s="70"/>
      <c r="AN2552" s="71"/>
      <c r="AO2552" s="71"/>
      <c r="AP2552" s="71"/>
      <c r="AQ2552" s="71"/>
      <c r="AR2552" s="71"/>
      <c r="AS2552" s="71"/>
      <c r="AT2552" s="71"/>
      <c r="AU2552" s="71"/>
      <c r="AV2552" s="71"/>
      <c r="AW2552" s="71"/>
      <c r="AX2552" s="71"/>
      <c r="AY2552" s="71"/>
      <c r="AZ2552" s="71"/>
      <c r="BA2552" s="71"/>
      <c r="BB2552" s="71"/>
      <c r="BC2552" s="71"/>
      <c r="BD2552" s="71"/>
      <c r="BE2552" s="71"/>
      <c r="BF2552" s="71"/>
      <c r="BG2552" s="71"/>
      <c r="BH2552" s="71"/>
      <c r="BI2552" s="71"/>
      <c r="BJ2552" s="71"/>
      <c r="BK2552" s="71"/>
      <c r="BL2552" s="71"/>
      <c r="BM2552" s="71"/>
      <c r="BN2552" s="71"/>
      <c r="BO2552" s="71"/>
      <c r="BP2552" s="71"/>
      <c r="BQ2552" s="71"/>
      <c r="BR2552" s="71"/>
      <c r="BS2552" s="71"/>
      <c r="BT2552" s="71"/>
      <c r="BU2552" s="71"/>
      <c r="BV2552" s="71"/>
    </row>
    <row r="2553">
      <c r="A2553" s="53"/>
      <c r="B2553" s="53">
        <v>3.0</v>
      </c>
      <c r="C2553" s="53" t="s">
        <v>36</v>
      </c>
      <c r="D2553" s="85" t="s">
        <v>6281</v>
      </c>
      <c r="E2553" s="54" t="s">
        <v>38</v>
      </c>
      <c r="F2553" s="55" t="s">
        <v>866</v>
      </c>
      <c r="G2553" s="139" t="s">
        <v>6282</v>
      </c>
      <c r="H2553" s="55"/>
      <c r="I2553" s="54">
        <f t="shared" si="125"/>
        <v>0</v>
      </c>
      <c r="J2553" s="56"/>
      <c r="K2553" s="57"/>
      <c r="L2553" s="76"/>
      <c r="M2553" s="59"/>
      <c r="N2553" s="60"/>
      <c r="O2553" s="61">
        <v>5817.0</v>
      </c>
      <c r="P2553" s="62">
        <v>6282.360000000001</v>
      </c>
      <c r="Q2553" s="63">
        <v>6282.360000000001</v>
      </c>
      <c r="R2553" s="64">
        <v>6597.0</v>
      </c>
      <c r="S2553" s="107">
        <v>6927.0</v>
      </c>
      <c r="T2553" s="65">
        <f t="shared" si="93"/>
        <v>1108.32</v>
      </c>
      <c r="U2553" s="65">
        <f t="shared" si="94"/>
        <v>8035.32</v>
      </c>
      <c r="V2553" s="66">
        <f t="shared" si="131"/>
        <v>0.05002273761</v>
      </c>
      <c r="W2553" s="67">
        <f t="shared" si="96"/>
        <v>6580.65</v>
      </c>
      <c r="X2553" s="67">
        <f t="shared" si="132"/>
        <v>1052.904</v>
      </c>
      <c r="Y2553" s="67">
        <f t="shared" si="133"/>
        <v>7633.554</v>
      </c>
      <c r="Z2553" s="67">
        <f t="shared" si="99"/>
        <v>6234.3</v>
      </c>
      <c r="AA2553" s="67">
        <f t="shared" si="114"/>
        <v>997.488</v>
      </c>
      <c r="AB2553" s="67">
        <f t="shared" si="115"/>
        <v>7231.788</v>
      </c>
      <c r="AC2553" s="67">
        <f t="shared" si="102"/>
        <v>6234.3</v>
      </c>
      <c r="AD2553" s="67">
        <f t="shared" si="116"/>
        <v>997.488</v>
      </c>
      <c r="AE2553" s="67">
        <f t="shared" si="117"/>
        <v>7231.788</v>
      </c>
      <c r="AF2553" s="67">
        <f t="shared" si="105"/>
        <v>6234.3</v>
      </c>
      <c r="AG2553" s="67">
        <f t="shared" si="118"/>
        <v>997.488</v>
      </c>
      <c r="AH2553" s="67">
        <f t="shared" si="119"/>
        <v>7231.788</v>
      </c>
      <c r="AI2553" s="67">
        <f t="shared" si="108"/>
        <v>6234.3</v>
      </c>
      <c r="AJ2553" s="68">
        <f t="shared" si="126"/>
        <v>997.488</v>
      </c>
      <c r="AK2553" s="68">
        <f t="shared" si="127"/>
        <v>7231.788</v>
      </c>
      <c r="AL2553" s="70"/>
      <c r="AM2553" s="70"/>
      <c r="AN2553" s="71"/>
      <c r="AO2553" s="71"/>
      <c r="AP2553" s="71"/>
      <c r="AQ2553" s="71"/>
      <c r="AR2553" s="71"/>
      <c r="AS2553" s="71"/>
      <c r="AT2553" s="71"/>
      <c r="AU2553" s="71"/>
      <c r="AV2553" s="71"/>
      <c r="AW2553" s="71"/>
      <c r="AX2553" s="71"/>
      <c r="AY2553" s="71"/>
      <c r="AZ2553" s="71"/>
      <c r="BA2553" s="71"/>
      <c r="BB2553" s="71"/>
      <c r="BC2553" s="71"/>
      <c r="BD2553" s="71"/>
      <c r="BE2553" s="71"/>
      <c r="BF2553" s="71"/>
      <c r="BG2553" s="71"/>
      <c r="BH2553" s="71"/>
      <c r="BI2553" s="71"/>
      <c r="BJ2553" s="71"/>
      <c r="BK2553" s="71"/>
      <c r="BL2553" s="71"/>
      <c r="BM2553" s="71"/>
      <c r="BN2553" s="71"/>
      <c r="BO2553" s="71"/>
      <c r="BP2553" s="71"/>
      <c r="BQ2553" s="71"/>
      <c r="BR2553" s="71"/>
      <c r="BS2553" s="71"/>
      <c r="BT2553" s="71"/>
      <c r="BU2553" s="71"/>
      <c r="BV2553" s="71"/>
    </row>
    <row r="2554">
      <c r="A2554" s="53"/>
      <c r="B2554" s="53">
        <v>3.0</v>
      </c>
      <c r="C2554" s="53" t="s">
        <v>36</v>
      </c>
      <c r="D2554" s="85" t="s">
        <v>6283</v>
      </c>
      <c r="E2554" s="54" t="s">
        <v>38</v>
      </c>
      <c r="F2554" s="55" t="s">
        <v>866</v>
      </c>
      <c r="G2554" s="139" t="s">
        <v>6284</v>
      </c>
      <c r="H2554" s="55"/>
      <c r="I2554" s="54">
        <f t="shared" si="125"/>
        <v>0</v>
      </c>
      <c r="J2554" s="56"/>
      <c r="K2554" s="57"/>
      <c r="L2554" s="76"/>
      <c r="M2554" s="59"/>
      <c r="N2554" s="60"/>
      <c r="O2554" s="61">
        <v>6651.0</v>
      </c>
      <c r="P2554" s="62">
        <v>7183.080000000001</v>
      </c>
      <c r="Q2554" s="63">
        <v>7183.080000000001</v>
      </c>
      <c r="R2554" s="64">
        <v>7543.0</v>
      </c>
      <c r="S2554" s="107">
        <v>7920.0</v>
      </c>
      <c r="T2554" s="65">
        <f t="shared" si="93"/>
        <v>1267.2</v>
      </c>
      <c r="U2554" s="65">
        <f t="shared" si="94"/>
        <v>9187.2</v>
      </c>
      <c r="V2554" s="66">
        <f t="shared" si="131"/>
        <v>0.04998011401</v>
      </c>
      <c r="W2554" s="67">
        <f t="shared" si="96"/>
        <v>7524</v>
      </c>
      <c r="X2554" s="67">
        <f t="shared" si="132"/>
        <v>1203.84</v>
      </c>
      <c r="Y2554" s="67">
        <f t="shared" si="133"/>
        <v>8727.84</v>
      </c>
      <c r="Z2554" s="67">
        <f t="shared" si="99"/>
        <v>7128</v>
      </c>
      <c r="AA2554" s="67">
        <f t="shared" si="114"/>
        <v>1140.48</v>
      </c>
      <c r="AB2554" s="67">
        <f t="shared" si="115"/>
        <v>8268.48</v>
      </c>
      <c r="AC2554" s="67">
        <f t="shared" si="102"/>
        <v>7128</v>
      </c>
      <c r="AD2554" s="67">
        <f t="shared" si="116"/>
        <v>1140.48</v>
      </c>
      <c r="AE2554" s="67">
        <f t="shared" si="117"/>
        <v>8268.48</v>
      </c>
      <c r="AF2554" s="67">
        <f t="shared" si="105"/>
        <v>7128</v>
      </c>
      <c r="AG2554" s="67">
        <f t="shared" si="118"/>
        <v>1140.48</v>
      </c>
      <c r="AH2554" s="67">
        <f t="shared" si="119"/>
        <v>8268.48</v>
      </c>
      <c r="AI2554" s="67">
        <f t="shared" si="108"/>
        <v>7128</v>
      </c>
      <c r="AJ2554" s="68">
        <f t="shared" si="126"/>
        <v>1140.48</v>
      </c>
      <c r="AK2554" s="68">
        <f t="shared" si="127"/>
        <v>8268.48</v>
      </c>
      <c r="AL2554" s="70"/>
      <c r="AM2554" s="70"/>
      <c r="AN2554" s="71"/>
      <c r="AO2554" s="71"/>
      <c r="AP2554" s="71"/>
      <c r="AQ2554" s="71"/>
      <c r="AR2554" s="71"/>
      <c r="AS2554" s="71"/>
      <c r="AT2554" s="71"/>
      <c r="AU2554" s="71"/>
      <c r="AV2554" s="71"/>
      <c r="AW2554" s="71"/>
      <c r="AX2554" s="71"/>
      <c r="AY2554" s="71"/>
      <c r="AZ2554" s="71"/>
      <c r="BA2554" s="71"/>
      <c r="BB2554" s="71"/>
      <c r="BC2554" s="71"/>
      <c r="BD2554" s="71"/>
      <c r="BE2554" s="71"/>
      <c r="BF2554" s="71"/>
      <c r="BG2554" s="71"/>
      <c r="BH2554" s="71"/>
      <c r="BI2554" s="71"/>
      <c r="BJ2554" s="71"/>
      <c r="BK2554" s="71"/>
      <c r="BL2554" s="71"/>
      <c r="BM2554" s="71"/>
      <c r="BN2554" s="71"/>
      <c r="BO2554" s="71"/>
      <c r="BP2554" s="71"/>
      <c r="BQ2554" s="71"/>
      <c r="BR2554" s="71"/>
      <c r="BS2554" s="71"/>
      <c r="BT2554" s="71"/>
      <c r="BU2554" s="71"/>
      <c r="BV2554" s="71"/>
    </row>
    <row r="2555">
      <c r="A2555" s="53"/>
      <c r="B2555" s="53"/>
      <c r="C2555" s="73" t="s">
        <v>53</v>
      </c>
      <c r="D2555" s="53" t="s">
        <v>6285</v>
      </c>
      <c r="E2555" s="54" t="s">
        <v>38</v>
      </c>
      <c r="F2555" s="54" t="s">
        <v>42</v>
      </c>
      <c r="G2555" s="54" t="s">
        <v>6286</v>
      </c>
      <c r="H2555" s="54" t="s">
        <v>6287</v>
      </c>
      <c r="I2555" s="54">
        <f t="shared" si="125"/>
        <v>40</v>
      </c>
      <c r="J2555" s="56"/>
      <c r="K2555" s="57"/>
      <c r="L2555" s="87"/>
      <c r="M2555" s="59"/>
      <c r="N2555" s="60"/>
      <c r="O2555" s="61">
        <v>800.0</v>
      </c>
      <c r="P2555" s="62">
        <v>864.0</v>
      </c>
      <c r="Q2555" s="63">
        <v>864.0</v>
      </c>
      <c r="R2555" s="64">
        <v>908.0</v>
      </c>
      <c r="S2555" s="111">
        <v>953.0</v>
      </c>
      <c r="T2555" s="65">
        <f t="shared" si="93"/>
        <v>152.48</v>
      </c>
      <c r="U2555" s="65">
        <f t="shared" si="94"/>
        <v>1105.48</v>
      </c>
      <c r="V2555" s="66">
        <f t="shared" si="131"/>
        <v>0.04955947137</v>
      </c>
      <c r="W2555" s="67">
        <f t="shared" si="96"/>
        <v>905.35</v>
      </c>
      <c r="X2555" s="67">
        <f t="shared" si="132"/>
        <v>144.856</v>
      </c>
      <c r="Y2555" s="67">
        <f t="shared" si="133"/>
        <v>1050.206</v>
      </c>
      <c r="Z2555" s="67">
        <f t="shared" si="99"/>
        <v>857.7</v>
      </c>
      <c r="AA2555" s="67">
        <f t="shared" si="114"/>
        <v>137.232</v>
      </c>
      <c r="AB2555" s="67">
        <f t="shared" si="115"/>
        <v>994.932</v>
      </c>
      <c r="AC2555" s="67">
        <f t="shared" si="102"/>
        <v>810.05</v>
      </c>
      <c r="AD2555" s="67">
        <f t="shared" si="116"/>
        <v>129.608</v>
      </c>
      <c r="AE2555" s="67">
        <f t="shared" si="117"/>
        <v>939.658</v>
      </c>
      <c r="AF2555" s="67">
        <f t="shared" si="105"/>
        <v>790.99</v>
      </c>
      <c r="AG2555" s="67">
        <f t="shared" si="118"/>
        <v>126.5584</v>
      </c>
      <c r="AH2555" s="67">
        <f t="shared" si="119"/>
        <v>917.5484</v>
      </c>
      <c r="AI2555" s="67">
        <f t="shared" si="108"/>
        <v>762.4</v>
      </c>
      <c r="AJ2555" s="68">
        <f t="shared" si="126"/>
        <v>121.984</v>
      </c>
      <c r="AK2555" s="68">
        <f t="shared" si="127"/>
        <v>884.384</v>
      </c>
      <c r="AL2555" s="70"/>
      <c r="AM2555" s="70"/>
      <c r="AN2555" s="71"/>
      <c r="AO2555" s="71"/>
      <c r="AP2555" s="71"/>
      <c r="AQ2555" s="71"/>
      <c r="AR2555" s="71"/>
      <c r="AS2555" s="71"/>
      <c r="AT2555" s="71"/>
      <c r="AU2555" s="71"/>
      <c r="AV2555" s="71"/>
      <c r="AW2555" s="71"/>
      <c r="AX2555" s="71"/>
      <c r="AY2555" s="71"/>
      <c r="AZ2555" s="71"/>
      <c r="BA2555" s="71"/>
      <c r="BB2555" s="71"/>
      <c r="BC2555" s="71"/>
      <c r="BD2555" s="71"/>
      <c r="BE2555" s="71"/>
      <c r="BF2555" s="71"/>
      <c r="BG2555" s="71"/>
      <c r="BH2555" s="71"/>
      <c r="BI2555" s="71"/>
      <c r="BJ2555" s="71"/>
      <c r="BK2555" s="71"/>
      <c r="BL2555" s="71"/>
      <c r="BM2555" s="71"/>
      <c r="BN2555" s="71"/>
      <c r="BO2555" s="71"/>
      <c r="BP2555" s="71"/>
      <c r="BQ2555" s="71"/>
      <c r="BR2555" s="71"/>
      <c r="BS2555" s="71"/>
      <c r="BT2555" s="71"/>
      <c r="BU2555" s="71"/>
      <c r="BV2555" s="71"/>
    </row>
    <row r="2556">
      <c r="A2556" s="53"/>
      <c r="B2556" s="53"/>
      <c r="C2556" s="53" t="s">
        <v>53</v>
      </c>
      <c r="D2556" s="53" t="s">
        <v>6288</v>
      </c>
      <c r="E2556" s="54" t="s">
        <v>38</v>
      </c>
      <c r="F2556" s="55" t="s">
        <v>39</v>
      </c>
      <c r="G2556" s="55" t="s">
        <v>6289</v>
      </c>
      <c r="H2556" s="55" t="s">
        <v>6290</v>
      </c>
      <c r="I2556" s="54">
        <f t="shared" si="125"/>
        <v>34</v>
      </c>
      <c r="J2556" s="56"/>
      <c r="K2556" s="57"/>
      <c r="L2556" s="76"/>
      <c r="M2556" s="59"/>
      <c r="N2556" s="60"/>
      <c r="O2556" s="61">
        <v>3121.92</v>
      </c>
      <c r="P2556" s="62">
        <v>3371.6736</v>
      </c>
      <c r="Q2556" s="63">
        <v>3371.6736</v>
      </c>
      <c r="R2556" s="64">
        <v>3541.0</v>
      </c>
      <c r="S2556" s="111">
        <v>3718.0</v>
      </c>
      <c r="T2556" s="65">
        <f t="shared" si="93"/>
        <v>594.88</v>
      </c>
      <c r="U2556" s="65">
        <f t="shared" si="94"/>
        <v>4312.88</v>
      </c>
      <c r="V2556" s="66">
        <f t="shared" si="131"/>
        <v>0.0499858797</v>
      </c>
      <c r="W2556" s="67">
        <f t="shared" si="96"/>
        <v>3532.1</v>
      </c>
      <c r="X2556" s="67">
        <f t="shared" si="132"/>
        <v>565.136</v>
      </c>
      <c r="Y2556" s="67">
        <f t="shared" si="133"/>
        <v>4097.236</v>
      </c>
      <c r="Z2556" s="67">
        <f t="shared" si="99"/>
        <v>3346.2</v>
      </c>
      <c r="AA2556" s="67">
        <f t="shared" si="114"/>
        <v>535.392</v>
      </c>
      <c r="AB2556" s="67">
        <f t="shared" si="115"/>
        <v>3881.592</v>
      </c>
      <c r="AC2556" s="67">
        <f t="shared" si="102"/>
        <v>3160.3</v>
      </c>
      <c r="AD2556" s="67">
        <f t="shared" si="116"/>
        <v>505.648</v>
      </c>
      <c r="AE2556" s="67">
        <f t="shared" si="117"/>
        <v>3665.948</v>
      </c>
      <c r="AF2556" s="67">
        <f t="shared" si="105"/>
        <v>3085.94</v>
      </c>
      <c r="AG2556" s="67">
        <f t="shared" si="118"/>
        <v>493.7504</v>
      </c>
      <c r="AH2556" s="67">
        <f t="shared" si="119"/>
        <v>3579.6904</v>
      </c>
      <c r="AI2556" s="67">
        <f t="shared" si="108"/>
        <v>2974.4</v>
      </c>
      <c r="AJ2556" s="68">
        <f t="shared" si="126"/>
        <v>475.904</v>
      </c>
      <c r="AK2556" s="68">
        <f t="shared" si="127"/>
        <v>3450.304</v>
      </c>
      <c r="AL2556" s="70"/>
      <c r="AM2556" s="70"/>
      <c r="AN2556" s="71"/>
      <c r="AO2556" s="71"/>
      <c r="AP2556" s="71"/>
      <c r="AQ2556" s="71"/>
      <c r="AR2556" s="71"/>
      <c r="AS2556" s="71"/>
      <c r="AT2556" s="71"/>
      <c r="AU2556" s="71"/>
      <c r="AV2556" s="71"/>
      <c r="AW2556" s="71"/>
      <c r="AX2556" s="71"/>
      <c r="AY2556" s="71"/>
      <c r="AZ2556" s="71"/>
      <c r="BA2556" s="71"/>
      <c r="BB2556" s="71"/>
      <c r="BC2556" s="71"/>
      <c r="BD2556" s="71"/>
      <c r="BE2556" s="71"/>
      <c r="BF2556" s="71"/>
      <c r="BG2556" s="71"/>
      <c r="BH2556" s="71"/>
      <c r="BI2556" s="71"/>
      <c r="BJ2556" s="71"/>
      <c r="BK2556" s="71"/>
      <c r="BL2556" s="71"/>
      <c r="BM2556" s="71"/>
      <c r="BN2556" s="71"/>
      <c r="BO2556" s="71"/>
      <c r="BP2556" s="71"/>
      <c r="BQ2556" s="71"/>
      <c r="BR2556" s="71"/>
      <c r="BS2556" s="71"/>
      <c r="BT2556" s="71"/>
      <c r="BU2556" s="71"/>
      <c r="BV2556" s="71"/>
    </row>
    <row r="2557">
      <c r="A2557" s="53"/>
      <c r="B2557" s="53"/>
      <c r="C2557" s="53" t="s">
        <v>36</v>
      </c>
      <c r="D2557" s="85" t="s">
        <v>6291</v>
      </c>
      <c r="E2557" s="54" t="s">
        <v>38</v>
      </c>
      <c r="F2557" s="55" t="s">
        <v>39</v>
      </c>
      <c r="G2557" s="86" t="s">
        <v>6292</v>
      </c>
      <c r="H2557" s="55"/>
      <c r="I2557" s="54">
        <f t="shared" si="125"/>
        <v>0</v>
      </c>
      <c r="J2557" s="56"/>
      <c r="K2557" s="57"/>
      <c r="L2557" s="76"/>
      <c r="M2557" s="59"/>
      <c r="N2557" s="60"/>
      <c r="O2557" s="61">
        <v>2756.6</v>
      </c>
      <c r="P2557" s="62">
        <v>2977.128</v>
      </c>
      <c r="Q2557" s="63">
        <v>2977.128</v>
      </c>
      <c r="R2557" s="64">
        <v>3126.0</v>
      </c>
      <c r="S2557" s="107">
        <v>3282.0</v>
      </c>
      <c r="T2557" s="65">
        <f t="shared" si="93"/>
        <v>525.12</v>
      </c>
      <c r="U2557" s="65">
        <f t="shared" si="94"/>
        <v>3807.12</v>
      </c>
      <c r="V2557" s="66">
        <f t="shared" si="131"/>
        <v>0.04990403071</v>
      </c>
      <c r="W2557" s="67">
        <f t="shared" si="96"/>
        <v>3117.9</v>
      </c>
      <c r="X2557" s="67">
        <f t="shared" si="132"/>
        <v>498.864</v>
      </c>
      <c r="Y2557" s="67">
        <f t="shared" si="133"/>
        <v>3616.764</v>
      </c>
      <c r="Z2557" s="67">
        <f t="shared" si="99"/>
        <v>2953.8</v>
      </c>
      <c r="AA2557" s="67">
        <f t="shared" si="114"/>
        <v>472.608</v>
      </c>
      <c r="AB2557" s="67">
        <f t="shared" si="115"/>
        <v>3426.408</v>
      </c>
      <c r="AC2557" s="67">
        <f t="shared" si="102"/>
        <v>2789.7</v>
      </c>
      <c r="AD2557" s="67">
        <f t="shared" si="116"/>
        <v>446.352</v>
      </c>
      <c r="AE2557" s="67">
        <f t="shared" si="117"/>
        <v>3236.052</v>
      </c>
      <c r="AF2557" s="67">
        <f t="shared" si="105"/>
        <v>2724.06</v>
      </c>
      <c r="AG2557" s="67">
        <f t="shared" si="118"/>
        <v>435.8496</v>
      </c>
      <c r="AH2557" s="67">
        <f t="shared" si="119"/>
        <v>3159.9096</v>
      </c>
      <c r="AI2557" s="67">
        <f t="shared" si="108"/>
        <v>2625.6</v>
      </c>
      <c r="AJ2557" s="68">
        <f t="shared" si="126"/>
        <v>420.096</v>
      </c>
      <c r="AK2557" s="68">
        <f t="shared" si="127"/>
        <v>3045.696</v>
      </c>
      <c r="AL2557" s="70"/>
      <c r="AM2557" s="70"/>
      <c r="AN2557" s="71"/>
      <c r="AO2557" s="71"/>
      <c r="AP2557" s="71"/>
      <c r="AQ2557" s="71"/>
      <c r="AR2557" s="71"/>
      <c r="AS2557" s="71"/>
      <c r="AT2557" s="71"/>
      <c r="AU2557" s="71"/>
      <c r="AV2557" s="71"/>
      <c r="AW2557" s="71"/>
      <c r="AX2557" s="71"/>
      <c r="AY2557" s="71"/>
      <c r="AZ2557" s="71"/>
      <c r="BA2557" s="71"/>
      <c r="BB2557" s="71"/>
      <c r="BC2557" s="71"/>
      <c r="BD2557" s="71"/>
      <c r="BE2557" s="71"/>
      <c r="BF2557" s="71"/>
      <c r="BG2557" s="71"/>
      <c r="BH2557" s="71"/>
      <c r="BI2557" s="71"/>
      <c r="BJ2557" s="71"/>
      <c r="BK2557" s="71"/>
      <c r="BL2557" s="71"/>
      <c r="BM2557" s="71"/>
      <c r="BN2557" s="71"/>
      <c r="BO2557" s="71"/>
      <c r="BP2557" s="71"/>
      <c r="BQ2557" s="71"/>
      <c r="BR2557" s="71"/>
      <c r="BS2557" s="71"/>
      <c r="BT2557" s="71"/>
      <c r="BU2557" s="71"/>
      <c r="BV2557" s="71"/>
    </row>
    <row r="2558">
      <c r="A2558" s="53"/>
      <c r="B2558" s="53"/>
      <c r="C2558" s="53" t="s">
        <v>36</v>
      </c>
      <c r="D2558" s="85" t="s">
        <v>6293</v>
      </c>
      <c r="E2558" s="54" t="s">
        <v>38</v>
      </c>
      <c r="F2558" s="55" t="s">
        <v>39</v>
      </c>
      <c r="G2558" s="86" t="s">
        <v>6294</v>
      </c>
      <c r="H2558" s="55"/>
      <c r="I2558" s="54">
        <f t="shared" si="125"/>
        <v>0</v>
      </c>
      <c r="J2558" s="56"/>
      <c r="K2558" s="57"/>
      <c r="L2558" s="76"/>
      <c r="M2558" s="59"/>
      <c r="N2558" s="60"/>
      <c r="O2558" s="61">
        <v>3121.92</v>
      </c>
      <c r="P2558" s="62">
        <v>3371.6736</v>
      </c>
      <c r="Q2558" s="63">
        <v>3371.6736</v>
      </c>
      <c r="R2558" s="64">
        <v>3541.0</v>
      </c>
      <c r="S2558" s="107">
        <v>3718.0</v>
      </c>
      <c r="T2558" s="65">
        <f t="shared" si="93"/>
        <v>594.88</v>
      </c>
      <c r="U2558" s="65">
        <f t="shared" si="94"/>
        <v>4312.88</v>
      </c>
      <c r="V2558" s="66">
        <f t="shared" si="131"/>
        <v>0.0499858797</v>
      </c>
      <c r="W2558" s="67">
        <f t="shared" si="96"/>
        <v>3532.1</v>
      </c>
      <c r="X2558" s="67">
        <f t="shared" si="132"/>
        <v>565.136</v>
      </c>
      <c r="Y2558" s="67">
        <f t="shared" si="133"/>
        <v>4097.236</v>
      </c>
      <c r="Z2558" s="67">
        <f t="shared" si="99"/>
        <v>3346.2</v>
      </c>
      <c r="AA2558" s="67">
        <f t="shared" si="114"/>
        <v>535.392</v>
      </c>
      <c r="AB2558" s="67">
        <f t="shared" si="115"/>
        <v>3881.592</v>
      </c>
      <c r="AC2558" s="67">
        <f t="shared" si="102"/>
        <v>3160.3</v>
      </c>
      <c r="AD2558" s="67">
        <f t="shared" si="116"/>
        <v>505.648</v>
      </c>
      <c r="AE2558" s="67">
        <f t="shared" si="117"/>
        <v>3665.948</v>
      </c>
      <c r="AF2558" s="67">
        <f t="shared" si="105"/>
        <v>3085.94</v>
      </c>
      <c r="AG2558" s="67">
        <f t="shared" si="118"/>
        <v>493.7504</v>
      </c>
      <c r="AH2558" s="67">
        <f t="shared" si="119"/>
        <v>3579.6904</v>
      </c>
      <c r="AI2558" s="67">
        <f t="shared" si="108"/>
        <v>2974.4</v>
      </c>
      <c r="AJ2558" s="68">
        <f t="shared" si="126"/>
        <v>475.904</v>
      </c>
      <c r="AK2558" s="68">
        <f t="shared" si="127"/>
        <v>3450.304</v>
      </c>
      <c r="AL2558" s="70"/>
      <c r="AM2558" s="70"/>
      <c r="AN2558" s="71"/>
      <c r="AO2558" s="71"/>
      <c r="AP2558" s="71"/>
      <c r="AQ2558" s="71"/>
      <c r="AR2558" s="71"/>
      <c r="AS2558" s="71"/>
      <c r="AT2558" s="71"/>
      <c r="AU2558" s="71"/>
      <c r="AV2558" s="71"/>
      <c r="AW2558" s="71"/>
      <c r="AX2558" s="71"/>
      <c r="AY2558" s="71"/>
      <c r="AZ2558" s="71"/>
      <c r="BA2558" s="71"/>
      <c r="BB2558" s="71"/>
      <c r="BC2558" s="71"/>
      <c r="BD2558" s="71"/>
      <c r="BE2558" s="71"/>
      <c r="BF2558" s="71"/>
      <c r="BG2558" s="71"/>
      <c r="BH2558" s="71"/>
      <c r="BI2558" s="71"/>
      <c r="BJ2558" s="71"/>
      <c r="BK2558" s="71"/>
      <c r="BL2558" s="71"/>
      <c r="BM2558" s="71"/>
      <c r="BN2558" s="71"/>
      <c r="BO2558" s="71"/>
      <c r="BP2558" s="71"/>
      <c r="BQ2558" s="71"/>
      <c r="BR2558" s="71"/>
      <c r="BS2558" s="71"/>
      <c r="BT2558" s="71"/>
      <c r="BU2558" s="71"/>
      <c r="BV2558" s="71"/>
    </row>
    <row r="2559">
      <c r="A2559" s="53"/>
      <c r="B2559" s="53"/>
      <c r="C2559" s="53" t="s">
        <v>36</v>
      </c>
      <c r="D2559" s="85" t="s">
        <v>6295</v>
      </c>
      <c r="E2559" s="54" t="s">
        <v>38</v>
      </c>
      <c r="F2559" s="55" t="s">
        <v>39</v>
      </c>
      <c r="G2559" s="86" t="s">
        <v>6296</v>
      </c>
      <c r="H2559" s="55"/>
      <c r="I2559" s="54">
        <f t="shared" si="125"/>
        <v>0</v>
      </c>
      <c r="J2559" s="56"/>
      <c r="K2559" s="57"/>
      <c r="L2559" s="76"/>
      <c r="M2559" s="59"/>
      <c r="N2559" s="60"/>
      <c r="O2559" s="61">
        <v>1298.0</v>
      </c>
      <c r="P2559" s="62">
        <v>1401.8400000000001</v>
      </c>
      <c r="Q2559" s="63">
        <v>1401.8400000000001</v>
      </c>
      <c r="R2559" s="64">
        <v>1473.0</v>
      </c>
      <c r="S2559" s="107">
        <v>1547.0</v>
      </c>
      <c r="T2559" s="65">
        <f t="shared" si="93"/>
        <v>247.52</v>
      </c>
      <c r="U2559" s="65">
        <f t="shared" si="94"/>
        <v>1794.52</v>
      </c>
      <c r="V2559" s="66">
        <f t="shared" si="131"/>
        <v>0.05023761032</v>
      </c>
      <c r="W2559" s="67">
        <f t="shared" si="96"/>
        <v>1469.65</v>
      </c>
      <c r="X2559" s="67">
        <f t="shared" si="132"/>
        <v>235.144</v>
      </c>
      <c r="Y2559" s="67">
        <f t="shared" si="133"/>
        <v>1704.794</v>
      </c>
      <c r="Z2559" s="67">
        <f t="shared" si="99"/>
        <v>1392.3</v>
      </c>
      <c r="AA2559" s="67">
        <f t="shared" si="114"/>
        <v>222.768</v>
      </c>
      <c r="AB2559" s="67">
        <f t="shared" si="115"/>
        <v>1615.068</v>
      </c>
      <c r="AC2559" s="67">
        <f t="shared" si="102"/>
        <v>1314.95</v>
      </c>
      <c r="AD2559" s="67">
        <f t="shared" si="116"/>
        <v>210.392</v>
      </c>
      <c r="AE2559" s="67">
        <f t="shared" si="117"/>
        <v>1525.342</v>
      </c>
      <c r="AF2559" s="67">
        <f t="shared" si="105"/>
        <v>1284.01</v>
      </c>
      <c r="AG2559" s="67">
        <f t="shared" si="118"/>
        <v>205.4416</v>
      </c>
      <c r="AH2559" s="67">
        <f t="shared" si="119"/>
        <v>1489.4516</v>
      </c>
      <c r="AI2559" s="67">
        <f t="shared" si="108"/>
        <v>1237.6</v>
      </c>
      <c r="AJ2559" s="68">
        <f t="shared" si="126"/>
        <v>198.016</v>
      </c>
      <c r="AK2559" s="68">
        <f t="shared" si="127"/>
        <v>1435.616</v>
      </c>
      <c r="AL2559" s="70"/>
      <c r="AM2559" s="70"/>
      <c r="AN2559" s="71"/>
      <c r="AO2559" s="71"/>
      <c r="AP2559" s="71"/>
      <c r="AQ2559" s="71"/>
      <c r="AR2559" s="71"/>
      <c r="AS2559" s="71"/>
      <c r="AT2559" s="71"/>
      <c r="AU2559" s="71"/>
      <c r="AV2559" s="71"/>
      <c r="AW2559" s="71"/>
      <c r="AX2559" s="71"/>
      <c r="AY2559" s="71"/>
      <c r="AZ2559" s="71"/>
      <c r="BA2559" s="71"/>
      <c r="BB2559" s="71"/>
      <c r="BC2559" s="71"/>
      <c r="BD2559" s="71"/>
      <c r="BE2559" s="71"/>
      <c r="BF2559" s="71"/>
      <c r="BG2559" s="71"/>
      <c r="BH2559" s="71"/>
      <c r="BI2559" s="71"/>
      <c r="BJ2559" s="71"/>
      <c r="BK2559" s="71"/>
      <c r="BL2559" s="71"/>
      <c r="BM2559" s="71"/>
      <c r="BN2559" s="71"/>
      <c r="BO2559" s="71"/>
      <c r="BP2559" s="71"/>
      <c r="BQ2559" s="71"/>
      <c r="BR2559" s="71"/>
      <c r="BS2559" s="71"/>
      <c r="BT2559" s="71"/>
      <c r="BU2559" s="71"/>
      <c r="BV2559" s="71"/>
    </row>
    <row r="2560">
      <c r="A2560" s="53"/>
      <c r="B2560" s="53"/>
      <c r="C2560" s="53" t="s">
        <v>36</v>
      </c>
      <c r="D2560" s="85" t="s">
        <v>6297</v>
      </c>
      <c r="E2560" s="54" t="s">
        <v>38</v>
      </c>
      <c r="F2560" s="55" t="s">
        <v>39</v>
      </c>
      <c r="G2560" s="86" t="s">
        <v>6298</v>
      </c>
      <c r="H2560" s="55"/>
      <c r="I2560" s="54">
        <f t="shared" si="125"/>
        <v>0</v>
      </c>
      <c r="J2560" s="56"/>
      <c r="K2560" s="57"/>
      <c r="L2560" s="76"/>
      <c r="M2560" s="59"/>
      <c r="N2560" s="60"/>
      <c r="O2560" s="61">
        <v>2735.0</v>
      </c>
      <c r="P2560" s="62">
        <v>2953.8</v>
      </c>
      <c r="Q2560" s="63">
        <v>2953.8</v>
      </c>
      <c r="R2560" s="64">
        <v>3102.0</v>
      </c>
      <c r="S2560" s="107">
        <v>3257.0</v>
      </c>
      <c r="T2560" s="65">
        <f t="shared" si="93"/>
        <v>521.12</v>
      </c>
      <c r="U2560" s="65">
        <f t="shared" si="94"/>
        <v>3778.12</v>
      </c>
      <c r="V2560" s="66">
        <f t="shared" si="131"/>
        <v>0.04996776273</v>
      </c>
      <c r="W2560" s="67">
        <f t="shared" si="96"/>
        <v>3094.15</v>
      </c>
      <c r="X2560" s="67">
        <f t="shared" si="132"/>
        <v>495.064</v>
      </c>
      <c r="Y2560" s="67">
        <f t="shared" si="133"/>
        <v>3589.214</v>
      </c>
      <c r="Z2560" s="67">
        <f t="shared" si="99"/>
        <v>2931.3</v>
      </c>
      <c r="AA2560" s="67">
        <f t="shared" si="114"/>
        <v>469.008</v>
      </c>
      <c r="AB2560" s="67">
        <f t="shared" si="115"/>
        <v>3400.308</v>
      </c>
      <c r="AC2560" s="67">
        <f t="shared" si="102"/>
        <v>2768.45</v>
      </c>
      <c r="AD2560" s="67">
        <f t="shared" si="116"/>
        <v>442.952</v>
      </c>
      <c r="AE2560" s="67">
        <f t="shared" si="117"/>
        <v>3211.402</v>
      </c>
      <c r="AF2560" s="67">
        <f t="shared" si="105"/>
        <v>2703.31</v>
      </c>
      <c r="AG2560" s="67">
        <f t="shared" si="118"/>
        <v>432.5296</v>
      </c>
      <c r="AH2560" s="67">
        <f t="shared" si="119"/>
        <v>3135.8396</v>
      </c>
      <c r="AI2560" s="67">
        <f t="shared" si="108"/>
        <v>2605.6</v>
      </c>
      <c r="AJ2560" s="68">
        <f t="shared" si="126"/>
        <v>416.896</v>
      </c>
      <c r="AK2560" s="68">
        <f t="shared" si="127"/>
        <v>3022.496</v>
      </c>
      <c r="AL2560" s="70"/>
      <c r="AM2560" s="70"/>
      <c r="AN2560" s="71"/>
      <c r="AO2560" s="71"/>
      <c r="AP2560" s="71"/>
      <c r="AQ2560" s="71"/>
      <c r="AR2560" s="71"/>
      <c r="AS2560" s="71"/>
      <c r="AT2560" s="71"/>
      <c r="AU2560" s="71"/>
      <c r="AV2560" s="71"/>
      <c r="AW2560" s="71"/>
      <c r="AX2560" s="71"/>
      <c r="AY2560" s="71"/>
      <c r="AZ2560" s="71"/>
      <c r="BA2560" s="71"/>
      <c r="BB2560" s="71"/>
      <c r="BC2560" s="71"/>
      <c r="BD2560" s="71"/>
      <c r="BE2560" s="71"/>
      <c r="BF2560" s="71"/>
      <c r="BG2560" s="71"/>
      <c r="BH2560" s="71"/>
      <c r="BI2560" s="71"/>
      <c r="BJ2560" s="71"/>
      <c r="BK2560" s="71"/>
      <c r="BL2560" s="71"/>
      <c r="BM2560" s="71"/>
      <c r="BN2560" s="71"/>
      <c r="BO2560" s="71"/>
      <c r="BP2560" s="71"/>
      <c r="BQ2560" s="71"/>
      <c r="BR2560" s="71"/>
      <c r="BS2560" s="71"/>
      <c r="BT2560" s="71"/>
      <c r="BU2560" s="71"/>
      <c r="BV2560" s="71"/>
    </row>
    <row r="2561">
      <c r="A2561" s="53"/>
      <c r="B2561" s="53"/>
      <c r="C2561" s="53" t="s">
        <v>36</v>
      </c>
      <c r="D2561" s="85" t="s">
        <v>6299</v>
      </c>
      <c r="E2561" s="54" t="s">
        <v>38</v>
      </c>
      <c r="F2561" s="55" t="s">
        <v>39</v>
      </c>
      <c r="G2561" s="86" t="s">
        <v>6300</v>
      </c>
      <c r="H2561" s="55"/>
      <c r="I2561" s="54">
        <f t="shared" si="125"/>
        <v>0</v>
      </c>
      <c r="J2561" s="56"/>
      <c r="K2561" s="57"/>
      <c r="L2561" s="76"/>
      <c r="M2561" s="59"/>
      <c r="N2561" s="60"/>
      <c r="O2561" s="61">
        <v>3236.0</v>
      </c>
      <c r="P2561" s="62">
        <v>3494.88</v>
      </c>
      <c r="Q2561" s="63">
        <v>3494.88</v>
      </c>
      <c r="R2561" s="64">
        <v>3670.0</v>
      </c>
      <c r="S2561" s="107">
        <v>3854.0</v>
      </c>
      <c r="T2561" s="65">
        <f t="shared" si="93"/>
        <v>616.64</v>
      </c>
      <c r="U2561" s="65">
        <f t="shared" si="94"/>
        <v>4470.64</v>
      </c>
      <c r="V2561" s="66">
        <f t="shared" si="131"/>
        <v>0.05013623978</v>
      </c>
      <c r="W2561" s="67">
        <f t="shared" si="96"/>
        <v>3661.3</v>
      </c>
      <c r="X2561" s="67">
        <f t="shared" si="132"/>
        <v>585.808</v>
      </c>
      <c r="Y2561" s="67">
        <f t="shared" si="133"/>
        <v>4247.108</v>
      </c>
      <c r="Z2561" s="67">
        <f t="shared" si="99"/>
        <v>3468.6</v>
      </c>
      <c r="AA2561" s="67">
        <f t="shared" si="114"/>
        <v>554.976</v>
      </c>
      <c r="AB2561" s="67">
        <f t="shared" si="115"/>
        <v>4023.576</v>
      </c>
      <c r="AC2561" s="67">
        <f t="shared" si="102"/>
        <v>3275.9</v>
      </c>
      <c r="AD2561" s="67">
        <f t="shared" si="116"/>
        <v>524.144</v>
      </c>
      <c r="AE2561" s="67">
        <f t="shared" si="117"/>
        <v>3800.044</v>
      </c>
      <c r="AF2561" s="67">
        <f t="shared" si="105"/>
        <v>3198.82</v>
      </c>
      <c r="AG2561" s="67">
        <f t="shared" si="118"/>
        <v>511.8112</v>
      </c>
      <c r="AH2561" s="67">
        <f t="shared" si="119"/>
        <v>3710.6312</v>
      </c>
      <c r="AI2561" s="67">
        <f t="shared" si="108"/>
        <v>3083.2</v>
      </c>
      <c r="AJ2561" s="68">
        <f t="shared" si="126"/>
        <v>493.312</v>
      </c>
      <c r="AK2561" s="68">
        <f t="shared" si="127"/>
        <v>3576.512</v>
      </c>
      <c r="AL2561" s="70"/>
      <c r="AM2561" s="70"/>
      <c r="AN2561" s="71"/>
      <c r="AO2561" s="71"/>
      <c r="AP2561" s="71"/>
      <c r="AQ2561" s="71"/>
      <c r="AR2561" s="71"/>
      <c r="AS2561" s="71"/>
      <c r="AT2561" s="71"/>
      <c r="AU2561" s="71"/>
      <c r="AV2561" s="71"/>
      <c r="AW2561" s="71"/>
      <c r="AX2561" s="71"/>
      <c r="AY2561" s="71"/>
      <c r="AZ2561" s="71"/>
      <c r="BA2561" s="71"/>
      <c r="BB2561" s="71"/>
      <c r="BC2561" s="71"/>
      <c r="BD2561" s="71"/>
      <c r="BE2561" s="71"/>
      <c r="BF2561" s="71"/>
      <c r="BG2561" s="71"/>
      <c r="BH2561" s="71"/>
      <c r="BI2561" s="71"/>
      <c r="BJ2561" s="71"/>
      <c r="BK2561" s="71"/>
      <c r="BL2561" s="71"/>
      <c r="BM2561" s="71"/>
      <c r="BN2561" s="71"/>
      <c r="BO2561" s="71"/>
      <c r="BP2561" s="71"/>
      <c r="BQ2561" s="71"/>
      <c r="BR2561" s="71"/>
      <c r="BS2561" s="71"/>
      <c r="BT2561" s="71"/>
      <c r="BU2561" s="71"/>
      <c r="BV2561" s="71"/>
    </row>
    <row r="2562">
      <c r="A2562" s="53">
        <v>1.0</v>
      </c>
      <c r="B2562" s="53"/>
      <c r="C2562" s="73" t="s">
        <v>53</v>
      </c>
      <c r="D2562" s="74" t="s">
        <v>6301</v>
      </c>
      <c r="E2562" s="54" t="s">
        <v>38</v>
      </c>
      <c r="F2562" s="54" t="s">
        <v>42</v>
      </c>
      <c r="G2562" s="54" t="s">
        <v>6302</v>
      </c>
      <c r="H2562" s="54" t="s">
        <v>6303</v>
      </c>
      <c r="I2562" s="54">
        <f t="shared" si="125"/>
        <v>36</v>
      </c>
      <c r="J2562" s="56"/>
      <c r="K2562" s="57"/>
      <c r="L2562" s="87"/>
      <c r="M2562" s="59"/>
      <c r="N2562" s="60">
        <v>1708.0</v>
      </c>
      <c r="O2562" s="61">
        <v>1844.0</v>
      </c>
      <c r="P2562" s="62">
        <v>1991.5200000000002</v>
      </c>
      <c r="Q2562" s="63">
        <v>1991.5200000000002</v>
      </c>
      <c r="R2562" s="64">
        <v>2218.0</v>
      </c>
      <c r="S2562" s="111">
        <v>2329.0</v>
      </c>
      <c r="T2562" s="65">
        <f t="shared" si="93"/>
        <v>372.64</v>
      </c>
      <c r="U2562" s="65">
        <f t="shared" si="94"/>
        <v>2701.64</v>
      </c>
      <c r="V2562" s="66">
        <f t="shared" si="131"/>
        <v>0.05004508566</v>
      </c>
      <c r="W2562" s="67">
        <f t="shared" si="96"/>
        <v>2212.55</v>
      </c>
      <c r="X2562" s="67">
        <f t="shared" si="132"/>
        <v>354.008</v>
      </c>
      <c r="Y2562" s="67">
        <f t="shared" si="133"/>
        <v>2566.558</v>
      </c>
      <c r="Z2562" s="67">
        <f t="shared" si="99"/>
        <v>2096.1</v>
      </c>
      <c r="AA2562" s="67">
        <f t="shared" si="114"/>
        <v>335.376</v>
      </c>
      <c r="AB2562" s="67">
        <f t="shared" si="115"/>
        <v>2431.476</v>
      </c>
      <c r="AC2562" s="67">
        <f t="shared" si="102"/>
        <v>1979.65</v>
      </c>
      <c r="AD2562" s="67">
        <f t="shared" si="116"/>
        <v>316.744</v>
      </c>
      <c r="AE2562" s="67">
        <f t="shared" si="117"/>
        <v>2296.394</v>
      </c>
      <c r="AF2562" s="67">
        <f t="shared" si="105"/>
        <v>1933.07</v>
      </c>
      <c r="AG2562" s="67">
        <f t="shared" si="118"/>
        <v>309.2912</v>
      </c>
      <c r="AH2562" s="67">
        <f t="shared" si="119"/>
        <v>2242.3612</v>
      </c>
      <c r="AI2562" s="67">
        <f t="shared" si="108"/>
        <v>1863.2</v>
      </c>
      <c r="AJ2562" s="68">
        <f t="shared" si="126"/>
        <v>298.112</v>
      </c>
      <c r="AK2562" s="68">
        <f t="shared" si="127"/>
        <v>2161.312</v>
      </c>
      <c r="AL2562" s="70"/>
      <c r="AM2562" s="70"/>
      <c r="AN2562" s="71"/>
      <c r="AO2562" s="71"/>
      <c r="AP2562" s="71"/>
      <c r="AQ2562" s="71"/>
      <c r="AR2562" s="71"/>
      <c r="AS2562" s="71"/>
      <c r="AT2562" s="71"/>
      <c r="AU2562" s="71"/>
      <c r="AV2562" s="71"/>
      <c r="AW2562" s="71"/>
      <c r="AX2562" s="71"/>
      <c r="AY2562" s="71"/>
      <c r="AZ2562" s="71"/>
      <c r="BA2562" s="71"/>
      <c r="BB2562" s="71"/>
      <c r="BC2562" s="71"/>
      <c r="BD2562" s="71"/>
      <c r="BE2562" s="71"/>
      <c r="BF2562" s="71"/>
      <c r="BG2562" s="71"/>
      <c r="BH2562" s="71"/>
      <c r="BI2562" s="71"/>
      <c r="BJ2562" s="71"/>
      <c r="BK2562" s="71"/>
      <c r="BL2562" s="71"/>
      <c r="BM2562" s="71"/>
      <c r="BN2562" s="71"/>
      <c r="BO2562" s="71"/>
      <c r="BP2562" s="71"/>
      <c r="BQ2562" s="71"/>
      <c r="BR2562" s="71"/>
      <c r="BS2562" s="71"/>
      <c r="BT2562" s="71"/>
      <c r="BU2562" s="71"/>
      <c r="BV2562" s="71"/>
    </row>
    <row r="2563">
      <c r="A2563" s="53">
        <v>1.0</v>
      </c>
      <c r="B2563" s="53"/>
      <c r="C2563" s="73" t="s">
        <v>53</v>
      </c>
      <c r="D2563" s="53" t="s">
        <v>6304</v>
      </c>
      <c r="E2563" s="54" t="s">
        <v>38</v>
      </c>
      <c r="F2563" s="54" t="s">
        <v>42</v>
      </c>
      <c r="G2563" s="54" t="s">
        <v>6305</v>
      </c>
      <c r="H2563" s="54" t="s">
        <v>6306</v>
      </c>
      <c r="I2563" s="54">
        <f t="shared" si="125"/>
        <v>35</v>
      </c>
      <c r="J2563" s="56"/>
      <c r="K2563" s="57"/>
      <c r="L2563" s="87"/>
      <c r="M2563" s="59"/>
      <c r="N2563" s="60">
        <v>1233.0</v>
      </c>
      <c r="O2563" s="61">
        <v>1331.0</v>
      </c>
      <c r="P2563" s="62">
        <v>1437.48</v>
      </c>
      <c r="Q2563" s="63">
        <v>1437.48</v>
      </c>
      <c r="R2563" s="64">
        <v>1601.0</v>
      </c>
      <c r="S2563" s="111">
        <v>1681.0</v>
      </c>
      <c r="T2563" s="65">
        <f t="shared" si="93"/>
        <v>268.96</v>
      </c>
      <c r="U2563" s="65">
        <f t="shared" si="94"/>
        <v>1949.96</v>
      </c>
      <c r="V2563" s="66">
        <f t="shared" si="131"/>
        <v>0.04996876952</v>
      </c>
      <c r="W2563" s="67">
        <f t="shared" si="96"/>
        <v>1596.95</v>
      </c>
      <c r="X2563" s="67">
        <f t="shared" si="132"/>
        <v>255.512</v>
      </c>
      <c r="Y2563" s="67">
        <f t="shared" si="133"/>
        <v>1852.462</v>
      </c>
      <c r="Z2563" s="67">
        <f t="shared" si="99"/>
        <v>1512.9</v>
      </c>
      <c r="AA2563" s="67">
        <f t="shared" si="114"/>
        <v>242.064</v>
      </c>
      <c r="AB2563" s="67">
        <f t="shared" si="115"/>
        <v>1754.964</v>
      </c>
      <c r="AC2563" s="67">
        <f t="shared" si="102"/>
        <v>1428.85</v>
      </c>
      <c r="AD2563" s="67">
        <f t="shared" si="116"/>
        <v>228.616</v>
      </c>
      <c r="AE2563" s="67">
        <f t="shared" si="117"/>
        <v>1657.466</v>
      </c>
      <c r="AF2563" s="67">
        <f t="shared" si="105"/>
        <v>1395.23</v>
      </c>
      <c r="AG2563" s="67">
        <f t="shared" si="118"/>
        <v>223.2368</v>
      </c>
      <c r="AH2563" s="67">
        <f t="shared" si="119"/>
        <v>1618.4668</v>
      </c>
      <c r="AI2563" s="67">
        <f t="shared" si="108"/>
        <v>1344.8</v>
      </c>
      <c r="AJ2563" s="68">
        <f t="shared" si="126"/>
        <v>215.168</v>
      </c>
      <c r="AK2563" s="68">
        <f t="shared" si="127"/>
        <v>1559.968</v>
      </c>
      <c r="AL2563" s="70"/>
      <c r="AM2563" s="70"/>
      <c r="AN2563" s="71"/>
      <c r="AO2563" s="71"/>
      <c r="AP2563" s="71"/>
      <c r="AQ2563" s="71"/>
      <c r="AR2563" s="71"/>
      <c r="AS2563" s="71"/>
      <c r="AT2563" s="71"/>
      <c r="AU2563" s="71"/>
      <c r="AV2563" s="71"/>
      <c r="AW2563" s="71"/>
      <c r="AX2563" s="71"/>
      <c r="AY2563" s="71"/>
      <c r="AZ2563" s="71"/>
      <c r="BA2563" s="71"/>
      <c r="BB2563" s="71"/>
      <c r="BC2563" s="71"/>
      <c r="BD2563" s="71"/>
      <c r="BE2563" s="71"/>
      <c r="BF2563" s="71"/>
      <c r="BG2563" s="71"/>
      <c r="BH2563" s="71"/>
      <c r="BI2563" s="71"/>
      <c r="BJ2563" s="71"/>
      <c r="BK2563" s="71"/>
      <c r="BL2563" s="71"/>
      <c r="BM2563" s="71"/>
      <c r="BN2563" s="71"/>
      <c r="BO2563" s="71"/>
      <c r="BP2563" s="71"/>
      <c r="BQ2563" s="71"/>
      <c r="BR2563" s="71"/>
      <c r="BS2563" s="71"/>
      <c r="BT2563" s="71"/>
      <c r="BU2563" s="71"/>
      <c r="BV2563" s="71"/>
    </row>
    <row r="2564">
      <c r="A2564" s="53">
        <v>1.0</v>
      </c>
      <c r="B2564" s="53"/>
      <c r="C2564" s="73" t="s">
        <v>53</v>
      </c>
      <c r="D2564" s="53" t="s">
        <v>6307</v>
      </c>
      <c r="E2564" s="54" t="s">
        <v>38</v>
      </c>
      <c r="F2564" s="54" t="s">
        <v>42</v>
      </c>
      <c r="G2564" s="54" t="s">
        <v>6308</v>
      </c>
      <c r="H2564" s="54" t="s">
        <v>6309</v>
      </c>
      <c r="I2564" s="54">
        <f t="shared" si="125"/>
        <v>35</v>
      </c>
      <c r="J2564" s="56"/>
      <c r="K2564" s="57"/>
      <c r="L2564" s="87"/>
      <c r="M2564" s="59"/>
      <c r="N2564" s="60">
        <v>1452.0</v>
      </c>
      <c r="O2564" s="61">
        <v>1568.0</v>
      </c>
      <c r="P2564" s="62">
        <v>1693.44</v>
      </c>
      <c r="Q2564" s="63">
        <v>1693.44</v>
      </c>
      <c r="R2564" s="64">
        <v>1886.0</v>
      </c>
      <c r="S2564" s="111">
        <v>1980.0</v>
      </c>
      <c r="T2564" s="65">
        <f t="shared" si="93"/>
        <v>316.8</v>
      </c>
      <c r="U2564" s="65">
        <f t="shared" si="94"/>
        <v>2296.8</v>
      </c>
      <c r="V2564" s="66">
        <f t="shared" si="131"/>
        <v>0.04984093319</v>
      </c>
      <c r="W2564" s="67">
        <f t="shared" si="96"/>
        <v>1881</v>
      </c>
      <c r="X2564" s="67">
        <f t="shared" si="132"/>
        <v>300.96</v>
      </c>
      <c r="Y2564" s="67">
        <f t="shared" si="133"/>
        <v>2181.96</v>
      </c>
      <c r="Z2564" s="67">
        <f t="shared" si="99"/>
        <v>1782</v>
      </c>
      <c r="AA2564" s="67">
        <f t="shared" si="114"/>
        <v>285.12</v>
      </c>
      <c r="AB2564" s="67">
        <f t="shared" si="115"/>
        <v>2067.12</v>
      </c>
      <c r="AC2564" s="67">
        <f t="shared" si="102"/>
        <v>1683</v>
      </c>
      <c r="AD2564" s="67">
        <f t="shared" si="116"/>
        <v>269.28</v>
      </c>
      <c r="AE2564" s="67">
        <f t="shared" si="117"/>
        <v>1952.28</v>
      </c>
      <c r="AF2564" s="67">
        <f t="shared" si="105"/>
        <v>1643.4</v>
      </c>
      <c r="AG2564" s="67">
        <f t="shared" si="118"/>
        <v>262.944</v>
      </c>
      <c r="AH2564" s="67">
        <f t="shared" si="119"/>
        <v>1906.344</v>
      </c>
      <c r="AI2564" s="67">
        <f t="shared" si="108"/>
        <v>1584</v>
      </c>
      <c r="AJ2564" s="68">
        <f t="shared" si="126"/>
        <v>253.44</v>
      </c>
      <c r="AK2564" s="68">
        <f t="shared" si="127"/>
        <v>1837.44</v>
      </c>
      <c r="AL2564" s="70"/>
      <c r="AM2564" s="70"/>
      <c r="AN2564" s="71"/>
      <c r="AO2564" s="71"/>
      <c r="AP2564" s="71"/>
      <c r="AQ2564" s="71"/>
      <c r="AR2564" s="71"/>
      <c r="AS2564" s="71"/>
      <c r="AT2564" s="71"/>
      <c r="AU2564" s="71"/>
      <c r="AV2564" s="71"/>
      <c r="AW2564" s="71"/>
      <c r="AX2564" s="71"/>
      <c r="AY2564" s="71"/>
      <c r="AZ2564" s="71"/>
      <c r="BA2564" s="71"/>
      <c r="BB2564" s="71"/>
      <c r="BC2564" s="71"/>
      <c r="BD2564" s="71"/>
      <c r="BE2564" s="71"/>
      <c r="BF2564" s="71"/>
      <c r="BG2564" s="71"/>
      <c r="BH2564" s="71"/>
      <c r="BI2564" s="71"/>
      <c r="BJ2564" s="71"/>
      <c r="BK2564" s="71"/>
      <c r="BL2564" s="71"/>
      <c r="BM2564" s="71"/>
      <c r="BN2564" s="71"/>
      <c r="BO2564" s="71"/>
      <c r="BP2564" s="71"/>
      <c r="BQ2564" s="71"/>
      <c r="BR2564" s="71"/>
      <c r="BS2564" s="71"/>
      <c r="BT2564" s="71"/>
      <c r="BU2564" s="71"/>
      <c r="BV2564" s="71"/>
    </row>
    <row r="2565">
      <c r="A2565" s="53">
        <v>1.0</v>
      </c>
      <c r="B2565" s="53"/>
      <c r="C2565" s="73" t="s">
        <v>53</v>
      </c>
      <c r="D2565" s="74" t="s">
        <v>6310</v>
      </c>
      <c r="E2565" s="54" t="s">
        <v>38</v>
      </c>
      <c r="F2565" s="54" t="s">
        <v>42</v>
      </c>
      <c r="G2565" s="54" t="s">
        <v>6311</v>
      </c>
      <c r="H2565" s="54" t="s">
        <v>6311</v>
      </c>
      <c r="I2565" s="54">
        <f t="shared" si="125"/>
        <v>39</v>
      </c>
      <c r="J2565" s="56"/>
      <c r="K2565" s="57"/>
      <c r="L2565" s="76"/>
      <c r="M2565" s="59"/>
      <c r="N2565" s="60">
        <v>283.0</v>
      </c>
      <c r="O2565" s="61">
        <v>305.0</v>
      </c>
      <c r="P2565" s="62">
        <v>329.40000000000003</v>
      </c>
      <c r="Q2565" s="63">
        <v>329.40000000000003</v>
      </c>
      <c r="R2565" s="64">
        <v>368.0</v>
      </c>
      <c r="S2565" s="111">
        <v>386.0</v>
      </c>
      <c r="T2565" s="65">
        <f t="shared" si="93"/>
        <v>61.76</v>
      </c>
      <c r="U2565" s="65">
        <f t="shared" si="94"/>
        <v>447.76</v>
      </c>
      <c r="V2565" s="66">
        <f t="shared" si="131"/>
        <v>0.04891304348</v>
      </c>
      <c r="W2565" s="67">
        <f t="shared" si="96"/>
        <v>366.7</v>
      </c>
      <c r="X2565" s="67">
        <f t="shared" si="132"/>
        <v>58.672</v>
      </c>
      <c r="Y2565" s="67">
        <f t="shared" si="133"/>
        <v>425.372</v>
      </c>
      <c r="Z2565" s="67">
        <f t="shared" si="99"/>
        <v>347.4</v>
      </c>
      <c r="AA2565" s="67">
        <f t="shared" si="114"/>
        <v>55.584</v>
      </c>
      <c r="AB2565" s="67">
        <f t="shared" si="115"/>
        <v>402.984</v>
      </c>
      <c r="AC2565" s="67">
        <f t="shared" si="102"/>
        <v>328.1</v>
      </c>
      <c r="AD2565" s="67">
        <f t="shared" si="116"/>
        <v>52.496</v>
      </c>
      <c r="AE2565" s="67">
        <f t="shared" si="117"/>
        <v>380.596</v>
      </c>
      <c r="AF2565" s="67">
        <f t="shared" si="105"/>
        <v>320.38</v>
      </c>
      <c r="AG2565" s="67">
        <f t="shared" si="118"/>
        <v>51.2608</v>
      </c>
      <c r="AH2565" s="67">
        <f t="shared" si="119"/>
        <v>371.6408</v>
      </c>
      <c r="AI2565" s="67">
        <f t="shared" si="108"/>
        <v>308.8</v>
      </c>
      <c r="AJ2565" s="68">
        <f t="shared" si="126"/>
        <v>49.408</v>
      </c>
      <c r="AK2565" s="68">
        <f t="shared" si="127"/>
        <v>358.208</v>
      </c>
      <c r="AL2565" s="70"/>
      <c r="AM2565" s="70"/>
      <c r="AN2565" s="71"/>
      <c r="AO2565" s="71"/>
      <c r="AP2565" s="71"/>
      <c r="AQ2565" s="71"/>
      <c r="AR2565" s="71"/>
      <c r="AS2565" s="71"/>
      <c r="AT2565" s="71"/>
      <c r="AU2565" s="71"/>
      <c r="AV2565" s="71"/>
      <c r="AW2565" s="71"/>
      <c r="AX2565" s="71"/>
      <c r="AY2565" s="71"/>
      <c r="AZ2565" s="71"/>
      <c r="BA2565" s="71"/>
      <c r="BB2565" s="71"/>
      <c r="BC2565" s="71"/>
      <c r="BD2565" s="71"/>
      <c r="BE2565" s="71"/>
      <c r="BF2565" s="71"/>
      <c r="BG2565" s="71"/>
      <c r="BH2565" s="71"/>
      <c r="BI2565" s="71"/>
      <c r="BJ2565" s="71"/>
      <c r="BK2565" s="71"/>
      <c r="BL2565" s="71"/>
      <c r="BM2565" s="71"/>
      <c r="BN2565" s="71"/>
      <c r="BO2565" s="71"/>
      <c r="BP2565" s="71"/>
      <c r="BQ2565" s="71"/>
      <c r="BR2565" s="71"/>
      <c r="BS2565" s="71"/>
      <c r="BT2565" s="71"/>
      <c r="BU2565" s="71"/>
      <c r="BV2565" s="71"/>
    </row>
    <row r="2566">
      <c r="A2566" s="53">
        <v>1.0</v>
      </c>
      <c r="B2566" s="53"/>
      <c r="C2566" s="73" t="s">
        <v>53</v>
      </c>
      <c r="D2566" s="74" t="s">
        <v>6312</v>
      </c>
      <c r="E2566" s="54" t="s">
        <v>38</v>
      </c>
      <c r="F2566" s="54" t="s">
        <v>42</v>
      </c>
      <c r="G2566" s="88" t="s">
        <v>6313</v>
      </c>
      <c r="H2566" s="54" t="s">
        <v>6313</v>
      </c>
      <c r="I2566" s="54">
        <f t="shared" si="125"/>
        <v>35</v>
      </c>
      <c r="J2566" s="56"/>
      <c r="K2566" s="57"/>
      <c r="L2566" s="87"/>
      <c r="M2566" s="59"/>
      <c r="N2566" s="60">
        <v>20.0</v>
      </c>
      <c r="O2566" s="61">
        <v>21.0</v>
      </c>
      <c r="P2566" s="62">
        <v>22.68</v>
      </c>
      <c r="Q2566" s="63">
        <v>22.68</v>
      </c>
      <c r="R2566" s="64">
        <v>27.0</v>
      </c>
      <c r="S2566" s="111">
        <v>28.0</v>
      </c>
      <c r="T2566" s="65">
        <f t="shared" si="93"/>
        <v>4.48</v>
      </c>
      <c r="U2566" s="65">
        <f t="shared" si="94"/>
        <v>32.48</v>
      </c>
      <c r="V2566" s="66">
        <f t="shared" si="131"/>
        <v>0.03703703704</v>
      </c>
      <c r="W2566" s="67">
        <f t="shared" si="96"/>
        <v>26.6</v>
      </c>
      <c r="X2566" s="67">
        <f t="shared" si="132"/>
        <v>4.256</v>
      </c>
      <c r="Y2566" s="67">
        <f t="shared" si="133"/>
        <v>30.856</v>
      </c>
      <c r="Z2566" s="67">
        <f t="shared" si="99"/>
        <v>25.2</v>
      </c>
      <c r="AA2566" s="67">
        <f t="shared" si="114"/>
        <v>4.032</v>
      </c>
      <c r="AB2566" s="67">
        <f t="shared" si="115"/>
        <v>29.232</v>
      </c>
      <c r="AC2566" s="67">
        <f t="shared" si="102"/>
        <v>23.8</v>
      </c>
      <c r="AD2566" s="67">
        <f t="shared" si="116"/>
        <v>3.808</v>
      </c>
      <c r="AE2566" s="67">
        <f t="shared" si="117"/>
        <v>27.608</v>
      </c>
      <c r="AF2566" s="67">
        <f t="shared" si="105"/>
        <v>23.24</v>
      </c>
      <c r="AG2566" s="67">
        <f t="shared" si="118"/>
        <v>3.7184</v>
      </c>
      <c r="AH2566" s="67">
        <f t="shared" si="119"/>
        <v>26.9584</v>
      </c>
      <c r="AI2566" s="67">
        <f t="shared" si="108"/>
        <v>22.4</v>
      </c>
      <c r="AJ2566" s="68">
        <f t="shared" si="126"/>
        <v>3.584</v>
      </c>
      <c r="AK2566" s="68">
        <f t="shared" si="127"/>
        <v>25.984</v>
      </c>
      <c r="AL2566" s="70"/>
      <c r="AM2566" s="70"/>
      <c r="AN2566" s="71"/>
      <c r="AO2566" s="71"/>
      <c r="AP2566" s="71"/>
      <c r="AQ2566" s="71"/>
      <c r="AR2566" s="71"/>
      <c r="AS2566" s="71"/>
      <c r="AT2566" s="71"/>
      <c r="AU2566" s="71"/>
      <c r="AV2566" s="71"/>
      <c r="AW2566" s="71"/>
      <c r="AX2566" s="71"/>
      <c r="AY2566" s="71"/>
      <c r="AZ2566" s="71"/>
      <c r="BA2566" s="71"/>
      <c r="BB2566" s="71"/>
      <c r="BC2566" s="71"/>
      <c r="BD2566" s="71"/>
      <c r="BE2566" s="71"/>
      <c r="BF2566" s="71"/>
      <c r="BG2566" s="71"/>
      <c r="BH2566" s="71"/>
      <c r="BI2566" s="71"/>
      <c r="BJ2566" s="71"/>
      <c r="BK2566" s="71"/>
      <c r="BL2566" s="71"/>
      <c r="BM2566" s="71"/>
      <c r="BN2566" s="71"/>
      <c r="BO2566" s="71"/>
      <c r="BP2566" s="71"/>
      <c r="BQ2566" s="71"/>
      <c r="BR2566" s="71"/>
      <c r="BS2566" s="71"/>
      <c r="BT2566" s="71"/>
      <c r="BU2566" s="71"/>
      <c r="BV2566" s="71"/>
    </row>
    <row r="2567">
      <c r="A2567" s="53">
        <v>1.0</v>
      </c>
      <c r="B2567" s="53"/>
      <c r="C2567" s="73" t="s">
        <v>53</v>
      </c>
      <c r="D2567" s="74" t="s">
        <v>6314</v>
      </c>
      <c r="E2567" s="54" t="s">
        <v>38</v>
      </c>
      <c r="F2567" s="54" t="s">
        <v>42</v>
      </c>
      <c r="G2567" s="88" t="s">
        <v>6315</v>
      </c>
      <c r="H2567" s="54" t="s">
        <v>6315</v>
      </c>
      <c r="I2567" s="54">
        <f t="shared" si="125"/>
        <v>35</v>
      </c>
      <c r="J2567" s="56"/>
      <c r="K2567" s="57"/>
      <c r="L2567" s="87"/>
      <c r="M2567" s="59"/>
      <c r="N2567" s="60">
        <v>26.0</v>
      </c>
      <c r="O2567" s="61">
        <v>28.0</v>
      </c>
      <c r="P2567" s="62">
        <v>30.240000000000002</v>
      </c>
      <c r="Q2567" s="63">
        <v>30.240000000000002</v>
      </c>
      <c r="R2567" s="64">
        <v>35.0</v>
      </c>
      <c r="S2567" s="111">
        <v>37.0</v>
      </c>
      <c r="T2567" s="65">
        <f t="shared" si="93"/>
        <v>5.92</v>
      </c>
      <c r="U2567" s="65">
        <f t="shared" si="94"/>
        <v>42.92</v>
      </c>
      <c r="V2567" s="66">
        <f t="shared" si="131"/>
        <v>0.05714285714</v>
      </c>
      <c r="W2567" s="67">
        <f t="shared" si="96"/>
        <v>35.15</v>
      </c>
      <c r="X2567" s="67">
        <f t="shared" si="132"/>
        <v>5.624</v>
      </c>
      <c r="Y2567" s="67">
        <f t="shared" si="133"/>
        <v>40.774</v>
      </c>
      <c r="Z2567" s="67">
        <f t="shared" si="99"/>
        <v>33.3</v>
      </c>
      <c r="AA2567" s="67">
        <f t="shared" si="114"/>
        <v>5.328</v>
      </c>
      <c r="AB2567" s="67">
        <f t="shared" si="115"/>
        <v>38.628</v>
      </c>
      <c r="AC2567" s="67">
        <f t="shared" si="102"/>
        <v>31.45</v>
      </c>
      <c r="AD2567" s="67">
        <f t="shared" si="116"/>
        <v>5.032</v>
      </c>
      <c r="AE2567" s="67">
        <f t="shared" si="117"/>
        <v>36.482</v>
      </c>
      <c r="AF2567" s="67">
        <f t="shared" si="105"/>
        <v>30.71</v>
      </c>
      <c r="AG2567" s="67">
        <f t="shared" si="118"/>
        <v>4.9136</v>
      </c>
      <c r="AH2567" s="67">
        <f t="shared" si="119"/>
        <v>35.6236</v>
      </c>
      <c r="AI2567" s="67">
        <f t="shared" si="108"/>
        <v>29.6</v>
      </c>
      <c r="AJ2567" s="68">
        <f t="shared" si="126"/>
        <v>4.736</v>
      </c>
      <c r="AK2567" s="68">
        <f t="shared" si="127"/>
        <v>34.336</v>
      </c>
      <c r="AL2567" s="70"/>
      <c r="AM2567" s="70"/>
      <c r="AN2567" s="71"/>
      <c r="AO2567" s="71"/>
      <c r="AP2567" s="71"/>
      <c r="AQ2567" s="71"/>
      <c r="AR2567" s="71"/>
      <c r="AS2567" s="71"/>
      <c r="AT2567" s="71"/>
      <c r="AU2567" s="71"/>
      <c r="AV2567" s="71"/>
      <c r="AW2567" s="71"/>
      <c r="AX2567" s="71"/>
      <c r="AY2567" s="71"/>
      <c r="AZ2567" s="71"/>
      <c r="BA2567" s="71"/>
      <c r="BB2567" s="71"/>
      <c r="BC2567" s="71"/>
      <c r="BD2567" s="71"/>
      <c r="BE2567" s="71"/>
      <c r="BF2567" s="71"/>
      <c r="BG2567" s="71"/>
      <c r="BH2567" s="71"/>
      <c r="BI2567" s="71"/>
      <c r="BJ2567" s="71"/>
      <c r="BK2567" s="71"/>
      <c r="BL2567" s="71"/>
      <c r="BM2567" s="71"/>
      <c r="BN2567" s="71"/>
      <c r="BO2567" s="71"/>
      <c r="BP2567" s="71"/>
      <c r="BQ2567" s="71"/>
      <c r="BR2567" s="71"/>
      <c r="BS2567" s="71"/>
      <c r="BT2567" s="71"/>
      <c r="BU2567" s="71"/>
      <c r="BV2567" s="71"/>
    </row>
    <row r="2568">
      <c r="A2568" s="53">
        <v>1.0</v>
      </c>
      <c r="B2568" s="53"/>
      <c r="C2568" s="73" t="s">
        <v>53</v>
      </c>
      <c r="D2568" s="74" t="s">
        <v>6316</v>
      </c>
      <c r="E2568" s="54" t="s">
        <v>38</v>
      </c>
      <c r="F2568" s="54" t="s">
        <v>42</v>
      </c>
      <c r="G2568" s="88" t="s">
        <v>6317</v>
      </c>
      <c r="H2568" s="54" t="s">
        <v>6318</v>
      </c>
      <c r="I2568" s="54">
        <f t="shared" si="125"/>
        <v>40</v>
      </c>
      <c r="J2568" s="56"/>
      <c r="K2568" s="57"/>
      <c r="L2568" s="87"/>
      <c r="M2568" s="59"/>
      <c r="N2568" s="60">
        <v>98.0</v>
      </c>
      <c r="O2568" s="61">
        <v>105.0</v>
      </c>
      <c r="P2568" s="62">
        <v>113.4</v>
      </c>
      <c r="Q2568" s="63">
        <v>113.4</v>
      </c>
      <c r="R2568" s="64">
        <v>128.0</v>
      </c>
      <c r="S2568" s="111">
        <v>134.0</v>
      </c>
      <c r="T2568" s="65">
        <f t="shared" si="93"/>
        <v>21.44</v>
      </c>
      <c r="U2568" s="65">
        <f t="shared" si="94"/>
        <v>155.44</v>
      </c>
      <c r="V2568" s="66">
        <f t="shared" si="131"/>
        <v>0.046875</v>
      </c>
      <c r="W2568" s="67">
        <f t="shared" si="96"/>
        <v>127.3</v>
      </c>
      <c r="X2568" s="67">
        <f t="shared" si="132"/>
        <v>20.368</v>
      </c>
      <c r="Y2568" s="67">
        <f t="shared" si="133"/>
        <v>147.668</v>
      </c>
      <c r="Z2568" s="67">
        <f t="shared" si="99"/>
        <v>120.6</v>
      </c>
      <c r="AA2568" s="67">
        <f t="shared" si="114"/>
        <v>19.296</v>
      </c>
      <c r="AB2568" s="67">
        <f t="shared" si="115"/>
        <v>139.896</v>
      </c>
      <c r="AC2568" s="67">
        <f t="shared" si="102"/>
        <v>113.9</v>
      </c>
      <c r="AD2568" s="67">
        <f t="shared" si="116"/>
        <v>18.224</v>
      </c>
      <c r="AE2568" s="67">
        <f t="shared" si="117"/>
        <v>132.124</v>
      </c>
      <c r="AF2568" s="67">
        <f t="shared" si="105"/>
        <v>111.22</v>
      </c>
      <c r="AG2568" s="67">
        <f t="shared" si="118"/>
        <v>17.7952</v>
      </c>
      <c r="AH2568" s="67">
        <f t="shared" si="119"/>
        <v>129.0152</v>
      </c>
      <c r="AI2568" s="67">
        <f t="shared" si="108"/>
        <v>107.2</v>
      </c>
      <c r="AJ2568" s="68">
        <f t="shared" si="126"/>
        <v>17.152</v>
      </c>
      <c r="AK2568" s="68">
        <f t="shared" si="127"/>
        <v>124.352</v>
      </c>
      <c r="AL2568" s="70"/>
      <c r="AM2568" s="70"/>
      <c r="AN2568" s="71"/>
      <c r="AO2568" s="71"/>
      <c r="AP2568" s="71"/>
      <c r="AQ2568" s="71"/>
      <c r="AR2568" s="71"/>
      <c r="AS2568" s="71"/>
      <c r="AT2568" s="71"/>
      <c r="AU2568" s="71"/>
      <c r="AV2568" s="71"/>
      <c r="AW2568" s="71"/>
      <c r="AX2568" s="71"/>
      <c r="AY2568" s="71"/>
      <c r="AZ2568" s="71"/>
      <c r="BA2568" s="71"/>
      <c r="BB2568" s="71"/>
      <c r="BC2568" s="71"/>
      <c r="BD2568" s="71"/>
      <c r="BE2568" s="71"/>
      <c r="BF2568" s="71"/>
      <c r="BG2568" s="71"/>
      <c r="BH2568" s="71"/>
      <c r="BI2568" s="71"/>
      <c r="BJ2568" s="71"/>
      <c r="BK2568" s="71"/>
      <c r="BL2568" s="71"/>
      <c r="BM2568" s="71"/>
      <c r="BN2568" s="71"/>
      <c r="BO2568" s="71"/>
      <c r="BP2568" s="71"/>
      <c r="BQ2568" s="71"/>
      <c r="BR2568" s="71"/>
      <c r="BS2568" s="71"/>
      <c r="BT2568" s="71"/>
      <c r="BU2568" s="71"/>
      <c r="BV2568" s="71"/>
    </row>
    <row r="2569">
      <c r="A2569" s="53">
        <v>1.0</v>
      </c>
      <c r="B2569" s="53"/>
      <c r="C2569" s="73" t="s">
        <v>53</v>
      </c>
      <c r="D2569" s="74" t="s">
        <v>6319</v>
      </c>
      <c r="E2569" s="54" t="s">
        <v>38</v>
      </c>
      <c r="F2569" s="54" t="s">
        <v>42</v>
      </c>
      <c r="G2569" s="88" t="s">
        <v>6320</v>
      </c>
      <c r="H2569" s="54" t="s">
        <v>6321</v>
      </c>
      <c r="I2569" s="54">
        <f t="shared" si="125"/>
        <v>40</v>
      </c>
      <c r="J2569" s="56"/>
      <c r="K2569" s="57"/>
      <c r="L2569" s="87"/>
      <c r="M2569" s="59"/>
      <c r="N2569" s="60">
        <v>90.0</v>
      </c>
      <c r="O2569" s="61">
        <v>97.0</v>
      </c>
      <c r="P2569" s="62">
        <v>104.76</v>
      </c>
      <c r="Q2569" s="63">
        <v>104.76</v>
      </c>
      <c r="R2569" s="64">
        <v>118.0</v>
      </c>
      <c r="S2569" s="111">
        <v>124.0</v>
      </c>
      <c r="T2569" s="65">
        <f t="shared" si="93"/>
        <v>19.84</v>
      </c>
      <c r="U2569" s="65">
        <f t="shared" si="94"/>
        <v>143.84</v>
      </c>
      <c r="V2569" s="66">
        <f t="shared" si="131"/>
        <v>0.05084745763</v>
      </c>
      <c r="W2569" s="67">
        <f t="shared" si="96"/>
        <v>117.8</v>
      </c>
      <c r="X2569" s="67">
        <f t="shared" si="132"/>
        <v>18.848</v>
      </c>
      <c r="Y2569" s="67">
        <f t="shared" si="133"/>
        <v>136.648</v>
      </c>
      <c r="Z2569" s="67">
        <f t="shared" si="99"/>
        <v>111.6</v>
      </c>
      <c r="AA2569" s="67">
        <f t="shared" si="114"/>
        <v>17.856</v>
      </c>
      <c r="AB2569" s="67">
        <f t="shared" si="115"/>
        <v>129.456</v>
      </c>
      <c r="AC2569" s="67">
        <f t="shared" si="102"/>
        <v>105.4</v>
      </c>
      <c r="AD2569" s="67">
        <f t="shared" si="116"/>
        <v>16.864</v>
      </c>
      <c r="AE2569" s="67">
        <f t="shared" si="117"/>
        <v>122.264</v>
      </c>
      <c r="AF2569" s="67">
        <f t="shared" si="105"/>
        <v>102.92</v>
      </c>
      <c r="AG2569" s="67">
        <f t="shared" si="118"/>
        <v>16.4672</v>
      </c>
      <c r="AH2569" s="67">
        <f t="shared" si="119"/>
        <v>119.3872</v>
      </c>
      <c r="AI2569" s="67">
        <f t="shared" si="108"/>
        <v>99.2</v>
      </c>
      <c r="AJ2569" s="68">
        <f t="shared" si="126"/>
        <v>15.872</v>
      </c>
      <c r="AK2569" s="68">
        <f t="shared" si="127"/>
        <v>115.072</v>
      </c>
      <c r="AL2569" s="70"/>
      <c r="AM2569" s="70"/>
      <c r="AN2569" s="71"/>
      <c r="AO2569" s="71"/>
      <c r="AP2569" s="71"/>
      <c r="AQ2569" s="71"/>
      <c r="AR2569" s="71"/>
      <c r="AS2569" s="71"/>
      <c r="AT2569" s="71"/>
      <c r="AU2569" s="71"/>
      <c r="AV2569" s="71"/>
      <c r="AW2569" s="71"/>
      <c r="AX2569" s="71"/>
      <c r="AY2569" s="71"/>
      <c r="AZ2569" s="71"/>
      <c r="BA2569" s="71"/>
      <c r="BB2569" s="71"/>
      <c r="BC2569" s="71"/>
      <c r="BD2569" s="71"/>
      <c r="BE2569" s="71"/>
      <c r="BF2569" s="71"/>
      <c r="BG2569" s="71"/>
      <c r="BH2569" s="71"/>
      <c r="BI2569" s="71"/>
      <c r="BJ2569" s="71"/>
      <c r="BK2569" s="71"/>
      <c r="BL2569" s="71"/>
      <c r="BM2569" s="71"/>
      <c r="BN2569" s="71"/>
      <c r="BO2569" s="71"/>
      <c r="BP2569" s="71"/>
      <c r="BQ2569" s="71"/>
      <c r="BR2569" s="71"/>
      <c r="BS2569" s="71"/>
      <c r="BT2569" s="71"/>
      <c r="BU2569" s="71"/>
      <c r="BV2569" s="71"/>
    </row>
    <row r="2570">
      <c r="A2570" s="53">
        <v>1.0</v>
      </c>
      <c r="B2570" s="53"/>
      <c r="C2570" s="73" t="s">
        <v>53</v>
      </c>
      <c r="D2570" s="74" t="s">
        <v>6322</v>
      </c>
      <c r="E2570" s="54" t="s">
        <v>38</v>
      </c>
      <c r="F2570" s="54" t="s">
        <v>42</v>
      </c>
      <c r="G2570" s="88" t="s">
        <v>6323</v>
      </c>
      <c r="H2570" s="54" t="s">
        <v>6324</v>
      </c>
      <c r="I2570" s="54">
        <f t="shared" si="125"/>
        <v>27</v>
      </c>
      <c r="J2570" s="56"/>
      <c r="K2570" s="57"/>
      <c r="L2570" s="87"/>
      <c r="M2570" s="59"/>
      <c r="N2570" s="60">
        <v>252.0</v>
      </c>
      <c r="O2570" s="61">
        <v>272.0</v>
      </c>
      <c r="P2570" s="62">
        <v>293.76</v>
      </c>
      <c r="Q2570" s="63">
        <v>293.76</v>
      </c>
      <c r="R2570" s="64">
        <v>328.0</v>
      </c>
      <c r="S2570" s="111">
        <v>344.0</v>
      </c>
      <c r="T2570" s="65">
        <f t="shared" si="93"/>
        <v>55.04</v>
      </c>
      <c r="U2570" s="65">
        <f t="shared" si="94"/>
        <v>399.04</v>
      </c>
      <c r="V2570" s="66">
        <f t="shared" si="131"/>
        <v>0.0487804878</v>
      </c>
      <c r="W2570" s="67">
        <f t="shared" si="96"/>
        <v>326.8</v>
      </c>
      <c r="X2570" s="67">
        <f t="shared" si="132"/>
        <v>52.288</v>
      </c>
      <c r="Y2570" s="67">
        <f t="shared" si="133"/>
        <v>379.088</v>
      </c>
      <c r="Z2570" s="67">
        <f t="shared" si="99"/>
        <v>309.6</v>
      </c>
      <c r="AA2570" s="67">
        <f t="shared" si="114"/>
        <v>49.536</v>
      </c>
      <c r="AB2570" s="67">
        <f t="shared" si="115"/>
        <v>359.136</v>
      </c>
      <c r="AC2570" s="67">
        <f t="shared" si="102"/>
        <v>292.4</v>
      </c>
      <c r="AD2570" s="67">
        <f t="shared" si="116"/>
        <v>46.784</v>
      </c>
      <c r="AE2570" s="67">
        <f t="shared" si="117"/>
        <v>339.184</v>
      </c>
      <c r="AF2570" s="67">
        <f t="shared" si="105"/>
        <v>285.52</v>
      </c>
      <c r="AG2570" s="67">
        <f t="shared" si="118"/>
        <v>45.6832</v>
      </c>
      <c r="AH2570" s="67">
        <f t="shared" si="119"/>
        <v>331.2032</v>
      </c>
      <c r="AI2570" s="67">
        <f t="shared" si="108"/>
        <v>275.2</v>
      </c>
      <c r="AJ2570" s="68">
        <f t="shared" si="126"/>
        <v>44.032</v>
      </c>
      <c r="AK2570" s="68">
        <f t="shared" si="127"/>
        <v>319.232</v>
      </c>
      <c r="AL2570" s="70"/>
      <c r="AM2570" s="70"/>
      <c r="AN2570" s="71"/>
      <c r="AO2570" s="71"/>
      <c r="AP2570" s="71"/>
      <c r="AQ2570" s="71"/>
      <c r="AR2570" s="71"/>
      <c r="AS2570" s="71"/>
      <c r="AT2570" s="71"/>
      <c r="AU2570" s="71"/>
      <c r="AV2570" s="71"/>
      <c r="AW2570" s="71"/>
      <c r="AX2570" s="71"/>
      <c r="AY2570" s="71"/>
      <c r="AZ2570" s="71"/>
      <c r="BA2570" s="71"/>
      <c r="BB2570" s="71"/>
      <c r="BC2570" s="71"/>
      <c r="BD2570" s="71"/>
      <c r="BE2570" s="71"/>
      <c r="BF2570" s="71"/>
      <c r="BG2570" s="71"/>
      <c r="BH2570" s="71"/>
      <c r="BI2570" s="71"/>
      <c r="BJ2570" s="71"/>
      <c r="BK2570" s="71"/>
      <c r="BL2570" s="71"/>
      <c r="BM2570" s="71"/>
      <c r="BN2570" s="71"/>
      <c r="BO2570" s="71"/>
      <c r="BP2570" s="71"/>
      <c r="BQ2570" s="71"/>
      <c r="BR2570" s="71"/>
      <c r="BS2570" s="71"/>
      <c r="BT2570" s="71"/>
      <c r="BU2570" s="71"/>
      <c r="BV2570" s="71"/>
    </row>
    <row r="2571">
      <c r="A2571" s="53">
        <v>1.0</v>
      </c>
      <c r="B2571" s="53"/>
      <c r="C2571" s="73" t="s">
        <v>53</v>
      </c>
      <c r="D2571" s="74" t="s">
        <v>6325</v>
      </c>
      <c r="E2571" s="54" t="s">
        <v>38</v>
      </c>
      <c r="F2571" s="54" t="s">
        <v>42</v>
      </c>
      <c r="G2571" s="88" t="s">
        <v>6326</v>
      </c>
      <c r="H2571" s="54" t="s">
        <v>6327</v>
      </c>
      <c r="I2571" s="54">
        <f t="shared" si="125"/>
        <v>31</v>
      </c>
      <c r="J2571" s="56"/>
      <c r="K2571" s="57"/>
      <c r="L2571" s="87"/>
      <c r="M2571" s="59"/>
      <c r="N2571" s="60">
        <v>230.0</v>
      </c>
      <c r="O2571" s="61">
        <v>248.0</v>
      </c>
      <c r="P2571" s="62">
        <v>267.84000000000003</v>
      </c>
      <c r="Q2571" s="63">
        <v>267.84000000000003</v>
      </c>
      <c r="R2571" s="64">
        <v>299.0</v>
      </c>
      <c r="S2571" s="111">
        <v>314.0</v>
      </c>
      <c r="T2571" s="65">
        <f t="shared" si="93"/>
        <v>50.24</v>
      </c>
      <c r="U2571" s="65">
        <f t="shared" si="94"/>
        <v>364.24</v>
      </c>
      <c r="V2571" s="66">
        <f t="shared" si="131"/>
        <v>0.05016722408</v>
      </c>
      <c r="W2571" s="67">
        <f t="shared" si="96"/>
        <v>298.3</v>
      </c>
      <c r="X2571" s="67">
        <f t="shared" si="132"/>
        <v>47.728</v>
      </c>
      <c r="Y2571" s="67">
        <f t="shared" si="133"/>
        <v>346.028</v>
      </c>
      <c r="Z2571" s="67">
        <f t="shared" si="99"/>
        <v>282.6</v>
      </c>
      <c r="AA2571" s="67">
        <f t="shared" si="114"/>
        <v>45.216</v>
      </c>
      <c r="AB2571" s="67">
        <f t="shared" si="115"/>
        <v>327.816</v>
      </c>
      <c r="AC2571" s="67">
        <f t="shared" si="102"/>
        <v>266.9</v>
      </c>
      <c r="AD2571" s="67">
        <f t="shared" si="116"/>
        <v>42.704</v>
      </c>
      <c r="AE2571" s="67">
        <f t="shared" si="117"/>
        <v>309.604</v>
      </c>
      <c r="AF2571" s="67">
        <f t="shared" si="105"/>
        <v>260.62</v>
      </c>
      <c r="AG2571" s="67">
        <f t="shared" si="118"/>
        <v>41.6992</v>
      </c>
      <c r="AH2571" s="67">
        <f t="shared" si="119"/>
        <v>302.3192</v>
      </c>
      <c r="AI2571" s="67">
        <f t="shared" si="108"/>
        <v>251.2</v>
      </c>
      <c r="AJ2571" s="68">
        <f t="shared" si="126"/>
        <v>40.192</v>
      </c>
      <c r="AK2571" s="68">
        <f t="shared" si="127"/>
        <v>291.392</v>
      </c>
      <c r="AL2571" s="70"/>
      <c r="AM2571" s="70"/>
      <c r="AN2571" s="71"/>
      <c r="AO2571" s="71"/>
      <c r="AP2571" s="71"/>
      <c r="AQ2571" s="71"/>
      <c r="AR2571" s="71"/>
      <c r="AS2571" s="71"/>
      <c r="AT2571" s="71"/>
      <c r="AU2571" s="71"/>
      <c r="AV2571" s="71"/>
      <c r="AW2571" s="71"/>
      <c r="AX2571" s="71"/>
      <c r="AY2571" s="71"/>
      <c r="AZ2571" s="71"/>
      <c r="BA2571" s="71"/>
      <c r="BB2571" s="71"/>
      <c r="BC2571" s="71"/>
      <c r="BD2571" s="71"/>
      <c r="BE2571" s="71"/>
      <c r="BF2571" s="71"/>
      <c r="BG2571" s="71"/>
      <c r="BH2571" s="71"/>
      <c r="BI2571" s="71"/>
      <c r="BJ2571" s="71"/>
      <c r="BK2571" s="71"/>
      <c r="BL2571" s="71"/>
      <c r="BM2571" s="71"/>
      <c r="BN2571" s="71"/>
      <c r="BO2571" s="71"/>
      <c r="BP2571" s="71"/>
      <c r="BQ2571" s="71"/>
      <c r="BR2571" s="71"/>
      <c r="BS2571" s="71"/>
      <c r="BT2571" s="71"/>
      <c r="BU2571" s="71"/>
      <c r="BV2571" s="71"/>
    </row>
    <row r="2572">
      <c r="A2572" s="53"/>
      <c r="B2572" s="53"/>
      <c r="C2572" s="53" t="s">
        <v>12</v>
      </c>
      <c r="D2572" s="53" t="s">
        <v>6328</v>
      </c>
      <c r="E2572" s="54" t="s">
        <v>38</v>
      </c>
      <c r="F2572" s="54" t="s">
        <v>42</v>
      </c>
      <c r="G2572" s="55" t="s">
        <v>6329</v>
      </c>
      <c r="H2572" s="54" t="s">
        <v>6329</v>
      </c>
      <c r="I2572" s="54">
        <f t="shared" si="125"/>
        <v>13</v>
      </c>
      <c r="J2572" s="56"/>
      <c r="K2572" s="57"/>
      <c r="L2572" s="76"/>
      <c r="M2572" s="59"/>
      <c r="N2572" s="79">
        <v>114.0</v>
      </c>
      <c r="O2572" s="61">
        <v>123.0</v>
      </c>
      <c r="P2572" s="63">
        <v>132.84</v>
      </c>
      <c r="Q2572" s="63">
        <v>132.84</v>
      </c>
      <c r="R2572" s="64">
        <v>140.0</v>
      </c>
      <c r="S2572" s="111">
        <v>147.0</v>
      </c>
      <c r="T2572" s="65">
        <f t="shared" si="93"/>
        <v>23.52</v>
      </c>
      <c r="U2572" s="65">
        <f t="shared" si="94"/>
        <v>170.52</v>
      </c>
      <c r="V2572" s="66">
        <f t="shared" si="131"/>
        <v>0.05</v>
      </c>
      <c r="W2572" s="67">
        <f t="shared" si="96"/>
        <v>139.65</v>
      </c>
      <c r="X2572" s="67">
        <f t="shared" si="132"/>
        <v>22.344</v>
      </c>
      <c r="Y2572" s="67">
        <f t="shared" si="133"/>
        <v>161.994</v>
      </c>
      <c r="Z2572" s="67">
        <f t="shared" si="99"/>
        <v>132.3</v>
      </c>
      <c r="AA2572" s="67">
        <f t="shared" si="114"/>
        <v>21.168</v>
      </c>
      <c r="AB2572" s="67">
        <f t="shared" si="115"/>
        <v>153.468</v>
      </c>
      <c r="AC2572" s="67">
        <f t="shared" si="102"/>
        <v>124.95</v>
      </c>
      <c r="AD2572" s="67">
        <f t="shared" si="116"/>
        <v>19.992</v>
      </c>
      <c r="AE2572" s="67">
        <f t="shared" si="117"/>
        <v>144.942</v>
      </c>
      <c r="AF2572" s="67">
        <f t="shared" si="105"/>
        <v>122.01</v>
      </c>
      <c r="AG2572" s="67">
        <f t="shared" si="118"/>
        <v>19.5216</v>
      </c>
      <c r="AH2572" s="67">
        <f t="shared" si="119"/>
        <v>141.5316</v>
      </c>
      <c r="AI2572" s="67">
        <f t="shared" si="108"/>
        <v>117.6</v>
      </c>
      <c r="AJ2572" s="68">
        <f t="shared" si="126"/>
        <v>18.816</v>
      </c>
      <c r="AK2572" s="68">
        <f t="shared" si="127"/>
        <v>136.416</v>
      </c>
      <c r="AL2572" s="70"/>
      <c r="AM2572" s="70"/>
      <c r="AN2572" s="71"/>
      <c r="AO2572" s="71"/>
      <c r="AP2572" s="71"/>
      <c r="AQ2572" s="71"/>
      <c r="AR2572" s="71"/>
      <c r="AS2572" s="71"/>
      <c r="AT2572" s="71"/>
      <c r="AU2572" s="71"/>
      <c r="AV2572" s="71"/>
      <c r="AW2572" s="71"/>
      <c r="AX2572" s="71"/>
      <c r="AY2572" s="71"/>
      <c r="AZ2572" s="71"/>
      <c r="BA2572" s="71"/>
      <c r="BB2572" s="71"/>
      <c r="BC2572" s="71"/>
      <c r="BD2572" s="71"/>
      <c r="BE2572" s="71"/>
      <c r="BF2572" s="71"/>
      <c r="BG2572" s="71"/>
      <c r="BH2572" s="71"/>
      <c r="BI2572" s="71"/>
      <c r="BJ2572" s="71"/>
      <c r="BK2572" s="71"/>
      <c r="BL2572" s="71"/>
      <c r="BM2572" s="71"/>
      <c r="BN2572" s="71"/>
      <c r="BO2572" s="71"/>
      <c r="BP2572" s="71"/>
      <c r="BQ2572" s="71"/>
      <c r="BR2572" s="71"/>
      <c r="BS2572" s="71"/>
      <c r="BT2572" s="71"/>
      <c r="BU2572" s="71"/>
      <c r="BV2572" s="71"/>
    </row>
    <row r="2573">
      <c r="A2573" s="53"/>
      <c r="B2573" s="53"/>
      <c r="C2573" s="53" t="s">
        <v>36</v>
      </c>
      <c r="D2573" s="85" t="s">
        <v>6330</v>
      </c>
      <c r="E2573" s="54" t="s">
        <v>38</v>
      </c>
      <c r="F2573" s="55" t="s">
        <v>39</v>
      </c>
      <c r="G2573" s="86" t="s">
        <v>6331</v>
      </c>
      <c r="H2573" s="55"/>
      <c r="I2573" s="54">
        <f t="shared" si="125"/>
        <v>0</v>
      </c>
      <c r="J2573" s="56"/>
      <c r="K2573" s="57"/>
      <c r="L2573" s="76"/>
      <c r="M2573" s="59"/>
      <c r="N2573" s="60"/>
      <c r="O2573" s="61">
        <v>107.52</v>
      </c>
      <c r="P2573" s="62">
        <v>116.1216</v>
      </c>
      <c r="Q2573" s="63">
        <v>116.1216</v>
      </c>
      <c r="R2573" s="64">
        <v>122.0</v>
      </c>
      <c r="S2573" s="107">
        <v>128.0</v>
      </c>
      <c r="T2573" s="65">
        <f t="shared" si="93"/>
        <v>20.48</v>
      </c>
      <c r="U2573" s="65">
        <f t="shared" si="94"/>
        <v>148.48</v>
      </c>
      <c r="V2573" s="66">
        <f t="shared" si="131"/>
        <v>0.04918032787</v>
      </c>
      <c r="W2573" s="67">
        <f t="shared" si="96"/>
        <v>121.6</v>
      </c>
      <c r="X2573" s="67">
        <f t="shared" si="132"/>
        <v>19.456</v>
      </c>
      <c r="Y2573" s="67">
        <f t="shared" si="133"/>
        <v>141.056</v>
      </c>
      <c r="Z2573" s="67">
        <f t="shared" si="99"/>
        <v>115.2</v>
      </c>
      <c r="AA2573" s="67">
        <f t="shared" si="114"/>
        <v>18.432</v>
      </c>
      <c r="AB2573" s="67">
        <f t="shared" si="115"/>
        <v>133.632</v>
      </c>
      <c r="AC2573" s="67">
        <f t="shared" si="102"/>
        <v>108.8</v>
      </c>
      <c r="AD2573" s="67">
        <f t="shared" si="116"/>
        <v>17.408</v>
      </c>
      <c r="AE2573" s="67">
        <f t="shared" si="117"/>
        <v>126.208</v>
      </c>
      <c r="AF2573" s="67">
        <f t="shared" si="105"/>
        <v>106.24</v>
      </c>
      <c r="AG2573" s="67">
        <f t="shared" si="118"/>
        <v>16.9984</v>
      </c>
      <c r="AH2573" s="67">
        <f t="shared" si="119"/>
        <v>123.2384</v>
      </c>
      <c r="AI2573" s="67">
        <f t="shared" si="108"/>
        <v>102.4</v>
      </c>
      <c r="AJ2573" s="68">
        <f t="shared" si="126"/>
        <v>16.384</v>
      </c>
      <c r="AK2573" s="68">
        <f t="shared" si="127"/>
        <v>118.784</v>
      </c>
      <c r="AL2573" s="70"/>
      <c r="AM2573" s="70"/>
      <c r="AN2573" s="71"/>
      <c r="AO2573" s="71"/>
      <c r="AP2573" s="71"/>
      <c r="AQ2573" s="71"/>
      <c r="AR2573" s="71"/>
      <c r="AS2573" s="71"/>
      <c r="AT2573" s="71"/>
      <c r="AU2573" s="71"/>
      <c r="AV2573" s="71"/>
      <c r="AW2573" s="71"/>
      <c r="AX2573" s="71"/>
      <c r="AY2573" s="71"/>
      <c r="AZ2573" s="71"/>
      <c r="BA2573" s="71"/>
      <c r="BB2573" s="71"/>
      <c r="BC2573" s="71"/>
      <c r="BD2573" s="71"/>
      <c r="BE2573" s="71"/>
      <c r="BF2573" s="71"/>
      <c r="BG2573" s="71"/>
      <c r="BH2573" s="71"/>
      <c r="BI2573" s="71"/>
      <c r="BJ2573" s="71"/>
      <c r="BK2573" s="71"/>
      <c r="BL2573" s="71"/>
      <c r="BM2573" s="71"/>
      <c r="BN2573" s="71"/>
      <c r="BO2573" s="71"/>
      <c r="BP2573" s="71"/>
      <c r="BQ2573" s="71"/>
      <c r="BR2573" s="71"/>
      <c r="BS2573" s="71"/>
      <c r="BT2573" s="71"/>
      <c r="BU2573" s="71"/>
      <c r="BV2573" s="71"/>
    </row>
    <row r="2574">
      <c r="A2574" s="53"/>
      <c r="B2574" s="53"/>
      <c r="C2574" s="53" t="s">
        <v>12</v>
      </c>
      <c r="D2574" s="53" t="s">
        <v>6332</v>
      </c>
      <c r="E2574" s="54" t="s">
        <v>38</v>
      </c>
      <c r="F2574" s="54" t="s">
        <v>42</v>
      </c>
      <c r="G2574" s="55" t="s">
        <v>6333</v>
      </c>
      <c r="H2574" s="54" t="s">
        <v>6333</v>
      </c>
      <c r="I2574" s="54">
        <f t="shared" si="125"/>
        <v>17</v>
      </c>
      <c r="J2574" s="56"/>
      <c r="K2574" s="57"/>
      <c r="L2574" s="87"/>
      <c r="M2574" s="59"/>
      <c r="N2574" s="79">
        <v>24.0</v>
      </c>
      <c r="O2574" s="61">
        <v>25.0</v>
      </c>
      <c r="P2574" s="63">
        <v>27.0</v>
      </c>
      <c r="Q2574" s="63">
        <v>27.0</v>
      </c>
      <c r="R2574" s="64">
        <v>29.0</v>
      </c>
      <c r="S2574" s="111">
        <v>30.0</v>
      </c>
      <c r="T2574" s="65">
        <f t="shared" si="93"/>
        <v>4.8</v>
      </c>
      <c r="U2574" s="65">
        <f t="shared" si="94"/>
        <v>34.8</v>
      </c>
      <c r="V2574" s="66">
        <f t="shared" si="131"/>
        <v>0.03448275862</v>
      </c>
      <c r="W2574" s="67">
        <f t="shared" si="96"/>
        <v>28.5</v>
      </c>
      <c r="X2574" s="67">
        <f t="shared" si="132"/>
        <v>4.56</v>
      </c>
      <c r="Y2574" s="67">
        <f t="shared" si="133"/>
        <v>33.06</v>
      </c>
      <c r="Z2574" s="67">
        <f t="shared" si="99"/>
        <v>27</v>
      </c>
      <c r="AA2574" s="67">
        <f t="shared" si="114"/>
        <v>4.32</v>
      </c>
      <c r="AB2574" s="67">
        <f t="shared" si="115"/>
        <v>31.32</v>
      </c>
      <c r="AC2574" s="67">
        <f t="shared" si="102"/>
        <v>25.5</v>
      </c>
      <c r="AD2574" s="67">
        <f t="shared" si="116"/>
        <v>4.08</v>
      </c>
      <c r="AE2574" s="67">
        <f t="shared" si="117"/>
        <v>29.58</v>
      </c>
      <c r="AF2574" s="67">
        <f t="shared" si="105"/>
        <v>24.9</v>
      </c>
      <c r="AG2574" s="67">
        <f t="shared" si="118"/>
        <v>3.984</v>
      </c>
      <c r="AH2574" s="67">
        <f t="shared" si="119"/>
        <v>28.884</v>
      </c>
      <c r="AI2574" s="67">
        <f t="shared" si="108"/>
        <v>24</v>
      </c>
      <c r="AJ2574" s="68">
        <f t="shared" si="126"/>
        <v>3.84</v>
      </c>
      <c r="AK2574" s="68">
        <f t="shared" si="127"/>
        <v>27.84</v>
      </c>
      <c r="AL2574" s="70"/>
      <c r="AM2574" s="70"/>
      <c r="AN2574" s="71"/>
      <c r="AO2574" s="71"/>
      <c r="AP2574" s="71"/>
      <c r="AQ2574" s="71"/>
      <c r="AR2574" s="71"/>
      <c r="AS2574" s="71"/>
      <c r="AT2574" s="71"/>
      <c r="AU2574" s="71"/>
      <c r="AV2574" s="71"/>
      <c r="AW2574" s="71"/>
      <c r="AX2574" s="71"/>
      <c r="AY2574" s="71"/>
      <c r="AZ2574" s="71"/>
      <c r="BA2574" s="71"/>
      <c r="BB2574" s="71"/>
      <c r="BC2574" s="71"/>
      <c r="BD2574" s="71"/>
      <c r="BE2574" s="71"/>
      <c r="BF2574" s="71"/>
      <c r="BG2574" s="71"/>
      <c r="BH2574" s="71"/>
      <c r="BI2574" s="71"/>
      <c r="BJ2574" s="71"/>
      <c r="BK2574" s="71"/>
      <c r="BL2574" s="71"/>
      <c r="BM2574" s="71"/>
      <c r="BN2574" s="71"/>
      <c r="BO2574" s="71"/>
      <c r="BP2574" s="71"/>
      <c r="BQ2574" s="71"/>
      <c r="BR2574" s="71"/>
      <c r="BS2574" s="71"/>
      <c r="BT2574" s="71"/>
      <c r="BU2574" s="71"/>
      <c r="BV2574" s="71"/>
    </row>
    <row r="2575">
      <c r="A2575" s="53">
        <v>1.0</v>
      </c>
      <c r="B2575" s="53"/>
      <c r="C2575" s="73" t="s">
        <v>12</v>
      </c>
      <c r="D2575" s="74" t="s">
        <v>6334</v>
      </c>
      <c r="E2575" s="54" t="s">
        <v>38</v>
      </c>
      <c r="F2575" s="54" t="s">
        <v>42</v>
      </c>
      <c r="G2575" s="88" t="s">
        <v>6335</v>
      </c>
      <c r="H2575" s="54" t="s">
        <v>6336</v>
      </c>
      <c r="I2575" s="54">
        <f t="shared" si="125"/>
        <v>28</v>
      </c>
      <c r="J2575" s="56"/>
      <c r="K2575" s="57"/>
      <c r="L2575" s="87"/>
      <c r="M2575" s="59"/>
      <c r="N2575" s="60">
        <v>16.0</v>
      </c>
      <c r="O2575" s="61">
        <v>17.0</v>
      </c>
      <c r="P2575" s="62">
        <v>18.36</v>
      </c>
      <c r="Q2575" s="63">
        <v>18.36</v>
      </c>
      <c r="R2575" s="64">
        <v>21.0</v>
      </c>
      <c r="S2575" s="111">
        <v>22.0</v>
      </c>
      <c r="T2575" s="65">
        <f t="shared" si="93"/>
        <v>3.52</v>
      </c>
      <c r="U2575" s="65">
        <f t="shared" si="94"/>
        <v>25.52</v>
      </c>
      <c r="V2575" s="66">
        <f t="shared" si="131"/>
        <v>0.04761904762</v>
      </c>
      <c r="W2575" s="67">
        <f t="shared" si="96"/>
        <v>20.9</v>
      </c>
      <c r="X2575" s="67">
        <f t="shared" si="132"/>
        <v>3.344</v>
      </c>
      <c r="Y2575" s="67">
        <f t="shared" si="133"/>
        <v>24.244</v>
      </c>
      <c r="Z2575" s="67">
        <f t="shared" si="99"/>
        <v>19.8</v>
      </c>
      <c r="AA2575" s="67">
        <f t="shared" si="114"/>
        <v>3.168</v>
      </c>
      <c r="AB2575" s="67">
        <f t="shared" si="115"/>
        <v>22.968</v>
      </c>
      <c r="AC2575" s="67">
        <f t="shared" si="102"/>
        <v>18.7</v>
      </c>
      <c r="AD2575" s="67">
        <f t="shared" si="116"/>
        <v>2.992</v>
      </c>
      <c r="AE2575" s="67">
        <f t="shared" si="117"/>
        <v>21.692</v>
      </c>
      <c r="AF2575" s="67">
        <f t="shared" si="105"/>
        <v>18.26</v>
      </c>
      <c r="AG2575" s="67">
        <f t="shared" si="118"/>
        <v>2.9216</v>
      </c>
      <c r="AH2575" s="67">
        <f t="shared" si="119"/>
        <v>21.1816</v>
      </c>
      <c r="AI2575" s="67">
        <f t="shared" si="108"/>
        <v>17.6</v>
      </c>
      <c r="AJ2575" s="68">
        <f t="shared" si="126"/>
        <v>2.816</v>
      </c>
      <c r="AK2575" s="68">
        <f t="shared" si="127"/>
        <v>20.416</v>
      </c>
      <c r="AL2575" s="70"/>
      <c r="AM2575" s="70"/>
      <c r="AN2575" s="71"/>
      <c r="AO2575" s="71"/>
      <c r="AP2575" s="71"/>
      <c r="AQ2575" s="71"/>
      <c r="AR2575" s="71"/>
      <c r="AS2575" s="71"/>
      <c r="AT2575" s="71"/>
      <c r="AU2575" s="71"/>
      <c r="AV2575" s="71"/>
      <c r="AW2575" s="71"/>
      <c r="AX2575" s="71"/>
      <c r="AY2575" s="71"/>
      <c r="AZ2575" s="71"/>
      <c r="BA2575" s="71"/>
      <c r="BB2575" s="71"/>
      <c r="BC2575" s="71"/>
      <c r="BD2575" s="71"/>
      <c r="BE2575" s="71"/>
      <c r="BF2575" s="71"/>
      <c r="BG2575" s="71"/>
      <c r="BH2575" s="71"/>
      <c r="BI2575" s="71"/>
      <c r="BJ2575" s="71"/>
      <c r="BK2575" s="71"/>
      <c r="BL2575" s="71"/>
      <c r="BM2575" s="71"/>
      <c r="BN2575" s="71"/>
      <c r="BO2575" s="71"/>
      <c r="BP2575" s="71"/>
      <c r="BQ2575" s="71"/>
      <c r="BR2575" s="71"/>
      <c r="BS2575" s="71"/>
      <c r="BT2575" s="71"/>
      <c r="BU2575" s="71"/>
      <c r="BV2575" s="71"/>
    </row>
    <row r="2576">
      <c r="A2576" s="53">
        <v>1.0</v>
      </c>
      <c r="B2576" s="53"/>
      <c r="C2576" s="73" t="s">
        <v>12</v>
      </c>
      <c r="D2576" s="74" t="s">
        <v>6337</v>
      </c>
      <c r="E2576" s="54" t="s">
        <v>38</v>
      </c>
      <c r="F2576" s="54" t="s">
        <v>42</v>
      </c>
      <c r="G2576" s="88" t="s">
        <v>6338</v>
      </c>
      <c r="H2576" s="54" t="s">
        <v>6339</v>
      </c>
      <c r="I2576" s="54">
        <f t="shared" si="125"/>
        <v>38</v>
      </c>
      <c r="J2576" s="56"/>
      <c r="K2576" s="57"/>
      <c r="L2576" s="87"/>
      <c r="M2576" s="59"/>
      <c r="N2576" s="60">
        <v>18.0</v>
      </c>
      <c r="O2576" s="61">
        <v>19.0</v>
      </c>
      <c r="P2576" s="62">
        <v>20.520000000000003</v>
      </c>
      <c r="Q2576" s="63">
        <v>20.520000000000003</v>
      </c>
      <c r="R2576" s="64">
        <v>24.0</v>
      </c>
      <c r="S2576" s="111">
        <v>25.0</v>
      </c>
      <c r="T2576" s="65">
        <f t="shared" si="93"/>
        <v>4</v>
      </c>
      <c r="U2576" s="65">
        <f t="shared" si="94"/>
        <v>29</v>
      </c>
      <c r="V2576" s="66">
        <f t="shared" si="131"/>
        <v>0.04166666667</v>
      </c>
      <c r="W2576" s="67">
        <f t="shared" si="96"/>
        <v>23.75</v>
      </c>
      <c r="X2576" s="67">
        <f t="shared" si="132"/>
        <v>3.8</v>
      </c>
      <c r="Y2576" s="67">
        <f t="shared" si="133"/>
        <v>27.55</v>
      </c>
      <c r="Z2576" s="67">
        <f t="shared" si="99"/>
        <v>22.5</v>
      </c>
      <c r="AA2576" s="67">
        <f t="shared" si="114"/>
        <v>3.6</v>
      </c>
      <c r="AB2576" s="67">
        <f t="shared" si="115"/>
        <v>26.1</v>
      </c>
      <c r="AC2576" s="67">
        <f t="shared" si="102"/>
        <v>21.25</v>
      </c>
      <c r="AD2576" s="67">
        <f t="shared" si="116"/>
        <v>3.4</v>
      </c>
      <c r="AE2576" s="67">
        <f t="shared" si="117"/>
        <v>24.65</v>
      </c>
      <c r="AF2576" s="67">
        <f t="shared" si="105"/>
        <v>20.75</v>
      </c>
      <c r="AG2576" s="67">
        <f t="shared" si="118"/>
        <v>3.32</v>
      </c>
      <c r="AH2576" s="67">
        <f t="shared" si="119"/>
        <v>24.07</v>
      </c>
      <c r="AI2576" s="67">
        <f t="shared" si="108"/>
        <v>20</v>
      </c>
      <c r="AJ2576" s="68">
        <f t="shared" si="126"/>
        <v>3.2</v>
      </c>
      <c r="AK2576" s="68">
        <f t="shared" si="127"/>
        <v>23.2</v>
      </c>
      <c r="AL2576" s="70"/>
      <c r="AM2576" s="70"/>
      <c r="AN2576" s="71"/>
      <c r="AO2576" s="71"/>
      <c r="AP2576" s="71"/>
      <c r="AQ2576" s="71"/>
      <c r="AR2576" s="71"/>
      <c r="AS2576" s="71"/>
      <c r="AT2576" s="71"/>
      <c r="AU2576" s="71"/>
      <c r="AV2576" s="71"/>
      <c r="AW2576" s="71"/>
      <c r="AX2576" s="71"/>
      <c r="AY2576" s="71"/>
      <c r="AZ2576" s="71"/>
      <c r="BA2576" s="71"/>
      <c r="BB2576" s="71"/>
      <c r="BC2576" s="71"/>
      <c r="BD2576" s="71"/>
      <c r="BE2576" s="71"/>
      <c r="BF2576" s="71"/>
      <c r="BG2576" s="71"/>
      <c r="BH2576" s="71"/>
      <c r="BI2576" s="71"/>
      <c r="BJ2576" s="71"/>
      <c r="BK2576" s="71"/>
      <c r="BL2576" s="71"/>
      <c r="BM2576" s="71"/>
      <c r="BN2576" s="71"/>
      <c r="BO2576" s="71"/>
      <c r="BP2576" s="71"/>
      <c r="BQ2576" s="71"/>
      <c r="BR2576" s="71"/>
      <c r="BS2576" s="71"/>
      <c r="BT2576" s="71"/>
      <c r="BU2576" s="71"/>
      <c r="BV2576" s="71"/>
    </row>
    <row r="2577">
      <c r="A2577" s="53">
        <v>1.0</v>
      </c>
      <c r="B2577" s="53"/>
      <c r="C2577" s="73" t="s">
        <v>12</v>
      </c>
      <c r="D2577" s="74" t="s">
        <v>6340</v>
      </c>
      <c r="E2577" s="54" t="s">
        <v>38</v>
      </c>
      <c r="F2577" s="54" t="s">
        <v>42</v>
      </c>
      <c r="G2577" s="54" t="s">
        <v>6341</v>
      </c>
      <c r="H2577" s="54" t="s">
        <v>6342</v>
      </c>
      <c r="I2577" s="54">
        <f t="shared" si="125"/>
        <v>40</v>
      </c>
      <c r="J2577" s="56"/>
      <c r="K2577" s="57"/>
      <c r="L2577" s="87"/>
      <c r="M2577" s="59"/>
      <c r="N2577" s="60">
        <v>14.0</v>
      </c>
      <c r="O2577" s="61">
        <v>15.0</v>
      </c>
      <c r="P2577" s="62">
        <v>16.200000000000003</v>
      </c>
      <c r="Q2577" s="63">
        <v>16.200000000000003</v>
      </c>
      <c r="R2577" s="64">
        <v>19.0</v>
      </c>
      <c r="S2577" s="111">
        <v>19.95</v>
      </c>
      <c r="T2577" s="65">
        <f t="shared" si="93"/>
        <v>3.192</v>
      </c>
      <c r="U2577" s="65">
        <f t="shared" si="94"/>
        <v>23.142</v>
      </c>
      <c r="V2577" s="66">
        <f t="shared" si="131"/>
        <v>0.05</v>
      </c>
      <c r="W2577" s="67">
        <f t="shared" si="96"/>
        <v>18.9525</v>
      </c>
      <c r="X2577" s="67">
        <f t="shared" si="132"/>
        <v>3.0324</v>
      </c>
      <c r="Y2577" s="67">
        <f t="shared" si="133"/>
        <v>21.9849</v>
      </c>
      <c r="Z2577" s="67">
        <f t="shared" si="99"/>
        <v>17.955</v>
      </c>
      <c r="AA2577" s="67">
        <f t="shared" si="114"/>
        <v>2.8728</v>
      </c>
      <c r="AB2577" s="67">
        <f t="shared" si="115"/>
        <v>20.8278</v>
      </c>
      <c r="AC2577" s="67">
        <f t="shared" si="102"/>
        <v>16.9575</v>
      </c>
      <c r="AD2577" s="67">
        <f t="shared" si="116"/>
        <v>2.7132</v>
      </c>
      <c r="AE2577" s="67">
        <f t="shared" si="117"/>
        <v>19.6707</v>
      </c>
      <c r="AF2577" s="67">
        <f t="shared" si="105"/>
        <v>16.5585</v>
      </c>
      <c r="AG2577" s="67">
        <f t="shared" si="118"/>
        <v>2.64936</v>
      </c>
      <c r="AH2577" s="67">
        <f t="shared" si="119"/>
        <v>19.20786</v>
      </c>
      <c r="AI2577" s="67">
        <f t="shared" si="108"/>
        <v>15.96</v>
      </c>
      <c r="AJ2577" s="68">
        <f t="shared" si="126"/>
        <v>2.5536</v>
      </c>
      <c r="AK2577" s="68">
        <f t="shared" si="127"/>
        <v>18.5136</v>
      </c>
      <c r="AL2577" s="70"/>
      <c r="AM2577" s="70"/>
      <c r="AN2577" s="71"/>
      <c r="AO2577" s="71"/>
      <c r="AP2577" s="71"/>
      <c r="AQ2577" s="71"/>
      <c r="AR2577" s="71"/>
      <c r="AS2577" s="71"/>
      <c r="AT2577" s="71"/>
      <c r="AU2577" s="71"/>
      <c r="AV2577" s="71"/>
      <c r="AW2577" s="71"/>
      <c r="AX2577" s="71"/>
      <c r="AY2577" s="71"/>
      <c r="AZ2577" s="71"/>
      <c r="BA2577" s="71"/>
      <c r="BB2577" s="71"/>
      <c r="BC2577" s="71"/>
      <c r="BD2577" s="71"/>
      <c r="BE2577" s="71"/>
      <c r="BF2577" s="71"/>
      <c r="BG2577" s="71"/>
      <c r="BH2577" s="71"/>
      <c r="BI2577" s="71"/>
      <c r="BJ2577" s="71"/>
      <c r="BK2577" s="71"/>
      <c r="BL2577" s="71"/>
      <c r="BM2577" s="71"/>
      <c r="BN2577" s="71"/>
      <c r="BO2577" s="71"/>
      <c r="BP2577" s="71"/>
      <c r="BQ2577" s="71"/>
      <c r="BR2577" s="71"/>
      <c r="BS2577" s="71"/>
      <c r="BT2577" s="71"/>
      <c r="BU2577" s="71"/>
      <c r="BV2577" s="71"/>
    </row>
    <row r="2578">
      <c r="A2578" s="53">
        <v>1.0</v>
      </c>
      <c r="B2578" s="53"/>
      <c r="C2578" s="73" t="s">
        <v>12</v>
      </c>
      <c r="D2578" s="74" t="s">
        <v>6343</v>
      </c>
      <c r="E2578" s="54" t="s">
        <v>38</v>
      </c>
      <c r="F2578" s="54" t="s">
        <v>42</v>
      </c>
      <c r="G2578" s="54" t="s">
        <v>6344</v>
      </c>
      <c r="H2578" s="54" t="s">
        <v>6345</v>
      </c>
      <c r="I2578" s="54">
        <f t="shared" si="125"/>
        <v>14</v>
      </c>
      <c r="J2578" s="56"/>
      <c r="K2578" s="57"/>
      <c r="L2578" s="87"/>
      <c r="M2578" s="59"/>
      <c r="N2578" s="60">
        <v>93.0</v>
      </c>
      <c r="O2578" s="61">
        <v>100.0</v>
      </c>
      <c r="P2578" s="62">
        <v>108.0</v>
      </c>
      <c r="Q2578" s="63">
        <v>108.0</v>
      </c>
      <c r="R2578" s="64">
        <v>121.0</v>
      </c>
      <c r="S2578" s="111">
        <v>127.0</v>
      </c>
      <c r="T2578" s="65">
        <f t="shared" si="93"/>
        <v>20.32</v>
      </c>
      <c r="U2578" s="65">
        <f t="shared" si="94"/>
        <v>147.32</v>
      </c>
      <c r="V2578" s="66">
        <f t="shared" si="131"/>
        <v>0.04958677686</v>
      </c>
      <c r="W2578" s="67">
        <f t="shared" si="96"/>
        <v>120.65</v>
      </c>
      <c r="X2578" s="67">
        <f t="shared" si="132"/>
        <v>19.304</v>
      </c>
      <c r="Y2578" s="67">
        <f t="shared" si="133"/>
        <v>139.954</v>
      </c>
      <c r="Z2578" s="67">
        <f t="shared" si="99"/>
        <v>114.3</v>
      </c>
      <c r="AA2578" s="67">
        <f t="shared" si="114"/>
        <v>18.288</v>
      </c>
      <c r="AB2578" s="67">
        <f t="shared" si="115"/>
        <v>132.588</v>
      </c>
      <c r="AC2578" s="67">
        <f t="shared" si="102"/>
        <v>107.95</v>
      </c>
      <c r="AD2578" s="67">
        <f t="shared" si="116"/>
        <v>17.272</v>
      </c>
      <c r="AE2578" s="67">
        <f t="shared" si="117"/>
        <v>125.222</v>
      </c>
      <c r="AF2578" s="67">
        <f t="shared" si="105"/>
        <v>105.41</v>
      </c>
      <c r="AG2578" s="67">
        <f t="shared" si="118"/>
        <v>16.8656</v>
      </c>
      <c r="AH2578" s="67">
        <f t="shared" si="119"/>
        <v>122.2756</v>
      </c>
      <c r="AI2578" s="67">
        <f t="shared" si="108"/>
        <v>101.6</v>
      </c>
      <c r="AJ2578" s="68">
        <f t="shared" si="126"/>
        <v>16.256</v>
      </c>
      <c r="AK2578" s="68">
        <f t="shared" si="127"/>
        <v>117.856</v>
      </c>
      <c r="AL2578" s="70"/>
      <c r="AM2578" s="70"/>
      <c r="AN2578" s="71"/>
      <c r="AO2578" s="71"/>
      <c r="AP2578" s="71"/>
      <c r="AQ2578" s="71"/>
      <c r="AR2578" s="71"/>
      <c r="AS2578" s="71"/>
      <c r="AT2578" s="71"/>
      <c r="AU2578" s="71"/>
      <c r="AV2578" s="71"/>
      <c r="AW2578" s="71"/>
      <c r="AX2578" s="71"/>
      <c r="AY2578" s="71"/>
      <c r="AZ2578" s="71"/>
      <c r="BA2578" s="71"/>
      <c r="BB2578" s="71"/>
      <c r="BC2578" s="71"/>
      <c r="BD2578" s="71"/>
      <c r="BE2578" s="71"/>
      <c r="BF2578" s="71"/>
      <c r="BG2578" s="71"/>
      <c r="BH2578" s="71"/>
      <c r="BI2578" s="71"/>
      <c r="BJ2578" s="71"/>
      <c r="BK2578" s="71"/>
      <c r="BL2578" s="71"/>
      <c r="BM2578" s="71"/>
      <c r="BN2578" s="71"/>
      <c r="BO2578" s="71"/>
      <c r="BP2578" s="71"/>
      <c r="BQ2578" s="71"/>
      <c r="BR2578" s="71"/>
      <c r="BS2578" s="71"/>
      <c r="BT2578" s="71"/>
      <c r="BU2578" s="71"/>
      <c r="BV2578" s="71"/>
    </row>
    <row r="2579">
      <c r="A2579" s="53">
        <v>1.0</v>
      </c>
      <c r="B2579" s="53"/>
      <c r="C2579" s="73" t="s">
        <v>12</v>
      </c>
      <c r="D2579" s="74" t="s">
        <v>6346</v>
      </c>
      <c r="E2579" s="54" t="s">
        <v>38</v>
      </c>
      <c r="F2579" s="54" t="s">
        <v>42</v>
      </c>
      <c r="G2579" s="88" t="s">
        <v>6347</v>
      </c>
      <c r="H2579" s="54" t="s">
        <v>6348</v>
      </c>
      <c r="I2579" s="54">
        <f t="shared" si="125"/>
        <v>14</v>
      </c>
      <c r="J2579" s="56"/>
      <c r="K2579" s="57"/>
      <c r="L2579" s="76"/>
      <c r="M2579" s="59"/>
      <c r="N2579" s="60">
        <v>390.0</v>
      </c>
      <c r="O2579" s="61">
        <v>421.0</v>
      </c>
      <c r="P2579" s="62">
        <v>454.68</v>
      </c>
      <c r="Q2579" s="63">
        <v>454.68</v>
      </c>
      <c r="R2579" s="64">
        <v>389.0</v>
      </c>
      <c r="S2579" s="111">
        <v>408.0</v>
      </c>
      <c r="T2579" s="65">
        <f t="shared" si="93"/>
        <v>65.28</v>
      </c>
      <c r="U2579" s="65">
        <f t="shared" si="94"/>
        <v>473.28</v>
      </c>
      <c r="V2579" s="66">
        <f t="shared" si="131"/>
        <v>0.04884318766</v>
      </c>
      <c r="W2579" s="67">
        <f t="shared" si="96"/>
        <v>387.6</v>
      </c>
      <c r="X2579" s="67">
        <f t="shared" si="132"/>
        <v>62.016</v>
      </c>
      <c r="Y2579" s="67">
        <f t="shared" si="133"/>
        <v>449.616</v>
      </c>
      <c r="Z2579" s="67">
        <f t="shared" si="99"/>
        <v>367.2</v>
      </c>
      <c r="AA2579" s="67">
        <f t="shared" si="114"/>
        <v>58.752</v>
      </c>
      <c r="AB2579" s="67">
        <f t="shared" si="115"/>
        <v>425.952</v>
      </c>
      <c r="AC2579" s="67">
        <f t="shared" si="102"/>
        <v>346.8</v>
      </c>
      <c r="AD2579" s="67">
        <f t="shared" si="116"/>
        <v>55.488</v>
      </c>
      <c r="AE2579" s="67">
        <f t="shared" si="117"/>
        <v>402.288</v>
      </c>
      <c r="AF2579" s="67">
        <f t="shared" si="105"/>
        <v>338.64</v>
      </c>
      <c r="AG2579" s="67">
        <f t="shared" si="118"/>
        <v>54.1824</v>
      </c>
      <c r="AH2579" s="67">
        <f t="shared" si="119"/>
        <v>392.8224</v>
      </c>
      <c r="AI2579" s="67">
        <f t="shared" si="108"/>
        <v>326.4</v>
      </c>
      <c r="AJ2579" s="68">
        <f t="shared" si="126"/>
        <v>52.224</v>
      </c>
      <c r="AK2579" s="68">
        <f t="shared" si="127"/>
        <v>378.624</v>
      </c>
      <c r="AL2579" s="70"/>
      <c r="AM2579" s="70"/>
      <c r="AN2579" s="71"/>
      <c r="AO2579" s="71"/>
      <c r="AP2579" s="71"/>
      <c r="AQ2579" s="71"/>
      <c r="AR2579" s="71"/>
      <c r="AS2579" s="71"/>
      <c r="AT2579" s="71"/>
      <c r="AU2579" s="71"/>
      <c r="AV2579" s="71"/>
      <c r="AW2579" s="71"/>
      <c r="AX2579" s="71"/>
      <c r="AY2579" s="71"/>
      <c r="AZ2579" s="71"/>
      <c r="BA2579" s="71"/>
      <c r="BB2579" s="71"/>
      <c r="BC2579" s="71"/>
      <c r="BD2579" s="71"/>
      <c r="BE2579" s="71"/>
      <c r="BF2579" s="71"/>
      <c r="BG2579" s="71"/>
      <c r="BH2579" s="71"/>
      <c r="BI2579" s="71"/>
      <c r="BJ2579" s="71"/>
      <c r="BK2579" s="71"/>
      <c r="BL2579" s="71"/>
      <c r="BM2579" s="71"/>
      <c r="BN2579" s="71"/>
      <c r="BO2579" s="71"/>
      <c r="BP2579" s="71"/>
      <c r="BQ2579" s="71"/>
      <c r="BR2579" s="71"/>
      <c r="BS2579" s="71"/>
      <c r="BT2579" s="71"/>
      <c r="BU2579" s="71"/>
      <c r="BV2579" s="71"/>
    </row>
    <row r="2580">
      <c r="A2580" s="53">
        <v>1.0</v>
      </c>
      <c r="B2580" s="53"/>
      <c r="C2580" s="73" t="s">
        <v>12</v>
      </c>
      <c r="D2580" s="74" t="s">
        <v>6349</v>
      </c>
      <c r="E2580" s="54" t="s">
        <v>38</v>
      </c>
      <c r="F2580" s="54" t="s">
        <v>42</v>
      </c>
      <c r="G2580" s="88" t="s">
        <v>6350</v>
      </c>
      <c r="H2580" s="54" t="s">
        <v>6351</v>
      </c>
      <c r="I2580" s="54">
        <f t="shared" si="125"/>
        <v>11</v>
      </c>
      <c r="J2580" s="56"/>
      <c r="K2580" s="57"/>
      <c r="L2580" s="87"/>
      <c r="M2580" s="59"/>
      <c r="N2580" s="60">
        <v>104.0</v>
      </c>
      <c r="O2580" s="61">
        <v>112.0</v>
      </c>
      <c r="P2580" s="62">
        <v>120.96000000000001</v>
      </c>
      <c r="Q2580" s="63">
        <v>120.96000000000001</v>
      </c>
      <c r="R2580" s="64">
        <v>135.0</v>
      </c>
      <c r="S2580" s="111">
        <v>142.0</v>
      </c>
      <c r="T2580" s="65">
        <f t="shared" si="93"/>
        <v>22.72</v>
      </c>
      <c r="U2580" s="65">
        <f t="shared" si="94"/>
        <v>164.72</v>
      </c>
      <c r="V2580" s="66">
        <f t="shared" si="131"/>
        <v>0.05185185185</v>
      </c>
      <c r="W2580" s="67">
        <f t="shared" si="96"/>
        <v>134.9</v>
      </c>
      <c r="X2580" s="67">
        <f t="shared" si="132"/>
        <v>21.584</v>
      </c>
      <c r="Y2580" s="67">
        <f t="shared" si="133"/>
        <v>156.484</v>
      </c>
      <c r="Z2580" s="67">
        <f t="shared" si="99"/>
        <v>127.8</v>
      </c>
      <c r="AA2580" s="67">
        <f t="shared" si="114"/>
        <v>20.448</v>
      </c>
      <c r="AB2580" s="67">
        <f t="shared" si="115"/>
        <v>148.248</v>
      </c>
      <c r="AC2580" s="67">
        <f t="shared" si="102"/>
        <v>120.7</v>
      </c>
      <c r="AD2580" s="67">
        <f t="shared" si="116"/>
        <v>19.312</v>
      </c>
      <c r="AE2580" s="67">
        <f t="shared" si="117"/>
        <v>140.012</v>
      </c>
      <c r="AF2580" s="67">
        <f t="shared" si="105"/>
        <v>117.86</v>
      </c>
      <c r="AG2580" s="67">
        <f t="shared" si="118"/>
        <v>18.8576</v>
      </c>
      <c r="AH2580" s="67">
        <f t="shared" si="119"/>
        <v>136.7176</v>
      </c>
      <c r="AI2580" s="67">
        <f t="shared" si="108"/>
        <v>113.6</v>
      </c>
      <c r="AJ2580" s="68">
        <f t="shared" si="126"/>
        <v>18.176</v>
      </c>
      <c r="AK2580" s="68">
        <f t="shared" si="127"/>
        <v>131.776</v>
      </c>
      <c r="AL2580" s="70"/>
      <c r="AM2580" s="70"/>
      <c r="AN2580" s="71"/>
      <c r="AO2580" s="71"/>
      <c r="AP2580" s="71"/>
      <c r="AQ2580" s="71"/>
      <c r="AR2580" s="71"/>
      <c r="AS2580" s="71"/>
      <c r="AT2580" s="71"/>
      <c r="AU2580" s="71"/>
      <c r="AV2580" s="71"/>
      <c r="AW2580" s="71"/>
      <c r="AX2580" s="71"/>
      <c r="AY2580" s="71"/>
      <c r="AZ2580" s="71"/>
      <c r="BA2580" s="71"/>
      <c r="BB2580" s="71"/>
      <c r="BC2580" s="71"/>
      <c r="BD2580" s="71"/>
      <c r="BE2580" s="71"/>
      <c r="BF2580" s="71"/>
      <c r="BG2580" s="71"/>
      <c r="BH2580" s="71"/>
      <c r="BI2580" s="71"/>
      <c r="BJ2580" s="71"/>
      <c r="BK2580" s="71"/>
      <c r="BL2580" s="71"/>
      <c r="BM2580" s="71"/>
      <c r="BN2580" s="71"/>
      <c r="BO2580" s="71"/>
      <c r="BP2580" s="71"/>
      <c r="BQ2580" s="71"/>
      <c r="BR2580" s="71"/>
      <c r="BS2580" s="71"/>
      <c r="BT2580" s="71"/>
      <c r="BU2580" s="71"/>
      <c r="BV2580" s="71"/>
    </row>
    <row r="2581">
      <c r="A2581" s="53">
        <v>1.0</v>
      </c>
      <c r="B2581" s="53"/>
      <c r="C2581" s="73" t="s">
        <v>12</v>
      </c>
      <c r="D2581" s="74" t="s">
        <v>6352</v>
      </c>
      <c r="E2581" s="54" t="s">
        <v>38</v>
      </c>
      <c r="F2581" s="54" t="s">
        <v>42</v>
      </c>
      <c r="G2581" s="88" t="s">
        <v>6353</v>
      </c>
      <c r="H2581" s="54" t="s">
        <v>6354</v>
      </c>
      <c r="I2581" s="54">
        <f t="shared" si="125"/>
        <v>15</v>
      </c>
      <c r="J2581" s="56"/>
      <c r="K2581" s="57"/>
      <c r="L2581" s="87"/>
      <c r="M2581" s="59"/>
      <c r="N2581" s="60">
        <v>58.0</v>
      </c>
      <c r="O2581" s="61">
        <v>62.0</v>
      </c>
      <c r="P2581" s="62">
        <v>66.96000000000001</v>
      </c>
      <c r="Q2581" s="63">
        <v>66.96000000000001</v>
      </c>
      <c r="R2581" s="64">
        <v>75.0</v>
      </c>
      <c r="S2581" s="111">
        <v>79.0</v>
      </c>
      <c r="T2581" s="65">
        <f t="shared" si="93"/>
        <v>12.64</v>
      </c>
      <c r="U2581" s="65">
        <f t="shared" si="94"/>
        <v>91.64</v>
      </c>
      <c r="V2581" s="66">
        <f t="shared" si="131"/>
        <v>0.05333333333</v>
      </c>
      <c r="W2581" s="67">
        <f t="shared" si="96"/>
        <v>75.05</v>
      </c>
      <c r="X2581" s="67">
        <f t="shared" si="132"/>
        <v>12.008</v>
      </c>
      <c r="Y2581" s="67">
        <f t="shared" si="133"/>
        <v>87.058</v>
      </c>
      <c r="Z2581" s="67">
        <f t="shared" si="99"/>
        <v>71.1</v>
      </c>
      <c r="AA2581" s="67">
        <f t="shared" si="114"/>
        <v>11.376</v>
      </c>
      <c r="AB2581" s="67">
        <f t="shared" si="115"/>
        <v>82.476</v>
      </c>
      <c r="AC2581" s="67">
        <f t="shared" si="102"/>
        <v>67.15</v>
      </c>
      <c r="AD2581" s="67">
        <f t="shared" si="116"/>
        <v>10.744</v>
      </c>
      <c r="AE2581" s="67">
        <f t="shared" si="117"/>
        <v>77.894</v>
      </c>
      <c r="AF2581" s="67">
        <f t="shared" si="105"/>
        <v>65.57</v>
      </c>
      <c r="AG2581" s="67">
        <f t="shared" si="118"/>
        <v>10.4912</v>
      </c>
      <c r="AH2581" s="67">
        <f t="shared" si="119"/>
        <v>76.0612</v>
      </c>
      <c r="AI2581" s="67">
        <f t="shared" si="108"/>
        <v>63.2</v>
      </c>
      <c r="AJ2581" s="68">
        <f t="shared" si="126"/>
        <v>10.112</v>
      </c>
      <c r="AK2581" s="68">
        <f t="shared" si="127"/>
        <v>73.312</v>
      </c>
      <c r="AL2581" s="70"/>
      <c r="AM2581" s="70"/>
      <c r="AN2581" s="71"/>
      <c r="AO2581" s="71"/>
      <c r="AP2581" s="71"/>
      <c r="AQ2581" s="71"/>
      <c r="AR2581" s="71"/>
      <c r="AS2581" s="71"/>
      <c r="AT2581" s="71"/>
      <c r="AU2581" s="71"/>
      <c r="AV2581" s="71"/>
      <c r="AW2581" s="71"/>
      <c r="AX2581" s="71"/>
      <c r="AY2581" s="71"/>
      <c r="AZ2581" s="71"/>
      <c r="BA2581" s="71"/>
      <c r="BB2581" s="71"/>
      <c r="BC2581" s="71"/>
      <c r="BD2581" s="71"/>
      <c r="BE2581" s="71"/>
      <c r="BF2581" s="71"/>
      <c r="BG2581" s="71"/>
      <c r="BH2581" s="71"/>
      <c r="BI2581" s="71"/>
      <c r="BJ2581" s="71"/>
      <c r="BK2581" s="71"/>
      <c r="BL2581" s="71"/>
      <c r="BM2581" s="71"/>
      <c r="BN2581" s="71"/>
      <c r="BO2581" s="71"/>
      <c r="BP2581" s="71"/>
      <c r="BQ2581" s="71"/>
      <c r="BR2581" s="71"/>
      <c r="BS2581" s="71"/>
      <c r="BT2581" s="71"/>
      <c r="BU2581" s="71"/>
      <c r="BV2581" s="71"/>
    </row>
    <row r="2582">
      <c r="A2582" s="53">
        <v>1.0</v>
      </c>
      <c r="B2582" s="53"/>
      <c r="C2582" s="73" t="s">
        <v>53</v>
      </c>
      <c r="D2582" s="74" t="s">
        <v>6355</v>
      </c>
      <c r="E2582" s="54" t="s">
        <v>38</v>
      </c>
      <c r="F2582" s="54" t="s">
        <v>42</v>
      </c>
      <c r="G2582" s="88" t="s">
        <v>6356</v>
      </c>
      <c r="H2582" s="54" t="s">
        <v>6356</v>
      </c>
      <c r="I2582" s="54">
        <f t="shared" si="125"/>
        <v>20</v>
      </c>
      <c r="J2582" s="56"/>
      <c r="K2582" s="57"/>
      <c r="L2582" s="87"/>
      <c r="M2582" s="59"/>
      <c r="N2582" s="60">
        <v>173.0</v>
      </c>
      <c r="O2582" s="61">
        <v>186.0</v>
      </c>
      <c r="P2582" s="62">
        <v>200.88000000000002</v>
      </c>
      <c r="Q2582" s="63">
        <v>200.88000000000002</v>
      </c>
      <c r="R2582" s="64">
        <v>224.0</v>
      </c>
      <c r="S2582" s="111">
        <v>235.0</v>
      </c>
      <c r="T2582" s="65">
        <f t="shared" si="93"/>
        <v>37.6</v>
      </c>
      <c r="U2582" s="65">
        <f t="shared" si="94"/>
        <v>272.6</v>
      </c>
      <c r="V2582" s="66">
        <f t="shared" si="131"/>
        <v>0.04910714286</v>
      </c>
      <c r="W2582" s="67">
        <f t="shared" si="96"/>
        <v>223.25</v>
      </c>
      <c r="X2582" s="67">
        <f t="shared" si="132"/>
        <v>35.72</v>
      </c>
      <c r="Y2582" s="67">
        <f t="shared" si="133"/>
        <v>258.97</v>
      </c>
      <c r="Z2582" s="67">
        <f t="shared" si="99"/>
        <v>211.5</v>
      </c>
      <c r="AA2582" s="67">
        <f t="shared" si="114"/>
        <v>33.84</v>
      </c>
      <c r="AB2582" s="67">
        <f t="shared" si="115"/>
        <v>245.34</v>
      </c>
      <c r="AC2582" s="67">
        <f t="shared" si="102"/>
        <v>199.75</v>
      </c>
      <c r="AD2582" s="67">
        <f t="shared" si="116"/>
        <v>31.96</v>
      </c>
      <c r="AE2582" s="67">
        <f t="shared" si="117"/>
        <v>231.71</v>
      </c>
      <c r="AF2582" s="67">
        <f t="shared" si="105"/>
        <v>195.05</v>
      </c>
      <c r="AG2582" s="67">
        <f t="shared" si="118"/>
        <v>31.208</v>
      </c>
      <c r="AH2582" s="67">
        <f t="shared" si="119"/>
        <v>226.258</v>
      </c>
      <c r="AI2582" s="67">
        <f t="shared" si="108"/>
        <v>188</v>
      </c>
      <c r="AJ2582" s="68">
        <f t="shared" si="126"/>
        <v>30.08</v>
      </c>
      <c r="AK2582" s="68">
        <f t="shared" si="127"/>
        <v>218.08</v>
      </c>
      <c r="AL2582" s="70"/>
      <c r="AM2582" s="70"/>
      <c r="AN2582" s="71"/>
      <c r="AO2582" s="71"/>
      <c r="AP2582" s="71"/>
      <c r="AQ2582" s="71"/>
      <c r="AR2582" s="71"/>
      <c r="AS2582" s="71"/>
      <c r="AT2582" s="71"/>
      <c r="AU2582" s="71"/>
      <c r="AV2582" s="71"/>
      <c r="AW2582" s="71"/>
      <c r="AX2582" s="71"/>
      <c r="AY2582" s="71"/>
      <c r="AZ2582" s="71"/>
      <c r="BA2582" s="71"/>
      <c r="BB2582" s="71"/>
      <c r="BC2582" s="71"/>
      <c r="BD2582" s="71"/>
      <c r="BE2582" s="71"/>
      <c r="BF2582" s="71"/>
      <c r="BG2582" s="71"/>
      <c r="BH2582" s="71"/>
      <c r="BI2582" s="71"/>
      <c r="BJ2582" s="71"/>
      <c r="BK2582" s="71"/>
      <c r="BL2582" s="71"/>
      <c r="BM2582" s="71"/>
      <c r="BN2582" s="71"/>
      <c r="BO2582" s="71"/>
      <c r="BP2582" s="71"/>
      <c r="BQ2582" s="71"/>
      <c r="BR2582" s="71"/>
      <c r="BS2582" s="71"/>
      <c r="BT2582" s="71"/>
      <c r="BU2582" s="71"/>
      <c r="BV2582" s="71"/>
    </row>
    <row r="2583">
      <c r="A2583" s="53">
        <v>1.0</v>
      </c>
      <c r="B2583" s="53"/>
      <c r="C2583" s="73" t="s">
        <v>53</v>
      </c>
      <c r="D2583" s="74" t="s">
        <v>6357</v>
      </c>
      <c r="E2583" s="54" t="s">
        <v>38</v>
      </c>
      <c r="F2583" s="54" t="s">
        <v>42</v>
      </c>
      <c r="G2583" s="88" t="s">
        <v>6358</v>
      </c>
      <c r="H2583" s="54" t="s">
        <v>6358</v>
      </c>
      <c r="I2583" s="54">
        <f t="shared" si="125"/>
        <v>22</v>
      </c>
      <c r="J2583" s="56"/>
      <c r="K2583" s="57"/>
      <c r="L2583" s="87"/>
      <c r="M2583" s="59"/>
      <c r="N2583" s="60">
        <v>279.0</v>
      </c>
      <c r="O2583" s="61">
        <v>301.0</v>
      </c>
      <c r="P2583" s="62">
        <v>325.08000000000004</v>
      </c>
      <c r="Q2583" s="63">
        <v>325.08000000000004</v>
      </c>
      <c r="R2583" s="64">
        <v>363.0</v>
      </c>
      <c r="S2583" s="111">
        <v>381.0</v>
      </c>
      <c r="T2583" s="65">
        <f t="shared" si="93"/>
        <v>60.96</v>
      </c>
      <c r="U2583" s="65">
        <f t="shared" si="94"/>
        <v>441.96</v>
      </c>
      <c r="V2583" s="66">
        <f t="shared" si="131"/>
        <v>0.04958677686</v>
      </c>
      <c r="W2583" s="67">
        <f t="shared" si="96"/>
        <v>361.95</v>
      </c>
      <c r="X2583" s="67">
        <f t="shared" si="132"/>
        <v>57.912</v>
      </c>
      <c r="Y2583" s="67">
        <f t="shared" si="133"/>
        <v>419.862</v>
      </c>
      <c r="Z2583" s="67">
        <f t="shared" si="99"/>
        <v>342.9</v>
      </c>
      <c r="AA2583" s="67">
        <f t="shared" si="114"/>
        <v>54.864</v>
      </c>
      <c r="AB2583" s="67">
        <f t="shared" si="115"/>
        <v>397.764</v>
      </c>
      <c r="AC2583" s="67">
        <f t="shared" si="102"/>
        <v>323.85</v>
      </c>
      <c r="AD2583" s="67">
        <f t="shared" si="116"/>
        <v>51.816</v>
      </c>
      <c r="AE2583" s="67">
        <f t="shared" si="117"/>
        <v>375.666</v>
      </c>
      <c r="AF2583" s="67">
        <f t="shared" si="105"/>
        <v>316.23</v>
      </c>
      <c r="AG2583" s="67">
        <f t="shared" si="118"/>
        <v>50.5968</v>
      </c>
      <c r="AH2583" s="67">
        <f t="shared" si="119"/>
        <v>366.8268</v>
      </c>
      <c r="AI2583" s="67">
        <f t="shared" si="108"/>
        <v>304.8</v>
      </c>
      <c r="AJ2583" s="68">
        <f t="shared" si="126"/>
        <v>48.768</v>
      </c>
      <c r="AK2583" s="68">
        <f t="shared" si="127"/>
        <v>353.568</v>
      </c>
      <c r="AL2583" s="70"/>
      <c r="AM2583" s="70"/>
      <c r="AN2583" s="71"/>
      <c r="AO2583" s="71"/>
      <c r="AP2583" s="71"/>
      <c r="AQ2583" s="71"/>
      <c r="AR2583" s="71"/>
      <c r="AS2583" s="71"/>
      <c r="AT2583" s="71"/>
      <c r="AU2583" s="71"/>
      <c r="AV2583" s="71"/>
      <c r="AW2583" s="71"/>
      <c r="AX2583" s="71"/>
      <c r="AY2583" s="71"/>
      <c r="AZ2583" s="71"/>
      <c r="BA2583" s="71"/>
      <c r="BB2583" s="71"/>
      <c r="BC2583" s="71"/>
      <c r="BD2583" s="71"/>
      <c r="BE2583" s="71"/>
      <c r="BF2583" s="71"/>
      <c r="BG2583" s="71"/>
      <c r="BH2583" s="71"/>
      <c r="BI2583" s="71"/>
      <c r="BJ2583" s="71"/>
      <c r="BK2583" s="71"/>
      <c r="BL2583" s="71"/>
      <c r="BM2583" s="71"/>
      <c r="BN2583" s="71"/>
      <c r="BO2583" s="71"/>
      <c r="BP2583" s="71"/>
      <c r="BQ2583" s="71"/>
      <c r="BR2583" s="71"/>
      <c r="BS2583" s="71"/>
      <c r="BT2583" s="71"/>
      <c r="BU2583" s="71"/>
      <c r="BV2583" s="71"/>
    </row>
    <row r="2584">
      <c r="A2584" s="53"/>
      <c r="B2584" s="53"/>
      <c r="C2584" s="120" t="s">
        <v>603</v>
      </c>
      <c r="D2584" s="128" t="s">
        <v>6359</v>
      </c>
      <c r="E2584" s="54" t="s">
        <v>38</v>
      </c>
      <c r="F2584" s="54" t="s">
        <v>42</v>
      </c>
      <c r="G2584" s="55" t="s">
        <v>6360</v>
      </c>
      <c r="H2584" s="54" t="s">
        <v>6361</v>
      </c>
      <c r="I2584" s="54">
        <f t="shared" si="125"/>
        <v>40</v>
      </c>
      <c r="J2584" s="56"/>
      <c r="K2584" s="57"/>
      <c r="L2584" s="76"/>
      <c r="M2584" s="59"/>
      <c r="N2584" s="60">
        <v>220.5</v>
      </c>
      <c r="O2584" s="129">
        <v>238.0</v>
      </c>
      <c r="P2584" s="62">
        <v>257.04</v>
      </c>
      <c r="Q2584" s="63">
        <v>257.04</v>
      </c>
      <c r="R2584" s="64">
        <v>270.0</v>
      </c>
      <c r="S2584" s="111">
        <v>284.0</v>
      </c>
      <c r="T2584" s="65">
        <f t="shared" si="93"/>
        <v>45.44</v>
      </c>
      <c r="U2584" s="65">
        <f t="shared" si="94"/>
        <v>329.44</v>
      </c>
      <c r="V2584" s="66">
        <f t="shared" si="131"/>
        <v>0.05185185185</v>
      </c>
      <c r="W2584" s="67">
        <f t="shared" si="96"/>
        <v>269.8</v>
      </c>
      <c r="X2584" s="67">
        <f t="shared" si="132"/>
        <v>43.168</v>
      </c>
      <c r="Y2584" s="67">
        <f t="shared" si="133"/>
        <v>312.968</v>
      </c>
      <c r="Z2584" s="67">
        <f t="shared" si="99"/>
        <v>255.6</v>
      </c>
      <c r="AA2584" s="67">
        <f t="shared" si="114"/>
        <v>40.896</v>
      </c>
      <c r="AB2584" s="67">
        <f t="shared" si="115"/>
        <v>296.496</v>
      </c>
      <c r="AC2584" s="67">
        <f t="shared" si="102"/>
        <v>241.4</v>
      </c>
      <c r="AD2584" s="67">
        <f t="shared" si="116"/>
        <v>38.624</v>
      </c>
      <c r="AE2584" s="67">
        <f t="shared" si="117"/>
        <v>280.024</v>
      </c>
      <c r="AF2584" s="67">
        <f t="shared" si="105"/>
        <v>235.72</v>
      </c>
      <c r="AG2584" s="67">
        <f t="shared" si="118"/>
        <v>37.7152</v>
      </c>
      <c r="AH2584" s="67">
        <f t="shared" si="119"/>
        <v>273.4352</v>
      </c>
      <c r="AI2584" s="67">
        <f t="shared" si="108"/>
        <v>227.2</v>
      </c>
      <c r="AJ2584" s="68">
        <f t="shared" si="126"/>
        <v>36.352</v>
      </c>
      <c r="AK2584" s="68">
        <f t="shared" si="127"/>
        <v>263.552</v>
      </c>
      <c r="AL2584" s="70"/>
      <c r="AM2584" s="70"/>
      <c r="AN2584" s="71"/>
      <c r="AO2584" s="71"/>
      <c r="AP2584" s="71"/>
      <c r="AQ2584" s="71"/>
      <c r="AR2584" s="71"/>
      <c r="AS2584" s="71"/>
      <c r="AT2584" s="71"/>
      <c r="AU2584" s="71"/>
      <c r="AV2584" s="71"/>
      <c r="AW2584" s="71"/>
      <c r="AX2584" s="71"/>
      <c r="AY2584" s="71"/>
      <c r="AZ2584" s="71"/>
      <c r="BA2584" s="71"/>
      <c r="BB2584" s="71"/>
      <c r="BC2584" s="71"/>
      <c r="BD2584" s="71"/>
      <c r="BE2584" s="71"/>
      <c r="BF2584" s="71"/>
      <c r="BG2584" s="71"/>
      <c r="BH2584" s="71"/>
      <c r="BI2584" s="71"/>
      <c r="BJ2584" s="71"/>
      <c r="BK2584" s="71"/>
      <c r="BL2584" s="71"/>
      <c r="BM2584" s="71"/>
      <c r="BN2584" s="71"/>
      <c r="BO2584" s="71"/>
      <c r="BP2584" s="71"/>
      <c r="BQ2584" s="71"/>
      <c r="BR2584" s="71"/>
      <c r="BS2584" s="71"/>
      <c r="BT2584" s="71"/>
      <c r="BU2584" s="71"/>
      <c r="BV2584" s="71"/>
    </row>
    <row r="2585">
      <c r="A2585" s="53"/>
      <c r="B2585" s="53"/>
      <c r="C2585" s="53" t="s">
        <v>53</v>
      </c>
      <c r="D2585" s="53" t="s">
        <v>6362</v>
      </c>
      <c r="E2585" s="54" t="s">
        <v>38</v>
      </c>
      <c r="F2585" s="54" t="s">
        <v>42</v>
      </c>
      <c r="G2585" s="55" t="s">
        <v>6363</v>
      </c>
      <c r="H2585" s="54" t="s">
        <v>6364</v>
      </c>
      <c r="I2585" s="54">
        <f t="shared" si="125"/>
        <v>39</v>
      </c>
      <c r="J2585" s="56"/>
      <c r="K2585" s="57"/>
      <c r="L2585" s="76"/>
      <c r="M2585" s="59"/>
      <c r="N2585" s="79">
        <v>250.0</v>
      </c>
      <c r="O2585" s="61">
        <v>270.0</v>
      </c>
      <c r="P2585" s="63">
        <v>291.6</v>
      </c>
      <c r="Q2585" s="63">
        <v>291.6</v>
      </c>
      <c r="R2585" s="64">
        <v>307.0</v>
      </c>
      <c r="S2585" s="111">
        <v>322.0</v>
      </c>
      <c r="T2585" s="65">
        <f t="shared" si="93"/>
        <v>51.52</v>
      </c>
      <c r="U2585" s="65">
        <f t="shared" si="94"/>
        <v>373.52</v>
      </c>
      <c r="V2585" s="66">
        <f t="shared" si="131"/>
        <v>0.04885993485</v>
      </c>
      <c r="W2585" s="67">
        <f t="shared" si="96"/>
        <v>305.9</v>
      </c>
      <c r="X2585" s="67">
        <f t="shared" si="132"/>
        <v>48.944</v>
      </c>
      <c r="Y2585" s="67">
        <f t="shared" si="133"/>
        <v>354.844</v>
      </c>
      <c r="Z2585" s="67">
        <f t="shared" si="99"/>
        <v>289.8</v>
      </c>
      <c r="AA2585" s="67">
        <f t="shared" si="114"/>
        <v>46.368</v>
      </c>
      <c r="AB2585" s="67">
        <f t="shared" si="115"/>
        <v>336.168</v>
      </c>
      <c r="AC2585" s="67">
        <f t="shared" si="102"/>
        <v>273.7</v>
      </c>
      <c r="AD2585" s="67">
        <f t="shared" si="116"/>
        <v>43.792</v>
      </c>
      <c r="AE2585" s="67">
        <f t="shared" si="117"/>
        <v>317.492</v>
      </c>
      <c r="AF2585" s="67">
        <f t="shared" si="105"/>
        <v>267.26</v>
      </c>
      <c r="AG2585" s="67">
        <f t="shared" si="118"/>
        <v>42.7616</v>
      </c>
      <c r="AH2585" s="67">
        <f t="shared" si="119"/>
        <v>310.0216</v>
      </c>
      <c r="AI2585" s="67">
        <f t="shared" si="108"/>
        <v>257.6</v>
      </c>
      <c r="AJ2585" s="68">
        <f t="shared" si="126"/>
        <v>41.216</v>
      </c>
      <c r="AK2585" s="68">
        <f t="shared" si="127"/>
        <v>298.816</v>
      </c>
      <c r="AL2585" s="70"/>
      <c r="AM2585" s="70"/>
      <c r="AN2585" s="71"/>
      <c r="AO2585" s="71"/>
      <c r="AP2585" s="71"/>
      <c r="AQ2585" s="71"/>
      <c r="AR2585" s="71"/>
      <c r="AS2585" s="71"/>
      <c r="AT2585" s="71"/>
      <c r="AU2585" s="71"/>
      <c r="AV2585" s="71"/>
      <c r="AW2585" s="71"/>
      <c r="AX2585" s="71"/>
      <c r="AY2585" s="71"/>
      <c r="AZ2585" s="71"/>
      <c r="BA2585" s="71"/>
      <c r="BB2585" s="71"/>
      <c r="BC2585" s="71"/>
      <c r="BD2585" s="71"/>
      <c r="BE2585" s="71"/>
      <c r="BF2585" s="71"/>
      <c r="BG2585" s="71"/>
      <c r="BH2585" s="71"/>
      <c r="BI2585" s="71"/>
      <c r="BJ2585" s="71"/>
      <c r="BK2585" s="71"/>
      <c r="BL2585" s="71"/>
      <c r="BM2585" s="71"/>
      <c r="BN2585" s="71"/>
      <c r="BO2585" s="71"/>
      <c r="BP2585" s="71"/>
      <c r="BQ2585" s="71"/>
      <c r="BR2585" s="71"/>
      <c r="BS2585" s="71"/>
      <c r="BT2585" s="71"/>
      <c r="BU2585" s="71"/>
      <c r="BV2585" s="71"/>
    </row>
    <row r="2586">
      <c r="A2586" s="53"/>
      <c r="B2586" s="53"/>
      <c r="C2586" s="53" t="s">
        <v>53</v>
      </c>
      <c r="D2586" s="53" t="s">
        <v>6365</v>
      </c>
      <c r="E2586" s="86" t="s">
        <v>77</v>
      </c>
      <c r="F2586" s="91" t="s">
        <v>4105</v>
      </c>
      <c r="G2586" s="84" t="s">
        <v>6366</v>
      </c>
      <c r="H2586" s="84" t="s">
        <v>6366</v>
      </c>
      <c r="I2586" s="54">
        <f t="shared" si="125"/>
        <v>34</v>
      </c>
      <c r="J2586" s="56"/>
      <c r="K2586" s="57"/>
      <c r="L2586" s="76"/>
      <c r="M2586" s="59"/>
      <c r="N2586" s="60"/>
      <c r="O2586" s="90"/>
      <c r="P2586" s="62">
        <v>1500.0</v>
      </c>
      <c r="Q2586" s="63">
        <v>1500.0</v>
      </c>
      <c r="R2586" s="64">
        <v>1654.0</v>
      </c>
      <c r="S2586" s="111">
        <v>1737.0</v>
      </c>
      <c r="T2586" s="65">
        <f t="shared" si="93"/>
        <v>277.92</v>
      </c>
      <c r="U2586" s="65">
        <f t="shared" si="94"/>
        <v>2014.92</v>
      </c>
      <c r="V2586" s="66"/>
      <c r="W2586" s="67">
        <f t="shared" si="96"/>
        <v>1650.15</v>
      </c>
      <c r="X2586" s="67">
        <f t="shared" si="132"/>
        <v>264.024</v>
      </c>
      <c r="Y2586" s="67">
        <f t="shared" si="133"/>
        <v>1914.174</v>
      </c>
      <c r="Z2586" s="67">
        <f t="shared" si="99"/>
        <v>1563.3</v>
      </c>
      <c r="AA2586" s="67">
        <f t="shared" si="114"/>
        <v>250.128</v>
      </c>
      <c r="AB2586" s="67">
        <f t="shared" si="115"/>
        <v>1813.428</v>
      </c>
      <c r="AC2586" s="67">
        <f t="shared" si="102"/>
        <v>1476.45</v>
      </c>
      <c r="AD2586" s="67">
        <f t="shared" si="116"/>
        <v>236.232</v>
      </c>
      <c r="AE2586" s="67">
        <f t="shared" si="117"/>
        <v>1712.682</v>
      </c>
      <c r="AF2586" s="67">
        <f t="shared" si="105"/>
        <v>1441.71</v>
      </c>
      <c r="AG2586" s="67">
        <f t="shared" si="118"/>
        <v>230.6736</v>
      </c>
      <c r="AH2586" s="67">
        <f t="shared" si="119"/>
        <v>1672.3836</v>
      </c>
      <c r="AI2586" s="67">
        <f t="shared" si="108"/>
        <v>1389.6</v>
      </c>
      <c r="AJ2586" s="68">
        <f t="shared" si="126"/>
        <v>222.336</v>
      </c>
      <c r="AK2586" s="68">
        <f t="shared" si="127"/>
        <v>1611.936</v>
      </c>
      <c r="AL2586" s="70"/>
      <c r="AM2586" s="70"/>
      <c r="AN2586" s="71"/>
      <c r="AO2586" s="71"/>
      <c r="AP2586" s="71"/>
      <c r="AQ2586" s="71"/>
      <c r="AR2586" s="71"/>
      <c r="AS2586" s="71"/>
      <c r="AT2586" s="71"/>
      <c r="AU2586" s="71"/>
      <c r="AV2586" s="71"/>
      <c r="AW2586" s="71"/>
      <c r="AX2586" s="71"/>
      <c r="AY2586" s="71"/>
      <c r="AZ2586" s="71"/>
      <c r="BA2586" s="71"/>
      <c r="BB2586" s="71"/>
      <c r="BC2586" s="71"/>
      <c r="BD2586" s="71"/>
      <c r="BE2586" s="71"/>
      <c r="BF2586" s="71"/>
      <c r="BG2586" s="71"/>
      <c r="BH2586" s="71"/>
      <c r="BI2586" s="71"/>
      <c r="BJ2586" s="71"/>
      <c r="BK2586" s="71"/>
      <c r="BL2586" s="71"/>
      <c r="BM2586" s="71"/>
      <c r="BN2586" s="71"/>
      <c r="BO2586" s="71"/>
      <c r="BP2586" s="71"/>
      <c r="BQ2586" s="71"/>
      <c r="BR2586" s="71"/>
      <c r="BS2586" s="71"/>
      <c r="BT2586" s="71"/>
      <c r="BU2586" s="71"/>
      <c r="BV2586" s="71"/>
    </row>
    <row r="2587">
      <c r="A2587" s="53"/>
      <c r="B2587" s="53"/>
      <c r="C2587" s="53" t="s">
        <v>36</v>
      </c>
      <c r="D2587" s="85" t="s">
        <v>6367</v>
      </c>
      <c r="E2587" s="54" t="s">
        <v>38</v>
      </c>
      <c r="F2587" s="55" t="s">
        <v>39</v>
      </c>
      <c r="G2587" s="86" t="s">
        <v>6368</v>
      </c>
      <c r="H2587" s="55"/>
      <c r="I2587" s="54">
        <f t="shared" si="125"/>
        <v>0</v>
      </c>
      <c r="J2587" s="56"/>
      <c r="K2587" s="57"/>
      <c r="L2587" s="76"/>
      <c r="M2587" s="59"/>
      <c r="N2587" s="60"/>
      <c r="O2587" s="61">
        <v>940.8</v>
      </c>
      <c r="P2587" s="62">
        <v>1016.064</v>
      </c>
      <c r="Q2587" s="63">
        <v>1016.064</v>
      </c>
      <c r="R2587" s="64">
        <v>1067.0</v>
      </c>
      <c r="S2587" s="107">
        <v>1120.0</v>
      </c>
      <c r="T2587" s="65">
        <f t="shared" si="93"/>
        <v>179.2</v>
      </c>
      <c r="U2587" s="65">
        <f t="shared" si="94"/>
        <v>1299.2</v>
      </c>
      <c r="V2587" s="66">
        <f t="shared" ref="V2587:V2691" si="134">(S2587-R2587)/R2587</f>
        <v>0.04967197751</v>
      </c>
      <c r="W2587" s="67">
        <f t="shared" si="96"/>
        <v>1064</v>
      </c>
      <c r="X2587" s="67">
        <f t="shared" si="132"/>
        <v>170.24</v>
      </c>
      <c r="Y2587" s="67">
        <f t="shared" si="133"/>
        <v>1234.24</v>
      </c>
      <c r="Z2587" s="67">
        <f t="shared" si="99"/>
        <v>1008</v>
      </c>
      <c r="AA2587" s="67">
        <f t="shared" si="114"/>
        <v>161.28</v>
      </c>
      <c r="AB2587" s="67">
        <f t="shared" si="115"/>
        <v>1169.28</v>
      </c>
      <c r="AC2587" s="67">
        <f t="shared" si="102"/>
        <v>952</v>
      </c>
      <c r="AD2587" s="67">
        <f t="shared" si="116"/>
        <v>152.32</v>
      </c>
      <c r="AE2587" s="67">
        <f t="shared" si="117"/>
        <v>1104.32</v>
      </c>
      <c r="AF2587" s="67">
        <f t="shared" si="105"/>
        <v>929.6</v>
      </c>
      <c r="AG2587" s="67">
        <f t="shared" si="118"/>
        <v>148.736</v>
      </c>
      <c r="AH2587" s="67">
        <f t="shared" si="119"/>
        <v>1078.336</v>
      </c>
      <c r="AI2587" s="67">
        <f t="shared" si="108"/>
        <v>896</v>
      </c>
      <c r="AJ2587" s="68">
        <f t="shared" si="126"/>
        <v>143.36</v>
      </c>
      <c r="AK2587" s="68">
        <f t="shared" si="127"/>
        <v>1039.36</v>
      </c>
      <c r="AL2587" s="70"/>
      <c r="AM2587" s="70"/>
      <c r="AN2587" s="71"/>
      <c r="AO2587" s="71"/>
      <c r="AP2587" s="71"/>
      <c r="AQ2587" s="71"/>
      <c r="AR2587" s="71"/>
      <c r="AS2587" s="71"/>
      <c r="AT2587" s="71"/>
      <c r="AU2587" s="71"/>
      <c r="AV2587" s="71"/>
      <c r="AW2587" s="71"/>
      <c r="AX2587" s="71"/>
      <c r="AY2587" s="71"/>
      <c r="AZ2587" s="71"/>
      <c r="BA2587" s="71"/>
      <c r="BB2587" s="71"/>
      <c r="BC2587" s="71"/>
      <c r="BD2587" s="71"/>
      <c r="BE2587" s="71"/>
      <c r="BF2587" s="71"/>
      <c r="BG2587" s="71"/>
      <c r="BH2587" s="71"/>
      <c r="BI2587" s="71"/>
      <c r="BJ2587" s="71"/>
      <c r="BK2587" s="71"/>
      <c r="BL2587" s="71"/>
      <c r="BM2587" s="71"/>
      <c r="BN2587" s="71"/>
      <c r="BO2587" s="71"/>
      <c r="BP2587" s="71"/>
      <c r="BQ2587" s="71"/>
      <c r="BR2587" s="71"/>
      <c r="BS2587" s="71"/>
      <c r="BT2587" s="71"/>
      <c r="BU2587" s="71"/>
      <c r="BV2587" s="71"/>
    </row>
    <row r="2588">
      <c r="A2588" s="53"/>
      <c r="B2588" s="53"/>
      <c r="C2588" s="53" t="s">
        <v>12</v>
      </c>
      <c r="D2588" s="53" t="s">
        <v>6369</v>
      </c>
      <c r="E2588" s="54" t="s">
        <v>38</v>
      </c>
      <c r="F2588" s="54" t="s">
        <v>42</v>
      </c>
      <c r="G2588" s="55" t="s">
        <v>6370</v>
      </c>
      <c r="H2588" s="55" t="s">
        <v>6371</v>
      </c>
      <c r="I2588" s="54">
        <f t="shared" si="125"/>
        <v>39</v>
      </c>
      <c r="J2588" s="56"/>
      <c r="K2588" s="57"/>
      <c r="L2588" s="76"/>
      <c r="M2588" s="59"/>
      <c r="N2588" s="60"/>
      <c r="O2588" s="61">
        <v>337.0</v>
      </c>
      <c r="P2588" s="62">
        <v>363.96000000000004</v>
      </c>
      <c r="Q2588" s="63">
        <v>363.96000000000004</v>
      </c>
      <c r="R2588" s="64">
        <v>383.0</v>
      </c>
      <c r="S2588" s="111">
        <v>402.0</v>
      </c>
      <c r="T2588" s="65">
        <f t="shared" si="93"/>
        <v>64.32</v>
      </c>
      <c r="U2588" s="65">
        <f t="shared" si="94"/>
        <v>466.32</v>
      </c>
      <c r="V2588" s="66">
        <f t="shared" si="134"/>
        <v>0.04960835509</v>
      </c>
      <c r="W2588" s="67">
        <f t="shared" si="96"/>
        <v>381.9</v>
      </c>
      <c r="X2588" s="67">
        <f t="shared" si="132"/>
        <v>61.104</v>
      </c>
      <c r="Y2588" s="67">
        <f t="shared" si="133"/>
        <v>443.004</v>
      </c>
      <c r="Z2588" s="67">
        <f t="shared" si="99"/>
        <v>361.8</v>
      </c>
      <c r="AA2588" s="67">
        <f t="shared" si="114"/>
        <v>57.888</v>
      </c>
      <c r="AB2588" s="67">
        <f t="shared" si="115"/>
        <v>419.688</v>
      </c>
      <c r="AC2588" s="67">
        <f t="shared" si="102"/>
        <v>341.7</v>
      </c>
      <c r="AD2588" s="67">
        <f t="shared" si="116"/>
        <v>54.672</v>
      </c>
      <c r="AE2588" s="67">
        <f t="shared" si="117"/>
        <v>396.372</v>
      </c>
      <c r="AF2588" s="67">
        <f t="shared" si="105"/>
        <v>333.66</v>
      </c>
      <c r="AG2588" s="67">
        <f t="shared" si="118"/>
        <v>53.3856</v>
      </c>
      <c r="AH2588" s="67">
        <f t="shared" si="119"/>
        <v>387.0456</v>
      </c>
      <c r="AI2588" s="67">
        <f t="shared" si="108"/>
        <v>321.6</v>
      </c>
      <c r="AJ2588" s="68">
        <f t="shared" si="126"/>
        <v>51.456</v>
      </c>
      <c r="AK2588" s="68">
        <f t="shared" si="127"/>
        <v>373.056</v>
      </c>
      <c r="AL2588" s="70"/>
      <c r="AM2588" s="70"/>
      <c r="AN2588" s="71"/>
      <c r="AO2588" s="71"/>
      <c r="AP2588" s="71"/>
      <c r="AQ2588" s="71"/>
      <c r="AR2588" s="71"/>
      <c r="AS2588" s="71"/>
      <c r="AT2588" s="71"/>
      <c r="AU2588" s="71"/>
      <c r="AV2588" s="71"/>
      <c r="AW2588" s="71"/>
      <c r="AX2588" s="71"/>
      <c r="AY2588" s="71"/>
      <c r="AZ2588" s="71"/>
      <c r="BA2588" s="71"/>
      <c r="BB2588" s="71"/>
      <c r="BC2588" s="71"/>
      <c r="BD2588" s="71"/>
      <c r="BE2588" s="71"/>
      <c r="BF2588" s="71"/>
      <c r="BG2588" s="71"/>
      <c r="BH2588" s="71"/>
      <c r="BI2588" s="71"/>
      <c r="BJ2588" s="71"/>
      <c r="BK2588" s="71"/>
      <c r="BL2588" s="71"/>
      <c r="BM2588" s="71"/>
      <c r="BN2588" s="71"/>
      <c r="BO2588" s="71"/>
      <c r="BP2588" s="71"/>
      <c r="BQ2588" s="71"/>
      <c r="BR2588" s="71"/>
      <c r="BS2588" s="71"/>
      <c r="BT2588" s="71"/>
      <c r="BU2588" s="71"/>
      <c r="BV2588" s="71"/>
    </row>
    <row r="2589">
      <c r="A2589" s="53"/>
      <c r="B2589" s="53"/>
      <c r="C2589" s="53" t="s">
        <v>36</v>
      </c>
      <c r="D2589" s="85" t="s">
        <v>6372</v>
      </c>
      <c r="E2589" s="54" t="s">
        <v>38</v>
      </c>
      <c r="F2589" s="55" t="s">
        <v>39</v>
      </c>
      <c r="G2589" s="86" t="s">
        <v>6373</v>
      </c>
      <c r="H2589" s="86" t="s">
        <v>6373</v>
      </c>
      <c r="I2589" s="54">
        <f t="shared" si="125"/>
        <v>13</v>
      </c>
      <c r="J2589" s="56"/>
      <c r="K2589" s="57"/>
      <c r="L2589" s="87"/>
      <c r="M2589" s="59"/>
      <c r="N2589" s="60"/>
      <c r="O2589" s="61">
        <v>1867.0</v>
      </c>
      <c r="P2589" s="62">
        <v>1235.0</v>
      </c>
      <c r="Q2589" s="63">
        <v>1235.0</v>
      </c>
      <c r="R2589" s="64">
        <v>1297.0</v>
      </c>
      <c r="S2589" s="107">
        <v>1362.0</v>
      </c>
      <c r="T2589" s="65">
        <f t="shared" si="93"/>
        <v>217.92</v>
      </c>
      <c r="U2589" s="65">
        <f t="shared" si="94"/>
        <v>1579.92</v>
      </c>
      <c r="V2589" s="66">
        <f t="shared" si="134"/>
        <v>0.0501156515</v>
      </c>
      <c r="W2589" s="67">
        <f t="shared" si="96"/>
        <v>1293.9</v>
      </c>
      <c r="X2589" s="67">
        <f t="shared" si="132"/>
        <v>207.024</v>
      </c>
      <c r="Y2589" s="67">
        <f t="shared" si="133"/>
        <v>1500.924</v>
      </c>
      <c r="Z2589" s="67">
        <f t="shared" si="99"/>
        <v>1225.8</v>
      </c>
      <c r="AA2589" s="67">
        <f t="shared" si="114"/>
        <v>196.128</v>
      </c>
      <c r="AB2589" s="67">
        <f t="shared" si="115"/>
        <v>1421.928</v>
      </c>
      <c r="AC2589" s="67">
        <f t="shared" si="102"/>
        <v>1157.7</v>
      </c>
      <c r="AD2589" s="67">
        <f t="shared" si="116"/>
        <v>185.232</v>
      </c>
      <c r="AE2589" s="67">
        <f t="shared" si="117"/>
        <v>1342.932</v>
      </c>
      <c r="AF2589" s="67">
        <f t="shared" si="105"/>
        <v>1130.46</v>
      </c>
      <c r="AG2589" s="67">
        <f t="shared" si="118"/>
        <v>180.8736</v>
      </c>
      <c r="AH2589" s="67">
        <f t="shared" si="119"/>
        <v>1311.3336</v>
      </c>
      <c r="AI2589" s="67">
        <f t="shared" si="108"/>
        <v>1089.6</v>
      </c>
      <c r="AJ2589" s="68">
        <f t="shared" si="126"/>
        <v>174.336</v>
      </c>
      <c r="AK2589" s="68">
        <f t="shared" si="127"/>
        <v>1263.936</v>
      </c>
      <c r="AL2589" s="70"/>
      <c r="AM2589" s="70"/>
      <c r="AN2589" s="71"/>
      <c r="AO2589" s="71"/>
      <c r="AP2589" s="71"/>
      <c r="AQ2589" s="71"/>
      <c r="AR2589" s="71"/>
      <c r="AS2589" s="71"/>
      <c r="AT2589" s="71"/>
      <c r="AU2589" s="71"/>
      <c r="AV2589" s="71"/>
      <c r="AW2589" s="71"/>
      <c r="AX2589" s="71"/>
      <c r="AY2589" s="71"/>
      <c r="AZ2589" s="71"/>
      <c r="BA2589" s="71"/>
      <c r="BB2589" s="71"/>
      <c r="BC2589" s="71"/>
      <c r="BD2589" s="71"/>
      <c r="BE2589" s="71"/>
      <c r="BF2589" s="71"/>
      <c r="BG2589" s="71"/>
      <c r="BH2589" s="71"/>
      <c r="BI2589" s="71"/>
      <c r="BJ2589" s="71"/>
      <c r="BK2589" s="71"/>
      <c r="BL2589" s="71"/>
      <c r="BM2589" s="71"/>
      <c r="BN2589" s="71"/>
      <c r="BO2589" s="71"/>
      <c r="BP2589" s="71"/>
      <c r="BQ2589" s="71"/>
      <c r="BR2589" s="71"/>
      <c r="BS2589" s="71"/>
      <c r="BT2589" s="71"/>
      <c r="BU2589" s="71"/>
      <c r="BV2589" s="71"/>
    </row>
    <row r="2590">
      <c r="A2590" s="53"/>
      <c r="B2590" s="53"/>
      <c r="C2590" s="53" t="s">
        <v>36</v>
      </c>
      <c r="D2590" s="85" t="s">
        <v>6374</v>
      </c>
      <c r="E2590" s="54" t="s">
        <v>38</v>
      </c>
      <c r="F2590" s="55" t="s">
        <v>39</v>
      </c>
      <c r="G2590" s="86" t="s">
        <v>6375</v>
      </c>
      <c r="H2590" s="55"/>
      <c r="I2590" s="54">
        <f t="shared" si="125"/>
        <v>0</v>
      </c>
      <c r="J2590" s="56"/>
      <c r="K2590" s="57"/>
      <c r="L2590" s="76"/>
      <c r="M2590" s="59"/>
      <c r="N2590" s="60"/>
      <c r="O2590" s="61">
        <v>20352.0</v>
      </c>
      <c r="P2590" s="62">
        <v>21980.16</v>
      </c>
      <c r="Q2590" s="63">
        <v>21980.16</v>
      </c>
      <c r="R2590" s="64">
        <v>23079.0</v>
      </c>
      <c r="S2590" s="107">
        <v>24233.0</v>
      </c>
      <c r="T2590" s="65">
        <f t="shared" si="93"/>
        <v>3877.28</v>
      </c>
      <c r="U2590" s="65">
        <f t="shared" si="94"/>
        <v>28110.28</v>
      </c>
      <c r="V2590" s="66">
        <f t="shared" si="134"/>
        <v>0.05000216647</v>
      </c>
      <c r="W2590" s="67">
        <f t="shared" si="96"/>
        <v>23021.35</v>
      </c>
      <c r="X2590" s="67">
        <f t="shared" si="132"/>
        <v>3683.416</v>
      </c>
      <c r="Y2590" s="67">
        <f t="shared" si="133"/>
        <v>26704.766</v>
      </c>
      <c r="Z2590" s="67">
        <f t="shared" si="99"/>
        <v>21809.7</v>
      </c>
      <c r="AA2590" s="67">
        <f t="shared" si="114"/>
        <v>3489.552</v>
      </c>
      <c r="AB2590" s="67">
        <f t="shared" si="115"/>
        <v>25299.252</v>
      </c>
      <c r="AC2590" s="67">
        <f t="shared" si="102"/>
        <v>20598.05</v>
      </c>
      <c r="AD2590" s="67">
        <f t="shared" si="116"/>
        <v>3295.688</v>
      </c>
      <c r="AE2590" s="67">
        <f t="shared" si="117"/>
        <v>23893.738</v>
      </c>
      <c r="AF2590" s="67">
        <f t="shared" si="105"/>
        <v>20113.39</v>
      </c>
      <c r="AG2590" s="67">
        <f t="shared" si="118"/>
        <v>3218.1424</v>
      </c>
      <c r="AH2590" s="67">
        <f t="shared" si="119"/>
        <v>23331.5324</v>
      </c>
      <c r="AI2590" s="67">
        <f t="shared" si="108"/>
        <v>19386.4</v>
      </c>
      <c r="AJ2590" s="68">
        <f t="shared" si="126"/>
        <v>3101.824</v>
      </c>
      <c r="AK2590" s="68">
        <f t="shared" si="127"/>
        <v>22488.224</v>
      </c>
      <c r="AL2590" s="70"/>
      <c r="AM2590" s="70"/>
      <c r="AN2590" s="71"/>
      <c r="AO2590" s="71"/>
      <c r="AP2590" s="71"/>
      <c r="AQ2590" s="71"/>
      <c r="AR2590" s="71"/>
      <c r="AS2590" s="71"/>
      <c r="AT2590" s="71"/>
      <c r="AU2590" s="71"/>
      <c r="AV2590" s="71"/>
      <c r="AW2590" s="71"/>
      <c r="AX2590" s="71"/>
      <c r="AY2590" s="71"/>
      <c r="AZ2590" s="71"/>
      <c r="BA2590" s="71"/>
      <c r="BB2590" s="71"/>
      <c r="BC2590" s="71"/>
      <c r="BD2590" s="71"/>
      <c r="BE2590" s="71"/>
      <c r="BF2590" s="71"/>
      <c r="BG2590" s="71"/>
      <c r="BH2590" s="71"/>
      <c r="BI2590" s="71"/>
      <c r="BJ2590" s="71"/>
      <c r="BK2590" s="71"/>
      <c r="BL2590" s="71"/>
      <c r="BM2590" s="71"/>
      <c r="BN2590" s="71"/>
      <c r="BO2590" s="71"/>
      <c r="BP2590" s="71"/>
      <c r="BQ2590" s="71"/>
      <c r="BR2590" s="71"/>
      <c r="BS2590" s="71"/>
      <c r="BT2590" s="71"/>
      <c r="BU2590" s="71"/>
      <c r="BV2590" s="71"/>
    </row>
    <row r="2591">
      <c r="A2591" s="53"/>
      <c r="B2591" s="53"/>
      <c r="C2591" s="53" t="s">
        <v>53</v>
      </c>
      <c r="D2591" s="53" t="s">
        <v>6376</v>
      </c>
      <c r="E2591" s="54" t="s">
        <v>38</v>
      </c>
      <c r="F2591" s="54" t="s">
        <v>42</v>
      </c>
      <c r="G2591" s="55" t="s">
        <v>6377</v>
      </c>
      <c r="H2591" s="55" t="s">
        <v>6377</v>
      </c>
      <c r="I2591" s="54">
        <f t="shared" si="125"/>
        <v>35</v>
      </c>
      <c r="J2591" s="56"/>
      <c r="K2591" s="57"/>
      <c r="L2591" s="76"/>
      <c r="M2591" s="59"/>
      <c r="N2591" s="60"/>
      <c r="O2591" s="61">
        <v>913.0</v>
      </c>
      <c r="P2591" s="62">
        <v>986.0400000000001</v>
      </c>
      <c r="Q2591" s="63">
        <v>986.0400000000001</v>
      </c>
      <c r="R2591" s="64">
        <v>1036.0</v>
      </c>
      <c r="S2591" s="111">
        <v>1088.0</v>
      </c>
      <c r="T2591" s="65">
        <f t="shared" si="93"/>
        <v>174.08</v>
      </c>
      <c r="U2591" s="65">
        <f t="shared" si="94"/>
        <v>1262.08</v>
      </c>
      <c r="V2591" s="66">
        <f t="shared" si="134"/>
        <v>0.05019305019</v>
      </c>
      <c r="W2591" s="67">
        <f t="shared" si="96"/>
        <v>1033.6</v>
      </c>
      <c r="X2591" s="67">
        <f t="shared" si="132"/>
        <v>165.376</v>
      </c>
      <c r="Y2591" s="67">
        <f t="shared" si="133"/>
        <v>1198.976</v>
      </c>
      <c r="Z2591" s="67">
        <f t="shared" si="99"/>
        <v>979.2</v>
      </c>
      <c r="AA2591" s="67">
        <f t="shared" si="114"/>
        <v>156.672</v>
      </c>
      <c r="AB2591" s="67">
        <f t="shared" si="115"/>
        <v>1135.872</v>
      </c>
      <c r="AC2591" s="67">
        <f t="shared" si="102"/>
        <v>924.8</v>
      </c>
      <c r="AD2591" s="67">
        <f t="shared" si="116"/>
        <v>147.968</v>
      </c>
      <c r="AE2591" s="67">
        <f t="shared" si="117"/>
        <v>1072.768</v>
      </c>
      <c r="AF2591" s="67">
        <f t="shared" si="105"/>
        <v>903.04</v>
      </c>
      <c r="AG2591" s="67">
        <f t="shared" si="118"/>
        <v>144.4864</v>
      </c>
      <c r="AH2591" s="67">
        <f t="shared" si="119"/>
        <v>1047.5264</v>
      </c>
      <c r="AI2591" s="67">
        <f t="shared" si="108"/>
        <v>870.4</v>
      </c>
      <c r="AJ2591" s="68">
        <f t="shared" si="126"/>
        <v>139.264</v>
      </c>
      <c r="AK2591" s="68">
        <f t="shared" si="127"/>
        <v>1009.664</v>
      </c>
      <c r="AL2591" s="70"/>
      <c r="AM2591" s="70"/>
      <c r="AN2591" s="71"/>
      <c r="AO2591" s="71"/>
      <c r="AP2591" s="71"/>
      <c r="AQ2591" s="71"/>
      <c r="AR2591" s="71"/>
      <c r="AS2591" s="71"/>
      <c r="AT2591" s="71"/>
      <c r="AU2591" s="71"/>
      <c r="AV2591" s="71"/>
      <c r="AW2591" s="71"/>
      <c r="AX2591" s="71"/>
      <c r="AY2591" s="71"/>
      <c r="AZ2591" s="71"/>
      <c r="BA2591" s="71"/>
      <c r="BB2591" s="71"/>
      <c r="BC2591" s="71"/>
      <c r="BD2591" s="71"/>
      <c r="BE2591" s="71"/>
      <c r="BF2591" s="71"/>
      <c r="BG2591" s="71"/>
      <c r="BH2591" s="71"/>
      <c r="BI2591" s="71"/>
      <c r="BJ2591" s="71"/>
      <c r="BK2591" s="71"/>
      <c r="BL2591" s="71"/>
      <c r="BM2591" s="71"/>
      <c r="BN2591" s="71"/>
      <c r="BO2591" s="71"/>
      <c r="BP2591" s="71"/>
      <c r="BQ2591" s="71"/>
      <c r="BR2591" s="71"/>
      <c r="BS2591" s="71"/>
      <c r="BT2591" s="71"/>
      <c r="BU2591" s="71"/>
      <c r="BV2591" s="71"/>
    </row>
    <row r="2592">
      <c r="A2592" s="53"/>
      <c r="B2592" s="53"/>
      <c r="C2592" s="73" t="s">
        <v>53</v>
      </c>
      <c r="D2592" s="53" t="s">
        <v>6378</v>
      </c>
      <c r="E2592" s="54" t="s">
        <v>38</v>
      </c>
      <c r="F2592" s="54" t="s">
        <v>42</v>
      </c>
      <c r="G2592" s="55" t="s">
        <v>6379</v>
      </c>
      <c r="H2592" s="54" t="s">
        <v>6380</v>
      </c>
      <c r="I2592" s="54">
        <f t="shared" si="125"/>
        <v>40</v>
      </c>
      <c r="J2592" s="56"/>
      <c r="K2592" s="57"/>
      <c r="L2592" s="76"/>
      <c r="M2592" s="59"/>
      <c r="N2592" s="79">
        <v>8990.0</v>
      </c>
      <c r="O2592" s="61">
        <v>9709.0</v>
      </c>
      <c r="P2592" s="62">
        <v>10485.720000000001</v>
      </c>
      <c r="Q2592" s="63">
        <v>10485.720000000001</v>
      </c>
      <c r="R2592" s="64">
        <v>11011.0</v>
      </c>
      <c r="S2592" s="111">
        <v>11562.0</v>
      </c>
      <c r="T2592" s="65">
        <f t="shared" si="93"/>
        <v>1849.92</v>
      </c>
      <c r="U2592" s="65">
        <f t="shared" si="94"/>
        <v>13411.92</v>
      </c>
      <c r="V2592" s="66">
        <f t="shared" si="134"/>
        <v>0.05004086822</v>
      </c>
      <c r="W2592" s="67">
        <f t="shared" si="96"/>
        <v>10983.9</v>
      </c>
      <c r="X2592" s="67">
        <f t="shared" si="132"/>
        <v>1757.424</v>
      </c>
      <c r="Y2592" s="67">
        <f t="shared" si="133"/>
        <v>12741.324</v>
      </c>
      <c r="Z2592" s="67">
        <f t="shared" si="99"/>
        <v>10405.8</v>
      </c>
      <c r="AA2592" s="67">
        <f t="shared" si="114"/>
        <v>1664.928</v>
      </c>
      <c r="AB2592" s="67">
        <f t="shared" si="115"/>
        <v>12070.728</v>
      </c>
      <c r="AC2592" s="67">
        <f t="shared" si="102"/>
        <v>9827.7</v>
      </c>
      <c r="AD2592" s="67">
        <f t="shared" si="116"/>
        <v>1572.432</v>
      </c>
      <c r="AE2592" s="67">
        <f t="shared" si="117"/>
        <v>11400.132</v>
      </c>
      <c r="AF2592" s="67">
        <f t="shared" si="105"/>
        <v>9596.46</v>
      </c>
      <c r="AG2592" s="67">
        <f t="shared" si="118"/>
        <v>1535.4336</v>
      </c>
      <c r="AH2592" s="67">
        <f t="shared" si="119"/>
        <v>11131.8936</v>
      </c>
      <c r="AI2592" s="67">
        <f t="shared" si="108"/>
        <v>9249.6</v>
      </c>
      <c r="AJ2592" s="68">
        <f t="shared" si="126"/>
        <v>1479.936</v>
      </c>
      <c r="AK2592" s="68">
        <f t="shared" si="127"/>
        <v>10729.536</v>
      </c>
      <c r="AL2592" s="70"/>
      <c r="AM2592" s="70"/>
      <c r="AN2592" s="71"/>
      <c r="AO2592" s="71"/>
      <c r="AP2592" s="71"/>
      <c r="AQ2592" s="71"/>
      <c r="AR2592" s="71"/>
      <c r="AS2592" s="71"/>
      <c r="AT2592" s="71"/>
      <c r="AU2592" s="71"/>
      <c r="AV2592" s="71"/>
      <c r="AW2592" s="71"/>
      <c r="AX2592" s="71"/>
      <c r="AY2592" s="71"/>
      <c r="AZ2592" s="71"/>
      <c r="BA2592" s="71"/>
      <c r="BB2592" s="71"/>
      <c r="BC2592" s="71"/>
      <c r="BD2592" s="71"/>
      <c r="BE2592" s="71"/>
      <c r="BF2592" s="71"/>
      <c r="BG2592" s="71"/>
      <c r="BH2592" s="71"/>
      <c r="BI2592" s="71"/>
      <c r="BJ2592" s="71"/>
      <c r="BK2592" s="71"/>
      <c r="BL2592" s="71"/>
      <c r="BM2592" s="71"/>
      <c r="BN2592" s="71"/>
      <c r="BO2592" s="71"/>
      <c r="BP2592" s="71"/>
      <c r="BQ2592" s="71"/>
      <c r="BR2592" s="71"/>
      <c r="BS2592" s="71"/>
      <c r="BT2592" s="71"/>
      <c r="BU2592" s="71"/>
      <c r="BV2592" s="71"/>
    </row>
    <row r="2593">
      <c r="A2593" s="53"/>
      <c r="B2593" s="53"/>
      <c r="C2593" s="53" t="s">
        <v>53</v>
      </c>
      <c r="D2593" s="53" t="s">
        <v>6381</v>
      </c>
      <c r="E2593" s="54" t="s">
        <v>38</v>
      </c>
      <c r="F2593" s="54" t="s">
        <v>42</v>
      </c>
      <c r="G2593" s="55" t="s">
        <v>6382</v>
      </c>
      <c r="H2593" s="55" t="s">
        <v>6382</v>
      </c>
      <c r="I2593" s="54">
        <f t="shared" si="125"/>
        <v>36</v>
      </c>
      <c r="J2593" s="56"/>
      <c r="K2593" s="57"/>
      <c r="L2593" s="76"/>
      <c r="M2593" s="59"/>
      <c r="N2593" s="60"/>
      <c r="O2593" s="61">
        <v>961.0</v>
      </c>
      <c r="P2593" s="62">
        <v>1037.88</v>
      </c>
      <c r="Q2593" s="63">
        <v>1037.88</v>
      </c>
      <c r="R2593" s="64">
        <v>1090.0</v>
      </c>
      <c r="S2593" s="111">
        <v>1145.0</v>
      </c>
      <c r="T2593" s="65">
        <f t="shared" si="93"/>
        <v>183.2</v>
      </c>
      <c r="U2593" s="65">
        <f t="shared" si="94"/>
        <v>1328.2</v>
      </c>
      <c r="V2593" s="66">
        <f t="shared" si="134"/>
        <v>0.0504587156</v>
      </c>
      <c r="W2593" s="67">
        <f t="shared" si="96"/>
        <v>1087.75</v>
      </c>
      <c r="X2593" s="67">
        <f t="shared" si="132"/>
        <v>174.04</v>
      </c>
      <c r="Y2593" s="67">
        <f t="shared" si="133"/>
        <v>1261.79</v>
      </c>
      <c r="Z2593" s="67">
        <f t="shared" si="99"/>
        <v>1030.5</v>
      </c>
      <c r="AA2593" s="67">
        <f t="shared" si="114"/>
        <v>164.88</v>
      </c>
      <c r="AB2593" s="67">
        <f t="shared" si="115"/>
        <v>1195.38</v>
      </c>
      <c r="AC2593" s="67">
        <f t="shared" si="102"/>
        <v>973.25</v>
      </c>
      <c r="AD2593" s="67">
        <f t="shared" si="116"/>
        <v>155.72</v>
      </c>
      <c r="AE2593" s="67">
        <f t="shared" si="117"/>
        <v>1128.97</v>
      </c>
      <c r="AF2593" s="67">
        <f t="shared" si="105"/>
        <v>950.35</v>
      </c>
      <c r="AG2593" s="67">
        <f t="shared" si="118"/>
        <v>152.056</v>
      </c>
      <c r="AH2593" s="67">
        <f t="shared" si="119"/>
        <v>1102.406</v>
      </c>
      <c r="AI2593" s="67">
        <f t="shared" si="108"/>
        <v>916</v>
      </c>
      <c r="AJ2593" s="68">
        <f t="shared" si="126"/>
        <v>146.56</v>
      </c>
      <c r="AK2593" s="68">
        <f t="shared" si="127"/>
        <v>1062.56</v>
      </c>
      <c r="AL2593" s="70"/>
      <c r="AM2593" s="70"/>
      <c r="AN2593" s="71"/>
      <c r="AO2593" s="71"/>
      <c r="AP2593" s="71"/>
      <c r="AQ2593" s="71"/>
      <c r="AR2593" s="71"/>
      <c r="AS2593" s="71"/>
      <c r="AT2593" s="71"/>
      <c r="AU2593" s="71"/>
      <c r="AV2593" s="71"/>
      <c r="AW2593" s="71"/>
      <c r="AX2593" s="71"/>
      <c r="AY2593" s="71"/>
      <c r="AZ2593" s="71"/>
      <c r="BA2593" s="71"/>
      <c r="BB2593" s="71"/>
      <c r="BC2593" s="71"/>
      <c r="BD2593" s="71"/>
      <c r="BE2593" s="71"/>
      <c r="BF2593" s="71"/>
      <c r="BG2593" s="71"/>
      <c r="BH2593" s="71"/>
      <c r="BI2593" s="71"/>
      <c r="BJ2593" s="71"/>
      <c r="BK2593" s="71"/>
      <c r="BL2593" s="71"/>
      <c r="BM2593" s="71"/>
      <c r="BN2593" s="71"/>
      <c r="BO2593" s="71"/>
      <c r="BP2593" s="71"/>
      <c r="BQ2593" s="71"/>
      <c r="BR2593" s="71"/>
      <c r="BS2593" s="71"/>
      <c r="BT2593" s="71"/>
      <c r="BU2593" s="71"/>
      <c r="BV2593" s="71"/>
    </row>
    <row r="2594">
      <c r="A2594" s="53"/>
      <c r="B2594" s="53"/>
      <c r="C2594" s="53" t="s">
        <v>53</v>
      </c>
      <c r="D2594" s="53" t="s">
        <v>6383</v>
      </c>
      <c r="E2594" s="54" t="s">
        <v>38</v>
      </c>
      <c r="F2594" s="54" t="s">
        <v>42</v>
      </c>
      <c r="G2594" s="55" t="s">
        <v>6384</v>
      </c>
      <c r="H2594" s="55" t="s">
        <v>6385</v>
      </c>
      <c r="I2594" s="54">
        <f t="shared" si="125"/>
        <v>40</v>
      </c>
      <c r="J2594" s="56"/>
      <c r="K2594" s="57"/>
      <c r="L2594" s="76"/>
      <c r="M2594" s="59"/>
      <c r="N2594" s="60"/>
      <c r="O2594" s="61">
        <v>1458.0</v>
      </c>
      <c r="P2594" s="62">
        <v>1574.64</v>
      </c>
      <c r="Q2594" s="63">
        <v>1574.64</v>
      </c>
      <c r="R2594" s="64">
        <v>1654.0</v>
      </c>
      <c r="S2594" s="111">
        <v>1737.0</v>
      </c>
      <c r="T2594" s="65">
        <f t="shared" si="93"/>
        <v>277.92</v>
      </c>
      <c r="U2594" s="65">
        <f t="shared" si="94"/>
        <v>2014.92</v>
      </c>
      <c r="V2594" s="66">
        <f t="shared" si="134"/>
        <v>0.05018137848</v>
      </c>
      <c r="W2594" s="67">
        <f t="shared" si="96"/>
        <v>1650.15</v>
      </c>
      <c r="X2594" s="67">
        <f t="shared" si="132"/>
        <v>264.024</v>
      </c>
      <c r="Y2594" s="67">
        <f t="shared" si="133"/>
        <v>1914.174</v>
      </c>
      <c r="Z2594" s="67">
        <f t="shared" si="99"/>
        <v>1563.3</v>
      </c>
      <c r="AA2594" s="67">
        <f t="shared" si="114"/>
        <v>250.128</v>
      </c>
      <c r="AB2594" s="67">
        <f t="shared" si="115"/>
        <v>1813.428</v>
      </c>
      <c r="AC2594" s="67">
        <f t="shared" si="102"/>
        <v>1476.45</v>
      </c>
      <c r="AD2594" s="67">
        <f t="shared" si="116"/>
        <v>236.232</v>
      </c>
      <c r="AE2594" s="67">
        <f t="shared" si="117"/>
        <v>1712.682</v>
      </c>
      <c r="AF2594" s="67">
        <f t="shared" si="105"/>
        <v>1441.71</v>
      </c>
      <c r="AG2594" s="67">
        <f t="shared" si="118"/>
        <v>230.6736</v>
      </c>
      <c r="AH2594" s="67">
        <f t="shared" si="119"/>
        <v>1672.3836</v>
      </c>
      <c r="AI2594" s="67">
        <f t="shared" si="108"/>
        <v>1389.6</v>
      </c>
      <c r="AJ2594" s="68">
        <f t="shared" si="126"/>
        <v>222.336</v>
      </c>
      <c r="AK2594" s="68">
        <f t="shared" si="127"/>
        <v>1611.936</v>
      </c>
      <c r="AL2594" s="70"/>
      <c r="AM2594" s="70"/>
      <c r="AN2594" s="71"/>
      <c r="AO2594" s="71"/>
      <c r="AP2594" s="71"/>
      <c r="AQ2594" s="71"/>
      <c r="AR2594" s="71"/>
      <c r="AS2594" s="71"/>
      <c r="AT2594" s="71"/>
      <c r="AU2594" s="71"/>
      <c r="AV2594" s="71"/>
      <c r="AW2594" s="71"/>
      <c r="AX2594" s="71"/>
      <c r="AY2594" s="71"/>
      <c r="AZ2594" s="71"/>
      <c r="BA2594" s="71"/>
      <c r="BB2594" s="71"/>
      <c r="BC2594" s="71"/>
      <c r="BD2594" s="71"/>
      <c r="BE2594" s="71"/>
      <c r="BF2594" s="71"/>
      <c r="BG2594" s="71"/>
      <c r="BH2594" s="71"/>
      <c r="BI2594" s="71"/>
      <c r="BJ2594" s="71"/>
      <c r="BK2594" s="71"/>
      <c r="BL2594" s="71"/>
      <c r="BM2594" s="71"/>
      <c r="BN2594" s="71"/>
      <c r="BO2594" s="71"/>
      <c r="BP2594" s="71"/>
      <c r="BQ2594" s="71"/>
      <c r="BR2594" s="71"/>
      <c r="BS2594" s="71"/>
      <c r="BT2594" s="71"/>
      <c r="BU2594" s="71"/>
      <c r="BV2594" s="71"/>
    </row>
    <row r="2595">
      <c r="A2595" s="53"/>
      <c r="B2595" s="53"/>
      <c r="C2595" s="53" t="s">
        <v>53</v>
      </c>
      <c r="D2595" s="53" t="s">
        <v>6386</v>
      </c>
      <c r="E2595" s="54" t="s">
        <v>38</v>
      </c>
      <c r="F2595" s="54" t="s">
        <v>42</v>
      </c>
      <c r="G2595" s="55" t="s">
        <v>6387</v>
      </c>
      <c r="H2595" s="55" t="s">
        <v>6388</v>
      </c>
      <c r="I2595" s="54">
        <f t="shared" si="125"/>
        <v>40</v>
      </c>
      <c r="J2595" s="56"/>
      <c r="K2595" s="57"/>
      <c r="L2595" s="76"/>
      <c r="M2595" s="59"/>
      <c r="N2595" s="60"/>
      <c r="O2595" s="61">
        <v>2196.0</v>
      </c>
      <c r="P2595" s="62">
        <v>2371.6800000000003</v>
      </c>
      <c r="Q2595" s="63">
        <v>2371.6800000000003</v>
      </c>
      <c r="R2595" s="64">
        <v>2491.0</v>
      </c>
      <c r="S2595" s="111">
        <v>2616.0</v>
      </c>
      <c r="T2595" s="65">
        <f t="shared" si="93"/>
        <v>418.56</v>
      </c>
      <c r="U2595" s="65">
        <f t="shared" si="94"/>
        <v>3034.56</v>
      </c>
      <c r="V2595" s="66">
        <f t="shared" si="134"/>
        <v>0.05018065034</v>
      </c>
      <c r="W2595" s="67">
        <f t="shared" si="96"/>
        <v>2485.2</v>
      </c>
      <c r="X2595" s="67">
        <f t="shared" si="132"/>
        <v>397.632</v>
      </c>
      <c r="Y2595" s="67">
        <f t="shared" si="133"/>
        <v>2882.832</v>
      </c>
      <c r="Z2595" s="67">
        <f t="shared" si="99"/>
        <v>2354.4</v>
      </c>
      <c r="AA2595" s="67">
        <f t="shared" si="114"/>
        <v>376.704</v>
      </c>
      <c r="AB2595" s="67">
        <f t="shared" si="115"/>
        <v>2731.104</v>
      </c>
      <c r="AC2595" s="67">
        <f t="shared" si="102"/>
        <v>2223.6</v>
      </c>
      <c r="AD2595" s="67">
        <f t="shared" si="116"/>
        <v>355.776</v>
      </c>
      <c r="AE2595" s="67">
        <f t="shared" si="117"/>
        <v>2579.376</v>
      </c>
      <c r="AF2595" s="67">
        <f t="shared" si="105"/>
        <v>2171.28</v>
      </c>
      <c r="AG2595" s="67">
        <f t="shared" si="118"/>
        <v>347.4048</v>
      </c>
      <c r="AH2595" s="67">
        <f t="shared" si="119"/>
        <v>2518.6848</v>
      </c>
      <c r="AI2595" s="67">
        <f t="shared" si="108"/>
        <v>2092.8</v>
      </c>
      <c r="AJ2595" s="68">
        <f t="shared" si="126"/>
        <v>334.848</v>
      </c>
      <c r="AK2595" s="68">
        <f t="shared" si="127"/>
        <v>2427.648</v>
      </c>
      <c r="AL2595" s="70"/>
      <c r="AM2595" s="70"/>
      <c r="AN2595" s="71"/>
      <c r="AO2595" s="71"/>
      <c r="AP2595" s="71"/>
      <c r="AQ2595" s="71"/>
      <c r="AR2595" s="71"/>
      <c r="AS2595" s="71"/>
      <c r="AT2595" s="71"/>
      <c r="AU2595" s="71"/>
      <c r="AV2595" s="71"/>
      <c r="AW2595" s="71"/>
      <c r="AX2595" s="71"/>
      <c r="AY2595" s="71"/>
      <c r="AZ2595" s="71"/>
      <c r="BA2595" s="71"/>
      <c r="BB2595" s="71"/>
      <c r="BC2595" s="71"/>
      <c r="BD2595" s="71"/>
      <c r="BE2595" s="71"/>
      <c r="BF2595" s="71"/>
      <c r="BG2595" s="71"/>
      <c r="BH2595" s="71"/>
      <c r="BI2595" s="71"/>
      <c r="BJ2595" s="71"/>
      <c r="BK2595" s="71"/>
      <c r="BL2595" s="71"/>
      <c r="BM2595" s="71"/>
      <c r="BN2595" s="71"/>
      <c r="BO2595" s="71"/>
      <c r="BP2595" s="71"/>
      <c r="BQ2595" s="71"/>
      <c r="BR2595" s="71"/>
      <c r="BS2595" s="71"/>
      <c r="BT2595" s="71"/>
      <c r="BU2595" s="71"/>
      <c r="BV2595" s="71"/>
    </row>
    <row r="2596">
      <c r="A2596" s="53">
        <v>1.0</v>
      </c>
      <c r="B2596" s="53"/>
      <c r="C2596" s="73" t="s">
        <v>53</v>
      </c>
      <c r="D2596" s="74" t="s">
        <v>6389</v>
      </c>
      <c r="E2596" s="54" t="s">
        <v>38</v>
      </c>
      <c r="F2596" s="54" t="s">
        <v>42</v>
      </c>
      <c r="G2596" s="88" t="s">
        <v>6390</v>
      </c>
      <c r="H2596" s="54" t="s">
        <v>6391</v>
      </c>
      <c r="I2596" s="54">
        <f t="shared" si="125"/>
        <v>19</v>
      </c>
      <c r="J2596" s="56"/>
      <c r="K2596" s="57"/>
      <c r="L2596" s="76"/>
      <c r="M2596" s="59"/>
      <c r="N2596" s="60">
        <v>12677.0</v>
      </c>
      <c r="O2596" s="61">
        <v>13691.0</v>
      </c>
      <c r="P2596" s="62">
        <v>22179.0</v>
      </c>
      <c r="Q2596" s="63">
        <v>22179.0</v>
      </c>
      <c r="R2596" s="64">
        <v>23288.0</v>
      </c>
      <c r="S2596" s="111">
        <v>24452.0</v>
      </c>
      <c r="T2596" s="65">
        <f t="shared" si="93"/>
        <v>3912.32</v>
      </c>
      <c r="U2596" s="65">
        <f t="shared" si="94"/>
        <v>28364.32</v>
      </c>
      <c r="V2596" s="66">
        <f t="shared" si="134"/>
        <v>0.04998282377</v>
      </c>
      <c r="W2596" s="67">
        <f t="shared" si="96"/>
        <v>23229.4</v>
      </c>
      <c r="X2596" s="67">
        <f t="shared" si="132"/>
        <v>3716.704</v>
      </c>
      <c r="Y2596" s="67">
        <f t="shared" si="133"/>
        <v>26946.104</v>
      </c>
      <c r="Z2596" s="67">
        <f t="shared" si="99"/>
        <v>22006.8</v>
      </c>
      <c r="AA2596" s="67">
        <f t="shared" si="114"/>
        <v>3521.088</v>
      </c>
      <c r="AB2596" s="67">
        <f t="shared" si="115"/>
        <v>25527.888</v>
      </c>
      <c r="AC2596" s="67">
        <f t="shared" si="102"/>
        <v>20784.2</v>
      </c>
      <c r="AD2596" s="67">
        <f t="shared" si="116"/>
        <v>3325.472</v>
      </c>
      <c r="AE2596" s="67">
        <f t="shared" si="117"/>
        <v>24109.672</v>
      </c>
      <c r="AF2596" s="67">
        <f t="shared" si="105"/>
        <v>20295.16</v>
      </c>
      <c r="AG2596" s="67">
        <f t="shared" si="118"/>
        <v>3247.2256</v>
      </c>
      <c r="AH2596" s="67">
        <f t="shared" si="119"/>
        <v>23542.3856</v>
      </c>
      <c r="AI2596" s="67">
        <f t="shared" si="108"/>
        <v>19561.6</v>
      </c>
      <c r="AJ2596" s="68">
        <f t="shared" si="126"/>
        <v>3129.856</v>
      </c>
      <c r="AK2596" s="68">
        <f t="shared" si="127"/>
        <v>22691.456</v>
      </c>
      <c r="AL2596" s="70"/>
      <c r="AM2596" s="70"/>
      <c r="AN2596" s="71"/>
      <c r="AO2596" s="71"/>
      <c r="AP2596" s="71"/>
      <c r="AQ2596" s="71"/>
      <c r="AR2596" s="71"/>
      <c r="AS2596" s="71"/>
      <c r="AT2596" s="71"/>
      <c r="AU2596" s="71"/>
      <c r="AV2596" s="71"/>
      <c r="AW2596" s="71"/>
      <c r="AX2596" s="71"/>
      <c r="AY2596" s="71"/>
      <c r="AZ2596" s="71"/>
      <c r="BA2596" s="71"/>
      <c r="BB2596" s="71"/>
      <c r="BC2596" s="71"/>
      <c r="BD2596" s="71"/>
      <c r="BE2596" s="71"/>
      <c r="BF2596" s="71"/>
      <c r="BG2596" s="71"/>
      <c r="BH2596" s="71"/>
      <c r="BI2596" s="71"/>
      <c r="BJ2596" s="71"/>
      <c r="BK2596" s="71"/>
      <c r="BL2596" s="71"/>
      <c r="BM2596" s="71"/>
      <c r="BN2596" s="71"/>
      <c r="BO2596" s="71"/>
      <c r="BP2596" s="71"/>
      <c r="BQ2596" s="71"/>
      <c r="BR2596" s="71"/>
      <c r="BS2596" s="71"/>
      <c r="BT2596" s="71"/>
      <c r="BU2596" s="71"/>
      <c r="BV2596" s="71"/>
    </row>
    <row r="2597">
      <c r="A2597" s="53">
        <v>1.0</v>
      </c>
      <c r="B2597" s="53"/>
      <c r="C2597" s="73" t="s">
        <v>53</v>
      </c>
      <c r="D2597" s="74" t="s">
        <v>6392</v>
      </c>
      <c r="E2597" s="54" t="s">
        <v>38</v>
      </c>
      <c r="F2597" s="54" t="s">
        <v>42</v>
      </c>
      <c r="G2597" s="88" t="s">
        <v>6393</v>
      </c>
      <c r="H2597" s="54" t="s">
        <v>6394</v>
      </c>
      <c r="I2597" s="54">
        <f t="shared" si="125"/>
        <v>23</v>
      </c>
      <c r="J2597" s="56"/>
      <c r="K2597" s="57"/>
      <c r="L2597" s="87"/>
      <c r="M2597" s="59"/>
      <c r="N2597" s="60">
        <v>3585.0</v>
      </c>
      <c r="O2597" s="61">
        <v>3871.0</v>
      </c>
      <c r="P2597" s="62">
        <v>4180.68</v>
      </c>
      <c r="Q2597" s="63">
        <v>4180.68</v>
      </c>
      <c r="R2597" s="64">
        <v>4654.0</v>
      </c>
      <c r="S2597" s="111">
        <v>4887.0</v>
      </c>
      <c r="T2597" s="65">
        <f t="shared" si="93"/>
        <v>781.92</v>
      </c>
      <c r="U2597" s="65">
        <f t="shared" si="94"/>
        <v>5668.92</v>
      </c>
      <c r="V2597" s="66">
        <f t="shared" si="134"/>
        <v>0.05006446068</v>
      </c>
      <c r="W2597" s="67">
        <f t="shared" si="96"/>
        <v>4642.65</v>
      </c>
      <c r="X2597" s="67">
        <f t="shared" si="132"/>
        <v>742.824</v>
      </c>
      <c r="Y2597" s="67">
        <f t="shared" si="133"/>
        <v>5385.474</v>
      </c>
      <c r="Z2597" s="67">
        <f t="shared" si="99"/>
        <v>4398.3</v>
      </c>
      <c r="AA2597" s="67">
        <f t="shared" si="114"/>
        <v>703.728</v>
      </c>
      <c r="AB2597" s="67">
        <f t="shared" si="115"/>
        <v>5102.028</v>
      </c>
      <c r="AC2597" s="67">
        <f t="shared" si="102"/>
        <v>4153.95</v>
      </c>
      <c r="AD2597" s="67">
        <f t="shared" si="116"/>
        <v>664.632</v>
      </c>
      <c r="AE2597" s="67">
        <f t="shared" si="117"/>
        <v>4818.582</v>
      </c>
      <c r="AF2597" s="67">
        <f t="shared" si="105"/>
        <v>4056.21</v>
      </c>
      <c r="AG2597" s="67">
        <f t="shared" si="118"/>
        <v>648.9936</v>
      </c>
      <c r="AH2597" s="67">
        <f t="shared" si="119"/>
        <v>4705.2036</v>
      </c>
      <c r="AI2597" s="67">
        <f t="shared" si="108"/>
        <v>3909.6</v>
      </c>
      <c r="AJ2597" s="68">
        <f t="shared" si="126"/>
        <v>625.536</v>
      </c>
      <c r="AK2597" s="68">
        <f t="shared" si="127"/>
        <v>4535.136</v>
      </c>
      <c r="AL2597" s="70"/>
      <c r="AM2597" s="70"/>
      <c r="AN2597" s="71"/>
      <c r="AO2597" s="71"/>
      <c r="AP2597" s="71"/>
      <c r="AQ2597" s="71"/>
      <c r="AR2597" s="71"/>
      <c r="AS2597" s="71"/>
      <c r="AT2597" s="71"/>
      <c r="AU2597" s="71"/>
      <c r="AV2597" s="71"/>
      <c r="AW2597" s="71"/>
      <c r="AX2597" s="71"/>
      <c r="AY2597" s="71"/>
      <c r="AZ2597" s="71"/>
      <c r="BA2597" s="71"/>
      <c r="BB2597" s="71"/>
      <c r="BC2597" s="71"/>
      <c r="BD2597" s="71"/>
      <c r="BE2597" s="71"/>
      <c r="BF2597" s="71"/>
      <c r="BG2597" s="71"/>
      <c r="BH2597" s="71"/>
      <c r="BI2597" s="71"/>
      <c r="BJ2597" s="71"/>
      <c r="BK2597" s="71"/>
      <c r="BL2597" s="71"/>
      <c r="BM2597" s="71"/>
      <c r="BN2597" s="71"/>
      <c r="BO2597" s="71"/>
      <c r="BP2597" s="71"/>
      <c r="BQ2597" s="71"/>
      <c r="BR2597" s="71"/>
      <c r="BS2597" s="71"/>
      <c r="BT2597" s="71"/>
      <c r="BU2597" s="71"/>
      <c r="BV2597" s="71"/>
    </row>
    <row r="2598">
      <c r="A2598" s="53">
        <v>1.0</v>
      </c>
      <c r="B2598" s="53"/>
      <c r="C2598" s="73" t="s">
        <v>53</v>
      </c>
      <c r="D2598" s="74" t="s">
        <v>6395</v>
      </c>
      <c r="E2598" s="54" t="s">
        <v>38</v>
      </c>
      <c r="F2598" s="54" t="s">
        <v>42</v>
      </c>
      <c r="G2598" s="88" t="s">
        <v>6396</v>
      </c>
      <c r="H2598" s="54" t="s">
        <v>6397</v>
      </c>
      <c r="I2598" s="54">
        <f t="shared" si="125"/>
        <v>26</v>
      </c>
      <c r="J2598" s="56"/>
      <c r="K2598" s="57"/>
      <c r="L2598" s="87"/>
      <c r="M2598" s="59"/>
      <c r="N2598" s="60">
        <v>9502.0</v>
      </c>
      <c r="O2598" s="61">
        <v>10262.0</v>
      </c>
      <c r="P2598" s="62">
        <v>11082.960000000001</v>
      </c>
      <c r="Q2598" s="63">
        <v>11082.960000000001</v>
      </c>
      <c r="R2598" s="64">
        <v>12336.0</v>
      </c>
      <c r="S2598" s="111">
        <v>12953.0</v>
      </c>
      <c r="T2598" s="65">
        <f t="shared" si="93"/>
        <v>2072.48</v>
      </c>
      <c r="U2598" s="65">
        <f t="shared" si="94"/>
        <v>15025.48</v>
      </c>
      <c r="V2598" s="66">
        <f t="shared" si="134"/>
        <v>0.05001621271</v>
      </c>
      <c r="W2598" s="67">
        <f t="shared" si="96"/>
        <v>12305.35</v>
      </c>
      <c r="X2598" s="67">
        <f t="shared" si="132"/>
        <v>1968.856</v>
      </c>
      <c r="Y2598" s="67">
        <f t="shared" si="133"/>
        <v>14274.206</v>
      </c>
      <c r="Z2598" s="67">
        <f t="shared" si="99"/>
        <v>11657.7</v>
      </c>
      <c r="AA2598" s="67">
        <f t="shared" si="114"/>
        <v>1865.232</v>
      </c>
      <c r="AB2598" s="67">
        <f t="shared" si="115"/>
        <v>13522.932</v>
      </c>
      <c r="AC2598" s="67">
        <f t="shared" si="102"/>
        <v>11010.05</v>
      </c>
      <c r="AD2598" s="67">
        <f t="shared" si="116"/>
        <v>1761.608</v>
      </c>
      <c r="AE2598" s="67">
        <f t="shared" si="117"/>
        <v>12771.658</v>
      </c>
      <c r="AF2598" s="67">
        <f t="shared" si="105"/>
        <v>10750.99</v>
      </c>
      <c r="AG2598" s="67">
        <f t="shared" si="118"/>
        <v>1720.1584</v>
      </c>
      <c r="AH2598" s="67">
        <f t="shared" si="119"/>
        <v>12471.1484</v>
      </c>
      <c r="AI2598" s="67">
        <f t="shared" si="108"/>
        <v>10362.4</v>
      </c>
      <c r="AJ2598" s="68">
        <f t="shared" si="126"/>
        <v>1657.984</v>
      </c>
      <c r="AK2598" s="68">
        <f t="shared" si="127"/>
        <v>12020.384</v>
      </c>
      <c r="AL2598" s="70"/>
      <c r="AM2598" s="70"/>
      <c r="AN2598" s="71"/>
      <c r="AO2598" s="71"/>
      <c r="AP2598" s="71"/>
      <c r="AQ2598" s="71"/>
      <c r="AR2598" s="71"/>
      <c r="AS2598" s="71"/>
      <c r="AT2598" s="71"/>
      <c r="AU2598" s="71"/>
      <c r="AV2598" s="71"/>
      <c r="AW2598" s="71"/>
      <c r="AX2598" s="71"/>
      <c r="AY2598" s="71"/>
      <c r="AZ2598" s="71"/>
      <c r="BA2598" s="71"/>
      <c r="BB2598" s="71"/>
      <c r="BC2598" s="71"/>
      <c r="BD2598" s="71"/>
      <c r="BE2598" s="71"/>
      <c r="BF2598" s="71"/>
      <c r="BG2598" s="71"/>
      <c r="BH2598" s="71"/>
      <c r="BI2598" s="71"/>
      <c r="BJ2598" s="71"/>
      <c r="BK2598" s="71"/>
      <c r="BL2598" s="71"/>
      <c r="BM2598" s="71"/>
      <c r="BN2598" s="71"/>
      <c r="BO2598" s="71"/>
      <c r="BP2598" s="71"/>
      <c r="BQ2598" s="71"/>
      <c r="BR2598" s="71"/>
      <c r="BS2598" s="71"/>
      <c r="BT2598" s="71"/>
      <c r="BU2598" s="71"/>
      <c r="BV2598" s="71"/>
    </row>
    <row r="2599">
      <c r="A2599" s="53">
        <v>1.0</v>
      </c>
      <c r="B2599" s="53"/>
      <c r="C2599" s="73" t="s">
        <v>53</v>
      </c>
      <c r="D2599" s="74" t="s">
        <v>6398</v>
      </c>
      <c r="E2599" s="54" t="s">
        <v>38</v>
      </c>
      <c r="F2599" s="54" t="s">
        <v>42</v>
      </c>
      <c r="G2599" s="55" t="s">
        <v>6399</v>
      </c>
      <c r="H2599" s="54" t="s">
        <v>6400</v>
      </c>
      <c r="I2599" s="54">
        <f t="shared" si="125"/>
        <v>25</v>
      </c>
      <c r="J2599" s="56"/>
      <c r="K2599" s="57"/>
      <c r="L2599" s="87"/>
      <c r="M2599" s="59"/>
      <c r="N2599" s="60">
        <v>7043.0</v>
      </c>
      <c r="O2599" s="61">
        <v>7606.0</v>
      </c>
      <c r="P2599" s="62">
        <v>8214.480000000001</v>
      </c>
      <c r="Q2599" s="63">
        <v>8214.480000000001</v>
      </c>
      <c r="R2599" s="64">
        <v>9144.0</v>
      </c>
      <c r="S2599" s="111">
        <v>9601.0</v>
      </c>
      <c r="T2599" s="65">
        <f t="shared" si="93"/>
        <v>1536.16</v>
      </c>
      <c r="U2599" s="65">
        <f t="shared" si="94"/>
        <v>11137.16</v>
      </c>
      <c r="V2599" s="66">
        <f t="shared" si="134"/>
        <v>0.04997812773</v>
      </c>
      <c r="W2599" s="67">
        <f t="shared" si="96"/>
        <v>9120.95</v>
      </c>
      <c r="X2599" s="67">
        <f t="shared" si="132"/>
        <v>1459.352</v>
      </c>
      <c r="Y2599" s="67">
        <f t="shared" si="133"/>
        <v>10580.302</v>
      </c>
      <c r="Z2599" s="67">
        <f t="shared" si="99"/>
        <v>8640.9</v>
      </c>
      <c r="AA2599" s="67">
        <f t="shared" si="114"/>
        <v>1382.544</v>
      </c>
      <c r="AB2599" s="67">
        <f t="shared" si="115"/>
        <v>10023.444</v>
      </c>
      <c r="AC2599" s="67">
        <f t="shared" si="102"/>
        <v>8160.85</v>
      </c>
      <c r="AD2599" s="67">
        <f t="shared" si="116"/>
        <v>1305.736</v>
      </c>
      <c r="AE2599" s="67">
        <f t="shared" si="117"/>
        <v>9466.586</v>
      </c>
      <c r="AF2599" s="67">
        <f t="shared" si="105"/>
        <v>7968.83</v>
      </c>
      <c r="AG2599" s="67">
        <f t="shared" si="118"/>
        <v>1275.0128</v>
      </c>
      <c r="AH2599" s="67">
        <f t="shared" si="119"/>
        <v>9243.8428</v>
      </c>
      <c r="AI2599" s="67">
        <f t="shared" si="108"/>
        <v>7680.8</v>
      </c>
      <c r="AJ2599" s="68">
        <f t="shared" si="126"/>
        <v>1228.928</v>
      </c>
      <c r="AK2599" s="68">
        <f t="shared" si="127"/>
        <v>8909.728</v>
      </c>
      <c r="AL2599" s="70"/>
      <c r="AM2599" s="70"/>
      <c r="AN2599" s="71"/>
      <c r="AO2599" s="71"/>
      <c r="AP2599" s="71"/>
      <c r="AQ2599" s="71"/>
      <c r="AR2599" s="71"/>
      <c r="AS2599" s="71"/>
      <c r="AT2599" s="71"/>
      <c r="AU2599" s="71"/>
      <c r="AV2599" s="71"/>
      <c r="AW2599" s="71"/>
      <c r="AX2599" s="71"/>
      <c r="AY2599" s="71"/>
      <c r="AZ2599" s="71"/>
      <c r="BA2599" s="71"/>
      <c r="BB2599" s="71"/>
      <c r="BC2599" s="71"/>
      <c r="BD2599" s="71"/>
      <c r="BE2599" s="71"/>
      <c r="BF2599" s="71"/>
      <c r="BG2599" s="71"/>
      <c r="BH2599" s="71"/>
      <c r="BI2599" s="71"/>
      <c r="BJ2599" s="71"/>
      <c r="BK2599" s="71"/>
      <c r="BL2599" s="71"/>
      <c r="BM2599" s="71"/>
      <c r="BN2599" s="71"/>
      <c r="BO2599" s="71"/>
      <c r="BP2599" s="71"/>
      <c r="BQ2599" s="71"/>
      <c r="BR2599" s="71"/>
      <c r="BS2599" s="71"/>
      <c r="BT2599" s="71"/>
      <c r="BU2599" s="71"/>
      <c r="BV2599" s="71"/>
    </row>
    <row r="2600">
      <c r="A2600" s="53">
        <v>1.0</v>
      </c>
      <c r="B2600" s="53"/>
      <c r="C2600" s="73" t="s">
        <v>53</v>
      </c>
      <c r="D2600" s="74" t="s">
        <v>6401</v>
      </c>
      <c r="E2600" s="54" t="s">
        <v>38</v>
      </c>
      <c r="F2600" s="54" t="s">
        <v>42</v>
      </c>
      <c r="G2600" s="55" t="s">
        <v>6402</v>
      </c>
      <c r="H2600" s="54" t="s">
        <v>6403</v>
      </c>
      <c r="I2600" s="54">
        <f t="shared" si="125"/>
        <v>25</v>
      </c>
      <c r="J2600" s="56"/>
      <c r="K2600" s="57"/>
      <c r="L2600" s="87"/>
      <c r="M2600" s="59"/>
      <c r="N2600" s="60">
        <v>8192.0</v>
      </c>
      <c r="O2600" s="61">
        <v>8847.0</v>
      </c>
      <c r="P2600" s="62">
        <v>9554.76</v>
      </c>
      <c r="Q2600" s="63">
        <v>9554.76</v>
      </c>
      <c r="R2600" s="64">
        <v>10636.0</v>
      </c>
      <c r="S2600" s="111">
        <v>11168.0</v>
      </c>
      <c r="T2600" s="65">
        <f t="shared" si="93"/>
        <v>1786.88</v>
      </c>
      <c r="U2600" s="65">
        <f t="shared" si="94"/>
        <v>12954.88</v>
      </c>
      <c r="V2600" s="66">
        <f t="shared" si="134"/>
        <v>0.05001880406</v>
      </c>
      <c r="W2600" s="67">
        <f t="shared" si="96"/>
        <v>10609.6</v>
      </c>
      <c r="X2600" s="67">
        <f t="shared" si="132"/>
        <v>1697.536</v>
      </c>
      <c r="Y2600" s="67">
        <f t="shared" si="133"/>
        <v>12307.136</v>
      </c>
      <c r="Z2600" s="67">
        <f t="shared" si="99"/>
        <v>10051.2</v>
      </c>
      <c r="AA2600" s="67">
        <f t="shared" si="114"/>
        <v>1608.192</v>
      </c>
      <c r="AB2600" s="67">
        <f t="shared" si="115"/>
        <v>11659.392</v>
      </c>
      <c r="AC2600" s="67">
        <f t="shared" si="102"/>
        <v>9492.8</v>
      </c>
      <c r="AD2600" s="67">
        <f t="shared" si="116"/>
        <v>1518.848</v>
      </c>
      <c r="AE2600" s="67">
        <f t="shared" si="117"/>
        <v>11011.648</v>
      </c>
      <c r="AF2600" s="67">
        <f t="shared" si="105"/>
        <v>9269.44</v>
      </c>
      <c r="AG2600" s="67">
        <f t="shared" si="118"/>
        <v>1483.1104</v>
      </c>
      <c r="AH2600" s="67">
        <f t="shared" si="119"/>
        <v>10752.5504</v>
      </c>
      <c r="AI2600" s="67">
        <f t="shared" si="108"/>
        <v>8934.4</v>
      </c>
      <c r="AJ2600" s="68">
        <f t="shared" si="126"/>
        <v>1429.504</v>
      </c>
      <c r="AK2600" s="68">
        <f t="shared" si="127"/>
        <v>10363.904</v>
      </c>
      <c r="AL2600" s="70"/>
      <c r="AM2600" s="70"/>
      <c r="AN2600" s="71"/>
      <c r="AO2600" s="71"/>
      <c r="AP2600" s="71"/>
      <c r="AQ2600" s="71"/>
      <c r="AR2600" s="71"/>
      <c r="AS2600" s="71"/>
      <c r="AT2600" s="71"/>
      <c r="AU2600" s="71"/>
      <c r="AV2600" s="71"/>
      <c r="AW2600" s="71"/>
      <c r="AX2600" s="71"/>
      <c r="AY2600" s="71"/>
      <c r="AZ2600" s="71"/>
      <c r="BA2600" s="71"/>
      <c r="BB2600" s="71"/>
      <c r="BC2600" s="71"/>
      <c r="BD2600" s="71"/>
      <c r="BE2600" s="71"/>
      <c r="BF2600" s="71"/>
      <c r="BG2600" s="71"/>
      <c r="BH2600" s="71"/>
      <c r="BI2600" s="71"/>
      <c r="BJ2600" s="71"/>
      <c r="BK2600" s="71"/>
      <c r="BL2600" s="71"/>
      <c r="BM2600" s="71"/>
      <c r="BN2600" s="71"/>
      <c r="BO2600" s="71"/>
      <c r="BP2600" s="71"/>
      <c r="BQ2600" s="71"/>
      <c r="BR2600" s="71"/>
      <c r="BS2600" s="71"/>
      <c r="BT2600" s="71"/>
      <c r="BU2600" s="71"/>
      <c r="BV2600" s="71"/>
    </row>
    <row r="2601">
      <c r="A2601" s="53"/>
      <c r="B2601" s="53"/>
      <c r="C2601" s="53" t="s">
        <v>53</v>
      </c>
      <c r="D2601" s="53" t="s">
        <v>6404</v>
      </c>
      <c r="E2601" s="54" t="s">
        <v>38</v>
      </c>
      <c r="F2601" s="54" t="s">
        <v>42</v>
      </c>
      <c r="G2601" s="55" t="s">
        <v>6405</v>
      </c>
      <c r="H2601" s="55" t="s">
        <v>6406</v>
      </c>
      <c r="I2601" s="54">
        <f t="shared" si="125"/>
        <v>37</v>
      </c>
      <c r="J2601" s="56"/>
      <c r="K2601" s="57"/>
      <c r="L2601" s="76"/>
      <c r="M2601" s="59"/>
      <c r="N2601" s="60"/>
      <c r="O2601" s="61">
        <v>554.0</v>
      </c>
      <c r="P2601" s="62">
        <v>598.32</v>
      </c>
      <c r="Q2601" s="63">
        <v>598.32</v>
      </c>
      <c r="R2601" s="64">
        <v>628.0</v>
      </c>
      <c r="S2601" s="111">
        <v>659.0</v>
      </c>
      <c r="T2601" s="65">
        <f t="shared" si="93"/>
        <v>105.44</v>
      </c>
      <c r="U2601" s="65">
        <f t="shared" si="94"/>
        <v>764.44</v>
      </c>
      <c r="V2601" s="66">
        <f t="shared" si="134"/>
        <v>0.04936305732</v>
      </c>
      <c r="W2601" s="67">
        <f t="shared" si="96"/>
        <v>626.05</v>
      </c>
      <c r="X2601" s="67">
        <f t="shared" si="132"/>
        <v>100.168</v>
      </c>
      <c r="Y2601" s="67">
        <f t="shared" si="133"/>
        <v>726.218</v>
      </c>
      <c r="Z2601" s="67">
        <f t="shared" si="99"/>
        <v>593.1</v>
      </c>
      <c r="AA2601" s="67">
        <f t="shared" si="114"/>
        <v>94.896</v>
      </c>
      <c r="AB2601" s="67">
        <f t="shared" si="115"/>
        <v>687.996</v>
      </c>
      <c r="AC2601" s="67">
        <f t="shared" si="102"/>
        <v>560.15</v>
      </c>
      <c r="AD2601" s="67">
        <f t="shared" si="116"/>
        <v>89.624</v>
      </c>
      <c r="AE2601" s="67">
        <f t="shared" si="117"/>
        <v>649.774</v>
      </c>
      <c r="AF2601" s="67">
        <f t="shared" si="105"/>
        <v>546.97</v>
      </c>
      <c r="AG2601" s="67">
        <f t="shared" si="118"/>
        <v>87.5152</v>
      </c>
      <c r="AH2601" s="67">
        <f t="shared" si="119"/>
        <v>634.4852</v>
      </c>
      <c r="AI2601" s="67">
        <f t="shared" si="108"/>
        <v>527.2</v>
      </c>
      <c r="AJ2601" s="68">
        <f t="shared" si="126"/>
        <v>84.352</v>
      </c>
      <c r="AK2601" s="68">
        <f t="shared" si="127"/>
        <v>611.552</v>
      </c>
      <c r="AL2601" s="70"/>
      <c r="AM2601" s="70"/>
      <c r="AN2601" s="71"/>
      <c r="AO2601" s="71"/>
      <c r="AP2601" s="71"/>
      <c r="AQ2601" s="71"/>
      <c r="AR2601" s="71"/>
      <c r="AS2601" s="71"/>
      <c r="AT2601" s="71"/>
      <c r="AU2601" s="71"/>
      <c r="AV2601" s="71"/>
      <c r="AW2601" s="71"/>
      <c r="AX2601" s="71"/>
      <c r="AY2601" s="71"/>
      <c r="AZ2601" s="71"/>
      <c r="BA2601" s="71"/>
      <c r="BB2601" s="71"/>
      <c r="BC2601" s="71"/>
      <c r="BD2601" s="71"/>
      <c r="BE2601" s="71"/>
      <c r="BF2601" s="71"/>
      <c r="BG2601" s="71"/>
      <c r="BH2601" s="71"/>
      <c r="BI2601" s="71"/>
      <c r="BJ2601" s="71"/>
      <c r="BK2601" s="71"/>
      <c r="BL2601" s="71"/>
      <c r="BM2601" s="71"/>
      <c r="BN2601" s="71"/>
      <c r="BO2601" s="71"/>
      <c r="BP2601" s="71"/>
      <c r="BQ2601" s="71"/>
      <c r="BR2601" s="71"/>
      <c r="BS2601" s="71"/>
      <c r="BT2601" s="71"/>
      <c r="BU2601" s="71"/>
      <c r="BV2601" s="71"/>
    </row>
    <row r="2602">
      <c r="A2602" s="53"/>
      <c r="B2602" s="53"/>
      <c r="C2602" s="53" t="s">
        <v>53</v>
      </c>
      <c r="D2602" s="53" t="s">
        <v>6407</v>
      </c>
      <c r="E2602" s="54" t="s">
        <v>38</v>
      </c>
      <c r="F2602" s="54" t="s">
        <v>42</v>
      </c>
      <c r="G2602" s="55" t="s">
        <v>6408</v>
      </c>
      <c r="H2602" s="55" t="s">
        <v>6409</v>
      </c>
      <c r="I2602" s="54">
        <f t="shared" si="125"/>
        <v>37</v>
      </c>
      <c r="J2602" s="56"/>
      <c r="K2602" s="57"/>
      <c r="L2602" s="76"/>
      <c r="M2602" s="59"/>
      <c r="N2602" s="60"/>
      <c r="O2602" s="61">
        <v>933.0</v>
      </c>
      <c r="P2602" s="62">
        <v>1007.6400000000001</v>
      </c>
      <c r="Q2602" s="63">
        <v>1007.6400000000001</v>
      </c>
      <c r="R2602" s="64">
        <v>1059.0</v>
      </c>
      <c r="S2602" s="111">
        <v>1112.0</v>
      </c>
      <c r="T2602" s="65">
        <f t="shared" si="93"/>
        <v>177.92</v>
      </c>
      <c r="U2602" s="65">
        <f t="shared" si="94"/>
        <v>1289.92</v>
      </c>
      <c r="V2602" s="66">
        <f t="shared" si="134"/>
        <v>0.05004721435</v>
      </c>
      <c r="W2602" s="67">
        <f t="shared" si="96"/>
        <v>1056.4</v>
      </c>
      <c r="X2602" s="67">
        <f t="shared" si="132"/>
        <v>169.024</v>
      </c>
      <c r="Y2602" s="67">
        <f t="shared" si="133"/>
        <v>1225.424</v>
      </c>
      <c r="Z2602" s="67">
        <f t="shared" si="99"/>
        <v>1000.8</v>
      </c>
      <c r="AA2602" s="67">
        <f t="shared" si="114"/>
        <v>160.128</v>
      </c>
      <c r="AB2602" s="67">
        <f t="shared" si="115"/>
        <v>1160.928</v>
      </c>
      <c r="AC2602" s="67">
        <f t="shared" si="102"/>
        <v>945.2</v>
      </c>
      <c r="AD2602" s="67">
        <f t="shared" si="116"/>
        <v>151.232</v>
      </c>
      <c r="AE2602" s="67">
        <f t="shared" si="117"/>
        <v>1096.432</v>
      </c>
      <c r="AF2602" s="67">
        <f t="shared" si="105"/>
        <v>922.96</v>
      </c>
      <c r="AG2602" s="67">
        <f t="shared" si="118"/>
        <v>147.6736</v>
      </c>
      <c r="AH2602" s="67">
        <f t="shared" si="119"/>
        <v>1070.6336</v>
      </c>
      <c r="AI2602" s="67">
        <f t="shared" si="108"/>
        <v>889.6</v>
      </c>
      <c r="AJ2602" s="68">
        <f t="shared" si="126"/>
        <v>142.336</v>
      </c>
      <c r="AK2602" s="68">
        <f t="shared" si="127"/>
        <v>1031.936</v>
      </c>
      <c r="AL2602" s="70"/>
      <c r="AM2602" s="70"/>
      <c r="AN2602" s="71"/>
      <c r="AO2602" s="71"/>
      <c r="AP2602" s="71"/>
      <c r="AQ2602" s="71"/>
      <c r="AR2602" s="71"/>
      <c r="AS2602" s="71"/>
      <c r="AT2602" s="71"/>
      <c r="AU2602" s="71"/>
      <c r="AV2602" s="71"/>
      <c r="AW2602" s="71"/>
      <c r="AX2602" s="71"/>
      <c r="AY2602" s="71"/>
      <c r="AZ2602" s="71"/>
      <c r="BA2602" s="71"/>
      <c r="BB2602" s="71"/>
      <c r="BC2602" s="71"/>
      <c r="BD2602" s="71"/>
      <c r="BE2602" s="71"/>
      <c r="BF2602" s="71"/>
      <c r="BG2602" s="71"/>
      <c r="BH2602" s="71"/>
      <c r="BI2602" s="71"/>
      <c r="BJ2602" s="71"/>
      <c r="BK2602" s="71"/>
      <c r="BL2602" s="71"/>
      <c r="BM2602" s="71"/>
      <c r="BN2602" s="71"/>
      <c r="BO2602" s="71"/>
      <c r="BP2602" s="71"/>
      <c r="BQ2602" s="71"/>
      <c r="BR2602" s="71"/>
      <c r="BS2602" s="71"/>
      <c r="BT2602" s="71"/>
      <c r="BU2602" s="71"/>
      <c r="BV2602" s="71"/>
    </row>
    <row r="2603">
      <c r="A2603" s="53"/>
      <c r="B2603" s="53"/>
      <c r="C2603" s="53" t="s">
        <v>53</v>
      </c>
      <c r="D2603" s="53" t="s">
        <v>6410</v>
      </c>
      <c r="E2603" s="54" t="s">
        <v>38</v>
      </c>
      <c r="F2603" s="54" t="s">
        <v>42</v>
      </c>
      <c r="G2603" s="55" t="s">
        <v>6411</v>
      </c>
      <c r="H2603" s="55" t="s">
        <v>6412</v>
      </c>
      <c r="I2603" s="54">
        <f t="shared" si="125"/>
        <v>37</v>
      </c>
      <c r="J2603" s="56"/>
      <c r="K2603" s="57"/>
      <c r="L2603" s="76"/>
      <c r="M2603" s="59"/>
      <c r="N2603" s="60"/>
      <c r="O2603" s="61">
        <v>1283.0</v>
      </c>
      <c r="P2603" s="62">
        <v>1385.64</v>
      </c>
      <c r="Q2603" s="63">
        <v>1385.64</v>
      </c>
      <c r="R2603" s="64">
        <v>1456.0</v>
      </c>
      <c r="S2603" s="111">
        <v>1529.0</v>
      </c>
      <c r="T2603" s="65">
        <f t="shared" si="93"/>
        <v>244.64</v>
      </c>
      <c r="U2603" s="65">
        <f t="shared" si="94"/>
        <v>1773.64</v>
      </c>
      <c r="V2603" s="66">
        <f t="shared" si="134"/>
        <v>0.05013736264</v>
      </c>
      <c r="W2603" s="67">
        <f t="shared" si="96"/>
        <v>1452.55</v>
      </c>
      <c r="X2603" s="67">
        <f t="shared" si="132"/>
        <v>232.408</v>
      </c>
      <c r="Y2603" s="67">
        <f t="shared" si="133"/>
        <v>1684.958</v>
      </c>
      <c r="Z2603" s="67">
        <f t="shared" si="99"/>
        <v>1376.1</v>
      </c>
      <c r="AA2603" s="67">
        <f t="shared" si="114"/>
        <v>220.176</v>
      </c>
      <c r="AB2603" s="67">
        <f t="shared" si="115"/>
        <v>1596.276</v>
      </c>
      <c r="AC2603" s="67">
        <f t="shared" si="102"/>
        <v>1299.65</v>
      </c>
      <c r="AD2603" s="67">
        <f t="shared" si="116"/>
        <v>207.944</v>
      </c>
      <c r="AE2603" s="67">
        <f t="shared" si="117"/>
        <v>1507.594</v>
      </c>
      <c r="AF2603" s="67">
        <f t="shared" si="105"/>
        <v>1269.07</v>
      </c>
      <c r="AG2603" s="67">
        <f t="shared" si="118"/>
        <v>203.0512</v>
      </c>
      <c r="AH2603" s="67">
        <f t="shared" si="119"/>
        <v>1472.1212</v>
      </c>
      <c r="AI2603" s="67">
        <f t="shared" si="108"/>
        <v>1223.2</v>
      </c>
      <c r="AJ2603" s="68">
        <f t="shared" si="126"/>
        <v>195.712</v>
      </c>
      <c r="AK2603" s="68">
        <f t="shared" si="127"/>
        <v>1418.912</v>
      </c>
      <c r="AL2603" s="70"/>
      <c r="AM2603" s="70"/>
      <c r="AN2603" s="71"/>
      <c r="AO2603" s="71"/>
      <c r="AP2603" s="71"/>
      <c r="AQ2603" s="71"/>
      <c r="AR2603" s="71"/>
      <c r="AS2603" s="71"/>
      <c r="AT2603" s="71"/>
      <c r="AU2603" s="71"/>
      <c r="AV2603" s="71"/>
      <c r="AW2603" s="71"/>
      <c r="AX2603" s="71"/>
      <c r="AY2603" s="71"/>
      <c r="AZ2603" s="71"/>
      <c r="BA2603" s="71"/>
      <c r="BB2603" s="71"/>
      <c r="BC2603" s="71"/>
      <c r="BD2603" s="71"/>
      <c r="BE2603" s="71"/>
      <c r="BF2603" s="71"/>
      <c r="BG2603" s="71"/>
      <c r="BH2603" s="71"/>
      <c r="BI2603" s="71"/>
      <c r="BJ2603" s="71"/>
      <c r="BK2603" s="71"/>
      <c r="BL2603" s="71"/>
      <c r="BM2603" s="71"/>
      <c r="BN2603" s="71"/>
      <c r="BO2603" s="71"/>
      <c r="BP2603" s="71"/>
      <c r="BQ2603" s="71"/>
      <c r="BR2603" s="71"/>
      <c r="BS2603" s="71"/>
      <c r="BT2603" s="71"/>
      <c r="BU2603" s="71"/>
      <c r="BV2603" s="71"/>
    </row>
    <row r="2604">
      <c r="A2604" s="53"/>
      <c r="B2604" s="53"/>
      <c r="C2604" s="53" t="s">
        <v>53</v>
      </c>
      <c r="D2604" s="53" t="s">
        <v>6413</v>
      </c>
      <c r="E2604" s="54" t="s">
        <v>38</v>
      </c>
      <c r="F2604" s="54" t="s">
        <v>42</v>
      </c>
      <c r="G2604" s="55" t="s">
        <v>6414</v>
      </c>
      <c r="H2604" s="55" t="s">
        <v>6414</v>
      </c>
      <c r="I2604" s="54">
        <f t="shared" si="125"/>
        <v>33</v>
      </c>
      <c r="J2604" s="56"/>
      <c r="K2604" s="57"/>
      <c r="L2604" s="76"/>
      <c r="M2604" s="59"/>
      <c r="N2604" s="60"/>
      <c r="O2604" s="61">
        <v>2163.0</v>
      </c>
      <c r="P2604" s="62">
        <v>2336.04</v>
      </c>
      <c r="Q2604" s="63">
        <v>2336.04</v>
      </c>
      <c r="R2604" s="64">
        <v>2453.0</v>
      </c>
      <c r="S2604" s="111">
        <v>2576.0</v>
      </c>
      <c r="T2604" s="65">
        <f t="shared" si="93"/>
        <v>412.16</v>
      </c>
      <c r="U2604" s="65">
        <f t="shared" si="94"/>
        <v>2988.16</v>
      </c>
      <c r="V2604" s="66">
        <f t="shared" si="134"/>
        <v>0.05014268243</v>
      </c>
      <c r="W2604" s="67">
        <f t="shared" si="96"/>
        <v>2447.2</v>
      </c>
      <c r="X2604" s="67">
        <f t="shared" si="132"/>
        <v>391.552</v>
      </c>
      <c r="Y2604" s="67">
        <f t="shared" si="133"/>
        <v>2838.752</v>
      </c>
      <c r="Z2604" s="67">
        <f t="shared" si="99"/>
        <v>2318.4</v>
      </c>
      <c r="AA2604" s="67">
        <f t="shared" si="114"/>
        <v>370.944</v>
      </c>
      <c r="AB2604" s="67">
        <f t="shared" si="115"/>
        <v>2689.344</v>
      </c>
      <c r="AC2604" s="67">
        <f t="shared" si="102"/>
        <v>2189.6</v>
      </c>
      <c r="AD2604" s="67">
        <f t="shared" si="116"/>
        <v>350.336</v>
      </c>
      <c r="AE2604" s="67">
        <f t="shared" si="117"/>
        <v>2539.936</v>
      </c>
      <c r="AF2604" s="67">
        <f t="shared" si="105"/>
        <v>2138.08</v>
      </c>
      <c r="AG2604" s="67">
        <f t="shared" si="118"/>
        <v>342.0928</v>
      </c>
      <c r="AH2604" s="67">
        <f t="shared" si="119"/>
        <v>2480.1728</v>
      </c>
      <c r="AI2604" s="67">
        <f t="shared" si="108"/>
        <v>2060.8</v>
      </c>
      <c r="AJ2604" s="68">
        <f t="shared" si="126"/>
        <v>329.728</v>
      </c>
      <c r="AK2604" s="68">
        <f t="shared" si="127"/>
        <v>2390.528</v>
      </c>
      <c r="AL2604" s="70"/>
      <c r="AM2604" s="70"/>
      <c r="AN2604" s="71"/>
      <c r="AO2604" s="71"/>
      <c r="AP2604" s="71"/>
      <c r="AQ2604" s="71"/>
      <c r="AR2604" s="71"/>
      <c r="AS2604" s="71"/>
      <c r="AT2604" s="71"/>
      <c r="AU2604" s="71"/>
      <c r="AV2604" s="71"/>
      <c r="AW2604" s="71"/>
      <c r="AX2604" s="71"/>
      <c r="AY2604" s="71"/>
      <c r="AZ2604" s="71"/>
      <c r="BA2604" s="71"/>
      <c r="BB2604" s="71"/>
      <c r="BC2604" s="71"/>
      <c r="BD2604" s="71"/>
      <c r="BE2604" s="71"/>
      <c r="BF2604" s="71"/>
      <c r="BG2604" s="71"/>
      <c r="BH2604" s="71"/>
      <c r="BI2604" s="71"/>
      <c r="BJ2604" s="71"/>
      <c r="BK2604" s="71"/>
      <c r="BL2604" s="71"/>
      <c r="BM2604" s="71"/>
      <c r="BN2604" s="71"/>
      <c r="BO2604" s="71"/>
      <c r="BP2604" s="71"/>
      <c r="BQ2604" s="71"/>
      <c r="BR2604" s="71"/>
      <c r="BS2604" s="71"/>
      <c r="BT2604" s="71"/>
      <c r="BU2604" s="71"/>
      <c r="BV2604" s="71"/>
    </row>
    <row r="2605">
      <c r="A2605" s="53">
        <v>1.0</v>
      </c>
      <c r="B2605" s="53"/>
      <c r="C2605" s="73" t="s">
        <v>53</v>
      </c>
      <c r="D2605" s="53" t="s">
        <v>6415</v>
      </c>
      <c r="E2605" s="54" t="s">
        <v>38</v>
      </c>
      <c r="F2605" s="54" t="s">
        <v>42</v>
      </c>
      <c r="G2605" s="55" t="s">
        <v>6416</v>
      </c>
      <c r="H2605" s="54" t="s">
        <v>6417</v>
      </c>
      <c r="I2605" s="54">
        <f t="shared" si="125"/>
        <v>37</v>
      </c>
      <c r="J2605" s="56"/>
      <c r="K2605" s="57"/>
      <c r="L2605" s="87"/>
      <c r="M2605" s="59"/>
      <c r="N2605" s="60">
        <v>17514.0</v>
      </c>
      <c r="O2605" s="61">
        <v>18915.0</v>
      </c>
      <c r="P2605" s="62">
        <v>20428.2</v>
      </c>
      <c r="Q2605" s="63">
        <v>20428.2</v>
      </c>
      <c r="R2605" s="64">
        <v>22737.0</v>
      </c>
      <c r="S2605" s="111">
        <v>23874.0</v>
      </c>
      <c r="T2605" s="65">
        <f t="shared" si="93"/>
        <v>3819.84</v>
      </c>
      <c r="U2605" s="65">
        <f t="shared" si="94"/>
        <v>27693.84</v>
      </c>
      <c r="V2605" s="66">
        <f t="shared" si="134"/>
        <v>0.05000659718</v>
      </c>
      <c r="W2605" s="67">
        <f t="shared" si="96"/>
        <v>22680.3</v>
      </c>
      <c r="X2605" s="67">
        <f t="shared" si="132"/>
        <v>3628.848</v>
      </c>
      <c r="Y2605" s="67">
        <f t="shared" si="133"/>
        <v>26309.148</v>
      </c>
      <c r="Z2605" s="67">
        <f t="shared" si="99"/>
        <v>21486.6</v>
      </c>
      <c r="AA2605" s="67">
        <f t="shared" si="114"/>
        <v>3437.856</v>
      </c>
      <c r="AB2605" s="67">
        <f t="shared" si="115"/>
        <v>24924.456</v>
      </c>
      <c r="AC2605" s="67">
        <f t="shared" si="102"/>
        <v>20292.9</v>
      </c>
      <c r="AD2605" s="67">
        <f t="shared" si="116"/>
        <v>3246.864</v>
      </c>
      <c r="AE2605" s="67">
        <f t="shared" si="117"/>
        <v>23539.764</v>
      </c>
      <c r="AF2605" s="67">
        <f t="shared" si="105"/>
        <v>19815.42</v>
      </c>
      <c r="AG2605" s="67">
        <f t="shared" si="118"/>
        <v>3170.4672</v>
      </c>
      <c r="AH2605" s="67">
        <f t="shared" si="119"/>
        <v>22985.8872</v>
      </c>
      <c r="AI2605" s="67">
        <f t="shared" si="108"/>
        <v>19099.2</v>
      </c>
      <c r="AJ2605" s="68">
        <f t="shared" si="126"/>
        <v>3055.872</v>
      </c>
      <c r="AK2605" s="68">
        <f t="shared" si="127"/>
        <v>22155.072</v>
      </c>
      <c r="AL2605" s="70"/>
      <c r="AM2605" s="70"/>
      <c r="AN2605" s="71"/>
      <c r="AO2605" s="71"/>
      <c r="AP2605" s="71"/>
      <c r="AQ2605" s="71"/>
      <c r="AR2605" s="71"/>
      <c r="AS2605" s="71"/>
      <c r="AT2605" s="71"/>
      <c r="AU2605" s="71"/>
      <c r="AV2605" s="71"/>
      <c r="AW2605" s="71"/>
      <c r="AX2605" s="71"/>
      <c r="AY2605" s="71"/>
      <c r="AZ2605" s="71"/>
      <c r="BA2605" s="71"/>
      <c r="BB2605" s="71"/>
      <c r="BC2605" s="71"/>
      <c r="BD2605" s="71"/>
      <c r="BE2605" s="71"/>
      <c r="BF2605" s="71"/>
      <c r="BG2605" s="71"/>
      <c r="BH2605" s="71"/>
      <c r="BI2605" s="71"/>
      <c r="BJ2605" s="71"/>
      <c r="BK2605" s="71"/>
      <c r="BL2605" s="71"/>
      <c r="BM2605" s="71"/>
      <c r="BN2605" s="71"/>
      <c r="BO2605" s="71"/>
      <c r="BP2605" s="71"/>
      <c r="BQ2605" s="71"/>
      <c r="BR2605" s="71"/>
      <c r="BS2605" s="71"/>
      <c r="BT2605" s="71"/>
      <c r="BU2605" s="71"/>
      <c r="BV2605" s="71"/>
    </row>
    <row r="2606">
      <c r="A2606" s="53"/>
      <c r="B2606" s="53"/>
      <c r="C2606" s="53" t="s">
        <v>53</v>
      </c>
      <c r="D2606" s="53" t="s">
        <v>6418</v>
      </c>
      <c r="E2606" s="54" t="s">
        <v>38</v>
      </c>
      <c r="F2606" s="54" t="s">
        <v>42</v>
      </c>
      <c r="G2606" s="55" t="s">
        <v>6419</v>
      </c>
      <c r="H2606" s="55" t="s">
        <v>6420</v>
      </c>
      <c r="I2606" s="54">
        <f t="shared" si="125"/>
        <v>37</v>
      </c>
      <c r="J2606" s="56"/>
      <c r="K2606" s="57"/>
      <c r="L2606" s="76"/>
      <c r="M2606" s="59"/>
      <c r="N2606" s="60"/>
      <c r="O2606" s="61">
        <v>554.0</v>
      </c>
      <c r="P2606" s="62">
        <v>598.32</v>
      </c>
      <c r="Q2606" s="63">
        <v>598.32</v>
      </c>
      <c r="R2606" s="64">
        <v>628.0</v>
      </c>
      <c r="S2606" s="111">
        <v>659.0</v>
      </c>
      <c r="T2606" s="65">
        <f t="shared" si="93"/>
        <v>105.44</v>
      </c>
      <c r="U2606" s="65">
        <f t="shared" si="94"/>
        <v>764.44</v>
      </c>
      <c r="V2606" s="66">
        <f t="shared" si="134"/>
        <v>0.04936305732</v>
      </c>
      <c r="W2606" s="67">
        <f t="shared" si="96"/>
        <v>626.05</v>
      </c>
      <c r="X2606" s="67">
        <f t="shared" si="132"/>
        <v>100.168</v>
      </c>
      <c r="Y2606" s="67">
        <f t="shared" si="133"/>
        <v>726.218</v>
      </c>
      <c r="Z2606" s="67">
        <f t="shared" si="99"/>
        <v>593.1</v>
      </c>
      <c r="AA2606" s="67">
        <f t="shared" si="114"/>
        <v>94.896</v>
      </c>
      <c r="AB2606" s="67">
        <f t="shared" si="115"/>
        <v>687.996</v>
      </c>
      <c r="AC2606" s="67">
        <f t="shared" si="102"/>
        <v>560.15</v>
      </c>
      <c r="AD2606" s="67">
        <f t="shared" si="116"/>
        <v>89.624</v>
      </c>
      <c r="AE2606" s="67">
        <f t="shared" si="117"/>
        <v>649.774</v>
      </c>
      <c r="AF2606" s="67">
        <f t="shared" si="105"/>
        <v>546.97</v>
      </c>
      <c r="AG2606" s="67">
        <f t="shared" si="118"/>
        <v>87.5152</v>
      </c>
      <c r="AH2606" s="67">
        <f t="shared" si="119"/>
        <v>634.4852</v>
      </c>
      <c r="AI2606" s="67">
        <f t="shared" si="108"/>
        <v>527.2</v>
      </c>
      <c r="AJ2606" s="68">
        <f t="shared" si="126"/>
        <v>84.352</v>
      </c>
      <c r="AK2606" s="68">
        <f t="shared" si="127"/>
        <v>611.552</v>
      </c>
      <c r="AL2606" s="70"/>
      <c r="AM2606" s="70"/>
      <c r="AN2606" s="71"/>
      <c r="AO2606" s="71"/>
      <c r="AP2606" s="71"/>
      <c r="AQ2606" s="71"/>
      <c r="AR2606" s="71"/>
      <c r="AS2606" s="71"/>
      <c r="AT2606" s="71"/>
      <c r="AU2606" s="71"/>
      <c r="AV2606" s="71"/>
      <c r="AW2606" s="71"/>
      <c r="AX2606" s="71"/>
      <c r="AY2606" s="71"/>
      <c r="AZ2606" s="71"/>
      <c r="BA2606" s="71"/>
      <c r="BB2606" s="71"/>
      <c r="BC2606" s="71"/>
      <c r="BD2606" s="71"/>
      <c r="BE2606" s="71"/>
      <c r="BF2606" s="71"/>
      <c r="BG2606" s="71"/>
      <c r="BH2606" s="71"/>
      <c r="BI2606" s="71"/>
      <c r="BJ2606" s="71"/>
      <c r="BK2606" s="71"/>
      <c r="BL2606" s="71"/>
      <c r="BM2606" s="71"/>
      <c r="BN2606" s="71"/>
      <c r="BO2606" s="71"/>
      <c r="BP2606" s="71"/>
      <c r="BQ2606" s="71"/>
      <c r="BR2606" s="71"/>
      <c r="BS2606" s="71"/>
      <c r="BT2606" s="71"/>
      <c r="BU2606" s="71"/>
      <c r="BV2606" s="71"/>
    </row>
    <row r="2607">
      <c r="A2607" s="53"/>
      <c r="B2607" s="53"/>
      <c r="C2607" s="53" t="s">
        <v>53</v>
      </c>
      <c r="D2607" s="53" t="s">
        <v>6421</v>
      </c>
      <c r="E2607" s="54" t="s">
        <v>38</v>
      </c>
      <c r="F2607" s="54" t="s">
        <v>42</v>
      </c>
      <c r="G2607" s="55" t="s">
        <v>6422</v>
      </c>
      <c r="H2607" s="55" t="s">
        <v>6423</v>
      </c>
      <c r="I2607" s="54">
        <f t="shared" si="125"/>
        <v>37</v>
      </c>
      <c r="J2607" s="56"/>
      <c r="K2607" s="57"/>
      <c r="L2607" s="76"/>
      <c r="M2607" s="59"/>
      <c r="N2607" s="60"/>
      <c r="O2607" s="61">
        <v>933.0</v>
      </c>
      <c r="P2607" s="62">
        <v>1007.6400000000001</v>
      </c>
      <c r="Q2607" s="63">
        <v>1007.6400000000001</v>
      </c>
      <c r="R2607" s="64">
        <v>1059.0</v>
      </c>
      <c r="S2607" s="111">
        <v>1112.0</v>
      </c>
      <c r="T2607" s="65">
        <f t="shared" si="93"/>
        <v>177.92</v>
      </c>
      <c r="U2607" s="65">
        <f t="shared" si="94"/>
        <v>1289.92</v>
      </c>
      <c r="V2607" s="66">
        <f t="shared" si="134"/>
        <v>0.05004721435</v>
      </c>
      <c r="W2607" s="67">
        <f t="shared" si="96"/>
        <v>1056.4</v>
      </c>
      <c r="X2607" s="67">
        <f t="shared" si="132"/>
        <v>169.024</v>
      </c>
      <c r="Y2607" s="67">
        <f t="shared" si="133"/>
        <v>1225.424</v>
      </c>
      <c r="Z2607" s="67">
        <f t="shared" si="99"/>
        <v>1000.8</v>
      </c>
      <c r="AA2607" s="67">
        <f t="shared" si="114"/>
        <v>160.128</v>
      </c>
      <c r="AB2607" s="67">
        <f t="shared" si="115"/>
        <v>1160.928</v>
      </c>
      <c r="AC2607" s="67">
        <f t="shared" si="102"/>
        <v>945.2</v>
      </c>
      <c r="AD2607" s="67">
        <f t="shared" si="116"/>
        <v>151.232</v>
      </c>
      <c r="AE2607" s="67">
        <f t="shared" si="117"/>
        <v>1096.432</v>
      </c>
      <c r="AF2607" s="67">
        <f t="shared" si="105"/>
        <v>922.96</v>
      </c>
      <c r="AG2607" s="67">
        <f t="shared" si="118"/>
        <v>147.6736</v>
      </c>
      <c r="AH2607" s="67">
        <f t="shared" si="119"/>
        <v>1070.6336</v>
      </c>
      <c r="AI2607" s="67">
        <f t="shared" si="108"/>
        <v>889.6</v>
      </c>
      <c r="AJ2607" s="68">
        <f t="shared" si="126"/>
        <v>142.336</v>
      </c>
      <c r="AK2607" s="68">
        <f t="shared" si="127"/>
        <v>1031.936</v>
      </c>
      <c r="AL2607" s="70"/>
      <c r="AM2607" s="70"/>
      <c r="AN2607" s="71"/>
      <c r="AO2607" s="71"/>
      <c r="AP2607" s="71"/>
      <c r="AQ2607" s="71"/>
      <c r="AR2607" s="71"/>
      <c r="AS2607" s="71"/>
      <c r="AT2607" s="71"/>
      <c r="AU2607" s="71"/>
      <c r="AV2607" s="71"/>
      <c r="AW2607" s="71"/>
      <c r="AX2607" s="71"/>
      <c r="AY2607" s="71"/>
      <c r="AZ2607" s="71"/>
      <c r="BA2607" s="71"/>
      <c r="BB2607" s="71"/>
      <c r="BC2607" s="71"/>
      <c r="BD2607" s="71"/>
      <c r="BE2607" s="71"/>
      <c r="BF2607" s="71"/>
      <c r="BG2607" s="71"/>
      <c r="BH2607" s="71"/>
      <c r="BI2607" s="71"/>
      <c r="BJ2607" s="71"/>
      <c r="BK2607" s="71"/>
      <c r="BL2607" s="71"/>
      <c r="BM2607" s="71"/>
      <c r="BN2607" s="71"/>
      <c r="BO2607" s="71"/>
      <c r="BP2607" s="71"/>
      <c r="BQ2607" s="71"/>
      <c r="BR2607" s="71"/>
      <c r="BS2607" s="71"/>
      <c r="BT2607" s="71"/>
      <c r="BU2607" s="71"/>
      <c r="BV2607" s="71"/>
    </row>
    <row r="2608">
      <c r="A2608" s="53"/>
      <c r="B2608" s="53"/>
      <c r="C2608" s="53" t="s">
        <v>53</v>
      </c>
      <c r="D2608" s="53" t="s">
        <v>6424</v>
      </c>
      <c r="E2608" s="54" t="s">
        <v>38</v>
      </c>
      <c r="F2608" s="54" t="s">
        <v>42</v>
      </c>
      <c r="G2608" s="55" t="s">
        <v>6425</v>
      </c>
      <c r="H2608" s="55" t="s">
        <v>6426</v>
      </c>
      <c r="I2608" s="54">
        <f t="shared" si="125"/>
        <v>37</v>
      </c>
      <c r="J2608" s="56"/>
      <c r="K2608" s="57"/>
      <c r="L2608" s="76"/>
      <c r="M2608" s="59"/>
      <c r="N2608" s="60"/>
      <c r="O2608" s="61">
        <v>1283.0</v>
      </c>
      <c r="P2608" s="62">
        <v>1385.64</v>
      </c>
      <c r="Q2608" s="63">
        <v>1385.64</v>
      </c>
      <c r="R2608" s="64">
        <v>1456.0</v>
      </c>
      <c r="S2608" s="111">
        <v>1529.0</v>
      </c>
      <c r="T2608" s="65">
        <f t="shared" si="93"/>
        <v>244.64</v>
      </c>
      <c r="U2608" s="65">
        <f t="shared" si="94"/>
        <v>1773.64</v>
      </c>
      <c r="V2608" s="66">
        <f t="shared" si="134"/>
        <v>0.05013736264</v>
      </c>
      <c r="W2608" s="67">
        <f t="shared" si="96"/>
        <v>1452.55</v>
      </c>
      <c r="X2608" s="67">
        <f t="shared" si="132"/>
        <v>232.408</v>
      </c>
      <c r="Y2608" s="67">
        <f t="shared" si="133"/>
        <v>1684.958</v>
      </c>
      <c r="Z2608" s="67">
        <f t="shared" si="99"/>
        <v>1376.1</v>
      </c>
      <c r="AA2608" s="67">
        <f t="shared" si="114"/>
        <v>220.176</v>
      </c>
      <c r="AB2608" s="67">
        <f t="shared" si="115"/>
        <v>1596.276</v>
      </c>
      <c r="AC2608" s="67">
        <f t="shared" si="102"/>
        <v>1299.65</v>
      </c>
      <c r="AD2608" s="67">
        <f t="shared" si="116"/>
        <v>207.944</v>
      </c>
      <c r="AE2608" s="67">
        <f t="shared" si="117"/>
        <v>1507.594</v>
      </c>
      <c r="AF2608" s="67">
        <f t="shared" si="105"/>
        <v>1269.07</v>
      </c>
      <c r="AG2608" s="67">
        <f t="shared" si="118"/>
        <v>203.0512</v>
      </c>
      <c r="AH2608" s="67">
        <f t="shared" si="119"/>
        <v>1472.1212</v>
      </c>
      <c r="AI2608" s="67">
        <f t="shared" si="108"/>
        <v>1223.2</v>
      </c>
      <c r="AJ2608" s="68">
        <f t="shared" si="126"/>
        <v>195.712</v>
      </c>
      <c r="AK2608" s="68">
        <f t="shared" si="127"/>
        <v>1418.912</v>
      </c>
      <c r="AL2608" s="70"/>
      <c r="AM2608" s="70"/>
      <c r="AN2608" s="71"/>
      <c r="AO2608" s="71"/>
      <c r="AP2608" s="71"/>
      <c r="AQ2608" s="71"/>
      <c r="AR2608" s="71"/>
      <c r="AS2608" s="71"/>
      <c r="AT2608" s="71"/>
      <c r="AU2608" s="71"/>
      <c r="AV2608" s="71"/>
      <c r="AW2608" s="71"/>
      <c r="AX2608" s="71"/>
      <c r="AY2608" s="71"/>
      <c r="AZ2608" s="71"/>
      <c r="BA2608" s="71"/>
      <c r="BB2608" s="71"/>
      <c r="BC2608" s="71"/>
      <c r="BD2608" s="71"/>
      <c r="BE2608" s="71"/>
      <c r="BF2608" s="71"/>
      <c r="BG2608" s="71"/>
      <c r="BH2608" s="71"/>
      <c r="BI2608" s="71"/>
      <c r="BJ2608" s="71"/>
      <c r="BK2608" s="71"/>
      <c r="BL2608" s="71"/>
      <c r="BM2608" s="71"/>
      <c r="BN2608" s="71"/>
      <c r="BO2608" s="71"/>
      <c r="BP2608" s="71"/>
      <c r="BQ2608" s="71"/>
      <c r="BR2608" s="71"/>
      <c r="BS2608" s="71"/>
      <c r="BT2608" s="71"/>
      <c r="BU2608" s="71"/>
      <c r="BV2608" s="71"/>
    </row>
    <row r="2609">
      <c r="A2609" s="53">
        <v>1.0</v>
      </c>
      <c r="B2609" s="53"/>
      <c r="C2609" s="73" t="s">
        <v>53</v>
      </c>
      <c r="D2609" s="53" t="s">
        <v>6427</v>
      </c>
      <c r="E2609" s="54" t="s">
        <v>38</v>
      </c>
      <c r="F2609" s="54" t="s">
        <v>42</v>
      </c>
      <c r="G2609" s="144" t="s">
        <v>6428</v>
      </c>
      <c r="H2609" s="54" t="s">
        <v>6429</v>
      </c>
      <c r="I2609" s="54">
        <f t="shared" si="125"/>
        <v>39</v>
      </c>
      <c r="J2609" s="56"/>
      <c r="K2609" s="57"/>
      <c r="L2609" s="87"/>
      <c r="M2609" s="59"/>
      <c r="N2609" s="60">
        <v>6701.0</v>
      </c>
      <c r="O2609" s="61">
        <v>7237.0</v>
      </c>
      <c r="P2609" s="62">
        <v>7815.960000000001</v>
      </c>
      <c r="Q2609" s="63">
        <v>7815.960000000001</v>
      </c>
      <c r="R2609" s="64">
        <v>8700.0</v>
      </c>
      <c r="S2609" s="111">
        <v>9135.0</v>
      </c>
      <c r="T2609" s="65">
        <f t="shared" si="93"/>
        <v>1461.6</v>
      </c>
      <c r="U2609" s="65">
        <f t="shared" si="94"/>
        <v>10596.6</v>
      </c>
      <c r="V2609" s="66">
        <f t="shared" si="134"/>
        <v>0.05</v>
      </c>
      <c r="W2609" s="67">
        <f t="shared" si="96"/>
        <v>8678.25</v>
      </c>
      <c r="X2609" s="67">
        <f t="shared" si="132"/>
        <v>1388.52</v>
      </c>
      <c r="Y2609" s="67">
        <f t="shared" si="133"/>
        <v>10066.77</v>
      </c>
      <c r="Z2609" s="67">
        <f t="shared" si="99"/>
        <v>8221.5</v>
      </c>
      <c r="AA2609" s="67">
        <f t="shared" si="114"/>
        <v>1315.44</v>
      </c>
      <c r="AB2609" s="67">
        <f t="shared" si="115"/>
        <v>9536.94</v>
      </c>
      <c r="AC2609" s="67">
        <f t="shared" si="102"/>
        <v>7764.75</v>
      </c>
      <c r="AD2609" s="67">
        <f t="shared" si="116"/>
        <v>1242.36</v>
      </c>
      <c r="AE2609" s="67">
        <f t="shared" si="117"/>
        <v>9007.11</v>
      </c>
      <c r="AF2609" s="67">
        <f t="shared" si="105"/>
        <v>7582.05</v>
      </c>
      <c r="AG2609" s="67">
        <f t="shared" si="118"/>
        <v>1213.128</v>
      </c>
      <c r="AH2609" s="67">
        <f t="shared" si="119"/>
        <v>8795.178</v>
      </c>
      <c r="AI2609" s="67">
        <f t="shared" si="108"/>
        <v>7308</v>
      </c>
      <c r="AJ2609" s="68">
        <f t="shared" si="126"/>
        <v>1169.28</v>
      </c>
      <c r="AK2609" s="68">
        <f t="shared" si="127"/>
        <v>8477.28</v>
      </c>
      <c r="AL2609" s="70"/>
      <c r="AM2609" s="70"/>
      <c r="AN2609" s="71"/>
      <c r="AO2609" s="71"/>
      <c r="AP2609" s="71"/>
      <c r="AQ2609" s="71"/>
      <c r="AR2609" s="71"/>
      <c r="AS2609" s="71"/>
      <c r="AT2609" s="71"/>
      <c r="AU2609" s="71"/>
      <c r="AV2609" s="71"/>
      <c r="AW2609" s="71"/>
      <c r="AX2609" s="71"/>
      <c r="AY2609" s="71"/>
      <c r="AZ2609" s="71"/>
      <c r="BA2609" s="71"/>
      <c r="BB2609" s="71"/>
      <c r="BC2609" s="71"/>
      <c r="BD2609" s="71"/>
      <c r="BE2609" s="71"/>
      <c r="BF2609" s="71"/>
      <c r="BG2609" s="71"/>
      <c r="BH2609" s="71"/>
      <c r="BI2609" s="71"/>
      <c r="BJ2609" s="71"/>
      <c r="BK2609" s="71"/>
      <c r="BL2609" s="71"/>
      <c r="BM2609" s="71"/>
      <c r="BN2609" s="71"/>
      <c r="BO2609" s="71"/>
      <c r="BP2609" s="71"/>
      <c r="BQ2609" s="71"/>
      <c r="BR2609" s="71"/>
      <c r="BS2609" s="71"/>
      <c r="BT2609" s="71"/>
      <c r="BU2609" s="71"/>
      <c r="BV2609" s="71"/>
    </row>
    <row r="2610">
      <c r="A2610" s="53"/>
      <c r="B2610" s="53"/>
      <c r="C2610" s="53" t="s">
        <v>36</v>
      </c>
      <c r="D2610" s="85" t="s">
        <v>6430</v>
      </c>
      <c r="E2610" s="54" t="s">
        <v>38</v>
      </c>
      <c r="F2610" s="55" t="s">
        <v>39</v>
      </c>
      <c r="G2610" s="86" t="s">
        <v>6431</v>
      </c>
      <c r="H2610" s="55"/>
      <c r="I2610" s="54">
        <f t="shared" si="125"/>
        <v>0</v>
      </c>
      <c r="J2610" s="56"/>
      <c r="K2610" s="57"/>
      <c r="L2610" s="76"/>
      <c r="M2610" s="59"/>
      <c r="N2610" s="60"/>
      <c r="O2610" s="61">
        <v>4.4</v>
      </c>
      <c r="P2610" s="62">
        <v>4.752000000000001</v>
      </c>
      <c r="Q2610" s="63">
        <v>4.752000000000001</v>
      </c>
      <c r="R2610" s="78">
        <v>4.0</v>
      </c>
      <c r="S2610" s="107">
        <v>4.2</v>
      </c>
      <c r="T2610" s="65">
        <f t="shared" si="93"/>
        <v>0.672</v>
      </c>
      <c r="U2610" s="65">
        <f t="shared" si="94"/>
        <v>4.872</v>
      </c>
      <c r="V2610" s="66">
        <f t="shared" si="134"/>
        <v>0.05</v>
      </c>
      <c r="W2610" s="67">
        <f t="shared" si="96"/>
        <v>3.99</v>
      </c>
      <c r="X2610" s="67">
        <f t="shared" si="132"/>
        <v>0.6384</v>
      </c>
      <c r="Y2610" s="67">
        <f t="shared" si="133"/>
        <v>4.6284</v>
      </c>
      <c r="Z2610" s="67">
        <f t="shared" si="99"/>
        <v>3.78</v>
      </c>
      <c r="AA2610" s="67">
        <f t="shared" si="114"/>
        <v>0.6048</v>
      </c>
      <c r="AB2610" s="67">
        <f t="shared" si="115"/>
        <v>4.3848</v>
      </c>
      <c r="AC2610" s="67">
        <f t="shared" si="102"/>
        <v>3.57</v>
      </c>
      <c r="AD2610" s="67">
        <f t="shared" si="116"/>
        <v>0.5712</v>
      </c>
      <c r="AE2610" s="67">
        <f t="shared" si="117"/>
        <v>4.1412</v>
      </c>
      <c r="AF2610" s="67">
        <f t="shared" si="105"/>
        <v>3.486</v>
      </c>
      <c r="AG2610" s="67">
        <f t="shared" si="118"/>
        <v>0.55776</v>
      </c>
      <c r="AH2610" s="67">
        <f t="shared" si="119"/>
        <v>4.04376</v>
      </c>
      <c r="AI2610" s="67">
        <f t="shared" si="108"/>
        <v>3.36</v>
      </c>
      <c r="AJ2610" s="68">
        <f t="shared" si="126"/>
        <v>0.5376</v>
      </c>
      <c r="AK2610" s="68">
        <f t="shared" si="127"/>
        <v>3.8976</v>
      </c>
      <c r="AL2610" s="70"/>
      <c r="AM2610" s="70"/>
      <c r="AN2610" s="71"/>
      <c r="AO2610" s="71"/>
      <c r="AP2610" s="71"/>
      <c r="AQ2610" s="71"/>
      <c r="AR2610" s="71"/>
      <c r="AS2610" s="71"/>
      <c r="AT2610" s="71"/>
      <c r="AU2610" s="71"/>
      <c r="AV2610" s="71"/>
      <c r="AW2610" s="71"/>
      <c r="AX2610" s="71"/>
      <c r="AY2610" s="71"/>
      <c r="AZ2610" s="71"/>
      <c r="BA2610" s="71"/>
      <c r="BB2610" s="71"/>
      <c r="BC2610" s="71"/>
      <c r="BD2610" s="71"/>
      <c r="BE2610" s="71"/>
      <c r="BF2610" s="71"/>
      <c r="BG2610" s="71"/>
      <c r="BH2610" s="71"/>
      <c r="BI2610" s="71"/>
      <c r="BJ2610" s="71"/>
      <c r="BK2610" s="71"/>
      <c r="BL2610" s="71"/>
      <c r="BM2610" s="71"/>
      <c r="BN2610" s="71"/>
      <c r="BO2610" s="71"/>
      <c r="BP2610" s="71"/>
      <c r="BQ2610" s="71"/>
      <c r="BR2610" s="71"/>
      <c r="BS2610" s="71"/>
      <c r="BT2610" s="71"/>
      <c r="BU2610" s="71"/>
      <c r="BV2610" s="71"/>
    </row>
    <row r="2611">
      <c r="A2611" s="53"/>
      <c r="B2611" s="53"/>
      <c r="C2611" s="53" t="s">
        <v>36</v>
      </c>
      <c r="D2611" s="85" t="s">
        <v>6432</v>
      </c>
      <c r="E2611" s="54" t="s">
        <v>38</v>
      </c>
      <c r="F2611" s="55" t="s">
        <v>39</v>
      </c>
      <c r="G2611" s="86" t="s">
        <v>6433</v>
      </c>
      <c r="H2611" s="55"/>
      <c r="I2611" s="54">
        <f t="shared" si="125"/>
        <v>0</v>
      </c>
      <c r="J2611" s="56"/>
      <c r="K2611" s="57"/>
      <c r="L2611" s="76"/>
      <c r="M2611" s="59"/>
      <c r="N2611" s="60"/>
      <c r="O2611" s="61">
        <v>13.44</v>
      </c>
      <c r="P2611" s="62">
        <v>14.5152</v>
      </c>
      <c r="Q2611" s="63">
        <v>14.5152</v>
      </c>
      <c r="R2611" s="64">
        <v>16.0</v>
      </c>
      <c r="S2611" s="107">
        <v>16.8</v>
      </c>
      <c r="T2611" s="65">
        <f t="shared" si="93"/>
        <v>2.688</v>
      </c>
      <c r="U2611" s="65">
        <f t="shared" si="94"/>
        <v>19.488</v>
      </c>
      <c r="V2611" s="66">
        <f t="shared" si="134"/>
        <v>0.05</v>
      </c>
      <c r="W2611" s="67">
        <f t="shared" si="96"/>
        <v>15.96</v>
      </c>
      <c r="X2611" s="67">
        <f t="shared" si="132"/>
        <v>2.5536</v>
      </c>
      <c r="Y2611" s="67">
        <f t="shared" si="133"/>
        <v>18.5136</v>
      </c>
      <c r="Z2611" s="67">
        <f t="shared" si="99"/>
        <v>15.12</v>
      </c>
      <c r="AA2611" s="67">
        <f t="shared" si="114"/>
        <v>2.4192</v>
      </c>
      <c r="AB2611" s="67">
        <f t="shared" si="115"/>
        <v>17.5392</v>
      </c>
      <c r="AC2611" s="67">
        <f t="shared" si="102"/>
        <v>14.28</v>
      </c>
      <c r="AD2611" s="67">
        <f t="shared" si="116"/>
        <v>2.2848</v>
      </c>
      <c r="AE2611" s="67">
        <f t="shared" si="117"/>
        <v>16.5648</v>
      </c>
      <c r="AF2611" s="67">
        <f t="shared" si="105"/>
        <v>13.944</v>
      </c>
      <c r="AG2611" s="67">
        <f t="shared" si="118"/>
        <v>2.23104</v>
      </c>
      <c r="AH2611" s="67">
        <f t="shared" si="119"/>
        <v>16.17504</v>
      </c>
      <c r="AI2611" s="67">
        <f t="shared" si="108"/>
        <v>13.44</v>
      </c>
      <c r="AJ2611" s="68">
        <f t="shared" si="126"/>
        <v>2.1504</v>
      </c>
      <c r="AK2611" s="68">
        <f t="shared" si="127"/>
        <v>15.5904</v>
      </c>
      <c r="AL2611" s="70"/>
      <c r="AM2611" s="70"/>
      <c r="AN2611" s="71"/>
      <c r="AO2611" s="71"/>
      <c r="AP2611" s="71"/>
      <c r="AQ2611" s="71"/>
      <c r="AR2611" s="71"/>
      <c r="AS2611" s="71"/>
      <c r="AT2611" s="71"/>
      <c r="AU2611" s="71"/>
      <c r="AV2611" s="71"/>
      <c r="AW2611" s="71"/>
      <c r="AX2611" s="71"/>
      <c r="AY2611" s="71"/>
      <c r="AZ2611" s="71"/>
      <c r="BA2611" s="71"/>
      <c r="BB2611" s="71"/>
      <c r="BC2611" s="71"/>
      <c r="BD2611" s="71"/>
      <c r="BE2611" s="71"/>
      <c r="BF2611" s="71"/>
      <c r="BG2611" s="71"/>
      <c r="BH2611" s="71"/>
      <c r="BI2611" s="71"/>
      <c r="BJ2611" s="71"/>
      <c r="BK2611" s="71"/>
      <c r="BL2611" s="71"/>
      <c r="BM2611" s="71"/>
      <c r="BN2611" s="71"/>
      <c r="BO2611" s="71"/>
      <c r="BP2611" s="71"/>
      <c r="BQ2611" s="71"/>
      <c r="BR2611" s="71"/>
      <c r="BS2611" s="71"/>
      <c r="BT2611" s="71"/>
      <c r="BU2611" s="71"/>
      <c r="BV2611" s="71"/>
    </row>
    <row r="2612">
      <c r="A2612" s="53"/>
      <c r="B2612" s="53"/>
      <c r="C2612" s="53" t="s">
        <v>36</v>
      </c>
      <c r="D2612" s="85" t="s">
        <v>6434</v>
      </c>
      <c r="E2612" s="54" t="s">
        <v>38</v>
      </c>
      <c r="F2612" s="55" t="s">
        <v>39</v>
      </c>
      <c r="G2612" s="86" t="s">
        <v>6435</v>
      </c>
      <c r="H2612" s="55"/>
      <c r="I2612" s="54">
        <f t="shared" si="125"/>
        <v>0</v>
      </c>
      <c r="J2612" s="56"/>
      <c r="K2612" s="57"/>
      <c r="L2612" s="76"/>
      <c r="M2612" s="59"/>
      <c r="N2612" s="60"/>
      <c r="O2612" s="61">
        <v>13.44</v>
      </c>
      <c r="P2612" s="62">
        <v>14.5152</v>
      </c>
      <c r="Q2612" s="63">
        <v>14.5152</v>
      </c>
      <c r="R2612" s="64">
        <v>16.0</v>
      </c>
      <c r="S2612" s="107">
        <v>16.8</v>
      </c>
      <c r="T2612" s="65">
        <f t="shared" si="93"/>
        <v>2.688</v>
      </c>
      <c r="U2612" s="65">
        <f t="shared" si="94"/>
        <v>19.488</v>
      </c>
      <c r="V2612" s="66">
        <f t="shared" si="134"/>
        <v>0.05</v>
      </c>
      <c r="W2612" s="67">
        <f t="shared" si="96"/>
        <v>15.96</v>
      </c>
      <c r="X2612" s="67">
        <f t="shared" si="132"/>
        <v>2.5536</v>
      </c>
      <c r="Y2612" s="67">
        <f t="shared" si="133"/>
        <v>18.5136</v>
      </c>
      <c r="Z2612" s="67">
        <f t="shared" si="99"/>
        <v>15.12</v>
      </c>
      <c r="AA2612" s="67">
        <f t="shared" si="114"/>
        <v>2.4192</v>
      </c>
      <c r="AB2612" s="67">
        <f t="shared" si="115"/>
        <v>17.5392</v>
      </c>
      <c r="AC2612" s="67">
        <f t="shared" si="102"/>
        <v>14.28</v>
      </c>
      <c r="AD2612" s="67">
        <f t="shared" si="116"/>
        <v>2.2848</v>
      </c>
      <c r="AE2612" s="67">
        <f t="shared" si="117"/>
        <v>16.5648</v>
      </c>
      <c r="AF2612" s="67">
        <f t="shared" si="105"/>
        <v>13.944</v>
      </c>
      <c r="AG2612" s="67">
        <f t="shared" si="118"/>
        <v>2.23104</v>
      </c>
      <c r="AH2612" s="67">
        <f t="shared" si="119"/>
        <v>16.17504</v>
      </c>
      <c r="AI2612" s="67">
        <f t="shared" si="108"/>
        <v>13.44</v>
      </c>
      <c r="AJ2612" s="68">
        <f t="shared" si="126"/>
        <v>2.1504</v>
      </c>
      <c r="AK2612" s="68">
        <f t="shared" si="127"/>
        <v>15.5904</v>
      </c>
      <c r="AL2612" s="70"/>
      <c r="AM2612" s="70"/>
      <c r="AN2612" s="71"/>
      <c r="AO2612" s="71"/>
      <c r="AP2612" s="71"/>
      <c r="AQ2612" s="71"/>
      <c r="AR2612" s="71"/>
      <c r="AS2612" s="71"/>
      <c r="AT2612" s="71"/>
      <c r="AU2612" s="71"/>
      <c r="AV2612" s="71"/>
      <c r="AW2612" s="71"/>
      <c r="AX2612" s="71"/>
      <c r="AY2612" s="71"/>
      <c r="AZ2612" s="71"/>
      <c r="BA2612" s="71"/>
      <c r="BB2612" s="71"/>
      <c r="BC2612" s="71"/>
      <c r="BD2612" s="71"/>
      <c r="BE2612" s="71"/>
      <c r="BF2612" s="71"/>
      <c r="BG2612" s="71"/>
      <c r="BH2612" s="71"/>
      <c r="BI2612" s="71"/>
      <c r="BJ2612" s="71"/>
      <c r="BK2612" s="71"/>
      <c r="BL2612" s="71"/>
      <c r="BM2612" s="71"/>
      <c r="BN2612" s="71"/>
      <c r="BO2612" s="71"/>
      <c r="BP2612" s="71"/>
      <c r="BQ2612" s="71"/>
      <c r="BR2612" s="71"/>
      <c r="BS2612" s="71"/>
      <c r="BT2612" s="71"/>
      <c r="BU2612" s="71"/>
      <c r="BV2612" s="71"/>
    </row>
    <row r="2613">
      <c r="A2613" s="53"/>
      <c r="B2613" s="53"/>
      <c r="C2613" s="53" t="s">
        <v>36</v>
      </c>
      <c r="D2613" s="85" t="s">
        <v>6436</v>
      </c>
      <c r="E2613" s="54" t="s">
        <v>38</v>
      </c>
      <c r="F2613" s="55" t="s">
        <v>39</v>
      </c>
      <c r="G2613" s="86" t="s">
        <v>6437</v>
      </c>
      <c r="H2613" s="55"/>
      <c r="I2613" s="54">
        <f t="shared" si="125"/>
        <v>0</v>
      </c>
      <c r="J2613" s="56"/>
      <c r="K2613" s="57"/>
      <c r="L2613" s="76"/>
      <c r="M2613" s="59"/>
      <c r="N2613" s="60"/>
      <c r="O2613" s="61">
        <v>13.44</v>
      </c>
      <c r="P2613" s="62">
        <v>14.5152</v>
      </c>
      <c r="Q2613" s="63">
        <v>14.5152</v>
      </c>
      <c r="R2613" s="64">
        <v>16.0</v>
      </c>
      <c r="S2613" s="107">
        <v>16.8</v>
      </c>
      <c r="T2613" s="65">
        <f t="shared" si="93"/>
        <v>2.688</v>
      </c>
      <c r="U2613" s="65">
        <f t="shared" si="94"/>
        <v>19.488</v>
      </c>
      <c r="V2613" s="66">
        <f t="shared" si="134"/>
        <v>0.05</v>
      </c>
      <c r="W2613" s="67">
        <f t="shared" si="96"/>
        <v>15.96</v>
      </c>
      <c r="X2613" s="67">
        <f t="shared" si="132"/>
        <v>2.5536</v>
      </c>
      <c r="Y2613" s="67">
        <f t="shared" si="133"/>
        <v>18.5136</v>
      </c>
      <c r="Z2613" s="67">
        <f t="shared" si="99"/>
        <v>15.12</v>
      </c>
      <c r="AA2613" s="67">
        <f t="shared" si="114"/>
        <v>2.4192</v>
      </c>
      <c r="AB2613" s="67">
        <f t="shared" si="115"/>
        <v>17.5392</v>
      </c>
      <c r="AC2613" s="67">
        <f t="shared" si="102"/>
        <v>14.28</v>
      </c>
      <c r="AD2613" s="67">
        <f t="shared" si="116"/>
        <v>2.2848</v>
      </c>
      <c r="AE2613" s="67">
        <f t="shared" si="117"/>
        <v>16.5648</v>
      </c>
      <c r="AF2613" s="67">
        <f t="shared" si="105"/>
        <v>13.944</v>
      </c>
      <c r="AG2613" s="67">
        <f t="shared" si="118"/>
        <v>2.23104</v>
      </c>
      <c r="AH2613" s="67">
        <f t="shared" si="119"/>
        <v>16.17504</v>
      </c>
      <c r="AI2613" s="67">
        <f t="shared" si="108"/>
        <v>13.44</v>
      </c>
      <c r="AJ2613" s="68">
        <f t="shared" si="126"/>
        <v>2.1504</v>
      </c>
      <c r="AK2613" s="68">
        <f t="shared" si="127"/>
        <v>15.5904</v>
      </c>
      <c r="AL2613" s="70"/>
      <c r="AM2613" s="70"/>
      <c r="AN2613" s="71"/>
      <c r="AO2613" s="71"/>
      <c r="AP2613" s="71"/>
      <c r="AQ2613" s="71"/>
      <c r="AR2613" s="71"/>
      <c r="AS2613" s="71"/>
      <c r="AT2613" s="71"/>
      <c r="AU2613" s="71"/>
      <c r="AV2613" s="71"/>
      <c r="AW2613" s="71"/>
      <c r="AX2613" s="71"/>
      <c r="AY2613" s="71"/>
      <c r="AZ2613" s="71"/>
      <c r="BA2613" s="71"/>
      <c r="BB2613" s="71"/>
      <c r="BC2613" s="71"/>
      <c r="BD2613" s="71"/>
      <c r="BE2613" s="71"/>
      <c r="BF2613" s="71"/>
      <c r="BG2613" s="71"/>
      <c r="BH2613" s="71"/>
      <c r="BI2613" s="71"/>
      <c r="BJ2613" s="71"/>
      <c r="BK2613" s="71"/>
      <c r="BL2613" s="71"/>
      <c r="BM2613" s="71"/>
      <c r="BN2613" s="71"/>
      <c r="BO2613" s="71"/>
      <c r="BP2613" s="71"/>
      <c r="BQ2613" s="71"/>
      <c r="BR2613" s="71"/>
      <c r="BS2613" s="71"/>
      <c r="BT2613" s="71"/>
      <c r="BU2613" s="71"/>
      <c r="BV2613" s="71"/>
    </row>
    <row r="2614">
      <c r="A2614" s="53"/>
      <c r="B2614" s="53"/>
      <c r="C2614" s="73" t="s">
        <v>12</v>
      </c>
      <c r="D2614" s="53" t="s">
        <v>6438</v>
      </c>
      <c r="E2614" s="54" t="s">
        <v>38</v>
      </c>
      <c r="F2614" s="54" t="s">
        <v>42</v>
      </c>
      <c r="G2614" s="55" t="s">
        <v>6439</v>
      </c>
      <c r="H2614" s="54" t="s">
        <v>6440</v>
      </c>
      <c r="I2614" s="54">
        <f t="shared" si="125"/>
        <v>36</v>
      </c>
      <c r="J2614" s="56"/>
      <c r="K2614" s="57"/>
      <c r="L2614" s="76"/>
      <c r="M2614" s="59"/>
      <c r="N2614" s="60"/>
      <c r="O2614" s="61">
        <v>3.0</v>
      </c>
      <c r="P2614" s="62">
        <v>3.24</v>
      </c>
      <c r="Q2614" s="63">
        <v>3.24</v>
      </c>
      <c r="R2614" s="78">
        <v>3.0</v>
      </c>
      <c r="S2614" s="111">
        <v>3.1500000000000004</v>
      </c>
      <c r="T2614" s="65">
        <f t="shared" si="93"/>
        <v>0.504</v>
      </c>
      <c r="U2614" s="65">
        <f t="shared" si="94"/>
        <v>3.654</v>
      </c>
      <c r="V2614" s="66">
        <f t="shared" si="134"/>
        <v>0.05</v>
      </c>
      <c r="W2614" s="67">
        <f t="shared" si="96"/>
        <v>2.9925</v>
      </c>
      <c r="X2614" s="67">
        <f t="shared" si="132"/>
        <v>0.4788</v>
      </c>
      <c r="Y2614" s="67">
        <f t="shared" si="133"/>
        <v>3.4713</v>
      </c>
      <c r="Z2614" s="67">
        <f t="shared" si="99"/>
        <v>2.835</v>
      </c>
      <c r="AA2614" s="67">
        <f t="shared" si="114"/>
        <v>0.4536</v>
      </c>
      <c r="AB2614" s="67">
        <f t="shared" si="115"/>
        <v>3.2886</v>
      </c>
      <c r="AC2614" s="67">
        <f t="shared" si="102"/>
        <v>2.6775</v>
      </c>
      <c r="AD2614" s="67">
        <f t="shared" si="116"/>
        <v>0.4284</v>
      </c>
      <c r="AE2614" s="67">
        <f t="shared" si="117"/>
        <v>3.1059</v>
      </c>
      <c r="AF2614" s="67">
        <f t="shared" si="105"/>
        <v>2.6145</v>
      </c>
      <c r="AG2614" s="67">
        <f t="shared" si="118"/>
        <v>0.41832</v>
      </c>
      <c r="AH2614" s="67">
        <f t="shared" si="119"/>
        <v>3.03282</v>
      </c>
      <c r="AI2614" s="67">
        <f t="shared" si="108"/>
        <v>2.52</v>
      </c>
      <c r="AJ2614" s="68">
        <f t="shared" si="126"/>
        <v>0.4032</v>
      </c>
      <c r="AK2614" s="68">
        <f t="shared" si="127"/>
        <v>2.9232</v>
      </c>
      <c r="AL2614" s="70"/>
      <c r="AM2614" s="70"/>
      <c r="AN2614" s="71"/>
      <c r="AO2614" s="71"/>
      <c r="AP2614" s="71"/>
      <c r="AQ2614" s="71"/>
      <c r="AR2614" s="71"/>
      <c r="AS2614" s="71"/>
      <c r="AT2614" s="71"/>
      <c r="AU2614" s="71"/>
      <c r="AV2614" s="71"/>
      <c r="AW2614" s="71"/>
      <c r="AX2614" s="71"/>
      <c r="AY2614" s="71"/>
      <c r="AZ2614" s="71"/>
      <c r="BA2614" s="71"/>
      <c r="BB2614" s="71"/>
      <c r="BC2614" s="71"/>
      <c r="BD2614" s="71"/>
      <c r="BE2614" s="71"/>
      <c r="BF2614" s="71"/>
      <c r="BG2614" s="71"/>
      <c r="BH2614" s="71"/>
      <c r="BI2614" s="71"/>
      <c r="BJ2614" s="71"/>
      <c r="BK2614" s="71"/>
      <c r="BL2614" s="71"/>
      <c r="BM2614" s="71"/>
      <c r="BN2614" s="71"/>
      <c r="BO2614" s="71"/>
      <c r="BP2614" s="71"/>
      <c r="BQ2614" s="71"/>
      <c r="BR2614" s="71"/>
      <c r="BS2614" s="71"/>
      <c r="BT2614" s="71"/>
      <c r="BU2614" s="71"/>
      <c r="BV2614" s="71"/>
    </row>
    <row r="2615">
      <c r="A2615" s="53">
        <v>1.0</v>
      </c>
      <c r="B2615" s="53"/>
      <c r="C2615" s="73" t="s">
        <v>12</v>
      </c>
      <c r="D2615" s="74" t="s">
        <v>6441</v>
      </c>
      <c r="E2615" s="54" t="s">
        <v>38</v>
      </c>
      <c r="F2615" s="54" t="s">
        <v>42</v>
      </c>
      <c r="G2615" s="55" t="s">
        <v>6442</v>
      </c>
      <c r="H2615" s="54" t="s">
        <v>6443</v>
      </c>
      <c r="I2615" s="54">
        <f t="shared" si="125"/>
        <v>36</v>
      </c>
      <c r="J2615" s="56"/>
      <c r="K2615" s="57"/>
      <c r="L2615" s="87"/>
      <c r="M2615" s="59"/>
      <c r="N2615" s="60">
        <v>23.0</v>
      </c>
      <c r="O2615" s="61">
        <v>23.0</v>
      </c>
      <c r="P2615" s="62">
        <v>24.840000000000003</v>
      </c>
      <c r="Q2615" s="63">
        <v>24.840000000000003</v>
      </c>
      <c r="R2615" s="64">
        <v>29.0</v>
      </c>
      <c r="S2615" s="111">
        <v>30.0</v>
      </c>
      <c r="T2615" s="65">
        <f t="shared" si="93"/>
        <v>4.8</v>
      </c>
      <c r="U2615" s="65">
        <f t="shared" si="94"/>
        <v>34.8</v>
      </c>
      <c r="V2615" s="66">
        <f t="shared" si="134"/>
        <v>0.03448275862</v>
      </c>
      <c r="W2615" s="67">
        <f t="shared" si="96"/>
        <v>28.5</v>
      </c>
      <c r="X2615" s="67">
        <f t="shared" si="132"/>
        <v>4.56</v>
      </c>
      <c r="Y2615" s="67">
        <f t="shared" si="133"/>
        <v>33.06</v>
      </c>
      <c r="Z2615" s="67">
        <f t="shared" si="99"/>
        <v>27</v>
      </c>
      <c r="AA2615" s="67">
        <f t="shared" si="114"/>
        <v>4.32</v>
      </c>
      <c r="AB2615" s="67">
        <f t="shared" si="115"/>
        <v>31.32</v>
      </c>
      <c r="AC2615" s="67">
        <f t="shared" si="102"/>
        <v>25.5</v>
      </c>
      <c r="AD2615" s="67">
        <f t="shared" si="116"/>
        <v>4.08</v>
      </c>
      <c r="AE2615" s="67">
        <f t="shared" si="117"/>
        <v>29.58</v>
      </c>
      <c r="AF2615" s="67">
        <f t="shared" si="105"/>
        <v>24.9</v>
      </c>
      <c r="AG2615" s="67">
        <f t="shared" si="118"/>
        <v>3.984</v>
      </c>
      <c r="AH2615" s="67">
        <f t="shared" si="119"/>
        <v>28.884</v>
      </c>
      <c r="AI2615" s="67">
        <f t="shared" si="108"/>
        <v>24</v>
      </c>
      <c r="AJ2615" s="68">
        <f t="shared" si="126"/>
        <v>3.84</v>
      </c>
      <c r="AK2615" s="68">
        <f t="shared" si="127"/>
        <v>27.84</v>
      </c>
      <c r="AL2615" s="70"/>
      <c r="AM2615" s="70"/>
      <c r="AN2615" s="71"/>
      <c r="AO2615" s="71"/>
      <c r="AP2615" s="71"/>
      <c r="AQ2615" s="71"/>
      <c r="AR2615" s="71"/>
      <c r="AS2615" s="71"/>
      <c r="AT2615" s="71"/>
      <c r="AU2615" s="71"/>
      <c r="AV2615" s="71"/>
      <c r="AW2615" s="71"/>
      <c r="AX2615" s="71"/>
      <c r="AY2615" s="71"/>
      <c r="AZ2615" s="71"/>
      <c r="BA2615" s="71"/>
      <c r="BB2615" s="71"/>
      <c r="BC2615" s="71"/>
      <c r="BD2615" s="71"/>
      <c r="BE2615" s="71"/>
      <c r="BF2615" s="71"/>
      <c r="BG2615" s="71"/>
      <c r="BH2615" s="71"/>
      <c r="BI2615" s="71"/>
      <c r="BJ2615" s="71"/>
      <c r="BK2615" s="71"/>
      <c r="BL2615" s="71"/>
      <c r="BM2615" s="71"/>
      <c r="BN2615" s="71"/>
      <c r="BO2615" s="71"/>
      <c r="BP2615" s="71"/>
      <c r="BQ2615" s="71"/>
      <c r="BR2615" s="71"/>
      <c r="BS2615" s="71"/>
      <c r="BT2615" s="71"/>
      <c r="BU2615" s="71"/>
      <c r="BV2615" s="71"/>
    </row>
    <row r="2616">
      <c r="A2616" s="53">
        <v>1.0</v>
      </c>
      <c r="B2616" s="53"/>
      <c r="C2616" s="73" t="s">
        <v>12</v>
      </c>
      <c r="D2616" s="74" t="s">
        <v>6444</v>
      </c>
      <c r="E2616" s="54" t="s">
        <v>38</v>
      </c>
      <c r="F2616" s="54" t="s">
        <v>42</v>
      </c>
      <c r="G2616" s="88" t="s">
        <v>6445</v>
      </c>
      <c r="H2616" s="54" t="s">
        <v>6445</v>
      </c>
      <c r="I2616" s="54">
        <f t="shared" si="125"/>
        <v>31</v>
      </c>
      <c r="J2616" s="56"/>
      <c r="K2616" s="57"/>
      <c r="L2616" s="87"/>
      <c r="M2616" s="59"/>
      <c r="N2616" s="60">
        <v>3.0</v>
      </c>
      <c r="O2616" s="61">
        <v>2.0</v>
      </c>
      <c r="P2616" s="62">
        <v>2.16</v>
      </c>
      <c r="Q2616" s="63">
        <v>2.16</v>
      </c>
      <c r="R2616" s="78">
        <v>3.0</v>
      </c>
      <c r="S2616" s="111">
        <v>3.1500000000000004</v>
      </c>
      <c r="T2616" s="65">
        <f t="shared" si="93"/>
        <v>0.504</v>
      </c>
      <c r="U2616" s="65">
        <f t="shared" si="94"/>
        <v>3.654</v>
      </c>
      <c r="V2616" s="66">
        <f t="shared" si="134"/>
        <v>0.05</v>
      </c>
      <c r="W2616" s="67">
        <f t="shared" si="96"/>
        <v>2.9925</v>
      </c>
      <c r="X2616" s="67">
        <f t="shared" si="132"/>
        <v>0.4788</v>
      </c>
      <c r="Y2616" s="67">
        <f t="shared" si="133"/>
        <v>3.4713</v>
      </c>
      <c r="Z2616" s="67">
        <f t="shared" si="99"/>
        <v>2.835</v>
      </c>
      <c r="AA2616" s="67">
        <f t="shared" si="114"/>
        <v>0.4536</v>
      </c>
      <c r="AB2616" s="67">
        <f t="shared" si="115"/>
        <v>3.2886</v>
      </c>
      <c r="AC2616" s="67">
        <f t="shared" si="102"/>
        <v>2.6775</v>
      </c>
      <c r="AD2616" s="67">
        <f t="shared" si="116"/>
        <v>0.4284</v>
      </c>
      <c r="AE2616" s="67">
        <f t="shared" si="117"/>
        <v>3.1059</v>
      </c>
      <c r="AF2616" s="67">
        <f t="shared" si="105"/>
        <v>2.6145</v>
      </c>
      <c r="AG2616" s="67">
        <f t="shared" si="118"/>
        <v>0.41832</v>
      </c>
      <c r="AH2616" s="67">
        <f t="shared" si="119"/>
        <v>3.03282</v>
      </c>
      <c r="AI2616" s="67">
        <f t="shared" si="108"/>
        <v>2.52</v>
      </c>
      <c r="AJ2616" s="68">
        <f t="shared" si="126"/>
        <v>0.4032</v>
      </c>
      <c r="AK2616" s="68">
        <f t="shared" si="127"/>
        <v>2.9232</v>
      </c>
      <c r="AL2616" s="70"/>
      <c r="AM2616" s="70"/>
      <c r="AN2616" s="71"/>
      <c r="AO2616" s="71"/>
      <c r="AP2616" s="71"/>
      <c r="AQ2616" s="71"/>
      <c r="AR2616" s="71"/>
      <c r="AS2616" s="71"/>
      <c r="AT2616" s="71"/>
      <c r="AU2616" s="71"/>
      <c r="AV2616" s="71"/>
      <c r="AW2616" s="71"/>
      <c r="AX2616" s="71"/>
      <c r="AY2616" s="71"/>
      <c r="AZ2616" s="71"/>
      <c r="BA2616" s="71"/>
      <c r="BB2616" s="71"/>
      <c r="BC2616" s="71"/>
      <c r="BD2616" s="71"/>
      <c r="BE2616" s="71"/>
      <c r="BF2616" s="71"/>
      <c r="BG2616" s="71"/>
      <c r="BH2616" s="71"/>
      <c r="BI2616" s="71"/>
      <c r="BJ2616" s="71"/>
      <c r="BK2616" s="71"/>
      <c r="BL2616" s="71"/>
      <c r="BM2616" s="71"/>
      <c r="BN2616" s="71"/>
      <c r="BO2616" s="71"/>
      <c r="BP2616" s="71"/>
      <c r="BQ2616" s="71"/>
      <c r="BR2616" s="71"/>
      <c r="BS2616" s="71"/>
      <c r="BT2616" s="71"/>
      <c r="BU2616" s="71"/>
      <c r="BV2616" s="71"/>
    </row>
    <row r="2617">
      <c r="A2617" s="53"/>
      <c r="B2617" s="53"/>
      <c r="C2617" s="53" t="s">
        <v>36</v>
      </c>
      <c r="D2617" s="85" t="s">
        <v>6446</v>
      </c>
      <c r="E2617" s="54" t="s">
        <v>38</v>
      </c>
      <c r="F2617" s="55" t="s">
        <v>39</v>
      </c>
      <c r="G2617" s="86" t="s">
        <v>6447</v>
      </c>
      <c r="H2617" s="55"/>
      <c r="I2617" s="54">
        <f t="shared" si="125"/>
        <v>0</v>
      </c>
      <c r="J2617" s="56"/>
      <c r="K2617" s="57"/>
      <c r="L2617" s="76"/>
      <c r="M2617" s="59"/>
      <c r="N2617" s="60"/>
      <c r="O2617" s="61">
        <v>10.8</v>
      </c>
      <c r="P2617" s="62">
        <v>11.664000000000001</v>
      </c>
      <c r="Q2617" s="63">
        <v>11.664000000000001</v>
      </c>
      <c r="R2617" s="64">
        <v>12.0</v>
      </c>
      <c r="S2617" s="107">
        <v>12.600000000000001</v>
      </c>
      <c r="T2617" s="65">
        <f t="shared" si="93"/>
        <v>2.016</v>
      </c>
      <c r="U2617" s="65">
        <f t="shared" si="94"/>
        <v>14.616</v>
      </c>
      <c r="V2617" s="66">
        <f t="shared" si="134"/>
        <v>0.05</v>
      </c>
      <c r="W2617" s="67">
        <f t="shared" si="96"/>
        <v>11.97</v>
      </c>
      <c r="X2617" s="67">
        <f t="shared" si="132"/>
        <v>1.9152</v>
      </c>
      <c r="Y2617" s="67">
        <f t="shared" si="133"/>
        <v>13.8852</v>
      </c>
      <c r="Z2617" s="67">
        <f t="shared" si="99"/>
        <v>11.34</v>
      </c>
      <c r="AA2617" s="67">
        <f t="shared" si="114"/>
        <v>1.8144</v>
      </c>
      <c r="AB2617" s="67">
        <f t="shared" si="115"/>
        <v>13.1544</v>
      </c>
      <c r="AC2617" s="67">
        <f t="shared" si="102"/>
        <v>10.71</v>
      </c>
      <c r="AD2617" s="67">
        <f t="shared" si="116"/>
        <v>1.7136</v>
      </c>
      <c r="AE2617" s="67">
        <f t="shared" si="117"/>
        <v>12.4236</v>
      </c>
      <c r="AF2617" s="67">
        <f t="shared" si="105"/>
        <v>10.458</v>
      </c>
      <c r="AG2617" s="67">
        <f t="shared" si="118"/>
        <v>1.67328</v>
      </c>
      <c r="AH2617" s="67">
        <f t="shared" si="119"/>
        <v>12.13128</v>
      </c>
      <c r="AI2617" s="67">
        <f t="shared" si="108"/>
        <v>10.08</v>
      </c>
      <c r="AJ2617" s="68">
        <f t="shared" si="126"/>
        <v>1.6128</v>
      </c>
      <c r="AK2617" s="68">
        <f t="shared" si="127"/>
        <v>11.6928</v>
      </c>
      <c r="AL2617" s="70"/>
      <c r="AM2617" s="70"/>
      <c r="AN2617" s="71"/>
      <c r="AO2617" s="71"/>
      <c r="AP2617" s="71"/>
      <c r="AQ2617" s="71"/>
      <c r="AR2617" s="71"/>
      <c r="AS2617" s="71"/>
      <c r="AT2617" s="71"/>
      <c r="AU2617" s="71"/>
      <c r="AV2617" s="71"/>
      <c r="AW2617" s="71"/>
      <c r="AX2617" s="71"/>
      <c r="AY2617" s="71"/>
      <c r="AZ2617" s="71"/>
      <c r="BA2617" s="71"/>
      <c r="BB2617" s="71"/>
      <c r="BC2617" s="71"/>
      <c r="BD2617" s="71"/>
      <c r="BE2617" s="71"/>
      <c r="BF2617" s="71"/>
      <c r="BG2617" s="71"/>
      <c r="BH2617" s="71"/>
      <c r="BI2617" s="71"/>
      <c r="BJ2617" s="71"/>
      <c r="BK2617" s="71"/>
      <c r="BL2617" s="71"/>
      <c r="BM2617" s="71"/>
      <c r="BN2617" s="71"/>
      <c r="BO2617" s="71"/>
      <c r="BP2617" s="71"/>
      <c r="BQ2617" s="71"/>
      <c r="BR2617" s="71"/>
      <c r="BS2617" s="71"/>
      <c r="BT2617" s="71"/>
      <c r="BU2617" s="71"/>
      <c r="BV2617" s="71"/>
    </row>
    <row r="2618">
      <c r="A2618" s="53">
        <v>1.0</v>
      </c>
      <c r="B2618" s="53"/>
      <c r="C2618" s="73" t="s">
        <v>12</v>
      </c>
      <c r="D2618" s="74" t="s">
        <v>6448</v>
      </c>
      <c r="E2618" s="54" t="s">
        <v>38</v>
      </c>
      <c r="F2618" s="54" t="s">
        <v>42</v>
      </c>
      <c r="G2618" s="88" t="s">
        <v>6449</v>
      </c>
      <c r="H2618" s="54" t="s">
        <v>6449</v>
      </c>
      <c r="I2618" s="54">
        <f t="shared" si="125"/>
        <v>34</v>
      </c>
      <c r="J2618" s="56"/>
      <c r="K2618" s="57"/>
      <c r="L2618" s="87"/>
      <c r="M2618" s="59"/>
      <c r="N2618" s="60">
        <v>1.0</v>
      </c>
      <c r="O2618" s="61">
        <v>1.0</v>
      </c>
      <c r="P2618" s="62">
        <v>1.08</v>
      </c>
      <c r="Q2618" s="63">
        <v>1.08</v>
      </c>
      <c r="R2618" s="78">
        <v>2.0</v>
      </c>
      <c r="S2618" s="111">
        <v>2.1</v>
      </c>
      <c r="T2618" s="65">
        <f t="shared" si="93"/>
        <v>0.336</v>
      </c>
      <c r="U2618" s="65">
        <f t="shared" si="94"/>
        <v>2.436</v>
      </c>
      <c r="V2618" s="66">
        <f t="shared" si="134"/>
        <v>0.05</v>
      </c>
      <c r="W2618" s="67">
        <f t="shared" si="96"/>
        <v>1.995</v>
      </c>
      <c r="X2618" s="67">
        <f t="shared" si="132"/>
        <v>0.3192</v>
      </c>
      <c r="Y2618" s="67">
        <f t="shared" si="133"/>
        <v>2.3142</v>
      </c>
      <c r="Z2618" s="67">
        <f t="shared" si="99"/>
        <v>1.89</v>
      </c>
      <c r="AA2618" s="67">
        <f t="shared" si="114"/>
        <v>0.3024</v>
      </c>
      <c r="AB2618" s="67">
        <f t="shared" si="115"/>
        <v>2.1924</v>
      </c>
      <c r="AC2618" s="67">
        <f t="shared" si="102"/>
        <v>1.785</v>
      </c>
      <c r="AD2618" s="67">
        <f t="shared" si="116"/>
        <v>0.2856</v>
      </c>
      <c r="AE2618" s="67">
        <f t="shared" si="117"/>
        <v>2.0706</v>
      </c>
      <c r="AF2618" s="67">
        <f t="shared" si="105"/>
        <v>1.743</v>
      </c>
      <c r="AG2618" s="67">
        <f t="shared" si="118"/>
        <v>0.27888</v>
      </c>
      <c r="AH2618" s="67">
        <f t="shared" si="119"/>
        <v>2.02188</v>
      </c>
      <c r="AI2618" s="67">
        <f t="shared" si="108"/>
        <v>1.68</v>
      </c>
      <c r="AJ2618" s="68">
        <f t="shared" si="126"/>
        <v>0.2688</v>
      </c>
      <c r="AK2618" s="68">
        <f t="shared" si="127"/>
        <v>1.9488</v>
      </c>
      <c r="AL2618" s="70"/>
      <c r="AM2618" s="70"/>
      <c r="AN2618" s="71"/>
      <c r="AO2618" s="71"/>
      <c r="AP2618" s="71"/>
      <c r="AQ2618" s="71"/>
      <c r="AR2618" s="71"/>
      <c r="AS2618" s="71"/>
      <c r="AT2618" s="71"/>
      <c r="AU2618" s="71"/>
      <c r="AV2618" s="71"/>
      <c r="AW2618" s="71"/>
      <c r="AX2618" s="71"/>
      <c r="AY2618" s="71"/>
      <c r="AZ2618" s="71"/>
      <c r="BA2618" s="71"/>
      <c r="BB2618" s="71"/>
      <c r="BC2618" s="71"/>
      <c r="BD2618" s="71"/>
      <c r="BE2618" s="71"/>
      <c r="BF2618" s="71"/>
      <c r="BG2618" s="71"/>
      <c r="BH2618" s="71"/>
      <c r="BI2618" s="71"/>
      <c r="BJ2618" s="71"/>
      <c r="BK2618" s="71"/>
      <c r="BL2618" s="71"/>
      <c r="BM2618" s="71"/>
      <c r="BN2618" s="71"/>
      <c r="BO2618" s="71"/>
      <c r="BP2618" s="71"/>
      <c r="BQ2618" s="71"/>
      <c r="BR2618" s="71"/>
      <c r="BS2618" s="71"/>
      <c r="BT2618" s="71"/>
      <c r="BU2618" s="71"/>
      <c r="BV2618" s="71"/>
    </row>
    <row r="2619">
      <c r="A2619" s="53">
        <v>1.0</v>
      </c>
      <c r="B2619" s="53"/>
      <c r="C2619" s="73" t="s">
        <v>12</v>
      </c>
      <c r="D2619" s="74" t="s">
        <v>6450</v>
      </c>
      <c r="E2619" s="54" t="s">
        <v>38</v>
      </c>
      <c r="F2619" s="54" t="s">
        <v>42</v>
      </c>
      <c r="G2619" s="55" t="s">
        <v>6451</v>
      </c>
      <c r="H2619" s="54" t="s">
        <v>6452</v>
      </c>
      <c r="I2619" s="54">
        <f t="shared" si="125"/>
        <v>39</v>
      </c>
      <c r="J2619" s="56"/>
      <c r="K2619" s="57"/>
      <c r="L2619" s="87"/>
      <c r="M2619" s="59"/>
      <c r="N2619" s="60">
        <v>5.0</v>
      </c>
      <c r="O2619" s="61">
        <v>5.0</v>
      </c>
      <c r="P2619" s="62">
        <v>5.4</v>
      </c>
      <c r="Q2619" s="63">
        <v>5.4</v>
      </c>
      <c r="R2619" s="78">
        <v>6.0</v>
      </c>
      <c r="S2619" s="111">
        <v>6.300000000000001</v>
      </c>
      <c r="T2619" s="65">
        <f t="shared" si="93"/>
        <v>1.008</v>
      </c>
      <c r="U2619" s="65">
        <f t="shared" si="94"/>
        <v>7.308</v>
      </c>
      <c r="V2619" s="66">
        <f t="shared" si="134"/>
        <v>0.05</v>
      </c>
      <c r="W2619" s="67">
        <f t="shared" si="96"/>
        <v>5.985</v>
      </c>
      <c r="X2619" s="67">
        <f t="shared" si="132"/>
        <v>0.9576</v>
      </c>
      <c r="Y2619" s="67">
        <f t="shared" si="133"/>
        <v>6.9426</v>
      </c>
      <c r="Z2619" s="67">
        <f t="shared" si="99"/>
        <v>5.67</v>
      </c>
      <c r="AA2619" s="67">
        <f t="shared" si="114"/>
        <v>0.9072</v>
      </c>
      <c r="AB2619" s="67">
        <f t="shared" si="115"/>
        <v>6.5772</v>
      </c>
      <c r="AC2619" s="67">
        <f t="shared" si="102"/>
        <v>5.355</v>
      </c>
      <c r="AD2619" s="67">
        <f t="shared" si="116"/>
        <v>0.8568</v>
      </c>
      <c r="AE2619" s="67">
        <f t="shared" si="117"/>
        <v>6.2118</v>
      </c>
      <c r="AF2619" s="67">
        <f t="shared" si="105"/>
        <v>5.229</v>
      </c>
      <c r="AG2619" s="67">
        <f t="shared" si="118"/>
        <v>0.83664</v>
      </c>
      <c r="AH2619" s="67">
        <f t="shared" si="119"/>
        <v>6.06564</v>
      </c>
      <c r="AI2619" s="67">
        <f t="shared" si="108"/>
        <v>5.04</v>
      </c>
      <c r="AJ2619" s="68">
        <f t="shared" si="126"/>
        <v>0.8064</v>
      </c>
      <c r="AK2619" s="68">
        <f t="shared" si="127"/>
        <v>5.8464</v>
      </c>
      <c r="AL2619" s="70"/>
      <c r="AM2619" s="70"/>
      <c r="AN2619" s="71"/>
      <c r="AO2619" s="71"/>
      <c r="AP2619" s="71"/>
      <c r="AQ2619" s="71"/>
      <c r="AR2619" s="71"/>
      <c r="AS2619" s="71"/>
      <c r="AT2619" s="71"/>
      <c r="AU2619" s="71"/>
      <c r="AV2619" s="71"/>
      <c r="AW2619" s="71"/>
      <c r="AX2619" s="71"/>
      <c r="AY2619" s="71"/>
      <c r="AZ2619" s="71"/>
      <c r="BA2619" s="71"/>
      <c r="BB2619" s="71"/>
      <c r="BC2619" s="71"/>
      <c r="BD2619" s="71"/>
      <c r="BE2619" s="71"/>
      <c r="BF2619" s="71"/>
      <c r="BG2619" s="71"/>
      <c r="BH2619" s="71"/>
      <c r="BI2619" s="71"/>
      <c r="BJ2619" s="71"/>
      <c r="BK2619" s="71"/>
      <c r="BL2619" s="71"/>
      <c r="BM2619" s="71"/>
      <c r="BN2619" s="71"/>
      <c r="BO2619" s="71"/>
      <c r="BP2619" s="71"/>
      <c r="BQ2619" s="71"/>
      <c r="BR2619" s="71"/>
      <c r="BS2619" s="71"/>
      <c r="BT2619" s="71"/>
      <c r="BU2619" s="71"/>
      <c r="BV2619" s="71"/>
    </row>
    <row r="2620">
      <c r="A2620" s="53"/>
      <c r="B2620" s="53"/>
      <c r="C2620" s="53" t="s">
        <v>36</v>
      </c>
      <c r="D2620" s="85" t="s">
        <v>6453</v>
      </c>
      <c r="E2620" s="54" t="s">
        <v>38</v>
      </c>
      <c r="F2620" s="55" t="s">
        <v>39</v>
      </c>
      <c r="G2620" s="86" t="s">
        <v>6454</v>
      </c>
      <c r="H2620" s="55"/>
      <c r="I2620" s="54">
        <f t="shared" si="125"/>
        <v>0</v>
      </c>
      <c r="J2620" s="56"/>
      <c r="K2620" s="57"/>
      <c r="L2620" s="76"/>
      <c r="M2620" s="59"/>
      <c r="N2620" s="60"/>
      <c r="O2620" s="61">
        <v>3.2</v>
      </c>
      <c r="P2620" s="62">
        <v>3.4560000000000004</v>
      </c>
      <c r="Q2620" s="63">
        <v>3.4560000000000004</v>
      </c>
      <c r="R2620" s="78">
        <v>3.0</v>
      </c>
      <c r="S2620" s="107">
        <v>3.1500000000000004</v>
      </c>
      <c r="T2620" s="65">
        <f t="shared" si="93"/>
        <v>0.504</v>
      </c>
      <c r="U2620" s="65">
        <f t="shared" si="94"/>
        <v>3.654</v>
      </c>
      <c r="V2620" s="66">
        <f t="shared" si="134"/>
        <v>0.05</v>
      </c>
      <c r="W2620" s="67">
        <f t="shared" si="96"/>
        <v>2.9925</v>
      </c>
      <c r="X2620" s="67">
        <f t="shared" si="132"/>
        <v>0.4788</v>
      </c>
      <c r="Y2620" s="67">
        <f t="shared" si="133"/>
        <v>3.4713</v>
      </c>
      <c r="Z2620" s="67">
        <f t="shared" si="99"/>
        <v>2.835</v>
      </c>
      <c r="AA2620" s="67">
        <f t="shared" si="114"/>
        <v>0.4536</v>
      </c>
      <c r="AB2620" s="67">
        <f t="shared" si="115"/>
        <v>3.2886</v>
      </c>
      <c r="AC2620" s="67">
        <f t="shared" si="102"/>
        <v>2.6775</v>
      </c>
      <c r="AD2620" s="67">
        <f t="shared" si="116"/>
        <v>0.4284</v>
      </c>
      <c r="AE2620" s="67">
        <f t="shared" si="117"/>
        <v>3.1059</v>
      </c>
      <c r="AF2620" s="67">
        <f t="shared" si="105"/>
        <v>2.6145</v>
      </c>
      <c r="AG2620" s="67">
        <f t="shared" si="118"/>
        <v>0.41832</v>
      </c>
      <c r="AH2620" s="67">
        <f t="shared" si="119"/>
        <v>3.03282</v>
      </c>
      <c r="AI2620" s="67">
        <f t="shared" si="108"/>
        <v>2.52</v>
      </c>
      <c r="AJ2620" s="68">
        <f t="shared" si="126"/>
        <v>0.4032</v>
      </c>
      <c r="AK2620" s="68">
        <f t="shared" si="127"/>
        <v>2.9232</v>
      </c>
      <c r="AL2620" s="70"/>
      <c r="AM2620" s="70"/>
      <c r="AN2620" s="71"/>
      <c r="AO2620" s="71"/>
      <c r="AP2620" s="71"/>
      <c r="AQ2620" s="71"/>
      <c r="AR2620" s="71"/>
      <c r="AS2620" s="71"/>
      <c r="AT2620" s="71"/>
      <c r="AU2620" s="71"/>
      <c r="AV2620" s="71"/>
      <c r="AW2620" s="71"/>
      <c r="AX2620" s="71"/>
      <c r="AY2620" s="71"/>
      <c r="AZ2620" s="71"/>
      <c r="BA2620" s="71"/>
      <c r="BB2620" s="71"/>
      <c r="BC2620" s="71"/>
      <c r="BD2620" s="71"/>
      <c r="BE2620" s="71"/>
      <c r="BF2620" s="71"/>
      <c r="BG2620" s="71"/>
      <c r="BH2620" s="71"/>
      <c r="BI2620" s="71"/>
      <c r="BJ2620" s="71"/>
      <c r="BK2620" s="71"/>
      <c r="BL2620" s="71"/>
      <c r="BM2620" s="71"/>
      <c r="BN2620" s="71"/>
      <c r="BO2620" s="71"/>
      <c r="BP2620" s="71"/>
      <c r="BQ2620" s="71"/>
      <c r="BR2620" s="71"/>
      <c r="BS2620" s="71"/>
      <c r="BT2620" s="71"/>
      <c r="BU2620" s="71"/>
      <c r="BV2620" s="71"/>
    </row>
    <row r="2621">
      <c r="A2621" s="53"/>
      <c r="B2621" s="53"/>
      <c r="C2621" s="73" t="s">
        <v>12</v>
      </c>
      <c r="D2621" s="53" t="s">
        <v>6455</v>
      </c>
      <c r="E2621" s="54" t="s">
        <v>38</v>
      </c>
      <c r="F2621" s="54" t="s">
        <v>42</v>
      </c>
      <c r="G2621" s="54" t="s">
        <v>6456</v>
      </c>
      <c r="H2621" s="54" t="s">
        <v>6456</v>
      </c>
      <c r="I2621" s="54">
        <f t="shared" si="125"/>
        <v>38</v>
      </c>
      <c r="J2621" s="56"/>
      <c r="K2621" s="57"/>
      <c r="L2621" s="76"/>
      <c r="M2621" s="59"/>
      <c r="N2621" s="60"/>
      <c r="O2621" s="61">
        <v>4.0</v>
      </c>
      <c r="P2621" s="62">
        <v>4.32</v>
      </c>
      <c r="Q2621" s="63">
        <v>4.32</v>
      </c>
      <c r="R2621" s="78">
        <v>4.0</v>
      </c>
      <c r="S2621" s="111">
        <v>4.2</v>
      </c>
      <c r="T2621" s="65">
        <f t="shared" si="93"/>
        <v>0.672</v>
      </c>
      <c r="U2621" s="65">
        <f t="shared" si="94"/>
        <v>4.872</v>
      </c>
      <c r="V2621" s="66">
        <f t="shared" si="134"/>
        <v>0.05</v>
      </c>
      <c r="W2621" s="67">
        <f t="shared" si="96"/>
        <v>3.99</v>
      </c>
      <c r="X2621" s="67">
        <f t="shared" si="132"/>
        <v>0.6384</v>
      </c>
      <c r="Y2621" s="67">
        <f t="shared" si="133"/>
        <v>4.6284</v>
      </c>
      <c r="Z2621" s="67">
        <f t="shared" si="99"/>
        <v>3.78</v>
      </c>
      <c r="AA2621" s="67">
        <f t="shared" si="114"/>
        <v>0.6048</v>
      </c>
      <c r="AB2621" s="67">
        <f t="shared" si="115"/>
        <v>4.3848</v>
      </c>
      <c r="AC2621" s="67">
        <f t="shared" si="102"/>
        <v>3.57</v>
      </c>
      <c r="AD2621" s="67">
        <f t="shared" si="116"/>
        <v>0.5712</v>
      </c>
      <c r="AE2621" s="67">
        <f t="shared" si="117"/>
        <v>4.1412</v>
      </c>
      <c r="AF2621" s="67">
        <f t="shared" si="105"/>
        <v>3.486</v>
      </c>
      <c r="AG2621" s="67">
        <f t="shared" si="118"/>
        <v>0.55776</v>
      </c>
      <c r="AH2621" s="67">
        <f t="shared" si="119"/>
        <v>4.04376</v>
      </c>
      <c r="AI2621" s="67">
        <f t="shared" si="108"/>
        <v>3.36</v>
      </c>
      <c r="AJ2621" s="68">
        <f t="shared" si="126"/>
        <v>0.5376</v>
      </c>
      <c r="AK2621" s="68">
        <f t="shared" si="127"/>
        <v>3.8976</v>
      </c>
      <c r="AL2621" s="70"/>
      <c r="AM2621" s="70"/>
      <c r="AN2621" s="71"/>
      <c r="AO2621" s="71"/>
      <c r="AP2621" s="71"/>
      <c r="AQ2621" s="71"/>
      <c r="AR2621" s="71"/>
      <c r="AS2621" s="71"/>
      <c r="AT2621" s="71"/>
      <c r="AU2621" s="71"/>
      <c r="AV2621" s="71"/>
      <c r="AW2621" s="71"/>
      <c r="AX2621" s="71"/>
      <c r="AY2621" s="71"/>
      <c r="AZ2621" s="71"/>
      <c r="BA2621" s="71"/>
      <c r="BB2621" s="71"/>
      <c r="BC2621" s="71"/>
      <c r="BD2621" s="71"/>
      <c r="BE2621" s="71"/>
      <c r="BF2621" s="71"/>
      <c r="BG2621" s="71"/>
      <c r="BH2621" s="71"/>
      <c r="BI2621" s="71"/>
      <c r="BJ2621" s="71"/>
      <c r="BK2621" s="71"/>
      <c r="BL2621" s="71"/>
      <c r="BM2621" s="71"/>
      <c r="BN2621" s="71"/>
      <c r="BO2621" s="71"/>
      <c r="BP2621" s="71"/>
      <c r="BQ2621" s="71"/>
      <c r="BR2621" s="71"/>
      <c r="BS2621" s="71"/>
      <c r="BT2621" s="71"/>
      <c r="BU2621" s="71"/>
      <c r="BV2621" s="71"/>
    </row>
    <row r="2622">
      <c r="A2622" s="53">
        <v>1.0</v>
      </c>
      <c r="B2622" s="53"/>
      <c r="C2622" s="73" t="s">
        <v>12</v>
      </c>
      <c r="D2622" s="74" t="s">
        <v>6457</v>
      </c>
      <c r="E2622" s="54" t="s">
        <v>38</v>
      </c>
      <c r="F2622" s="54" t="s">
        <v>42</v>
      </c>
      <c r="G2622" s="88" t="s">
        <v>6458</v>
      </c>
      <c r="H2622" s="54" t="s">
        <v>6458</v>
      </c>
      <c r="I2622" s="54">
        <f t="shared" si="125"/>
        <v>33</v>
      </c>
      <c r="J2622" s="56"/>
      <c r="K2622" s="57"/>
      <c r="L2622" s="87"/>
      <c r="M2622" s="59"/>
      <c r="N2622" s="60">
        <v>4.0</v>
      </c>
      <c r="O2622" s="61">
        <v>3.0</v>
      </c>
      <c r="P2622" s="62">
        <v>3.24</v>
      </c>
      <c r="Q2622" s="63">
        <v>3.24</v>
      </c>
      <c r="R2622" s="78">
        <v>4.0</v>
      </c>
      <c r="S2622" s="111">
        <v>4.2</v>
      </c>
      <c r="T2622" s="65">
        <f t="shared" si="93"/>
        <v>0.672</v>
      </c>
      <c r="U2622" s="65">
        <f t="shared" si="94"/>
        <v>4.872</v>
      </c>
      <c r="V2622" s="66">
        <f t="shared" si="134"/>
        <v>0.05</v>
      </c>
      <c r="W2622" s="67">
        <f t="shared" si="96"/>
        <v>3.99</v>
      </c>
      <c r="X2622" s="67">
        <f t="shared" si="132"/>
        <v>0.6384</v>
      </c>
      <c r="Y2622" s="67">
        <f t="shared" si="133"/>
        <v>4.6284</v>
      </c>
      <c r="Z2622" s="67">
        <f t="shared" si="99"/>
        <v>3.78</v>
      </c>
      <c r="AA2622" s="67">
        <f t="shared" si="114"/>
        <v>0.6048</v>
      </c>
      <c r="AB2622" s="67">
        <f t="shared" si="115"/>
        <v>4.3848</v>
      </c>
      <c r="AC2622" s="67">
        <f t="shared" si="102"/>
        <v>3.57</v>
      </c>
      <c r="AD2622" s="67">
        <f t="shared" si="116"/>
        <v>0.5712</v>
      </c>
      <c r="AE2622" s="67">
        <f t="shared" si="117"/>
        <v>4.1412</v>
      </c>
      <c r="AF2622" s="67">
        <f t="shared" si="105"/>
        <v>3.486</v>
      </c>
      <c r="AG2622" s="67">
        <f t="shared" si="118"/>
        <v>0.55776</v>
      </c>
      <c r="AH2622" s="67">
        <f t="shared" si="119"/>
        <v>4.04376</v>
      </c>
      <c r="AI2622" s="67">
        <f t="shared" si="108"/>
        <v>3.36</v>
      </c>
      <c r="AJ2622" s="68">
        <f t="shared" si="126"/>
        <v>0.5376</v>
      </c>
      <c r="AK2622" s="68">
        <f t="shared" si="127"/>
        <v>3.8976</v>
      </c>
      <c r="AL2622" s="201"/>
      <c r="AM2622" s="70"/>
      <c r="AN2622" s="71"/>
      <c r="AO2622" s="71"/>
      <c r="AP2622" s="71"/>
      <c r="AQ2622" s="71"/>
      <c r="AR2622" s="71"/>
      <c r="AS2622" s="71"/>
      <c r="AT2622" s="71"/>
      <c r="AU2622" s="71"/>
      <c r="AV2622" s="71"/>
      <c r="AW2622" s="71"/>
      <c r="AX2622" s="71"/>
      <c r="AY2622" s="71"/>
      <c r="AZ2622" s="71"/>
      <c r="BA2622" s="71"/>
      <c r="BB2622" s="71"/>
      <c r="BC2622" s="71"/>
      <c r="BD2622" s="71"/>
      <c r="BE2622" s="71"/>
      <c r="BF2622" s="71"/>
      <c r="BG2622" s="71"/>
      <c r="BH2622" s="71"/>
      <c r="BI2622" s="71"/>
      <c r="BJ2622" s="71"/>
      <c r="BK2622" s="71"/>
      <c r="BL2622" s="71"/>
      <c r="BM2622" s="71"/>
      <c r="BN2622" s="71"/>
      <c r="BO2622" s="71"/>
      <c r="BP2622" s="71"/>
      <c r="BQ2622" s="71"/>
      <c r="BR2622" s="71"/>
      <c r="BS2622" s="71"/>
      <c r="BT2622" s="71"/>
      <c r="BU2622" s="71"/>
      <c r="BV2622" s="71"/>
    </row>
    <row r="2623">
      <c r="A2623" s="53">
        <v>1.0</v>
      </c>
      <c r="B2623" s="53"/>
      <c r="C2623" s="73" t="s">
        <v>12</v>
      </c>
      <c r="D2623" s="74" t="s">
        <v>6459</v>
      </c>
      <c r="E2623" s="54" t="s">
        <v>38</v>
      </c>
      <c r="F2623" s="54" t="s">
        <v>42</v>
      </c>
      <c r="G2623" s="55" t="s">
        <v>6460</v>
      </c>
      <c r="H2623" s="54" t="s">
        <v>6461</v>
      </c>
      <c r="I2623" s="54">
        <f t="shared" si="125"/>
        <v>38</v>
      </c>
      <c r="J2623" s="56"/>
      <c r="K2623" s="57"/>
      <c r="L2623" s="87"/>
      <c r="M2623" s="59"/>
      <c r="N2623" s="60">
        <v>13.0</v>
      </c>
      <c r="O2623" s="61">
        <v>13.0</v>
      </c>
      <c r="P2623" s="62">
        <v>14.040000000000001</v>
      </c>
      <c r="Q2623" s="63">
        <v>14.040000000000001</v>
      </c>
      <c r="R2623" s="64">
        <v>16.0</v>
      </c>
      <c r="S2623" s="111">
        <v>16.8</v>
      </c>
      <c r="T2623" s="65">
        <f t="shared" si="93"/>
        <v>2.688</v>
      </c>
      <c r="U2623" s="65">
        <f t="shared" si="94"/>
        <v>19.488</v>
      </c>
      <c r="V2623" s="66">
        <f t="shared" si="134"/>
        <v>0.05</v>
      </c>
      <c r="W2623" s="67">
        <f t="shared" si="96"/>
        <v>15.96</v>
      </c>
      <c r="X2623" s="67">
        <f t="shared" si="132"/>
        <v>2.5536</v>
      </c>
      <c r="Y2623" s="67">
        <f t="shared" si="133"/>
        <v>18.5136</v>
      </c>
      <c r="Z2623" s="67">
        <f t="shared" si="99"/>
        <v>15.12</v>
      </c>
      <c r="AA2623" s="67">
        <f t="shared" si="114"/>
        <v>2.4192</v>
      </c>
      <c r="AB2623" s="67">
        <f t="shared" si="115"/>
        <v>17.5392</v>
      </c>
      <c r="AC2623" s="67">
        <f t="shared" si="102"/>
        <v>14.28</v>
      </c>
      <c r="AD2623" s="67">
        <f t="shared" si="116"/>
        <v>2.2848</v>
      </c>
      <c r="AE2623" s="67">
        <f t="shared" si="117"/>
        <v>16.5648</v>
      </c>
      <c r="AF2623" s="67">
        <f t="shared" si="105"/>
        <v>13.944</v>
      </c>
      <c r="AG2623" s="67">
        <f t="shared" si="118"/>
        <v>2.23104</v>
      </c>
      <c r="AH2623" s="67">
        <f t="shared" si="119"/>
        <v>16.17504</v>
      </c>
      <c r="AI2623" s="67">
        <f t="shared" si="108"/>
        <v>13.44</v>
      </c>
      <c r="AJ2623" s="68">
        <f t="shared" si="126"/>
        <v>2.1504</v>
      </c>
      <c r="AK2623" s="68">
        <f t="shared" si="127"/>
        <v>15.5904</v>
      </c>
      <c r="AL2623" s="201"/>
      <c r="AM2623" s="70"/>
      <c r="AN2623" s="71"/>
      <c r="AO2623" s="71"/>
      <c r="AP2623" s="71"/>
      <c r="AQ2623" s="71"/>
      <c r="AR2623" s="71"/>
      <c r="AS2623" s="71"/>
      <c r="AT2623" s="71"/>
      <c r="AU2623" s="71"/>
      <c r="AV2623" s="71"/>
      <c r="AW2623" s="71"/>
      <c r="AX2623" s="71"/>
      <c r="AY2623" s="71"/>
      <c r="AZ2623" s="71"/>
      <c r="BA2623" s="71"/>
      <c r="BB2623" s="71"/>
      <c r="BC2623" s="71"/>
      <c r="BD2623" s="71"/>
      <c r="BE2623" s="71"/>
      <c r="BF2623" s="71"/>
      <c r="BG2623" s="71"/>
      <c r="BH2623" s="71"/>
      <c r="BI2623" s="71"/>
      <c r="BJ2623" s="71"/>
      <c r="BK2623" s="71"/>
      <c r="BL2623" s="71"/>
      <c r="BM2623" s="71"/>
      <c r="BN2623" s="71"/>
      <c r="BO2623" s="71"/>
      <c r="BP2623" s="71"/>
      <c r="BQ2623" s="71"/>
      <c r="BR2623" s="71"/>
      <c r="BS2623" s="71"/>
      <c r="BT2623" s="71"/>
      <c r="BU2623" s="71"/>
      <c r="BV2623" s="71"/>
    </row>
    <row r="2624">
      <c r="A2624" s="53">
        <v>1.0</v>
      </c>
      <c r="B2624" s="53"/>
      <c r="C2624" s="73" t="s">
        <v>12</v>
      </c>
      <c r="D2624" s="74" t="s">
        <v>6462</v>
      </c>
      <c r="E2624" s="54" t="s">
        <v>38</v>
      </c>
      <c r="F2624" s="54" t="s">
        <v>42</v>
      </c>
      <c r="G2624" s="88" t="s">
        <v>6463</v>
      </c>
      <c r="H2624" s="54" t="s">
        <v>6464</v>
      </c>
      <c r="I2624" s="54">
        <f t="shared" si="125"/>
        <v>37</v>
      </c>
      <c r="J2624" s="56"/>
      <c r="K2624" s="57"/>
      <c r="L2624" s="87"/>
      <c r="M2624" s="59"/>
      <c r="N2624" s="60">
        <v>4.0</v>
      </c>
      <c r="O2624" s="61">
        <v>3.0</v>
      </c>
      <c r="P2624" s="62">
        <v>3.24</v>
      </c>
      <c r="Q2624" s="63">
        <v>3.24</v>
      </c>
      <c r="R2624" s="78">
        <v>4.0</v>
      </c>
      <c r="S2624" s="111">
        <v>4.2</v>
      </c>
      <c r="T2624" s="65">
        <f t="shared" si="93"/>
        <v>0.672</v>
      </c>
      <c r="U2624" s="65">
        <f t="shared" si="94"/>
        <v>4.872</v>
      </c>
      <c r="V2624" s="66">
        <f t="shared" si="134"/>
        <v>0.05</v>
      </c>
      <c r="W2624" s="67">
        <f t="shared" si="96"/>
        <v>3.99</v>
      </c>
      <c r="X2624" s="67">
        <f t="shared" si="132"/>
        <v>0.6384</v>
      </c>
      <c r="Y2624" s="67">
        <f t="shared" si="133"/>
        <v>4.6284</v>
      </c>
      <c r="Z2624" s="67">
        <f t="shared" si="99"/>
        <v>3.78</v>
      </c>
      <c r="AA2624" s="67">
        <f t="shared" si="114"/>
        <v>0.6048</v>
      </c>
      <c r="AB2624" s="67">
        <f t="shared" si="115"/>
        <v>4.3848</v>
      </c>
      <c r="AC2624" s="67">
        <f t="shared" si="102"/>
        <v>3.57</v>
      </c>
      <c r="AD2624" s="67">
        <f t="shared" si="116"/>
        <v>0.5712</v>
      </c>
      <c r="AE2624" s="67">
        <f t="shared" si="117"/>
        <v>4.1412</v>
      </c>
      <c r="AF2624" s="67">
        <f t="shared" si="105"/>
        <v>3.486</v>
      </c>
      <c r="AG2624" s="67">
        <f t="shared" si="118"/>
        <v>0.55776</v>
      </c>
      <c r="AH2624" s="67">
        <f t="shared" si="119"/>
        <v>4.04376</v>
      </c>
      <c r="AI2624" s="67">
        <f t="shared" si="108"/>
        <v>3.36</v>
      </c>
      <c r="AJ2624" s="68">
        <f t="shared" si="126"/>
        <v>0.5376</v>
      </c>
      <c r="AK2624" s="68">
        <f t="shared" si="127"/>
        <v>3.8976</v>
      </c>
      <c r="AL2624" s="201"/>
      <c r="AM2624" s="70"/>
      <c r="AN2624" s="71"/>
      <c r="AO2624" s="71"/>
      <c r="AP2624" s="71"/>
      <c r="AQ2624" s="71"/>
      <c r="AR2624" s="71"/>
      <c r="AS2624" s="71"/>
      <c r="AT2624" s="71"/>
      <c r="AU2624" s="71"/>
      <c r="AV2624" s="71"/>
      <c r="AW2624" s="71"/>
      <c r="AX2624" s="71"/>
      <c r="AY2624" s="71"/>
      <c r="AZ2624" s="71"/>
      <c r="BA2624" s="71"/>
      <c r="BB2624" s="71"/>
      <c r="BC2624" s="71"/>
      <c r="BD2624" s="71"/>
      <c r="BE2624" s="71"/>
      <c r="BF2624" s="71"/>
      <c r="BG2624" s="71"/>
      <c r="BH2624" s="71"/>
      <c r="BI2624" s="71"/>
      <c r="BJ2624" s="71"/>
      <c r="BK2624" s="71"/>
      <c r="BL2624" s="71"/>
      <c r="BM2624" s="71"/>
      <c r="BN2624" s="71"/>
      <c r="BO2624" s="71"/>
      <c r="BP2624" s="71"/>
      <c r="BQ2624" s="71"/>
      <c r="BR2624" s="71"/>
      <c r="BS2624" s="71"/>
      <c r="BT2624" s="71"/>
      <c r="BU2624" s="71"/>
      <c r="BV2624" s="71"/>
    </row>
    <row r="2625">
      <c r="A2625" s="53">
        <v>1.0</v>
      </c>
      <c r="B2625" s="53"/>
      <c r="C2625" s="73" t="s">
        <v>12</v>
      </c>
      <c r="D2625" s="74" t="s">
        <v>6465</v>
      </c>
      <c r="E2625" s="54" t="s">
        <v>38</v>
      </c>
      <c r="F2625" s="54" t="s">
        <v>42</v>
      </c>
      <c r="G2625" s="88" t="s">
        <v>6466</v>
      </c>
      <c r="H2625" s="54" t="s">
        <v>6466</v>
      </c>
      <c r="I2625" s="54">
        <f t="shared" si="125"/>
        <v>35</v>
      </c>
      <c r="J2625" s="56"/>
      <c r="K2625" s="57"/>
      <c r="L2625" s="87"/>
      <c r="M2625" s="59"/>
      <c r="N2625" s="60">
        <v>4.0</v>
      </c>
      <c r="O2625" s="61">
        <v>3.0</v>
      </c>
      <c r="P2625" s="62">
        <v>3.24</v>
      </c>
      <c r="Q2625" s="63">
        <v>3.24</v>
      </c>
      <c r="R2625" s="78">
        <v>4.0</v>
      </c>
      <c r="S2625" s="111">
        <v>4.2</v>
      </c>
      <c r="T2625" s="65">
        <f t="shared" si="93"/>
        <v>0.672</v>
      </c>
      <c r="U2625" s="65">
        <f t="shared" si="94"/>
        <v>4.872</v>
      </c>
      <c r="V2625" s="66">
        <f t="shared" si="134"/>
        <v>0.05</v>
      </c>
      <c r="W2625" s="67">
        <f t="shared" si="96"/>
        <v>3.99</v>
      </c>
      <c r="X2625" s="67">
        <f t="shared" si="132"/>
        <v>0.6384</v>
      </c>
      <c r="Y2625" s="67">
        <f t="shared" si="133"/>
        <v>4.6284</v>
      </c>
      <c r="Z2625" s="67">
        <f t="shared" si="99"/>
        <v>3.78</v>
      </c>
      <c r="AA2625" s="67">
        <f t="shared" si="114"/>
        <v>0.6048</v>
      </c>
      <c r="AB2625" s="67">
        <f t="shared" si="115"/>
        <v>4.3848</v>
      </c>
      <c r="AC2625" s="67">
        <f t="shared" si="102"/>
        <v>3.57</v>
      </c>
      <c r="AD2625" s="67">
        <f t="shared" si="116"/>
        <v>0.5712</v>
      </c>
      <c r="AE2625" s="67">
        <f t="shared" si="117"/>
        <v>4.1412</v>
      </c>
      <c r="AF2625" s="67">
        <f t="shared" si="105"/>
        <v>3.486</v>
      </c>
      <c r="AG2625" s="67">
        <f t="shared" si="118"/>
        <v>0.55776</v>
      </c>
      <c r="AH2625" s="67">
        <f t="shared" si="119"/>
        <v>4.04376</v>
      </c>
      <c r="AI2625" s="67">
        <f t="shared" si="108"/>
        <v>3.36</v>
      </c>
      <c r="AJ2625" s="68">
        <f t="shared" si="126"/>
        <v>0.5376</v>
      </c>
      <c r="AK2625" s="68">
        <f t="shared" si="127"/>
        <v>3.8976</v>
      </c>
      <c r="AL2625" s="201"/>
      <c r="AM2625" s="70"/>
      <c r="AN2625" s="71"/>
      <c r="AO2625" s="71"/>
      <c r="AP2625" s="71"/>
      <c r="AQ2625" s="71"/>
      <c r="AR2625" s="71"/>
      <c r="AS2625" s="71"/>
      <c r="AT2625" s="71"/>
      <c r="AU2625" s="71"/>
      <c r="AV2625" s="71"/>
      <c r="AW2625" s="71"/>
      <c r="AX2625" s="71"/>
      <c r="AY2625" s="71"/>
      <c r="AZ2625" s="71"/>
      <c r="BA2625" s="71"/>
      <c r="BB2625" s="71"/>
      <c r="BC2625" s="71"/>
      <c r="BD2625" s="71"/>
      <c r="BE2625" s="71"/>
      <c r="BF2625" s="71"/>
      <c r="BG2625" s="71"/>
      <c r="BH2625" s="71"/>
      <c r="BI2625" s="71"/>
      <c r="BJ2625" s="71"/>
      <c r="BK2625" s="71"/>
      <c r="BL2625" s="71"/>
      <c r="BM2625" s="71"/>
      <c r="BN2625" s="71"/>
      <c r="BO2625" s="71"/>
      <c r="BP2625" s="71"/>
      <c r="BQ2625" s="71"/>
      <c r="BR2625" s="71"/>
      <c r="BS2625" s="71"/>
      <c r="BT2625" s="71"/>
      <c r="BU2625" s="71"/>
      <c r="BV2625" s="71"/>
    </row>
    <row r="2626">
      <c r="A2626" s="53">
        <v>1.0</v>
      </c>
      <c r="B2626" s="53"/>
      <c r="C2626" s="73" t="s">
        <v>12</v>
      </c>
      <c r="D2626" s="74" t="s">
        <v>6467</v>
      </c>
      <c r="E2626" s="54" t="s">
        <v>38</v>
      </c>
      <c r="F2626" s="54" t="s">
        <v>42</v>
      </c>
      <c r="G2626" s="88" t="s">
        <v>6468</v>
      </c>
      <c r="H2626" s="54" t="s">
        <v>6468</v>
      </c>
      <c r="I2626" s="54">
        <f t="shared" si="125"/>
        <v>34</v>
      </c>
      <c r="J2626" s="56"/>
      <c r="K2626" s="57"/>
      <c r="L2626" s="87"/>
      <c r="M2626" s="59"/>
      <c r="N2626" s="60">
        <v>3.0</v>
      </c>
      <c r="O2626" s="61">
        <v>3.0</v>
      </c>
      <c r="P2626" s="62">
        <v>3.24</v>
      </c>
      <c r="Q2626" s="63">
        <v>3.24</v>
      </c>
      <c r="R2626" s="78">
        <v>4.0</v>
      </c>
      <c r="S2626" s="111">
        <v>4.2</v>
      </c>
      <c r="T2626" s="65">
        <f t="shared" si="93"/>
        <v>0.672</v>
      </c>
      <c r="U2626" s="65">
        <f t="shared" si="94"/>
        <v>4.872</v>
      </c>
      <c r="V2626" s="66">
        <f t="shared" si="134"/>
        <v>0.05</v>
      </c>
      <c r="W2626" s="67">
        <f t="shared" si="96"/>
        <v>3.99</v>
      </c>
      <c r="X2626" s="67">
        <f t="shared" si="132"/>
        <v>0.6384</v>
      </c>
      <c r="Y2626" s="67">
        <f t="shared" si="133"/>
        <v>4.6284</v>
      </c>
      <c r="Z2626" s="67">
        <f t="shared" si="99"/>
        <v>3.78</v>
      </c>
      <c r="AA2626" s="67">
        <f t="shared" si="114"/>
        <v>0.6048</v>
      </c>
      <c r="AB2626" s="67">
        <f t="shared" si="115"/>
        <v>4.3848</v>
      </c>
      <c r="AC2626" s="67">
        <f t="shared" si="102"/>
        <v>3.57</v>
      </c>
      <c r="AD2626" s="67">
        <f t="shared" si="116"/>
        <v>0.5712</v>
      </c>
      <c r="AE2626" s="67">
        <f t="shared" si="117"/>
        <v>4.1412</v>
      </c>
      <c r="AF2626" s="67">
        <f t="shared" si="105"/>
        <v>3.486</v>
      </c>
      <c r="AG2626" s="67">
        <f t="shared" si="118"/>
        <v>0.55776</v>
      </c>
      <c r="AH2626" s="67">
        <f t="shared" si="119"/>
        <v>4.04376</v>
      </c>
      <c r="AI2626" s="67">
        <f t="shared" si="108"/>
        <v>3.36</v>
      </c>
      <c r="AJ2626" s="68">
        <f t="shared" si="126"/>
        <v>0.5376</v>
      </c>
      <c r="AK2626" s="68">
        <f t="shared" si="127"/>
        <v>3.8976</v>
      </c>
      <c r="AL2626" s="70"/>
      <c r="AM2626" s="70"/>
      <c r="AN2626" s="71"/>
      <c r="AO2626" s="71"/>
      <c r="AP2626" s="71"/>
      <c r="AQ2626" s="71"/>
      <c r="AR2626" s="71"/>
      <c r="AS2626" s="71"/>
      <c r="AT2626" s="71"/>
      <c r="AU2626" s="71"/>
      <c r="AV2626" s="71"/>
      <c r="AW2626" s="71"/>
      <c r="AX2626" s="71"/>
      <c r="AY2626" s="71"/>
      <c r="AZ2626" s="71"/>
      <c r="BA2626" s="71"/>
      <c r="BB2626" s="71"/>
      <c r="BC2626" s="71"/>
      <c r="BD2626" s="71"/>
      <c r="BE2626" s="71"/>
      <c r="BF2626" s="71"/>
      <c r="BG2626" s="71"/>
      <c r="BH2626" s="71"/>
      <c r="BI2626" s="71"/>
      <c r="BJ2626" s="71"/>
      <c r="BK2626" s="71"/>
      <c r="BL2626" s="71"/>
      <c r="BM2626" s="71"/>
      <c r="BN2626" s="71"/>
      <c r="BO2626" s="71"/>
      <c r="BP2626" s="71"/>
      <c r="BQ2626" s="71"/>
      <c r="BR2626" s="71"/>
      <c r="BS2626" s="71"/>
      <c r="BT2626" s="71"/>
      <c r="BU2626" s="71"/>
      <c r="BV2626" s="71"/>
    </row>
    <row r="2627">
      <c r="A2627" s="53">
        <v>1.0</v>
      </c>
      <c r="B2627" s="53"/>
      <c r="C2627" s="73" t="s">
        <v>12</v>
      </c>
      <c r="D2627" s="74" t="s">
        <v>6469</v>
      </c>
      <c r="E2627" s="54" t="s">
        <v>38</v>
      </c>
      <c r="F2627" s="54" t="s">
        <v>42</v>
      </c>
      <c r="G2627" s="88" t="s">
        <v>6470</v>
      </c>
      <c r="H2627" s="54" t="s">
        <v>6470</v>
      </c>
      <c r="I2627" s="54">
        <f t="shared" si="125"/>
        <v>36</v>
      </c>
      <c r="J2627" s="56"/>
      <c r="K2627" s="57"/>
      <c r="L2627" s="87"/>
      <c r="M2627" s="59"/>
      <c r="N2627" s="60">
        <v>3.0</v>
      </c>
      <c r="O2627" s="61">
        <v>3.0</v>
      </c>
      <c r="P2627" s="62">
        <v>3.24</v>
      </c>
      <c r="Q2627" s="63">
        <v>3.24</v>
      </c>
      <c r="R2627" s="78">
        <v>4.0</v>
      </c>
      <c r="S2627" s="111">
        <v>4.2</v>
      </c>
      <c r="T2627" s="65">
        <f t="shared" si="93"/>
        <v>0.672</v>
      </c>
      <c r="U2627" s="65">
        <f t="shared" si="94"/>
        <v>4.872</v>
      </c>
      <c r="V2627" s="66">
        <f t="shared" si="134"/>
        <v>0.05</v>
      </c>
      <c r="W2627" s="67">
        <f t="shared" si="96"/>
        <v>3.99</v>
      </c>
      <c r="X2627" s="67">
        <f t="shared" si="132"/>
        <v>0.6384</v>
      </c>
      <c r="Y2627" s="67">
        <f t="shared" si="133"/>
        <v>4.6284</v>
      </c>
      <c r="Z2627" s="67">
        <f t="shared" si="99"/>
        <v>3.78</v>
      </c>
      <c r="AA2627" s="67">
        <f t="shared" si="114"/>
        <v>0.6048</v>
      </c>
      <c r="AB2627" s="67">
        <f t="shared" si="115"/>
        <v>4.3848</v>
      </c>
      <c r="AC2627" s="67">
        <f t="shared" si="102"/>
        <v>3.57</v>
      </c>
      <c r="AD2627" s="67">
        <f t="shared" si="116"/>
        <v>0.5712</v>
      </c>
      <c r="AE2627" s="67">
        <f t="shared" si="117"/>
        <v>4.1412</v>
      </c>
      <c r="AF2627" s="67">
        <f t="shared" si="105"/>
        <v>3.486</v>
      </c>
      <c r="AG2627" s="67">
        <f t="shared" si="118"/>
        <v>0.55776</v>
      </c>
      <c r="AH2627" s="67">
        <f t="shared" si="119"/>
        <v>4.04376</v>
      </c>
      <c r="AI2627" s="67">
        <f t="shared" si="108"/>
        <v>3.36</v>
      </c>
      <c r="AJ2627" s="68">
        <f t="shared" si="126"/>
        <v>0.5376</v>
      </c>
      <c r="AK2627" s="68">
        <f t="shared" si="127"/>
        <v>3.8976</v>
      </c>
      <c r="AL2627" s="70"/>
      <c r="AM2627" s="70"/>
      <c r="AN2627" s="71"/>
      <c r="AO2627" s="71"/>
      <c r="AP2627" s="71"/>
      <c r="AQ2627" s="71"/>
      <c r="AR2627" s="71"/>
      <c r="AS2627" s="71"/>
      <c r="AT2627" s="71"/>
      <c r="AU2627" s="71"/>
      <c r="AV2627" s="71"/>
      <c r="AW2627" s="71"/>
      <c r="AX2627" s="71"/>
      <c r="AY2627" s="71"/>
      <c r="AZ2627" s="71"/>
      <c r="BA2627" s="71"/>
      <c r="BB2627" s="71"/>
      <c r="BC2627" s="71"/>
      <c r="BD2627" s="71"/>
      <c r="BE2627" s="71"/>
      <c r="BF2627" s="71"/>
      <c r="BG2627" s="71"/>
      <c r="BH2627" s="71"/>
      <c r="BI2627" s="71"/>
      <c r="BJ2627" s="71"/>
      <c r="BK2627" s="71"/>
      <c r="BL2627" s="71"/>
      <c r="BM2627" s="71"/>
      <c r="BN2627" s="71"/>
      <c r="BO2627" s="71"/>
      <c r="BP2627" s="71"/>
      <c r="BQ2627" s="71"/>
      <c r="BR2627" s="71"/>
      <c r="BS2627" s="71"/>
      <c r="BT2627" s="71"/>
      <c r="BU2627" s="71"/>
      <c r="BV2627" s="71"/>
    </row>
    <row r="2628">
      <c r="A2628" s="53">
        <v>1.0</v>
      </c>
      <c r="B2628" s="53"/>
      <c r="C2628" s="73" t="s">
        <v>12</v>
      </c>
      <c r="D2628" s="74" t="s">
        <v>6471</v>
      </c>
      <c r="E2628" s="54" t="s">
        <v>38</v>
      </c>
      <c r="F2628" s="54" t="s">
        <v>42</v>
      </c>
      <c r="G2628" s="88" t="s">
        <v>6472</v>
      </c>
      <c r="H2628" s="54" t="s">
        <v>6472</v>
      </c>
      <c r="I2628" s="54">
        <f t="shared" si="125"/>
        <v>34</v>
      </c>
      <c r="J2628" s="56"/>
      <c r="K2628" s="57"/>
      <c r="L2628" s="87"/>
      <c r="M2628" s="59"/>
      <c r="N2628" s="60">
        <v>5.0</v>
      </c>
      <c r="O2628" s="61">
        <v>5.0</v>
      </c>
      <c r="P2628" s="62">
        <v>5.4</v>
      </c>
      <c r="Q2628" s="63">
        <v>5.4</v>
      </c>
      <c r="R2628" s="78">
        <v>6.0</v>
      </c>
      <c r="S2628" s="111">
        <v>6.300000000000001</v>
      </c>
      <c r="T2628" s="65">
        <f t="shared" si="93"/>
        <v>1.008</v>
      </c>
      <c r="U2628" s="65">
        <f t="shared" si="94"/>
        <v>7.308</v>
      </c>
      <c r="V2628" s="66">
        <f t="shared" si="134"/>
        <v>0.05</v>
      </c>
      <c r="W2628" s="67">
        <f t="shared" si="96"/>
        <v>5.985</v>
      </c>
      <c r="X2628" s="67">
        <f t="shared" si="132"/>
        <v>0.9576</v>
      </c>
      <c r="Y2628" s="67">
        <f t="shared" si="133"/>
        <v>6.9426</v>
      </c>
      <c r="Z2628" s="67">
        <f t="shared" si="99"/>
        <v>5.67</v>
      </c>
      <c r="AA2628" s="67">
        <f t="shared" si="114"/>
        <v>0.9072</v>
      </c>
      <c r="AB2628" s="67">
        <f t="shared" si="115"/>
        <v>6.5772</v>
      </c>
      <c r="AC2628" s="67">
        <f t="shared" si="102"/>
        <v>5.355</v>
      </c>
      <c r="AD2628" s="67">
        <f t="shared" si="116"/>
        <v>0.8568</v>
      </c>
      <c r="AE2628" s="67">
        <f t="shared" si="117"/>
        <v>6.2118</v>
      </c>
      <c r="AF2628" s="67">
        <f t="shared" si="105"/>
        <v>5.229</v>
      </c>
      <c r="AG2628" s="67">
        <f t="shared" si="118"/>
        <v>0.83664</v>
      </c>
      <c r="AH2628" s="67">
        <f t="shared" si="119"/>
        <v>6.06564</v>
      </c>
      <c r="AI2628" s="67">
        <f t="shared" si="108"/>
        <v>5.04</v>
      </c>
      <c r="AJ2628" s="68">
        <f t="shared" si="126"/>
        <v>0.8064</v>
      </c>
      <c r="AK2628" s="68">
        <f t="shared" si="127"/>
        <v>5.8464</v>
      </c>
      <c r="AL2628" s="70"/>
      <c r="AM2628" s="70"/>
      <c r="AN2628" s="71"/>
      <c r="AO2628" s="71"/>
      <c r="AP2628" s="71"/>
      <c r="AQ2628" s="71"/>
      <c r="AR2628" s="71"/>
      <c r="AS2628" s="71"/>
      <c r="AT2628" s="71"/>
      <c r="AU2628" s="71"/>
      <c r="AV2628" s="71"/>
      <c r="AW2628" s="71"/>
      <c r="AX2628" s="71"/>
      <c r="AY2628" s="71"/>
      <c r="AZ2628" s="71"/>
      <c r="BA2628" s="71"/>
      <c r="BB2628" s="71"/>
      <c r="BC2628" s="71"/>
      <c r="BD2628" s="71"/>
      <c r="BE2628" s="71"/>
      <c r="BF2628" s="71"/>
      <c r="BG2628" s="71"/>
      <c r="BH2628" s="71"/>
      <c r="BI2628" s="71"/>
      <c r="BJ2628" s="71"/>
      <c r="BK2628" s="71"/>
      <c r="BL2628" s="71"/>
      <c r="BM2628" s="71"/>
      <c r="BN2628" s="71"/>
      <c r="BO2628" s="71"/>
      <c r="BP2628" s="71"/>
      <c r="BQ2628" s="71"/>
      <c r="BR2628" s="71"/>
      <c r="BS2628" s="71"/>
      <c r="BT2628" s="71"/>
      <c r="BU2628" s="71"/>
      <c r="BV2628" s="71"/>
    </row>
    <row r="2629">
      <c r="A2629" s="53">
        <v>1.0</v>
      </c>
      <c r="B2629" s="53"/>
      <c r="C2629" s="73" t="s">
        <v>12</v>
      </c>
      <c r="D2629" s="74" t="s">
        <v>6473</v>
      </c>
      <c r="E2629" s="54" t="s">
        <v>38</v>
      </c>
      <c r="F2629" s="54" t="s">
        <v>42</v>
      </c>
      <c r="G2629" s="88" t="s">
        <v>6474</v>
      </c>
      <c r="H2629" s="54" t="s">
        <v>6475</v>
      </c>
      <c r="I2629" s="54">
        <f t="shared" si="125"/>
        <v>35</v>
      </c>
      <c r="J2629" s="56"/>
      <c r="K2629" s="57"/>
      <c r="L2629" s="87"/>
      <c r="M2629" s="59"/>
      <c r="N2629" s="60">
        <v>23.0</v>
      </c>
      <c r="O2629" s="61">
        <v>24.0</v>
      </c>
      <c r="P2629" s="62">
        <v>25.92</v>
      </c>
      <c r="Q2629" s="63">
        <v>25.92</v>
      </c>
      <c r="R2629" s="64">
        <v>30.0</v>
      </c>
      <c r="S2629" s="111">
        <v>32.0</v>
      </c>
      <c r="T2629" s="65">
        <f t="shared" si="93"/>
        <v>5.12</v>
      </c>
      <c r="U2629" s="65">
        <f t="shared" si="94"/>
        <v>37.12</v>
      </c>
      <c r="V2629" s="66">
        <f t="shared" si="134"/>
        <v>0.06666666667</v>
      </c>
      <c r="W2629" s="67">
        <f t="shared" si="96"/>
        <v>30.4</v>
      </c>
      <c r="X2629" s="67">
        <f t="shared" si="132"/>
        <v>4.864</v>
      </c>
      <c r="Y2629" s="67">
        <f t="shared" si="133"/>
        <v>35.264</v>
      </c>
      <c r="Z2629" s="67">
        <f t="shared" si="99"/>
        <v>28.8</v>
      </c>
      <c r="AA2629" s="67">
        <f t="shared" si="114"/>
        <v>4.608</v>
      </c>
      <c r="AB2629" s="67">
        <f t="shared" si="115"/>
        <v>33.408</v>
      </c>
      <c r="AC2629" s="67">
        <f t="shared" si="102"/>
        <v>27.2</v>
      </c>
      <c r="AD2629" s="67">
        <f t="shared" si="116"/>
        <v>4.352</v>
      </c>
      <c r="AE2629" s="67">
        <f t="shared" si="117"/>
        <v>31.552</v>
      </c>
      <c r="AF2629" s="67">
        <f t="shared" si="105"/>
        <v>26.56</v>
      </c>
      <c r="AG2629" s="67">
        <f t="shared" si="118"/>
        <v>4.2496</v>
      </c>
      <c r="AH2629" s="67">
        <f t="shared" si="119"/>
        <v>30.8096</v>
      </c>
      <c r="AI2629" s="67">
        <f t="shared" si="108"/>
        <v>25.6</v>
      </c>
      <c r="AJ2629" s="68">
        <f t="shared" si="126"/>
        <v>4.096</v>
      </c>
      <c r="AK2629" s="68">
        <f t="shared" si="127"/>
        <v>29.696</v>
      </c>
      <c r="AL2629" s="70"/>
      <c r="AM2629" s="70"/>
      <c r="AN2629" s="71"/>
      <c r="AO2629" s="71"/>
      <c r="AP2629" s="71"/>
      <c r="AQ2629" s="71"/>
      <c r="AR2629" s="71"/>
      <c r="AS2629" s="71"/>
      <c r="AT2629" s="71"/>
      <c r="AU2629" s="71"/>
      <c r="AV2629" s="71"/>
      <c r="AW2629" s="71"/>
      <c r="AX2629" s="71"/>
      <c r="AY2629" s="71"/>
      <c r="AZ2629" s="71"/>
      <c r="BA2629" s="71"/>
      <c r="BB2629" s="71"/>
      <c r="BC2629" s="71"/>
      <c r="BD2629" s="71"/>
      <c r="BE2629" s="71"/>
      <c r="BF2629" s="71"/>
      <c r="BG2629" s="71"/>
      <c r="BH2629" s="71"/>
      <c r="BI2629" s="71"/>
      <c r="BJ2629" s="71"/>
      <c r="BK2629" s="71"/>
      <c r="BL2629" s="71"/>
      <c r="BM2629" s="71"/>
      <c r="BN2629" s="71"/>
      <c r="BO2629" s="71"/>
      <c r="BP2629" s="71"/>
      <c r="BQ2629" s="71"/>
      <c r="BR2629" s="71"/>
      <c r="BS2629" s="71"/>
      <c r="BT2629" s="71"/>
      <c r="BU2629" s="71"/>
      <c r="BV2629" s="71"/>
    </row>
    <row r="2630">
      <c r="A2630" s="53"/>
      <c r="B2630" s="53"/>
      <c r="C2630" s="53" t="s">
        <v>36</v>
      </c>
      <c r="D2630" s="85" t="s">
        <v>6476</v>
      </c>
      <c r="E2630" s="54" t="s">
        <v>38</v>
      </c>
      <c r="F2630" s="55" t="s">
        <v>39</v>
      </c>
      <c r="G2630" s="86" t="s">
        <v>6477</v>
      </c>
      <c r="H2630" s="55"/>
      <c r="I2630" s="54">
        <f t="shared" si="125"/>
        <v>0</v>
      </c>
      <c r="J2630" s="56"/>
      <c r="K2630" s="57"/>
      <c r="L2630" s="76"/>
      <c r="M2630" s="59"/>
      <c r="N2630" s="60"/>
      <c r="O2630" s="61">
        <v>9.6</v>
      </c>
      <c r="P2630" s="62">
        <v>10.368</v>
      </c>
      <c r="Q2630" s="63">
        <v>10.368</v>
      </c>
      <c r="R2630" s="78">
        <v>10.0</v>
      </c>
      <c r="S2630" s="107">
        <v>10.5</v>
      </c>
      <c r="T2630" s="65">
        <f t="shared" si="93"/>
        <v>1.68</v>
      </c>
      <c r="U2630" s="65">
        <f t="shared" si="94"/>
        <v>12.18</v>
      </c>
      <c r="V2630" s="66">
        <f t="shared" si="134"/>
        <v>0.05</v>
      </c>
      <c r="W2630" s="67">
        <f t="shared" si="96"/>
        <v>9.975</v>
      </c>
      <c r="X2630" s="67">
        <f t="shared" si="132"/>
        <v>1.596</v>
      </c>
      <c r="Y2630" s="67">
        <f t="shared" si="133"/>
        <v>11.571</v>
      </c>
      <c r="Z2630" s="67">
        <f t="shared" si="99"/>
        <v>9.45</v>
      </c>
      <c r="AA2630" s="67">
        <f t="shared" si="114"/>
        <v>1.512</v>
      </c>
      <c r="AB2630" s="67">
        <f t="shared" si="115"/>
        <v>10.962</v>
      </c>
      <c r="AC2630" s="67">
        <f t="shared" si="102"/>
        <v>8.925</v>
      </c>
      <c r="AD2630" s="67">
        <f t="shared" si="116"/>
        <v>1.428</v>
      </c>
      <c r="AE2630" s="67">
        <f t="shared" si="117"/>
        <v>10.353</v>
      </c>
      <c r="AF2630" s="67">
        <f t="shared" si="105"/>
        <v>8.715</v>
      </c>
      <c r="AG2630" s="67">
        <f t="shared" si="118"/>
        <v>1.3944</v>
      </c>
      <c r="AH2630" s="67">
        <f t="shared" si="119"/>
        <v>10.1094</v>
      </c>
      <c r="AI2630" s="67">
        <f t="shared" si="108"/>
        <v>8.4</v>
      </c>
      <c r="AJ2630" s="68">
        <f t="shared" si="126"/>
        <v>1.344</v>
      </c>
      <c r="AK2630" s="68">
        <f t="shared" si="127"/>
        <v>9.744</v>
      </c>
      <c r="AL2630" s="70"/>
      <c r="AM2630" s="70"/>
      <c r="AN2630" s="71"/>
      <c r="AO2630" s="71"/>
      <c r="AP2630" s="71"/>
      <c r="AQ2630" s="71"/>
      <c r="AR2630" s="71"/>
      <c r="AS2630" s="71"/>
      <c r="AT2630" s="71"/>
      <c r="AU2630" s="71"/>
      <c r="AV2630" s="71"/>
      <c r="AW2630" s="71"/>
      <c r="AX2630" s="71"/>
      <c r="AY2630" s="71"/>
      <c r="AZ2630" s="71"/>
      <c r="BA2630" s="71"/>
      <c r="BB2630" s="71"/>
      <c r="BC2630" s="71"/>
      <c r="BD2630" s="71"/>
      <c r="BE2630" s="71"/>
      <c r="BF2630" s="71"/>
      <c r="BG2630" s="71"/>
      <c r="BH2630" s="71"/>
      <c r="BI2630" s="71"/>
      <c r="BJ2630" s="71"/>
      <c r="BK2630" s="71"/>
      <c r="BL2630" s="71"/>
      <c r="BM2630" s="71"/>
      <c r="BN2630" s="71"/>
      <c r="BO2630" s="71"/>
      <c r="BP2630" s="71"/>
      <c r="BQ2630" s="71"/>
      <c r="BR2630" s="71"/>
      <c r="BS2630" s="71"/>
      <c r="BT2630" s="71"/>
      <c r="BU2630" s="71"/>
      <c r="BV2630" s="71"/>
    </row>
    <row r="2631">
      <c r="A2631" s="53"/>
      <c r="B2631" s="53"/>
      <c r="C2631" s="53" t="s">
        <v>36</v>
      </c>
      <c r="D2631" s="85" t="s">
        <v>6478</v>
      </c>
      <c r="E2631" s="54" t="s">
        <v>38</v>
      </c>
      <c r="F2631" s="55" t="s">
        <v>39</v>
      </c>
      <c r="G2631" s="86" t="s">
        <v>6479</v>
      </c>
      <c r="H2631" s="55"/>
      <c r="I2631" s="54">
        <f t="shared" si="125"/>
        <v>0</v>
      </c>
      <c r="J2631" s="56"/>
      <c r="K2631" s="57"/>
      <c r="L2631" s="76"/>
      <c r="M2631" s="59"/>
      <c r="N2631" s="60"/>
      <c r="O2631" s="61">
        <v>9.6</v>
      </c>
      <c r="P2631" s="62">
        <v>10.368</v>
      </c>
      <c r="Q2631" s="63">
        <v>10.368</v>
      </c>
      <c r="R2631" s="78">
        <v>10.0</v>
      </c>
      <c r="S2631" s="107">
        <v>10.5</v>
      </c>
      <c r="T2631" s="65">
        <f t="shared" si="93"/>
        <v>1.68</v>
      </c>
      <c r="U2631" s="65">
        <f t="shared" si="94"/>
        <v>12.18</v>
      </c>
      <c r="V2631" s="66">
        <f t="shared" si="134"/>
        <v>0.05</v>
      </c>
      <c r="W2631" s="67">
        <f t="shared" si="96"/>
        <v>9.975</v>
      </c>
      <c r="X2631" s="67">
        <f t="shared" si="132"/>
        <v>1.596</v>
      </c>
      <c r="Y2631" s="67">
        <f t="shared" si="133"/>
        <v>11.571</v>
      </c>
      <c r="Z2631" s="67">
        <f t="shared" si="99"/>
        <v>9.45</v>
      </c>
      <c r="AA2631" s="67">
        <f t="shared" si="114"/>
        <v>1.512</v>
      </c>
      <c r="AB2631" s="67">
        <f t="shared" si="115"/>
        <v>10.962</v>
      </c>
      <c r="AC2631" s="67">
        <f t="shared" si="102"/>
        <v>8.925</v>
      </c>
      <c r="AD2631" s="67">
        <f t="shared" si="116"/>
        <v>1.428</v>
      </c>
      <c r="AE2631" s="67">
        <f t="shared" si="117"/>
        <v>10.353</v>
      </c>
      <c r="AF2631" s="67">
        <f t="shared" si="105"/>
        <v>8.715</v>
      </c>
      <c r="AG2631" s="67">
        <f t="shared" si="118"/>
        <v>1.3944</v>
      </c>
      <c r="AH2631" s="67">
        <f t="shared" si="119"/>
        <v>10.1094</v>
      </c>
      <c r="AI2631" s="67">
        <f t="shared" si="108"/>
        <v>8.4</v>
      </c>
      <c r="AJ2631" s="68">
        <f t="shared" si="126"/>
        <v>1.344</v>
      </c>
      <c r="AK2631" s="68">
        <f t="shared" si="127"/>
        <v>9.744</v>
      </c>
      <c r="AL2631" s="70"/>
      <c r="AM2631" s="70"/>
      <c r="AN2631" s="71"/>
      <c r="AO2631" s="71"/>
      <c r="AP2631" s="71"/>
      <c r="AQ2631" s="71"/>
      <c r="AR2631" s="71"/>
      <c r="AS2631" s="71"/>
      <c r="AT2631" s="71"/>
      <c r="AU2631" s="71"/>
      <c r="AV2631" s="71"/>
      <c r="AW2631" s="71"/>
      <c r="AX2631" s="71"/>
      <c r="AY2631" s="71"/>
      <c r="AZ2631" s="71"/>
      <c r="BA2631" s="71"/>
      <c r="BB2631" s="71"/>
      <c r="BC2631" s="71"/>
      <c r="BD2631" s="71"/>
      <c r="BE2631" s="71"/>
      <c r="BF2631" s="71"/>
      <c r="BG2631" s="71"/>
      <c r="BH2631" s="71"/>
      <c r="BI2631" s="71"/>
      <c r="BJ2631" s="71"/>
      <c r="BK2631" s="71"/>
      <c r="BL2631" s="71"/>
      <c r="BM2631" s="71"/>
      <c r="BN2631" s="71"/>
      <c r="BO2631" s="71"/>
      <c r="BP2631" s="71"/>
      <c r="BQ2631" s="71"/>
      <c r="BR2631" s="71"/>
      <c r="BS2631" s="71"/>
      <c r="BT2631" s="71"/>
      <c r="BU2631" s="71"/>
      <c r="BV2631" s="71"/>
    </row>
    <row r="2632">
      <c r="A2632" s="53"/>
      <c r="B2632" s="53"/>
      <c r="C2632" s="53" t="s">
        <v>36</v>
      </c>
      <c r="D2632" s="85" t="s">
        <v>6480</v>
      </c>
      <c r="E2632" s="54" t="s">
        <v>38</v>
      </c>
      <c r="F2632" s="55" t="s">
        <v>39</v>
      </c>
      <c r="G2632" s="86" t="s">
        <v>6481</v>
      </c>
      <c r="H2632" s="55"/>
      <c r="I2632" s="54">
        <f t="shared" si="125"/>
        <v>0</v>
      </c>
      <c r="J2632" s="56"/>
      <c r="K2632" s="57"/>
      <c r="L2632" s="76"/>
      <c r="M2632" s="59"/>
      <c r="N2632" s="60"/>
      <c r="O2632" s="61">
        <v>5.76</v>
      </c>
      <c r="P2632" s="62">
        <v>6.2208000000000006</v>
      </c>
      <c r="Q2632" s="63">
        <v>6.2208000000000006</v>
      </c>
      <c r="R2632" s="78">
        <v>6.0</v>
      </c>
      <c r="S2632" s="107">
        <v>6.300000000000001</v>
      </c>
      <c r="T2632" s="65">
        <f t="shared" si="93"/>
        <v>1.008</v>
      </c>
      <c r="U2632" s="65">
        <f t="shared" si="94"/>
        <v>7.308</v>
      </c>
      <c r="V2632" s="66">
        <f t="shared" si="134"/>
        <v>0.05</v>
      </c>
      <c r="W2632" s="67">
        <f t="shared" si="96"/>
        <v>5.985</v>
      </c>
      <c r="X2632" s="67">
        <f t="shared" si="132"/>
        <v>0.9576</v>
      </c>
      <c r="Y2632" s="67">
        <f t="shared" si="133"/>
        <v>6.9426</v>
      </c>
      <c r="Z2632" s="67">
        <f t="shared" si="99"/>
        <v>5.67</v>
      </c>
      <c r="AA2632" s="67">
        <f t="shared" si="114"/>
        <v>0.9072</v>
      </c>
      <c r="AB2632" s="67">
        <f t="shared" si="115"/>
        <v>6.5772</v>
      </c>
      <c r="AC2632" s="67">
        <f t="shared" si="102"/>
        <v>5.355</v>
      </c>
      <c r="AD2632" s="67">
        <f t="shared" si="116"/>
        <v>0.8568</v>
      </c>
      <c r="AE2632" s="67">
        <f t="shared" si="117"/>
        <v>6.2118</v>
      </c>
      <c r="AF2632" s="67">
        <f t="shared" si="105"/>
        <v>5.229</v>
      </c>
      <c r="AG2632" s="67">
        <f t="shared" si="118"/>
        <v>0.83664</v>
      </c>
      <c r="AH2632" s="67">
        <f t="shared" si="119"/>
        <v>6.06564</v>
      </c>
      <c r="AI2632" s="67">
        <f t="shared" si="108"/>
        <v>5.04</v>
      </c>
      <c r="AJ2632" s="68">
        <f t="shared" si="126"/>
        <v>0.8064</v>
      </c>
      <c r="AK2632" s="68">
        <f t="shared" si="127"/>
        <v>5.8464</v>
      </c>
      <c r="AL2632" s="70"/>
      <c r="AM2632" s="70"/>
      <c r="AN2632" s="71"/>
      <c r="AO2632" s="71"/>
      <c r="AP2632" s="71"/>
      <c r="AQ2632" s="71"/>
      <c r="AR2632" s="71"/>
      <c r="AS2632" s="71"/>
      <c r="AT2632" s="71"/>
      <c r="AU2632" s="71"/>
      <c r="AV2632" s="71"/>
      <c r="AW2632" s="71"/>
      <c r="AX2632" s="71"/>
      <c r="AY2632" s="71"/>
      <c r="AZ2632" s="71"/>
      <c r="BA2632" s="71"/>
      <c r="BB2632" s="71"/>
      <c r="BC2632" s="71"/>
      <c r="BD2632" s="71"/>
      <c r="BE2632" s="71"/>
      <c r="BF2632" s="71"/>
      <c r="BG2632" s="71"/>
      <c r="BH2632" s="71"/>
      <c r="BI2632" s="71"/>
      <c r="BJ2632" s="71"/>
      <c r="BK2632" s="71"/>
      <c r="BL2632" s="71"/>
      <c r="BM2632" s="71"/>
      <c r="BN2632" s="71"/>
      <c r="BO2632" s="71"/>
      <c r="BP2632" s="71"/>
      <c r="BQ2632" s="71"/>
      <c r="BR2632" s="71"/>
      <c r="BS2632" s="71"/>
      <c r="BT2632" s="71"/>
      <c r="BU2632" s="71"/>
      <c r="BV2632" s="71"/>
    </row>
    <row r="2633">
      <c r="A2633" s="53"/>
      <c r="B2633" s="53"/>
      <c r="C2633" s="53" t="s">
        <v>36</v>
      </c>
      <c r="D2633" s="85" t="s">
        <v>6482</v>
      </c>
      <c r="E2633" s="54" t="s">
        <v>38</v>
      </c>
      <c r="F2633" s="55" t="s">
        <v>39</v>
      </c>
      <c r="G2633" s="86" t="s">
        <v>6483</v>
      </c>
      <c r="H2633" s="55"/>
      <c r="I2633" s="54">
        <f t="shared" si="125"/>
        <v>0</v>
      </c>
      <c r="J2633" s="56"/>
      <c r="K2633" s="57"/>
      <c r="L2633" s="76"/>
      <c r="M2633" s="59"/>
      <c r="N2633" s="60"/>
      <c r="O2633" s="61">
        <v>42.0</v>
      </c>
      <c r="P2633" s="62">
        <v>45.36</v>
      </c>
      <c r="Q2633" s="63">
        <v>45.36</v>
      </c>
      <c r="R2633" s="64">
        <v>48.0</v>
      </c>
      <c r="S2633" s="107">
        <v>50.0</v>
      </c>
      <c r="T2633" s="65">
        <f t="shared" si="93"/>
        <v>8</v>
      </c>
      <c r="U2633" s="65">
        <f t="shared" si="94"/>
        <v>58</v>
      </c>
      <c r="V2633" s="66">
        <f t="shared" si="134"/>
        <v>0.04166666667</v>
      </c>
      <c r="W2633" s="67">
        <f t="shared" si="96"/>
        <v>47.5</v>
      </c>
      <c r="X2633" s="67">
        <f t="shared" si="132"/>
        <v>7.6</v>
      </c>
      <c r="Y2633" s="67">
        <f t="shared" si="133"/>
        <v>55.1</v>
      </c>
      <c r="Z2633" s="67">
        <f t="shared" si="99"/>
        <v>45</v>
      </c>
      <c r="AA2633" s="67">
        <f t="shared" si="114"/>
        <v>7.2</v>
      </c>
      <c r="AB2633" s="67">
        <f t="shared" si="115"/>
        <v>52.2</v>
      </c>
      <c r="AC2633" s="67">
        <f t="shared" si="102"/>
        <v>42.5</v>
      </c>
      <c r="AD2633" s="67">
        <f t="shared" si="116"/>
        <v>6.8</v>
      </c>
      <c r="AE2633" s="67">
        <f t="shared" si="117"/>
        <v>49.3</v>
      </c>
      <c r="AF2633" s="67">
        <f t="shared" si="105"/>
        <v>41.5</v>
      </c>
      <c r="AG2633" s="67">
        <f t="shared" si="118"/>
        <v>6.64</v>
      </c>
      <c r="AH2633" s="67">
        <f t="shared" si="119"/>
        <v>48.14</v>
      </c>
      <c r="AI2633" s="67">
        <f t="shared" si="108"/>
        <v>40</v>
      </c>
      <c r="AJ2633" s="68">
        <f t="shared" si="126"/>
        <v>6.4</v>
      </c>
      <c r="AK2633" s="68">
        <f t="shared" si="127"/>
        <v>46.4</v>
      </c>
      <c r="AL2633" s="70"/>
      <c r="AM2633" s="70"/>
      <c r="AN2633" s="71"/>
      <c r="AO2633" s="71"/>
      <c r="AP2633" s="71"/>
      <c r="AQ2633" s="71"/>
      <c r="AR2633" s="71"/>
      <c r="AS2633" s="71"/>
      <c r="AT2633" s="71"/>
      <c r="AU2633" s="71"/>
      <c r="AV2633" s="71"/>
      <c r="AW2633" s="71"/>
      <c r="AX2633" s="71"/>
      <c r="AY2633" s="71"/>
      <c r="AZ2633" s="71"/>
      <c r="BA2633" s="71"/>
      <c r="BB2633" s="71"/>
      <c r="BC2633" s="71"/>
      <c r="BD2633" s="71"/>
      <c r="BE2633" s="71"/>
      <c r="BF2633" s="71"/>
      <c r="BG2633" s="71"/>
      <c r="BH2633" s="71"/>
      <c r="BI2633" s="71"/>
      <c r="BJ2633" s="71"/>
      <c r="BK2633" s="71"/>
      <c r="BL2633" s="71"/>
      <c r="BM2633" s="71"/>
      <c r="BN2633" s="71"/>
      <c r="BO2633" s="71"/>
      <c r="BP2633" s="71"/>
      <c r="BQ2633" s="71"/>
      <c r="BR2633" s="71"/>
      <c r="BS2633" s="71"/>
      <c r="BT2633" s="71"/>
      <c r="BU2633" s="71"/>
      <c r="BV2633" s="71"/>
    </row>
    <row r="2634">
      <c r="A2634" s="53"/>
      <c r="B2634" s="53"/>
      <c r="C2634" s="53" t="s">
        <v>36</v>
      </c>
      <c r="D2634" s="85" t="s">
        <v>6484</v>
      </c>
      <c r="E2634" s="54" t="s">
        <v>38</v>
      </c>
      <c r="F2634" s="55" t="s">
        <v>39</v>
      </c>
      <c r="G2634" s="86" t="s">
        <v>6485</v>
      </c>
      <c r="H2634" s="55"/>
      <c r="I2634" s="54">
        <f t="shared" si="125"/>
        <v>0</v>
      </c>
      <c r="J2634" s="56"/>
      <c r="K2634" s="57"/>
      <c r="L2634" s="76"/>
      <c r="M2634" s="59"/>
      <c r="N2634" s="60"/>
      <c r="O2634" s="61">
        <v>266.88</v>
      </c>
      <c r="P2634" s="62">
        <v>288.23040000000003</v>
      </c>
      <c r="Q2634" s="63">
        <v>288.23040000000003</v>
      </c>
      <c r="R2634" s="64">
        <v>303.0</v>
      </c>
      <c r="S2634" s="107">
        <v>318.0</v>
      </c>
      <c r="T2634" s="65">
        <f t="shared" si="93"/>
        <v>50.88</v>
      </c>
      <c r="U2634" s="65">
        <f t="shared" si="94"/>
        <v>368.88</v>
      </c>
      <c r="V2634" s="66">
        <f t="shared" si="134"/>
        <v>0.0495049505</v>
      </c>
      <c r="W2634" s="67">
        <f t="shared" si="96"/>
        <v>302.1</v>
      </c>
      <c r="X2634" s="67">
        <f t="shared" si="132"/>
        <v>48.336</v>
      </c>
      <c r="Y2634" s="67">
        <f t="shared" si="133"/>
        <v>350.436</v>
      </c>
      <c r="Z2634" s="67">
        <f t="shared" si="99"/>
        <v>286.2</v>
      </c>
      <c r="AA2634" s="67">
        <f t="shared" si="114"/>
        <v>45.792</v>
      </c>
      <c r="AB2634" s="67">
        <f t="shared" si="115"/>
        <v>331.992</v>
      </c>
      <c r="AC2634" s="67">
        <f t="shared" si="102"/>
        <v>270.3</v>
      </c>
      <c r="AD2634" s="67">
        <f t="shared" si="116"/>
        <v>43.248</v>
      </c>
      <c r="AE2634" s="67">
        <f t="shared" si="117"/>
        <v>313.548</v>
      </c>
      <c r="AF2634" s="67">
        <f t="shared" si="105"/>
        <v>263.94</v>
      </c>
      <c r="AG2634" s="67">
        <f t="shared" si="118"/>
        <v>42.2304</v>
      </c>
      <c r="AH2634" s="67">
        <f t="shared" si="119"/>
        <v>306.1704</v>
      </c>
      <c r="AI2634" s="67">
        <f t="shared" si="108"/>
        <v>254.4</v>
      </c>
      <c r="AJ2634" s="68">
        <f t="shared" si="126"/>
        <v>40.704</v>
      </c>
      <c r="AK2634" s="68">
        <f t="shared" si="127"/>
        <v>295.104</v>
      </c>
      <c r="AL2634" s="70"/>
      <c r="AM2634" s="70"/>
      <c r="AN2634" s="71"/>
      <c r="AO2634" s="71"/>
      <c r="AP2634" s="71"/>
      <c r="AQ2634" s="71"/>
      <c r="AR2634" s="71"/>
      <c r="AS2634" s="71"/>
      <c r="AT2634" s="71"/>
      <c r="AU2634" s="71"/>
      <c r="AV2634" s="71"/>
      <c r="AW2634" s="71"/>
      <c r="AX2634" s="71"/>
      <c r="AY2634" s="71"/>
      <c r="AZ2634" s="71"/>
      <c r="BA2634" s="71"/>
      <c r="BB2634" s="71"/>
      <c r="BC2634" s="71"/>
      <c r="BD2634" s="71"/>
      <c r="BE2634" s="71"/>
      <c r="BF2634" s="71"/>
      <c r="BG2634" s="71"/>
      <c r="BH2634" s="71"/>
      <c r="BI2634" s="71"/>
      <c r="BJ2634" s="71"/>
      <c r="BK2634" s="71"/>
      <c r="BL2634" s="71"/>
      <c r="BM2634" s="71"/>
      <c r="BN2634" s="71"/>
      <c r="BO2634" s="71"/>
      <c r="BP2634" s="71"/>
      <c r="BQ2634" s="71"/>
      <c r="BR2634" s="71"/>
      <c r="BS2634" s="71"/>
      <c r="BT2634" s="71"/>
      <c r="BU2634" s="71"/>
      <c r="BV2634" s="71"/>
    </row>
    <row r="2635">
      <c r="A2635" s="53"/>
      <c r="B2635" s="53"/>
      <c r="C2635" s="53" t="s">
        <v>36</v>
      </c>
      <c r="D2635" s="85" t="s">
        <v>6486</v>
      </c>
      <c r="E2635" s="54" t="s">
        <v>38</v>
      </c>
      <c r="F2635" s="55" t="s">
        <v>39</v>
      </c>
      <c r="G2635" s="86" t="s">
        <v>6487</v>
      </c>
      <c r="H2635" s="55"/>
      <c r="I2635" s="54">
        <f t="shared" si="125"/>
        <v>0</v>
      </c>
      <c r="J2635" s="56"/>
      <c r="K2635" s="57"/>
      <c r="L2635" s="76"/>
      <c r="M2635" s="59"/>
      <c r="N2635" s="60"/>
      <c r="O2635" s="61">
        <v>13.44</v>
      </c>
      <c r="P2635" s="62">
        <v>14.5152</v>
      </c>
      <c r="Q2635" s="63">
        <v>14.5152</v>
      </c>
      <c r="R2635" s="64">
        <v>16.0</v>
      </c>
      <c r="S2635" s="107">
        <v>16.8</v>
      </c>
      <c r="T2635" s="65">
        <f t="shared" si="93"/>
        <v>2.688</v>
      </c>
      <c r="U2635" s="65">
        <f t="shared" si="94"/>
        <v>19.488</v>
      </c>
      <c r="V2635" s="66">
        <f t="shared" si="134"/>
        <v>0.05</v>
      </c>
      <c r="W2635" s="67">
        <f t="shared" si="96"/>
        <v>15.96</v>
      </c>
      <c r="X2635" s="67">
        <f t="shared" si="132"/>
        <v>2.5536</v>
      </c>
      <c r="Y2635" s="67">
        <f t="shared" si="133"/>
        <v>18.5136</v>
      </c>
      <c r="Z2635" s="67">
        <f t="shared" si="99"/>
        <v>15.12</v>
      </c>
      <c r="AA2635" s="67">
        <f t="shared" si="114"/>
        <v>2.4192</v>
      </c>
      <c r="AB2635" s="67">
        <f t="shared" si="115"/>
        <v>17.5392</v>
      </c>
      <c r="AC2635" s="67">
        <f t="shared" si="102"/>
        <v>14.28</v>
      </c>
      <c r="AD2635" s="67">
        <f t="shared" si="116"/>
        <v>2.2848</v>
      </c>
      <c r="AE2635" s="67">
        <f t="shared" si="117"/>
        <v>16.5648</v>
      </c>
      <c r="AF2635" s="67">
        <f t="shared" si="105"/>
        <v>13.944</v>
      </c>
      <c r="AG2635" s="67">
        <f t="shared" si="118"/>
        <v>2.23104</v>
      </c>
      <c r="AH2635" s="67">
        <f t="shared" si="119"/>
        <v>16.17504</v>
      </c>
      <c r="AI2635" s="67">
        <f t="shared" si="108"/>
        <v>13.44</v>
      </c>
      <c r="AJ2635" s="68">
        <f t="shared" si="126"/>
        <v>2.1504</v>
      </c>
      <c r="AK2635" s="68">
        <f t="shared" si="127"/>
        <v>15.5904</v>
      </c>
      <c r="AL2635" s="70"/>
      <c r="AM2635" s="70"/>
      <c r="AN2635" s="71"/>
      <c r="AO2635" s="71"/>
      <c r="AP2635" s="71"/>
      <c r="AQ2635" s="71"/>
      <c r="AR2635" s="71"/>
      <c r="AS2635" s="71"/>
      <c r="AT2635" s="71"/>
      <c r="AU2635" s="71"/>
      <c r="AV2635" s="71"/>
      <c r="AW2635" s="71"/>
      <c r="AX2635" s="71"/>
      <c r="AY2635" s="71"/>
      <c r="AZ2635" s="71"/>
      <c r="BA2635" s="71"/>
      <c r="BB2635" s="71"/>
      <c r="BC2635" s="71"/>
      <c r="BD2635" s="71"/>
      <c r="BE2635" s="71"/>
      <c r="BF2635" s="71"/>
      <c r="BG2635" s="71"/>
      <c r="BH2635" s="71"/>
      <c r="BI2635" s="71"/>
      <c r="BJ2635" s="71"/>
      <c r="BK2635" s="71"/>
      <c r="BL2635" s="71"/>
      <c r="BM2635" s="71"/>
      <c r="BN2635" s="71"/>
      <c r="BO2635" s="71"/>
      <c r="BP2635" s="71"/>
      <c r="BQ2635" s="71"/>
      <c r="BR2635" s="71"/>
      <c r="BS2635" s="71"/>
      <c r="BT2635" s="71"/>
      <c r="BU2635" s="71"/>
      <c r="BV2635" s="71"/>
    </row>
    <row r="2636">
      <c r="A2636" s="53"/>
      <c r="B2636" s="53"/>
      <c r="C2636" s="53" t="s">
        <v>36</v>
      </c>
      <c r="D2636" s="85" t="s">
        <v>6488</v>
      </c>
      <c r="E2636" s="54" t="s">
        <v>38</v>
      </c>
      <c r="F2636" s="55" t="s">
        <v>39</v>
      </c>
      <c r="G2636" s="86" t="s">
        <v>6489</v>
      </c>
      <c r="H2636" s="55"/>
      <c r="I2636" s="54">
        <f t="shared" si="125"/>
        <v>0</v>
      </c>
      <c r="J2636" s="56"/>
      <c r="K2636" s="57"/>
      <c r="L2636" s="76"/>
      <c r="M2636" s="59"/>
      <c r="N2636" s="60"/>
      <c r="O2636" s="61">
        <v>13.44</v>
      </c>
      <c r="P2636" s="62">
        <v>14.5152</v>
      </c>
      <c r="Q2636" s="63">
        <v>14.5152</v>
      </c>
      <c r="R2636" s="64">
        <v>16.0</v>
      </c>
      <c r="S2636" s="107">
        <v>16.8</v>
      </c>
      <c r="T2636" s="65">
        <f t="shared" si="93"/>
        <v>2.688</v>
      </c>
      <c r="U2636" s="65">
        <f t="shared" si="94"/>
        <v>19.488</v>
      </c>
      <c r="V2636" s="66">
        <f t="shared" si="134"/>
        <v>0.05</v>
      </c>
      <c r="W2636" s="67">
        <f t="shared" si="96"/>
        <v>15.96</v>
      </c>
      <c r="X2636" s="67">
        <f t="shared" si="132"/>
        <v>2.5536</v>
      </c>
      <c r="Y2636" s="67">
        <f t="shared" si="133"/>
        <v>18.5136</v>
      </c>
      <c r="Z2636" s="67">
        <f t="shared" si="99"/>
        <v>15.12</v>
      </c>
      <c r="AA2636" s="67">
        <f t="shared" si="114"/>
        <v>2.4192</v>
      </c>
      <c r="AB2636" s="67">
        <f t="shared" si="115"/>
        <v>17.5392</v>
      </c>
      <c r="AC2636" s="67">
        <f t="shared" si="102"/>
        <v>14.28</v>
      </c>
      <c r="AD2636" s="67">
        <f t="shared" si="116"/>
        <v>2.2848</v>
      </c>
      <c r="AE2636" s="67">
        <f t="shared" si="117"/>
        <v>16.5648</v>
      </c>
      <c r="AF2636" s="67">
        <f t="shared" si="105"/>
        <v>13.944</v>
      </c>
      <c r="AG2636" s="67">
        <f t="shared" si="118"/>
        <v>2.23104</v>
      </c>
      <c r="AH2636" s="67">
        <f t="shared" si="119"/>
        <v>16.17504</v>
      </c>
      <c r="AI2636" s="67">
        <f t="shared" si="108"/>
        <v>13.44</v>
      </c>
      <c r="AJ2636" s="68">
        <f t="shared" si="126"/>
        <v>2.1504</v>
      </c>
      <c r="AK2636" s="68">
        <f t="shared" si="127"/>
        <v>15.5904</v>
      </c>
      <c r="AL2636" s="70"/>
      <c r="AM2636" s="70"/>
      <c r="AN2636" s="71"/>
      <c r="AO2636" s="71"/>
      <c r="AP2636" s="71"/>
      <c r="AQ2636" s="71"/>
      <c r="AR2636" s="71"/>
      <c r="AS2636" s="71"/>
      <c r="AT2636" s="71"/>
      <c r="AU2636" s="71"/>
      <c r="AV2636" s="71"/>
      <c r="AW2636" s="71"/>
      <c r="AX2636" s="71"/>
      <c r="AY2636" s="71"/>
      <c r="AZ2636" s="71"/>
      <c r="BA2636" s="71"/>
      <c r="BB2636" s="71"/>
      <c r="BC2636" s="71"/>
      <c r="BD2636" s="71"/>
      <c r="BE2636" s="71"/>
      <c r="BF2636" s="71"/>
      <c r="BG2636" s="71"/>
      <c r="BH2636" s="71"/>
      <c r="BI2636" s="71"/>
      <c r="BJ2636" s="71"/>
      <c r="BK2636" s="71"/>
      <c r="BL2636" s="71"/>
      <c r="BM2636" s="71"/>
      <c r="BN2636" s="71"/>
      <c r="BO2636" s="71"/>
      <c r="BP2636" s="71"/>
      <c r="BQ2636" s="71"/>
      <c r="BR2636" s="71"/>
      <c r="BS2636" s="71"/>
      <c r="BT2636" s="71"/>
      <c r="BU2636" s="71"/>
      <c r="BV2636" s="71"/>
    </row>
    <row r="2637">
      <c r="A2637" s="53"/>
      <c r="B2637" s="53"/>
      <c r="C2637" s="53" t="s">
        <v>36</v>
      </c>
      <c r="D2637" s="85" t="s">
        <v>6490</v>
      </c>
      <c r="E2637" s="54" t="s">
        <v>38</v>
      </c>
      <c r="F2637" s="55" t="s">
        <v>39</v>
      </c>
      <c r="G2637" s="86" t="s">
        <v>6491</v>
      </c>
      <c r="H2637" s="55"/>
      <c r="I2637" s="54">
        <f t="shared" si="125"/>
        <v>0</v>
      </c>
      <c r="J2637" s="56"/>
      <c r="K2637" s="57"/>
      <c r="L2637" s="76"/>
      <c r="M2637" s="59"/>
      <c r="N2637" s="60"/>
      <c r="O2637" s="61">
        <v>48.0</v>
      </c>
      <c r="P2637" s="62">
        <v>51.84</v>
      </c>
      <c r="Q2637" s="63">
        <v>51.84</v>
      </c>
      <c r="R2637" s="64">
        <v>55.0</v>
      </c>
      <c r="S2637" s="107">
        <v>58.0</v>
      </c>
      <c r="T2637" s="65">
        <f t="shared" si="93"/>
        <v>9.28</v>
      </c>
      <c r="U2637" s="65">
        <f t="shared" si="94"/>
        <v>67.28</v>
      </c>
      <c r="V2637" s="66">
        <f t="shared" si="134"/>
        <v>0.05454545455</v>
      </c>
      <c r="W2637" s="67">
        <f t="shared" si="96"/>
        <v>55.1</v>
      </c>
      <c r="X2637" s="67">
        <f t="shared" si="132"/>
        <v>8.816</v>
      </c>
      <c r="Y2637" s="67">
        <f t="shared" si="133"/>
        <v>63.916</v>
      </c>
      <c r="Z2637" s="67">
        <f t="shared" si="99"/>
        <v>52.2</v>
      </c>
      <c r="AA2637" s="67">
        <f t="shared" si="114"/>
        <v>8.352</v>
      </c>
      <c r="AB2637" s="67">
        <f t="shared" si="115"/>
        <v>60.552</v>
      </c>
      <c r="AC2637" s="67">
        <f t="shared" si="102"/>
        <v>49.3</v>
      </c>
      <c r="AD2637" s="67">
        <f t="shared" si="116"/>
        <v>7.888</v>
      </c>
      <c r="AE2637" s="67">
        <f t="shared" si="117"/>
        <v>57.188</v>
      </c>
      <c r="AF2637" s="67">
        <f t="shared" si="105"/>
        <v>48.14</v>
      </c>
      <c r="AG2637" s="67">
        <f t="shared" si="118"/>
        <v>7.7024</v>
      </c>
      <c r="AH2637" s="67">
        <f t="shared" si="119"/>
        <v>55.8424</v>
      </c>
      <c r="AI2637" s="67">
        <f t="shared" si="108"/>
        <v>46.4</v>
      </c>
      <c r="AJ2637" s="68">
        <f t="shared" si="126"/>
        <v>7.424</v>
      </c>
      <c r="AK2637" s="68">
        <f t="shared" si="127"/>
        <v>53.824</v>
      </c>
      <c r="AL2637" s="70"/>
      <c r="AM2637" s="70"/>
      <c r="AN2637" s="71"/>
      <c r="AO2637" s="71"/>
      <c r="AP2637" s="71"/>
      <c r="AQ2637" s="71"/>
      <c r="AR2637" s="71"/>
      <c r="AS2637" s="71"/>
      <c r="AT2637" s="71"/>
      <c r="AU2637" s="71"/>
      <c r="AV2637" s="71"/>
      <c r="AW2637" s="71"/>
      <c r="AX2637" s="71"/>
      <c r="AY2637" s="71"/>
      <c r="AZ2637" s="71"/>
      <c r="BA2637" s="71"/>
      <c r="BB2637" s="71"/>
      <c r="BC2637" s="71"/>
      <c r="BD2637" s="71"/>
      <c r="BE2637" s="71"/>
      <c r="BF2637" s="71"/>
      <c r="BG2637" s="71"/>
      <c r="BH2637" s="71"/>
      <c r="BI2637" s="71"/>
      <c r="BJ2637" s="71"/>
      <c r="BK2637" s="71"/>
      <c r="BL2637" s="71"/>
      <c r="BM2637" s="71"/>
      <c r="BN2637" s="71"/>
      <c r="BO2637" s="71"/>
      <c r="BP2637" s="71"/>
      <c r="BQ2637" s="71"/>
      <c r="BR2637" s="71"/>
      <c r="BS2637" s="71"/>
      <c r="BT2637" s="71"/>
      <c r="BU2637" s="71"/>
      <c r="BV2637" s="71"/>
    </row>
    <row r="2638">
      <c r="A2638" s="53"/>
      <c r="B2638" s="53"/>
      <c r="C2638" s="53" t="s">
        <v>36</v>
      </c>
      <c r="D2638" s="85" t="s">
        <v>6492</v>
      </c>
      <c r="E2638" s="54" t="s">
        <v>38</v>
      </c>
      <c r="F2638" s="55" t="s">
        <v>39</v>
      </c>
      <c r="G2638" s="86" t="s">
        <v>6493</v>
      </c>
      <c r="H2638" s="55"/>
      <c r="I2638" s="54">
        <f t="shared" si="125"/>
        <v>0</v>
      </c>
      <c r="J2638" s="56"/>
      <c r="K2638" s="57"/>
      <c r="L2638" s="76"/>
      <c r="M2638" s="59"/>
      <c r="N2638" s="60"/>
      <c r="O2638" s="61">
        <v>11.1</v>
      </c>
      <c r="P2638" s="62">
        <v>11.988</v>
      </c>
      <c r="Q2638" s="63">
        <v>11.988</v>
      </c>
      <c r="R2638" s="64">
        <v>13.0</v>
      </c>
      <c r="S2638" s="107">
        <v>13.65</v>
      </c>
      <c r="T2638" s="65">
        <f t="shared" si="93"/>
        <v>2.184</v>
      </c>
      <c r="U2638" s="65">
        <f t="shared" si="94"/>
        <v>15.834</v>
      </c>
      <c r="V2638" s="66">
        <f t="shared" si="134"/>
        <v>0.05</v>
      </c>
      <c r="W2638" s="67">
        <f t="shared" si="96"/>
        <v>12.9675</v>
      </c>
      <c r="X2638" s="67">
        <f t="shared" si="132"/>
        <v>2.0748</v>
      </c>
      <c r="Y2638" s="67">
        <f t="shared" si="133"/>
        <v>15.0423</v>
      </c>
      <c r="Z2638" s="67">
        <f t="shared" si="99"/>
        <v>12.285</v>
      </c>
      <c r="AA2638" s="67">
        <f t="shared" si="114"/>
        <v>1.9656</v>
      </c>
      <c r="AB2638" s="67">
        <f t="shared" si="115"/>
        <v>14.2506</v>
      </c>
      <c r="AC2638" s="67">
        <f t="shared" si="102"/>
        <v>11.6025</v>
      </c>
      <c r="AD2638" s="67">
        <f t="shared" si="116"/>
        <v>1.8564</v>
      </c>
      <c r="AE2638" s="67">
        <f t="shared" si="117"/>
        <v>13.4589</v>
      </c>
      <c r="AF2638" s="67">
        <f t="shared" si="105"/>
        <v>11.3295</v>
      </c>
      <c r="AG2638" s="67">
        <f t="shared" si="118"/>
        <v>1.81272</v>
      </c>
      <c r="AH2638" s="67">
        <f t="shared" si="119"/>
        <v>13.14222</v>
      </c>
      <c r="AI2638" s="67">
        <f t="shared" si="108"/>
        <v>10.92</v>
      </c>
      <c r="AJ2638" s="68">
        <f t="shared" si="126"/>
        <v>1.7472</v>
      </c>
      <c r="AK2638" s="68">
        <f t="shared" si="127"/>
        <v>12.6672</v>
      </c>
      <c r="AL2638" s="70"/>
      <c r="AM2638" s="70"/>
      <c r="AN2638" s="71"/>
      <c r="AO2638" s="71"/>
      <c r="AP2638" s="71"/>
      <c r="AQ2638" s="71"/>
      <c r="AR2638" s="71"/>
      <c r="AS2638" s="71"/>
      <c r="AT2638" s="71"/>
      <c r="AU2638" s="71"/>
      <c r="AV2638" s="71"/>
      <c r="AW2638" s="71"/>
      <c r="AX2638" s="71"/>
      <c r="AY2638" s="71"/>
      <c r="AZ2638" s="71"/>
      <c r="BA2638" s="71"/>
      <c r="BB2638" s="71"/>
      <c r="BC2638" s="71"/>
      <c r="BD2638" s="71"/>
      <c r="BE2638" s="71"/>
      <c r="BF2638" s="71"/>
      <c r="BG2638" s="71"/>
      <c r="BH2638" s="71"/>
      <c r="BI2638" s="71"/>
      <c r="BJ2638" s="71"/>
      <c r="BK2638" s="71"/>
      <c r="BL2638" s="71"/>
      <c r="BM2638" s="71"/>
      <c r="BN2638" s="71"/>
      <c r="BO2638" s="71"/>
      <c r="BP2638" s="71"/>
      <c r="BQ2638" s="71"/>
      <c r="BR2638" s="71"/>
      <c r="BS2638" s="71"/>
      <c r="BT2638" s="71"/>
      <c r="BU2638" s="71"/>
      <c r="BV2638" s="71"/>
    </row>
    <row r="2639">
      <c r="A2639" s="53"/>
      <c r="B2639" s="53"/>
      <c r="C2639" s="53" t="s">
        <v>36</v>
      </c>
      <c r="D2639" s="85" t="s">
        <v>6494</v>
      </c>
      <c r="E2639" s="54" t="s">
        <v>38</v>
      </c>
      <c r="F2639" s="55" t="s">
        <v>39</v>
      </c>
      <c r="G2639" s="86" t="s">
        <v>6495</v>
      </c>
      <c r="H2639" s="55"/>
      <c r="I2639" s="54">
        <f t="shared" si="125"/>
        <v>0</v>
      </c>
      <c r="J2639" s="56"/>
      <c r="K2639" s="57"/>
      <c r="L2639" s="76"/>
      <c r="M2639" s="59"/>
      <c r="N2639" s="60"/>
      <c r="O2639" s="61">
        <v>11.5</v>
      </c>
      <c r="P2639" s="62">
        <v>12.420000000000002</v>
      </c>
      <c r="Q2639" s="63">
        <v>12.420000000000002</v>
      </c>
      <c r="R2639" s="64">
        <v>13.0</v>
      </c>
      <c r="S2639" s="107">
        <v>13.65</v>
      </c>
      <c r="T2639" s="65">
        <f t="shared" si="93"/>
        <v>2.184</v>
      </c>
      <c r="U2639" s="65">
        <f t="shared" si="94"/>
        <v>15.834</v>
      </c>
      <c r="V2639" s="66">
        <f t="shared" si="134"/>
        <v>0.05</v>
      </c>
      <c r="W2639" s="67">
        <f t="shared" si="96"/>
        <v>12.9675</v>
      </c>
      <c r="X2639" s="67">
        <f t="shared" si="132"/>
        <v>2.0748</v>
      </c>
      <c r="Y2639" s="67">
        <f t="shared" si="133"/>
        <v>15.0423</v>
      </c>
      <c r="Z2639" s="67">
        <f t="shared" si="99"/>
        <v>12.285</v>
      </c>
      <c r="AA2639" s="67">
        <f t="shared" si="114"/>
        <v>1.9656</v>
      </c>
      <c r="AB2639" s="67">
        <f t="shared" si="115"/>
        <v>14.2506</v>
      </c>
      <c r="AC2639" s="67">
        <f t="shared" si="102"/>
        <v>11.6025</v>
      </c>
      <c r="AD2639" s="67">
        <f t="shared" si="116"/>
        <v>1.8564</v>
      </c>
      <c r="AE2639" s="67">
        <f t="shared" si="117"/>
        <v>13.4589</v>
      </c>
      <c r="AF2639" s="67">
        <f t="shared" si="105"/>
        <v>11.3295</v>
      </c>
      <c r="AG2639" s="67">
        <f t="shared" si="118"/>
        <v>1.81272</v>
      </c>
      <c r="AH2639" s="67">
        <f t="shared" si="119"/>
        <v>13.14222</v>
      </c>
      <c r="AI2639" s="67">
        <f t="shared" si="108"/>
        <v>10.92</v>
      </c>
      <c r="AJ2639" s="68">
        <f t="shared" si="126"/>
        <v>1.7472</v>
      </c>
      <c r="AK2639" s="68">
        <f t="shared" si="127"/>
        <v>12.6672</v>
      </c>
      <c r="AL2639" s="70"/>
      <c r="AM2639" s="70"/>
      <c r="AN2639" s="71"/>
      <c r="AO2639" s="71"/>
      <c r="AP2639" s="71"/>
      <c r="AQ2639" s="71"/>
      <c r="AR2639" s="71"/>
      <c r="AS2639" s="71"/>
      <c r="AT2639" s="71"/>
      <c r="AU2639" s="71"/>
      <c r="AV2639" s="71"/>
      <c r="AW2639" s="71"/>
      <c r="AX2639" s="71"/>
      <c r="AY2639" s="71"/>
      <c r="AZ2639" s="71"/>
      <c r="BA2639" s="71"/>
      <c r="BB2639" s="71"/>
      <c r="BC2639" s="71"/>
      <c r="BD2639" s="71"/>
      <c r="BE2639" s="71"/>
      <c r="BF2639" s="71"/>
      <c r="BG2639" s="71"/>
      <c r="BH2639" s="71"/>
      <c r="BI2639" s="71"/>
      <c r="BJ2639" s="71"/>
      <c r="BK2639" s="71"/>
      <c r="BL2639" s="71"/>
      <c r="BM2639" s="71"/>
      <c r="BN2639" s="71"/>
      <c r="BO2639" s="71"/>
      <c r="BP2639" s="71"/>
      <c r="BQ2639" s="71"/>
      <c r="BR2639" s="71"/>
      <c r="BS2639" s="71"/>
      <c r="BT2639" s="71"/>
      <c r="BU2639" s="71"/>
      <c r="BV2639" s="71"/>
    </row>
    <row r="2640">
      <c r="A2640" s="53"/>
      <c r="B2640" s="53"/>
      <c r="C2640" s="53" t="s">
        <v>36</v>
      </c>
      <c r="D2640" s="85" t="s">
        <v>6496</v>
      </c>
      <c r="E2640" s="54" t="s">
        <v>38</v>
      </c>
      <c r="F2640" s="55" t="s">
        <v>39</v>
      </c>
      <c r="G2640" s="86" t="s">
        <v>6497</v>
      </c>
      <c r="H2640" s="55"/>
      <c r="I2640" s="54">
        <f t="shared" si="125"/>
        <v>0</v>
      </c>
      <c r="J2640" s="56"/>
      <c r="K2640" s="57"/>
      <c r="L2640" s="76"/>
      <c r="M2640" s="59"/>
      <c r="N2640" s="60"/>
      <c r="O2640" s="61">
        <v>38.4</v>
      </c>
      <c r="P2640" s="62">
        <v>41.472</v>
      </c>
      <c r="Q2640" s="63">
        <v>41.472</v>
      </c>
      <c r="R2640" s="64">
        <v>44.0</v>
      </c>
      <c r="S2640" s="107">
        <v>46.0</v>
      </c>
      <c r="T2640" s="65">
        <f t="shared" si="93"/>
        <v>7.36</v>
      </c>
      <c r="U2640" s="65">
        <f t="shared" si="94"/>
        <v>53.36</v>
      </c>
      <c r="V2640" s="66">
        <f t="shared" si="134"/>
        <v>0.04545454545</v>
      </c>
      <c r="W2640" s="67">
        <f t="shared" si="96"/>
        <v>43.7</v>
      </c>
      <c r="X2640" s="67">
        <f t="shared" si="132"/>
        <v>6.992</v>
      </c>
      <c r="Y2640" s="67">
        <f t="shared" si="133"/>
        <v>50.692</v>
      </c>
      <c r="Z2640" s="67">
        <f t="shared" si="99"/>
        <v>41.4</v>
      </c>
      <c r="AA2640" s="67">
        <f t="shared" si="114"/>
        <v>6.624</v>
      </c>
      <c r="AB2640" s="67">
        <f t="shared" si="115"/>
        <v>48.024</v>
      </c>
      <c r="AC2640" s="67">
        <f t="shared" si="102"/>
        <v>39.1</v>
      </c>
      <c r="AD2640" s="67">
        <f t="shared" si="116"/>
        <v>6.256</v>
      </c>
      <c r="AE2640" s="67">
        <f t="shared" si="117"/>
        <v>45.356</v>
      </c>
      <c r="AF2640" s="67">
        <f t="shared" si="105"/>
        <v>38.18</v>
      </c>
      <c r="AG2640" s="67">
        <f t="shared" si="118"/>
        <v>6.1088</v>
      </c>
      <c r="AH2640" s="67">
        <f t="shared" si="119"/>
        <v>44.2888</v>
      </c>
      <c r="AI2640" s="67">
        <f t="shared" si="108"/>
        <v>36.8</v>
      </c>
      <c r="AJ2640" s="68">
        <f t="shared" si="126"/>
        <v>5.888</v>
      </c>
      <c r="AK2640" s="68">
        <f t="shared" si="127"/>
        <v>42.688</v>
      </c>
      <c r="AL2640" s="70"/>
      <c r="AM2640" s="70"/>
      <c r="AN2640" s="71"/>
      <c r="AO2640" s="71"/>
      <c r="AP2640" s="71"/>
      <c r="AQ2640" s="71"/>
      <c r="AR2640" s="71"/>
      <c r="AS2640" s="71"/>
      <c r="AT2640" s="71"/>
      <c r="AU2640" s="71"/>
      <c r="AV2640" s="71"/>
      <c r="AW2640" s="71"/>
      <c r="AX2640" s="71"/>
      <c r="AY2640" s="71"/>
      <c r="AZ2640" s="71"/>
      <c r="BA2640" s="71"/>
      <c r="BB2640" s="71"/>
      <c r="BC2640" s="71"/>
      <c r="BD2640" s="71"/>
      <c r="BE2640" s="71"/>
      <c r="BF2640" s="71"/>
      <c r="BG2640" s="71"/>
      <c r="BH2640" s="71"/>
      <c r="BI2640" s="71"/>
      <c r="BJ2640" s="71"/>
      <c r="BK2640" s="71"/>
      <c r="BL2640" s="71"/>
      <c r="BM2640" s="71"/>
      <c r="BN2640" s="71"/>
      <c r="BO2640" s="71"/>
      <c r="BP2640" s="71"/>
      <c r="BQ2640" s="71"/>
      <c r="BR2640" s="71"/>
      <c r="BS2640" s="71"/>
      <c r="BT2640" s="71"/>
      <c r="BU2640" s="71"/>
      <c r="BV2640" s="71"/>
    </row>
    <row r="2641">
      <c r="A2641" s="53"/>
      <c r="B2641" s="53"/>
      <c r="C2641" s="53" t="s">
        <v>36</v>
      </c>
      <c r="D2641" s="85" t="s">
        <v>6498</v>
      </c>
      <c r="E2641" s="54" t="s">
        <v>38</v>
      </c>
      <c r="F2641" s="55" t="s">
        <v>39</v>
      </c>
      <c r="G2641" s="86" t="s">
        <v>6499</v>
      </c>
      <c r="H2641" s="55"/>
      <c r="I2641" s="54">
        <f t="shared" si="125"/>
        <v>0</v>
      </c>
      <c r="J2641" s="56"/>
      <c r="K2641" s="57"/>
      <c r="L2641" s="76"/>
      <c r="M2641" s="59"/>
      <c r="N2641" s="60"/>
      <c r="O2641" s="61">
        <v>7.2</v>
      </c>
      <c r="P2641" s="62">
        <v>7.776000000000001</v>
      </c>
      <c r="Q2641" s="63">
        <v>7.776000000000001</v>
      </c>
      <c r="R2641" s="64">
        <v>8.0</v>
      </c>
      <c r="S2641" s="107">
        <v>8.4</v>
      </c>
      <c r="T2641" s="65">
        <f t="shared" si="93"/>
        <v>1.344</v>
      </c>
      <c r="U2641" s="65">
        <f t="shared" si="94"/>
        <v>9.744</v>
      </c>
      <c r="V2641" s="66">
        <f t="shared" si="134"/>
        <v>0.05</v>
      </c>
      <c r="W2641" s="67">
        <f t="shared" si="96"/>
        <v>7.98</v>
      </c>
      <c r="X2641" s="67">
        <f t="shared" si="132"/>
        <v>1.2768</v>
      </c>
      <c r="Y2641" s="67">
        <f t="shared" si="133"/>
        <v>9.2568</v>
      </c>
      <c r="Z2641" s="67">
        <f t="shared" si="99"/>
        <v>7.56</v>
      </c>
      <c r="AA2641" s="67">
        <f t="shared" si="114"/>
        <v>1.2096</v>
      </c>
      <c r="AB2641" s="67">
        <f t="shared" si="115"/>
        <v>8.7696</v>
      </c>
      <c r="AC2641" s="67">
        <f t="shared" si="102"/>
        <v>7.14</v>
      </c>
      <c r="AD2641" s="67">
        <f t="shared" si="116"/>
        <v>1.1424</v>
      </c>
      <c r="AE2641" s="67">
        <f t="shared" si="117"/>
        <v>8.2824</v>
      </c>
      <c r="AF2641" s="67">
        <f t="shared" si="105"/>
        <v>6.972</v>
      </c>
      <c r="AG2641" s="67">
        <f t="shared" si="118"/>
        <v>1.11552</v>
      </c>
      <c r="AH2641" s="67">
        <f t="shared" si="119"/>
        <v>8.08752</v>
      </c>
      <c r="AI2641" s="67">
        <f t="shared" si="108"/>
        <v>6.72</v>
      </c>
      <c r="AJ2641" s="68">
        <f t="shared" si="126"/>
        <v>1.0752</v>
      </c>
      <c r="AK2641" s="68">
        <f t="shared" si="127"/>
        <v>7.7952</v>
      </c>
      <c r="AL2641" s="70"/>
      <c r="AM2641" s="70"/>
      <c r="AN2641" s="71"/>
      <c r="AO2641" s="71"/>
      <c r="AP2641" s="71"/>
      <c r="AQ2641" s="71"/>
      <c r="AR2641" s="71"/>
      <c r="AS2641" s="71"/>
      <c r="AT2641" s="71"/>
      <c r="AU2641" s="71"/>
      <c r="AV2641" s="71"/>
      <c r="AW2641" s="71"/>
      <c r="AX2641" s="71"/>
      <c r="AY2641" s="71"/>
      <c r="AZ2641" s="71"/>
      <c r="BA2641" s="71"/>
      <c r="BB2641" s="71"/>
      <c r="BC2641" s="71"/>
      <c r="BD2641" s="71"/>
      <c r="BE2641" s="71"/>
      <c r="BF2641" s="71"/>
      <c r="BG2641" s="71"/>
      <c r="BH2641" s="71"/>
      <c r="BI2641" s="71"/>
      <c r="BJ2641" s="71"/>
      <c r="BK2641" s="71"/>
      <c r="BL2641" s="71"/>
      <c r="BM2641" s="71"/>
      <c r="BN2641" s="71"/>
      <c r="BO2641" s="71"/>
      <c r="BP2641" s="71"/>
      <c r="BQ2641" s="71"/>
      <c r="BR2641" s="71"/>
      <c r="BS2641" s="71"/>
      <c r="BT2641" s="71"/>
      <c r="BU2641" s="71"/>
      <c r="BV2641" s="71"/>
    </row>
    <row r="2642">
      <c r="A2642" s="53"/>
      <c r="B2642" s="53"/>
      <c r="C2642" s="53" t="s">
        <v>36</v>
      </c>
      <c r="D2642" s="85" t="s">
        <v>6500</v>
      </c>
      <c r="E2642" s="54" t="s">
        <v>38</v>
      </c>
      <c r="F2642" s="55" t="s">
        <v>39</v>
      </c>
      <c r="G2642" s="86" t="s">
        <v>6501</v>
      </c>
      <c r="H2642" s="55"/>
      <c r="I2642" s="54">
        <f t="shared" si="125"/>
        <v>0</v>
      </c>
      <c r="J2642" s="56"/>
      <c r="K2642" s="57"/>
      <c r="L2642" s="76"/>
      <c r="M2642" s="59"/>
      <c r="N2642" s="60"/>
      <c r="O2642" s="61">
        <v>6.8</v>
      </c>
      <c r="P2642" s="62">
        <v>7.344</v>
      </c>
      <c r="Q2642" s="63">
        <v>7.344</v>
      </c>
      <c r="R2642" s="64">
        <v>8.0</v>
      </c>
      <c r="S2642" s="107">
        <v>8.4</v>
      </c>
      <c r="T2642" s="65">
        <f t="shared" si="93"/>
        <v>1.344</v>
      </c>
      <c r="U2642" s="65">
        <f t="shared" si="94"/>
        <v>9.744</v>
      </c>
      <c r="V2642" s="66">
        <f t="shared" si="134"/>
        <v>0.05</v>
      </c>
      <c r="W2642" s="67">
        <f t="shared" si="96"/>
        <v>7.98</v>
      </c>
      <c r="X2642" s="67">
        <f t="shared" si="132"/>
        <v>1.2768</v>
      </c>
      <c r="Y2642" s="67">
        <f t="shared" si="133"/>
        <v>9.2568</v>
      </c>
      <c r="Z2642" s="67">
        <f t="shared" si="99"/>
        <v>7.56</v>
      </c>
      <c r="AA2642" s="67">
        <f t="shared" si="114"/>
        <v>1.2096</v>
      </c>
      <c r="AB2642" s="67">
        <f t="shared" si="115"/>
        <v>8.7696</v>
      </c>
      <c r="AC2642" s="67">
        <f t="shared" si="102"/>
        <v>7.14</v>
      </c>
      <c r="AD2642" s="67">
        <f t="shared" si="116"/>
        <v>1.1424</v>
      </c>
      <c r="AE2642" s="67">
        <f t="shared" si="117"/>
        <v>8.2824</v>
      </c>
      <c r="AF2642" s="67">
        <f t="shared" si="105"/>
        <v>6.972</v>
      </c>
      <c r="AG2642" s="67">
        <f t="shared" si="118"/>
        <v>1.11552</v>
      </c>
      <c r="AH2642" s="67">
        <f t="shared" si="119"/>
        <v>8.08752</v>
      </c>
      <c r="AI2642" s="67">
        <f t="shared" si="108"/>
        <v>6.72</v>
      </c>
      <c r="AJ2642" s="68">
        <f t="shared" si="126"/>
        <v>1.0752</v>
      </c>
      <c r="AK2642" s="68">
        <f t="shared" si="127"/>
        <v>7.7952</v>
      </c>
      <c r="AL2642" s="70"/>
      <c r="AM2642" s="70"/>
      <c r="AN2642" s="71"/>
      <c r="AO2642" s="71"/>
      <c r="AP2642" s="71"/>
      <c r="AQ2642" s="71"/>
      <c r="AR2642" s="71"/>
      <c r="AS2642" s="71"/>
      <c r="AT2642" s="71"/>
      <c r="AU2642" s="71"/>
      <c r="AV2642" s="71"/>
      <c r="AW2642" s="71"/>
      <c r="AX2642" s="71"/>
      <c r="AY2642" s="71"/>
      <c r="AZ2642" s="71"/>
      <c r="BA2642" s="71"/>
      <c r="BB2642" s="71"/>
      <c r="BC2642" s="71"/>
      <c r="BD2642" s="71"/>
      <c r="BE2642" s="71"/>
      <c r="BF2642" s="71"/>
      <c r="BG2642" s="71"/>
      <c r="BH2642" s="71"/>
      <c r="BI2642" s="71"/>
      <c r="BJ2642" s="71"/>
      <c r="BK2642" s="71"/>
      <c r="BL2642" s="71"/>
      <c r="BM2642" s="71"/>
      <c r="BN2642" s="71"/>
      <c r="BO2642" s="71"/>
      <c r="BP2642" s="71"/>
      <c r="BQ2642" s="71"/>
      <c r="BR2642" s="71"/>
      <c r="BS2642" s="71"/>
      <c r="BT2642" s="71"/>
      <c r="BU2642" s="71"/>
      <c r="BV2642" s="71"/>
    </row>
    <row r="2643">
      <c r="A2643" s="53"/>
      <c r="B2643" s="53"/>
      <c r="C2643" s="53" t="s">
        <v>36</v>
      </c>
      <c r="D2643" s="85" t="s">
        <v>6502</v>
      </c>
      <c r="E2643" s="54" t="s">
        <v>38</v>
      </c>
      <c r="F2643" s="55" t="s">
        <v>39</v>
      </c>
      <c r="G2643" s="86" t="s">
        <v>6503</v>
      </c>
      <c r="H2643" s="55"/>
      <c r="I2643" s="54">
        <f t="shared" si="125"/>
        <v>0</v>
      </c>
      <c r="J2643" s="56"/>
      <c r="K2643" s="57"/>
      <c r="L2643" s="76"/>
      <c r="M2643" s="59"/>
      <c r="N2643" s="60"/>
      <c r="O2643" s="61">
        <v>7.2</v>
      </c>
      <c r="P2643" s="62">
        <v>7.776000000000001</v>
      </c>
      <c r="Q2643" s="63">
        <v>7.776000000000001</v>
      </c>
      <c r="R2643" s="64">
        <v>8.0</v>
      </c>
      <c r="S2643" s="107">
        <v>8.4</v>
      </c>
      <c r="T2643" s="65">
        <f t="shared" si="93"/>
        <v>1.344</v>
      </c>
      <c r="U2643" s="65">
        <f t="shared" si="94"/>
        <v>9.744</v>
      </c>
      <c r="V2643" s="66">
        <f t="shared" si="134"/>
        <v>0.05</v>
      </c>
      <c r="W2643" s="67">
        <f t="shared" si="96"/>
        <v>7.98</v>
      </c>
      <c r="X2643" s="67">
        <f t="shared" si="132"/>
        <v>1.2768</v>
      </c>
      <c r="Y2643" s="67">
        <f t="shared" si="133"/>
        <v>9.2568</v>
      </c>
      <c r="Z2643" s="67">
        <f t="shared" si="99"/>
        <v>7.56</v>
      </c>
      <c r="AA2643" s="67">
        <f t="shared" si="114"/>
        <v>1.2096</v>
      </c>
      <c r="AB2643" s="67">
        <f t="shared" si="115"/>
        <v>8.7696</v>
      </c>
      <c r="AC2643" s="67">
        <f t="shared" si="102"/>
        <v>7.14</v>
      </c>
      <c r="AD2643" s="67">
        <f t="shared" si="116"/>
        <v>1.1424</v>
      </c>
      <c r="AE2643" s="67">
        <f t="shared" si="117"/>
        <v>8.2824</v>
      </c>
      <c r="AF2643" s="67">
        <f t="shared" si="105"/>
        <v>6.972</v>
      </c>
      <c r="AG2643" s="67">
        <f t="shared" si="118"/>
        <v>1.11552</v>
      </c>
      <c r="AH2643" s="67">
        <f t="shared" si="119"/>
        <v>8.08752</v>
      </c>
      <c r="AI2643" s="67">
        <f t="shared" si="108"/>
        <v>6.72</v>
      </c>
      <c r="AJ2643" s="68">
        <f t="shared" si="126"/>
        <v>1.0752</v>
      </c>
      <c r="AK2643" s="68">
        <f t="shared" si="127"/>
        <v>7.7952</v>
      </c>
      <c r="AL2643" s="70"/>
      <c r="AM2643" s="70"/>
      <c r="AN2643" s="71"/>
      <c r="AO2643" s="71"/>
      <c r="AP2643" s="71"/>
      <c r="AQ2643" s="71"/>
      <c r="AR2643" s="71"/>
      <c r="AS2643" s="71"/>
      <c r="AT2643" s="71"/>
      <c r="AU2643" s="71"/>
      <c r="AV2643" s="71"/>
      <c r="AW2643" s="71"/>
      <c r="AX2643" s="71"/>
      <c r="AY2643" s="71"/>
      <c r="AZ2643" s="71"/>
      <c r="BA2643" s="71"/>
      <c r="BB2643" s="71"/>
      <c r="BC2643" s="71"/>
      <c r="BD2643" s="71"/>
      <c r="BE2643" s="71"/>
      <c r="BF2643" s="71"/>
      <c r="BG2643" s="71"/>
      <c r="BH2643" s="71"/>
      <c r="BI2643" s="71"/>
      <c r="BJ2643" s="71"/>
      <c r="BK2643" s="71"/>
      <c r="BL2643" s="71"/>
      <c r="BM2643" s="71"/>
      <c r="BN2643" s="71"/>
      <c r="BO2643" s="71"/>
      <c r="BP2643" s="71"/>
      <c r="BQ2643" s="71"/>
      <c r="BR2643" s="71"/>
      <c r="BS2643" s="71"/>
      <c r="BT2643" s="71"/>
      <c r="BU2643" s="71"/>
      <c r="BV2643" s="71"/>
    </row>
    <row r="2644">
      <c r="A2644" s="53">
        <v>1.0</v>
      </c>
      <c r="B2644" s="53"/>
      <c r="C2644" s="73" t="s">
        <v>12</v>
      </c>
      <c r="D2644" s="74" t="s">
        <v>6504</v>
      </c>
      <c r="E2644" s="54" t="s">
        <v>38</v>
      </c>
      <c r="F2644" s="54" t="s">
        <v>42</v>
      </c>
      <c r="G2644" s="55" t="s">
        <v>6505</v>
      </c>
      <c r="H2644" s="54" t="s">
        <v>6506</v>
      </c>
      <c r="I2644" s="54">
        <f t="shared" si="125"/>
        <v>40</v>
      </c>
      <c r="J2644" s="56"/>
      <c r="K2644" s="57"/>
      <c r="L2644" s="87"/>
      <c r="M2644" s="59"/>
      <c r="N2644" s="60">
        <v>5.0</v>
      </c>
      <c r="O2644" s="61">
        <v>5.0</v>
      </c>
      <c r="P2644" s="62">
        <v>5.4</v>
      </c>
      <c r="Q2644" s="63">
        <v>5.4</v>
      </c>
      <c r="R2644" s="78">
        <v>6.0</v>
      </c>
      <c r="S2644" s="111">
        <v>6.300000000000001</v>
      </c>
      <c r="T2644" s="65">
        <f t="shared" si="93"/>
        <v>1.008</v>
      </c>
      <c r="U2644" s="65">
        <f t="shared" si="94"/>
        <v>7.308</v>
      </c>
      <c r="V2644" s="66">
        <f t="shared" si="134"/>
        <v>0.05</v>
      </c>
      <c r="W2644" s="67">
        <f t="shared" si="96"/>
        <v>5.985</v>
      </c>
      <c r="X2644" s="67">
        <f t="shared" si="132"/>
        <v>0.9576</v>
      </c>
      <c r="Y2644" s="67">
        <f t="shared" si="133"/>
        <v>6.9426</v>
      </c>
      <c r="Z2644" s="67">
        <f t="shared" si="99"/>
        <v>5.67</v>
      </c>
      <c r="AA2644" s="67">
        <f t="shared" si="114"/>
        <v>0.9072</v>
      </c>
      <c r="AB2644" s="67">
        <f t="shared" si="115"/>
        <v>6.5772</v>
      </c>
      <c r="AC2644" s="67">
        <f t="shared" si="102"/>
        <v>5.355</v>
      </c>
      <c r="AD2644" s="67">
        <f t="shared" si="116"/>
        <v>0.8568</v>
      </c>
      <c r="AE2644" s="67">
        <f t="shared" si="117"/>
        <v>6.2118</v>
      </c>
      <c r="AF2644" s="67">
        <f t="shared" si="105"/>
        <v>5.229</v>
      </c>
      <c r="AG2644" s="67">
        <f t="shared" si="118"/>
        <v>0.83664</v>
      </c>
      <c r="AH2644" s="67">
        <f t="shared" si="119"/>
        <v>6.06564</v>
      </c>
      <c r="AI2644" s="67">
        <f t="shared" si="108"/>
        <v>5.04</v>
      </c>
      <c r="AJ2644" s="68">
        <f t="shared" si="126"/>
        <v>0.8064</v>
      </c>
      <c r="AK2644" s="68">
        <f t="shared" si="127"/>
        <v>5.8464</v>
      </c>
      <c r="AL2644" s="70"/>
      <c r="AM2644" s="70"/>
      <c r="AN2644" s="71"/>
      <c r="AO2644" s="71"/>
      <c r="AP2644" s="71"/>
      <c r="AQ2644" s="71"/>
      <c r="AR2644" s="71"/>
      <c r="AS2644" s="71"/>
      <c r="AT2644" s="71"/>
      <c r="AU2644" s="71"/>
      <c r="AV2644" s="71"/>
      <c r="AW2644" s="71"/>
      <c r="AX2644" s="71"/>
      <c r="AY2644" s="71"/>
      <c r="AZ2644" s="71"/>
      <c r="BA2644" s="71"/>
      <c r="BB2644" s="71"/>
      <c r="BC2644" s="71"/>
      <c r="BD2644" s="71"/>
      <c r="BE2644" s="71"/>
      <c r="BF2644" s="71"/>
      <c r="BG2644" s="71"/>
      <c r="BH2644" s="71"/>
      <c r="BI2644" s="71"/>
      <c r="BJ2644" s="71"/>
      <c r="BK2644" s="71"/>
      <c r="BL2644" s="71"/>
      <c r="BM2644" s="71"/>
      <c r="BN2644" s="71"/>
      <c r="BO2644" s="71"/>
      <c r="BP2644" s="71"/>
      <c r="BQ2644" s="71"/>
      <c r="BR2644" s="71"/>
      <c r="BS2644" s="71"/>
      <c r="BT2644" s="71"/>
      <c r="BU2644" s="71"/>
      <c r="BV2644" s="71"/>
    </row>
    <row r="2645">
      <c r="A2645" s="53">
        <v>1.0</v>
      </c>
      <c r="B2645" s="53"/>
      <c r="C2645" s="73" t="s">
        <v>12</v>
      </c>
      <c r="D2645" s="74" t="s">
        <v>6507</v>
      </c>
      <c r="E2645" s="54" t="s">
        <v>38</v>
      </c>
      <c r="F2645" s="54" t="s">
        <v>42</v>
      </c>
      <c r="G2645" s="55" t="s">
        <v>6508</v>
      </c>
      <c r="H2645" s="54" t="s">
        <v>6509</v>
      </c>
      <c r="I2645" s="54">
        <f t="shared" si="125"/>
        <v>37</v>
      </c>
      <c r="J2645" s="56"/>
      <c r="K2645" s="57"/>
      <c r="L2645" s="87"/>
      <c r="M2645" s="59"/>
      <c r="N2645" s="60">
        <v>8.0</v>
      </c>
      <c r="O2645" s="61">
        <v>8.0</v>
      </c>
      <c r="P2645" s="62">
        <v>8.64</v>
      </c>
      <c r="Q2645" s="63">
        <v>8.64</v>
      </c>
      <c r="R2645" s="78">
        <v>10.0</v>
      </c>
      <c r="S2645" s="111">
        <v>10.5</v>
      </c>
      <c r="T2645" s="65">
        <f t="shared" si="93"/>
        <v>1.68</v>
      </c>
      <c r="U2645" s="65">
        <f t="shared" si="94"/>
        <v>12.18</v>
      </c>
      <c r="V2645" s="66">
        <f t="shared" si="134"/>
        <v>0.05</v>
      </c>
      <c r="W2645" s="67">
        <f t="shared" si="96"/>
        <v>9.975</v>
      </c>
      <c r="X2645" s="67">
        <f t="shared" si="132"/>
        <v>1.596</v>
      </c>
      <c r="Y2645" s="67">
        <f t="shared" si="133"/>
        <v>11.571</v>
      </c>
      <c r="Z2645" s="67">
        <f t="shared" si="99"/>
        <v>9.45</v>
      </c>
      <c r="AA2645" s="67">
        <f t="shared" si="114"/>
        <v>1.512</v>
      </c>
      <c r="AB2645" s="67">
        <f t="shared" si="115"/>
        <v>10.962</v>
      </c>
      <c r="AC2645" s="67">
        <f t="shared" si="102"/>
        <v>8.925</v>
      </c>
      <c r="AD2645" s="67">
        <f t="shared" si="116"/>
        <v>1.428</v>
      </c>
      <c r="AE2645" s="67">
        <f t="shared" si="117"/>
        <v>10.353</v>
      </c>
      <c r="AF2645" s="67">
        <f t="shared" si="105"/>
        <v>8.715</v>
      </c>
      <c r="AG2645" s="67">
        <f t="shared" si="118"/>
        <v>1.3944</v>
      </c>
      <c r="AH2645" s="67">
        <f t="shared" si="119"/>
        <v>10.1094</v>
      </c>
      <c r="AI2645" s="67">
        <f t="shared" si="108"/>
        <v>8.4</v>
      </c>
      <c r="AJ2645" s="68">
        <f t="shared" si="126"/>
        <v>1.344</v>
      </c>
      <c r="AK2645" s="68">
        <f t="shared" si="127"/>
        <v>9.744</v>
      </c>
      <c r="AL2645" s="70"/>
      <c r="AM2645" s="70"/>
      <c r="AN2645" s="71"/>
      <c r="AO2645" s="71"/>
      <c r="AP2645" s="71"/>
      <c r="AQ2645" s="71"/>
      <c r="AR2645" s="71"/>
      <c r="AS2645" s="71"/>
      <c r="AT2645" s="71"/>
      <c r="AU2645" s="71"/>
      <c r="AV2645" s="71"/>
      <c r="AW2645" s="71"/>
      <c r="AX2645" s="71"/>
      <c r="AY2645" s="71"/>
      <c r="AZ2645" s="71"/>
      <c r="BA2645" s="71"/>
      <c r="BB2645" s="71"/>
      <c r="BC2645" s="71"/>
      <c r="BD2645" s="71"/>
      <c r="BE2645" s="71"/>
      <c r="BF2645" s="71"/>
      <c r="BG2645" s="71"/>
      <c r="BH2645" s="71"/>
      <c r="BI2645" s="71"/>
      <c r="BJ2645" s="71"/>
      <c r="BK2645" s="71"/>
      <c r="BL2645" s="71"/>
      <c r="BM2645" s="71"/>
      <c r="BN2645" s="71"/>
      <c r="BO2645" s="71"/>
      <c r="BP2645" s="71"/>
      <c r="BQ2645" s="71"/>
      <c r="BR2645" s="71"/>
      <c r="BS2645" s="71"/>
      <c r="BT2645" s="71"/>
      <c r="BU2645" s="71"/>
      <c r="BV2645" s="71"/>
    </row>
    <row r="2646">
      <c r="A2646" s="53">
        <v>1.0</v>
      </c>
      <c r="B2646" s="53"/>
      <c r="C2646" s="73" t="s">
        <v>12</v>
      </c>
      <c r="D2646" s="74" t="s">
        <v>6510</v>
      </c>
      <c r="E2646" s="54" t="s">
        <v>38</v>
      </c>
      <c r="F2646" s="54" t="s">
        <v>42</v>
      </c>
      <c r="G2646" s="55" t="s">
        <v>6511</v>
      </c>
      <c r="H2646" s="54" t="s">
        <v>6512</v>
      </c>
      <c r="I2646" s="54">
        <f t="shared" si="125"/>
        <v>37</v>
      </c>
      <c r="J2646" s="56"/>
      <c r="K2646" s="57"/>
      <c r="L2646" s="87"/>
      <c r="M2646" s="59"/>
      <c r="N2646" s="60">
        <v>5.0</v>
      </c>
      <c r="O2646" s="61">
        <v>5.0</v>
      </c>
      <c r="P2646" s="62">
        <v>5.4</v>
      </c>
      <c r="Q2646" s="63">
        <v>5.4</v>
      </c>
      <c r="R2646" s="78">
        <v>6.0</v>
      </c>
      <c r="S2646" s="111">
        <v>6.300000000000001</v>
      </c>
      <c r="T2646" s="65">
        <f t="shared" si="93"/>
        <v>1.008</v>
      </c>
      <c r="U2646" s="65">
        <f t="shared" si="94"/>
        <v>7.308</v>
      </c>
      <c r="V2646" s="66">
        <f t="shared" si="134"/>
        <v>0.05</v>
      </c>
      <c r="W2646" s="67">
        <f t="shared" si="96"/>
        <v>5.985</v>
      </c>
      <c r="X2646" s="67">
        <f t="shared" si="132"/>
        <v>0.9576</v>
      </c>
      <c r="Y2646" s="67">
        <f t="shared" si="133"/>
        <v>6.9426</v>
      </c>
      <c r="Z2646" s="67">
        <f t="shared" si="99"/>
        <v>5.67</v>
      </c>
      <c r="AA2646" s="67">
        <f t="shared" si="114"/>
        <v>0.9072</v>
      </c>
      <c r="AB2646" s="67">
        <f t="shared" si="115"/>
        <v>6.5772</v>
      </c>
      <c r="AC2646" s="67">
        <f t="shared" si="102"/>
        <v>5.355</v>
      </c>
      <c r="AD2646" s="67">
        <f t="shared" si="116"/>
        <v>0.8568</v>
      </c>
      <c r="AE2646" s="67">
        <f t="shared" si="117"/>
        <v>6.2118</v>
      </c>
      <c r="AF2646" s="67">
        <f t="shared" si="105"/>
        <v>5.229</v>
      </c>
      <c r="AG2646" s="67">
        <f t="shared" si="118"/>
        <v>0.83664</v>
      </c>
      <c r="AH2646" s="67">
        <f t="shared" si="119"/>
        <v>6.06564</v>
      </c>
      <c r="AI2646" s="67">
        <f t="shared" si="108"/>
        <v>5.04</v>
      </c>
      <c r="AJ2646" s="68">
        <f t="shared" si="126"/>
        <v>0.8064</v>
      </c>
      <c r="AK2646" s="68">
        <f t="shared" si="127"/>
        <v>5.8464</v>
      </c>
      <c r="AL2646" s="70"/>
      <c r="AM2646" s="70"/>
      <c r="AN2646" s="71"/>
      <c r="AO2646" s="71"/>
      <c r="AP2646" s="71"/>
      <c r="AQ2646" s="71"/>
      <c r="AR2646" s="71"/>
      <c r="AS2646" s="71"/>
      <c r="AT2646" s="71"/>
      <c r="AU2646" s="71"/>
      <c r="AV2646" s="71"/>
      <c r="AW2646" s="71"/>
      <c r="AX2646" s="71"/>
      <c r="AY2646" s="71"/>
      <c r="AZ2646" s="71"/>
      <c r="BA2646" s="71"/>
      <c r="BB2646" s="71"/>
      <c r="BC2646" s="71"/>
      <c r="BD2646" s="71"/>
      <c r="BE2646" s="71"/>
      <c r="BF2646" s="71"/>
      <c r="BG2646" s="71"/>
      <c r="BH2646" s="71"/>
      <c r="BI2646" s="71"/>
      <c r="BJ2646" s="71"/>
      <c r="BK2646" s="71"/>
      <c r="BL2646" s="71"/>
      <c r="BM2646" s="71"/>
      <c r="BN2646" s="71"/>
      <c r="BO2646" s="71"/>
      <c r="BP2646" s="71"/>
      <c r="BQ2646" s="71"/>
      <c r="BR2646" s="71"/>
      <c r="BS2646" s="71"/>
      <c r="BT2646" s="71"/>
      <c r="BU2646" s="71"/>
      <c r="BV2646" s="71"/>
    </row>
    <row r="2647">
      <c r="A2647" s="53">
        <v>1.0</v>
      </c>
      <c r="B2647" s="53"/>
      <c r="C2647" s="73" t="s">
        <v>12</v>
      </c>
      <c r="D2647" s="74" t="s">
        <v>6513</v>
      </c>
      <c r="E2647" s="54" t="s">
        <v>38</v>
      </c>
      <c r="F2647" s="54" t="s">
        <v>42</v>
      </c>
      <c r="G2647" s="55" t="s">
        <v>6514</v>
      </c>
      <c r="H2647" s="54" t="s">
        <v>6515</v>
      </c>
      <c r="I2647" s="54">
        <f t="shared" si="125"/>
        <v>35</v>
      </c>
      <c r="J2647" s="56"/>
      <c r="K2647" s="57"/>
      <c r="L2647" s="76"/>
      <c r="M2647" s="59"/>
      <c r="N2647" s="60">
        <v>3.0</v>
      </c>
      <c r="O2647" s="61">
        <v>3.0</v>
      </c>
      <c r="P2647" s="62">
        <v>3.24</v>
      </c>
      <c r="Q2647" s="63">
        <v>3.24</v>
      </c>
      <c r="R2647" s="78">
        <v>6.0</v>
      </c>
      <c r="S2647" s="111">
        <v>6.300000000000001</v>
      </c>
      <c r="T2647" s="65">
        <f t="shared" si="93"/>
        <v>1.008</v>
      </c>
      <c r="U2647" s="65">
        <f t="shared" si="94"/>
        <v>7.308</v>
      </c>
      <c r="V2647" s="66">
        <f t="shared" si="134"/>
        <v>0.05</v>
      </c>
      <c r="W2647" s="67">
        <f t="shared" si="96"/>
        <v>5.985</v>
      </c>
      <c r="X2647" s="67">
        <f t="shared" si="132"/>
        <v>0.9576</v>
      </c>
      <c r="Y2647" s="67">
        <f t="shared" si="133"/>
        <v>6.9426</v>
      </c>
      <c r="Z2647" s="67">
        <f t="shared" si="99"/>
        <v>5.67</v>
      </c>
      <c r="AA2647" s="67">
        <f t="shared" si="114"/>
        <v>0.9072</v>
      </c>
      <c r="AB2647" s="67">
        <f t="shared" si="115"/>
        <v>6.5772</v>
      </c>
      <c r="AC2647" s="67">
        <f t="shared" si="102"/>
        <v>5.355</v>
      </c>
      <c r="AD2647" s="67">
        <f t="shared" si="116"/>
        <v>0.8568</v>
      </c>
      <c r="AE2647" s="67">
        <f t="shared" si="117"/>
        <v>6.2118</v>
      </c>
      <c r="AF2647" s="67">
        <f t="shared" si="105"/>
        <v>5.229</v>
      </c>
      <c r="AG2647" s="67">
        <f t="shared" si="118"/>
        <v>0.83664</v>
      </c>
      <c r="AH2647" s="67">
        <f t="shared" si="119"/>
        <v>6.06564</v>
      </c>
      <c r="AI2647" s="67">
        <f t="shared" si="108"/>
        <v>5.04</v>
      </c>
      <c r="AJ2647" s="68">
        <f t="shared" si="126"/>
        <v>0.8064</v>
      </c>
      <c r="AK2647" s="68">
        <f t="shared" si="127"/>
        <v>5.8464</v>
      </c>
      <c r="AL2647" s="70"/>
      <c r="AM2647" s="70"/>
      <c r="AN2647" s="71"/>
      <c r="AO2647" s="71"/>
      <c r="AP2647" s="71"/>
      <c r="AQ2647" s="71"/>
      <c r="AR2647" s="71"/>
      <c r="AS2647" s="71"/>
      <c r="AT2647" s="71"/>
      <c r="AU2647" s="71"/>
      <c r="AV2647" s="71"/>
      <c r="AW2647" s="71"/>
      <c r="AX2647" s="71"/>
      <c r="AY2647" s="71"/>
      <c r="AZ2647" s="71"/>
      <c r="BA2647" s="71"/>
      <c r="BB2647" s="71"/>
      <c r="BC2647" s="71"/>
      <c r="BD2647" s="71"/>
      <c r="BE2647" s="71"/>
      <c r="BF2647" s="71"/>
      <c r="BG2647" s="71"/>
      <c r="BH2647" s="71"/>
      <c r="BI2647" s="71"/>
      <c r="BJ2647" s="71"/>
      <c r="BK2647" s="71"/>
      <c r="BL2647" s="71"/>
      <c r="BM2647" s="71"/>
      <c r="BN2647" s="71"/>
      <c r="BO2647" s="71"/>
      <c r="BP2647" s="71"/>
      <c r="BQ2647" s="71"/>
      <c r="BR2647" s="71"/>
      <c r="BS2647" s="71"/>
      <c r="BT2647" s="71"/>
      <c r="BU2647" s="71"/>
      <c r="BV2647" s="71"/>
    </row>
    <row r="2648">
      <c r="A2648" s="53"/>
      <c r="B2648" s="53"/>
      <c r="C2648" s="53" t="s">
        <v>36</v>
      </c>
      <c r="D2648" s="85" t="s">
        <v>6516</v>
      </c>
      <c r="E2648" s="54" t="s">
        <v>38</v>
      </c>
      <c r="F2648" s="55" t="s">
        <v>39</v>
      </c>
      <c r="G2648" s="86" t="s">
        <v>6517</v>
      </c>
      <c r="H2648" s="55"/>
      <c r="I2648" s="54">
        <f t="shared" si="125"/>
        <v>0</v>
      </c>
      <c r="J2648" s="56"/>
      <c r="K2648" s="57"/>
      <c r="L2648" s="76"/>
      <c r="M2648" s="59"/>
      <c r="N2648" s="60"/>
      <c r="O2648" s="61">
        <v>6.0</v>
      </c>
      <c r="P2648" s="62">
        <v>6.48</v>
      </c>
      <c r="Q2648" s="63">
        <v>6.48</v>
      </c>
      <c r="R2648" s="78">
        <v>6.0</v>
      </c>
      <c r="S2648" s="107">
        <v>6.300000000000001</v>
      </c>
      <c r="T2648" s="65">
        <f t="shared" si="93"/>
        <v>1.008</v>
      </c>
      <c r="U2648" s="65">
        <f t="shared" si="94"/>
        <v>7.308</v>
      </c>
      <c r="V2648" s="66">
        <f t="shared" si="134"/>
        <v>0.05</v>
      </c>
      <c r="W2648" s="67">
        <f t="shared" si="96"/>
        <v>5.985</v>
      </c>
      <c r="X2648" s="67">
        <f t="shared" si="132"/>
        <v>0.9576</v>
      </c>
      <c r="Y2648" s="67">
        <f t="shared" si="133"/>
        <v>6.9426</v>
      </c>
      <c r="Z2648" s="67">
        <f t="shared" si="99"/>
        <v>5.67</v>
      </c>
      <c r="AA2648" s="67">
        <f t="shared" si="114"/>
        <v>0.9072</v>
      </c>
      <c r="AB2648" s="67">
        <f t="shared" si="115"/>
        <v>6.5772</v>
      </c>
      <c r="AC2648" s="67">
        <f t="shared" si="102"/>
        <v>5.355</v>
      </c>
      <c r="AD2648" s="67">
        <f t="shared" si="116"/>
        <v>0.8568</v>
      </c>
      <c r="AE2648" s="67">
        <f t="shared" si="117"/>
        <v>6.2118</v>
      </c>
      <c r="AF2648" s="67">
        <f t="shared" si="105"/>
        <v>5.229</v>
      </c>
      <c r="AG2648" s="67">
        <f t="shared" si="118"/>
        <v>0.83664</v>
      </c>
      <c r="AH2648" s="67">
        <f t="shared" si="119"/>
        <v>6.06564</v>
      </c>
      <c r="AI2648" s="67">
        <f t="shared" si="108"/>
        <v>5.04</v>
      </c>
      <c r="AJ2648" s="68">
        <f t="shared" si="126"/>
        <v>0.8064</v>
      </c>
      <c r="AK2648" s="68">
        <f t="shared" si="127"/>
        <v>5.8464</v>
      </c>
      <c r="AL2648" s="70"/>
      <c r="AM2648" s="70"/>
      <c r="AN2648" s="71"/>
      <c r="AO2648" s="71"/>
      <c r="AP2648" s="71"/>
      <c r="AQ2648" s="71"/>
      <c r="AR2648" s="71"/>
      <c r="AS2648" s="71"/>
      <c r="AT2648" s="71"/>
      <c r="AU2648" s="71"/>
      <c r="AV2648" s="71"/>
      <c r="AW2648" s="71"/>
      <c r="AX2648" s="71"/>
      <c r="AY2648" s="71"/>
      <c r="AZ2648" s="71"/>
      <c r="BA2648" s="71"/>
      <c r="BB2648" s="71"/>
      <c r="BC2648" s="71"/>
      <c r="BD2648" s="71"/>
      <c r="BE2648" s="71"/>
      <c r="BF2648" s="71"/>
      <c r="BG2648" s="71"/>
      <c r="BH2648" s="71"/>
      <c r="BI2648" s="71"/>
      <c r="BJ2648" s="71"/>
      <c r="BK2648" s="71"/>
      <c r="BL2648" s="71"/>
      <c r="BM2648" s="71"/>
      <c r="BN2648" s="71"/>
      <c r="BO2648" s="71"/>
      <c r="BP2648" s="71"/>
      <c r="BQ2648" s="71"/>
      <c r="BR2648" s="71"/>
      <c r="BS2648" s="71"/>
      <c r="BT2648" s="71"/>
      <c r="BU2648" s="71"/>
      <c r="BV2648" s="71"/>
    </row>
    <row r="2649">
      <c r="A2649" s="53"/>
      <c r="B2649" s="53"/>
      <c r="C2649" s="53" t="s">
        <v>36</v>
      </c>
      <c r="D2649" s="85" t="s">
        <v>6518</v>
      </c>
      <c r="E2649" s="54" t="s">
        <v>38</v>
      </c>
      <c r="F2649" s="55" t="s">
        <v>39</v>
      </c>
      <c r="G2649" s="86" t="s">
        <v>6519</v>
      </c>
      <c r="H2649" s="55"/>
      <c r="I2649" s="54">
        <f t="shared" si="125"/>
        <v>0</v>
      </c>
      <c r="J2649" s="56"/>
      <c r="K2649" s="57"/>
      <c r="L2649" s="76"/>
      <c r="M2649" s="59"/>
      <c r="N2649" s="60"/>
      <c r="O2649" s="61">
        <v>3.2</v>
      </c>
      <c r="P2649" s="62">
        <v>3.4560000000000004</v>
      </c>
      <c r="Q2649" s="63">
        <v>3.4560000000000004</v>
      </c>
      <c r="R2649" s="78">
        <v>3.0</v>
      </c>
      <c r="S2649" s="107">
        <v>3.1500000000000004</v>
      </c>
      <c r="T2649" s="65">
        <f t="shared" si="93"/>
        <v>0.504</v>
      </c>
      <c r="U2649" s="65">
        <f t="shared" si="94"/>
        <v>3.654</v>
      </c>
      <c r="V2649" s="66">
        <f t="shared" si="134"/>
        <v>0.05</v>
      </c>
      <c r="W2649" s="67">
        <f t="shared" si="96"/>
        <v>2.9925</v>
      </c>
      <c r="X2649" s="67">
        <f t="shared" si="132"/>
        <v>0.4788</v>
      </c>
      <c r="Y2649" s="67">
        <f t="shared" si="133"/>
        <v>3.4713</v>
      </c>
      <c r="Z2649" s="67">
        <f t="shared" si="99"/>
        <v>2.835</v>
      </c>
      <c r="AA2649" s="67">
        <f t="shared" si="114"/>
        <v>0.4536</v>
      </c>
      <c r="AB2649" s="67">
        <f t="shared" si="115"/>
        <v>3.2886</v>
      </c>
      <c r="AC2649" s="67">
        <f t="shared" si="102"/>
        <v>2.6775</v>
      </c>
      <c r="AD2649" s="67">
        <f t="shared" si="116"/>
        <v>0.4284</v>
      </c>
      <c r="AE2649" s="67">
        <f t="shared" si="117"/>
        <v>3.1059</v>
      </c>
      <c r="AF2649" s="67">
        <f t="shared" si="105"/>
        <v>2.6145</v>
      </c>
      <c r="AG2649" s="67">
        <f t="shared" si="118"/>
        <v>0.41832</v>
      </c>
      <c r="AH2649" s="67">
        <f t="shared" si="119"/>
        <v>3.03282</v>
      </c>
      <c r="AI2649" s="67">
        <f t="shared" si="108"/>
        <v>2.52</v>
      </c>
      <c r="AJ2649" s="68">
        <f t="shared" si="126"/>
        <v>0.4032</v>
      </c>
      <c r="AK2649" s="68">
        <f t="shared" si="127"/>
        <v>2.9232</v>
      </c>
      <c r="AL2649" s="70"/>
      <c r="AM2649" s="70"/>
      <c r="AN2649" s="71"/>
      <c r="AO2649" s="71"/>
      <c r="AP2649" s="71"/>
      <c r="AQ2649" s="71"/>
      <c r="AR2649" s="71"/>
      <c r="AS2649" s="71"/>
      <c r="AT2649" s="71"/>
      <c r="AU2649" s="71"/>
      <c r="AV2649" s="71"/>
      <c r="AW2649" s="71"/>
      <c r="AX2649" s="71"/>
      <c r="AY2649" s="71"/>
      <c r="AZ2649" s="71"/>
      <c r="BA2649" s="71"/>
      <c r="BB2649" s="71"/>
      <c r="BC2649" s="71"/>
      <c r="BD2649" s="71"/>
      <c r="BE2649" s="71"/>
      <c r="BF2649" s="71"/>
      <c r="BG2649" s="71"/>
      <c r="BH2649" s="71"/>
      <c r="BI2649" s="71"/>
      <c r="BJ2649" s="71"/>
      <c r="BK2649" s="71"/>
      <c r="BL2649" s="71"/>
      <c r="BM2649" s="71"/>
      <c r="BN2649" s="71"/>
      <c r="BO2649" s="71"/>
      <c r="BP2649" s="71"/>
      <c r="BQ2649" s="71"/>
      <c r="BR2649" s="71"/>
      <c r="BS2649" s="71"/>
      <c r="BT2649" s="71"/>
      <c r="BU2649" s="71"/>
      <c r="BV2649" s="71"/>
    </row>
    <row r="2650">
      <c r="A2650" s="53"/>
      <c r="B2650" s="53"/>
      <c r="C2650" s="53" t="s">
        <v>12</v>
      </c>
      <c r="D2650" s="53" t="s">
        <v>6520</v>
      </c>
      <c r="E2650" s="86" t="s">
        <v>38</v>
      </c>
      <c r="F2650" s="91" t="s">
        <v>39</v>
      </c>
      <c r="G2650" s="84" t="s">
        <v>6521</v>
      </c>
      <c r="H2650" s="84" t="s">
        <v>6521</v>
      </c>
      <c r="I2650" s="54">
        <f t="shared" si="125"/>
        <v>39</v>
      </c>
      <c r="J2650" s="56"/>
      <c r="K2650" s="57"/>
      <c r="L2650" s="76"/>
      <c r="M2650" s="59"/>
      <c r="N2650" s="60"/>
      <c r="O2650" s="90"/>
      <c r="P2650" s="62">
        <v>999.0</v>
      </c>
      <c r="Q2650" s="63">
        <v>999.0</v>
      </c>
      <c r="R2650" s="64">
        <v>1049.0</v>
      </c>
      <c r="S2650" s="107">
        <v>1101.0</v>
      </c>
      <c r="T2650" s="65">
        <f t="shared" si="93"/>
        <v>176.16</v>
      </c>
      <c r="U2650" s="65">
        <f t="shared" si="94"/>
        <v>1277.16</v>
      </c>
      <c r="V2650" s="66">
        <f t="shared" si="134"/>
        <v>0.04957102002</v>
      </c>
      <c r="W2650" s="67">
        <f t="shared" si="96"/>
        <v>1045.95</v>
      </c>
      <c r="X2650" s="67">
        <f t="shared" si="132"/>
        <v>167.352</v>
      </c>
      <c r="Y2650" s="67">
        <f t="shared" si="133"/>
        <v>1213.302</v>
      </c>
      <c r="Z2650" s="67">
        <f t="shared" si="99"/>
        <v>990.9</v>
      </c>
      <c r="AA2650" s="67">
        <f t="shared" si="114"/>
        <v>158.544</v>
      </c>
      <c r="AB2650" s="67">
        <f t="shared" si="115"/>
        <v>1149.444</v>
      </c>
      <c r="AC2650" s="67">
        <f t="shared" si="102"/>
        <v>935.85</v>
      </c>
      <c r="AD2650" s="67">
        <f t="shared" si="116"/>
        <v>149.736</v>
      </c>
      <c r="AE2650" s="67">
        <f t="shared" si="117"/>
        <v>1085.586</v>
      </c>
      <c r="AF2650" s="67">
        <f t="shared" si="105"/>
        <v>913.83</v>
      </c>
      <c r="AG2650" s="67">
        <f t="shared" si="118"/>
        <v>146.2128</v>
      </c>
      <c r="AH2650" s="67">
        <f t="shared" si="119"/>
        <v>1060.0428</v>
      </c>
      <c r="AI2650" s="67">
        <f t="shared" si="108"/>
        <v>880.8</v>
      </c>
      <c r="AJ2650" s="68">
        <f t="shared" si="126"/>
        <v>140.928</v>
      </c>
      <c r="AK2650" s="68">
        <f t="shared" si="127"/>
        <v>1021.728</v>
      </c>
      <c r="AL2650" s="70"/>
      <c r="AM2650" s="70"/>
      <c r="AN2650" s="71"/>
      <c r="AO2650" s="71"/>
      <c r="AP2650" s="71"/>
      <c r="AQ2650" s="71"/>
      <c r="AR2650" s="71"/>
      <c r="AS2650" s="71"/>
      <c r="AT2650" s="71"/>
      <c r="AU2650" s="71"/>
      <c r="AV2650" s="71"/>
      <c r="AW2650" s="71"/>
      <c r="AX2650" s="71"/>
      <c r="AY2650" s="71"/>
      <c r="AZ2650" s="71"/>
      <c r="BA2650" s="71"/>
      <c r="BB2650" s="71"/>
      <c r="BC2650" s="71"/>
      <c r="BD2650" s="71"/>
      <c r="BE2650" s="71"/>
      <c r="BF2650" s="71"/>
      <c r="BG2650" s="71"/>
      <c r="BH2650" s="71"/>
      <c r="BI2650" s="71"/>
      <c r="BJ2650" s="71"/>
      <c r="BK2650" s="71"/>
      <c r="BL2650" s="71"/>
      <c r="BM2650" s="71"/>
      <c r="BN2650" s="71"/>
      <c r="BO2650" s="71"/>
      <c r="BP2650" s="71"/>
      <c r="BQ2650" s="71"/>
      <c r="BR2650" s="71"/>
      <c r="BS2650" s="71"/>
      <c r="BT2650" s="71"/>
      <c r="BU2650" s="71"/>
      <c r="BV2650" s="71"/>
    </row>
    <row r="2651">
      <c r="A2651" s="53"/>
      <c r="B2651" s="53">
        <v>3.0</v>
      </c>
      <c r="C2651" s="53" t="s">
        <v>36</v>
      </c>
      <c r="D2651" s="98" t="s">
        <v>6522</v>
      </c>
      <c r="E2651" s="54" t="s">
        <v>38</v>
      </c>
      <c r="F2651" s="55" t="s">
        <v>96</v>
      </c>
      <c r="G2651" s="55" t="s">
        <v>6523</v>
      </c>
      <c r="H2651" s="55"/>
      <c r="I2651" s="54">
        <f t="shared" si="125"/>
        <v>0</v>
      </c>
      <c r="J2651" s="56"/>
      <c r="K2651" s="57"/>
      <c r="L2651" s="76"/>
      <c r="M2651" s="59"/>
      <c r="N2651" s="60"/>
      <c r="O2651" s="61">
        <v>194583.0</v>
      </c>
      <c r="P2651" s="62">
        <v>210149.64</v>
      </c>
      <c r="Q2651" s="63">
        <v>210149.64</v>
      </c>
      <c r="R2651" s="64">
        <v>231691.0</v>
      </c>
      <c r="S2651" s="107">
        <v>243276.0</v>
      </c>
      <c r="T2651" s="65">
        <f t="shared" si="93"/>
        <v>38924.16</v>
      </c>
      <c r="U2651" s="65">
        <f t="shared" si="94"/>
        <v>282200.16</v>
      </c>
      <c r="V2651" s="66">
        <f t="shared" si="134"/>
        <v>0.05000194224</v>
      </c>
      <c r="W2651" s="67">
        <f t="shared" si="96"/>
        <v>231112.2</v>
      </c>
      <c r="X2651" s="67">
        <f t="shared" si="132"/>
        <v>36977.952</v>
      </c>
      <c r="Y2651" s="67">
        <f t="shared" si="133"/>
        <v>268090.152</v>
      </c>
      <c r="Z2651" s="67">
        <f t="shared" si="99"/>
        <v>218948.4</v>
      </c>
      <c r="AA2651" s="67">
        <f t="shared" si="114"/>
        <v>35031.744</v>
      </c>
      <c r="AB2651" s="67">
        <f t="shared" si="115"/>
        <v>253980.144</v>
      </c>
      <c r="AC2651" s="67">
        <f t="shared" si="102"/>
        <v>218948.4</v>
      </c>
      <c r="AD2651" s="67">
        <f t="shared" si="116"/>
        <v>35031.744</v>
      </c>
      <c r="AE2651" s="67">
        <f t="shared" si="117"/>
        <v>253980.144</v>
      </c>
      <c r="AF2651" s="67">
        <f t="shared" si="105"/>
        <v>218948.4</v>
      </c>
      <c r="AG2651" s="67">
        <f t="shared" si="118"/>
        <v>35031.744</v>
      </c>
      <c r="AH2651" s="67">
        <f t="shared" si="119"/>
        <v>253980.144</v>
      </c>
      <c r="AI2651" s="67">
        <f t="shared" si="108"/>
        <v>218948.4</v>
      </c>
      <c r="AJ2651" s="68">
        <f t="shared" si="126"/>
        <v>35031.744</v>
      </c>
      <c r="AK2651" s="68">
        <f t="shared" si="127"/>
        <v>253980.144</v>
      </c>
      <c r="AL2651" s="70"/>
      <c r="AM2651" s="70"/>
      <c r="AN2651" s="71"/>
      <c r="AO2651" s="71"/>
      <c r="AP2651" s="71"/>
      <c r="AQ2651" s="71"/>
      <c r="AR2651" s="71"/>
      <c r="AS2651" s="71"/>
      <c r="AT2651" s="71"/>
      <c r="AU2651" s="71"/>
      <c r="AV2651" s="71"/>
      <c r="AW2651" s="71"/>
      <c r="AX2651" s="71"/>
      <c r="AY2651" s="71"/>
      <c r="AZ2651" s="71"/>
      <c r="BA2651" s="71"/>
      <c r="BB2651" s="71"/>
      <c r="BC2651" s="71"/>
      <c r="BD2651" s="71"/>
      <c r="BE2651" s="71"/>
      <c r="BF2651" s="71"/>
      <c r="BG2651" s="71"/>
      <c r="BH2651" s="71"/>
      <c r="BI2651" s="71"/>
      <c r="BJ2651" s="71"/>
      <c r="BK2651" s="71"/>
      <c r="BL2651" s="71"/>
      <c r="BM2651" s="71"/>
      <c r="BN2651" s="71"/>
      <c r="BO2651" s="71"/>
      <c r="BP2651" s="71"/>
      <c r="BQ2651" s="71"/>
      <c r="BR2651" s="71"/>
      <c r="BS2651" s="71"/>
      <c r="BT2651" s="71"/>
      <c r="BU2651" s="71"/>
      <c r="BV2651" s="71"/>
    </row>
    <row r="2652">
      <c r="A2652" s="53"/>
      <c r="B2652" s="53">
        <v>3.0</v>
      </c>
      <c r="C2652" s="53" t="s">
        <v>36</v>
      </c>
      <c r="D2652" s="98" t="s">
        <v>6524</v>
      </c>
      <c r="E2652" s="54" t="s">
        <v>38</v>
      </c>
      <c r="F2652" s="55" t="s">
        <v>96</v>
      </c>
      <c r="G2652" s="55" t="s">
        <v>6525</v>
      </c>
      <c r="H2652" s="55"/>
      <c r="I2652" s="54">
        <f t="shared" si="125"/>
        <v>0</v>
      </c>
      <c r="J2652" s="56"/>
      <c r="K2652" s="57"/>
      <c r="L2652" s="76"/>
      <c r="M2652" s="59"/>
      <c r="N2652" s="60"/>
      <c r="O2652" s="61">
        <v>184570.0</v>
      </c>
      <c r="P2652" s="62">
        <v>199335.6</v>
      </c>
      <c r="Q2652" s="63">
        <v>199335.6</v>
      </c>
      <c r="R2652" s="64">
        <v>219769.0</v>
      </c>
      <c r="S2652" s="107">
        <v>230757.0</v>
      </c>
      <c r="T2652" s="65">
        <f t="shared" si="93"/>
        <v>36921.12</v>
      </c>
      <c r="U2652" s="65">
        <f t="shared" si="94"/>
        <v>267678.12</v>
      </c>
      <c r="V2652" s="66">
        <f t="shared" si="134"/>
        <v>0.0499979524</v>
      </c>
      <c r="W2652" s="67">
        <f t="shared" si="96"/>
        <v>219219.15</v>
      </c>
      <c r="X2652" s="67">
        <f t="shared" si="132"/>
        <v>35075.064</v>
      </c>
      <c r="Y2652" s="67">
        <f t="shared" si="133"/>
        <v>254294.214</v>
      </c>
      <c r="Z2652" s="67">
        <f t="shared" si="99"/>
        <v>207681.3</v>
      </c>
      <c r="AA2652" s="67">
        <f t="shared" si="114"/>
        <v>33229.008</v>
      </c>
      <c r="AB2652" s="67">
        <f t="shared" si="115"/>
        <v>240910.308</v>
      </c>
      <c r="AC2652" s="67">
        <f t="shared" si="102"/>
        <v>207681.3</v>
      </c>
      <c r="AD2652" s="67">
        <f t="shared" si="116"/>
        <v>33229.008</v>
      </c>
      <c r="AE2652" s="67">
        <f t="shared" si="117"/>
        <v>240910.308</v>
      </c>
      <c r="AF2652" s="67">
        <f t="shared" si="105"/>
        <v>207681.3</v>
      </c>
      <c r="AG2652" s="67">
        <f t="shared" si="118"/>
        <v>33229.008</v>
      </c>
      <c r="AH2652" s="67">
        <f t="shared" si="119"/>
        <v>240910.308</v>
      </c>
      <c r="AI2652" s="67">
        <f t="shared" si="108"/>
        <v>207681.3</v>
      </c>
      <c r="AJ2652" s="68">
        <f t="shared" si="126"/>
        <v>33229.008</v>
      </c>
      <c r="AK2652" s="68">
        <f t="shared" si="127"/>
        <v>240910.308</v>
      </c>
      <c r="AL2652" s="70"/>
      <c r="AM2652" s="70"/>
      <c r="AN2652" s="71"/>
      <c r="AO2652" s="71"/>
      <c r="AP2652" s="71"/>
      <c r="AQ2652" s="71"/>
      <c r="AR2652" s="71"/>
      <c r="AS2652" s="71"/>
      <c r="AT2652" s="71"/>
      <c r="AU2652" s="71"/>
      <c r="AV2652" s="71"/>
      <c r="AW2652" s="71"/>
      <c r="AX2652" s="71"/>
      <c r="AY2652" s="71"/>
      <c r="AZ2652" s="71"/>
      <c r="BA2652" s="71"/>
      <c r="BB2652" s="71"/>
      <c r="BC2652" s="71"/>
      <c r="BD2652" s="71"/>
      <c r="BE2652" s="71"/>
      <c r="BF2652" s="71"/>
      <c r="BG2652" s="71"/>
      <c r="BH2652" s="71"/>
      <c r="BI2652" s="71"/>
      <c r="BJ2652" s="71"/>
      <c r="BK2652" s="71"/>
      <c r="BL2652" s="71"/>
      <c r="BM2652" s="71"/>
      <c r="BN2652" s="71"/>
      <c r="BO2652" s="71"/>
      <c r="BP2652" s="71"/>
      <c r="BQ2652" s="71"/>
      <c r="BR2652" s="71"/>
      <c r="BS2652" s="71"/>
      <c r="BT2652" s="71"/>
      <c r="BU2652" s="71"/>
      <c r="BV2652" s="71"/>
    </row>
    <row r="2653">
      <c r="A2653" s="53"/>
      <c r="B2653" s="53">
        <v>3.0</v>
      </c>
      <c r="C2653" s="53" t="s">
        <v>36</v>
      </c>
      <c r="D2653" s="98" t="s">
        <v>6526</v>
      </c>
      <c r="E2653" s="54" t="s">
        <v>38</v>
      </c>
      <c r="F2653" s="55" t="s">
        <v>96</v>
      </c>
      <c r="G2653" s="55" t="s">
        <v>6527</v>
      </c>
      <c r="H2653" s="55"/>
      <c r="I2653" s="54">
        <f t="shared" si="125"/>
        <v>0</v>
      </c>
      <c r="J2653" s="56"/>
      <c r="K2653" s="57"/>
      <c r="L2653" s="76"/>
      <c r="M2653" s="59"/>
      <c r="N2653" s="60"/>
      <c r="O2653" s="61">
        <v>166884.0</v>
      </c>
      <c r="P2653" s="62">
        <v>180234.72</v>
      </c>
      <c r="Q2653" s="63">
        <v>180234.72</v>
      </c>
      <c r="R2653" s="64">
        <v>198710.0</v>
      </c>
      <c r="S2653" s="107">
        <v>208646.0</v>
      </c>
      <c r="T2653" s="65">
        <f t="shared" si="93"/>
        <v>33383.36</v>
      </c>
      <c r="U2653" s="65">
        <f t="shared" si="94"/>
        <v>242029.36</v>
      </c>
      <c r="V2653" s="66">
        <f t="shared" si="134"/>
        <v>0.05000251623</v>
      </c>
      <c r="W2653" s="67">
        <f t="shared" si="96"/>
        <v>198213.7</v>
      </c>
      <c r="X2653" s="67">
        <f t="shared" si="132"/>
        <v>31714.192</v>
      </c>
      <c r="Y2653" s="67">
        <f t="shared" si="133"/>
        <v>229927.892</v>
      </c>
      <c r="Z2653" s="67">
        <f t="shared" si="99"/>
        <v>187781.4</v>
      </c>
      <c r="AA2653" s="67">
        <f t="shared" si="114"/>
        <v>30045.024</v>
      </c>
      <c r="AB2653" s="67">
        <f t="shared" si="115"/>
        <v>217826.424</v>
      </c>
      <c r="AC2653" s="67">
        <f t="shared" si="102"/>
        <v>187781.4</v>
      </c>
      <c r="AD2653" s="67">
        <f t="shared" si="116"/>
        <v>30045.024</v>
      </c>
      <c r="AE2653" s="67">
        <f t="shared" si="117"/>
        <v>217826.424</v>
      </c>
      <c r="AF2653" s="67">
        <f t="shared" si="105"/>
        <v>187781.4</v>
      </c>
      <c r="AG2653" s="67">
        <f t="shared" si="118"/>
        <v>30045.024</v>
      </c>
      <c r="AH2653" s="67">
        <f t="shared" si="119"/>
        <v>217826.424</v>
      </c>
      <c r="AI2653" s="67">
        <f t="shared" si="108"/>
        <v>187781.4</v>
      </c>
      <c r="AJ2653" s="68">
        <f t="shared" si="126"/>
        <v>30045.024</v>
      </c>
      <c r="AK2653" s="68">
        <f t="shared" si="127"/>
        <v>217826.424</v>
      </c>
      <c r="AL2653" s="70"/>
      <c r="AM2653" s="70"/>
      <c r="AN2653" s="71"/>
      <c r="AO2653" s="71"/>
      <c r="AP2653" s="71"/>
      <c r="AQ2653" s="71"/>
      <c r="AR2653" s="71"/>
      <c r="AS2653" s="71"/>
      <c r="AT2653" s="71"/>
      <c r="AU2653" s="71"/>
      <c r="AV2653" s="71"/>
      <c r="AW2653" s="71"/>
      <c r="AX2653" s="71"/>
      <c r="AY2653" s="71"/>
      <c r="AZ2653" s="71"/>
      <c r="BA2653" s="71"/>
      <c r="BB2653" s="71"/>
      <c r="BC2653" s="71"/>
      <c r="BD2653" s="71"/>
      <c r="BE2653" s="71"/>
      <c r="BF2653" s="71"/>
      <c r="BG2653" s="71"/>
      <c r="BH2653" s="71"/>
      <c r="BI2653" s="71"/>
      <c r="BJ2653" s="71"/>
      <c r="BK2653" s="71"/>
      <c r="BL2653" s="71"/>
      <c r="BM2653" s="71"/>
      <c r="BN2653" s="71"/>
      <c r="BO2653" s="71"/>
      <c r="BP2653" s="71"/>
      <c r="BQ2653" s="71"/>
      <c r="BR2653" s="71"/>
      <c r="BS2653" s="71"/>
      <c r="BT2653" s="71"/>
      <c r="BU2653" s="71"/>
      <c r="BV2653" s="71"/>
    </row>
    <row r="2654">
      <c r="A2654" s="53"/>
      <c r="B2654" s="53">
        <v>3.0</v>
      </c>
      <c r="C2654" s="53" t="s">
        <v>36</v>
      </c>
      <c r="D2654" s="98" t="s">
        <v>6528</v>
      </c>
      <c r="E2654" s="54" t="s">
        <v>38</v>
      </c>
      <c r="F2654" s="55" t="s">
        <v>96</v>
      </c>
      <c r="G2654" s="55" t="s">
        <v>6529</v>
      </c>
      <c r="H2654" s="55"/>
      <c r="I2654" s="54">
        <f t="shared" si="125"/>
        <v>0</v>
      </c>
      <c r="J2654" s="56"/>
      <c r="K2654" s="57"/>
      <c r="L2654" s="76"/>
      <c r="M2654" s="59"/>
      <c r="N2654" s="60"/>
      <c r="O2654" s="61">
        <v>156872.0</v>
      </c>
      <c r="P2654" s="62">
        <v>169421.76</v>
      </c>
      <c r="Q2654" s="63">
        <v>169421.76</v>
      </c>
      <c r="R2654" s="64">
        <v>186788.0</v>
      </c>
      <c r="S2654" s="107">
        <v>196127.0</v>
      </c>
      <c r="T2654" s="65">
        <f t="shared" si="93"/>
        <v>31380.32</v>
      </c>
      <c r="U2654" s="65">
        <f t="shared" si="94"/>
        <v>227507.32</v>
      </c>
      <c r="V2654" s="66">
        <f t="shared" si="134"/>
        <v>0.04999785853</v>
      </c>
      <c r="W2654" s="67">
        <f t="shared" si="96"/>
        <v>186320.65</v>
      </c>
      <c r="X2654" s="67">
        <f t="shared" si="132"/>
        <v>29811.304</v>
      </c>
      <c r="Y2654" s="67">
        <f t="shared" si="133"/>
        <v>216131.954</v>
      </c>
      <c r="Z2654" s="67">
        <f t="shared" si="99"/>
        <v>176514.3</v>
      </c>
      <c r="AA2654" s="67">
        <f t="shared" si="114"/>
        <v>28242.288</v>
      </c>
      <c r="AB2654" s="67">
        <f t="shared" si="115"/>
        <v>204756.588</v>
      </c>
      <c r="AC2654" s="67">
        <f t="shared" si="102"/>
        <v>176514.3</v>
      </c>
      <c r="AD2654" s="67">
        <f t="shared" si="116"/>
        <v>28242.288</v>
      </c>
      <c r="AE2654" s="67">
        <f t="shared" si="117"/>
        <v>204756.588</v>
      </c>
      <c r="AF2654" s="67">
        <f t="shared" si="105"/>
        <v>176514.3</v>
      </c>
      <c r="AG2654" s="67">
        <f t="shared" si="118"/>
        <v>28242.288</v>
      </c>
      <c r="AH2654" s="67">
        <f t="shared" si="119"/>
        <v>204756.588</v>
      </c>
      <c r="AI2654" s="67">
        <f t="shared" si="108"/>
        <v>176514.3</v>
      </c>
      <c r="AJ2654" s="68">
        <f t="shared" si="126"/>
        <v>28242.288</v>
      </c>
      <c r="AK2654" s="68">
        <f t="shared" si="127"/>
        <v>204756.588</v>
      </c>
      <c r="AL2654" s="70"/>
      <c r="AM2654" s="70"/>
      <c r="AN2654" s="71"/>
      <c r="AO2654" s="71"/>
      <c r="AP2654" s="71"/>
      <c r="AQ2654" s="71"/>
      <c r="AR2654" s="71"/>
      <c r="AS2654" s="71"/>
      <c r="AT2654" s="71"/>
      <c r="AU2654" s="71"/>
      <c r="AV2654" s="71"/>
      <c r="AW2654" s="71"/>
      <c r="AX2654" s="71"/>
      <c r="AY2654" s="71"/>
      <c r="AZ2654" s="71"/>
      <c r="BA2654" s="71"/>
      <c r="BB2654" s="71"/>
      <c r="BC2654" s="71"/>
      <c r="BD2654" s="71"/>
      <c r="BE2654" s="71"/>
      <c r="BF2654" s="71"/>
      <c r="BG2654" s="71"/>
      <c r="BH2654" s="71"/>
      <c r="BI2654" s="71"/>
      <c r="BJ2654" s="71"/>
      <c r="BK2654" s="71"/>
      <c r="BL2654" s="71"/>
      <c r="BM2654" s="71"/>
      <c r="BN2654" s="71"/>
      <c r="BO2654" s="71"/>
      <c r="BP2654" s="71"/>
      <c r="BQ2654" s="71"/>
      <c r="BR2654" s="71"/>
      <c r="BS2654" s="71"/>
      <c r="BT2654" s="71"/>
      <c r="BU2654" s="71"/>
      <c r="BV2654" s="71"/>
    </row>
    <row r="2655">
      <c r="A2655" s="53"/>
      <c r="B2655" s="53">
        <v>3.0</v>
      </c>
      <c r="C2655" s="53" t="s">
        <v>36</v>
      </c>
      <c r="D2655" s="98" t="s">
        <v>6530</v>
      </c>
      <c r="E2655" s="54" t="s">
        <v>38</v>
      </c>
      <c r="F2655" s="55" t="s">
        <v>96</v>
      </c>
      <c r="G2655" s="55" t="s">
        <v>6531</v>
      </c>
      <c r="H2655" s="55"/>
      <c r="I2655" s="54">
        <f t="shared" si="125"/>
        <v>0</v>
      </c>
      <c r="J2655" s="56"/>
      <c r="K2655" s="57"/>
      <c r="L2655" s="76"/>
      <c r="M2655" s="59"/>
      <c r="N2655" s="60"/>
      <c r="O2655" s="61">
        <v>168563.0</v>
      </c>
      <c r="P2655" s="62">
        <v>182048.04</v>
      </c>
      <c r="Q2655" s="63">
        <v>182048.04</v>
      </c>
      <c r="R2655" s="64">
        <v>200708.0</v>
      </c>
      <c r="S2655" s="107">
        <v>210743.0</v>
      </c>
      <c r="T2655" s="65">
        <f t="shared" si="93"/>
        <v>33718.88</v>
      </c>
      <c r="U2655" s="65">
        <f t="shared" si="94"/>
        <v>244461.88</v>
      </c>
      <c r="V2655" s="66">
        <f t="shared" si="134"/>
        <v>0.04999800706</v>
      </c>
      <c r="W2655" s="67">
        <f t="shared" si="96"/>
        <v>200205.85</v>
      </c>
      <c r="X2655" s="67">
        <f t="shared" si="132"/>
        <v>32032.936</v>
      </c>
      <c r="Y2655" s="67">
        <f t="shared" si="133"/>
        <v>232238.786</v>
      </c>
      <c r="Z2655" s="67">
        <f t="shared" si="99"/>
        <v>189668.7</v>
      </c>
      <c r="AA2655" s="67">
        <f t="shared" si="114"/>
        <v>30346.992</v>
      </c>
      <c r="AB2655" s="67">
        <f t="shared" si="115"/>
        <v>220015.692</v>
      </c>
      <c r="AC2655" s="67">
        <f t="shared" si="102"/>
        <v>189668.7</v>
      </c>
      <c r="AD2655" s="67">
        <f t="shared" si="116"/>
        <v>30346.992</v>
      </c>
      <c r="AE2655" s="67">
        <f t="shared" si="117"/>
        <v>220015.692</v>
      </c>
      <c r="AF2655" s="67">
        <f t="shared" si="105"/>
        <v>189668.7</v>
      </c>
      <c r="AG2655" s="67">
        <f t="shared" si="118"/>
        <v>30346.992</v>
      </c>
      <c r="AH2655" s="67">
        <f t="shared" si="119"/>
        <v>220015.692</v>
      </c>
      <c r="AI2655" s="67">
        <f t="shared" si="108"/>
        <v>189668.7</v>
      </c>
      <c r="AJ2655" s="68">
        <f t="shared" si="126"/>
        <v>30346.992</v>
      </c>
      <c r="AK2655" s="68">
        <f t="shared" si="127"/>
        <v>220015.692</v>
      </c>
      <c r="AL2655" s="70"/>
      <c r="AM2655" s="70"/>
      <c r="AN2655" s="71"/>
      <c r="AO2655" s="71"/>
      <c r="AP2655" s="71"/>
      <c r="AQ2655" s="71"/>
      <c r="AR2655" s="71"/>
      <c r="AS2655" s="71"/>
      <c r="AT2655" s="71"/>
      <c r="AU2655" s="71"/>
      <c r="AV2655" s="71"/>
      <c r="AW2655" s="71"/>
      <c r="AX2655" s="71"/>
      <c r="AY2655" s="71"/>
      <c r="AZ2655" s="71"/>
      <c r="BA2655" s="71"/>
      <c r="BB2655" s="71"/>
      <c r="BC2655" s="71"/>
      <c r="BD2655" s="71"/>
      <c r="BE2655" s="71"/>
      <c r="BF2655" s="71"/>
      <c r="BG2655" s="71"/>
      <c r="BH2655" s="71"/>
      <c r="BI2655" s="71"/>
      <c r="BJ2655" s="71"/>
      <c r="BK2655" s="71"/>
      <c r="BL2655" s="71"/>
      <c r="BM2655" s="71"/>
      <c r="BN2655" s="71"/>
      <c r="BO2655" s="71"/>
      <c r="BP2655" s="71"/>
      <c r="BQ2655" s="71"/>
      <c r="BR2655" s="71"/>
      <c r="BS2655" s="71"/>
      <c r="BT2655" s="71"/>
      <c r="BU2655" s="71"/>
      <c r="BV2655" s="71"/>
    </row>
    <row r="2656">
      <c r="A2656" s="53"/>
      <c r="B2656" s="53">
        <v>3.0</v>
      </c>
      <c r="C2656" s="53" t="s">
        <v>36</v>
      </c>
      <c r="D2656" s="98" t="s">
        <v>6532</v>
      </c>
      <c r="E2656" s="54" t="s">
        <v>38</v>
      </c>
      <c r="F2656" s="55" t="s">
        <v>96</v>
      </c>
      <c r="G2656" s="55" t="s">
        <v>6533</v>
      </c>
      <c r="H2656" s="55"/>
      <c r="I2656" s="54">
        <f t="shared" si="125"/>
        <v>0</v>
      </c>
      <c r="J2656" s="56"/>
      <c r="K2656" s="57"/>
      <c r="L2656" s="76"/>
      <c r="M2656" s="59"/>
      <c r="N2656" s="60"/>
      <c r="O2656" s="61">
        <v>158549.0</v>
      </c>
      <c r="P2656" s="62">
        <v>171232.92</v>
      </c>
      <c r="Q2656" s="63">
        <v>171232.92</v>
      </c>
      <c r="R2656" s="64">
        <v>188785.0</v>
      </c>
      <c r="S2656" s="107">
        <v>198224.0</v>
      </c>
      <c r="T2656" s="65">
        <f t="shared" si="93"/>
        <v>31715.84</v>
      </c>
      <c r="U2656" s="65">
        <f t="shared" si="94"/>
        <v>229939.84</v>
      </c>
      <c r="V2656" s="66">
        <f t="shared" si="134"/>
        <v>0.04999867574</v>
      </c>
      <c r="W2656" s="67">
        <f t="shared" si="96"/>
        <v>188312.8</v>
      </c>
      <c r="X2656" s="67">
        <f t="shared" si="132"/>
        <v>30130.048</v>
      </c>
      <c r="Y2656" s="67">
        <f t="shared" si="133"/>
        <v>218442.848</v>
      </c>
      <c r="Z2656" s="67">
        <f t="shared" si="99"/>
        <v>178401.6</v>
      </c>
      <c r="AA2656" s="67">
        <f t="shared" si="114"/>
        <v>28544.256</v>
      </c>
      <c r="AB2656" s="67">
        <f t="shared" si="115"/>
        <v>206945.856</v>
      </c>
      <c r="AC2656" s="67">
        <f t="shared" si="102"/>
        <v>178401.6</v>
      </c>
      <c r="AD2656" s="67">
        <f t="shared" si="116"/>
        <v>28544.256</v>
      </c>
      <c r="AE2656" s="67">
        <f t="shared" si="117"/>
        <v>206945.856</v>
      </c>
      <c r="AF2656" s="67">
        <f t="shared" si="105"/>
        <v>178401.6</v>
      </c>
      <c r="AG2656" s="67">
        <f t="shared" si="118"/>
        <v>28544.256</v>
      </c>
      <c r="AH2656" s="67">
        <f t="shared" si="119"/>
        <v>206945.856</v>
      </c>
      <c r="AI2656" s="67">
        <f t="shared" si="108"/>
        <v>178401.6</v>
      </c>
      <c r="AJ2656" s="68">
        <f t="shared" si="126"/>
        <v>28544.256</v>
      </c>
      <c r="AK2656" s="68">
        <f t="shared" si="127"/>
        <v>206945.856</v>
      </c>
      <c r="AL2656" s="70"/>
      <c r="AM2656" s="70"/>
      <c r="AN2656" s="71"/>
      <c r="AO2656" s="71"/>
      <c r="AP2656" s="71"/>
      <c r="AQ2656" s="71"/>
      <c r="AR2656" s="71"/>
      <c r="AS2656" s="71"/>
      <c r="AT2656" s="71"/>
      <c r="AU2656" s="71"/>
      <c r="AV2656" s="71"/>
      <c r="AW2656" s="71"/>
      <c r="AX2656" s="71"/>
      <c r="AY2656" s="71"/>
      <c r="AZ2656" s="71"/>
      <c r="BA2656" s="71"/>
      <c r="BB2656" s="71"/>
      <c r="BC2656" s="71"/>
      <c r="BD2656" s="71"/>
      <c r="BE2656" s="71"/>
      <c r="BF2656" s="71"/>
      <c r="BG2656" s="71"/>
      <c r="BH2656" s="71"/>
      <c r="BI2656" s="71"/>
      <c r="BJ2656" s="71"/>
      <c r="BK2656" s="71"/>
      <c r="BL2656" s="71"/>
      <c r="BM2656" s="71"/>
      <c r="BN2656" s="71"/>
      <c r="BO2656" s="71"/>
      <c r="BP2656" s="71"/>
      <c r="BQ2656" s="71"/>
      <c r="BR2656" s="71"/>
      <c r="BS2656" s="71"/>
      <c r="BT2656" s="71"/>
      <c r="BU2656" s="71"/>
      <c r="BV2656" s="71"/>
    </row>
    <row r="2657">
      <c r="A2657" s="53"/>
      <c r="B2657" s="53">
        <v>3.0</v>
      </c>
      <c r="C2657" s="53" t="s">
        <v>36</v>
      </c>
      <c r="D2657" s="98" t="s">
        <v>6534</v>
      </c>
      <c r="E2657" s="54" t="s">
        <v>38</v>
      </c>
      <c r="F2657" s="55" t="s">
        <v>96</v>
      </c>
      <c r="G2657" s="55" t="s">
        <v>6535</v>
      </c>
      <c r="H2657" s="55"/>
      <c r="I2657" s="54">
        <f t="shared" si="125"/>
        <v>0</v>
      </c>
      <c r="J2657" s="56"/>
      <c r="K2657" s="57"/>
      <c r="L2657" s="76"/>
      <c r="M2657" s="59"/>
      <c r="N2657" s="60"/>
      <c r="O2657" s="61">
        <v>182711.0</v>
      </c>
      <c r="P2657" s="62">
        <v>197327.88</v>
      </c>
      <c r="Q2657" s="63">
        <v>197327.88</v>
      </c>
      <c r="R2657" s="64">
        <v>217554.0</v>
      </c>
      <c r="S2657" s="107">
        <v>228432.0</v>
      </c>
      <c r="T2657" s="65">
        <f t="shared" si="93"/>
        <v>36549.12</v>
      </c>
      <c r="U2657" s="65">
        <f t="shared" si="94"/>
        <v>264981.12</v>
      </c>
      <c r="V2657" s="66">
        <f t="shared" si="134"/>
        <v>0.05000137897</v>
      </c>
      <c r="W2657" s="67">
        <f t="shared" si="96"/>
        <v>217010.4</v>
      </c>
      <c r="X2657" s="67">
        <f t="shared" si="132"/>
        <v>34721.664</v>
      </c>
      <c r="Y2657" s="67">
        <f t="shared" si="133"/>
        <v>251732.064</v>
      </c>
      <c r="Z2657" s="67">
        <f t="shared" si="99"/>
        <v>205588.8</v>
      </c>
      <c r="AA2657" s="67">
        <f t="shared" si="114"/>
        <v>32894.208</v>
      </c>
      <c r="AB2657" s="67">
        <f t="shared" si="115"/>
        <v>238483.008</v>
      </c>
      <c r="AC2657" s="67">
        <f t="shared" si="102"/>
        <v>205588.8</v>
      </c>
      <c r="AD2657" s="67">
        <f t="shared" si="116"/>
        <v>32894.208</v>
      </c>
      <c r="AE2657" s="67">
        <f t="shared" si="117"/>
        <v>238483.008</v>
      </c>
      <c r="AF2657" s="67">
        <f t="shared" si="105"/>
        <v>205588.8</v>
      </c>
      <c r="AG2657" s="67">
        <f t="shared" si="118"/>
        <v>32894.208</v>
      </c>
      <c r="AH2657" s="67">
        <f t="shared" si="119"/>
        <v>238483.008</v>
      </c>
      <c r="AI2657" s="67">
        <f t="shared" si="108"/>
        <v>205588.8</v>
      </c>
      <c r="AJ2657" s="68">
        <f t="shared" si="126"/>
        <v>32894.208</v>
      </c>
      <c r="AK2657" s="68">
        <f t="shared" si="127"/>
        <v>238483.008</v>
      </c>
      <c r="AL2657" s="70"/>
      <c r="AM2657" s="70"/>
      <c r="AN2657" s="71"/>
      <c r="AO2657" s="71"/>
      <c r="AP2657" s="71"/>
      <c r="AQ2657" s="71"/>
      <c r="AR2657" s="71"/>
      <c r="AS2657" s="71"/>
      <c r="AT2657" s="71"/>
      <c r="AU2657" s="71"/>
      <c r="AV2657" s="71"/>
      <c r="AW2657" s="71"/>
      <c r="AX2657" s="71"/>
      <c r="AY2657" s="71"/>
      <c r="AZ2657" s="71"/>
      <c r="BA2657" s="71"/>
      <c r="BB2657" s="71"/>
      <c r="BC2657" s="71"/>
      <c r="BD2657" s="71"/>
      <c r="BE2657" s="71"/>
      <c r="BF2657" s="71"/>
      <c r="BG2657" s="71"/>
      <c r="BH2657" s="71"/>
      <c r="BI2657" s="71"/>
      <c r="BJ2657" s="71"/>
      <c r="BK2657" s="71"/>
      <c r="BL2657" s="71"/>
      <c r="BM2657" s="71"/>
      <c r="BN2657" s="71"/>
      <c r="BO2657" s="71"/>
      <c r="BP2657" s="71"/>
      <c r="BQ2657" s="71"/>
      <c r="BR2657" s="71"/>
      <c r="BS2657" s="71"/>
      <c r="BT2657" s="71"/>
      <c r="BU2657" s="71"/>
      <c r="BV2657" s="71"/>
    </row>
    <row r="2658">
      <c r="A2658" s="53"/>
      <c r="B2658" s="53">
        <v>3.0</v>
      </c>
      <c r="C2658" s="53" t="s">
        <v>36</v>
      </c>
      <c r="D2658" s="98" t="s">
        <v>6536</v>
      </c>
      <c r="E2658" s="54" t="s">
        <v>38</v>
      </c>
      <c r="F2658" s="55" t="s">
        <v>96</v>
      </c>
      <c r="G2658" s="55" t="s">
        <v>6537</v>
      </c>
      <c r="H2658" s="55"/>
      <c r="I2658" s="54">
        <f t="shared" si="125"/>
        <v>0</v>
      </c>
      <c r="J2658" s="56"/>
      <c r="K2658" s="57"/>
      <c r="L2658" s="76"/>
      <c r="M2658" s="59"/>
      <c r="N2658" s="60"/>
      <c r="O2658" s="61">
        <v>172697.0</v>
      </c>
      <c r="P2658" s="62">
        <v>186512.76</v>
      </c>
      <c r="Q2658" s="63">
        <v>186512.76</v>
      </c>
      <c r="R2658" s="64">
        <v>205631.0</v>
      </c>
      <c r="S2658" s="107">
        <v>215913.0</v>
      </c>
      <c r="T2658" s="65">
        <f t="shared" si="93"/>
        <v>34546.08</v>
      </c>
      <c r="U2658" s="65">
        <f t="shared" si="94"/>
        <v>250459.08</v>
      </c>
      <c r="V2658" s="66">
        <f t="shared" si="134"/>
        <v>0.05000218839</v>
      </c>
      <c r="W2658" s="67">
        <f t="shared" si="96"/>
        <v>205117.35</v>
      </c>
      <c r="X2658" s="67">
        <f t="shared" si="132"/>
        <v>32818.776</v>
      </c>
      <c r="Y2658" s="67">
        <f t="shared" si="133"/>
        <v>237936.126</v>
      </c>
      <c r="Z2658" s="67">
        <f t="shared" si="99"/>
        <v>194321.7</v>
      </c>
      <c r="AA2658" s="67">
        <f t="shared" si="114"/>
        <v>31091.472</v>
      </c>
      <c r="AB2658" s="67">
        <f t="shared" si="115"/>
        <v>225413.172</v>
      </c>
      <c r="AC2658" s="67">
        <f t="shared" si="102"/>
        <v>194321.7</v>
      </c>
      <c r="AD2658" s="67">
        <f t="shared" si="116"/>
        <v>31091.472</v>
      </c>
      <c r="AE2658" s="67">
        <f t="shared" si="117"/>
        <v>225413.172</v>
      </c>
      <c r="AF2658" s="67">
        <f t="shared" si="105"/>
        <v>194321.7</v>
      </c>
      <c r="AG2658" s="67">
        <f t="shared" si="118"/>
        <v>31091.472</v>
      </c>
      <c r="AH2658" s="67">
        <f t="shared" si="119"/>
        <v>225413.172</v>
      </c>
      <c r="AI2658" s="67">
        <f t="shared" si="108"/>
        <v>194321.7</v>
      </c>
      <c r="AJ2658" s="68">
        <f t="shared" si="126"/>
        <v>31091.472</v>
      </c>
      <c r="AK2658" s="68">
        <f t="shared" si="127"/>
        <v>225413.172</v>
      </c>
      <c r="AL2658" s="70"/>
      <c r="AM2658" s="70"/>
      <c r="AN2658" s="71"/>
      <c r="AO2658" s="71"/>
      <c r="AP2658" s="71"/>
      <c r="AQ2658" s="71"/>
      <c r="AR2658" s="71"/>
      <c r="AS2658" s="71"/>
      <c r="AT2658" s="71"/>
      <c r="AU2658" s="71"/>
      <c r="AV2658" s="71"/>
      <c r="AW2658" s="71"/>
      <c r="AX2658" s="71"/>
      <c r="AY2658" s="71"/>
      <c r="AZ2658" s="71"/>
      <c r="BA2658" s="71"/>
      <c r="BB2658" s="71"/>
      <c r="BC2658" s="71"/>
      <c r="BD2658" s="71"/>
      <c r="BE2658" s="71"/>
      <c r="BF2658" s="71"/>
      <c r="BG2658" s="71"/>
      <c r="BH2658" s="71"/>
      <c r="BI2658" s="71"/>
      <c r="BJ2658" s="71"/>
      <c r="BK2658" s="71"/>
      <c r="BL2658" s="71"/>
      <c r="BM2658" s="71"/>
      <c r="BN2658" s="71"/>
      <c r="BO2658" s="71"/>
      <c r="BP2658" s="71"/>
      <c r="BQ2658" s="71"/>
      <c r="BR2658" s="71"/>
      <c r="BS2658" s="71"/>
      <c r="BT2658" s="71"/>
      <c r="BU2658" s="71"/>
      <c r="BV2658" s="71"/>
    </row>
    <row r="2659">
      <c r="A2659" s="53"/>
      <c r="B2659" s="53">
        <v>3.0</v>
      </c>
      <c r="C2659" s="53" t="s">
        <v>36</v>
      </c>
      <c r="D2659" s="98" t="s">
        <v>6538</v>
      </c>
      <c r="E2659" s="54" t="s">
        <v>38</v>
      </c>
      <c r="F2659" s="55" t="s">
        <v>96</v>
      </c>
      <c r="G2659" s="55" t="s">
        <v>6539</v>
      </c>
      <c r="H2659" s="55"/>
      <c r="I2659" s="54">
        <f t="shared" si="125"/>
        <v>0</v>
      </c>
      <c r="J2659" s="56"/>
      <c r="K2659" s="57"/>
      <c r="L2659" s="76"/>
      <c r="M2659" s="59"/>
      <c r="N2659" s="60"/>
      <c r="O2659" s="61">
        <v>191342.0</v>
      </c>
      <c r="P2659" s="62">
        <v>206649.36000000002</v>
      </c>
      <c r="Q2659" s="63">
        <v>206649.36000000002</v>
      </c>
      <c r="R2659" s="64">
        <v>227831.0</v>
      </c>
      <c r="S2659" s="107">
        <v>239223.0</v>
      </c>
      <c r="T2659" s="65">
        <f t="shared" si="93"/>
        <v>38275.68</v>
      </c>
      <c r="U2659" s="65">
        <f t="shared" si="94"/>
        <v>277498.68</v>
      </c>
      <c r="V2659" s="66">
        <f t="shared" si="134"/>
        <v>0.05000197515</v>
      </c>
      <c r="W2659" s="67">
        <f t="shared" si="96"/>
        <v>227261.85</v>
      </c>
      <c r="X2659" s="67">
        <f t="shared" si="132"/>
        <v>36361.896</v>
      </c>
      <c r="Y2659" s="67">
        <f t="shared" si="133"/>
        <v>263623.746</v>
      </c>
      <c r="Z2659" s="67">
        <f t="shared" si="99"/>
        <v>215300.7</v>
      </c>
      <c r="AA2659" s="67">
        <f t="shared" si="114"/>
        <v>34448.112</v>
      </c>
      <c r="AB2659" s="67">
        <f t="shared" si="115"/>
        <v>249748.812</v>
      </c>
      <c r="AC2659" s="67">
        <f t="shared" si="102"/>
        <v>215300.7</v>
      </c>
      <c r="AD2659" s="67">
        <f t="shared" si="116"/>
        <v>34448.112</v>
      </c>
      <c r="AE2659" s="67">
        <f t="shared" si="117"/>
        <v>249748.812</v>
      </c>
      <c r="AF2659" s="67">
        <f t="shared" si="105"/>
        <v>215300.7</v>
      </c>
      <c r="AG2659" s="67">
        <f t="shared" si="118"/>
        <v>34448.112</v>
      </c>
      <c r="AH2659" s="67">
        <f t="shared" si="119"/>
        <v>249748.812</v>
      </c>
      <c r="AI2659" s="67">
        <f t="shared" si="108"/>
        <v>215300.7</v>
      </c>
      <c r="AJ2659" s="68">
        <f t="shared" si="126"/>
        <v>34448.112</v>
      </c>
      <c r="AK2659" s="68">
        <f t="shared" si="127"/>
        <v>249748.812</v>
      </c>
      <c r="AL2659" s="70"/>
      <c r="AM2659" s="70"/>
      <c r="AN2659" s="71"/>
      <c r="AO2659" s="71"/>
      <c r="AP2659" s="71"/>
      <c r="AQ2659" s="71"/>
      <c r="AR2659" s="71"/>
      <c r="AS2659" s="71"/>
      <c r="AT2659" s="71"/>
      <c r="AU2659" s="71"/>
      <c r="AV2659" s="71"/>
      <c r="AW2659" s="71"/>
      <c r="AX2659" s="71"/>
      <c r="AY2659" s="71"/>
      <c r="AZ2659" s="71"/>
      <c r="BA2659" s="71"/>
      <c r="BB2659" s="71"/>
      <c r="BC2659" s="71"/>
      <c r="BD2659" s="71"/>
      <c r="BE2659" s="71"/>
      <c r="BF2659" s="71"/>
      <c r="BG2659" s="71"/>
      <c r="BH2659" s="71"/>
      <c r="BI2659" s="71"/>
      <c r="BJ2659" s="71"/>
      <c r="BK2659" s="71"/>
      <c r="BL2659" s="71"/>
      <c r="BM2659" s="71"/>
      <c r="BN2659" s="71"/>
      <c r="BO2659" s="71"/>
      <c r="BP2659" s="71"/>
      <c r="BQ2659" s="71"/>
      <c r="BR2659" s="71"/>
      <c r="BS2659" s="71"/>
      <c r="BT2659" s="71"/>
      <c r="BU2659" s="71"/>
      <c r="BV2659" s="71"/>
    </row>
    <row r="2660">
      <c r="A2660" s="53"/>
      <c r="B2660" s="53">
        <v>3.0</v>
      </c>
      <c r="C2660" s="53" t="s">
        <v>36</v>
      </c>
      <c r="D2660" s="98" t="s">
        <v>6540</v>
      </c>
      <c r="E2660" s="54" t="s">
        <v>38</v>
      </c>
      <c r="F2660" s="55" t="s">
        <v>96</v>
      </c>
      <c r="G2660" s="55" t="s">
        <v>6541</v>
      </c>
      <c r="H2660" s="55"/>
      <c r="I2660" s="54">
        <f t="shared" si="125"/>
        <v>0</v>
      </c>
      <c r="J2660" s="56"/>
      <c r="K2660" s="57"/>
      <c r="L2660" s="76"/>
      <c r="M2660" s="59"/>
      <c r="N2660" s="60"/>
      <c r="O2660" s="61">
        <v>181330.0</v>
      </c>
      <c r="P2660" s="62">
        <v>195836.40000000002</v>
      </c>
      <c r="Q2660" s="63">
        <v>195836.40000000002</v>
      </c>
      <c r="R2660" s="64">
        <v>215910.0</v>
      </c>
      <c r="S2660" s="107">
        <v>226706.0</v>
      </c>
      <c r="T2660" s="65">
        <f t="shared" si="93"/>
        <v>36272.96</v>
      </c>
      <c r="U2660" s="65">
        <f t="shared" si="94"/>
        <v>262978.96</v>
      </c>
      <c r="V2660" s="66">
        <f t="shared" si="134"/>
        <v>0.05000231578</v>
      </c>
      <c r="W2660" s="67">
        <f t="shared" si="96"/>
        <v>215370.7</v>
      </c>
      <c r="X2660" s="67">
        <f t="shared" si="132"/>
        <v>34459.312</v>
      </c>
      <c r="Y2660" s="67">
        <f t="shared" si="133"/>
        <v>249830.012</v>
      </c>
      <c r="Z2660" s="67">
        <f t="shared" si="99"/>
        <v>204035.4</v>
      </c>
      <c r="AA2660" s="67">
        <f t="shared" si="114"/>
        <v>32645.664</v>
      </c>
      <c r="AB2660" s="67">
        <f t="shared" si="115"/>
        <v>236681.064</v>
      </c>
      <c r="AC2660" s="67">
        <f t="shared" si="102"/>
        <v>204035.4</v>
      </c>
      <c r="AD2660" s="67">
        <f t="shared" si="116"/>
        <v>32645.664</v>
      </c>
      <c r="AE2660" s="67">
        <f t="shared" si="117"/>
        <v>236681.064</v>
      </c>
      <c r="AF2660" s="67">
        <f t="shared" si="105"/>
        <v>204035.4</v>
      </c>
      <c r="AG2660" s="67">
        <f t="shared" si="118"/>
        <v>32645.664</v>
      </c>
      <c r="AH2660" s="67">
        <f t="shared" si="119"/>
        <v>236681.064</v>
      </c>
      <c r="AI2660" s="67">
        <f t="shared" si="108"/>
        <v>204035.4</v>
      </c>
      <c r="AJ2660" s="68">
        <f t="shared" si="126"/>
        <v>32645.664</v>
      </c>
      <c r="AK2660" s="68">
        <f t="shared" si="127"/>
        <v>236681.064</v>
      </c>
      <c r="AL2660" s="70"/>
      <c r="AM2660" s="70"/>
      <c r="AN2660" s="71"/>
      <c r="AO2660" s="71"/>
      <c r="AP2660" s="71"/>
      <c r="AQ2660" s="71"/>
      <c r="AR2660" s="71"/>
      <c r="AS2660" s="71"/>
      <c r="AT2660" s="71"/>
      <c r="AU2660" s="71"/>
      <c r="AV2660" s="71"/>
      <c r="AW2660" s="71"/>
      <c r="AX2660" s="71"/>
      <c r="AY2660" s="71"/>
      <c r="AZ2660" s="71"/>
      <c r="BA2660" s="71"/>
      <c r="BB2660" s="71"/>
      <c r="BC2660" s="71"/>
      <c r="BD2660" s="71"/>
      <c r="BE2660" s="71"/>
      <c r="BF2660" s="71"/>
      <c r="BG2660" s="71"/>
      <c r="BH2660" s="71"/>
      <c r="BI2660" s="71"/>
      <c r="BJ2660" s="71"/>
      <c r="BK2660" s="71"/>
      <c r="BL2660" s="71"/>
      <c r="BM2660" s="71"/>
      <c r="BN2660" s="71"/>
      <c r="BO2660" s="71"/>
      <c r="BP2660" s="71"/>
      <c r="BQ2660" s="71"/>
      <c r="BR2660" s="71"/>
      <c r="BS2660" s="71"/>
      <c r="BT2660" s="71"/>
      <c r="BU2660" s="71"/>
      <c r="BV2660" s="71"/>
    </row>
    <row r="2661">
      <c r="A2661" s="53"/>
      <c r="B2661" s="53">
        <v>3.0</v>
      </c>
      <c r="C2661" s="53" t="s">
        <v>36</v>
      </c>
      <c r="D2661" s="98" t="s">
        <v>6542</v>
      </c>
      <c r="E2661" s="54" t="s">
        <v>38</v>
      </c>
      <c r="F2661" s="55" t="s">
        <v>96</v>
      </c>
      <c r="G2661" s="55" t="s">
        <v>6543</v>
      </c>
      <c r="H2661" s="55"/>
      <c r="I2661" s="54">
        <f t="shared" si="125"/>
        <v>0</v>
      </c>
      <c r="J2661" s="56"/>
      <c r="K2661" s="57"/>
      <c r="L2661" s="76"/>
      <c r="M2661" s="59"/>
      <c r="N2661" s="60"/>
      <c r="O2661" s="61">
        <v>199973.0</v>
      </c>
      <c r="P2661" s="62">
        <v>215970.84000000003</v>
      </c>
      <c r="Q2661" s="63">
        <v>215970.84000000003</v>
      </c>
      <c r="R2661" s="64">
        <v>238109.0</v>
      </c>
      <c r="S2661" s="107">
        <v>250014.0</v>
      </c>
      <c r="T2661" s="65">
        <f t="shared" si="93"/>
        <v>40002.24</v>
      </c>
      <c r="U2661" s="65">
        <f t="shared" si="94"/>
        <v>290016.24</v>
      </c>
      <c r="V2661" s="66">
        <f t="shared" si="134"/>
        <v>0.04999811011</v>
      </c>
      <c r="W2661" s="67">
        <f t="shared" si="96"/>
        <v>237513.3</v>
      </c>
      <c r="X2661" s="67">
        <f t="shared" si="132"/>
        <v>38002.128</v>
      </c>
      <c r="Y2661" s="67">
        <f t="shared" si="133"/>
        <v>275515.428</v>
      </c>
      <c r="Z2661" s="67">
        <f t="shared" si="99"/>
        <v>225012.6</v>
      </c>
      <c r="AA2661" s="67">
        <f t="shared" si="114"/>
        <v>36002.016</v>
      </c>
      <c r="AB2661" s="67">
        <f t="shared" si="115"/>
        <v>261014.616</v>
      </c>
      <c r="AC2661" s="67">
        <f t="shared" si="102"/>
        <v>225012.6</v>
      </c>
      <c r="AD2661" s="67">
        <f t="shared" si="116"/>
        <v>36002.016</v>
      </c>
      <c r="AE2661" s="67">
        <f t="shared" si="117"/>
        <v>261014.616</v>
      </c>
      <c r="AF2661" s="67">
        <f t="shared" si="105"/>
        <v>225012.6</v>
      </c>
      <c r="AG2661" s="67">
        <f t="shared" si="118"/>
        <v>36002.016</v>
      </c>
      <c r="AH2661" s="67">
        <f t="shared" si="119"/>
        <v>261014.616</v>
      </c>
      <c r="AI2661" s="67">
        <f t="shared" si="108"/>
        <v>225012.6</v>
      </c>
      <c r="AJ2661" s="68">
        <f t="shared" si="126"/>
        <v>36002.016</v>
      </c>
      <c r="AK2661" s="68">
        <f t="shared" si="127"/>
        <v>261014.616</v>
      </c>
      <c r="AL2661" s="70"/>
      <c r="AM2661" s="70"/>
      <c r="AN2661" s="71"/>
      <c r="AO2661" s="71"/>
      <c r="AP2661" s="71"/>
      <c r="AQ2661" s="71"/>
      <c r="AR2661" s="71"/>
      <c r="AS2661" s="71"/>
      <c r="AT2661" s="71"/>
      <c r="AU2661" s="71"/>
      <c r="AV2661" s="71"/>
      <c r="AW2661" s="71"/>
      <c r="AX2661" s="71"/>
      <c r="AY2661" s="71"/>
      <c r="AZ2661" s="71"/>
      <c r="BA2661" s="71"/>
      <c r="BB2661" s="71"/>
      <c r="BC2661" s="71"/>
      <c r="BD2661" s="71"/>
      <c r="BE2661" s="71"/>
      <c r="BF2661" s="71"/>
      <c r="BG2661" s="71"/>
      <c r="BH2661" s="71"/>
      <c r="BI2661" s="71"/>
      <c r="BJ2661" s="71"/>
      <c r="BK2661" s="71"/>
      <c r="BL2661" s="71"/>
      <c r="BM2661" s="71"/>
      <c r="BN2661" s="71"/>
      <c r="BO2661" s="71"/>
      <c r="BP2661" s="71"/>
      <c r="BQ2661" s="71"/>
      <c r="BR2661" s="71"/>
      <c r="BS2661" s="71"/>
      <c r="BT2661" s="71"/>
      <c r="BU2661" s="71"/>
      <c r="BV2661" s="71"/>
    </row>
    <row r="2662">
      <c r="A2662" s="53"/>
      <c r="B2662" s="53">
        <v>3.0</v>
      </c>
      <c r="C2662" s="53" t="s">
        <v>36</v>
      </c>
      <c r="D2662" s="98" t="s">
        <v>6544</v>
      </c>
      <c r="E2662" s="54" t="s">
        <v>38</v>
      </c>
      <c r="F2662" s="55" t="s">
        <v>96</v>
      </c>
      <c r="G2662" s="55" t="s">
        <v>6545</v>
      </c>
      <c r="H2662" s="55"/>
      <c r="I2662" s="54">
        <f t="shared" si="125"/>
        <v>0</v>
      </c>
      <c r="J2662" s="56"/>
      <c r="K2662" s="57"/>
      <c r="L2662" s="76"/>
      <c r="M2662" s="59"/>
      <c r="N2662" s="60"/>
      <c r="O2662" s="61">
        <v>189959.0</v>
      </c>
      <c r="P2662" s="62">
        <v>205155.72</v>
      </c>
      <c r="Q2662" s="63">
        <v>205155.72</v>
      </c>
      <c r="R2662" s="64">
        <v>226185.0</v>
      </c>
      <c r="S2662" s="107">
        <v>237494.0</v>
      </c>
      <c r="T2662" s="65">
        <f t="shared" si="93"/>
        <v>37999.04</v>
      </c>
      <c r="U2662" s="65">
        <f t="shared" si="94"/>
        <v>275493.04</v>
      </c>
      <c r="V2662" s="66">
        <f t="shared" si="134"/>
        <v>0.04999889471</v>
      </c>
      <c r="W2662" s="67">
        <f t="shared" si="96"/>
        <v>225619.3</v>
      </c>
      <c r="X2662" s="67">
        <f t="shared" si="132"/>
        <v>36099.088</v>
      </c>
      <c r="Y2662" s="67">
        <f t="shared" si="133"/>
        <v>261718.388</v>
      </c>
      <c r="Z2662" s="67">
        <f t="shared" si="99"/>
        <v>213744.6</v>
      </c>
      <c r="AA2662" s="67">
        <f t="shared" si="114"/>
        <v>34199.136</v>
      </c>
      <c r="AB2662" s="67">
        <f t="shared" si="115"/>
        <v>247943.736</v>
      </c>
      <c r="AC2662" s="67">
        <f t="shared" si="102"/>
        <v>213744.6</v>
      </c>
      <c r="AD2662" s="67">
        <f t="shared" si="116"/>
        <v>34199.136</v>
      </c>
      <c r="AE2662" s="67">
        <f t="shared" si="117"/>
        <v>247943.736</v>
      </c>
      <c r="AF2662" s="67">
        <f t="shared" si="105"/>
        <v>213744.6</v>
      </c>
      <c r="AG2662" s="67">
        <f t="shared" si="118"/>
        <v>34199.136</v>
      </c>
      <c r="AH2662" s="67">
        <f t="shared" si="119"/>
        <v>247943.736</v>
      </c>
      <c r="AI2662" s="67">
        <f t="shared" si="108"/>
        <v>213744.6</v>
      </c>
      <c r="AJ2662" s="68">
        <f t="shared" si="126"/>
        <v>34199.136</v>
      </c>
      <c r="AK2662" s="68">
        <f t="shared" si="127"/>
        <v>247943.736</v>
      </c>
      <c r="AL2662" s="70"/>
      <c r="AM2662" s="70"/>
      <c r="AN2662" s="71"/>
      <c r="AO2662" s="71"/>
      <c r="AP2662" s="71"/>
      <c r="AQ2662" s="71"/>
      <c r="AR2662" s="71"/>
      <c r="AS2662" s="71"/>
      <c r="AT2662" s="71"/>
      <c r="AU2662" s="71"/>
      <c r="AV2662" s="71"/>
      <c r="AW2662" s="71"/>
      <c r="AX2662" s="71"/>
      <c r="AY2662" s="71"/>
      <c r="AZ2662" s="71"/>
      <c r="BA2662" s="71"/>
      <c r="BB2662" s="71"/>
      <c r="BC2662" s="71"/>
      <c r="BD2662" s="71"/>
      <c r="BE2662" s="71"/>
      <c r="BF2662" s="71"/>
      <c r="BG2662" s="71"/>
      <c r="BH2662" s="71"/>
      <c r="BI2662" s="71"/>
      <c r="BJ2662" s="71"/>
      <c r="BK2662" s="71"/>
      <c r="BL2662" s="71"/>
      <c r="BM2662" s="71"/>
      <c r="BN2662" s="71"/>
      <c r="BO2662" s="71"/>
      <c r="BP2662" s="71"/>
      <c r="BQ2662" s="71"/>
      <c r="BR2662" s="71"/>
      <c r="BS2662" s="71"/>
      <c r="BT2662" s="71"/>
      <c r="BU2662" s="71"/>
      <c r="BV2662" s="71"/>
    </row>
    <row r="2663">
      <c r="A2663" s="53"/>
      <c r="B2663" s="53">
        <v>3.0</v>
      </c>
      <c r="C2663" s="53" t="s">
        <v>36</v>
      </c>
      <c r="D2663" s="98" t="s">
        <v>6546</v>
      </c>
      <c r="E2663" s="54" t="s">
        <v>38</v>
      </c>
      <c r="F2663" s="55" t="s">
        <v>96</v>
      </c>
      <c r="G2663" s="202" t="s">
        <v>6547</v>
      </c>
      <c r="H2663" s="55"/>
      <c r="I2663" s="54">
        <f t="shared" si="125"/>
        <v>0</v>
      </c>
      <c r="J2663" s="56"/>
      <c r="K2663" s="57"/>
      <c r="L2663" s="76"/>
      <c r="M2663" s="59"/>
      <c r="N2663" s="60"/>
      <c r="O2663" s="61">
        <v>100454.0</v>
      </c>
      <c r="P2663" s="62">
        <v>108490.32</v>
      </c>
      <c r="Q2663" s="63">
        <v>108490.32</v>
      </c>
      <c r="R2663" s="64">
        <v>119611.0</v>
      </c>
      <c r="S2663" s="107">
        <v>125592.0</v>
      </c>
      <c r="T2663" s="65">
        <f t="shared" si="93"/>
        <v>20094.72</v>
      </c>
      <c r="U2663" s="65">
        <f t="shared" si="94"/>
        <v>145686.72</v>
      </c>
      <c r="V2663" s="66">
        <f t="shared" si="134"/>
        <v>0.0500037622</v>
      </c>
      <c r="W2663" s="67">
        <f t="shared" si="96"/>
        <v>119312.4</v>
      </c>
      <c r="X2663" s="67">
        <f t="shared" si="132"/>
        <v>19089.984</v>
      </c>
      <c r="Y2663" s="67">
        <f t="shared" si="133"/>
        <v>138402.384</v>
      </c>
      <c r="Z2663" s="67">
        <f t="shared" si="99"/>
        <v>113032.8</v>
      </c>
      <c r="AA2663" s="67">
        <f t="shared" si="114"/>
        <v>18085.248</v>
      </c>
      <c r="AB2663" s="67">
        <f t="shared" si="115"/>
        <v>131118.048</v>
      </c>
      <c r="AC2663" s="67">
        <f t="shared" si="102"/>
        <v>113032.8</v>
      </c>
      <c r="AD2663" s="67">
        <f t="shared" si="116"/>
        <v>18085.248</v>
      </c>
      <c r="AE2663" s="67">
        <f t="shared" si="117"/>
        <v>131118.048</v>
      </c>
      <c r="AF2663" s="67">
        <f t="shared" si="105"/>
        <v>113032.8</v>
      </c>
      <c r="AG2663" s="67">
        <f t="shared" si="118"/>
        <v>18085.248</v>
      </c>
      <c r="AH2663" s="67">
        <f t="shared" si="119"/>
        <v>131118.048</v>
      </c>
      <c r="AI2663" s="67">
        <f t="shared" si="108"/>
        <v>113032.8</v>
      </c>
      <c r="AJ2663" s="68">
        <f t="shared" si="126"/>
        <v>18085.248</v>
      </c>
      <c r="AK2663" s="68">
        <f t="shared" si="127"/>
        <v>131118.048</v>
      </c>
      <c r="AL2663" s="70"/>
      <c r="AM2663" s="70"/>
      <c r="AN2663" s="71"/>
      <c r="AO2663" s="71"/>
      <c r="AP2663" s="71"/>
      <c r="AQ2663" s="71"/>
      <c r="AR2663" s="71"/>
      <c r="AS2663" s="71"/>
      <c r="AT2663" s="71"/>
      <c r="AU2663" s="71"/>
      <c r="AV2663" s="71"/>
      <c r="AW2663" s="71"/>
      <c r="AX2663" s="71"/>
      <c r="AY2663" s="71"/>
      <c r="AZ2663" s="71"/>
      <c r="BA2663" s="71"/>
      <c r="BB2663" s="71"/>
      <c r="BC2663" s="71"/>
      <c r="BD2663" s="71"/>
      <c r="BE2663" s="71"/>
      <c r="BF2663" s="71"/>
      <c r="BG2663" s="71"/>
      <c r="BH2663" s="71"/>
      <c r="BI2663" s="71"/>
      <c r="BJ2663" s="71"/>
      <c r="BK2663" s="71"/>
      <c r="BL2663" s="71"/>
      <c r="BM2663" s="71"/>
      <c r="BN2663" s="71"/>
      <c r="BO2663" s="71"/>
      <c r="BP2663" s="71"/>
      <c r="BQ2663" s="71"/>
      <c r="BR2663" s="71"/>
      <c r="BS2663" s="71"/>
      <c r="BT2663" s="71"/>
      <c r="BU2663" s="71"/>
      <c r="BV2663" s="71"/>
    </row>
    <row r="2664">
      <c r="A2664" s="53"/>
      <c r="B2664" s="53">
        <v>3.0</v>
      </c>
      <c r="C2664" s="53" t="s">
        <v>36</v>
      </c>
      <c r="D2664" s="98" t="s">
        <v>6548</v>
      </c>
      <c r="E2664" s="54" t="s">
        <v>38</v>
      </c>
      <c r="F2664" s="55" t="s">
        <v>96</v>
      </c>
      <c r="G2664" s="202" t="s">
        <v>6549</v>
      </c>
      <c r="H2664" s="55"/>
      <c r="I2664" s="54">
        <f t="shared" si="125"/>
        <v>0</v>
      </c>
      <c r="J2664" s="56"/>
      <c r="K2664" s="57"/>
      <c r="L2664" s="76"/>
      <c r="M2664" s="59"/>
      <c r="N2664" s="60"/>
      <c r="O2664" s="61">
        <v>89444.0</v>
      </c>
      <c r="P2664" s="62">
        <v>96599.52</v>
      </c>
      <c r="Q2664" s="63">
        <v>96599.52</v>
      </c>
      <c r="R2664" s="64">
        <v>106502.0</v>
      </c>
      <c r="S2664" s="107">
        <v>111827.0</v>
      </c>
      <c r="T2664" s="65">
        <f t="shared" si="93"/>
        <v>17892.32</v>
      </c>
      <c r="U2664" s="65">
        <f t="shared" si="94"/>
        <v>129719.32</v>
      </c>
      <c r="V2664" s="66">
        <f t="shared" si="134"/>
        <v>0.04999906105</v>
      </c>
      <c r="W2664" s="67">
        <f t="shared" si="96"/>
        <v>106235.65</v>
      </c>
      <c r="X2664" s="67">
        <f t="shared" si="132"/>
        <v>16997.704</v>
      </c>
      <c r="Y2664" s="67">
        <f t="shared" si="133"/>
        <v>123233.354</v>
      </c>
      <c r="Z2664" s="67">
        <f t="shared" si="99"/>
        <v>100644.3</v>
      </c>
      <c r="AA2664" s="67">
        <f t="shared" si="114"/>
        <v>16103.088</v>
      </c>
      <c r="AB2664" s="67">
        <f t="shared" si="115"/>
        <v>116747.388</v>
      </c>
      <c r="AC2664" s="67">
        <f t="shared" si="102"/>
        <v>100644.3</v>
      </c>
      <c r="AD2664" s="67">
        <f t="shared" si="116"/>
        <v>16103.088</v>
      </c>
      <c r="AE2664" s="67">
        <f t="shared" si="117"/>
        <v>116747.388</v>
      </c>
      <c r="AF2664" s="67">
        <f t="shared" si="105"/>
        <v>100644.3</v>
      </c>
      <c r="AG2664" s="67">
        <f t="shared" si="118"/>
        <v>16103.088</v>
      </c>
      <c r="AH2664" s="67">
        <f t="shared" si="119"/>
        <v>116747.388</v>
      </c>
      <c r="AI2664" s="67">
        <f t="shared" si="108"/>
        <v>100644.3</v>
      </c>
      <c r="AJ2664" s="68">
        <f t="shared" si="126"/>
        <v>16103.088</v>
      </c>
      <c r="AK2664" s="68">
        <f t="shared" si="127"/>
        <v>116747.388</v>
      </c>
      <c r="AL2664" s="70"/>
      <c r="AM2664" s="70"/>
      <c r="AN2664" s="71"/>
      <c r="AO2664" s="71"/>
      <c r="AP2664" s="71"/>
      <c r="AQ2664" s="71"/>
      <c r="AR2664" s="71"/>
      <c r="AS2664" s="71"/>
      <c r="AT2664" s="71"/>
      <c r="AU2664" s="71"/>
      <c r="AV2664" s="71"/>
      <c r="AW2664" s="71"/>
      <c r="AX2664" s="71"/>
      <c r="AY2664" s="71"/>
      <c r="AZ2664" s="71"/>
      <c r="BA2664" s="71"/>
      <c r="BB2664" s="71"/>
      <c r="BC2664" s="71"/>
      <c r="BD2664" s="71"/>
      <c r="BE2664" s="71"/>
      <c r="BF2664" s="71"/>
      <c r="BG2664" s="71"/>
      <c r="BH2664" s="71"/>
      <c r="BI2664" s="71"/>
      <c r="BJ2664" s="71"/>
      <c r="BK2664" s="71"/>
      <c r="BL2664" s="71"/>
      <c r="BM2664" s="71"/>
      <c r="BN2664" s="71"/>
      <c r="BO2664" s="71"/>
      <c r="BP2664" s="71"/>
      <c r="BQ2664" s="71"/>
      <c r="BR2664" s="71"/>
      <c r="BS2664" s="71"/>
      <c r="BT2664" s="71"/>
      <c r="BU2664" s="71"/>
      <c r="BV2664" s="71"/>
    </row>
    <row r="2665">
      <c r="A2665" s="53"/>
      <c r="B2665" s="53">
        <v>3.0</v>
      </c>
      <c r="C2665" s="53" t="s">
        <v>36</v>
      </c>
      <c r="D2665" s="98" t="s">
        <v>6550</v>
      </c>
      <c r="E2665" s="54" t="s">
        <v>38</v>
      </c>
      <c r="F2665" s="55" t="s">
        <v>96</v>
      </c>
      <c r="G2665" s="202" t="s">
        <v>6551</v>
      </c>
      <c r="H2665" s="55"/>
      <c r="I2665" s="54">
        <f t="shared" si="125"/>
        <v>0</v>
      </c>
      <c r="J2665" s="56"/>
      <c r="K2665" s="57"/>
      <c r="L2665" s="76"/>
      <c r="M2665" s="59"/>
      <c r="N2665" s="60"/>
      <c r="O2665" s="61">
        <v>129427.0</v>
      </c>
      <c r="P2665" s="62">
        <v>139781.16</v>
      </c>
      <c r="Q2665" s="63">
        <v>139781.16</v>
      </c>
      <c r="R2665" s="64">
        <v>154109.0</v>
      </c>
      <c r="S2665" s="107">
        <v>161814.0</v>
      </c>
      <c r="T2665" s="65">
        <f t="shared" si="93"/>
        <v>25890.24</v>
      </c>
      <c r="U2665" s="65">
        <f t="shared" si="94"/>
        <v>187704.24</v>
      </c>
      <c r="V2665" s="66">
        <f t="shared" si="134"/>
        <v>0.04999707999</v>
      </c>
      <c r="W2665" s="67">
        <f t="shared" si="96"/>
        <v>153723.3</v>
      </c>
      <c r="X2665" s="67">
        <f t="shared" si="132"/>
        <v>24595.728</v>
      </c>
      <c r="Y2665" s="67">
        <f t="shared" si="133"/>
        <v>178319.028</v>
      </c>
      <c r="Z2665" s="67">
        <f t="shared" si="99"/>
        <v>145632.6</v>
      </c>
      <c r="AA2665" s="67">
        <f t="shared" si="114"/>
        <v>23301.216</v>
      </c>
      <c r="AB2665" s="67">
        <f t="shared" si="115"/>
        <v>168933.816</v>
      </c>
      <c r="AC2665" s="67">
        <f t="shared" si="102"/>
        <v>145632.6</v>
      </c>
      <c r="AD2665" s="67">
        <f t="shared" si="116"/>
        <v>23301.216</v>
      </c>
      <c r="AE2665" s="67">
        <f t="shared" si="117"/>
        <v>168933.816</v>
      </c>
      <c r="AF2665" s="67">
        <f t="shared" si="105"/>
        <v>145632.6</v>
      </c>
      <c r="AG2665" s="67">
        <f t="shared" si="118"/>
        <v>23301.216</v>
      </c>
      <c r="AH2665" s="67">
        <f t="shared" si="119"/>
        <v>168933.816</v>
      </c>
      <c r="AI2665" s="67">
        <f t="shared" si="108"/>
        <v>145632.6</v>
      </c>
      <c r="AJ2665" s="68">
        <f t="shared" si="126"/>
        <v>23301.216</v>
      </c>
      <c r="AK2665" s="68">
        <f t="shared" si="127"/>
        <v>168933.816</v>
      </c>
      <c r="AL2665" s="70"/>
      <c r="AM2665" s="70"/>
      <c r="AN2665" s="71"/>
      <c r="AO2665" s="71"/>
      <c r="AP2665" s="71"/>
      <c r="AQ2665" s="71"/>
      <c r="AR2665" s="71"/>
      <c r="AS2665" s="71"/>
      <c r="AT2665" s="71"/>
      <c r="AU2665" s="71"/>
      <c r="AV2665" s="71"/>
      <c r="AW2665" s="71"/>
      <c r="AX2665" s="71"/>
      <c r="AY2665" s="71"/>
      <c r="AZ2665" s="71"/>
      <c r="BA2665" s="71"/>
      <c r="BB2665" s="71"/>
      <c r="BC2665" s="71"/>
      <c r="BD2665" s="71"/>
      <c r="BE2665" s="71"/>
      <c r="BF2665" s="71"/>
      <c r="BG2665" s="71"/>
      <c r="BH2665" s="71"/>
      <c r="BI2665" s="71"/>
      <c r="BJ2665" s="71"/>
      <c r="BK2665" s="71"/>
      <c r="BL2665" s="71"/>
      <c r="BM2665" s="71"/>
      <c r="BN2665" s="71"/>
      <c r="BO2665" s="71"/>
      <c r="BP2665" s="71"/>
      <c r="BQ2665" s="71"/>
      <c r="BR2665" s="71"/>
      <c r="BS2665" s="71"/>
      <c r="BT2665" s="71"/>
      <c r="BU2665" s="71"/>
      <c r="BV2665" s="71"/>
    </row>
    <row r="2666">
      <c r="A2666" s="53"/>
      <c r="B2666" s="53">
        <v>3.0</v>
      </c>
      <c r="C2666" s="53" t="s">
        <v>36</v>
      </c>
      <c r="D2666" s="98" t="s">
        <v>6552</v>
      </c>
      <c r="E2666" s="54" t="s">
        <v>38</v>
      </c>
      <c r="F2666" s="55" t="s">
        <v>96</v>
      </c>
      <c r="G2666" s="202" t="s">
        <v>6553</v>
      </c>
      <c r="H2666" s="55"/>
      <c r="I2666" s="54">
        <f t="shared" si="125"/>
        <v>0</v>
      </c>
      <c r="J2666" s="56"/>
      <c r="K2666" s="57"/>
      <c r="L2666" s="76"/>
      <c r="M2666" s="59"/>
      <c r="N2666" s="60"/>
      <c r="O2666" s="61">
        <v>120324.0</v>
      </c>
      <c r="P2666" s="62">
        <v>129949.92000000001</v>
      </c>
      <c r="Q2666" s="63">
        <v>129949.92000000001</v>
      </c>
      <c r="R2666" s="64">
        <v>143271.0</v>
      </c>
      <c r="S2666" s="107">
        <v>150435.0</v>
      </c>
      <c r="T2666" s="65">
        <f t="shared" si="93"/>
        <v>24069.6</v>
      </c>
      <c r="U2666" s="65">
        <f t="shared" si="94"/>
        <v>174504.6</v>
      </c>
      <c r="V2666" s="66">
        <f t="shared" si="134"/>
        <v>0.0500031409</v>
      </c>
      <c r="W2666" s="67">
        <f t="shared" si="96"/>
        <v>142913.25</v>
      </c>
      <c r="X2666" s="67">
        <f t="shared" si="132"/>
        <v>22866.12</v>
      </c>
      <c r="Y2666" s="67">
        <f t="shared" si="133"/>
        <v>165779.37</v>
      </c>
      <c r="Z2666" s="67">
        <f t="shared" si="99"/>
        <v>135391.5</v>
      </c>
      <c r="AA2666" s="67">
        <f t="shared" si="114"/>
        <v>21662.64</v>
      </c>
      <c r="AB2666" s="67">
        <f t="shared" si="115"/>
        <v>157054.14</v>
      </c>
      <c r="AC2666" s="67">
        <f t="shared" si="102"/>
        <v>135391.5</v>
      </c>
      <c r="AD2666" s="67">
        <f t="shared" si="116"/>
        <v>21662.64</v>
      </c>
      <c r="AE2666" s="67">
        <f t="shared" si="117"/>
        <v>157054.14</v>
      </c>
      <c r="AF2666" s="67">
        <f t="shared" si="105"/>
        <v>135391.5</v>
      </c>
      <c r="AG2666" s="67">
        <f t="shared" si="118"/>
        <v>21662.64</v>
      </c>
      <c r="AH2666" s="67">
        <f t="shared" si="119"/>
        <v>157054.14</v>
      </c>
      <c r="AI2666" s="67">
        <f t="shared" si="108"/>
        <v>135391.5</v>
      </c>
      <c r="AJ2666" s="68">
        <f t="shared" si="126"/>
        <v>21662.64</v>
      </c>
      <c r="AK2666" s="68">
        <f t="shared" si="127"/>
        <v>157054.14</v>
      </c>
      <c r="AL2666" s="70"/>
      <c r="AM2666" s="70"/>
      <c r="AN2666" s="71"/>
      <c r="AO2666" s="71"/>
      <c r="AP2666" s="71"/>
      <c r="AQ2666" s="71"/>
      <c r="AR2666" s="71"/>
      <c r="AS2666" s="71"/>
      <c r="AT2666" s="71"/>
      <c r="AU2666" s="71"/>
      <c r="AV2666" s="71"/>
      <c r="AW2666" s="71"/>
      <c r="AX2666" s="71"/>
      <c r="AY2666" s="71"/>
      <c r="AZ2666" s="71"/>
      <c r="BA2666" s="71"/>
      <c r="BB2666" s="71"/>
      <c r="BC2666" s="71"/>
      <c r="BD2666" s="71"/>
      <c r="BE2666" s="71"/>
      <c r="BF2666" s="71"/>
      <c r="BG2666" s="71"/>
      <c r="BH2666" s="71"/>
      <c r="BI2666" s="71"/>
      <c r="BJ2666" s="71"/>
      <c r="BK2666" s="71"/>
      <c r="BL2666" s="71"/>
      <c r="BM2666" s="71"/>
      <c r="BN2666" s="71"/>
      <c r="BO2666" s="71"/>
      <c r="BP2666" s="71"/>
      <c r="BQ2666" s="71"/>
      <c r="BR2666" s="71"/>
      <c r="BS2666" s="71"/>
      <c r="BT2666" s="71"/>
      <c r="BU2666" s="71"/>
      <c r="BV2666" s="71"/>
    </row>
    <row r="2667">
      <c r="A2667" s="53"/>
      <c r="B2667" s="53">
        <v>3.0</v>
      </c>
      <c r="C2667" s="53" t="s">
        <v>36</v>
      </c>
      <c r="D2667" s="98" t="s">
        <v>6554</v>
      </c>
      <c r="E2667" s="54" t="s">
        <v>38</v>
      </c>
      <c r="F2667" s="55" t="s">
        <v>96</v>
      </c>
      <c r="G2667" s="202" t="s">
        <v>6555</v>
      </c>
      <c r="H2667" s="55"/>
      <c r="I2667" s="54">
        <f t="shared" si="125"/>
        <v>0</v>
      </c>
      <c r="J2667" s="56"/>
      <c r="K2667" s="57"/>
      <c r="L2667" s="76"/>
      <c r="M2667" s="59"/>
      <c r="N2667" s="60"/>
      <c r="O2667" s="61">
        <v>137274.0</v>
      </c>
      <c r="P2667" s="62">
        <v>148255.92</v>
      </c>
      <c r="Q2667" s="63">
        <v>148255.92</v>
      </c>
      <c r="R2667" s="64">
        <v>163453.0</v>
      </c>
      <c r="S2667" s="107">
        <v>171626.0</v>
      </c>
      <c r="T2667" s="65">
        <f t="shared" si="93"/>
        <v>27460.16</v>
      </c>
      <c r="U2667" s="65">
        <f t="shared" si="94"/>
        <v>199086.16</v>
      </c>
      <c r="V2667" s="66">
        <f t="shared" si="134"/>
        <v>0.05000214129</v>
      </c>
      <c r="W2667" s="67">
        <f t="shared" si="96"/>
        <v>163044.7</v>
      </c>
      <c r="X2667" s="67">
        <f t="shared" si="132"/>
        <v>26087.152</v>
      </c>
      <c r="Y2667" s="67">
        <f t="shared" si="133"/>
        <v>189131.852</v>
      </c>
      <c r="Z2667" s="67">
        <f t="shared" si="99"/>
        <v>154463.4</v>
      </c>
      <c r="AA2667" s="67">
        <f t="shared" si="114"/>
        <v>24714.144</v>
      </c>
      <c r="AB2667" s="67">
        <f t="shared" si="115"/>
        <v>179177.544</v>
      </c>
      <c r="AC2667" s="67">
        <f t="shared" si="102"/>
        <v>154463.4</v>
      </c>
      <c r="AD2667" s="67">
        <f t="shared" si="116"/>
        <v>24714.144</v>
      </c>
      <c r="AE2667" s="67">
        <f t="shared" si="117"/>
        <v>179177.544</v>
      </c>
      <c r="AF2667" s="67">
        <f t="shared" si="105"/>
        <v>154463.4</v>
      </c>
      <c r="AG2667" s="67">
        <f t="shared" si="118"/>
        <v>24714.144</v>
      </c>
      <c r="AH2667" s="67">
        <f t="shared" si="119"/>
        <v>179177.544</v>
      </c>
      <c r="AI2667" s="67">
        <f t="shared" si="108"/>
        <v>154463.4</v>
      </c>
      <c r="AJ2667" s="68">
        <f t="shared" si="126"/>
        <v>24714.144</v>
      </c>
      <c r="AK2667" s="68">
        <f t="shared" si="127"/>
        <v>179177.544</v>
      </c>
      <c r="AL2667" s="70"/>
      <c r="AM2667" s="70"/>
      <c r="AN2667" s="71"/>
      <c r="AO2667" s="71"/>
      <c r="AP2667" s="71"/>
      <c r="AQ2667" s="71"/>
      <c r="AR2667" s="71"/>
      <c r="AS2667" s="71"/>
      <c r="AT2667" s="71"/>
      <c r="AU2667" s="71"/>
      <c r="AV2667" s="71"/>
      <c r="AW2667" s="71"/>
      <c r="AX2667" s="71"/>
      <c r="AY2667" s="71"/>
      <c r="AZ2667" s="71"/>
      <c r="BA2667" s="71"/>
      <c r="BB2667" s="71"/>
      <c r="BC2667" s="71"/>
      <c r="BD2667" s="71"/>
      <c r="BE2667" s="71"/>
      <c r="BF2667" s="71"/>
      <c r="BG2667" s="71"/>
      <c r="BH2667" s="71"/>
      <c r="BI2667" s="71"/>
      <c r="BJ2667" s="71"/>
      <c r="BK2667" s="71"/>
      <c r="BL2667" s="71"/>
      <c r="BM2667" s="71"/>
      <c r="BN2667" s="71"/>
      <c r="BO2667" s="71"/>
      <c r="BP2667" s="71"/>
      <c r="BQ2667" s="71"/>
      <c r="BR2667" s="71"/>
      <c r="BS2667" s="71"/>
      <c r="BT2667" s="71"/>
      <c r="BU2667" s="71"/>
      <c r="BV2667" s="71"/>
    </row>
    <row r="2668">
      <c r="A2668" s="53"/>
      <c r="B2668" s="53">
        <v>3.0</v>
      </c>
      <c r="C2668" s="53" t="s">
        <v>36</v>
      </c>
      <c r="D2668" s="98" t="s">
        <v>6556</v>
      </c>
      <c r="E2668" s="54" t="s">
        <v>38</v>
      </c>
      <c r="F2668" s="55" t="s">
        <v>96</v>
      </c>
      <c r="G2668" s="202" t="s">
        <v>6557</v>
      </c>
      <c r="H2668" s="55"/>
      <c r="I2668" s="54">
        <f t="shared" si="125"/>
        <v>0</v>
      </c>
      <c r="J2668" s="56"/>
      <c r="K2668" s="57"/>
      <c r="L2668" s="76"/>
      <c r="M2668" s="59"/>
      <c r="N2668" s="60"/>
      <c r="O2668" s="61">
        <v>128171.0</v>
      </c>
      <c r="P2668" s="62">
        <v>138424.68000000002</v>
      </c>
      <c r="Q2668" s="63">
        <v>138424.68000000002</v>
      </c>
      <c r="R2668" s="64">
        <v>152614.0</v>
      </c>
      <c r="S2668" s="107">
        <v>160245.0</v>
      </c>
      <c r="T2668" s="65">
        <f t="shared" si="93"/>
        <v>25639.2</v>
      </c>
      <c r="U2668" s="65">
        <f t="shared" si="94"/>
        <v>185884.2</v>
      </c>
      <c r="V2668" s="66">
        <f t="shared" si="134"/>
        <v>0.05000196574</v>
      </c>
      <c r="W2668" s="67">
        <f t="shared" si="96"/>
        <v>152232.75</v>
      </c>
      <c r="X2668" s="67">
        <f t="shared" si="132"/>
        <v>24357.24</v>
      </c>
      <c r="Y2668" s="67">
        <f t="shared" si="133"/>
        <v>176589.99</v>
      </c>
      <c r="Z2668" s="67">
        <f t="shared" si="99"/>
        <v>144220.5</v>
      </c>
      <c r="AA2668" s="67">
        <f t="shared" si="114"/>
        <v>23075.28</v>
      </c>
      <c r="AB2668" s="67">
        <f t="shared" si="115"/>
        <v>167295.78</v>
      </c>
      <c r="AC2668" s="67">
        <f t="shared" si="102"/>
        <v>144220.5</v>
      </c>
      <c r="AD2668" s="67">
        <f t="shared" si="116"/>
        <v>23075.28</v>
      </c>
      <c r="AE2668" s="67">
        <f t="shared" si="117"/>
        <v>167295.78</v>
      </c>
      <c r="AF2668" s="67">
        <f t="shared" si="105"/>
        <v>144220.5</v>
      </c>
      <c r="AG2668" s="67">
        <f t="shared" si="118"/>
        <v>23075.28</v>
      </c>
      <c r="AH2668" s="67">
        <f t="shared" si="119"/>
        <v>167295.78</v>
      </c>
      <c r="AI2668" s="67">
        <f t="shared" si="108"/>
        <v>144220.5</v>
      </c>
      <c r="AJ2668" s="68">
        <f t="shared" si="126"/>
        <v>23075.28</v>
      </c>
      <c r="AK2668" s="68">
        <f t="shared" si="127"/>
        <v>167295.78</v>
      </c>
      <c r="AL2668" s="70"/>
      <c r="AM2668" s="70"/>
      <c r="AN2668" s="71"/>
      <c r="AO2668" s="71"/>
      <c r="AP2668" s="71"/>
      <c r="AQ2668" s="71"/>
      <c r="AR2668" s="71"/>
      <c r="AS2668" s="71"/>
      <c r="AT2668" s="71"/>
      <c r="AU2668" s="71"/>
      <c r="AV2668" s="71"/>
      <c r="AW2668" s="71"/>
      <c r="AX2668" s="71"/>
      <c r="AY2668" s="71"/>
      <c r="AZ2668" s="71"/>
      <c r="BA2668" s="71"/>
      <c r="BB2668" s="71"/>
      <c r="BC2668" s="71"/>
      <c r="BD2668" s="71"/>
      <c r="BE2668" s="71"/>
      <c r="BF2668" s="71"/>
      <c r="BG2668" s="71"/>
      <c r="BH2668" s="71"/>
      <c r="BI2668" s="71"/>
      <c r="BJ2668" s="71"/>
      <c r="BK2668" s="71"/>
      <c r="BL2668" s="71"/>
      <c r="BM2668" s="71"/>
      <c r="BN2668" s="71"/>
      <c r="BO2668" s="71"/>
      <c r="BP2668" s="71"/>
      <c r="BQ2668" s="71"/>
      <c r="BR2668" s="71"/>
      <c r="BS2668" s="71"/>
      <c r="BT2668" s="71"/>
      <c r="BU2668" s="71"/>
      <c r="BV2668" s="71"/>
    </row>
    <row r="2669">
      <c r="A2669" s="53"/>
      <c r="B2669" s="53">
        <v>3.0</v>
      </c>
      <c r="C2669" s="53" t="s">
        <v>36</v>
      </c>
      <c r="D2669" s="98" t="s">
        <v>6558</v>
      </c>
      <c r="E2669" s="54" t="s">
        <v>38</v>
      </c>
      <c r="F2669" s="55" t="s">
        <v>96</v>
      </c>
      <c r="G2669" s="202" t="s">
        <v>6559</v>
      </c>
      <c r="H2669" s="55"/>
      <c r="I2669" s="54">
        <f t="shared" si="125"/>
        <v>0</v>
      </c>
      <c r="J2669" s="56"/>
      <c r="K2669" s="57"/>
      <c r="L2669" s="76"/>
      <c r="M2669" s="59"/>
      <c r="N2669" s="60"/>
      <c r="O2669" s="61">
        <v>145121.0</v>
      </c>
      <c r="P2669" s="62">
        <v>156730.68000000002</v>
      </c>
      <c r="Q2669" s="63">
        <v>156730.68000000002</v>
      </c>
      <c r="R2669" s="64">
        <v>172797.0</v>
      </c>
      <c r="S2669" s="107">
        <v>181437.0</v>
      </c>
      <c r="T2669" s="65">
        <f t="shared" si="93"/>
        <v>29029.92</v>
      </c>
      <c r="U2669" s="65">
        <f t="shared" si="94"/>
        <v>210466.92</v>
      </c>
      <c r="V2669" s="66">
        <f t="shared" si="134"/>
        <v>0.05000086807</v>
      </c>
      <c r="W2669" s="67">
        <f t="shared" si="96"/>
        <v>172365.15</v>
      </c>
      <c r="X2669" s="67">
        <f t="shared" si="132"/>
        <v>27578.424</v>
      </c>
      <c r="Y2669" s="67">
        <f t="shared" si="133"/>
        <v>199943.574</v>
      </c>
      <c r="Z2669" s="67">
        <f t="shared" si="99"/>
        <v>163293.3</v>
      </c>
      <c r="AA2669" s="67">
        <f t="shared" si="114"/>
        <v>26126.928</v>
      </c>
      <c r="AB2669" s="67">
        <f t="shared" si="115"/>
        <v>189420.228</v>
      </c>
      <c r="AC2669" s="67">
        <f t="shared" si="102"/>
        <v>163293.3</v>
      </c>
      <c r="AD2669" s="67">
        <f t="shared" si="116"/>
        <v>26126.928</v>
      </c>
      <c r="AE2669" s="67">
        <f t="shared" si="117"/>
        <v>189420.228</v>
      </c>
      <c r="AF2669" s="67">
        <f t="shared" si="105"/>
        <v>163293.3</v>
      </c>
      <c r="AG2669" s="67">
        <f t="shared" si="118"/>
        <v>26126.928</v>
      </c>
      <c r="AH2669" s="67">
        <f t="shared" si="119"/>
        <v>189420.228</v>
      </c>
      <c r="AI2669" s="67">
        <f t="shared" si="108"/>
        <v>163293.3</v>
      </c>
      <c r="AJ2669" s="68">
        <f t="shared" si="126"/>
        <v>26126.928</v>
      </c>
      <c r="AK2669" s="68">
        <f t="shared" si="127"/>
        <v>189420.228</v>
      </c>
      <c r="AL2669" s="70"/>
      <c r="AM2669" s="70"/>
      <c r="AN2669" s="71"/>
      <c r="AO2669" s="71"/>
      <c r="AP2669" s="71"/>
      <c r="AQ2669" s="71"/>
      <c r="AR2669" s="71"/>
      <c r="AS2669" s="71"/>
      <c r="AT2669" s="71"/>
      <c r="AU2669" s="71"/>
      <c r="AV2669" s="71"/>
      <c r="AW2669" s="71"/>
      <c r="AX2669" s="71"/>
      <c r="AY2669" s="71"/>
      <c r="AZ2669" s="71"/>
      <c r="BA2669" s="71"/>
      <c r="BB2669" s="71"/>
      <c r="BC2669" s="71"/>
      <c r="BD2669" s="71"/>
      <c r="BE2669" s="71"/>
      <c r="BF2669" s="71"/>
      <c r="BG2669" s="71"/>
      <c r="BH2669" s="71"/>
      <c r="BI2669" s="71"/>
      <c r="BJ2669" s="71"/>
      <c r="BK2669" s="71"/>
      <c r="BL2669" s="71"/>
      <c r="BM2669" s="71"/>
      <c r="BN2669" s="71"/>
      <c r="BO2669" s="71"/>
      <c r="BP2669" s="71"/>
      <c r="BQ2669" s="71"/>
      <c r="BR2669" s="71"/>
      <c r="BS2669" s="71"/>
      <c r="BT2669" s="71"/>
      <c r="BU2669" s="71"/>
      <c r="BV2669" s="71"/>
    </row>
    <row r="2670">
      <c r="A2670" s="53"/>
      <c r="B2670" s="53">
        <v>3.0</v>
      </c>
      <c r="C2670" s="53" t="s">
        <v>36</v>
      </c>
      <c r="D2670" s="98" t="s">
        <v>6560</v>
      </c>
      <c r="E2670" s="54" t="s">
        <v>38</v>
      </c>
      <c r="F2670" s="55" t="s">
        <v>96</v>
      </c>
      <c r="G2670" s="202" t="s">
        <v>6561</v>
      </c>
      <c r="H2670" s="55"/>
      <c r="I2670" s="54">
        <f t="shared" si="125"/>
        <v>0</v>
      </c>
      <c r="J2670" s="56"/>
      <c r="K2670" s="57"/>
      <c r="L2670" s="76"/>
      <c r="M2670" s="59"/>
      <c r="N2670" s="60"/>
      <c r="O2670" s="61">
        <v>136019.0</v>
      </c>
      <c r="P2670" s="62">
        <v>146900.52000000002</v>
      </c>
      <c r="Q2670" s="63">
        <v>146900.52000000002</v>
      </c>
      <c r="R2670" s="64">
        <v>161959.0</v>
      </c>
      <c r="S2670" s="107">
        <v>170057.0</v>
      </c>
      <c r="T2670" s="65">
        <f t="shared" si="93"/>
        <v>27209.12</v>
      </c>
      <c r="U2670" s="65">
        <f t="shared" si="94"/>
        <v>197266.12</v>
      </c>
      <c r="V2670" s="66">
        <f t="shared" si="134"/>
        <v>0.05000030872</v>
      </c>
      <c r="W2670" s="67">
        <f t="shared" si="96"/>
        <v>161554.15</v>
      </c>
      <c r="X2670" s="67">
        <f t="shared" si="132"/>
        <v>25848.664</v>
      </c>
      <c r="Y2670" s="67">
        <f t="shared" si="133"/>
        <v>187402.814</v>
      </c>
      <c r="Z2670" s="67">
        <f t="shared" si="99"/>
        <v>153051.3</v>
      </c>
      <c r="AA2670" s="67">
        <f t="shared" si="114"/>
        <v>24488.208</v>
      </c>
      <c r="AB2670" s="67">
        <f t="shared" si="115"/>
        <v>177539.508</v>
      </c>
      <c r="AC2670" s="67">
        <f t="shared" si="102"/>
        <v>153051.3</v>
      </c>
      <c r="AD2670" s="67">
        <f t="shared" si="116"/>
        <v>24488.208</v>
      </c>
      <c r="AE2670" s="67">
        <f t="shared" si="117"/>
        <v>177539.508</v>
      </c>
      <c r="AF2670" s="67">
        <f t="shared" si="105"/>
        <v>153051.3</v>
      </c>
      <c r="AG2670" s="67">
        <f t="shared" si="118"/>
        <v>24488.208</v>
      </c>
      <c r="AH2670" s="67">
        <f t="shared" si="119"/>
        <v>177539.508</v>
      </c>
      <c r="AI2670" s="67">
        <f t="shared" si="108"/>
        <v>153051.3</v>
      </c>
      <c r="AJ2670" s="68">
        <f t="shared" si="126"/>
        <v>24488.208</v>
      </c>
      <c r="AK2670" s="68">
        <f t="shared" si="127"/>
        <v>177539.508</v>
      </c>
      <c r="AL2670" s="70"/>
      <c r="AM2670" s="70"/>
      <c r="AN2670" s="71"/>
      <c r="AO2670" s="71"/>
      <c r="AP2670" s="71"/>
      <c r="AQ2670" s="71"/>
      <c r="AR2670" s="71"/>
      <c r="AS2670" s="71"/>
      <c r="AT2670" s="71"/>
      <c r="AU2670" s="71"/>
      <c r="AV2670" s="71"/>
      <c r="AW2670" s="71"/>
      <c r="AX2670" s="71"/>
      <c r="AY2670" s="71"/>
      <c r="AZ2670" s="71"/>
      <c r="BA2670" s="71"/>
      <c r="BB2670" s="71"/>
      <c r="BC2670" s="71"/>
      <c r="BD2670" s="71"/>
      <c r="BE2670" s="71"/>
      <c r="BF2670" s="71"/>
      <c r="BG2670" s="71"/>
      <c r="BH2670" s="71"/>
      <c r="BI2670" s="71"/>
      <c r="BJ2670" s="71"/>
      <c r="BK2670" s="71"/>
      <c r="BL2670" s="71"/>
      <c r="BM2670" s="71"/>
      <c r="BN2670" s="71"/>
      <c r="BO2670" s="71"/>
      <c r="BP2670" s="71"/>
      <c r="BQ2670" s="71"/>
      <c r="BR2670" s="71"/>
      <c r="BS2670" s="71"/>
      <c r="BT2670" s="71"/>
      <c r="BU2670" s="71"/>
      <c r="BV2670" s="71"/>
    </row>
    <row r="2671">
      <c r="A2671" s="53"/>
      <c r="B2671" s="53">
        <v>3.0</v>
      </c>
      <c r="C2671" s="53" t="s">
        <v>36</v>
      </c>
      <c r="D2671" s="98" t="s">
        <v>6562</v>
      </c>
      <c r="E2671" s="54" t="s">
        <v>38</v>
      </c>
      <c r="F2671" s="55" t="s">
        <v>96</v>
      </c>
      <c r="G2671" s="202" t="s">
        <v>6563</v>
      </c>
      <c r="H2671" s="55"/>
      <c r="I2671" s="54">
        <f t="shared" si="125"/>
        <v>0</v>
      </c>
      <c r="J2671" s="56"/>
      <c r="K2671" s="57"/>
      <c r="L2671" s="76"/>
      <c r="M2671" s="59"/>
      <c r="N2671" s="60"/>
      <c r="O2671" s="61">
        <v>152967.0</v>
      </c>
      <c r="P2671" s="62">
        <v>165204.36000000002</v>
      </c>
      <c r="Q2671" s="63">
        <v>165204.36000000002</v>
      </c>
      <c r="R2671" s="64">
        <v>182138.0</v>
      </c>
      <c r="S2671" s="107">
        <v>191245.0</v>
      </c>
      <c r="T2671" s="65">
        <f t="shared" si="93"/>
        <v>30599.2</v>
      </c>
      <c r="U2671" s="65">
        <f t="shared" si="94"/>
        <v>221844.2</v>
      </c>
      <c r="V2671" s="66">
        <f t="shared" si="134"/>
        <v>0.05000054903</v>
      </c>
      <c r="W2671" s="67">
        <f t="shared" si="96"/>
        <v>181682.75</v>
      </c>
      <c r="X2671" s="67">
        <f t="shared" si="132"/>
        <v>29069.24</v>
      </c>
      <c r="Y2671" s="67">
        <f t="shared" si="133"/>
        <v>210751.99</v>
      </c>
      <c r="Z2671" s="67">
        <f t="shared" si="99"/>
        <v>172120.5</v>
      </c>
      <c r="AA2671" s="67">
        <f t="shared" si="114"/>
        <v>27539.28</v>
      </c>
      <c r="AB2671" s="67">
        <f t="shared" si="115"/>
        <v>199659.78</v>
      </c>
      <c r="AC2671" s="67">
        <f t="shared" si="102"/>
        <v>172120.5</v>
      </c>
      <c r="AD2671" s="67">
        <f t="shared" si="116"/>
        <v>27539.28</v>
      </c>
      <c r="AE2671" s="67">
        <f t="shared" si="117"/>
        <v>199659.78</v>
      </c>
      <c r="AF2671" s="67">
        <f t="shared" si="105"/>
        <v>172120.5</v>
      </c>
      <c r="AG2671" s="67">
        <f t="shared" si="118"/>
        <v>27539.28</v>
      </c>
      <c r="AH2671" s="67">
        <f t="shared" si="119"/>
        <v>199659.78</v>
      </c>
      <c r="AI2671" s="67">
        <f t="shared" si="108"/>
        <v>172120.5</v>
      </c>
      <c r="AJ2671" s="68">
        <f t="shared" si="126"/>
        <v>27539.28</v>
      </c>
      <c r="AK2671" s="68">
        <f t="shared" si="127"/>
        <v>199659.78</v>
      </c>
      <c r="AL2671" s="70"/>
      <c r="AM2671" s="70"/>
      <c r="AN2671" s="71"/>
      <c r="AO2671" s="71"/>
      <c r="AP2671" s="71"/>
      <c r="AQ2671" s="71"/>
      <c r="AR2671" s="71"/>
      <c r="AS2671" s="71"/>
      <c r="AT2671" s="71"/>
      <c r="AU2671" s="71"/>
      <c r="AV2671" s="71"/>
      <c r="AW2671" s="71"/>
      <c r="AX2671" s="71"/>
      <c r="AY2671" s="71"/>
      <c r="AZ2671" s="71"/>
      <c r="BA2671" s="71"/>
      <c r="BB2671" s="71"/>
      <c r="BC2671" s="71"/>
      <c r="BD2671" s="71"/>
      <c r="BE2671" s="71"/>
      <c r="BF2671" s="71"/>
      <c r="BG2671" s="71"/>
      <c r="BH2671" s="71"/>
      <c r="BI2671" s="71"/>
      <c r="BJ2671" s="71"/>
      <c r="BK2671" s="71"/>
      <c r="BL2671" s="71"/>
      <c r="BM2671" s="71"/>
      <c r="BN2671" s="71"/>
      <c r="BO2671" s="71"/>
      <c r="BP2671" s="71"/>
      <c r="BQ2671" s="71"/>
      <c r="BR2671" s="71"/>
      <c r="BS2671" s="71"/>
      <c r="BT2671" s="71"/>
      <c r="BU2671" s="71"/>
      <c r="BV2671" s="71"/>
    </row>
    <row r="2672">
      <c r="A2672" s="53"/>
      <c r="B2672" s="53">
        <v>3.0</v>
      </c>
      <c r="C2672" s="53" t="s">
        <v>36</v>
      </c>
      <c r="D2672" s="98" t="s">
        <v>6564</v>
      </c>
      <c r="E2672" s="54" t="s">
        <v>38</v>
      </c>
      <c r="F2672" s="55" t="s">
        <v>96</v>
      </c>
      <c r="G2672" s="202" t="s">
        <v>6565</v>
      </c>
      <c r="H2672" s="55"/>
      <c r="I2672" s="54">
        <f t="shared" si="125"/>
        <v>0</v>
      </c>
      <c r="J2672" s="56"/>
      <c r="K2672" s="57"/>
      <c r="L2672" s="76"/>
      <c r="M2672" s="59"/>
      <c r="N2672" s="60"/>
      <c r="O2672" s="61">
        <v>143866.0</v>
      </c>
      <c r="P2672" s="62">
        <v>155375.28</v>
      </c>
      <c r="Q2672" s="63">
        <v>155375.28</v>
      </c>
      <c r="R2672" s="64">
        <v>171302.0</v>
      </c>
      <c r="S2672" s="107">
        <v>179867.0</v>
      </c>
      <c r="T2672" s="65">
        <f t="shared" si="93"/>
        <v>28778.72</v>
      </c>
      <c r="U2672" s="65">
        <f t="shared" si="94"/>
        <v>208645.72</v>
      </c>
      <c r="V2672" s="66">
        <f t="shared" si="134"/>
        <v>0.04999941624</v>
      </c>
      <c r="W2672" s="67">
        <f t="shared" si="96"/>
        <v>170873.65</v>
      </c>
      <c r="X2672" s="67">
        <f t="shared" si="132"/>
        <v>27339.784</v>
      </c>
      <c r="Y2672" s="67">
        <f t="shared" si="133"/>
        <v>198213.434</v>
      </c>
      <c r="Z2672" s="67">
        <f t="shared" si="99"/>
        <v>161880.3</v>
      </c>
      <c r="AA2672" s="67">
        <f t="shared" si="114"/>
        <v>25900.848</v>
      </c>
      <c r="AB2672" s="67">
        <f t="shared" si="115"/>
        <v>187781.148</v>
      </c>
      <c r="AC2672" s="67">
        <f t="shared" si="102"/>
        <v>161880.3</v>
      </c>
      <c r="AD2672" s="67">
        <f t="shared" si="116"/>
        <v>25900.848</v>
      </c>
      <c r="AE2672" s="67">
        <f t="shared" si="117"/>
        <v>187781.148</v>
      </c>
      <c r="AF2672" s="67">
        <f t="shared" si="105"/>
        <v>161880.3</v>
      </c>
      <c r="AG2672" s="67">
        <f t="shared" si="118"/>
        <v>25900.848</v>
      </c>
      <c r="AH2672" s="67">
        <f t="shared" si="119"/>
        <v>187781.148</v>
      </c>
      <c r="AI2672" s="67">
        <f t="shared" si="108"/>
        <v>161880.3</v>
      </c>
      <c r="AJ2672" s="68">
        <f t="shared" si="126"/>
        <v>25900.848</v>
      </c>
      <c r="AK2672" s="68">
        <f t="shared" si="127"/>
        <v>187781.148</v>
      </c>
      <c r="AL2672" s="70"/>
      <c r="AM2672" s="70"/>
      <c r="AN2672" s="71"/>
      <c r="AO2672" s="71"/>
      <c r="AP2672" s="71"/>
      <c r="AQ2672" s="71"/>
      <c r="AR2672" s="71"/>
      <c r="AS2672" s="71"/>
      <c r="AT2672" s="71"/>
      <c r="AU2672" s="71"/>
      <c r="AV2672" s="71"/>
      <c r="AW2672" s="71"/>
      <c r="AX2672" s="71"/>
      <c r="AY2672" s="71"/>
      <c r="AZ2672" s="71"/>
      <c r="BA2672" s="71"/>
      <c r="BB2672" s="71"/>
      <c r="BC2672" s="71"/>
      <c r="BD2672" s="71"/>
      <c r="BE2672" s="71"/>
      <c r="BF2672" s="71"/>
      <c r="BG2672" s="71"/>
      <c r="BH2672" s="71"/>
      <c r="BI2672" s="71"/>
      <c r="BJ2672" s="71"/>
      <c r="BK2672" s="71"/>
      <c r="BL2672" s="71"/>
      <c r="BM2672" s="71"/>
      <c r="BN2672" s="71"/>
      <c r="BO2672" s="71"/>
      <c r="BP2672" s="71"/>
      <c r="BQ2672" s="71"/>
      <c r="BR2672" s="71"/>
      <c r="BS2672" s="71"/>
      <c r="BT2672" s="71"/>
      <c r="BU2672" s="71"/>
      <c r="BV2672" s="71"/>
    </row>
    <row r="2673">
      <c r="A2673" s="53"/>
      <c r="B2673" s="53">
        <v>3.0</v>
      </c>
      <c r="C2673" s="53" t="s">
        <v>36</v>
      </c>
      <c r="D2673" s="98" t="s">
        <v>6566</v>
      </c>
      <c r="E2673" s="54" t="s">
        <v>38</v>
      </c>
      <c r="F2673" s="55" t="s">
        <v>96</v>
      </c>
      <c r="G2673" s="55" t="s">
        <v>6567</v>
      </c>
      <c r="H2673" s="55" t="s">
        <v>6568</v>
      </c>
      <c r="I2673" s="54">
        <f t="shared" si="125"/>
        <v>40</v>
      </c>
      <c r="J2673" s="56"/>
      <c r="K2673" s="57"/>
      <c r="L2673" s="76"/>
      <c r="M2673" s="59"/>
      <c r="N2673" s="60"/>
      <c r="O2673" s="61">
        <v>363962.0</v>
      </c>
      <c r="P2673" s="62">
        <v>499086.0</v>
      </c>
      <c r="Q2673" s="63">
        <v>499086.0</v>
      </c>
      <c r="R2673" s="78">
        <v>499664.0</v>
      </c>
      <c r="S2673" s="107">
        <v>524647.0</v>
      </c>
      <c r="T2673" s="65">
        <f t="shared" si="93"/>
        <v>83943.52</v>
      </c>
      <c r="U2673" s="65">
        <f t="shared" si="94"/>
        <v>608590.52</v>
      </c>
      <c r="V2673" s="66">
        <f t="shared" si="134"/>
        <v>0.04999959973</v>
      </c>
      <c r="W2673" s="67">
        <f t="shared" si="96"/>
        <v>498414.65</v>
      </c>
      <c r="X2673" s="67">
        <f t="shared" si="132"/>
        <v>79746.344</v>
      </c>
      <c r="Y2673" s="67">
        <f t="shared" si="133"/>
        <v>578160.994</v>
      </c>
      <c r="Z2673" s="67">
        <f t="shared" si="99"/>
        <v>472182.3</v>
      </c>
      <c r="AA2673" s="67">
        <f t="shared" si="114"/>
        <v>75549.168</v>
      </c>
      <c r="AB2673" s="67">
        <f t="shared" si="115"/>
        <v>547731.468</v>
      </c>
      <c r="AC2673" s="67">
        <f t="shared" si="102"/>
        <v>472182.3</v>
      </c>
      <c r="AD2673" s="67">
        <f t="shared" si="116"/>
        <v>75549.168</v>
      </c>
      <c r="AE2673" s="67">
        <f t="shared" si="117"/>
        <v>547731.468</v>
      </c>
      <c r="AF2673" s="67">
        <f t="shared" si="105"/>
        <v>472182.3</v>
      </c>
      <c r="AG2673" s="67">
        <f t="shared" si="118"/>
        <v>75549.168</v>
      </c>
      <c r="AH2673" s="67">
        <f t="shared" si="119"/>
        <v>547731.468</v>
      </c>
      <c r="AI2673" s="67">
        <f t="shared" si="108"/>
        <v>472182.3</v>
      </c>
      <c r="AJ2673" s="68">
        <f t="shared" si="126"/>
        <v>75549.168</v>
      </c>
      <c r="AK2673" s="68">
        <f t="shared" si="127"/>
        <v>547731.468</v>
      </c>
      <c r="AL2673" s="70"/>
      <c r="AM2673" s="70"/>
      <c r="AN2673" s="71"/>
      <c r="AO2673" s="71"/>
      <c r="AP2673" s="71"/>
      <c r="AQ2673" s="71"/>
      <c r="AR2673" s="71"/>
      <c r="AS2673" s="71"/>
      <c r="AT2673" s="71"/>
      <c r="AU2673" s="71"/>
      <c r="AV2673" s="71"/>
      <c r="AW2673" s="71"/>
      <c r="AX2673" s="71"/>
      <c r="AY2673" s="71"/>
      <c r="AZ2673" s="71"/>
      <c r="BA2673" s="71"/>
      <c r="BB2673" s="71"/>
      <c r="BC2673" s="71"/>
      <c r="BD2673" s="71"/>
      <c r="BE2673" s="71"/>
      <c r="BF2673" s="71"/>
      <c r="BG2673" s="71"/>
      <c r="BH2673" s="71"/>
      <c r="BI2673" s="71"/>
      <c r="BJ2673" s="71"/>
      <c r="BK2673" s="71"/>
      <c r="BL2673" s="71"/>
      <c r="BM2673" s="71"/>
      <c r="BN2673" s="71"/>
      <c r="BO2673" s="71"/>
      <c r="BP2673" s="71"/>
      <c r="BQ2673" s="71"/>
      <c r="BR2673" s="71"/>
      <c r="BS2673" s="71"/>
      <c r="BT2673" s="71"/>
      <c r="BU2673" s="71"/>
      <c r="BV2673" s="71"/>
    </row>
    <row r="2674">
      <c r="A2674" s="53"/>
      <c r="B2674" s="53">
        <v>0.0</v>
      </c>
      <c r="C2674" s="53" t="s">
        <v>36</v>
      </c>
      <c r="D2674" s="98" t="s">
        <v>6569</v>
      </c>
      <c r="E2674" s="54" t="s">
        <v>38</v>
      </c>
      <c r="F2674" s="55" t="s">
        <v>96</v>
      </c>
      <c r="G2674" s="55" t="s">
        <v>6570</v>
      </c>
      <c r="H2674" s="55"/>
      <c r="I2674" s="54">
        <f t="shared" si="125"/>
        <v>0</v>
      </c>
      <c r="J2674" s="56"/>
      <c r="K2674" s="57"/>
      <c r="L2674" s="76" t="s">
        <v>661</v>
      </c>
      <c r="M2674" s="59"/>
      <c r="N2674" s="60"/>
      <c r="O2674" s="61">
        <v>213379.0</v>
      </c>
      <c r="P2674" s="62">
        <v>230449.32</v>
      </c>
      <c r="Q2674" s="63">
        <v>230449.32</v>
      </c>
      <c r="R2674" s="64">
        <v>254070.0</v>
      </c>
      <c r="S2674" s="107">
        <v>266774.0</v>
      </c>
      <c r="T2674" s="65">
        <f t="shared" si="93"/>
        <v>42683.84</v>
      </c>
      <c r="U2674" s="65">
        <f t="shared" si="94"/>
        <v>309457.84</v>
      </c>
      <c r="V2674" s="66">
        <f t="shared" si="134"/>
        <v>0.05000196796</v>
      </c>
      <c r="W2674" s="67" t="b">
        <f t="shared" si="96"/>
        <v>0</v>
      </c>
      <c r="X2674" s="67">
        <f t="shared" si="132"/>
        <v>0</v>
      </c>
      <c r="Y2674" s="67">
        <f t="shared" si="133"/>
        <v>0</v>
      </c>
      <c r="Z2674" s="67" t="b">
        <f t="shared" si="99"/>
        <v>0</v>
      </c>
      <c r="AA2674" s="67">
        <f t="shared" si="114"/>
        <v>0</v>
      </c>
      <c r="AB2674" s="67">
        <f t="shared" si="115"/>
        <v>0</v>
      </c>
      <c r="AC2674" s="67" t="b">
        <f t="shared" si="102"/>
        <v>0</v>
      </c>
      <c r="AD2674" s="67">
        <f t="shared" si="116"/>
        <v>0</v>
      </c>
      <c r="AE2674" s="67">
        <f t="shared" si="117"/>
        <v>0</v>
      </c>
      <c r="AF2674" s="67" t="b">
        <f t="shared" si="105"/>
        <v>0</v>
      </c>
      <c r="AG2674" s="67">
        <f t="shared" si="118"/>
        <v>0</v>
      </c>
      <c r="AH2674" s="67">
        <f t="shared" si="119"/>
        <v>0</v>
      </c>
      <c r="AI2674" s="67" t="b">
        <f t="shared" si="108"/>
        <v>0</v>
      </c>
      <c r="AJ2674" s="68">
        <f t="shared" si="126"/>
        <v>0</v>
      </c>
      <c r="AK2674" s="68">
        <f t="shared" si="127"/>
        <v>0</v>
      </c>
      <c r="AL2674" s="70"/>
      <c r="AM2674" s="70"/>
      <c r="AN2674" s="71"/>
      <c r="AO2674" s="71"/>
      <c r="AP2674" s="71"/>
      <c r="AQ2674" s="71"/>
      <c r="AR2674" s="71"/>
      <c r="AS2674" s="71"/>
      <c r="AT2674" s="71"/>
      <c r="AU2674" s="71"/>
      <c r="AV2674" s="71"/>
      <c r="AW2674" s="71"/>
      <c r="AX2674" s="71"/>
      <c r="AY2674" s="71"/>
      <c r="AZ2674" s="71"/>
      <c r="BA2674" s="71"/>
      <c r="BB2674" s="71"/>
      <c r="BC2674" s="71"/>
      <c r="BD2674" s="71"/>
      <c r="BE2674" s="71"/>
      <c r="BF2674" s="71"/>
      <c r="BG2674" s="71"/>
      <c r="BH2674" s="71"/>
      <c r="BI2674" s="71"/>
      <c r="BJ2674" s="71"/>
      <c r="BK2674" s="71"/>
      <c r="BL2674" s="71"/>
      <c r="BM2674" s="71"/>
      <c r="BN2674" s="71"/>
      <c r="BO2674" s="71"/>
      <c r="BP2674" s="71"/>
      <c r="BQ2674" s="71"/>
      <c r="BR2674" s="71"/>
      <c r="BS2674" s="71"/>
      <c r="BT2674" s="71"/>
      <c r="BU2674" s="71"/>
      <c r="BV2674" s="71"/>
    </row>
    <row r="2675">
      <c r="A2675" s="53"/>
      <c r="B2675" s="53">
        <v>3.0</v>
      </c>
      <c r="C2675" s="53" t="s">
        <v>36</v>
      </c>
      <c r="D2675" s="98" t="s">
        <v>6571</v>
      </c>
      <c r="E2675" s="54" t="s">
        <v>38</v>
      </c>
      <c r="F2675" s="55" t="s">
        <v>96</v>
      </c>
      <c r="G2675" s="202" t="s">
        <v>6572</v>
      </c>
      <c r="H2675" s="55"/>
      <c r="I2675" s="54">
        <f t="shared" si="125"/>
        <v>0</v>
      </c>
      <c r="J2675" s="56"/>
      <c r="K2675" s="57"/>
      <c r="L2675" s="76"/>
      <c r="M2675" s="59"/>
      <c r="N2675" s="60"/>
      <c r="O2675" s="61">
        <v>225864.0</v>
      </c>
      <c r="P2675" s="62">
        <v>243933.12000000002</v>
      </c>
      <c r="Q2675" s="63">
        <v>243933.12000000002</v>
      </c>
      <c r="R2675" s="78">
        <v>298830.0</v>
      </c>
      <c r="S2675" s="107">
        <v>313772.0</v>
      </c>
      <c r="T2675" s="65">
        <f t="shared" si="93"/>
        <v>50203.52</v>
      </c>
      <c r="U2675" s="65">
        <f t="shared" si="94"/>
        <v>363975.52</v>
      </c>
      <c r="V2675" s="66">
        <f t="shared" si="134"/>
        <v>0.05000167319</v>
      </c>
      <c r="W2675" s="67">
        <f t="shared" si="96"/>
        <v>298083.4</v>
      </c>
      <c r="X2675" s="67">
        <f t="shared" si="132"/>
        <v>47693.344</v>
      </c>
      <c r="Y2675" s="67">
        <f t="shared" si="133"/>
        <v>345776.744</v>
      </c>
      <c r="Z2675" s="67">
        <f t="shared" si="99"/>
        <v>282394.8</v>
      </c>
      <c r="AA2675" s="67">
        <f t="shared" si="114"/>
        <v>45183.168</v>
      </c>
      <c r="AB2675" s="67">
        <f t="shared" si="115"/>
        <v>327577.968</v>
      </c>
      <c r="AC2675" s="67">
        <f t="shared" si="102"/>
        <v>282394.8</v>
      </c>
      <c r="AD2675" s="67">
        <f t="shared" si="116"/>
        <v>45183.168</v>
      </c>
      <c r="AE2675" s="67">
        <f t="shared" si="117"/>
        <v>327577.968</v>
      </c>
      <c r="AF2675" s="67">
        <f t="shared" si="105"/>
        <v>282394.8</v>
      </c>
      <c r="AG2675" s="67">
        <f t="shared" si="118"/>
        <v>45183.168</v>
      </c>
      <c r="AH2675" s="67">
        <f t="shared" si="119"/>
        <v>327577.968</v>
      </c>
      <c r="AI2675" s="67">
        <f t="shared" si="108"/>
        <v>282394.8</v>
      </c>
      <c r="AJ2675" s="68">
        <f t="shared" si="126"/>
        <v>45183.168</v>
      </c>
      <c r="AK2675" s="68">
        <f t="shared" si="127"/>
        <v>327577.968</v>
      </c>
      <c r="AL2675" s="70"/>
      <c r="AM2675" s="70"/>
      <c r="AN2675" s="71"/>
      <c r="AO2675" s="71"/>
      <c r="AP2675" s="71"/>
      <c r="AQ2675" s="71"/>
      <c r="AR2675" s="71"/>
      <c r="AS2675" s="71"/>
      <c r="AT2675" s="71"/>
      <c r="AU2675" s="71"/>
      <c r="AV2675" s="71"/>
      <c r="AW2675" s="71"/>
      <c r="AX2675" s="71"/>
      <c r="AY2675" s="71"/>
      <c r="AZ2675" s="71"/>
      <c r="BA2675" s="71"/>
      <c r="BB2675" s="71"/>
      <c r="BC2675" s="71"/>
      <c r="BD2675" s="71"/>
      <c r="BE2675" s="71"/>
      <c r="BF2675" s="71"/>
      <c r="BG2675" s="71"/>
      <c r="BH2675" s="71"/>
      <c r="BI2675" s="71"/>
      <c r="BJ2675" s="71"/>
      <c r="BK2675" s="71"/>
      <c r="BL2675" s="71"/>
      <c r="BM2675" s="71"/>
      <c r="BN2675" s="71"/>
      <c r="BO2675" s="71"/>
      <c r="BP2675" s="71"/>
      <c r="BQ2675" s="71"/>
      <c r="BR2675" s="71"/>
      <c r="BS2675" s="71"/>
      <c r="BT2675" s="71"/>
      <c r="BU2675" s="71"/>
      <c r="BV2675" s="71"/>
    </row>
    <row r="2676">
      <c r="A2676" s="53"/>
      <c r="B2676" s="53">
        <v>0.0</v>
      </c>
      <c r="C2676" s="53" t="s">
        <v>36</v>
      </c>
      <c r="D2676" s="98" t="s">
        <v>6573</v>
      </c>
      <c r="E2676" s="54" t="s">
        <v>38</v>
      </c>
      <c r="F2676" s="55" t="s">
        <v>96</v>
      </c>
      <c r="G2676" s="55" t="s">
        <v>6574</v>
      </c>
      <c r="H2676" s="55"/>
      <c r="I2676" s="54">
        <f t="shared" si="125"/>
        <v>0</v>
      </c>
      <c r="J2676" s="56"/>
      <c r="K2676" s="57"/>
      <c r="L2676" s="76" t="s">
        <v>661</v>
      </c>
      <c r="M2676" s="59"/>
      <c r="N2676" s="60"/>
      <c r="O2676" s="61">
        <v>212778.0</v>
      </c>
      <c r="P2676" s="62">
        <v>229800.24000000002</v>
      </c>
      <c r="Q2676" s="63">
        <v>229800.24000000002</v>
      </c>
      <c r="R2676" s="64">
        <v>253355.0</v>
      </c>
      <c r="S2676" s="107">
        <v>266023.0</v>
      </c>
      <c r="T2676" s="65">
        <f t="shared" si="93"/>
        <v>42563.68</v>
      </c>
      <c r="U2676" s="65">
        <f t="shared" si="94"/>
        <v>308586.68</v>
      </c>
      <c r="V2676" s="66">
        <f t="shared" si="134"/>
        <v>0.05000098676</v>
      </c>
      <c r="W2676" s="67" t="b">
        <f t="shared" si="96"/>
        <v>0</v>
      </c>
      <c r="X2676" s="67">
        <f t="shared" si="132"/>
        <v>0</v>
      </c>
      <c r="Y2676" s="67">
        <f t="shared" si="133"/>
        <v>0</v>
      </c>
      <c r="Z2676" s="67" t="b">
        <f t="shared" si="99"/>
        <v>0</v>
      </c>
      <c r="AA2676" s="67">
        <f t="shared" si="114"/>
        <v>0</v>
      </c>
      <c r="AB2676" s="67">
        <f t="shared" si="115"/>
        <v>0</v>
      </c>
      <c r="AC2676" s="67" t="b">
        <f t="shared" si="102"/>
        <v>0</v>
      </c>
      <c r="AD2676" s="67">
        <f t="shared" si="116"/>
        <v>0</v>
      </c>
      <c r="AE2676" s="67">
        <f t="shared" si="117"/>
        <v>0</v>
      </c>
      <c r="AF2676" s="67" t="b">
        <f t="shared" si="105"/>
        <v>0</v>
      </c>
      <c r="AG2676" s="67">
        <f t="shared" si="118"/>
        <v>0</v>
      </c>
      <c r="AH2676" s="67">
        <f t="shared" si="119"/>
        <v>0</v>
      </c>
      <c r="AI2676" s="67" t="b">
        <f t="shared" si="108"/>
        <v>0</v>
      </c>
      <c r="AJ2676" s="68">
        <f t="shared" si="126"/>
        <v>0</v>
      </c>
      <c r="AK2676" s="68">
        <f t="shared" si="127"/>
        <v>0</v>
      </c>
      <c r="AL2676" s="70"/>
      <c r="AM2676" s="70"/>
      <c r="AN2676" s="71"/>
      <c r="AO2676" s="71"/>
      <c r="AP2676" s="71"/>
      <c r="AQ2676" s="71"/>
      <c r="AR2676" s="71"/>
      <c r="AS2676" s="71"/>
      <c r="AT2676" s="71"/>
      <c r="AU2676" s="71"/>
      <c r="AV2676" s="71"/>
      <c r="AW2676" s="71"/>
      <c r="AX2676" s="71"/>
      <c r="AY2676" s="71"/>
      <c r="AZ2676" s="71"/>
      <c r="BA2676" s="71"/>
      <c r="BB2676" s="71"/>
      <c r="BC2676" s="71"/>
      <c r="BD2676" s="71"/>
      <c r="BE2676" s="71"/>
      <c r="BF2676" s="71"/>
      <c r="BG2676" s="71"/>
      <c r="BH2676" s="71"/>
      <c r="BI2676" s="71"/>
      <c r="BJ2676" s="71"/>
      <c r="BK2676" s="71"/>
      <c r="BL2676" s="71"/>
      <c r="BM2676" s="71"/>
      <c r="BN2676" s="71"/>
      <c r="BO2676" s="71"/>
      <c r="BP2676" s="71"/>
      <c r="BQ2676" s="71"/>
      <c r="BR2676" s="71"/>
      <c r="BS2676" s="71"/>
      <c r="BT2676" s="71"/>
      <c r="BU2676" s="71"/>
      <c r="BV2676" s="71"/>
    </row>
    <row r="2677">
      <c r="A2677" s="53"/>
      <c r="B2677" s="53">
        <v>3.0</v>
      </c>
      <c r="C2677" s="53" t="s">
        <v>36</v>
      </c>
      <c r="D2677" s="98" t="s">
        <v>6575</v>
      </c>
      <c r="E2677" s="54" t="s">
        <v>38</v>
      </c>
      <c r="F2677" s="55" t="s">
        <v>96</v>
      </c>
      <c r="G2677" s="202" t="s">
        <v>6576</v>
      </c>
      <c r="H2677" s="55"/>
      <c r="I2677" s="54">
        <f t="shared" si="125"/>
        <v>0</v>
      </c>
      <c r="J2677" s="56"/>
      <c r="K2677" s="57"/>
      <c r="L2677" s="76"/>
      <c r="M2677" s="59"/>
      <c r="N2677" s="60"/>
      <c r="O2677" s="61">
        <v>222793.0</v>
      </c>
      <c r="P2677" s="62">
        <v>240616.44</v>
      </c>
      <c r="Q2677" s="63">
        <v>240616.44</v>
      </c>
      <c r="R2677" s="78">
        <v>289808.0</v>
      </c>
      <c r="S2677" s="107">
        <v>304298.0</v>
      </c>
      <c r="T2677" s="65">
        <f t="shared" si="93"/>
        <v>48687.68</v>
      </c>
      <c r="U2677" s="65">
        <f t="shared" si="94"/>
        <v>352985.68</v>
      </c>
      <c r="V2677" s="66">
        <f t="shared" si="134"/>
        <v>0.04999861978</v>
      </c>
      <c r="W2677" s="67">
        <f t="shared" si="96"/>
        <v>289083.1</v>
      </c>
      <c r="X2677" s="67">
        <f t="shared" si="132"/>
        <v>46253.296</v>
      </c>
      <c r="Y2677" s="67">
        <f t="shared" si="133"/>
        <v>335336.396</v>
      </c>
      <c r="Z2677" s="67">
        <f t="shared" si="99"/>
        <v>273868.2</v>
      </c>
      <c r="AA2677" s="67">
        <f t="shared" si="114"/>
        <v>43818.912</v>
      </c>
      <c r="AB2677" s="67">
        <f t="shared" si="115"/>
        <v>317687.112</v>
      </c>
      <c r="AC2677" s="67">
        <f t="shared" si="102"/>
        <v>273868.2</v>
      </c>
      <c r="AD2677" s="67">
        <f t="shared" si="116"/>
        <v>43818.912</v>
      </c>
      <c r="AE2677" s="67">
        <f t="shared" si="117"/>
        <v>317687.112</v>
      </c>
      <c r="AF2677" s="67">
        <f t="shared" si="105"/>
        <v>273868.2</v>
      </c>
      <c r="AG2677" s="67">
        <f t="shared" si="118"/>
        <v>43818.912</v>
      </c>
      <c r="AH2677" s="67">
        <f t="shared" si="119"/>
        <v>317687.112</v>
      </c>
      <c r="AI2677" s="67">
        <f t="shared" si="108"/>
        <v>273868.2</v>
      </c>
      <c r="AJ2677" s="68">
        <f t="shared" si="126"/>
        <v>43818.912</v>
      </c>
      <c r="AK2677" s="68">
        <f t="shared" si="127"/>
        <v>317687.112</v>
      </c>
      <c r="AL2677" s="70"/>
      <c r="AM2677" s="70"/>
      <c r="AN2677" s="71"/>
      <c r="AO2677" s="71"/>
      <c r="AP2677" s="71"/>
      <c r="AQ2677" s="71"/>
      <c r="AR2677" s="71"/>
      <c r="AS2677" s="71"/>
      <c r="AT2677" s="71"/>
      <c r="AU2677" s="71"/>
      <c r="AV2677" s="71"/>
      <c r="AW2677" s="71"/>
      <c r="AX2677" s="71"/>
      <c r="AY2677" s="71"/>
      <c r="AZ2677" s="71"/>
      <c r="BA2677" s="71"/>
      <c r="BB2677" s="71"/>
      <c r="BC2677" s="71"/>
      <c r="BD2677" s="71"/>
      <c r="BE2677" s="71"/>
      <c r="BF2677" s="71"/>
      <c r="BG2677" s="71"/>
      <c r="BH2677" s="71"/>
      <c r="BI2677" s="71"/>
      <c r="BJ2677" s="71"/>
      <c r="BK2677" s="71"/>
      <c r="BL2677" s="71"/>
      <c r="BM2677" s="71"/>
      <c r="BN2677" s="71"/>
      <c r="BO2677" s="71"/>
      <c r="BP2677" s="71"/>
      <c r="BQ2677" s="71"/>
      <c r="BR2677" s="71"/>
      <c r="BS2677" s="71"/>
      <c r="BT2677" s="71"/>
      <c r="BU2677" s="71"/>
      <c r="BV2677" s="71"/>
    </row>
    <row r="2678">
      <c r="A2678" s="53"/>
      <c r="B2678" s="53">
        <v>3.0</v>
      </c>
      <c r="C2678" s="53" t="s">
        <v>36</v>
      </c>
      <c r="D2678" s="85" t="s">
        <v>6577</v>
      </c>
      <c r="E2678" s="54" t="s">
        <v>38</v>
      </c>
      <c r="F2678" s="55" t="s">
        <v>96</v>
      </c>
      <c r="G2678" s="55" t="s">
        <v>6578</v>
      </c>
      <c r="H2678" s="55"/>
      <c r="I2678" s="54">
        <f t="shared" si="125"/>
        <v>0</v>
      </c>
      <c r="J2678" s="56"/>
      <c r="K2678" s="57"/>
      <c r="L2678" s="76"/>
      <c r="M2678" s="59"/>
      <c r="N2678" s="60"/>
      <c r="O2678" s="61">
        <v>130138.0</v>
      </c>
      <c r="P2678" s="62">
        <v>140549.04</v>
      </c>
      <c r="Q2678" s="63">
        <v>140549.04</v>
      </c>
      <c r="R2678" s="64">
        <v>154955.0</v>
      </c>
      <c r="S2678" s="107">
        <v>162703.0</v>
      </c>
      <c r="T2678" s="65">
        <f t="shared" si="93"/>
        <v>26032.48</v>
      </c>
      <c r="U2678" s="65">
        <f t="shared" si="94"/>
        <v>188735.48</v>
      </c>
      <c r="V2678" s="66">
        <f t="shared" si="134"/>
        <v>0.05000161337</v>
      </c>
      <c r="W2678" s="67">
        <f t="shared" si="96"/>
        <v>154567.85</v>
      </c>
      <c r="X2678" s="67">
        <f t="shared" si="132"/>
        <v>24730.856</v>
      </c>
      <c r="Y2678" s="67">
        <f t="shared" si="133"/>
        <v>179298.706</v>
      </c>
      <c r="Z2678" s="67">
        <f t="shared" si="99"/>
        <v>146432.7</v>
      </c>
      <c r="AA2678" s="67">
        <f t="shared" si="114"/>
        <v>23429.232</v>
      </c>
      <c r="AB2678" s="67">
        <f t="shared" si="115"/>
        <v>169861.932</v>
      </c>
      <c r="AC2678" s="67">
        <f t="shared" si="102"/>
        <v>146432.7</v>
      </c>
      <c r="AD2678" s="67">
        <f t="shared" si="116"/>
        <v>23429.232</v>
      </c>
      <c r="AE2678" s="67">
        <f t="shared" si="117"/>
        <v>169861.932</v>
      </c>
      <c r="AF2678" s="67">
        <f t="shared" si="105"/>
        <v>146432.7</v>
      </c>
      <c r="AG2678" s="67">
        <f t="shared" si="118"/>
        <v>23429.232</v>
      </c>
      <c r="AH2678" s="67">
        <f t="shared" si="119"/>
        <v>169861.932</v>
      </c>
      <c r="AI2678" s="67">
        <f t="shared" si="108"/>
        <v>146432.7</v>
      </c>
      <c r="AJ2678" s="68">
        <f t="shared" si="126"/>
        <v>23429.232</v>
      </c>
      <c r="AK2678" s="68">
        <f t="shared" si="127"/>
        <v>169861.932</v>
      </c>
      <c r="AL2678" s="70"/>
      <c r="AM2678" s="70"/>
      <c r="AN2678" s="71"/>
      <c r="AO2678" s="71"/>
      <c r="AP2678" s="71"/>
      <c r="AQ2678" s="71"/>
      <c r="AR2678" s="71"/>
      <c r="AS2678" s="71"/>
      <c r="AT2678" s="71"/>
      <c r="AU2678" s="71"/>
      <c r="AV2678" s="71"/>
      <c r="AW2678" s="71"/>
      <c r="AX2678" s="71"/>
      <c r="AY2678" s="71"/>
      <c r="AZ2678" s="71"/>
      <c r="BA2678" s="71"/>
      <c r="BB2678" s="71"/>
      <c r="BC2678" s="71"/>
      <c r="BD2678" s="71"/>
      <c r="BE2678" s="71"/>
      <c r="BF2678" s="71"/>
      <c r="BG2678" s="71"/>
      <c r="BH2678" s="71"/>
      <c r="BI2678" s="71"/>
      <c r="BJ2678" s="71"/>
      <c r="BK2678" s="71"/>
      <c r="BL2678" s="71"/>
      <c r="BM2678" s="71"/>
      <c r="BN2678" s="71"/>
      <c r="BO2678" s="71"/>
      <c r="BP2678" s="71"/>
      <c r="BQ2678" s="71"/>
      <c r="BR2678" s="71"/>
      <c r="BS2678" s="71"/>
      <c r="BT2678" s="71"/>
      <c r="BU2678" s="71"/>
      <c r="BV2678" s="71"/>
    </row>
    <row r="2679">
      <c r="A2679" s="53"/>
      <c r="B2679" s="53">
        <v>3.0</v>
      </c>
      <c r="C2679" s="53" t="s">
        <v>36</v>
      </c>
      <c r="D2679" s="98" t="s">
        <v>6579</v>
      </c>
      <c r="E2679" s="54" t="s">
        <v>38</v>
      </c>
      <c r="F2679" s="55" t="s">
        <v>96</v>
      </c>
      <c r="G2679" s="55" t="s">
        <v>6580</v>
      </c>
      <c r="H2679" s="55"/>
      <c r="I2679" s="54">
        <f t="shared" si="125"/>
        <v>0</v>
      </c>
      <c r="J2679" s="56"/>
      <c r="K2679" s="57"/>
      <c r="L2679" s="76"/>
      <c r="M2679" s="59"/>
      <c r="N2679" s="60"/>
      <c r="O2679" s="61">
        <v>139242.0</v>
      </c>
      <c r="P2679" s="62">
        <v>150381.36000000002</v>
      </c>
      <c r="Q2679" s="63">
        <v>150381.36000000002</v>
      </c>
      <c r="R2679" s="64">
        <v>165795.0</v>
      </c>
      <c r="S2679" s="107">
        <v>174085.0</v>
      </c>
      <c r="T2679" s="65">
        <f t="shared" si="93"/>
        <v>27853.6</v>
      </c>
      <c r="U2679" s="65">
        <f t="shared" si="94"/>
        <v>201938.6</v>
      </c>
      <c r="V2679" s="66">
        <f t="shared" si="134"/>
        <v>0.05000150789</v>
      </c>
      <c r="W2679" s="67">
        <f t="shared" si="96"/>
        <v>165380.75</v>
      </c>
      <c r="X2679" s="67">
        <f t="shared" si="132"/>
        <v>26460.92</v>
      </c>
      <c r="Y2679" s="67">
        <f t="shared" si="133"/>
        <v>191841.67</v>
      </c>
      <c r="Z2679" s="67">
        <f t="shared" si="99"/>
        <v>156676.5</v>
      </c>
      <c r="AA2679" s="67">
        <f t="shared" si="114"/>
        <v>25068.24</v>
      </c>
      <c r="AB2679" s="67">
        <f t="shared" si="115"/>
        <v>181744.74</v>
      </c>
      <c r="AC2679" s="67">
        <f t="shared" si="102"/>
        <v>156676.5</v>
      </c>
      <c r="AD2679" s="67">
        <f t="shared" si="116"/>
        <v>25068.24</v>
      </c>
      <c r="AE2679" s="67">
        <f t="shared" si="117"/>
        <v>181744.74</v>
      </c>
      <c r="AF2679" s="67">
        <f t="shared" si="105"/>
        <v>156676.5</v>
      </c>
      <c r="AG2679" s="67">
        <f t="shared" si="118"/>
        <v>25068.24</v>
      </c>
      <c r="AH2679" s="67">
        <f t="shared" si="119"/>
        <v>181744.74</v>
      </c>
      <c r="AI2679" s="67">
        <f t="shared" si="108"/>
        <v>156676.5</v>
      </c>
      <c r="AJ2679" s="68">
        <f t="shared" si="126"/>
        <v>25068.24</v>
      </c>
      <c r="AK2679" s="68">
        <f t="shared" si="127"/>
        <v>181744.74</v>
      </c>
      <c r="AL2679" s="70"/>
      <c r="AM2679" s="70"/>
      <c r="AN2679" s="71"/>
      <c r="AO2679" s="71"/>
      <c r="AP2679" s="71"/>
      <c r="AQ2679" s="71"/>
      <c r="AR2679" s="71"/>
      <c r="AS2679" s="71"/>
      <c r="AT2679" s="71"/>
      <c r="AU2679" s="71"/>
      <c r="AV2679" s="71"/>
      <c r="AW2679" s="71"/>
      <c r="AX2679" s="71"/>
      <c r="AY2679" s="71"/>
      <c r="AZ2679" s="71"/>
      <c r="BA2679" s="71"/>
      <c r="BB2679" s="71"/>
      <c r="BC2679" s="71"/>
      <c r="BD2679" s="71"/>
      <c r="BE2679" s="71"/>
      <c r="BF2679" s="71"/>
      <c r="BG2679" s="71"/>
      <c r="BH2679" s="71"/>
      <c r="BI2679" s="71"/>
      <c r="BJ2679" s="71"/>
      <c r="BK2679" s="71"/>
      <c r="BL2679" s="71"/>
      <c r="BM2679" s="71"/>
      <c r="BN2679" s="71"/>
      <c r="BO2679" s="71"/>
      <c r="BP2679" s="71"/>
      <c r="BQ2679" s="71"/>
      <c r="BR2679" s="71"/>
      <c r="BS2679" s="71"/>
      <c r="BT2679" s="71"/>
      <c r="BU2679" s="71"/>
      <c r="BV2679" s="71"/>
    </row>
    <row r="2680">
      <c r="A2680" s="53"/>
      <c r="B2680" s="53">
        <v>3.0</v>
      </c>
      <c r="C2680" s="53" t="s">
        <v>36</v>
      </c>
      <c r="D2680" s="98" t="s">
        <v>6581</v>
      </c>
      <c r="E2680" s="54" t="s">
        <v>38</v>
      </c>
      <c r="F2680" s="55" t="s">
        <v>96</v>
      </c>
      <c r="G2680" s="55" t="s">
        <v>6582</v>
      </c>
      <c r="H2680" s="55"/>
      <c r="I2680" s="54">
        <f t="shared" si="125"/>
        <v>0</v>
      </c>
      <c r="J2680" s="56"/>
      <c r="K2680" s="57"/>
      <c r="L2680" s="76"/>
      <c r="M2680" s="59"/>
      <c r="N2680" s="60"/>
      <c r="O2680" s="61">
        <v>151713.0</v>
      </c>
      <c r="P2680" s="62">
        <v>163850.04</v>
      </c>
      <c r="Q2680" s="63">
        <v>163850.04</v>
      </c>
      <c r="R2680" s="64">
        <v>180646.0</v>
      </c>
      <c r="S2680" s="107">
        <v>189678.0</v>
      </c>
      <c r="T2680" s="65">
        <f t="shared" si="93"/>
        <v>30348.48</v>
      </c>
      <c r="U2680" s="65">
        <f t="shared" si="94"/>
        <v>220026.48</v>
      </c>
      <c r="V2680" s="66">
        <f t="shared" si="134"/>
        <v>0.04999833929</v>
      </c>
      <c r="W2680" s="67">
        <f t="shared" si="96"/>
        <v>180194.1</v>
      </c>
      <c r="X2680" s="67">
        <f t="shared" si="132"/>
        <v>28831.056</v>
      </c>
      <c r="Y2680" s="67">
        <f t="shared" si="133"/>
        <v>209025.156</v>
      </c>
      <c r="Z2680" s="67">
        <f t="shared" si="99"/>
        <v>170710.2</v>
      </c>
      <c r="AA2680" s="67">
        <f t="shared" si="114"/>
        <v>27313.632</v>
      </c>
      <c r="AB2680" s="67">
        <f t="shared" si="115"/>
        <v>198023.832</v>
      </c>
      <c r="AC2680" s="67">
        <f t="shared" si="102"/>
        <v>170710.2</v>
      </c>
      <c r="AD2680" s="67">
        <f t="shared" si="116"/>
        <v>27313.632</v>
      </c>
      <c r="AE2680" s="67">
        <f t="shared" si="117"/>
        <v>198023.832</v>
      </c>
      <c r="AF2680" s="67">
        <f t="shared" si="105"/>
        <v>170710.2</v>
      </c>
      <c r="AG2680" s="67">
        <f t="shared" si="118"/>
        <v>27313.632</v>
      </c>
      <c r="AH2680" s="67">
        <f t="shared" si="119"/>
        <v>198023.832</v>
      </c>
      <c r="AI2680" s="67">
        <f t="shared" si="108"/>
        <v>170710.2</v>
      </c>
      <c r="AJ2680" s="68">
        <f t="shared" si="126"/>
        <v>27313.632</v>
      </c>
      <c r="AK2680" s="68">
        <f t="shared" si="127"/>
        <v>198023.832</v>
      </c>
      <c r="AL2680" s="70"/>
      <c r="AM2680" s="70"/>
      <c r="AN2680" s="71"/>
      <c r="AO2680" s="71"/>
      <c r="AP2680" s="71"/>
      <c r="AQ2680" s="71"/>
      <c r="AR2680" s="71"/>
      <c r="AS2680" s="71"/>
      <c r="AT2680" s="71"/>
      <c r="AU2680" s="71"/>
      <c r="AV2680" s="71"/>
      <c r="AW2680" s="71"/>
      <c r="AX2680" s="71"/>
      <c r="AY2680" s="71"/>
      <c r="AZ2680" s="71"/>
      <c r="BA2680" s="71"/>
      <c r="BB2680" s="71"/>
      <c r="BC2680" s="71"/>
      <c r="BD2680" s="71"/>
      <c r="BE2680" s="71"/>
      <c r="BF2680" s="71"/>
      <c r="BG2680" s="71"/>
      <c r="BH2680" s="71"/>
      <c r="BI2680" s="71"/>
      <c r="BJ2680" s="71"/>
      <c r="BK2680" s="71"/>
      <c r="BL2680" s="71"/>
      <c r="BM2680" s="71"/>
      <c r="BN2680" s="71"/>
      <c r="BO2680" s="71"/>
      <c r="BP2680" s="71"/>
      <c r="BQ2680" s="71"/>
      <c r="BR2680" s="71"/>
      <c r="BS2680" s="71"/>
      <c r="BT2680" s="71"/>
      <c r="BU2680" s="71"/>
      <c r="BV2680" s="71"/>
    </row>
    <row r="2681">
      <c r="A2681" s="53"/>
      <c r="B2681" s="53">
        <v>3.0</v>
      </c>
      <c r="C2681" s="53" t="s">
        <v>36</v>
      </c>
      <c r="D2681" s="98" t="s">
        <v>6583</v>
      </c>
      <c r="E2681" s="54" t="s">
        <v>38</v>
      </c>
      <c r="F2681" s="55" t="s">
        <v>96</v>
      </c>
      <c r="G2681" s="55" t="s">
        <v>6584</v>
      </c>
      <c r="H2681" s="55"/>
      <c r="I2681" s="54">
        <f t="shared" si="125"/>
        <v>0</v>
      </c>
      <c r="J2681" s="56"/>
      <c r="K2681" s="57"/>
      <c r="L2681" s="76"/>
      <c r="M2681" s="59"/>
      <c r="N2681" s="60"/>
      <c r="O2681" s="61">
        <v>159298.0</v>
      </c>
      <c r="P2681" s="62">
        <v>172041.84000000003</v>
      </c>
      <c r="Q2681" s="63">
        <v>172041.84000000003</v>
      </c>
      <c r="R2681" s="64">
        <v>189677.0</v>
      </c>
      <c r="S2681" s="107">
        <v>199161.0</v>
      </c>
      <c r="T2681" s="65">
        <f t="shared" si="93"/>
        <v>31865.76</v>
      </c>
      <c r="U2681" s="65">
        <f t="shared" si="94"/>
        <v>231026.76</v>
      </c>
      <c r="V2681" s="66">
        <f t="shared" si="134"/>
        <v>0.05000079082</v>
      </c>
      <c r="W2681" s="67">
        <f t="shared" si="96"/>
        <v>189202.95</v>
      </c>
      <c r="X2681" s="67">
        <f t="shared" si="132"/>
        <v>30272.472</v>
      </c>
      <c r="Y2681" s="67">
        <f t="shared" si="133"/>
        <v>219475.422</v>
      </c>
      <c r="Z2681" s="67">
        <f t="shared" si="99"/>
        <v>179244.9</v>
      </c>
      <c r="AA2681" s="67">
        <f t="shared" si="114"/>
        <v>28679.184</v>
      </c>
      <c r="AB2681" s="67">
        <f t="shared" si="115"/>
        <v>207924.084</v>
      </c>
      <c r="AC2681" s="67">
        <f t="shared" si="102"/>
        <v>179244.9</v>
      </c>
      <c r="AD2681" s="67">
        <f t="shared" si="116"/>
        <v>28679.184</v>
      </c>
      <c r="AE2681" s="67">
        <f t="shared" si="117"/>
        <v>207924.084</v>
      </c>
      <c r="AF2681" s="67">
        <f t="shared" si="105"/>
        <v>179244.9</v>
      </c>
      <c r="AG2681" s="67">
        <f t="shared" si="118"/>
        <v>28679.184</v>
      </c>
      <c r="AH2681" s="67">
        <f t="shared" si="119"/>
        <v>207924.084</v>
      </c>
      <c r="AI2681" s="67">
        <f t="shared" si="108"/>
        <v>179244.9</v>
      </c>
      <c r="AJ2681" s="68">
        <f t="shared" si="126"/>
        <v>28679.184</v>
      </c>
      <c r="AK2681" s="68">
        <f t="shared" si="127"/>
        <v>207924.084</v>
      </c>
      <c r="AL2681" s="70"/>
      <c r="AM2681" s="70"/>
      <c r="AN2681" s="71"/>
      <c r="AO2681" s="71"/>
      <c r="AP2681" s="71"/>
      <c r="AQ2681" s="71"/>
      <c r="AR2681" s="71"/>
      <c r="AS2681" s="71"/>
      <c r="AT2681" s="71"/>
      <c r="AU2681" s="71"/>
      <c r="AV2681" s="71"/>
      <c r="AW2681" s="71"/>
      <c r="AX2681" s="71"/>
      <c r="AY2681" s="71"/>
      <c r="AZ2681" s="71"/>
      <c r="BA2681" s="71"/>
      <c r="BB2681" s="71"/>
      <c r="BC2681" s="71"/>
      <c r="BD2681" s="71"/>
      <c r="BE2681" s="71"/>
      <c r="BF2681" s="71"/>
      <c r="BG2681" s="71"/>
      <c r="BH2681" s="71"/>
      <c r="BI2681" s="71"/>
      <c r="BJ2681" s="71"/>
      <c r="BK2681" s="71"/>
      <c r="BL2681" s="71"/>
      <c r="BM2681" s="71"/>
      <c r="BN2681" s="71"/>
      <c r="BO2681" s="71"/>
      <c r="BP2681" s="71"/>
      <c r="BQ2681" s="71"/>
      <c r="BR2681" s="71"/>
      <c r="BS2681" s="71"/>
      <c r="BT2681" s="71"/>
      <c r="BU2681" s="71"/>
      <c r="BV2681" s="71"/>
    </row>
    <row r="2682">
      <c r="A2682" s="53"/>
      <c r="B2682" s="53">
        <v>3.0</v>
      </c>
      <c r="C2682" s="53" t="s">
        <v>36</v>
      </c>
      <c r="D2682" s="98" t="s">
        <v>6585</v>
      </c>
      <c r="E2682" s="54" t="s">
        <v>38</v>
      </c>
      <c r="F2682" s="55" t="s">
        <v>96</v>
      </c>
      <c r="G2682" s="55" t="s">
        <v>6586</v>
      </c>
      <c r="H2682" s="55"/>
      <c r="I2682" s="54">
        <f t="shared" si="125"/>
        <v>0</v>
      </c>
      <c r="J2682" s="56"/>
      <c r="K2682" s="57"/>
      <c r="L2682" s="76"/>
      <c r="M2682" s="59"/>
      <c r="N2682" s="60"/>
      <c r="O2682" s="61">
        <v>167608.0</v>
      </c>
      <c r="P2682" s="62">
        <v>181016.64</v>
      </c>
      <c r="Q2682" s="63">
        <v>181016.64</v>
      </c>
      <c r="R2682" s="64">
        <v>199572.0</v>
      </c>
      <c r="S2682" s="107">
        <v>209551.0</v>
      </c>
      <c r="T2682" s="65">
        <f t="shared" si="93"/>
        <v>33528.16</v>
      </c>
      <c r="U2682" s="65">
        <f t="shared" si="94"/>
        <v>243079.16</v>
      </c>
      <c r="V2682" s="66">
        <f t="shared" si="134"/>
        <v>0.05000200429</v>
      </c>
      <c r="W2682" s="67">
        <f t="shared" si="96"/>
        <v>199073.45</v>
      </c>
      <c r="X2682" s="67">
        <f t="shared" si="132"/>
        <v>31851.752</v>
      </c>
      <c r="Y2682" s="67">
        <f t="shared" si="133"/>
        <v>230925.202</v>
      </c>
      <c r="Z2682" s="67">
        <f t="shared" si="99"/>
        <v>188595.9</v>
      </c>
      <c r="AA2682" s="67">
        <f t="shared" si="114"/>
        <v>30175.344</v>
      </c>
      <c r="AB2682" s="67">
        <f t="shared" si="115"/>
        <v>218771.244</v>
      </c>
      <c r="AC2682" s="67">
        <f t="shared" si="102"/>
        <v>188595.9</v>
      </c>
      <c r="AD2682" s="67">
        <f t="shared" si="116"/>
        <v>30175.344</v>
      </c>
      <c r="AE2682" s="67">
        <f t="shared" si="117"/>
        <v>218771.244</v>
      </c>
      <c r="AF2682" s="67">
        <f t="shared" si="105"/>
        <v>188595.9</v>
      </c>
      <c r="AG2682" s="67">
        <f t="shared" si="118"/>
        <v>30175.344</v>
      </c>
      <c r="AH2682" s="67">
        <f t="shared" si="119"/>
        <v>218771.244</v>
      </c>
      <c r="AI2682" s="67">
        <f t="shared" si="108"/>
        <v>188595.9</v>
      </c>
      <c r="AJ2682" s="68">
        <f t="shared" si="126"/>
        <v>30175.344</v>
      </c>
      <c r="AK2682" s="68">
        <f t="shared" si="127"/>
        <v>218771.244</v>
      </c>
      <c r="AL2682" s="70"/>
      <c r="AM2682" s="70"/>
      <c r="AN2682" s="71"/>
      <c r="AO2682" s="71"/>
      <c r="AP2682" s="71"/>
      <c r="AQ2682" s="71"/>
      <c r="AR2682" s="71"/>
      <c r="AS2682" s="71"/>
      <c r="AT2682" s="71"/>
      <c r="AU2682" s="71"/>
      <c r="AV2682" s="71"/>
      <c r="AW2682" s="71"/>
      <c r="AX2682" s="71"/>
      <c r="AY2682" s="71"/>
      <c r="AZ2682" s="71"/>
      <c r="BA2682" s="71"/>
      <c r="BB2682" s="71"/>
      <c r="BC2682" s="71"/>
      <c r="BD2682" s="71"/>
      <c r="BE2682" s="71"/>
      <c r="BF2682" s="71"/>
      <c r="BG2682" s="71"/>
      <c r="BH2682" s="71"/>
      <c r="BI2682" s="71"/>
      <c r="BJ2682" s="71"/>
      <c r="BK2682" s="71"/>
      <c r="BL2682" s="71"/>
      <c r="BM2682" s="71"/>
      <c r="BN2682" s="71"/>
      <c r="BO2682" s="71"/>
      <c r="BP2682" s="71"/>
      <c r="BQ2682" s="71"/>
      <c r="BR2682" s="71"/>
      <c r="BS2682" s="71"/>
      <c r="BT2682" s="71"/>
      <c r="BU2682" s="71"/>
      <c r="BV2682" s="71"/>
    </row>
    <row r="2683">
      <c r="A2683" s="53"/>
      <c r="B2683" s="53">
        <v>3.0</v>
      </c>
      <c r="C2683" s="53" t="s">
        <v>36</v>
      </c>
      <c r="D2683" s="98" t="s">
        <v>6587</v>
      </c>
      <c r="E2683" s="54" t="s">
        <v>38</v>
      </c>
      <c r="F2683" s="55" t="s">
        <v>96</v>
      </c>
      <c r="G2683" s="55" t="s">
        <v>6588</v>
      </c>
      <c r="H2683" s="55"/>
      <c r="I2683" s="54">
        <f t="shared" si="125"/>
        <v>0</v>
      </c>
      <c r="J2683" s="56"/>
      <c r="K2683" s="57"/>
      <c r="L2683" s="76"/>
      <c r="M2683" s="59"/>
      <c r="N2683" s="60"/>
      <c r="O2683" s="61">
        <v>175987.0</v>
      </c>
      <c r="P2683" s="62">
        <v>190065.96000000002</v>
      </c>
      <c r="Q2683" s="63">
        <v>190065.96000000002</v>
      </c>
      <c r="R2683" s="64">
        <v>209548.0</v>
      </c>
      <c r="S2683" s="107">
        <v>220025.0</v>
      </c>
      <c r="T2683" s="65">
        <f t="shared" si="93"/>
        <v>35204</v>
      </c>
      <c r="U2683" s="65">
        <f t="shared" si="94"/>
        <v>255229</v>
      </c>
      <c r="V2683" s="66">
        <f t="shared" si="134"/>
        <v>0.04999809113</v>
      </c>
      <c r="W2683" s="67">
        <f t="shared" si="96"/>
        <v>209023.75</v>
      </c>
      <c r="X2683" s="67">
        <f t="shared" si="132"/>
        <v>33443.8</v>
      </c>
      <c r="Y2683" s="67">
        <f t="shared" si="133"/>
        <v>242467.55</v>
      </c>
      <c r="Z2683" s="67">
        <f t="shared" si="99"/>
        <v>198022.5</v>
      </c>
      <c r="AA2683" s="67">
        <f t="shared" si="114"/>
        <v>31683.6</v>
      </c>
      <c r="AB2683" s="67">
        <f t="shared" si="115"/>
        <v>229706.1</v>
      </c>
      <c r="AC2683" s="67">
        <f t="shared" si="102"/>
        <v>198022.5</v>
      </c>
      <c r="AD2683" s="67">
        <f t="shared" si="116"/>
        <v>31683.6</v>
      </c>
      <c r="AE2683" s="67">
        <f t="shared" si="117"/>
        <v>229706.1</v>
      </c>
      <c r="AF2683" s="67">
        <f t="shared" si="105"/>
        <v>198022.5</v>
      </c>
      <c r="AG2683" s="67">
        <f t="shared" si="118"/>
        <v>31683.6</v>
      </c>
      <c r="AH2683" s="67">
        <f t="shared" si="119"/>
        <v>229706.1</v>
      </c>
      <c r="AI2683" s="67">
        <f t="shared" si="108"/>
        <v>198022.5</v>
      </c>
      <c r="AJ2683" s="68">
        <f t="shared" si="126"/>
        <v>31683.6</v>
      </c>
      <c r="AK2683" s="68">
        <f t="shared" si="127"/>
        <v>229706.1</v>
      </c>
      <c r="AL2683" s="70"/>
      <c r="AM2683" s="70"/>
      <c r="AN2683" s="71"/>
      <c r="AO2683" s="71"/>
      <c r="AP2683" s="71"/>
      <c r="AQ2683" s="71"/>
      <c r="AR2683" s="71"/>
      <c r="AS2683" s="71"/>
      <c r="AT2683" s="71"/>
      <c r="AU2683" s="71"/>
      <c r="AV2683" s="71"/>
      <c r="AW2683" s="71"/>
      <c r="AX2683" s="71"/>
      <c r="AY2683" s="71"/>
      <c r="AZ2683" s="71"/>
      <c r="BA2683" s="71"/>
      <c r="BB2683" s="71"/>
      <c r="BC2683" s="71"/>
      <c r="BD2683" s="71"/>
      <c r="BE2683" s="71"/>
      <c r="BF2683" s="71"/>
      <c r="BG2683" s="71"/>
      <c r="BH2683" s="71"/>
      <c r="BI2683" s="71"/>
      <c r="BJ2683" s="71"/>
      <c r="BK2683" s="71"/>
      <c r="BL2683" s="71"/>
      <c r="BM2683" s="71"/>
      <c r="BN2683" s="71"/>
      <c r="BO2683" s="71"/>
      <c r="BP2683" s="71"/>
      <c r="BQ2683" s="71"/>
      <c r="BR2683" s="71"/>
      <c r="BS2683" s="71"/>
      <c r="BT2683" s="71"/>
      <c r="BU2683" s="71"/>
      <c r="BV2683" s="71"/>
    </row>
    <row r="2684">
      <c r="A2684" s="53"/>
      <c r="B2684" s="53">
        <v>3.0</v>
      </c>
      <c r="C2684" s="53" t="s">
        <v>36</v>
      </c>
      <c r="D2684" s="98" t="s">
        <v>6589</v>
      </c>
      <c r="E2684" s="54" t="s">
        <v>38</v>
      </c>
      <c r="F2684" s="55" t="s">
        <v>96</v>
      </c>
      <c r="G2684" s="55" t="s">
        <v>6590</v>
      </c>
      <c r="H2684" s="55"/>
      <c r="I2684" s="54">
        <f t="shared" si="125"/>
        <v>0</v>
      </c>
      <c r="J2684" s="56"/>
      <c r="K2684" s="57"/>
      <c r="L2684" s="76"/>
      <c r="M2684" s="59"/>
      <c r="N2684" s="60"/>
      <c r="O2684" s="61">
        <v>190003.0</v>
      </c>
      <c r="P2684" s="62">
        <v>205203.24000000002</v>
      </c>
      <c r="Q2684" s="63">
        <v>205203.24000000002</v>
      </c>
      <c r="R2684" s="64">
        <v>226237.0</v>
      </c>
      <c r="S2684" s="107">
        <v>237549.0</v>
      </c>
      <c r="T2684" s="65">
        <f t="shared" si="93"/>
        <v>38007.84</v>
      </c>
      <c r="U2684" s="65">
        <f t="shared" si="94"/>
        <v>275556.84</v>
      </c>
      <c r="V2684" s="66">
        <f t="shared" si="134"/>
        <v>0.05000066302</v>
      </c>
      <c r="W2684" s="67">
        <f t="shared" si="96"/>
        <v>225671.55</v>
      </c>
      <c r="X2684" s="67">
        <f t="shared" si="132"/>
        <v>36107.448</v>
      </c>
      <c r="Y2684" s="67">
        <f t="shared" si="133"/>
        <v>261778.998</v>
      </c>
      <c r="Z2684" s="67">
        <f t="shared" si="99"/>
        <v>213794.1</v>
      </c>
      <c r="AA2684" s="67">
        <f t="shared" si="114"/>
        <v>34207.056</v>
      </c>
      <c r="AB2684" s="67">
        <f t="shared" si="115"/>
        <v>248001.156</v>
      </c>
      <c r="AC2684" s="67">
        <f t="shared" si="102"/>
        <v>213794.1</v>
      </c>
      <c r="AD2684" s="67">
        <f t="shared" si="116"/>
        <v>34207.056</v>
      </c>
      <c r="AE2684" s="67">
        <f t="shared" si="117"/>
        <v>248001.156</v>
      </c>
      <c r="AF2684" s="67">
        <f t="shared" si="105"/>
        <v>213794.1</v>
      </c>
      <c r="AG2684" s="67">
        <f t="shared" si="118"/>
        <v>34207.056</v>
      </c>
      <c r="AH2684" s="67">
        <f t="shared" si="119"/>
        <v>248001.156</v>
      </c>
      <c r="AI2684" s="67">
        <f t="shared" si="108"/>
        <v>213794.1</v>
      </c>
      <c r="AJ2684" s="68">
        <f t="shared" si="126"/>
        <v>34207.056</v>
      </c>
      <c r="AK2684" s="68">
        <f t="shared" si="127"/>
        <v>248001.156</v>
      </c>
      <c r="AL2684" s="70"/>
      <c r="AM2684" s="70"/>
      <c r="AN2684" s="71"/>
      <c r="AO2684" s="71"/>
      <c r="AP2684" s="71"/>
      <c r="AQ2684" s="71"/>
      <c r="AR2684" s="71"/>
      <c r="AS2684" s="71"/>
      <c r="AT2684" s="71"/>
      <c r="AU2684" s="71"/>
      <c r="AV2684" s="71"/>
      <c r="AW2684" s="71"/>
      <c r="AX2684" s="71"/>
      <c r="AY2684" s="71"/>
      <c r="AZ2684" s="71"/>
      <c r="BA2684" s="71"/>
      <c r="BB2684" s="71"/>
      <c r="BC2684" s="71"/>
      <c r="BD2684" s="71"/>
      <c r="BE2684" s="71"/>
      <c r="BF2684" s="71"/>
      <c r="BG2684" s="71"/>
      <c r="BH2684" s="71"/>
      <c r="BI2684" s="71"/>
      <c r="BJ2684" s="71"/>
      <c r="BK2684" s="71"/>
      <c r="BL2684" s="71"/>
      <c r="BM2684" s="71"/>
      <c r="BN2684" s="71"/>
      <c r="BO2684" s="71"/>
      <c r="BP2684" s="71"/>
      <c r="BQ2684" s="71"/>
      <c r="BR2684" s="71"/>
      <c r="BS2684" s="71"/>
      <c r="BT2684" s="71"/>
      <c r="BU2684" s="71"/>
      <c r="BV2684" s="71"/>
    </row>
    <row r="2685">
      <c r="A2685" s="53"/>
      <c r="B2685" s="53">
        <v>3.0</v>
      </c>
      <c r="C2685" s="53" t="s">
        <v>36</v>
      </c>
      <c r="D2685" s="98" t="s">
        <v>6591</v>
      </c>
      <c r="E2685" s="54" t="s">
        <v>38</v>
      </c>
      <c r="F2685" s="55" t="s">
        <v>96</v>
      </c>
      <c r="G2685" s="55" t="s">
        <v>6592</v>
      </c>
      <c r="H2685" s="55"/>
      <c r="I2685" s="54">
        <f t="shared" si="125"/>
        <v>0</v>
      </c>
      <c r="J2685" s="56"/>
      <c r="K2685" s="57"/>
      <c r="L2685" s="76"/>
      <c r="M2685" s="59"/>
      <c r="N2685" s="60"/>
      <c r="O2685" s="61">
        <v>200261.0</v>
      </c>
      <c r="P2685" s="62">
        <v>216281.88</v>
      </c>
      <c r="Q2685" s="63">
        <v>216281.88</v>
      </c>
      <c r="R2685" s="64">
        <v>238451.0</v>
      </c>
      <c r="S2685" s="107">
        <v>250374.0</v>
      </c>
      <c r="T2685" s="65">
        <f t="shared" si="93"/>
        <v>40059.84</v>
      </c>
      <c r="U2685" s="65">
        <f t="shared" si="94"/>
        <v>290433.84</v>
      </c>
      <c r="V2685" s="66">
        <f t="shared" si="134"/>
        <v>0.05000188718</v>
      </c>
      <c r="W2685" s="67">
        <f t="shared" si="96"/>
        <v>237855.3</v>
      </c>
      <c r="X2685" s="67">
        <f t="shared" si="132"/>
        <v>38056.848</v>
      </c>
      <c r="Y2685" s="67">
        <f t="shared" si="133"/>
        <v>275912.148</v>
      </c>
      <c r="Z2685" s="67">
        <f t="shared" si="99"/>
        <v>225336.6</v>
      </c>
      <c r="AA2685" s="67">
        <f t="shared" si="114"/>
        <v>36053.856</v>
      </c>
      <c r="AB2685" s="67">
        <f t="shared" si="115"/>
        <v>261390.456</v>
      </c>
      <c r="AC2685" s="67">
        <f t="shared" si="102"/>
        <v>225336.6</v>
      </c>
      <c r="AD2685" s="67">
        <f t="shared" si="116"/>
        <v>36053.856</v>
      </c>
      <c r="AE2685" s="67">
        <f t="shared" si="117"/>
        <v>261390.456</v>
      </c>
      <c r="AF2685" s="67">
        <f t="shared" si="105"/>
        <v>225336.6</v>
      </c>
      <c r="AG2685" s="67">
        <f t="shared" si="118"/>
        <v>36053.856</v>
      </c>
      <c r="AH2685" s="67">
        <f t="shared" si="119"/>
        <v>261390.456</v>
      </c>
      <c r="AI2685" s="67">
        <f t="shared" si="108"/>
        <v>225336.6</v>
      </c>
      <c r="AJ2685" s="68">
        <f t="shared" si="126"/>
        <v>36053.856</v>
      </c>
      <c r="AK2685" s="68">
        <f t="shared" si="127"/>
        <v>261390.456</v>
      </c>
      <c r="AL2685" s="70"/>
      <c r="AM2685" s="70"/>
      <c r="AN2685" s="71"/>
      <c r="AO2685" s="71"/>
      <c r="AP2685" s="71"/>
      <c r="AQ2685" s="71"/>
      <c r="AR2685" s="71"/>
      <c r="AS2685" s="71"/>
      <c r="AT2685" s="71"/>
      <c r="AU2685" s="71"/>
      <c r="AV2685" s="71"/>
      <c r="AW2685" s="71"/>
      <c r="AX2685" s="71"/>
      <c r="AY2685" s="71"/>
      <c r="AZ2685" s="71"/>
      <c r="BA2685" s="71"/>
      <c r="BB2685" s="71"/>
      <c r="BC2685" s="71"/>
      <c r="BD2685" s="71"/>
      <c r="BE2685" s="71"/>
      <c r="BF2685" s="71"/>
      <c r="BG2685" s="71"/>
      <c r="BH2685" s="71"/>
      <c r="BI2685" s="71"/>
      <c r="BJ2685" s="71"/>
      <c r="BK2685" s="71"/>
      <c r="BL2685" s="71"/>
      <c r="BM2685" s="71"/>
      <c r="BN2685" s="71"/>
      <c r="BO2685" s="71"/>
      <c r="BP2685" s="71"/>
      <c r="BQ2685" s="71"/>
      <c r="BR2685" s="71"/>
      <c r="BS2685" s="71"/>
      <c r="BT2685" s="71"/>
      <c r="BU2685" s="71"/>
      <c r="BV2685" s="71"/>
    </row>
    <row r="2686">
      <c r="A2686" s="53"/>
      <c r="B2686" s="53">
        <v>3.0</v>
      </c>
      <c r="C2686" s="53" t="s">
        <v>36</v>
      </c>
      <c r="D2686" s="98" t="s">
        <v>6593</v>
      </c>
      <c r="E2686" s="54" t="s">
        <v>38</v>
      </c>
      <c r="F2686" s="55" t="s">
        <v>96</v>
      </c>
      <c r="G2686" s="55" t="s">
        <v>6594</v>
      </c>
      <c r="H2686" s="55"/>
      <c r="I2686" s="54">
        <f t="shared" si="125"/>
        <v>0</v>
      </c>
      <c r="J2686" s="56"/>
      <c r="K2686" s="57"/>
      <c r="L2686" s="76"/>
      <c r="M2686" s="59"/>
      <c r="N2686" s="60"/>
      <c r="O2686" s="61">
        <v>225403.0</v>
      </c>
      <c r="P2686" s="62">
        <v>243435.24000000002</v>
      </c>
      <c r="Q2686" s="63">
        <v>243435.24000000002</v>
      </c>
      <c r="R2686" s="64">
        <v>268388.0</v>
      </c>
      <c r="S2686" s="107">
        <v>281807.0</v>
      </c>
      <c r="T2686" s="65">
        <f t="shared" si="93"/>
        <v>45089.12</v>
      </c>
      <c r="U2686" s="65">
        <f t="shared" si="94"/>
        <v>326896.12</v>
      </c>
      <c r="V2686" s="66">
        <f t="shared" si="134"/>
        <v>0.04999850962</v>
      </c>
      <c r="W2686" s="67">
        <f t="shared" si="96"/>
        <v>267716.65</v>
      </c>
      <c r="X2686" s="67">
        <f t="shared" si="132"/>
        <v>42834.664</v>
      </c>
      <c r="Y2686" s="67">
        <f t="shared" si="133"/>
        <v>310551.314</v>
      </c>
      <c r="Z2686" s="67">
        <f t="shared" si="99"/>
        <v>253626.3</v>
      </c>
      <c r="AA2686" s="67">
        <f t="shared" si="114"/>
        <v>40580.208</v>
      </c>
      <c r="AB2686" s="67">
        <f t="shared" si="115"/>
        <v>294206.508</v>
      </c>
      <c r="AC2686" s="67">
        <f t="shared" si="102"/>
        <v>253626.3</v>
      </c>
      <c r="AD2686" s="67">
        <f t="shared" si="116"/>
        <v>40580.208</v>
      </c>
      <c r="AE2686" s="67">
        <f t="shared" si="117"/>
        <v>294206.508</v>
      </c>
      <c r="AF2686" s="67">
        <f t="shared" si="105"/>
        <v>253626.3</v>
      </c>
      <c r="AG2686" s="67">
        <f t="shared" si="118"/>
        <v>40580.208</v>
      </c>
      <c r="AH2686" s="67">
        <f t="shared" si="119"/>
        <v>294206.508</v>
      </c>
      <c r="AI2686" s="67">
        <f t="shared" si="108"/>
        <v>253626.3</v>
      </c>
      <c r="AJ2686" s="68">
        <f t="shared" si="126"/>
        <v>40580.208</v>
      </c>
      <c r="AK2686" s="68">
        <f t="shared" si="127"/>
        <v>294206.508</v>
      </c>
      <c r="AL2686" s="70"/>
      <c r="AM2686" s="70"/>
      <c r="AN2686" s="71"/>
      <c r="AO2686" s="71"/>
      <c r="AP2686" s="71"/>
      <c r="AQ2686" s="71"/>
      <c r="AR2686" s="71"/>
      <c r="AS2686" s="71"/>
      <c r="AT2686" s="71"/>
      <c r="AU2686" s="71"/>
      <c r="AV2686" s="71"/>
      <c r="AW2686" s="71"/>
      <c r="AX2686" s="71"/>
      <c r="AY2686" s="71"/>
      <c r="AZ2686" s="71"/>
      <c r="BA2686" s="71"/>
      <c r="BB2686" s="71"/>
      <c r="BC2686" s="71"/>
      <c r="BD2686" s="71"/>
      <c r="BE2686" s="71"/>
      <c r="BF2686" s="71"/>
      <c r="BG2686" s="71"/>
      <c r="BH2686" s="71"/>
      <c r="BI2686" s="71"/>
      <c r="BJ2686" s="71"/>
      <c r="BK2686" s="71"/>
      <c r="BL2686" s="71"/>
      <c r="BM2686" s="71"/>
      <c r="BN2686" s="71"/>
      <c r="BO2686" s="71"/>
      <c r="BP2686" s="71"/>
      <c r="BQ2686" s="71"/>
      <c r="BR2686" s="71"/>
      <c r="BS2686" s="71"/>
      <c r="BT2686" s="71"/>
      <c r="BU2686" s="71"/>
      <c r="BV2686" s="71"/>
    </row>
    <row r="2687">
      <c r="A2687" s="53"/>
      <c r="B2687" s="53">
        <v>3.0</v>
      </c>
      <c r="C2687" s="53" t="s">
        <v>36</v>
      </c>
      <c r="D2687" s="98" t="s">
        <v>6595</v>
      </c>
      <c r="E2687" s="54" t="s">
        <v>38</v>
      </c>
      <c r="F2687" s="55" t="s">
        <v>96</v>
      </c>
      <c r="G2687" s="55" t="s">
        <v>6596</v>
      </c>
      <c r="H2687" s="55"/>
      <c r="I2687" s="54">
        <f t="shared" si="125"/>
        <v>0</v>
      </c>
      <c r="J2687" s="56"/>
      <c r="K2687" s="57"/>
      <c r="L2687" s="76"/>
      <c r="M2687" s="59"/>
      <c r="N2687" s="60"/>
      <c r="O2687" s="61">
        <v>236673.0</v>
      </c>
      <c r="P2687" s="62">
        <v>255606.84000000003</v>
      </c>
      <c r="Q2687" s="63">
        <v>255606.84000000003</v>
      </c>
      <c r="R2687" s="64">
        <v>281807.0</v>
      </c>
      <c r="S2687" s="107">
        <v>295897.0</v>
      </c>
      <c r="T2687" s="65">
        <f t="shared" si="93"/>
        <v>47343.52</v>
      </c>
      <c r="U2687" s="65">
        <f t="shared" si="94"/>
        <v>343240.52</v>
      </c>
      <c r="V2687" s="66">
        <f t="shared" si="134"/>
        <v>0.04999875802</v>
      </c>
      <c r="W2687" s="67">
        <f t="shared" si="96"/>
        <v>281102.15</v>
      </c>
      <c r="X2687" s="67">
        <f t="shared" si="132"/>
        <v>44976.344</v>
      </c>
      <c r="Y2687" s="67">
        <f t="shared" si="133"/>
        <v>326078.494</v>
      </c>
      <c r="Z2687" s="67">
        <f t="shared" si="99"/>
        <v>266307.3</v>
      </c>
      <c r="AA2687" s="67">
        <f t="shared" si="114"/>
        <v>42609.168</v>
      </c>
      <c r="AB2687" s="67">
        <f t="shared" si="115"/>
        <v>308916.468</v>
      </c>
      <c r="AC2687" s="67">
        <f t="shared" si="102"/>
        <v>266307.3</v>
      </c>
      <c r="AD2687" s="67">
        <f t="shared" si="116"/>
        <v>42609.168</v>
      </c>
      <c r="AE2687" s="67">
        <f t="shared" si="117"/>
        <v>308916.468</v>
      </c>
      <c r="AF2687" s="67">
        <f t="shared" si="105"/>
        <v>266307.3</v>
      </c>
      <c r="AG2687" s="67">
        <f t="shared" si="118"/>
        <v>42609.168</v>
      </c>
      <c r="AH2687" s="67">
        <f t="shared" si="119"/>
        <v>308916.468</v>
      </c>
      <c r="AI2687" s="67">
        <f t="shared" si="108"/>
        <v>266307.3</v>
      </c>
      <c r="AJ2687" s="68">
        <f t="shared" si="126"/>
        <v>42609.168</v>
      </c>
      <c r="AK2687" s="68">
        <f t="shared" si="127"/>
        <v>308916.468</v>
      </c>
      <c r="AL2687" s="70"/>
      <c r="AM2687" s="70"/>
      <c r="AN2687" s="71"/>
      <c r="AO2687" s="71"/>
      <c r="AP2687" s="71"/>
      <c r="AQ2687" s="71"/>
      <c r="AR2687" s="71"/>
      <c r="AS2687" s="71"/>
      <c r="AT2687" s="71"/>
      <c r="AU2687" s="71"/>
      <c r="AV2687" s="71"/>
      <c r="AW2687" s="71"/>
      <c r="AX2687" s="71"/>
      <c r="AY2687" s="71"/>
      <c r="AZ2687" s="71"/>
      <c r="BA2687" s="71"/>
      <c r="BB2687" s="71"/>
      <c r="BC2687" s="71"/>
      <c r="BD2687" s="71"/>
      <c r="BE2687" s="71"/>
      <c r="BF2687" s="71"/>
      <c r="BG2687" s="71"/>
      <c r="BH2687" s="71"/>
      <c r="BI2687" s="71"/>
      <c r="BJ2687" s="71"/>
      <c r="BK2687" s="71"/>
      <c r="BL2687" s="71"/>
      <c r="BM2687" s="71"/>
      <c r="BN2687" s="71"/>
      <c r="BO2687" s="71"/>
      <c r="BP2687" s="71"/>
      <c r="BQ2687" s="71"/>
      <c r="BR2687" s="71"/>
      <c r="BS2687" s="71"/>
      <c r="BT2687" s="71"/>
      <c r="BU2687" s="71"/>
      <c r="BV2687" s="71"/>
    </row>
    <row r="2688">
      <c r="A2688" s="53"/>
      <c r="B2688" s="53">
        <v>0.0</v>
      </c>
      <c r="C2688" s="53" t="s">
        <v>36</v>
      </c>
      <c r="D2688" s="85" t="s">
        <v>6597</v>
      </c>
      <c r="E2688" s="54" t="s">
        <v>38</v>
      </c>
      <c r="F2688" s="55" t="s">
        <v>96</v>
      </c>
      <c r="G2688" s="55" t="s">
        <v>6598</v>
      </c>
      <c r="H2688" s="55"/>
      <c r="I2688" s="54">
        <f t="shared" si="125"/>
        <v>0</v>
      </c>
      <c r="J2688" s="56"/>
      <c r="K2688" s="57"/>
      <c r="L2688" s="76" t="s">
        <v>1369</v>
      </c>
      <c r="M2688" s="59"/>
      <c r="N2688" s="60"/>
      <c r="O2688" s="61">
        <v>260595.0</v>
      </c>
      <c r="P2688" s="62">
        <v>281442.60000000003</v>
      </c>
      <c r="Q2688" s="63">
        <v>281442.60000000003</v>
      </c>
      <c r="R2688" s="64">
        <v>310291.0</v>
      </c>
      <c r="S2688" s="107">
        <v>325806.0</v>
      </c>
      <c r="T2688" s="65">
        <f t="shared" si="93"/>
        <v>52128.96</v>
      </c>
      <c r="U2688" s="65">
        <f t="shared" si="94"/>
        <v>377934.96</v>
      </c>
      <c r="V2688" s="66">
        <f t="shared" si="134"/>
        <v>0.05000145025</v>
      </c>
      <c r="W2688" s="67" t="b">
        <f t="shared" si="96"/>
        <v>0</v>
      </c>
      <c r="X2688" s="67">
        <f t="shared" si="132"/>
        <v>0</v>
      </c>
      <c r="Y2688" s="67">
        <f t="shared" si="133"/>
        <v>0</v>
      </c>
      <c r="Z2688" s="67" t="b">
        <f t="shared" si="99"/>
        <v>0</v>
      </c>
      <c r="AA2688" s="67">
        <f t="shared" si="114"/>
        <v>0</v>
      </c>
      <c r="AB2688" s="67">
        <f t="shared" si="115"/>
        <v>0</v>
      </c>
      <c r="AC2688" s="67" t="b">
        <f t="shared" si="102"/>
        <v>0</v>
      </c>
      <c r="AD2688" s="67">
        <f t="shared" si="116"/>
        <v>0</v>
      </c>
      <c r="AE2688" s="67">
        <f t="shared" si="117"/>
        <v>0</v>
      </c>
      <c r="AF2688" s="67" t="b">
        <f t="shared" si="105"/>
        <v>0</v>
      </c>
      <c r="AG2688" s="67">
        <f t="shared" si="118"/>
        <v>0</v>
      </c>
      <c r="AH2688" s="67">
        <f t="shared" si="119"/>
        <v>0</v>
      </c>
      <c r="AI2688" s="67" t="b">
        <f t="shared" si="108"/>
        <v>0</v>
      </c>
      <c r="AJ2688" s="68">
        <f t="shared" si="126"/>
        <v>0</v>
      </c>
      <c r="AK2688" s="68">
        <f t="shared" si="127"/>
        <v>0</v>
      </c>
      <c r="AL2688" s="70"/>
      <c r="AM2688" s="70"/>
      <c r="AN2688" s="71"/>
      <c r="AO2688" s="71"/>
      <c r="AP2688" s="71"/>
      <c r="AQ2688" s="71"/>
      <c r="AR2688" s="71"/>
      <c r="AS2688" s="71"/>
      <c r="AT2688" s="71"/>
      <c r="AU2688" s="71"/>
      <c r="AV2688" s="71"/>
      <c r="AW2688" s="71"/>
      <c r="AX2688" s="71"/>
      <c r="AY2688" s="71"/>
      <c r="AZ2688" s="71"/>
      <c r="BA2688" s="71"/>
      <c r="BB2688" s="71"/>
      <c r="BC2688" s="71"/>
      <c r="BD2688" s="71"/>
      <c r="BE2688" s="71"/>
      <c r="BF2688" s="71"/>
      <c r="BG2688" s="71"/>
      <c r="BH2688" s="71"/>
      <c r="BI2688" s="71"/>
      <c r="BJ2688" s="71"/>
      <c r="BK2688" s="71"/>
      <c r="BL2688" s="71"/>
      <c r="BM2688" s="71"/>
      <c r="BN2688" s="71"/>
      <c r="BO2688" s="71"/>
      <c r="BP2688" s="71"/>
      <c r="BQ2688" s="71"/>
      <c r="BR2688" s="71"/>
      <c r="BS2688" s="71"/>
      <c r="BT2688" s="71"/>
      <c r="BU2688" s="71"/>
      <c r="BV2688" s="71"/>
    </row>
    <row r="2689">
      <c r="A2689" s="53"/>
      <c r="B2689" s="53">
        <v>0.0</v>
      </c>
      <c r="C2689" s="53" t="s">
        <v>36</v>
      </c>
      <c r="D2689" s="85" t="s">
        <v>6599</v>
      </c>
      <c r="E2689" s="54" t="s">
        <v>38</v>
      </c>
      <c r="F2689" s="55" t="s">
        <v>96</v>
      </c>
      <c r="G2689" s="202" t="s">
        <v>6600</v>
      </c>
      <c r="H2689" s="55"/>
      <c r="I2689" s="54">
        <f t="shared" si="125"/>
        <v>0</v>
      </c>
      <c r="J2689" s="56"/>
      <c r="K2689" s="57"/>
      <c r="L2689" s="76" t="s">
        <v>1369</v>
      </c>
      <c r="M2689" s="59"/>
      <c r="N2689" s="60"/>
      <c r="O2689" s="61">
        <v>267474.0</v>
      </c>
      <c r="P2689" s="62">
        <v>288871.92000000004</v>
      </c>
      <c r="Q2689" s="63">
        <v>288871.92000000004</v>
      </c>
      <c r="R2689" s="64">
        <v>318482.0</v>
      </c>
      <c r="S2689" s="107">
        <v>334406.0</v>
      </c>
      <c r="T2689" s="65">
        <f t="shared" si="93"/>
        <v>53504.96</v>
      </c>
      <c r="U2689" s="65">
        <f t="shared" si="94"/>
        <v>387910.96</v>
      </c>
      <c r="V2689" s="66">
        <f t="shared" si="134"/>
        <v>0.04999968601</v>
      </c>
      <c r="W2689" s="67" t="b">
        <f t="shared" si="96"/>
        <v>0</v>
      </c>
      <c r="X2689" s="67">
        <f t="shared" si="132"/>
        <v>0</v>
      </c>
      <c r="Y2689" s="67">
        <f t="shared" si="133"/>
        <v>0</v>
      </c>
      <c r="Z2689" s="67" t="b">
        <f t="shared" si="99"/>
        <v>0</v>
      </c>
      <c r="AA2689" s="67">
        <f t="shared" si="114"/>
        <v>0</v>
      </c>
      <c r="AB2689" s="67">
        <f t="shared" si="115"/>
        <v>0</v>
      </c>
      <c r="AC2689" s="67" t="b">
        <f t="shared" si="102"/>
        <v>0</v>
      </c>
      <c r="AD2689" s="67">
        <f t="shared" si="116"/>
        <v>0</v>
      </c>
      <c r="AE2689" s="67">
        <f t="shared" si="117"/>
        <v>0</v>
      </c>
      <c r="AF2689" s="67" t="b">
        <f t="shared" si="105"/>
        <v>0</v>
      </c>
      <c r="AG2689" s="67">
        <f t="shared" si="118"/>
        <v>0</v>
      </c>
      <c r="AH2689" s="67">
        <f t="shared" si="119"/>
        <v>0</v>
      </c>
      <c r="AI2689" s="67" t="b">
        <f t="shared" si="108"/>
        <v>0</v>
      </c>
      <c r="AJ2689" s="68">
        <f t="shared" si="126"/>
        <v>0</v>
      </c>
      <c r="AK2689" s="68">
        <f t="shared" si="127"/>
        <v>0</v>
      </c>
      <c r="AL2689" s="70"/>
      <c r="AM2689" s="70"/>
      <c r="AN2689" s="71"/>
      <c r="AO2689" s="71"/>
      <c r="AP2689" s="71"/>
      <c r="AQ2689" s="71"/>
      <c r="AR2689" s="71"/>
      <c r="AS2689" s="71"/>
      <c r="AT2689" s="71"/>
      <c r="AU2689" s="71"/>
      <c r="AV2689" s="71"/>
      <c r="AW2689" s="71"/>
      <c r="AX2689" s="71"/>
      <c r="AY2689" s="71"/>
      <c r="AZ2689" s="71"/>
      <c r="BA2689" s="71"/>
      <c r="BB2689" s="71"/>
      <c r="BC2689" s="71"/>
      <c r="BD2689" s="71"/>
      <c r="BE2689" s="71"/>
      <c r="BF2689" s="71"/>
      <c r="BG2689" s="71"/>
      <c r="BH2689" s="71"/>
      <c r="BI2689" s="71"/>
      <c r="BJ2689" s="71"/>
      <c r="BK2689" s="71"/>
      <c r="BL2689" s="71"/>
      <c r="BM2689" s="71"/>
      <c r="BN2689" s="71"/>
      <c r="BO2689" s="71"/>
      <c r="BP2689" s="71"/>
      <c r="BQ2689" s="71"/>
      <c r="BR2689" s="71"/>
      <c r="BS2689" s="71"/>
      <c r="BT2689" s="71"/>
      <c r="BU2689" s="71"/>
      <c r="BV2689" s="71"/>
    </row>
    <row r="2690">
      <c r="A2690" s="53"/>
      <c r="B2690" s="53">
        <v>3.0</v>
      </c>
      <c r="C2690" s="53" t="s">
        <v>36</v>
      </c>
      <c r="D2690" s="85" t="s">
        <v>6601</v>
      </c>
      <c r="E2690" s="54" t="s">
        <v>38</v>
      </c>
      <c r="F2690" s="55" t="s">
        <v>96</v>
      </c>
      <c r="G2690" s="55" t="s">
        <v>6602</v>
      </c>
      <c r="H2690" s="55" t="s">
        <v>6603</v>
      </c>
      <c r="I2690" s="54">
        <f t="shared" si="125"/>
        <v>40</v>
      </c>
      <c r="J2690" s="56"/>
      <c r="K2690" s="57"/>
      <c r="L2690" s="76"/>
      <c r="M2690" s="59"/>
      <c r="N2690" s="60"/>
      <c r="O2690" s="61">
        <v>276645.0</v>
      </c>
      <c r="P2690" s="62">
        <v>298776.60000000003</v>
      </c>
      <c r="Q2690" s="63">
        <v>298776.60000000003</v>
      </c>
      <c r="R2690" s="78">
        <v>306220.0</v>
      </c>
      <c r="S2690" s="107">
        <v>321531.0</v>
      </c>
      <c r="T2690" s="65">
        <f t="shared" si="93"/>
        <v>51444.96</v>
      </c>
      <c r="U2690" s="65">
        <f t="shared" si="94"/>
        <v>372975.96</v>
      </c>
      <c r="V2690" s="66">
        <f t="shared" si="134"/>
        <v>0.05</v>
      </c>
      <c r="W2690" s="67">
        <f t="shared" si="96"/>
        <v>305454.45</v>
      </c>
      <c r="X2690" s="67">
        <f t="shared" si="132"/>
        <v>48872.712</v>
      </c>
      <c r="Y2690" s="67">
        <f t="shared" si="133"/>
        <v>354327.162</v>
      </c>
      <c r="Z2690" s="67">
        <f t="shared" si="99"/>
        <v>289377.9</v>
      </c>
      <c r="AA2690" s="67">
        <f t="shared" si="114"/>
        <v>46300.464</v>
      </c>
      <c r="AB2690" s="67">
        <f t="shared" si="115"/>
        <v>335678.364</v>
      </c>
      <c r="AC2690" s="67">
        <f t="shared" si="102"/>
        <v>289377.9</v>
      </c>
      <c r="AD2690" s="67">
        <f t="shared" si="116"/>
        <v>46300.464</v>
      </c>
      <c r="AE2690" s="67">
        <f t="shared" si="117"/>
        <v>335678.364</v>
      </c>
      <c r="AF2690" s="67">
        <f t="shared" si="105"/>
        <v>289377.9</v>
      </c>
      <c r="AG2690" s="67">
        <f t="shared" si="118"/>
        <v>46300.464</v>
      </c>
      <c r="AH2690" s="67">
        <f t="shared" si="119"/>
        <v>335678.364</v>
      </c>
      <c r="AI2690" s="67">
        <f t="shared" si="108"/>
        <v>289377.9</v>
      </c>
      <c r="AJ2690" s="68">
        <f t="shared" si="126"/>
        <v>46300.464</v>
      </c>
      <c r="AK2690" s="68">
        <f t="shared" si="127"/>
        <v>335678.364</v>
      </c>
      <c r="AL2690" s="70"/>
      <c r="AM2690" s="70"/>
      <c r="AN2690" s="71"/>
      <c r="AO2690" s="71"/>
      <c r="AP2690" s="71"/>
      <c r="AQ2690" s="71"/>
      <c r="AR2690" s="71"/>
      <c r="AS2690" s="71"/>
      <c r="AT2690" s="71"/>
      <c r="AU2690" s="71"/>
      <c r="AV2690" s="71"/>
      <c r="AW2690" s="71"/>
      <c r="AX2690" s="71"/>
      <c r="AY2690" s="71"/>
      <c r="AZ2690" s="71"/>
      <c r="BA2690" s="71"/>
      <c r="BB2690" s="71"/>
      <c r="BC2690" s="71"/>
      <c r="BD2690" s="71"/>
      <c r="BE2690" s="71"/>
      <c r="BF2690" s="71"/>
      <c r="BG2690" s="71"/>
      <c r="BH2690" s="71"/>
      <c r="BI2690" s="71"/>
      <c r="BJ2690" s="71"/>
      <c r="BK2690" s="71"/>
      <c r="BL2690" s="71"/>
      <c r="BM2690" s="71"/>
      <c r="BN2690" s="71"/>
      <c r="BO2690" s="71"/>
      <c r="BP2690" s="71"/>
      <c r="BQ2690" s="71"/>
      <c r="BR2690" s="71"/>
      <c r="BS2690" s="71"/>
      <c r="BT2690" s="71"/>
      <c r="BU2690" s="71"/>
      <c r="BV2690" s="71"/>
    </row>
    <row r="2691">
      <c r="A2691" s="53"/>
      <c r="B2691" s="53">
        <v>0.0</v>
      </c>
      <c r="C2691" s="53" t="s">
        <v>36</v>
      </c>
      <c r="D2691" s="85" t="s">
        <v>6604</v>
      </c>
      <c r="E2691" s="54" t="s">
        <v>38</v>
      </c>
      <c r="F2691" s="55" t="s">
        <v>96</v>
      </c>
      <c r="G2691" s="202" t="s">
        <v>6605</v>
      </c>
      <c r="H2691" s="55"/>
      <c r="I2691" s="54">
        <f t="shared" si="125"/>
        <v>0</v>
      </c>
      <c r="J2691" s="56"/>
      <c r="K2691" s="57"/>
      <c r="L2691" s="76" t="s">
        <v>1369</v>
      </c>
      <c r="M2691" s="59"/>
      <c r="N2691" s="60"/>
      <c r="O2691" s="61">
        <v>319779.0</v>
      </c>
      <c r="P2691" s="62">
        <v>345361.32</v>
      </c>
      <c r="Q2691" s="63">
        <v>345361.32</v>
      </c>
      <c r="R2691" s="64">
        <v>380761.0</v>
      </c>
      <c r="S2691" s="107">
        <v>399799.0</v>
      </c>
      <c r="T2691" s="65">
        <f t="shared" si="93"/>
        <v>63967.84</v>
      </c>
      <c r="U2691" s="65">
        <f t="shared" si="94"/>
        <v>463766.84</v>
      </c>
      <c r="V2691" s="66">
        <f t="shared" si="134"/>
        <v>0.04999986868</v>
      </c>
      <c r="W2691" s="67" t="b">
        <f t="shared" si="96"/>
        <v>0</v>
      </c>
      <c r="X2691" s="67">
        <f t="shared" si="132"/>
        <v>0</v>
      </c>
      <c r="Y2691" s="67">
        <f t="shared" si="133"/>
        <v>0</v>
      </c>
      <c r="Z2691" s="67" t="b">
        <f t="shared" si="99"/>
        <v>0</v>
      </c>
      <c r="AA2691" s="67">
        <f t="shared" si="114"/>
        <v>0</v>
      </c>
      <c r="AB2691" s="67">
        <f t="shared" si="115"/>
        <v>0</v>
      </c>
      <c r="AC2691" s="67" t="b">
        <f t="shared" si="102"/>
        <v>0</v>
      </c>
      <c r="AD2691" s="67">
        <f t="shared" si="116"/>
        <v>0</v>
      </c>
      <c r="AE2691" s="67">
        <f t="shared" si="117"/>
        <v>0</v>
      </c>
      <c r="AF2691" s="67" t="b">
        <f t="shared" si="105"/>
        <v>0</v>
      </c>
      <c r="AG2691" s="67">
        <f t="shared" si="118"/>
        <v>0</v>
      </c>
      <c r="AH2691" s="67">
        <f t="shared" si="119"/>
        <v>0</v>
      </c>
      <c r="AI2691" s="67" t="b">
        <f t="shared" si="108"/>
        <v>0</v>
      </c>
      <c r="AJ2691" s="68">
        <f t="shared" si="126"/>
        <v>0</v>
      </c>
      <c r="AK2691" s="68">
        <f t="shared" si="127"/>
        <v>0</v>
      </c>
      <c r="AL2691" s="70"/>
      <c r="AM2691" s="70"/>
      <c r="AN2691" s="71"/>
      <c r="AO2691" s="71"/>
      <c r="AP2691" s="71"/>
      <c r="AQ2691" s="71"/>
      <c r="AR2691" s="71"/>
      <c r="AS2691" s="71"/>
      <c r="AT2691" s="71"/>
      <c r="AU2691" s="71"/>
      <c r="AV2691" s="71"/>
      <c r="AW2691" s="71"/>
      <c r="AX2691" s="71"/>
      <c r="AY2691" s="71"/>
      <c r="AZ2691" s="71"/>
      <c r="BA2691" s="71"/>
      <c r="BB2691" s="71"/>
      <c r="BC2691" s="71"/>
      <c r="BD2691" s="71"/>
      <c r="BE2691" s="71"/>
      <c r="BF2691" s="71"/>
      <c r="BG2691" s="71"/>
      <c r="BH2691" s="71"/>
      <c r="BI2691" s="71"/>
      <c r="BJ2691" s="71"/>
      <c r="BK2691" s="71"/>
      <c r="BL2691" s="71"/>
      <c r="BM2691" s="71"/>
      <c r="BN2691" s="71"/>
      <c r="BO2691" s="71"/>
      <c r="BP2691" s="71"/>
      <c r="BQ2691" s="71"/>
      <c r="BR2691" s="71"/>
      <c r="BS2691" s="71"/>
      <c r="BT2691" s="71"/>
      <c r="BU2691" s="71"/>
      <c r="BV2691" s="71"/>
    </row>
    <row r="2692">
      <c r="A2692" s="53"/>
      <c r="B2692" s="53"/>
      <c r="C2692" s="53" t="s">
        <v>36</v>
      </c>
      <c r="D2692" s="53" t="s">
        <v>6606</v>
      </c>
      <c r="E2692" s="86" t="s">
        <v>38</v>
      </c>
      <c r="F2692" s="91" t="s">
        <v>96</v>
      </c>
      <c r="G2692" s="84" t="s">
        <v>6607</v>
      </c>
      <c r="H2692" s="55" t="s">
        <v>6608</v>
      </c>
      <c r="I2692" s="54">
        <f t="shared" si="125"/>
        <v>40</v>
      </c>
      <c r="J2692" s="56"/>
      <c r="K2692" s="57"/>
      <c r="L2692" s="76"/>
      <c r="M2692" s="59"/>
      <c r="N2692" s="60"/>
      <c r="O2692" s="90"/>
      <c r="P2692" s="62">
        <v>422224.0</v>
      </c>
      <c r="Q2692" s="63">
        <v>422224.0</v>
      </c>
      <c r="R2692" s="78">
        <v>398942.0</v>
      </c>
      <c r="S2692" s="111">
        <v>418889.0</v>
      </c>
      <c r="T2692" s="65">
        <f t="shared" si="93"/>
        <v>67022.24</v>
      </c>
      <c r="U2692" s="65">
        <f t="shared" si="94"/>
        <v>485911.24</v>
      </c>
      <c r="V2692" s="66"/>
      <c r="W2692" s="67">
        <f t="shared" si="96"/>
        <v>397944.55</v>
      </c>
      <c r="X2692" s="67">
        <f t="shared" si="132"/>
        <v>63671.128</v>
      </c>
      <c r="Y2692" s="67">
        <f t="shared" si="133"/>
        <v>461615.678</v>
      </c>
      <c r="Z2692" s="67">
        <f t="shared" si="99"/>
        <v>377000.1</v>
      </c>
      <c r="AA2692" s="67">
        <f t="shared" si="114"/>
        <v>60320.016</v>
      </c>
      <c r="AB2692" s="67">
        <f t="shared" si="115"/>
        <v>437320.116</v>
      </c>
      <c r="AC2692" s="67">
        <f t="shared" si="102"/>
        <v>356055.65</v>
      </c>
      <c r="AD2692" s="67">
        <f t="shared" si="116"/>
        <v>56968.904</v>
      </c>
      <c r="AE2692" s="67">
        <f t="shared" si="117"/>
        <v>413024.554</v>
      </c>
      <c r="AF2692" s="67">
        <f t="shared" si="105"/>
        <v>347677.87</v>
      </c>
      <c r="AG2692" s="67">
        <f t="shared" si="118"/>
        <v>55628.4592</v>
      </c>
      <c r="AH2692" s="67">
        <f t="shared" si="119"/>
        <v>403306.3292</v>
      </c>
      <c r="AI2692" s="67">
        <f t="shared" si="108"/>
        <v>335111.2</v>
      </c>
      <c r="AJ2692" s="68">
        <f t="shared" si="126"/>
        <v>53617.792</v>
      </c>
      <c r="AK2692" s="68">
        <f t="shared" si="127"/>
        <v>388728.992</v>
      </c>
      <c r="AL2692" s="70"/>
      <c r="AM2692" s="70"/>
      <c r="AN2692" s="71"/>
      <c r="AO2692" s="71"/>
      <c r="AP2692" s="71"/>
      <c r="AQ2692" s="71"/>
      <c r="AR2692" s="71"/>
      <c r="AS2692" s="71"/>
      <c r="AT2692" s="71"/>
      <c r="AU2692" s="71"/>
      <c r="AV2692" s="71"/>
      <c r="AW2692" s="71"/>
      <c r="AX2692" s="71"/>
      <c r="AY2692" s="71"/>
      <c r="AZ2692" s="71"/>
      <c r="BA2692" s="71"/>
      <c r="BB2692" s="71"/>
      <c r="BC2692" s="71"/>
      <c r="BD2692" s="71"/>
      <c r="BE2692" s="71"/>
      <c r="BF2692" s="71"/>
      <c r="BG2692" s="71"/>
      <c r="BH2692" s="71"/>
      <c r="BI2692" s="71"/>
      <c r="BJ2692" s="71"/>
      <c r="BK2692" s="71"/>
      <c r="BL2692" s="71"/>
      <c r="BM2692" s="71"/>
      <c r="BN2692" s="71"/>
      <c r="BO2692" s="71"/>
      <c r="BP2692" s="71"/>
      <c r="BQ2692" s="71"/>
      <c r="BR2692" s="71"/>
      <c r="BS2692" s="71"/>
      <c r="BT2692" s="71"/>
      <c r="BU2692" s="71"/>
      <c r="BV2692" s="71"/>
    </row>
    <row r="2693">
      <c r="A2693" s="53"/>
      <c r="B2693" s="53">
        <v>0.0</v>
      </c>
      <c r="C2693" s="53" t="s">
        <v>36</v>
      </c>
      <c r="D2693" s="85" t="s">
        <v>6609</v>
      </c>
      <c r="E2693" s="54" t="s">
        <v>38</v>
      </c>
      <c r="F2693" s="55" t="s">
        <v>96</v>
      </c>
      <c r="G2693" s="55" t="s">
        <v>6610</v>
      </c>
      <c r="H2693" s="55"/>
      <c r="I2693" s="54">
        <f t="shared" si="125"/>
        <v>0</v>
      </c>
      <c r="J2693" s="56"/>
      <c r="K2693" s="57"/>
      <c r="L2693" s="76" t="s">
        <v>1369</v>
      </c>
      <c r="M2693" s="59"/>
      <c r="N2693" s="60"/>
      <c r="O2693" s="61">
        <v>306163.0</v>
      </c>
      <c r="P2693" s="62">
        <v>330656.04000000004</v>
      </c>
      <c r="Q2693" s="63">
        <v>330656.04000000004</v>
      </c>
      <c r="R2693" s="64">
        <v>364549.0</v>
      </c>
      <c r="S2693" s="107">
        <v>382776.0</v>
      </c>
      <c r="T2693" s="65">
        <f t="shared" si="93"/>
        <v>61244.16</v>
      </c>
      <c r="U2693" s="65">
        <f t="shared" si="94"/>
        <v>444020.16</v>
      </c>
      <c r="V2693" s="66">
        <f t="shared" ref="V2693:V2752" si="135">(S2693-R2693)/R2693</f>
        <v>0.0499987656</v>
      </c>
      <c r="W2693" s="67" t="b">
        <f t="shared" si="96"/>
        <v>0</v>
      </c>
      <c r="X2693" s="67">
        <f t="shared" si="132"/>
        <v>0</v>
      </c>
      <c r="Y2693" s="67">
        <f t="shared" si="133"/>
        <v>0</v>
      </c>
      <c r="Z2693" s="67" t="b">
        <f t="shared" si="99"/>
        <v>0</v>
      </c>
      <c r="AA2693" s="67">
        <f t="shared" si="114"/>
        <v>0</v>
      </c>
      <c r="AB2693" s="67">
        <f t="shared" si="115"/>
        <v>0</v>
      </c>
      <c r="AC2693" s="67" t="b">
        <f t="shared" si="102"/>
        <v>0</v>
      </c>
      <c r="AD2693" s="67">
        <f t="shared" si="116"/>
        <v>0</v>
      </c>
      <c r="AE2693" s="67">
        <f t="shared" si="117"/>
        <v>0</v>
      </c>
      <c r="AF2693" s="67" t="b">
        <f t="shared" si="105"/>
        <v>0</v>
      </c>
      <c r="AG2693" s="67">
        <f t="shared" si="118"/>
        <v>0</v>
      </c>
      <c r="AH2693" s="67">
        <f t="shared" si="119"/>
        <v>0</v>
      </c>
      <c r="AI2693" s="67" t="b">
        <f t="shared" si="108"/>
        <v>0</v>
      </c>
      <c r="AJ2693" s="68">
        <f t="shared" si="126"/>
        <v>0</v>
      </c>
      <c r="AK2693" s="68">
        <f t="shared" si="127"/>
        <v>0</v>
      </c>
      <c r="AL2693" s="70"/>
      <c r="AM2693" s="70"/>
      <c r="AN2693" s="71"/>
      <c r="AO2693" s="71"/>
      <c r="AP2693" s="71"/>
      <c r="AQ2693" s="71"/>
      <c r="AR2693" s="71"/>
      <c r="AS2693" s="71"/>
      <c r="AT2693" s="71"/>
      <c r="AU2693" s="71"/>
      <c r="AV2693" s="71"/>
      <c r="AW2693" s="71"/>
      <c r="AX2693" s="71"/>
      <c r="AY2693" s="71"/>
      <c r="AZ2693" s="71"/>
      <c r="BA2693" s="71"/>
      <c r="BB2693" s="71"/>
      <c r="BC2693" s="71"/>
      <c r="BD2693" s="71"/>
      <c r="BE2693" s="71"/>
      <c r="BF2693" s="71"/>
      <c r="BG2693" s="71"/>
      <c r="BH2693" s="71"/>
      <c r="BI2693" s="71"/>
      <c r="BJ2693" s="71"/>
      <c r="BK2693" s="71"/>
      <c r="BL2693" s="71"/>
      <c r="BM2693" s="71"/>
      <c r="BN2693" s="71"/>
      <c r="BO2693" s="71"/>
      <c r="BP2693" s="71"/>
      <c r="BQ2693" s="71"/>
      <c r="BR2693" s="71"/>
      <c r="BS2693" s="71"/>
      <c r="BT2693" s="71"/>
      <c r="BU2693" s="71"/>
      <c r="BV2693" s="71"/>
    </row>
    <row r="2694">
      <c r="A2694" s="53"/>
      <c r="B2694" s="53">
        <v>3.0</v>
      </c>
      <c r="C2694" s="53" t="s">
        <v>36</v>
      </c>
      <c r="D2694" s="85" t="s">
        <v>6611</v>
      </c>
      <c r="E2694" s="54" t="s">
        <v>38</v>
      </c>
      <c r="F2694" s="55" t="s">
        <v>96</v>
      </c>
      <c r="G2694" s="55" t="s">
        <v>6612</v>
      </c>
      <c r="H2694" s="55" t="s">
        <v>6613</v>
      </c>
      <c r="I2694" s="54">
        <f t="shared" si="125"/>
        <v>40</v>
      </c>
      <c r="J2694" s="56"/>
      <c r="K2694" s="57"/>
      <c r="L2694" s="76"/>
      <c r="M2694" s="59"/>
      <c r="N2694" s="60"/>
      <c r="O2694" s="61">
        <v>263029.0</v>
      </c>
      <c r="P2694" s="62">
        <v>284071.32</v>
      </c>
      <c r="Q2694" s="63">
        <v>284071.32</v>
      </c>
      <c r="R2694" s="78">
        <v>259217.0</v>
      </c>
      <c r="S2694" s="107">
        <v>272178.0</v>
      </c>
      <c r="T2694" s="65">
        <f t="shared" si="93"/>
        <v>43548.48</v>
      </c>
      <c r="U2694" s="65">
        <f t="shared" si="94"/>
        <v>315726.48</v>
      </c>
      <c r="V2694" s="66">
        <f t="shared" si="135"/>
        <v>0.05000057867</v>
      </c>
      <c r="W2694" s="67">
        <f t="shared" si="96"/>
        <v>258569.1</v>
      </c>
      <c r="X2694" s="67">
        <f t="shared" si="132"/>
        <v>41371.056</v>
      </c>
      <c r="Y2694" s="67">
        <f t="shared" si="133"/>
        <v>299940.156</v>
      </c>
      <c r="Z2694" s="67">
        <f t="shared" si="99"/>
        <v>244960.2</v>
      </c>
      <c r="AA2694" s="67">
        <f t="shared" si="114"/>
        <v>39193.632</v>
      </c>
      <c r="AB2694" s="67">
        <f t="shared" si="115"/>
        <v>284153.832</v>
      </c>
      <c r="AC2694" s="67">
        <f t="shared" si="102"/>
        <v>244960.2</v>
      </c>
      <c r="AD2694" s="67">
        <f t="shared" si="116"/>
        <v>39193.632</v>
      </c>
      <c r="AE2694" s="67">
        <f t="shared" si="117"/>
        <v>284153.832</v>
      </c>
      <c r="AF2694" s="67">
        <f t="shared" si="105"/>
        <v>244960.2</v>
      </c>
      <c r="AG2694" s="67">
        <f t="shared" si="118"/>
        <v>39193.632</v>
      </c>
      <c r="AH2694" s="67">
        <f t="shared" si="119"/>
        <v>284153.832</v>
      </c>
      <c r="AI2694" s="67">
        <f t="shared" si="108"/>
        <v>244960.2</v>
      </c>
      <c r="AJ2694" s="68">
        <f t="shared" si="126"/>
        <v>39193.632</v>
      </c>
      <c r="AK2694" s="68">
        <f t="shared" si="127"/>
        <v>284153.832</v>
      </c>
      <c r="AL2694" s="70"/>
      <c r="AM2694" s="70"/>
      <c r="AN2694" s="71"/>
      <c r="AO2694" s="71"/>
      <c r="AP2694" s="71"/>
      <c r="AQ2694" s="71"/>
      <c r="AR2694" s="71"/>
      <c r="AS2694" s="71"/>
      <c r="AT2694" s="71"/>
      <c r="AU2694" s="71"/>
      <c r="AV2694" s="71"/>
      <c r="AW2694" s="71"/>
      <c r="AX2694" s="71"/>
      <c r="AY2694" s="71"/>
      <c r="AZ2694" s="71"/>
      <c r="BA2694" s="71"/>
      <c r="BB2694" s="71"/>
      <c r="BC2694" s="71"/>
      <c r="BD2694" s="71"/>
      <c r="BE2694" s="71"/>
      <c r="BF2694" s="71"/>
      <c r="BG2694" s="71"/>
      <c r="BH2694" s="71"/>
      <c r="BI2694" s="71"/>
      <c r="BJ2694" s="71"/>
      <c r="BK2694" s="71"/>
      <c r="BL2694" s="71"/>
      <c r="BM2694" s="71"/>
      <c r="BN2694" s="71"/>
      <c r="BO2694" s="71"/>
      <c r="BP2694" s="71"/>
      <c r="BQ2694" s="71"/>
      <c r="BR2694" s="71"/>
      <c r="BS2694" s="71"/>
      <c r="BT2694" s="71"/>
      <c r="BU2694" s="71"/>
      <c r="BV2694" s="71"/>
    </row>
    <row r="2695">
      <c r="A2695" s="53"/>
      <c r="B2695" s="53">
        <v>3.0</v>
      </c>
      <c r="C2695" s="53" t="s">
        <v>36</v>
      </c>
      <c r="D2695" s="85" t="s">
        <v>6614</v>
      </c>
      <c r="E2695" s="54" t="s">
        <v>38</v>
      </c>
      <c r="F2695" s="55" t="s">
        <v>96</v>
      </c>
      <c r="G2695" s="84" t="s">
        <v>6615</v>
      </c>
      <c r="H2695" s="84"/>
      <c r="I2695" s="54">
        <f t="shared" si="125"/>
        <v>0</v>
      </c>
      <c r="J2695" s="102"/>
      <c r="K2695" s="102"/>
      <c r="L2695" s="76"/>
      <c r="M2695" s="59"/>
      <c r="N2695" s="60"/>
      <c r="O2695" s="100">
        <v>73044.0</v>
      </c>
      <c r="P2695" s="62">
        <v>78887.52</v>
      </c>
      <c r="Q2695" s="63">
        <v>78887.52</v>
      </c>
      <c r="R2695" s="64">
        <v>86974.0</v>
      </c>
      <c r="S2695" s="107">
        <v>91323.0</v>
      </c>
      <c r="T2695" s="65">
        <f t="shared" si="93"/>
        <v>14611.68</v>
      </c>
      <c r="U2695" s="65">
        <f t="shared" si="94"/>
        <v>105934.68</v>
      </c>
      <c r="V2695" s="66">
        <f t="shared" si="135"/>
        <v>0.05000344931</v>
      </c>
      <c r="W2695" s="67">
        <f t="shared" si="96"/>
        <v>86756.85</v>
      </c>
      <c r="X2695" s="67">
        <f t="shared" si="132"/>
        <v>13881.096</v>
      </c>
      <c r="Y2695" s="67">
        <f t="shared" si="133"/>
        <v>100637.946</v>
      </c>
      <c r="Z2695" s="67">
        <f t="shared" si="99"/>
        <v>82190.7</v>
      </c>
      <c r="AA2695" s="67">
        <f t="shared" si="114"/>
        <v>13150.512</v>
      </c>
      <c r="AB2695" s="67">
        <f t="shared" si="115"/>
        <v>95341.212</v>
      </c>
      <c r="AC2695" s="67">
        <f t="shared" si="102"/>
        <v>82190.7</v>
      </c>
      <c r="AD2695" s="67">
        <f t="shared" si="116"/>
        <v>13150.512</v>
      </c>
      <c r="AE2695" s="67">
        <f t="shared" si="117"/>
        <v>95341.212</v>
      </c>
      <c r="AF2695" s="67">
        <f t="shared" si="105"/>
        <v>82190.7</v>
      </c>
      <c r="AG2695" s="67">
        <f t="shared" si="118"/>
        <v>13150.512</v>
      </c>
      <c r="AH2695" s="67">
        <f t="shared" si="119"/>
        <v>95341.212</v>
      </c>
      <c r="AI2695" s="67">
        <f t="shared" si="108"/>
        <v>82190.7</v>
      </c>
      <c r="AJ2695" s="68">
        <f t="shared" si="126"/>
        <v>13150.512</v>
      </c>
      <c r="AK2695" s="68">
        <f t="shared" si="127"/>
        <v>95341.212</v>
      </c>
      <c r="AL2695" s="70"/>
      <c r="AM2695" s="70"/>
      <c r="AN2695" s="71"/>
      <c r="AO2695" s="71"/>
      <c r="AP2695" s="71"/>
      <c r="AQ2695" s="71"/>
      <c r="AR2695" s="71"/>
      <c r="AS2695" s="71"/>
      <c r="AT2695" s="71"/>
      <c r="AU2695" s="71"/>
      <c r="AV2695" s="71"/>
      <c r="AW2695" s="71"/>
      <c r="AX2695" s="71"/>
      <c r="AY2695" s="71"/>
      <c r="AZ2695" s="71"/>
      <c r="BA2695" s="71"/>
      <c r="BB2695" s="71"/>
      <c r="BC2695" s="71"/>
      <c r="BD2695" s="71"/>
      <c r="BE2695" s="71"/>
      <c r="BF2695" s="71"/>
      <c r="BG2695" s="71"/>
      <c r="BH2695" s="71"/>
      <c r="BI2695" s="71"/>
      <c r="BJ2695" s="71"/>
      <c r="BK2695" s="71"/>
      <c r="BL2695" s="71"/>
      <c r="BM2695" s="71"/>
      <c r="BN2695" s="71"/>
      <c r="BO2695" s="71"/>
      <c r="BP2695" s="71"/>
      <c r="BQ2695" s="71"/>
      <c r="BR2695" s="71"/>
      <c r="BS2695" s="71"/>
      <c r="BT2695" s="71"/>
      <c r="BU2695" s="71"/>
      <c r="BV2695" s="71"/>
    </row>
    <row r="2696">
      <c r="A2696" s="53"/>
      <c r="B2696" s="53"/>
      <c r="C2696" s="53" t="s">
        <v>12</v>
      </c>
      <c r="D2696" s="53" t="s">
        <v>6616</v>
      </c>
      <c r="E2696" s="86" t="s">
        <v>38</v>
      </c>
      <c r="F2696" s="91" t="s">
        <v>42</v>
      </c>
      <c r="G2696" s="84" t="s">
        <v>6617</v>
      </c>
      <c r="H2696" s="84" t="s">
        <v>6617</v>
      </c>
      <c r="I2696" s="54">
        <f t="shared" si="125"/>
        <v>36</v>
      </c>
      <c r="J2696" s="56"/>
      <c r="K2696" s="57"/>
      <c r="L2696" s="76"/>
      <c r="M2696" s="59"/>
      <c r="N2696" s="60"/>
      <c r="O2696" s="90"/>
      <c r="P2696" s="62">
        <v>270.0</v>
      </c>
      <c r="Q2696" s="63">
        <v>270.0</v>
      </c>
      <c r="R2696" s="64">
        <v>284.0</v>
      </c>
      <c r="S2696" s="111">
        <v>298.0</v>
      </c>
      <c r="T2696" s="65">
        <f t="shared" si="93"/>
        <v>47.68</v>
      </c>
      <c r="U2696" s="65">
        <f t="shared" si="94"/>
        <v>345.68</v>
      </c>
      <c r="V2696" s="66">
        <f t="shared" si="135"/>
        <v>0.04929577465</v>
      </c>
      <c r="W2696" s="67">
        <f t="shared" si="96"/>
        <v>283.1</v>
      </c>
      <c r="X2696" s="67">
        <f t="shared" si="132"/>
        <v>45.296</v>
      </c>
      <c r="Y2696" s="67">
        <f t="shared" si="133"/>
        <v>328.396</v>
      </c>
      <c r="Z2696" s="67">
        <f t="shared" si="99"/>
        <v>268.2</v>
      </c>
      <c r="AA2696" s="67">
        <f t="shared" si="114"/>
        <v>42.912</v>
      </c>
      <c r="AB2696" s="67">
        <f t="shared" si="115"/>
        <v>311.112</v>
      </c>
      <c r="AC2696" s="67">
        <f t="shared" si="102"/>
        <v>253.3</v>
      </c>
      <c r="AD2696" s="67">
        <f t="shared" si="116"/>
        <v>40.528</v>
      </c>
      <c r="AE2696" s="67">
        <f t="shared" si="117"/>
        <v>293.828</v>
      </c>
      <c r="AF2696" s="67">
        <f t="shared" si="105"/>
        <v>247.34</v>
      </c>
      <c r="AG2696" s="67">
        <f t="shared" si="118"/>
        <v>39.5744</v>
      </c>
      <c r="AH2696" s="67">
        <f t="shared" si="119"/>
        <v>286.9144</v>
      </c>
      <c r="AI2696" s="67">
        <f t="shared" si="108"/>
        <v>238.4</v>
      </c>
      <c r="AJ2696" s="68">
        <f t="shared" si="126"/>
        <v>38.144</v>
      </c>
      <c r="AK2696" s="68">
        <f t="shared" si="127"/>
        <v>276.544</v>
      </c>
      <c r="AL2696" s="70"/>
      <c r="AM2696" s="70"/>
      <c r="AN2696" s="71"/>
      <c r="AO2696" s="71"/>
      <c r="AP2696" s="71"/>
      <c r="AQ2696" s="71"/>
      <c r="AR2696" s="71"/>
      <c r="AS2696" s="71"/>
      <c r="AT2696" s="71"/>
      <c r="AU2696" s="71"/>
      <c r="AV2696" s="71"/>
      <c r="AW2696" s="71"/>
      <c r="AX2696" s="71"/>
      <c r="AY2696" s="71"/>
      <c r="AZ2696" s="71"/>
      <c r="BA2696" s="71"/>
      <c r="BB2696" s="71"/>
      <c r="BC2696" s="71"/>
      <c r="BD2696" s="71"/>
      <c r="BE2696" s="71"/>
      <c r="BF2696" s="71"/>
      <c r="BG2696" s="71"/>
      <c r="BH2696" s="71"/>
      <c r="BI2696" s="71"/>
      <c r="BJ2696" s="71"/>
      <c r="BK2696" s="71"/>
      <c r="BL2696" s="71"/>
      <c r="BM2696" s="71"/>
      <c r="BN2696" s="71"/>
      <c r="BO2696" s="71"/>
      <c r="BP2696" s="71"/>
      <c r="BQ2696" s="71"/>
      <c r="BR2696" s="71"/>
      <c r="BS2696" s="71"/>
      <c r="BT2696" s="71"/>
      <c r="BU2696" s="71"/>
      <c r="BV2696" s="71"/>
    </row>
    <row r="2697">
      <c r="A2697" s="53"/>
      <c r="B2697" s="53"/>
      <c r="C2697" s="73" t="s">
        <v>53</v>
      </c>
      <c r="D2697" s="53" t="s">
        <v>6618</v>
      </c>
      <c r="E2697" s="54" t="s">
        <v>38</v>
      </c>
      <c r="F2697" s="54" t="s">
        <v>42</v>
      </c>
      <c r="G2697" s="55" t="s">
        <v>6619</v>
      </c>
      <c r="H2697" s="54" t="s">
        <v>6619</v>
      </c>
      <c r="I2697" s="54">
        <f t="shared" si="125"/>
        <v>34</v>
      </c>
      <c r="J2697" s="56"/>
      <c r="K2697" s="57"/>
      <c r="L2697" s="76"/>
      <c r="M2697" s="59"/>
      <c r="N2697" s="79">
        <v>2720.0</v>
      </c>
      <c r="O2697" s="61">
        <v>2937.0</v>
      </c>
      <c r="P2697" s="63">
        <v>3171.96</v>
      </c>
      <c r="Q2697" s="63">
        <v>3171.96</v>
      </c>
      <c r="R2697" s="64">
        <v>3331.0</v>
      </c>
      <c r="S2697" s="111">
        <v>3498.0</v>
      </c>
      <c r="T2697" s="65">
        <f t="shared" si="93"/>
        <v>559.68</v>
      </c>
      <c r="U2697" s="65">
        <f t="shared" si="94"/>
        <v>4057.68</v>
      </c>
      <c r="V2697" s="66">
        <f t="shared" si="135"/>
        <v>0.05013509457</v>
      </c>
      <c r="W2697" s="67">
        <f t="shared" si="96"/>
        <v>3323.1</v>
      </c>
      <c r="X2697" s="67">
        <f t="shared" si="132"/>
        <v>531.696</v>
      </c>
      <c r="Y2697" s="67">
        <f t="shared" si="133"/>
        <v>3854.796</v>
      </c>
      <c r="Z2697" s="67">
        <f t="shared" si="99"/>
        <v>3148.2</v>
      </c>
      <c r="AA2697" s="67">
        <f t="shared" si="114"/>
        <v>503.712</v>
      </c>
      <c r="AB2697" s="67">
        <f t="shared" si="115"/>
        <v>3651.912</v>
      </c>
      <c r="AC2697" s="67">
        <f t="shared" si="102"/>
        <v>2973.3</v>
      </c>
      <c r="AD2697" s="67">
        <f t="shared" si="116"/>
        <v>475.728</v>
      </c>
      <c r="AE2697" s="67">
        <f t="shared" si="117"/>
        <v>3449.028</v>
      </c>
      <c r="AF2697" s="67">
        <f t="shared" si="105"/>
        <v>2903.34</v>
      </c>
      <c r="AG2697" s="67">
        <f t="shared" si="118"/>
        <v>464.5344</v>
      </c>
      <c r="AH2697" s="67">
        <f t="shared" si="119"/>
        <v>3367.8744</v>
      </c>
      <c r="AI2697" s="67">
        <f t="shared" si="108"/>
        <v>2798.4</v>
      </c>
      <c r="AJ2697" s="68">
        <f t="shared" si="126"/>
        <v>447.744</v>
      </c>
      <c r="AK2697" s="68">
        <f t="shared" si="127"/>
        <v>3246.144</v>
      </c>
      <c r="AL2697" s="70"/>
      <c r="AM2697" s="70"/>
      <c r="AN2697" s="71"/>
      <c r="AO2697" s="71"/>
      <c r="AP2697" s="71"/>
      <c r="AQ2697" s="71"/>
      <c r="AR2697" s="71"/>
      <c r="AS2697" s="71"/>
      <c r="AT2697" s="71"/>
      <c r="AU2697" s="71"/>
      <c r="AV2697" s="71"/>
      <c r="AW2697" s="71"/>
      <c r="AX2697" s="71"/>
      <c r="AY2697" s="71"/>
      <c r="AZ2697" s="71"/>
      <c r="BA2697" s="71"/>
      <c r="BB2697" s="71"/>
      <c r="BC2697" s="71"/>
      <c r="BD2697" s="71"/>
      <c r="BE2697" s="71"/>
      <c r="BF2697" s="71"/>
      <c r="BG2697" s="71"/>
      <c r="BH2697" s="71"/>
      <c r="BI2697" s="71"/>
      <c r="BJ2697" s="71"/>
      <c r="BK2697" s="71"/>
      <c r="BL2697" s="71"/>
      <c r="BM2697" s="71"/>
      <c r="BN2697" s="71"/>
      <c r="BO2697" s="71"/>
      <c r="BP2697" s="71"/>
      <c r="BQ2697" s="71"/>
      <c r="BR2697" s="71"/>
      <c r="BS2697" s="71"/>
      <c r="BT2697" s="71"/>
      <c r="BU2697" s="71"/>
      <c r="BV2697" s="71"/>
    </row>
    <row r="2698">
      <c r="A2698" s="53"/>
      <c r="B2698" s="53"/>
      <c r="C2698" s="53" t="s">
        <v>53</v>
      </c>
      <c r="D2698" s="53" t="s">
        <v>6620</v>
      </c>
      <c r="E2698" s="54" t="s">
        <v>38</v>
      </c>
      <c r="F2698" s="54" t="s">
        <v>42</v>
      </c>
      <c r="G2698" s="55" t="s">
        <v>6621</v>
      </c>
      <c r="H2698" s="54" t="s">
        <v>6621</v>
      </c>
      <c r="I2698" s="54">
        <f t="shared" si="125"/>
        <v>34</v>
      </c>
      <c r="J2698" s="56"/>
      <c r="K2698" s="57"/>
      <c r="L2698" s="76"/>
      <c r="M2698" s="59"/>
      <c r="N2698" s="79">
        <v>3286.0</v>
      </c>
      <c r="O2698" s="61">
        <v>3548.0</v>
      </c>
      <c r="P2698" s="63">
        <v>3831.84</v>
      </c>
      <c r="Q2698" s="63">
        <v>3831.84</v>
      </c>
      <c r="R2698" s="64">
        <v>4024.0</v>
      </c>
      <c r="S2698" s="111">
        <v>4225.0</v>
      </c>
      <c r="T2698" s="65">
        <f t="shared" si="93"/>
        <v>676</v>
      </c>
      <c r="U2698" s="65">
        <f t="shared" si="94"/>
        <v>4901</v>
      </c>
      <c r="V2698" s="66">
        <f t="shared" si="135"/>
        <v>0.04995029821</v>
      </c>
      <c r="W2698" s="67">
        <f t="shared" si="96"/>
        <v>4013.75</v>
      </c>
      <c r="X2698" s="67">
        <f t="shared" si="132"/>
        <v>642.2</v>
      </c>
      <c r="Y2698" s="67">
        <f t="shared" si="133"/>
        <v>4655.95</v>
      </c>
      <c r="Z2698" s="67">
        <f t="shared" si="99"/>
        <v>3802.5</v>
      </c>
      <c r="AA2698" s="67">
        <f t="shared" si="114"/>
        <v>608.4</v>
      </c>
      <c r="AB2698" s="67">
        <f t="shared" si="115"/>
        <v>4410.9</v>
      </c>
      <c r="AC2698" s="67">
        <f t="shared" si="102"/>
        <v>3591.25</v>
      </c>
      <c r="AD2698" s="67">
        <f t="shared" si="116"/>
        <v>574.6</v>
      </c>
      <c r="AE2698" s="67">
        <f t="shared" si="117"/>
        <v>4165.85</v>
      </c>
      <c r="AF2698" s="67">
        <f t="shared" si="105"/>
        <v>3506.75</v>
      </c>
      <c r="AG2698" s="67">
        <f t="shared" si="118"/>
        <v>561.08</v>
      </c>
      <c r="AH2698" s="67">
        <f t="shared" si="119"/>
        <v>4067.83</v>
      </c>
      <c r="AI2698" s="67">
        <f t="shared" si="108"/>
        <v>3380</v>
      </c>
      <c r="AJ2698" s="68">
        <f t="shared" si="126"/>
        <v>540.8</v>
      </c>
      <c r="AK2698" s="68">
        <f t="shared" si="127"/>
        <v>3920.8</v>
      </c>
      <c r="AL2698" s="70"/>
      <c r="AM2698" s="70"/>
      <c r="AN2698" s="71"/>
      <c r="AO2698" s="71"/>
      <c r="AP2698" s="71"/>
      <c r="AQ2698" s="71"/>
      <c r="AR2698" s="71"/>
      <c r="AS2698" s="71"/>
      <c r="AT2698" s="71"/>
      <c r="AU2698" s="71"/>
      <c r="AV2698" s="71"/>
      <c r="AW2698" s="71"/>
      <c r="AX2698" s="71"/>
      <c r="AY2698" s="71"/>
      <c r="AZ2698" s="71"/>
      <c r="BA2698" s="71"/>
      <c r="BB2698" s="71"/>
      <c r="BC2698" s="71"/>
      <c r="BD2698" s="71"/>
      <c r="BE2698" s="71"/>
      <c r="BF2698" s="71"/>
      <c r="BG2698" s="71"/>
      <c r="BH2698" s="71"/>
      <c r="BI2698" s="71"/>
      <c r="BJ2698" s="71"/>
      <c r="BK2698" s="71"/>
      <c r="BL2698" s="71"/>
      <c r="BM2698" s="71"/>
      <c r="BN2698" s="71"/>
      <c r="BO2698" s="71"/>
      <c r="BP2698" s="71"/>
      <c r="BQ2698" s="71"/>
      <c r="BR2698" s="71"/>
      <c r="BS2698" s="71"/>
      <c r="BT2698" s="71"/>
      <c r="BU2698" s="71"/>
      <c r="BV2698" s="71"/>
    </row>
    <row r="2699">
      <c r="A2699" s="53"/>
      <c r="B2699" s="53"/>
      <c r="C2699" s="53" t="s">
        <v>53</v>
      </c>
      <c r="D2699" s="53" t="s">
        <v>6622</v>
      </c>
      <c r="E2699" s="54" t="s">
        <v>38</v>
      </c>
      <c r="F2699" s="54" t="s">
        <v>42</v>
      </c>
      <c r="G2699" s="55" t="s">
        <v>6623</v>
      </c>
      <c r="H2699" s="54" t="s">
        <v>6624</v>
      </c>
      <c r="I2699" s="54">
        <f t="shared" si="125"/>
        <v>29</v>
      </c>
      <c r="J2699" s="56"/>
      <c r="K2699" s="57"/>
      <c r="L2699" s="76"/>
      <c r="M2699" s="59"/>
      <c r="N2699" s="79">
        <v>2720.0</v>
      </c>
      <c r="O2699" s="61">
        <v>2937.0</v>
      </c>
      <c r="P2699" s="63">
        <v>3171.96</v>
      </c>
      <c r="Q2699" s="63">
        <v>3171.96</v>
      </c>
      <c r="R2699" s="64">
        <v>3331.0</v>
      </c>
      <c r="S2699" s="111">
        <v>3498.0</v>
      </c>
      <c r="T2699" s="65">
        <f t="shared" si="93"/>
        <v>559.68</v>
      </c>
      <c r="U2699" s="65">
        <f t="shared" si="94"/>
        <v>4057.68</v>
      </c>
      <c r="V2699" s="66">
        <f t="shared" si="135"/>
        <v>0.05013509457</v>
      </c>
      <c r="W2699" s="67">
        <f t="shared" si="96"/>
        <v>3323.1</v>
      </c>
      <c r="X2699" s="67">
        <f t="shared" si="132"/>
        <v>531.696</v>
      </c>
      <c r="Y2699" s="67">
        <f t="shared" si="133"/>
        <v>3854.796</v>
      </c>
      <c r="Z2699" s="67">
        <f t="shared" si="99"/>
        <v>3148.2</v>
      </c>
      <c r="AA2699" s="67">
        <f t="shared" si="114"/>
        <v>503.712</v>
      </c>
      <c r="AB2699" s="67">
        <f t="shared" si="115"/>
        <v>3651.912</v>
      </c>
      <c r="AC2699" s="67">
        <f t="shared" si="102"/>
        <v>2973.3</v>
      </c>
      <c r="AD2699" s="67">
        <f t="shared" si="116"/>
        <v>475.728</v>
      </c>
      <c r="AE2699" s="67">
        <f t="shared" si="117"/>
        <v>3449.028</v>
      </c>
      <c r="AF2699" s="67">
        <f t="shared" si="105"/>
        <v>2903.34</v>
      </c>
      <c r="AG2699" s="67">
        <f t="shared" si="118"/>
        <v>464.5344</v>
      </c>
      <c r="AH2699" s="67">
        <f t="shared" si="119"/>
        <v>3367.8744</v>
      </c>
      <c r="AI2699" s="67">
        <f t="shared" si="108"/>
        <v>2798.4</v>
      </c>
      <c r="AJ2699" s="68">
        <f t="shared" si="126"/>
        <v>447.744</v>
      </c>
      <c r="AK2699" s="68">
        <f t="shared" si="127"/>
        <v>3246.144</v>
      </c>
      <c r="AL2699" s="70"/>
      <c r="AM2699" s="70"/>
      <c r="AN2699" s="71"/>
      <c r="AO2699" s="71"/>
      <c r="AP2699" s="71"/>
      <c r="AQ2699" s="71"/>
      <c r="AR2699" s="71"/>
      <c r="AS2699" s="71"/>
      <c r="AT2699" s="71"/>
      <c r="AU2699" s="71"/>
      <c r="AV2699" s="71"/>
      <c r="AW2699" s="71"/>
      <c r="AX2699" s="71"/>
      <c r="AY2699" s="71"/>
      <c r="AZ2699" s="71"/>
      <c r="BA2699" s="71"/>
      <c r="BB2699" s="71"/>
      <c r="BC2699" s="71"/>
      <c r="BD2699" s="71"/>
      <c r="BE2699" s="71"/>
      <c r="BF2699" s="71"/>
      <c r="BG2699" s="71"/>
      <c r="BH2699" s="71"/>
      <c r="BI2699" s="71"/>
      <c r="BJ2699" s="71"/>
      <c r="BK2699" s="71"/>
      <c r="BL2699" s="71"/>
      <c r="BM2699" s="71"/>
      <c r="BN2699" s="71"/>
      <c r="BO2699" s="71"/>
      <c r="BP2699" s="71"/>
      <c r="BQ2699" s="71"/>
      <c r="BR2699" s="71"/>
      <c r="BS2699" s="71"/>
      <c r="BT2699" s="71"/>
      <c r="BU2699" s="71"/>
      <c r="BV2699" s="71"/>
    </row>
    <row r="2700">
      <c r="A2700" s="53"/>
      <c r="B2700" s="53"/>
      <c r="C2700" s="53"/>
      <c r="D2700" s="53" t="s">
        <v>6625</v>
      </c>
      <c r="E2700" s="55" t="s">
        <v>38</v>
      </c>
      <c r="F2700" s="89"/>
      <c r="G2700" s="84" t="s">
        <v>6626</v>
      </c>
      <c r="H2700" s="55"/>
      <c r="I2700" s="54">
        <f t="shared" si="125"/>
        <v>0</v>
      </c>
      <c r="J2700" s="56"/>
      <c r="K2700" s="57"/>
      <c r="L2700" s="55"/>
      <c r="M2700" s="59"/>
      <c r="N2700" s="60"/>
      <c r="O2700" s="90"/>
      <c r="P2700" s="62">
        <v>63220.0</v>
      </c>
      <c r="Q2700" s="63">
        <v>63220.0</v>
      </c>
      <c r="R2700" s="64">
        <v>69701.0</v>
      </c>
      <c r="S2700" s="111">
        <v>73186.0</v>
      </c>
      <c r="T2700" s="65">
        <f t="shared" si="93"/>
        <v>11709.76</v>
      </c>
      <c r="U2700" s="65">
        <f t="shared" si="94"/>
        <v>84895.76</v>
      </c>
      <c r="V2700" s="66">
        <f t="shared" si="135"/>
        <v>0.04999928265</v>
      </c>
      <c r="W2700" s="67">
        <f t="shared" si="96"/>
        <v>69526.7</v>
      </c>
      <c r="X2700" s="67">
        <f t="shared" si="132"/>
        <v>11124.272</v>
      </c>
      <c r="Y2700" s="67">
        <f t="shared" si="133"/>
        <v>80650.972</v>
      </c>
      <c r="Z2700" s="67">
        <f t="shared" si="99"/>
        <v>65867.4</v>
      </c>
      <c r="AA2700" s="67">
        <f t="shared" si="114"/>
        <v>10538.784</v>
      </c>
      <c r="AB2700" s="67">
        <f t="shared" si="115"/>
        <v>76406.184</v>
      </c>
      <c r="AC2700" s="67">
        <f t="shared" si="102"/>
        <v>62208.1</v>
      </c>
      <c r="AD2700" s="67">
        <f t="shared" si="116"/>
        <v>9953.296</v>
      </c>
      <c r="AE2700" s="67">
        <f t="shared" si="117"/>
        <v>72161.396</v>
      </c>
      <c r="AF2700" s="67">
        <f t="shared" si="105"/>
        <v>60744.38</v>
      </c>
      <c r="AG2700" s="67">
        <f t="shared" si="118"/>
        <v>9719.1008</v>
      </c>
      <c r="AH2700" s="67">
        <f t="shared" si="119"/>
        <v>70463.4808</v>
      </c>
      <c r="AI2700" s="67">
        <f t="shared" si="108"/>
        <v>58548.8</v>
      </c>
      <c r="AJ2700" s="68">
        <f t="shared" si="126"/>
        <v>9367.808</v>
      </c>
      <c r="AK2700" s="68">
        <f t="shared" si="127"/>
        <v>67916.608</v>
      </c>
      <c r="AL2700" s="70"/>
      <c r="AM2700" s="70"/>
      <c r="AN2700" s="71"/>
      <c r="AO2700" s="71"/>
      <c r="AP2700" s="71"/>
      <c r="AQ2700" s="71"/>
      <c r="AR2700" s="71"/>
      <c r="AS2700" s="71"/>
      <c r="AT2700" s="71"/>
      <c r="AU2700" s="71"/>
      <c r="AV2700" s="71"/>
      <c r="AW2700" s="71"/>
      <c r="AX2700" s="71"/>
      <c r="AY2700" s="71"/>
      <c r="AZ2700" s="71"/>
      <c r="BA2700" s="71"/>
      <c r="BB2700" s="71"/>
      <c r="BC2700" s="71"/>
      <c r="BD2700" s="71"/>
      <c r="BE2700" s="71"/>
      <c r="BF2700" s="71"/>
      <c r="BG2700" s="71"/>
      <c r="BH2700" s="71"/>
      <c r="BI2700" s="71"/>
      <c r="BJ2700" s="71"/>
      <c r="BK2700" s="71"/>
      <c r="BL2700" s="71"/>
      <c r="BM2700" s="71"/>
      <c r="BN2700" s="71"/>
      <c r="BO2700" s="71"/>
      <c r="BP2700" s="71"/>
      <c r="BQ2700" s="71"/>
      <c r="BR2700" s="71"/>
      <c r="BS2700" s="71"/>
      <c r="BT2700" s="71"/>
      <c r="BU2700" s="71"/>
      <c r="BV2700" s="71"/>
    </row>
    <row r="2701">
      <c r="A2701" s="53"/>
      <c r="B2701" s="53"/>
      <c r="C2701" s="53"/>
      <c r="D2701" s="53" t="s">
        <v>6627</v>
      </c>
      <c r="E2701" s="55" t="s">
        <v>38</v>
      </c>
      <c r="F2701" s="89"/>
      <c r="G2701" s="84" t="s">
        <v>6628</v>
      </c>
      <c r="H2701" s="55"/>
      <c r="I2701" s="54">
        <f t="shared" si="125"/>
        <v>0</v>
      </c>
      <c r="J2701" s="56"/>
      <c r="K2701" s="57"/>
      <c r="L2701" s="55"/>
      <c r="M2701" s="59"/>
      <c r="N2701" s="60"/>
      <c r="O2701" s="90"/>
      <c r="P2701" s="62">
        <v>15380.0</v>
      </c>
      <c r="Q2701" s="63">
        <v>15380.0</v>
      </c>
      <c r="R2701" s="64">
        <v>16957.0</v>
      </c>
      <c r="S2701" s="111">
        <v>17805.0</v>
      </c>
      <c r="T2701" s="65">
        <f t="shared" si="93"/>
        <v>2848.8</v>
      </c>
      <c r="U2701" s="65">
        <f t="shared" si="94"/>
        <v>20653.8</v>
      </c>
      <c r="V2701" s="66">
        <f t="shared" si="135"/>
        <v>0.0500088459</v>
      </c>
      <c r="W2701" s="67">
        <f t="shared" si="96"/>
        <v>16914.75</v>
      </c>
      <c r="X2701" s="67">
        <f t="shared" si="132"/>
        <v>2706.36</v>
      </c>
      <c r="Y2701" s="67">
        <f t="shared" si="133"/>
        <v>19621.11</v>
      </c>
      <c r="Z2701" s="67">
        <f t="shared" si="99"/>
        <v>16024.5</v>
      </c>
      <c r="AA2701" s="67">
        <f t="shared" si="114"/>
        <v>2563.92</v>
      </c>
      <c r="AB2701" s="67">
        <f t="shared" si="115"/>
        <v>18588.42</v>
      </c>
      <c r="AC2701" s="67">
        <f t="shared" si="102"/>
        <v>15134.25</v>
      </c>
      <c r="AD2701" s="67">
        <f t="shared" si="116"/>
        <v>2421.48</v>
      </c>
      <c r="AE2701" s="67">
        <f t="shared" si="117"/>
        <v>17555.73</v>
      </c>
      <c r="AF2701" s="67">
        <f t="shared" si="105"/>
        <v>14778.15</v>
      </c>
      <c r="AG2701" s="67">
        <f t="shared" si="118"/>
        <v>2364.504</v>
      </c>
      <c r="AH2701" s="67">
        <f t="shared" si="119"/>
        <v>17142.654</v>
      </c>
      <c r="AI2701" s="67">
        <f t="shared" si="108"/>
        <v>14244</v>
      </c>
      <c r="AJ2701" s="68">
        <f t="shared" si="126"/>
        <v>2279.04</v>
      </c>
      <c r="AK2701" s="68">
        <f t="shared" si="127"/>
        <v>16523.04</v>
      </c>
      <c r="AL2701" s="70"/>
      <c r="AM2701" s="70"/>
      <c r="AN2701" s="71"/>
      <c r="AO2701" s="71"/>
      <c r="AP2701" s="71"/>
      <c r="AQ2701" s="71"/>
      <c r="AR2701" s="71"/>
      <c r="AS2701" s="71"/>
      <c r="AT2701" s="71"/>
      <c r="AU2701" s="71"/>
      <c r="AV2701" s="71"/>
      <c r="AW2701" s="71"/>
      <c r="AX2701" s="71"/>
      <c r="AY2701" s="71"/>
      <c r="AZ2701" s="71"/>
      <c r="BA2701" s="71"/>
      <c r="BB2701" s="71"/>
      <c r="BC2701" s="71"/>
      <c r="BD2701" s="71"/>
      <c r="BE2701" s="71"/>
      <c r="BF2701" s="71"/>
      <c r="BG2701" s="71"/>
      <c r="BH2701" s="71"/>
      <c r="BI2701" s="71"/>
      <c r="BJ2701" s="71"/>
      <c r="BK2701" s="71"/>
      <c r="BL2701" s="71"/>
      <c r="BM2701" s="71"/>
      <c r="BN2701" s="71"/>
      <c r="BO2701" s="71"/>
      <c r="BP2701" s="71"/>
      <c r="BQ2701" s="71"/>
      <c r="BR2701" s="71"/>
      <c r="BS2701" s="71"/>
      <c r="BT2701" s="71"/>
      <c r="BU2701" s="71"/>
      <c r="BV2701" s="71"/>
    </row>
    <row r="2702">
      <c r="A2702" s="53"/>
      <c r="B2702" s="53"/>
      <c r="C2702" s="53"/>
      <c r="D2702" s="53" t="s">
        <v>6629</v>
      </c>
      <c r="E2702" s="55" t="s">
        <v>38</v>
      </c>
      <c r="F2702" s="89"/>
      <c r="G2702" s="84" t="s">
        <v>6630</v>
      </c>
      <c r="H2702" s="55"/>
      <c r="I2702" s="54">
        <f t="shared" si="125"/>
        <v>0</v>
      </c>
      <c r="J2702" s="56"/>
      <c r="K2702" s="57"/>
      <c r="L2702" s="55"/>
      <c r="M2702" s="59"/>
      <c r="N2702" s="60"/>
      <c r="O2702" s="90"/>
      <c r="P2702" s="62">
        <v>52660.0</v>
      </c>
      <c r="Q2702" s="63">
        <v>52660.0</v>
      </c>
      <c r="R2702" s="64">
        <v>58058.0</v>
      </c>
      <c r="S2702" s="111">
        <v>60961.0</v>
      </c>
      <c r="T2702" s="65">
        <f t="shared" si="93"/>
        <v>9753.76</v>
      </c>
      <c r="U2702" s="65">
        <f t="shared" si="94"/>
        <v>70714.76</v>
      </c>
      <c r="V2702" s="66">
        <f t="shared" si="135"/>
        <v>0.05000172242</v>
      </c>
      <c r="W2702" s="67">
        <f t="shared" si="96"/>
        <v>57912.95</v>
      </c>
      <c r="X2702" s="67">
        <f t="shared" si="132"/>
        <v>9266.072</v>
      </c>
      <c r="Y2702" s="67">
        <f t="shared" si="133"/>
        <v>67179.022</v>
      </c>
      <c r="Z2702" s="67">
        <f t="shared" si="99"/>
        <v>54864.9</v>
      </c>
      <c r="AA2702" s="67">
        <f t="shared" si="114"/>
        <v>8778.384</v>
      </c>
      <c r="AB2702" s="67">
        <f t="shared" si="115"/>
        <v>63643.284</v>
      </c>
      <c r="AC2702" s="67">
        <f t="shared" si="102"/>
        <v>51816.85</v>
      </c>
      <c r="AD2702" s="67">
        <f t="shared" si="116"/>
        <v>8290.696</v>
      </c>
      <c r="AE2702" s="67">
        <f t="shared" si="117"/>
        <v>60107.546</v>
      </c>
      <c r="AF2702" s="67">
        <f t="shared" si="105"/>
        <v>50597.63</v>
      </c>
      <c r="AG2702" s="67">
        <f t="shared" si="118"/>
        <v>8095.6208</v>
      </c>
      <c r="AH2702" s="67">
        <f t="shared" si="119"/>
        <v>58693.2508</v>
      </c>
      <c r="AI2702" s="67">
        <f t="shared" si="108"/>
        <v>48768.8</v>
      </c>
      <c r="AJ2702" s="68">
        <f t="shared" si="126"/>
        <v>7803.008</v>
      </c>
      <c r="AK2702" s="68">
        <f t="shared" si="127"/>
        <v>56571.808</v>
      </c>
      <c r="AL2702" s="70"/>
      <c r="AM2702" s="70"/>
      <c r="AN2702" s="71"/>
      <c r="AO2702" s="71"/>
      <c r="AP2702" s="71"/>
      <c r="AQ2702" s="71"/>
      <c r="AR2702" s="71"/>
      <c r="AS2702" s="71"/>
      <c r="AT2702" s="71"/>
      <c r="AU2702" s="71"/>
      <c r="AV2702" s="71"/>
      <c r="AW2702" s="71"/>
      <c r="AX2702" s="71"/>
      <c r="AY2702" s="71"/>
      <c r="AZ2702" s="71"/>
      <c r="BA2702" s="71"/>
      <c r="BB2702" s="71"/>
      <c r="BC2702" s="71"/>
      <c r="BD2702" s="71"/>
      <c r="BE2702" s="71"/>
      <c r="BF2702" s="71"/>
      <c r="BG2702" s="71"/>
      <c r="BH2702" s="71"/>
      <c r="BI2702" s="71"/>
      <c r="BJ2702" s="71"/>
      <c r="BK2702" s="71"/>
      <c r="BL2702" s="71"/>
      <c r="BM2702" s="71"/>
      <c r="BN2702" s="71"/>
      <c r="BO2702" s="71"/>
      <c r="BP2702" s="71"/>
      <c r="BQ2702" s="71"/>
      <c r="BR2702" s="71"/>
      <c r="BS2702" s="71"/>
      <c r="BT2702" s="71"/>
      <c r="BU2702" s="71"/>
      <c r="BV2702" s="71"/>
    </row>
    <row r="2703">
      <c r="A2703" s="53"/>
      <c r="B2703" s="53"/>
      <c r="C2703" s="53"/>
      <c r="D2703" s="53" t="s">
        <v>6631</v>
      </c>
      <c r="E2703" s="55" t="s">
        <v>38</v>
      </c>
      <c r="F2703" s="89"/>
      <c r="G2703" s="84" t="s">
        <v>6632</v>
      </c>
      <c r="H2703" s="55"/>
      <c r="I2703" s="54">
        <f t="shared" si="125"/>
        <v>0</v>
      </c>
      <c r="J2703" s="56"/>
      <c r="K2703" s="57"/>
      <c r="L2703" s="55"/>
      <c r="M2703" s="59"/>
      <c r="N2703" s="60"/>
      <c r="O2703" s="90"/>
      <c r="P2703" s="62">
        <v>25640.0</v>
      </c>
      <c r="Q2703" s="63">
        <v>25640.0</v>
      </c>
      <c r="R2703" s="64">
        <v>28269.0</v>
      </c>
      <c r="S2703" s="111">
        <v>29682.0</v>
      </c>
      <c r="T2703" s="65">
        <f t="shared" si="93"/>
        <v>4749.12</v>
      </c>
      <c r="U2703" s="65">
        <f t="shared" si="94"/>
        <v>34431.12</v>
      </c>
      <c r="V2703" s="66">
        <f t="shared" si="135"/>
        <v>0.0499840815</v>
      </c>
      <c r="W2703" s="67">
        <f t="shared" si="96"/>
        <v>28197.9</v>
      </c>
      <c r="X2703" s="67">
        <f t="shared" si="132"/>
        <v>4511.664</v>
      </c>
      <c r="Y2703" s="67">
        <f t="shared" si="133"/>
        <v>32709.564</v>
      </c>
      <c r="Z2703" s="67">
        <f t="shared" si="99"/>
        <v>26713.8</v>
      </c>
      <c r="AA2703" s="67">
        <f t="shared" si="114"/>
        <v>4274.208</v>
      </c>
      <c r="AB2703" s="67">
        <f t="shared" si="115"/>
        <v>30988.008</v>
      </c>
      <c r="AC2703" s="67">
        <f t="shared" si="102"/>
        <v>25229.7</v>
      </c>
      <c r="AD2703" s="67">
        <f t="shared" si="116"/>
        <v>4036.752</v>
      </c>
      <c r="AE2703" s="67">
        <f t="shared" si="117"/>
        <v>29266.452</v>
      </c>
      <c r="AF2703" s="67">
        <f t="shared" si="105"/>
        <v>24636.06</v>
      </c>
      <c r="AG2703" s="67">
        <f t="shared" si="118"/>
        <v>3941.7696</v>
      </c>
      <c r="AH2703" s="67">
        <f t="shared" si="119"/>
        <v>28577.8296</v>
      </c>
      <c r="AI2703" s="67">
        <f t="shared" si="108"/>
        <v>23745.6</v>
      </c>
      <c r="AJ2703" s="68">
        <f t="shared" si="126"/>
        <v>3799.296</v>
      </c>
      <c r="AK2703" s="68">
        <f t="shared" si="127"/>
        <v>27544.896</v>
      </c>
      <c r="AL2703" s="70"/>
      <c r="AM2703" s="70"/>
      <c r="AN2703" s="71"/>
      <c r="AO2703" s="71"/>
      <c r="AP2703" s="71"/>
      <c r="AQ2703" s="71"/>
      <c r="AR2703" s="71"/>
      <c r="AS2703" s="71"/>
      <c r="AT2703" s="71"/>
      <c r="AU2703" s="71"/>
      <c r="AV2703" s="71"/>
      <c r="AW2703" s="71"/>
      <c r="AX2703" s="71"/>
      <c r="AY2703" s="71"/>
      <c r="AZ2703" s="71"/>
      <c r="BA2703" s="71"/>
      <c r="BB2703" s="71"/>
      <c r="BC2703" s="71"/>
      <c r="BD2703" s="71"/>
      <c r="BE2703" s="71"/>
      <c r="BF2703" s="71"/>
      <c r="BG2703" s="71"/>
      <c r="BH2703" s="71"/>
      <c r="BI2703" s="71"/>
      <c r="BJ2703" s="71"/>
      <c r="BK2703" s="71"/>
      <c r="BL2703" s="71"/>
      <c r="BM2703" s="71"/>
      <c r="BN2703" s="71"/>
      <c r="BO2703" s="71"/>
      <c r="BP2703" s="71"/>
      <c r="BQ2703" s="71"/>
      <c r="BR2703" s="71"/>
      <c r="BS2703" s="71"/>
      <c r="BT2703" s="71"/>
      <c r="BU2703" s="71"/>
      <c r="BV2703" s="71"/>
    </row>
    <row r="2704">
      <c r="A2704" s="53"/>
      <c r="B2704" s="53"/>
      <c r="C2704" s="53"/>
      <c r="D2704" s="53" t="s">
        <v>6633</v>
      </c>
      <c r="E2704" s="55" t="s">
        <v>38</v>
      </c>
      <c r="F2704" s="89"/>
      <c r="G2704" s="84" t="s">
        <v>6634</v>
      </c>
      <c r="H2704" s="55"/>
      <c r="I2704" s="54">
        <f t="shared" si="125"/>
        <v>0</v>
      </c>
      <c r="J2704" s="56"/>
      <c r="K2704" s="57"/>
      <c r="L2704" s="55"/>
      <c r="M2704" s="59"/>
      <c r="N2704" s="60"/>
      <c r="O2704" s="90"/>
      <c r="P2704" s="62">
        <v>15380.0</v>
      </c>
      <c r="Q2704" s="63">
        <v>15380.0</v>
      </c>
      <c r="R2704" s="64">
        <v>16957.0</v>
      </c>
      <c r="S2704" s="111">
        <v>17805.0</v>
      </c>
      <c r="T2704" s="65">
        <f t="shared" si="93"/>
        <v>2848.8</v>
      </c>
      <c r="U2704" s="65">
        <f t="shared" si="94"/>
        <v>20653.8</v>
      </c>
      <c r="V2704" s="66">
        <f t="shared" si="135"/>
        <v>0.0500088459</v>
      </c>
      <c r="W2704" s="67">
        <f t="shared" si="96"/>
        <v>16914.75</v>
      </c>
      <c r="X2704" s="67">
        <f t="shared" si="132"/>
        <v>2706.36</v>
      </c>
      <c r="Y2704" s="67">
        <f t="shared" si="133"/>
        <v>19621.11</v>
      </c>
      <c r="Z2704" s="67">
        <f t="shared" si="99"/>
        <v>16024.5</v>
      </c>
      <c r="AA2704" s="67">
        <f t="shared" si="114"/>
        <v>2563.92</v>
      </c>
      <c r="AB2704" s="67">
        <f t="shared" si="115"/>
        <v>18588.42</v>
      </c>
      <c r="AC2704" s="67">
        <f t="shared" si="102"/>
        <v>15134.25</v>
      </c>
      <c r="AD2704" s="67">
        <f t="shared" si="116"/>
        <v>2421.48</v>
      </c>
      <c r="AE2704" s="67">
        <f t="shared" si="117"/>
        <v>17555.73</v>
      </c>
      <c r="AF2704" s="67">
        <f t="shared" si="105"/>
        <v>14778.15</v>
      </c>
      <c r="AG2704" s="67">
        <f t="shared" si="118"/>
        <v>2364.504</v>
      </c>
      <c r="AH2704" s="67">
        <f t="shared" si="119"/>
        <v>17142.654</v>
      </c>
      <c r="AI2704" s="67">
        <f t="shared" si="108"/>
        <v>14244</v>
      </c>
      <c r="AJ2704" s="68">
        <f t="shared" si="126"/>
        <v>2279.04</v>
      </c>
      <c r="AK2704" s="68">
        <f t="shared" si="127"/>
        <v>16523.04</v>
      </c>
      <c r="AL2704" s="70"/>
      <c r="AM2704" s="70"/>
      <c r="AN2704" s="71"/>
      <c r="AO2704" s="71"/>
      <c r="AP2704" s="71"/>
      <c r="AQ2704" s="71"/>
      <c r="AR2704" s="71"/>
      <c r="AS2704" s="71"/>
      <c r="AT2704" s="71"/>
      <c r="AU2704" s="71"/>
      <c r="AV2704" s="71"/>
      <c r="AW2704" s="71"/>
      <c r="AX2704" s="71"/>
      <c r="AY2704" s="71"/>
      <c r="AZ2704" s="71"/>
      <c r="BA2704" s="71"/>
      <c r="BB2704" s="71"/>
      <c r="BC2704" s="71"/>
      <c r="BD2704" s="71"/>
      <c r="BE2704" s="71"/>
      <c r="BF2704" s="71"/>
      <c r="BG2704" s="71"/>
      <c r="BH2704" s="71"/>
      <c r="BI2704" s="71"/>
      <c r="BJ2704" s="71"/>
      <c r="BK2704" s="71"/>
      <c r="BL2704" s="71"/>
      <c r="BM2704" s="71"/>
      <c r="BN2704" s="71"/>
      <c r="BO2704" s="71"/>
      <c r="BP2704" s="71"/>
      <c r="BQ2704" s="71"/>
      <c r="BR2704" s="71"/>
      <c r="BS2704" s="71"/>
      <c r="BT2704" s="71"/>
      <c r="BU2704" s="71"/>
      <c r="BV2704" s="71"/>
    </row>
    <row r="2705">
      <c r="A2705" s="53"/>
      <c r="B2705" s="53"/>
      <c r="C2705" s="53"/>
      <c r="D2705" s="53" t="s">
        <v>6635</v>
      </c>
      <c r="E2705" s="55" t="s">
        <v>38</v>
      </c>
      <c r="F2705" s="89"/>
      <c r="G2705" s="84" t="s">
        <v>6636</v>
      </c>
      <c r="H2705" s="55"/>
      <c r="I2705" s="54">
        <f t="shared" si="125"/>
        <v>0</v>
      </c>
      <c r="J2705" s="56"/>
      <c r="K2705" s="57"/>
      <c r="L2705" s="55"/>
      <c r="M2705" s="59"/>
      <c r="N2705" s="60"/>
      <c r="O2705" s="90"/>
      <c r="P2705" s="62">
        <v>67120.0</v>
      </c>
      <c r="Q2705" s="63">
        <v>67120.0</v>
      </c>
      <c r="R2705" s="64">
        <v>74000.0</v>
      </c>
      <c r="S2705" s="111">
        <v>77700.0</v>
      </c>
      <c r="T2705" s="65">
        <f t="shared" si="93"/>
        <v>12432</v>
      </c>
      <c r="U2705" s="65">
        <f t="shared" si="94"/>
        <v>90132</v>
      </c>
      <c r="V2705" s="66">
        <f t="shared" si="135"/>
        <v>0.05</v>
      </c>
      <c r="W2705" s="67">
        <f t="shared" si="96"/>
        <v>73815</v>
      </c>
      <c r="X2705" s="67">
        <f t="shared" si="132"/>
        <v>11810.4</v>
      </c>
      <c r="Y2705" s="67">
        <f t="shared" si="133"/>
        <v>85625.4</v>
      </c>
      <c r="Z2705" s="67">
        <f t="shared" si="99"/>
        <v>69930</v>
      </c>
      <c r="AA2705" s="67">
        <f t="shared" si="114"/>
        <v>11188.8</v>
      </c>
      <c r="AB2705" s="67">
        <f t="shared" si="115"/>
        <v>81118.8</v>
      </c>
      <c r="AC2705" s="67">
        <f t="shared" si="102"/>
        <v>66045</v>
      </c>
      <c r="AD2705" s="67">
        <f t="shared" si="116"/>
        <v>10567.2</v>
      </c>
      <c r="AE2705" s="67">
        <f t="shared" si="117"/>
        <v>76612.2</v>
      </c>
      <c r="AF2705" s="67">
        <f t="shared" si="105"/>
        <v>64491</v>
      </c>
      <c r="AG2705" s="67">
        <f t="shared" si="118"/>
        <v>10318.56</v>
      </c>
      <c r="AH2705" s="67">
        <f t="shared" si="119"/>
        <v>74809.56</v>
      </c>
      <c r="AI2705" s="67">
        <f t="shared" si="108"/>
        <v>62160</v>
      </c>
      <c r="AJ2705" s="68">
        <f t="shared" si="126"/>
        <v>9945.6</v>
      </c>
      <c r="AK2705" s="68">
        <f t="shared" si="127"/>
        <v>72105.6</v>
      </c>
      <c r="AL2705" s="70"/>
      <c r="AM2705" s="70"/>
      <c r="AN2705" s="71"/>
      <c r="AO2705" s="71"/>
      <c r="AP2705" s="71"/>
      <c r="AQ2705" s="71"/>
      <c r="AR2705" s="71"/>
      <c r="AS2705" s="71"/>
      <c r="AT2705" s="71"/>
      <c r="AU2705" s="71"/>
      <c r="AV2705" s="71"/>
      <c r="AW2705" s="71"/>
      <c r="AX2705" s="71"/>
      <c r="AY2705" s="71"/>
      <c r="AZ2705" s="71"/>
      <c r="BA2705" s="71"/>
      <c r="BB2705" s="71"/>
      <c r="BC2705" s="71"/>
      <c r="BD2705" s="71"/>
      <c r="BE2705" s="71"/>
      <c r="BF2705" s="71"/>
      <c r="BG2705" s="71"/>
      <c r="BH2705" s="71"/>
      <c r="BI2705" s="71"/>
      <c r="BJ2705" s="71"/>
      <c r="BK2705" s="71"/>
      <c r="BL2705" s="71"/>
      <c r="BM2705" s="71"/>
      <c r="BN2705" s="71"/>
      <c r="BO2705" s="71"/>
      <c r="BP2705" s="71"/>
      <c r="BQ2705" s="71"/>
      <c r="BR2705" s="71"/>
      <c r="BS2705" s="71"/>
      <c r="BT2705" s="71"/>
      <c r="BU2705" s="71"/>
      <c r="BV2705" s="71"/>
    </row>
    <row r="2706">
      <c r="A2706" s="53"/>
      <c r="B2706" s="53"/>
      <c r="C2706" s="53"/>
      <c r="D2706" s="53" t="s">
        <v>6637</v>
      </c>
      <c r="E2706" s="55" t="s">
        <v>38</v>
      </c>
      <c r="F2706" s="89"/>
      <c r="G2706" s="84" t="s">
        <v>6638</v>
      </c>
      <c r="H2706" s="55"/>
      <c r="I2706" s="54">
        <f t="shared" si="125"/>
        <v>0</v>
      </c>
      <c r="J2706" s="56"/>
      <c r="K2706" s="57"/>
      <c r="L2706" s="55"/>
      <c r="M2706" s="59"/>
      <c r="N2706" s="60"/>
      <c r="O2706" s="90"/>
      <c r="P2706" s="62">
        <v>25100.0</v>
      </c>
      <c r="Q2706" s="63">
        <v>25100.0</v>
      </c>
      <c r="R2706" s="64">
        <v>27673.0</v>
      </c>
      <c r="S2706" s="111">
        <v>29057.0</v>
      </c>
      <c r="T2706" s="65">
        <f t="shared" si="93"/>
        <v>4649.12</v>
      </c>
      <c r="U2706" s="65">
        <f t="shared" si="94"/>
        <v>33706.12</v>
      </c>
      <c r="V2706" s="66">
        <f t="shared" si="135"/>
        <v>0.05001264771</v>
      </c>
      <c r="W2706" s="67">
        <f t="shared" si="96"/>
        <v>27604.15</v>
      </c>
      <c r="X2706" s="67">
        <f t="shared" si="132"/>
        <v>4416.664</v>
      </c>
      <c r="Y2706" s="67">
        <f t="shared" si="133"/>
        <v>32020.814</v>
      </c>
      <c r="Z2706" s="67">
        <f t="shared" si="99"/>
        <v>26151.3</v>
      </c>
      <c r="AA2706" s="67">
        <f t="shared" si="114"/>
        <v>4184.208</v>
      </c>
      <c r="AB2706" s="67">
        <f t="shared" si="115"/>
        <v>30335.508</v>
      </c>
      <c r="AC2706" s="67">
        <f t="shared" si="102"/>
        <v>24698.45</v>
      </c>
      <c r="AD2706" s="67">
        <f t="shared" si="116"/>
        <v>3951.752</v>
      </c>
      <c r="AE2706" s="67">
        <f t="shared" si="117"/>
        <v>28650.202</v>
      </c>
      <c r="AF2706" s="67">
        <f t="shared" si="105"/>
        <v>24117.31</v>
      </c>
      <c r="AG2706" s="67">
        <f t="shared" si="118"/>
        <v>3858.7696</v>
      </c>
      <c r="AH2706" s="67">
        <f t="shared" si="119"/>
        <v>27976.0796</v>
      </c>
      <c r="AI2706" s="67">
        <f t="shared" si="108"/>
        <v>23245.6</v>
      </c>
      <c r="AJ2706" s="68">
        <f t="shared" si="126"/>
        <v>3719.296</v>
      </c>
      <c r="AK2706" s="68">
        <f t="shared" si="127"/>
        <v>26964.896</v>
      </c>
      <c r="AL2706" s="70"/>
      <c r="AM2706" s="70"/>
      <c r="AN2706" s="71"/>
      <c r="AO2706" s="71"/>
      <c r="AP2706" s="71"/>
      <c r="AQ2706" s="71"/>
      <c r="AR2706" s="71"/>
      <c r="AS2706" s="71"/>
      <c r="AT2706" s="71"/>
      <c r="AU2706" s="71"/>
      <c r="AV2706" s="71"/>
      <c r="AW2706" s="71"/>
      <c r="AX2706" s="71"/>
      <c r="AY2706" s="71"/>
      <c r="AZ2706" s="71"/>
      <c r="BA2706" s="71"/>
      <c r="BB2706" s="71"/>
      <c r="BC2706" s="71"/>
      <c r="BD2706" s="71"/>
      <c r="BE2706" s="71"/>
      <c r="BF2706" s="71"/>
      <c r="BG2706" s="71"/>
      <c r="BH2706" s="71"/>
      <c r="BI2706" s="71"/>
      <c r="BJ2706" s="71"/>
      <c r="BK2706" s="71"/>
      <c r="BL2706" s="71"/>
      <c r="BM2706" s="71"/>
      <c r="BN2706" s="71"/>
      <c r="BO2706" s="71"/>
      <c r="BP2706" s="71"/>
      <c r="BQ2706" s="71"/>
      <c r="BR2706" s="71"/>
      <c r="BS2706" s="71"/>
      <c r="BT2706" s="71"/>
      <c r="BU2706" s="71"/>
      <c r="BV2706" s="71"/>
    </row>
    <row r="2707">
      <c r="A2707" s="53"/>
      <c r="B2707" s="53"/>
      <c r="C2707" s="53"/>
      <c r="D2707" s="53" t="s">
        <v>6639</v>
      </c>
      <c r="E2707" s="55" t="s">
        <v>38</v>
      </c>
      <c r="F2707" s="89"/>
      <c r="G2707" s="84" t="s">
        <v>6640</v>
      </c>
      <c r="H2707" s="55"/>
      <c r="I2707" s="54">
        <f t="shared" si="125"/>
        <v>0</v>
      </c>
      <c r="J2707" s="56"/>
      <c r="K2707" s="57"/>
      <c r="L2707" s="55"/>
      <c r="M2707" s="59"/>
      <c r="N2707" s="60"/>
      <c r="O2707" s="90"/>
      <c r="P2707" s="62">
        <v>52660.0</v>
      </c>
      <c r="Q2707" s="63">
        <v>52660.0</v>
      </c>
      <c r="R2707" s="64">
        <v>58058.0</v>
      </c>
      <c r="S2707" s="111">
        <v>60961.0</v>
      </c>
      <c r="T2707" s="65">
        <f t="shared" si="93"/>
        <v>9753.76</v>
      </c>
      <c r="U2707" s="65">
        <f t="shared" si="94"/>
        <v>70714.76</v>
      </c>
      <c r="V2707" s="66">
        <f t="shared" si="135"/>
        <v>0.05000172242</v>
      </c>
      <c r="W2707" s="67">
        <f t="shared" si="96"/>
        <v>57912.95</v>
      </c>
      <c r="X2707" s="67">
        <f t="shared" si="132"/>
        <v>9266.072</v>
      </c>
      <c r="Y2707" s="67">
        <f t="shared" si="133"/>
        <v>67179.022</v>
      </c>
      <c r="Z2707" s="67">
        <f t="shared" si="99"/>
        <v>54864.9</v>
      </c>
      <c r="AA2707" s="67">
        <f t="shared" si="114"/>
        <v>8778.384</v>
      </c>
      <c r="AB2707" s="67">
        <f t="shared" si="115"/>
        <v>63643.284</v>
      </c>
      <c r="AC2707" s="67">
        <f t="shared" si="102"/>
        <v>51816.85</v>
      </c>
      <c r="AD2707" s="67">
        <f t="shared" si="116"/>
        <v>8290.696</v>
      </c>
      <c r="AE2707" s="67">
        <f t="shared" si="117"/>
        <v>60107.546</v>
      </c>
      <c r="AF2707" s="67">
        <f t="shared" si="105"/>
        <v>50597.63</v>
      </c>
      <c r="AG2707" s="67">
        <f t="shared" si="118"/>
        <v>8095.6208</v>
      </c>
      <c r="AH2707" s="67">
        <f t="shared" si="119"/>
        <v>58693.2508</v>
      </c>
      <c r="AI2707" s="67">
        <f t="shared" si="108"/>
        <v>48768.8</v>
      </c>
      <c r="AJ2707" s="68">
        <f t="shared" si="126"/>
        <v>7803.008</v>
      </c>
      <c r="AK2707" s="68">
        <f t="shared" si="127"/>
        <v>56571.808</v>
      </c>
      <c r="AL2707" s="70"/>
      <c r="AM2707" s="70"/>
      <c r="AN2707" s="71"/>
      <c r="AO2707" s="71"/>
      <c r="AP2707" s="71"/>
      <c r="AQ2707" s="71"/>
      <c r="AR2707" s="71"/>
      <c r="AS2707" s="71"/>
      <c r="AT2707" s="71"/>
      <c r="AU2707" s="71"/>
      <c r="AV2707" s="71"/>
      <c r="AW2707" s="71"/>
      <c r="AX2707" s="71"/>
      <c r="AY2707" s="71"/>
      <c r="AZ2707" s="71"/>
      <c r="BA2707" s="71"/>
      <c r="BB2707" s="71"/>
      <c r="BC2707" s="71"/>
      <c r="BD2707" s="71"/>
      <c r="BE2707" s="71"/>
      <c r="BF2707" s="71"/>
      <c r="BG2707" s="71"/>
      <c r="BH2707" s="71"/>
      <c r="BI2707" s="71"/>
      <c r="BJ2707" s="71"/>
      <c r="BK2707" s="71"/>
      <c r="BL2707" s="71"/>
      <c r="BM2707" s="71"/>
      <c r="BN2707" s="71"/>
      <c r="BO2707" s="71"/>
      <c r="BP2707" s="71"/>
      <c r="BQ2707" s="71"/>
      <c r="BR2707" s="71"/>
      <c r="BS2707" s="71"/>
      <c r="BT2707" s="71"/>
      <c r="BU2707" s="71"/>
      <c r="BV2707" s="71"/>
    </row>
    <row r="2708">
      <c r="A2708" s="53">
        <v>1.0</v>
      </c>
      <c r="B2708" s="53"/>
      <c r="C2708" s="73" t="s">
        <v>53</v>
      </c>
      <c r="D2708" s="74" t="s">
        <v>6641</v>
      </c>
      <c r="E2708" s="54" t="s">
        <v>38</v>
      </c>
      <c r="F2708" s="54" t="s">
        <v>42</v>
      </c>
      <c r="G2708" s="88" t="s">
        <v>6642</v>
      </c>
      <c r="H2708" s="54" t="s">
        <v>6643</v>
      </c>
      <c r="I2708" s="54">
        <f t="shared" si="125"/>
        <v>19</v>
      </c>
      <c r="J2708" s="56"/>
      <c r="K2708" s="57"/>
      <c r="L2708" s="87"/>
      <c r="M2708" s="59"/>
      <c r="N2708" s="60">
        <v>170.0</v>
      </c>
      <c r="O2708" s="61">
        <v>183.0</v>
      </c>
      <c r="P2708" s="62">
        <v>197.64000000000001</v>
      </c>
      <c r="Q2708" s="63">
        <v>197.64000000000001</v>
      </c>
      <c r="R2708" s="64">
        <v>225.0</v>
      </c>
      <c r="S2708" s="111">
        <v>236.0</v>
      </c>
      <c r="T2708" s="65">
        <f t="shared" si="93"/>
        <v>37.76</v>
      </c>
      <c r="U2708" s="65">
        <f t="shared" si="94"/>
        <v>273.76</v>
      </c>
      <c r="V2708" s="66">
        <f t="shared" si="135"/>
        <v>0.04888888889</v>
      </c>
      <c r="W2708" s="67">
        <f t="shared" si="96"/>
        <v>224.2</v>
      </c>
      <c r="X2708" s="67">
        <f t="shared" si="132"/>
        <v>35.872</v>
      </c>
      <c r="Y2708" s="67">
        <f t="shared" si="133"/>
        <v>260.072</v>
      </c>
      <c r="Z2708" s="67">
        <f t="shared" si="99"/>
        <v>212.4</v>
      </c>
      <c r="AA2708" s="67">
        <f t="shared" si="114"/>
        <v>33.984</v>
      </c>
      <c r="AB2708" s="67">
        <f t="shared" si="115"/>
        <v>246.384</v>
      </c>
      <c r="AC2708" s="67">
        <f t="shared" si="102"/>
        <v>200.6</v>
      </c>
      <c r="AD2708" s="67">
        <f t="shared" si="116"/>
        <v>32.096</v>
      </c>
      <c r="AE2708" s="67">
        <f t="shared" si="117"/>
        <v>232.696</v>
      </c>
      <c r="AF2708" s="67">
        <f t="shared" si="105"/>
        <v>195.88</v>
      </c>
      <c r="AG2708" s="67">
        <f t="shared" si="118"/>
        <v>31.3408</v>
      </c>
      <c r="AH2708" s="67">
        <f t="shared" si="119"/>
        <v>227.2208</v>
      </c>
      <c r="AI2708" s="67">
        <f t="shared" si="108"/>
        <v>188.8</v>
      </c>
      <c r="AJ2708" s="68">
        <f t="shared" si="126"/>
        <v>30.208</v>
      </c>
      <c r="AK2708" s="68">
        <f t="shared" si="127"/>
        <v>219.008</v>
      </c>
      <c r="AL2708" s="70"/>
      <c r="AM2708" s="70"/>
      <c r="AN2708" s="71"/>
      <c r="AO2708" s="71"/>
      <c r="AP2708" s="71"/>
      <c r="AQ2708" s="71"/>
      <c r="AR2708" s="71"/>
      <c r="AS2708" s="71"/>
      <c r="AT2708" s="71"/>
      <c r="AU2708" s="71"/>
      <c r="AV2708" s="71"/>
      <c r="AW2708" s="71"/>
      <c r="AX2708" s="71"/>
      <c r="AY2708" s="71"/>
      <c r="AZ2708" s="71"/>
      <c r="BA2708" s="71"/>
      <c r="BB2708" s="71"/>
      <c r="BC2708" s="71"/>
      <c r="BD2708" s="71"/>
      <c r="BE2708" s="71"/>
      <c r="BF2708" s="71"/>
      <c r="BG2708" s="71"/>
      <c r="BH2708" s="71"/>
      <c r="BI2708" s="71"/>
      <c r="BJ2708" s="71"/>
      <c r="BK2708" s="71"/>
      <c r="BL2708" s="71"/>
      <c r="BM2708" s="71"/>
      <c r="BN2708" s="71"/>
      <c r="BO2708" s="71"/>
      <c r="BP2708" s="71"/>
      <c r="BQ2708" s="71"/>
      <c r="BR2708" s="71"/>
      <c r="BS2708" s="71"/>
      <c r="BT2708" s="71"/>
      <c r="BU2708" s="71"/>
      <c r="BV2708" s="71"/>
    </row>
    <row r="2709">
      <c r="A2709" s="53">
        <v>1.0</v>
      </c>
      <c r="B2709" s="53"/>
      <c r="C2709" s="73" t="s">
        <v>53</v>
      </c>
      <c r="D2709" s="74" t="s">
        <v>6644</v>
      </c>
      <c r="E2709" s="54" t="s">
        <v>38</v>
      </c>
      <c r="F2709" s="54" t="s">
        <v>42</v>
      </c>
      <c r="G2709" s="88" t="s">
        <v>6645</v>
      </c>
      <c r="H2709" s="54" t="s">
        <v>6645</v>
      </c>
      <c r="I2709" s="54">
        <f t="shared" si="125"/>
        <v>23</v>
      </c>
      <c r="J2709" s="56"/>
      <c r="K2709" s="57"/>
      <c r="L2709" s="87"/>
      <c r="M2709" s="59"/>
      <c r="N2709" s="60">
        <v>157.0</v>
      </c>
      <c r="O2709" s="61">
        <v>169.0</v>
      </c>
      <c r="P2709" s="62">
        <v>182.52</v>
      </c>
      <c r="Q2709" s="63">
        <v>182.52</v>
      </c>
      <c r="R2709" s="64">
        <v>208.0</v>
      </c>
      <c r="S2709" s="111">
        <v>218.0</v>
      </c>
      <c r="T2709" s="65">
        <f t="shared" si="93"/>
        <v>34.88</v>
      </c>
      <c r="U2709" s="65">
        <f t="shared" si="94"/>
        <v>252.88</v>
      </c>
      <c r="V2709" s="66">
        <f t="shared" si="135"/>
        <v>0.04807692308</v>
      </c>
      <c r="W2709" s="67">
        <f t="shared" si="96"/>
        <v>207.1</v>
      </c>
      <c r="X2709" s="67">
        <f t="shared" si="132"/>
        <v>33.136</v>
      </c>
      <c r="Y2709" s="67">
        <f t="shared" si="133"/>
        <v>240.236</v>
      </c>
      <c r="Z2709" s="67">
        <f t="shared" si="99"/>
        <v>196.2</v>
      </c>
      <c r="AA2709" s="67">
        <f t="shared" si="114"/>
        <v>31.392</v>
      </c>
      <c r="AB2709" s="67">
        <f t="shared" si="115"/>
        <v>227.592</v>
      </c>
      <c r="AC2709" s="67">
        <f t="shared" si="102"/>
        <v>185.3</v>
      </c>
      <c r="AD2709" s="67">
        <f t="shared" si="116"/>
        <v>29.648</v>
      </c>
      <c r="AE2709" s="67">
        <f t="shared" si="117"/>
        <v>214.948</v>
      </c>
      <c r="AF2709" s="67">
        <f t="shared" si="105"/>
        <v>180.94</v>
      </c>
      <c r="AG2709" s="67">
        <f t="shared" si="118"/>
        <v>28.9504</v>
      </c>
      <c r="AH2709" s="67">
        <f t="shared" si="119"/>
        <v>209.8904</v>
      </c>
      <c r="AI2709" s="67">
        <f t="shared" si="108"/>
        <v>174.4</v>
      </c>
      <c r="AJ2709" s="68">
        <f t="shared" si="126"/>
        <v>27.904</v>
      </c>
      <c r="AK2709" s="68">
        <f t="shared" si="127"/>
        <v>202.304</v>
      </c>
      <c r="AL2709" s="70"/>
      <c r="AM2709" s="70"/>
      <c r="AN2709" s="71"/>
      <c r="AO2709" s="71"/>
      <c r="AP2709" s="71"/>
      <c r="AQ2709" s="71"/>
      <c r="AR2709" s="71"/>
      <c r="AS2709" s="71"/>
      <c r="AT2709" s="71"/>
      <c r="AU2709" s="71"/>
      <c r="AV2709" s="71"/>
      <c r="AW2709" s="71"/>
      <c r="AX2709" s="71"/>
      <c r="AY2709" s="71"/>
      <c r="AZ2709" s="71"/>
      <c r="BA2709" s="71"/>
      <c r="BB2709" s="71"/>
      <c r="BC2709" s="71"/>
      <c r="BD2709" s="71"/>
      <c r="BE2709" s="71"/>
      <c r="BF2709" s="71"/>
      <c r="BG2709" s="71"/>
      <c r="BH2709" s="71"/>
      <c r="BI2709" s="71"/>
      <c r="BJ2709" s="71"/>
      <c r="BK2709" s="71"/>
      <c r="BL2709" s="71"/>
      <c r="BM2709" s="71"/>
      <c r="BN2709" s="71"/>
      <c r="BO2709" s="71"/>
      <c r="BP2709" s="71"/>
      <c r="BQ2709" s="71"/>
      <c r="BR2709" s="71"/>
      <c r="BS2709" s="71"/>
      <c r="BT2709" s="71"/>
      <c r="BU2709" s="71"/>
      <c r="BV2709" s="71"/>
    </row>
    <row r="2710">
      <c r="A2710" s="53"/>
      <c r="B2710" s="53"/>
      <c r="C2710" s="53" t="s">
        <v>53</v>
      </c>
      <c r="D2710" s="53" t="s">
        <v>6646</v>
      </c>
      <c r="E2710" s="54" t="s">
        <v>38</v>
      </c>
      <c r="F2710" s="54" t="s">
        <v>42</v>
      </c>
      <c r="G2710" s="55" t="s">
        <v>6647</v>
      </c>
      <c r="H2710" s="54" t="s">
        <v>6647</v>
      </c>
      <c r="I2710" s="54">
        <f t="shared" si="125"/>
        <v>27</v>
      </c>
      <c r="J2710" s="56"/>
      <c r="K2710" s="57"/>
      <c r="L2710" s="87"/>
      <c r="M2710" s="59"/>
      <c r="N2710" s="79">
        <v>968.0</v>
      </c>
      <c r="O2710" s="61">
        <v>1045.0</v>
      </c>
      <c r="P2710" s="63">
        <v>1520.0</v>
      </c>
      <c r="Q2710" s="63">
        <v>1520.0</v>
      </c>
      <c r="R2710" s="64">
        <v>1596.0</v>
      </c>
      <c r="S2710" s="111">
        <v>1676.0</v>
      </c>
      <c r="T2710" s="65">
        <f t="shared" si="93"/>
        <v>268.16</v>
      </c>
      <c r="U2710" s="65">
        <f t="shared" si="94"/>
        <v>1944.16</v>
      </c>
      <c r="V2710" s="66">
        <f t="shared" si="135"/>
        <v>0.05012531328</v>
      </c>
      <c r="W2710" s="67">
        <f t="shared" si="96"/>
        <v>1592.2</v>
      </c>
      <c r="X2710" s="67">
        <f t="shared" si="132"/>
        <v>254.752</v>
      </c>
      <c r="Y2710" s="67">
        <f t="shared" si="133"/>
        <v>1846.952</v>
      </c>
      <c r="Z2710" s="67">
        <f t="shared" si="99"/>
        <v>1508.4</v>
      </c>
      <c r="AA2710" s="67">
        <f t="shared" si="114"/>
        <v>241.344</v>
      </c>
      <c r="AB2710" s="67">
        <f t="shared" si="115"/>
        <v>1749.744</v>
      </c>
      <c r="AC2710" s="67">
        <f t="shared" si="102"/>
        <v>1424.6</v>
      </c>
      <c r="AD2710" s="67">
        <f t="shared" si="116"/>
        <v>227.936</v>
      </c>
      <c r="AE2710" s="67">
        <f t="shared" si="117"/>
        <v>1652.536</v>
      </c>
      <c r="AF2710" s="67">
        <f t="shared" si="105"/>
        <v>1391.08</v>
      </c>
      <c r="AG2710" s="67">
        <f t="shared" si="118"/>
        <v>222.5728</v>
      </c>
      <c r="AH2710" s="67">
        <f t="shared" si="119"/>
        <v>1613.6528</v>
      </c>
      <c r="AI2710" s="67">
        <f t="shared" si="108"/>
        <v>1340.8</v>
      </c>
      <c r="AJ2710" s="68">
        <f t="shared" si="126"/>
        <v>214.528</v>
      </c>
      <c r="AK2710" s="68">
        <f t="shared" si="127"/>
        <v>1555.328</v>
      </c>
      <c r="AL2710" s="70"/>
      <c r="AM2710" s="70"/>
      <c r="AN2710" s="71"/>
      <c r="AO2710" s="71"/>
      <c r="AP2710" s="71"/>
      <c r="AQ2710" s="71"/>
      <c r="AR2710" s="71"/>
      <c r="AS2710" s="71"/>
      <c r="AT2710" s="71"/>
      <c r="AU2710" s="71"/>
      <c r="AV2710" s="71"/>
      <c r="AW2710" s="71"/>
      <c r="AX2710" s="71"/>
      <c r="AY2710" s="71"/>
      <c r="AZ2710" s="71"/>
      <c r="BA2710" s="71"/>
      <c r="BB2710" s="71"/>
      <c r="BC2710" s="71"/>
      <c r="BD2710" s="71"/>
      <c r="BE2710" s="71"/>
      <c r="BF2710" s="71"/>
      <c r="BG2710" s="71"/>
      <c r="BH2710" s="71"/>
      <c r="BI2710" s="71"/>
      <c r="BJ2710" s="71"/>
      <c r="BK2710" s="71"/>
      <c r="BL2710" s="71"/>
      <c r="BM2710" s="71"/>
      <c r="BN2710" s="71"/>
      <c r="BO2710" s="71"/>
      <c r="BP2710" s="71"/>
      <c r="BQ2710" s="71"/>
      <c r="BR2710" s="71"/>
      <c r="BS2710" s="71"/>
      <c r="BT2710" s="71"/>
      <c r="BU2710" s="71"/>
      <c r="BV2710" s="71"/>
    </row>
    <row r="2711">
      <c r="A2711" s="53"/>
      <c r="B2711" s="53"/>
      <c r="C2711" s="53" t="s">
        <v>53</v>
      </c>
      <c r="D2711" s="53" t="s">
        <v>6648</v>
      </c>
      <c r="E2711" s="54" t="s">
        <v>38</v>
      </c>
      <c r="F2711" s="54" t="s">
        <v>42</v>
      </c>
      <c r="G2711" s="54" t="s">
        <v>6649</v>
      </c>
      <c r="H2711" s="54" t="s">
        <v>6649</v>
      </c>
      <c r="I2711" s="54">
        <f t="shared" si="125"/>
        <v>27</v>
      </c>
      <c r="J2711" s="56"/>
      <c r="K2711" s="57"/>
      <c r="L2711" s="87"/>
      <c r="M2711" s="59"/>
      <c r="N2711" s="79"/>
      <c r="O2711" s="61">
        <v>100.0</v>
      </c>
      <c r="P2711" s="62">
        <v>108.0</v>
      </c>
      <c r="Q2711" s="63">
        <v>108.0</v>
      </c>
      <c r="R2711" s="64">
        <v>114.0</v>
      </c>
      <c r="S2711" s="111">
        <v>120.0</v>
      </c>
      <c r="T2711" s="65">
        <f t="shared" si="93"/>
        <v>19.2</v>
      </c>
      <c r="U2711" s="65">
        <f t="shared" si="94"/>
        <v>139.2</v>
      </c>
      <c r="V2711" s="66">
        <f t="shared" si="135"/>
        <v>0.05263157895</v>
      </c>
      <c r="W2711" s="67">
        <f t="shared" si="96"/>
        <v>114</v>
      </c>
      <c r="X2711" s="67">
        <f t="shared" si="132"/>
        <v>18.24</v>
      </c>
      <c r="Y2711" s="67">
        <f t="shared" si="133"/>
        <v>132.24</v>
      </c>
      <c r="Z2711" s="67">
        <f t="shared" si="99"/>
        <v>108</v>
      </c>
      <c r="AA2711" s="67">
        <f t="shared" si="114"/>
        <v>17.28</v>
      </c>
      <c r="AB2711" s="67">
        <f t="shared" si="115"/>
        <v>125.28</v>
      </c>
      <c r="AC2711" s="67">
        <f t="shared" si="102"/>
        <v>102</v>
      </c>
      <c r="AD2711" s="67">
        <f t="shared" si="116"/>
        <v>16.32</v>
      </c>
      <c r="AE2711" s="67">
        <f t="shared" si="117"/>
        <v>118.32</v>
      </c>
      <c r="AF2711" s="67">
        <f t="shared" si="105"/>
        <v>99.6</v>
      </c>
      <c r="AG2711" s="67">
        <f t="shared" si="118"/>
        <v>15.936</v>
      </c>
      <c r="AH2711" s="67">
        <f t="shared" si="119"/>
        <v>115.536</v>
      </c>
      <c r="AI2711" s="67">
        <f t="shared" si="108"/>
        <v>96</v>
      </c>
      <c r="AJ2711" s="68">
        <f t="shared" si="126"/>
        <v>15.36</v>
      </c>
      <c r="AK2711" s="68">
        <f t="shared" si="127"/>
        <v>111.36</v>
      </c>
      <c r="AL2711" s="70"/>
      <c r="AM2711" s="70"/>
      <c r="AN2711" s="71"/>
      <c r="AO2711" s="71"/>
      <c r="AP2711" s="71"/>
      <c r="AQ2711" s="71"/>
      <c r="AR2711" s="71"/>
      <c r="AS2711" s="71"/>
      <c r="AT2711" s="71"/>
      <c r="AU2711" s="71"/>
      <c r="AV2711" s="71"/>
      <c r="AW2711" s="71"/>
      <c r="AX2711" s="71"/>
      <c r="AY2711" s="71"/>
      <c r="AZ2711" s="71"/>
      <c r="BA2711" s="71"/>
      <c r="BB2711" s="71"/>
      <c r="BC2711" s="71"/>
      <c r="BD2711" s="71"/>
      <c r="BE2711" s="71"/>
      <c r="BF2711" s="71"/>
      <c r="BG2711" s="71"/>
      <c r="BH2711" s="71"/>
      <c r="BI2711" s="71"/>
      <c r="BJ2711" s="71"/>
      <c r="BK2711" s="71"/>
      <c r="BL2711" s="71"/>
      <c r="BM2711" s="71"/>
      <c r="BN2711" s="71"/>
      <c r="BO2711" s="71"/>
      <c r="BP2711" s="71"/>
      <c r="BQ2711" s="71"/>
      <c r="BR2711" s="71"/>
      <c r="BS2711" s="71"/>
      <c r="BT2711" s="71"/>
      <c r="BU2711" s="71"/>
      <c r="BV2711" s="71"/>
    </row>
    <row r="2712">
      <c r="A2712" s="53">
        <v>1.0</v>
      </c>
      <c r="B2712" s="53"/>
      <c r="C2712" s="73" t="s">
        <v>53</v>
      </c>
      <c r="D2712" s="74" t="s">
        <v>6650</v>
      </c>
      <c r="E2712" s="54" t="s">
        <v>38</v>
      </c>
      <c r="F2712" s="54" t="s">
        <v>42</v>
      </c>
      <c r="G2712" s="54" t="s">
        <v>6651</v>
      </c>
      <c r="H2712" s="54" t="s">
        <v>6652</v>
      </c>
      <c r="I2712" s="54">
        <f t="shared" si="125"/>
        <v>32</v>
      </c>
      <c r="J2712" s="56"/>
      <c r="K2712" s="57"/>
      <c r="L2712" s="87"/>
      <c r="M2712" s="59"/>
      <c r="N2712" s="79">
        <v>881.0</v>
      </c>
      <c r="O2712" s="61">
        <v>951.0</v>
      </c>
      <c r="P2712" s="62">
        <v>1027.0800000000002</v>
      </c>
      <c r="Q2712" s="63">
        <v>1027.0800000000002</v>
      </c>
      <c r="R2712" s="64">
        <v>1144.0</v>
      </c>
      <c r="S2712" s="111">
        <v>1201.0</v>
      </c>
      <c r="T2712" s="65">
        <f t="shared" si="93"/>
        <v>192.16</v>
      </c>
      <c r="U2712" s="65">
        <f t="shared" si="94"/>
        <v>1393.16</v>
      </c>
      <c r="V2712" s="66">
        <f t="shared" si="135"/>
        <v>0.04982517483</v>
      </c>
      <c r="W2712" s="67">
        <f t="shared" si="96"/>
        <v>1140.95</v>
      </c>
      <c r="X2712" s="67">
        <f t="shared" si="132"/>
        <v>182.552</v>
      </c>
      <c r="Y2712" s="67">
        <f t="shared" si="133"/>
        <v>1323.502</v>
      </c>
      <c r="Z2712" s="67">
        <f t="shared" si="99"/>
        <v>1080.9</v>
      </c>
      <c r="AA2712" s="67">
        <f t="shared" si="114"/>
        <v>172.944</v>
      </c>
      <c r="AB2712" s="67">
        <f t="shared" si="115"/>
        <v>1253.844</v>
      </c>
      <c r="AC2712" s="67">
        <f t="shared" si="102"/>
        <v>1020.85</v>
      </c>
      <c r="AD2712" s="67">
        <f t="shared" si="116"/>
        <v>163.336</v>
      </c>
      <c r="AE2712" s="67">
        <f t="shared" si="117"/>
        <v>1184.186</v>
      </c>
      <c r="AF2712" s="67">
        <f t="shared" si="105"/>
        <v>996.83</v>
      </c>
      <c r="AG2712" s="67">
        <f t="shared" si="118"/>
        <v>159.4928</v>
      </c>
      <c r="AH2712" s="67">
        <f t="shared" si="119"/>
        <v>1156.3228</v>
      </c>
      <c r="AI2712" s="67">
        <f t="shared" si="108"/>
        <v>960.8</v>
      </c>
      <c r="AJ2712" s="68">
        <f t="shared" si="126"/>
        <v>153.728</v>
      </c>
      <c r="AK2712" s="68">
        <f t="shared" si="127"/>
        <v>1114.528</v>
      </c>
      <c r="AL2712" s="70"/>
      <c r="AM2712" s="70"/>
      <c r="AN2712" s="71"/>
      <c r="AO2712" s="71"/>
      <c r="AP2712" s="71"/>
      <c r="AQ2712" s="71"/>
      <c r="AR2712" s="71"/>
      <c r="AS2712" s="71"/>
      <c r="AT2712" s="71"/>
      <c r="AU2712" s="71"/>
      <c r="AV2712" s="71"/>
      <c r="AW2712" s="71"/>
      <c r="AX2712" s="71"/>
      <c r="AY2712" s="71"/>
      <c r="AZ2712" s="71"/>
      <c r="BA2712" s="71"/>
      <c r="BB2712" s="71"/>
      <c r="BC2712" s="71"/>
      <c r="BD2712" s="71"/>
      <c r="BE2712" s="71"/>
      <c r="BF2712" s="71"/>
      <c r="BG2712" s="71"/>
      <c r="BH2712" s="71"/>
      <c r="BI2712" s="71"/>
      <c r="BJ2712" s="71"/>
      <c r="BK2712" s="71"/>
      <c r="BL2712" s="71"/>
      <c r="BM2712" s="71"/>
      <c r="BN2712" s="71"/>
      <c r="BO2712" s="71"/>
      <c r="BP2712" s="71"/>
      <c r="BQ2712" s="71"/>
      <c r="BR2712" s="71"/>
      <c r="BS2712" s="71"/>
      <c r="BT2712" s="71"/>
      <c r="BU2712" s="71"/>
      <c r="BV2712" s="71"/>
    </row>
    <row r="2713">
      <c r="A2713" s="53"/>
      <c r="B2713" s="53"/>
      <c r="C2713" s="53" t="s">
        <v>53</v>
      </c>
      <c r="D2713" s="53" t="s">
        <v>6653</v>
      </c>
      <c r="E2713" s="54" t="s">
        <v>38</v>
      </c>
      <c r="F2713" s="54" t="s">
        <v>42</v>
      </c>
      <c r="G2713" s="55" t="s">
        <v>6654</v>
      </c>
      <c r="H2713" s="54" t="s">
        <v>6655</v>
      </c>
      <c r="I2713" s="54">
        <f t="shared" si="125"/>
        <v>33</v>
      </c>
      <c r="J2713" s="56"/>
      <c r="K2713" s="57"/>
      <c r="L2713" s="76"/>
      <c r="M2713" s="59"/>
      <c r="N2713" s="79">
        <v>995.0</v>
      </c>
      <c r="O2713" s="61">
        <v>1074.0</v>
      </c>
      <c r="P2713" s="63">
        <v>1159.92</v>
      </c>
      <c r="Q2713" s="63">
        <v>1159.92</v>
      </c>
      <c r="R2713" s="64">
        <v>1218.0</v>
      </c>
      <c r="S2713" s="111">
        <v>1279.0</v>
      </c>
      <c r="T2713" s="65">
        <f t="shared" si="93"/>
        <v>204.64</v>
      </c>
      <c r="U2713" s="65">
        <f t="shared" si="94"/>
        <v>1483.64</v>
      </c>
      <c r="V2713" s="66">
        <f t="shared" si="135"/>
        <v>0.05008210181</v>
      </c>
      <c r="W2713" s="67">
        <f t="shared" si="96"/>
        <v>1215.05</v>
      </c>
      <c r="X2713" s="67">
        <f t="shared" si="132"/>
        <v>194.408</v>
      </c>
      <c r="Y2713" s="67">
        <f t="shared" si="133"/>
        <v>1409.458</v>
      </c>
      <c r="Z2713" s="67">
        <f t="shared" si="99"/>
        <v>1151.1</v>
      </c>
      <c r="AA2713" s="67">
        <f t="shared" si="114"/>
        <v>184.176</v>
      </c>
      <c r="AB2713" s="67">
        <f t="shared" si="115"/>
        <v>1335.276</v>
      </c>
      <c r="AC2713" s="67">
        <f t="shared" si="102"/>
        <v>1087.15</v>
      </c>
      <c r="AD2713" s="67">
        <f t="shared" si="116"/>
        <v>173.944</v>
      </c>
      <c r="AE2713" s="67">
        <f t="shared" si="117"/>
        <v>1261.094</v>
      </c>
      <c r="AF2713" s="67">
        <f t="shared" si="105"/>
        <v>1061.57</v>
      </c>
      <c r="AG2713" s="67">
        <f t="shared" si="118"/>
        <v>169.8512</v>
      </c>
      <c r="AH2713" s="67">
        <f t="shared" si="119"/>
        <v>1231.4212</v>
      </c>
      <c r="AI2713" s="67">
        <f t="shared" si="108"/>
        <v>1023.2</v>
      </c>
      <c r="AJ2713" s="68">
        <f t="shared" si="126"/>
        <v>163.712</v>
      </c>
      <c r="AK2713" s="68">
        <f t="shared" si="127"/>
        <v>1186.912</v>
      </c>
      <c r="AL2713" s="70"/>
      <c r="AM2713" s="70"/>
      <c r="AN2713" s="71"/>
      <c r="AO2713" s="71"/>
      <c r="AP2713" s="71"/>
      <c r="AQ2713" s="71"/>
      <c r="AR2713" s="71"/>
      <c r="AS2713" s="71"/>
      <c r="AT2713" s="71"/>
      <c r="AU2713" s="71"/>
      <c r="AV2713" s="71"/>
      <c r="AW2713" s="71"/>
      <c r="AX2713" s="71"/>
      <c r="AY2713" s="71"/>
      <c r="AZ2713" s="71"/>
      <c r="BA2713" s="71"/>
      <c r="BB2713" s="71"/>
      <c r="BC2713" s="71"/>
      <c r="BD2713" s="71"/>
      <c r="BE2713" s="71"/>
      <c r="BF2713" s="71"/>
      <c r="BG2713" s="71"/>
      <c r="BH2713" s="71"/>
      <c r="BI2713" s="71"/>
      <c r="BJ2713" s="71"/>
      <c r="BK2713" s="71"/>
      <c r="BL2713" s="71"/>
      <c r="BM2713" s="71"/>
      <c r="BN2713" s="71"/>
      <c r="BO2713" s="71"/>
      <c r="BP2713" s="71"/>
      <c r="BQ2713" s="71"/>
      <c r="BR2713" s="71"/>
      <c r="BS2713" s="71"/>
      <c r="BT2713" s="71"/>
      <c r="BU2713" s="71"/>
      <c r="BV2713" s="71"/>
    </row>
    <row r="2714">
      <c r="A2714" s="53"/>
      <c r="B2714" s="53"/>
      <c r="C2714" s="53" t="s">
        <v>53</v>
      </c>
      <c r="D2714" s="53" t="s">
        <v>6656</v>
      </c>
      <c r="E2714" s="54" t="s">
        <v>38</v>
      </c>
      <c r="F2714" s="54" t="s">
        <v>42</v>
      </c>
      <c r="G2714" s="55" t="s">
        <v>6657</v>
      </c>
      <c r="H2714" s="54" t="s">
        <v>6658</v>
      </c>
      <c r="I2714" s="54">
        <f t="shared" si="125"/>
        <v>35</v>
      </c>
      <c r="J2714" s="56"/>
      <c r="K2714" s="57"/>
      <c r="L2714" s="76"/>
      <c r="M2714" s="59"/>
      <c r="N2714" s="79">
        <v>949.0</v>
      </c>
      <c r="O2714" s="61">
        <v>1024.0</v>
      </c>
      <c r="P2714" s="63">
        <v>1105.92</v>
      </c>
      <c r="Q2714" s="63">
        <v>1105.92</v>
      </c>
      <c r="R2714" s="64">
        <v>1162.0</v>
      </c>
      <c r="S2714" s="111">
        <v>1220.0</v>
      </c>
      <c r="T2714" s="65">
        <f t="shared" si="93"/>
        <v>195.2</v>
      </c>
      <c r="U2714" s="65">
        <f t="shared" si="94"/>
        <v>1415.2</v>
      </c>
      <c r="V2714" s="66">
        <f t="shared" si="135"/>
        <v>0.04991394148</v>
      </c>
      <c r="W2714" s="67">
        <f t="shared" si="96"/>
        <v>1159</v>
      </c>
      <c r="X2714" s="67">
        <f t="shared" si="132"/>
        <v>185.44</v>
      </c>
      <c r="Y2714" s="67">
        <f t="shared" si="133"/>
        <v>1344.44</v>
      </c>
      <c r="Z2714" s="67">
        <f t="shared" si="99"/>
        <v>1098</v>
      </c>
      <c r="AA2714" s="67">
        <f t="shared" si="114"/>
        <v>175.68</v>
      </c>
      <c r="AB2714" s="67">
        <f t="shared" si="115"/>
        <v>1273.68</v>
      </c>
      <c r="AC2714" s="67">
        <f t="shared" si="102"/>
        <v>1037</v>
      </c>
      <c r="AD2714" s="67">
        <f t="shared" si="116"/>
        <v>165.92</v>
      </c>
      <c r="AE2714" s="67">
        <f t="shared" si="117"/>
        <v>1202.92</v>
      </c>
      <c r="AF2714" s="67">
        <f t="shared" si="105"/>
        <v>1012.6</v>
      </c>
      <c r="AG2714" s="67">
        <f t="shared" si="118"/>
        <v>162.016</v>
      </c>
      <c r="AH2714" s="67">
        <f t="shared" si="119"/>
        <v>1174.616</v>
      </c>
      <c r="AI2714" s="67">
        <f t="shared" si="108"/>
        <v>976</v>
      </c>
      <c r="AJ2714" s="68">
        <f t="shared" si="126"/>
        <v>156.16</v>
      </c>
      <c r="AK2714" s="68">
        <f t="shared" si="127"/>
        <v>1132.16</v>
      </c>
      <c r="AL2714" s="70"/>
      <c r="AM2714" s="70"/>
      <c r="AN2714" s="71"/>
      <c r="AO2714" s="71"/>
      <c r="AP2714" s="71"/>
      <c r="AQ2714" s="71"/>
      <c r="AR2714" s="71"/>
      <c r="AS2714" s="71"/>
      <c r="AT2714" s="71"/>
      <c r="AU2714" s="71"/>
      <c r="AV2714" s="71"/>
      <c r="AW2714" s="71"/>
      <c r="AX2714" s="71"/>
      <c r="AY2714" s="71"/>
      <c r="AZ2714" s="71"/>
      <c r="BA2714" s="71"/>
      <c r="BB2714" s="71"/>
      <c r="BC2714" s="71"/>
      <c r="BD2714" s="71"/>
      <c r="BE2714" s="71"/>
      <c r="BF2714" s="71"/>
      <c r="BG2714" s="71"/>
      <c r="BH2714" s="71"/>
      <c r="BI2714" s="71"/>
      <c r="BJ2714" s="71"/>
      <c r="BK2714" s="71"/>
      <c r="BL2714" s="71"/>
      <c r="BM2714" s="71"/>
      <c r="BN2714" s="71"/>
      <c r="BO2714" s="71"/>
      <c r="BP2714" s="71"/>
      <c r="BQ2714" s="71"/>
      <c r="BR2714" s="71"/>
      <c r="BS2714" s="71"/>
      <c r="BT2714" s="71"/>
      <c r="BU2714" s="71"/>
      <c r="BV2714" s="71"/>
    </row>
    <row r="2715">
      <c r="A2715" s="53"/>
      <c r="B2715" s="53"/>
      <c r="C2715" s="53" t="s">
        <v>36</v>
      </c>
      <c r="D2715" s="85" t="s">
        <v>6659</v>
      </c>
      <c r="E2715" s="54" t="s">
        <v>38</v>
      </c>
      <c r="F2715" s="55" t="s">
        <v>39</v>
      </c>
      <c r="G2715" s="86" t="s">
        <v>6660</v>
      </c>
      <c r="H2715" s="55"/>
      <c r="I2715" s="54">
        <f t="shared" si="125"/>
        <v>0</v>
      </c>
      <c r="J2715" s="56"/>
      <c r="K2715" s="57"/>
      <c r="L2715" s="76"/>
      <c r="M2715" s="59"/>
      <c r="N2715" s="60"/>
      <c r="O2715" s="61">
        <v>227.0</v>
      </c>
      <c r="P2715" s="62">
        <v>245.16000000000003</v>
      </c>
      <c r="Q2715" s="63">
        <v>245.16000000000003</v>
      </c>
      <c r="R2715" s="64">
        <v>258.0</v>
      </c>
      <c r="S2715" s="107">
        <v>271.0</v>
      </c>
      <c r="T2715" s="65">
        <f t="shared" si="93"/>
        <v>43.36</v>
      </c>
      <c r="U2715" s="65">
        <f t="shared" si="94"/>
        <v>314.36</v>
      </c>
      <c r="V2715" s="66">
        <f t="shared" si="135"/>
        <v>0.0503875969</v>
      </c>
      <c r="W2715" s="67">
        <f t="shared" si="96"/>
        <v>257.45</v>
      </c>
      <c r="X2715" s="67">
        <f t="shared" si="132"/>
        <v>41.192</v>
      </c>
      <c r="Y2715" s="67">
        <f t="shared" si="133"/>
        <v>298.642</v>
      </c>
      <c r="Z2715" s="67">
        <f t="shared" si="99"/>
        <v>243.9</v>
      </c>
      <c r="AA2715" s="67">
        <f t="shared" si="114"/>
        <v>39.024</v>
      </c>
      <c r="AB2715" s="67">
        <f t="shared" si="115"/>
        <v>282.924</v>
      </c>
      <c r="AC2715" s="67">
        <f t="shared" si="102"/>
        <v>230.35</v>
      </c>
      <c r="AD2715" s="67">
        <f t="shared" si="116"/>
        <v>36.856</v>
      </c>
      <c r="AE2715" s="67">
        <f t="shared" si="117"/>
        <v>267.206</v>
      </c>
      <c r="AF2715" s="67">
        <f t="shared" si="105"/>
        <v>224.93</v>
      </c>
      <c r="AG2715" s="67">
        <f t="shared" si="118"/>
        <v>35.9888</v>
      </c>
      <c r="AH2715" s="67">
        <f t="shared" si="119"/>
        <v>260.9188</v>
      </c>
      <c r="AI2715" s="67">
        <f t="shared" si="108"/>
        <v>216.8</v>
      </c>
      <c r="AJ2715" s="68">
        <f t="shared" si="126"/>
        <v>34.688</v>
      </c>
      <c r="AK2715" s="68">
        <f t="shared" si="127"/>
        <v>251.488</v>
      </c>
      <c r="AL2715" s="70"/>
      <c r="AM2715" s="70"/>
      <c r="AN2715" s="71"/>
      <c r="AO2715" s="71"/>
      <c r="AP2715" s="71"/>
      <c r="AQ2715" s="71"/>
      <c r="AR2715" s="71"/>
      <c r="AS2715" s="71"/>
      <c r="AT2715" s="71"/>
      <c r="AU2715" s="71"/>
      <c r="AV2715" s="71"/>
      <c r="AW2715" s="71"/>
      <c r="AX2715" s="71"/>
      <c r="AY2715" s="71"/>
      <c r="AZ2715" s="71"/>
      <c r="BA2715" s="71"/>
      <c r="BB2715" s="71"/>
      <c r="BC2715" s="71"/>
      <c r="BD2715" s="71"/>
      <c r="BE2715" s="71"/>
      <c r="BF2715" s="71"/>
      <c r="BG2715" s="71"/>
      <c r="BH2715" s="71"/>
      <c r="BI2715" s="71"/>
      <c r="BJ2715" s="71"/>
      <c r="BK2715" s="71"/>
      <c r="BL2715" s="71"/>
      <c r="BM2715" s="71"/>
      <c r="BN2715" s="71"/>
      <c r="BO2715" s="71"/>
      <c r="BP2715" s="71"/>
      <c r="BQ2715" s="71"/>
      <c r="BR2715" s="71"/>
      <c r="BS2715" s="71"/>
      <c r="BT2715" s="71"/>
      <c r="BU2715" s="71"/>
      <c r="BV2715" s="71"/>
    </row>
    <row r="2716">
      <c r="A2716" s="53"/>
      <c r="B2716" s="53"/>
      <c r="C2716" s="53" t="s">
        <v>36</v>
      </c>
      <c r="D2716" s="85" t="s">
        <v>6661</v>
      </c>
      <c r="E2716" s="54" t="s">
        <v>38</v>
      </c>
      <c r="F2716" s="55" t="s">
        <v>39</v>
      </c>
      <c r="G2716" s="86" t="s">
        <v>6662</v>
      </c>
      <c r="H2716" s="55"/>
      <c r="I2716" s="54">
        <f t="shared" si="125"/>
        <v>0</v>
      </c>
      <c r="J2716" s="56"/>
      <c r="K2716" s="57"/>
      <c r="L2716" s="76"/>
      <c r="M2716" s="59"/>
      <c r="N2716" s="60"/>
      <c r="O2716" s="61">
        <v>2167.04</v>
      </c>
      <c r="P2716" s="62">
        <v>2340.4032</v>
      </c>
      <c r="Q2716" s="63">
        <v>2340.4032</v>
      </c>
      <c r="R2716" s="64">
        <v>2457.0</v>
      </c>
      <c r="S2716" s="107">
        <v>2580.0</v>
      </c>
      <c r="T2716" s="65">
        <f t="shared" si="93"/>
        <v>412.8</v>
      </c>
      <c r="U2716" s="65">
        <f t="shared" si="94"/>
        <v>2992.8</v>
      </c>
      <c r="V2716" s="66">
        <f t="shared" si="135"/>
        <v>0.05006105006</v>
      </c>
      <c r="W2716" s="67">
        <f t="shared" si="96"/>
        <v>2451</v>
      </c>
      <c r="X2716" s="67">
        <f t="shared" si="132"/>
        <v>392.16</v>
      </c>
      <c r="Y2716" s="67">
        <f t="shared" si="133"/>
        <v>2843.16</v>
      </c>
      <c r="Z2716" s="67">
        <f t="shared" si="99"/>
        <v>2322</v>
      </c>
      <c r="AA2716" s="67">
        <f t="shared" si="114"/>
        <v>371.52</v>
      </c>
      <c r="AB2716" s="67">
        <f t="shared" si="115"/>
        <v>2693.52</v>
      </c>
      <c r="AC2716" s="67">
        <f t="shared" si="102"/>
        <v>2193</v>
      </c>
      <c r="AD2716" s="67">
        <f t="shared" si="116"/>
        <v>350.88</v>
      </c>
      <c r="AE2716" s="67">
        <f t="shared" si="117"/>
        <v>2543.88</v>
      </c>
      <c r="AF2716" s="67">
        <f t="shared" si="105"/>
        <v>2141.4</v>
      </c>
      <c r="AG2716" s="67">
        <f t="shared" si="118"/>
        <v>342.624</v>
      </c>
      <c r="AH2716" s="67">
        <f t="shared" si="119"/>
        <v>2484.024</v>
      </c>
      <c r="AI2716" s="67">
        <f t="shared" si="108"/>
        <v>2064</v>
      </c>
      <c r="AJ2716" s="68">
        <f t="shared" si="126"/>
        <v>330.24</v>
      </c>
      <c r="AK2716" s="68">
        <f t="shared" si="127"/>
        <v>2394.24</v>
      </c>
      <c r="AL2716" s="70"/>
      <c r="AM2716" s="70"/>
      <c r="AN2716" s="71"/>
      <c r="AO2716" s="71"/>
      <c r="AP2716" s="71"/>
      <c r="AQ2716" s="71"/>
      <c r="AR2716" s="71"/>
      <c r="AS2716" s="71"/>
      <c r="AT2716" s="71"/>
      <c r="AU2716" s="71"/>
      <c r="AV2716" s="71"/>
      <c r="AW2716" s="71"/>
      <c r="AX2716" s="71"/>
      <c r="AY2716" s="71"/>
      <c r="AZ2716" s="71"/>
      <c r="BA2716" s="71"/>
      <c r="BB2716" s="71"/>
      <c r="BC2716" s="71"/>
      <c r="BD2716" s="71"/>
      <c r="BE2716" s="71"/>
      <c r="BF2716" s="71"/>
      <c r="BG2716" s="71"/>
      <c r="BH2716" s="71"/>
      <c r="BI2716" s="71"/>
      <c r="BJ2716" s="71"/>
      <c r="BK2716" s="71"/>
      <c r="BL2716" s="71"/>
      <c r="BM2716" s="71"/>
      <c r="BN2716" s="71"/>
      <c r="BO2716" s="71"/>
      <c r="BP2716" s="71"/>
      <c r="BQ2716" s="71"/>
      <c r="BR2716" s="71"/>
      <c r="BS2716" s="71"/>
      <c r="BT2716" s="71"/>
      <c r="BU2716" s="71"/>
      <c r="BV2716" s="71"/>
    </row>
    <row r="2717">
      <c r="A2717" s="53"/>
      <c r="B2717" s="53"/>
      <c r="C2717" s="53" t="s">
        <v>36</v>
      </c>
      <c r="D2717" s="85" t="s">
        <v>6663</v>
      </c>
      <c r="E2717" s="54" t="s">
        <v>38</v>
      </c>
      <c r="F2717" s="55" t="s">
        <v>39</v>
      </c>
      <c r="G2717" s="86" t="s">
        <v>6664</v>
      </c>
      <c r="H2717" s="55"/>
      <c r="I2717" s="54">
        <f t="shared" si="125"/>
        <v>0</v>
      </c>
      <c r="J2717" s="56"/>
      <c r="K2717" s="57"/>
      <c r="L2717" s="76"/>
      <c r="M2717" s="59"/>
      <c r="N2717" s="60"/>
      <c r="O2717" s="61">
        <v>1832.0</v>
      </c>
      <c r="P2717" s="62">
        <v>1978.5600000000002</v>
      </c>
      <c r="Q2717" s="63">
        <v>1978.5600000000002</v>
      </c>
      <c r="R2717" s="64">
        <v>2078.0</v>
      </c>
      <c r="S2717" s="107">
        <v>2182.0</v>
      </c>
      <c r="T2717" s="65">
        <f t="shared" si="93"/>
        <v>349.12</v>
      </c>
      <c r="U2717" s="65">
        <f t="shared" si="94"/>
        <v>2531.12</v>
      </c>
      <c r="V2717" s="66">
        <f t="shared" si="135"/>
        <v>0.0500481232</v>
      </c>
      <c r="W2717" s="67">
        <f t="shared" si="96"/>
        <v>2072.9</v>
      </c>
      <c r="X2717" s="67">
        <f t="shared" si="132"/>
        <v>331.664</v>
      </c>
      <c r="Y2717" s="67">
        <f t="shared" si="133"/>
        <v>2404.564</v>
      </c>
      <c r="Z2717" s="67">
        <f t="shared" si="99"/>
        <v>1963.8</v>
      </c>
      <c r="AA2717" s="67">
        <f t="shared" si="114"/>
        <v>314.208</v>
      </c>
      <c r="AB2717" s="67">
        <f t="shared" si="115"/>
        <v>2278.008</v>
      </c>
      <c r="AC2717" s="67">
        <f t="shared" si="102"/>
        <v>1854.7</v>
      </c>
      <c r="AD2717" s="67">
        <f t="shared" si="116"/>
        <v>296.752</v>
      </c>
      <c r="AE2717" s="67">
        <f t="shared" si="117"/>
        <v>2151.452</v>
      </c>
      <c r="AF2717" s="67">
        <f t="shared" si="105"/>
        <v>1811.06</v>
      </c>
      <c r="AG2717" s="67">
        <f t="shared" si="118"/>
        <v>289.7696</v>
      </c>
      <c r="AH2717" s="67">
        <f t="shared" si="119"/>
        <v>2100.8296</v>
      </c>
      <c r="AI2717" s="67">
        <f t="shared" si="108"/>
        <v>1745.6</v>
      </c>
      <c r="AJ2717" s="68">
        <f t="shared" si="126"/>
        <v>279.296</v>
      </c>
      <c r="AK2717" s="68">
        <f t="shared" si="127"/>
        <v>2024.896</v>
      </c>
      <c r="AL2717" s="70"/>
      <c r="AM2717" s="70"/>
      <c r="AN2717" s="71"/>
      <c r="AO2717" s="71"/>
      <c r="AP2717" s="71"/>
      <c r="AQ2717" s="71"/>
      <c r="AR2717" s="71"/>
      <c r="AS2717" s="71"/>
      <c r="AT2717" s="71"/>
      <c r="AU2717" s="71"/>
      <c r="AV2717" s="71"/>
      <c r="AW2717" s="71"/>
      <c r="AX2717" s="71"/>
      <c r="AY2717" s="71"/>
      <c r="AZ2717" s="71"/>
      <c r="BA2717" s="71"/>
      <c r="BB2717" s="71"/>
      <c r="BC2717" s="71"/>
      <c r="BD2717" s="71"/>
      <c r="BE2717" s="71"/>
      <c r="BF2717" s="71"/>
      <c r="BG2717" s="71"/>
      <c r="BH2717" s="71"/>
      <c r="BI2717" s="71"/>
      <c r="BJ2717" s="71"/>
      <c r="BK2717" s="71"/>
      <c r="BL2717" s="71"/>
      <c r="BM2717" s="71"/>
      <c r="BN2717" s="71"/>
      <c r="BO2717" s="71"/>
      <c r="BP2717" s="71"/>
      <c r="BQ2717" s="71"/>
      <c r="BR2717" s="71"/>
      <c r="BS2717" s="71"/>
      <c r="BT2717" s="71"/>
      <c r="BU2717" s="71"/>
      <c r="BV2717" s="71"/>
    </row>
    <row r="2718">
      <c r="A2718" s="53">
        <v>1.0</v>
      </c>
      <c r="B2718" s="53"/>
      <c r="C2718" s="73" t="s">
        <v>53</v>
      </c>
      <c r="D2718" s="74" t="s">
        <v>6665</v>
      </c>
      <c r="E2718" s="54" t="s">
        <v>38</v>
      </c>
      <c r="F2718" s="54" t="s">
        <v>42</v>
      </c>
      <c r="G2718" s="88" t="s">
        <v>6666</v>
      </c>
      <c r="H2718" s="54" t="s">
        <v>6667</v>
      </c>
      <c r="I2718" s="54">
        <f t="shared" si="125"/>
        <v>26</v>
      </c>
      <c r="J2718" s="56"/>
      <c r="K2718" s="57"/>
      <c r="L2718" s="76"/>
      <c r="M2718" s="59"/>
      <c r="N2718" s="60">
        <v>848.0</v>
      </c>
      <c r="O2718" s="61">
        <v>915.0</v>
      </c>
      <c r="P2718" s="62">
        <v>1482.0</v>
      </c>
      <c r="Q2718" s="63">
        <v>1482.0</v>
      </c>
      <c r="R2718" s="64">
        <v>1557.0</v>
      </c>
      <c r="S2718" s="111">
        <v>1635.0</v>
      </c>
      <c r="T2718" s="65">
        <f t="shared" si="93"/>
        <v>261.6</v>
      </c>
      <c r="U2718" s="65">
        <f t="shared" si="94"/>
        <v>1896.6</v>
      </c>
      <c r="V2718" s="66">
        <f t="shared" si="135"/>
        <v>0.05009633911</v>
      </c>
      <c r="W2718" s="67">
        <f t="shared" si="96"/>
        <v>1553.25</v>
      </c>
      <c r="X2718" s="67">
        <f t="shared" si="132"/>
        <v>248.52</v>
      </c>
      <c r="Y2718" s="67">
        <f t="shared" si="133"/>
        <v>1801.77</v>
      </c>
      <c r="Z2718" s="67">
        <f t="shared" si="99"/>
        <v>1471.5</v>
      </c>
      <c r="AA2718" s="67">
        <f t="shared" si="114"/>
        <v>235.44</v>
      </c>
      <c r="AB2718" s="67">
        <f t="shared" si="115"/>
        <v>1706.94</v>
      </c>
      <c r="AC2718" s="67">
        <f t="shared" si="102"/>
        <v>1389.75</v>
      </c>
      <c r="AD2718" s="67">
        <f t="shared" si="116"/>
        <v>222.36</v>
      </c>
      <c r="AE2718" s="67">
        <f t="shared" si="117"/>
        <v>1612.11</v>
      </c>
      <c r="AF2718" s="67">
        <f t="shared" si="105"/>
        <v>1357.05</v>
      </c>
      <c r="AG2718" s="67">
        <f t="shared" si="118"/>
        <v>217.128</v>
      </c>
      <c r="AH2718" s="67">
        <f t="shared" si="119"/>
        <v>1574.178</v>
      </c>
      <c r="AI2718" s="67">
        <f t="shared" si="108"/>
        <v>1308</v>
      </c>
      <c r="AJ2718" s="68">
        <f t="shared" si="126"/>
        <v>209.28</v>
      </c>
      <c r="AK2718" s="68">
        <f t="shared" si="127"/>
        <v>1517.28</v>
      </c>
      <c r="AL2718" s="70"/>
      <c r="AM2718" s="70"/>
      <c r="AN2718" s="71"/>
      <c r="AO2718" s="71"/>
      <c r="AP2718" s="71"/>
      <c r="AQ2718" s="71"/>
      <c r="AR2718" s="71"/>
      <c r="AS2718" s="71"/>
      <c r="AT2718" s="71"/>
      <c r="AU2718" s="71"/>
      <c r="AV2718" s="71"/>
      <c r="AW2718" s="71"/>
      <c r="AX2718" s="71"/>
      <c r="AY2718" s="71"/>
      <c r="AZ2718" s="71"/>
      <c r="BA2718" s="71"/>
      <c r="BB2718" s="71"/>
      <c r="BC2718" s="71"/>
      <c r="BD2718" s="71"/>
      <c r="BE2718" s="71"/>
      <c r="BF2718" s="71"/>
      <c r="BG2718" s="71"/>
      <c r="BH2718" s="71"/>
      <c r="BI2718" s="71"/>
      <c r="BJ2718" s="71"/>
      <c r="BK2718" s="71"/>
      <c r="BL2718" s="71"/>
      <c r="BM2718" s="71"/>
      <c r="BN2718" s="71"/>
      <c r="BO2718" s="71"/>
      <c r="BP2718" s="71"/>
      <c r="BQ2718" s="71"/>
      <c r="BR2718" s="71"/>
      <c r="BS2718" s="71"/>
      <c r="BT2718" s="71"/>
      <c r="BU2718" s="71"/>
      <c r="BV2718" s="71"/>
    </row>
    <row r="2719">
      <c r="A2719" s="53">
        <v>1.0</v>
      </c>
      <c r="B2719" s="53"/>
      <c r="C2719" s="73" t="s">
        <v>53</v>
      </c>
      <c r="D2719" s="74" t="s">
        <v>6668</v>
      </c>
      <c r="E2719" s="54" t="s">
        <v>38</v>
      </c>
      <c r="F2719" s="54" t="s">
        <v>42</v>
      </c>
      <c r="G2719" s="88" t="s">
        <v>6669</v>
      </c>
      <c r="H2719" s="54" t="s">
        <v>6670</v>
      </c>
      <c r="I2719" s="54">
        <f t="shared" si="125"/>
        <v>36</v>
      </c>
      <c r="J2719" s="56"/>
      <c r="K2719" s="57"/>
      <c r="L2719" s="87"/>
      <c r="M2719" s="59"/>
      <c r="N2719" s="60">
        <v>549.0</v>
      </c>
      <c r="O2719" s="61">
        <v>592.0</v>
      </c>
      <c r="P2719" s="62">
        <v>639.36</v>
      </c>
      <c r="Q2719" s="63">
        <v>639.36</v>
      </c>
      <c r="R2719" s="64">
        <v>712.0</v>
      </c>
      <c r="S2719" s="111">
        <v>748.0</v>
      </c>
      <c r="T2719" s="65">
        <f t="shared" si="93"/>
        <v>119.68</v>
      </c>
      <c r="U2719" s="65">
        <f t="shared" si="94"/>
        <v>867.68</v>
      </c>
      <c r="V2719" s="66">
        <f t="shared" si="135"/>
        <v>0.05056179775</v>
      </c>
      <c r="W2719" s="67">
        <f t="shared" si="96"/>
        <v>710.6</v>
      </c>
      <c r="X2719" s="67">
        <f t="shared" si="132"/>
        <v>113.696</v>
      </c>
      <c r="Y2719" s="67">
        <f t="shared" si="133"/>
        <v>824.296</v>
      </c>
      <c r="Z2719" s="67">
        <f t="shared" si="99"/>
        <v>673.2</v>
      </c>
      <c r="AA2719" s="67">
        <f t="shared" si="114"/>
        <v>107.712</v>
      </c>
      <c r="AB2719" s="67">
        <f t="shared" si="115"/>
        <v>780.912</v>
      </c>
      <c r="AC2719" s="67">
        <f t="shared" si="102"/>
        <v>635.8</v>
      </c>
      <c r="AD2719" s="67">
        <f t="shared" si="116"/>
        <v>101.728</v>
      </c>
      <c r="AE2719" s="67">
        <f t="shared" si="117"/>
        <v>737.528</v>
      </c>
      <c r="AF2719" s="67">
        <f t="shared" si="105"/>
        <v>620.84</v>
      </c>
      <c r="AG2719" s="67">
        <f t="shared" si="118"/>
        <v>99.3344</v>
      </c>
      <c r="AH2719" s="67">
        <f t="shared" si="119"/>
        <v>720.1744</v>
      </c>
      <c r="AI2719" s="67">
        <f t="shared" si="108"/>
        <v>598.4</v>
      </c>
      <c r="AJ2719" s="68">
        <f t="shared" si="126"/>
        <v>95.744</v>
      </c>
      <c r="AK2719" s="68">
        <f t="shared" si="127"/>
        <v>694.144</v>
      </c>
      <c r="AL2719" s="70"/>
      <c r="AM2719" s="70"/>
      <c r="AN2719" s="71"/>
      <c r="AO2719" s="71"/>
      <c r="AP2719" s="71"/>
      <c r="AQ2719" s="71"/>
      <c r="AR2719" s="71"/>
      <c r="AS2719" s="71"/>
      <c r="AT2719" s="71"/>
      <c r="AU2719" s="71"/>
      <c r="AV2719" s="71"/>
      <c r="AW2719" s="71"/>
      <c r="AX2719" s="71"/>
      <c r="AY2719" s="71"/>
      <c r="AZ2719" s="71"/>
      <c r="BA2719" s="71"/>
      <c r="BB2719" s="71"/>
      <c r="BC2719" s="71"/>
      <c r="BD2719" s="71"/>
      <c r="BE2719" s="71"/>
      <c r="BF2719" s="71"/>
      <c r="BG2719" s="71"/>
      <c r="BH2719" s="71"/>
      <c r="BI2719" s="71"/>
      <c r="BJ2719" s="71"/>
      <c r="BK2719" s="71"/>
      <c r="BL2719" s="71"/>
      <c r="BM2719" s="71"/>
      <c r="BN2719" s="71"/>
      <c r="BO2719" s="71"/>
      <c r="BP2719" s="71"/>
      <c r="BQ2719" s="71"/>
      <c r="BR2719" s="71"/>
      <c r="BS2719" s="71"/>
      <c r="BT2719" s="71"/>
      <c r="BU2719" s="71"/>
      <c r="BV2719" s="71"/>
    </row>
    <row r="2720">
      <c r="A2720" s="53">
        <v>1.0</v>
      </c>
      <c r="B2720" s="53"/>
      <c r="C2720" s="73" t="s">
        <v>53</v>
      </c>
      <c r="D2720" s="74" t="s">
        <v>6671</v>
      </c>
      <c r="E2720" s="54" t="s">
        <v>38</v>
      </c>
      <c r="F2720" s="54" t="s">
        <v>42</v>
      </c>
      <c r="G2720" s="88" t="s">
        <v>6672</v>
      </c>
      <c r="H2720" s="54" t="s">
        <v>6673</v>
      </c>
      <c r="I2720" s="54">
        <f t="shared" si="125"/>
        <v>30</v>
      </c>
      <c r="J2720" s="56"/>
      <c r="K2720" s="57"/>
      <c r="L2720" s="87"/>
      <c r="M2720" s="59"/>
      <c r="N2720" s="60">
        <v>452.0</v>
      </c>
      <c r="O2720" s="61">
        <v>488.0</v>
      </c>
      <c r="P2720" s="62">
        <v>527.0400000000001</v>
      </c>
      <c r="Q2720" s="63">
        <v>527.0400000000001</v>
      </c>
      <c r="R2720" s="64">
        <v>587.0</v>
      </c>
      <c r="S2720" s="111">
        <v>616.0</v>
      </c>
      <c r="T2720" s="65">
        <f t="shared" si="93"/>
        <v>98.56</v>
      </c>
      <c r="U2720" s="65">
        <f t="shared" si="94"/>
        <v>714.56</v>
      </c>
      <c r="V2720" s="66">
        <f t="shared" si="135"/>
        <v>0.04940374787</v>
      </c>
      <c r="W2720" s="67">
        <f t="shared" si="96"/>
        <v>585.2</v>
      </c>
      <c r="X2720" s="67">
        <f t="shared" si="132"/>
        <v>93.632</v>
      </c>
      <c r="Y2720" s="67">
        <f t="shared" si="133"/>
        <v>678.832</v>
      </c>
      <c r="Z2720" s="67">
        <f t="shared" si="99"/>
        <v>554.4</v>
      </c>
      <c r="AA2720" s="67">
        <f t="shared" si="114"/>
        <v>88.704</v>
      </c>
      <c r="AB2720" s="67">
        <f t="shared" si="115"/>
        <v>643.104</v>
      </c>
      <c r="AC2720" s="67">
        <f t="shared" si="102"/>
        <v>523.6</v>
      </c>
      <c r="AD2720" s="67">
        <f t="shared" si="116"/>
        <v>83.776</v>
      </c>
      <c r="AE2720" s="67">
        <f t="shared" si="117"/>
        <v>607.376</v>
      </c>
      <c r="AF2720" s="67">
        <f t="shared" si="105"/>
        <v>511.28</v>
      </c>
      <c r="AG2720" s="67">
        <f t="shared" si="118"/>
        <v>81.8048</v>
      </c>
      <c r="AH2720" s="67">
        <f t="shared" si="119"/>
        <v>593.0848</v>
      </c>
      <c r="AI2720" s="67">
        <f t="shared" si="108"/>
        <v>492.8</v>
      </c>
      <c r="AJ2720" s="68">
        <f t="shared" si="126"/>
        <v>78.848</v>
      </c>
      <c r="AK2720" s="68">
        <f t="shared" si="127"/>
        <v>571.648</v>
      </c>
      <c r="AL2720" s="70"/>
      <c r="AM2720" s="70"/>
      <c r="AN2720" s="71"/>
      <c r="AO2720" s="71"/>
      <c r="AP2720" s="71"/>
      <c r="AQ2720" s="71"/>
      <c r="AR2720" s="71"/>
      <c r="AS2720" s="71"/>
      <c r="AT2720" s="71"/>
      <c r="AU2720" s="71"/>
      <c r="AV2720" s="71"/>
      <c r="AW2720" s="71"/>
      <c r="AX2720" s="71"/>
      <c r="AY2720" s="71"/>
      <c r="AZ2720" s="71"/>
      <c r="BA2720" s="71"/>
      <c r="BB2720" s="71"/>
      <c r="BC2720" s="71"/>
      <c r="BD2720" s="71"/>
      <c r="BE2720" s="71"/>
      <c r="BF2720" s="71"/>
      <c r="BG2720" s="71"/>
      <c r="BH2720" s="71"/>
      <c r="BI2720" s="71"/>
      <c r="BJ2720" s="71"/>
      <c r="BK2720" s="71"/>
      <c r="BL2720" s="71"/>
      <c r="BM2720" s="71"/>
      <c r="BN2720" s="71"/>
      <c r="BO2720" s="71"/>
      <c r="BP2720" s="71"/>
      <c r="BQ2720" s="71"/>
      <c r="BR2720" s="71"/>
      <c r="BS2720" s="71"/>
      <c r="BT2720" s="71"/>
      <c r="BU2720" s="71"/>
      <c r="BV2720" s="71"/>
    </row>
    <row r="2721">
      <c r="A2721" s="53"/>
      <c r="B2721" s="53"/>
      <c r="C2721" s="53" t="s">
        <v>36</v>
      </c>
      <c r="D2721" s="85" t="s">
        <v>6674</v>
      </c>
      <c r="E2721" s="54" t="s">
        <v>38</v>
      </c>
      <c r="F2721" s="55" t="s">
        <v>39</v>
      </c>
      <c r="G2721" s="86" t="s">
        <v>6675</v>
      </c>
      <c r="H2721" s="55"/>
      <c r="I2721" s="54">
        <f t="shared" si="125"/>
        <v>0</v>
      </c>
      <c r="J2721" s="56"/>
      <c r="K2721" s="57"/>
      <c r="L2721" s="76"/>
      <c r="M2721" s="59"/>
      <c r="N2721" s="60"/>
      <c r="O2721" s="61">
        <v>614.4</v>
      </c>
      <c r="P2721" s="62">
        <v>663.552</v>
      </c>
      <c r="Q2721" s="63">
        <v>663.552</v>
      </c>
      <c r="R2721" s="64">
        <v>698.0</v>
      </c>
      <c r="S2721" s="107">
        <v>733.0</v>
      </c>
      <c r="T2721" s="65">
        <f t="shared" si="93"/>
        <v>117.28</v>
      </c>
      <c r="U2721" s="65">
        <f t="shared" si="94"/>
        <v>850.28</v>
      </c>
      <c r="V2721" s="66">
        <f t="shared" si="135"/>
        <v>0.05014326648</v>
      </c>
      <c r="W2721" s="67">
        <f t="shared" si="96"/>
        <v>696.35</v>
      </c>
      <c r="X2721" s="67">
        <f t="shared" si="132"/>
        <v>111.416</v>
      </c>
      <c r="Y2721" s="67">
        <f t="shared" si="133"/>
        <v>807.766</v>
      </c>
      <c r="Z2721" s="67">
        <f t="shared" si="99"/>
        <v>659.7</v>
      </c>
      <c r="AA2721" s="67">
        <f t="shared" si="114"/>
        <v>105.552</v>
      </c>
      <c r="AB2721" s="67">
        <f t="shared" si="115"/>
        <v>765.252</v>
      </c>
      <c r="AC2721" s="67">
        <f t="shared" si="102"/>
        <v>623.05</v>
      </c>
      <c r="AD2721" s="67">
        <f t="shared" si="116"/>
        <v>99.688</v>
      </c>
      <c r="AE2721" s="67">
        <f t="shared" si="117"/>
        <v>722.738</v>
      </c>
      <c r="AF2721" s="67">
        <f t="shared" si="105"/>
        <v>608.39</v>
      </c>
      <c r="AG2721" s="67">
        <f t="shared" si="118"/>
        <v>97.3424</v>
      </c>
      <c r="AH2721" s="67">
        <f t="shared" si="119"/>
        <v>705.7324</v>
      </c>
      <c r="AI2721" s="67">
        <f t="shared" si="108"/>
        <v>586.4</v>
      </c>
      <c r="AJ2721" s="68">
        <f t="shared" si="126"/>
        <v>93.824</v>
      </c>
      <c r="AK2721" s="68">
        <f t="shared" si="127"/>
        <v>680.224</v>
      </c>
      <c r="AL2721" s="70"/>
      <c r="AM2721" s="70"/>
      <c r="AN2721" s="71"/>
      <c r="AO2721" s="71"/>
      <c r="AP2721" s="71"/>
      <c r="AQ2721" s="71"/>
      <c r="AR2721" s="71"/>
      <c r="AS2721" s="71"/>
      <c r="AT2721" s="71"/>
      <c r="AU2721" s="71"/>
      <c r="AV2721" s="71"/>
      <c r="AW2721" s="71"/>
      <c r="AX2721" s="71"/>
      <c r="AY2721" s="71"/>
      <c r="AZ2721" s="71"/>
      <c r="BA2721" s="71"/>
      <c r="BB2721" s="71"/>
      <c r="BC2721" s="71"/>
      <c r="BD2721" s="71"/>
      <c r="BE2721" s="71"/>
      <c r="BF2721" s="71"/>
      <c r="BG2721" s="71"/>
      <c r="BH2721" s="71"/>
      <c r="BI2721" s="71"/>
      <c r="BJ2721" s="71"/>
      <c r="BK2721" s="71"/>
      <c r="BL2721" s="71"/>
      <c r="BM2721" s="71"/>
      <c r="BN2721" s="71"/>
      <c r="BO2721" s="71"/>
      <c r="BP2721" s="71"/>
      <c r="BQ2721" s="71"/>
      <c r="BR2721" s="71"/>
      <c r="BS2721" s="71"/>
      <c r="BT2721" s="71"/>
      <c r="BU2721" s="71"/>
      <c r="BV2721" s="71"/>
    </row>
    <row r="2722">
      <c r="A2722" s="53"/>
      <c r="B2722" s="53"/>
      <c r="C2722" s="53" t="s">
        <v>36</v>
      </c>
      <c r="D2722" s="85" t="s">
        <v>6676</v>
      </c>
      <c r="E2722" s="54" t="s">
        <v>1177</v>
      </c>
      <c r="F2722" s="55" t="s">
        <v>39</v>
      </c>
      <c r="G2722" s="86" t="s">
        <v>6677</v>
      </c>
      <c r="H2722" s="55"/>
      <c r="I2722" s="54">
        <f t="shared" si="125"/>
        <v>0</v>
      </c>
      <c r="J2722" s="56"/>
      <c r="K2722" s="57"/>
      <c r="L2722" s="76"/>
      <c r="M2722" s="59"/>
      <c r="N2722" s="60"/>
      <c r="O2722" s="61">
        <v>27.9</v>
      </c>
      <c r="P2722" s="62">
        <v>30.132</v>
      </c>
      <c r="Q2722" s="63">
        <v>30.132</v>
      </c>
      <c r="R2722" s="64">
        <v>32.0</v>
      </c>
      <c r="S2722" s="107">
        <v>34.0</v>
      </c>
      <c r="T2722" s="65">
        <f t="shared" si="93"/>
        <v>5.44</v>
      </c>
      <c r="U2722" s="65">
        <f t="shared" si="94"/>
        <v>39.44</v>
      </c>
      <c r="V2722" s="66">
        <f t="shared" si="135"/>
        <v>0.0625</v>
      </c>
      <c r="W2722" s="67">
        <f t="shared" si="96"/>
        <v>32.3</v>
      </c>
      <c r="X2722" s="67">
        <f t="shared" si="132"/>
        <v>5.168</v>
      </c>
      <c r="Y2722" s="67">
        <f t="shared" si="133"/>
        <v>37.468</v>
      </c>
      <c r="Z2722" s="67">
        <f t="shared" si="99"/>
        <v>30.6</v>
      </c>
      <c r="AA2722" s="67">
        <f t="shared" si="114"/>
        <v>4.896</v>
      </c>
      <c r="AB2722" s="67">
        <f t="shared" si="115"/>
        <v>35.496</v>
      </c>
      <c r="AC2722" s="67">
        <f t="shared" si="102"/>
        <v>28.9</v>
      </c>
      <c r="AD2722" s="67">
        <f t="shared" si="116"/>
        <v>4.624</v>
      </c>
      <c r="AE2722" s="67">
        <f t="shared" si="117"/>
        <v>33.524</v>
      </c>
      <c r="AF2722" s="67">
        <f t="shared" si="105"/>
        <v>28.22</v>
      </c>
      <c r="AG2722" s="67">
        <f t="shared" si="118"/>
        <v>4.5152</v>
      </c>
      <c r="AH2722" s="67">
        <f t="shared" si="119"/>
        <v>32.7352</v>
      </c>
      <c r="AI2722" s="67">
        <f t="shared" si="108"/>
        <v>27.2</v>
      </c>
      <c r="AJ2722" s="68">
        <f t="shared" si="126"/>
        <v>4.352</v>
      </c>
      <c r="AK2722" s="68">
        <f t="shared" si="127"/>
        <v>31.552</v>
      </c>
      <c r="AL2722" s="70"/>
      <c r="AM2722" s="70"/>
      <c r="AN2722" s="71"/>
      <c r="AO2722" s="71"/>
      <c r="AP2722" s="71"/>
      <c r="AQ2722" s="71"/>
      <c r="AR2722" s="71"/>
      <c r="AS2722" s="71"/>
      <c r="AT2722" s="71"/>
      <c r="AU2722" s="71"/>
      <c r="AV2722" s="71"/>
      <c r="AW2722" s="71"/>
      <c r="AX2722" s="71"/>
      <c r="AY2722" s="71"/>
      <c r="AZ2722" s="71"/>
      <c r="BA2722" s="71"/>
      <c r="BB2722" s="71"/>
      <c r="BC2722" s="71"/>
      <c r="BD2722" s="71"/>
      <c r="BE2722" s="71"/>
      <c r="BF2722" s="71"/>
      <c r="BG2722" s="71"/>
      <c r="BH2722" s="71"/>
      <c r="BI2722" s="71"/>
      <c r="BJ2722" s="71"/>
      <c r="BK2722" s="71"/>
      <c r="BL2722" s="71"/>
      <c r="BM2722" s="71"/>
      <c r="BN2722" s="71"/>
      <c r="BO2722" s="71"/>
      <c r="BP2722" s="71"/>
      <c r="BQ2722" s="71"/>
      <c r="BR2722" s="71"/>
      <c r="BS2722" s="71"/>
      <c r="BT2722" s="71"/>
      <c r="BU2722" s="71"/>
      <c r="BV2722" s="71"/>
    </row>
    <row r="2723">
      <c r="A2723" s="53"/>
      <c r="B2723" s="53"/>
      <c r="C2723" s="53" t="s">
        <v>36</v>
      </c>
      <c r="D2723" s="85" t="s">
        <v>6678</v>
      </c>
      <c r="E2723" s="54" t="s">
        <v>38</v>
      </c>
      <c r="F2723" s="55" t="s">
        <v>39</v>
      </c>
      <c r="G2723" s="86" t="s">
        <v>6679</v>
      </c>
      <c r="H2723" s="55"/>
      <c r="I2723" s="54">
        <f t="shared" si="125"/>
        <v>0</v>
      </c>
      <c r="J2723" s="56"/>
      <c r="K2723" s="57"/>
      <c r="L2723" s="76"/>
      <c r="M2723" s="59"/>
      <c r="N2723" s="60"/>
      <c r="O2723" s="61">
        <v>172.8</v>
      </c>
      <c r="P2723" s="62">
        <v>186.62400000000002</v>
      </c>
      <c r="Q2723" s="63">
        <v>186.62400000000002</v>
      </c>
      <c r="R2723" s="64">
        <v>197.0</v>
      </c>
      <c r="S2723" s="107">
        <v>207.0</v>
      </c>
      <c r="T2723" s="65">
        <f t="shared" si="93"/>
        <v>33.12</v>
      </c>
      <c r="U2723" s="65">
        <f t="shared" si="94"/>
        <v>240.12</v>
      </c>
      <c r="V2723" s="66">
        <f t="shared" si="135"/>
        <v>0.05076142132</v>
      </c>
      <c r="W2723" s="67">
        <f t="shared" si="96"/>
        <v>196.65</v>
      </c>
      <c r="X2723" s="67">
        <f t="shared" si="132"/>
        <v>31.464</v>
      </c>
      <c r="Y2723" s="67">
        <f t="shared" si="133"/>
        <v>228.114</v>
      </c>
      <c r="Z2723" s="67">
        <f t="shared" si="99"/>
        <v>186.3</v>
      </c>
      <c r="AA2723" s="67">
        <f t="shared" si="114"/>
        <v>29.808</v>
      </c>
      <c r="AB2723" s="67">
        <f t="shared" si="115"/>
        <v>216.108</v>
      </c>
      <c r="AC2723" s="67">
        <f t="shared" si="102"/>
        <v>175.95</v>
      </c>
      <c r="AD2723" s="67">
        <f t="shared" si="116"/>
        <v>28.152</v>
      </c>
      <c r="AE2723" s="67">
        <f t="shared" si="117"/>
        <v>204.102</v>
      </c>
      <c r="AF2723" s="67">
        <f t="shared" si="105"/>
        <v>171.81</v>
      </c>
      <c r="AG2723" s="67">
        <f t="shared" si="118"/>
        <v>27.4896</v>
      </c>
      <c r="AH2723" s="67">
        <f t="shared" si="119"/>
        <v>199.2996</v>
      </c>
      <c r="AI2723" s="67">
        <f t="shared" si="108"/>
        <v>165.6</v>
      </c>
      <c r="AJ2723" s="68">
        <f t="shared" si="126"/>
        <v>26.496</v>
      </c>
      <c r="AK2723" s="68">
        <f t="shared" si="127"/>
        <v>192.096</v>
      </c>
      <c r="AL2723" s="70"/>
      <c r="AM2723" s="70"/>
      <c r="AN2723" s="71"/>
      <c r="AO2723" s="71"/>
      <c r="AP2723" s="71"/>
      <c r="AQ2723" s="71"/>
      <c r="AR2723" s="71"/>
      <c r="AS2723" s="71"/>
      <c r="AT2723" s="71"/>
      <c r="AU2723" s="71"/>
      <c r="AV2723" s="71"/>
      <c r="AW2723" s="71"/>
      <c r="AX2723" s="71"/>
      <c r="AY2723" s="71"/>
      <c r="AZ2723" s="71"/>
      <c r="BA2723" s="71"/>
      <c r="BB2723" s="71"/>
      <c r="BC2723" s="71"/>
      <c r="BD2723" s="71"/>
      <c r="BE2723" s="71"/>
      <c r="BF2723" s="71"/>
      <c r="BG2723" s="71"/>
      <c r="BH2723" s="71"/>
      <c r="BI2723" s="71"/>
      <c r="BJ2723" s="71"/>
      <c r="BK2723" s="71"/>
      <c r="BL2723" s="71"/>
      <c r="BM2723" s="71"/>
      <c r="BN2723" s="71"/>
      <c r="BO2723" s="71"/>
      <c r="BP2723" s="71"/>
      <c r="BQ2723" s="71"/>
      <c r="BR2723" s="71"/>
      <c r="BS2723" s="71"/>
      <c r="BT2723" s="71"/>
      <c r="BU2723" s="71"/>
      <c r="BV2723" s="71"/>
    </row>
    <row r="2724">
      <c r="A2724" s="53"/>
      <c r="B2724" s="53"/>
      <c r="C2724" s="53" t="s">
        <v>36</v>
      </c>
      <c r="D2724" s="85" t="s">
        <v>6680</v>
      </c>
      <c r="E2724" s="54" t="s">
        <v>38</v>
      </c>
      <c r="F2724" s="55" t="s">
        <v>39</v>
      </c>
      <c r="G2724" s="86" t="s">
        <v>6681</v>
      </c>
      <c r="H2724" s="55"/>
      <c r="I2724" s="54">
        <f t="shared" si="125"/>
        <v>0</v>
      </c>
      <c r="J2724" s="56"/>
      <c r="K2724" s="57"/>
      <c r="L2724" s="76"/>
      <c r="M2724" s="59"/>
      <c r="N2724" s="60"/>
      <c r="O2724" s="61">
        <v>364.8</v>
      </c>
      <c r="P2724" s="62">
        <v>393.98400000000004</v>
      </c>
      <c r="Q2724" s="63">
        <v>393.98400000000004</v>
      </c>
      <c r="R2724" s="64">
        <v>414.0</v>
      </c>
      <c r="S2724" s="107">
        <v>435.0</v>
      </c>
      <c r="T2724" s="65">
        <f t="shared" si="93"/>
        <v>69.6</v>
      </c>
      <c r="U2724" s="65">
        <f t="shared" si="94"/>
        <v>504.6</v>
      </c>
      <c r="V2724" s="66">
        <f t="shared" si="135"/>
        <v>0.05072463768</v>
      </c>
      <c r="W2724" s="67">
        <f t="shared" si="96"/>
        <v>413.25</v>
      </c>
      <c r="X2724" s="67">
        <f t="shared" si="132"/>
        <v>66.12</v>
      </c>
      <c r="Y2724" s="67">
        <f t="shared" si="133"/>
        <v>479.37</v>
      </c>
      <c r="Z2724" s="67">
        <f t="shared" si="99"/>
        <v>391.5</v>
      </c>
      <c r="AA2724" s="67">
        <f t="shared" si="114"/>
        <v>62.64</v>
      </c>
      <c r="AB2724" s="67">
        <f t="shared" si="115"/>
        <v>454.14</v>
      </c>
      <c r="AC2724" s="67">
        <f t="shared" si="102"/>
        <v>369.75</v>
      </c>
      <c r="AD2724" s="67">
        <f t="shared" si="116"/>
        <v>59.16</v>
      </c>
      <c r="AE2724" s="67">
        <f t="shared" si="117"/>
        <v>428.91</v>
      </c>
      <c r="AF2724" s="67">
        <f t="shared" si="105"/>
        <v>361.05</v>
      </c>
      <c r="AG2724" s="67">
        <f t="shared" si="118"/>
        <v>57.768</v>
      </c>
      <c r="AH2724" s="67">
        <f t="shared" si="119"/>
        <v>418.818</v>
      </c>
      <c r="AI2724" s="67">
        <f t="shared" si="108"/>
        <v>348</v>
      </c>
      <c r="AJ2724" s="68">
        <f t="shared" si="126"/>
        <v>55.68</v>
      </c>
      <c r="AK2724" s="68">
        <f t="shared" si="127"/>
        <v>403.68</v>
      </c>
      <c r="AL2724" s="70"/>
      <c r="AM2724" s="70"/>
      <c r="AN2724" s="71"/>
      <c r="AO2724" s="71"/>
      <c r="AP2724" s="71"/>
      <c r="AQ2724" s="71"/>
      <c r="AR2724" s="71"/>
      <c r="AS2724" s="71"/>
      <c r="AT2724" s="71"/>
      <c r="AU2724" s="71"/>
      <c r="AV2724" s="71"/>
      <c r="AW2724" s="71"/>
      <c r="AX2724" s="71"/>
      <c r="AY2724" s="71"/>
      <c r="AZ2724" s="71"/>
      <c r="BA2724" s="71"/>
      <c r="BB2724" s="71"/>
      <c r="BC2724" s="71"/>
      <c r="BD2724" s="71"/>
      <c r="BE2724" s="71"/>
      <c r="BF2724" s="71"/>
      <c r="BG2724" s="71"/>
      <c r="BH2724" s="71"/>
      <c r="BI2724" s="71"/>
      <c r="BJ2724" s="71"/>
      <c r="BK2724" s="71"/>
      <c r="BL2724" s="71"/>
      <c r="BM2724" s="71"/>
      <c r="BN2724" s="71"/>
      <c r="BO2724" s="71"/>
      <c r="BP2724" s="71"/>
      <c r="BQ2724" s="71"/>
      <c r="BR2724" s="71"/>
      <c r="BS2724" s="71"/>
      <c r="BT2724" s="71"/>
      <c r="BU2724" s="71"/>
      <c r="BV2724" s="71"/>
    </row>
    <row r="2725">
      <c r="A2725" s="53"/>
      <c r="B2725" s="53"/>
      <c r="C2725" s="53" t="s">
        <v>36</v>
      </c>
      <c r="D2725" s="85" t="s">
        <v>6682</v>
      </c>
      <c r="E2725" s="54" t="s">
        <v>38</v>
      </c>
      <c r="F2725" s="55" t="s">
        <v>39</v>
      </c>
      <c r="G2725" s="86" t="s">
        <v>6683</v>
      </c>
      <c r="H2725" s="55"/>
      <c r="I2725" s="54">
        <f t="shared" si="125"/>
        <v>0</v>
      </c>
      <c r="J2725" s="56"/>
      <c r="K2725" s="57"/>
      <c r="L2725" s="76"/>
      <c r="M2725" s="59"/>
      <c r="N2725" s="60"/>
      <c r="O2725" s="61">
        <v>278.4</v>
      </c>
      <c r="P2725" s="62">
        <v>300.67199999999997</v>
      </c>
      <c r="Q2725" s="63">
        <v>300.67199999999997</v>
      </c>
      <c r="R2725" s="64">
        <v>317.0</v>
      </c>
      <c r="S2725" s="107">
        <v>333.0</v>
      </c>
      <c r="T2725" s="65">
        <f t="shared" si="93"/>
        <v>53.28</v>
      </c>
      <c r="U2725" s="65">
        <f t="shared" si="94"/>
        <v>386.28</v>
      </c>
      <c r="V2725" s="66">
        <f t="shared" si="135"/>
        <v>0.05047318612</v>
      </c>
      <c r="W2725" s="67">
        <f t="shared" si="96"/>
        <v>316.35</v>
      </c>
      <c r="X2725" s="67">
        <f t="shared" si="132"/>
        <v>50.616</v>
      </c>
      <c r="Y2725" s="67">
        <f t="shared" si="133"/>
        <v>366.966</v>
      </c>
      <c r="Z2725" s="67">
        <f t="shared" si="99"/>
        <v>299.7</v>
      </c>
      <c r="AA2725" s="67">
        <f t="shared" si="114"/>
        <v>47.952</v>
      </c>
      <c r="AB2725" s="67">
        <f t="shared" si="115"/>
        <v>347.652</v>
      </c>
      <c r="AC2725" s="67">
        <f t="shared" si="102"/>
        <v>283.05</v>
      </c>
      <c r="AD2725" s="67">
        <f t="shared" si="116"/>
        <v>45.288</v>
      </c>
      <c r="AE2725" s="67">
        <f t="shared" si="117"/>
        <v>328.338</v>
      </c>
      <c r="AF2725" s="67">
        <f t="shared" si="105"/>
        <v>276.39</v>
      </c>
      <c r="AG2725" s="67">
        <f t="shared" si="118"/>
        <v>44.2224</v>
      </c>
      <c r="AH2725" s="67">
        <f t="shared" si="119"/>
        <v>320.6124</v>
      </c>
      <c r="AI2725" s="67">
        <f t="shared" si="108"/>
        <v>266.4</v>
      </c>
      <c r="AJ2725" s="68">
        <f t="shared" si="126"/>
        <v>42.624</v>
      </c>
      <c r="AK2725" s="68">
        <f t="shared" si="127"/>
        <v>309.024</v>
      </c>
      <c r="AL2725" s="70"/>
      <c r="AM2725" s="70"/>
      <c r="AN2725" s="71"/>
      <c r="AO2725" s="71"/>
      <c r="AP2725" s="71"/>
      <c r="AQ2725" s="71"/>
      <c r="AR2725" s="71"/>
      <c r="AS2725" s="71"/>
      <c r="AT2725" s="71"/>
      <c r="AU2725" s="71"/>
      <c r="AV2725" s="71"/>
      <c r="AW2725" s="71"/>
      <c r="AX2725" s="71"/>
      <c r="AY2725" s="71"/>
      <c r="AZ2725" s="71"/>
      <c r="BA2725" s="71"/>
      <c r="BB2725" s="71"/>
      <c r="BC2725" s="71"/>
      <c r="BD2725" s="71"/>
      <c r="BE2725" s="71"/>
      <c r="BF2725" s="71"/>
      <c r="BG2725" s="71"/>
      <c r="BH2725" s="71"/>
      <c r="BI2725" s="71"/>
      <c r="BJ2725" s="71"/>
      <c r="BK2725" s="71"/>
      <c r="BL2725" s="71"/>
      <c r="BM2725" s="71"/>
      <c r="BN2725" s="71"/>
      <c r="BO2725" s="71"/>
      <c r="BP2725" s="71"/>
      <c r="BQ2725" s="71"/>
      <c r="BR2725" s="71"/>
      <c r="BS2725" s="71"/>
      <c r="BT2725" s="71"/>
      <c r="BU2725" s="71"/>
      <c r="BV2725" s="71"/>
    </row>
    <row r="2726">
      <c r="A2726" s="53"/>
      <c r="B2726" s="53"/>
      <c r="C2726" s="53" t="s">
        <v>36</v>
      </c>
      <c r="D2726" s="85" t="s">
        <v>6684</v>
      </c>
      <c r="E2726" s="54" t="s">
        <v>38</v>
      </c>
      <c r="F2726" s="55" t="s">
        <v>39</v>
      </c>
      <c r="G2726" s="86" t="s">
        <v>6685</v>
      </c>
      <c r="H2726" s="55"/>
      <c r="I2726" s="54">
        <f t="shared" si="125"/>
        <v>0</v>
      </c>
      <c r="J2726" s="56"/>
      <c r="K2726" s="57"/>
      <c r="L2726" s="76"/>
      <c r="M2726" s="59"/>
      <c r="N2726" s="60"/>
      <c r="O2726" s="61">
        <v>44.16</v>
      </c>
      <c r="P2726" s="62">
        <v>47.6928</v>
      </c>
      <c r="Q2726" s="63">
        <v>47.6928</v>
      </c>
      <c r="R2726" s="64">
        <v>51.0</v>
      </c>
      <c r="S2726" s="107">
        <v>54.0</v>
      </c>
      <c r="T2726" s="65">
        <f t="shared" si="93"/>
        <v>8.64</v>
      </c>
      <c r="U2726" s="65">
        <f t="shared" si="94"/>
        <v>62.64</v>
      </c>
      <c r="V2726" s="66">
        <f t="shared" si="135"/>
        <v>0.05882352941</v>
      </c>
      <c r="W2726" s="67">
        <f t="shared" si="96"/>
        <v>51.3</v>
      </c>
      <c r="X2726" s="67">
        <f t="shared" si="132"/>
        <v>8.208</v>
      </c>
      <c r="Y2726" s="67">
        <f t="shared" si="133"/>
        <v>59.508</v>
      </c>
      <c r="Z2726" s="67">
        <f t="shared" si="99"/>
        <v>48.6</v>
      </c>
      <c r="AA2726" s="67">
        <f t="shared" si="114"/>
        <v>7.776</v>
      </c>
      <c r="AB2726" s="67">
        <f t="shared" si="115"/>
        <v>56.376</v>
      </c>
      <c r="AC2726" s="67">
        <f t="shared" si="102"/>
        <v>45.9</v>
      </c>
      <c r="AD2726" s="67">
        <f t="shared" si="116"/>
        <v>7.344</v>
      </c>
      <c r="AE2726" s="67">
        <f t="shared" si="117"/>
        <v>53.244</v>
      </c>
      <c r="AF2726" s="67">
        <f t="shared" si="105"/>
        <v>44.82</v>
      </c>
      <c r="AG2726" s="67">
        <f t="shared" si="118"/>
        <v>7.1712</v>
      </c>
      <c r="AH2726" s="67">
        <f t="shared" si="119"/>
        <v>51.9912</v>
      </c>
      <c r="AI2726" s="67">
        <f t="shared" si="108"/>
        <v>43.2</v>
      </c>
      <c r="AJ2726" s="68">
        <f t="shared" si="126"/>
        <v>6.912</v>
      </c>
      <c r="AK2726" s="68">
        <f t="shared" si="127"/>
        <v>50.112</v>
      </c>
      <c r="AL2726" s="70"/>
      <c r="AM2726" s="70"/>
      <c r="AN2726" s="71"/>
      <c r="AO2726" s="71"/>
      <c r="AP2726" s="71"/>
      <c r="AQ2726" s="71"/>
      <c r="AR2726" s="71"/>
      <c r="AS2726" s="71"/>
      <c r="AT2726" s="71"/>
      <c r="AU2726" s="71"/>
      <c r="AV2726" s="71"/>
      <c r="AW2726" s="71"/>
      <c r="AX2726" s="71"/>
      <c r="AY2726" s="71"/>
      <c r="AZ2726" s="71"/>
      <c r="BA2726" s="71"/>
      <c r="BB2726" s="71"/>
      <c r="BC2726" s="71"/>
      <c r="BD2726" s="71"/>
      <c r="BE2726" s="71"/>
      <c r="BF2726" s="71"/>
      <c r="BG2726" s="71"/>
      <c r="BH2726" s="71"/>
      <c r="BI2726" s="71"/>
      <c r="BJ2726" s="71"/>
      <c r="BK2726" s="71"/>
      <c r="BL2726" s="71"/>
      <c r="BM2726" s="71"/>
      <c r="BN2726" s="71"/>
      <c r="BO2726" s="71"/>
      <c r="BP2726" s="71"/>
      <c r="BQ2726" s="71"/>
      <c r="BR2726" s="71"/>
      <c r="BS2726" s="71"/>
      <c r="BT2726" s="71"/>
      <c r="BU2726" s="71"/>
      <c r="BV2726" s="71"/>
    </row>
    <row r="2727">
      <c r="A2727" s="53">
        <v>1.0</v>
      </c>
      <c r="B2727" s="53"/>
      <c r="C2727" s="73" t="s">
        <v>12</v>
      </c>
      <c r="D2727" s="74" t="s">
        <v>6686</v>
      </c>
      <c r="E2727" s="54" t="s">
        <v>38</v>
      </c>
      <c r="F2727" s="54" t="s">
        <v>42</v>
      </c>
      <c r="G2727" s="88" t="s">
        <v>6687</v>
      </c>
      <c r="H2727" s="54" t="s">
        <v>6687</v>
      </c>
      <c r="I2727" s="54">
        <f t="shared" si="125"/>
        <v>19</v>
      </c>
      <c r="J2727" s="56"/>
      <c r="K2727" s="57"/>
      <c r="L2727" s="87"/>
      <c r="M2727" s="59"/>
      <c r="N2727" s="60">
        <v>1.0</v>
      </c>
      <c r="O2727" s="61">
        <v>4.0</v>
      </c>
      <c r="P2727" s="62">
        <v>4.32</v>
      </c>
      <c r="Q2727" s="63">
        <v>4.32</v>
      </c>
      <c r="R2727" s="78">
        <v>1.0</v>
      </c>
      <c r="S2727" s="111">
        <v>1.05</v>
      </c>
      <c r="T2727" s="65">
        <f t="shared" si="93"/>
        <v>0.168</v>
      </c>
      <c r="U2727" s="65">
        <f t="shared" si="94"/>
        <v>1.218</v>
      </c>
      <c r="V2727" s="66">
        <f t="shared" si="135"/>
        <v>0.05</v>
      </c>
      <c r="W2727" s="67">
        <f t="shared" si="96"/>
        <v>0.9975</v>
      </c>
      <c r="X2727" s="67">
        <f t="shared" si="132"/>
        <v>0.1596</v>
      </c>
      <c r="Y2727" s="67">
        <f t="shared" si="133"/>
        <v>1.1571</v>
      </c>
      <c r="Z2727" s="67">
        <f t="shared" si="99"/>
        <v>0.945</v>
      </c>
      <c r="AA2727" s="67">
        <f t="shared" si="114"/>
        <v>0.1512</v>
      </c>
      <c r="AB2727" s="67">
        <f t="shared" si="115"/>
        <v>1.0962</v>
      </c>
      <c r="AC2727" s="67">
        <f t="shared" si="102"/>
        <v>0.8925</v>
      </c>
      <c r="AD2727" s="67">
        <f t="shared" si="116"/>
        <v>0.1428</v>
      </c>
      <c r="AE2727" s="67">
        <f t="shared" si="117"/>
        <v>1.0353</v>
      </c>
      <c r="AF2727" s="67">
        <f t="shared" si="105"/>
        <v>0.8715</v>
      </c>
      <c r="AG2727" s="67">
        <f t="shared" si="118"/>
        <v>0.13944</v>
      </c>
      <c r="AH2727" s="67">
        <f t="shared" si="119"/>
        <v>1.01094</v>
      </c>
      <c r="AI2727" s="67">
        <f t="shared" si="108"/>
        <v>0.84</v>
      </c>
      <c r="AJ2727" s="68">
        <f t="shared" si="126"/>
        <v>0.1344</v>
      </c>
      <c r="AK2727" s="68">
        <f t="shared" si="127"/>
        <v>0.9744</v>
      </c>
      <c r="AL2727" s="70"/>
      <c r="AM2727" s="70"/>
      <c r="AN2727" s="71"/>
      <c r="AO2727" s="71"/>
      <c r="AP2727" s="71"/>
      <c r="AQ2727" s="71"/>
      <c r="AR2727" s="71"/>
      <c r="AS2727" s="71"/>
      <c r="AT2727" s="71"/>
      <c r="AU2727" s="71"/>
      <c r="AV2727" s="71"/>
      <c r="AW2727" s="71"/>
      <c r="AX2727" s="71"/>
      <c r="AY2727" s="71"/>
      <c r="AZ2727" s="71"/>
      <c r="BA2727" s="71"/>
      <c r="BB2727" s="71"/>
      <c r="BC2727" s="71"/>
      <c r="BD2727" s="71"/>
      <c r="BE2727" s="71"/>
      <c r="BF2727" s="71"/>
      <c r="BG2727" s="71"/>
      <c r="BH2727" s="71"/>
      <c r="BI2727" s="71"/>
      <c r="BJ2727" s="71"/>
      <c r="BK2727" s="71"/>
      <c r="BL2727" s="71"/>
      <c r="BM2727" s="71"/>
      <c r="BN2727" s="71"/>
      <c r="BO2727" s="71"/>
      <c r="BP2727" s="71"/>
      <c r="BQ2727" s="71"/>
      <c r="BR2727" s="71"/>
      <c r="BS2727" s="71"/>
      <c r="BT2727" s="71"/>
      <c r="BU2727" s="71"/>
      <c r="BV2727" s="71"/>
    </row>
    <row r="2728">
      <c r="A2728" s="53">
        <v>1.0</v>
      </c>
      <c r="B2728" s="53"/>
      <c r="C2728" s="73" t="s">
        <v>12</v>
      </c>
      <c r="D2728" s="74" t="s">
        <v>6688</v>
      </c>
      <c r="E2728" s="54" t="s">
        <v>38</v>
      </c>
      <c r="F2728" s="54" t="s">
        <v>42</v>
      </c>
      <c r="G2728" s="55" t="s">
        <v>6689</v>
      </c>
      <c r="H2728" s="54" t="s">
        <v>6690</v>
      </c>
      <c r="I2728" s="54">
        <f t="shared" si="125"/>
        <v>24</v>
      </c>
      <c r="J2728" s="56"/>
      <c r="K2728" s="57"/>
      <c r="L2728" s="87"/>
      <c r="M2728" s="59"/>
      <c r="N2728" s="60">
        <v>4.0</v>
      </c>
      <c r="O2728" s="61">
        <v>4.0</v>
      </c>
      <c r="P2728" s="62">
        <v>4.32</v>
      </c>
      <c r="Q2728" s="63">
        <v>4.32</v>
      </c>
      <c r="R2728" s="78">
        <v>5.0</v>
      </c>
      <c r="S2728" s="111">
        <v>5.25</v>
      </c>
      <c r="T2728" s="65">
        <f t="shared" si="93"/>
        <v>0.84</v>
      </c>
      <c r="U2728" s="65">
        <f t="shared" si="94"/>
        <v>6.09</v>
      </c>
      <c r="V2728" s="66">
        <f t="shared" si="135"/>
        <v>0.05</v>
      </c>
      <c r="W2728" s="67">
        <f t="shared" si="96"/>
        <v>4.9875</v>
      </c>
      <c r="X2728" s="67">
        <f t="shared" si="132"/>
        <v>0.798</v>
      </c>
      <c r="Y2728" s="67">
        <f t="shared" si="133"/>
        <v>5.7855</v>
      </c>
      <c r="Z2728" s="67">
        <f t="shared" si="99"/>
        <v>4.725</v>
      </c>
      <c r="AA2728" s="67">
        <f t="shared" si="114"/>
        <v>0.756</v>
      </c>
      <c r="AB2728" s="67">
        <f t="shared" si="115"/>
        <v>5.481</v>
      </c>
      <c r="AC2728" s="67">
        <f t="shared" si="102"/>
        <v>4.4625</v>
      </c>
      <c r="AD2728" s="67">
        <f t="shared" si="116"/>
        <v>0.714</v>
      </c>
      <c r="AE2728" s="67">
        <f t="shared" si="117"/>
        <v>5.1765</v>
      </c>
      <c r="AF2728" s="67">
        <f t="shared" si="105"/>
        <v>4.3575</v>
      </c>
      <c r="AG2728" s="67">
        <f t="shared" si="118"/>
        <v>0.6972</v>
      </c>
      <c r="AH2728" s="67">
        <f t="shared" si="119"/>
        <v>5.0547</v>
      </c>
      <c r="AI2728" s="67">
        <f t="shared" si="108"/>
        <v>4.2</v>
      </c>
      <c r="AJ2728" s="68">
        <f t="shared" si="126"/>
        <v>0.672</v>
      </c>
      <c r="AK2728" s="68">
        <f t="shared" si="127"/>
        <v>4.872</v>
      </c>
      <c r="AL2728" s="70"/>
      <c r="AM2728" s="70"/>
      <c r="AN2728" s="71"/>
      <c r="AO2728" s="71"/>
      <c r="AP2728" s="71"/>
      <c r="AQ2728" s="71"/>
      <c r="AR2728" s="71"/>
      <c r="AS2728" s="71"/>
      <c r="AT2728" s="71"/>
      <c r="AU2728" s="71"/>
      <c r="AV2728" s="71"/>
      <c r="AW2728" s="71"/>
      <c r="AX2728" s="71"/>
      <c r="AY2728" s="71"/>
      <c r="AZ2728" s="71"/>
      <c r="BA2728" s="71"/>
      <c r="BB2728" s="71"/>
      <c r="BC2728" s="71"/>
      <c r="BD2728" s="71"/>
      <c r="BE2728" s="71"/>
      <c r="BF2728" s="71"/>
      <c r="BG2728" s="71"/>
      <c r="BH2728" s="71"/>
      <c r="BI2728" s="71"/>
      <c r="BJ2728" s="71"/>
      <c r="BK2728" s="71"/>
      <c r="BL2728" s="71"/>
      <c r="BM2728" s="71"/>
      <c r="BN2728" s="71"/>
      <c r="BO2728" s="71"/>
      <c r="BP2728" s="71"/>
      <c r="BQ2728" s="71"/>
      <c r="BR2728" s="71"/>
      <c r="BS2728" s="71"/>
      <c r="BT2728" s="71"/>
      <c r="BU2728" s="71"/>
      <c r="BV2728" s="71"/>
    </row>
    <row r="2729">
      <c r="A2729" s="53">
        <v>1.0</v>
      </c>
      <c r="B2729" s="53"/>
      <c r="C2729" s="73" t="s">
        <v>12</v>
      </c>
      <c r="D2729" s="74" t="s">
        <v>6691</v>
      </c>
      <c r="E2729" s="54" t="s">
        <v>38</v>
      </c>
      <c r="F2729" s="54" t="s">
        <v>42</v>
      </c>
      <c r="G2729" s="88" t="s">
        <v>6692</v>
      </c>
      <c r="H2729" s="54" t="s">
        <v>6693</v>
      </c>
      <c r="I2729" s="54">
        <f t="shared" si="125"/>
        <v>15</v>
      </c>
      <c r="J2729" s="56"/>
      <c r="K2729" s="57"/>
      <c r="L2729" s="87"/>
      <c r="M2729" s="59"/>
      <c r="N2729" s="60">
        <v>13.0</v>
      </c>
      <c r="O2729" s="61">
        <v>14.0</v>
      </c>
      <c r="P2729" s="62">
        <v>15.120000000000001</v>
      </c>
      <c r="Q2729" s="63">
        <v>15.120000000000001</v>
      </c>
      <c r="R2729" s="64">
        <v>18.0</v>
      </c>
      <c r="S2729" s="111">
        <v>18.900000000000002</v>
      </c>
      <c r="T2729" s="65">
        <f t="shared" si="93"/>
        <v>3.024</v>
      </c>
      <c r="U2729" s="65">
        <f t="shared" si="94"/>
        <v>21.924</v>
      </c>
      <c r="V2729" s="66">
        <f t="shared" si="135"/>
        <v>0.05</v>
      </c>
      <c r="W2729" s="67">
        <f t="shared" si="96"/>
        <v>17.955</v>
      </c>
      <c r="X2729" s="67">
        <f t="shared" si="132"/>
        <v>2.8728</v>
      </c>
      <c r="Y2729" s="67">
        <f t="shared" si="133"/>
        <v>20.8278</v>
      </c>
      <c r="Z2729" s="67">
        <f t="shared" si="99"/>
        <v>17.01</v>
      </c>
      <c r="AA2729" s="67">
        <f t="shared" si="114"/>
        <v>2.7216</v>
      </c>
      <c r="AB2729" s="67">
        <f t="shared" si="115"/>
        <v>19.7316</v>
      </c>
      <c r="AC2729" s="67">
        <f t="shared" si="102"/>
        <v>16.065</v>
      </c>
      <c r="AD2729" s="67">
        <f t="shared" si="116"/>
        <v>2.5704</v>
      </c>
      <c r="AE2729" s="67">
        <f t="shared" si="117"/>
        <v>18.6354</v>
      </c>
      <c r="AF2729" s="67">
        <f t="shared" si="105"/>
        <v>15.687</v>
      </c>
      <c r="AG2729" s="67">
        <f t="shared" si="118"/>
        <v>2.50992</v>
      </c>
      <c r="AH2729" s="67">
        <f t="shared" si="119"/>
        <v>18.19692</v>
      </c>
      <c r="AI2729" s="67">
        <f t="shared" si="108"/>
        <v>15.12</v>
      </c>
      <c r="AJ2729" s="68">
        <f t="shared" si="126"/>
        <v>2.4192</v>
      </c>
      <c r="AK2729" s="68">
        <f t="shared" si="127"/>
        <v>17.5392</v>
      </c>
      <c r="AL2729" s="70"/>
      <c r="AM2729" s="70"/>
      <c r="AN2729" s="71"/>
      <c r="AO2729" s="71"/>
      <c r="AP2729" s="71"/>
      <c r="AQ2729" s="71"/>
      <c r="AR2729" s="71"/>
      <c r="AS2729" s="71"/>
      <c r="AT2729" s="71"/>
      <c r="AU2729" s="71"/>
      <c r="AV2729" s="71"/>
      <c r="AW2729" s="71"/>
      <c r="AX2729" s="71"/>
      <c r="AY2729" s="71"/>
      <c r="AZ2729" s="71"/>
      <c r="BA2729" s="71"/>
      <c r="BB2729" s="71"/>
      <c r="BC2729" s="71"/>
      <c r="BD2729" s="71"/>
      <c r="BE2729" s="71"/>
      <c r="BF2729" s="71"/>
      <c r="BG2729" s="71"/>
      <c r="BH2729" s="71"/>
      <c r="BI2729" s="71"/>
      <c r="BJ2729" s="71"/>
      <c r="BK2729" s="71"/>
      <c r="BL2729" s="71"/>
      <c r="BM2729" s="71"/>
      <c r="BN2729" s="71"/>
      <c r="BO2729" s="71"/>
      <c r="BP2729" s="71"/>
      <c r="BQ2729" s="71"/>
      <c r="BR2729" s="71"/>
      <c r="BS2729" s="71"/>
      <c r="BT2729" s="71"/>
      <c r="BU2729" s="71"/>
      <c r="BV2729" s="71"/>
    </row>
    <row r="2730">
      <c r="A2730" s="53"/>
      <c r="B2730" s="53"/>
      <c r="C2730" s="53" t="s">
        <v>36</v>
      </c>
      <c r="D2730" s="85" t="s">
        <v>6694</v>
      </c>
      <c r="E2730" s="54" t="s">
        <v>38</v>
      </c>
      <c r="F2730" s="55" t="s">
        <v>39</v>
      </c>
      <c r="G2730" s="86" t="s">
        <v>6695</v>
      </c>
      <c r="H2730" s="55"/>
      <c r="I2730" s="54">
        <f t="shared" si="125"/>
        <v>0</v>
      </c>
      <c r="J2730" s="56"/>
      <c r="K2730" s="57"/>
      <c r="L2730" s="76"/>
      <c r="M2730" s="59"/>
      <c r="N2730" s="60"/>
      <c r="O2730" s="61">
        <v>13.44</v>
      </c>
      <c r="P2730" s="62">
        <v>14.5152</v>
      </c>
      <c r="Q2730" s="63">
        <v>14.5152</v>
      </c>
      <c r="R2730" s="64">
        <v>16.0</v>
      </c>
      <c r="S2730" s="107">
        <v>16.8</v>
      </c>
      <c r="T2730" s="65">
        <f t="shared" si="93"/>
        <v>2.688</v>
      </c>
      <c r="U2730" s="65">
        <f t="shared" si="94"/>
        <v>19.488</v>
      </c>
      <c r="V2730" s="66">
        <f t="shared" si="135"/>
        <v>0.05</v>
      </c>
      <c r="W2730" s="67">
        <f t="shared" si="96"/>
        <v>15.96</v>
      </c>
      <c r="X2730" s="67">
        <f t="shared" si="132"/>
        <v>2.5536</v>
      </c>
      <c r="Y2730" s="67">
        <f t="shared" si="133"/>
        <v>18.5136</v>
      </c>
      <c r="Z2730" s="67">
        <f t="shared" si="99"/>
        <v>15.12</v>
      </c>
      <c r="AA2730" s="67">
        <f t="shared" si="114"/>
        <v>2.4192</v>
      </c>
      <c r="AB2730" s="67">
        <f t="shared" si="115"/>
        <v>17.5392</v>
      </c>
      <c r="AC2730" s="67">
        <f t="shared" si="102"/>
        <v>14.28</v>
      </c>
      <c r="AD2730" s="67">
        <f t="shared" si="116"/>
        <v>2.2848</v>
      </c>
      <c r="AE2730" s="67">
        <f t="shared" si="117"/>
        <v>16.5648</v>
      </c>
      <c r="AF2730" s="67">
        <f t="shared" si="105"/>
        <v>13.944</v>
      </c>
      <c r="AG2730" s="67">
        <f t="shared" si="118"/>
        <v>2.23104</v>
      </c>
      <c r="AH2730" s="67">
        <f t="shared" si="119"/>
        <v>16.17504</v>
      </c>
      <c r="AI2730" s="67">
        <f t="shared" si="108"/>
        <v>13.44</v>
      </c>
      <c r="AJ2730" s="68">
        <f t="shared" si="126"/>
        <v>2.1504</v>
      </c>
      <c r="AK2730" s="68">
        <f t="shared" si="127"/>
        <v>15.5904</v>
      </c>
      <c r="AL2730" s="70"/>
      <c r="AM2730" s="70"/>
      <c r="AN2730" s="71"/>
      <c r="AO2730" s="71"/>
      <c r="AP2730" s="71"/>
      <c r="AQ2730" s="71"/>
      <c r="AR2730" s="71"/>
      <c r="AS2730" s="71"/>
      <c r="AT2730" s="71"/>
      <c r="AU2730" s="71"/>
      <c r="AV2730" s="71"/>
      <c r="AW2730" s="71"/>
      <c r="AX2730" s="71"/>
      <c r="AY2730" s="71"/>
      <c r="AZ2730" s="71"/>
      <c r="BA2730" s="71"/>
      <c r="BB2730" s="71"/>
      <c r="BC2730" s="71"/>
      <c r="BD2730" s="71"/>
      <c r="BE2730" s="71"/>
      <c r="BF2730" s="71"/>
      <c r="BG2730" s="71"/>
      <c r="BH2730" s="71"/>
      <c r="BI2730" s="71"/>
      <c r="BJ2730" s="71"/>
      <c r="BK2730" s="71"/>
      <c r="BL2730" s="71"/>
      <c r="BM2730" s="71"/>
      <c r="BN2730" s="71"/>
      <c r="BO2730" s="71"/>
      <c r="BP2730" s="71"/>
      <c r="BQ2730" s="71"/>
      <c r="BR2730" s="71"/>
      <c r="BS2730" s="71"/>
      <c r="BT2730" s="71"/>
      <c r="BU2730" s="71"/>
      <c r="BV2730" s="71"/>
    </row>
    <row r="2731">
      <c r="A2731" s="53">
        <v>1.0</v>
      </c>
      <c r="B2731" s="53"/>
      <c r="C2731" s="73" t="s">
        <v>12</v>
      </c>
      <c r="D2731" s="74" t="s">
        <v>6696</v>
      </c>
      <c r="E2731" s="54" t="s">
        <v>38</v>
      </c>
      <c r="F2731" s="54" t="s">
        <v>42</v>
      </c>
      <c r="G2731" s="55" t="s">
        <v>6697</v>
      </c>
      <c r="H2731" s="54" t="s">
        <v>6698</v>
      </c>
      <c r="I2731" s="54">
        <f t="shared" si="125"/>
        <v>25</v>
      </c>
      <c r="J2731" s="56"/>
      <c r="K2731" s="57"/>
      <c r="L2731" s="87"/>
      <c r="M2731" s="59"/>
      <c r="N2731" s="60">
        <v>29.0</v>
      </c>
      <c r="O2731" s="61">
        <v>29.0</v>
      </c>
      <c r="P2731" s="62">
        <v>31.32</v>
      </c>
      <c r="Q2731" s="63">
        <v>31.32</v>
      </c>
      <c r="R2731" s="64">
        <v>36.0</v>
      </c>
      <c r="S2731" s="111">
        <v>38.0</v>
      </c>
      <c r="T2731" s="65">
        <f t="shared" si="93"/>
        <v>6.08</v>
      </c>
      <c r="U2731" s="65">
        <f t="shared" si="94"/>
        <v>44.08</v>
      </c>
      <c r="V2731" s="66">
        <f t="shared" si="135"/>
        <v>0.05555555556</v>
      </c>
      <c r="W2731" s="67">
        <f t="shared" si="96"/>
        <v>36.1</v>
      </c>
      <c r="X2731" s="67">
        <f t="shared" si="132"/>
        <v>5.776</v>
      </c>
      <c r="Y2731" s="67">
        <f t="shared" si="133"/>
        <v>41.876</v>
      </c>
      <c r="Z2731" s="67">
        <f t="shared" si="99"/>
        <v>34.2</v>
      </c>
      <c r="AA2731" s="67">
        <f t="shared" si="114"/>
        <v>5.472</v>
      </c>
      <c r="AB2731" s="67">
        <f t="shared" si="115"/>
        <v>39.672</v>
      </c>
      <c r="AC2731" s="67">
        <f t="shared" si="102"/>
        <v>32.3</v>
      </c>
      <c r="AD2731" s="67">
        <f t="shared" si="116"/>
        <v>5.168</v>
      </c>
      <c r="AE2731" s="67">
        <f t="shared" si="117"/>
        <v>37.468</v>
      </c>
      <c r="AF2731" s="67">
        <f t="shared" si="105"/>
        <v>31.54</v>
      </c>
      <c r="AG2731" s="67">
        <f t="shared" si="118"/>
        <v>5.0464</v>
      </c>
      <c r="AH2731" s="67">
        <f t="shared" si="119"/>
        <v>36.5864</v>
      </c>
      <c r="AI2731" s="67">
        <f t="shared" si="108"/>
        <v>30.4</v>
      </c>
      <c r="AJ2731" s="68">
        <f t="shared" si="126"/>
        <v>4.864</v>
      </c>
      <c r="AK2731" s="68">
        <f t="shared" si="127"/>
        <v>35.264</v>
      </c>
      <c r="AL2731" s="70"/>
      <c r="AM2731" s="70"/>
      <c r="AN2731" s="71"/>
      <c r="AO2731" s="71"/>
      <c r="AP2731" s="71"/>
      <c r="AQ2731" s="71"/>
      <c r="AR2731" s="71"/>
      <c r="AS2731" s="71"/>
      <c r="AT2731" s="71"/>
      <c r="AU2731" s="71"/>
      <c r="AV2731" s="71"/>
      <c r="AW2731" s="71"/>
      <c r="AX2731" s="71"/>
      <c r="AY2731" s="71"/>
      <c r="AZ2731" s="71"/>
      <c r="BA2731" s="71"/>
      <c r="BB2731" s="71"/>
      <c r="BC2731" s="71"/>
      <c r="BD2731" s="71"/>
      <c r="BE2731" s="71"/>
      <c r="BF2731" s="71"/>
      <c r="BG2731" s="71"/>
      <c r="BH2731" s="71"/>
      <c r="BI2731" s="71"/>
      <c r="BJ2731" s="71"/>
      <c r="BK2731" s="71"/>
      <c r="BL2731" s="71"/>
      <c r="BM2731" s="71"/>
      <c r="BN2731" s="71"/>
      <c r="BO2731" s="71"/>
      <c r="BP2731" s="71"/>
      <c r="BQ2731" s="71"/>
      <c r="BR2731" s="71"/>
      <c r="BS2731" s="71"/>
      <c r="BT2731" s="71"/>
      <c r="BU2731" s="71"/>
      <c r="BV2731" s="71"/>
    </row>
    <row r="2732">
      <c r="A2732" s="53"/>
      <c r="B2732" s="53"/>
      <c r="C2732" s="53" t="s">
        <v>12</v>
      </c>
      <c r="D2732" s="53" t="s">
        <v>6699</v>
      </c>
      <c r="E2732" s="54" t="s">
        <v>38</v>
      </c>
      <c r="F2732" s="54" t="s">
        <v>42</v>
      </c>
      <c r="G2732" s="55" t="s">
        <v>6700</v>
      </c>
      <c r="H2732" s="54" t="s">
        <v>6700</v>
      </c>
      <c r="I2732" s="54">
        <f t="shared" si="125"/>
        <v>32</v>
      </c>
      <c r="J2732" s="56"/>
      <c r="K2732" s="57"/>
      <c r="L2732" s="76"/>
      <c r="M2732" s="59"/>
      <c r="N2732" s="79">
        <v>7.0</v>
      </c>
      <c r="O2732" s="61">
        <v>7.0</v>
      </c>
      <c r="P2732" s="63">
        <v>7.5600000000000005</v>
      </c>
      <c r="Q2732" s="63">
        <v>7.5600000000000005</v>
      </c>
      <c r="R2732" s="64">
        <v>8.0</v>
      </c>
      <c r="S2732" s="111">
        <v>8.4</v>
      </c>
      <c r="T2732" s="65">
        <f t="shared" si="93"/>
        <v>1.344</v>
      </c>
      <c r="U2732" s="65">
        <f t="shared" si="94"/>
        <v>9.744</v>
      </c>
      <c r="V2732" s="66">
        <f t="shared" si="135"/>
        <v>0.05</v>
      </c>
      <c r="W2732" s="67">
        <f t="shared" si="96"/>
        <v>7.98</v>
      </c>
      <c r="X2732" s="67">
        <f t="shared" si="132"/>
        <v>1.2768</v>
      </c>
      <c r="Y2732" s="67">
        <f t="shared" si="133"/>
        <v>9.2568</v>
      </c>
      <c r="Z2732" s="67">
        <f t="shared" si="99"/>
        <v>7.56</v>
      </c>
      <c r="AA2732" s="67">
        <f t="shared" si="114"/>
        <v>1.2096</v>
      </c>
      <c r="AB2732" s="67">
        <f t="shared" si="115"/>
        <v>8.7696</v>
      </c>
      <c r="AC2732" s="67">
        <f t="shared" si="102"/>
        <v>7.14</v>
      </c>
      <c r="AD2732" s="67">
        <f t="shared" si="116"/>
        <v>1.1424</v>
      </c>
      <c r="AE2732" s="67">
        <f t="shared" si="117"/>
        <v>8.2824</v>
      </c>
      <c r="AF2732" s="67">
        <f t="shared" si="105"/>
        <v>6.972</v>
      </c>
      <c r="AG2732" s="67">
        <f t="shared" si="118"/>
        <v>1.11552</v>
      </c>
      <c r="AH2732" s="67">
        <f t="shared" si="119"/>
        <v>8.08752</v>
      </c>
      <c r="AI2732" s="67">
        <f t="shared" si="108"/>
        <v>6.72</v>
      </c>
      <c r="AJ2732" s="68">
        <f t="shared" si="126"/>
        <v>1.0752</v>
      </c>
      <c r="AK2732" s="68">
        <f t="shared" si="127"/>
        <v>7.7952</v>
      </c>
      <c r="AL2732" s="70"/>
      <c r="AM2732" s="70"/>
      <c r="AN2732" s="71"/>
      <c r="AO2732" s="71"/>
      <c r="AP2732" s="71"/>
      <c r="AQ2732" s="71"/>
      <c r="AR2732" s="71"/>
      <c r="AS2732" s="71"/>
      <c r="AT2732" s="71"/>
      <c r="AU2732" s="71"/>
      <c r="AV2732" s="71"/>
      <c r="AW2732" s="71"/>
      <c r="AX2732" s="71"/>
      <c r="AY2732" s="71"/>
      <c r="AZ2732" s="71"/>
      <c r="BA2732" s="71"/>
      <c r="BB2732" s="71"/>
      <c r="BC2732" s="71"/>
      <c r="BD2732" s="71"/>
      <c r="BE2732" s="71"/>
      <c r="BF2732" s="71"/>
      <c r="BG2732" s="71"/>
      <c r="BH2732" s="71"/>
      <c r="BI2732" s="71"/>
      <c r="BJ2732" s="71"/>
      <c r="BK2732" s="71"/>
      <c r="BL2732" s="71"/>
      <c r="BM2732" s="71"/>
      <c r="BN2732" s="71"/>
      <c r="BO2732" s="71"/>
      <c r="BP2732" s="71"/>
      <c r="BQ2732" s="71"/>
      <c r="BR2732" s="71"/>
      <c r="BS2732" s="71"/>
      <c r="BT2732" s="71"/>
      <c r="BU2732" s="71"/>
      <c r="BV2732" s="71"/>
    </row>
    <row r="2733">
      <c r="A2733" s="53">
        <v>1.0</v>
      </c>
      <c r="B2733" s="53"/>
      <c r="C2733" s="73" t="s">
        <v>12</v>
      </c>
      <c r="D2733" s="74" t="s">
        <v>6701</v>
      </c>
      <c r="E2733" s="54" t="s">
        <v>38</v>
      </c>
      <c r="F2733" s="54" t="s">
        <v>42</v>
      </c>
      <c r="G2733" s="55" t="s">
        <v>6702</v>
      </c>
      <c r="H2733" s="54" t="s">
        <v>6703</v>
      </c>
      <c r="I2733" s="54">
        <f t="shared" si="125"/>
        <v>25</v>
      </c>
      <c r="J2733" s="56"/>
      <c r="K2733" s="57"/>
      <c r="L2733" s="87"/>
      <c r="M2733" s="59"/>
      <c r="N2733" s="60">
        <v>8.0</v>
      </c>
      <c r="O2733" s="61">
        <v>8.0</v>
      </c>
      <c r="P2733" s="62">
        <v>8.64</v>
      </c>
      <c r="Q2733" s="63">
        <v>8.64</v>
      </c>
      <c r="R2733" s="78">
        <v>10.0</v>
      </c>
      <c r="S2733" s="111">
        <v>10.5</v>
      </c>
      <c r="T2733" s="65">
        <f t="shared" si="93"/>
        <v>1.68</v>
      </c>
      <c r="U2733" s="65">
        <f t="shared" si="94"/>
        <v>12.18</v>
      </c>
      <c r="V2733" s="66">
        <f t="shared" si="135"/>
        <v>0.05</v>
      </c>
      <c r="W2733" s="67">
        <f t="shared" si="96"/>
        <v>9.975</v>
      </c>
      <c r="X2733" s="67">
        <f t="shared" si="132"/>
        <v>1.596</v>
      </c>
      <c r="Y2733" s="67">
        <f t="shared" si="133"/>
        <v>11.571</v>
      </c>
      <c r="Z2733" s="67">
        <f t="shared" si="99"/>
        <v>9.45</v>
      </c>
      <c r="AA2733" s="67">
        <f t="shared" si="114"/>
        <v>1.512</v>
      </c>
      <c r="AB2733" s="67">
        <f t="shared" si="115"/>
        <v>10.962</v>
      </c>
      <c r="AC2733" s="67">
        <f t="shared" si="102"/>
        <v>8.925</v>
      </c>
      <c r="AD2733" s="67">
        <f t="shared" si="116"/>
        <v>1.428</v>
      </c>
      <c r="AE2733" s="67">
        <f t="shared" si="117"/>
        <v>10.353</v>
      </c>
      <c r="AF2733" s="67">
        <f t="shared" si="105"/>
        <v>8.715</v>
      </c>
      <c r="AG2733" s="67">
        <f t="shared" si="118"/>
        <v>1.3944</v>
      </c>
      <c r="AH2733" s="67">
        <f t="shared" si="119"/>
        <v>10.1094</v>
      </c>
      <c r="AI2733" s="67">
        <f t="shared" si="108"/>
        <v>8.4</v>
      </c>
      <c r="AJ2733" s="68">
        <f t="shared" si="126"/>
        <v>1.344</v>
      </c>
      <c r="AK2733" s="68">
        <f t="shared" si="127"/>
        <v>9.744</v>
      </c>
      <c r="AL2733" s="70"/>
      <c r="AM2733" s="70"/>
      <c r="AN2733" s="71"/>
      <c r="AO2733" s="71"/>
      <c r="AP2733" s="71"/>
      <c r="AQ2733" s="71"/>
      <c r="AR2733" s="71"/>
      <c r="AS2733" s="71"/>
      <c r="AT2733" s="71"/>
      <c r="AU2733" s="71"/>
      <c r="AV2733" s="71"/>
      <c r="AW2733" s="71"/>
      <c r="AX2733" s="71"/>
      <c r="AY2733" s="71"/>
      <c r="AZ2733" s="71"/>
      <c r="BA2733" s="71"/>
      <c r="BB2733" s="71"/>
      <c r="BC2733" s="71"/>
      <c r="BD2733" s="71"/>
      <c r="BE2733" s="71"/>
      <c r="BF2733" s="71"/>
      <c r="BG2733" s="71"/>
      <c r="BH2733" s="71"/>
      <c r="BI2733" s="71"/>
      <c r="BJ2733" s="71"/>
      <c r="BK2733" s="71"/>
      <c r="BL2733" s="71"/>
      <c r="BM2733" s="71"/>
      <c r="BN2733" s="71"/>
      <c r="BO2733" s="71"/>
      <c r="BP2733" s="71"/>
      <c r="BQ2733" s="71"/>
      <c r="BR2733" s="71"/>
      <c r="BS2733" s="71"/>
      <c r="BT2733" s="71"/>
      <c r="BU2733" s="71"/>
      <c r="BV2733" s="71"/>
    </row>
    <row r="2734">
      <c r="A2734" s="53"/>
      <c r="B2734" s="53"/>
      <c r="C2734" s="53" t="s">
        <v>36</v>
      </c>
      <c r="D2734" s="85" t="s">
        <v>6704</v>
      </c>
      <c r="E2734" s="54" t="s">
        <v>38</v>
      </c>
      <c r="F2734" s="55" t="s">
        <v>39</v>
      </c>
      <c r="G2734" s="86" t="s">
        <v>6705</v>
      </c>
      <c r="H2734" s="55"/>
      <c r="I2734" s="54">
        <f t="shared" si="125"/>
        <v>0</v>
      </c>
      <c r="J2734" s="56"/>
      <c r="K2734" s="57"/>
      <c r="L2734" s="76"/>
      <c r="M2734" s="59"/>
      <c r="N2734" s="60"/>
      <c r="O2734" s="61">
        <v>21.12</v>
      </c>
      <c r="P2734" s="62">
        <v>22.809600000000003</v>
      </c>
      <c r="Q2734" s="63">
        <v>22.809600000000003</v>
      </c>
      <c r="R2734" s="64">
        <v>25.0</v>
      </c>
      <c r="S2734" s="107">
        <v>26.0</v>
      </c>
      <c r="T2734" s="65">
        <f t="shared" si="93"/>
        <v>4.16</v>
      </c>
      <c r="U2734" s="65">
        <f t="shared" si="94"/>
        <v>30.16</v>
      </c>
      <c r="V2734" s="66">
        <f t="shared" si="135"/>
        <v>0.04</v>
      </c>
      <c r="W2734" s="67">
        <f t="shared" si="96"/>
        <v>24.7</v>
      </c>
      <c r="X2734" s="67">
        <f t="shared" si="132"/>
        <v>3.952</v>
      </c>
      <c r="Y2734" s="67">
        <f t="shared" si="133"/>
        <v>28.652</v>
      </c>
      <c r="Z2734" s="67">
        <f t="shared" si="99"/>
        <v>23.4</v>
      </c>
      <c r="AA2734" s="67">
        <f t="shared" si="114"/>
        <v>3.744</v>
      </c>
      <c r="AB2734" s="67">
        <f t="shared" si="115"/>
        <v>27.144</v>
      </c>
      <c r="AC2734" s="67">
        <f t="shared" si="102"/>
        <v>22.1</v>
      </c>
      <c r="AD2734" s="67">
        <f t="shared" si="116"/>
        <v>3.536</v>
      </c>
      <c r="AE2734" s="67">
        <f t="shared" si="117"/>
        <v>25.636</v>
      </c>
      <c r="AF2734" s="67">
        <f t="shared" si="105"/>
        <v>21.58</v>
      </c>
      <c r="AG2734" s="67">
        <f t="shared" si="118"/>
        <v>3.4528</v>
      </c>
      <c r="AH2734" s="67">
        <f t="shared" si="119"/>
        <v>25.0328</v>
      </c>
      <c r="AI2734" s="67">
        <f t="shared" si="108"/>
        <v>20.8</v>
      </c>
      <c r="AJ2734" s="68">
        <f t="shared" si="126"/>
        <v>3.328</v>
      </c>
      <c r="AK2734" s="68">
        <f t="shared" si="127"/>
        <v>24.128</v>
      </c>
      <c r="AL2734" s="70"/>
      <c r="AM2734" s="70"/>
      <c r="AN2734" s="71"/>
      <c r="AO2734" s="71"/>
      <c r="AP2734" s="71"/>
      <c r="AQ2734" s="71"/>
      <c r="AR2734" s="71"/>
      <c r="AS2734" s="71"/>
      <c r="AT2734" s="71"/>
      <c r="AU2734" s="71"/>
      <c r="AV2734" s="71"/>
      <c r="AW2734" s="71"/>
      <c r="AX2734" s="71"/>
      <c r="AY2734" s="71"/>
      <c r="AZ2734" s="71"/>
      <c r="BA2734" s="71"/>
      <c r="BB2734" s="71"/>
      <c r="BC2734" s="71"/>
      <c r="BD2734" s="71"/>
      <c r="BE2734" s="71"/>
      <c r="BF2734" s="71"/>
      <c r="BG2734" s="71"/>
      <c r="BH2734" s="71"/>
      <c r="BI2734" s="71"/>
      <c r="BJ2734" s="71"/>
      <c r="BK2734" s="71"/>
      <c r="BL2734" s="71"/>
      <c r="BM2734" s="71"/>
      <c r="BN2734" s="71"/>
      <c r="BO2734" s="71"/>
      <c r="BP2734" s="71"/>
      <c r="BQ2734" s="71"/>
      <c r="BR2734" s="71"/>
      <c r="BS2734" s="71"/>
      <c r="BT2734" s="71"/>
      <c r="BU2734" s="71"/>
      <c r="BV2734" s="71"/>
    </row>
    <row r="2735">
      <c r="A2735" s="53">
        <v>1.0</v>
      </c>
      <c r="B2735" s="53"/>
      <c r="C2735" s="73" t="s">
        <v>12</v>
      </c>
      <c r="D2735" s="74" t="s">
        <v>6706</v>
      </c>
      <c r="E2735" s="54" t="s">
        <v>38</v>
      </c>
      <c r="F2735" s="54" t="s">
        <v>42</v>
      </c>
      <c r="G2735" s="55" t="s">
        <v>6707</v>
      </c>
      <c r="H2735" s="54" t="s">
        <v>6708</v>
      </c>
      <c r="I2735" s="54">
        <f t="shared" si="125"/>
        <v>25</v>
      </c>
      <c r="J2735" s="56"/>
      <c r="K2735" s="57"/>
      <c r="L2735" s="87"/>
      <c r="M2735" s="59"/>
      <c r="N2735" s="60">
        <v>21.0</v>
      </c>
      <c r="O2735" s="61">
        <v>21.0</v>
      </c>
      <c r="P2735" s="62">
        <v>22.68</v>
      </c>
      <c r="Q2735" s="63">
        <v>22.68</v>
      </c>
      <c r="R2735" s="64">
        <v>25.0</v>
      </c>
      <c r="S2735" s="111">
        <v>26.0</v>
      </c>
      <c r="T2735" s="65">
        <f t="shared" si="93"/>
        <v>4.16</v>
      </c>
      <c r="U2735" s="65">
        <f t="shared" si="94"/>
        <v>30.16</v>
      </c>
      <c r="V2735" s="66">
        <f t="shared" si="135"/>
        <v>0.04</v>
      </c>
      <c r="W2735" s="67">
        <f t="shared" si="96"/>
        <v>24.7</v>
      </c>
      <c r="X2735" s="67">
        <f t="shared" si="132"/>
        <v>3.952</v>
      </c>
      <c r="Y2735" s="67">
        <f t="shared" si="133"/>
        <v>28.652</v>
      </c>
      <c r="Z2735" s="67">
        <f t="shared" si="99"/>
        <v>23.4</v>
      </c>
      <c r="AA2735" s="67">
        <f t="shared" si="114"/>
        <v>3.744</v>
      </c>
      <c r="AB2735" s="67">
        <f t="shared" si="115"/>
        <v>27.144</v>
      </c>
      <c r="AC2735" s="67">
        <f t="shared" si="102"/>
        <v>22.1</v>
      </c>
      <c r="AD2735" s="67">
        <f t="shared" si="116"/>
        <v>3.536</v>
      </c>
      <c r="AE2735" s="67">
        <f t="shared" si="117"/>
        <v>25.636</v>
      </c>
      <c r="AF2735" s="67">
        <f t="shared" si="105"/>
        <v>21.58</v>
      </c>
      <c r="AG2735" s="67">
        <f t="shared" si="118"/>
        <v>3.4528</v>
      </c>
      <c r="AH2735" s="67">
        <f t="shared" si="119"/>
        <v>25.0328</v>
      </c>
      <c r="AI2735" s="67">
        <f t="shared" si="108"/>
        <v>20.8</v>
      </c>
      <c r="AJ2735" s="68">
        <f t="shared" si="126"/>
        <v>3.328</v>
      </c>
      <c r="AK2735" s="68">
        <f t="shared" si="127"/>
        <v>24.128</v>
      </c>
      <c r="AL2735" s="70"/>
      <c r="AM2735" s="70"/>
      <c r="AN2735" s="71"/>
      <c r="AO2735" s="71"/>
      <c r="AP2735" s="71"/>
      <c r="AQ2735" s="71"/>
      <c r="AR2735" s="71"/>
      <c r="AS2735" s="71"/>
      <c r="AT2735" s="71"/>
      <c r="AU2735" s="71"/>
      <c r="AV2735" s="71"/>
      <c r="AW2735" s="71"/>
      <c r="AX2735" s="71"/>
      <c r="AY2735" s="71"/>
      <c r="AZ2735" s="71"/>
      <c r="BA2735" s="71"/>
      <c r="BB2735" s="71"/>
      <c r="BC2735" s="71"/>
      <c r="BD2735" s="71"/>
      <c r="BE2735" s="71"/>
      <c r="BF2735" s="71"/>
      <c r="BG2735" s="71"/>
      <c r="BH2735" s="71"/>
      <c r="BI2735" s="71"/>
      <c r="BJ2735" s="71"/>
      <c r="BK2735" s="71"/>
      <c r="BL2735" s="71"/>
      <c r="BM2735" s="71"/>
      <c r="BN2735" s="71"/>
      <c r="BO2735" s="71"/>
      <c r="BP2735" s="71"/>
      <c r="BQ2735" s="71"/>
      <c r="BR2735" s="71"/>
      <c r="BS2735" s="71"/>
      <c r="BT2735" s="71"/>
      <c r="BU2735" s="71"/>
      <c r="BV2735" s="71"/>
    </row>
    <row r="2736">
      <c r="A2736" s="53"/>
      <c r="B2736" s="53"/>
      <c r="C2736" s="53" t="s">
        <v>36</v>
      </c>
      <c r="D2736" s="85" t="s">
        <v>6709</v>
      </c>
      <c r="E2736" s="54" t="s">
        <v>38</v>
      </c>
      <c r="F2736" s="55" t="s">
        <v>39</v>
      </c>
      <c r="G2736" s="86" t="s">
        <v>6710</v>
      </c>
      <c r="H2736" s="55"/>
      <c r="I2736" s="54">
        <f t="shared" si="125"/>
        <v>0</v>
      </c>
      <c r="J2736" s="56"/>
      <c r="K2736" s="57"/>
      <c r="L2736" s="76"/>
      <c r="M2736" s="59"/>
      <c r="N2736" s="60"/>
      <c r="O2736" s="61">
        <v>13.44</v>
      </c>
      <c r="P2736" s="62">
        <v>14.5152</v>
      </c>
      <c r="Q2736" s="63">
        <v>14.5152</v>
      </c>
      <c r="R2736" s="64">
        <v>16.0</v>
      </c>
      <c r="S2736" s="107">
        <v>16.8</v>
      </c>
      <c r="T2736" s="65">
        <f t="shared" si="93"/>
        <v>2.688</v>
      </c>
      <c r="U2736" s="65">
        <f t="shared" si="94"/>
        <v>19.488</v>
      </c>
      <c r="V2736" s="66">
        <f t="shared" si="135"/>
        <v>0.05</v>
      </c>
      <c r="W2736" s="67">
        <f t="shared" si="96"/>
        <v>15.96</v>
      </c>
      <c r="X2736" s="67">
        <f t="shared" si="132"/>
        <v>2.5536</v>
      </c>
      <c r="Y2736" s="67">
        <f t="shared" si="133"/>
        <v>18.5136</v>
      </c>
      <c r="Z2736" s="67">
        <f t="shared" si="99"/>
        <v>15.12</v>
      </c>
      <c r="AA2736" s="67">
        <f t="shared" si="114"/>
        <v>2.4192</v>
      </c>
      <c r="AB2736" s="67">
        <f t="shared" si="115"/>
        <v>17.5392</v>
      </c>
      <c r="AC2736" s="67">
        <f t="shared" si="102"/>
        <v>14.28</v>
      </c>
      <c r="AD2736" s="67">
        <f t="shared" si="116"/>
        <v>2.2848</v>
      </c>
      <c r="AE2736" s="67">
        <f t="shared" si="117"/>
        <v>16.5648</v>
      </c>
      <c r="AF2736" s="67">
        <f t="shared" si="105"/>
        <v>13.944</v>
      </c>
      <c r="AG2736" s="67">
        <f t="shared" si="118"/>
        <v>2.23104</v>
      </c>
      <c r="AH2736" s="67">
        <f t="shared" si="119"/>
        <v>16.17504</v>
      </c>
      <c r="AI2736" s="67">
        <f t="shared" si="108"/>
        <v>13.44</v>
      </c>
      <c r="AJ2736" s="68">
        <f t="shared" si="126"/>
        <v>2.1504</v>
      </c>
      <c r="AK2736" s="68">
        <f t="shared" si="127"/>
        <v>15.5904</v>
      </c>
      <c r="AL2736" s="70"/>
      <c r="AM2736" s="70"/>
      <c r="AN2736" s="71"/>
      <c r="AO2736" s="71"/>
      <c r="AP2736" s="71"/>
      <c r="AQ2736" s="71"/>
      <c r="AR2736" s="71"/>
      <c r="AS2736" s="71"/>
      <c r="AT2736" s="71"/>
      <c r="AU2736" s="71"/>
      <c r="AV2736" s="71"/>
      <c r="AW2736" s="71"/>
      <c r="AX2736" s="71"/>
      <c r="AY2736" s="71"/>
      <c r="AZ2736" s="71"/>
      <c r="BA2736" s="71"/>
      <c r="BB2736" s="71"/>
      <c r="BC2736" s="71"/>
      <c r="BD2736" s="71"/>
      <c r="BE2736" s="71"/>
      <c r="BF2736" s="71"/>
      <c r="BG2736" s="71"/>
      <c r="BH2736" s="71"/>
      <c r="BI2736" s="71"/>
      <c r="BJ2736" s="71"/>
      <c r="BK2736" s="71"/>
      <c r="BL2736" s="71"/>
      <c r="BM2736" s="71"/>
      <c r="BN2736" s="71"/>
      <c r="BO2736" s="71"/>
      <c r="BP2736" s="71"/>
      <c r="BQ2736" s="71"/>
      <c r="BR2736" s="71"/>
      <c r="BS2736" s="71"/>
      <c r="BT2736" s="71"/>
      <c r="BU2736" s="71"/>
      <c r="BV2736" s="71"/>
    </row>
    <row r="2737">
      <c r="A2737" s="53"/>
      <c r="B2737" s="53"/>
      <c r="C2737" s="53" t="s">
        <v>36</v>
      </c>
      <c r="D2737" s="85" t="s">
        <v>6711</v>
      </c>
      <c r="E2737" s="54" t="s">
        <v>38</v>
      </c>
      <c r="F2737" s="55" t="s">
        <v>39</v>
      </c>
      <c r="G2737" s="86" t="s">
        <v>6712</v>
      </c>
      <c r="H2737" s="55"/>
      <c r="I2737" s="54">
        <f t="shared" si="125"/>
        <v>0</v>
      </c>
      <c r="J2737" s="56"/>
      <c r="K2737" s="57"/>
      <c r="L2737" s="76"/>
      <c r="M2737" s="59"/>
      <c r="N2737" s="60"/>
      <c r="O2737" s="61">
        <v>28.8</v>
      </c>
      <c r="P2737" s="62">
        <v>31.104000000000003</v>
      </c>
      <c r="Q2737" s="63">
        <v>31.104000000000003</v>
      </c>
      <c r="R2737" s="64">
        <v>33.0</v>
      </c>
      <c r="S2737" s="107">
        <v>35.0</v>
      </c>
      <c r="T2737" s="65">
        <f t="shared" si="93"/>
        <v>5.6</v>
      </c>
      <c r="U2737" s="65">
        <f t="shared" si="94"/>
        <v>40.6</v>
      </c>
      <c r="V2737" s="66">
        <f t="shared" si="135"/>
        <v>0.06060606061</v>
      </c>
      <c r="W2737" s="67">
        <f t="shared" si="96"/>
        <v>33.25</v>
      </c>
      <c r="X2737" s="67">
        <f t="shared" si="132"/>
        <v>5.32</v>
      </c>
      <c r="Y2737" s="67">
        <f t="shared" si="133"/>
        <v>38.57</v>
      </c>
      <c r="Z2737" s="67">
        <f t="shared" si="99"/>
        <v>31.5</v>
      </c>
      <c r="AA2737" s="67">
        <f t="shared" si="114"/>
        <v>5.04</v>
      </c>
      <c r="AB2737" s="67">
        <f t="shared" si="115"/>
        <v>36.54</v>
      </c>
      <c r="AC2737" s="67">
        <f t="shared" si="102"/>
        <v>29.75</v>
      </c>
      <c r="AD2737" s="67">
        <f t="shared" si="116"/>
        <v>4.76</v>
      </c>
      <c r="AE2737" s="67">
        <f t="shared" si="117"/>
        <v>34.51</v>
      </c>
      <c r="AF2737" s="67">
        <f t="shared" si="105"/>
        <v>29.05</v>
      </c>
      <c r="AG2737" s="67">
        <f t="shared" si="118"/>
        <v>4.648</v>
      </c>
      <c r="AH2737" s="67">
        <f t="shared" si="119"/>
        <v>33.698</v>
      </c>
      <c r="AI2737" s="67">
        <f t="shared" si="108"/>
        <v>28</v>
      </c>
      <c r="AJ2737" s="68">
        <f t="shared" si="126"/>
        <v>4.48</v>
      </c>
      <c r="AK2737" s="68">
        <f t="shared" si="127"/>
        <v>32.48</v>
      </c>
      <c r="AL2737" s="70"/>
      <c r="AM2737" s="70"/>
      <c r="AN2737" s="71"/>
      <c r="AO2737" s="71"/>
      <c r="AP2737" s="71"/>
      <c r="AQ2737" s="71"/>
      <c r="AR2737" s="71"/>
      <c r="AS2737" s="71"/>
      <c r="AT2737" s="71"/>
      <c r="AU2737" s="71"/>
      <c r="AV2737" s="71"/>
      <c r="AW2737" s="71"/>
      <c r="AX2737" s="71"/>
      <c r="AY2737" s="71"/>
      <c r="AZ2737" s="71"/>
      <c r="BA2737" s="71"/>
      <c r="BB2737" s="71"/>
      <c r="BC2737" s="71"/>
      <c r="BD2737" s="71"/>
      <c r="BE2737" s="71"/>
      <c r="BF2737" s="71"/>
      <c r="BG2737" s="71"/>
      <c r="BH2737" s="71"/>
      <c r="BI2737" s="71"/>
      <c r="BJ2737" s="71"/>
      <c r="BK2737" s="71"/>
      <c r="BL2737" s="71"/>
      <c r="BM2737" s="71"/>
      <c r="BN2737" s="71"/>
      <c r="BO2737" s="71"/>
      <c r="BP2737" s="71"/>
      <c r="BQ2737" s="71"/>
      <c r="BR2737" s="71"/>
      <c r="BS2737" s="71"/>
      <c r="BT2737" s="71"/>
      <c r="BU2737" s="71"/>
      <c r="BV2737" s="71"/>
    </row>
    <row r="2738">
      <c r="A2738" s="53">
        <v>1.0</v>
      </c>
      <c r="B2738" s="53"/>
      <c r="C2738" s="53" t="s">
        <v>53</v>
      </c>
      <c r="D2738" s="53" t="s">
        <v>6713</v>
      </c>
      <c r="E2738" s="86" t="s">
        <v>38</v>
      </c>
      <c r="F2738" s="91" t="s">
        <v>42</v>
      </c>
      <c r="G2738" s="84" t="s">
        <v>6714</v>
      </c>
      <c r="H2738" s="203" t="s">
        <v>6714</v>
      </c>
      <c r="I2738" s="54">
        <f t="shared" si="125"/>
        <v>34</v>
      </c>
      <c r="J2738" s="56"/>
      <c r="K2738" s="57"/>
      <c r="L2738" s="126"/>
      <c r="M2738" s="59"/>
      <c r="N2738" s="93"/>
      <c r="O2738" s="61"/>
      <c r="P2738" s="90"/>
      <c r="Q2738" s="94"/>
      <c r="R2738" s="95">
        <v>480.0</v>
      </c>
      <c r="S2738" s="111">
        <v>504.0</v>
      </c>
      <c r="T2738" s="65">
        <f t="shared" si="93"/>
        <v>80.64</v>
      </c>
      <c r="U2738" s="65">
        <f t="shared" si="94"/>
        <v>584.64</v>
      </c>
      <c r="V2738" s="66">
        <f t="shared" si="135"/>
        <v>0.05</v>
      </c>
      <c r="W2738" s="67">
        <f t="shared" si="96"/>
        <v>478.8</v>
      </c>
      <c r="X2738" s="67">
        <f t="shared" si="132"/>
        <v>76.608</v>
      </c>
      <c r="Y2738" s="67">
        <f t="shared" si="133"/>
        <v>555.408</v>
      </c>
      <c r="Z2738" s="67">
        <f t="shared" si="99"/>
        <v>453.6</v>
      </c>
      <c r="AA2738" s="67">
        <f t="shared" si="114"/>
        <v>72.576</v>
      </c>
      <c r="AB2738" s="67">
        <f t="shared" si="115"/>
        <v>526.176</v>
      </c>
      <c r="AC2738" s="67">
        <f t="shared" si="102"/>
        <v>428.4</v>
      </c>
      <c r="AD2738" s="67">
        <f t="shared" si="116"/>
        <v>68.544</v>
      </c>
      <c r="AE2738" s="67">
        <f t="shared" si="117"/>
        <v>496.944</v>
      </c>
      <c r="AF2738" s="67">
        <f t="shared" si="105"/>
        <v>418.32</v>
      </c>
      <c r="AG2738" s="67">
        <f t="shared" si="118"/>
        <v>66.9312</v>
      </c>
      <c r="AH2738" s="67">
        <f t="shared" si="119"/>
        <v>485.2512</v>
      </c>
      <c r="AI2738" s="67">
        <f t="shared" si="108"/>
        <v>403.2</v>
      </c>
      <c r="AJ2738" s="96"/>
      <c r="AK2738" s="96"/>
      <c r="AL2738" s="70"/>
      <c r="AM2738" s="70"/>
      <c r="AN2738" s="71"/>
      <c r="AO2738" s="71"/>
      <c r="AP2738" s="71"/>
      <c r="AQ2738" s="71"/>
      <c r="AR2738" s="71"/>
      <c r="AS2738" s="71"/>
      <c r="AT2738" s="71"/>
      <c r="AU2738" s="71"/>
      <c r="AV2738" s="71"/>
      <c r="AW2738" s="71"/>
      <c r="AX2738" s="71"/>
      <c r="AY2738" s="71"/>
      <c r="AZ2738" s="71"/>
      <c r="BA2738" s="71"/>
      <c r="BB2738" s="71"/>
      <c r="BC2738" s="71"/>
      <c r="BD2738" s="71"/>
      <c r="BE2738" s="71"/>
      <c r="BF2738" s="71"/>
      <c r="BG2738" s="71"/>
      <c r="BH2738" s="71"/>
      <c r="BI2738" s="71"/>
      <c r="BJ2738" s="71"/>
      <c r="BK2738" s="71"/>
      <c r="BL2738" s="71"/>
      <c r="BM2738" s="71"/>
      <c r="BN2738" s="71"/>
      <c r="BO2738" s="71"/>
      <c r="BP2738" s="71"/>
      <c r="BQ2738" s="71"/>
      <c r="BR2738" s="71"/>
      <c r="BS2738" s="71"/>
      <c r="BT2738" s="71"/>
      <c r="BU2738" s="71"/>
      <c r="BV2738" s="71"/>
    </row>
    <row r="2739">
      <c r="A2739" s="53"/>
      <c r="B2739" s="53"/>
      <c r="C2739" s="53" t="s">
        <v>36</v>
      </c>
      <c r="D2739" s="85" t="s">
        <v>6715</v>
      </c>
      <c r="E2739" s="54" t="s">
        <v>38</v>
      </c>
      <c r="F2739" s="55" t="s">
        <v>39</v>
      </c>
      <c r="G2739" s="86" t="s">
        <v>6716</v>
      </c>
      <c r="H2739" s="55"/>
      <c r="I2739" s="54">
        <f t="shared" si="125"/>
        <v>0</v>
      </c>
      <c r="J2739" s="56"/>
      <c r="K2739" s="57"/>
      <c r="L2739" s="76"/>
      <c r="M2739" s="59"/>
      <c r="N2739" s="60"/>
      <c r="O2739" s="61">
        <v>13.44</v>
      </c>
      <c r="P2739" s="62">
        <v>14.5152</v>
      </c>
      <c r="Q2739" s="63">
        <v>14.5152</v>
      </c>
      <c r="R2739" s="64">
        <v>16.0</v>
      </c>
      <c r="S2739" s="107">
        <v>16.8</v>
      </c>
      <c r="T2739" s="65">
        <f t="shared" si="93"/>
        <v>2.688</v>
      </c>
      <c r="U2739" s="65">
        <f t="shared" si="94"/>
        <v>19.488</v>
      </c>
      <c r="V2739" s="66">
        <f t="shared" si="135"/>
        <v>0.05</v>
      </c>
      <c r="W2739" s="67">
        <f t="shared" si="96"/>
        <v>15.96</v>
      </c>
      <c r="X2739" s="67">
        <f t="shared" si="132"/>
        <v>2.5536</v>
      </c>
      <c r="Y2739" s="67">
        <f t="shared" si="133"/>
        <v>18.5136</v>
      </c>
      <c r="Z2739" s="67">
        <f t="shared" si="99"/>
        <v>15.12</v>
      </c>
      <c r="AA2739" s="67">
        <f t="shared" si="114"/>
        <v>2.4192</v>
      </c>
      <c r="AB2739" s="67">
        <f t="shared" si="115"/>
        <v>17.5392</v>
      </c>
      <c r="AC2739" s="67">
        <f t="shared" si="102"/>
        <v>14.28</v>
      </c>
      <c r="AD2739" s="67">
        <f t="shared" si="116"/>
        <v>2.2848</v>
      </c>
      <c r="AE2739" s="67">
        <f t="shared" si="117"/>
        <v>16.5648</v>
      </c>
      <c r="AF2739" s="67">
        <f t="shared" si="105"/>
        <v>13.944</v>
      </c>
      <c r="AG2739" s="67">
        <f t="shared" si="118"/>
        <v>2.23104</v>
      </c>
      <c r="AH2739" s="67">
        <f t="shared" si="119"/>
        <v>16.17504</v>
      </c>
      <c r="AI2739" s="67">
        <f t="shared" si="108"/>
        <v>13.44</v>
      </c>
      <c r="AJ2739" s="68">
        <f t="shared" ref="AJ2739:AJ2780" si="136">AI2739*0.16</f>
        <v>2.1504</v>
      </c>
      <c r="AK2739" s="68">
        <f t="shared" ref="AK2739:AK2780" si="137">AI2739+AJ2739</f>
        <v>15.5904</v>
      </c>
      <c r="AL2739" s="70"/>
      <c r="AM2739" s="70"/>
      <c r="AN2739" s="71"/>
      <c r="AO2739" s="71"/>
      <c r="AP2739" s="71"/>
      <c r="AQ2739" s="71"/>
      <c r="AR2739" s="71"/>
      <c r="AS2739" s="71"/>
      <c r="AT2739" s="71"/>
      <c r="AU2739" s="71"/>
      <c r="AV2739" s="71"/>
      <c r="AW2739" s="71"/>
      <c r="AX2739" s="71"/>
      <c r="AY2739" s="71"/>
      <c r="AZ2739" s="71"/>
      <c r="BA2739" s="71"/>
      <c r="BB2739" s="71"/>
      <c r="BC2739" s="71"/>
      <c r="BD2739" s="71"/>
      <c r="BE2739" s="71"/>
      <c r="BF2739" s="71"/>
      <c r="BG2739" s="71"/>
      <c r="BH2739" s="71"/>
      <c r="BI2739" s="71"/>
      <c r="BJ2739" s="71"/>
      <c r="BK2739" s="71"/>
      <c r="BL2739" s="71"/>
      <c r="BM2739" s="71"/>
      <c r="BN2739" s="71"/>
      <c r="BO2739" s="71"/>
      <c r="BP2739" s="71"/>
      <c r="BQ2739" s="71"/>
      <c r="BR2739" s="71"/>
      <c r="BS2739" s="71"/>
      <c r="BT2739" s="71"/>
      <c r="BU2739" s="71"/>
      <c r="BV2739" s="71"/>
    </row>
    <row r="2740">
      <c r="A2740" s="53"/>
      <c r="B2740" s="53"/>
      <c r="C2740" s="73" t="s">
        <v>12</v>
      </c>
      <c r="D2740" s="128" t="s">
        <v>6717</v>
      </c>
      <c r="E2740" s="54" t="s">
        <v>38</v>
      </c>
      <c r="F2740" s="54" t="s">
        <v>42</v>
      </c>
      <c r="G2740" s="130" t="s">
        <v>6718</v>
      </c>
      <c r="H2740" s="54" t="s">
        <v>6719</v>
      </c>
      <c r="I2740" s="54">
        <f t="shared" si="125"/>
        <v>38</v>
      </c>
      <c r="J2740" s="56"/>
      <c r="K2740" s="57"/>
      <c r="L2740" s="76"/>
      <c r="M2740" s="59"/>
      <c r="N2740" s="60">
        <v>166.95000000000002</v>
      </c>
      <c r="O2740" s="129">
        <v>180.0</v>
      </c>
      <c r="P2740" s="62">
        <v>194.4</v>
      </c>
      <c r="Q2740" s="63">
        <v>194.4</v>
      </c>
      <c r="R2740" s="64">
        <v>204.0</v>
      </c>
      <c r="S2740" s="111">
        <v>214.0</v>
      </c>
      <c r="T2740" s="65">
        <f t="shared" si="93"/>
        <v>34.24</v>
      </c>
      <c r="U2740" s="65">
        <f t="shared" si="94"/>
        <v>248.24</v>
      </c>
      <c r="V2740" s="66">
        <f t="shared" si="135"/>
        <v>0.04901960784</v>
      </c>
      <c r="W2740" s="67">
        <f t="shared" si="96"/>
        <v>203.3</v>
      </c>
      <c r="X2740" s="67">
        <f t="shared" si="132"/>
        <v>32.528</v>
      </c>
      <c r="Y2740" s="67">
        <f t="shared" si="133"/>
        <v>235.828</v>
      </c>
      <c r="Z2740" s="67">
        <f t="shared" si="99"/>
        <v>192.6</v>
      </c>
      <c r="AA2740" s="67">
        <f t="shared" si="114"/>
        <v>30.816</v>
      </c>
      <c r="AB2740" s="67">
        <f t="shared" si="115"/>
        <v>223.416</v>
      </c>
      <c r="AC2740" s="67">
        <f t="shared" si="102"/>
        <v>181.9</v>
      </c>
      <c r="AD2740" s="67">
        <f t="shared" si="116"/>
        <v>29.104</v>
      </c>
      <c r="AE2740" s="67">
        <f t="shared" si="117"/>
        <v>211.004</v>
      </c>
      <c r="AF2740" s="67">
        <f t="shared" si="105"/>
        <v>177.62</v>
      </c>
      <c r="AG2740" s="67">
        <f t="shared" si="118"/>
        <v>28.4192</v>
      </c>
      <c r="AH2740" s="67">
        <f t="shared" si="119"/>
        <v>206.0392</v>
      </c>
      <c r="AI2740" s="67">
        <f t="shared" si="108"/>
        <v>171.2</v>
      </c>
      <c r="AJ2740" s="68">
        <f t="shared" si="136"/>
        <v>27.392</v>
      </c>
      <c r="AK2740" s="68">
        <f t="shared" si="137"/>
        <v>198.592</v>
      </c>
      <c r="AL2740" s="70"/>
      <c r="AM2740" s="70"/>
      <c r="AN2740" s="71"/>
      <c r="AO2740" s="71"/>
      <c r="AP2740" s="71"/>
      <c r="AQ2740" s="71"/>
      <c r="AR2740" s="71"/>
      <c r="AS2740" s="71"/>
      <c r="AT2740" s="71"/>
      <c r="AU2740" s="71"/>
      <c r="AV2740" s="71"/>
      <c r="AW2740" s="71"/>
      <c r="AX2740" s="71"/>
      <c r="AY2740" s="71"/>
      <c r="AZ2740" s="71"/>
      <c r="BA2740" s="71"/>
      <c r="BB2740" s="71"/>
      <c r="BC2740" s="71"/>
      <c r="BD2740" s="71"/>
      <c r="BE2740" s="71"/>
      <c r="BF2740" s="71"/>
      <c r="BG2740" s="71"/>
      <c r="BH2740" s="71"/>
      <c r="BI2740" s="71"/>
      <c r="BJ2740" s="71"/>
      <c r="BK2740" s="71"/>
      <c r="BL2740" s="71"/>
      <c r="BM2740" s="71"/>
      <c r="BN2740" s="71"/>
      <c r="BO2740" s="71"/>
      <c r="BP2740" s="71"/>
      <c r="BQ2740" s="71"/>
      <c r="BR2740" s="71"/>
      <c r="BS2740" s="71"/>
      <c r="BT2740" s="71"/>
      <c r="BU2740" s="71"/>
      <c r="BV2740" s="71"/>
    </row>
    <row r="2741">
      <c r="A2741" s="53"/>
      <c r="B2741" s="53"/>
      <c r="C2741" s="53" t="s">
        <v>36</v>
      </c>
      <c r="D2741" s="85" t="s">
        <v>6720</v>
      </c>
      <c r="E2741" s="54" t="s">
        <v>38</v>
      </c>
      <c r="F2741" s="55" t="s">
        <v>39</v>
      </c>
      <c r="G2741" s="86" t="s">
        <v>6721</v>
      </c>
      <c r="H2741" s="55"/>
      <c r="I2741" s="54">
        <f t="shared" si="125"/>
        <v>0</v>
      </c>
      <c r="J2741" s="56"/>
      <c r="K2741" s="57"/>
      <c r="L2741" s="76"/>
      <c r="M2741" s="59"/>
      <c r="N2741" s="60"/>
      <c r="O2741" s="61">
        <v>113.28</v>
      </c>
      <c r="P2741" s="62">
        <v>122.34240000000001</v>
      </c>
      <c r="Q2741" s="63">
        <v>122.34240000000001</v>
      </c>
      <c r="R2741" s="64">
        <v>129.0</v>
      </c>
      <c r="S2741" s="107">
        <v>135.0</v>
      </c>
      <c r="T2741" s="65">
        <f t="shared" si="93"/>
        <v>21.6</v>
      </c>
      <c r="U2741" s="65">
        <f t="shared" si="94"/>
        <v>156.6</v>
      </c>
      <c r="V2741" s="66">
        <f t="shared" si="135"/>
        <v>0.04651162791</v>
      </c>
      <c r="W2741" s="67">
        <f t="shared" si="96"/>
        <v>128.25</v>
      </c>
      <c r="X2741" s="67">
        <f t="shared" si="132"/>
        <v>20.52</v>
      </c>
      <c r="Y2741" s="67">
        <f t="shared" si="133"/>
        <v>148.77</v>
      </c>
      <c r="Z2741" s="67">
        <f t="shared" si="99"/>
        <v>121.5</v>
      </c>
      <c r="AA2741" s="67">
        <f t="shared" si="114"/>
        <v>19.44</v>
      </c>
      <c r="AB2741" s="67">
        <f t="shared" si="115"/>
        <v>140.94</v>
      </c>
      <c r="AC2741" s="67">
        <f t="shared" si="102"/>
        <v>114.75</v>
      </c>
      <c r="AD2741" s="67">
        <f t="shared" si="116"/>
        <v>18.36</v>
      </c>
      <c r="AE2741" s="67">
        <f t="shared" si="117"/>
        <v>133.11</v>
      </c>
      <c r="AF2741" s="67">
        <f t="shared" si="105"/>
        <v>112.05</v>
      </c>
      <c r="AG2741" s="67">
        <f t="shared" si="118"/>
        <v>17.928</v>
      </c>
      <c r="AH2741" s="67">
        <f t="shared" si="119"/>
        <v>129.978</v>
      </c>
      <c r="AI2741" s="67">
        <f t="shared" si="108"/>
        <v>108</v>
      </c>
      <c r="AJ2741" s="68">
        <f t="shared" si="136"/>
        <v>17.28</v>
      </c>
      <c r="AK2741" s="68">
        <f t="shared" si="137"/>
        <v>125.28</v>
      </c>
      <c r="AL2741" s="70"/>
      <c r="AM2741" s="70"/>
      <c r="AN2741" s="71"/>
      <c r="AO2741" s="71"/>
      <c r="AP2741" s="71"/>
      <c r="AQ2741" s="71"/>
      <c r="AR2741" s="71"/>
      <c r="AS2741" s="71"/>
      <c r="AT2741" s="71"/>
      <c r="AU2741" s="71"/>
      <c r="AV2741" s="71"/>
      <c r="AW2741" s="71"/>
      <c r="AX2741" s="71"/>
      <c r="AY2741" s="71"/>
      <c r="AZ2741" s="71"/>
      <c r="BA2741" s="71"/>
      <c r="BB2741" s="71"/>
      <c r="BC2741" s="71"/>
      <c r="BD2741" s="71"/>
      <c r="BE2741" s="71"/>
      <c r="BF2741" s="71"/>
      <c r="BG2741" s="71"/>
      <c r="BH2741" s="71"/>
      <c r="BI2741" s="71"/>
      <c r="BJ2741" s="71"/>
      <c r="BK2741" s="71"/>
      <c r="BL2741" s="71"/>
      <c r="BM2741" s="71"/>
      <c r="BN2741" s="71"/>
      <c r="BO2741" s="71"/>
      <c r="BP2741" s="71"/>
      <c r="BQ2741" s="71"/>
      <c r="BR2741" s="71"/>
      <c r="BS2741" s="71"/>
      <c r="BT2741" s="71"/>
      <c r="BU2741" s="71"/>
      <c r="BV2741" s="71"/>
    </row>
    <row r="2742">
      <c r="A2742" s="53"/>
      <c r="B2742" s="53"/>
      <c r="C2742" s="53" t="s">
        <v>36</v>
      </c>
      <c r="D2742" s="85" t="s">
        <v>6722</v>
      </c>
      <c r="E2742" s="54" t="s">
        <v>38</v>
      </c>
      <c r="F2742" s="55" t="s">
        <v>39</v>
      </c>
      <c r="G2742" s="86" t="s">
        <v>6723</v>
      </c>
      <c r="H2742" s="55"/>
      <c r="I2742" s="54">
        <f t="shared" si="125"/>
        <v>0</v>
      </c>
      <c r="J2742" s="56"/>
      <c r="K2742" s="57"/>
      <c r="L2742" s="76"/>
      <c r="M2742" s="59"/>
      <c r="N2742" s="60"/>
      <c r="O2742" s="61">
        <v>8.4</v>
      </c>
      <c r="P2742" s="62">
        <v>9.072000000000001</v>
      </c>
      <c r="Q2742" s="63">
        <v>9.072000000000001</v>
      </c>
      <c r="R2742" s="64">
        <v>10.0</v>
      </c>
      <c r="S2742" s="107">
        <v>10.5</v>
      </c>
      <c r="T2742" s="65">
        <f t="shared" si="93"/>
        <v>1.68</v>
      </c>
      <c r="U2742" s="65">
        <f t="shared" si="94"/>
        <v>12.18</v>
      </c>
      <c r="V2742" s="66">
        <f t="shared" si="135"/>
        <v>0.05</v>
      </c>
      <c r="W2742" s="67">
        <f t="shared" si="96"/>
        <v>9.975</v>
      </c>
      <c r="X2742" s="67">
        <f t="shared" si="132"/>
        <v>1.596</v>
      </c>
      <c r="Y2742" s="67">
        <f t="shared" si="133"/>
        <v>11.571</v>
      </c>
      <c r="Z2742" s="67">
        <f t="shared" si="99"/>
        <v>9.45</v>
      </c>
      <c r="AA2742" s="67">
        <f t="shared" si="114"/>
        <v>1.512</v>
      </c>
      <c r="AB2742" s="67">
        <f t="shared" si="115"/>
        <v>10.962</v>
      </c>
      <c r="AC2742" s="67">
        <f t="shared" si="102"/>
        <v>8.925</v>
      </c>
      <c r="AD2742" s="67">
        <f t="shared" si="116"/>
        <v>1.428</v>
      </c>
      <c r="AE2742" s="67">
        <f t="shared" si="117"/>
        <v>10.353</v>
      </c>
      <c r="AF2742" s="67">
        <f t="shared" si="105"/>
        <v>8.715</v>
      </c>
      <c r="AG2742" s="67">
        <f t="shared" si="118"/>
        <v>1.3944</v>
      </c>
      <c r="AH2742" s="67">
        <f t="shared" si="119"/>
        <v>10.1094</v>
      </c>
      <c r="AI2742" s="67">
        <f t="shared" si="108"/>
        <v>8.4</v>
      </c>
      <c r="AJ2742" s="68">
        <f t="shared" si="136"/>
        <v>1.344</v>
      </c>
      <c r="AK2742" s="68">
        <f t="shared" si="137"/>
        <v>9.744</v>
      </c>
      <c r="AL2742" s="70"/>
      <c r="AM2742" s="70"/>
      <c r="AN2742" s="71"/>
      <c r="AO2742" s="71"/>
      <c r="AP2742" s="71"/>
      <c r="AQ2742" s="71"/>
      <c r="AR2742" s="71"/>
      <c r="AS2742" s="71"/>
      <c r="AT2742" s="71"/>
      <c r="AU2742" s="71"/>
      <c r="AV2742" s="71"/>
      <c r="AW2742" s="71"/>
      <c r="AX2742" s="71"/>
      <c r="AY2742" s="71"/>
      <c r="AZ2742" s="71"/>
      <c r="BA2742" s="71"/>
      <c r="BB2742" s="71"/>
      <c r="BC2742" s="71"/>
      <c r="BD2742" s="71"/>
      <c r="BE2742" s="71"/>
      <c r="BF2742" s="71"/>
      <c r="BG2742" s="71"/>
      <c r="BH2742" s="71"/>
      <c r="BI2742" s="71"/>
      <c r="BJ2742" s="71"/>
      <c r="BK2742" s="71"/>
      <c r="BL2742" s="71"/>
      <c r="BM2742" s="71"/>
      <c r="BN2742" s="71"/>
      <c r="BO2742" s="71"/>
      <c r="BP2742" s="71"/>
      <c r="BQ2742" s="71"/>
      <c r="BR2742" s="71"/>
      <c r="BS2742" s="71"/>
      <c r="BT2742" s="71"/>
      <c r="BU2742" s="71"/>
      <c r="BV2742" s="71"/>
    </row>
    <row r="2743">
      <c r="A2743" s="53"/>
      <c r="B2743" s="53"/>
      <c r="C2743" s="53" t="s">
        <v>36</v>
      </c>
      <c r="D2743" s="85" t="s">
        <v>6724</v>
      </c>
      <c r="E2743" s="54" t="s">
        <v>38</v>
      </c>
      <c r="F2743" s="55" t="s">
        <v>39</v>
      </c>
      <c r="G2743" s="86" t="s">
        <v>6725</v>
      </c>
      <c r="H2743" s="55"/>
      <c r="I2743" s="54">
        <f t="shared" si="125"/>
        <v>0</v>
      </c>
      <c r="J2743" s="56"/>
      <c r="K2743" s="57"/>
      <c r="L2743" s="76"/>
      <c r="M2743" s="59"/>
      <c r="N2743" s="60"/>
      <c r="O2743" s="61">
        <v>36.48</v>
      </c>
      <c r="P2743" s="62">
        <v>39.3984</v>
      </c>
      <c r="Q2743" s="63">
        <v>39.3984</v>
      </c>
      <c r="R2743" s="64">
        <v>41.0</v>
      </c>
      <c r="S2743" s="107">
        <v>43.0</v>
      </c>
      <c r="T2743" s="65">
        <f t="shared" si="93"/>
        <v>6.88</v>
      </c>
      <c r="U2743" s="65">
        <f t="shared" si="94"/>
        <v>49.88</v>
      </c>
      <c r="V2743" s="66">
        <f t="shared" si="135"/>
        <v>0.0487804878</v>
      </c>
      <c r="W2743" s="67">
        <f t="shared" si="96"/>
        <v>40.85</v>
      </c>
      <c r="X2743" s="67">
        <f t="shared" si="132"/>
        <v>6.536</v>
      </c>
      <c r="Y2743" s="67">
        <f t="shared" si="133"/>
        <v>47.386</v>
      </c>
      <c r="Z2743" s="67">
        <f t="shared" si="99"/>
        <v>38.7</v>
      </c>
      <c r="AA2743" s="67">
        <f t="shared" si="114"/>
        <v>6.192</v>
      </c>
      <c r="AB2743" s="67">
        <f t="shared" si="115"/>
        <v>44.892</v>
      </c>
      <c r="AC2743" s="67">
        <f t="shared" si="102"/>
        <v>36.55</v>
      </c>
      <c r="AD2743" s="67">
        <f t="shared" si="116"/>
        <v>5.848</v>
      </c>
      <c r="AE2743" s="67">
        <f t="shared" si="117"/>
        <v>42.398</v>
      </c>
      <c r="AF2743" s="67">
        <f t="shared" si="105"/>
        <v>35.69</v>
      </c>
      <c r="AG2743" s="67">
        <f t="shared" si="118"/>
        <v>5.7104</v>
      </c>
      <c r="AH2743" s="67">
        <f t="shared" si="119"/>
        <v>41.4004</v>
      </c>
      <c r="AI2743" s="67">
        <f t="shared" si="108"/>
        <v>34.4</v>
      </c>
      <c r="AJ2743" s="68">
        <f t="shared" si="136"/>
        <v>5.504</v>
      </c>
      <c r="AK2743" s="68">
        <f t="shared" si="137"/>
        <v>39.904</v>
      </c>
      <c r="AL2743" s="70"/>
      <c r="AM2743" s="70"/>
      <c r="AN2743" s="71"/>
      <c r="AO2743" s="71"/>
      <c r="AP2743" s="71"/>
      <c r="AQ2743" s="71"/>
      <c r="AR2743" s="71"/>
      <c r="AS2743" s="71"/>
      <c r="AT2743" s="71"/>
      <c r="AU2743" s="71"/>
      <c r="AV2743" s="71"/>
      <c r="AW2743" s="71"/>
      <c r="AX2743" s="71"/>
      <c r="AY2743" s="71"/>
      <c r="AZ2743" s="71"/>
      <c r="BA2743" s="71"/>
      <c r="BB2743" s="71"/>
      <c r="BC2743" s="71"/>
      <c r="BD2743" s="71"/>
      <c r="BE2743" s="71"/>
      <c r="BF2743" s="71"/>
      <c r="BG2743" s="71"/>
      <c r="BH2743" s="71"/>
      <c r="BI2743" s="71"/>
      <c r="BJ2743" s="71"/>
      <c r="BK2743" s="71"/>
      <c r="BL2743" s="71"/>
      <c r="BM2743" s="71"/>
      <c r="BN2743" s="71"/>
      <c r="BO2743" s="71"/>
      <c r="BP2743" s="71"/>
      <c r="BQ2743" s="71"/>
      <c r="BR2743" s="71"/>
      <c r="BS2743" s="71"/>
      <c r="BT2743" s="71"/>
      <c r="BU2743" s="71"/>
      <c r="BV2743" s="71"/>
    </row>
    <row r="2744">
      <c r="A2744" s="53"/>
      <c r="B2744" s="53"/>
      <c r="C2744" s="53" t="s">
        <v>36</v>
      </c>
      <c r="D2744" s="85" t="s">
        <v>6726</v>
      </c>
      <c r="E2744" s="54" t="s">
        <v>38</v>
      </c>
      <c r="F2744" s="55" t="s">
        <v>39</v>
      </c>
      <c r="G2744" s="86" t="s">
        <v>6727</v>
      </c>
      <c r="H2744" s="55"/>
      <c r="I2744" s="54">
        <f t="shared" si="125"/>
        <v>0</v>
      </c>
      <c r="J2744" s="56"/>
      <c r="K2744" s="57"/>
      <c r="L2744" s="76"/>
      <c r="M2744" s="59"/>
      <c r="N2744" s="60"/>
      <c r="O2744" s="61">
        <v>13.2</v>
      </c>
      <c r="P2744" s="62">
        <v>14.256</v>
      </c>
      <c r="Q2744" s="63">
        <v>14.256</v>
      </c>
      <c r="R2744" s="64">
        <v>15.0</v>
      </c>
      <c r="S2744" s="107">
        <v>15.75</v>
      </c>
      <c r="T2744" s="65">
        <f t="shared" si="93"/>
        <v>2.52</v>
      </c>
      <c r="U2744" s="65">
        <f t="shared" si="94"/>
        <v>18.27</v>
      </c>
      <c r="V2744" s="66">
        <f t="shared" si="135"/>
        <v>0.05</v>
      </c>
      <c r="W2744" s="67">
        <f t="shared" si="96"/>
        <v>14.9625</v>
      </c>
      <c r="X2744" s="67">
        <f t="shared" si="132"/>
        <v>2.394</v>
      </c>
      <c r="Y2744" s="67">
        <f t="shared" si="133"/>
        <v>17.3565</v>
      </c>
      <c r="Z2744" s="67">
        <f t="shared" si="99"/>
        <v>14.175</v>
      </c>
      <c r="AA2744" s="67">
        <f t="shared" si="114"/>
        <v>2.268</v>
      </c>
      <c r="AB2744" s="67">
        <f t="shared" si="115"/>
        <v>16.443</v>
      </c>
      <c r="AC2744" s="67">
        <f t="shared" si="102"/>
        <v>13.3875</v>
      </c>
      <c r="AD2744" s="67">
        <f t="shared" si="116"/>
        <v>2.142</v>
      </c>
      <c r="AE2744" s="67">
        <f t="shared" si="117"/>
        <v>15.5295</v>
      </c>
      <c r="AF2744" s="67">
        <f t="shared" si="105"/>
        <v>13.0725</v>
      </c>
      <c r="AG2744" s="67">
        <f t="shared" si="118"/>
        <v>2.0916</v>
      </c>
      <c r="AH2744" s="67">
        <f t="shared" si="119"/>
        <v>15.1641</v>
      </c>
      <c r="AI2744" s="67">
        <f t="shared" si="108"/>
        <v>12.6</v>
      </c>
      <c r="AJ2744" s="68">
        <f t="shared" si="136"/>
        <v>2.016</v>
      </c>
      <c r="AK2744" s="68">
        <f t="shared" si="137"/>
        <v>14.616</v>
      </c>
      <c r="AL2744" s="70"/>
      <c r="AM2744" s="70"/>
      <c r="AN2744" s="71"/>
      <c r="AO2744" s="71"/>
      <c r="AP2744" s="71"/>
      <c r="AQ2744" s="71"/>
      <c r="AR2744" s="71"/>
      <c r="AS2744" s="71"/>
      <c r="AT2744" s="71"/>
      <c r="AU2744" s="71"/>
      <c r="AV2744" s="71"/>
      <c r="AW2744" s="71"/>
      <c r="AX2744" s="71"/>
      <c r="AY2744" s="71"/>
      <c r="AZ2744" s="71"/>
      <c r="BA2744" s="71"/>
      <c r="BB2744" s="71"/>
      <c r="BC2744" s="71"/>
      <c r="BD2744" s="71"/>
      <c r="BE2744" s="71"/>
      <c r="BF2744" s="71"/>
      <c r="BG2744" s="71"/>
      <c r="BH2744" s="71"/>
      <c r="BI2744" s="71"/>
      <c r="BJ2744" s="71"/>
      <c r="BK2744" s="71"/>
      <c r="BL2744" s="71"/>
      <c r="BM2744" s="71"/>
      <c r="BN2744" s="71"/>
      <c r="BO2744" s="71"/>
      <c r="BP2744" s="71"/>
      <c r="BQ2744" s="71"/>
      <c r="BR2744" s="71"/>
      <c r="BS2744" s="71"/>
      <c r="BT2744" s="71"/>
      <c r="BU2744" s="71"/>
      <c r="BV2744" s="71"/>
    </row>
    <row r="2745">
      <c r="A2745" s="53"/>
      <c r="B2745" s="53"/>
      <c r="C2745" s="53" t="s">
        <v>36</v>
      </c>
      <c r="D2745" s="85" t="s">
        <v>6728</v>
      </c>
      <c r="E2745" s="54" t="s">
        <v>38</v>
      </c>
      <c r="F2745" s="55" t="s">
        <v>39</v>
      </c>
      <c r="G2745" s="86" t="s">
        <v>6729</v>
      </c>
      <c r="H2745" s="55"/>
      <c r="I2745" s="54">
        <f t="shared" si="125"/>
        <v>0</v>
      </c>
      <c r="J2745" s="56"/>
      <c r="K2745" s="57"/>
      <c r="L2745" s="76"/>
      <c r="M2745" s="59"/>
      <c r="N2745" s="60"/>
      <c r="O2745" s="61">
        <v>9.6</v>
      </c>
      <c r="P2745" s="62">
        <v>10.368</v>
      </c>
      <c r="Q2745" s="63">
        <v>10.368</v>
      </c>
      <c r="R2745" s="78">
        <v>10.0</v>
      </c>
      <c r="S2745" s="107">
        <v>10.5</v>
      </c>
      <c r="T2745" s="65">
        <f t="shared" si="93"/>
        <v>1.68</v>
      </c>
      <c r="U2745" s="65">
        <f t="shared" si="94"/>
        <v>12.18</v>
      </c>
      <c r="V2745" s="66">
        <f t="shared" si="135"/>
        <v>0.05</v>
      </c>
      <c r="W2745" s="67">
        <f t="shared" si="96"/>
        <v>9.975</v>
      </c>
      <c r="X2745" s="67">
        <f t="shared" si="132"/>
        <v>1.596</v>
      </c>
      <c r="Y2745" s="67">
        <f t="shared" si="133"/>
        <v>11.571</v>
      </c>
      <c r="Z2745" s="67">
        <f t="shared" si="99"/>
        <v>9.45</v>
      </c>
      <c r="AA2745" s="67">
        <f t="shared" si="114"/>
        <v>1.512</v>
      </c>
      <c r="AB2745" s="67">
        <f t="shared" si="115"/>
        <v>10.962</v>
      </c>
      <c r="AC2745" s="67">
        <f t="shared" si="102"/>
        <v>8.925</v>
      </c>
      <c r="AD2745" s="67">
        <f t="shared" si="116"/>
        <v>1.428</v>
      </c>
      <c r="AE2745" s="67">
        <f t="shared" si="117"/>
        <v>10.353</v>
      </c>
      <c r="AF2745" s="67">
        <f t="shared" si="105"/>
        <v>8.715</v>
      </c>
      <c r="AG2745" s="67">
        <f t="shared" si="118"/>
        <v>1.3944</v>
      </c>
      <c r="AH2745" s="67">
        <f t="shared" si="119"/>
        <v>10.1094</v>
      </c>
      <c r="AI2745" s="67">
        <f t="shared" si="108"/>
        <v>8.4</v>
      </c>
      <c r="AJ2745" s="68">
        <f t="shared" si="136"/>
        <v>1.344</v>
      </c>
      <c r="AK2745" s="68">
        <f t="shared" si="137"/>
        <v>9.744</v>
      </c>
      <c r="AL2745" s="70"/>
      <c r="AM2745" s="70"/>
      <c r="AN2745" s="71"/>
      <c r="AO2745" s="71"/>
      <c r="AP2745" s="71"/>
      <c r="AQ2745" s="71"/>
      <c r="AR2745" s="71"/>
      <c r="AS2745" s="71"/>
      <c r="AT2745" s="71"/>
      <c r="AU2745" s="71"/>
      <c r="AV2745" s="71"/>
      <c r="AW2745" s="71"/>
      <c r="AX2745" s="71"/>
      <c r="AY2745" s="71"/>
      <c r="AZ2745" s="71"/>
      <c r="BA2745" s="71"/>
      <c r="BB2745" s="71"/>
      <c r="BC2745" s="71"/>
      <c r="BD2745" s="71"/>
      <c r="BE2745" s="71"/>
      <c r="BF2745" s="71"/>
      <c r="BG2745" s="71"/>
      <c r="BH2745" s="71"/>
      <c r="BI2745" s="71"/>
      <c r="BJ2745" s="71"/>
      <c r="BK2745" s="71"/>
      <c r="BL2745" s="71"/>
      <c r="BM2745" s="71"/>
      <c r="BN2745" s="71"/>
      <c r="BO2745" s="71"/>
      <c r="BP2745" s="71"/>
      <c r="BQ2745" s="71"/>
      <c r="BR2745" s="71"/>
      <c r="BS2745" s="71"/>
      <c r="BT2745" s="71"/>
      <c r="BU2745" s="71"/>
      <c r="BV2745" s="71"/>
    </row>
    <row r="2746">
      <c r="A2746" s="53">
        <v>1.0</v>
      </c>
      <c r="B2746" s="53"/>
      <c r="C2746" s="73" t="s">
        <v>53</v>
      </c>
      <c r="D2746" s="74" t="s">
        <v>6730</v>
      </c>
      <c r="E2746" s="54" t="s">
        <v>38</v>
      </c>
      <c r="F2746" s="54" t="s">
        <v>42</v>
      </c>
      <c r="G2746" s="54" t="s">
        <v>6731</v>
      </c>
      <c r="H2746" s="54" t="s">
        <v>6732</v>
      </c>
      <c r="I2746" s="54">
        <f t="shared" si="125"/>
        <v>38</v>
      </c>
      <c r="J2746" s="56"/>
      <c r="K2746" s="57"/>
      <c r="L2746" s="87"/>
      <c r="M2746" s="59"/>
      <c r="N2746" s="60">
        <v>5288.0</v>
      </c>
      <c r="O2746" s="61">
        <v>5711.0</v>
      </c>
      <c r="P2746" s="62">
        <v>6167.88</v>
      </c>
      <c r="Q2746" s="63">
        <v>6167.88</v>
      </c>
      <c r="R2746" s="64">
        <v>6865.0</v>
      </c>
      <c r="S2746" s="111">
        <v>7208.0</v>
      </c>
      <c r="T2746" s="65">
        <f t="shared" si="93"/>
        <v>1153.28</v>
      </c>
      <c r="U2746" s="65">
        <f t="shared" si="94"/>
        <v>8361.28</v>
      </c>
      <c r="V2746" s="66">
        <f t="shared" si="135"/>
        <v>0.04996358339</v>
      </c>
      <c r="W2746" s="67">
        <f t="shared" si="96"/>
        <v>6847.6</v>
      </c>
      <c r="X2746" s="67">
        <f t="shared" si="132"/>
        <v>1095.616</v>
      </c>
      <c r="Y2746" s="67">
        <f t="shared" si="133"/>
        <v>7943.216</v>
      </c>
      <c r="Z2746" s="67">
        <f t="shared" si="99"/>
        <v>6487.2</v>
      </c>
      <c r="AA2746" s="67">
        <f t="shared" si="114"/>
        <v>1037.952</v>
      </c>
      <c r="AB2746" s="67">
        <f t="shared" si="115"/>
        <v>7525.152</v>
      </c>
      <c r="AC2746" s="67">
        <f t="shared" si="102"/>
        <v>6126.8</v>
      </c>
      <c r="AD2746" s="67">
        <f t="shared" si="116"/>
        <v>980.288</v>
      </c>
      <c r="AE2746" s="67">
        <f t="shared" si="117"/>
        <v>7107.088</v>
      </c>
      <c r="AF2746" s="67">
        <f t="shared" si="105"/>
        <v>5982.64</v>
      </c>
      <c r="AG2746" s="67">
        <f t="shared" si="118"/>
        <v>957.2224</v>
      </c>
      <c r="AH2746" s="67">
        <f t="shared" si="119"/>
        <v>6939.8624</v>
      </c>
      <c r="AI2746" s="67">
        <f t="shared" si="108"/>
        <v>5766.4</v>
      </c>
      <c r="AJ2746" s="68">
        <f t="shared" si="136"/>
        <v>922.624</v>
      </c>
      <c r="AK2746" s="68">
        <f t="shared" si="137"/>
        <v>6689.024</v>
      </c>
      <c r="AL2746" s="70"/>
      <c r="AM2746" s="70"/>
      <c r="AN2746" s="71"/>
      <c r="AO2746" s="71"/>
      <c r="AP2746" s="71"/>
      <c r="AQ2746" s="71"/>
      <c r="AR2746" s="71"/>
      <c r="AS2746" s="71"/>
      <c r="AT2746" s="71"/>
      <c r="AU2746" s="71"/>
      <c r="AV2746" s="71"/>
      <c r="AW2746" s="71"/>
      <c r="AX2746" s="71"/>
      <c r="AY2746" s="71"/>
      <c r="AZ2746" s="71"/>
      <c r="BA2746" s="71"/>
      <c r="BB2746" s="71"/>
      <c r="BC2746" s="71"/>
      <c r="BD2746" s="71"/>
      <c r="BE2746" s="71"/>
      <c r="BF2746" s="71"/>
      <c r="BG2746" s="71"/>
      <c r="BH2746" s="71"/>
      <c r="BI2746" s="71"/>
      <c r="BJ2746" s="71"/>
      <c r="BK2746" s="71"/>
      <c r="BL2746" s="71"/>
      <c r="BM2746" s="71"/>
      <c r="BN2746" s="71"/>
      <c r="BO2746" s="71"/>
      <c r="BP2746" s="71"/>
      <c r="BQ2746" s="71"/>
      <c r="BR2746" s="71"/>
      <c r="BS2746" s="71"/>
      <c r="BT2746" s="71"/>
      <c r="BU2746" s="71"/>
      <c r="BV2746" s="71"/>
    </row>
    <row r="2747">
      <c r="A2747" s="53">
        <v>1.0</v>
      </c>
      <c r="B2747" s="53"/>
      <c r="C2747" s="73" t="s">
        <v>53</v>
      </c>
      <c r="D2747" s="74" t="s">
        <v>6733</v>
      </c>
      <c r="E2747" s="54" t="s">
        <v>38</v>
      </c>
      <c r="F2747" s="54" t="s">
        <v>42</v>
      </c>
      <c r="G2747" s="88" t="s">
        <v>6734</v>
      </c>
      <c r="H2747" s="54" t="s">
        <v>6735</v>
      </c>
      <c r="I2747" s="54">
        <f t="shared" si="125"/>
        <v>38</v>
      </c>
      <c r="J2747" s="56"/>
      <c r="K2747" s="57"/>
      <c r="L2747" s="87"/>
      <c r="M2747" s="59"/>
      <c r="N2747" s="60">
        <v>5140.0</v>
      </c>
      <c r="O2747" s="61">
        <v>5551.0</v>
      </c>
      <c r="P2747" s="62">
        <v>5995.080000000001</v>
      </c>
      <c r="Q2747" s="63">
        <v>5995.080000000001</v>
      </c>
      <c r="R2747" s="64">
        <v>6673.0</v>
      </c>
      <c r="S2747" s="111">
        <v>7007.0</v>
      </c>
      <c r="T2747" s="65">
        <f t="shared" si="93"/>
        <v>1121.12</v>
      </c>
      <c r="U2747" s="65">
        <f t="shared" si="94"/>
        <v>8128.12</v>
      </c>
      <c r="V2747" s="66">
        <f t="shared" si="135"/>
        <v>0.05005245017</v>
      </c>
      <c r="W2747" s="67">
        <f t="shared" si="96"/>
        <v>6656.65</v>
      </c>
      <c r="X2747" s="67">
        <f t="shared" si="132"/>
        <v>1065.064</v>
      </c>
      <c r="Y2747" s="67">
        <f t="shared" si="133"/>
        <v>7721.714</v>
      </c>
      <c r="Z2747" s="67">
        <f t="shared" si="99"/>
        <v>6306.3</v>
      </c>
      <c r="AA2747" s="67">
        <f t="shared" si="114"/>
        <v>1009.008</v>
      </c>
      <c r="AB2747" s="67">
        <f t="shared" si="115"/>
        <v>7315.308</v>
      </c>
      <c r="AC2747" s="67">
        <f t="shared" si="102"/>
        <v>5955.95</v>
      </c>
      <c r="AD2747" s="67">
        <f t="shared" si="116"/>
        <v>952.952</v>
      </c>
      <c r="AE2747" s="67">
        <f t="shared" si="117"/>
        <v>6908.902</v>
      </c>
      <c r="AF2747" s="67">
        <f t="shared" si="105"/>
        <v>5815.81</v>
      </c>
      <c r="AG2747" s="67">
        <f t="shared" si="118"/>
        <v>930.5296</v>
      </c>
      <c r="AH2747" s="67">
        <f t="shared" si="119"/>
        <v>6746.3396</v>
      </c>
      <c r="AI2747" s="67">
        <f t="shared" si="108"/>
        <v>5605.6</v>
      </c>
      <c r="AJ2747" s="68">
        <f t="shared" si="136"/>
        <v>896.896</v>
      </c>
      <c r="AK2747" s="68">
        <f t="shared" si="137"/>
        <v>6502.496</v>
      </c>
      <c r="AL2747" s="70"/>
      <c r="AM2747" s="70"/>
      <c r="AN2747" s="71"/>
      <c r="AO2747" s="71"/>
      <c r="AP2747" s="71"/>
      <c r="AQ2747" s="71"/>
      <c r="AR2747" s="71"/>
      <c r="AS2747" s="71"/>
      <c r="AT2747" s="71"/>
      <c r="AU2747" s="71"/>
      <c r="AV2747" s="71"/>
      <c r="AW2747" s="71"/>
      <c r="AX2747" s="71"/>
      <c r="AY2747" s="71"/>
      <c r="AZ2747" s="71"/>
      <c r="BA2747" s="71"/>
      <c r="BB2747" s="71"/>
      <c r="BC2747" s="71"/>
      <c r="BD2747" s="71"/>
      <c r="BE2747" s="71"/>
      <c r="BF2747" s="71"/>
      <c r="BG2747" s="71"/>
      <c r="BH2747" s="71"/>
      <c r="BI2747" s="71"/>
      <c r="BJ2747" s="71"/>
      <c r="BK2747" s="71"/>
      <c r="BL2747" s="71"/>
      <c r="BM2747" s="71"/>
      <c r="BN2747" s="71"/>
      <c r="BO2747" s="71"/>
      <c r="BP2747" s="71"/>
      <c r="BQ2747" s="71"/>
      <c r="BR2747" s="71"/>
      <c r="BS2747" s="71"/>
      <c r="BT2747" s="71"/>
      <c r="BU2747" s="71"/>
      <c r="BV2747" s="71"/>
    </row>
    <row r="2748">
      <c r="A2748" s="53">
        <v>1.0</v>
      </c>
      <c r="B2748" s="53"/>
      <c r="C2748" s="73" t="s">
        <v>53</v>
      </c>
      <c r="D2748" s="74" t="s">
        <v>6736</v>
      </c>
      <c r="E2748" s="54" t="s">
        <v>38</v>
      </c>
      <c r="F2748" s="54" t="s">
        <v>42</v>
      </c>
      <c r="G2748" s="54" t="s">
        <v>6737</v>
      </c>
      <c r="H2748" s="54" t="s">
        <v>6738</v>
      </c>
      <c r="I2748" s="54">
        <f t="shared" si="125"/>
        <v>24</v>
      </c>
      <c r="J2748" s="56"/>
      <c r="K2748" s="57"/>
      <c r="L2748" s="87"/>
      <c r="M2748" s="59"/>
      <c r="N2748" s="60">
        <v>5785.0</v>
      </c>
      <c r="O2748" s="61">
        <v>7247.0</v>
      </c>
      <c r="P2748" s="62">
        <v>7826.76</v>
      </c>
      <c r="Q2748" s="63">
        <v>7826.76</v>
      </c>
      <c r="R2748" s="64">
        <v>8630.0</v>
      </c>
      <c r="S2748" s="111">
        <v>9062.0</v>
      </c>
      <c r="T2748" s="65">
        <f t="shared" si="93"/>
        <v>1449.92</v>
      </c>
      <c r="U2748" s="65">
        <f t="shared" si="94"/>
        <v>10511.92</v>
      </c>
      <c r="V2748" s="66">
        <f t="shared" si="135"/>
        <v>0.05005793743</v>
      </c>
      <c r="W2748" s="67">
        <f t="shared" si="96"/>
        <v>8608.9</v>
      </c>
      <c r="X2748" s="67">
        <f t="shared" si="132"/>
        <v>1377.424</v>
      </c>
      <c r="Y2748" s="67">
        <f t="shared" si="133"/>
        <v>9986.324</v>
      </c>
      <c r="Z2748" s="67">
        <f t="shared" si="99"/>
        <v>8155.8</v>
      </c>
      <c r="AA2748" s="67">
        <f t="shared" si="114"/>
        <v>1304.928</v>
      </c>
      <c r="AB2748" s="67">
        <f t="shared" si="115"/>
        <v>9460.728</v>
      </c>
      <c r="AC2748" s="67">
        <f t="shared" si="102"/>
        <v>7702.7</v>
      </c>
      <c r="AD2748" s="67">
        <f t="shared" si="116"/>
        <v>1232.432</v>
      </c>
      <c r="AE2748" s="67">
        <f t="shared" si="117"/>
        <v>8935.132</v>
      </c>
      <c r="AF2748" s="67">
        <f t="shared" si="105"/>
        <v>7521.46</v>
      </c>
      <c r="AG2748" s="67">
        <f t="shared" si="118"/>
        <v>1203.4336</v>
      </c>
      <c r="AH2748" s="67">
        <f t="shared" si="119"/>
        <v>8724.8936</v>
      </c>
      <c r="AI2748" s="67">
        <f t="shared" si="108"/>
        <v>7249.6</v>
      </c>
      <c r="AJ2748" s="68">
        <f t="shared" si="136"/>
        <v>1159.936</v>
      </c>
      <c r="AK2748" s="68">
        <f t="shared" si="137"/>
        <v>8409.536</v>
      </c>
      <c r="AL2748" s="70"/>
      <c r="AM2748" s="70"/>
      <c r="AN2748" s="71"/>
      <c r="AO2748" s="71"/>
      <c r="AP2748" s="71"/>
      <c r="AQ2748" s="71"/>
      <c r="AR2748" s="71"/>
      <c r="AS2748" s="71"/>
      <c r="AT2748" s="71"/>
      <c r="AU2748" s="71"/>
      <c r="AV2748" s="71"/>
      <c r="AW2748" s="71"/>
      <c r="AX2748" s="71"/>
      <c r="AY2748" s="71"/>
      <c r="AZ2748" s="71"/>
      <c r="BA2748" s="71"/>
      <c r="BB2748" s="71"/>
      <c r="BC2748" s="71"/>
      <c r="BD2748" s="71"/>
      <c r="BE2748" s="71"/>
      <c r="BF2748" s="71"/>
      <c r="BG2748" s="71"/>
      <c r="BH2748" s="71"/>
      <c r="BI2748" s="71"/>
      <c r="BJ2748" s="71"/>
      <c r="BK2748" s="71"/>
      <c r="BL2748" s="71"/>
      <c r="BM2748" s="71"/>
      <c r="BN2748" s="71"/>
      <c r="BO2748" s="71"/>
      <c r="BP2748" s="71"/>
      <c r="BQ2748" s="71"/>
      <c r="BR2748" s="71"/>
      <c r="BS2748" s="71"/>
      <c r="BT2748" s="71"/>
      <c r="BU2748" s="71"/>
      <c r="BV2748" s="71"/>
    </row>
    <row r="2749">
      <c r="A2749" s="53">
        <v>1.0</v>
      </c>
      <c r="B2749" s="53"/>
      <c r="C2749" s="73" t="s">
        <v>12</v>
      </c>
      <c r="D2749" s="53" t="s">
        <v>6739</v>
      </c>
      <c r="E2749" s="54" t="s">
        <v>38</v>
      </c>
      <c r="F2749" s="54" t="s">
        <v>42</v>
      </c>
      <c r="G2749" s="54" t="s">
        <v>6740</v>
      </c>
      <c r="H2749" s="54" t="s">
        <v>6741</v>
      </c>
      <c r="I2749" s="54">
        <f t="shared" si="125"/>
        <v>21</v>
      </c>
      <c r="J2749" s="56"/>
      <c r="K2749" s="57"/>
      <c r="L2749" s="87"/>
      <c r="M2749" s="59"/>
      <c r="N2749" s="60">
        <v>1915.0</v>
      </c>
      <c r="O2749" s="61">
        <v>2068.0</v>
      </c>
      <c r="P2749" s="62">
        <v>2233.44</v>
      </c>
      <c r="Q2749" s="63">
        <v>2233.44</v>
      </c>
      <c r="R2749" s="64">
        <v>2487.0</v>
      </c>
      <c r="S2749" s="111">
        <v>2611.0</v>
      </c>
      <c r="T2749" s="65">
        <f t="shared" si="93"/>
        <v>417.76</v>
      </c>
      <c r="U2749" s="65">
        <f t="shared" si="94"/>
        <v>3028.76</v>
      </c>
      <c r="V2749" s="66">
        <f t="shared" si="135"/>
        <v>0.04985926819</v>
      </c>
      <c r="W2749" s="67">
        <f t="shared" si="96"/>
        <v>2480.45</v>
      </c>
      <c r="X2749" s="67">
        <f t="shared" si="132"/>
        <v>396.872</v>
      </c>
      <c r="Y2749" s="67">
        <f t="shared" si="133"/>
        <v>2877.322</v>
      </c>
      <c r="Z2749" s="67">
        <f t="shared" si="99"/>
        <v>2349.9</v>
      </c>
      <c r="AA2749" s="67">
        <f t="shared" si="114"/>
        <v>375.984</v>
      </c>
      <c r="AB2749" s="67">
        <f t="shared" si="115"/>
        <v>2725.884</v>
      </c>
      <c r="AC2749" s="67">
        <f t="shared" si="102"/>
        <v>2219.35</v>
      </c>
      <c r="AD2749" s="67">
        <f t="shared" si="116"/>
        <v>355.096</v>
      </c>
      <c r="AE2749" s="67">
        <f t="shared" si="117"/>
        <v>2574.446</v>
      </c>
      <c r="AF2749" s="67">
        <f t="shared" si="105"/>
        <v>2167.13</v>
      </c>
      <c r="AG2749" s="67">
        <f t="shared" si="118"/>
        <v>346.7408</v>
      </c>
      <c r="AH2749" s="67">
        <f t="shared" si="119"/>
        <v>2513.8708</v>
      </c>
      <c r="AI2749" s="67">
        <f t="shared" si="108"/>
        <v>2088.8</v>
      </c>
      <c r="AJ2749" s="68">
        <f t="shared" si="136"/>
        <v>334.208</v>
      </c>
      <c r="AK2749" s="68">
        <f t="shared" si="137"/>
        <v>2423.008</v>
      </c>
      <c r="AL2749" s="70"/>
      <c r="AM2749" s="70"/>
      <c r="AN2749" s="71"/>
      <c r="AO2749" s="71"/>
      <c r="AP2749" s="71"/>
      <c r="AQ2749" s="71"/>
      <c r="AR2749" s="71"/>
      <c r="AS2749" s="71"/>
      <c r="AT2749" s="71"/>
      <c r="AU2749" s="71"/>
      <c r="AV2749" s="71"/>
      <c r="AW2749" s="71"/>
      <c r="AX2749" s="71"/>
      <c r="AY2749" s="71"/>
      <c r="AZ2749" s="71"/>
      <c r="BA2749" s="71"/>
      <c r="BB2749" s="71"/>
      <c r="BC2749" s="71"/>
      <c r="BD2749" s="71"/>
      <c r="BE2749" s="71"/>
      <c r="BF2749" s="71"/>
      <c r="BG2749" s="71"/>
      <c r="BH2749" s="71"/>
      <c r="BI2749" s="71"/>
      <c r="BJ2749" s="71"/>
      <c r="BK2749" s="71"/>
      <c r="BL2749" s="71"/>
      <c r="BM2749" s="71"/>
      <c r="BN2749" s="71"/>
      <c r="BO2749" s="71"/>
      <c r="BP2749" s="71"/>
      <c r="BQ2749" s="71"/>
      <c r="BR2749" s="71"/>
      <c r="BS2749" s="71"/>
      <c r="BT2749" s="71"/>
      <c r="BU2749" s="71"/>
      <c r="BV2749" s="71"/>
    </row>
    <row r="2750">
      <c r="A2750" s="53">
        <v>1.0</v>
      </c>
      <c r="B2750" s="53"/>
      <c r="C2750" s="73" t="s">
        <v>12</v>
      </c>
      <c r="D2750" s="74" t="s">
        <v>6742</v>
      </c>
      <c r="E2750" s="54" t="s">
        <v>38</v>
      </c>
      <c r="F2750" s="54" t="s">
        <v>42</v>
      </c>
      <c r="G2750" s="54" t="s">
        <v>6743</v>
      </c>
      <c r="H2750" s="54" t="s">
        <v>6744</v>
      </c>
      <c r="I2750" s="54">
        <f t="shared" si="125"/>
        <v>32</v>
      </c>
      <c r="J2750" s="56"/>
      <c r="K2750" s="57"/>
      <c r="L2750" s="87"/>
      <c r="M2750" s="59"/>
      <c r="N2750" s="60">
        <v>1515.0</v>
      </c>
      <c r="O2750" s="61">
        <v>1636.0</v>
      </c>
      <c r="P2750" s="62">
        <v>1766.88</v>
      </c>
      <c r="Q2750" s="63">
        <v>1766.88</v>
      </c>
      <c r="R2750" s="64">
        <v>1967.0</v>
      </c>
      <c r="S2750" s="111">
        <v>2065.0</v>
      </c>
      <c r="T2750" s="65">
        <f t="shared" si="93"/>
        <v>330.4</v>
      </c>
      <c r="U2750" s="65">
        <f t="shared" si="94"/>
        <v>2395.4</v>
      </c>
      <c r="V2750" s="66">
        <f t="shared" si="135"/>
        <v>0.04982206406</v>
      </c>
      <c r="W2750" s="67">
        <f t="shared" si="96"/>
        <v>1961.75</v>
      </c>
      <c r="X2750" s="67">
        <f t="shared" si="132"/>
        <v>313.88</v>
      </c>
      <c r="Y2750" s="67">
        <f t="shared" si="133"/>
        <v>2275.63</v>
      </c>
      <c r="Z2750" s="67">
        <f t="shared" si="99"/>
        <v>1858.5</v>
      </c>
      <c r="AA2750" s="67">
        <f t="shared" si="114"/>
        <v>297.36</v>
      </c>
      <c r="AB2750" s="67">
        <f t="shared" si="115"/>
        <v>2155.86</v>
      </c>
      <c r="AC2750" s="67">
        <f t="shared" si="102"/>
        <v>1755.25</v>
      </c>
      <c r="AD2750" s="67">
        <f t="shared" si="116"/>
        <v>280.84</v>
      </c>
      <c r="AE2750" s="67">
        <f t="shared" si="117"/>
        <v>2036.09</v>
      </c>
      <c r="AF2750" s="67">
        <f t="shared" si="105"/>
        <v>1713.95</v>
      </c>
      <c r="AG2750" s="67">
        <f t="shared" si="118"/>
        <v>274.232</v>
      </c>
      <c r="AH2750" s="67">
        <f t="shared" si="119"/>
        <v>1988.182</v>
      </c>
      <c r="AI2750" s="67">
        <f t="shared" si="108"/>
        <v>1652</v>
      </c>
      <c r="AJ2750" s="68">
        <f t="shared" si="136"/>
        <v>264.32</v>
      </c>
      <c r="AK2750" s="68">
        <f t="shared" si="137"/>
        <v>1916.32</v>
      </c>
      <c r="AL2750" s="70"/>
      <c r="AM2750" s="70"/>
      <c r="AN2750" s="71"/>
      <c r="AO2750" s="71"/>
      <c r="AP2750" s="71"/>
      <c r="AQ2750" s="71"/>
      <c r="AR2750" s="71"/>
      <c r="AS2750" s="71"/>
      <c r="AT2750" s="71"/>
      <c r="AU2750" s="71"/>
      <c r="AV2750" s="71"/>
      <c r="AW2750" s="71"/>
      <c r="AX2750" s="71"/>
      <c r="AY2750" s="71"/>
      <c r="AZ2750" s="71"/>
      <c r="BA2750" s="71"/>
      <c r="BB2750" s="71"/>
      <c r="BC2750" s="71"/>
      <c r="BD2750" s="71"/>
      <c r="BE2750" s="71"/>
      <c r="BF2750" s="71"/>
      <c r="BG2750" s="71"/>
      <c r="BH2750" s="71"/>
      <c r="BI2750" s="71"/>
      <c r="BJ2750" s="71"/>
      <c r="BK2750" s="71"/>
      <c r="BL2750" s="71"/>
      <c r="BM2750" s="71"/>
      <c r="BN2750" s="71"/>
      <c r="BO2750" s="71"/>
      <c r="BP2750" s="71"/>
      <c r="BQ2750" s="71"/>
      <c r="BR2750" s="71"/>
      <c r="BS2750" s="71"/>
      <c r="BT2750" s="71"/>
      <c r="BU2750" s="71"/>
      <c r="BV2750" s="71"/>
    </row>
    <row r="2751">
      <c r="A2751" s="53">
        <v>1.0</v>
      </c>
      <c r="B2751" s="53"/>
      <c r="C2751" s="73" t="s">
        <v>12</v>
      </c>
      <c r="D2751" s="74" t="s">
        <v>6745</v>
      </c>
      <c r="E2751" s="54" t="s">
        <v>38</v>
      </c>
      <c r="F2751" s="54" t="s">
        <v>42</v>
      </c>
      <c r="G2751" s="88" t="s">
        <v>6746</v>
      </c>
      <c r="H2751" s="54" t="s">
        <v>6747</v>
      </c>
      <c r="I2751" s="54">
        <f t="shared" si="125"/>
        <v>21</v>
      </c>
      <c r="J2751" s="56"/>
      <c r="K2751" s="57"/>
      <c r="L2751" s="87"/>
      <c r="M2751" s="59"/>
      <c r="N2751" s="60">
        <v>666.0</v>
      </c>
      <c r="O2751" s="61">
        <v>719.0</v>
      </c>
      <c r="P2751" s="62">
        <v>776.5200000000001</v>
      </c>
      <c r="Q2751" s="63">
        <v>776.5200000000001</v>
      </c>
      <c r="R2751" s="64">
        <v>866.0</v>
      </c>
      <c r="S2751" s="111">
        <v>909.0</v>
      </c>
      <c r="T2751" s="65">
        <f t="shared" si="93"/>
        <v>145.44</v>
      </c>
      <c r="U2751" s="65">
        <f t="shared" si="94"/>
        <v>1054.44</v>
      </c>
      <c r="V2751" s="66">
        <f t="shared" si="135"/>
        <v>0.04965357968</v>
      </c>
      <c r="W2751" s="67">
        <f t="shared" si="96"/>
        <v>863.55</v>
      </c>
      <c r="X2751" s="67">
        <f t="shared" si="132"/>
        <v>138.168</v>
      </c>
      <c r="Y2751" s="67">
        <f t="shared" si="133"/>
        <v>1001.718</v>
      </c>
      <c r="Z2751" s="67">
        <f t="shared" si="99"/>
        <v>818.1</v>
      </c>
      <c r="AA2751" s="67">
        <f t="shared" si="114"/>
        <v>130.896</v>
      </c>
      <c r="AB2751" s="67">
        <f t="shared" si="115"/>
        <v>948.996</v>
      </c>
      <c r="AC2751" s="67">
        <f t="shared" si="102"/>
        <v>772.65</v>
      </c>
      <c r="AD2751" s="67">
        <f t="shared" si="116"/>
        <v>123.624</v>
      </c>
      <c r="AE2751" s="67">
        <f t="shared" si="117"/>
        <v>896.274</v>
      </c>
      <c r="AF2751" s="67">
        <f t="shared" si="105"/>
        <v>754.47</v>
      </c>
      <c r="AG2751" s="67">
        <f t="shared" si="118"/>
        <v>120.7152</v>
      </c>
      <c r="AH2751" s="67">
        <f t="shared" si="119"/>
        <v>875.1852</v>
      </c>
      <c r="AI2751" s="67">
        <f t="shared" si="108"/>
        <v>727.2</v>
      </c>
      <c r="AJ2751" s="68">
        <f t="shared" si="136"/>
        <v>116.352</v>
      </c>
      <c r="AK2751" s="68">
        <f t="shared" si="137"/>
        <v>843.552</v>
      </c>
      <c r="AL2751" s="70"/>
      <c r="AM2751" s="70"/>
      <c r="AN2751" s="71"/>
      <c r="AO2751" s="71"/>
      <c r="AP2751" s="71"/>
      <c r="AQ2751" s="71"/>
      <c r="AR2751" s="71"/>
      <c r="AS2751" s="71"/>
      <c r="AT2751" s="71"/>
      <c r="AU2751" s="71"/>
      <c r="AV2751" s="71"/>
      <c r="AW2751" s="71"/>
      <c r="AX2751" s="71"/>
      <c r="AY2751" s="71"/>
      <c r="AZ2751" s="71"/>
      <c r="BA2751" s="71"/>
      <c r="BB2751" s="71"/>
      <c r="BC2751" s="71"/>
      <c r="BD2751" s="71"/>
      <c r="BE2751" s="71"/>
      <c r="BF2751" s="71"/>
      <c r="BG2751" s="71"/>
      <c r="BH2751" s="71"/>
      <c r="BI2751" s="71"/>
      <c r="BJ2751" s="71"/>
      <c r="BK2751" s="71"/>
      <c r="BL2751" s="71"/>
      <c r="BM2751" s="71"/>
      <c r="BN2751" s="71"/>
      <c r="BO2751" s="71"/>
      <c r="BP2751" s="71"/>
      <c r="BQ2751" s="71"/>
      <c r="BR2751" s="71"/>
      <c r="BS2751" s="71"/>
      <c r="BT2751" s="71"/>
      <c r="BU2751" s="71"/>
      <c r="BV2751" s="71"/>
    </row>
    <row r="2752">
      <c r="A2752" s="53">
        <v>1.0</v>
      </c>
      <c r="B2752" s="53"/>
      <c r="C2752" s="73" t="s">
        <v>12</v>
      </c>
      <c r="D2752" s="53" t="s">
        <v>6748</v>
      </c>
      <c r="E2752" s="54" t="s">
        <v>38</v>
      </c>
      <c r="F2752" s="54" t="s">
        <v>42</v>
      </c>
      <c r="G2752" s="54" t="s">
        <v>6749</v>
      </c>
      <c r="H2752" s="54" t="s">
        <v>6750</v>
      </c>
      <c r="I2752" s="54">
        <f t="shared" si="125"/>
        <v>21</v>
      </c>
      <c r="J2752" s="56"/>
      <c r="K2752" s="57"/>
      <c r="L2752" s="87"/>
      <c r="M2752" s="59"/>
      <c r="N2752" s="60">
        <v>1759.0</v>
      </c>
      <c r="O2752" s="61">
        <v>1899.0</v>
      </c>
      <c r="P2752" s="62">
        <v>2050.92</v>
      </c>
      <c r="Q2752" s="63">
        <v>2050.92</v>
      </c>
      <c r="R2752" s="64">
        <v>2283.0</v>
      </c>
      <c r="S2752" s="111">
        <v>2397.0</v>
      </c>
      <c r="T2752" s="65">
        <f t="shared" si="93"/>
        <v>383.52</v>
      </c>
      <c r="U2752" s="65">
        <f t="shared" si="94"/>
        <v>2780.52</v>
      </c>
      <c r="V2752" s="66">
        <f t="shared" si="135"/>
        <v>0.04993429698</v>
      </c>
      <c r="W2752" s="67">
        <f t="shared" si="96"/>
        <v>2277.15</v>
      </c>
      <c r="X2752" s="67">
        <f t="shared" si="132"/>
        <v>364.344</v>
      </c>
      <c r="Y2752" s="67">
        <f t="shared" si="133"/>
        <v>2641.494</v>
      </c>
      <c r="Z2752" s="67">
        <f t="shared" si="99"/>
        <v>2157.3</v>
      </c>
      <c r="AA2752" s="67">
        <f t="shared" si="114"/>
        <v>345.168</v>
      </c>
      <c r="AB2752" s="67">
        <f t="shared" si="115"/>
        <v>2502.468</v>
      </c>
      <c r="AC2752" s="67">
        <f t="shared" si="102"/>
        <v>2037.45</v>
      </c>
      <c r="AD2752" s="67">
        <f t="shared" si="116"/>
        <v>325.992</v>
      </c>
      <c r="AE2752" s="67">
        <f t="shared" si="117"/>
        <v>2363.442</v>
      </c>
      <c r="AF2752" s="67">
        <f t="shared" si="105"/>
        <v>1989.51</v>
      </c>
      <c r="AG2752" s="67">
        <f t="shared" si="118"/>
        <v>318.3216</v>
      </c>
      <c r="AH2752" s="67">
        <f t="shared" si="119"/>
        <v>2307.8316</v>
      </c>
      <c r="AI2752" s="67">
        <f t="shared" si="108"/>
        <v>1917.6</v>
      </c>
      <c r="AJ2752" s="68">
        <f t="shared" si="136"/>
        <v>306.816</v>
      </c>
      <c r="AK2752" s="68">
        <f t="shared" si="137"/>
        <v>2224.416</v>
      </c>
      <c r="AL2752" s="70"/>
      <c r="AM2752" s="70"/>
      <c r="AN2752" s="71"/>
      <c r="AO2752" s="71"/>
      <c r="AP2752" s="71"/>
      <c r="AQ2752" s="71"/>
      <c r="AR2752" s="71"/>
      <c r="AS2752" s="71"/>
      <c r="AT2752" s="71"/>
      <c r="AU2752" s="71"/>
      <c r="AV2752" s="71"/>
      <c r="AW2752" s="71"/>
      <c r="AX2752" s="71"/>
      <c r="AY2752" s="71"/>
      <c r="AZ2752" s="71"/>
      <c r="BA2752" s="71"/>
      <c r="BB2752" s="71"/>
      <c r="BC2752" s="71"/>
      <c r="BD2752" s="71"/>
      <c r="BE2752" s="71"/>
      <c r="BF2752" s="71"/>
      <c r="BG2752" s="71"/>
      <c r="BH2752" s="71"/>
      <c r="BI2752" s="71"/>
      <c r="BJ2752" s="71"/>
      <c r="BK2752" s="71"/>
      <c r="BL2752" s="71"/>
      <c r="BM2752" s="71"/>
      <c r="BN2752" s="71"/>
      <c r="BO2752" s="71"/>
      <c r="BP2752" s="71"/>
      <c r="BQ2752" s="71"/>
      <c r="BR2752" s="71"/>
      <c r="BS2752" s="71"/>
      <c r="BT2752" s="71"/>
      <c r="BU2752" s="71"/>
      <c r="BV2752" s="71"/>
    </row>
    <row r="2753">
      <c r="A2753" s="53"/>
      <c r="B2753" s="53"/>
      <c r="C2753" s="53" t="s">
        <v>12</v>
      </c>
      <c r="D2753" s="85" t="s">
        <v>6751</v>
      </c>
      <c r="E2753" s="54" t="s">
        <v>38</v>
      </c>
      <c r="F2753" s="54" t="s">
        <v>42</v>
      </c>
      <c r="G2753" s="84" t="s">
        <v>6752</v>
      </c>
      <c r="H2753" s="84" t="s">
        <v>6753</v>
      </c>
      <c r="I2753" s="54">
        <f t="shared" si="125"/>
        <v>34</v>
      </c>
      <c r="J2753" s="56"/>
      <c r="K2753" s="57"/>
      <c r="L2753" s="76"/>
      <c r="M2753" s="59"/>
      <c r="N2753" s="60"/>
      <c r="O2753" s="90"/>
      <c r="P2753" s="62">
        <v>4428.0</v>
      </c>
      <c r="Q2753" s="63">
        <v>4428.0</v>
      </c>
      <c r="R2753" s="64">
        <v>4650.0</v>
      </c>
      <c r="S2753" s="111">
        <v>4883.0</v>
      </c>
      <c r="T2753" s="65">
        <f t="shared" si="93"/>
        <v>781.28</v>
      </c>
      <c r="U2753" s="65">
        <f t="shared" si="94"/>
        <v>5664.28</v>
      </c>
      <c r="V2753" s="66"/>
      <c r="W2753" s="67">
        <f t="shared" si="96"/>
        <v>4638.85</v>
      </c>
      <c r="X2753" s="67">
        <f t="shared" si="132"/>
        <v>742.216</v>
      </c>
      <c r="Y2753" s="67">
        <f t="shared" si="133"/>
        <v>5381.066</v>
      </c>
      <c r="Z2753" s="67">
        <f t="shared" si="99"/>
        <v>4394.7</v>
      </c>
      <c r="AA2753" s="67">
        <f t="shared" si="114"/>
        <v>703.152</v>
      </c>
      <c r="AB2753" s="67">
        <f t="shared" si="115"/>
        <v>5097.852</v>
      </c>
      <c r="AC2753" s="67">
        <f t="shared" si="102"/>
        <v>4150.55</v>
      </c>
      <c r="AD2753" s="67">
        <f t="shared" si="116"/>
        <v>664.088</v>
      </c>
      <c r="AE2753" s="67">
        <f t="shared" si="117"/>
        <v>4814.638</v>
      </c>
      <c r="AF2753" s="67">
        <f t="shared" si="105"/>
        <v>4052.89</v>
      </c>
      <c r="AG2753" s="67">
        <f t="shared" si="118"/>
        <v>648.4624</v>
      </c>
      <c r="AH2753" s="67">
        <f t="shared" si="119"/>
        <v>4701.3524</v>
      </c>
      <c r="AI2753" s="67">
        <f t="shared" si="108"/>
        <v>3906.4</v>
      </c>
      <c r="AJ2753" s="68">
        <f t="shared" si="136"/>
        <v>625.024</v>
      </c>
      <c r="AK2753" s="68">
        <f t="shared" si="137"/>
        <v>4531.424</v>
      </c>
      <c r="AL2753" s="70"/>
      <c r="AM2753" s="70"/>
      <c r="AN2753" s="71"/>
      <c r="AO2753" s="71"/>
      <c r="AP2753" s="71"/>
      <c r="AQ2753" s="71"/>
      <c r="AR2753" s="71"/>
      <c r="AS2753" s="71"/>
      <c r="AT2753" s="71"/>
      <c r="AU2753" s="71"/>
      <c r="AV2753" s="71"/>
      <c r="AW2753" s="71"/>
      <c r="AX2753" s="71"/>
      <c r="AY2753" s="71"/>
      <c r="AZ2753" s="71"/>
      <c r="BA2753" s="71"/>
      <c r="BB2753" s="71"/>
      <c r="BC2753" s="71"/>
      <c r="BD2753" s="71"/>
      <c r="BE2753" s="71"/>
      <c r="BF2753" s="71"/>
      <c r="BG2753" s="71"/>
      <c r="BH2753" s="71"/>
      <c r="BI2753" s="71"/>
      <c r="BJ2753" s="71"/>
      <c r="BK2753" s="71"/>
      <c r="BL2753" s="71"/>
      <c r="BM2753" s="71"/>
      <c r="BN2753" s="71"/>
      <c r="BO2753" s="71"/>
      <c r="BP2753" s="71"/>
      <c r="BQ2753" s="71"/>
      <c r="BR2753" s="71"/>
      <c r="BS2753" s="71"/>
      <c r="BT2753" s="71"/>
      <c r="BU2753" s="71"/>
      <c r="BV2753" s="71"/>
    </row>
    <row r="2754">
      <c r="A2754" s="53"/>
      <c r="B2754" s="53"/>
      <c r="C2754" s="53" t="s">
        <v>12</v>
      </c>
      <c r="D2754" s="85" t="s">
        <v>6754</v>
      </c>
      <c r="E2754" s="54" t="s">
        <v>38</v>
      </c>
      <c r="F2754" s="54" t="s">
        <v>42</v>
      </c>
      <c r="G2754" s="84" t="s">
        <v>6755</v>
      </c>
      <c r="H2754" s="84" t="s">
        <v>6756</v>
      </c>
      <c r="I2754" s="54">
        <f t="shared" si="125"/>
        <v>34</v>
      </c>
      <c r="J2754" s="56"/>
      <c r="K2754" s="57"/>
      <c r="L2754" s="76"/>
      <c r="M2754" s="59"/>
      <c r="N2754" s="60"/>
      <c r="O2754" s="90"/>
      <c r="P2754" s="62">
        <v>6330.0</v>
      </c>
      <c r="Q2754" s="63">
        <v>6330.0</v>
      </c>
      <c r="R2754" s="64">
        <v>6647.0</v>
      </c>
      <c r="S2754" s="111">
        <v>6979.0</v>
      </c>
      <c r="T2754" s="65">
        <f t="shared" si="93"/>
        <v>1116.64</v>
      </c>
      <c r="U2754" s="65">
        <f t="shared" si="94"/>
        <v>8095.64</v>
      </c>
      <c r="V2754" s="66"/>
      <c r="W2754" s="67">
        <f t="shared" si="96"/>
        <v>6630.05</v>
      </c>
      <c r="X2754" s="67">
        <f t="shared" si="132"/>
        <v>1060.808</v>
      </c>
      <c r="Y2754" s="67">
        <f t="shared" si="133"/>
        <v>7690.858</v>
      </c>
      <c r="Z2754" s="67">
        <f t="shared" si="99"/>
        <v>6281.1</v>
      </c>
      <c r="AA2754" s="67">
        <f t="shared" si="114"/>
        <v>1004.976</v>
      </c>
      <c r="AB2754" s="67">
        <f t="shared" si="115"/>
        <v>7286.076</v>
      </c>
      <c r="AC2754" s="67">
        <f t="shared" si="102"/>
        <v>5932.15</v>
      </c>
      <c r="AD2754" s="67">
        <f t="shared" si="116"/>
        <v>949.144</v>
      </c>
      <c r="AE2754" s="67">
        <f t="shared" si="117"/>
        <v>6881.294</v>
      </c>
      <c r="AF2754" s="67">
        <f t="shared" si="105"/>
        <v>5792.57</v>
      </c>
      <c r="AG2754" s="67">
        <f t="shared" si="118"/>
        <v>926.8112</v>
      </c>
      <c r="AH2754" s="67">
        <f t="shared" si="119"/>
        <v>6719.3812</v>
      </c>
      <c r="AI2754" s="67">
        <f t="shared" si="108"/>
        <v>5583.2</v>
      </c>
      <c r="AJ2754" s="68">
        <f t="shared" si="136"/>
        <v>893.312</v>
      </c>
      <c r="AK2754" s="68">
        <f t="shared" si="137"/>
        <v>6476.512</v>
      </c>
      <c r="AL2754" s="70"/>
      <c r="AM2754" s="70"/>
      <c r="AN2754" s="71"/>
      <c r="AO2754" s="71"/>
      <c r="AP2754" s="71"/>
      <c r="AQ2754" s="71"/>
      <c r="AR2754" s="71"/>
      <c r="AS2754" s="71"/>
      <c r="AT2754" s="71"/>
      <c r="AU2754" s="71"/>
      <c r="AV2754" s="71"/>
      <c r="AW2754" s="71"/>
      <c r="AX2754" s="71"/>
      <c r="AY2754" s="71"/>
      <c r="AZ2754" s="71"/>
      <c r="BA2754" s="71"/>
      <c r="BB2754" s="71"/>
      <c r="BC2754" s="71"/>
      <c r="BD2754" s="71"/>
      <c r="BE2754" s="71"/>
      <c r="BF2754" s="71"/>
      <c r="BG2754" s="71"/>
      <c r="BH2754" s="71"/>
      <c r="BI2754" s="71"/>
      <c r="BJ2754" s="71"/>
      <c r="BK2754" s="71"/>
      <c r="BL2754" s="71"/>
      <c r="BM2754" s="71"/>
      <c r="BN2754" s="71"/>
      <c r="BO2754" s="71"/>
      <c r="BP2754" s="71"/>
      <c r="BQ2754" s="71"/>
      <c r="BR2754" s="71"/>
      <c r="BS2754" s="71"/>
      <c r="BT2754" s="71"/>
      <c r="BU2754" s="71"/>
      <c r="BV2754" s="71"/>
    </row>
    <row r="2755">
      <c r="A2755" s="53">
        <v>1.0</v>
      </c>
      <c r="B2755" s="53">
        <v>3.0</v>
      </c>
      <c r="C2755" s="53" t="s">
        <v>36</v>
      </c>
      <c r="D2755" s="98" t="s">
        <v>6757</v>
      </c>
      <c r="E2755" s="54" t="s">
        <v>38</v>
      </c>
      <c r="F2755" s="55" t="s">
        <v>96</v>
      </c>
      <c r="G2755" s="84" t="s">
        <v>6758</v>
      </c>
      <c r="H2755" s="84" t="s">
        <v>6758</v>
      </c>
      <c r="I2755" s="54">
        <f t="shared" si="125"/>
        <v>33</v>
      </c>
      <c r="J2755" s="99"/>
      <c r="K2755" s="99"/>
      <c r="L2755" s="76"/>
      <c r="M2755" s="59"/>
      <c r="N2755" s="60"/>
      <c r="O2755" s="100">
        <v>10191.0</v>
      </c>
      <c r="P2755" s="62">
        <v>11006.28</v>
      </c>
      <c r="Q2755" s="63">
        <v>11006.28</v>
      </c>
      <c r="R2755" s="78">
        <v>9890.0</v>
      </c>
      <c r="S2755" s="107">
        <v>10385.0</v>
      </c>
      <c r="T2755" s="65">
        <f t="shared" si="93"/>
        <v>1661.6</v>
      </c>
      <c r="U2755" s="65">
        <f t="shared" si="94"/>
        <v>12046.6</v>
      </c>
      <c r="V2755" s="66">
        <f t="shared" ref="V2755:V2765" si="138">(S2755-R2755)/R2755</f>
        <v>0.05005055612</v>
      </c>
      <c r="W2755" s="67">
        <f t="shared" si="96"/>
        <v>9865.75</v>
      </c>
      <c r="X2755" s="67">
        <f t="shared" si="132"/>
        <v>1578.52</v>
      </c>
      <c r="Y2755" s="67">
        <f t="shared" si="133"/>
        <v>11444.27</v>
      </c>
      <c r="Z2755" s="67">
        <f t="shared" si="99"/>
        <v>9346.5</v>
      </c>
      <c r="AA2755" s="67">
        <f t="shared" si="114"/>
        <v>1495.44</v>
      </c>
      <c r="AB2755" s="67">
        <f t="shared" si="115"/>
        <v>10841.94</v>
      </c>
      <c r="AC2755" s="67">
        <f t="shared" si="102"/>
        <v>9346.5</v>
      </c>
      <c r="AD2755" s="67">
        <f t="shared" si="116"/>
        <v>1495.44</v>
      </c>
      <c r="AE2755" s="67">
        <f t="shared" si="117"/>
        <v>10841.94</v>
      </c>
      <c r="AF2755" s="67">
        <f t="shared" si="105"/>
        <v>9346.5</v>
      </c>
      <c r="AG2755" s="67">
        <f t="shared" si="118"/>
        <v>1495.44</v>
      </c>
      <c r="AH2755" s="67">
        <f t="shared" si="119"/>
        <v>10841.94</v>
      </c>
      <c r="AI2755" s="67">
        <f t="shared" si="108"/>
        <v>9346.5</v>
      </c>
      <c r="AJ2755" s="68">
        <f t="shared" si="136"/>
        <v>1495.44</v>
      </c>
      <c r="AK2755" s="68">
        <f t="shared" si="137"/>
        <v>10841.94</v>
      </c>
      <c r="AL2755" s="70"/>
      <c r="AM2755" s="70"/>
      <c r="AN2755" s="71"/>
      <c r="AO2755" s="71"/>
      <c r="AP2755" s="71"/>
      <c r="AQ2755" s="71"/>
      <c r="AR2755" s="71"/>
      <c r="AS2755" s="71"/>
      <c r="AT2755" s="71"/>
      <c r="AU2755" s="71"/>
      <c r="AV2755" s="71"/>
      <c r="AW2755" s="71"/>
      <c r="AX2755" s="71"/>
      <c r="AY2755" s="71"/>
      <c r="AZ2755" s="71"/>
      <c r="BA2755" s="71"/>
      <c r="BB2755" s="71"/>
      <c r="BC2755" s="71"/>
      <c r="BD2755" s="71"/>
      <c r="BE2755" s="71"/>
      <c r="BF2755" s="71"/>
      <c r="BG2755" s="71"/>
      <c r="BH2755" s="71"/>
      <c r="BI2755" s="71"/>
      <c r="BJ2755" s="71"/>
      <c r="BK2755" s="71"/>
      <c r="BL2755" s="71"/>
      <c r="BM2755" s="71"/>
      <c r="BN2755" s="71"/>
      <c r="BO2755" s="71"/>
      <c r="BP2755" s="71"/>
      <c r="BQ2755" s="71"/>
      <c r="BR2755" s="71"/>
      <c r="BS2755" s="71"/>
      <c r="BT2755" s="71"/>
      <c r="BU2755" s="71"/>
      <c r="BV2755" s="71"/>
    </row>
    <row r="2756">
      <c r="A2756" s="53"/>
      <c r="B2756" s="53"/>
      <c r="C2756" s="53" t="s">
        <v>36</v>
      </c>
      <c r="D2756" s="85" t="s">
        <v>6759</v>
      </c>
      <c r="E2756" s="54" t="s">
        <v>38</v>
      </c>
      <c r="F2756" s="55" t="s">
        <v>39</v>
      </c>
      <c r="G2756" s="86" t="s">
        <v>6760</v>
      </c>
      <c r="H2756" s="55"/>
      <c r="I2756" s="54">
        <f t="shared" si="125"/>
        <v>0</v>
      </c>
      <c r="J2756" s="56"/>
      <c r="K2756" s="57"/>
      <c r="L2756" s="76"/>
      <c r="M2756" s="59"/>
      <c r="N2756" s="60"/>
      <c r="O2756" s="61">
        <v>556.8</v>
      </c>
      <c r="P2756" s="62">
        <v>601.3439999999999</v>
      </c>
      <c r="Q2756" s="63">
        <v>601.3439999999999</v>
      </c>
      <c r="R2756" s="64">
        <v>632.0</v>
      </c>
      <c r="S2756" s="107">
        <v>664.0</v>
      </c>
      <c r="T2756" s="65">
        <f t="shared" si="93"/>
        <v>106.24</v>
      </c>
      <c r="U2756" s="65">
        <f t="shared" si="94"/>
        <v>770.24</v>
      </c>
      <c r="V2756" s="66">
        <f t="shared" si="138"/>
        <v>0.05063291139</v>
      </c>
      <c r="W2756" s="67">
        <f t="shared" si="96"/>
        <v>630.8</v>
      </c>
      <c r="X2756" s="67">
        <f t="shared" si="132"/>
        <v>100.928</v>
      </c>
      <c r="Y2756" s="67">
        <f t="shared" si="133"/>
        <v>731.728</v>
      </c>
      <c r="Z2756" s="67">
        <f t="shared" si="99"/>
        <v>597.6</v>
      </c>
      <c r="AA2756" s="67">
        <f t="shared" si="114"/>
        <v>95.616</v>
      </c>
      <c r="AB2756" s="67">
        <f t="shared" si="115"/>
        <v>693.216</v>
      </c>
      <c r="AC2756" s="67">
        <f t="shared" si="102"/>
        <v>564.4</v>
      </c>
      <c r="AD2756" s="67">
        <f t="shared" si="116"/>
        <v>90.304</v>
      </c>
      <c r="AE2756" s="67">
        <f t="shared" si="117"/>
        <v>654.704</v>
      </c>
      <c r="AF2756" s="67">
        <f t="shared" si="105"/>
        <v>551.12</v>
      </c>
      <c r="AG2756" s="67">
        <f t="shared" si="118"/>
        <v>88.1792</v>
      </c>
      <c r="AH2756" s="67">
        <f t="shared" si="119"/>
        <v>639.2992</v>
      </c>
      <c r="AI2756" s="67">
        <f t="shared" si="108"/>
        <v>531.2</v>
      </c>
      <c r="AJ2756" s="68">
        <f t="shared" si="136"/>
        <v>84.992</v>
      </c>
      <c r="AK2756" s="68">
        <f t="shared" si="137"/>
        <v>616.192</v>
      </c>
      <c r="AL2756" s="70"/>
      <c r="AM2756" s="70"/>
      <c r="AN2756" s="71"/>
      <c r="AO2756" s="71"/>
      <c r="AP2756" s="71"/>
      <c r="AQ2756" s="71"/>
      <c r="AR2756" s="71"/>
      <c r="AS2756" s="71"/>
      <c r="AT2756" s="71"/>
      <c r="AU2756" s="71"/>
      <c r="AV2756" s="71"/>
      <c r="AW2756" s="71"/>
      <c r="AX2756" s="71"/>
      <c r="AY2756" s="71"/>
      <c r="AZ2756" s="71"/>
      <c r="BA2756" s="71"/>
      <c r="BB2756" s="71"/>
      <c r="BC2756" s="71"/>
      <c r="BD2756" s="71"/>
      <c r="BE2756" s="71"/>
      <c r="BF2756" s="71"/>
      <c r="BG2756" s="71"/>
      <c r="BH2756" s="71"/>
      <c r="BI2756" s="71"/>
      <c r="BJ2756" s="71"/>
      <c r="BK2756" s="71"/>
      <c r="BL2756" s="71"/>
      <c r="BM2756" s="71"/>
      <c r="BN2756" s="71"/>
      <c r="BO2756" s="71"/>
      <c r="BP2756" s="71"/>
      <c r="BQ2756" s="71"/>
      <c r="BR2756" s="71"/>
      <c r="BS2756" s="71"/>
      <c r="BT2756" s="71"/>
      <c r="BU2756" s="71"/>
      <c r="BV2756" s="71"/>
    </row>
    <row r="2757">
      <c r="A2757" s="53">
        <v>1.0</v>
      </c>
      <c r="B2757" s="53"/>
      <c r="C2757" s="73" t="s">
        <v>12</v>
      </c>
      <c r="D2757" s="53" t="s">
        <v>6761</v>
      </c>
      <c r="E2757" s="54" t="s">
        <v>38</v>
      </c>
      <c r="F2757" s="54" t="s">
        <v>42</v>
      </c>
      <c r="G2757" s="88" t="s">
        <v>6762</v>
      </c>
      <c r="H2757" s="54" t="s">
        <v>6763</v>
      </c>
      <c r="I2757" s="54">
        <f t="shared" si="125"/>
        <v>22</v>
      </c>
      <c r="J2757" s="56"/>
      <c r="K2757" s="57"/>
      <c r="L2757" s="87"/>
      <c r="M2757" s="59"/>
      <c r="N2757" s="60">
        <v>35.0</v>
      </c>
      <c r="O2757" s="61">
        <v>37.0</v>
      </c>
      <c r="P2757" s="62">
        <v>39.96</v>
      </c>
      <c r="Q2757" s="63">
        <v>39.96</v>
      </c>
      <c r="R2757" s="64">
        <v>46.0</v>
      </c>
      <c r="S2757" s="111">
        <v>48.0</v>
      </c>
      <c r="T2757" s="65">
        <f t="shared" si="93"/>
        <v>7.68</v>
      </c>
      <c r="U2757" s="65">
        <f t="shared" si="94"/>
        <v>55.68</v>
      </c>
      <c r="V2757" s="66">
        <f t="shared" si="138"/>
        <v>0.04347826087</v>
      </c>
      <c r="W2757" s="67">
        <f t="shared" si="96"/>
        <v>45.6</v>
      </c>
      <c r="X2757" s="67">
        <f t="shared" si="132"/>
        <v>7.296</v>
      </c>
      <c r="Y2757" s="67">
        <f t="shared" si="133"/>
        <v>52.896</v>
      </c>
      <c r="Z2757" s="67">
        <f t="shared" si="99"/>
        <v>43.2</v>
      </c>
      <c r="AA2757" s="67">
        <f t="shared" si="114"/>
        <v>6.912</v>
      </c>
      <c r="AB2757" s="67">
        <f t="shared" si="115"/>
        <v>50.112</v>
      </c>
      <c r="AC2757" s="67">
        <f t="shared" si="102"/>
        <v>40.8</v>
      </c>
      <c r="AD2757" s="67">
        <f t="shared" si="116"/>
        <v>6.528</v>
      </c>
      <c r="AE2757" s="67">
        <f t="shared" si="117"/>
        <v>47.328</v>
      </c>
      <c r="AF2757" s="67">
        <f t="shared" si="105"/>
        <v>39.84</v>
      </c>
      <c r="AG2757" s="67">
        <f t="shared" si="118"/>
        <v>6.3744</v>
      </c>
      <c r="AH2757" s="67">
        <f t="shared" si="119"/>
        <v>46.2144</v>
      </c>
      <c r="AI2757" s="67">
        <f t="shared" si="108"/>
        <v>38.4</v>
      </c>
      <c r="AJ2757" s="68">
        <f t="shared" si="136"/>
        <v>6.144</v>
      </c>
      <c r="AK2757" s="68">
        <f t="shared" si="137"/>
        <v>44.544</v>
      </c>
      <c r="AL2757" s="70"/>
      <c r="AM2757" s="70"/>
      <c r="AN2757" s="71"/>
      <c r="AO2757" s="71"/>
      <c r="AP2757" s="71"/>
      <c r="AQ2757" s="71"/>
      <c r="AR2757" s="71"/>
      <c r="AS2757" s="71"/>
      <c r="AT2757" s="71"/>
      <c r="AU2757" s="71"/>
      <c r="AV2757" s="71"/>
      <c r="AW2757" s="71"/>
      <c r="AX2757" s="71"/>
      <c r="AY2757" s="71"/>
      <c r="AZ2757" s="71"/>
      <c r="BA2757" s="71"/>
      <c r="BB2757" s="71"/>
      <c r="BC2757" s="71"/>
      <c r="BD2757" s="71"/>
      <c r="BE2757" s="71"/>
      <c r="BF2757" s="71"/>
      <c r="BG2757" s="71"/>
      <c r="BH2757" s="71"/>
      <c r="BI2757" s="71"/>
      <c r="BJ2757" s="71"/>
      <c r="BK2757" s="71"/>
      <c r="BL2757" s="71"/>
      <c r="BM2757" s="71"/>
      <c r="BN2757" s="71"/>
      <c r="BO2757" s="71"/>
      <c r="BP2757" s="71"/>
      <c r="BQ2757" s="71"/>
      <c r="BR2757" s="71"/>
      <c r="BS2757" s="71"/>
      <c r="BT2757" s="71"/>
      <c r="BU2757" s="71"/>
      <c r="BV2757" s="71"/>
    </row>
    <row r="2758">
      <c r="A2758" s="53">
        <v>1.0</v>
      </c>
      <c r="B2758" s="53"/>
      <c r="C2758" s="73" t="s">
        <v>53</v>
      </c>
      <c r="D2758" s="53" t="s">
        <v>6764</v>
      </c>
      <c r="E2758" s="54" t="s">
        <v>38</v>
      </c>
      <c r="F2758" s="54" t="s">
        <v>42</v>
      </c>
      <c r="G2758" s="55" t="s">
        <v>6765</v>
      </c>
      <c r="H2758" s="54" t="s">
        <v>6766</v>
      </c>
      <c r="I2758" s="54">
        <f t="shared" si="125"/>
        <v>30</v>
      </c>
      <c r="J2758" s="56"/>
      <c r="K2758" s="57"/>
      <c r="L2758" s="87"/>
      <c r="M2758" s="59"/>
      <c r="N2758" s="60"/>
      <c r="O2758" s="61">
        <v>140.0</v>
      </c>
      <c r="P2758" s="62">
        <v>151.20000000000002</v>
      </c>
      <c r="Q2758" s="63">
        <v>151.20000000000002</v>
      </c>
      <c r="R2758" s="64">
        <v>170.0</v>
      </c>
      <c r="S2758" s="111">
        <v>179.0</v>
      </c>
      <c r="T2758" s="65">
        <f t="shared" si="93"/>
        <v>28.64</v>
      </c>
      <c r="U2758" s="65">
        <f t="shared" si="94"/>
        <v>207.64</v>
      </c>
      <c r="V2758" s="66">
        <f t="shared" si="138"/>
        <v>0.05294117647</v>
      </c>
      <c r="W2758" s="67">
        <f t="shared" si="96"/>
        <v>170.05</v>
      </c>
      <c r="X2758" s="67">
        <f t="shared" si="132"/>
        <v>27.208</v>
      </c>
      <c r="Y2758" s="67">
        <f t="shared" si="133"/>
        <v>197.258</v>
      </c>
      <c r="Z2758" s="67">
        <f t="shared" si="99"/>
        <v>161.1</v>
      </c>
      <c r="AA2758" s="67">
        <f t="shared" si="114"/>
        <v>25.776</v>
      </c>
      <c r="AB2758" s="67">
        <f t="shared" si="115"/>
        <v>186.876</v>
      </c>
      <c r="AC2758" s="67">
        <f t="shared" si="102"/>
        <v>152.15</v>
      </c>
      <c r="AD2758" s="67">
        <f t="shared" si="116"/>
        <v>24.344</v>
      </c>
      <c r="AE2758" s="67">
        <f t="shared" si="117"/>
        <v>176.494</v>
      </c>
      <c r="AF2758" s="67">
        <f t="shared" si="105"/>
        <v>148.57</v>
      </c>
      <c r="AG2758" s="67">
        <f t="shared" si="118"/>
        <v>23.7712</v>
      </c>
      <c r="AH2758" s="67">
        <f t="shared" si="119"/>
        <v>172.3412</v>
      </c>
      <c r="AI2758" s="67">
        <f t="shared" si="108"/>
        <v>143.2</v>
      </c>
      <c r="AJ2758" s="68">
        <f t="shared" si="136"/>
        <v>22.912</v>
      </c>
      <c r="AK2758" s="68">
        <f t="shared" si="137"/>
        <v>166.112</v>
      </c>
      <c r="AL2758" s="70"/>
      <c r="AM2758" s="70"/>
      <c r="AN2758" s="71"/>
      <c r="AO2758" s="71"/>
      <c r="AP2758" s="71"/>
      <c r="AQ2758" s="71"/>
      <c r="AR2758" s="71"/>
      <c r="AS2758" s="71"/>
      <c r="AT2758" s="71"/>
      <c r="AU2758" s="71"/>
      <c r="AV2758" s="71"/>
      <c r="AW2758" s="71"/>
      <c r="AX2758" s="71"/>
      <c r="AY2758" s="71"/>
      <c r="AZ2758" s="71"/>
      <c r="BA2758" s="71"/>
      <c r="BB2758" s="71"/>
      <c r="BC2758" s="71"/>
      <c r="BD2758" s="71"/>
      <c r="BE2758" s="71"/>
      <c r="BF2758" s="71"/>
      <c r="BG2758" s="71"/>
      <c r="BH2758" s="71"/>
      <c r="BI2758" s="71"/>
      <c r="BJ2758" s="71"/>
      <c r="BK2758" s="71"/>
      <c r="BL2758" s="71"/>
      <c r="BM2758" s="71"/>
      <c r="BN2758" s="71"/>
      <c r="BO2758" s="71"/>
      <c r="BP2758" s="71"/>
      <c r="BQ2758" s="71"/>
      <c r="BR2758" s="71"/>
      <c r="BS2758" s="71"/>
      <c r="BT2758" s="71"/>
      <c r="BU2758" s="71"/>
      <c r="BV2758" s="71"/>
    </row>
    <row r="2759">
      <c r="A2759" s="53">
        <v>1.0</v>
      </c>
      <c r="B2759" s="53"/>
      <c r="C2759" s="73" t="s">
        <v>53</v>
      </c>
      <c r="D2759" s="53" t="s">
        <v>6767</v>
      </c>
      <c r="E2759" s="54" t="s">
        <v>38</v>
      </c>
      <c r="F2759" s="54" t="s">
        <v>42</v>
      </c>
      <c r="G2759" s="88" t="s">
        <v>6768</v>
      </c>
      <c r="H2759" s="54" t="s">
        <v>6769</v>
      </c>
      <c r="I2759" s="54">
        <f t="shared" si="125"/>
        <v>32</v>
      </c>
      <c r="J2759" s="56"/>
      <c r="K2759" s="57"/>
      <c r="L2759" s="87"/>
      <c r="M2759" s="59"/>
      <c r="N2759" s="60"/>
      <c r="O2759" s="61">
        <v>35.0</v>
      </c>
      <c r="P2759" s="62">
        <v>37.800000000000004</v>
      </c>
      <c r="Q2759" s="63">
        <v>37.800000000000004</v>
      </c>
      <c r="R2759" s="64">
        <v>44.0</v>
      </c>
      <c r="S2759" s="111">
        <v>46.0</v>
      </c>
      <c r="T2759" s="65">
        <f t="shared" si="93"/>
        <v>7.36</v>
      </c>
      <c r="U2759" s="65">
        <f t="shared" si="94"/>
        <v>53.36</v>
      </c>
      <c r="V2759" s="66">
        <f t="shared" si="138"/>
        <v>0.04545454545</v>
      </c>
      <c r="W2759" s="67">
        <f t="shared" si="96"/>
        <v>43.7</v>
      </c>
      <c r="X2759" s="67">
        <f t="shared" si="132"/>
        <v>6.992</v>
      </c>
      <c r="Y2759" s="67">
        <f t="shared" si="133"/>
        <v>50.692</v>
      </c>
      <c r="Z2759" s="67">
        <f t="shared" si="99"/>
        <v>41.4</v>
      </c>
      <c r="AA2759" s="67">
        <f t="shared" si="114"/>
        <v>6.624</v>
      </c>
      <c r="AB2759" s="67">
        <f t="shared" si="115"/>
        <v>48.024</v>
      </c>
      <c r="AC2759" s="67">
        <f t="shared" si="102"/>
        <v>39.1</v>
      </c>
      <c r="AD2759" s="67">
        <f t="shared" si="116"/>
        <v>6.256</v>
      </c>
      <c r="AE2759" s="67">
        <f t="shared" si="117"/>
        <v>45.356</v>
      </c>
      <c r="AF2759" s="67">
        <f t="shared" si="105"/>
        <v>38.18</v>
      </c>
      <c r="AG2759" s="67">
        <f t="shared" si="118"/>
        <v>6.1088</v>
      </c>
      <c r="AH2759" s="67">
        <f t="shared" si="119"/>
        <v>44.2888</v>
      </c>
      <c r="AI2759" s="67">
        <f t="shared" si="108"/>
        <v>36.8</v>
      </c>
      <c r="AJ2759" s="68">
        <f t="shared" si="136"/>
        <v>5.888</v>
      </c>
      <c r="AK2759" s="68">
        <f t="shared" si="137"/>
        <v>42.688</v>
      </c>
      <c r="AL2759" s="70"/>
      <c r="AM2759" s="70"/>
      <c r="AN2759" s="71"/>
      <c r="AO2759" s="71"/>
      <c r="AP2759" s="71"/>
      <c r="AQ2759" s="71"/>
      <c r="AR2759" s="71"/>
      <c r="AS2759" s="71"/>
      <c r="AT2759" s="71"/>
      <c r="AU2759" s="71"/>
      <c r="AV2759" s="71"/>
      <c r="AW2759" s="71"/>
      <c r="AX2759" s="71"/>
      <c r="AY2759" s="71"/>
      <c r="AZ2759" s="71"/>
      <c r="BA2759" s="71"/>
      <c r="BB2759" s="71"/>
      <c r="BC2759" s="71"/>
      <c r="BD2759" s="71"/>
      <c r="BE2759" s="71"/>
      <c r="BF2759" s="71"/>
      <c r="BG2759" s="71"/>
      <c r="BH2759" s="71"/>
      <c r="BI2759" s="71"/>
      <c r="BJ2759" s="71"/>
      <c r="BK2759" s="71"/>
      <c r="BL2759" s="71"/>
      <c r="BM2759" s="71"/>
      <c r="BN2759" s="71"/>
      <c r="BO2759" s="71"/>
      <c r="BP2759" s="71"/>
      <c r="BQ2759" s="71"/>
      <c r="BR2759" s="71"/>
      <c r="BS2759" s="71"/>
      <c r="BT2759" s="71"/>
      <c r="BU2759" s="71"/>
      <c r="BV2759" s="71"/>
    </row>
    <row r="2760">
      <c r="A2760" s="53">
        <v>1.0</v>
      </c>
      <c r="B2760" s="53"/>
      <c r="C2760" s="73" t="s">
        <v>53</v>
      </c>
      <c r="D2760" s="53" t="s">
        <v>6770</v>
      </c>
      <c r="E2760" s="54" t="s">
        <v>38</v>
      </c>
      <c r="F2760" s="54" t="s">
        <v>42</v>
      </c>
      <c r="G2760" s="54" t="s">
        <v>6771</v>
      </c>
      <c r="H2760" s="54" t="s">
        <v>6772</v>
      </c>
      <c r="I2760" s="54">
        <f t="shared" si="125"/>
        <v>40</v>
      </c>
      <c r="J2760" s="56"/>
      <c r="K2760" s="57"/>
      <c r="L2760" s="87"/>
      <c r="M2760" s="59"/>
      <c r="N2760" s="60"/>
      <c r="O2760" s="61">
        <v>132.0</v>
      </c>
      <c r="P2760" s="62">
        <v>142.56</v>
      </c>
      <c r="Q2760" s="63">
        <v>142.56</v>
      </c>
      <c r="R2760" s="64">
        <v>160.0</v>
      </c>
      <c r="S2760" s="111">
        <v>168.0</v>
      </c>
      <c r="T2760" s="65">
        <f t="shared" si="93"/>
        <v>26.88</v>
      </c>
      <c r="U2760" s="65">
        <f t="shared" si="94"/>
        <v>194.88</v>
      </c>
      <c r="V2760" s="66">
        <f t="shared" si="138"/>
        <v>0.05</v>
      </c>
      <c r="W2760" s="67">
        <f t="shared" si="96"/>
        <v>159.6</v>
      </c>
      <c r="X2760" s="67">
        <f t="shared" si="132"/>
        <v>25.536</v>
      </c>
      <c r="Y2760" s="67">
        <f t="shared" si="133"/>
        <v>185.136</v>
      </c>
      <c r="Z2760" s="67">
        <f t="shared" si="99"/>
        <v>151.2</v>
      </c>
      <c r="AA2760" s="67">
        <f t="shared" si="114"/>
        <v>24.192</v>
      </c>
      <c r="AB2760" s="67">
        <f t="shared" si="115"/>
        <v>175.392</v>
      </c>
      <c r="AC2760" s="67">
        <f t="shared" si="102"/>
        <v>142.8</v>
      </c>
      <c r="AD2760" s="67">
        <f t="shared" si="116"/>
        <v>22.848</v>
      </c>
      <c r="AE2760" s="67">
        <f t="shared" si="117"/>
        <v>165.648</v>
      </c>
      <c r="AF2760" s="67">
        <f t="shared" si="105"/>
        <v>139.44</v>
      </c>
      <c r="AG2760" s="67">
        <f t="shared" si="118"/>
        <v>22.3104</v>
      </c>
      <c r="AH2760" s="67">
        <f t="shared" si="119"/>
        <v>161.7504</v>
      </c>
      <c r="AI2760" s="67">
        <f t="shared" si="108"/>
        <v>134.4</v>
      </c>
      <c r="AJ2760" s="68">
        <f t="shared" si="136"/>
        <v>21.504</v>
      </c>
      <c r="AK2760" s="68">
        <f t="shared" si="137"/>
        <v>155.904</v>
      </c>
      <c r="AL2760" s="70"/>
      <c r="AM2760" s="70"/>
      <c r="AN2760" s="71"/>
      <c r="AO2760" s="71"/>
      <c r="AP2760" s="71"/>
      <c r="AQ2760" s="71"/>
      <c r="AR2760" s="71"/>
      <c r="AS2760" s="71"/>
      <c r="AT2760" s="71"/>
      <c r="AU2760" s="71"/>
      <c r="AV2760" s="71"/>
      <c r="AW2760" s="71"/>
      <c r="AX2760" s="71"/>
      <c r="AY2760" s="71"/>
      <c r="AZ2760" s="71"/>
      <c r="BA2760" s="71"/>
      <c r="BB2760" s="71"/>
      <c r="BC2760" s="71"/>
      <c r="BD2760" s="71"/>
      <c r="BE2760" s="71"/>
      <c r="BF2760" s="71"/>
      <c r="BG2760" s="71"/>
      <c r="BH2760" s="71"/>
      <c r="BI2760" s="71"/>
      <c r="BJ2760" s="71"/>
      <c r="BK2760" s="71"/>
      <c r="BL2760" s="71"/>
      <c r="BM2760" s="71"/>
      <c r="BN2760" s="71"/>
      <c r="BO2760" s="71"/>
      <c r="BP2760" s="71"/>
      <c r="BQ2760" s="71"/>
      <c r="BR2760" s="71"/>
      <c r="BS2760" s="71"/>
      <c r="BT2760" s="71"/>
      <c r="BU2760" s="71"/>
      <c r="BV2760" s="71"/>
    </row>
    <row r="2761">
      <c r="A2761" s="53">
        <v>1.0</v>
      </c>
      <c r="B2761" s="53"/>
      <c r="C2761" s="73" t="s">
        <v>53</v>
      </c>
      <c r="D2761" s="53" t="s">
        <v>6773</v>
      </c>
      <c r="E2761" s="54" t="s">
        <v>38</v>
      </c>
      <c r="F2761" s="54" t="s">
        <v>42</v>
      </c>
      <c r="G2761" s="54" t="s">
        <v>6774</v>
      </c>
      <c r="H2761" s="54" t="s">
        <v>6775</v>
      </c>
      <c r="I2761" s="54">
        <f t="shared" si="125"/>
        <v>26</v>
      </c>
      <c r="J2761" s="56"/>
      <c r="K2761" s="57"/>
      <c r="L2761" s="87"/>
      <c r="M2761" s="59"/>
      <c r="N2761" s="60"/>
      <c r="O2761" s="61">
        <v>33.0</v>
      </c>
      <c r="P2761" s="62">
        <v>35.64</v>
      </c>
      <c r="Q2761" s="63">
        <v>35.64</v>
      </c>
      <c r="R2761" s="64">
        <v>40.0</v>
      </c>
      <c r="S2761" s="111">
        <v>42.0</v>
      </c>
      <c r="T2761" s="65">
        <f t="shared" si="93"/>
        <v>6.72</v>
      </c>
      <c r="U2761" s="65">
        <f t="shared" si="94"/>
        <v>48.72</v>
      </c>
      <c r="V2761" s="66">
        <f t="shared" si="138"/>
        <v>0.05</v>
      </c>
      <c r="W2761" s="67">
        <f t="shared" si="96"/>
        <v>39.9</v>
      </c>
      <c r="X2761" s="67">
        <f t="shared" si="132"/>
        <v>6.384</v>
      </c>
      <c r="Y2761" s="67">
        <f t="shared" si="133"/>
        <v>46.284</v>
      </c>
      <c r="Z2761" s="67">
        <f t="shared" si="99"/>
        <v>37.8</v>
      </c>
      <c r="AA2761" s="67">
        <f t="shared" si="114"/>
        <v>6.048</v>
      </c>
      <c r="AB2761" s="67">
        <f t="shared" si="115"/>
        <v>43.848</v>
      </c>
      <c r="AC2761" s="67">
        <f t="shared" si="102"/>
        <v>35.7</v>
      </c>
      <c r="AD2761" s="67">
        <f t="shared" si="116"/>
        <v>5.712</v>
      </c>
      <c r="AE2761" s="67">
        <f t="shared" si="117"/>
        <v>41.412</v>
      </c>
      <c r="AF2761" s="67">
        <f t="shared" si="105"/>
        <v>34.86</v>
      </c>
      <c r="AG2761" s="67">
        <f t="shared" si="118"/>
        <v>5.5776</v>
      </c>
      <c r="AH2761" s="67">
        <f t="shared" si="119"/>
        <v>40.4376</v>
      </c>
      <c r="AI2761" s="67">
        <f t="shared" si="108"/>
        <v>33.6</v>
      </c>
      <c r="AJ2761" s="68">
        <f t="shared" si="136"/>
        <v>5.376</v>
      </c>
      <c r="AK2761" s="68">
        <f t="shared" si="137"/>
        <v>38.976</v>
      </c>
      <c r="AL2761" s="70"/>
      <c r="AM2761" s="70"/>
      <c r="AN2761" s="71"/>
      <c r="AO2761" s="71"/>
      <c r="AP2761" s="71"/>
      <c r="AQ2761" s="71"/>
      <c r="AR2761" s="71"/>
      <c r="AS2761" s="71"/>
      <c r="AT2761" s="71"/>
      <c r="AU2761" s="71"/>
      <c r="AV2761" s="71"/>
      <c r="AW2761" s="71"/>
      <c r="AX2761" s="71"/>
      <c r="AY2761" s="71"/>
      <c r="AZ2761" s="71"/>
      <c r="BA2761" s="71"/>
      <c r="BB2761" s="71"/>
      <c r="BC2761" s="71"/>
      <c r="BD2761" s="71"/>
      <c r="BE2761" s="71"/>
      <c r="BF2761" s="71"/>
      <c r="BG2761" s="71"/>
      <c r="BH2761" s="71"/>
      <c r="BI2761" s="71"/>
      <c r="BJ2761" s="71"/>
      <c r="BK2761" s="71"/>
      <c r="BL2761" s="71"/>
      <c r="BM2761" s="71"/>
      <c r="BN2761" s="71"/>
      <c r="BO2761" s="71"/>
      <c r="BP2761" s="71"/>
      <c r="BQ2761" s="71"/>
      <c r="BR2761" s="71"/>
      <c r="BS2761" s="71"/>
      <c r="BT2761" s="71"/>
      <c r="BU2761" s="71"/>
      <c r="BV2761" s="71"/>
    </row>
    <row r="2762">
      <c r="A2762" s="53">
        <v>1.0</v>
      </c>
      <c r="B2762" s="53"/>
      <c r="C2762" s="73" t="s">
        <v>53</v>
      </c>
      <c r="D2762" s="53" t="s">
        <v>6776</v>
      </c>
      <c r="E2762" s="54" t="s">
        <v>38</v>
      </c>
      <c r="F2762" s="54" t="s">
        <v>42</v>
      </c>
      <c r="G2762" s="55" t="s">
        <v>6777</v>
      </c>
      <c r="H2762" s="54" t="s">
        <v>6778</v>
      </c>
      <c r="I2762" s="54">
        <f t="shared" si="125"/>
        <v>34</v>
      </c>
      <c r="J2762" s="56"/>
      <c r="K2762" s="57"/>
      <c r="L2762" s="87"/>
      <c r="M2762" s="59"/>
      <c r="N2762" s="60"/>
      <c r="O2762" s="61">
        <v>122.0</v>
      </c>
      <c r="P2762" s="62">
        <v>131.76000000000002</v>
      </c>
      <c r="Q2762" s="63">
        <v>131.76000000000002</v>
      </c>
      <c r="R2762" s="64">
        <v>147.0</v>
      </c>
      <c r="S2762" s="111">
        <v>154.0</v>
      </c>
      <c r="T2762" s="65">
        <f t="shared" si="93"/>
        <v>24.64</v>
      </c>
      <c r="U2762" s="65">
        <f t="shared" si="94"/>
        <v>178.64</v>
      </c>
      <c r="V2762" s="66">
        <f t="shared" si="138"/>
        <v>0.04761904762</v>
      </c>
      <c r="W2762" s="67">
        <f t="shared" si="96"/>
        <v>146.3</v>
      </c>
      <c r="X2762" s="67">
        <f t="shared" si="132"/>
        <v>23.408</v>
      </c>
      <c r="Y2762" s="67">
        <f t="shared" si="133"/>
        <v>169.708</v>
      </c>
      <c r="Z2762" s="67">
        <f t="shared" si="99"/>
        <v>138.6</v>
      </c>
      <c r="AA2762" s="67">
        <f t="shared" si="114"/>
        <v>22.176</v>
      </c>
      <c r="AB2762" s="67">
        <f t="shared" si="115"/>
        <v>160.776</v>
      </c>
      <c r="AC2762" s="67">
        <f t="shared" si="102"/>
        <v>130.9</v>
      </c>
      <c r="AD2762" s="67">
        <f t="shared" si="116"/>
        <v>20.944</v>
      </c>
      <c r="AE2762" s="67">
        <f t="shared" si="117"/>
        <v>151.844</v>
      </c>
      <c r="AF2762" s="67">
        <f t="shared" si="105"/>
        <v>127.82</v>
      </c>
      <c r="AG2762" s="67">
        <f t="shared" si="118"/>
        <v>20.4512</v>
      </c>
      <c r="AH2762" s="67">
        <f t="shared" si="119"/>
        <v>148.2712</v>
      </c>
      <c r="AI2762" s="67">
        <f t="shared" si="108"/>
        <v>123.2</v>
      </c>
      <c r="AJ2762" s="68">
        <f t="shared" si="136"/>
        <v>19.712</v>
      </c>
      <c r="AK2762" s="68">
        <f t="shared" si="137"/>
        <v>142.912</v>
      </c>
      <c r="AL2762" s="70"/>
      <c r="AM2762" s="70"/>
      <c r="AN2762" s="71"/>
      <c r="AO2762" s="71"/>
      <c r="AP2762" s="71"/>
      <c r="AQ2762" s="71"/>
      <c r="AR2762" s="71"/>
      <c r="AS2762" s="71"/>
      <c r="AT2762" s="71"/>
      <c r="AU2762" s="71"/>
      <c r="AV2762" s="71"/>
      <c r="AW2762" s="71"/>
      <c r="AX2762" s="71"/>
      <c r="AY2762" s="71"/>
      <c r="AZ2762" s="71"/>
      <c r="BA2762" s="71"/>
      <c r="BB2762" s="71"/>
      <c r="BC2762" s="71"/>
      <c r="BD2762" s="71"/>
      <c r="BE2762" s="71"/>
      <c r="BF2762" s="71"/>
      <c r="BG2762" s="71"/>
      <c r="BH2762" s="71"/>
      <c r="BI2762" s="71"/>
      <c r="BJ2762" s="71"/>
      <c r="BK2762" s="71"/>
      <c r="BL2762" s="71"/>
      <c r="BM2762" s="71"/>
      <c r="BN2762" s="71"/>
      <c r="BO2762" s="71"/>
      <c r="BP2762" s="71"/>
      <c r="BQ2762" s="71"/>
      <c r="BR2762" s="71"/>
      <c r="BS2762" s="71"/>
      <c r="BT2762" s="71"/>
      <c r="BU2762" s="71"/>
      <c r="BV2762" s="71"/>
    </row>
    <row r="2763">
      <c r="A2763" s="53"/>
      <c r="B2763" s="53"/>
      <c r="C2763" s="73" t="s">
        <v>53</v>
      </c>
      <c r="D2763" s="53" t="s">
        <v>6779</v>
      </c>
      <c r="E2763" s="54" t="s">
        <v>38</v>
      </c>
      <c r="F2763" s="55" t="s">
        <v>309</v>
      </c>
      <c r="G2763" s="54" t="s">
        <v>6780</v>
      </c>
      <c r="H2763" s="55" t="s">
        <v>6781</v>
      </c>
      <c r="I2763" s="54">
        <f t="shared" si="125"/>
        <v>35</v>
      </c>
      <c r="J2763" s="56"/>
      <c r="K2763" s="57"/>
      <c r="L2763" s="76" t="s">
        <v>661</v>
      </c>
      <c r="M2763" s="59"/>
      <c r="N2763" s="60"/>
      <c r="O2763" s="90">
        <v>33.0</v>
      </c>
      <c r="P2763" s="62">
        <v>35.64</v>
      </c>
      <c r="Q2763" s="63">
        <v>35.64</v>
      </c>
      <c r="R2763" s="64">
        <v>40.0</v>
      </c>
      <c r="S2763" s="111">
        <v>42.0</v>
      </c>
      <c r="T2763" s="65">
        <f t="shared" si="93"/>
        <v>6.72</v>
      </c>
      <c r="U2763" s="65">
        <f t="shared" si="94"/>
        <v>48.72</v>
      </c>
      <c r="V2763" s="66">
        <f t="shared" si="138"/>
        <v>0.05</v>
      </c>
      <c r="W2763" s="67">
        <f t="shared" si="96"/>
        <v>39.9</v>
      </c>
      <c r="X2763" s="67">
        <f t="shared" si="132"/>
        <v>6.384</v>
      </c>
      <c r="Y2763" s="67">
        <f t="shared" si="133"/>
        <v>46.284</v>
      </c>
      <c r="Z2763" s="67">
        <f t="shared" si="99"/>
        <v>37.8</v>
      </c>
      <c r="AA2763" s="67">
        <f t="shared" si="114"/>
        <v>6.048</v>
      </c>
      <c r="AB2763" s="67">
        <f t="shared" si="115"/>
        <v>43.848</v>
      </c>
      <c r="AC2763" s="67">
        <f t="shared" si="102"/>
        <v>35.7</v>
      </c>
      <c r="AD2763" s="67">
        <f t="shared" si="116"/>
        <v>5.712</v>
      </c>
      <c r="AE2763" s="67">
        <f t="shared" si="117"/>
        <v>41.412</v>
      </c>
      <c r="AF2763" s="67">
        <f t="shared" si="105"/>
        <v>34.86</v>
      </c>
      <c r="AG2763" s="67">
        <f t="shared" si="118"/>
        <v>5.5776</v>
      </c>
      <c r="AH2763" s="67">
        <f t="shared" si="119"/>
        <v>40.4376</v>
      </c>
      <c r="AI2763" s="67">
        <f t="shared" si="108"/>
        <v>33.6</v>
      </c>
      <c r="AJ2763" s="68">
        <f t="shared" si="136"/>
        <v>5.376</v>
      </c>
      <c r="AK2763" s="68">
        <f t="shared" si="137"/>
        <v>38.976</v>
      </c>
      <c r="AL2763" s="70"/>
      <c r="AM2763" s="70"/>
      <c r="AN2763" s="71"/>
      <c r="AO2763" s="71"/>
      <c r="AP2763" s="71"/>
      <c r="AQ2763" s="71"/>
      <c r="AR2763" s="71"/>
      <c r="AS2763" s="71"/>
      <c r="AT2763" s="71"/>
      <c r="AU2763" s="71"/>
      <c r="AV2763" s="71"/>
      <c r="AW2763" s="71"/>
      <c r="AX2763" s="71"/>
      <c r="AY2763" s="71"/>
      <c r="AZ2763" s="71"/>
      <c r="BA2763" s="71"/>
      <c r="BB2763" s="71"/>
      <c r="BC2763" s="71"/>
      <c r="BD2763" s="71"/>
      <c r="BE2763" s="71"/>
      <c r="BF2763" s="71"/>
      <c r="BG2763" s="71"/>
      <c r="BH2763" s="71"/>
      <c r="BI2763" s="71"/>
      <c r="BJ2763" s="71"/>
      <c r="BK2763" s="71"/>
      <c r="BL2763" s="71"/>
      <c r="BM2763" s="71"/>
      <c r="BN2763" s="71"/>
      <c r="BO2763" s="71"/>
      <c r="BP2763" s="71"/>
      <c r="BQ2763" s="71"/>
      <c r="BR2763" s="71"/>
      <c r="BS2763" s="71"/>
      <c r="BT2763" s="71"/>
      <c r="BU2763" s="71"/>
      <c r="BV2763" s="71"/>
    </row>
    <row r="2764">
      <c r="A2764" s="53">
        <v>1.0</v>
      </c>
      <c r="B2764" s="53"/>
      <c r="C2764" s="73" t="s">
        <v>12</v>
      </c>
      <c r="D2764" s="53" t="s">
        <v>6782</v>
      </c>
      <c r="E2764" s="54" t="s">
        <v>38</v>
      </c>
      <c r="F2764" s="54" t="s">
        <v>42</v>
      </c>
      <c r="G2764" s="54" t="s">
        <v>6783</v>
      </c>
      <c r="H2764" s="54" t="s">
        <v>6784</v>
      </c>
      <c r="I2764" s="54">
        <f t="shared" si="125"/>
        <v>29</v>
      </c>
      <c r="J2764" s="56"/>
      <c r="K2764" s="57"/>
      <c r="L2764" s="87"/>
      <c r="M2764" s="59"/>
      <c r="N2764" s="60">
        <v>2760.0</v>
      </c>
      <c r="O2764" s="61">
        <v>2980.0</v>
      </c>
      <c r="P2764" s="62">
        <v>3218.4</v>
      </c>
      <c r="Q2764" s="63">
        <v>3218.4</v>
      </c>
      <c r="R2764" s="64">
        <v>3583.0</v>
      </c>
      <c r="S2764" s="111">
        <v>3762.0</v>
      </c>
      <c r="T2764" s="65">
        <f t="shared" si="93"/>
        <v>601.92</v>
      </c>
      <c r="U2764" s="65">
        <f t="shared" si="94"/>
        <v>4363.92</v>
      </c>
      <c r="V2764" s="66">
        <f t="shared" si="138"/>
        <v>0.04995813564</v>
      </c>
      <c r="W2764" s="67">
        <f t="shared" si="96"/>
        <v>3573.9</v>
      </c>
      <c r="X2764" s="67">
        <f t="shared" si="132"/>
        <v>571.824</v>
      </c>
      <c r="Y2764" s="67">
        <f t="shared" si="133"/>
        <v>4145.724</v>
      </c>
      <c r="Z2764" s="67">
        <f t="shared" si="99"/>
        <v>3385.8</v>
      </c>
      <c r="AA2764" s="67">
        <f t="shared" si="114"/>
        <v>541.728</v>
      </c>
      <c r="AB2764" s="67">
        <f t="shared" si="115"/>
        <v>3927.528</v>
      </c>
      <c r="AC2764" s="67">
        <f t="shared" si="102"/>
        <v>3197.7</v>
      </c>
      <c r="AD2764" s="67">
        <f t="shared" si="116"/>
        <v>511.632</v>
      </c>
      <c r="AE2764" s="67">
        <f t="shared" si="117"/>
        <v>3709.332</v>
      </c>
      <c r="AF2764" s="67">
        <f t="shared" si="105"/>
        <v>3122.46</v>
      </c>
      <c r="AG2764" s="67">
        <f t="shared" si="118"/>
        <v>499.5936</v>
      </c>
      <c r="AH2764" s="67">
        <f t="shared" si="119"/>
        <v>3622.0536</v>
      </c>
      <c r="AI2764" s="67">
        <f t="shared" si="108"/>
        <v>3009.6</v>
      </c>
      <c r="AJ2764" s="68">
        <f t="shared" si="136"/>
        <v>481.536</v>
      </c>
      <c r="AK2764" s="68">
        <f t="shared" si="137"/>
        <v>3491.136</v>
      </c>
      <c r="AL2764" s="70"/>
      <c r="AM2764" s="70"/>
      <c r="AN2764" s="71"/>
      <c r="AO2764" s="71"/>
      <c r="AP2764" s="71"/>
      <c r="AQ2764" s="71"/>
      <c r="AR2764" s="71"/>
      <c r="AS2764" s="71"/>
      <c r="AT2764" s="71"/>
      <c r="AU2764" s="71"/>
      <c r="AV2764" s="71"/>
      <c r="AW2764" s="71"/>
      <c r="AX2764" s="71"/>
      <c r="AY2764" s="71"/>
      <c r="AZ2764" s="71"/>
      <c r="BA2764" s="71"/>
      <c r="BB2764" s="71"/>
      <c r="BC2764" s="71"/>
      <c r="BD2764" s="71"/>
      <c r="BE2764" s="71"/>
      <c r="BF2764" s="71"/>
      <c r="BG2764" s="71"/>
      <c r="BH2764" s="71"/>
      <c r="BI2764" s="71"/>
      <c r="BJ2764" s="71"/>
      <c r="BK2764" s="71"/>
      <c r="BL2764" s="71"/>
      <c r="BM2764" s="71"/>
      <c r="BN2764" s="71"/>
      <c r="BO2764" s="71"/>
      <c r="BP2764" s="71"/>
      <c r="BQ2764" s="71"/>
      <c r="BR2764" s="71"/>
      <c r="BS2764" s="71"/>
      <c r="BT2764" s="71"/>
      <c r="BU2764" s="71"/>
      <c r="BV2764" s="71"/>
    </row>
    <row r="2765">
      <c r="A2765" s="53"/>
      <c r="B2765" s="53"/>
      <c r="C2765" s="73" t="s">
        <v>12</v>
      </c>
      <c r="D2765" s="53" t="s">
        <v>6785</v>
      </c>
      <c r="E2765" s="54" t="s">
        <v>38</v>
      </c>
      <c r="F2765" s="54" t="s">
        <v>42</v>
      </c>
      <c r="G2765" s="55" t="s">
        <v>6786</v>
      </c>
      <c r="H2765" s="54" t="s">
        <v>6786</v>
      </c>
      <c r="I2765" s="54">
        <f t="shared" si="125"/>
        <v>18</v>
      </c>
      <c r="J2765" s="56"/>
      <c r="K2765" s="57"/>
      <c r="L2765" s="76"/>
      <c r="M2765" s="59"/>
      <c r="N2765" s="60">
        <v>202.566</v>
      </c>
      <c r="O2765" s="61">
        <v>218.0</v>
      </c>
      <c r="P2765" s="62">
        <v>235.44000000000003</v>
      </c>
      <c r="Q2765" s="63">
        <v>235.44000000000003</v>
      </c>
      <c r="R2765" s="64">
        <v>247.0</v>
      </c>
      <c r="S2765" s="111">
        <v>259.0</v>
      </c>
      <c r="T2765" s="65">
        <f t="shared" si="93"/>
        <v>41.44</v>
      </c>
      <c r="U2765" s="65">
        <f t="shared" si="94"/>
        <v>300.44</v>
      </c>
      <c r="V2765" s="66">
        <f t="shared" si="138"/>
        <v>0.04858299595</v>
      </c>
      <c r="W2765" s="67">
        <f t="shared" si="96"/>
        <v>246.05</v>
      </c>
      <c r="X2765" s="67">
        <f t="shared" si="132"/>
        <v>39.368</v>
      </c>
      <c r="Y2765" s="67">
        <f t="shared" si="133"/>
        <v>285.418</v>
      </c>
      <c r="Z2765" s="67">
        <f t="shared" si="99"/>
        <v>233.1</v>
      </c>
      <c r="AA2765" s="67">
        <f t="shared" si="114"/>
        <v>37.296</v>
      </c>
      <c r="AB2765" s="67">
        <f t="shared" si="115"/>
        <v>270.396</v>
      </c>
      <c r="AC2765" s="67">
        <f t="shared" si="102"/>
        <v>220.15</v>
      </c>
      <c r="AD2765" s="67">
        <f t="shared" si="116"/>
        <v>35.224</v>
      </c>
      <c r="AE2765" s="67">
        <f t="shared" si="117"/>
        <v>255.374</v>
      </c>
      <c r="AF2765" s="67">
        <f t="shared" si="105"/>
        <v>214.97</v>
      </c>
      <c r="AG2765" s="67">
        <f t="shared" si="118"/>
        <v>34.3952</v>
      </c>
      <c r="AH2765" s="67">
        <f t="shared" si="119"/>
        <v>249.3652</v>
      </c>
      <c r="AI2765" s="67">
        <f t="shared" si="108"/>
        <v>207.2</v>
      </c>
      <c r="AJ2765" s="68">
        <f t="shared" si="136"/>
        <v>33.152</v>
      </c>
      <c r="AK2765" s="68">
        <f t="shared" si="137"/>
        <v>240.352</v>
      </c>
      <c r="AL2765" s="70"/>
      <c r="AM2765" s="70"/>
      <c r="AN2765" s="71"/>
      <c r="AO2765" s="71"/>
      <c r="AP2765" s="71"/>
      <c r="AQ2765" s="71"/>
      <c r="AR2765" s="71"/>
      <c r="AS2765" s="71"/>
      <c r="AT2765" s="71"/>
      <c r="AU2765" s="71"/>
      <c r="AV2765" s="71"/>
      <c r="AW2765" s="71"/>
      <c r="AX2765" s="71"/>
      <c r="AY2765" s="71"/>
      <c r="AZ2765" s="71"/>
      <c r="BA2765" s="71"/>
      <c r="BB2765" s="71"/>
      <c r="BC2765" s="71"/>
      <c r="BD2765" s="71"/>
      <c r="BE2765" s="71"/>
      <c r="BF2765" s="71"/>
      <c r="BG2765" s="71"/>
      <c r="BH2765" s="71"/>
      <c r="BI2765" s="71"/>
      <c r="BJ2765" s="71"/>
      <c r="BK2765" s="71"/>
      <c r="BL2765" s="71"/>
      <c r="BM2765" s="71"/>
      <c r="BN2765" s="71"/>
      <c r="BO2765" s="71"/>
      <c r="BP2765" s="71"/>
      <c r="BQ2765" s="71"/>
      <c r="BR2765" s="71"/>
      <c r="BS2765" s="71"/>
      <c r="BT2765" s="71"/>
      <c r="BU2765" s="71"/>
      <c r="BV2765" s="71"/>
    </row>
    <row r="2766">
      <c r="A2766" s="53"/>
      <c r="B2766" s="53"/>
      <c r="C2766" s="53" t="s">
        <v>12</v>
      </c>
      <c r="D2766" s="53" t="s">
        <v>6787</v>
      </c>
      <c r="E2766" s="54" t="s">
        <v>38</v>
      </c>
      <c r="F2766" s="54" t="s">
        <v>42</v>
      </c>
      <c r="G2766" s="84" t="s">
        <v>6788</v>
      </c>
      <c r="H2766" s="84" t="s">
        <v>6788</v>
      </c>
      <c r="I2766" s="54">
        <f t="shared" si="125"/>
        <v>19</v>
      </c>
      <c r="J2766" s="56"/>
      <c r="K2766" s="57"/>
      <c r="L2766" s="76"/>
      <c r="M2766" s="59"/>
      <c r="N2766" s="60"/>
      <c r="O2766" s="90"/>
      <c r="P2766" s="62">
        <v>7800.0</v>
      </c>
      <c r="Q2766" s="63">
        <v>7800.0</v>
      </c>
      <c r="R2766" s="64">
        <v>8190.0</v>
      </c>
      <c r="S2766" s="111">
        <v>8600.0</v>
      </c>
      <c r="T2766" s="65">
        <f t="shared" si="93"/>
        <v>1376</v>
      </c>
      <c r="U2766" s="65">
        <f t="shared" si="94"/>
        <v>9976</v>
      </c>
      <c r="V2766" s="66"/>
      <c r="W2766" s="67">
        <f t="shared" si="96"/>
        <v>8170</v>
      </c>
      <c r="X2766" s="67">
        <f t="shared" si="132"/>
        <v>1307.2</v>
      </c>
      <c r="Y2766" s="67">
        <f t="shared" si="133"/>
        <v>9477.2</v>
      </c>
      <c r="Z2766" s="67">
        <f t="shared" si="99"/>
        <v>7740</v>
      </c>
      <c r="AA2766" s="67">
        <f t="shared" si="114"/>
        <v>1238.4</v>
      </c>
      <c r="AB2766" s="67">
        <f t="shared" si="115"/>
        <v>8978.4</v>
      </c>
      <c r="AC2766" s="67">
        <f t="shared" si="102"/>
        <v>7310</v>
      </c>
      <c r="AD2766" s="67">
        <f t="shared" si="116"/>
        <v>1169.6</v>
      </c>
      <c r="AE2766" s="67">
        <f t="shared" si="117"/>
        <v>8479.6</v>
      </c>
      <c r="AF2766" s="67">
        <f t="shared" si="105"/>
        <v>7138</v>
      </c>
      <c r="AG2766" s="67">
        <f t="shared" si="118"/>
        <v>1142.08</v>
      </c>
      <c r="AH2766" s="67">
        <f t="shared" si="119"/>
        <v>8280.08</v>
      </c>
      <c r="AI2766" s="67">
        <f t="shared" si="108"/>
        <v>6880</v>
      </c>
      <c r="AJ2766" s="68">
        <f t="shared" si="136"/>
        <v>1100.8</v>
      </c>
      <c r="AK2766" s="68">
        <f t="shared" si="137"/>
        <v>7980.8</v>
      </c>
      <c r="AL2766" s="70"/>
      <c r="AM2766" s="70"/>
      <c r="AN2766" s="71"/>
      <c r="AO2766" s="71"/>
      <c r="AP2766" s="71"/>
      <c r="AQ2766" s="71"/>
      <c r="AR2766" s="71"/>
      <c r="AS2766" s="71"/>
      <c r="AT2766" s="71"/>
      <c r="AU2766" s="71"/>
      <c r="AV2766" s="71"/>
      <c r="AW2766" s="71"/>
      <c r="AX2766" s="71"/>
      <c r="AY2766" s="71"/>
      <c r="AZ2766" s="71"/>
      <c r="BA2766" s="71"/>
      <c r="BB2766" s="71"/>
      <c r="BC2766" s="71"/>
      <c r="BD2766" s="71"/>
      <c r="BE2766" s="71"/>
      <c r="BF2766" s="71"/>
      <c r="BG2766" s="71"/>
      <c r="BH2766" s="71"/>
      <c r="BI2766" s="71"/>
      <c r="BJ2766" s="71"/>
      <c r="BK2766" s="71"/>
      <c r="BL2766" s="71"/>
      <c r="BM2766" s="71"/>
      <c r="BN2766" s="71"/>
      <c r="BO2766" s="71"/>
      <c r="BP2766" s="71"/>
      <c r="BQ2766" s="71"/>
      <c r="BR2766" s="71"/>
      <c r="BS2766" s="71"/>
      <c r="BT2766" s="71"/>
      <c r="BU2766" s="71"/>
      <c r="BV2766" s="71"/>
    </row>
    <row r="2767">
      <c r="A2767" s="53"/>
      <c r="B2767" s="53"/>
      <c r="C2767" s="53" t="s">
        <v>53</v>
      </c>
      <c r="D2767" s="53" t="s">
        <v>6789</v>
      </c>
      <c r="E2767" s="54" t="s">
        <v>38</v>
      </c>
      <c r="F2767" s="54" t="s">
        <v>42</v>
      </c>
      <c r="G2767" s="55" t="s">
        <v>6790</v>
      </c>
      <c r="H2767" s="54" t="s">
        <v>6790</v>
      </c>
      <c r="I2767" s="54">
        <f t="shared" si="125"/>
        <v>19</v>
      </c>
      <c r="J2767" s="56"/>
      <c r="K2767" s="57"/>
      <c r="L2767" s="77"/>
      <c r="M2767" s="59"/>
      <c r="N2767" s="79">
        <v>522.0</v>
      </c>
      <c r="O2767" s="61">
        <v>563.0</v>
      </c>
      <c r="P2767" s="63">
        <v>608.0400000000001</v>
      </c>
      <c r="Q2767" s="63">
        <v>608.0400000000001</v>
      </c>
      <c r="R2767" s="64">
        <v>639.0</v>
      </c>
      <c r="S2767" s="111">
        <v>671.0</v>
      </c>
      <c r="T2767" s="65">
        <f t="shared" si="93"/>
        <v>107.36</v>
      </c>
      <c r="U2767" s="65">
        <f t="shared" si="94"/>
        <v>778.36</v>
      </c>
      <c r="V2767" s="66">
        <f t="shared" ref="V2767:V2780" si="139">(S2767-R2767)/R2767</f>
        <v>0.05007824726</v>
      </c>
      <c r="W2767" s="67">
        <f t="shared" si="96"/>
        <v>637.45</v>
      </c>
      <c r="X2767" s="67">
        <f t="shared" si="132"/>
        <v>101.992</v>
      </c>
      <c r="Y2767" s="67">
        <f t="shared" si="133"/>
        <v>739.442</v>
      </c>
      <c r="Z2767" s="67">
        <f t="shared" si="99"/>
        <v>603.9</v>
      </c>
      <c r="AA2767" s="67">
        <f t="shared" si="114"/>
        <v>96.624</v>
      </c>
      <c r="AB2767" s="67">
        <f t="shared" si="115"/>
        <v>700.524</v>
      </c>
      <c r="AC2767" s="67">
        <f t="shared" si="102"/>
        <v>570.35</v>
      </c>
      <c r="AD2767" s="67">
        <f t="shared" si="116"/>
        <v>91.256</v>
      </c>
      <c r="AE2767" s="67">
        <f t="shared" si="117"/>
        <v>661.606</v>
      </c>
      <c r="AF2767" s="67">
        <f t="shared" si="105"/>
        <v>556.93</v>
      </c>
      <c r="AG2767" s="67">
        <f t="shared" si="118"/>
        <v>89.1088</v>
      </c>
      <c r="AH2767" s="67">
        <f t="shared" si="119"/>
        <v>646.0388</v>
      </c>
      <c r="AI2767" s="67">
        <f t="shared" si="108"/>
        <v>536.8</v>
      </c>
      <c r="AJ2767" s="68">
        <f t="shared" si="136"/>
        <v>85.888</v>
      </c>
      <c r="AK2767" s="68">
        <f t="shared" si="137"/>
        <v>622.688</v>
      </c>
      <c r="AL2767" s="70"/>
      <c r="AM2767" s="70"/>
      <c r="AN2767" s="71"/>
      <c r="AO2767" s="71"/>
      <c r="AP2767" s="71"/>
      <c r="AQ2767" s="71"/>
      <c r="AR2767" s="71"/>
      <c r="AS2767" s="71"/>
      <c r="AT2767" s="71"/>
      <c r="AU2767" s="71"/>
      <c r="AV2767" s="71"/>
      <c r="AW2767" s="71"/>
      <c r="AX2767" s="71"/>
      <c r="AY2767" s="71"/>
      <c r="AZ2767" s="71"/>
      <c r="BA2767" s="71"/>
      <c r="BB2767" s="71"/>
      <c r="BC2767" s="71"/>
      <c r="BD2767" s="71"/>
      <c r="BE2767" s="71"/>
      <c r="BF2767" s="71"/>
      <c r="BG2767" s="71"/>
      <c r="BH2767" s="71"/>
      <c r="BI2767" s="71"/>
      <c r="BJ2767" s="71"/>
      <c r="BK2767" s="71"/>
      <c r="BL2767" s="71"/>
      <c r="BM2767" s="71"/>
      <c r="BN2767" s="71"/>
      <c r="BO2767" s="71"/>
      <c r="BP2767" s="71"/>
      <c r="BQ2767" s="71"/>
      <c r="BR2767" s="71"/>
      <c r="BS2767" s="71"/>
      <c r="BT2767" s="71"/>
      <c r="BU2767" s="71"/>
      <c r="BV2767" s="71"/>
    </row>
    <row r="2768">
      <c r="A2768" s="53"/>
      <c r="B2768" s="53"/>
      <c r="C2768" s="53" t="s">
        <v>53</v>
      </c>
      <c r="D2768" s="53" t="s">
        <v>6791</v>
      </c>
      <c r="E2768" s="54" t="s">
        <v>38</v>
      </c>
      <c r="F2768" s="54" t="s">
        <v>42</v>
      </c>
      <c r="G2768" s="55" t="s">
        <v>6792</v>
      </c>
      <c r="H2768" s="55" t="s">
        <v>6793</v>
      </c>
      <c r="I2768" s="54">
        <f t="shared" si="125"/>
        <v>39</v>
      </c>
      <c r="J2768" s="56"/>
      <c r="K2768" s="57"/>
      <c r="L2768" s="76"/>
      <c r="M2768" s="59"/>
      <c r="N2768" s="60"/>
      <c r="O2768" s="61">
        <v>262.0</v>
      </c>
      <c r="P2768" s="62">
        <v>282.96000000000004</v>
      </c>
      <c r="Q2768" s="63">
        <v>282.96000000000004</v>
      </c>
      <c r="R2768" s="64">
        <v>298.0</v>
      </c>
      <c r="S2768" s="111">
        <v>313.0</v>
      </c>
      <c r="T2768" s="65">
        <f t="shared" si="93"/>
        <v>50.08</v>
      </c>
      <c r="U2768" s="65">
        <f t="shared" si="94"/>
        <v>363.08</v>
      </c>
      <c r="V2768" s="66">
        <f t="shared" si="139"/>
        <v>0.05033557047</v>
      </c>
      <c r="W2768" s="67">
        <f t="shared" si="96"/>
        <v>297.35</v>
      </c>
      <c r="X2768" s="67">
        <f t="shared" si="132"/>
        <v>47.576</v>
      </c>
      <c r="Y2768" s="67">
        <f t="shared" si="133"/>
        <v>344.926</v>
      </c>
      <c r="Z2768" s="67">
        <f t="shared" si="99"/>
        <v>281.7</v>
      </c>
      <c r="AA2768" s="67">
        <f t="shared" si="114"/>
        <v>45.072</v>
      </c>
      <c r="AB2768" s="67">
        <f t="shared" si="115"/>
        <v>326.772</v>
      </c>
      <c r="AC2768" s="67">
        <f t="shared" si="102"/>
        <v>266.05</v>
      </c>
      <c r="AD2768" s="67">
        <f t="shared" si="116"/>
        <v>42.568</v>
      </c>
      <c r="AE2768" s="67">
        <f t="shared" si="117"/>
        <v>308.618</v>
      </c>
      <c r="AF2768" s="67">
        <f t="shared" si="105"/>
        <v>259.79</v>
      </c>
      <c r="AG2768" s="67">
        <f t="shared" si="118"/>
        <v>41.5664</v>
      </c>
      <c r="AH2768" s="67">
        <f t="shared" si="119"/>
        <v>301.3564</v>
      </c>
      <c r="AI2768" s="67">
        <f t="shared" si="108"/>
        <v>250.4</v>
      </c>
      <c r="AJ2768" s="68">
        <f t="shared" si="136"/>
        <v>40.064</v>
      </c>
      <c r="AK2768" s="68">
        <f t="shared" si="137"/>
        <v>290.464</v>
      </c>
      <c r="AL2768" s="70"/>
      <c r="AM2768" s="70"/>
      <c r="AN2768" s="71"/>
      <c r="AO2768" s="71"/>
      <c r="AP2768" s="71"/>
      <c r="AQ2768" s="71"/>
      <c r="AR2768" s="71"/>
      <c r="AS2768" s="71"/>
      <c r="AT2768" s="71"/>
      <c r="AU2768" s="71"/>
      <c r="AV2768" s="71"/>
      <c r="AW2768" s="71"/>
      <c r="AX2768" s="71"/>
      <c r="AY2768" s="71"/>
      <c r="AZ2768" s="71"/>
      <c r="BA2768" s="71"/>
      <c r="BB2768" s="71"/>
      <c r="BC2768" s="71"/>
      <c r="BD2768" s="71"/>
      <c r="BE2768" s="71"/>
      <c r="BF2768" s="71"/>
      <c r="BG2768" s="71"/>
      <c r="BH2768" s="71"/>
      <c r="BI2768" s="71"/>
      <c r="BJ2768" s="71"/>
      <c r="BK2768" s="71"/>
      <c r="BL2768" s="71"/>
      <c r="BM2768" s="71"/>
      <c r="BN2768" s="71"/>
      <c r="BO2768" s="71"/>
      <c r="BP2768" s="71"/>
      <c r="BQ2768" s="71"/>
      <c r="BR2768" s="71"/>
      <c r="BS2768" s="71"/>
      <c r="BT2768" s="71"/>
      <c r="BU2768" s="71"/>
      <c r="BV2768" s="71"/>
    </row>
    <row r="2769">
      <c r="A2769" s="53"/>
      <c r="B2769" s="53"/>
      <c r="C2769" s="53" t="s">
        <v>53</v>
      </c>
      <c r="D2769" s="53" t="s">
        <v>6794</v>
      </c>
      <c r="E2769" s="54" t="s">
        <v>38</v>
      </c>
      <c r="F2769" s="54" t="s">
        <v>42</v>
      </c>
      <c r="G2769" s="55" t="s">
        <v>6795</v>
      </c>
      <c r="H2769" s="55" t="s">
        <v>6796</v>
      </c>
      <c r="I2769" s="54">
        <f t="shared" si="125"/>
        <v>38</v>
      </c>
      <c r="J2769" s="56"/>
      <c r="K2769" s="57"/>
      <c r="L2769" s="76"/>
      <c r="M2769" s="59"/>
      <c r="N2769" s="60"/>
      <c r="O2769" s="61">
        <v>933.0</v>
      </c>
      <c r="P2769" s="62">
        <v>1007.6400000000001</v>
      </c>
      <c r="Q2769" s="63">
        <v>1007.6400000000001</v>
      </c>
      <c r="R2769" s="64">
        <v>1059.0</v>
      </c>
      <c r="S2769" s="111">
        <v>1112.0</v>
      </c>
      <c r="T2769" s="65">
        <f t="shared" si="93"/>
        <v>177.92</v>
      </c>
      <c r="U2769" s="65">
        <f t="shared" si="94"/>
        <v>1289.92</v>
      </c>
      <c r="V2769" s="66">
        <f t="shared" si="139"/>
        <v>0.05004721435</v>
      </c>
      <c r="W2769" s="67">
        <f t="shared" si="96"/>
        <v>1056.4</v>
      </c>
      <c r="X2769" s="67">
        <f t="shared" si="132"/>
        <v>169.024</v>
      </c>
      <c r="Y2769" s="67">
        <f t="shared" si="133"/>
        <v>1225.424</v>
      </c>
      <c r="Z2769" s="67">
        <f t="shared" si="99"/>
        <v>1000.8</v>
      </c>
      <c r="AA2769" s="67">
        <f t="shared" si="114"/>
        <v>160.128</v>
      </c>
      <c r="AB2769" s="67">
        <f t="shared" si="115"/>
        <v>1160.928</v>
      </c>
      <c r="AC2769" s="67">
        <f t="shared" si="102"/>
        <v>945.2</v>
      </c>
      <c r="AD2769" s="67">
        <f t="shared" si="116"/>
        <v>151.232</v>
      </c>
      <c r="AE2769" s="67">
        <f t="shared" si="117"/>
        <v>1096.432</v>
      </c>
      <c r="AF2769" s="67">
        <f t="shared" si="105"/>
        <v>922.96</v>
      </c>
      <c r="AG2769" s="67">
        <f t="shared" si="118"/>
        <v>147.6736</v>
      </c>
      <c r="AH2769" s="67">
        <f t="shared" si="119"/>
        <v>1070.6336</v>
      </c>
      <c r="AI2769" s="67">
        <f t="shared" si="108"/>
        <v>889.6</v>
      </c>
      <c r="AJ2769" s="68">
        <f t="shared" si="136"/>
        <v>142.336</v>
      </c>
      <c r="AK2769" s="68">
        <f t="shared" si="137"/>
        <v>1031.936</v>
      </c>
      <c r="AL2769" s="70"/>
      <c r="AM2769" s="70"/>
      <c r="AN2769" s="71"/>
      <c r="AO2769" s="71"/>
      <c r="AP2769" s="71"/>
      <c r="AQ2769" s="71"/>
      <c r="AR2769" s="71"/>
      <c r="AS2769" s="71"/>
      <c r="AT2769" s="71"/>
      <c r="AU2769" s="71"/>
      <c r="AV2769" s="71"/>
      <c r="AW2769" s="71"/>
      <c r="AX2769" s="71"/>
      <c r="AY2769" s="71"/>
      <c r="AZ2769" s="71"/>
      <c r="BA2769" s="71"/>
      <c r="BB2769" s="71"/>
      <c r="BC2769" s="71"/>
      <c r="BD2769" s="71"/>
      <c r="BE2769" s="71"/>
      <c r="BF2769" s="71"/>
      <c r="BG2769" s="71"/>
      <c r="BH2769" s="71"/>
      <c r="BI2769" s="71"/>
      <c r="BJ2769" s="71"/>
      <c r="BK2769" s="71"/>
      <c r="BL2769" s="71"/>
      <c r="BM2769" s="71"/>
      <c r="BN2769" s="71"/>
      <c r="BO2769" s="71"/>
      <c r="BP2769" s="71"/>
      <c r="BQ2769" s="71"/>
      <c r="BR2769" s="71"/>
      <c r="BS2769" s="71"/>
      <c r="BT2769" s="71"/>
      <c r="BU2769" s="71"/>
      <c r="BV2769" s="71"/>
    </row>
    <row r="2770">
      <c r="A2770" s="53"/>
      <c r="B2770" s="53"/>
      <c r="C2770" s="53" t="s">
        <v>53</v>
      </c>
      <c r="D2770" s="53" t="s">
        <v>6797</v>
      </c>
      <c r="E2770" s="54" t="s">
        <v>38</v>
      </c>
      <c r="F2770" s="54" t="s">
        <v>42</v>
      </c>
      <c r="G2770" s="55" t="s">
        <v>6798</v>
      </c>
      <c r="H2770" s="55" t="s">
        <v>6798</v>
      </c>
      <c r="I2770" s="54">
        <f t="shared" si="125"/>
        <v>35</v>
      </c>
      <c r="J2770" s="56"/>
      <c r="K2770" s="57"/>
      <c r="L2770" s="76"/>
      <c r="M2770" s="59"/>
      <c r="N2770" s="60"/>
      <c r="O2770" s="61">
        <v>311.0</v>
      </c>
      <c r="P2770" s="62">
        <v>335.88</v>
      </c>
      <c r="Q2770" s="63">
        <v>335.88</v>
      </c>
      <c r="R2770" s="64">
        <v>353.0</v>
      </c>
      <c r="S2770" s="111">
        <v>371.0</v>
      </c>
      <c r="T2770" s="65">
        <f t="shared" si="93"/>
        <v>59.36</v>
      </c>
      <c r="U2770" s="65">
        <f t="shared" si="94"/>
        <v>430.36</v>
      </c>
      <c r="V2770" s="66">
        <f t="shared" si="139"/>
        <v>0.05099150142</v>
      </c>
      <c r="W2770" s="67">
        <f t="shared" si="96"/>
        <v>352.45</v>
      </c>
      <c r="X2770" s="67">
        <f t="shared" si="132"/>
        <v>56.392</v>
      </c>
      <c r="Y2770" s="67">
        <f t="shared" si="133"/>
        <v>408.842</v>
      </c>
      <c r="Z2770" s="67">
        <f t="shared" si="99"/>
        <v>333.9</v>
      </c>
      <c r="AA2770" s="67">
        <f t="shared" si="114"/>
        <v>53.424</v>
      </c>
      <c r="AB2770" s="67">
        <f t="shared" si="115"/>
        <v>387.324</v>
      </c>
      <c r="AC2770" s="67">
        <f t="shared" si="102"/>
        <v>315.35</v>
      </c>
      <c r="AD2770" s="67">
        <f t="shared" si="116"/>
        <v>50.456</v>
      </c>
      <c r="AE2770" s="67">
        <f t="shared" si="117"/>
        <v>365.806</v>
      </c>
      <c r="AF2770" s="67">
        <f t="shared" si="105"/>
        <v>307.93</v>
      </c>
      <c r="AG2770" s="67">
        <f t="shared" si="118"/>
        <v>49.2688</v>
      </c>
      <c r="AH2770" s="67">
        <f t="shared" si="119"/>
        <v>357.1988</v>
      </c>
      <c r="AI2770" s="67">
        <f t="shared" si="108"/>
        <v>296.8</v>
      </c>
      <c r="AJ2770" s="68">
        <f t="shared" si="136"/>
        <v>47.488</v>
      </c>
      <c r="AK2770" s="68">
        <f t="shared" si="137"/>
        <v>344.288</v>
      </c>
      <c r="AL2770" s="70"/>
      <c r="AM2770" s="70"/>
      <c r="AN2770" s="71"/>
      <c r="AO2770" s="71"/>
      <c r="AP2770" s="71"/>
      <c r="AQ2770" s="71"/>
      <c r="AR2770" s="71"/>
      <c r="AS2770" s="71"/>
      <c r="AT2770" s="71"/>
      <c r="AU2770" s="71"/>
      <c r="AV2770" s="71"/>
      <c r="AW2770" s="71"/>
      <c r="AX2770" s="71"/>
      <c r="AY2770" s="71"/>
      <c r="AZ2770" s="71"/>
      <c r="BA2770" s="71"/>
      <c r="BB2770" s="71"/>
      <c r="BC2770" s="71"/>
      <c r="BD2770" s="71"/>
      <c r="BE2770" s="71"/>
      <c r="BF2770" s="71"/>
      <c r="BG2770" s="71"/>
      <c r="BH2770" s="71"/>
      <c r="BI2770" s="71"/>
      <c r="BJ2770" s="71"/>
      <c r="BK2770" s="71"/>
      <c r="BL2770" s="71"/>
      <c r="BM2770" s="71"/>
      <c r="BN2770" s="71"/>
      <c r="BO2770" s="71"/>
      <c r="BP2770" s="71"/>
      <c r="BQ2770" s="71"/>
      <c r="BR2770" s="71"/>
      <c r="BS2770" s="71"/>
      <c r="BT2770" s="71"/>
      <c r="BU2770" s="71"/>
      <c r="BV2770" s="71"/>
    </row>
    <row r="2771">
      <c r="A2771" s="53"/>
      <c r="B2771" s="53"/>
      <c r="C2771" s="53" t="s">
        <v>53</v>
      </c>
      <c r="D2771" s="53" t="s">
        <v>6799</v>
      </c>
      <c r="E2771" s="54" t="s">
        <v>38</v>
      </c>
      <c r="F2771" s="54" t="s">
        <v>42</v>
      </c>
      <c r="G2771" s="55" t="s">
        <v>6800</v>
      </c>
      <c r="H2771" s="55" t="s">
        <v>6800</v>
      </c>
      <c r="I2771" s="54">
        <f t="shared" si="125"/>
        <v>35</v>
      </c>
      <c r="J2771" s="56"/>
      <c r="K2771" s="57"/>
      <c r="L2771" s="77"/>
      <c r="M2771" s="59"/>
      <c r="N2771" s="60"/>
      <c r="O2771" s="61">
        <v>311.0</v>
      </c>
      <c r="P2771" s="62">
        <v>335.88</v>
      </c>
      <c r="Q2771" s="63">
        <v>335.88</v>
      </c>
      <c r="R2771" s="64">
        <v>353.0</v>
      </c>
      <c r="S2771" s="111">
        <v>371.0</v>
      </c>
      <c r="T2771" s="65">
        <f t="shared" si="93"/>
        <v>59.36</v>
      </c>
      <c r="U2771" s="65">
        <f t="shared" si="94"/>
        <v>430.36</v>
      </c>
      <c r="V2771" s="66">
        <f t="shared" si="139"/>
        <v>0.05099150142</v>
      </c>
      <c r="W2771" s="67">
        <f t="shared" si="96"/>
        <v>352.45</v>
      </c>
      <c r="X2771" s="67">
        <f t="shared" si="132"/>
        <v>56.392</v>
      </c>
      <c r="Y2771" s="67">
        <f t="shared" si="133"/>
        <v>408.842</v>
      </c>
      <c r="Z2771" s="67">
        <f t="shared" si="99"/>
        <v>333.9</v>
      </c>
      <c r="AA2771" s="67">
        <f t="shared" si="114"/>
        <v>53.424</v>
      </c>
      <c r="AB2771" s="67">
        <f t="shared" si="115"/>
        <v>387.324</v>
      </c>
      <c r="AC2771" s="67">
        <f t="shared" si="102"/>
        <v>315.35</v>
      </c>
      <c r="AD2771" s="67">
        <f t="shared" si="116"/>
        <v>50.456</v>
      </c>
      <c r="AE2771" s="67">
        <f t="shared" si="117"/>
        <v>365.806</v>
      </c>
      <c r="AF2771" s="67">
        <f t="shared" si="105"/>
        <v>307.93</v>
      </c>
      <c r="AG2771" s="67">
        <f t="shared" si="118"/>
        <v>49.2688</v>
      </c>
      <c r="AH2771" s="67">
        <f t="shared" si="119"/>
        <v>357.1988</v>
      </c>
      <c r="AI2771" s="67">
        <f t="shared" si="108"/>
        <v>296.8</v>
      </c>
      <c r="AJ2771" s="68">
        <f t="shared" si="136"/>
        <v>47.488</v>
      </c>
      <c r="AK2771" s="68">
        <f t="shared" si="137"/>
        <v>344.288</v>
      </c>
      <c r="AL2771" s="70"/>
      <c r="AM2771" s="70"/>
      <c r="AN2771" s="71"/>
      <c r="AO2771" s="71"/>
      <c r="AP2771" s="71"/>
      <c r="AQ2771" s="71"/>
      <c r="AR2771" s="71"/>
      <c r="AS2771" s="71"/>
      <c r="AT2771" s="71"/>
      <c r="AU2771" s="71"/>
      <c r="AV2771" s="71"/>
      <c r="AW2771" s="71"/>
      <c r="AX2771" s="71"/>
      <c r="AY2771" s="71"/>
      <c r="AZ2771" s="71"/>
      <c r="BA2771" s="71"/>
      <c r="BB2771" s="71"/>
      <c r="BC2771" s="71"/>
      <c r="BD2771" s="71"/>
      <c r="BE2771" s="71"/>
      <c r="BF2771" s="71"/>
      <c r="BG2771" s="71"/>
      <c r="BH2771" s="71"/>
      <c r="BI2771" s="71"/>
      <c r="BJ2771" s="71"/>
      <c r="BK2771" s="71"/>
      <c r="BL2771" s="71"/>
      <c r="BM2771" s="71"/>
      <c r="BN2771" s="71"/>
      <c r="BO2771" s="71"/>
      <c r="BP2771" s="71"/>
      <c r="BQ2771" s="71"/>
      <c r="BR2771" s="71"/>
      <c r="BS2771" s="71"/>
      <c r="BT2771" s="71"/>
      <c r="BU2771" s="71"/>
      <c r="BV2771" s="71"/>
    </row>
    <row r="2772">
      <c r="A2772" s="53"/>
      <c r="B2772" s="53"/>
      <c r="C2772" s="53" t="s">
        <v>53</v>
      </c>
      <c r="D2772" s="53" t="s">
        <v>6801</v>
      </c>
      <c r="E2772" s="54" t="s">
        <v>38</v>
      </c>
      <c r="F2772" s="54" t="s">
        <v>42</v>
      </c>
      <c r="G2772" s="55" t="s">
        <v>6802</v>
      </c>
      <c r="H2772" s="55" t="s">
        <v>6803</v>
      </c>
      <c r="I2772" s="54">
        <f t="shared" si="125"/>
        <v>34</v>
      </c>
      <c r="J2772" s="56"/>
      <c r="K2772" s="57"/>
      <c r="L2772" s="145"/>
      <c r="M2772" s="59"/>
      <c r="N2772" s="60"/>
      <c r="O2772" s="61">
        <v>27.0</v>
      </c>
      <c r="P2772" s="62">
        <v>29.160000000000004</v>
      </c>
      <c r="Q2772" s="63">
        <v>29.160000000000004</v>
      </c>
      <c r="R2772" s="64">
        <v>31.0</v>
      </c>
      <c r="S2772" s="111">
        <v>33.0</v>
      </c>
      <c r="T2772" s="65">
        <f t="shared" si="93"/>
        <v>5.28</v>
      </c>
      <c r="U2772" s="65">
        <f t="shared" si="94"/>
        <v>38.28</v>
      </c>
      <c r="V2772" s="66">
        <f t="shared" si="139"/>
        <v>0.06451612903</v>
      </c>
      <c r="W2772" s="67">
        <f t="shared" si="96"/>
        <v>31.35</v>
      </c>
      <c r="X2772" s="67">
        <f t="shared" si="132"/>
        <v>5.016</v>
      </c>
      <c r="Y2772" s="67">
        <f t="shared" si="133"/>
        <v>36.366</v>
      </c>
      <c r="Z2772" s="67">
        <f t="shared" si="99"/>
        <v>29.7</v>
      </c>
      <c r="AA2772" s="67">
        <f t="shared" si="114"/>
        <v>4.752</v>
      </c>
      <c r="AB2772" s="67">
        <f t="shared" si="115"/>
        <v>34.452</v>
      </c>
      <c r="AC2772" s="67">
        <f t="shared" si="102"/>
        <v>28.05</v>
      </c>
      <c r="AD2772" s="67">
        <f t="shared" si="116"/>
        <v>4.488</v>
      </c>
      <c r="AE2772" s="67">
        <f t="shared" si="117"/>
        <v>32.538</v>
      </c>
      <c r="AF2772" s="67">
        <f t="shared" si="105"/>
        <v>27.39</v>
      </c>
      <c r="AG2772" s="67">
        <f t="shared" si="118"/>
        <v>4.3824</v>
      </c>
      <c r="AH2772" s="67">
        <f t="shared" si="119"/>
        <v>31.7724</v>
      </c>
      <c r="AI2772" s="67">
        <f t="shared" si="108"/>
        <v>26.4</v>
      </c>
      <c r="AJ2772" s="68">
        <f t="shared" si="136"/>
        <v>4.224</v>
      </c>
      <c r="AK2772" s="68">
        <f t="shared" si="137"/>
        <v>30.624</v>
      </c>
      <c r="AL2772" s="70"/>
      <c r="AM2772" s="70"/>
      <c r="AN2772" s="71"/>
      <c r="AO2772" s="71"/>
      <c r="AP2772" s="71"/>
      <c r="AQ2772" s="71"/>
      <c r="AR2772" s="71"/>
      <c r="AS2772" s="71"/>
      <c r="AT2772" s="71"/>
      <c r="AU2772" s="71"/>
      <c r="AV2772" s="71"/>
      <c r="AW2772" s="71"/>
      <c r="AX2772" s="71"/>
      <c r="AY2772" s="71"/>
      <c r="AZ2772" s="71"/>
      <c r="BA2772" s="71"/>
      <c r="BB2772" s="71"/>
      <c r="BC2772" s="71"/>
      <c r="BD2772" s="71"/>
      <c r="BE2772" s="71"/>
      <c r="BF2772" s="71"/>
      <c r="BG2772" s="71"/>
      <c r="BH2772" s="71"/>
      <c r="BI2772" s="71"/>
      <c r="BJ2772" s="71"/>
      <c r="BK2772" s="71"/>
      <c r="BL2772" s="71"/>
      <c r="BM2772" s="71"/>
      <c r="BN2772" s="71"/>
      <c r="BO2772" s="71"/>
      <c r="BP2772" s="71"/>
      <c r="BQ2772" s="71"/>
      <c r="BR2772" s="71"/>
      <c r="BS2772" s="71"/>
      <c r="BT2772" s="71"/>
      <c r="BU2772" s="71"/>
      <c r="BV2772" s="71"/>
    </row>
    <row r="2773">
      <c r="A2773" s="53"/>
      <c r="B2773" s="53"/>
      <c r="C2773" s="53" t="s">
        <v>36</v>
      </c>
      <c r="D2773" s="85" t="s">
        <v>6804</v>
      </c>
      <c r="E2773" s="54" t="s">
        <v>38</v>
      </c>
      <c r="F2773" s="55" t="s">
        <v>39</v>
      </c>
      <c r="G2773" s="86" t="s">
        <v>6805</v>
      </c>
      <c r="H2773" s="55"/>
      <c r="I2773" s="54">
        <f t="shared" si="125"/>
        <v>0</v>
      </c>
      <c r="J2773" s="56"/>
      <c r="K2773" s="57"/>
      <c r="L2773" s="145"/>
      <c r="M2773" s="59"/>
      <c r="N2773" s="60"/>
      <c r="O2773" s="61">
        <v>9.6</v>
      </c>
      <c r="P2773" s="62">
        <v>10.368</v>
      </c>
      <c r="Q2773" s="63">
        <v>10.368</v>
      </c>
      <c r="R2773" s="78">
        <v>10.0</v>
      </c>
      <c r="S2773" s="107">
        <v>10.5</v>
      </c>
      <c r="T2773" s="65">
        <f t="shared" si="93"/>
        <v>1.68</v>
      </c>
      <c r="U2773" s="65">
        <f t="shared" si="94"/>
        <v>12.18</v>
      </c>
      <c r="V2773" s="66">
        <f t="shared" si="139"/>
        <v>0.05</v>
      </c>
      <c r="W2773" s="67">
        <f t="shared" si="96"/>
        <v>9.975</v>
      </c>
      <c r="X2773" s="67">
        <f t="shared" si="132"/>
        <v>1.596</v>
      </c>
      <c r="Y2773" s="67">
        <f t="shared" si="133"/>
        <v>11.571</v>
      </c>
      <c r="Z2773" s="67">
        <f t="shared" si="99"/>
        <v>9.45</v>
      </c>
      <c r="AA2773" s="67">
        <f t="shared" si="114"/>
        <v>1.512</v>
      </c>
      <c r="AB2773" s="67">
        <f t="shared" si="115"/>
        <v>10.962</v>
      </c>
      <c r="AC2773" s="67">
        <f t="shared" si="102"/>
        <v>8.925</v>
      </c>
      <c r="AD2773" s="67">
        <f t="shared" si="116"/>
        <v>1.428</v>
      </c>
      <c r="AE2773" s="67">
        <f t="shared" si="117"/>
        <v>10.353</v>
      </c>
      <c r="AF2773" s="67">
        <f t="shared" si="105"/>
        <v>8.715</v>
      </c>
      <c r="AG2773" s="67">
        <f t="shared" si="118"/>
        <v>1.3944</v>
      </c>
      <c r="AH2773" s="67">
        <f t="shared" si="119"/>
        <v>10.1094</v>
      </c>
      <c r="AI2773" s="67">
        <f t="shared" si="108"/>
        <v>8.4</v>
      </c>
      <c r="AJ2773" s="68">
        <f t="shared" si="136"/>
        <v>1.344</v>
      </c>
      <c r="AK2773" s="68">
        <f t="shared" si="137"/>
        <v>9.744</v>
      </c>
      <c r="AL2773" s="70"/>
      <c r="AM2773" s="70"/>
      <c r="AN2773" s="71"/>
      <c r="AO2773" s="71"/>
      <c r="AP2773" s="71"/>
      <c r="AQ2773" s="71"/>
      <c r="AR2773" s="71"/>
      <c r="AS2773" s="71"/>
      <c r="AT2773" s="71"/>
      <c r="AU2773" s="71"/>
      <c r="AV2773" s="71"/>
      <c r="AW2773" s="71"/>
      <c r="AX2773" s="71"/>
      <c r="AY2773" s="71"/>
      <c r="AZ2773" s="71"/>
      <c r="BA2773" s="71"/>
      <c r="BB2773" s="71"/>
      <c r="BC2773" s="71"/>
      <c r="BD2773" s="71"/>
      <c r="BE2773" s="71"/>
      <c r="BF2773" s="71"/>
      <c r="BG2773" s="71"/>
      <c r="BH2773" s="71"/>
      <c r="BI2773" s="71"/>
      <c r="BJ2773" s="71"/>
      <c r="BK2773" s="71"/>
      <c r="BL2773" s="71"/>
      <c r="BM2773" s="71"/>
      <c r="BN2773" s="71"/>
      <c r="BO2773" s="71"/>
      <c r="BP2773" s="71"/>
      <c r="BQ2773" s="71"/>
      <c r="BR2773" s="71"/>
      <c r="BS2773" s="71"/>
      <c r="BT2773" s="71"/>
      <c r="BU2773" s="71"/>
      <c r="BV2773" s="71"/>
    </row>
    <row r="2774">
      <c r="A2774" s="53"/>
      <c r="B2774" s="53"/>
      <c r="C2774" s="53" t="s">
        <v>36</v>
      </c>
      <c r="D2774" s="85" t="s">
        <v>6806</v>
      </c>
      <c r="E2774" s="54" t="s">
        <v>38</v>
      </c>
      <c r="F2774" s="55" t="s">
        <v>39</v>
      </c>
      <c r="G2774" s="86" t="s">
        <v>6807</v>
      </c>
      <c r="H2774" s="55"/>
      <c r="I2774" s="54">
        <f>IF($D$2731="","",LEN(H2774))</f>
        <v>0</v>
      </c>
      <c r="J2774" s="56"/>
      <c r="K2774" s="57"/>
      <c r="L2774" s="145"/>
      <c r="M2774" s="59"/>
      <c r="N2774" s="60"/>
      <c r="O2774" s="61">
        <v>9.6</v>
      </c>
      <c r="P2774" s="62">
        <v>10.368</v>
      </c>
      <c r="Q2774" s="63">
        <v>10.368</v>
      </c>
      <c r="R2774" s="78">
        <v>10.0</v>
      </c>
      <c r="S2774" s="107">
        <v>10.5</v>
      </c>
      <c r="T2774" s="65">
        <f t="shared" si="93"/>
        <v>1.68</v>
      </c>
      <c r="U2774" s="65">
        <f t="shared" si="94"/>
        <v>12.18</v>
      </c>
      <c r="V2774" s="66">
        <f t="shared" si="139"/>
        <v>0.05</v>
      </c>
      <c r="W2774" s="67">
        <f t="shared" si="96"/>
        <v>9.975</v>
      </c>
      <c r="X2774" s="67">
        <f t="shared" si="132"/>
        <v>1.596</v>
      </c>
      <c r="Y2774" s="67">
        <f t="shared" si="133"/>
        <v>11.571</v>
      </c>
      <c r="Z2774" s="67">
        <f t="shared" si="99"/>
        <v>9.45</v>
      </c>
      <c r="AA2774" s="67">
        <f t="shared" si="114"/>
        <v>1.512</v>
      </c>
      <c r="AB2774" s="67">
        <f t="shared" si="115"/>
        <v>10.962</v>
      </c>
      <c r="AC2774" s="67">
        <f t="shared" si="102"/>
        <v>8.925</v>
      </c>
      <c r="AD2774" s="67">
        <f t="shared" si="116"/>
        <v>1.428</v>
      </c>
      <c r="AE2774" s="67">
        <f t="shared" si="117"/>
        <v>10.353</v>
      </c>
      <c r="AF2774" s="67">
        <f t="shared" si="105"/>
        <v>8.715</v>
      </c>
      <c r="AG2774" s="67">
        <f t="shared" si="118"/>
        <v>1.3944</v>
      </c>
      <c r="AH2774" s="67">
        <f t="shared" si="119"/>
        <v>10.1094</v>
      </c>
      <c r="AI2774" s="67">
        <f t="shared" si="108"/>
        <v>8.4</v>
      </c>
      <c r="AJ2774" s="68">
        <f t="shared" si="136"/>
        <v>1.344</v>
      </c>
      <c r="AK2774" s="68">
        <f t="shared" si="137"/>
        <v>9.744</v>
      </c>
      <c r="AL2774" s="70"/>
      <c r="AM2774" s="70"/>
      <c r="AN2774" s="71"/>
      <c r="AO2774" s="71"/>
      <c r="AP2774" s="71"/>
      <c r="AQ2774" s="71"/>
      <c r="AR2774" s="71"/>
      <c r="AS2774" s="71"/>
      <c r="AT2774" s="71"/>
      <c r="AU2774" s="71"/>
      <c r="AV2774" s="71"/>
      <c r="AW2774" s="71"/>
      <c r="AX2774" s="71"/>
      <c r="AY2774" s="71"/>
      <c r="AZ2774" s="71"/>
      <c r="BA2774" s="71"/>
      <c r="BB2774" s="71"/>
      <c r="BC2774" s="71"/>
      <c r="BD2774" s="71"/>
      <c r="BE2774" s="71"/>
      <c r="BF2774" s="71"/>
      <c r="BG2774" s="71"/>
      <c r="BH2774" s="71"/>
      <c r="BI2774" s="71"/>
      <c r="BJ2774" s="71"/>
      <c r="BK2774" s="71"/>
      <c r="BL2774" s="71"/>
      <c r="BM2774" s="71"/>
      <c r="BN2774" s="71"/>
      <c r="BO2774" s="71"/>
      <c r="BP2774" s="71"/>
      <c r="BQ2774" s="71"/>
      <c r="BR2774" s="71"/>
      <c r="BS2774" s="71"/>
      <c r="BT2774" s="71"/>
      <c r="BU2774" s="71"/>
      <c r="BV2774" s="71"/>
    </row>
    <row r="2775">
      <c r="A2775" s="53"/>
      <c r="B2775" s="53"/>
      <c r="C2775" s="53"/>
      <c r="D2775" s="53" t="s">
        <v>6808</v>
      </c>
      <c r="E2775" s="86" t="s">
        <v>38</v>
      </c>
      <c r="F2775" s="91" t="s">
        <v>42</v>
      </c>
      <c r="G2775" s="84" t="s">
        <v>6809</v>
      </c>
      <c r="H2775" s="55" t="s">
        <v>6810</v>
      </c>
      <c r="I2775" s="54">
        <f t="shared" ref="I2775:I2964" si="140">IF(D2775="","",LEN(H2775))</f>
        <v>40</v>
      </c>
      <c r="J2775" s="56"/>
      <c r="K2775" s="57"/>
      <c r="L2775" s="204"/>
      <c r="M2775" s="124"/>
      <c r="N2775" s="93"/>
      <c r="O2775" s="61"/>
      <c r="P2775" s="90"/>
      <c r="Q2775" s="94"/>
      <c r="R2775" s="95"/>
      <c r="S2775" s="205">
        <v>0.0</v>
      </c>
      <c r="T2775" s="65">
        <f t="shared" si="93"/>
        <v>0</v>
      </c>
      <c r="U2775" s="65">
        <f t="shared" si="94"/>
        <v>0</v>
      </c>
      <c r="V2775" s="66" t="str">
        <f t="shared" si="139"/>
        <v>#DIV/0!</v>
      </c>
      <c r="W2775" s="67">
        <f t="shared" si="96"/>
        <v>0</v>
      </c>
      <c r="X2775" s="67">
        <f t="shared" si="132"/>
        <v>0</v>
      </c>
      <c r="Y2775" s="67">
        <f t="shared" si="133"/>
        <v>0</v>
      </c>
      <c r="Z2775" s="67">
        <f t="shared" si="99"/>
        <v>0</v>
      </c>
      <c r="AA2775" s="67">
        <f t="shared" si="114"/>
        <v>0</v>
      </c>
      <c r="AB2775" s="67">
        <f t="shared" si="115"/>
        <v>0</v>
      </c>
      <c r="AC2775" s="67">
        <f t="shared" si="102"/>
        <v>0</v>
      </c>
      <c r="AD2775" s="67">
        <f t="shared" si="116"/>
        <v>0</v>
      </c>
      <c r="AE2775" s="67">
        <f t="shared" si="117"/>
        <v>0</v>
      </c>
      <c r="AF2775" s="67">
        <f t="shared" si="105"/>
        <v>0</v>
      </c>
      <c r="AG2775" s="67">
        <f t="shared" si="118"/>
        <v>0</v>
      </c>
      <c r="AH2775" s="67">
        <f t="shared" si="119"/>
        <v>0</v>
      </c>
      <c r="AI2775" s="67">
        <f t="shared" si="108"/>
        <v>0</v>
      </c>
      <c r="AJ2775" s="68">
        <f t="shared" si="136"/>
        <v>0</v>
      </c>
      <c r="AK2775" s="68">
        <f t="shared" si="137"/>
        <v>0</v>
      </c>
      <c r="AL2775" s="70"/>
      <c r="AM2775" s="70"/>
      <c r="AN2775" s="71"/>
      <c r="AO2775" s="71"/>
      <c r="AP2775" s="71"/>
      <c r="AQ2775" s="71"/>
      <c r="AR2775" s="71"/>
      <c r="AS2775" s="71"/>
      <c r="AT2775" s="71"/>
      <c r="AU2775" s="71"/>
      <c r="AV2775" s="71"/>
      <c r="AW2775" s="71"/>
      <c r="AX2775" s="71"/>
      <c r="AY2775" s="71"/>
      <c r="AZ2775" s="71"/>
      <c r="BA2775" s="71"/>
      <c r="BB2775" s="71"/>
      <c r="BC2775" s="71"/>
      <c r="BD2775" s="71"/>
      <c r="BE2775" s="71"/>
      <c r="BF2775" s="71"/>
      <c r="BG2775" s="71"/>
      <c r="BH2775" s="71"/>
      <c r="BI2775" s="71"/>
      <c r="BJ2775" s="71"/>
      <c r="BK2775" s="71"/>
      <c r="BL2775" s="71"/>
      <c r="BM2775" s="71"/>
      <c r="BN2775" s="71"/>
      <c r="BO2775" s="71"/>
      <c r="BP2775" s="71"/>
      <c r="BQ2775" s="71"/>
      <c r="BR2775" s="71"/>
      <c r="BS2775" s="71"/>
      <c r="BT2775" s="71"/>
      <c r="BU2775" s="71"/>
      <c r="BV2775" s="71"/>
    </row>
    <row r="2776">
      <c r="A2776" s="53"/>
      <c r="B2776" s="53"/>
      <c r="C2776" s="53"/>
      <c r="D2776" s="53" t="s">
        <v>6811</v>
      </c>
      <c r="E2776" s="86" t="s">
        <v>38</v>
      </c>
      <c r="F2776" s="91" t="s">
        <v>42</v>
      </c>
      <c r="G2776" s="84" t="s">
        <v>6812</v>
      </c>
      <c r="H2776" s="55"/>
      <c r="I2776" s="54">
        <f t="shared" si="140"/>
        <v>0</v>
      </c>
      <c r="J2776" s="56"/>
      <c r="K2776" s="57"/>
      <c r="L2776" s="204"/>
      <c r="M2776" s="124"/>
      <c r="N2776" s="93"/>
      <c r="O2776" s="61"/>
      <c r="P2776" s="90"/>
      <c r="Q2776" s="94"/>
      <c r="R2776" s="95"/>
      <c r="S2776" s="205">
        <v>7805.16</v>
      </c>
      <c r="T2776" s="65">
        <f t="shared" si="93"/>
        <v>1248.8256</v>
      </c>
      <c r="U2776" s="65">
        <f t="shared" si="94"/>
        <v>9053.9856</v>
      </c>
      <c r="V2776" s="66" t="str">
        <f t="shared" si="139"/>
        <v>#DIV/0!</v>
      </c>
      <c r="W2776" s="67">
        <f t="shared" si="96"/>
        <v>7414.902</v>
      </c>
      <c r="X2776" s="67">
        <f t="shared" si="132"/>
        <v>1186.38432</v>
      </c>
      <c r="Y2776" s="67">
        <f t="shared" si="133"/>
        <v>8601.28632</v>
      </c>
      <c r="Z2776" s="67">
        <f t="shared" si="99"/>
        <v>7024.644</v>
      </c>
      <c r="AA2776" s="67">
        <f t="shared" si="114"/>
        <v>1123.94304</v>
      </c>
      <c r="AB2776" s="67">
        <f t="shared" si="115"/>
        <v>8148.58704</v>
      </c>
      <c r="AC2776" s="67">
        <f t="shared" si="102"/>
        <v>6634.386</v>
      </c>
      <c r="AD2776" s="67">
        <f t="shared" si="116"/>
        <v>1061.50176</v>
      </c>
      <c r="AE2776" s="67">
        <f t="shared" si="117"/>
        <v>7695.88776</v>
      </c>
      <c r="AF2776" s="67">
        <f t="shared" si="105"/>
        <v>6478.2828</v>
      </c>
      <c r="AG2776" s="67">
        <f t="shared" si="118"/>
        <v>1036.525248</v>
      </c>
      <c r="AH2776" s="67">
        <f t="shared" si="119"/>
        <v>7514.808048</v>
      </c>
      <c r="AI2776" s="67">
        <f t="shared" si="108"/>
        <v>6244.128</v>
      </c>
      <c r="AJ2776" s="68">
        <f t="shared" si="136"/>
        <v>999.06048</v>
      </c>
      <c r="AK2776" s="68">
        <f t="shared" si="137"/>
        <v>7243.18848</v>
      </c>
      <c r="AL2776" s="70"/>
      <c r="AM2776" s="70"/>
      <c r="AN2776" s="71"/>
      <c r="AO2776" s="71"/>
      <c r="AP2776" s="71"/>
      <c r="AQ2776" s="71"/>
      <c r="AR2776" s="71"/>
      <c r="AS2776" s="71"/>
      <c r="AT2776" s="71"/>
      <c r="AU2776" s="71"/>
      <c r="AV2776" s="71"/>
      <c r="AW2776" s="71"/>
      <c r="AX2776" s="71"/>
      <c r="AY2776" s="71"/>
      <c r="AZ2776" s="71"/>
      <c r="BA2776" s="71"/>
      <c r="BB2776" s="71"/>
      <c r="BC2776" s="71"/>
      <c r="BD2776" s="71"/>
      <c r="BE2776" s="71"/>
      <c r="BF2776" s="71"/>
      <c r="BG2776" s="71"/>
      <c r="BH2776" s="71"/>
      <c r="BI2776" s="71"/>
      <c r="BJ2776" s="71"/>
      <c r="BK2776" s="71"/>
      <c r="BL2776" s="71"/>
      <c r="BM2776" s="71"/>
      <c r="BN2776" s="71"/>
      <c r="BO2776" s="71"/>
      <c r="BP2776" s="71"/>
      <c r="BQ2776" s="71"/>
      <c r="BR2776" s="71"/>
      <c r="BS2776" s="71"/>
      <c r="BT2776" s="71"/>
      <c r="BU2776" s="71"/>
      <c r="BV2776" s="71"/>
    </row>
    <row r="2777">
      <c r="A2777" s="53"/>
      <c r="B2777" s="53"/>
      <c r="C2777" s="53"/>
      <c r="D2777" s="53" t="s">
        <v>6813</v>
      </c>
      <c r="E2777" s="86" t="s">
        <v>38</v>
      </c>
      <c r="F2777" s="91" t="s">
        <v>42</v>
      </c>
      <c r="G2777" s="84" t="s">
        <v>6814</v>
      </c>
      <c r="H2777" s="84" t="s">
        <v>6814</v>
      </c>
      <c r="I2777" s="54">
        <f t="shared" si="140"/>
        <v>28</v>
      </c>
      <c r="J2777" s="56"/>
      <c r="K2777" s="57"/>
      <c r="L2777" s="204"/>
      <c r="M2777" s="124"/>
      <c r="N2777" s="93"/>
      <c r="O2777" s="61"/>
      <c r="P2777" s="90"/>
      <c r="Q2777" s="94"/>
      <c r="R2777" s="95"/>
      <c r="S2777" s="125"/>
      <c r="T2777" s="65">
        <f t="shared" si="93"/>
        <v>0</v>
      </c>
      <c r="U2777" s="65">
        <f t="shared" si="94"/>
        <v>0</v>
      </c>
      <c r="V2777" s="66" t="str">
        <f t="shared" si="139"/>
        <v>#DIV/0!</v>
      </c>
      <c r="W2777" s="67">
        <f t="shared" si="96"/>
        <v>0</v>
      </c>
      <c r="X2777" s="67">
        <f t="shared" si="132"/>
        <v>0</v>
      </c>
      <c r="Y2777" s="67">
        <f t="shared" si="133"/>
        <v>0</v>
      </c>
      <c r="Z2777" s="67">
        <f t="shared" si="99"/>
        <v>0</v>
      </c>
      <c r="AA2777" s="67">
        <f t="shared" si="114"/>
        <v>0</v>
      </c>
      <c r="AB2777" s="67">
        <f t="shared" si="115"/>
        <v>0</v>
      </c>
      <c r="AC2777" s="67">
        <f t="shared" si="102"/>
        <v>0</v>
      </c>
      <c r="AD2777" s="67">
        <f t="shared" si="116"/>
        <v>0</v>
      </c>
      <c r="AE2777" s="67">
        <f t="shared" si="117"/>
        <v>0</v>
      </c>
      <c r="AF2777" s="67">
        <f t="shared" si="105"/>
        <v>0</v>
      </c>
      <c r="AG2777" s="67">
        <f t="shared" si="118"/>
        <v>0</v>
      </c>
      <c r="AH2777" s="67">
        <f t="shared" si="119"/>
        <v>0</v>
      </c>
      <c r="AI2777" s="67">
        <f t="shared" si="108"/>
        <v>0</v>
      </c>
      <c r="AJ2777" s="68">
        <f t="shared" si="136"/>
        <v>0</v>
      </c>
      <c r="AK2777" s="68">
        <f t="shared" si="137"/>
        <v>0</v>
      </c>
      <c r="AL2777" s="70"/>
      <c r="AM2777" s="70"/>
      <c r="AN2777" s="71"/>
      <c r="AO2777" s="71"/>
      <c r="AP2777" s="71"/>
      <c r="AQ2777" s="71"/>
      <c r="AR2777" s="71"/>
      <c r="AS2777" s="71"/>
      <c r="AT2777" s="71"/>
      <c r="AU2777" s="71"/>
      <c r="AV2777" s="71"/>
      <c r="AW2777" s="71"/>
      <c r="AX2777" s="71"/>
      <c r="AY2777" s="71"/>
      <c r="AZ2777" s="71"/>
      <c r="BA2777" s="71"/>
      <c r="BB2777" s="71"/>
      <c r="BC2777" s="71"/>
      <c r="BD2777" s="71"/>
      <c r="BE2777" s="71"/>
      <c r="BF2777" s="71"/>
      <c r="BG2777" s="71"/>
      <c r="BH2777" s="71"/>
      <c r="BI2777" s="71"/>
      <c r="BJ2777" s="71"/>
      <c r="BK2777" s="71"/>
      <c r="BL2777" s="71"/>
      <c r="BM2777" s="71"/>
      <c r="BN2777" s="71"/>
      <c r="BO2777" s="71"/>
      <c r="BP2777" s="71"/>
      <c r="BQ2777" s="71"/>
      <c r="BR2777" s="71"/>
      <c r="BS2777" s="71"/>
      <c r="BT2777" s="71"/>
      <c r="BU2777" s="71"/>
      <c r="BV2777" s="71"/>
    </row>
    <row r="2778">
      <c r="A2778" s="53"/>
      <c r="B2778" s="53"/>
      <c r="C2778" s="53" t="s">
        <v>36</v>
      </c>
      <c r="D2778" s="53" t="s">
        <v>6815</v>
      </c>
      <c r="E2778" s="86" t="s">
        <v>38</v>
      </c>
      <c r="F2778" s="91" t="s">
        <v>1610</v>
      </c>
      <c r="G2778" s="84" t="s">
        <v>6816</v>
      </c>
      <c r="H2778" s="55" t="s">
        <v>6817</v>
      </c>
      <c r="I2778" s="54">
        <f t="shared" si="140"/>
        <v>40</v>
      </c>
      <c r="J2778" s="56"/>
      <c r="K2778" s="57"/>
      <c r="L2778" s="204"/>
      <c r="M2778" s="124"/>
      <c r="N2778" s="93"/>
      <c r="O2778" s="61"/>
      <c r="P2778" s="90"/>
      <c r="Q2778" s="94"/>
      <c r="R2778" s="95"/>
      <c r="S2778" s="125">
        <v>541364.0</v>
      </c>
      <c r="T2778" s="65">
        <f t="shared" si="93"/>
        <v>86618.24</v>
      </c>
      <c r="U2778" s="65">
        <f t="shared" si="94"/>
        <v>627982.24</v>
      </c>
      <c r="V2778" s="66" t="str">
        <f t="shared" si="139"/>
        <v>#DIV/0!</v>
      </c>
      <c r="W2778" s="67">
        <f t="shared" si="96"/>
        <v>514295.8</v>
      </c>
      <c r="X2778" s="67">
        <f t="shared" si="132"/>
        <v>82287.328</v>
      </c>
      <c r="Y2778" s="67">
        <f t="shared" si="133"/>
        <v>596583.128</v>
      </c>
      <c r="Z2778" s="67">
        <f t="shared" si="99"/>
        <v>487227.6</v>
      </c>
      <c r="AA2778" s="67">
        <f t="shared" si="114"/>
        <v>77956.416</v>
      </c>
      <c r="AB2778" s="67">
        <f t="shared" si="115"/>
        <v>565184.016</v>
      </c>
      <c r="AC2778" s="67">
        <f t="shared" si="102"/>
        <v>460159.4</v>
      </c>
      <c r="AD2778" s="67">
        <f t="shared" si="116"/>
        <v>73625.504</v>
      </c>
      <c r="AE2778" s="67">
        <f t="shared" si="117"/>
        <v>533784.904</v>
      </c>
      <c r="AF2778" s="67">
        <f t="shared" si="105"/>
        <v>449332.12</v>
      </c>
      <c r="AG2778" s="67">
        <f t="shared" si="118"/>
        <v>71893.1392</v>
      </c>
      <c r="AH2778" s="67">
        <f t="shared" si="119"/>
        <v>521225.2592</v>
      </c>
      <c r="AI2778" s="67">
        <f t="shared" si="108"/>
        <v>433091.2</v>
      </c>
      <c r="AJ2778" s="68">
        <f t="shared" si="136"/>
        <v>69294.592</v>
      </c>
      <c r="AK2778" s="68">
        <f t="shared" si="137"/>
        <v>502385.792</v>
      </c>
      <c r="AL2778" s="70"/>
      <c r="AM2778" s="70"/>
      <c r="AN2778" s="71"/>
      <c r="AO2778" s="71"/>
      <c r="AP2778" s="71"/>
      <c r="AQ2778" s="71"/>
      <c r="AR2778" s="71"/>
      <c r="AS2778" s="71"/>
      <c r="AT2778" s="71"/>
      <c r="AU2778" s="71"/>
      <c r="AV2778" s="71"/>
      <c r="AW2778" s="71"/>
      <c r="AX2778" s="71"/>
      <c r="AY2778" s="71"/>
      <c r="AZ2778" s="71"/>
      <c r="BA2778" s="71"/>
      <c r="BB2778" s="71"/>
      <c r="BC2778" s="71"/>
      <c r="BD2778" s="71"/>
      <c r="BE2778" s="71"/>
      <c r="BF2778" s="71"/>
      <c r="BG2778" s="71"/>
      <c r="BH2778" s="71"/>
      <c r="BI2778" s="71"/>
      <c r="BJ2778" s="71"/>
      <c r="BK2778" s="71"/>
      <c r="BL2778" s="71"/>
      <c r="BM2778" s="71"/>
      <c r="BN2778" s="71"/>
      <c r="BO2778" s="71"/>
      <c r="BP2778" s="71"/>
      <c r="BQ2778" s="71"/>
      <c r="BR2778" s="71"/>
      <c r="BS2778" s="71"/>
      <c r="BT2778" s="71"/>
      <c r="BU2778" s="71"/>
      <c r="BV2778" s="71"/>
    </row>
    <row r="2779">
      <c r="A2779" s="53"/>
      <c r="B2779" s="53"/>
      <c r="C2779" s="53" t="s">
        <v>36</v>
      </c>
      <c r="D2779" s="53" t="s">
        <v>6818</v>
      </c>
      <c r="E2779" s="86" t="s">
        <v>38</v>
      </c>
      <c r="F2779" s="91" t="s">
        <v>1610</v>
      </c>
      <c r="G2779" s="84" t="s">
        <v>6819</v>
      </c>
      <c r="H2779" s="55" t="s">
        <v>6820</v>
      </c>
      <c r="I2779" s="54">
        <f t="shared" si="140"/>
        <v>40</v>
      </c>
      <c r="J2779" s="56"/>
      <c r="K2779" s="57"/>
      <c r="L2779" s="204"/>
      <c r="M2779" s="124"/>
      <c r="N2779" s="93"/>
      <c r="O2779" s="61"/>
      <c r="P2779" s="90"/>
      <c r="Q2779" s="94"/>
      <c r="R2779" s="95"/>
      <c r="S2779" s="125">
        <v>615571.0</v>
      </c>
      <c r="T2779" s="65">
        <f t="shared" si="93"/>
        <v>98491.36</v>
      </c>
      <c r="U2779" s="65">
        <f t="shared" si="94"/>
        <v>714062.36</v>
      </c>
      <c r="V2779" s="66" t="str">
        <f t="shared" si="139"/>
        <v>#DIV/0!</v>
      </c>
      <c r="W2779" s="67">
        <f t="shared" si="96"/>
        <v>584792.45</v>
      </c>
      <c r="X2779" s="67">
        <f t="shared" si="132"/>
        <v>93566.792</v>
      </c>
      <c r="Y2779" s="67">
        <f t="shared" si="133"/>
        <v>678359.242</v>
      </c>
      <c r="Z2779" s="67">
        <f t="shared" si="99"/>
        <v>554013.9</v>
      </c>
      <c r="AA2779" s="67">
        <f t="shared" si="114"/>
        <v>88642.224</v>
      </c>
      <c r="AB2779" s="67">
        <f t="shared" si="115"/>
        <v>642656.124</v>
      </c>
      <c r="AC2779" s="67">
        <f t="shared" si="102"/>
        <v>523235.35</v>
      </c>
      <c r="AD2779" s="67">
        <f t="shared" si="116"/>
        <v>83717.656</v>
      </c>
      <c r="AE2779" s="67">
        <f t="shared" si="117"/>
        <v>606953.006</v>
      </c>
      <c r="AF2779" s="67">
        <f t="shared" si="105"/>
        <v>510923.93</v>
      </c>
      <c r="AG2779" s="67">
        <f t="shared" si="118"/>
        <v>81747.8288</v>
      </c>
      <c r="AH2779" s="67">
        <f t="shared" si="119"/>
        <v>592671.7588</v>
      </c>
      <c r="AI2779" s="67">
        <f t="shared" si="108"/>
        <v>492456.8</v>
      </c>
      <c r="AJ2779" s="68">
        <f t="shared" si="136"/>
        <v>78793.088</v>
      </c>
      <c r="AK2779" s="68">
        <f t="shared" si="137"/>
        <v>571249.888</v>
      </c>
      <c r="AL2779" s="70"/>
      <c r="AM2779" s="70"/>
      <c r="AN2779" s="71"/>
      <c r="AO2779" s="71"/>
      <c r="AP2779" s="71"/>
      <c r="AQ2779" s="71"/>
      <c r="AR2779" s="71"/>
      <c r="AS2779" s="71"/>
      <c r="AT2779" s="71"/>
      <c r="AU2779" s="71"/>
      <c r="AV2779" s="71"/>
      <c r="AW2779" s="71"/>
      <c r="AX2779" s="71"/>
      <c r="AY2779" s="71"/>
      <c r="AZ2779" s="71"/>
      <c r="BA2779" s="71"/>
      <c r="BB2779" s="71"/>
      <c r="BC2779" s="71"/>
      <c r="BD2779" s="71"/>
      <c r="BE2779" s="71"/>
      <c r="BF2779" s="71"/>
      <c r="BG2779" s="71"/>
      <c r="BH2779" s="71"/>
      <c r="BI2779" s="71"/>
      <c r="BJ2779" s="71"/>
      <c r="BK2779" s="71"/>
      <c r="BL2779" s="71"/>
      <c r="BM2779" s="71"/>
      <c r="BN2779" s="71"/>
      <c r="BO2779" s="71"/>
      <c r="BP2779" s="71"/>
      <c r="BQ2779" s="71"/>
      <c r="BR2779" s="71"/>
      <c r="BS2779" s="71"/>
      <c r="BT2779" s="71"/>
      <c r="BU2779" s="71"/>
      <c r="BV2779" s="71"/>
    </row>
    <row r="2780">
      <c r="A2780" s="53"/>
      <c r="B2780" s="53"/>
      <c r="C2780" s="53" t="s">
        <v>36</v>
      </c>
      <c r="D2780" s="53" t="s">
        <v>6821</v>
      </c>
      <c r="E2780" s="86" t="s">
        <v>38</v>
      </c>
      <c r="F2780" s="91" t="s">
        <v>1610</v>
      </c>
      <c r="G2780" s="84" t="s">
        <v>6822</v>
      </c>
      <c r="H2780" s="55" t="s">
        <v>6823</v>
      </c>
      <c r="I2780" s="54">
        <f t="shared" si="140"/>
        <v>40</v>
      </c>
      <c r="J2780" s="56"/>
      <c r="K2780" s="57"/>
      <c r="L2780" s="204"/>
      <c r="M2780" s="124"/>
      <c r="N2780" s="93"/>
      <c r="O2780" s="61"/>
      <c r="P2780" s="90"/>
      <c r="Q2780" s="94"/>
      <c r="R2780" s="95"/>
      <c r="S2780" s="125">
        <v>709339.0</v>
      </c>
      <c r="T2780" s="65">
        <f t="shared" si="93"/>
        <v>113494.24</v>
      </c>
      <c r="U2780" s="65">
        <f t="shared" si="94"/>
        <v>822833.24</v>
      </c>
      <c r="V2780" s="66" t="str">
        <f t="shared" si="139"/>
        <v>#DIV/0!</v>
      </c>
      <c r="W2780" s="67">
        <f t="shared" si="96"/>
        <v>673872.05</v>
      </c>
      <c r="X2780" s="67">
        <f t="shared" si="132"/>
        <v>107819.528</v>
      </c>
      <c r="Y2780" s="67">
        <f t="shared" si="133"/>
        <v>781691.578</v>
      </c>
      <c r="Z2780" s="67">
        <f t="shared" si="99"/>
        <v>638405.1</v>
      </c>
      <c r="AA2780" s="67">
        <f t="shared" si="114"/>
        <v>102144.816</v>
      </c>
      <c r="AB2780" s="67">
        <f t="shared" si="115"/>
        <v>740549.916</v>
      </c>
      <c r="AC2780" s="67">
        <f t="shared" si="102"/>
        <v>602938.15</v>
      </c>
      <c r="AD2780" s="67">
        <f t="shared" si="116"/>
        <v>96470.104</v>
      </c>
      <c r="AE2780" s="67">
        <f t="shared" si="117"/>
        <v>699408.254</v>
      </c>
      <c r="AF2780" s="67">
        <f t="shared" si="105"/>
        <v>588751.37</v>
      </c>
      <c r="AG2780" s="67">
        <f t="shared" si="118"/>
        <v>94200.2192</v>
      </c>
      <c r="AH2780" s="67">
        <f t="shared" si="119"/>
        <v>682951.5892</v>
      </c>
      <c r="AI2780" s="67">
        <f t="shared" si="108"/>
        <v>567471.2</v>
      </c>
      <c r="AJ2780" s="68">
        <f t="shared" si="136"/>
        <v>90795.392</v>
      </c>
      <c r="AK2780" s="68">
        <f t="shared" si="137"/>
        <v>658266.592</v>
      </c>
      <c r="AL2780" s="70"/>
      <c r="AM2780" s="70"/>
      <c r="AN2780" s="71"/>
      <c r="AO2780" s="71"/>
      <c r="AP2780" s="71"/>
      <c r="AQ2780" s="71"/>
      <c r="AR2780" s="71"/>
      <c r="AS2780" s="71"/>
      <c r="AT2780" s="71"/>
      <c r="AU2780" s="71"/>
      <c r="AV2780" s="71"/>
      <c r="AW2780" s="71"/>
      <c r="AX2780" s="71"/>
      <c r="AY2780" s="71"/>
      <c r="AZ2780" s="71"/>
      <c r="BA2780" s="71"/>
      <c r="BB2780" s="71"/>
      <c r="BC2780" s="71"/>
      <c r="BD2780" s="71"/>
      <c r="BE2780" s="71"/>
      <c r="BF2780" s="71"/>
      <c r="BG2780" s="71"/>
      <c r="BH2780" s="71"/>
      <c r="BI2780" s="71"/>
      <c r="BJ2780" s="71"/>
      <c r="BK2780" s="71"/>
      <c r="BL2780" s="71"/>
      <c r="BM2780" s="71"/>
      <c r="BN2780" s="71"/>
      <c r="BO2780" s="71"/>
      <c r="BP2780" s="71"/>
      <c r="BQ2780" s="71"/>
      <c r="BR2780" s="71"/>
      <c r="BS2780" s="71"/>
      <c r="BT2780" s="71"/>
      <c r="BU2780" s="71"/>
      <c r="BV2780" s="71"/>
    </row>
    <row r="2781">
      <c r="A2781" s="53"/>
      <c r="B2781" s="53"/>
      <c r="C2781" s="53"/>
      <c r="D2781" s="53"/>
      <c r="E2781" s="86"/>
      <c r="F2781" s="89"/>
      <c r="G2781" s="84"/>
      <c r="H2781" s="55"/>
      <c r="I2781" s="54" t="str">
        <f t="shared" si="140"/>
        <v/>
      </c>
      <c r="J2781" s="56"/>
      <c r="K2781" s="57"/>
      <c r="L2781" s="204"/>
      <c r="M2781" s="124"/>
      <c r="N2781" s="93"/>
      <c r="O2781" s="61"/>
      <c r="P2781" s="90"/>
      <c r="Q2781" s="94"/>
      <c r="R2781" s="95"/>
      <c r="S2781" s="125"/>
      <c r="T2781" s="65"/>
      <c r="U2781" s="65"/>
      <c r="V2781" s="66"/>
      <c r="W2781" s="67"/>
      <c r="X2781" s="67"/>
      <c r="Y2781" s="67"/>
      <c r="Z2781" s="67"/>
      <c r="AA2781" s="67"/>
      <c r="AB2781" s="67"/>
      <c r="AC2781" s="67"/>
      <c r="AD2781" s="67"/>
      <c r="AE2781" s="67"/>
      <c r="AF2781" s="67"/>
      <c r="AG2781" s="67"/>
      <c r="AH2781" s="67"/>
      <c r="AI2781" s="67"/>
      <c r="AJ2781" s="96"/>
      <c r="AK2781" s="96"/>
      <c r="AL2781" s="70"/>
      <c r="AM2781" s="70"/>
      <c r="AN2781" s="71"/>
      <c r="AO2781" s="71"/>
      <c r="AP2781" s="71"/>
      <c r="AQ2781" s="71"/>
      <c r="AR2781" s="71"/>
      <c r="AS2781" s="71"/>
      <c r="AT2781" s="71"/>
      <c r="AU2781" s="71"/>
      <c r="AV2781" s="71"/>
      <c r="AW2781" s="71"/>
      <c r="AX2781" s="71"/>
      <c r="AY2781" s="71"/>
      <c r="AZ2781" s="71"/>
      <c r="BA2781" s="71"/>
      <c r="BB2781" s="71"/>
      <c r="BC2781" s="71"/>
      <c r="BD2781" s="71"/>
      <c r="BE2781" s="71"/>
      <c r="BF2781" s="71"/>
      <c r="BG2781" s="71"/>
      <c r="BH2781" s="71"/>
      <c r="BI2781" s="71"/>
      <c r="BJ2781" s="71"/>
      <c r="BK2781" s="71"/>
      <c r="BL2781" s="71"/>
      <c r="BM2781" s="71"/>
      <c r="BN2781" s="71"/>
      <c r="BO2781" s="71"/>
      <c r="BP2781" s="71"/>
      <c r="BQ2781" s="71"/>
      <c r="BR2781" s="71"/>
      <c r="BS2781" s="71"/>
      <c r="BT2781" s="71"/>
      <c r="BU2781" s="71"/>
      <c r="BV2781" s="71"/>
    </row>
    <row r="2782">
      <c r="A2782" s="53"/>
      <c r="B2782" s="53"/>
      <c r="C2782" s="53"/>
      <c r="D2782" s="53"/>
      <c r="E2782" s="86"/>
      <c r="F2782" s="89"/>
      <c r="G2782" s="84"/>
      <c r="H2782" s="55"/>
      <c r="I2782" s="54" t="str">
        <f t="shared" si="140"/>
        <v/>
      </c>
      <c r="J2782" s="56"/>
      <c r="K2782" s="57"/>
      <c r="L2782" s="204"/>
      <c r="M2782" s="124"/>
      <c r="N2782" s="93"/>
      <c r="O2782" s="61"/>
      <c r="P2782" s="90"/>
      <c r="Q2782" s="94"/>
      <c r="R2782" s="95"/>
      <c r="S2782" s="125"/>
      <c r="T2782" s="65"/>
      <c r="U2782" s="65"/>
      <c r="V2782" s="66"/>
      <c r="W2782" s="67"/>
      <c r="X2782" s="67"/>
      <c r="Y2782" s="67"/>
      <c r="Z2782" s="67"/>
      <c r="AA2782" s="67"/>
      <c r="AB2782" s="67"/>
      <c r="AC2782" s="67"/>
      <c r="AD2782" s="67"/>
      <c r="AE2782" s="67"/>
      <c r="AF2782" s="67"/>
      <c r="AG2782" s="67"/>
      <c r="AH2782" s="67"/>
      <c r="AI2782" s="67"/>
      <c r="AJ2782" s="96"/>
      <c r="AK2782" s="96"/>
      <c r="AL2782" s="70"/>
      <c r="AM2782" s="70"/>
      <c r="AN2782" s="71"/>
      <c r="AO2782" s="71"/>
      <c r="AP2782" s="71"/>
      <c r="AQ2782" s="71"/>
      <c r="AR2782" s="71"/>
      <c r="AS2782" s="71"/>
      <c r="AT2782" s="71"/>
      <c r="AU2782" s="71"/>
      <c r="AV2782" s="71"/>
      <c r="AW2782" s="71"/>
      <c r="AX2782" s="71"/>
      <c r="AY2782" s="71"/>
      <c r="AZ2782" s="71"/>
      <c r="BA2782" s="71"/>
      <c r="BB2782" s="71"/>
      <c r="BC2782" s="71"/>
      <c r="BD2782" s="71"/>
      <c r="BE2782" s="71"/>
      <c r="BF2782" s="71"/>
      <c r="BG2782" s="71"/>
      <c r="BH2782" s="71"/>
      <c r="BI2782" s="71"/>
      <c r="BJ2782" s="71"/>
      <c r="BK2782" s="71"/>
      <c r="BL2782" s="71"/>
      <c r="BM2782" s="71"/>
      <c r="BN2782" s="71"/>
      <c r="BO2782" s="71"/>
      <c r="BP2782" s="71"/>
      <c r="BQ2782" s="71"/>
      <c r="BR2782" s="71"/>
      <c r="BS2782" s="71"/>
      <c r="BT2782" s="71"/>
      <c r="BU2782" s="71"/>
      <c r="BV2782" s="71"/>
    </row>
    <row r="2783">
      <c r="A2783" s="53"/>
      <c r="B2783" s="53"/>
      <c r="C2783" s="53"/>
      <c r="D2783" s="53"/>
      <c r="E2783" s="86"/>
      <c r="F2783" s="89"/>
      <c r="G2783" s="84"/>
      <c r="H2783" s="55"/>
      <c r="I2783" s="54" t="str">
        <f t="shared" si="140"/>
        <v/>
      </c>
      <c r="J2783" s="56"/>
      <c r="K2783" s="57"/>
      <c r="L2783" s="204"/>
      <c r="M2783" s="124"/>
      <c r="N2783" s="93"/>
      <c r="O2783" s="61"/>
      <c r="P2783" s="90"/>
      <c r="Q2783" s="94"/>
      <c r="R2783" s="95"/>
      <c r="S2783" s="125"/>
      <c r="T2783" s="65"/>
      <c r="U2783" s="65"/>
      <c r="V2783" s="66"/>
      <c r="W2783" s="67"/>
      <c r="X2783" s="67"/>
      <c r="Y2783" s="67"/>
      <c r="Z2783" s="67"/>
      <c r="AA2783" s="67"/>
      <c r="AB2783" s="67"/>
      <c r="AC2783" s="67"/>
      <c r="AD2783" s="67"/>
      <c r="AE2783" s="67"/>
      <c r="AF2783" s="67"/>
      <c r="AG2783" s="67"/>
      <c r="AH2783" s="67"/>
      <c r="AI2783" s="67"/>
      <c r="AJ2783" s="96"/>
      <c r="AK2783" s="96"/>
      <c r="AL2783" s="70"/>
      <c r="AM2783" s="70"/>
      <c r="AN2783" s="71"/>
      <c r="AO2783" s="71"/>
      <c r="AP2783" s="71"/>
      <c r="AQ2783" s="71"/>
      <c r="AR2783" s="71"/>
      <c r="AS2783" s="71"/>
      <c r="AT2783" s="71"/>
      <c r="AU2783" s="71"/>
      <c r="AV2783" s="71"/>
      <c r="AW2783" s="71"/>
      <c r="AX2783" s="71"/>
      <c r="AY2783" s="71"/>
      <c r="AZ2783" s="71"/>
      <c r="BA2783" s="71"/>
      <c r="BB2783" s="71"/>
      <c r="BC2783" s="71"/>
      <c r="BD2783" s="71"/>
      <c r="BE2783" s="71"/>
      <c r="BF2783" s="71"/>
      <c r="BG2783" s="71"/>
      <c r="BH2783" s="71"/>
      <c r="BI2783" s="71"/>
      <c r="BJ2783" s="71"/>
      <c r="BK2783" s="71"/>
      <c r="BL2783" s="71"/>
      <c r="BM2783" s="71"/>
      <c r="BN2783" s="71"/>
      <c r="BO2783" s="71"/>
      <c r="BP2783" s="71"/>
      <c r="BQ2783" s="71"/>
      <c r="BR2783" s="71"/>
      <c r="BS2783" s="71"/>
      <c r="BT2783" s="71"/>
      <c r="BU2783" s="71"/>
      <c r="BV2783" s="71"/>
    </row>
    <row r="2784">
      <c r="A2784" s="53"/>
      <c r="B2784" s="53"/>
      <c r="C2784" s="53"/>
      <c r="D2784" s="53"/>
      <c r="E2784" s="86"/>
      <c r="F2784" s="89"/>
      <c r="G2784" s="84"/>
      <c r="H2784" s="55"/>
      <c r="I2784" s="54" t="str">
        <f t="shared" si="140"/>
        <v/>
      </c>
      <c r="J2784" s="56"/>
      <c r="K2784" s="57"/>
      <c r="L2784" s="204"/>
      <c r="M2784" s="124"/>
      <c r="N2784" s="93"/>
      <c r="O2784" s="61"/>
      <c r="P2784" s="90"/>
      <c r="Q2784" s="94"/>
      <c r="R2784" s="95"/>
      <c r="S2784" s="125"/>
      <c r="T2784" s="65"/>
      <c r="U2784" s="65"/>
      <c r="V2784" s="66"/>
      <c r="W2784" s="67"/>
      <c r="X2784" s="67"/>
      <c r="Y2784" s="67"/>
      <c r="Z2784" s="67"/>
      <c r="AA2784" s="67"/>
      <c r="AB2784" s="67"/>
      <c r="AC2784" s="67"/>
      <c r="AD2784" s="67"/>
      <c r="AE2784" s="67"/>
      <c r="AF2784" s="67"/>
      <c r="AG2784" s="67"/>
      <c r="AH2784" s="67"/>
      <c r="AI2784" s="67"/>
      <c r="AJ2784" s="96"/>
      <c r="AK2784" s="96"/>
      <c r="AL2784" s="70"/>
      <c r="AM2784" s="70"/>
      <c r="AN2784" s="71"/>
      <c r="AO2784" s="71"/>
      <c r="AP2784" s="71"/>
      <c r="AQ2784" s="71"/>
      <c r="AR2784" s="71"/>
      <c r="AS2784" s="71"/>
      <c r="AT2784" s="71"/>
      <c r="AU2784" s="71"/>
      <c r="AV2784" s="71"/>
      <c r="AW2784" s="71"/>
      <c r="AX2784" s="71"/>
      <c r="AY2784" s="71"/>
      <c r="AZ2784" s="71"/>
      <c r="BA2784" s="71"/>
      <c r="BB2784" s="71"/>
      <c r="BC2784" s="71"/>
      <c r="BD2784" s="71"/>
      <c r="BE2784" s="71"/>
      <c r="BF2784" s="71"/>
      <c r="BG2784" s="71"/>
      <c r="BH2784" s="71"/>
      <c r="BI2784" s="71"/>
      <c r="BJ2784" s="71"/>
      <c r="BK2784" s="71"/>
      <c r="BL2784" s="71"/>
      <c r="BM2784" s="71"/>
      <c r="BN2784" s="71"/>
      <c r="BO2784" s="71"/>
      <c r="BP2784" s="71"/>
      <c r="BQ2784" s="71"/>
      <c r="BR2784" s="71"/>
      <c r="BS2784" s="71"/>
      <c r="BT2784" s="71"/>
      <c r="BU2784" s="71"/>
      <c r="BV2784" s="71"/>
    </row>
    <row r="2785">
      <c r="A2785" s="53"/>
      <c r="B2785" s="53"/>
      <c r="C2785" s="53"/>
      <c r="D2785" s="53"/>
      <c r="E2785" s="86"/>
      <c r="F2785" s="89"/>
      <c r="G2785" s="84"/>
      <c r="H2785" s="55"/>
      <c r="I2785" s="54" t="str">
        <f t="shared" si="140"/>
        <v/>
      </c>
      <c r="J2785" s="56"/>
      <c r="K2785" s="57"/>
      <c r="L2785" s="204"/>
      <c r="M2785" s="124"/>
      <c r="N2785" s="93"/>
      <c r="O2785" s="61"/>
      <c r="P2785" s="90"/>
      <c r="Q2785" s="94"/>
      <c r="R2785" s="95"/>
      <c r="S2785" s="125"/>
      <c r="T2785" s="65"/>
      <c r="U2785" s="65"/>
      <c r="V2785" s="66"/>
      <c r="W2785" s="67"/>
      <c r="X2785" s="67"/>
      <c r="Y2785" s="67"/>
      <c r="Z2785" s="67"/>
      <c r="AA2785" s="67"/>
      <c r="AB2785" s="67"/>
      <c r="AC2785" s="67"/>
      <c r="AD2785" s="67"/>
      <c r="AE2785" s="67"/>
      <c r="AF2785" s="67"/>
      <c r="AG2785" s="67"/>
      <c r="AH2785" s="67"/>
      <c r="AI2785" s="67"/>
      <c r="AJ2785" s="96"/>
      <c r="AK2785" s="96"/>
      <c r="AL2785" s="70"/>
      <c r="AM2785" s="70"/>
      <c r="AN2785" s="71"/>
      <c r="AO2785" s="71"/>
      <c r="AP2785" s="71"/>
      <c r="AQ2785" s="71"/>
      <c r="AR2785" s="71"/>
      <c r="AS2785" s="71"/>
      <c r="AT2785" s="71"/>
      <c r="AU2785" s="71"/>
      <c r="AV2785" s="71"/>
      <c r="AW2785" s="71"/>
      <c r="AX2785" s="71"/>
      <c r="AY2785" s="71"/>
      <c r="AZ2785" s="71"/>
      <c r="BA2785" s="71"/>
      <c r="BB2785" s="71"/>
      <c r="BC2785" s="71"/>
      <c r="BD2785" s="71"/>
      <c r="BE2785" s="71"/>
      <c r="BF2785" s="71"/>
      <c r="BG2785" s="71"/>
      <c r="BH2785" s="71"/>
      <c r="BI2785" s="71"/>
      <c r="BJ2785" s="71"/>
      <c r="BK2785" s="71"/>
      <c r="BL2785" s="71"/>
      <c r="BM2785" s="71"/>
      <c r="BN2785" s="71"/>
      <c r="BO2785" s="71"/>
      <c r="BP2785" s="71"/>
      <c r="BQ2785" s="71"/>
      <c r="BR2785" s="71"/>
      <c r="BS2785" s="71"/>
      <c r="BT2785" s="71"/>
      <c r="BU2785" s="71"/>
      <c r="BV2785" s="71"/>
    </row>
    <row r="2786">
      <c r="A2786" s="53"/>
      <c r="B2786" s="53"/>
      <c r="C2786" s="53"/>
      <c r="D2786" s="53"/>
      <c r="E2786" s="86"/>
      <c r="F2786" s="89"/>
      <c r="G2786" s="84"/>
      <c r="H2786" s="55"/>
      <c r="I2786" s="54" t="str">
        <f t="shared" si="140"/>
        <v/>
      </c>
      <c r="J2786" s="56"/>
      <c r="K2786" s="57"/>
      <c r="L2786" s="204"/>
      <c r="M2786" s="124"/>
      <c r="N2786" s="93"/>
      <c r="O2786" s="61"/>
      <c r="P2786" s="90"/>
      <c r="Q2786" s="94"/>
      <c r="R2786" s="95"/>
      <c r="S2786" s="125"/>
      <c r="T2786" s="65"/>
      <c r="U2786" s="65"/>
      <c r="V2786" s="66"/>
      <c r="W2786" s="67"/>
      <c r="X2786" s="67"/>
      <c r="Y2786" s="67"/>
      <c r="Z2786" s="67"/>
      <c r="AA2786" s="67"/>
      <c r="AB2786" s="67"/>
      <c r="AC2786" s="67"/>
      <c r="AD2786" s="67"/>
      <c r="AE2786" s="67"/>
      <c r="AF2786" s="67"/>
      <c r="AG2786" s="67"/>
      <c r="AH2786" s="67"/>
      <c r="AI2786" s="67"/>
      <c r="AJ2786" s="96"/>
      <c r="AK2786" s="96"/>
      <c r="AL2786" s="70"/>
      <c r="AM2786" s="70"/>
      <c r="AN2786" s="71"/>
      <c r="AO2786" s="71"/>
      <c r="AP2786" s="71"/>
      <c r="AQ2786" s="71"/>
      <c r="AR2786" s="71"/>
      <c r="AS2786" s="71"/>
      <c r="AT2786" s="71"/>
      <c r="AU2786" s="71"/>
      <c r="AV2786" s="71"/>
      <c r="AW2786" s="71"/>
      <c r="AX2786" s="71"/>
      <c r="AY2786" s="71"/>
      <c r="AZ2786" s="71"/>
      <c r="BA2786" s="71"/>
      <c r="BB2786" s="71"/>
      <c r="BC2786" s="71"/>
      <c r="BD2786" s="71"/>
      <c r="BE2786" s="71"/>
      <c r="BF2786" s="71"/>
      <c r="BG2786" s="71"/>
      <c r="BH2786" s="71"/>
      <c r="BI2786" s="71"/>
      <c r="BJ2786" s="71"/>
      <c r="BK2786" s="71"/>
      <c r="BL2786" s="71"/>
      <c r="BM2786" s="71"/>
      <c r="BN2786" s="71"/>
      <c r="BO2786" s="71"/>
      <c r="BP2786" s="71"/>
      <c r="BQ2786" s="71"/>
      <c r="BR2786" s="71"/>
      <c r="BS2786" s="71"/>
      <c r="BT2786" s="71"/>
      <c r="BU2786" s="71"/>
      <c r="BV2786" s="71"/>
    </row>
    <row r="2787">
      <c r="A2787" s="53"/>
      <c r="B2787" s="53"/>
      <c r="C2787" s="53"/>
      <c r="D2787" s="53"/>
      <c r="E2787" s="86"/>
      <c r="F2787" s="89"/>
      <c r="G2787" s="84"/>
      <c r="H2787" s="55"/>
      <c r="I2787" s="54" t="str">
        <f t="shared" si="140"/>
        <v/>
      </c>
      <c r="J2787" s="56"/>
      <c r="K2787" s="57"/>
      <c r="L2787" s="204"/>
      <c r="M2787" s="124"/>
      <c r="N2787" s="93"/>
      <c r="O2787" s="61"/>
      <c r="P2787" s="90"/>
      <c r="Q2787" s="94"/>
      <c r="R2787" s="95"/>
      <c r="S2787" s="125"/>
      <c r="T2787" s="65"/>
      <c r="U2787" s="65"/>
      <c r="V2787" s="66"/>
      <c r="W2787" s="67"/>
      <c r="X2787" s="67"/>
      <c r="Y2787" s="67"/>
      <c r="Z2787" s="67"/>
      <c r="AA2787" s="67"/>
      <c r="AB2787" s="67"/>
      <c r="AC2787" s="67"/>
      <c r="AD2787" s="67"/>
      <c r="AE2787" s="67"/>
      <c r="AF2787" s="67"/>
      <c r="AG2787" s="67"/>
      <c r="AH2787" s="67"/>
      <c r="AI2787" s="67"/>
      <c r="AJ2787" s="96"/>
      <c r="AK2787" s="96"/>
      <c r="AL2787" s="70"/>
      <c r="AM2787" s="70"/>
      <c r="AN2787" s="71"/>
      <c r="AO2787" s="71"/>
      <c r="AP2787" s="71"/>
      <c r="AQ2787" s="71"/>
      <c r="AR2787" s="71"/>
      <c r="AS2787" s="71"/>
      <c r="AT2787" s="71"/>
      <c r="AU2787" s="71"/>
      <c r="AV2787" s="71"/>
      <c r="AW2787" s="71"/>
      <c r="AX2787" s="71"/>
      <c r="AY2787" s="71"/>
      <c r="AZ2787" s="71"/>
      <c r="BA2787" s="71"/>
      <c r="BB2787" s="71"/>
      <c r="BC2787" s="71"/>
      <c r="BD2787" s="71"/>
      <c r="BE2787" s="71"/>
      <c r="BF2787" s="71"/>
      <c r="BG2787" s="71"/>
      <c r="BH2787" s="71"/>
      <c r="BI2787" s="71"/>
      <c r="BJ2787" s="71"/>
      <c r="BK2787" s="71"/>
      <c r="BL2787" s="71"/>
      <c r="BM2787" s="71"/>
      <c r="BN2787" s="71"/>
      <c r="BO2787" s="71"/>
      <c r="BP2787" s="71"/>
      <c r="BQ2787" s="71"/>
      <c r="BR2787" s="71"/>
      <c r="BS2787" s="71"/>
      <c r="BT2787" s="71"/>
      <c r="BU2787" s="71"/>
      <c r="BV2787" s="71"/>
    </row>
    <row r="2788">
      <c r="A2788" s="53"/>
      <c r="B2788" s="53"/>
      <c r="C2788" s="53"/>
      <c r="D2788" s="53"/>
      <c r="E2788" s="86"/>
      <c r="F2788" s="89"/>
      <c r="G2788" s="84"/>
      <c r="H2788" s="55"/>
      <c r="I2788" s="54" t="str">
        <f t="shared" si="140"/>
        <v/>
      </c>
      <c r="J2788" s="56"/>
      <c r="K2788" s="57"/>
      <c r="L2788" s="206"/>
      <c r="M2788" s="124"/>
      <c r="N2788" s="93"/>
      <c r="O2788" s="61"/>
      <c r="P2788" s="90"/>
      <c r="Q2788" s="94"/>
      <c r="R2788" s="95"/>
      <c r="S2788" s="125"/>
      <c r="T2788" s="65"/>
      <c r="U2788" s="65"/>
      <c r="V2788" s="66"/>
      <c r="W2788" s="67"/>
      <c r="X2788" s="67"/>
      <c r="Y2788" s="67"/>
      <c r="Z2788" s="67"/>
      <c r="AA2788" s="67"/>
      <c r="AB2788" s="67"/>
      <c r="AC2788" s="67"/>
      <c r="AD2788" s="67"/>
      <c r="AE2788" s="67"/>
      <c r="AF2788" s="67"/>
      <c r="AG2788" s="67"/>
      <c r="AH2788" s="67"/>
      <c r="AI2788" s="67"/>
      <c r="AJ2788" s="96"/>
      <c r="AK2788" s="96"/>
      <c r="AL2788" s="70"/>
      <c r="AM2788" s="70"/>
      <c r="AN2788" s="71"/>
      <c r="AO2788" s="71"/>
      <c r="AP2788" s="71"/>
      <c r="AQ2788" s="71"/>
      <c r="AR2788" s="71"/>
      <c r="AS2788" s="71"/>
      <c r="AT2788" s="71"/>
      <c r="AU2788" s="71"/>
      <c r="AV2788" s="71"/>
      <c r="AW2788" s="71"/>
      <c r="AX2788" s="71"/>
      <c r="AY2788" s="71"/>
      <c r="AZ2788" s="71"/>
      <c r="BA2788" s="71"/>
      <c r="BB2788" s="71"/>
      <c r="BC2788" s="71"/>
      <c r="BD2788" s="71"/>
      <c r="BE2788" s="71"/>
      <c r="BF2788" s="71"/>
      <c r="BG2788" s="71"/>
      <c r="BH2788" s="71"/>
      <c r="BI2788" s="71"/>
      <c r="BJ2788" s="71"/>
      <c r="BK2788" s="71"/>
      <c r="BL2788" s="71"/>
      <c r="BM2788" s="71"/>
      <c r="BN2788" s="71"/>
      <c r="BO2788" s="71"/>
      <c r="BP2788" s="71"/>
      <c r="BQ2788" s="71"/>
      <c r="BR2788" s="71"/>
      <c r="BS2788" s="71"/>
      <c r="BT2788" s="71"/>
      <c r="BU2788" s="71"/>
      <c r="BV2788" s="71"/>
    </row>
    <row r="2789">
      <c r="A2789" s="53"/>
      <c r="B2789" s="53"/>
      <c r="C2789" s="53"/>
      <c r="D2789" s="53"/>
      <c r="E2789" s="86"/>
      <c r="F2789" s="89"/>
      <c r="G2789" s="84"/>
      <c r="H2789" s="55"/>
      <c r="I2789" s="54" t="str">
        <f t="shared" si="140"/>
        <v/>
      </c>
      <c r="J2789" s="56"/>
      <c r="K2789" s="57"/>
      <c r="L2789" s="206"/>
      <c r="M2789" s="124"/>
      <c r="N2789" s="93"/>
      <c r="O2789" s="61"/>
      <c r="P2789" s="90"/>
      <c r="Q2789" s="94"/>
      <c r="R2789" s="95"/>
      <c r="S2789" s="125"/>
      <c r="T2789" s="65"/>
      <c r="U2789" s="65"/>
      <c r="V2789" s="66"/>
      <c r="W2789" s="67"/>
      <c r="X2789" s="67"/>
      <c r="Y2789" s="67"/>
      <c r="Z2789" s="67"/>
      <c r="AA2789" s="67"/>
      <c r="AB2789" s="67"/>
      <c r="AC2789" s="67"/>
      <c r="AD2789" s="67"/>
      <c r="AE2789" s="67"/>
      <c r="AF2789" s="67"/>
      <c r="AG2789" s="67"/>
      <c r="AH2789" s="67"/>
      <c r="AI2789" s="67"/>
      <c r="AJ2789" s="96"/>
      <c r="AK2789" s="96"/>
      <c r="AL2789" s="70"/>
      <c r="AM2789" s="70"/>
      <c r="AN2789" s="71"/>
      <c r="AO2789" s="71"/>
      <c r="AP2789" s="71"/>
      <c r="AQ2789" s="71"/>
      <c r="AR2789" s="71"/>
      <c r="AS2789" s="71"/>
      <c r="AT2789" s="71"/>
      <c r="AU2789" s="71"/>
      <c r="AV2789" s="71"/>
      <c r="AW2789" s="71"/>
      <c r="AX2789" s="71"/>
      <c r="AY2789" s="71"/>
      <c r="AZ2789" s="71"/>
      <c r="BA2789" s="71"/>
      <c r="BB2789" s="71"/>
      <c r="BC2789" s="71"/>
      <c r="BD2789" s="71"/>
      <c r="BE2789" s="71"/>
      <c r="BF2789" s="71"/>
      <c r="BG2789" s="71"/>
      <c r="BH2789" s="71"/>
      <c r="BI2789" s="71"/>
      <c r="BJ2789" s="71"/>
      <c r="BK2789" s="71"/>
      <c r="BL2789" s="71"/>
      <c r="BM2789" s="71"/>
      <c r="BN2789" s="71"/>
      <c r="BO2789" s="71"/>
      <c r="BP2789" s="71"/>
      <c r="BQ2789" s="71"/>
      <c r="BR2789" s="71"/>
      <c r="BS2789" s="71"/>
      <c r="BT2789" s="71"/>
      <c r="BU2789" s="71"/>
      <c r="BV2789" s="71"/>
    </row>
    <row r="2790">
      <c r="A2790" s="53"/>
      <c r="B2790" s="53"/>
      <c r="C2790" s="53"/>
      <c r="D2790" s="53"/>
      <c r="E2790" s="86"/>
      <c r="F2790" s="89"/>
      <c r="G2790" s="84"/>
      <c r="H2790" s="55"/>
      <c r="I2790" s="54" t="str">
        <f t="shared" si="140"/>
        <v/>
      </c>
      <c r="J2790" s="56"/>
      <c r="K2790" s="57"/>
      <c r="L2790" s="206"/>
      <c r="M2790" s="124"/>
      <c r="N2790" s="93"/>
      <c r="O2790" s="61"/>
      <c r="P2790" s="90"/>
      <c r="Q2790" s="94"/>
      <c r="R2790" s="95"/>
      <c r="S2790" s="125"/>
      <c r="T2790" s="65"/>
      <c r="U2790" s="65"/>
      <c r="V2790" s="66"/>
      <c r="W2790" s="67"/>
      <c r="X2790" s="67"/>
      <c r="Y2790" s="67"/>
      <c r="Z2790" s="67"/>
      <c r="AA2790" s="67"/>
      <c r="AB2790" s="67"/>
      <c r="AC2790" s="67"/>
      <c r="AD2790" s="67"/>
      <c r="AE2790" s="67"/>
      <c r="AF2790" s="67"/>
      <c r="AG2790" s="67"/>
      <c r="AH2790" s="67"/>
      <c r="AI2790" s="67"/>
      <c r="AJ2790" s="96"/>
      <c r="AK2790" s="96"/>
      <c r="AL2790" s="70"/>
      <c r="AM2790" s="70"/>
      <c r="AN2790" s="71"/>
      <c r="AO2790" s="71"/>
      <c r="AP2790" s="71"/>
      <c r="AQ2790" s="71"/>
      <c r="AR2790" s="71"/>
      <c r="AS2790" s="71"/>
      <c r="AT2790" s="71"/>
      <c r="AU2790" s="71"/>
      <c r="AV2790" s="71"/>
      <c r="AW2790" s="71"/>
      <c r="AX2790" s="71"/>
      <c r="AY2790" s="71"/>
      <c r="AZ2790" s="71"/>
      <c r="BA2790" s="71"/>
      <c r="BB2790" s="71"/>
      <c r="BC2790" s="71"/>
      <c r="BD2790" s="71"/>
      <c r="BE2790" s="71"/>
      <c r="BF2790" s="71"/>
      <c r="BG2790" s="71"/>
      <c r="BH2790" s="71"/>
      <c r="BI2790" s="71"/>
      <c r="BJ2790" s="71"/>
      <c r="BK2790" s="71"/>
      <c r="BL2790" s="71"/>
      <c r="BM2790" s="71"/>
      <c r="BN2790" s="71"/>
      <c r="BO2790" s="71"/>
      <c r="BP2790" s="71"/>
      <c r="BQ2790" s="71"/>
      <c r="BR2790" s="71"/>
      <c r="BS2790" s="71"/>
      <c r="BT2790" s="71"/>
      <c r="BU2790" s="71"/>
      <c r="BV2790" s="71"/>
    </row>
    <row r="2791">
      <c r="A2791" s="53"/>
      <c r="B2791" s="53"/>
      <c r="C2791" s="53"/>
      <c r="D2791" s="53"/>
      <c r="E2791" s="86"/>
      <c r="F2791" s="89"/>
      <c r="G2791" s="84"/>
      <c r="H2791" s="55"/>
      <c r="I2791" s="54" t="str">
        <f t="shared" si="140"/>
        <v/>
      </c>
      <c r="J2791" s="56"/>
      <c r="K2791" s="57"/>
      <c r="L2791" s="206"/>
      <c r="M2791" s="124"/>
      <c r="N2791" s="93"/>
      <c r="O2791" s="61"/>
      <c r="P2791" s="90"/>
      <c r="Q2791" s="94"/>
      <c r="R2791" s="95"/>
      <c r="S2791" s="125"/>
      <c r="T2791" s="65"/>
      <c r="U2791" s="65"/>
      <c r="V2791" s="66"/>
      <c r="W2791" s="67"/>
      <c r="X2791" s="67"/>
      <c r="Y2791" s="67"/>
      <c r="Z2791" s="67"/>
      <c r="AA2791" s="67"/>
      <c r="AB2791" s="67"/>
      <c r="AC2791" s="67"/>
      <c r="AD2791" s="67"/>
      <c r="AE2791" s="67"/>
      <c r="AF2791" s="67"/>
      <c r="AG2791" s="67"/>
      <c r="AH2791" s="67"/>
      <c r="AI2791" s="67"/>
      <c r="AJ2791" s="96"/>
      <c r="AK2791" s="96"/>
      <c r="AL2791" s="70"/>
      <c r="AM2791" s="70"/>
      <c r="AN2791" s="71"/>
      <c r="AO2791" s="71"/>
      <c r="AP2791" s="71"/>
      <c r="AQ2791" s="71"/>
      <c r="AR2791" s="71"/>
      <c r="AS2791" s="71"/>
      <c r="AT2791" s="71"/>
      <c r="AU2791" s="71"/>
      <c r="AV2791" s="71"/>
      <c r="AW2791" s="71"/>
      <c r="AX2791" s="71"/>
      <c r="AY2791" s="71"/>
      <c r="AZ2791" s="71"/>
      <c r="BA2791" s="71"/>
      <c r="BB2791" s="71"/>
      <c r="BC2791" s="71"/>
      <c r="BD2791" s="71"/>
      <c r="BE2791" s="71"/>
      <c r="BF2791" s="71"/>
      <c r="BG2791" s="71"/>
      <c r="BH2791" s="71"/>
      <c r="BI2791" s="71"/>
      <c r="BJ2791" s="71"/>
      <c r="BK2791" s="71"/>
      <c r="BL2791" s="71"/>
      <c r="BM2791" s="71"/>
      <c r="BN2791" s="71"/>
      <c r="BO2791" s="71"/>
      <c r="BP2791" s="71"/>
      <c r="BQ2791" s="71"/>
      <c r="BR2791" s="71"/>
      <c r="BS2791" s="71"/>
      <c r="BT2791" s="71"/>
      <c r="BU2791" s="71"/>
      <c r="BV2791" s="71"/>
    </row>
    <row r="2792">
      <c r="A2792" s="53"/>
      <c r="B2792" s="53"/>
      <c r="C2792" s="53"/>
      <c r="D2792" s="53"/>
      <c r="E2792" s="86"/>
      <c r="F2792" s="89"/>
      <c r="G2792" s="84"/>
      <c r="H2792" s="55"/>
      <c r="I2792" s="54" t="str">
        <f t="shared" si="140"/>
        <v/>
      </c>
      <c r="J2792" s="56"/>
      <c r="K2792" s="57"/>
      <c r="L2792" s="206"/>
      <c r="M2792" s="124"/>
      <c r="N2792" s="93"/>
      <c r="O2792" s="61"/>
      <c r="P2792" s="90"/>
      <c r="Q2792" s="94"/>
      <c r="R2792" s="95"/>
      <c r="S2792" s="125"/>
      <c r="T2792" s="65"/>
      <c r="U2792" s="65"/>
      <c r="V2792" s="66"/>
      <c r="W2792" s="67"/>
      <c r="X2792" s="67"/>
      <c r="Y2792" s="67"/>
      <c r="Z2792" s="67"/>
      <c r="AA2792" s="67"/>
      <c r="AB2792" s="67"/>
      <c r="AC2792" s="67"/>
      <c r="AD2792" s="67"/>
      <c r="AE2792" s="67"/>
      <c r="AF2792" s="67"/>
      <c r="AG2792" s="67"/>
      <c r="AH2792" s="67"/>
      <c r="AI2792" s="67"/>
      <c r="AJ2792" s="96"/>
      <c r="AK2792" s="96"/>
      <c r="AL2792" s="70"/>
      <c r="AM2792" s="70"/>
      <c r="AN2792" s="71"/>
      <c r="AO2792" s="71"/>
      <c r="AP2792" s="71"/>
      <c r="AQ2792" s="71"/>
      <c r="AR2792" s="71"/>
      <c r="AS2792" s="71"/>
      <c r="AT2792" s="71"/>
      <c r="AU2792" s="71"/>
      <c r="AV2792" s="71"/>
      <c r="AW2792" s="71"/>
      <c r="AX2792" s="71"/>
      <c r="AY2792" s="71"/>
      <c r="AZ2792" s="71"/>
      <c r="BA2792" s="71"/>
      <c r="BB2792" s="71"/>
      <c r="BC2792" s="71"/>
      <c r="BD2792" s="71"/>
      <c r="BE2792" s="71"/>
      <c r="BF2792" s="71"/>
      <c r="BG2792" s="71"/>
      <c r="BH2792" s="71"/>
      <c r="BI2792" s="71"/>
      <c r="BJ2792" s="71"/>
      <c r="BK2792" s="71"/>
      <c r="BL2792" s="71"/>
      <c r="BM2792" s="71"/>
      <c r="BN2792" s="71"/>
      <c r="BO2792" s="71"/>
      <c r="BP2792" s="71"/>
      <c r="BQ2792" s="71"/>
      <c r="BR2792" s="71"/>
      <c r="BS2792" s="71"/>
      <c r="BT2792" s="71"/>
      <c r="BU2792" s="71"/>
      <c r="BV2792" s="71"/>
    </row>
    <row r="2793">
      <c r="A2793" s="53"/>
      <c r="B2793" s="53"/>
      <c r="C2793" s="53"/>
      <c r="D2793" s="53"/>
      <c r="E2793" s="86"/>
      <c r="F2793" s="89"/>
      <c r="G2793" s="84"/>
      <c r="H2793" s="55"/>
      <c r="I2793" s="54" t="str">
        <f t="shared" si="140"/>
        <v/>
      </c>
      <c r="J2793" s="56"/>
      <c r="K2793" s="57"/>
      <c r="L2793" s="206"/>
      <c r="M2793" s="124"/>
      <c r="N2793" s="93"/>
      <c r="O2793" s="61"/>
      <c r="P2793" s="90"/>
      <c r="Q2793" s="94"/>
      <c r="R2793" s="95"/>
      <c r="S2793" s="125"/>
      <c r="T2793" s="65"/>
      <c r="U2793" s="65"/>
      <c r="V2793" s="66"/>
      <c r="W2793" s="67"/>
      <c r="X2793" s="67"/>
      <c r="Y2793" s="67"/>
      <c r="Z2793" s="67"/>
      <c r="AA2793" s="67"/>
      <c r="AB2793" s="67"/>
      <c r="AC2793" s="67"/>
      <c r="AD2793" s="67"/>
      <c r="AE2793" s="67"/>
      <c r="AF2793" s="67"/>
      <c r="AG2793" s="67"/>
      <c r="AH2793" s="67"/>
      <c r="AI2793" s="67"/>
      <c r="AJ2793" s="96"/>
      <c r="AK2793" s="96"/>
      <c r="AL2793" s="70"/>
      <c r="AM2793" s="70"/>
      <c r="AN2793" s="71"/>
      <c r="AO2793" s="71"/>
      <c r="AP2793" s="71"/>
      <c r="AQ2793" s="71"/>
      <c r="AR2793" s="71"/>
      <c r="AS2793" s="71"/>
      <c r="AT2793" s="71"/>
      <c r="AU2793" s="71"/>
      <c r="AV2793" s="71"/>
      <c r="AW2793" s="71"/>
      <c r="AX2793" s="71"/>
      <c r="AY2793" s="71"/>
      <c r="AZ2793" s="71"/>
      <c r="BA2793" s="71"/>
      <c r="BB2793" s="71"/>
      <c r="BC2793" s="71"/>
      <c r="BD2793" s="71"/>
      <c r="BE2793" s="71"/>
      <c r="BF2793" s="71"/>
      <c r="BG2793" s="71"/>
      <c r="BH2793" s="71"/>
      <c r="BI2793" s="71"/>
      <c r="BJ2793" s="71"/>
      <c r="BK2793" s="71"/>
      <c r="BL2793" s="71"/>
      <c r="BM2793" s="71"/>
      <c r="BN2793" s="71"/>
      <c r="BO2793" s="71"/>
      <c r="BP2793" s="71"/>
      <c r="BQ2793" s="71"/>
      <c r="BR2793" s="71"/>
      <c r="BS2793" s="71"/>
      <c r="BT2793" s="71"/>
      <c r="BU2793" s="71"/>
      <c r="BV2793" s="71"/>
    </row>
    <row r="2794">
      <c r="A2794" s="53"/>
      <c r="B2794" s="53"/>
      <c r="C2794" s="53"/>
      <c r="D2794" s="53"/>
      <c r="E2794" s="86"/>
      <c r="F2794" s="89"/>
      <c r="G2794" s="84"/>
      <c r="H2794" s="55"/>
      <c r="I2794" s="54" t="str">
        <f t="shared" si="140"/>
        <v/>
      </c>
      <c r="J2794" s="56"/>
      <c r="K2794" s="57"/>
      <c r="L2794" s="206"/>
      <c r="M2794" s="124"/>
      <c r="N2794" s="93"/>
      <c r="O2794" s="61"/>
      <c r="P2794" s="90"/>
      <c r="Q2794" s="94"/>
      <c r="R2794" s="95"/>
      <c r="S2794" s="125"/>
      <c r="T2794" s="65"/>
      <c r="U2794" s="65"/>
      <c r="V2794" s="66"/>
      <c r="W2794" s="67"/>
      <c r="X2794" s="67"/>
      <c r="Y2794" s="67"/>
      <c r="Z2794" s="67"/>
      <c r="AA2794" s="67"/>
      <c r="AB2794" s="67"/>
      <c r="AC2794" s="67"/>
      <c r="AD2794" s="67"/>
      <c r="AE2794" s="67"/>
      <c r="AF2794" s="67"/>
      <c r="AG2794" s="67"/>
      <c r="AH2794" s="67"/>
      <c r="AI2794" s="67"/>
      <c r="AJ2794" s="96"/>
      <c r="AK2794" s="96"/>
      <c r="AL2794" s="70"/>
      <c r="AM2794" s="70"/>
      <c r="AN2794" s="71"/>
      <c r="AO2794" s="71"/>
      <c r="AP2794" s="71"/>
      <c r="AQ2794" s="71"/>
      <c r="AR2794" s="71"/>
      <c r="AS2794" s="71"/>
      <c r="AT2794" s="71"/>
      <c r="AU2794" s="71"/>
      <c r="AV2794" s="71"/>
      <c r="AW2794" s="71"/>
      <c r="AX2794" s="71"/>
      <c r="AY2794" s="71"/>
      <c r="AZ2794" s="71"/>
      <c r="BA2794" s="71"/>
      <c r="BB2794" s="71"/>
      <c r="BC2794" s="71"/>
      <c r="BD2794" s="71"/>
      <c r="BE2794" s="71"/>
      <c r="BF2794" s="71"/>
      <c r="BG2794" s="71"/>
      <c r="BH2794" s="71"/>
      <c r="BI2794" s="71"/>
      <c r="BJ2794" s="71"/>
      <c r="BK2794" s="71"/>
      <c r="BL2794" s="71"/>
      <c r="BM2794" s="71"/>
      <c r="BN2794" s="71"/>
      <c r="BO2794" s="71"/>
      <c r="BP2794" s="71"/>
      <c r="BQ2794" s="71"/>
      <c r="BR2794" s="71"/>
      <c r="BS2794" s="71"/>
      <c r="BT2794" s="71"/>
      <c r="BU2794" s="71"/>
      <c r="BV2794" s="71"/>
    </row>
    <row r="2795">
      <c r="A2795" s="53"/>
      <c r="B2795" s="53"/>
      <c r="C2795" s="53"/>
      <c r="D2795" s="53"/>
      <c r="E2795" s="86"/>
      <c r="F2795" s="89"/>
      <c r="G2795" s="84"/>
      <c r="H2795" s="55"/>
      <c r="I2795" s="54" t="str">
        <f t="shared" si="140"/>
        <v/>
      </c>
      <c r="J2795" s="56"/>
      <c r="K2795" s="57"/>
      <c r="L2795" s="206"/>
      <c r="M2795" s="124"/>
      <c r="N2795" s="93"/>
      <c r="O2795" s="61"/>
      <c r="P2795" s="90"/>
      <c r="Q2795" s="94"/>
      <c r="R2795" s="95"/>
      <c r="S2795" s="125"/>
      <c r="T2795" s="65"/>
      <c r="U2795" s="65"/>
      <c r="V2795" s="66"/>
      <c r="W2795" s="67"/>
      <c r="X2795" s="67"/>
      <c r="Y2795" s="67"/>
      <c r="Z2795" s="67"/>
      <c r="AA2795" s="67"/>
      <c r="AB2795" s="67"/>
      <c r="AC2795" s="67"/>
      <c r="AD2795" s="67"/>
      <c r="AE2795" s="67"/>
      <c r="AF2795" s="67"/>
      <c r="AG2795" s="67"/>
      <c r="AH2795" s="67"/>
      <c r="AI2795" s="67"/>
      <c r="AJ2795" s="96"/>
      <c r="AK2795" s="96"/>
      <c r="AL2795" s="70"/>
      <c r="AM2795" s="70"/>
      <c r="AN2795" s="71"/>
      <c r="AO2795" s="71"/>
      <c r="AP2795" s="71"/>
      <c r="AQ2795" s="71"/>
      <c r="AR2795" s="71"/>
      <c r="AS2795" s="71"/>
      <c r="AT2795" s="71"/>
      <c r="AU2795" s="71"/>
      <c r="AV2795" s="71"/>
      <c r="AW2795" s="71"/>
      <c r="AX2795" s="71"/>
      <c r="AY2795" s="71"/>
      <c r="AZ2795" s="71"/>
      <c r="BA2795" s="71"/>
      <c r="BB2795" s="71"/>
      <c r="BC2795" s="71"/>
      <c r="BD2795" s="71"/>
      <c r="BE2795" s="71"/>
      <c r="BF2795" s="71"/>
      <c r="BG2795" s="71"/>
      <c r="BH2795" s="71"/>
      <c r="BI2795" s="71"/>
      <c r="BJ2795" s="71"/>
      <c r="BK2795" s="71"/>
      <c r="BL2795" s="71"/>
      <c r="BM2795" s="71"/>
      <c r="BN2795" s="71"/>
      <c r="BO2795" s="71"/>
      <c r="BP2795" s="71"/>
      <c r="BQ2795" s="71"/>
      <c r="BR2795" s="71"/>
      <c r="BS2795" s="71"/>
      <c r="BT2795" s="71"/>
      <c r="BU2795" s="71"/>
      <c r="BV2795" s="71"/>
    </row>
    <row r="2796">
      <c r="A2796" s="53"/>
      <c r="B2796" s="53"/>
      <c r="C2796" s="53"/>
      <c r="D2796" s="53"/>
      <c r="E2796" s="86"/>
      <c r="F2796" s="89"/>
      <c r="G2796" s="84"/>
      <c r="H2796" s="55"/>
      <c r="I2796" s="54" t="str">
        <f t="shared" si="140"/>
        <v/>
      </c>
      <c r="J2796" s="56"/>
      <c r="K2796" s="57"/>
      <c r="L2796" s="204"/>
      <c r="M2796" s="124"/>
      <c r="N2796" s="93"/>
      <c r="O2796" s="61"/>
      <c r="P2796" s="90"/>
      <c r="Q2796" s="94"/>
      <c r="R2796" s="95"/>
      <c r="S2796" s="125"/>
      <c r="T2796" s="65"/>
      <c r="U2796" s="65"/>
      <c r="V2796" s="66"/>
      <c r="W2796" s="67"/>
      <c r="X2796" s="67"/>
      <c r="Y2796" s="67"/>
      <c r="Z2796" s="67"/>
      <c r="AA2796" s="67"/>
      <c r="AB2796" s="67"/>
      <c r="AC2796" s="67"/>
      <c r="AD2796" s="67"/>
      <c r="AE2796" s="67"/>
      <c r="AF2796" s="67"/>
      <c r="AG2796" s="67"/>
      <c r="AH2796" s="67"/>
      <c r="AI2796" s="67"/>
      <c r="AJ2796" s="96"/>
      <c r="AK2796" s="96"/>
      <c r="AL2796" s="70"/>
      <c r="AM2796" s="70"/>
      <c r="AN2796" s="71"/>
      <c r="AO2796" s="71"/>
      <c r="AP2796" s="71"/>
      <c r="AQ2796" s="71"/>
      <c r="AR2796" s="71"/>
      <c r="AS2796" s="71"/>
      <c r="AT2796" s="71"/>
      <c r="AU2796" s="71"/>
      <c r="AV2796" s="71"/>
      <c r="AW2796" s="71"/>
      <c r="AX2796" s="71"/>
      <c r="AY2796" s="71"/>
      <c r="AZ2796" s="71"/>
      <c r="BA2796" s="71"/>
      <c r="BB2796" s="71"/>
      <c r="BC2796" s="71"/>
      <c r="BD2796" s="71"/>
      <c r="BE2796" s="71"/>
      <c r="BF2796" s="71"/>
      <c r="BG2796" s="71"/>
      <c r="BH2796" s="71"/>
      <c r="BI2796" s="71"/>
      <c r="BJ2796" s="71"/>
      <c r="BK2796" s="71"/>
      <c r="BL2796" s="71"/>
      <c r="BM2796" s="71"/>
      <c r="BN2796" s="71"/>
      <c r="BO2796" s="71"/>
      <c r="BP2796" s="71"/>
      <c r="BQ2796" s="71"/>
      <c r="BR2796" s="71"/>
      <c r="BS2796" s="71"/>
      <c r="BT2796" s="71"/>
      <c r="BU2796" s="71"/>
      <c r="BV2796" s="71"/>
    </row>
    <row r="2797">
      <c r="A2797" s="53"/>
      <c r="B2797" s="53"/>
      <c r="C2797" s="53"/>
      <c r="D2797" s="53"/>
      <c r="E2797" s="86"/>
      <c r="F2797" s="89"/>
      <c r="G2797" s="84"/>
      <c r="H2797" s="55"/>
      <c r="I2797" s="54" t="str">
        <f t="shared" si="140"/>
        <v/>
      </c>
      <c r="J2797" s="56"/>
      <c r="K2797" s="57"/>
      <c r="L2797" s="204"/>
      <c r="M2797" s="124"/>
      <c r="N2797" s="93"/>
      <c r="O2797" s="61"/>
      <c r="P2797" s="90"/>
      <c r="Q2797" s="94"/>
      <c r="R2797" s="95"/>
      <c r="S2797" s="125"/>
      <c r="T2797" s="65"/>
      <c r="U2797" s="65"/>
      <c r="V2797" s="66"/>
      <c r="W2797" s="67"/>
      <c r="X2797" s="67"/>
      <c r="Y2797" s="67"/>
      <c r="Z2797" s="67"/>
      <c r="AA2797" s="67"/>
      <c r="AB2797" s="67"/>
      <c r="AC2797" s="67"/>
      <c r="AD2797" s="67"/>
      <c r="AE2797" s="67"/>
      <c r="AF2797" s="67"/>
      <c r="AG2797" s="67"/>
      <c r="AH2797" s="67"/>
      <c r="AI2797" s="67"/>
      <c r="AJ2797" s="96"/>
      <c r="AK2797" s="96"/>
      <c r="AL2797" s="70"/>
      <c r="AM2797" s="70"/>
      <c r="AN2797" s="71"/>
      <c r="AO2797" s="71"/>
      <c r="AP2797" s="71"/>
      <c r="AQ2797" s="71"/>
      <c r="AR2797" s="71"/>
      <c r="AS2797" s="71"/>
      <c r="AT2797" s="71"/>
      <c r="AU2797" s="71"/>
      <c r="AV2797" s="71"/>
      <c r="AW2797" s="71"/>
      <c r="AX2797" s="71"/>
      <c r="AY2797" s="71"/>
      <c r="AZ2797" s="71"/>
      <c r="BA2797" s="71"/>
      <c r="BB2797" s="71"/>
      <c r="BC2797" s="71"/>
      <c r="BD2797" s="71"/>
      <c r="BE2797" s="71"/>
      <c r="BF2797" s="71"/>
      <c r="BG2797" s="71"/>
      <c r="BH2797" s="71"/>
      <c r="BI2797" s="71"/>
      <c r="BJ2797" s="71"/>
      <c r="BK2797" s="71"/>
      <c r="BL2797" s="71"/>
      <c r="BM2797" s="71"/>
      <c r="BN2797" s="71"/>
      <c r="BO2797" s="71"/>
      <c r="BP2797" s="71"/>
      <c r="BQ2797" s="71"/>
      <c r="BR2797" s="71"/>
      <c r="BS2797" s="71"/>
      <c r="BT2797" s="71"/>
      <c r="BU2797" s="71"/>
      <c r="BV2797" s="71"/>
    </row>
    <row r="2798">
      <c r="A2798" s="53"/>
      <c r="B2798" s="53"/>
      <c r="C2798" s="53"/>
      <c r="D2798" s="53"/>
      <c r="E2798" s="86"/>
      <c r="F2798" s="89"/>
      <c r="G2798" s="84"/>
      <c r="H2798" s="55"/>
      <c r="I2798" s="54" t="str">
        <f t="shared" si="140"/>
        <v/>
      </c>
      <c r="J2798" s="56"/>
      <c r="K2798" s="57"/>
      <c r="L2798" s="204"/>
      <c r="M2798" s="124"/>
      <c r="N2798" s="93"/>
      <c r="O2798" s="61"/>
      <c r="P2798" s="90"/>
      <c r="Q2798" s="94"/>
      <c r="R2798" s="95"/>
      <c r="S2798" s="125"/>
      <c r="T2798" s="65"/>
      <c r="U2798" s="65"/>
      <c r="V2798" s="66"/>
      <c r="W2798" s="67"/>
      <c r="X2798" s="67"/>
      <c r="Y2798" s="67"/>
      <c r="Z2798" s="67"/>
      <c r="AA2798" s="67"/>
      <c r="AB2798" s="67"/>
      <c r="AC2798" s="67"/>
      <c r="AD2798" s="67"/>
      <c r="AE2798" s="67"/>
      <c r="AF2798" s="67"/>
      <c r="AG2798" s="67"/>
      <c r="AH2798" s="67"/>
      <c r="AI2798" s="67"/>
      <c r="AJ2798" s="96"/>
      <c r="AK2798" s="96"/>
      <c r="AL2798" s="70"/>
      <c r="AM2798" s="70"/>
      <c r="AN2798" s="71"/>
      <c r="AO2798" s="71"/>
      <c r="AP2798" s="71"/>
      <c r="AQ2798" s="71"/>
      <c r="AR2798" s="71"/>
      <c r="AS2798" s="71"/>
      <c r="AT2798" s="71"/>
      <c r="AU2798" s="71"/>
      <c r="AV2798" s="71"/>
      <c r="AW2798" s="71"/>
      <c r="AX2798" s="71"/>
      <c r="AY2798" s="71"/>
      <c r="AZ2798" s="71"/>
      <c r="BA2798" s="71"/>
      <c r="BB2798" s="71"/>
      <c r="BC2798" s="71"/>
      <c r="BD2798" s="71"/>
      <c r="BE2798" s="71"/>
      <c r="BF2798" s="71"/>
      <c r="BG2798" s="71"/>
      <c r="BH2798" s="71"/>
      <c r="BI2798" s="71"/>
      <c r="BJ2798" s="71"/>
      <c r="BK2798" s="71"/>
      <c r="BL2798" s="71"/>
      <c r="BM2798" s="71"/>
      <c r="BN2798" s="71"/>
      <c r="BO2798" s="71"/>
      <c r="BP2798" s="71"/>
      <c r="BQ2798" s="71"/>
      <c r="BR2798" s="71"/>
      <c r="BS2798" s="71"/>
      <c r="BT2798" s="71"/>
      <c r="BU2798" s="71"/>
      <c r="BV2798" s="71"/>
    </row>
    <row r="2799">
      <c r="A2799" s="53"/>
      <c r="B2799" s="53"/>
      <c r="C2799" s="53"/>
      <c r="D2799" s="53"/>
      <c r="E2799" s="86"/>
      <c r="F2799" s="89"/>
      <c r="G2799" s="84"/>
      <c r="H2799" s="55"/>
      <c r="I2799" s="54" t="str">
        <f t="shared" si="140"/>
        <v/>
      </c>
      <c r="J2799" s="56"/>
      <c r="K2799" s="57"/>
      <c r="L2799" s="204"/>
      <c r="M2799" s="124"/>
      <c r="N2799" s="93"/>
      <c r="O2799" s="61"/>
      <c r="P2799" s="90"/>
      <c r="Q2799" s="94"/>
      <c r="R2799" s="95"/>
      <c r="S2799" s="125"/>
      <c r="T2799" s="65"/>
      <c r="U2799" s="65"/>
      <c r="V2799" s="66"/>
      <c r="W2799" s="67"/>
      <c r="X2799" s="67"/>
      <c r="Y2799" s="67"/>
      <c r="Z2799" s="67"/>
      <c r="AA2799" s="67"/>
      <c r="AB2799" s="67"/>
      <c r="AC2799" s="67"/>
      <c r="AD2799" s="67"/>
      <c r="AE2799" s="67"/>
      <c r="AF2799" s="67"/>
      <c r="AG2799" s="67"/>
      <c r="AH2799" s="67"/>
      <c r="AI2799" s="67"/>
      <c r="AJ2799" s="96"/>
      <c r="AK2799" s="96"/>
      <c r="AL2799" s="70"/>
      <c r="AM2799" s="70"/>
      <c r="AN2799" s="71"/>
      <c r="AO2799" s="71"/>
      <c r="AP2799" s="71"/>
      <c r="AQ2799" s="71"/>
      <c r="AR2799" s="71"/>
      <c r="AS2799" s="71"/>
      <c r="AT2799" s="71"/>
      <c r="AU2799" s="71"/>
      <c r="AV2799" s="71"/>
      <c r="AW2799" s="71"/>
      <c r="AX2799" s="71"/>
      <c r="AY2799" s="71"/>
      <c r="AZ2799" s="71"/>
      <c r="BA2799" s="71"/>
      <c r="BB2799" s="71"/>
      <c r="BC2799" s="71"/>
      <c r="BD2799" s="71"/>
      <c r="BE2799" s="71"/>
      <c r="BF2799" s="71"/>
      <c r="BG2799" s="71"/>
      <c r="BH2799" s="71"/>
      <c r="BI2799" s="71"/>
      <c r="BJ2799" s="71"/>
      <c r="BK2799" s="71"/>
      <c r="BL2799" s="71"/>
      <c r="BM2799" s="71"/>
      <c r="BN2799" s="71"/>
      <c r="BO2799" s="71"/>
      <c r="BP2799" s="71"/>
      <c r="BQ2799" s="71"/>
      <c r="BR2799" s="71"/>
      <c r="BS2799" s="71"/>
      <c r="BT2799" s="71"/>
      <c r="BU2799" s="71"/>
      <c r="BV2799" s="71"/>
    </row>
    <row r="2800">
      <c r="A2800" s="53"/>
      <c r="B2800" s="53"/>
      <c r="C2800" s="53"/>
      <c r="D2800" s="53"/>
      <c r="E2800" s="86"/>
      <c r="F2800" s="89"/>
      <c r="G2800" s="84"/>
      <c r="H2800" s="55"/>
      <c r="I2800" s="54" t="str">
        <f t="shared" si="140"/>
        <v/>
      </c>
      <c r="J2800" s="56"/>
      <c r="K2800" s="57"/>
      <c r="L2800" s="206"/>
      <c r="M2800" s="124"/>
      <c r="N2800" s="93"/>
      <c r="O2800" s="61"/>
      <c r="P2800" s="90"/>
      <c r="Q2800" s="94"/>
      <c r="R2800" s="95"/>
      <c r="S2800" s="125"/>
      <c r="T2800" s="65"/>
      <c r="U2800" s="65"/>
      <c r="V2800" s="66"/>
      <c r="W2800" s="67"/>
      <c r="X2800" s="67"/>
      <c r="Y2800" s="67"/>
      <c r="Z2800" s="67"/>
      <c r="AA2800" s="67"/>
      <c r="AB2800" s="67"/>
      <c r="AC2800" s="67"/>
      <c r="AD2800" s="67"/>
      <c r="AE2800" s="67"/>
      <c r="AF2800" s="67"/>
      <c r="AG2800" s="67"/>
      <c r="AH2800" s="67"/>
      <c r="AI2800" s="67"/>
      <c r="AJ2800" s="96"/>
      <c r="AK2800" s="96"/>
      <c r="AL2800" s="70"/>
      <c r="AM2800" s="70"/>
      <c r="AN2800" s="71"/>
      <c r="AO2800" s="71"/>
      <c r="AP2800" s="71"/>
      <c r="AQ2800" s="71"/>
      <c r="AR2800" s="71"/>
      <c r="AS2800" s="71"/>
      <c r="AT2800" s="71"/>
      <c r="AU2800" s="71"/>
      <c r="AV2800" s="71"/>
      <c r="AW2800" s="71"/>
      <c r="AX2800" s="71"/>
      <c r="AY2800" s="71"/>
      <c r="AZ2800" s="71"/>
      <c r="BA2800" s="71"/>
      <c r="BB2800" s="71"/>
      <c r="BC2800" s="71"/>
      <c r="BD2800" s="71"/>
      <c r="BE2800" s="71"/>
      <c r="BF2800" s="71"/>
      <c r="BG2800" s="71"/>
      <c r="BH2800" s="71"/>
      <c r="BI2800" s="71"/>
      <c r="BJ2800" s="71"/>
      <c r="BK2800" s="71"/>
      <c r="BL2800" s="71"/>
      <c r="BM2800" s="71"/>
      <c r="BN2800" s="71"/>
      <c r="BO2800" s="71"/>
      <c r="BP2800" s="71"/>
      <c r="BQ2800" s="71"/>
      <c r="BR2800" s="71"/>
      <c r="BS2800" s="71"/>
      <c r="BT2800" s="71"/>
      <c r="BU2800" s="71"/>
      <c r="BV2800" s="71"/>
    </row>
    <row r="2801">
      <c r="A2801" s="53"/>
      <c r="B2801" s="53"/>
      <c r="C2801" s="53"/>
      <c r="D2801" s="53"/>
      <c r="E2801" s="86"/>
      <c r="F2801" s="89"/>
      <c r="G2801" s="84"/>
      <c r="H2801" s="55"/>
      <c r="I2801" s="54" t="str">
        <f t="shared" si="140"/>
        <v/>
      </c>
      <c r="J2801" s="56"/>
      <c r="K2801" s="57"/>
      <c r="L2801" s="206"/>
      <c r="M2801" s="124"/>
      <c r="N2801" s="93"/>
      <c r="O2801" s="61"/>
      <c r="P2801" s="90"/>
      <c r="Q2801" s="94"/>
      <c r="R2801" s="95"/>
      <c r="S2801" s="125"/>
      <c r="T2801" s="65"/>
      <c r="U2801" s="65"/>
      <c r="V2801" s="66"/>
      <c r="W2801" s="67"/>
      <c r="X2801" s="67"/>
      <c r="Y2801" s="67"/>
      <c r="Z2801" s="67"/>
      <c r="AA2801" s="67"/>
      <c r="AB2801" s="67"/>
      <c r="AC2801" s="67"/>
      <c r="AD2801" s="67"/>
      <c r="AE2801" s="67"/>
      <c r="AF2801" s="67"/>
      <c r="AG2801" s="67"/>
      <c r="AH2801" s="67"/>
      <c r="AI2801" s="67"/>
      <c r="AJ2801" s="96"/>
      <c r="AK2801" s="96"/>
      <c r="AL2801" s="70"/>
      <c r="AM2801" s="70"/>
      <c r="AN2801" s="71"/>
      <c r="AO2801" s="71"/>
      <c r="AP2801" s="71"/>
      <c r="AQ2801" s="71"/>
      <c r="AR2801" s="71"/>
      <c r="AS2801" s="71"/>
      <c r="AT2801" s="71"/>
      <c r="AU2801" s="71"/>
      <c r="AV2801" s="71"/>
      <c r="AW2801" s="71"/>
      <c r="AX2801" s="71"/>
      <c r="AY2801" s="71"/>
      <c r="AZ2801" s="71"/>
      <c r="BA2801" s="71"/>
      <c r="BB2801" s="71"/>
      <c r="BC2801" s="71"/>
      <c r="BD2801" s="71"/>
      <c r="BE2801" s="71"/>
      <c r="BF2801" s="71"/>
      <c r="BG2801" s="71"/>
      <c r="BH2801" s="71"/>
      <c r="BI2801" s="71"/>
      <c r="BJ2801" s="71"/>
      <c r="BK2801" s="71"/>
      <c r="BL2801" s="71"/>
      <c r="BM2801" s="71"/>
      <c r="BN2801" s="71"/>
      <c r="BO2801" s="71"/>
      <c r="BP2801" s="71"/>
      <c r="BQ2801" s="71"/>
      <c r="BR2801" s="71"/>
      <c r="BS2801" s="71"/>
      <c r="BT2801" s="71"/>
      <c r="BU2801" s="71"/>
      <c r="BV2801" s="71"/>
    </row>
    <row r="2802">
      <c r="A2802" s="53"/>
      <c r="B2802" s="53"/>
      <c r="C2802" s="53"/>
      <c r="D2802" s="53"/>
      <c r="E2802" s="86"/>
      <c r="F2802" s="89"/>
      <c r="G2802" s="84"/>
      <c r="H2802" s="55"/>
      <c r="I2802" s="54" t="str">
        <f t="shared" si="140"/>
        <v/>
      </c>
      <c r="J2802" s="56"/>
      <c r="K2802" s="57"/>
      <c r="L2802" s="206"/>
      <c r="M2802" s="124"/>
      <c r="N2802" s="93"/>
      <c r="O2802" s="61"/>
      <c r="P2802" s="90"/>
      <c r="Q2802" s="94"/>
      <c r="R2802" s="95"/>
      <c r="S2802" s="125"/>
      <c r="T2802" s="65"/>
      <c r="U2802" s="65"/>
      <c r="V2802" s="66"/>
      <c r="W2802" s="67"/>
      <c r="X2802" s="67"/>
      <c r="Y2802" s="67"/>
      <c r="Z2802" s="67"/>
      <c r="AA2802" s="67"/>
      <c r="AB2802" s="67"/>
      <c r="AC2802" s="67"/>
      <c r="AD2802" s="67"/>
      <c r="AE2802" s="67"/>
      <c r="AF2802" s="67"/>
      <c r="AG2802" s="67"/>
      <c r="AH2802" s="67"/>
      <c r="AI2802" s="67"/>
      <c r="AJ2802" s="96"/>
      <c r="AK2802" s="96"/>
      <c r="AL2802" s="70"/>
      <c r="AM2802" s="70"/>
      <c r="AN2802" s="71"/>
      <c r="AO2802" s="71"/>
      <c r="AP2802" s="71"/>
      <c r="AQ2802" s="71"/>
      <c r="AR2802" s="71"/>
      <c r="AS2802" s="71"/>
      <c r="AT2802" s="71"/>
      <c r="AU2802" s="71"/>
      <c r="AV2802" s="71"/>
      <c r="AW2802" s="71"/>
      <c r="AX2802" s="71"/>
      <c r="AY2802" s="71"/>
      <c r="AZ2802" s="71"/>
      <c r="BA2802" s="71"/>
      <c r="BB2802" s="71"/>
      <c r="BC2802" s="71"/>
      <c r="BD2802" s="71"/>
      <c r="BE2802" s="71"/>
      <c r="BF2802" s="71"/>
      <c r="BG2802" s="71"/>
      <c r="BH2802" s="71"/>
      <c r="BI2802" s="71"/>
      <c r="BJ2802" s="71"/>
      <c r="BK2802" s="71"/>
      <c r="BL2802" s="71"/>
      <c r="BM2802" s="71"/>
      <c r="BN2802" s="71"/>
      <c r="BO2802" s="71"/>
      <c r="BP2802" s="71"/>
      <c r="BQ2802" s="71"/>
      <c r="BR2802" s="71"/>
      <c r="BS2802" s="71"/>
      <c r="BT2802" s="71"/>
      <c r="BU2802" s="71"/>
      <c r="BV2802" s="71"/>
    </row>
    <row r="2803">
      <c r="A2803" s="53"/>
      <c r="B2803" s="53"/>
      <c r="C2803" s="53"/>
      <c r="D2803" s="53"/>
      <c r="E2803" s="86"/>
      <c r="F2803" s="89"/>
      <c r="G2803" s="84"/>
      <c r="H2803" s="55"/>
      <c r="I2803" s="54" t="str">
        <f t="shared" si="140"/>
        <v/>
      </c>
      <c r="J2803" s="56"/>
      <c r="K2803" s="57"/>
      <c r="L2803" s="206"/>
      <c r="M2803" s="124"/>
      <c r="N2803" s="93"/>
      <c r="O2803" s="61"/>
      <c r="P2803" s="90"/>
      <c r="Q2803" s="94"/>
      <c r="R2803" s="95"/>
      <c r="S2803" s="125"/>
      <c r="T2803" s="65"/>
      <c r="U2803" s="65"/>
      <c r="V2803" s="66"/>
      <c r="W2803" s="67"/>
      <c r="X2803" s="67"/>
      <c r="Y2803" s="67"/>
      <c r="Z2803" s="67"/>
      <c r="AA2803" s="67"/>
      <c r="AB2803" s="67"/>
      <c r="AC2803" s="67"/>
      <c r="AD2803" s="67"/>
      <c r="AE2803" s="67"/>
      <c r="AF2803" s="67"/>
      <c r="AG2803" s="67"/>
      <c r="AH2803" s="67"/>
      <c r="AI2803" s="67"/>
      <c r="AJ2803" s="96"/>
      <c r="AK2803" s="96"/>
      <c r="AL2803" s="70"/>
      <c r="AM2803" s="70"/>
      <c r="AN2803" s="71"/>
      <c r="AO2803" s="71"/>
      <c r="AP2803" s="71"/>
      <c r="AQ2803" s="71"/>
      <c r="AR2803" s="71"/>
      <c r="AS2803" s="71"/>
      <c r="AT2803" s="71"/>
      <c r="AU2803" s="71"/>
      <c r="AV2803" s="71"/>
      <c r="AW2803" s="71"/>
      <c r="AX2803" s="71"/>
      <c r="AY2803" s="71"/>
      <c r="AZ2803" s="71"/>
      <c r="BA2803" s="71"/>
      <c r="BB2803" s="71"/>
      <c r="BC2803" s="71"/>
      <c r="BD2803" s="71"/>
      <c r="BE2803" s="71"/>
      <c r="BF2803" s="71"/>
      <c r="BG2803" s="71"/>
      <c r="BH2803" s="71"/>
      <c r="BI2803" s="71"/>
      <c r="BJ2803" s="71"/>
      <c r="BK2803" s="71"/>
      <c r="BL2803" s="71"/>
      <c r="BM2803" s="71"/>
      <c r="BN2803" s="71"/>
      <c r="BO2803" s="71"/>
      <c r="BP2803" s="71"/>
      <c r="BQ2803" s="71"/>
      <c r="BR2803" s="71"/>
      <c r="BS2803" s="71"/>
      <c r="BT2803" s="71"/>
      <c r="BU2803" s="71"/>
      <c r="BV2803" s="71"/>
    </row>
    <row r="2804">
      <c r="A2804" s="53"/>
      <c r="B2804" s="53"/>
      <c r="C2804" s="53"/>
      <c r="D2804" s="53"/>
      <c r="E2804" s="86"/>
      <c r="F2804" s="89"/>
      <c r="G2804" s="84"/>
      <c r="H2804" s="55"/>
      <c r="I2804" s="54" t="str">
        <f t="shared" si="140"/>
        <v/>
      </c>
      <c r="J2804" s="56"/>
      <c r="K2804" s="57"/>
      <c r="L2804" s="206"/>
      <c r="M2804" s="124"/>
      <c r="N2804" s="93"/>
      <c r="O2804" s="61"/>
      <c r="P2804" s="90"/>
      <c r="Q2804" s="94"/>
      <c r="R2804" s="95"/>
      <c r="S2804" s="125"/>
      <c r="T2804" s="65"/>
      <c r="U2804" s="65"/>
      <c r="V2804" s="66"/>
      <c r="W2804" s="67"/>
      <c r="X2804" s="67"/>
      <c r="Y2804" s="67"/>
      <c r="Z2804" s="67"/>
      <c r="AA2804" s="67"/>
      <c r="AB2804" s="67"/>
      <c r="AC2804" s="67"/>
      <c r="AD2804" s="67"/>
      <c r="AE2804" s="67"/>
      <c r="AF2804" s="67"/>
      <c r="AG2804" s="67"/>
      <c r="AH2804" s="67"/>
      <c r="AI2804" s="67"/>
      <c r="AJ2804" s="96"/>
      <c r="AK2804" s="96"/>
      <c r="AL2804" s="70"/>
      <c r="AM2804" s="70"/>
      <c r="AN2804" s="71"/>
      <c r="AO2804" s="71"/>
      <c r="AP2804" s="71"/>
      <c r="AQ2804" s="71"/>
      <c r="AR2804" s="71"/>
      <c r="AS2804" s="71"/>
      <c r="AT2804" s="71"/>
      <c r="AU2804" s="71"/>
      <c r="AV2804" s="71"/>
      <c r="AW2804" s="71"/>
      <c r="AX2804" s="71"/>
      <c r="AY2804" s="71"/>
      <c r="AZ2804" s="71"/>
      <c r="BA2804" s="71"/>
      <c r="BB2804" s="71"/>
      <c r="BC2804" s="71"/>
      <c r="BD2804" s="71"/>
      <c r="BE2804" s="71"/>
      <c r="BF2804" s="71"/>
      <c r="BG2804" s="71"/>
      <c r="BH2804" s="71"/>
      <c r="BI2804" s="71"/>
      <c r="BJ2804" s="71"/>
      <c r="BK2804" s="71"/>
      <c r="BL2804" s="71"/>
      <c r="BM2804" s="71"/>
      <c r="BN2804" s="71"/>
      <c r="BO2804" s="71"/>
      <c r="BP2804" s="71"/>
      <c r="BQ2804" s="71"/>
      <c r="BR2804" s="71"/>
      <c r="BS2804" s="71"/>
      <c r="BT2804" s="71"/>
      <c r="BU2804" s="71"/>
      <c r="BV2804" s="71"/>
    </row>
    <row r="2805">
      <c r="A2805" s="53"/>
      <c r="B2805" s="53"/>
      <c r="C2805" s="53"/>
      <c r="D2805" s="53"/>
      <c r="E2805" s="86"/>
      <c r="F2805" s="89"/>
      <c r="G2805" s="84"/>
      <c r="H2805" s="55"/>
      <c r="I2805" s="54" t="str">
        <f t="shared" si="140"/>
        <v/>
      </c>
      <c r="J2805" s="56"/>
      <c r="K2805" s="57"/>
      <c r="L2805" s="206"/>
      <c r="M2805" s="124"/>
      <c r="N2805" s="93"/>
      <c r="O2805" s="61"/>
      <c r="P2805" s="90"/>
      <c r="Q2805" s="94"/>
      <c r="R2805" s="95"/>
      <c r="S2805" s="125"/>
      <c r="T2805" s="65"/>
      <c r="U2805" s="65"/>
      <c r="V2805" s="66"/>
      <c r="W2805" s="67"/>
      <c r="X2805" s="67"/>
      <c r="Y2805" s="67"/>
      <c r="Z2805" s="67"/>
      <c r="AA2805" s="67"/>
      <c r="AB2805" s="67"/>
      <c r="AC2805" s="67"/>
      <c r="AD2805" s="67"/>
      <c r="AE2805" s="67"/>
      <c r="AF2805" s="67"/>
      <c r="AG2805" s="67"/>
      <c r="AH2805" s="67"/>
      <c r="AI2805" s="67"/>
      <c r="AJ2805" s="96"/>
      <c r="AK2805" s="96"/>
      <c r="AL2805" s="70"/>
      <c r="AM2805" s="70"/>
      <c r="AN2805" s="71"/>
      <c r="AO2805" s="71"/>
      <c r="AP2805" s="71"/>
      <c r="AQ2805" s="71"/>
      <c r="AR2805" s="71"/>
      <c r="AS2805" s="71"/>
      <c r="AT2805" s="71"/>
      <c r="AU2805" s="71"/>
      <c r="AV2805" s="71"/>
      <c r="AW2805" s="71"/>
      <c r="AX2805" s="71"/>
      <c r="AY2805" s="71"/>
      <c r="AZ2805" s="71"/>
      <c r="BA2805" s="71"/>
      <c r="BB2805" s="71"/>
      <c r="BC2805" s="71"/>
      <c r="BD2805" s="71"/>
      <c r="BE2805" s="71"/>
      <c r="BF2805" s="71"/>
      <c r="BG2805" s="71"/>
      <c r="BH2805" s="71"/>
      <c r="BI2805" s="71"/>
      <c r="BJ2805" s="71"/>
      <c r="BK2805" s="71"/>
      <c r="BL2805" s="71"/>
      <c r="BM2805" s="71"/>
      <c r="BN2805" s="71"/>
      <c r="BO2805" s="71"/>
      <c r="BP2805" s="71"/>
      <c r="BQ2805" s="71"/>
      <c r="BR2805" s="71"/>
      <c r="BS2805" s="71"/>
      <c r="BT2805" s="71"/>
      <c r="BU2805" s="71"/>
      <c r="BV2805" s="71"/>
    </row>
    <row r="2806">
      <c r="A2806" s="53"/>
      <c r="B2806" s="53"/>
      <c r="C2806" s="53"/>
      <c r="D2806" s="53"/>
      <c r="E2806" s="86"/>
      <c r="F2806" s="89"/>
      <c r="G2806" s="84"/>
      <c r="H2806" s="55"/>
      <c r="I2806" s="54" t="str">
        <f t="shared" si="140"/>
        <v/>
      </c>
      <c r="J2806" s="56"/>
      <c r="K2806" s="57"/>
      <c r="L2806" s="206"/>
      <c r="M2806" s="124"/>
      <c r="N2806" s="93"/>
      <c r="O2806" s="61"/>
      <c r="P2806" s="90"/>
      <c r="Q2806" s="94"/>
      <c r="R2806" s="95"/>
      <c r="S2806" s="125"/>
      <c r="T2806" s="65"/>
      <c r="U2806" s="65"/>
      <c r="V2806" s="66"/>
      <c r="W2806" s="67"/>
      <c r="X2806" s="67"/>
      <c r="Y2806" s="67"/>
      <c r="Z2806" s="67"/>
      <c r="AA2806" s="67"/>
      <c r="AB2806" s="67"/>
      <c r="AC2806" s="67"/>
      <c r="AD2806" s="67"/>
      <c r="AE2806" s="67"/>
      <c r="AF2806" s="67"/>
      <c r="AG2806" s="67"/>
      <c r="AH2806" s="67"/>
      <c r="AI2806" s="67"/>
      <c r="AJ2806" s="96"/>
      <c r="AK2806" s="96"/>
      <c r="AL2806" s="70"/>
      <c r="AM2806" s="70"/>
      <c r="AN2806" s="71"/>
      <c r="AO2806" s="71"/>
      <c r="AP2806" s="71"/>
      <c r="AQ2806" s="71"/>
      <c r="AR2806" s="71"/>
      <c r="AS2806" s="71"/>
      <c r="AT2806" s="71"/>
      <c r="AU2806" s="71"/>
      <c r="AV2806" s="71"/>
      <c r="AW2806" s="71"/>
      <c r="AX2806" s="71"/>
      <c r="AY2806" s="71"/>
      <c r="AZ2806" s="71"/>
      <c r="BA2806" s="71"/>
      <c r="BB2806" s="71"/>
      <c r="BC2806" s="71"/>
      <c r="BD2806" s="71"/>
      <c r="BE2806" s="71"/>
      <c r="BF2806" s="71"/>
      <c r="BG2806" s="71"/>
      <c r="BH2806" s="71"/>
      <c r="BI2806" s="71"/>
      <c r="BJ2806" s="71"/>
      <c r="BK2806" s="71"/>
      <c r="BL2806" s="71"/>
      <c r="BM2806" s="71"/>
      <c r="BN2806" s="71"/>
      <c r="BO2806" s="71"/>
      <c r="BP2806" s="71"/>
      <c r="BQ2806" s="71"/>
      <c r="BR2806" s="71"/>
      <c r="BS2806" s="71"/>
      <c r="BT2806" s="71"/>
      <c r="BU2806" s="71"/>
      <c r="BV2806" s="71"/>
    </row>
    <row r="2807">
      <c r="A2807" s="53"/>
      <c r="B2807" s="53"/>
      <c r="C2807" s="53"/>
      <c r="D2807" s="53"/>
      <c r="E2807" s="86"/>
      <c r="F2807" s="89"/>
      <c r="G2807" s="84"/>
      <c r="H2807" s="55"/>
      <c r="I2807" s="54" t="str">
        <f t="shared" si="140"/>
        <v/>
      </c>
      <c r="J2807" s="56"/>
      <c r="K2807" s="57"/>
      <c r="L2807" s="206"/>
      <c r="M2807" s="124"/>
      <c r="N2807" s="93"/>
      <c r="O2807" s="61"/>
      <c r="P2807" s="90"/>
      <c r="Q2807" s="94"/>
      <c r="R2807" s="95"/>
      <c r="S2807" s="125"/>
      <c r="T2807" s="65"/>
      <c r="U2807" s="65"/>
      <c r="V2807" s="66"/>
      <c r="W2807" s="67"/>
      <c r="X2807" s="67"/>
      <c r="Y2807" s="67"/>
      <c r="Z2807" s="67"/>
      <c r="AA2807" s="67"/>
      <c r="AB2807" s="67"/>
      <c r="AC2807" s="67"/>
      <c r="AD2807" s="67"/>
      <c r="AE2807" s="67"/>
      <c r="AF2807" s="67"/>
      <c r="AG2807" s="67"/>
      <c r="AH2807" s="67"/>
      <c r="AI2807" s="67"/>
      <c r="AJ2807" s="96"/>
      <c r="AK2807" s="96"/>
      <c r="AL2807" s="70"/>
      <c r="AM2807" s="70"/>
      <c r="AN2807" s="71"/>
      <c r="AO2807" s="71"/>
      <c r="AP2807" s="71"/>
      <c r="AQ2807" s="71"/>
      <c r="AR2807" s="71"/>
      <c r="AS2807" s="71"/>
      <c r="AT2807" s="71"/>
      <c r="AU2807" s="71"/>
      <c r="AV2807" s="71"/>
      <c r="AW2807" s="71"/>
      <c r="AX2807" s="71"/>
      <c r="AY2807" s="71"/>
      <c r="AZ2807" s="71"/>
      <c r="BA2807" s="71"/>
      <c r="BB2807" s="71"/>
      <c r="BC2807" s="71"/>
      <c r="BD2807" s="71"/>
      <c r="BE2807" s="71"/>
      <c r="BF2807" s="71"/>
      <c r="BG2807" s="71"/>
      <c r="BH2807" s="71"/>
      <c r="BI2807" s="71"/>
      <c r="BJ2807" s="71"/>
      <c r="BK2807" s="71"/>
      <c r="BL2807" s="71"/>
      <c r="BM2807" s="71"/>
      <c r="BN2807" s="71"/>
      <c r="BO2807" s="71"/>
      <c r="BP2807" s="71"/>
      <c r="BQ2807" s="71"/>
      <c r="BR2807" s="71"/>
      <c r="BS2807" s="71"/>
      <c r="BT2807" s="71"/>
      <c r="BU2807" s="71"/>
      <c r="BV2807" s="71"/>
    </row>
    <row r="2808">
      <c r="A2808" s="53"/>
      <c r="B2808" s="53"/>
      <c r="C2808" s="53"/>
      <c r="D2808" s="53"/>
      <c r="E2808" s="86"/>
      <c r="F2808" s="89"/>
      <c r="G2808" s="84"/>
      <c r="H2808" s="55"/>
      <c r="I2808" s="54" t="str">
        <f t="shared" si="140"/>
        <v/>
      </c>
      <c r="J2808" s="56"/>
      <c r="K2808" s="57"/>
      <c r="L2808" s="206"/>
      <c r="M2808" s="124"/>
      <c r="N2808" s="93"/>
      <c r="O2808" s="61"/>
      <c r="P2808" s="90"/>
      <c r="Q2808" s="94"/>
      <c r="R2808" s="95"/>
      <c r="S2808" s="125"/>
      <c r="T2808" s="65"/>
      <c r="U2808" s="65"/>
      <c r="V2808" s="66"/>
      <c r="W2808" s="67"/>
      <c r="X2808" s="67"/>
      <c r="Y2808" s="67"/>
      <c r="Z2808" s="67"/>
      <c r="AA2808" s="67"/>
      <c r="AB2808" s="67"/>
      <c r="AC2808" s="67"/>
      <c r="AD2808" s="67"/>
      <c r="AE2808" s="67"/>
      <c r="AF2808" s="67"/>
      <c r="AG2808" s="67"/>
      <c r="AH2808" s="67"/>
      <c r="AI2808" s="67"/>
      <c r="AJ2808" s="96"/>
      <c r="AK2808" s="96"/>
      <c r="AL2808" s="70"/>
      <c r="AM2808" s="70"/>
      <c r="AN2808" s="71"/>
      <c r="AO2808" s="71"/>
      <c r="AP2808" s="71"/>
      <c r="AQ2808" s="71"/>
      <c r="AR2808" s="71"/>
      <c r="AS2808" s="71"/>
      <c r="AT2808" s="71"/>
      <c r="AU2808" s="71"/>
      <c r="AV2808" s="71"/>
      <c r="AW2808" s="71"/>
      <c r="AX2808" s="71"/>
      <c r="AY2808" s="71"/>
      <c r="AZ2808" s="71"/>
      <c r="BA2808" s="71"/>
      <c r="BB2808" s="71"/>
      <c r="BC2808" s="71"/>
      <c r="BD2808" s="71"/>
      <c r="BE2808" s="71"/>
      <c r="BF2808" s="71"/>
      <c r="BG2808" s="71"/>
      <c r="BH2808" s="71"/>
      <c r="BI2808" s="71"/>
      <c r="BJ2808" s="71"/>
      <c r="BK2808" s="71"/>
      <c r="BL2808" s="71"/>
      <c r="BM2808" s="71"/>
      <c r="BN2808" s="71"/>
      <c r="BO2808" s="71"/>
      <c r="BP2808" s="71"/>
      <c r="BQ2808" s="71"/>
      <c r="BR2808" s="71"/>
      <c r="BS2808" s="71"/>
      <c r="BT2808" s="71"/>
      <c r="BU2808" s="71"/>
      <c r="BV2808" s="71"/>
    </row>
    <row r="2809">
      <c r="A2809" s="53"/>
      <c r="B2809" s="53"/>
      <c r="C2809" s="53"/>
      <c r="D2809" s="53"/>
      <c r="E2809" s="86"/>
      <c r="F2809" s="89"/>
      <c r="G2809" s="84"/>
      <c r="H2809" s="55"/>
      <c r="I2809" s="54" t="str">
        <f t="shared" si="140"/>
        <v/>
      </c>
      <c r="J2809" s="56"/>
      <c r="K2809" s="57"/>
      <c r="L2809" s="206"/>
      <c r="M2809" s="124"/>
      <c r="N2809" s="93"/>
      <c r="O2809" s="61"/>
      <c r="P2809" s="90"/>
      <c r="Q2809" s="94"/>
      <c r="R2809" s="95"/>
      <c r="S2809" s="125"/>
      <c r="T2809" s="65"/>
      <c r="U2809" s="65"/>
      <c r="V2809" s="66"/>
      <c r="W2809" s="67"/>
      <c r="X2809" s="67"/>
      <c r="Y2809" s="67"/>
      <c r="Z2809" s="67"/>
      <c r="AA2809" s="67"/>
      <c r="AB2809" s="67"/>
      <c r="AC2809" s="67"/>
      <c r="AD2809" s="67"/>
      <c r="AE2809" s="67"/>
      <c r="AF2809" s="67"/>
      <c r="AG2809" s="67"/>
      <c r="AH2809" s="67"/>
      <c r="AI2809" s="67"/>
      <c r="AJ2809" s="96"/>
      <c r="AK2809" s="96"/>
      <c r="AL2809" s="70"/>
      <c r="AM2809" s="70"/>
      <c r="AN2809" s="71"/>
      <c r="AO2809" s="71"/>
      <c r="AP2809" s="71"/>
      <c r="AQ2809" s="71"/>
      <c r="AR2809" s="71"/>
      <c r="AS2809" s="71"/>
      <c r="AT2809" s="71"/>
      <c r="AU2809" s="71"/>
      <c r="AV2809" s="71"/>
      <c r="AW2809" s="71"/>
      <c r="AX2809" s="71"/>
      <c r="AY2809" s="71"/>
      <c r="AZ2809" s="71"/>
      <c r="BA2809" s="71"/>
      <c r="BB2809" s="71"/>
      <c r="BC2809" s="71"/>
      <c r="BD2809" s="71"/>
      <c r="BE2809" s="71"/>
      <c r="BF2809" s="71"/>
      <c r="BG2809" s="71"/>
      <c r="BH2809" s="71"/>
      <c r="BI2809" s="71"/>
      <c r="BJ2809" s="71"/>
      <c r="BK2809" s="71"/>
      <c r="BL2809" s="71"/>
      <c r="BM2809" s="71"/>
      <c r="BN2809" s="71"/>
      <c r="BO2809" s="71"/>
      <c r="BP2809" s="71"/>
      <c r="BQ2809" s="71"/>
      <c r="BR2809" s="71"/>
      <c r="BS2809" s="71"/>
      <c r="BT2809" s="71"/>
      <c r="BU2809" s="71"/>
      <c r="BV2809" s="71"/>
    </row>
    <row r="2810">
      <c r="A2810" s="53"/>
      <c r="B2810" s="53"/>
      <c r="C2810" s="53"/>
      <c r="D2810" s="53"/>
      <c r="E2810" s="86"/>
      <c r="F2810" s="89"/>
      <c r="G2810" s="84"/>
      <c r="H2810" s="55"/>
      <c r="I2810" s="54" t="str">
        <f t="shared" si="140"/>
        <v/>
      </c>
      <c r="J2810" s="56"/>
      <c r="K2810" s="57"/>
      <c r="L2810" s="206"/>
      <c r="M2810" s="124"/>
      <c r="N2810" s="93"/>
      <c r="O2810" s="61"/>
      <c r="P2810" s="90"/>
      <c r="Q2810" s="94"/>
      <c r="R2810" s="95"/>
      <c r="S2810" s="125"/>
      <c r="T2810" s="65"/>
      <c r="U2810" s="65"/>
      <c r="V2810" s="66"/>
      <c r="W2810" s="67"/>
      <c r="X2810" s="67"/>
      <c r="Y2810" s="67"/>
      <c r="Z2810" s="67"/>
      <c r="AA2810" s="67"/>
      <c r="AB2810" s="67"/>
      <c r="AC2810" s="67"/>
      <c r="AD2810" s="67"/>
      <c r="AE2810" s="67"/>
      <c r="AF2810" s="67"/>
      <c r="AG2810" s="67"/>
      <c r="AH2810" s="67"/>
      <c r="AI2810" s="67"/>
      <c r="AJ2810" s="96"/>
      <c r="AK2810" s="96"/>
      <c r="AL2810" s="70"/>
      <c r="AM2810" s="70"/>
      <c r="AN2810" s="71"/>
      <c r="AO2810" s="71"/>
      <c r="AP2810" s="71"/>
      <c r="AQ2810" s="71"/>
      <c r="AR2810" s="71"/>
      <c r="AS2810" s="71"/>
      <c r="AT2810" s="71"/>
      <c r="AU2810" s="71"/>
      <c r="AV2810" s="71"/>
      <c r="AW2810" s="71"/>
      <c r="AX2810" s="71"/>
      <c r="AY2810" s="71"/>
      <c r="AZ2810" s="71"/>
      <c r="BA2810" s="71"/>
      <c r="BB2810" s="71"/>
      <c r="BC2810" s="71"/>
      <c r="BD2810" s="71"/>
      <c r="BE2810" s="71"/>
      <c r="BF2810" s="71"/>
      <c r="BG2810" s="71"/>
      <c r="BH2810" s="71"/>
      <c r="BI2810" s="71"/>
      <c r="BJ2810" s="71"/>
      <c r="BK2810" s="71"/>
      <c r="BL2810" s="71"/>
      <c r="BM2810" s="71"/>
      <c r="BN2810" s="71"/>
      <c r="BO2810" s="71"/>
      <c r="BP2810" s="71"/>
      <c r="BQ2810" s="71"/>
      <c r="BR2810" s="71"/>
      <c r="BS2810" s="71"/>
      <c r="BT2810" s="71"/>
      <c r="BU2810" s="71"/>
      <c r="BV2810" s="71"/>
    </row>
    <row r="2811">
      <c r="A2811" s="53"/>
      <c r="B2811" s="53"/>
      <c r="C2811" s="53"/>
      <c r="D2811" s="53"/>
      <c r="E2811" s="86"/>
      <c r="F2811" s="89"/>
      <c r="G2811" s="84"/>
      <c r="H2811" s="55"/>
      <c r="I2811" s="54" t="str">
        <f t="shared" si="140"/>
        <v/>
      </c>
      <c r="J2811" s="56"/>
      <c r="K2811" s="57"/>
      <c r="L2811" s="206"/>
      <c r="M2811" s="124"/>
      <c r="N2811" s="93"/>
      <c r="O2811" s="61"/>
      <c r="P2811" s="90"/>
      <c r="Q2811" s="94"/>
      <c r="R2811" s="95"/>
      <c r="S2811" s="125"/>
      <c r="T2811" s="65"/>
      <c r="U2811" s="65"/>
      <c r="V2811" s="66"/>
      <c r="W2811" s="67"/>
      <c r="X2811" s="67"/>
      <c r="Y2811" s="67"/>
      <c r="Z2811" s="67"/>
      <c r="AA2811" s="67"/>
      <c r="AB2811" s="67"/>
      <c r="AC2811" s="67"/>
      <c r="AD2811" s="67"/>
      <c r="AE2811" s="67"/>
      <c r="AF2811" s="67"/>
      <c r="AG2811" s="67"/>
      <c r="AH2811" s="67"/>
      <c r="AI2811" s="67"/>
      <c r="AJ2811" s="96"/>
      <c r="AK2811" s="96"/>
      <c r="AL2811" s="70"/>
      <c r="AM2811" s="70"/>
      <c r="AN2811" s="71"/>
      <c r="AO2811" s="71"/>
      <c r="AP2811" s="71"/>
      <c r="AQ2811" s="71"/>
      <c r="AR2811" s="71"/>
      <c r="AS2811" s="71"/>
      <c r="AT2811" s="71"/>
      <c r="AU2811" s="71"/>
      <c r="AV2811" s="71"/>
      <c r="AW2811" s="71"/>
      <c r="AX2811" s="71"/>
      <c r="AY2811" s="71"/>
      <c r="AZ2811" s="71"/>
      <c r="BA2811" s="71"/>
      <c r="BB2811" s="71"/>
      <c r="BC2811" s="71"/>
      <c r="BD2811" s="71"/>
      <c r="BE2811" s="71"/>
      <c r="BF2811" s="71"/>
      <c r="BG2811" s="71"/>
      <c r="BH2811" s="71"/>
      <c r="BI2811" s="71"/>
      <c r="BJ2811" s="71"/>
      <c r="BK2811" s="71"/>
      <c r="BL2811" s="71"/>
      <c r="BM2811" s="71"/>
      <c r="BN2811" s="71"/>
      <c r="BO2811" s="71"/>
      <c r="BP2811" s="71"/>
      <c r="BQ2811" s="71"/>
      <c r="BR2811" s="71"/>
      <c r="BS2811" s="71"/>
      <c r="BT2811" s="71"/>
      <c r="BU2811" s="71"/>
      <c r="BV2811" s="71"/>
    </row>
    <row r="2812">
      <c r="A2812" s="53"/>
      <c r="B2812" s="53"/>
      <c r="C2812" s="53"/>
      <c r="D2812" s="53"/>
      <c r="E2812" s="86"/>
      <c r="F2812" s="89"/>
      <c r="G2812" s="84"/>
      <c r="H2812" s="55"/>
      <c r="I2812" s="54" t="str">
        <f t="shared" si="140"/>
        <v/>
      </c>
      <c r="J2812" s="56"/>
      <c r="K2812" s="57"/>
      <c r="L2812" s="206"/>
      <c r="M2812" s="124"/>
      <c r="N2812" s="93"/>
      <c r="O2812" s="61"/>
      <c r="P2812" s="90"/>
      <c r="Q2812" s="94"/>
      <c r="R2812" s="95"/>
      <c r="S2812" s="125"/>
      <c r="T2812" s="65"/>
      <c r="U2812" s="65"/>
      <c r="V2812" s="66"/>
      <c r="W2812" s="67"/>
      <c r="X2812" s="67"/>
      <c r="Y2812" s="67"/>
      <c r="Z2812" s="67"/>
      <c r="AA2812" s="67"/>
      <c r="AB2812" s="67"/>
      <c r="AC2812" s="67"/>
      <c r="AD2812" s="67"/>
      <c r="AE2812" s="67"/>
      <c r="AF2812" s="67"/>
      <c r="AG2812" s="67"/>
      <c r="AH2812" s="67"/>
      <c r="AI2812" s="67"/>
      <c r="AJ2812" s="96"/>
      <c r="AK2812" s="96"/>
      <c r="AL2812" s="70"/>
      <c r="AM2812" s="70"/>
      <c r="AN2812" s="71"/>
      <c r="AO2812" s="71"/>
      <c r="AP2812" s="71"/>
      <c r="AQ2812" s="71"/>
      <c r="AR2812" s="71"/>
      <c r="AS2812" s="71"/>
      <c r="AT2812" s="71"/>
      <c r="AU2812" s="71"/>
      <c r="AV2812" s="71"/>
      <c r="AW2812" s="71"/>
      <c r="AX2812" s="71"/>
      <c r="AY2812" s="71"/>
      <c r="AZ2812" s="71"/>
      <c r="BA2812" s="71"/>
      <c r="BB2812" s="71"/>
      <c r="BC2812" s="71"/>
      <c r="BD2812" s="71"/>
      <c r="BE2812" s="71"/>
      <c r="BF2812" s="71"/>
      <c r="BG2812" s="71"/>
      <c r="BH2812" s="71"/>
      <c r="BI2812" s="71"/>
      <c r="BJ2812" s="71"/>
      <c r="BK2812" s="71"/>
      <c r="BL2812" s="71"/>
      <c r="BM2812" s="71"/>
      <c r="BN2812" s="71"/>
      <c r="BO2812" s="71"/>
      <c r="BP2812" s="71"/>
      <c r="BQ2812" s="71"/>
      <c r="BR2812" s="71"/>
      <c r="BS2812" s="71"/>
      <c r="BT2812" s="71"/>
      <c r="BU2812" s="71"/>
      <c r="BV2812" s="71"/>
    </row>
    <row r="2813">
      <c r="A2813" s="53"/>
      <c r="B2813" s="53"/>
      <c r="C2813" s="53"/>
      <c r="D2813" s="53"/>
      <c r="E2813" s="86"/>
      <c r="F2813" s="89"/>
      <c r="G2813" s="84"/>
      <c r="H2813" s="55"/>
      <c r="I2813" s="54" t="str">
        <f t="shared" si="140"/>
        <v/>
      </c>
      <c r="J2813" s="56"/>
      <c r="K2813" s="57"/>
      <c r="L2813" s="206"/>
      <c r="M2813" s="124"/>
      <c r="N2813" s="93"/>
      <c r="O2813" s="61"/>
      <c r="P2813" s="90"/>
      <c r="Q2813" s="94"/>
      <c r="R2813" s="95"/>
      <c r="S2813" s="125"/>
      <c r="T2813" s="65"/>
      <c r="U2813" s="65"/>
      <c r="V2813" s="66"/>
      <c r="W2813" s="67"/>
      <c r="X2813" s="67"/>
      <c r="Y2813" s="67"/>
      <c r="Z2813" s="67"/>
      <c r="AA2813" s="67"/>
      <c r="AB2813" s="67"/>
      <c r="AC2813" s="67"/>
      <c r="AD2813" s="67"/>
      <c r="AE2813" s="67"/>
      <c r="AF2813" s="67"/>
      <c r="AG2813" s="67"/>
      <c r="AH2813" s="67"/>
      <c r="AI2813" s="67"/>
      <c r="AJ2813" s="96"/>
      <c r="AK2813" s="96"/>
      <c r="AL2813" s="70"/>
      <c r="AM2813" s="70"/>
      <c r="AN2813" s="71"/>
      <c r="AO2813" s="71"/>
      <c r="AP2813" s="71"/>
      <c r="AQ2813" s="71"/>
      <c r="AR2813" s="71"/>
      <c r="AS2813" s="71"/>
      <c r="AT2813" s="71"/>
      <c r="AU2813" s="71"/>
      <c r="AV2813" s="71"/>
      <c r="AW2813" s="71"/>
      <c r="AX2813" s="71"/>
      <c r="AY2813" s="71"/>
      <c r="AZ2813" s="71"/>
      <c r="BA2813" s="71"/>
      <c r="BB2813" s="71"/>
      <c r="BC2813" s="71"/>
      <c r="BD2813" s="71"/>
      <c r="BE2813" s="71"/>
      <c r="BF2813" s="71"/>
      <c r="BG2813" s="71"/>
      <c r="BH2813" s="71"/>
      <c r="BI2813" s="71"/>
      <c r="BJ2813" s="71"/>
      <c r="BK2813" s="71"/>
      <c r="BL2813" s="71"/>
      <c r="BM2813" s="71"/>
      <c r="BN2813" s="71"/>
      <c r="BO2813" s="71"/>
      <c r="BP2813" s="71"/>
      <c r="BQ2813" s="71"/>
      <c r="BR2813" s="71"/>
      <c r="BS2813" s="71"/>
      <c r="BT2813" s="71"/>
      <c r="BU2813" s="71"/>
      <c r="BV2813" s="71"/>
    </row>
    <row r="2814">
      <c r="A2814" s="53"/>
      <c r="B2814" s="53"/>
      <c r="C2814" s="53"/>
      <c r="D2814" s="53"/>
      <c r="E2814" s="86"/>
      <c r="F2814" s="89"/>
      <c r="G2814" s="84"/>
      <c r="H2814" s="55"/>
      <c r="I2814" s="54" t="str">
        <f t="shared" si="140"/>
        <v/>
      </c>
      <c r="J2814" s="56"/>
      <c r="K2814" s="57"/>
      <c r="L2814" s="206"/>
      <c r="M2814" s="124"/>
      <c r="N2814" s="93"/>
      <c r="O2814" s="61"/>
      <c r="P2814" s="90"/>
      <c r="Q2814" s="94"/>
      <c r="R2814" s="95"/>
      <c r="S2814" s="125"/>
      <c r="T2814" s="65"/>
      <c r="U2814" s="65"/>
      <c r="V2814" s="66"/>
      <c r="W2814" s="67"/>
      <c r="X2814" s="67"/>
      <c r="Y2814" s="67"/>
      <c r="Z2814" s="67"/>
      <c r="AA2814" s="67"/>
      <c r="AB2814" s="67"/>
      <c r="AC2814" s="67"/>
      <c r="AD2814" s="67"/>
      <c r="AE2814" s="67"/>
      <c r="AF2814" s="67"/>
      <c r="AG2814" s="67"/>
      <c r="AH2814" s="67"/>
      <c r="AI2814" s="67"/>
      <c r="AJ2814" s="96"/>
      <c r="AK2814" s="96"/>
      <c r="AL2814" s="70"/>
      <c r="AM2814" s="70"/>
      <c r="AN2814" s="71"/>
      <c r="AO2814" s="71"/>
      <c r="AP2814" s="71"/>
      <c r="AQ2814" s="71"/>
      <c r="AR2814" s="71"/>
      <c r="AS2814" s="71"/>
      <c r="AT2814" s="71"/>
      <c r="AU2814" s="71"/>
      <c r="AV2814" s="71"/>
      <c r="AW2814" s="71"/>
      <c r="AX2814" s="71"/>
      <c r="AY2814" s="71"/>
      <c r="AZ2814" s="71"/>
      <c r="BA2814" s="71"/>
      <c r="BB2814" s="71"/>
      <c r="BC2814" s="71"/>
      <c r="BD2814" s="71"/>
      <c r="BE2814" s="71"/>
      <c r="BF2814" s="71"/>
      <c r="BG2814" s="71"/>
      <c r="BH2814" s="71"/>
      <c r="BI2814" s="71"/>
      <c r="BJ2814" s="71"/>
      <c r="BK2814" s="71"/>
      <c r="BL2814" s="71"/>
      <c r="BM2814" s="71"/>
      <c r="BN2814" s="71"/>
      <c r="BO2814" s="71"/>
      <c r="BP2814" s="71"/>
      <c r="BQ2814" s="71"/>
      <c r="BR2814" s="71"/>
      <c r="BS2814" s="71"/>
      <c r="BT2814" s="71"/>
      <c r="BU2814" s="71"/>
      <c r="BV2814" s="71"/>
    </row>
    <row r="2815">
      <c r="A2815" s="53"/>
      <c r="B2815" s="53"/>
      <c r="C2815" s="53"/>
      <c r="D2815" s="53"/>
      <c r="E2815" s="86"/>
      <c r="F2815" s="89"/>
      <c r="G2815" s="84"/>
      <c r="H2815" s="55"/>
      <c r="I2815" s="54" t="str">
        <f t="shared" si="140"/>
        <v/>
      </c>
      <c r="J2815" s="56"/>
      <c r="K2815" s="57"/>
      <c r="L2815" s="206"/>
      <c r="M2815" s="124"/>
      <c r="N2815" s="93"/>
      <c r="O2815" s="61"/>
      <c r="P2815" s="90"/>
      <c r="Q2815" s="94"/>
      <c r="R2815" s="95"/>
      <c r="S2815" s="125"/>
      <c r="T2815" s="65"/>
      <c r="U2815" s="65"/>
      <c r="V2815" s="66"/>
      <c r="W2815" s="67"/>
      <c r="X2815" s="67"/>
      <c r="Y2815" s="67"/>
      <c r="Z2815" s="67"/>
      <c r="AA2815" s="67"/>
      <c r="AB2815" s="67"/>
      <c r="AC2815" s="67"/>
      <c r="AD2815" s="67"/>
      <c r="AE2815" s="67"/>
      <c r="AF2815" s="67"/>
      <c r="AG2815" s="67"/>
      <c r="AH2815" s="67"/>
      <c r="AI2815" s="67"/>
      <c r="AJ2815" s="96"/>
      <c r="AK2815" s="96"/>
      <c r="AL2815" s="70"/>
      <c r="AM2815" s="70"/>
      <c r="AN2815" s="71"/>
      <c r="AO2815" s="71"/>
      <c r="AP2815" s="71"/>
      <c r="AQ2815" s="71"/>
      <c r="AR2815" s="71"/>
      <c r="AS2815" s="71"/>
      <c r="AT2815" s="71"/>
      <c r="AU2815" s="71"/>
      <c r="AV2815" s="71"/>
      <c r="AW2815" s="71"/>
      <c r="AX2815" s="71"/>
      <c r="AY2815" s="71"/>
      <c r="AZ2815" s="71"/>
      <c r="BA2815" s="71"/>
      <c r="BB2815" s="71"/>
      <c r="BC2815" s="71"/>
      <c r="BD2815" s="71"/>
      <c r="BE2815" s="71"/>
      <c r="BF2815" s="71"/>
      <c r="BG2815" s="71"/>
      <c r="BH2815" s="71"/>
      <c r="BI2815" s="71"/>
      <c r="BJ2815" s="71"/>
      <c r="BK2815" s="71"/>
      <c r="BL2815" s="71"/>
      <c r="BM2815" s="71"/>
      <c r="BN2815" s="71"/>
      <c r="BO2815" s="71"/>
      <c r="BP2815" s="71"/>
      <c r="BQ2815" s="71"/>
      <c r="BR2815" s="71"/>
      <c r="BS2815" s="71"/>
      <c r="BT2815" s="71"/>
      <c r="BU2815" s="71"/>
      <c r="BV2815" s="71"/>
    </row>
    <row r="2816">
      <c r="A2816" s="53"/>
      <c r="B2816" s="53"/>
      <c r="C2816" s="53"/>
      <c r="D2816" s="53"/>
      <c r="E2816" s="86"/>
      <c r="F2816" s="89"/>
      <c r="G2816" s="84"/>
      <c r="H2816" s="55"/>
      <c r="I2816" s="54" t="str">
        <f t="shared" si="140"/>
        <v/>
      </c>
      <c r="J2816" s="56"/>
      <c r="K2816" s="57"/>
      <c r="L2816" s="206"/>
      <c r="M2816" s="124"/>
      <c r="N2816" s="93"/>
      <c r="O2816" s="61"/>
      <c r="P2816" s="90"/>
      <c r="Q2816" s="94"/>
      <c r="R2816" s="95"/>
      <c r="S2816" s="125"/>
      <c r="T2816" s="65"/>
      <c r="U2816" s="65"/>
      <c r="V2816" s="66"/>
      <c r="W2816" s="67"/>
      <c r="X2816" s="67"/>
      <c r="Y2816" s="67"/>
      <c r="Z2816" s="67"/>
      <c r="AA2816" s="67"/>
      <c r="AB2816" s="67"/>
      <c r="AC2816" s="67"/>
      <c r="AD2816" s="67"/>
      <c r="AE2816" s="67"/>
      <c r="AF2816" s="67"/>
      <c r="AG2816" s="67"/>
      <c r="AH2816" s="67"/>
      <c r="AI2816" s="67"/>
      <c r="AJ2816" s="96"/>
      <c r="AK2816" s="96"/>
      <c r="AL2816" s="70"/>
      <c r="AM2816" s="70"/>
      <c r="AN2816" s="71"/>
      <c r="AO2816" s="71"/>
      <c r="AP2816" s="71"/>
      <c r="AQ2816" s="71"/>
      <c r="AR2816" s="71"/>
      <c r="AS2816" s="71"/>
      <c r="AT2816" s="71"/>
      <c r="AU2816" s="71"/>
      <c r="AV2816" s="71"/>
      <c r="AW2816" s="71"/>
      <c r="AX2816" s="71"/>
      <c r="AY2816" s="71"/>
      <c r="AZ2816" s="71"/>
      <c r="BA2816" s="71"/>
      <c r="BB2816" s="71"/>
      <c r="BC2816" s="71"/>
      <c r="BD2816" s="71"/>
      <c r="BE2816" s="71"/>
      <c r="BF2816" s="71"/>
      <c r="BG2816" s="71"/>
      <c r="BH2816" s="71"/>
      <c r="BI2816" s="71"/>
      <c r="BJ2816" s="71"/>
      <c r="BK2816" s="71"/>
      <c r="BL2816" s="71"/>
      <c r="BM2816" s="71"/>
      <c r="BN2816" s="71"/>
      <c r="BO2816" s="71"/>
      <c r="BP2816" s="71"/>
      <c r="BQ2816" s="71"/>
      <c r="BR2816" s="71"/>
      <c r="BS2816" s="71"/>
      <c r="BT2816" s="71"/>
      <c r="BU2816" s="71"/>
      <c r="BV2816" s="71"/>
    </row>
    <row r="2817">
      <c r="A2817" s="53"/>
      <c r="B2817" s="53"/>
      <c r="C2817" s="53"/>
      <c r="D2817" s="53"/>
      <c r="E2817" s="86"/>
      <c r="F2817" s="89"/>
      <c r="G2817" s="84"/>
      <c r="H2817" s="55"/>
      <c r="I2817" s="54" t="str">
        <f t="shared" si="140"/>
        <v/>
      </c>
      <c r="J2817" s="56"/>
      <c r="K2817" s="57"/>
      <c r="L2817" s="206"/>
      <c r="M2817" s="124"/>
      <c r="N2817" s="93"/>
      <c r="O2817" s="61"/>
      <c r="P2817" s="90"/>
      <c r="Q2817" s="94"/>
      <c r="R2817" s="95"/>
      <c r="S2817" s="125"/>
      <c r="T2817" s="65"/>
      <c r="U2817" s="65"/>
      <c r="V2817" s="66"/>
      <c r="W2817" s="67"/>
      <c r="X2817" s="67"/>
      <c r="Y2817" s="67"/>
      <c r="Z2817" s="67"/>
      <c r="AA2817" s="67"/>
      <c r="AB2817" s="67"/>
      <c r="AC2817" s="67"/>
      <c r="AD2817" s="67"/>
      <c r="AE2817" s="67"/>
      <c r="AF2817" s="67"/>
      <c r="AG2817" s="67"/>
      <c r="AH2817" s="67"/>
      <c r="AI2817" s="67"/>
      <c r="AJ2817" s="96"/>
      <c r="AK2817" s="96"/>
      <c r="AL2817" s="70"/>
      <c r="AM2817" s="70"/>
      <c r="AN2817" s="71"/>
      <c r="AO2817" s="71"/>
      <c r="AP2817" s="71"/>
      <c r="AQ2817" s="71"/>
      <c r="AR2817" s="71"/>
      <c r="AS2817" s="71"/>
      <c r="AT2817" s="71"/>
      <c r="AU2817" s="71"/>
      <c r="AV2817" s="71"/>
      <c r="AW2817" s="71"/>
      <c r="AX2817" s="71"/>
      <c r="AY2817" s="71"/>
      <c r="AZ2817" s="71"/>
      <c r="BA2817" s="71"/>
      <c r="BB2817" s="71"/>
      <c r="BC2817" s="71"/>
      <c r="BD2817" s="71"/>
      <c r="BE2817" s="71"/>
      <c r="BF2817" s="71"/>
      <c r="BG2817" s="71"/>
      <c r="BH2817" s="71"/>
      <c r="BI2817" s="71"/>
      <c r="BJ2817" s="71"/>
      <c r="BK2817" s="71"/>
      <c r="BL2817" s="71"/>
      <c r="BM2817" s="71"/>
      <c r="BN2817" s="71"/>
      <c r="BO2817" s="71"/>
      <c r="BP2817" s="71"/>
      <c r="BQ2817" s="71"/>
      <c r="BR2817" s="71"/>
      <c r="BS2817" s="71"/>
      <c r="BT2817" s="71"/>
      <c r="BU2817" s="71"/>
      <c r="BV2817" s="71"/>
    </row>
    <row r="2818">
      <c r="A2818" s="53"/>
      <c r="B2818" s="53"/>
      <c r="C2818" s="53"/>
      <c r="D2818" s="53"/>
      <c r="E2818" s="86"/>
      <c r="F2818" s="89"/>
      <c r="G2818" s="84"/>
      <c r="H2818" s="55"/>
      <c r="I2818" s="54" t="str">
        <f t="shared" si="140"/>
        <v/>
      </c>
      <c r="J2818" s="56"/>
      <c r="K2818" s="57"/>
      <c r="L2818" s="206"/>
      <c r="M2818" s="124"/>
      <c r="N2818" s="93"/>
      <c r="O2818" s="61"/>
      <c r="P2818" s="90"/>
      <c r="Q2818" s="94"/>
      <c r="R2818" s="95"/>
      <c r="S2818" s="125"/>
      <c r="T2818" s="65"/>
      <c r="U2818" s="65"/>
      <c r="V2818" s="66"/>
      <c r="W2818" s="67"/>
      <c r="X2818" s="67"/>
      <c r="Y2818" s="67"/>
      <c r="Z2818" s="67"/>
      <c r="AA2818" s="67"/>
      <c r="AB2818" s="67"/>
      <c r="AC2818" s="67"/>
      <c r="AD2818" s="67"/>
      <c r="AE2818" s="67"/>
      <c r="AF2818" s="67"/>
      <c r="AG2818" s="67"/>
      <c r="AH2818" s="67"/>
      <c r="AI2818" s="67"/>
      <c r="AJ2818" s="96"/>
      <c r="AK2818" s="96"/>
      <c r="AL2818" s="70"/>
      <c r="AM2818" s="70"/>
      <c r="AN2818" s="71"/>
      <c r="AO2818" s="71"/>
      <c r="AP2818" s="71"/>
      <c r="AQ2818" s="71"/>
      <c r="AR2818" s="71"/>
      <c r="AS2818" s="71"/>
      <c r="AT2818" s="71"/>
      <c r="AU2818" s="71"/>
      <c r="AV2818" s="71"/>
      <c r="AW2818" s="71"/>
      <c r="AX2818" s="71"/>
      <c r="AY2818" s="71"/>
      <c r="AZ2818" s="71"/>
      <c r="BA2818" s="71"/>
      <c r="BB2818" s="71"/>
      <c r="BC2818" s="71"/>
      <c r="BD2818" s="71"/>
      <c r="BE2818" s="71"/>
      <c r="BF2818" s="71"/>
      <c r="BG2818" s="71"/>
      <c r="BH2818" s="71"/>
      <c r="BI2818" s="71"/>
      <c r="BJ2818" s="71"/>
      <c r="BK2818" s="71"/>
      <c r="BL2818" s="71"/>
      <c r="BM2818" s="71"/>
      <c r="BN2818" s="71"/>
      <c r="BO2818" s="71"/>
      <c r="BP2818" s="71"/>
      <c r="BQ2818" s="71"/>
      <c r="BR2818" s="71"/>
      <c r="BS2818" s="71"/>
      <c r="BT2818" s="71"/>
      <c r="BU2818" s="71"/>
      <c r="BV2818" s="71"/>
    </row>
    <row r="2819">
      <c r="A2819" s="53"/>
      <c r="B2819" s="53"/>
      <c r="C2819" s="53"/>
      <c r="D2819" s="53"/>
      <c r="E2819" s="86"/>
      <c r="F2819" s="89"/>
      <c r="G2819" s="84"/>
      <c r="H2819" s="55"/>
      <c r="I2819" s="54" t="str">
        <f t="shared" si="140"/>
        <v/>
      </c>
      <c r="J2819" s="56"/>
      <c r="K2819" s="57"/>
      <c r="L2819" s="206"/>
      <c r="M2819" s="124"/>
      <c r="N2819" s="93"/>
      <c r="O2819" s="61"/>
      <c r="P2819" s="90"/>
      <c r="Q2819" s="94"/>
      <c r="R2819" s="95"/>
      <c r="S2819" s="125"/>
      <c r="T2819" s="65"/>
      <c r="U2819" s="65"/>
      <c r="V2819" s="66"/>
      <c r="W2819" s="67"/>
      <c r="X2819" s="67"/>
      <c r="Y2819" s="67"/>
      <c r="Z2819" s="67"/>
      <c r="AA2819" s="67"/>
      <c r="AB2819" s="67"/>
      <c r="AC2819" s="67"/>
      <c r="AD2819" s="67"/>
      <c r="AE2819" s="67"/>
      <c r="AF2819" s="67"/>
      <c r="AG2819" s="67"/>
      <c r="AH2819" s="67"/>
      <c r="AI2819" s="67"/>
      <c r="AJ2819" s="96"/>
      <c r="AK2819" s="96"/>
      <c r="AL2819" s="70"/>
      <c r="AM2819" s="70"/>
      <c r="AN2819" s="71"/>
      <c r="AO2819" s="71"/>
      <c r="AP2819" s="71"/>
      <c r="AQ2819" s="71"/>
      <c r="AR2819" s="71"/>
      <c r="AS2819" s="71"/>
      <c r="AT2819" s="71"/>
      <c r="AU2819" s="71"/>
      <c r="AV2819" s="71"/>
      <c r="AW2819" s="71"/>
      <c r="AX2819" s="71"/>
      <c r="AY2819" s="71"/>
      <c r="AZ2819" s="71"/>
      <c r="BA2819" s="71"/>
      <c r="BB2819" s="71"/>
      <c r="BC2819" s="71"/>
      <c r="BD2819" s="71"/>
      <c r="BE2819" s="71"/>
      <c r="BF2819" s="71"/>
      <c r="BG2819" s="71"/>
      <c r="BH2819" s="71"/>
      <c r="BI2819" s="71"/>
      <c r="BJ2819" s="71"/>
      <c r="BK2819" s="71"/>
      <c r="BL2819" s="71"/>
      <c r="BM2819" s="71"/>
      <c r="BN2819" s="71"/>
      <c r="BO2819" s="71"/>
      <c r="BP2819" s="71"/>
      <c r="BQ2819" s="71"/>
      <c r="BR2819" s="71"/>
      <c r="BS2819" s="71"/>
      <c r="BT2819" s="71"/>
      <c r="BU2819" s="71"/>
      <c r="BV2819" s="71"/>
    </row>
    <row r="2820">
      <c r="A2820" s="53"/>
      <c r="B2820" s="53"/>
      <c r="C2820" s="53"/>
      <c r="D2820" s="53"/>
      <c r="E2820" s="86"/>
      <c r="F2820" s="89"/>
      <c r="G2820" s="84"/>
      <c r="H2820" s="55"/>
      <c r="I2820" s="54" t="str">
        <f t="shared" si="140"/>
        <v/>
      </c>
      <c r="J2820" s="56"/>
      <c r="K2820" s="57"/>
      <c r="L2820" s="206"/>
      <c r="M2820" s="124"/>
      <c r="N2820" s="93"/>
      <c r="O2820" s="61"/>
      <c r="P2820" s="90"/>
      <c r="Q2820" s="94"/>
      <c r="R2820" s="95"/>
      <c r="S2820" s="125"/>
      <c r="T2820" s="65"/>
      <c r="U2820" s="65"/>
      <c r="V2820" s="66"/>
      <c r="W2820" s="67"/>
      <c r="X2820" s="67"/>
      <c r="Y2820" s="67"/>
      <c r="Z2820" s="67"/>
      <c r="AA2820" s="67"/>
      <c r="AB2820" s="67"/>
      <c r="AC2820" s="67"/>
      <c r="AD2820" s="67"/>
      <c r="AE2820" s="67"/>
      <c r="AF2820" s="67"/>
      <c r="AG2820" s="67"/>
      <c r="AH2820" s="67"/>
      <c r="AI2820" s="67"/>
      <c r="AJ2820" s="96"/>
      <c r="AK2820" s="96"/>
      <c r="AL2820" s="70"/>
      <c r="AM2820" s="70"/>
      <c r="AN2820" s="71"/>
      <c r="AO2820" s="71"/>
      <c r="AP2820" s="71"/>
      <c r="AQ2820" s="71"/>
      <c r="AR2820" s="71"/>
      <c r="AS2820" s="71"/>
      <c r="AT2820" s="71"/>
      <c r="AU2820" s="71"/>
      <c r="AV2820" s="71"/>
      <c r="AW2820" s="71"/>
      <c r="AX2820" s="71"/>
      <c r="AY2820" s="71"/>
      <c r="AZ2820" s="71"/>
      <c r="BA2820" s="71"/>
      <c r="BB2820" s="71"/>
      <c r="BC2820" s="71"/>
      <c r="BD2820" s="71"/>
      <c r="BE2820" s="71"/>
      <c r="BF2820" s="71"/>
      <c r="BG2820" s="71"/>
      <c r="BH2820" s="71"/>
      <c r="BI2820" s="71"/>
      <c r="BJ2820" s="71"/>
      <c r="BK2820" s="71"/>
      <c r="BL2820" s="71"/>
      <c r="BM2820" s="71"/>
      <c r="BN2820" s="71"/>
      <c r="BO2820" s="71"/>
      <c r="BP2820" s="71"/>
      <c r="BQ2820" s="71"/>
      <c r="BR2820" s="71"/>
      <c r="BS2820" s="71"/>
      <c r="BT2820" s="71"/>
      <c r="BU2820" s="71"/>
      <c r="BV2820" s="71"/>
    </row>
    <row r="2821">
      <c r="A2821" s="53"/>
      <c r="B2821" s="53"/>
      <c r="C2821" s="53"/>
      <c r="D2821" s="53"/>
      <c r="E2821" s="86"/>
      <c r="F2821" s="89"/>
      <c r="G2821" s="84"/>
      <c r="H2821" s="55"/>
      <c r="I2821" s="54" t="str">
        <f t="shared" si="140"/>
        <v/>
      </c>
      <c r="J2821" s="56"/>
      <c r="K2821" s="57"/>
      <c r="L2821" s="206"/>
      <c r="M2821" s="124"/>
      <c r="N2821" s="93"/>
      <c r="O2821" s="61"/>
      <c r="P2821" s="90"/>
      <c r="Q2821" s="94"/>
      <c r="R2821" s="95"/>
      <c r="S2821" s="125"/>
      <c r="T2821" s="65"/>
      <c r="U2821" s="65"/>
      <c r="V2821" s="66"/>
      <c r="W2821" s="67"/>
      <c r="X2821" s="67"/>
      <c r="Y2821" s="67"/>
      <c r="Z2821" s="67"/>
      <c r="AA2821" s="67"/>
      <c r="AB2821" s="67"/>
      <c r="AC2821" s="67"/>
      <c r="AD2821" s="67"/>
      <c r="AE2821" s="67"/>
      <c r="AF2821" s="67"/>
      <c r="AG2821" s="67"/>
      <c r="AH2821" s="67"/>
      <c r="AI2821" s="67"/>
      <c r="AJ2821" s="96"/>
      <c r="AK2821" s="96"/>
      <c r="AL2821" s="70"/>
      <c r="AM2821" s="70"/>
      <c r="AN2821" s="71"/>
      <c r="AO2821" s="71"/>
      <c r="AP2821" s="71"/>
      <c r="AQ2821" s="71"/>
      <c r="AR2821" s="71"/>
      <c r="AS2821" s="71"/>
      <c r="AT2821" s="71"/>
      <c r="AU2821" s="71"/>
      <c r="AV2821" s="71"/>
      <c r="AW2821" s="71"/>
      <c r="AX2821" s="71"/>
      <c r="AY2821" s="71"/>
      <c r="AZ2821" s="71"/>
      <c r="BA2821" s="71"/>
      <c r="BB2821" s="71"/>
      <c r="BC2821" s="71"/>
      <c r="BD2821" s="71"/>
      <c r="BE2821" s="71"/>
      <c r="BF2821" s="71"/>
      <c r="BG2821" s="71"/>
      <c r="BH2821" s="71"/>
      <c r="BI2821" s="71"/>
      <c r="BJ2821" s="71"/>
      <c r="BK2821" s="71"/>
      <c r="BL2821" s="71"/>
      <c r="BM2821" s="71"/>
      <c r="BN2821" s="71"/>
      <c r="BO2821" s="71"/>
      <c r="BP2821" s="71"/>
      <c r="BQ2821" s="71"/>
      <c r="BR2821" s="71"/>
      <c r="BS2821" s="71"/>
      <c r="BT2821" s="71"/>
      <c r="BU2821" s="71"/>
      <c r="BV2821" s="71"/>
    </row>
    <row r="2822">
      <c r="A2822" s="53"/>
      <c r="B2822" s="53"/>
      <c r="C2822" s="53"/>
      <c r="D2822" s="53"/>
      <c r="E2822" s="86"/>
      <c r="F2822" s="89"/>
      <c r="G2822" s="84"/>
      <c r="H2822" s="55"/>
      <c r="I2822" s="54" t="str">
        <f t="shared" si="140"/>
        <v/>
      </c>
      <c r="J2822" s="56"/>
      <c r="K2822" s="57"/>
      <c r="L2822" s="206"/>
      <c r="M2822" s="124"/>
      <c r="N2822" s="93"/>
      <c r="O2822" s="61"/>
      <c r="P2822" s="90"/>
      <c r="Q2822" s="94"/>
      <c r="R2822" s="95"/>
      <c r="S2822" s="125"/>
      <c r="T2822" s="65"/>
      <c r="U2822" s="65"/>
      <c r="V2822" s="66"/>
      <c r="W2822" s="67"/>
      <c r="X2822" s="67"/>
      <c r="Y2822" s="67"/>
      <c r="Z2822" s="67"/>
      <c r="AA2822" s="67"/>
      <c r="AB2822" s="67"/>
      <c r="AC2822" s="67"/>
      <c r="AD2822" s="67"/>
      <c r="AE2822" s="67"/>
      <c r="AF2822" s="67"/>
      <c r="AG2822" s="67"/>
      <c r="AH2822" s="67"/>
      <c r="AI2822" s="67"/>
      <c r="AJ2822" s="96"/>
      <c r="AK2822" s="96"/>
      <c r="AL2822" s="70"/>
      <c r="AM2822" s="70"/>
      <c r="AN2822" s="71"/>
      <c r="AO2822" s="71"/>
      <c r="AP2822" s="71"/>
      <c r="AQ2822" s="71"/>
      <c r="AR2822" s="71"/>
      <c r="AS2822" s="71"/>
      <c r="AT2822" s="71"/>
      <c r="AU2822" s="71"/>
      <c r="AV2822" s="71"/>
      <c r="AW2822" s="71"/>
      <c r="AX2822" s="71"/>
      <c r="AY2822" s="71"/>
      <c r="AZ2822" s="71"/>
      <c r="BA2822" s="71"/>
      <c r="BB2822" s="71"/>
      <c r="BC2822" s="71"/>
      <c r="BD2822" s="71"/>
      <c r="BE2822" s="71"/>
      <c r="BF2822" s="71"/>
      <c r="BG2822" s="71"/>
      <c r="BH2822" s="71"/>
      <c r="BI2822" s="71"/>
      <c r="BJ2822" s="71"/>
      <c r="BK2822" s="71"/>
      <c r="BL2822" s="71"/>
      <c r="BM2822" s="71"/>
      <c r="BN2822" s="71"/>
      <c r="BO2822" s="71"/>
      <c r="BP2822" s="71"/>
      <c r="BQ2822" s="71"/>
      <c r="BR2822" s="71"/>
      <c r="BS2822" s="71"/>
      <c r="BT2822" s="71"/>
      <c r="BU2822" s="71"/>
      <c r="BV2822" s="71"/>
    </row>
    <row r="2823">
      <c r="A2823" s="53"/>
      <c r="B2823" s="53"/>
      <c r="C2823" s="53"/>
      <c r="D2823" s="53"/>
      <c r="E2823" s="86"/>
      <c r="F2823" s="89"/>
      <c r="G2823" s="84"/>
      <c r="H2823" s="55"/>
      <c r="I2823" s="54" t="str">
        <f t="shared" si="140"/>
        <v/>
      </c>
      <c r="J2823" s="56"/>
      <c r="K2823" s="57"/>
      <c r="L2823" s="206"/>
      <c r="M2823" s="124"/>
      <c r="N2823" s="93"/>
      <c r="O2823" s="61"/>
      <c r="P2823" s="90"/>
      <c r="Q2823" s="94"/>
      <c r="R2823" s="95"/>
      <c r="S2823" s="125"/>
      <c r="T2823" s="65"/>
      <c r="U2823" s="65"/>
      <c r="V2823" s="66"/>
      <c r="W2823" s="67"/>
      <c r="X2823" s="67"/>
      <c r="Y2823" s="67"/>
      <c r="Z2823" s="67"/>
      <c r="AA2823" s="67"/>
      <c r="AB2823" s="67"/>
      <c r="AC2823" s="67"/>
      <c r="AD2823" s="67"/>
      <c r="AE2823" s="67"/>
      <c r="AF2823" s="67"/>
      <c r="AG2823" s="67"/>
      <c r="AH2823" s="67"/>
      <c r="AI2823" s="67"/>
      <c r="AJ2823" s="96"/>
      <c r="AK2823" s="96"/>
      <c r="AL2823" s="70"/>
      <c r="AM2823" s="70"/>
      <c r="AN2823" s="71"/>
      <c r="AO2823" s="71"/>
      <c r="AP2823" s="71"/>
      <c r="AQ2823" s="71"/>
      <c r="AR2823" s="71"/>
      <c r="AS2823" s="71"/>
      <c r="AT2823" s="71"/>
      <c r="AU2823" s="71"/>
      <c r="AV2823" s="71"/>
      <c r="AW2823" s="71"/>
      <c r="AX2823" s="71"/>
      <c r="AY2823" s="71"/>
      <c r="AZ2823" s="71"/>
      <c r="BA2823" s="71"/>
      <c r="BB2823" s="71"/>
      <c r="BC2823" s="71"/>
      <c r="BD2823" s="71"/>
      <c r="BE2823" s="71"/>
      <c r="BF2823" s="71"/>
      <c r="BG2823" s="71"/>
      <c r="BH2823" s="71"/>
      <c r="BI2823" s="71"/>
      <c r="BJ2823" s="71"/>
      <c r="BK2823" s="71"/>
      <c r="BL2823" s="71"/>
      <c r="BM2823" s="71"/>
      <c r="BN2823" s="71"/>
      <c r="BO2823" s="71"/>
      <c r="BP2823" s="71"/>
      <c r="BQ2823" s="71"/>
      <c r="BR2823" s="71"/>
      <c r="BS2823" s="71"/>
      <c r="BT2823" s="71"/>
      <c r="BU2823" s="71"/>
      <c r="BV2823" s="71"/>
    </row>
    <row r="2824">
      <c r="A2824" s="53"/>
      <c r="B2824" s="53"/>
      <c r="C2824" s="53"/>
      <c r="D2824" s="53"/>
      <c r="E2824" s="86"/>
      <c r="F2824" s="89"/>
      <c r="G2824" s="84"/>
      <c r="H2824" s="55"/>
      <c r="I2824" s="54" t="str">
        <f t="shared" si="140"/>
        <v/>
      </c>
      <c r="J2824" s="56"/>
      <c r="K2824" s="57"/>
      <c r="L2824" s="206"/>
      <c r="M2824" s="124"/>
      <c r="N2824" s="93"/>
      <c r="O2824" s="61"/>
      <c r="P2824" s="90"/>
      <c r="Q2824" s="94"/>
      <c r="R2824" s="95"/>
      <c r="S2824" s="125"/>
      <c r="T2824" s="65"/>
      <c r="U2824" s="65"/>
      <c r="V2824" s="66"/>
      <c r="W2824" s="67"/>
      <c r="X2824" s="67"/>
      <c r="Y2824" s="67"/>
      <c r="Z2824" s="67"/>
      <c r="AA2824" s="67"/>
      <c r="AB2824" s="67"/>
      <c r="AC2824" s="67"/>
      <c r="AD2824" s="67"/>
      <c r="AE2824" s="67"/>
      <c r="AF2824" s="67"/>
      <c r="AG2824" s="67"/>
      <c r="AH2824" s="67"/>
      <c r="AI2824" s="67"/>
      <c r="AJ2824" s="96"/>
      <c r="AK2824" s="96"/>
      <c r="AL2824" s="70"/>
      <c r="AM2824" s="70"/>
      <c r="AN2824" s="71"/>
      <c r="AO2824" s="71"/>
      <c r="AP2824" s="71"/>
      <c r="AQ2824" s="71"/>
      <c r="AR2824" s="71"/>
      <c r="AS2824" s="71"/>
      <c r="AT2824" s="71"/>
      <c r="AU2824" s="71"/>
      <c r="AV2824" s="71"/>
      <c r="AW2824" s="71"/>
      <c r="AX2824" s="71"/>
      <c r="AY2824" s="71"/>
      <c r="AZ2824" s="71"/>
      <c r="BA2824" s="71"/>
      <c r="BB2824" s="71"/>
      <c r="BC2824" s="71"/>
      <c r="BD2824" s="71"/>
      <c r="BE2824" s="71"/>
      <c r="BF2824" s="71"/>
      <c r="BG2824" s="71"/>
      <c r="BH2824" s="71"/>
      <c r="BI2824" s="71"/>
      <c r="BJ2824" s="71"/>
      <c r="BK2824" s="71"/>
      <c r="BL2824" s="71"/>
      <c r="BM2824" s="71"/>
      <c r="BN2824" s="71"/>
      <c r="BO2824" s="71"/>
      <c r="BP2824" s="71"/>
      <c r="BQ2824" s="71"/>
      <c r="BR2824" s="71"/>
      <c r="BS2824" s="71"/>
      <c r="BT2824" s="71"/>
      <c r="BU2824" s="71"/>
      <c r="BV2824" s="71"/>
    </row>
    <row r="2825">
      <c r="A2825" s="53"/>
      <c r="B2825" s="53"/>
      <c r="C2825" s="53"/>
      <c r="D2825" s="53"/>
      <c r="E2825" s="86"/>
      <c r="F2825" s="89"/>
      <c r="G2825" s="84"/>
      <c r="H2825" s="55"/>
      <c r="I2825" s="54" t="str">
        <f t="shared" si="140"/>
        <v/>
      </c>
      <c r="J2825" s="56"/>
      <c r="K2825" s="57"/>
      <c r="L2825" s="206"/>
      <c r="M2825" s="124"/>
      <c r="N2825" s="93"/>
      <c r="O2825" s="61"/>
      <c r="P2825" s="90"/>
      <c r="Q2825" s="94"/>
      <c r="R2825" s="95"/>
      <c r="S2825" s="125"/>
      <c r="T2825" s="65"/>
      <c r="U2825" s="65"/>
      <c r="V2825" s="66"/>
      <c r="W2825" s="67"/>
      <c r="X2825" s="67"/>
      <c r="Y2825" s="67"/>
      <c r="Z2825" s="67"/>
      <c r="AA2825" s="67"/>
      <c r="AB2825" s="67"/>
      <c r="AC2825" s="67"/>
      <c r="AD2825" s="67"/>
      <c r="AE2825" s="67"/>
      <c r="AF2825" s="67"/>
      <c r="AG2825" s="67"/>
      <c r="AH2825" s="67"/>
      <c r="AI2825" s="67"/>
      <c r="AJ2825" s="96"/>
      <c r="AK2825" s="96"/>
      <c r="AL2825" s="70"/>
      <c r="AM2825" s="70"/>
      <c r="AN2825" s="71"/>
      <c r="AO2825" s="71"/>
      <c r="AP2825" s="71"/>
      <c r="AQ2825" s="71"/>
      <c r="AR2825" s="71"/>
      <c r="AS2825" s="71"/>
      <c r="AT2825" s="71"/>
      <c r="AU2825" s="71"/>
      <c r="AV2825" s="71"/>
      <c r="AW2825" s="71"/>
      <c r="AX2825" s="71"/>
      <c r="AY2825" s="71"/>
      <c r="AZ2825" s="71"/>
      <c r="BA2825" s="71"/>
      <c r="BB2825" s="71"/>
      <c r="BC2825" s="71"/>
      <c r="BD2825" s="71"/>
      <c r="BE2825" s="71"/>
      <c r="BF2825" s="71"/>
      <c r="BG2825" s="71"/>
      <c r="BH2825" s="71"/>
      <c r="BI2825" s="71"/>
      <c r="BJ2825" s="71"/>
      <c r="BK2825" s="71"/>
      <c r="BL2825" s="71"/>
      <c r="BM2825" s="71"/>
      <c r="BN2825" s="71"/>
      <c r="BO2825" s="71"/>
      <c r="BP2825" s="71"/>
      <c r="BQ2825" s="71"/>
      <c r="BR2825" s="71"/>
      <c r="BS2825" s="71"/>
      <c r="BT2825" s="71"/>
      <c r="BU2825" s="71"/>
      <c r="BV2825" s="71"/>
    </row>
    <row r="2826">
      <c r="A2826" s="53"/>
      <c r="B2826" s="53"/>
      <c r="C2826" s="53"/>
      <c r="D2826" s="53"/>
      <c r="E2826" s="86"/>
      <c r="F2826" s="89"/>
      <c r="G2826" s="84"/>
      <c r="H2826" s="55"/>
      <c r="I2826" s="54" t="str">
        <f t="shared" si="140"/>
        <v/>
      </c>
      <c r="J2826" s="56"/>
      <c r="K2826" s="57"/>
      <c r="L2826" s="206"/>
      <c r="M2826" s="124"/>
      <c r="N2826" s="93"/>
      <c r="O2826" s="61"/>
      <c r="P2826" s="90"/>
      <c r="Q2826" s="94"/>
      <c r="R2826" s="95"/>
      <c r="S2826" s="125"/>
      <c r="T2826" s="65"/>
      <c r="U2826" s="65"/>
      <c r="V2826" s="66"/>
      <c r="W2826" s="67"/>
      <c r="X2826" s="67"/>
      <c r="Y2826" s="67"/>
      <c r="Z2826" s="67"/>
      <c r="AA2826" s="67"/>
      <c r="AB2826" s="67"/>
      <c r="AC2826" s="67"/>
      <c r="AD2826" s="67"/>
      <c r="AE2826" s="67"/>
      <c r="AF2826" s="67"/>
      <c r="AG2826" s="67"/>
      <c r="AH2826" s="67"/>
      <c r="AI2826" s="67"/>
      <c r="AJ2826" s="96"/>
      <c r="AK2826" s="96"/>
      <c r="AL2826" s="70"/>
      <c r="AM2826" s="70"/>
      <c r="AN2826" s="71"/>
      <c r="AO2826" s="71"/>
      <c r="AP2826" s="71"/>
      <c r="AQ2826" s="71"/>
      <c r="AR2826" s="71"/>
      <c r="AS2826" s="71"/>
      <c r="AT2826" s="71"/>
      <c r="AU2826" s="71"/>
      <c r="AV2826" s="71"/>
      <c r="AW2826" s="71"/>
      <c r="AX2826" s="71"/>
      <c r="AY2826" s="71"/>
      <c r="AZ2826" s="71"/>
      <c r="BA2826" s="71"/>
      <c r="BB2826" s="71"/>
      <c r="BC2826" s="71"/>
      <c r="BD2826" s="71"/>
      <c r="BE2826" s="71"/>
      <c r="BF2826" s="71"/>
      <c r="BG2826" s="71"/>
      <c r="BH2826" s="71"/>
      <c r="BI2826" s="71"/>
      <c r="BJ2826" s="71"/>
      <c r="BK2826" s="71"/>
      <c r="BL2826" s="71"/>
      <c r="BM2826" s="71"/>
      <c r="BN2826" s="71"/>
      <c r="BO2826" s="71"/>
      <c r="BP2826" s="71"/>
      <c r="BQ2826" s="71"/>
      <c r="BR2826" s="71"/>
      <c r="BS2826" s="71"/>
      <c r="BT2826" s="71"/>
      <c r="BU2826" s="71"/>
      <c r="BV2826" s="71"/>
    </row>
    <row r="2827">
      <c r="A2827" s="53"/>
      <c r="B2827" s="53"/>
      <c r="C2827" s="53"/>
      <c r="D2827" s="53"/>
      <c r="E2827" s="86"/>
      <c r="F2827" s="89"/>
      <c r="G2827" s="84"/>
      <c r="H2827" s="55"/>
      <c r="I2827" s="54" t="str">
        <f t="shared" si="140"/>
        <v/>
      </c>
      <c r="J2827" s="56"/>
      <c r="K2827" s="57"/>
      <c r="L2827" s="206"/>
      <c r="M2827" s="124"/>
      <c r="N2827" s="93"/>
      <c r="O2827" s="61"/>
      <c r="P2827" s="90"/>
      <c r="Q2827" s="94"/>
      <c r="R2827" s="95"/>
      <c r="S2827" s="125"/>
      <c r="T2827" s="65"/>
      <c r="U2827" s="65"/>
      <c r="V2827" s="66"/>
      <c r="W2827" s="67"/>
      <c r="X2827" s="67"/>
      <c r="Y2827" s="67"/>
      <c r="Z2827" s="67"/>
      <c r="AA2827" s="67"/>
      <c r="AB2827" s="67"/>
      <c r="AC2827" s="67"/>
      <c r="AD2827" s="67"/>
      <c r="AE2827" s="67"/>
      <c r="AF2827" s="67"/>
      <c r="AG2827" s="67"/>
      <c r="AH2827" s="67"/>
      <c r="AI2827" s="67"/>
      <c r="AJ2827" s="96"/>
      <c r="AK2827" s="96"/>
      <c r="AL2827" s="70"/>
      <c r="AM2827" s="70"/>
      <c r="AN2827" s="71"/>
      <c r="AO2827" s="71"/>
      <c r="AP2827" s="71"/>
      <c r="AQ2827" s="71"/>
      <c r="AR2827" s="71"/>
      <c r="AS2827" s="71"/>
      <c r="AT2827" s="71"/>
      <c r="AU2827" s="71"/>
      <c r="AV2827" s="71"/>
      <c r="AW2827" s="71"/>
      <c r="AX2827" s="71"/>
      <c r="AY2827" s="71"/>
      <c r="AZ2827" s="71"/>
      <c r="BA2827" s="71"/>
      <c r="BB2827" s="71"/>
      <c r="BC2827" s="71"/>
      <c r="BD2827" s="71"/>
      <c r="BE2827" s="71"/>
      <c r="BF2827" s="71"/>
      <c r="BG2827" s="71"/>
      <c r="BH2827" s="71"/>
      <c r="BI2827" s="71"/>
      <c r="BJ2827" s="71"/>
      <c r="BK2827" s="71"/>
      <c r="BL2827" s="71"/>
      <c r="BM2827" s="71"/>
      <c r="BN2827" s="71"/>
      <c r="BO2827" s="71"/>
      <c r="BP2827" s="71"/>
      <c r="BQ2827" s="71"/>
      <c r="BR2827" s="71"/>
      <c r="BS2827" s="71"/>
      <c r="BT2827" s="71"/>
      <c r="BU2827" s="71"/>
      <c r="BV2827" s="71"/>
    </row>
    <row r="2828">
      <c r="A2828" s="53"/>
      <c r="B2828" s="53"/>
      <c r="C2828" s="53"/>
      <c r="D2828" s="53"/>
      <c r="E2828" s="86"/>
      <c r="F2828" s="89"/>
      <c r="G2828" s="84"/>
      <c r="H2828" s="55"/>
      <c r="I2828" s="54" t="str">
        <f t="shared" si="140"/>
        <v/>
      </c>
      <c r="J2828" s="56"/>
      <c r="K2828" s="57"/>
      <c r="L2828" s="206"/>
      <c r="M2828" s="124"/>
      <c r="N2828" s="93"/>
      <c r="O2828" s="61"/>
      <c r="P2828" s="90"/>
      <c r="Q2828" s="94"/>
      <c r="R2828" s="95"/>
      <c r="S2828" s="125"/>
      <c r="T2828" s="65"/>
      <c r="U2828" s="65"/>
      <c r="V2828" s="66"/>
      <c r="W2828" s="67"/>
      <c r="X2828" s="67"/>
      <c r="Y2828" s="67"/>
      <c r="Z2828" s="67"/>
      <c r="AA2828" s="67"/>
      <c r="AB2828" s="67"/>
      <c r="AC2828" s="67"/>
      <c r="AD2828" s="67"/>
      <c r="AE2828" s="67"/>
      <c r="AF2828" s="67"/>
      <c r="AG2828" s="67"/>
      <c r="AH2828" s="67"/>
      <c r="AI2828" s="67"/>
      <c r="AJ2828" s="96"/>
      <c r="AK2828" s="96"/>
      <c r="AL2828" s="70"/>
      <c r="AM2828" s="70"/>
      <c r="AN2828" s="71"/>
      <c r="AO2828" s="71"/>
      <c r="AP2828" s="71"/>
      <c r="AQ2828" s="71"/>
      <c r="AR2828" s="71"/>
      <c r="AS2828" s="71"/>
      <c r="AT2828" s="71"/>
      <c r="AU2828" s="71"/>
      <c r="AV2828" s="71"/>
      <c r="AW2828" s="71"/>
      <c r="AX2828" s="71"/>
      <c r="AY2828" s="71"/>
      <c r="AZ2828" s="71"/>
      <c r="BA2828" s="71"/>
      <c r="BB2828" s="71"/>
      <c r="BC2828" s="71"/>
      <c r="BD2828" s="71"/>
      <c r="BE2828" s="71"/>
      <c r="BF2828" s="71"/>
      <c r="BG2828" s="71"/>
      <c r="BH2828" s="71"/>
      <c r="BI2828" s="71"/>
      <c r="BJ2828" s="71"/>
      <c r="BK2828" s="71"/>
      <c r="BL2828" s="71"/>
      <c r="BM2828" s="71"/>
      <c r="BN2828" s="71"/>
      <c r="BO2828" s="71"/>
      <c r="BP2828" s="71"/>
      <c r="BQ2828" s="71"/>
      <c r="BR2828" s="71"/>
      <c r="BS2828" s="71"/>
      <c r="BT2828" s="71"/>
      <c r="BU2828" s="71"/>
      <c r="BV2828" s="71"/>
    </row>
    <row r="2829">
      <c r="A2829" s="53"/>
      <c r="B2829" s="53"/>
      <c r="C2829" s="53"/>
      <c r="D2829" s="53"/>
      <c r="E2829" s="86"/>
      <c r="F2829" s="89"/>
      <c r="G2829" s="84"/>
      <c r="H2829" s="55"/>
      <c r="I2829" s="54" t="str">
        <f t="shared" si="140"/>
        <v/>
      </c>
      <c r="J2829" s="56"/>
      <c r="K2829" s="57"/>
      <c r="L2829" s="206"/>
      <c r="M2829" s="124"/>
      <c r="N2829" s="93"/>
      <c r="O2829" s="61"/>
      <c r="P2829" s="90"/>
      <c r="Q2829" s="94"/>
      <c r="R2829" s="95"/>
      <c r="S2829" s="125"/>
      <c r="T2829" s="65"/>
      <c r="U2829" s="65"/>
      <c r="V2829" s="66"/>
      <c r="W2829" s="67"/>
      <c r="X2829" s="67"/>
      <c r="Y2829" s="67"/>
      <c r="Z2829" s="67"/>
      <c r="AA2829" s="67"/>
      <c r="AB2829" s="67"/>
      <c r="AC2829" s="67"/>
      <c r="AD2829" s="67"/>
      <c r="AE2829" s="67"/>
      <c r="AF2829" s="67"/>
      <c r="AG2829" s="67"/>
      <c r="AH2829" s="67"/>
      <c r="AI2829" s="67"/>
      <c r="AJ2829" s="96"/>
      <c r="AK2829" s="96"/>
      <c r="AL2829" s="70"/>
      <c r="AM2829" s="70"/>
      <c r="AN2829" s="71"/>
      <c r="AO2829" s="71"/>
      <c r="AP2829" s="71"/>
      <c r="AQ2829" s="71"/>
      <c r="AR2829" s="71"/>
      <c r="AS2829" s="71"/>
      <c r="AT2829" s="71"/>
      <c r="AU2829" s="71"/>
      <c r="AV2829" s="71"/>
      <c r="AW2829" s="71"/>
      <c r="AX2829" s="71"/>
      <c r="AY2829" s="71"/>
      <c r="AZ2829" s="71"/>
      <c r="BA2829" s="71"/>
      <c r="BB2829" s="71"/>
      <c r="BC2829" s="71"/>
      <c r="BD2829" s="71"/>
      <c r="BE2829" s="71"/>
      <c r="BF2829" s="71"/>
      <c r="BG2829" s="71"/>
      <c r="BH2829" s="71"/>
      <c r="BI2829" s="71"/>
      <c r="BJ2829" s="71"/>
      <c r="BK2829" s="71"/>
      <c r="BL2829" s="71"/>
      <c r="BM2829" s="71"/>
      <c r="BN2829" s="71"/>
      <c r="BO2829" s="71"/>
      <c r="BP2829" s="71"/>
      <c r="BQ2829" s="71"/>
      <c r="BR2829" s="71"/>
      <c r="BS2829" s="71"/>
      <c r="BT2829" s="71"/>
      <c r="BU2829" s="71"/>
      <c r="BV2829" s="71"/>
    </row>
    <row r="2830">
      <c r="A2830" s="53"/>
      <c r="B2830" s="53"/>
      <c r="C2830" s="53"/>
      <c r="D2830" s="53"/>
      <c r="E2830" s="86"/>
      <c r="F2830" s="89"/>
      <c r="G2830" s="84"/>
      <c r="H2830" s="55"/>
      <c r="I2830" s="54" t="str">
        <f t="shared" si="140"/>
        <v/>
      </c>
      <c r="J2830" s="56"/>
      <c r="K2830" s="57"/>
      <c r="L2830" s="206"/>
      <c r="M2830" s="124"/>
      <c r="N2830" s="93"/>
      <c r="O2830" s="61"/>
      <c r="P2830" s="90"/>
      <c r="Q2830" s="94"/>
      <c r="R2830" s="95"/>
      <c r="S2830" s="125"/>
      <c r="T2830" s="65"/>
      <c r="U2830" s="65"/>
      <c r="V2830" s="66"/>
      <c r="W2830" s="67"/>
      <c r="X2830" s="67"/>
      <c r="Y2830" s="67"/>
      <c r="Z2830" s="67"/>
      <c r="AA2830" s="67"/>
      <c r="AB2830" s="67"/>
      <c r="AC2830" s="67"/>
      <c r="AD2830" s="67"/>
      <c r="AE2830" s="67"/>
      <c r="AF2830" s="67"/>
      <c r="AG2830" s="67"/>
      <c r="AH2830" s="67"/>
      <c r="AI2830" s="67"/>
      <c r="AJ2830" s="96"/>
      <c r="AK2830" s="96"/>
      <c r="AL2830" s="70"/>
      <c r="AM2830" s="70"/>
      <c r="AN2830" s="71"/>
      <c r="AO2830" s="71"/>
      <c r="AP2830" s="71"/>
      <c r="AQ2830" s="71"/>
      <c r="AR2830" s="71"/>
      <c r="AS2830" s="71"/>
      <c r="AT2830" s="71"/>
      <c r="AU2830" s="71"/>
      <c r="AV2830" s="71"/>
      <c r="AW2830" s="71"/>
      <c r="AX2830" s="71"/>
      <c r="AY2830" s="71"/>
      <c r="AZ2830" s="71"/>
      <c r="BA2830" s="71"/>
      <c r="BB2830" s="71"/>
      <c r="BC2830" s="71"/>
      <c r="BD2830" s="71"/>
      <c r="BE2830" s="71"/>
      <c r="BF2830" s="71"/>
      <c r="BG2830" s="71"/>
      <c r="BH2830" s="71"/>
      <c r="BI2830" s="71"/>
      <c r="BJ2830" s="71"/>
      <c r="BK2830" s="71"/>
      <c r="BL2830" s="71"/>
      <c r="BM2830" s="71"/>
      <c r="BN2830" s="71"/>
      <c r="BO2830" s="71"/>
      <c r="BP2830" s="71"/>
      <c r="BQ2830" s="71"/>
      <c r="BR2830" s="71"/>
      <c r="BS2830" s="71"/>
      <c r="BT2830" s="71"/>
      <c r="BU2830" s="71"/>
      <c r="BV2830" s="71"/>
    </row>
    <row r="2831">
      <c r="A2831" s="53"/>
      <c r="B2831" s="53"/>
      <c r="C2831" s="53"/>
      <c r="D2831" s="53"/>
      <c r="E2831" s="86"/>
      <c r="F2831" s="89"/>
      <c r="G2831" s="84"/>
      <c r="H2831" s="55"/>
      <c r="I2831" s="54" t="str">
        <f t="shared" si="140"/>
        <v/>
      </c>
      <c r="J2831" s="56"/>
      <c r="K2831" s="57"/>
      <c r="L2831" s="206"/>
      <c r="M2831" s="124"/>
      <c r="N2831" s="93"/>
      <c r="O2831" s="61"/>
      <c r="P2831" s="90"/>
      <c r="Q2831" s="94"/>
      <c r="R2831" s="95"/>
      <c r="S2831" s="125"/>
      <c r="T2831" s="65"/>
      <c r="U2831" s="65"/>
      <c r="V2831" s="66"/>
      <c r="W2831" s="67"/>
      <c r="X2831" s="67"/>
      <c r="Y2831" s="67"/>
      <c r="Z2831" s="67"/>
      <c r="AA2831" s="67"/>
      <c r="AB2831" s="67"/>
      <c r="AC2831" s="67"/>
      <c r="AD2831" s="67"/>
      <c r="AE2831" s="67"/>
      <c r="AF2831" s="67"/>
      <c r="AG2831" s="67"/>
      <c r="AH2831" s="67"/>
      <c r="AI2831" s="67"/>
      <c r="AJ2831" s="96"/>
      <c r="AK2831" s="96"/>
      <c r="AL2831" s="70"/>
      <c r="AM2831" s="70"/>
      <c r="AN2831" s="71"/>
      <c r="AO2831" s="71"/>
      <c r="AP2831" s="71"/>
      <c r="AQ2831" s="71"/>
      <c r="AR2831" s="71"/>
      <c r="AS2831" s="71"/>
      <c r="AT2831" s="71"/>
      <c r="AU2831" s="71"/>
      <c r="AV2831" s="71"/>
      <c r="AW2831" s="71"/>
      <c r="AX2831" s="71"/>
      <c r="AY2831" s="71"/>
      <c r="AZ2831" s="71"/>
      <c r="BA2831" s="71"/>
      <c r="BB2831" s="71"/>
      <c r="BC2831" s="71"/>
      <c r="BD2831" s="71"/>
      <c r="BE2831" s="71"/>
      <c r="BF2831" s="71"/>
      <c r="BG2831" s="71"/>
      <c r="BH2831" s="71"/>
      <c r="BI2831" s="71"/>
      <c r="BJ2831" s="71"/>
      <c r="BK2831" s="71"/>
      <c r="BL2831" s="71"/>
      <c r="BM2831" s="71"/>
      <c r="BN2831" s="71"/>
      <c r="BO2831" s="71"/>
      <c r="BP2831" s="71"/>
      <c r="BQ2831" s="71"/>
      <c r="BR2831" s="71"/>
      <c r="BS2831" s="71"/>
      <c r="BT2831" s="71"/>
      <c r="BU2831" s="71"/>
      <c r="BV2831" s="71"/>
    </row>
    <row r="2832">
      <c r="A2832" s="53"/>
      <c r="B2832" s="53"/>
      <c r="C2832" s="53"/>
      <c r="D2832" s="53"/>
      <c r="E2832" s="86"/>
      <c r="F2832" s="89"/>
      <c r="G2832" s="84"/>
      <c r="H2832" s="55"/>
      <c r="I2832" s="54" t="str">
        <f t="shared" si="140"/>
        <v/>
      </c>
      <c r="J2832" s="56"/>
      <c r="K2832" s="57"/>
      <c r="L2832" s="206"/>
      <c r="M2832" s="124"/>
      <c r="N2832" s="93"/>
      <c r="O2832" s="61"/>
      <c r="P2832" s="90"/>
      <c r="Q2832" s="94"/>
      <c r="R2832" s="95"/>
      <c r="S2832" s="125"/>
      <c r="T2832" s="65"/>
      <c r="U2832" s="65"/>
      <c r="V2832" s="66"/>
      <c r="W2832" s="67"/>
      <c r="X2832" s="67"/>
      <c r="Y2832" s="67"/>
      <c r="Z2832" s="67"/>
      <c r="AA2832" s="67"/>
      <c r="AB2832" s="67"/>
      <c r="AC2832" s="67"/>
      <c r="AD2832" s="67"/>
      <c r="AE2832" s="67"/>
      <c r="AF2832" s="67"/>
      <c r="AG2832" s="67"/>
      <c r="AH2832" s="67"/>
      <c r="AI2832" s="67"/>
      <c r="AJ2832" s="96"/>
      <c r="AK2832" s="96"/>
      <c r="AL2832" s="70"/>
      <c r="AM2832" s="70"/>
      <c r="AN2832" s="71"/>
      <c r="AO2832" s="71"/>
      <c r="AP2832" s="71"/>
      <c r="AQ2832" s="71"/>
      <c r="AR2832" s="71"/>
      <c r="AS2832" s="71"/>
      <c r="AT2832" s="71"/>
      <c r="AU2832" s="71"/>
      <c r="AV2832" s="71"/>
      <c r="AW2832" s="71"/>
      <c r="AX2832" s="71"/>
      <c r="AY2832" s="71"/>
      <c r="AZ2832" s="71"/>
      <c r="BA2832" s="71"/>
      <c r="BB2832" s="71"/>
      <c r="BC2832" s="71"/>
      <c r="BD2832" s="71"/>
      <c r="BE2832" s="71"/>
      <c r="BF2832" s="71"/>
      <c r="BG2832" s="71"/>
      <c r="BH2832" s="71"/>
      <c r="BI2832" s="71"/>
      <c r="BJ2832" s="71"/>
      <c r="BK2832" s="71"/>
      <c r="BL2832" s="71"/>
      <c r="BM2832" s="71"/>
      <c r="BN2832" s="71"/>
      <c r="BO2832" s="71"/>
      <c r="BP2832" s="71"/>
      <c r="BQ2832" s="71"/>
      <c r="BR2832" s="71"/>
      <c r="BS2832" s="71"/>
      <c r="BT2832" s="71"/>
      <c r="BU2832" s="71"/>
      <c r="BV2832" s="71"/>
    </row>
    <row r="2833">
      <c r="A2833" s="53"/>
      <c r="B2833" s="53"/>
      <c r="C2833" s="53"/>
      <c r="D2833" s="53"/>
      <c r="E2833" s="86"/>
      <c r="F2833" s="89"/>
      <c r="G2833" s="84"/>
      <c r="H2833" s="55"/>
      <c r="I2833" s="54" t="str">
        <f t="shared" si="140"/>
        <v/>
      </c>
      <c r="J2833" s="56"/>
      <c r="K2833" s="57"/>
      <c r="L2833" s="206"/>
      <c r="M2833" s="124"/>
      <c r="N2833" s="93"/>
      <c r="O2833" s="61"/>
      <c r="P2833" s="90"/>
      <c r="Q2833" s="94"/>
      <c r="R2833" s="95"/>
      <c r="S2833" s="125"/>
      <c r="T2833" s="65"/>
      <c r="U2833" s="65"/>
      <c r="V2833" s="66"/>
      <c r="W2833" s="67"/>
      <c r="X2833" s="67"/>
      <c r="Y2833" s="67"/>
      <c r="Z2833" s="67"/>
      <c r="AA2833" s="67"/>
      <c r="AB2833" s="67"/>
      <c r="AC2833" s="67"/>
      <c r="AD2833" s="67"/>
      <c r="AE2833" s="67"/>
      <c r="AF2833" s="67"/>
      <c r="AG2833" s="67"/>
      <c r="AH2833" s="67"/>
      <c r="AI2833" s="67"/>
      <c r="AJ2833" s="96"/>
      <c r="AK2833" s="96"/>
      <c r="AL2833" s="70"/>
      <c r="AM2833" s="70"/>
      <c r="AN2833" s="71"/>
      <c r="AO2833" s="71"/>
      <c r="AP2833" s="71"/>
      <c r="AQ2833" s="71"/>
      <c r="AR2833" s="71"/>
      <c r="AS2833" s="71"/>
      <c r="AT2833" s="71"/>
      <c r="AU2833" s="71"/>
      <c r="AV2833" s="71"/>
      <c r="AW2833" s="71"/>
      <c r="AX2833" s="71"/>
      <c r="AY2833" s="71"/>
      <c r="AZ2833" s="71"/>
      <c r="BA2833" s="71"/>
      <c r="BB2833" s="71"/>
      <c r="BC2833" s="71"/>
      <c r="BD2833" s="71"/>
      <c r="BE2833" s="71"/>
      <c r="BF2833" s="71"/>
      <c r="BG2833" s="71"/>
      <c r="BH2833" s="71"/>
      <c r="BI2833" s="71"/>
      <c r="BJ2833" s="71"/>
      <c r="BK2833" s="71"/>
      <c r="BL2833" s="71"/>
      <c r="BM2833" s="71"/>
      <c r="BN2833" s="71"/>
      <c r="BO2833" s="71"/>
      <c r="BP2833" s="71"/>
      <c r="BQ2833" s="71"/>
      <c r="BR2833" s="71"/>
      <c r="BS2833" s="71"/>
      <c r="BT2833" s="71"/>
      <c r="BU2833" s="71"/>
      <c r="BV2833" s="71"/>
    </row>
    <row r="2834">
      <c r="A2834" s="53"/>
      <c r="B2834" s="53"/>
      <c r="C2834" s="53"/>
      <c r="D2834" s="53"/>
      <c r="E2834" s="86"/>
      <c r="F2834" s="89"/>
      <c r="G2834" s="84"/>
      <c r="H2834" s="55"/>
      <c r="I2834" s="54" t="str">
        <f t="shared" si="140"/>
        <v/>
      </c>
      <c r="J2834" s="56"/>
      <c r="K2834" s="57"/>
      <c r="L2834" s="206"/>
      <c r="M2834" s="124"/>
      <c r="N2834" s="93"/>
      <c r="O2834" s="61"/>
      <c r="P2834" s="90"/>
      <c r="Q2834" s="94"/>
      <c r="R2834" s="95"/>
      <c r="S2834" s="125"/>
      <c r="T2834" s="65"/>
      <c r="U2834" s="65"/>
      <c r="V2834" s="66"/>
      <c r="W2834" s="67"/>
      <c r="X2834" s="67"/>
      <c r="Y2834" s="67"/>
      <c r="Z2834" s="67"/>
      <c r="AA2834" s="67"/>
      <c r="AB2834" s="67"/>
      <c r="AC2834" s="67"/>
      <c r="AD2834" s="67"/>
      <c r="AE2834" s="67"/>
      <c r="AF2834" s="67"/>
      <c r="AG2834" s="67"/>
      <c r="AH2834" s="67"/>
      <c r="AI2834" s="67"/>
      <c r="AJ2834" s="96"/>
      <c r="AK2834" s="96"/>
      <c r="AL2834" s="70"/>
      <c r="AM2834" s="70"/>
      <c r="AN2834" s="71"/>
      <c r="AO2834" s="71"/>
      <c r="AP2834" s="71"/>
      <c r="AQ2834" s="71"/>
      <c r="AR2834" s="71"/>
      <c r="AS2834" s="71"/>
      <c r="AT2834" s="71"/>
      <c r="AU2834" s="71"/>
      <c r="AV2834" s="71"/>
      <c r="AW2834" s="71"/>
      <c r="AX2834" s="71"/>
      <c r="AY2834" s="71"/>
      <c r="AZ2834" s="71"/>
      <c r="BA2834" s="71"/>
      <c r="BB2834" s="71"/>
      <c r="BC2834" s="71"/>
      <c r="BD2834" s="71"/>
      <c r="BE2834" s="71"/>
      <c r="BF2834" s="71"/>
      <c r="BG2834" s="71"/>
      <c r="BH2834" s="71"/>
      <c r="BI2834" s="71"/>
      <c r="BJ2834" s="71"/>
      <c r="BK2834" s="71"/>
      <c r="BL2834" s="71"/>
      <c r="BM2834" s="71"/>
      <c r="BN2834" s="71"/>
      <c r="BO2834" s="71"/>
      <c r="BP2834" s="71"/>
      <c r="BQ2834" s="71"/>
      <c r="BR2834" s="71"/>
      <c r="BS2834" s="71"/>
      <c r="BT2834" s="71"/>
      <c r="BU2834" s="71"/>
      <c r="BV2834" s="71"/>
    </row>
    <row r="2835">
      <c r="A2835" s="53"/>
      <c r="B2835" s="53"/>
      <c r="C2835" s="53"/>
      <c r="D2835" s="53"/>
      <c r="E2835" s="86"/>
      <c r="F2835" s="89"/>
      <c r="G2835" s="84"/>
      <c r="H2835" s="55"/>
      <c r="I2835" s="54" t="str">
        <f t="shared" si="140"/>
        <v/>
      </c>
      <c r="J2835" s="56"/>
      <c r="K2835" s="57"/>
      <c r="L2835" s="206"/>
      <c r="M2835" s="124"/>
      <c r="N2835" s="93"/>
      <c r="O2835" s="61"/>
      <c r="P2835" s="90"/>
      <c r="Q2835" s="94"/>
      <c r="R2835" s="95"/>
      <c r="S2835" s="125"/>
      <c r="T2835" s="65"/>
      <c r="U2835" s="65"/>
      <c r="V2835" s="66"/>
      <c r="W2835" s="67"/>
      <c r="X2835" s="67"/>
      <c r="Y2835" s="67"/>
      <c r="Z2835" s="67"/>
      <c r="AA2835" s="67"/>
      <c r="AB2835" s="67"/>
      <c r="AC2835" s="67"/>
      <c r="AD2835" s="67"/>
      <c r="AE2835" s="67"/>
      <c r="AF2835" s="67"/>
      <c r="AG2835" s="67"/>
      <c r="AH2835" s="67"/>
      <c r="AI2835" s="67"/>
      <c r="AJ2835" s="96"/>
      <c r="AK2835" s="96"/>
      <c r="AL2835" s="70"/>
      <c r="AM2835" s="70"/>
      <c r="AN2835" s="71"/>
      <c r="AO2835" s="71"/>
      <c r="AP2835" s="71"/>
      <c r="AQ2835" s="71"/>
      <c r="AR2835" s="71"/>
      <c r="AS2835" s="71"/>
      <c r="AT2835" s="71"/>
      <c r="AU2835" s="71"/>
      <c r="AV2835" s="71"/>
      <c r="AW2835" s="71"/>
      <c r="AX2835" s="71"/>
      <c r="AY2835" s="71"/>
      <c r="AZ2835" s="71"/>
      <c r="BA2835" s="71"/>
      <c r="BB2835" s="71"/>
      <c r="BC2835" s="71"/>
      <c r="BD2835" s="71"/>
      <c r="BE2835" s="71"/>
      <c r="BF2835" s="71"/>
      <c r="BG2835" s="71"/>
      <c r="BH2835" s="71"/>
      <c r="BI2835" s="71"/>
      <c r="BJ2835" s="71"/>
      <c r="BK2835" s="71"/>
      <c r="BL2835" s="71"/>
      <c r="BM2835" s="71"/>
      <c r="BN2835" s="71"/>
      <c r="BO2835" s="71"/>
      <c r="BP2835" s="71"/>
      <c r="BQ2835" s="71"/>
      <c r="BR2835" s="71"/>
      <c r="BS2835" s="71"/>
      <c r="BT2835" s="71"/>
      <c r="BU2835" s="71"/>
      <c r="BV2835" s="71"/>
    </row>
    <row r="2836">
      <c r="A2836" s="53"/>
      <c r="B2836" s="53"/>
      <c r="C2836" s="53"/>
      <c r="D2836" s="53"/>
      <c r="E2836" s="86"/>
      <c r="F2836" s="89"/>
      <c r="G2836" s="84"/>
      <c r="H2836" s="55"/>
      <c r="I2836" s="54" t="str">
        <f t="shared" si="140"/>
        <v/>
      </c>
      <c r="J2836" s="56"/>
      <c r="K2836" s="57"/>
      <c r="L2836" s="206"/>
      <c r="M2836" s="124"/>
      <c r="N2836" s="93"/>
      <c r="O2836" s="61"/>
      <c r="P2836" s="90"/>
      <c r="Q2836" s="94"/>
      <c r="R2836" s="95"/>
      <c r="S2836" s="125"/>
      <c r="T2836" s="65"/>
      <c r="U2836" s="65"/>
      <c r="V2836" s="66"/>
      <c r="W2836" s="67"/>
      <c r="X2836" s="67"/>
      <c r="Y2836" s="67"/>
      <c r="Z2836" s="67"/>
      <c r="AA2836" s="67"/>
      <c r="AB2836" s="67"/>
      <c r="AC2836" s="67"/>
      <c r="AD2836" s="67"/>
      <c r="AE2836" s="67"/>
      <c r="AF2836" s="67"/>
      <c r="AG2836" s="67"/>
      <c r="AH2836" s="67"/>
      <c r="AI2836" s="67"/>
      <c r="AJ2836" s="96"/>
      <c r="AK2836" s="96"/>
      <c r="AL2836" s="70"/>
      <c r="AM2836" s="70"/>
      <c r="AN2836" s="71"/>
      <c r="AO2836" s="71"/>
      <c r="AP2836" s="71"/>
      <c r="AQ2836" s="71"/>
      <c r="AR2836" s="71"/>
      <c r="AS2836" s="71"/>
      <c r="AT2836" s="71"/>
      <c r="AU2836" s="71"/>
      <c r="AV2836" s="71"/>
      <c r="AW2836" s="71"/>
      <c r="AX2836" s="71"/>
      <c r="AY2836" s="71"/>
      <c r="AZ2836" s="71"/>
      <c r="BA2836" s="71"/>
      <c r="BB2836" s="71"/>
      <c r="BC2836" s="71"/>
      <c r="BD2836" s="71"/>
      <c r="BE2836" s="71"/>
      <c r="BF2836" s="71"/>
      <c r="BG2836" s="71"/>
      <c r="BH2836" s="71"/>
      <c r="BI2836" s="71"/>
      <c r="BJ2836" s="71"/>
      <c r="BK2836" s="71"/>
      <c r="BL2836" s="71"/>
      <c r="BM2836" s="71"/>
      <c r="BN2836" s="71"/>
      <c r="BO2836" s="71"/>
      <c r="BP2836" s="71"/>
      <c r="BQ2836" s="71"/>
      <c r="BR2836" s="71"/>
      <c r="BS2836" s="71"/>
      <c r="BT2836" s="71"/>
      <c r="BU2836" s="71"/>
      <c r="BV2836" s="71"/>
    </row>
    <row r="2837">
      <c r="A2837" s="53"/>
      <c r="B2837" s="53"/>
      <c r="C2837" s="53"/>
      <c r="D2837" s="53"/>
      <c r="E2837" s="86"/>
      <c r="F2837" s="89"/>
      <c r="G2837" s="84"/>
      <c r="H2837" s="55"/>
      <c r="I2837" s="54" t="str">
        <f t="shared" si="140"/>
        <v/>
      </c>
      <c r="J2837" s="56"/>
      <c r="K2837" s="57"/>
      <c r="L2837" s="206"/>
      <c r="M2837" s="124"/>
      <c r="N2837" s="93"/>
      <c r="O2837" s="61"/>
      <c r="P2837" s="90"/>
      <c r="Q2837" s="94"/>
      <c r="R2837" s="95"/>
      <c r="S2837" s="125"/>
      <c r="T2837" s="65"/>
      <c r="U2837" s="65"/>
      <c r="V2837" s="66"/>
      <c r="W2837" s="67"/>
      <c r="X2837" s="67"/>
      <c r="Y2837" s="67"/>
      <c r="Z2837" s="67"/>
      <c r="AA2837" s="67"/>
      <c r="AB2837" s="67"/>
      <c r="AC2837" s="67"/>
      <c r="AD2837" s="67"/>
      <c r="AE2837" s="67"/>
      <c r="AF2837" s="67"/>
      <c r="AG2837" s="67"/>
      <c r="AH2837" s="67"/>
      <c r="AI2837" s="67"/>
      <c r="AJ2837" s="96"/>
      <c r="AK2837" s="96"/>
      <c r="AL2837" s="70"/>
      <c r="AM2837" s="70"/>
      <c r="AN2837" s="71"/>
      <c r="AO2837" s="71"/>
      <c r="AP2837" s="71"/>
      <c r="AQ2837" s="71"/>
      <c r="AR2837" s="71"/>
      <c r="AS2837" s="71"/>
      <c r="AT2837" s="71"/>
      <c r="AU2837" s="71"/>
      <c r="AV2837" s="71"/>
      <c r="AW2837" s="71"/>
      <c r="AX2837" s="71"/>
      <c r="AY2837" s="71"/>
      <c r="AZ2837" s="71"/>
      <c r="BA2837" s="71"/>
      <c r="BB2837" s="71"/>
      <c r="BC2837" s="71"/>
      <c r="BD2837" s="71"/>
      <c r="BE2837" s="71"/>
      <c r="BF2837" s="71"/>
      <c r="BG2837" s="71"/>
      <c r="BH2837" s="71"/>
      <c r="BI2837" s="71"/>
      <c r="BJ2837" s="71"/>
      <c r="BK2837" s="71"/>
      <c r="BL2837" s="71"/>
      <c r="BM2837" s="71"/>
      <c r="BN2837" s="71"/>
      <c r="BO2837" s="71"/>
      <c r="BP2837" s="71"/>
      <c r="BQ2837" s="71"/>
      <c r="BR2837" s="71"/>
      <c r="BS2837" s="71"/>
      <c r="BT2837" s="71"/>
      <c r="BU2837" s="71"/>
      <c r="BV2837" s="71"/>
    </row>
    <row r="2838">
      <c r="A2838" s="53"/>
      <c r="B2838" s="53"/>
      <c r="C2838" s="53"/>
      <c r="D2838" s="53"/>
      <c r="E2838" s="86"/>
      <c r="F2838" s="89"/>
      <c r="G2838" s="84"/>
      <c r="H2838" s="55"/>
      <c r="I2838" s="54" t="str">
        <f t="shared" si="140"/>
        <v/>
      </c>
      <c r="J2838" s="56"/>
      <c r="K2838" s="57"/>
      <c r="L2838" s="206"/>
      <c r="M2838" s="124"/>
      <c r="N2838" s="93"/>
      <c r="O2838" s="61"/>
      <c r="P2838" s="90"/>
      <c r="Q2838" s="94"/>
      <c r="R2838" s="95"/>
      <c r="S2838" s="125"/>
      <c r="T2838" s="65"/>
      <c r="U2838" s="65"/>
      <c r="V2838" s="66"/>
      <c r="W2838" s="67"/>
      <c r="X2838" s="67"/>
      <c r="Y2838" s="67"/>
      <c r="Z2838" s="67"/>
      <c r="AA2838" s="67"/>
      <c r="AB2838" s="67"/>
      <c r="AC2838" s="67"/>
      <c r="AD2838" s="67"/>
      <c r="AE2838" s="67"/>
      <c r="AF2838" s="67"/>
      <c r="AG2838" s="67"/>
      <c r="AH2838" s="67"/>
      <c r="AI2838" s="67"/>
      <c r="AJ2838" s="96"/>
      <c r="AK2838" s="96"/>
      <c r="AL2838" s="70"/>
      <c r="AM2838" s="70"/>
      <c r="AN2838" s="71"/>
      <c r="AO2838" s="71"/>
      <c r="AP2838" s="71"/>
      <c r="AQ2838" s="71"/>
      <c r="AR2838" s="71"/>
      <c r="AS2838" s="71"/>
      <c r="AT2838" s="71"/>
      <c r="AU2838" s="71"/>
      <c r="AV2838" s="71"/>
      <c r="AW2838" s="71"/>
      <c r="AX2838" s="71"/>
      <c r="AY2838" s="71"/>
      <c r="AZ2838" s="71"/>
      <c r="BA2838" s="71"/>
      <c r="BB2838" s="71"/>
      <c r="BC2838" s="71"/>
      <c r="BD2838" s="71"/>
      <c r="BE2838" s="71"/>
      <c r="BF2838" s="71"/>
      <c r="BG2838" s="71"/>
      <c r="BH2838" s="71"/>
      <c r="BI2838" s="71"/>
      <c r="BJ2838" s="71"/>
      <c r="BK2838" s="71"/>
      <c r="BL2838" s="71"/>
      <c r="BM2838" s="71"/>
      <c r="BN2838" s="71"/>
      <c r="BO2838" s="71"/>
      <c r="BP2838" s="71"/>
      <c r="BQ2838" s="71"/>
      <c r="BR2838" s="71"/>
      <c r="BS2838" s="71"/>
      <c r="BT2838" s="71"/>
      <c r="BU2838" s="71"/>
      <c r="BV2838" s="71"/>
    </row>
    <row r="2839">
      <c r="A2839" s="53"/>
      <c r="B2839" s="53"/>
      <c r="C2839" s="53"/>
      <c r="D2839" s="53"/>
      <c r="E2839" s="86"/>
      <c r="F2839" s="89"/>
      <c r="G2839" s="84"/>
      <c r="H2839" s="55"/>
      <c r="I2839" s="54" t="str">
        <f t="shared" si="140"/>
        <v/>
      </c>
      <c r="J2839" s="56"/>
      <c r="K2839" s="57"/>
      <c r="L2839" s="206"/>
      <c r="M2839" s="124"/>
      <c r="N2839" s="93"/>
      <c r="O2839" s="61"/>
      <c r="P2839" s="90"/>
      <c r="Q2839" s="94"/>
      <c r="R2839" s="95"/>
      <c r="S2839" s="125"/>
      <c r="T2839" s="65"/>
      <c r="U2839" s="65"/>
      <c r="V2839" s="66"/>
      <c r="W2839" s="67"/>
      <c r="X2839" s="67"/>
      <c r="Y2839" s="67"/>
      <c r="Z2839" s="67"/>
      <c r="AA2839" s="67"/>
      <c r="AB2839" s="67"/>
      <c r="AC2839" s="67"/>
      <c r="AD2839" s="67"/>
      <c r="AE2839" s="67"/>
      <c r="AF2839" s="67"/>
      <c r="AG2839" s="67"/>
      <c r="AH2839" s="67"/>
      <c r="AI2839" s="67"/>
      <c r="AJ2839" s="96"/>
      <c r="AK2839" s="96"/>
      <c r="AL2839" s="70"/>
      <c r="AM2839" s="70"/>
      <c r="AN2839" s="71"/>
      <c r="AO2839" s="71"/>
      <c r="AP2839" s="71"/>
      <c r="AQ2839" s="71"/>
      <c r="AR2839" s="71"/>
      <c r="AS2839" s="71"/>
      <c r="AT2839" s="71"/>
      <c r="AU2839" s="71"/>
      <c r="AV2839" s="71"/>
      <c r="AW2839" s="71"/>
      <c r="AX2839" s="71"/>
      <c r="AY2839" s="71"/>
      <c r="AZ2839" s="71"/>
      <c r="BA2839" s="71"/>
      <c r="BB2839" s="71"/>
      <c r="BC2839" s="71"/>
      <c r="BD2839" s="71"/>
      <c r="BE2839" s="71"/>
      <c r="BF2839" s="71"/>
      <c r="BG2839" s="71"/>
      <c r="BH2839" s="71"/>
      <c r="BI2839" s="71"/>
      <c r="BJ2839" s="71"/>
      <c r="BK2839" s="71"/>
      <c r="BL2839" s="71"/>
      <c r="BM2839" s="71"/>
      <c r="BN2839" s="71"/>
      <c r="BO2839" s="71"/>
      <c r="BP2839" s="71"/>
      <c r="BQ2839" s="71"/>
      <c r="BR2839" s="71"/>
      <c r="BS2839" s="71"/>
      <c r="BT2839" s="71"/>
      <c r="BU2839" s="71"/>
      <c r="BV2839" s="71"/>
    </row>
    <row r="2840">
      <c r="A2840" s="53"/>
      <c r="B2840" s="53"/>
      <c r="C2840" s="53"/>
      <c r="D2840" s="53"/>
      <c r="E2840" s="86"/>
      <c r="F2840" s="89"/>
      <c r="G2840" s="84"/>
      <c r="H2840" s="55"/>
      <c r="I2840" s="54" t="str">
        <f t="shared" si="140"/>
        <v/>
      </c>
      <c r="J2840" s="56"/>
      <c r="K2840" s="57"/>
      <c r="L2840" s="206"/>
      <c r="M2840" s="124"/>
      <c r="N2840" s="93"/>
      <c r="O2840" s="61"/>
      <c r="P2840" s="90"/>
      <c r="Q2840" s="94"/>
      <c r="R2840" s="95"/>
      <c r="S2840" s="125"/>
      <c r="T2840" s="65"/>
      <c r="U2840" s="65"/>
      <c r="V2840" s="66"/>
      <c r="W2840" s="67"/>
      <c r="X2840" s="67"/>
      <c r="Y2840" s="67"/>
      <c r="Z2840" s="67"/>
      <c r="AA2840" s="67"/>
      <c r="AB2840" s="67"/>
      <c r="AC2840" s="67"/>
      <c r="AD2840" s="67"/>
      <c r="AE2840" s="67"/>
      <c r="AF2840" s="67"/>
      <c r="AG2840" s="67"/>
      <c r="AH2840" s="67"/>
      <c r="AI2840" s="67"/>
      <c r="AJ2840" s="96"/>
      <c r="AK2840" s="96"/>
      <c r="AL2840" s="70"/>
      <c r="AM2840" s="70"/>
      <c r="AN2840" s="71"/>
      <c r="AO2840" s="71"/>
      <c r="AP2840" s="71"/>
      <c r="AQ2840" s="71"/>
      <c r="AR2840" s="71"/>
      <c r="AS2840" s="71"/>
      <c r="AT2840" s="71"/>
      <c r="AU2840" s="71"/>
      <c r="AV2840" s="71"/>
      <c r="AW2840" s="71"/>
      <c r="AX2840" s="71"/>
      <c r="AY2840" s="71"/>
      <c r="AZ2840" s="71"/>
      <c r="BA2840" s="71"/>
      <c r="BB2840" s="71"/>
      <c r="BC2840" s="71"/>
      <c r="BD2840" s="71"/>
      <c r="BE2840" s="71"/>
      <c r="BF2840" s="71"/>
      <c r="BG2840" s="71"/>
      <c r="BH2840" s="71"/>
      <c r="BI2840" s="71"/>
      <c r="BJ2840" s="71"/>
      <c r="BK2840" s="71"/>
      <c r="BL2840" s="71"/>
      <c r="BM2840" s="71"/>
      <c r="BN2840" s="71"/>
      <c r="BO2840" s="71"/>
      <c r="BP2840" s="71"/>
      <c r="BQ2840" s="71"/>
      <c r="BR2840" s="71"/>
      <c r="BS2840" s="71"/>
      <c r="BT2840" s="71"/>
      <c r="BU2840" s="71"/>
      <c r="BV2840" s="71"/>
    </row>
    <row r="2841">
      <c r="A2841" s="53"/>
      <c r="B2841" s="53"/>
      <c r="C2841" s="53"/>
      <c r="D2841" s="53"/>
      <c r="E2841" s="86"/>
      <c r="F2841" s="89"/>
      <c r="G2841" s="84"/>
      <c r="H2841" s="55"/>
      <c r="I2841" s="54" t="str">
        <f t="shared" si="140"/>
        <v/>
      </c>
      <c r="J2841" s="56"/>
      <c r="K2841" s="57"/>
      <c r="L2841" s="206"/>
      <c r="M2841" s="124"/>
      <c r="N2841" s="93"/>
      <c r="O2841" s="61"/>
      <c r="P2841" s="90"/>
      <c r="Q2841" s="94"/>
      <c r="R2841" s="95"/>
      <c r="S2841" s="125"/>
      <c r="T2841" s="65"/>
      <c r="U2841" s="65"/>
      <c r="V2841" s="66"/>
      <c r="W2841" s="67"/>
      <c r="X2841" s="67"/>
      <c r="Y2841" s="67"/>
      <c r="Z2841" s="67"/>
      <c r="AA2841" s="67"/>
      <c r="AB2841" s="67"/>
      <c r="AC2841" s="67"/>
      <c r="AD2841" s="67"/>
      <c r="AE2841" s="67"/>
      <c r="AF2841" s="67"/>
      <c r="AG2841" s="67"/>
      <c r="AH2841" s="67"/>
      <c r="AI2841" s="67"/>
      <c r="AJ2841" s="96"/>
      <c r="AK2841" s="96"/>
      <c r="AL2841" s="70"/>
      <c r="AM2841" s="70"/>
      <c r="AN2841" s="71"/>
      <c r="AO2841" s="71"/>
      <c r="AP2841" s="71"/>
      <c r="AQ2841" s="71"/>
      <c r="AR2841" s="71"/>
      <c r="AS2841" s="71"/>
      <c r="AT2841" s="71"/>
      <c r="AU2841" s="71"/>
      <c r="AV2841" s="71"/>
      <c r="AW2841" s="71"/>
      <c r="AX2841" s="71"/>
      <c r="AY2841" s="71"/>
      <c r="AZ2841" s="71"/>
      <c r="BA2841" s="71"/>
      <c r="BB2841" s="71"/>
      <c r="BC2841" s="71"/>
      <c r="BD2841" s="71"/>
      <c r="BE2841" s="71"/>
      <c r="BF2841" s="71"/>
      <c r="BG2841" s="71"/>
      <c r="BH2841" s="71"/>
      <c r="BI2841" s="71"/>
      <c r="BJ2841" s="71"/>
      <c r="BK2841" s="71"/>
      <c r="BL2841" s="71"/>
      <c r="BM2841" s="71"/>
      <c r="BN2841" s="71"/>
      <c r="BO2841" s="71"/>
      <c r="BP2841" s="71"/>
      <c r="BQ2841" s="71"/>
      <c r="BR2841" s="71"/>
      <c r="BS2841" s="71"/>
      <c r="BT2841" s="71"/>
      <c r="BU2841" s="71"/>
      <c r="BV2841" s="71"/>
    </row>
    <row r="2842">
      <c r="A2842" s="53"/>
      <c r="B2842" s="53"/>
      <c r="C2842" s="53"/>
      <c r="D2842" s="53"/>
      <c r="E2842" s="86"/>
      <c r="F2842" s="89"/>
      <c r="G2842" s="84"/>
      <c r="H2842" s="55"/>
      <c r="I2842" s="54" t="str">
        <f t="shared" si="140"/>
        <v/>
      </c>
      <c r="J2842" s="56"/>
      <c r="K2842" s="57"/>
      <c r="L2842" s="206"/>
      <c r="M2842" s="124"/>
      <c r="N2842" s="93"/>
      <c r="O2842" s="61"/>
      <c r="P2842" s="90"/>
      <c r="Q2842" s="94"/>
      <c r="R2842" s="95"/>
      <c r="S2842" s="125"/>
      <c r="T2842" s="65"/>
      <c r="U2842" s="65"/>
      <c r="V2842" s="66"/>
      <c r="W2842" s="67"/>
      <c r="X2842" s="67"/>
      <c r="Y2842" s="67"/>
      <c r="Z2842" s="67"/>
      <c r="AA2842" s="67"/>
      <c r="AB2842" s="67"/>
      <c r="AC2842" s="67"/>
      <c r="AD2842" s="67"/>
      <c r="AE2842" s="67"/>
      <c r="AF2842" s="67"/>
      <c r="AG2842" s="67"/>
      <c r="AH2842" s="67"/>
      <c r="AI2842" s="67"/>
      <c r="AJ2842" s="96"/>
      <c r="AK2842" s="96"/>
      <c r="AL2842" s="70"/>
      <c r="AM2842" s="70"/>
      <c r="AN2842" s="71"/>
      <c r="AO2842" s="71"/>
      <c r="AP2842" s="71"/>
      <c r="AQ2842" s="71"/>
      <c r="AR2842" s="71"/>
      <c r="AS2842" s="71"/>
      <c r="AT2842" s="71"/>
      <c r="AU2842" s="71"/>
      <c r="AV2842" s="71"/>
      <c r="AW2842" s="71"/>
      <c r="AX2842" s="71"/>
      <c r="AY2842" s="71"/>
      <c r="AZ2842" s="71"/>
      <c r="BA2842" s="71"/>
      <c r="BB2842" s="71"/>
      <c r="BC2842" s="71"/>
      <c r="BD2842" s="71"/>
      <c r="BE2842" s="71"/>
      <c r="BF2842" s="71"/>
      <c r="BG2842" s="71"/>
      <c r="BH2842" s="71"/>
      <c r="BI2842" s="71"/>
      <c r="BJ2842" s="71"/>
      <c r="BK2842" s="71"/>
      <c r="BL2842" s="71"/>
      <c r="BM2842" s="71"/>
      <c r="BN2842" s="71"/>
      <c r="BO2842" s="71"/>
      <c r="BP2842" s="71"/>
      <c r="BQ2842" s="71"/>
      <c r="BR2842" s="71"/>
      <c r="BS2842" s="71"/>
      <c r="BT2842" s="71"/>
      <c r="BU2842" s="71"/>
      <c r="BV2842" s="71"/>
    </row>
    <row r="2843">
      <c r="A2843" s="53"/>
      <c r="B2843" s="53"/>
      <c r="C2843" s="53"/>
      <c r="D2843" s="53"/>
      <c r="E2843" s="86"/>
      <c r="F2843" s="89"/>
      <c r="G2843" s="84"/>
      <c r="H2843" s="55"/>
      <c r="I2843" s="54" t="str">
        <f t="shared" si="140"/>
        <v/>
      </c>
      <c r="J2843" s="56"/>
      <c r="K2843" s="57"/>
      <c r="L2843" s="206"/>
      <c r="M2843" s="124"/>
      <c r="N2843" s="93"/>
      <c r="O2843" s="61"/>
      <c r="P2843" s="90"/>
      <c r="Q2843" s="94"/>
      <c r="R2843" s="95"/>
      <c r="S2843" s="125"/>
      <c r="T2843" s="65"/>
      <c r="U2843" s="65"/>
      <c r="V2843" s="66"/>
      <c r="W2843" s="67"/>
      <c r="X2843" s="67"/>
      <c r="Y2843" s="67"/>
      <c r="Z2843" s="67"/>
      <c r="AA2843" s="67"/>
      <c r="AB2843" s="67"/>
      <c r="AC2843" s="67"/>
      <c r="AD2843" s="67"/>
      <c r="AE2843" s="67"/>
      <c r="AF2843" s="67"/>
      <c r="AG2843" s="67"/>
      <c r="AH2843" s="67"/>
      <c r="AI2843" s="67"/>
      <c r="AJ2843" s="96"/>
      <c r="AK2843" s="96"/>
      <c r="AL2843" s="70"/>
      <c r="AM2843" s="70"/>
      <c r="AN2843" s="71"/>
      <c r="AO2843" s="71"/>
      <c r="AP2843" s="71"/>
      <c r="AQ2843" s="71"/>
      <c r="AR2843" s="71"/>
      <c r="AS2843" s="71"/>
      <c r="AT2843" s="71"/>
      <c r="AU2843" s="71"/>
      <c r="AV2843" s="71"/>
      <c r="AW2843" s="71"/>
      <c r="AX2843" s="71"/>
      <c r="AY2843" s="71"/>
      <c r="AZ2843" s="71"/>
      <c r="BA2843" s="71"/>
      <c r="BB2843" s="71"/>
      <c r="BC2843" s="71"/>
      <c r="BD2843" s="71"/>
      <c r="BE2843" s="71"/>
      <c r="BF2843" s="71"/>
      <c r="BG2843" s="71"/>
      <c r="BH2843" s="71"/>
      <c r="BI2843" s="71"/>
      <c r="BJ2843" s="71"/>
      <c r="BK2843" s="71"/>
      <c r="BL2843" s="71"/>
      <c r="BM2843" s="71"/>
      <c r="BN2843" s="71"/>
      <c r="BO2843" s="71"/>
      <c r="BP2843" s="71"/>
      <c r="BQ2843" s="71"/>
      <c r="BR2843" s="71"/>
      <c r="BS2843" s="71"/>
      <c r="BT2843" s="71"/>
      <c r="BU2843" s="71"/>
      <c r="BV2843" s="71"/>
    </row>
    <row r="2844">
      <c r="A2844" s="53"/>
      <c r="B2844" s="53"/>
      <c r="C2844" s="53"/>
      <c r="D2844" s="53"/>
      <c r="E2844" s="86"/>
      <c r="F2844" s="89"/>
      <c r="G2844" s="84"/>
      <c r="H2844" s="55"/>
      <c r="I2844" s="54" t="str">
        <f t="shared" si="140"/>
        <v/>
      </c>
      <c r="J2844" s="56"/>
      <c r="K2844" s="57"/>
      <c r="L2844" s="206"/>
      <c r="M2844" s="124"/>
      <c r="N2844" s="93"/>
      <c r="O2844" s="61"/>
      <c r="P2844" s="90"/>
      <c r="Q2844" s="94"/>
      <c r="R2844" s="95"/>
      <c r="S2844" s="125"/>
      <c r="T2844" s="65"/>
      <c r="U2844" s="65"/>
      <c r="V2844" s="66"/>
      <c r="W2844" s="67"/>
      <c r="X2844" s="67"/>
      <c r="Y2844" s="67"/>
      <c r="Z2844" s="67"/>
      <c r="AA2844" s="67"/>
      <c r="AB2844" s="67"/>
      <c r="AC2844" s="67"/>
      <c r="AD2844" s="67"/>
      <c r="AE2844" s="67"/>
      <c r="AF2844" s="67"/>
      <c r="AG2844" s="67"/>
      <c r="AH2844" s="67"/>
      <c r="AI2844" s="67"/>
      <c r="AJ2844" s="96"/>
      <c r="AK2844" s="96"/>
      <c r="AL2844" s="70"/>
      <c r="AM2844" s="70"/>
      <c r="AN2844" s="71"/>
      <c r="AO2844" s="71"/>
      <c r="AP2844" s="71"/>
      <c r="AQ2844" s="71"/>
      <c r="AR2844" s="71"/>
      <c r="AS2844" s="71"/>
      <c r="AT2844" s="71"/>
      <c r="AU2844" s="71"/>
      <c r="AV2844" s="71"/>
      <c r="AW2844" s="71"/>
      <c r="AX2844" s="71"/>
      <c r="AY2844" s="71"/>
      <c r="AZ2844" s="71"/>
      <c r="BA2844" s="71"/>
      <c r="BB2844" s="71"/>
      <c r="BC2844" s="71"/>
      <c r="BD2844" s="71"/>
      <c r="BE2844" s="71"/>
      <c r="BF2844" s="71"/>
      <c r="BG2844" s="71"/>
      <c r="BH2844" s="71"/>
      <c r="BI2844" s="71"/>
      <c r="BJ2844" s="71"/>
      <c r="BK2844" s="71"/>
      <c r="BL2844" s="71"/>
      <c r="BM2844" s="71"/>
      <c r="BN2844" s="71"/>
      <c r="BO2844" s="71"/>
      <c r="BP2844" s="71"/>
      <c r="BQ2844" s="71"/>
      <c r="BR2844" s="71"/>
      <c r="BS2844" s="71"/>
      <c r="BT2844" s="71"/>
      <c r="BU2844" s="71"/>
      <c r="BV2844" s="71"/>
    </row>
    <row r="2845">
      <c r="A2845" s="53"/>
      <c r="B2845" s="53"/>
      <c r="C2845" s="53"/>
      <c r="D2845" s="53"/>
      <c r="E2845" s="86"/>
      <c r="F2845" s="89"/>
      <c r="G2845" s="84"/>
      <c r="H2845" s="55"/>
      <c r="I2845" s="54" t="str">
        <f t="shared" si="140"/>
        <v/>
      </c>
      <c r="J2845" s="56"/>
      <c r="K2845" s="57"/>
      <c r="L2845" s="206"/>
      <c r="M2845" s="124"/>
      <c r="N2845" s="93"/>
      <c r="O2845" s="61"/>
      <c r="P2845" s="90"/>
      <c r="Q2845" s="94"/>
      <c r="R2845" s="95"/>
      <c r="S2845" s="125"/>
      <c r="T2845" s="65"/>
      <c r="U2845" s="65"/>
      <c r="V2845" s="66"/>
      <c r="W2845" s="67"/>
      <c r="X2845" s="67"/>
      <c r="Y2845" s="67"/>
      <c r="Z2845" s="67"/>
      <c r="AA2845" s="67"/>
      <c r="AB2845" s="67"/>
      <c r="AC2845" s="67"/>
      <c r="AD2845" s="67"/>
      <c r="AE2845" s="67"/>
      <c r="AF2845" s="67"/>
      <c r="AG2845" s="67"/>
      <c r="AH2845" s="67"/>
      <c r="AI2845" s="67"/>
      <c r="AJ2845" s="96"/>
      <c r="AK2845" s="96"/>
      <c r="AL2845" s="70"/>
      <c r="AM2845" s="70"/>
      <c r="AN2845" s="71"/>
      <c r="AO2845" s="71"/>
      <c r="AP2845" s="71"/>
      <c r="AQ2845" s="71"/>
      <c r="AR2845" s="71"/>
      <c r="AS2845" s="71"/>
      <c r="AT2845" s="71"/>
      <c r="AU2845" s="71"/>
      <c r="AV2845" s="71"/>
      <c r="AW2845" s="71"/>
      <c r="AX2845" s="71"/>
      <c r="AY2845" s="71"/>
      <c r="AZ2845" s="71"/>
      <c r="BA2845" s="71"/>
      <c r="BB2845" s="71"/>
      <c r="BC2845" s="71"/>
      <c r="BD2845" s="71"/>
      <c r="BE2845" s="71"/>
      <c r="BF2845" s="71"/>
      <c r="BG2845" s="71"/>
      <c r="BH2845" s="71"/>
      <c r="BI2845" s="71"/>
      <c r="BJ2845" s="71"/>
      <c r="BK2845" s="71"/>
      <c r="BL2845" s="71"/>
      <c r="BM2845" s="71"/>
      <c r="BN2845" s="71"/>
      <c r="BO2845" s="71"/>
      <c r="BP2845" s="71"/>
      <c r="BQ2845" s="71"/>
      <c r="BR2845" s="71"/>
      <c r="BS2845" s="71"/>
      <c r="BT2845" s="71"/>
      <c r="BU2845" s="71"/>
      <c r="BV2845" s="71"/>
    </row>
    <row r="2846">
      <c r="A2846" s="53"/>
      <c r="B2846" s="53"/>
      <c r="C2846" s="53"/>
      <c r="D2846" s="53"/>
      <c r="E2846" s="86"/>
      <c r="F2846" s="89"/>
      <c r="G2846" s="84"/>
      <c r="H2846" s="55"/>
      <c r="I2846" s="54" t="str">
        <f t="shared" si="140"/>
        <v/>
      </c>
      <c r="J2846" s="56"/>
      <c r="K2846" s="57"/>
      <c r="L2846" s="206"/>
      <c r="M2846" s="124"/>
      <c r="N2846" s="93"/>
      <c r="O2846" s="61"/>
      <c r="P2846" s="90"/>
      <c r="Q2846" s="94"/>
      <c r="R2846" s="95"/>
      <c r="S2846" s="125"/>
      <c r="T2846" s="65"/>
      <c r="U2846" s="65"/>
      <c r="V2846" s="66"/>
      <c r="W2846" s="67"/>
      <c r="X2846" s="67"/>
      <c r="Y2846" s="67"/>
      <c r="Z2846" s="67"/>
      <c r="AA2846" s="67"/>
      <c r="AB2846" s="67"/>
      <c r="AC2846" s="67"/>
      <c r="AD2846" s="67"/>
      <c r="AE2846" s="67"/>
      <c r="AF2846" s="67"/>
      <c r="AG2846" s="67"/>
      <c r="AH2846" s="67"/>
      <c r="AI2846" s="67"/>
      <c r="AJ2846" s="96"/>
      <c r="AK2846" s="96"/>
      <c r="AL2846" s="70"/>
      <c r="AM2846" s="70"/>
      <c r="AN2846" s="71"/>
      <c r="AO2846" s="71"/>
      <c r="AP2846" s="71"/>
      <c r="AQ2846" s="71"/>
      <c r="AR2846" s="71"/>
      <c r="AS2846" s="71"/>
      <c r="AT2846" s="71"/>
      <c r="AU2846" s="71"/>
      <c r="AV2846" s="71"/>
      <c r="AW2846" s="71"/>
      <c r="AX2846" s="71"/>
      <c r="AY2846" s="71"/>
      <c r="AZ2846" s="71"/>
      <c r="BA2846" s="71"/>
      <c r="BB2846" s="71"/>
      <c r="BC2846" s="71"/>
      <c r="BD2846" s="71"/>
      <c r="BE2846" s="71"/>
      <c r="BF2846" s="71"/>
      <c r="BG2846" s="71"/>
      <c r="BH2846" s="71"/>
      <c r="BI2846" s="71"/>
      <c r="BJ2846" s="71"/>
      <c r="BK2846" s="71"/>
      <c r="BL2846" s="71"/>
      <c r="BM2846" s="71"/>
      <c r="BN2846" s="71"/>
      <c r="BO2846" s="71"/>
      <c r="BP2846" s="71"/>
      <c r="BQ2846" s="71"/>
      <c r="BR2846" s="71"/>
      <c r="BS2846" s="71"/>
      <c r="BT2846" s="71"/>
      <c r="BU2846" s="71"/>
      <c r="BV2846" s="71"/>
    </row>
    <row r="2847">
      <c r="A2847" s="53"/>
      <c r="B2847" s="53"/>
      <c r="C2847" s="53"/>
      <c r="D2847" s="53"/>
      <c r="E2847" s="86"/>
      <c r="F2847" s="89"/>
      <c r="G2847" s="84"/>
      <c r="H2847" s="55"/>
      <c r="I2847" s="54" t="str">
        <f t="shared" si="140"/>
        <v/>
      </c>
      <c r="J2847" s="56"/>
      <c r="K2847" s="57"/>
      <c r="L2847" s="206"/>
      <c r="M2847" s="124"/>
      <c r="N2847" s="93"/>
      <c r="O2847" s="61"/>
      <c r="P2847" s="90"/>
      <c r="Q2847" s="94"/>
      <c r="R2847" s="95"/>
      <c r="S2847" s="125"/>
      <c r="T2847" s="65"/>
      <c r="U2847" s="65"/>
      <c r="V2847" s="66"/>
      <c r="W2847" s="67"/>
      <c r="X2847" s="67"/>
      <c r="Y2847" s="67"/>
      <c r="Z2847" s="67"/>
      <c r="AA2847" s="67"/>
      <c r="AB2847" s="67"/>
      <c r="AC2847" s="67"/>
      <c r="AD2847" s="67"/>
      <c r="AE2847" s="67"/>
      <c r="AF2847" s="67"/>
      <c r="AG2847" s="67"/>
      <c r="AH2847" s="67"/>
      <c r="AI2847" s="67"/>
      <c r="AJ2847" s="96"/>
      <c r="AK2847" s="96"/>
      <c r="AL2847" s="70"/>
      <c r="AM2847" s="70"/>
      <c r="AN2847" s="71"/>
      <c r="AO2847" s="71"/>
      <c r="AP2847" s="71"/>
      <c r="AQ2847" s="71"/>
      <c r="AR2847" s="71"/>
      <c r="AS2847" s="71"/>
      <c r="AT2847" s="71"/>
      <c r="AU2847" s="71"/>
      <c r="AV2847" s="71"/>
      <c r="AW2847" s="71"/>
      <c r="AX2847" s="71"/>
      <c r="AY2847" s="71"/>
      <c r="AZ2847" s="71"/>
      <c r="BA2847" s="71"/>
      <c r="BB2847" s="71"/>
      <c r="BC2847" s="71"/>
      <c r="BD2847" s="71"/>
      <c r="BE2847" s="71"/>
      <c r="BF2847" s="71"/>
      <c r="BG2847" s="71"/>
      <c r="BH2847" s="71"/>
      <c r="BI2847" s="71"/>
      <c r="BJ2847" s="71"/>
      <c r="BK2847" s="71"/>
      <c r="BL2847" s="71"/>
      <c r="BM2847" s="71"/>
      <c r="BN2847" s="71"/>
      <c r="BO2847" s="71"/>
      <c r="BP2847" s="71"/>
      <c r="BQ2847" s="71"/>
      <c r="BR2847" s="71"/>
      <c r="BS2847" s="71"/>
      <c r="BT2847" s="71"/>
      <c r="BU2847" s="71"/>
      <c r="BV2847" s="71"/>
    </row>
    <row r="2848">
      <c r="A2848" s="53"/>
      <c r="B2848" s="53"/>
      <c r="C2848" s="53"/>
      <c r="D2848" s="53"/>
      <c r="E2848" s="86"/>
      <c r="F2848" s="89"/>
      <c r="G2848" s="84"/>
      <c r="H2848" s="55"/>
      <c r="I2848" s="54" t="str">
        <f t="shared" si="140"/>
        <v/>
      </c>
      <c r="J2848" s="56"/>
      <c r="K2848" s="57"/>
      <c r="L2848" s="206"/>
      <c r="M2848" s="124"/>
      <c r="N2848" s="93"/>
      <c r="O2848" s="61"/>
      <c r="P2848" s="90"/>
      <c r="Q2848" s="94"/>
      <c r="R2848" s="95"/>
      <c r="S2848" s="125"/>
      <c r="T2848" s="65"/>
      <c r="U2848" s="65"/>
      <c r="V2848" s="66"/>
      <c r="W2848" s="67"/>
      <c r="X2848" s="67"/>
      <c r="Y2848" s="67"/>
      <c r="Z2848" s="67"/>
      <c r="AA2848" s="67"/>
      <c r="AB2848" s="67"/>
      <c r="AC2848" s="67"/>
      <c r="AD2848" s="67"/>
      <c r="AE2848" s="67"/>
      <c r="AF2848" s="67"/>
      <c r="AG2848" s="67"/>
      <c r="AH2848" s="67"/>
      <c r="AI2848" s="67"/>
      <c r="AJ2848" s="96"/>
      <c r="AK2848" s="96"/>
      <c r="AL2848" s="70"/>
      <c r="AM2848" s="70"/>
      <c r="AN2848" s="71"/>
      <c r="AO2848" s="71"/>
      <c r="AP2848" s="71"/>
      <c r="AQ2848" s="71"/>
      <c r="AR2848" s="71"/>
      <c r="AS2848" s="71"/>
      <c r="AT2848" s="71"/>
      <c r="AU2848" s="71"/>
      <c r="AV2848" s="71"/>
      <c r="AW2848" s="71"/>
      <c r="AX2848" s="71"/>
      <c r="AY2848" s="71"/>
      <c r="AZ2848" s="71"/>
      <c r="BA2848" s="71"/>
      <c r="BB2848" s="71"/>
      <c r="BC2848" s="71"/>
      <c r="BD2848" s="71"/>
      <c r="BE2848" s="71"/>
      <c r="BF2848" s="71"/>
      <c r="BG2848" s="71"/>
      <c r="BH2848" s="71"/>
      <c r="BI2848" s="71"/>
      <c r="BJ2848" s="71"/>
      <c r="BK2848" s="71"/>
      <c r="BL2848" s="71"/>
      <c r="BM2848" s="71"/>
      <c r="BN2848" s="71"/>
      <c r="BO2848" s="71"/>
      <c r="BP2848" s="71"/>
      <c r="BQ2848" s="71"/>
      <c r="BR2848" s="71"/>
      <c r="BS2848" s="71"/>
      <c r="BT2848" s="71"/>
      <c r="BU2848" s="71"/>
      <c r="BV2848" s="71"/>
    </row>
    <row r="2849">
      <c r="A2849" s="53"/>
      <c r="B2849" s="53"/>
      <c r="C2849" s="53"/>
      <c r="D2849" s="53"/>
      <c r="E2849" s="86"/>
      <c r="F2849" s="89"/>
      <c r="G2849" s="84"/>
      <c r="H2849" s="55"/>
      <c r="I2849" s="54" t="str">
        <f t="shared" si="140"/>
        <v/>
      </c>
      <c r="J2849" s="56"/>
      <c r="K2849" s="57"/>
      <c r="L2849" s="206"/>
      <c r="M2849" s="124"/>
      <c r="N2849" s="93"/>
      <c r="O2849" s="61"/>
      <c r="P2849" s="90"/>
      <c r="Q2849" s="94"/>
      <c r="R2849" s="95"/>
      <c r="S2849" s="125"/>
      <c r="T2849" s="65"/>
      <c r="U2849" s="65"/>
      <c r="V2849" s="66"/>
      <c r="W2849" s="67"/>
      <c r="X2849" s="67"/>
      <c r="Y2849" s="67"/>
      <c r="Z2849" s="67"/>
      <c r="AA2849" s="67"/>
      <c r="AB2849" s="67"/>
      <c r="AC2849" s="67"/>
      <c r="AD2849" s="67"/>
      <c r="AE2849" s="67"/>
      <c r="AF2849" s="67"/>
      <c r="AG2849" s="67"/>
      <c r="AH2849" s="67"/>
      <c r="AI2849" s="67"/>
      <c r="AJ2849" s="96"/>
      <c r="AK2849" s="96"/>
      <c r="AL2849" s="70"/>
      <c r="AM2849" s="70"/>
      <c r="AN2849" s="71"/>
      <c r="AO2849" s="71"/>
      <c r="AP2849" s="71"/>
      <c r="AQ2849" s="71"/>
      <c r="AR2849" s="71"/>
      <c r="AS2849" s="71"/>
      <c r="AT2849" s="71"/>
      <c r="AU2849" s="71"/>
      <c r="AV2849" s="71"/>
      <c r="AW2849" s="71"/>
      <c r="AX2849" s="71"/>
      <c r="AY2849" s="71"/>
      <c r="AZ2849" s="71"/>
      <c r="BA2849" s="71"/>
      <c r="BB2849" s="71"/>
      <c r="BC2849" s="71"/>
      <c r="BD2849" s="71"/>
      <c r="BE2849" s="71"/>
      <c r="BF2849" s="71"/>
      <c r="BG2849" s="71"/>
      <c r="BH2849" s="71"/>
      <c r="BI2849" s="71"/>
      <c r="BJ2849" s="71"/>
      <c r="BK2849" s="71"/>
      <c r="BL2849" s="71"/>
      <c r="BM2849" s="71"/>
      <c r="BN2849" s="71"/>
      <c r="BO2849" s="71"/>
      <c r="BP2849" s="71"/>
      <c r="BQ2849" s="71"/>
      <c r="BR2849" s="71"/>
      <c r="BS2849" s="71"/>
      <c r="BT2849" s="71"/>
      <c r="BU2849" s="71"/>
      <c r="BV2849" s="71"/>
    </row>
    <row r="2850">
      <c r="A2850" s="53"/>
      <c r="B2850" s="53"/>
      <c r="C2850" s="53"/>
      <c r="D2850" s="53"/>
      <c r="E2850" s="86"/>
      <c r="F2850" s="89"/>
      <c r="G2850" s="84"/>
      <c r="H2850" s="55"/>
      <c r="I2850" s="54" t="str">
        <f t="shared" si="140"/>
        <v/>
      </c>
      <c r="J2850" s="56"/>
      <c r="K2850" s="57"/>
      <c r="L2850" s="206"/>
      <c r="M2850" s="124"/>
      <c r="N2850" s="93"/>
      <c r="O2850" s="61"/>
      <c r="P2850" s="90"/>
      <c r="Q2850" s="94"/>
      <c r="R2850" s="95"/>
      <c r="S2850" s="125"/>
      <c r="T2850" s="65"/>
      <c r="U2850" s="65"/>
      <c r="V2850" s="66"/>
      <c r="W2850" s="67"/>
      <c r="X2850" s="67"/>
      <c r="Y2850" s="67"/>
      <c r="Z2850" s="67"/>
      <c r="AA2850" s="67"/>
      <c r="AB2850" s="67"/>
      <c r="AC2850" s="67"/>
      <c r="AD2850" s="67"/>
      <c r="AE2850" s="67"/>
      <c r="AF2850" s="67"/>
      <c r="AG2850" s="67"/>
      <c r="AH2850" s="67"/>
      <c r="AI2850" s="67"/>
      <c r="AJ2850" s="96"/>
      <c r="AK2850" s="96"/>
      <c r="AL2850" s="70"/>
      <c r="AM2850" s="70"/>
      <c r="AN2850" s="71"/>
      <c r="AO2850" s="71"/>
      <c r="AP2850" s="71"/>
      <c r="AQ2850" s="71"/>
      <c r="AR2850" s="71"/>
      <c r="AS2850" s="71"/>
      <c r="AT2850" s="71"/>
      <c r="AU2850" s="71"/>
      <c r="AV2850" s="71"/>
      <c r="AW2850" s="71"/>
      <c r="AX2850" s="71"/>
      <c r="AY2850" s="71"/>
      <c r="AZ2850" s="71"/>
      <c r="BA2850" s="71"/>
      <c r="BB2850" s="71"/>
      <c r="BC2850" s="71"/>
      <c r="BD2850" s="71"/>
      <c r="BE2850" s="71"/>
      <c r="BF2850" s="71"/>
      <c r="BG2850" s="71"/>
      <c r="BH2850" s="71"/>
      <c r="BI2850" s="71"/>
      <c r="BJ2850" s="71"/>
      <c r="BK2850" s="71"/>
      <c r="BL2850" s="71"/>
      <c r="BM2850" s="71"/>
      <c r="BN2850" s="71"/>
      <c r="BO2850" s="71"/>
      <c r="BP2850" s="71"/>
      <c r="BQ2850" s="71"/>
      <c r="BR2850" s="71"/>
      <c r="BS2850" s="71"/>
      <c r="BT2850" s="71"/>
      <c r="BU2850" s="71"/>
      <c r="BV2850" s="71"/>
    </row>
    <row r="2851">
      <c r="A2851" s="53"/>
      <c r="B2851" s="53"/>
      <c r="C2851" s="53"/>
      <c r="D2851" s="53"/>
      <c r="E2851" s="86"/>
      <c r="F2851" s="89"/>
      <c r="G2851" s="84"/>
      <c r="H2851" s="55"/>
      <c r="I2851" s="54" t="str">
        <f t="shared" si="140"/>
        <v/>
      </c>
      <c r="J2851" s="56"/>
      <c r="K2851" s="57"/>
      <c r="L2851" s="206"/>
      <c r="M2851" s="124"/>
      <c r="N2851" s="93"/>
      <c r="O2851" s="61"/>
      <c r="P2851" s="90"/>
      <c r="Q2851" s="94"/>
      <c r="R2851" s="95"/>
      <c r="S2851" s="125"/>
      <c r="T2851" s="65"/>
      <c r="U2851" s="65"/>
      <c r="V2851" s="66"/>
      <c r="W2851" s="67"/>
      <c r="X2851" s="67"/>
      <c r="Y2851" s="67"/>
      <c r="Z2851" s="67"/>
      <c r="AA2851" s="67"/>
      <c r="AB2851" s="67"/>
      <c r="AC2851" s="67"/>
      <c r="AD2851" s="67"/>
      <c r="AE2851" s="67"/>
      <c r="AF2851" s="67"/>
      <c r="AG2851" s="67"/>
      <c r="AH2851" s="67"/>
      <c r="AI2851" s="67"/>
      <c r="AJ2851" s="96"/>
      <c r="AK2851" s="96"/>
      <c r="AL2851" s="70"/>
      <c r="AM2851" s="70"/>
      <c r="AN2851" s="71"/>
      <c r="AO2851" s="71"/>
      <c r="AP2851" s="71"/>
      <c r="AQ2851" s="71"/>
      <c r="AR2851" s="71"/>
      <c r="AS2851" s="71"/>
      <c r="AT2851" s="71"/>
      <c r="AU2851" s="71"/>
      <c r="AV2851" s="71"/>
      <c r="AW2851" s="71"/>
      <c r="AX2851" s="71"/>
      <c r="AY2851" s="71"/>
      <c r="AZ2851" s="71"/>
      <c r="BA2851" s="71"/>
      <c r="BB2851" s="71"/>
      <c r="BC2851" s="71"/>
      <c r="BD2851" s="71"/>
      <c r="BE2851" s="71"/>
      <c r="BF2851" s="71"/>
      <c r="BG2851" s="71"/>
      <c r="BH2851" s="71"/>
      <c r="BI2851" s="71"/>
      <c r="BJ2851" s="71"/>
      <c r="BK2851" s="71"/>
      <c r="BL2851" s="71"/>
      <c r="BM2851" s="71"/>
      <c r="BN2851" s="71"/>
      <c r="BO2851" s="71"/>
      <c r="BP2851" s="71"/>
      <c r="BQ2851" s="71"/>
      <c r="BR2851" s="71"/>
      <c r="BS2851" s="71"/>
      <c r="BT2851" s="71"/>
      <c r="BU2851" s="71"/>
      <c r="BV2851" s="71"/>
    </row>
    <row r="2852">
      <c r="A2852" s="53"/>
      <c r="B2852" s="53"/>
      <c r="C2852" s="53"/>
      <c r="D2852" s="53"/>
      <c r="E2852" s="86"/>
      <c r="F2852" s="89"/>
      <c r="G2852" s="84"/>
      <c r="H2852" s="55"/>
      <c r="I2852" s="54" t="str">
        <f t="shared" si="140"/>
        <v/>
      </c>
      <c r="J2852" s="56"/>
      <c r="K2852" s="57"/>
      <c r="L2852" s="206"/>
      <c r="M2852" s="124"/>
      <c r="N2852" s="93"/>
      <c r="O2852" s="61"/>
      <c r="P2852" s="90"/>
      <c r="Q2852" s="94"/>
      <c r="R2852" s="95"/>
      <c r="S2852" s="125"/>
      <c r="T2852" s="65"/>
      <c r="U2852" s="65"/>
      <c r="V2852" s="66"/>
      <c r="W2852" s="67"/>
      <c r="X2852" s="67"/>
      <c r="Y2852" s="67"/>
      <c r="Z2852" s="67"/>
      <c r="AA2852" s="67"/>
      <c r="AB2852" s="67"/>
      <c r="AC2852" s="67"/>
      <c r="AD2852" s="67"/>
      <c r="AE2852" s="67"/>
      <c r="AF2852" s="67"/>
      <c r="AG2852" s="67"/>
      <c r="AH2852" s="67"/>
      <c r="AI2852" s="67"/>
      <c r="AJ2852" s="96"/>
      <c r="AK2852" s="96"/>
      <c r="AL2852" s="70"/>
      <c r="AM2852" s="70"/>
      <c r="AN2852" s="71"/>
      <c r="AO2852" s="71"/>
      <c r="AP2852" s="71"/>
      <c r="AQ2852" s="71"/>
      <c r="AR2852" s="71"/>
      <c r="AS2852" s="71"/>
      <c r="AT2852" s="71"/>
      <c r="AU2852" s="71"/>
      <c r="AV2852" s="71"/>
      <c r="AW2852" s="71"/>
      <c r="AX2852" s="71"/>
      <c r="AY2852" s="71"/>
      <c r="AZ2852" s="71"/>
      <c r="BA2852" s="71"/>
      <c r="BB2852" s="71"/>
      <c r="BC2852" s="71"/>
      <c r="BD2852" s="71"/>
      <c r="BE2852" s="71"/>
      <c r="BF2852" s="71"/>
      <c r="BG2852" s="71"/>
      <c r="BH2852" s="71"/>
      <c r="BI2852" s="71"/>
      <c r="BJ2852" s="71"/>
      <c r="BK2852" s="71"/>
      <c r="BL2852" s="71"/>
      <c r="BM2852" s="71"/>
      <c r="BN2852" s="71"/>
      <c r="BO2852" s="71"/>
      <c r="BP2852" s="71"/>
      <c r="BQ2852" s="71"/>
      <c r="BR2852" s="71"/>
      <c r="BS2852" s="71"/>
      <c r="BT2852" s="71"/>
      <c r="BU2852" s="71"/>
      <c r="BV2852" s="71"/>
    </row>
    <row r="2853">
      <c r="A2853" s="53"/>
      <c r="B2853" s="53"/>
      <c r="C2853" s="53"/>
      <c r="D2853" s="53"/>
      <c r="E2853" s="86"/>
      <c r="F2853" s="89"/>
      <c r="G2853" s="84"/>
      <c r="H2853" s="55"/>
      <c r="I2853" s="54" t="str">
        <f t="shared" si="140"/>
        <v/>
      </c>
      <c r="J2853" s="56"/>
      <c r="K2853" s="57"/>
      <c r="L2853" s="206"/>
      <c r="M2853" s="124"/>
      <c r="N2853" s="93"/>
      <c r="O2853" s="61"/>
      <c r="P2853" s="90"/>
      <c r="Q2853" s="94"/>
      <c r="R2853" s="95"/>
      <c r="S2853" s="125"/>
      <c r="T2853" s="65"/>
      <c r="U2853" s="65"/>
      <c r="V2853" s="66"/>
      <c r="W2853" s="67"/>
      <c r="X2853" s="67"/>
      <c r="Y2853" s="67"/>
      <c r="Z2853" s="67"/>
      <c r="AA2853" s="67"/>
      <c r="AB2853" s="67"/>
      <c r="AC2853" s="67"/>
      <c r="AD2853" s="67"/>
      <c r="AE2853" s="67"/>
      <c r="AF2853" s="67"/>
      <c r="AG2853" s="67"/>
      <c r="AH2853" s="67"/>
      <c r="AI2853" s="67"/>
      <c r="AJ2853" s="96"/>
      <c r="AK2853" s="96"/>
      <c r="AL2853" s="70"/>
      <c r="AM2853" s="70"/>
      <c r="AN2853" s="71"/>
      <c r="AO2853" s="71"/>
      <c r="AP2853" s="71"/>
      <c r="AQ2853" s="71"/>
      <c r="AR2853" s="71"/>
      <c r="AS2853" s="71"/>
      <c r="AT2853" s="71"/>
      <c r="AU2853" s="71"/>
      <c r="AV2853" s="71"/>
      <c r="AW2853" s="71"/>
      <c r="AX2853" s="71"/>
      <c r="AY2853" s="71"/>
      <c r="AZ2853" s="71"/>
      <c r="BA2853" s="71"/>
      <c r="BB2853" s="71"/>
      <c r="BC2853" s="71"/>
      <c r="BD2853" s="71"/>
      <c r="BE2853" s="71"/>
      <c r="BF2853" s="71"/>
      <c r="BG2853" s="71"/>
      <c r="BH2853" s="71"/>
      <c r="BI2853" s="71"/>
      <c r="BJ2853" s="71"/>
      <c r="BK2853" s="71"/>
      <c r="BL2853" s="71"/>
      <c r="BM2853" s="71"/>
      <c r="BN2853" s="71"/>
      <c r="BO2853" s="71"/>
      <c r="BP2853" s="71"/>
      <c r="BQ2853" s="71"/>
      <c r="BR2853" s="71"/>
      <c r="BS2853" s="71"/>
      <c r="BT2853" s="71"/>
      <c r="BU2853" s="71"/>
      <c r="BV2853" s="71"/>
    </row>
    <row r="2854">
      <c r="A2854" s="53"/>
      <c r="B2854" s="53"/>
      <c r="C2854" s="53"/>
      <c r="D2854" s="53"/>
      <c r="E2854" s="86"/>
      <c r="F2854" s="89"/>
      <c r="G2854" s="84"/>
      <c r="H2854" s="55"/>
      <c r="I2854" s="54" t="str">
        <f t="shared" si="140"/>
        <v/>
      </c>
      <c r="J2854" s="56"/>
      <c r="K2854" s="57"/>
      <c r="L2854" s="206"/>
      <c r="M2854" s="124"/>
      <c r="N2854" s="93"/>
      <c r="O2854" s="61"/>
      <c r="P2854" s="90"/>
      <c r="Q2854" s="94"/>
      <c r="R2854" s="95"/>
      <c r="S2854" s="125"/>
      <c r="T2854" s="65"/>
      <c r="U2854" s="65"/>
      <c r="V2854" s="66"/>
      <c r="W2854" s="67"/>
      <c r="X2854" s="67"/>
      <c r="Y2854" s="67"/>
      <c r="Z2854" s="67"/>
      <c r="AA2854" s="67"/>
      <c r="AB2854" s="67"/>
      <c r="AC2854" s="67"/>
      <c r="AD2854" s="67"/>
      <c r="AE2854" s="67"/>
      <c r="AF2854" s="67"/>
      <c r="AG2854" s="67"/>
      <c r="AH2854" s="67"/>
      <c r="AI2854" s="67"/>
      <c r="AJ2854" s="96"/>
      <c r="AK2854" s="96"/>
      <c r="AL2854" s="70"/>
      <c r="AM2854" s="70"/>
      <c r="AN2854" s="71"/>
      <c r="AO2854" s="71"/>
      <c r="AP2854" s="71"/>
      <c r="AQ2854" s="71"/>
      <c r="AR2854" s="71"/>
      <c r="AS2854" s="71"/>
      <c r="AT2854" s="71"/>
      <c r="AU2854" s="71"/>
      <c r="AV2854" s="71"/>
      <c r="AW2854" s="71"/>
      <c r="AX2854" s="71"/>
      <c r="AY2854" s="71"/>
      <c r="AZ2854" s="71"/>
      <c r="BA2854" s="71"/>
      <c r="BB2854" s="71"/>
      <c r="BC2854" s="71"/>
      <c r="BD2854" s="71"/>
      <c r="BE2854" s="71"/>
      <c r="BF2854" s="71"/>
      <c r="BG2854" s="71"/>
      <c r="BH2854" s="71"/>
      <c r="BI2854" s="71"/>
      <c r="BJ2854" s="71"/>
      <c r="BK2854" s="71"/>
      <c r="BL2854" s="71"/>
      <c r="BM2854" s="71"/>
      <c r="BN2854" s="71"/>
      <c r="BO2854" s="71"/>
      <c r="BP2854" s="71"/>
      <c r="BQ2854" s="71"/>
      <c r="BR2854" s="71"/>
      <c r="BS2854" s="71"/>
      <c r="BT2854" s="71"/>
      <c r="BU2854" s="71"/>
      <c r="BV2854" s="71"/>
    </row>
    <row r="2855">
      <c r="A2855" s="53"/>
      <c r="B2855" s="53"/>
      <c r="C2855" s="53"/>
      <c r="D2855" s="53"/>
      <c r="E2855" s="86"/>
      <c r="F2855" s="89"/>
      <c r="G2855" s="84"/>
      <c r="H2855" s="55"/>
      <c r="I2855" s="54" t="str">
        <f t="shared" si="140"/>
        <v/>
      </c>
      <c r="J2855" s="56"/>
      <c r="K2855" s="57"/>
      <c r="L2855" s="206"/>
      <c r="M2855" s="124"/>
      <c r="N2855" s="93"/>
      <c r="O2855" s="61"/>
      <c r="P2855" s="90"/>
      <c r="Q2855" s="94"/>
      <c r="R2855" s="95"/>
      <c r="S2855" s="125"/>
      <c r="T2855" s="65"/>
      <c r="U2855" s="65"/>
      <c r="V2855" s="66"/>
      <c r="W2855" s="67"/>
      <c r="X2855" s="67"/>
      <c r="Y2855" s="67"/>
      <c r="Z2855" s="67"/>
      <c r="AA2855" s="67"/>
      <c r="AB2855" s="67"/>
      <c r="AC2855" s="67"/>
      <c r="AD2855" s="67"/>
      <c r="AE2855" s="67"/>
      <c r="AF2855" s="67"/>
      <c r="AG2855" s="67"/>
      <c r="AH2855" s="67"/>
      <c r="AI2855" s="67"/>
      <c r="AJ2855" s="96"/>
      <c r="AK2855" s="96"/>
      <c r="AL2855" s="70"/>
      <c r="AM2855" s="70"/>
      <c r="AN2855" s="71"/>
      <c r="AO2855" s="71"/>
      <c r="AP2855" s="71"/>
      <c r="AQ2855" s="71"/>
      <c r="AR2855" s="71"/>
      <c r="AS2855" s="71"/>
      <c r="AT2855" s="71"/>
      <c r="AU2855" s="71"/>
      <c r="AV2855" s="71"/>
      <c r="AW2855" s="71"/>
      <c r="AX2855" s="71"/>
      <c r="AY2855" s="71"/>
      <c r="AZ2855" s="71"/>
      <c r="BA2855" s="71"/>
      <c r="BB2855" s="71"/>
      <c r="BC2855" s="71"/>
      <c r="BD2855" s="71"/>
      <c r="BE2855" s="71"/>
      <c r="BF2855" s="71"/>
      <c r="BG2855" s="71"/>
      <c r="BH2855" s="71"/>
      <c r="BI2855" s="71"/>
      <c r="BJ2855" s="71"/>
      <c r="BK2855" s="71"/>
      <c r="BL2855" s="71"/>
      <c r="BM2855" s="71"/>
      <c r="BN2855" s="71"/>
      <c r="BO2855" s="71"/>
      <c r="BP2855" s="71"/>
      <c r="BQ2855" s="71"/>
      <c r="BR2855" s="71"/>
      <c r="BS2855" s="71"/>
      <c r="BT2855" s="71"/>
      <c r="BU2855" s="71"/>
      <c r="BV2855" s="71"/>
    </row>
    <row r="2856">
      <c r="A2856" s="53"/>
      <c r="B2856" s="53"/>
      <c r="C2856" s="53"/>
      <c r="D2856" s="53"/>
      <c r="E2856" s="86"/>
      <c r="F2856" s="89"/>
      <c r="G2856" s="84"/>
      <c r="H2856" s="55"/>
      <c r="I2856" s="54" t="str">
        <f t="shared" si="140"/>
        <v/>
      </c>
      <c r="J2856" s="56"/>
      <c r="K2856" s="57"/>
      <c r="L2856" s="206"/>
      <c r="M2856" s="124"/>
      <c r="N2856" s="93"/>
      <c r="O2856" s="61"/>
      <c r="P2856" s="90"/>
      <c r="Q2856" s="94"/>
      <c r="R2856" s="95"/>
      <c r="S2856" s="125"/>
      <c r="T2856" s="65"/>
      <c r="U2856" s="65"/>
      <c r="V2856" s="66"/>
      <c r="W2856" s="67"/>
      <c r="X2856" s="67"/>
      <c r="Y2856" s="67"/>
      <c r="Z2856" s="67"/>
      <c r="AA2856" s="67"/>
      <c r="AB2856" s="67"/>
      <c r="AC2856" s="67"/>
      <c r="AD2856" s="67"/>
      <c r="AE2856" s="67"/>
      <c r="AF2856" s="67"/>
      <c r="AG2856" s="67"/>
      <c r="AH2856" s="67"/>
      <c r="AI2856" s="67"/>
      <c r="AJ2856" s="96"/>
      <c r="AK2856" s="96"/>
      <c r="AL2856" s="70"/>
      <c r="AM2856" s="70"/>
      <c r="AN2856" s="71"/>
      <c r="AO2856" s="71"/>
      <c r="AP2856" s="71"/>
      <c r="AQ2856" s="71"/>
      <c r="AR2856" s="71"/>
      <c r="AS2856" s="71"/>
      <c r="AT2856" s="71"/>
      <c r="AU2856" s="71"/>
      <c r="AV2856" s="71"/>
      <c r="AW2856" s="71"/>
      <c r="AX2856" s="71"/>
      <c r="AY2856" s="71"/>
      <c r="AZ2856" s="71"/>
      <c r="BA2856" s="71"/>
      <c r="BB2856" s="71"/>
      <c r="BC2856" s="71"/>
      <c r="BD2856" s="71"/>
      <c r="BE2856" s="71"/>
      <c r="BF2856" s="71"/>
      <c r="BG2856" s="71"/>
      <c r="BH2856" s="71"/>
      <c r="BI2856" s="71"/>
      <c r="BJ2856" s="71"/>
      <c r="BK2856" s="71"/>
      <c r="BL2856" s="71"/>
      <c r="BM2856" s="71"/>
      <c r="BN2856" s="71"/>
      <c r="BO2856" s="71"/>
      <c r="BP2856" s="71"/>
      <c r="BQ2856" s="71"/>
      <c r="BR2856" s="71"/>
      <c r="BS2856" s="71"/>
      <c r="BT2856" s="71"/>
      <c r="BU2856" s="71"/>
      <c r="BV2856" s="71"/>
    </row>
    <row r="2857">
      <c r="A2857" s="53"/>
      <c r="B2857" s="53"/>
      <c r="C2857" s="53"/>
      <c r="D2857" s="53"/>
      <c r="E2857" s="86"/>
      <c r="F2857" s="89"/>
      <c r="G2857" s="84"/>
      <c r="H2857" s="55"/>
      <c r="I2857" s="54" t="str">
        <f t="shared" si="140"/>
        <v/>
      </c>
      <c r="J2857" s="56"/>
      <c r="K2857" s="57"/>
      <c r="L2857" s="206"/>
      <c r="M2857" s="124"/>
      <c r="N2857" s="93"/>
      <c r="O2857" s="61"/>
      <c r="P2857" s="90"/>
      <c r="Q2857" s="94"/>
      <c r="R2857" s="95"/>
      <c r="S2857" s="125"/>
      <c r="T2857" s="65"/>
      <c r="U2857" s="65"/>
      <c r="V2857" s="66"/>
      <c r="W2857" s="67"/>
      <c r="X2857" s="67"/>
      <c r="Y2857" s="67"/>
      <c r="Z2857" s="67"/>
      <c r="AA2857" s="67"/>
      <c r="AB2857" s="67"/>
      <c r="AC2857" s="67"/>
      <c r="AD2857" s="67"/>
      <c r="AE2857" s="67"/>
      <c r="AF2857" s="67"/>
      <c r="AG2857" s="67"/>
      <c r="AH2857" s="67"/>
      <c r="AI2857" s="67"/>
      <c r="AJ2857" s="96"/>
      <c r="AK2857" s="96"/>
      <c r="AL2857" s="70"/>
      <c r="AM2857" s="70"/>
      <c r="AN2857" s="71"/>
      <c r="AO2857" s="71"/>
      <c r="AP2857" s="71"/>
      <c r="AQ2857" s="71"/>
      <c r="AR2857" s="71"/>
      <c r="AS2857" s="71"/>
      <c r="AT2857" s="71"/>
      <c r="AU2857" s="71"/>
      <c r="AV2857" s="71"/>
      <c r="AW2857" s="71"/>
      <c r="AX2857" s="71"/>
      <c r="AY2857" s="71"/>
      <c r="AZ2857" s="71"/>
      <c r="BA2857" s="71"/>
      <c r="BB2857" s="71"/>
      <c r="BC2857" s="71"/>
      <c r="BD2857" s="71"/>
      <c r="BE2857" s="71"/>
      <c r="BF2857" s="71"/>
      <c r="BG2857" s="71"/>
      <c r="BH2857" s="71"/>
      <c r="BI2857" s="71"/>
      <c r="BJ2857" s="71"/>
      <c r="BK2857" s="71"/>
      <c r="BL2857" s="71"/>
      <c r="BM2857" s="71"/>
      <c r="BN2857" s="71"/>
      <c r="BO2857" s="71"/>
      <c r="BP2857" s="71"/>
      <c r="BQ2857" s="71"/>
      <c r="BR2857" s="71"/>
      <c r="BS2857" s="71"/>
      <c r="BT2857" s="71"/>
      <c r="BU2857" s="71"/>
      <c r="BV2857" s="71"/>
    </row>
    <row r="2858">
      <c r="A2858" s="53"/>
      <c r="B2858" s="53"/>
      <c r="C2858" s="53"/>
      <c r="D2858" s="53"/>
      <c r="E2858" s="86"/>
      <c r="F2858" s="89"/>
      <c r="G2858" s="84"/>
      <c r="H2858" s="55"/>
      <c r="I2858" s="54" t="str">
        <f t="shared" si="140"/>
        <v/>
      </c>
      <c r="J2858" s="56"/>
      <c r="K2858" s="57"/>
      <c r="L2858" s="206"/>
      <c r="M2858" s="124"/>
      <c r="N2858" s="93"/>
      <c r="O2858" s="61"/>
      <c r="P2858" s="90"/>
      <c r="Q2858" s="94"/>
      <c r="R2858" s="95"/>
      <c r="S2858" s="125"/>
      <c r="T2858" s="65"/>
      <c r="U2858" s="65"/>
      <c r="V2858" s="66"/>
      <c r="W2858" s="67"/>
      <c r="X2858" s="67"/>
      <c r="Y2858" s="67"/>
      <c r="Z2858" s="67"/>
      <c r="AA2858" s="67"/>
      <c r="AB2858" s="67"/>
      <c r="AC2858" s="67"/>
      <c r="AD2858" s="67"/>
      <c r="AE2858" s="67"/>
      <c r="AF2858" s="67"/>
      <c r="AG2858" s="67"/>
      <c r="AH2858" s="67"/>
      <c r="AI2858" s="67"/>
      <c r="AJ2858" s="96"/>
      <c r="AK2858" s="96"/>
      <c r="AL2858" s="70"/>
      <c r="AM2858" s="70"/>
      <c r="AN2858" s="71"/>
      <c r="AO2858" s="71"/>
      <c r="AP2858" s="71"/>
      <c r="AQ2858" s="71"/>
      <c r="AR2858" s="71"/>
      <c r="AS2858" s="71"/>
      <c r="AT2858" s="71"/>
      <c r="AU2858" s="71"/>
      <c r="AV2858" s="71"/>
      <c r="AW2858" s="71"/>
      <c r="AX2858" s="71"/>
      <c r="AY2858" s="71"/>
      <c r="AZ2858" s="71"/>
      <c r="BA2858" s="71"/>
      <c r="BB2858" s="71"/>
      <c r="BC2858" s="71"/>
      <c r="BD2858" s="71"/>
      <c r="BE2858" s="71"/>
      <c r="BF2858" s="71"/>
      <c r="BG2858" s="71"/>
      <c r="BH2858" s="71"/>
      <c r="BI2858" s="71"/>
      <c r="BJ2858" s="71"/>
      <c r="BK2858" s="71"/>
      <c r="BL2858" s="71"/>
      <c r="BM2858" s="71"/>
      <c r="BN2858" s="71"/>
      <c r="BO2858" s="71"/>
      <c r="BP2858" s="71"/>
      <c r="BQ2858" s="71"/>
      <c r="BR2858" s="71"/>
      <c r="BS2858" s="71"/>
      <c r="BT2858" s="71"/>
      <c r="BU2858" s="71"/>
      <c r="BV2858" s="71"/>
    </row>
    <row r="2859">
      <c r="A2859" s="53"/>
      <c r="B2859" s="53"/>
      <c r="C2859" s="53"/>
      <c r="D2859" s="53"/>
      <c r="E2859" s="86"/>
      <c r="F2859" s="89"/>
      <c r="G2859" s="84"/>
      <c r="H2859" s="55"/>
      <c r="I2859" s="54" t="str">
        <f t="shared" si="140"/>
        <v/>
      </c>
      <c r="J2859" s="56"/>
      <c r="K2859" s="57"/>
      <c r="L2859" s="206"/>
      <c r="M2859" s="124"/>
      <c r="N2859" s="93"/>
      <c r="O2859" s="61"/>
      <c r="P2859" s="90"/>
      <c r="Q2859" s="94"/>
      <c r="R2859" s="95"/>
      <c r="S2859" s="125"/>
      <c r="T2859" s="65"/>
      <c r="U2859" s="65"/>
      <c r="V2859" s="66"/>
      <c r="W2859" s="67"/>
      <c r="X2859" s="67"/>
      <c r="Y2859" s="67"/>
      <c r="Z2859" s="67"/>
      <c r="AA2859" s="67"/>
      <c r="AB2859" s="67"/>
      <c r="AC2859" s="67"/>
      <c r="AD2859" s="67"/>
      <c r="AE2859" s="67"/>
      <c r="AF2859" s="67"/>
      <c r="AG2859" s="67"/>
      <c r="AH2859" s="67"/>
      <c r="AI2859" s="67"/>
      <c r="AJ2859" s="96"/>
      <c r="AK2859" s="96"/>
      <c r="AL2859" s="70"/>
      <c r="AM2859" s="70"/>
      <c r="AN2859" s="71"/>
      <c r="AO2859" s="71"/>
      <c r="AP2859" s="71"/>
      <c r="AQ2859" s="71"/>
      <c r="AR2859" s="71"/>
      <c r="AS2859" s="71"/>
      <c r="AT2859" s="71"/>
      <c r="AU2859" s="71"/>
      <c r="AV2859" s="71"/>
      <c r="AW2859" s="71"/>
      <c r="AX2859" s="71"/>
      <c r="AY2859" s="71"/>
      <c r="AZ2859" s="71"/>
      <c r="BA2859" s="71"/>
      <c r="BB2859" s="71"/>
      <c r="BC2859" s="71"/>
      <c r="BD2859" s="71"/>
      <c r="BE2859" s="71"/>
      <c r="BF2859" s="71"/>
      <c r="BG2859" s="71"/>
      <c r="BH2859" s="71"/>
      <c r="BI2859" s="71"/>
      <c r="BJ2859" s="71"/>
      <c r="BK2859" s="71"/>
      <c r="BL2859" s="71"/>
      <c r="BM2859" s="71"/>
      <c r="BN2859" s="71"/>
      <c r="BO2859" s="71"/>
      <c r="BP2859" s="71"/>
      <c r="BQ2859" s="71"/>
      <c r="BR2859" s="71"/>
      <c r="BS2859" s="71"/>
      <c r="BT2859" s="71"/>
      <c r="BU2859" s="71"/>
      <c r="BV2859" s="71"/>
    </row>
    <row r="2860">
      <c r="A2860" s="53"/>
      <c r="B2860" s="53"/>
      <c r="C2860" s="53"/>
      <c r="D2860" s="53"/>
      <c r="E2860" s="86"/>
      <c r="F2860" s="89"/>
      <c r="G2860" s="84"/>
      <c r="H2860" s="55"/>
      <c r="I2860" s="54" t="str">
        <f t="shared" si="140"/>
        <v/>
      </c>
      <c r="J2860" s="56"/>
      <c r="K2860" s="57"/>
      <c r="L2860" s="206"/>
      <c r="M2860" s="124"/>
      <c r="N2860" s="93"/>
      <c r="O2860" s="61"/>
      <c r="P2860" s="90"/>
      <c r="Q2860" s="94"/>
      <c r="R2860" s="95"/>
      <c r="S2860" s="125"/>
      <c r="T2860" s="65"/>
      <c r="U2860" s="65"/>
      <c r="V2860" s="66"/>
      <c r="W2860" s="67"/>
      <c r="X2860" s="67"/>
      <c r="Y2860" s="67"/>
      <c r="Z2860" s="67"/>
      <c r="AA2860" s="67"/>
      <c r="AB2860" s="67"/>
      <c r="AC2860" s="67"/>
      <c r="AD2860" s="67"/>
      <c r="AE2860" s="67"/>
      <c r="AF2860" s="67"/>
      <c r="AG2860" s="67"/>
      <c r="AH2860" s="67"/>
      <c r="AI2860" s="67"/>
      <c r="AJ2860" s="96"/>
      <c r="AK2860" s="96"/>
      <c r="AL2860" s="70"/>
      <c r="AM2860" s="70"/>
      <c r="AN2860" s="71"/>
      <c r="AO2860" s="71"/>
      <c r="AP2860" s="71"/>
      <c r="AQ2860" s="71"/>
      <c r="AR2860" s="71"/>
      <c r="AS2860" s="71"/>
      <c r="AT2860" s="71"/>
      <c r="AU2860" s="71"/>
      <c r="AV2860" s="71"/>
      <c r="AW2860" s="71"/>
      <c r="AX2860" s="71"/>
      <c r="AY2860" s="71"/>
      <c r="AZ2860" s="71"/>
      <c r="BA2860" s="71"/>
      <c r="BB2860" s="71"/>
      <c r="BC2860" s="71"/>
      <c r="BD2860" s="71"/>
      <c r="BE2860" s="71"/>
      <c r="BF2860" s="71"/>
      <c r="BG2860" s="71"/>
      <c r="BH2860" s="71"/>
      <c r="BI2860" s="71"/>
      <c r="BJ2860" s="71"/>
      <c r="BK2860" s="71"/>
      <c r="BL2860" s="71"/>
      <c r="BM2860" s="71"/>
      <c r="BN2860" s="71"/>
      <c r="BO2860" s="71"/>
      <c r="BP2860" s="71"/>
      <c r="BQ2860" s="71"/>
      <c r="BR2860" s="71"/>
      <c r="BS2860" s="71"/>
      <c r="BT2860" s="71"/>
      <c r="BU2860" s="71"/>
      <c r="BV2860" s="71"/>
    </row>
    <row r="2861">
      <c r="A2861" s="53"/>
      <c r="B2861" s="53"/>
      <c r="C2861" s="53"/>
      <c r="D2861" s="53"/>
      <c r="E2861" s="86"/>
      <c r="F2861" s="89"/>
      <c r="G2861" s="84"/>
      <c r="H2861" s="55"/>
      <c r="I2861" s="54" t="str">
        <f t="shared" si="140"/>
        <v/>
      </c>
      <c r="J2861" s="56"/>
      <c r="K2861" s="57"/>
      <c r="L2861" s="206"/>
      <c r="M2861" s="124"/>
      <c r="N2861" s="93"/>
      <c r="O2861" s="61"/>
      <c r="P2861" s="90"/>
      <c r="Q2861" s="94"/>
      <c r="R2861" s="95"/>
      <c r="S2861" s="125"/>
      <c r="T2861" s="65"/>
      <c r="U2861" s="65"/>
      <c r="V2861" s="66"/>
      <c r="W2861" s="67"/>
      <c r="X2861" s="67"/>
      <c r="Y2861" s="67"/>
      <c r="Z2861" s="67"/>
      <c r="AA2861" s="67"/>
      <c r="AB2861" s="67"/>
      <c r="AC2861" s="67"/>
      <c r="AD2861" s="67"/>
      <c r="AE2861" s="67"/>
      <c r="AF2861" s="67"/>
      <c r="AG2861" s="67"/>
      <c r="AH2861" s="67"/>
      <c r="AI2861" s="67"/>
      <c r="AJ2861" s="96"/>
      <c r="AK2861" s="96"/>
      <c r="AL2861" s="70"/>
      <c r="AM2861" s="70"/>
      <c r="AN2861" s="71"/>
      <c r="AO2861" s="71"/>
      <c r="AP2861" s="71"/>
      <c r="AQ2861" s="71"/>
      <c r="AR2861" s="71"/>
      <c r="AS2861" s="71"/>
      <c r="AT2861" s="71"/>
      <c r="AU2861" s="71"/>
      <c r="AV2861" s="71"/>
      <c r="AW2861" s="71"/>
      <c r="AX2861" s="71"/>
      <c r="AY2861" s="71"/>
      <c r="AZ2861" s="71"/>
      <c r="BA2861" s="71"/>
      <c r="BB2861" s="71"/>
      <c r="BC2861" s="71"/>
      <c r="BD2861" s="71"/>
      <c r="BE2861" s="71"/>
      <c r="BF2861" s="71"/>
      <c r="BG2861" s="71"/>
      <c r="BH2861" s="71"/>
      <c r="BI2861" s="71"/>
      <c r="BJ2861" s="71"/>
      <c r="BK2861" s="71"/>
      <c r="BL2861" s="71"/>
      <c r="BM2861" s="71"/>
      <c r="BN2861" s="71"/>
      <c r="BO2861" s="71"/>
      <c r="BP2861" s="71"/>
      <c r="BQ2861" s="71"/>
      <c r="BR2861" s="71"/>
      <c r="BS2861" s="71"/>
      <c r="BT2861" s="71"/>
      <c r="BU2861" s="71"/>
      <c r="BV2861" s="71"/>
    </row>
    <row r="2862">
      <c r="A2862" s="53"/>
      <c r="B2862" s="53"/>
      <c r="C2862" s="53"/>
      <c r="D2862" s="53"/>
      <c r="E2862" s="86"/>
      <c r="F2862" s="89"/>
      <c r="G2862" s="84"/>
      <c r="H2862" s="55"/>
      <c r="I2862" s="54" t="str">
        <f t="shared" si="140"/>
        <v/>
      </c>
      <c r="J2862" s="56"/>
      <c r="K2862" s="57"/>
      <c r="L2862" s="206"/>
      <c r="M2862" s="124"/>
      <c r="N2862" s="93"/>
      <c r="O2862" s="61"/>
      <c r="P2862" s="90"/>
      <c r="Q2862" s="94"/>
      <c r="R2862" s="95"/>
      <c r="S2862" s="125"/>
      <c r="T2862" s="65"/>
      <c r="U2862" s="65"/>
      <c r="V2862" s="66"/>
      <c r="W2862" s="67"/>
      <c r="X2862" s="67"/>
      <c r="Y2862" s="67"/>
      <c r="Z2862" s="67"/>
      <c r="AA2862" s="67"/>
      <c r="AB2862" s="67"/>
      <c r="AC2862" s="67"/>
      <c r="AD2862" s="67"/>
      <c r="AE2862" s="67"/>
      <c r="AF2862" s="67"/>
      <c r="AG2862" s="67"/>
      <c r="AH2862" s="67"/>
      <c r="AI2862" s="67"/>
      <c r="AJ2862" s="96"/>
      <c r="AK2862" s="96"/>
      <c r="AL2862" s="70"/>
      <c r="AM2862" s="70"/>
      <c r="AN2862" s="71"/>
      <c r="AO2862" s="71"/>
      <c r="AP2862" s="71"/>
      <c r="AQ2862" s="71"/>
      <c r="AR2862" s="71"/>
      <c r="AS2862" s="71"/>
      <c r="AT2862" s="71"/>
      <c r="AU2862" s="71"/>
      <c r="AV2862" s="71"/>
      <c r="AW2862" s="71"/>
      <c r="AX2862" s="71"/>
      <c r="AY2862" s="71"/>
      <c r="AZ2862" s="71"/>
      <c r="BA2862" s="71"/>
      <c r="BB2862" s="71"/>
      <c r="BC2862" s="71"/>
      <c r="BD2862" s="71"/>
      <c r="BE2862" s="71"/>
      <c r="BF2862" s="71"/>
      <c r="BG2862" s="71"/>
      <c r="BH2862" s="71"/>
      <c r="BI2862" s="71"/>
      <c r="BJ2862" s="71"/>
      <c r="BK2862" s="71"/>
      <c r="BL2862" s="71"/>
      <c r="BM2862" s="71"/>
      <c r="BN2862" s="71"/>
      <c r="BO2862" s="71"/>
      <c r="BP2862" s="71"/>
      <c r="BQ2862" s="71"/>
      <c r="BR2862" s="71"/>
      <c r="BS2862" s="71"/>
      <c r="BT2862" s="71"/>
      <c r="BU2862" s="71"/>
      <c r="BV2862" s="71"/>
    </row>
    <row r="2863">
      <c r="A2863" s="53"/>
      <c r="B2863" s="53"/>
      <c r="C2863" s="53"/>
      <c r="D2863" s="53"/>
      <c r="E2863" s="86"/>
      <c r="F2863" s="89"/>
      <c r="G2863" s="84"/>
      <c r="H2863" s="55"/>
      <c r="I2863" s="54" t="str">
        <f t="shared" si="140"/>
        <v/>
      </c>
      <c r="J2863" s="56"/>
      <c r="K2863" s="57"/>
      <c r="L2863" s="206"/>
      <c r="M2863" s="124"/>
      <c r="N2863" s="93"/>
      <c r="O2863" s="61"/>
      <c r="P2863" s="90"/>
      <c r="Q2863" s="94"/>
      <c r="R2863" s="95"/>
      <c r="S2863" s="125"/>
      <c r="T2863" s="65"/>
      <c r="U2863" s="65"/>
      <c r="V2863" s="66"/>
      <c r="W2863" s="67"/>
      <c r="X2863" s="67"/>
      <c r="Y2863" s="67"/>
      <c r="Z2863" s="67"/>
      <c r="AA2863" s="67"/>
      <c r="AB2863" s="67"/>
      <c r="AC2863" s="67"/>
      <c r="AD2863" s="67"/>
      <c r="AE2863" s="67"/>
      <c r="AF2863" s="67"/>
      <c r="AG2863" s="67"/>
      <c r="AH2863" s="67"/>
      <c r="AI2863" s="67"/>
      <c r="AJ2863" s="96"/>
      <c r="AK2863" s="96"/>
      <c r="AL2863" s="70"/>
      <c r="AM2863" s="70"/>
      <c r="AN2863" s="71"/>
      <c r="AO2863" s="71"/>
      <c r="AP2863" s="71"/>
      <c r="AQ2863" s="71"/>
      <c r="AR2863" s="71"/>
      <c r="AS2863" s="71"/>
      <c r="AT2863" s="71"/>
      <c r="AU2863" s="71"/>
      <c r="AV2863" s="71"/>
      <c r="AW2863" s="71"/>
      <c r="AX2863" s="71"/>
      <c r="AY2863" s="71"/>
      <c r="AZ2863" s="71"/>
      <c r="BA2863" s="71"/>
      <c r="BB2863" s="71"/>
      <c r="BC2863" s="71"/>
      <c r="BD2863" s="71"/>
      <c r="BE2863" s="71"/>
      <c r="BF2863" s="71"/>
      <c r="BG2863" s="71"/>
      <c r="BH2863" s="71"/>
      <c r="BI2863" s="71"/>
      <c r="BJ2863" s="71"/>
      <c r="BK2863" s="71"/>
      <c r="BL2863" s="71"/>
      <c r="BM2863" s="71"/>
      <c r="BN2863" s="71"/>
      <c r="BO2863" s="71"/>
      <c r="BP2863" s="71"/>
      <c r="BQ2863" s="71"/>
      <c r="BR2863" s="71"/>
      <c r="BS2863" s="71"/>
      <c r="BT2863" s="71"/>
      <c r="BU2863" s="71"/>
      <c r="BV2863" s="71"/>
    </row>
    <row r="2864">
      <c r="A2864" s="53"/>
      <c r="B2864" s="53"/>
      <c r="C2864" s="53"/>
      <c r="D2864" s="53"/>
      <c r="E2864" s="86"/>
      <c r="F2864" s="89"/>
      <c r="G2864" s="84"/>
      <c r="H2864" s="55"/>
      <c r="I2864" s="54" t="str">
        <f t="shared" si="140"/>
        <v/>
      </c>
      <c r="J2864" s="56"/>
      <c r="K2864" s="57"/>
      <c r="L2864" s="206"/>
      <c r="M2864" s="124"/>
      <c r="N2864" s="93"/>
      <c r="O2864" s="61"/>
      <c r="P2864" s="90"/>
      <c r="Q2864" s="94"/>
      <c r="R2864" s="95"/>
      <c r="S2864" s="125"/>
      <c r="T2864" s="65"/>
      <c r="U2864" s="65"/>
      <c r="V2864" s="66"/>
      <c r="W2864" s="67"/>
      <c r="X2864" s="67"/>
      <c r="Y2864" s="67"/>
      <c r="Z2864" s="67"/>
      <c r="AA2864" s="67"/>
      <c r="AB2864" s="67"/>
      <c r="AC2864" s="67"/>
      <c r="AD2864" s="67"/>
      <c r="AE2864" s="67"/>
      <c r="AF2864" s="67"/>
      <c r="AG2864" s="67"/>
      <c r="AH2864" s="67"/>
      <c r="AI2864" s="67"/>
      <c r="AJ2864" s="96"/>
      <c r="AK2864" s="96"/>
      <c r="AL2864" s="70"/>
      <c r="AM2864" s="70"/>
      <c r="AN2864" s="71"/>
      <c r="AO2864" s="71"/>
      <c r="AP2864" s="71"/>
      <c r="AQ2864" s="71"/>
      <c r="AR2864" s="71"/>
      <c r="AS2864" s="71"/>
      <c r="AT2864" s="71"/>
      <c r="AU2864" s="71"/>
      <c r="AV2864" s="71"/>
      <c r="AW2864" s="71"/>
      <c r="AX2864" s="71"/>
      <c r="AY2864" s="71"/>
      <c r="AZ2864" s="71"/>
      <c r="BA2864" s="71"/>
      <c r="BB2864" s="71"/>
      <c r="BC2864" s="71"/>
      <c r="BD2864" s="71"/>
      <c r="BE2864" s="71"/>
      <c r="BF2864" s="71"/>
      <c r="BG2864" s="71"/>
      <c r="BH2864" s="71"/>
      <c r="BI2864" s="71"/>
      <c r="BJ2864" s="71"/>
      <c r="BK2864" s="71"/>
      <c r="BL2864" s="71"/>
      <c r="BM2864" s="71"/>
      <c r="BN2864" s="71"/>
      <c r="BO2864" s="71"/>
      <c r="BP2864" s="71"/>
      <c r="BQ2864" s="71"/>
      <c r="BR2864" s="71"/>
      <c r="BS2864" s="71"/>
      <c r="BT2864" s="71"/>
      <c r="BU2864" s="71"/>
      <c r="BV2864" s="71"/>
    </row>
    <row r="2865">
      <c r="A2865" s="53"/>
      <c r="B2865" s="53"/>
      <c r="C2865" s="53"/>
      <c r="D2865" s="53"/>
      <c r="E2865" s="86"/>
      <c r="F2865" s="89"/>
      <c r="G2865" s="84"/>
      <c r="H2865" s="55"/>
      <c r="I2865" s="54" t="str">
        <f t="shared" si="140"/>
        <v/>
      </c>
      <c r="J2865" s="56"/>
      <c r="K2865" s="57"/>
      <c r="L2865" s="206"/>
      <c r="M2865" s="124"/>
      <c r="N2865" s="93"/>
      <c r="O2865" s="61"/>
      <c r="P2865" s="90"/>
      <c r="Q2865" s="94"/>
      <c r="R2865" s="95"/>
      <c r="S2865" s="125"/>
      <c r="T2865" s="65"/>
      <c r="U2865" s="65"/>
      <c r="V2865" s="66"/>
      <c r="W2865" s="67"/>
      <c r="X2865" s="67"/>
      <c r="Y2865" s="67"/>
      <c r="Z2865" s="67"/>
      <c r="AA2865" s="67"/>
      <c r="AB2865" s="67"/>
      <c r="AC2865" s="67"/>
      <c r="AD2865" s="67"/>
      <c r="AE2865" s="67"/>
      <c r="AF2865" s="67"/>
      <c r="AG2865" s="67"/>
      <c r="AH2865" s="67"/>
      <c r="AI2865" s="67"/>
      <c r="AJ2865" s="96"/>
      <c r="AK2865" s="96"/>
      <c r="AL2865" s="70"/>
      <c r="AM2865" s="70"/>
      <c r="AN2865" s="71"/>
      <c r="AO2865" s="71"/>
      <c r="AP2865" s="71"/>
      <c r="AQ2865" s="71"/>
      <c r="AR2865" s="71"/>
      <c r="AS2865" s="71"/>
      <c r="AT2865" s="71"/>
      <c r="AU2865" s="71"/>
      <c r="AV2865" s="71"/>
      <c r="AW2865" s="71"/>
      <c r="AX2865" s="71"/>
      <c r="AY2865" s="71"/>
      <c r="AZ2865" s="71"/>
      <c r="BA2865" s="71"/>
      <c r="BB2865" s="71"/>
      <c r="BC2865" s="71"/>
      <c r="BD2865" s="71"/>
      <c r="BE2865" s="71"/>
      <c r="BF2865" s="71"/>
      <c r="BG2865" s="71"/>
      <c r="BH2865" s="71"/>
      <c r="BI2865" s="71"/>
      <c r="BJ2865" s="71"/>
      <c r="BK2865" s="71"/>
      <c r="BL2865" s="71"/>
      <c r="BM2865" s="71"/>
      <c r="BN2865" s="71"/>
      <c r="BO2865" s="71"/>
      <c r="BP2865" s="71"/>
      <c r="BQ2865" s="71"/>
      <c r="BR2865" s="71"/>
      <c r="BS2865" s="71"/>
      <c r="BT2865" s="71"/>
      <c r="BU2865" s="71"/>
      <c r="BV2865" s="71"/>
    </row>
    <row r="2866">
      <c r="A2866" s="53"/>
      <c r="B2866" s="53"/>
      <c r="C2866" s="53"/>
      <c r="D2866" s="53"/>
      <c r="E2866" s="86"/>
      <c r="F2866" s="89"/>
      <c r="G2866" s="84"/>
      <c r="H2866" s="55"/>
      <c r="I2866" s="54" t="str">
        <f t="shared" si="140"/>
        <v/>
      </c>
      <c r="J2866" s="56"/>
      <c r="K2866" s="57"/>
      <c r="L2866" s="206"/>
      <c r="M2866" s="124"/>
      <c r="N2866" s="93"/>
      <c r="O2866" s="61"/>
      <c r="P2866" s="90"/>
      <c r="Q2866" s="94"/>
      <c r="R2866" s="95"/>
      <c r="S2866" s="125"/>
      <c r="T2866" s="65"/>
      <c r="U2866" s="65"/>
      <c r="V2866" s="66"/>
      <c r="W2866" s="67"/>
      <c r="X2866" s="67"/>
      <c r="Y2866" s="67"/>
      <c r="Z2866" s="67"/>
      <c r="AA2866" s="67"/>
      <c r="AB2866" s="67"/>
      <c r="AC2866" s="67"/>
      <c r="AD2866" s="67"/>
      <c r="AE2866" s="67"/>
      <c r="AF2866" s="67"/>
      <c r="AG2866" s="67"/>
      <c r="AH2866" s="67"/>
      <c r="AI2866" s="67"/>
      <c r="AJ2866" s="96"/>
      <c r="AK2866" s="96"/>
      <c r="AL2866" s="70"/>
      <c r="AM2866" s="70"/>
      <c r="AN2866" s="71"/>
      <c r="AO2866" s="71"/>
      <c r="AP2866" s="71"/>
      <c r="AQ2866" s="71"/>
      <c r="AR2866" s="71"/>
      <c r="AS2866" s="71"/>
      <c r="AT2866" s="71"/>
      <c r="AU2866" s="71"/>
      <c r="AV2866" s="71"/>
      <c r="AW2866" s="71"/>
      <c r="AX2866" s="71"/>
      <c r="AY2866" s="71"/>
      <c r="AZ2866" s="71"/>
      <c r="BA2866" s="71"/>
      <c r="BB2866" s="71"/>
      <c r="BC2866" s="71"/>
      <c r="BD2866" s="71"/>
      <c r="BE2866" s="71"/>
      <c r="BF2866" s="71"/>
      <c r="BG2866" s="71"/>
      <c r="BH2866" s="71"/>
      <c r="BI2866" s="71"/>
      <c r="BJ2866" s="71"/>
      <c r="BK2866" s="71"/>
      <c r="BL2866" s="71"/>
      <c r="BM2866" s="71"/>
      <c r="BN2866" s="71"/>
      <c r="BO2866" s="71"/>
      <c r="BP2866" s="71"/>
      <c r="BQ2866" s="71"/>
      <c r="BR2866" s="71"/>
      <c r="BS2866" s="71"/>
      <c r="BT2866" s="71"/>
      <c r="BU2866" s="71"/>
      <c r="BV2866" s="71"/>
    </row>
    <row r="2867">
      <c r="A2867" s="53"/>
      <c r="B2867" s="53"/>
      <c r="C2867" s="53"/>
      <c r="D2867" s="53"/>
      <c r="E2867" s="86"/>
      <c r="F2867" s="89"/>
      <c r="G2867" s="84"/>
      <c r="H2867" s="55"/>
      <c r="I2867" s="54" t="str">
        <f t="shared" si="140"/>
        <v/>
      </c>
      <c r="J2867" s="56"/>
      <c r="K2867" s="57"/>
      <c r="L2867" s="206"/>
      <c r="M2867" s="124"/>
      <c r="N2867" s="93"/>
      <c r="O2867" s="61"/>
      <c r="P2867" s="90"/>
      <c r="Q2867" s="94"/>
      <c r="R2867" s="95"/>
      <c r="S2867" s="125"/>
      <c r="T2867" s="65"/>
      <c r="U2867" s="65"/>
      <c r="V2867" s="66"/>
      <c r="W2867" s="67"/>
      <c r="X2867" s="67"/>
      <c r="Y2867" s="67"/>
      <c r="Z2867" s="67"/>
      <c r="AA2867" s="67"/>
      <c r="AB2867" s="67"/>
      <c r="AC2867" s="67"/>
      <c r="AD2867" s="67"/>
      <c r="AE2867" s="67"/>
      <c r="AF2867" s="67"/>
      <c r="AG2867" s="67"/>
      <c r="AH2867" s="67"/>
      <c r="AI2867" s="67"/>
      <c r="AJ2867" s="96"/>
      <c r="AK2867" s="96"/>
      <c r="AL2867" s="70"/>
      <c r="AM2867" s="70"/>
      <c r="AN2867" s="71"/>
      <c r="AO2867" s="71"/>
      <c r="AP2867" s="71"/>
      <c r="AQ2867" s="71"/>
      <c r="AR2867" s="71"/>
      <c r="AS2867" s="71"/>
      <c r="AT2867" s="71"/>
      <c r="AU2867" s="71"/>
      <c r="AV2867" s="71"/>
      <c r="AW2867" s="71"/>
      <c r="AX2867" s="71"/>
      <c r="AY2867" s="71"/>
      <c r="AZ2867" s="71"/>
      <c r="BA2867" s="71"/>
      <c r="BB2867" s="71"/>
      <c r="BC2867" s="71"/>
      <c r="BD2867" s="71"/>
      <c r="BE2867" s="71"/>
      <c r="BF2867" s="71"/>
      <c r="BG2867" s="71"/>
      <c r="BH2867" s="71"/>
      <c r="BI2867" s="71"/>
      <c r="BJ2867" s="71"/>
      <c r="BK2867" s="71"/>
      <c r="BL2867" s="71"/>
      <c r="BM2867" s="71"/>
      <c r="BN2867" s="71"/>
      <c r="BO2867" s="71"/>
      <c r="BP2867" s="71"/>
      <c r="BQ2867" s="71"/>
      <c r="BR2867" s="71"/>
      <c r="BS2867" s="71"/>
      <c r="BT2867" s="71"/>
      <c r="BU2867" s="71"/>
      <c r="BV2867" s="71"/>
    </row>
    <row r="2868">
      <c r="A2868" s="53"/>
      <c r="B2868" s="53"/>
      <c r="C2868" s="53"/>
      <c r="D2868" s="53"/>
      <c r="E2868" s="86"/>
      <c r="F2868" s="89"/>
      <c r="G2868" s="84"/>
      <c r="H2868" s="55"/>
      <c r="I2868" s="54" t="str">
        <f t="shared" si="140"/>
        <v/>
      </c>
      <c r="J2868" s="56"/>
      <c r="K2868" s="57"/>
      <c r="L2868" s="206"/>
      <c r="M2868" s="124"/>
      <c r="N2868" s="93"/>
      <c r="O2868" s="61"/>
      <c r="P2868" s="90"/>
      <c r="Q2868" s="94"/>
      <c r="R2868" s="95"/>
      <c r="S2868" s="125"/>
      <c r="T2868" s="65"/>
      <c r="U2868" s="65"/>
      <c r="V2868" s="66"/>
      <c r="W2868" s="67"/>
      <c r="X2868" s="67"/>
      <c r="Y2868" s="67"/>
      <c r="Z2868" s="67"/>
      <c r="AA2868" s="67"/>
      <c r="AB2868" s="67"/>
      <c r="AC2868" s="67"/>
      <c r="AD2868" s="67"/>
      <c r="AE2868" s="67"/>
      <c r="AF2868" s="67"/>
      <c r="AG2868" s="67"/>
      <c r="AH2868" s="67"/>
      <c r="AI2868" s="67"/>
      <c r="AJ2868" s="96"/>
      <c r="AK2868" s="96"/>
      <c r="AL2868" s="70"/>
      <c r="AM2868" s="70"/>
      <c r="AN2868" s="71"/>
      <c r="AO2868" s="71"/>
      <c r="AP2868" s="71"/>
      <c r="AQ2868" s="71"/>
      <c r="AR2868" s="71"/>
      <c r="AS2868" s="71"/>
      <c r="AT2868" s="71"/>
      <c r="AU2868" s="71"/>
      <c r="AV2868" s="71"/>
      <c r="AW2868" s="71"/>
      <c r="AX2868" s="71"/>
      <c r="AY2868" s="71"/>
      <c r="AZ2868" s="71"/>
      <c r="BA2868" s="71"/>
      <c r="BB2868" s="71"/>
      <c r="BC2868" s="71"/>
      <c r="BD2868" s="71"/>
      <c r="BE2868" s="71"/>
      <c r="BF2868" s="71"/>
      <c r="BG2868" s="71"/>
      <c r="BH2868" s="71"/>
      <c r="BI2868" s="71"/>
      <c r="BJ2868" s="71"/>
      <c r="BK2868" s="71"/>
      <c r="BL2868" s="71"/>
      <c r="BM2868" s="71"/>
      <c r="BN2868" s="71"/>
      <c r="BO2868" s="71"/>
      <c r="BP2868" s="71"/>
      <c r="BQ2868" s="71"/>
      <c r="BR2868" s="71"/>
      <c r="BS2868" s="71"/>
      <c r="BT2868" s="71"/>
      <c r="BU2868" s="71"/>
      <c r="BV2868" s="71"/>
    </row>
    <row r="2869">
      <c r="A2869" s="53"/>
      <c r="B2869" s="53"/>
      <c r="C2869" s="53"/>
      <c r="D2869" s="53"/>
      <c r="E2869" s="86"/>
      <c r="F2869" s="89"/>
      <c r="G2869" s="84"/>
      <c r="H2869" s="55"/>
      <c r="I2869" s="54" t="str">
        <f t="shared" si="140"/>
        <v/>
      </c>
      <c r="J2869" s="56"/>
      <c r="K2869" s="57"/>
      <c r="L2869" s="206"/>
      <c r="M2869" s="124"/>
      <c r="N2869" s="93"/>
      <c r="O2869" s="61"/>
      <c r="P2869" s="90"/>
      <c r="Q2869" s="94"/>
      <c r="R2869" s="95"/>
      <c r="S2869" s="125"/>
      <c r="T2869" s="65"/>
      <c r="U2869" s="65"/>
      <c r="V2869" s="66"/>
      <c r="W2869" s="67"/>
      <c r="X2869" s="67"/>
      <c r="Y2869" s="67"/>
      <c r="Z2869" s="67"/>
      <c r="AA2869" s="67"/>
      <c r="AB2869" s="67"/>
      <c r="AC2869" s="67"/>
      <c r="AD2869" s="67"/>
      <c r="AE2869" s="67"/>
      <c r="AF2869" s="67"/>
      <c r="AG2869" s="67"/>
      <c r="AH2869" s="67"/>
      <c r="AI2869" s="67"/>
      <c r="AJ2869" s="96"/>
      <c r="AK2869" s="96"/>
      <c r="AL2869" s="70"/>
      <c r="AM2869" s="70"/>
      <c r="AN2869" s="71"/>
      <c r="AO2869" s="71"/>
      <c r="AP2869" s="71"/>
      <c r="AQ2869" s="71"/>
      <c r="AR2869" s="71"/>
      <c r="AS2869" s="71"/>
      <c r="AT2869" s="71"/>
      <c r="AU2869" s="71"/>
      <c r="AV2869" s="71"/>
      <c r="AW2869" s="71"/>
      <c r="AX2869" s="71"/>
      <c r="AY2869" s="71"/>
      <c r="AZ2869" s="71"/>
      <c r="BA2869" s="71"/>
      <c r="BB2869" s="71"/>
      <c r="BC2869" s="71"/>
      <c r="BD2869" s="71"/>
      <c r="BE2869" s="71"/>
      <c r="BF2869" s="71"/>
      <c r="BG2869" s="71"/>
      <c r="BH2869" s="71"/>
      <c r="BI2869" s="71"/>
      <c r="BJ2869" s="71"/>
      <c r="BK2869" s="71"/>
      <c r="BL2869" s="71"/>
      <c r="BM2869" s="71"/>
      <c r="BN2869" s="71"/>
      <c r="BO2869" s="71"/>
      <c r="BP2869" s="71"/>
      <c r="BQ2869" s="71"/>
      <c r="BR2869" s="71"/>
      <c r="BS2869" s="71"/>
      <c r="BT2869" s="71"/>
      <c r="BU2869" s="71"/>
      <c r="BV2869" s="71"/>
    </row>
    <row r="2870">
      <c r="A2870" s="53"/>
      <c r="B2870" s="53"/>
      <c r="C2870" s="53"/>
      <c r="D2870" s="53"/>
      <c r="E2870" s="86"/>
      <c r="F2870" s="89"/>
      <c r="G2870" s="84"/>
      <c r="H2870" s="55"/>
      <c r="I2870" s="54" t="str">
        <f t="shared" si="140"/>
        <v/>
      </c>
      <c r="J2870" s="56"/>
      <c r="K2870" s="57"/>
      <c r="L2870" s="206"/>
      <c r="M2870" s="124"/>
      <c r="N2870" s="93"/>
      <c r="O2870" s="61"/>
      <c r="P2870" s="90"/>
      <c r="Q2870" s="94"/>
      <c r="R2870" s="95"/>
      <c r="S2870" s="125"/>
      <c r="T2870" s="65"/>
      <c r="U2870" s="65"/>
      <c r="V2870" s="66"/>
      <c r="W2870" s="67"/>
      <c r="X2870" s="67"/>
      <c r="Y2870" s="67"/>
      <c r="Z2870" s="67"/>
      <c r="AA2870" s="67"/>
      <c r="AB2870" s="67"/>
      <c r="AC2870" s="67"/>
      <c r="AD2870" s="67"/>
      <c r="AE2870" s="67"/>
      <c r="AF2870" s="67"/>
      <c r="AG2870" s="67"/>
      <c r="AH2870" s="67"/>
      <c r="AI2870" s="67"/>
      <c r="AJ2870" s="96"/>
      <c r="AK2870" s="96"/>
      <c r="AL2870" s="70"/>
      <c r="AM2870" s="70"/>
      <c r="AN2870" s="71"/>
      <c r="AO2870" s="71"/>
      <c r="AP2870" s="71"/>
      <c r="AQ2870" s="71"/>
      <c r="AR2870" s="71"/>
      <c r="AS2870" s="71"/>
      <c r="AT2870" s="71"/>
      <c r="AU2870" s="71"/>
      <c r="AV2870" s="71"/>
      <c r="AW2870" s="71"/>
      <c r="AX2870" s="71"/>
      <c r="AY2870" s="71"/>
      <c r="AZ2870" s="71"/>
      <c r="BA2870" s="71"/>
      <c r="BB2870" s="71"/>
      <c r="BC2870" s="71"/>
      <c r="BD2870" s="71"/>
      <c r="BE2870" s="71"/>
      <c r="BF2870" s="71"/>
      <c r="BG2870" s="71"/>
      <c r="BH2870" s="71"/>
      <c r="BI2870" s="71"/>
      <c r="BJ2870" s="71"/>
      <c r="BK2870" s="71"/>
      <c r="BL2870" s="71"/>
      <c r="BM2870" s="71"/>
      <c r="BN2870" s="71"/>
      <c r="BO2870" s="71"/>
      <c r="BP2870" s="71"/>
      <c r="BQ2870" s="71"/>
      <c r="BR2870" s="71"/>
      <c r="BS2870" s="71"/>
      <c r="BT2870" s="71"/>
      <c r="BU2870" s="71"/>
      <c r="BV2870" s="71"/>
    </row>
    <row r="2871">
      <c r="A2871" s="53"/>
      <c r="B2871" s="53"/>
      <c r="C2871" s="53"/>
      <c r="D2871" s="53"/>
      <c r="E2871" s="86"/>
      <c r="F2871" s="89"/>
      <c r="G2871" s="84"/>
      <c r="H2871" s="55"/>
      <c r="I2871" s="54" t="str">
        <f t="shared" si="140"/>
        <v/>
      </c>
      <c r="J2871" s="56"/>
      <c r="K2871" s="57"/>
      <c r="L2871" s="206"/>
      <c r="M2871" s="124"/>
      <c r="N2871" s="93"/>
      <c r="O2871" s="61"/>
      <c r="P2871" s="90"/>
      <c r="Q2871" s="94"/>
      <c r="R2871" s="95"/>
      <c r="S2871" s="125"/>
      <c r="T2871" s="65"/>
      <c r="U2871" s="65"/>
      <c r="V2871" s="66"/>
      <c r="W2871" s="67"/>
      <c r="X2871" s="67"/>
      <c r="Y2871" s="67"/>
      <c r="Z2871" s="67"/>
      <c r="AA2871" s="67"/>
      <c r="AB2871" s="67"/>
      <c r="AC2871" s="67"/>
      <c r="AD2871" s="67"/>
      <c r="AE2871" s="67"/>
      <c r="AF2871" s="67"/>
      <c r="AG2871" s="67"/>
      <c r="AH2871" s="67"/>
      <c r="AI2871" s="67"/>
      <c r="AJ2871" s="96"/>
      <c r="AK2871" s="96"/>
      <c r="AL2871" s="70"/>
      <c r="AM2871" s="70"/>
      <c r="AN2871" s="71"/>
      <c r="AO2871" s="71"/>
      <c r="AP2871" s="71"/>
      <c r="AQ2871" s="71"/>
      <c r="AR2871" s="71"/>
      <c r="AS2871" s="71"/>
      <c r="AT2871" s="71"/>
      <c r="AU2871" s="71"/>
      <c r="AV2871" s="71"/>
      <c r="AW2871" s="71"/>
      <c r="AX2871" s="71"/>
      <c r="AY2871" s="71"/>
      <c r="AZ2871" s="71"/>
      <c r="BA2871" s="71"/>
      <c r="BB2871" s="71"/>
      <c r="BC2871" s="71"/>
      <c r="BD2871" s="71"/>
      <c r="BE2871" s="71"/>
      <c r="BF2871" s="71"/>
      <c r="BG2871" s="71"/>
      <c r="BH2871" s="71"/>
      <c r="BI2871" s="71"/>
      <c r="BJ2871" s="71"/>
      <c r="BK2871" s="71"/>
      <c r="BL2871" s="71"/>
      <c r="BM2871" s="71"/>
      <c r="BN2871" s="71"/>
      <c r="BO2871" s="71"/>
      <c r="BP2871" s="71"/>
      <c r="BQ2871" s="71"/>
      <c r="BR2871" s="71"/>
      <c r="BS2871" s="71"/>
      <c r="BT2871" s="71"/>
      <c r="BU2871" s="71"/>
      <c r="BV2871" s="71"/>
    </row>
    <row r="2872">
      <c r="A2872" s="53"/>
      <c r="B2872" s="53"/>
      <c r="C2872" s="53"/>
      <c r="D2872" s="53"/>
      <c r="E2872" s="86"/>
      <c r="F2872" s="89"/>
      <c r="G2872" s="84"/>
      <c r="H2872" s="55"/>
      <c r="I2872" s="54" t="str">
        <f t="shared" si="140"/>
        <v/>
      </c>
      <c r="J2872" s="56"/>
      <c r="K2872" s="57"/>
      <c r="L2872" s="206"/>
      <c r="M2872" s="124"/>
      <c r="N2872" s="93"/>
      <c r="O2872" s="61"/>
      <c r="P2872" s="90"/>
      <c r="Q2872" s="94"/>
      <c r="R2872" s="95"/>
      <c r="S2872" s="125"/>
      <c r="T2872" s="65"/>
      <c r="U2872" s="65"/>
      <c r="V2872" s="66"/>
      <c r="W2872" s="67"/>
      <c r="X2872" s="67"/>
      <c r="Y2872" s="67"/>
      <c r="Z2872" s="67"/>
      <c r="AA2872" s="67"/>
      <c r="AB2872" s="67"/>
      <c r="AC2872" s="67"/>
      <c r="AD2872" s="67"/>
      <c r="AE2872" s="67"/>
      <c r="AF2872" s="67"/>
      <c r="AG2872" s="67"/>
      <c r="AH2872" s="67"/>
      <c r="AI2872" s="67"/>
      <c r="AJ2872" s="96"/>
      <c r="AK2872" s="96"/>
      <c r="AL2872" s="70"/>
      <c r="AM2872" s="70"/>
      <c r="AN2872" s="71"/>
      <c r="AO2872" s="71"/>
      <c r="AP2872" s="71"/>
      <c r="AQ2872" s="71"/>
      <c r="AR2872" s="71"/>
      <c r="AS2872" s="71"/>
      <c r="AT2872" s="71"/>
      <c r="AU2872" s="71"/>
      <c r="AV2872" s="71"/>
      <c r="AW2872" s="71"/>
      <c r="AX2872" s="71"/>
      <c r="AY2872" s="71"/>
      <c r="AZ2872" s="71"/>
      <c r="BA2872" s="71"/>
      <c r="BB2872" s="71"/>
      <c r="BC2872" s="71"/>
      <c r="BD2872" s="71"/>
      <c r="BE2872" s="71"/>
      <c r="BF2872" s="71"/>
      <c r="BG2872" s="71"/>
      <c r="BH2872" s="71"/>
      <c r="BI2872" s="71"/>
      <c r="BJ2872" s="71"/>
      <c r="BK2872" s="71"/>
      <c r="BL2872" s="71"/>
      <c r="BM2872" s="71"/>
      <c r="BN2872" s="71"/>
      <c r="BO2872" s="71"/>
      <c r="BP2872" s="71"/>
      <c r="BQ2872" s="71"/>
      <c r="BR2872" s="71"/>
      <c r="BS2872" s="71"/>
      <c r="BT2872" s="71"/>
      <c r="BU2872" s="71"/>
      <c r="BV2872" s="71"/>
    </row>
    <row r="2873">
      <c r="A2873" s="53"/>
      <c r="B2873" s="53"/>
      <c r="C2873" s="53"/>
      <c r="D2873" s="53"/>
      <c r="E2873" s="86"/>
      <c r="F2873" s="89"/>
      <c r="G2873" s="84"/>
      <c r="H2873" s="55"/>
      <c r="I2873" s="54" t="str">
        <f t="shared" si="140"/>
        <v/>
      </c>
      <c r="J2873" s="56"/>
      <c r="K2873" s="57"/>
      <c r="L2873" s="206"/>
      <c r="M2873" s="124"/>
      <c r="N2873" s="93"/>
      <c r="O2873" s="61"/>
      <c r="P2873" s="90"/>
      <c r="Q2873" s="94"/>
      <c r="R2873" s="95"/>
      <c r="S2873" s="125"/>
      <c r="T2873" s="65"/>
      <c r="U2873" s="65"/>
      <c r="V2873" s="66"/>
      <c r="W2873" s="67"/>
      <c r="X2873" s="67"/>
      <c r="Y2873" s="67"/>
      <c r="Z2873" s="67"/>
      <c r="AA2873" s="67"/>
      <c r="AB2873" s="67"/>
      <c r="AC2873" s="67"/>
      <c r="AD2873" s="67"/>
      <c r="AE2873" s="67"/>
      <c r="AF2873" s="67"/>
      <c r="AG2873" s="67"/>
      <c r="AH2873" s="67"/>
      <c r="AI2873" s="67"/>
      <c r="AJ2873" s="96"/>
      <c r="AK2873" s="96"/>
      <c r="AL2873" s="70"/>
      <c r="AM2873" s="70"/>
      <c r="AN2873" s="71"/>
      <c r="AO2873" s="71"/>
      <c r="AP2873" s="71"/>
      <c r="AQ2873" s="71"/>
      <c r="AR2873" s="71"/>
      <c r="AS2873" s="71"/>
      <c r="AT2873" s="71"/>
      <c r="AU2873" s="71"/>
      <c r="AV2873" s="71"/>
      <c r="AW2873" s="71"/>
      <c r="AX2873" s="71"/>
      <c r="AY2873" s="71"/>
      <c r="AZ2873" s="71"/>
      <c r="BA2873" s="71"/>
      <c r="BB2873" s="71"/>
      <c r="BC2873" s="71"/>
      <c r="BD2873" s="71"/>
      <c r="BE2873" s="71"/>
      <c r="BF2873" s="71"/>
      <c r="BG2873" s="71"/>
      <c r="BH2873" s="71"/>
      <c r="BI2873" s="71"/>
      <c r="BJ2873" s="71"/>
      <c r="BK2873" s="71"/>
      <c r="BL2873" s="71"/>
      <c r="BM2873" s="71"/>
      <c r="BN2873" s="71"/>
      <c r="BO2873" s="71"/>
      <c r="BP2873" s="71"/>
      <c r="BQ2873" s="71"/>
      <c r="BR2873" s="71"/>
      <c r="BS2873" s="71"/>
      <c r="BT2873" s="71"/>
      <c r="BU2873" s="71"/>
      <c r="BV2873" s="71"/>
    </row>
    <row r="2874">
      <c r="A2874" s="53"/>
      <c r="B2874" s="53"/>
      <c r="C2874" s="53"/>
      <c r="D2874" s="53"/>
      <c r="E2874" s="86"/>
      <c r="F2874" s="89"/>
      <c r="G2874" s="84"/>
      <c r="H2874" s="55"/>
      <c r="I2874" s="54" t="str">
        <f t="shared" si="140"/>
        <v/>
      </c>
      <c r="J2874" s="56"/>
      <c r="K2874" s="57"/>
      <c r="L2874" s="206"/>
      <c r="M2874" s="124"/>
      <c r="N2874" s="93"/>
      <c r="O2874" s="61"/>
      <c r="P2874" s="90"/>
      <c r="Q2874" s="94"/>
      <c r="R2874" s="95"/>
      <c r="S2874" s="125"/>
      <c r="T2874" s="65"/>
      <c r="U2874" s="65"/>
      <c r="V2874" s="66"/>
      <c r="W2874" s="67"/>
      <c r="X2874" s="67"/>
      <c r="Y2874" s="67"/>
      <c r="Z2874" s="67"/>
      <c r="AA2874" s="67"/>
      <c r="AB2874" s="67"/>
      <c r="AC2874" s="67"/>
      <c r="AD2874" s="67"/>
      <c r="AE2874" s="67"/>
      <c r="AF2874" s="67"/>
      <c r="AG2874" s="67"/>
      <c r="AH2874" s="67"/>
      <c r="AI2874" s="67"/>
      <c r="AJ2874" s="96"/>
      <c r="AK2874" s="96"/>
      <c r="AL2874" s="70"/>
      <c r="AM2874" s="70"/>
      <c r="AN2874" s="71"/>
      <c r="AO2874" s="71"/>
      <c r="AP2874" s="71"/>
      <c r="AQ2874" s="71"/>
      <c r="AR2874" s="71"/>
      <c r="AS2874" s="71"/>
      <c r="AT2874" s="71"/>
      <c r="AU2874" s="71"/>
      <c r="AV2874" s="71"/>
      <c r="AW2874" s="71"/>
      <c r="AX2874" s="71"/>
      <c r="AY2874" s="71"/>
      <c r="AZ2874" s="71"/>
      <c r="BA2874" s="71"/>
      <c r="BB2874" s="71"/>
      <c r="BC2874" s="71"/>
      <c r="BD2874" s="71"/>
      <c r="BE2874" s="71"/>
      <c r="BF2874" s="71"/>
      <c r="BG2874" s="71"/>
      <c r="BH2874" s="71"/>
      <c r="BI2874" s="71"/>
      <c r="BJ2874" s="71"/>
      <c r="BK2874" s="71"/>
      <c r="BL2874" s="71"/>
      <c r="BM2874" s="71"/>
      <c r="BN2874" s="71"/>
      <c r="BO2874" s="71"/>
      <c r="BP2874" s="71"/>
      <c r="BQ2874" s="71"/>
      <c r="BR2874" s="71"/>
      <c r="BS2874" s="71"/>
      <c r="BT2874" s="71"/>
      <c r="BU2874" s="71"/>
      <c r="BV2874" s="71"/>
    </row>
    <row r="2875">
      <c r="A2875" s="53"/>
      <c r="B2875" s="53"/>
      <c r="C2875" s="53"/>
      <c r="D2875" s="53"/>
      <c r="E2875" s="86"/>
      <c r="F2875" s="89"/>
      <c r="G2875" s="84"/>
      <c r="H2875" s="55"/>
      <c r="I2875" s="54" t="str">
        <f t="shared" si="140"/>
        <v/>
      </c>
      <c r="J2875" s="56"/>
      <c r="K2875" s="57"/>
      <c r="L2875" s="206"/>
      <c r="M2875" s="124"/>
      <c r="N2875" s="93"/>
      <c r="O2875" s="61"/>
      <c r="P2875" s="90"/>
      <c r="Q2875" s="94"/>
      <c r="R2875" s="95"/>
      <c r="S2875" s="125"/>
      <c r="T2875" s="65"/>
      <c r="U2875" s="65"/>
      <c r="V2875" s="66"/>
      <c r="W2875" s="67"/>
      <c r="X2875" s="67"/>
      <c r="Y2875" s="67"/>
      <c r="Z2875" s="67"/>
      <c r="AA2875" s="67"/>
      <c r="AB2875" s="67"/>
      <c r="AC2875" s="67"/>
      <c r="AD2875" s="67"/>
      <c r="AE2875" s="67"/>
      <c r="AF2875" s="67"/>
      <c r="AG2875" s="67"/>
      <c r="AH2875" s="67"/>
      <c r="AI2875" s="67"/>
      <c r="AJ2875" s="96"/>
      <c r="AK2875" s="96"/>
      <c r="AL2875" s="70"/>
      <c r="AM2875" s="70"/>
      <c r="AN2875" s="71"/>
      <c r="AO2875" s="71"/>
      <c r="AP2875" s="71"/>
      <c r="AQ2875" s="71"/>
      <c r="AR2875" s="71"/>
      <c r="AS2875" s="71"/>
      <c r="AT2875" s="71"/>
      <c r="AU2875" s="71"/>
      <c r="AV2875" s="71"/>
      <c r="AW2875" s="71"/>
      <c r="AX2875" s="71"/>
      <c r="AY2875" s="71"/>
      <c r="AZ2875" s="71"/>
      <c r="BA2875" s="71"/>
      <c r="BB2875" s="71"/>
      <c r="BC2875" s="71"/>
      <c r="BD2875" s="71"/>
      <c r="BE2875" s="71"/>
      <c r="BF2875" s="71"/>
      <c r="BG2875" s="71"/>
      <c r="BH2875" s="71"/>
      <c r="BI2875" s="71"/>
      <c r="BJ2875" s="71"/>
      <c r="BK2875" s="71"/>
      <c r="BL2875" s="71"/>
      <c r="BM2875" s="71"/>
      <c r="BN2875" s="71"/>
      <c r="BO2875" s="71"/>
      <c r="BP2875" s="71"/>
      <c r="BQ2875" s="71"/>
      <c r="BR2875" s="71"/>
      <c r="BS2875" s="71"/>
      <c r="BT2875" s="71"/>
      <c r="BU2875" s="71"/>
      <c r="BV2875" s="71"/>
    </row>
    <row r="2876">
      <c r="A2876" s="53"/>
      <c r="B2876" s="53"/>
      <c r="C2876" s="53"/>
      <c r="D2876" s="53"/>
      <c r="E2876" s="86"/>
      <c r="F2876" s="89"/>
      <c r="G2876" s="84"/>
      <c r="H2876" s="55"/>
      <c r="I2876" s="54" t="str">
        <f t="shared" si="140"/>
        <v/>
      </c>
      <c r="J2876" s="56"/>
      <c r="K2876" s="57"/>
      <c r="L2876" s="206"/>
      <c r="M2876" s="124"/>
      <c r="N2876" s="93"/>
      <c r="O2876" s="61"/>
      <c r="P2876" s="90"/>
      <c r="Q2876" s="94"/>
      <c r="R2876" s="95"/>
      <c r="S2876" s="125"/>
      <c r="T2876" s="65"/>
      <c r="U2876" s="65"/>
      <c r="V2876" s="66"/>
      <c r="W2876" s="67"/>
      <c r="X2876" s="67"/>
      <c r="Y2876" s="67"/>
      <c r="Z2876" s="67"/>
      <c r="AA2876" s="67"/>
      <c r="AB2876" s="67"/>
      <c r="AC2876" s="67"/>
      <c r="AD2876" s="67"/>
      <c r="AE2876" s="67"/>
      <c r="AF2876" s="67"/>
      <c r="AG2876" s="67"/>
      <c r="AH2876" s="67"/>
      <c r="AI2876" s="67"/>
      <c r="AJ2876" s="96"/>
      <c r="AK2876" s="96"/>
      <c r="AL2876" s="70"/>
      <c r="AM2876" s="70"/>
      <c r="AN2876" s="71"/>
      <c r="AO2876" s="71"/>
      <c r="AP2876" s="71"/>
      <c r="AQ2876" s="71"/>
      <c r="AR2876" s="71"/>
      <c r="AS2876" s="71"/>
      <c r="AT2876" s="71"/>
      <c r="AU2876" s="71"/>
      <c r="AV2876" s="71"/>
      <c r="AW2876" s="71"/>
      <c r="AX2876" s="71"/>
      <c r="AY2876" s="71"/>
      <c r="AZ2876" s="71"/>
      <c r="BA2876" s="71"/>
      <c r="BB2876" s="71"/>
      <c r="BC2876" s="71"/>
      <c r="BD2876" s="71"/>
      <c r="BE2876" s="71"/>
      <c r="BF2876" s="71"/>
      <c r="BG2876" s="71"/>
      <c r="BH2876" s="71"/>
      <c r="BI2876" s="71"/>
      <c r="BJ2876" s="71"/>
      <c r="BK2876" s="71"/>
      <c r="BL2876" s="71"/>
      <c r="BM2876" s="71"/>
      <c r="BN2876" s="71"/>
      <c r="BO2876" s="71"/>
      <c r="BP2876" s="71"/>
      <c r="BQ2876" s="71"/>
      <c r="BR2876" s="71"/>
      <c r="BS2876" s="71"/>
      <c r="BT2876" s="71"/>
      <c r="BU2876" s="71"/>
      <c r="BV2876" s="71"/>
    </row>
    <row r="2877">
      <c r="A2877" s="53"/>
      <c r="B2877" s="53"/>
      <c r="C2877" s="53"/>
      <c r="D2877" s="53"/>
      <c r="E2877" s="86"/>
      <c r="F2877" s="89"/>
      <c r="G2877" s="84"/>
      <c r="H2877" s="55"/>
      <c r="I2877" s="54" t="str">
        <f t="shared" si="140"/>
        <v/>
      </c>
      <c r="J2877" s="56"/>
      <c r="K2877" s="57"/>
      <c r="L2877" s="206"/>
      <c r="M2877" s="124"/>
      <c r="N2877" s="93"/>
      <c r="O2877" s="61"/>
      <c r="P2877" s="90"/>
      <c r="Q2877" s="94"/>
      <c r="R2877" s="95"/>
      <c r="S2877" s="125"/>
      <c r="T2877" s="65"/>
      <c r="U2877" s="65"/>
      <c r="V2877" s="66"/>
      <c r="W2877" s="67"/>
      <c r="X2877" s="67"/>
      <c r="Y2877" s="67"/>
      <c r="Z2877" s="67"/>
      <c r="AA2877" s="67"/>
      <c r="AB2877" s="67"/>
      <c r="AC2877" s="67"/>
      <c r="AD2877" s="67"/>
      <c r="AE2877" s="67"/>
      <c r="AF2877" s="67"/>
      <c r="AG2877" s="67"/>
      <c r="AH2877" s="67"/>
      <c r="AI2877" s="67"/>
      <c r="AJ2877" s="96"/>
      <c r="AK2877" s="96"/>
      <c r="AL2877" s="70"/>
      <c r="AM2877" s="70"/>
      <c r="AN2877" s="71"/>
      <c r="AO2877" s="71"/>
      <c r="AP2877" s="71"/>
      <c r="AQ2877" s="71"/>
      <c r="AR2877" s="71"/>
      <c r="AS2877" s="71"/>
      <c r="AT2877" s="71"/>
      <c r="AU2877" s="71"/>
      <c r="AV2877" s="71"/>
      <c r="AW2877" s="71"/>
      <c r="AX2877" s="71"/>
      <c r="AY2877" s="71"/>
      <c r="AZ2877" s="71"/>
      <c r="BA2877" s="71"/>
      <c r="BB2877" s="71"/>
      <c r="BC2877" s="71"/>
      <c r="BD2877" s="71"/>
      <c r="BE2877" s="71"/>
      <c r="BF2877" s="71"/>
      <c r="BG2877" s="71"/>
      <c r="BH2877" s="71"/>
      <c r="BI2877" s="71"/>
      <c r="BJ2877" s="71"/>
      <c r="BK2877" s="71"/>
      <c r="BL2877" s="71"/>
      <c r="BM2877" s="71"/>
      <c r="BN2877" s="71"/>
      <c r="BO2877" s="71"/>
      <c r="BP2877" s="71"/>
      <c r="BQ2877" s="71"/>
      <c r="BR2877" s="71"/>
      <c r="BS2877" s="71"/>
      <c r="BT2877" s="71"/>
      <c r="BU2877" s="71"/>
      <c r="BV2877" s="71"/>
    </row>
    <row r="2878">
      <c r="A2878" s="53"/>
      <c r="B2878" s="53"/>
      <c r="C2878" s="53"/>
      <c r="D2878" s="53"/>
      <c r="E2878" s="86"/>
      <c r="F2878" s="89"/>
      <c r="G2878" s="84"/>
      <c r="H2878" s="55"/>
      <c r="I2878" s="54" t="str">
        <f t="shared" si="140"/>
        <v/>
      </c>
      <c r="J2878" s="56"/>
      <c r="K2878" s="57"/>
      <c r="L2878" s="206"/>
      <c r="M2878" s="124"/>
      <c r="N2878" s="93"/>
      <c r="O2878" s="61"/>
      <c r="P2878" s="90"/>
      <c r="Q2878" s="94"/>
      <c r="R2878" s="95"/>
      <c r="S2878" s="125"/>
      <c r="T2878" s="65"/>
      <c r="U2878" s="65"/>
      <c r="V2878" s="66"/>
      <c r="W2878" s="67"/>
      <c r="X2878" s="67"/>
      <c r="Y2878" s="67"/>
      <c r="Z2878" s="67"/>
      <c r="AA2878" s="67"/>
      <c r="AB2878" s="67"/>
      <c r="AC2878" s="67"/>
      <c r="AD2878" s="67"/>
      <c r="AE2878" s="67"/>
      <c r="AF2878" s="67"/>
      <c r="AG2878" s="67"/>
      <c r="AH2878" s="67"/>
      <c r="AI2878" s="67"/>
      <c r="AJ2878" s="96"/>
      <c r="AK2878" s="96"/>
      <c r="AL2878" s="70"/>
      <c r="AM2878" s="70"/>
      <c r="AN2878" s="71"/>
      <c r="AO2878" s="71"/>
      <c r="AP2878" s="71"/>
      <c r="AQ2878" s="71"/>
      <c r="AR2878" s="71"/>
      <c r="AS2878" s="71"/>
      <c r="AT2878" s="71"/>
      <c r="AU2878" s="71"/>
      <c r="AV2878" s="71"/>
      <c r="AW2878" s="71"/>
      <c r="AX2878" s="71"/>
      <c r="AY2878" s="71"/>
      <c r="AZ2878" s="71"/>
      <c r="BA2878" s="71"/>
      <c r="BB2878" s="71"/>
      <c r="BC2878" s="71"/>
      <c r="BD2878" s="71"/>
      <c r="BE2878" s="71"/>
      <c r="BF2878" s="71"/>
      <c r="BG2878" s="71"/>
      <c r="BH2878" s="71"/>
      <c r="BI2878" s="71"/>
      <c r="BJ2878" s="71"/>
      <c r="BK2878" s="71"/>
      <c r="BL2878" s="71"/>
      <c r="BM2878" s="71"/>
      <c r="BN2878" s="71"/>
      <c r="BO2878" s="71"/>
      <c r="BP2878" s="71"/>
      <c r="BQ2878" s="71"/>
      <c r="BR2878" s="71"/>
      <c r="BS2878" s="71"/>
      <c r="BT2878" s="71"/>
      <c r="BU2878" s="71"/>
      <c r="BV2878" s="71"/>
    </row>
    <row r="2879">
      <c r="A2879" s="53"/>
      <c r="B2879" s="53"/>
      <c r="C2879" s="53"/>
      <c r="D2879" s="53"/>
      <c r="E2879" s="86"/>
      <c r="F2879" s="89"/>
      <c r="G2879" s="84"/>
      <c r="H2879" s="55"/>
      <c r="I2879" s="54" t="str">
        <f t="shared" si="140"/>
        <v/>
      </c>
      <c r="J2879" s="56"/>
      <c r="K2879" s="57"/>
      <c r="L2879" s="206"/>
      <c r="M2879" s="124"/>
      <c r="N2879" s="93"/>
      <c r="O2879" s="61"/>
      <c r="P2879" s="90"/>
      <c r="Q2879" s="94"/>
      <c r="R2879" s="95"/>
      <c r="S2879" s="125"/>
      <c r="T2879" s="65"/>
      <c r="U2879" s="65"/>
      <c r="V2879" s="66"/>
      <c r="W2879" s="67"/>
      <c r="X2879" s="67"/>
      <c r="Y2879" s="67"/>
      <c r="Z2879" s="67"/>
      <c r="AA2879" s="67"/>
      <c r="AB2879" s="67"/>
      <c r="AC2879" s="67"/>
      <c r="AD2879" s="67"/>
      <c r="AE2879" s="67"/>
      <c r="AF2879" s="67"/>
      <c r="AG2879" s="67"/>
      <c r="AH2879" s="67"/>
      <c r="AI2879" s="67"/>
      <c r="AJ2879" s="96"/>
      <c r="AK2879" s="96"/>
      <c r="AL2879" s="70"/>
      <c r="AM2879" s="70"/>
      <c r="AN2879" s="71"/>
      <c r="AO2879" s="71"/>
      <c r="AP2879" s="71"/>
      <c r="AQ2879" s="71"/>
      <c r="AR2879" s="71"/>
      <c r="AS2879" s="71"/>
      <c r="AT2879" s="71"/>
      <c r="AU2879" s="71"/>
      <c r="AV2879" s="71"/>
      <c r="AW2879" s="71"/>
      <c r="AX2879" s="71"/>
      <c r="AY2879" s="71"/>
      <c r="AZ2879" s="71"/>
      <c r="BA2879" s="71"/>
      <c r="BB2879" s="71"/>
      <c r="BC2879" s="71"/>
      <c r="BD2879" s="71"/>
      <c r="BE2879" s="71"/>
      <c r="BF2879" s="71"/>
      <c r="BG2879" s="71"/>
      <c r="BH2879" s="71"/>
      <c r="BI2879" s="71"/>
      <c r="BJ2879" s="71"/>
      <c r="BK2879" s="71"/>
      <c r="BL2879" s="71"/>
      <c r="BM2879" s="71"/>
      <c r="BN2879" s="71"/>
      <c r="BO2879" s="71"/>
      <c r="BP2879" s="71"/>
      <c r="BQ2879" s="71"/>
      <c r="BR2879" s="71"/>
      <c r="BS2879" s="71"/>
      <c r="BT2879" s="71"/>
      <c r="BU2879" s="71"/>
      <c r="BV2879" s="71"/>
    </row>
    <row r="2880">
      <c r="A2880" s="53"/>
      <c r="B2880" s="53"/>
      <c r="C2880" s="53"/>
      <c r="D2880" s="53"/>
      <c r="E2880" s="86"/>
      <c r="F2880" s="89"/>
      <c r="G2880" s="84"/>
      <c r="H2880" s="55"/>
      <c r="I2880" s="54" t="str">
        <f t="shared" si="140"/>
        <v/>
      </c>
      <c r="J2880" s="56"/>
      <c r="K2880" s="57"/>
      <c r="L2880" s="206"/>
      <c r="M2880" s="124"/>
      <c r="N2880" s="93"/>
      <c r="O2880" s="61"/>
      <c r="P2880" s="90"/>
      <c r="Q2880" s="94"/>
      <c r="R2880" s="95"/>
      <c r="S2880" s="125"/>
      <c r="T2880" s="65"/>
      <c r="U2880" s="65"/>
      <c r="V2880" s="66"/>
      <c r="W2880" s="67"/>
      <c r="X2880" s="67"/>
      <c r="Y2880" s="67"/>
      <c r="Z2880" s="67"/>
      <c r="AA2880" s="67"/>
      <c r="AB2880" s="67"/>
      <c r="AC2880" s="67"/>
      <c r="AD2880" s="67"/>
      <c r="AE2880" s="67"/>
      <c r="AF2880" s="67"/>
      <c r="AG2880" s="67"/>
      <c r="AH2880" s="67"/>
      <c r="AI2880" s="67"/>
      <c r="AJ2880" s="96"/>
      <c r="AK2880" s="96"/>
      <c r="AL2880" s="70"/>
      <c r="AM2880" s="70"/>
      <c r="AN2880" s="71"/>
      <c r="AO2880" s="71"/>
      <c r="AP2880" s="71"/>
      <c r="AQ2880" s="71"/>
      <c r="AR2880" s="71"/>
      <c r="AS2880" s="71"/>
      <c r="AT2880" s="71"/>
      <c r="AU2880" s="71"/>
      <c r="AV2880" s="71"/>
      <c r="AW2880" s="71"/>
      <c r="AX2880" s="71"/>
      <c r="AY2880" s="71"/>
      <c r="AZ2880" s="71"/>
      <c r="BA2880" s="71"/>
      <c r="BB2880" s="71"/>
      <c r="BC2880" s="71"/>
      <c r="BD2880" s="71"/>
      <c r="BE2880" s="71"/>
      <c r="BF2880" s="71"/>
      <c r="BG2880" s="71"/>
      <c r="BH2880" s="71"/>
      <c r="BI2880" s="71"/>
      <c r="BJ2880" s="71"/>
      <c r="BK2880" s="71"/>
      <c r="BL2880" s="71"/>
      <c r="BM2880" s="71"/>
      <c r="BN2880" s="71"/>
      <c r="BO2880" s="71"/>
      <c r="BP2880" s="71"/>
      <c r="BQ2880" s="71"/>
      <c r="BR2880" s="71"/>
      <c r="BS2880" s="71"/>
      <c r="BT2880" s="71"/>
      <c r="BU2880" s="71"/>
      <c r="BV2880" s="71"/>
    </row>
    <row r="2881">
      <c r="A2881" s="53"/>
      <c r="B2881" s="53"/>
      <c r="C2881" s="53"/>
      <c r="D2881" s="53"/>
      <c r="E2881" s="86"/>
      <c r="F2881" s="89"/>
      <c r="G2881" s="84"/>
      <c r="H2881" s="55"/>
      <c r="I2881" s="54" t="str">
        <f t="shared" si="140"/>
        <v/>
      </c>
      <c r="J2881" s="56"/>
      <c r="K2881" s="57"/>
      <c r="L2881" s="206"/>
      <c r="M2881" s="124"/>
      <c r="N2881" s="93"/>
      <c r="O2881" s="61"/>
      <c r="P2881" s="90"/>
      <c r="Q2881" s="94"/>
      <c r="R2881" s="95"/>
      <c r="S2881" s="125"/>
      <c r="T2881" s="65"/>
      <c r="U2881" s="65"/>
      <c r="V2881" s="66"/>
      <c r="W2881" s="67"/>
      <c r="X2881" s="67"/>
      <c r="Y2881" s="67"/>
      <c r="Z2881" s="67"/>
      <c r="AA2881" s="67"/>
      <c r="AB2881" s="67"/>
      <c r="AC2881" s="67"/>
      <c r="AD2881" s="67"/>
      <c r="AE2881" s="67"/>
      <c r="AF2881" s="67"/>
      <c r="AG2881" s="67"/>
      <c r="AH2881" s="67"/>
      <c r="AI2881" s="67"/>
      <c r="AJ2881" s="96"/>
      <c r="AK2881" s="96"/>
      <c r="AL2881" s="70"/>
      <c r="AM2881" s="70"/>
      <c r="AN2881" s="71"/>
      <c r="AO2881" s="71"/>
      <c r="AP2881" s="71"/>
      <c r="AQ2881" s="71"/>
      <c r="AR2881" s="71"/>
      <c r="AS2881" s="71"/>
      <c r="AT2881" s="71"/>
      <c r="AU2881" s="71"/>
      <c r="AV2881" s="71"/>
      <c r="AW2881" s="71"/>
      <c r="AX2881" s="71"/>
      <c r="AY2881" s="71"/>
      <c r="AZ2881" s="71"/>
      <c r="BA2881" s="71"/>
      <c r="BB2881" s="71"/>
      <c r="BC2881" s="71"/>
      <c r="BD2881" s="71"/>
      <c r="BE2881" s="71"/>
      <c r="BF2881" s="71"/>
      <c r="BG2881" s="71"/>
      <c r="BH2881" s="71"/>
      <c r="BI2881" s="71"/>
      <c r="BJ2881" s="71"/>
      <c r="BK2881" s="71"/>
      <c r="BL2881" s="71"/>
      <c r="BM2881" s="71"/>
      <c r="BN2881" s="71"/>
      <c r="BO2881" s="71"/>
      <c r="BP2881" s="71"/>
      <c r="BQ2881" s="71"/>
      <c r="BR2881" s="71"/>
      <c r="BS2881" s="71"/>
      <c r="BT2881" s="71"/>
      <c r="BU2881" s="71"/>
      <c r="BV2881" s="71"/>
    </row>
    <row r="2882">
      <c r="A2882" s="53"/>
      <c r="B2882" s="53"/>
      <c r="C2882" s="53"/>
      <c r="D2882" s="53"/>
      <c r="E2882" s="86"/>
      <c r="F2882" s="89"/>
      <c r="G2882" s="84"/>
      <c r="H2882" s="55"/>
      <c r="I2882" s="54" t="str">
        <f t="shared" si="140"/>
        <v/>
      </c>
      <c r="J2882" s="56"/>
      <c r="K2882" s="57"/>
      <c r="L2882" s="206"/>
      <c r="M2882" s="124"/>
      <c r="N2882" s="93"/>
      <c r="O2882" s="61"/>
      <c r="P2882" s="90"/>
      <c r="Q2882" s="94"/>
      <c r="R2882" s="95"/>
      <c r="S2882" s="125"/>
      <c r="T2882" s="65"/>
      <c r="U2882" s="65"/>
      <c r="V2882" s="66"/>
      <c r="W2882" s="67"/>
      <c r="X2882" s="67"/>
      <c r="Y2882" s="67"/>
      <c r="Z2882" s="67"/>
      <c r="AA2882" s="67"/>
      <c r="AB2882" s="67"/>
      <c r="AC2882" s="67"/>
      <c r="AD2882" s="67"/>
      <c r="AE2882" s="67"/>
      <c r="AF2882" s="67"/>
      <c r="AG2882" s="67"/>
      <c r="AH2882" s="67"/>
      <c r="AI2882" s="67"/>
      <c r="AJ2882" s="96"/>
      <c r="AK2882" s="96"/>
      <c r="AL2882" s="70"/>
      <c r="AM2882" s="70"/>
      <c r="AN2882" s="71"/>
      <c r="AO2882" s="71"/>
      <c r="AP2882" s="71"/>
      <c r="AQ2882" s="71"/>
      <c r="AR2882" s="71"/>
      <c r="AS2882" s="71"/>
      <c r="AT2882" s="71"/>
      <c r="AU2882" s="71"/>
      <c r="AV2882" s="71"/>
      <c r="AW2882" s="71"/>
      <c r="AX2882" s="71"/>
      <c r="AY2882" s="71"/>
      <c r="AZ2882" s="71"/>
      <c r="BA2882" s="71"/>
      <c r="BB2882" s="71"/>
      <c r="BC2882" s="71"/>
      <c r="BD2882" s="71"/>
      <c r="BE2882" s="71"/>
      <c r="BF2882" s="71"/>
      <c r="BG2882" s="71"/>
      <c r="BH2882" s="71"/>
      <c r="BI2882" s="71"/>
      <c r="BJ2882" s="71"/>
      <c r="BK2882" s="71"/>
      <c r="BL2882" s="71"/>
      <c r="BM2882" s="71"/>
      <c r="BN2882" s="71"/>
      <c r="BO2882" s="71"/>
      <c r="BP2882" s="71"/>
      <c r="BQ2882" s="71"/>
      <c r="BR2882" s="71"/>
      <c r="BS2882" s="71"/>
      <c r="BT2882" s="71"/>
      <c r="BU2882" s="71"/>
      <c r="BV2882" s="71"/>
    </row>
    <row r="2883">
      <c r="A2883" s="53"/>
      <c r="B2883" s="53"/>
      <c r="C2883" s="53"/>
      <c r="D2883" s="53"/>
      <c r="E2883" s="86"/>
      <c r="F2883" s="89"/>
      <c r="G2883" s="84"/>
      <c r="H2883" s="55"/>
      <c r="I2883" s="54" t="str">
        <f t="shared" si="140"/>
        <v/>
      </c>
      <c r="J2883" s="56"/>
      <c r="K2883" s="57"/>
      <c r="L2883" s="206"/>
      <c r="M2883" s="124"/>
      <c r="N2883" s="93"/>
      <c r="O2883" s="61"/>
      <c r="P2883" s="90"/>
      <c r="Q2883" s="94"/>
      <c r="R2883" s="95"/>
      <c r="S2883" s="125"/>
      <c r="T2883" s="65"/>
      <c r="U2883" s="65"/>
      <c r="V2883" s="66"/>
      <c r="W2883" s="67"/>
      <c r="X2883" s="67"/>
      <c r="Y2883" s="67"/>
      <c r="Z2883" s="67"/>
      <c r="AA2883" s="67"/>
      <c r="AB2883" s="67"/>
      <c r="AC2883" s="67"/>
      <c r="AD2883" s="67"/>
      <c r="AE2883" s="67"/>
      <c r="AF2883" s="67"/>
      <c r="AG2883" s="67"/>
      <c r="AH2883" s="67"/>
      <c r="AI2883" s="67"/>
      <c r="AJ2883" s="96"/>
      <c r="AK2883" s="96"/>
      <c r="AL2883" s="70"/>
      <c r="AM2883" s="70"/>
      <c r="AN2883" s="71"/>
      <c r="AO2883" s="71"/>
      <c r="AP2883" s="71"/>
      <c r="AQ2883" s="71"/>
      <c r="AR2883" s="71"/>
      <c r="AS2883" s="71"/>
      <c r="AT2883" s="71"/>
      <c r="AU2883" s="71"/>
      <c r="AV2883" s="71"/>
      <c r="AW2883" s="71"/>
      <c r="AX2883" s="71"/>
      <c r="AY2883" s="71"/>
      <c r="AZ2883" s="71"/>
      <c r="BA2883" s="71"/>
      <c r="BB2883" s="71"/>
      <c r="BC2883" s="71"/>
      <c r="BD2883" s="71"/>
      <c r="BE2883" s="71"/>
      <c r="BF2883" s="71"/>
      <c r="BG2883" s="71"/>
      <c r="BH2883" s="71"/>
      <c r="BI2883" s="71"/>
      <c r="BJ2883" s="71"/>
      <c r="BK2883" s="71"/>
      <c r="BL2883" s="71"/>
      <c r="BM2883" s="71"/>
      <c r="BN2883" s="71"/>
      <c r="BO2883" s="71"/>
      <c r="BP2883" s="71"/>
      <c r="BQ2883" s="71"/>
      <c r="BR2883" s="71"/>
      <c r="BS2883" s="71"/>
      <c r="BT2883" s="71"/>
      <c r="BU2883" s="71"/>
      <c r="BV2883" s="71"/>
    </row>
    <row r="2884">
      <c r="A2884" s="53"/>
      <c r="B2884" s="53"/>
      <c r="C2884" s="53"/>
      <c r="D2884" s="53"/>
      <c r="E2884" s="86"/>
      <c r="F2884" s="89"/>
      <c r="G2884" s="84"/>
      <c r="H2884" s="55"/>
      <c r="I2884" s="54" t="str">
        <f t="shared" si="140"/>
        <v/>
      </c>
      <c r="J2884" s="56"/>
      <c r="K2884" s="57"/>
      <c r="L2884" s="206"/>
      <c r="M2884" s="124"/>
      <c r="N2884" s="93"/>
      <c r="O2884" s="61"/>
      <c r="P2884" s="90"/>
      <c r="Q2884" s="94"/>
      <c r="R2884" s="95"/>
      <c r="S2884" s="125"/>
      <c r="T2884" s="65"/>
      <c r="U2884" s="65"/>
      <c r="V2884" s="66"/>
      <c r="W2884" s="67"/>
      <c r="X2884" s="67"/>
      <c r="Y2884" s="67"/>
      <c r="Z2884" s="67"/>
      <c r="AA2884" s="67"/>
      <c r="AB2884" s="67"/>
      <c r="AC2884" s="67"/>
      <c r="AD2884" s="67"/>
      <c r="AE2884" s="67"/>
      <c r="AF2884" s="67"/>
      <c r="AG2884" s="67"/>
      <c r="AH2884" s="67"/>
      <c r="AI2884" s="67"/>
      <c r="AJ2884" s="96"/>
      <c r="AK2884" s="96"/>
      <c r="AL2884" s="70"/>
      <c r="AM2884" s="70"/>
      <c r="AN2884" s="71"/>
      <c r="AO2884" s="71"/>
      <c r="AP2884" s="71"/>
      <c r="AQ2884" s="71"/>
      <c r="AR2884" s="71"/>
      <c r="AS2884" s="71"/>
      <c r="AT2884" s="71"/>
      <c r="AU2884" s="71"/>
      <c r="AV2884" s="71"/>
      <c r="AW2884" s="71"/>
      <c r="AX2884" s="71"/>
      <c r="AY2884" s="71"/>
      <c r="AZ2884" s="71"/>
      <c r="BA2884" s="71"/>
      <c r="BB2884" s="71"/>
      <c r="BC2884" s="71"/>
      <c r="BD2884" s="71"/>
      <c r="BE2884" s="71"/>
      <c r="BF2884" s="71"/>
      <c r="BG2884" s="71"/>
      <c r="BH2884" s="71"/>
      <c r="BI2884" s="71"/>
      <c r="BJ2884" s="71"/>
      <c r="BK2884" s="71"/>
      <c r="BL2884" s="71"/>
      <c r="BM2884" s="71"/>
      <c r="BN2884" s="71"/>
      <c r="BO2884" s="71"/>
      <c r="BP2884" s="71"/>
      <c r="BQ2884" s="71"/>
      <c r="BR2884" s="71"/>
      <c r="BS2884" s="71"/>
      <c r="BT2884" s="71"/>
      <c r="BU2884" s="71"/>
      <c r="BV2884" s="71"/>
    </row>
    <row r="2885">
      <c r="A2885" s="53"/>
      <c r="B2885" s="53"/>
      <c r="C2885" s="53"/>
      <c r="D2885" s="53"/>
      <c r="E2885" s="86"/>
      <c r="F2885" s="89"/>
      <c r="G2885" s="84"/>
      <c r="H2885" s="55"/>
      <c r="I2885" s="54" t="str">
        <f t="shared" si="140"/>
        <v/>
      </c>
      <c r="J2885" s="56"/>
      <c r="K2885" s="57"/>
      <c r="L2885" s="206"/>
      <c r="M2885" s="124"/>
      <c r="N2885" s="93"/>
      <c r="O2885" s="61"/>
      <c r="P2885" s="90"/>
      <c r="Q2885" s="94"/>
      <c r="R2885" s="95"/>
      <c r="S2885" s="125"/>
      <c r="T2885" s="65"/>
      <c r="U2885" s="65"/>
      <c r="V2885" s="66"/>
      <c r="W2885" s="67"/>
      <c r="X2885" s="67"/>
      <c r="Y2885" s="67"/>
      <c r="Z2885" s="67"/>
      <c r="AA2885" s="67"/>
      <c r="AB2885" s="67"/>
      <c r="AC2885" s="67"/>
      <c r="AD2885" s="67"/>
      <c r="AE2885" s="67"/>
      <c r="AF2885" s="67"/>
      <c r="AG2885" s="67"/>
      <c r="AH2885" s="67"/>
      <c r="AI2885" s="67"/>
      <c r="AJ2885" s="96"/>
      <c r="AK2885" s="96"/>
      <c r="AL2885" s="70"/>
      <c r="AM2885" s="70"/>
      <c r="AN2885" s="71"/>
      <c r="AO2885" s="71"/>
      <c r="AP2885" s="71"/>
      <c r="AQ2885" s="71"/>
      <c r="AR2885" s="71"/>
      <c r="AS2885" s="71"/>
      <c r="AT2885" s="71"/>
      <c r="AU2885" s="71"/>
      <c r="AV2885" s="71"/>
      <c r="AW2885" s="71"/>
      <c r="AX2885" s="71"/>
      <c r="AY2885" s="71"/>
      <c r="AZ2885" s="71"/>
      <c r="BA2885" s="71"/>
      <c r="BB2885" s="71"/>
      <c r="BC2885" s="71"/>
      <c r="BD2885" s="71"/>
      <c r="BE2885" s="71"/>
      <c r="BF2885" s="71"/>
      <c r="BG2885" s="71"/>
      <c r="BH2885" s="71"/>
      <c r="BI2885" s="71"/>
      <c r="BJ2885" s="71"/>
      <c r="BK2885" s="71"/>
      <c r="BL2885" s="71"/>
      <c r="BM2885" s="71"/>
      <c r="BN2885" s="71"/>
      <c r="BO2885" s="71"/>
      <c r="BP2885" s="71"/>
      <c r="BQ2885" s="71"/>
      <c r="BR2885" s="71"/>
      <c r="BS2885" s="71"/>
      <c r="BT2885" s="71"/>
      <c r="BU2885" s="71"/>
      <c r="BV2885" s="71"/>
    </row>
    <row r="2886">
      <c r="A2886" s="53"/>
      <c r="B2886" s="53"/>
      <c r="C2886" s="53"/>
      <c r="D2886" s="53"/>
      <c r="E2886" s="86"/>
      <c r="F2886" s="89"/>
      <c r="G2886" s="84"/>
      <c r="H2886" s="55"/>
      <c r="I2886" s="54" t="str">
        <f t="shared" si="140"/>
        <v/>
      </c>
      <c r="J2886" s="56"/>
      <c r="K2886" s="57"/>
      <c r="L2886" s="206"/>
      <c r="M2886" s="124"/>
      <c r="N2886" s="93"/>
      <c r="O2886" s="61"/>
      <c r="P2886" s="90"/>
      <c r="Q2886" s="94"/>
      <c r="R2886" s="95"/>
      <c r="S2886" s="125"/>
      <c r="T2886" s="65"/>
      <c r="U2886" s="65"/>
      <c r="V2886" s="66"/>
      <c r="W2886" s="67"/>
      <c r="X2886" s="67"/>
      <c r="Y2886" s="67"/>
      <c r="Z2886" s="67"/>
      <c r="AA2886" s="67"/>
      <c r="AB2886" s="67"/>
      <c r="AC2886" s="67"/>
      <c r="AD2886" s="67"/>
      <c r="AE2886" s="67"/>
      <c r="AF2886" s="67"/>
      <c r="AG2886" s="67"/>
      <c r="AH2886" s="67"/>
      <c r="AI2886" s="67"/>
      <c r="AJ2886" s="96"/>
      <c r="AK2886" s="96"/>
      <c r="AL2886" s="70"/>
      <c r="AM2886" s="70"/>
      <c r="AN2886" s="71"/>
      <c r="AO2886" s="71"/>
      <c r="AP2886" s="71"/>
      <c r="AQ2886" s="71"/>
      <c r="AR2886" s="71"/>
      <c r="AS2886" s="71"/>
      <c r="AT2886" s="71"/>
      <c r="AU2886" s="71"/>
      <c r="AV2886" s="71"/>
      <c r="AW2886" s="71"/>
      <c r="AX2886" s="71"/>
      <c r="AY2886" s="71"/>
      <c r="AZ2886" s="71"/>
      <c r="BA2886" s="71"/>
      <c r="BB2886" s="71"/>
      <c r="BC2886" s="71"/>
      <c r="BD2886" s="71"/>
      <c r="BE2886" s="71"/>
      <c r="BF2886" s="71"/>
      <c r="BG2886" s="71"/>
      <c r="BH2886" s="71"/>
      <c r="BI2886" s="71"/>
      <c r="BJ2886" s="71"/>
      <c r="BK2886" s="71"/>
      <c r="BL2886" s="71"/>
      <c r="BM2886" s="71"/>
      <c r="BN2886" s="71"/>
      <c r="BO2886" s="71"/>
      <c r="BP2886" s="71"/>
      <c r="BQ2886" s="71"/>
      <c r="BR2886" s="71"/>
      <c r="BS2886" s="71"/>
      <c r="BT2886" s="71"/>
      <c r="BU2886" s="71"/>
      <c r="BV2886" s="71"/>
    </row>
    <row r="2887">
      <c r="A2887" s="53"/>
      <c r="B2887" s="53"/>
      <c r="C2887" s="53"/>
      <c r="D2887" s="53"/>
      <c r="E2887" s="86"/>
      <c r="F2887" s="89"/>
      <c r="G2887" s="84"/>
      <c r="H2887" s="55"/>
      <c r="I2887" s="54" t="str">
        <f t="shared" si="140"/>
        <v/>
      </c>
      <c r="J2887" s="56"/>
      <c r="K2887" s="57"/>
      <c r="L2887" s="206"/>
      <c r="M2887" s="124"/>
      <c r="N2887" s="93"/>
      <c r="O2887" s="61"/>
      <c r="P2887" s="90"/>
      <c r="Q2887" s="94"/>
      <c r="R2887" s="95"/>
      <c r="S2887" s="125"/>
      <c r="T2887" s="65"/>
      <c r="U2887" s="65"/>
      <c r="V2887" s="66"/>
      <c r="W2887" s="67"/>
      <c r="X2887" s="67"/>
      <c r="Y2887" s="67"/>
      <c r="Z2887" s="67"/>
      <c r="AA2887" s="67"/>
      <c r="AB2887" s="67"/>
      <c r="AC2887" s="67"/>
      <c r="AD2887" s="67"/>
      <c r="AE2887" s="67"/>
      <c r="AF2887" s="67"/>
      <c r="AG2887" s="67"/>
      <c r="AH2887" s="67"/>
      <c r="AI2887" s="67"/>
      <c r="AJ2887" s="96"/>
      <c r="AK2887" s="96"/>
      <c r="AL2887" s="70"/>
      <c r="AM2887" s="70"/>
      <c r="AN2887" s="71"/>
      <c r="AO2887" s="71"/>
      <c r="AP2887" s="71"/>
      <c r="AQ2887" s="71"/>
      <c r="AR2887" s="71"/>
      <c r="AS2887" s="71"/>
      <c r="AT2887" s="71"/>
      <c r="AU2887" s="71"/>
      <c r="AV2887" s="71"/>
      <c r="AW2887" s="71"/>
      <c r="AX2887" s="71"/>
      <c r="AY2887" s="71"/>
      <c r="AZ2887" s="71"/>
      <c r="BA2887" s="71"/>
      <c r="BB2887" s="71"/>
      <c r="BC2887" s="71"/>
      <c r="BD2887" s="71"/>
      <c r="BE2887" s="71"/>
      <c r="BF2887" s="71"/>
      <c r="BG2887" s="71"/>
      <c r="BH2887" s="71"/>
      <c r="BI2887" s="71"/>
      <c r="BJ2887" s="71"/>
      <c r="BK2887" s="71"/>
      <c r="BL2887" s="71"/>
      <c r="BM2887" s="71"/>
      <c r="BN2887" s="71"/>
      <c r="BO2887" s="71"/>
      <c r="BP2887" s="71"/>
      <c r="BQ2887" s="71"/>
      <c r="BR2887" s="71"/>
      <c r="BS2887" s="71"/>
      <c r="BT2887" s="71"/>
      <c r="BU2887" s="71"/>
      <c r="BV2887" s="71"/>
    </row>
    <row r="2888">
      <c r="A2888" s="53"/>
      <c r="B2888" s="53"/>
      <c r="C2888" s="53"/>
      <c r="D2888" s="53"/>
      <c r="E2888" s="86"/>
      <c r="F2888" s="89"/>
      <c r="G2888" s="84"/>
      <c r="H2888" s="55"/>
      <c r="I2888" s="54" t="str">
        <f t="shared" si="140"/>
        <v/>
      </c>
      <c r="J2888" s="56"/>
      <c r="K2888" s="57"/>
      <c r="L2888" s="206"/>
      <c r="M2888" s="124"/>
      <c r="N2888" s="93"/>
      <c r="O2888" s="61"/>
      <c r="P2888" s="90"/>
      <c r="Q2888" s="94"/>
      <c r="R2888" s="95"/>
      <c r="S2888" s="125"/>
      <c r="T2888" s="65"/>
      <c r="U2888" s="65"/>
      <c r="V2888" s="66"/>
      <c r="W2888" s="67"/>
      <c r="X2888" s="67"/>
      <c r="Y2888" s="67"/>
      <c r="Z2888" s="67"/>
      <c r="AA2888" s="67"/>
      <c r="AB2888" s="67"/>
      <c r="AC2888" s="67"/>
      <c r="AD2888" s="67"/>
      <c r="AE2888" s="67"/>
      <c r="AF2888" s="67"/>
      <c r="AG2888" s="67"/>
      <c r="AH2888" s="67"/>
      <c r="AI2888" s="67"/>
      <c r="AJ2888" s="96"/>
      <c r="AK2888" s="96"/>
      <c r="AL2888" s="70"/>
      <c r="AM2888" s="70"/>
      <c r="AN2888" s="71"/>
      <c r="AO2888" s="71"/>
      <c r="AP2888" s="71"/>
      <c r="AQ2888" s="71"/>
      <c r="AR2888" s="71"/>
      <c r="AS2888" s="71"/>
      <c r="AT2888" s="71"/>
      <c r="AU2888" s="71"/>
      <c r="AV2888" s="71"/>
      <c r="AW2888" s="71"/>
      <c r="AX2888" s="71"/>
      <c r="AY2888" s="71"/>
      <c r="AZ2888" s="71"/>
      <c r="BA2888" s="71"/>
      <c r="BB2888" s="71"/>
      <c r="BC2888" s="71"/>
      <c r="BD2888" s="71"/>
      <c r="BE2888" s="71"/>
      <c r="BF2888" s="71"/>
      <c r="BG2888" s="71"/>
      <c r="BH2888" s="71"/>
      <c r="BI2888" s="71"/>
      <c r="BJ2888" s="71"/>
      <c r="BK2888" s="71"/>
      <c r="BL2888" s="71"/>
      <c r="BM2888" s="71"/>
      <c r="BN2888" s="71"/>
      <c r="BO2888" s="71"/>
      <c r="BP2888" s="71"/>
      <c r="BQ2888" s="71"/>
      <c r="BR2888" s="71"/>
      <c r="BS2888" s="71"/>
      <c r="BT2888" s="71"/>
      <c r="BU2888" s="71"/>
      <c r="BV2888" s="71"/>
    </row>
    <row r="2889">
      <c r="A2889" s="53"/>
      <c r="B2889" s="53"/>
      <c r="C2889" s="53"/>
      <c r="D2889" s="53"/>
      <c r="E2889" s="86"/>
      <c r="F2889" s="89"/>
      <c r="G2889" s="84"/>
      <c r="H2889" s="55"/>
      <c r="I2889" s="54" t="str">
        <f t="shared" si="140"/>
        <v/>
      </c>
      <c r="J2889" s="56"/>
      <c r="K2889" s="57"/>
      <c r="L2889" s="206"/>
      <c r="M2889" s="124"/>
      <c r="N2889" s="93"/>
      <c r="O2889" s="61"/>
      <c r="P2889" s="90"/>
      <c r="Q2889" s="94"/>
      <c r="R2889" s="95"/>
      <c r="S2889" s="125"/>
      <c r="T2889" s="65"/>
      <c r="U2889" s="65"/>
      <c r="V2889" s="66"/>
      <c r="W2889" s="67"/>
      <c r="X2889" s="67"/>
      <c r="Y2889" s="67"/>
      <c r="Z2889" s="67"/>
      <c r="AA2889" s="67"/>
      <c r="AB2889" s="67"/>
      <c r="AC2889" s="67"/>
      <c r="AD2889" s="67"/>
      <c r="AE2889" s="67"/>
      <c r="AF2889" s="67"/>
      <c r="AG2889" s="67"/>
      <c r="AH2889" s="67"/>
      <c r="AI2889" s="67"/>
      <c r="AJ2889" s="96"/>
      <c r="AK2889" s="96"/>
      <c r="AL2889" s="70"/>
      <c r="AM2889" s="70"/>
      <c r="AN2889" s="71"/>
      <c r="AO2889" s="71"/>
      <c r="AP2889" s="71"/>
      <c r="AQ2889" s="71"/>
      <c r="AR2889" s="71"/>
      <c r="AS2889" s="71"/>
      <c r="AT2889" s="71"/>
      <c r="AU2889" s="71"/>
      <c r="AV2889" s="71"/>
      <c r="AW2889" s="71"/>
      <c r="AX2889" s="71"/>
      <c r="AY2889" s="71"/>
      <c r="AZ2889" s="71"/>
      <c r="BA2889" s="71"/>
      <c r="BB2889" s="71"/>
      <c r="BC2889" s="71"/>
      <c r="BD2889" s="71"/>
      <c r="BE2889" s="71"/>
      <c r="BF2889" s="71"/>
      <c r="BG2889" s="71"/>
      <c r="BH2889" s="71"/>
      <c r="BI2889" s="71"/>
      <c r="BJ2889" s="71"/>
      <c r="BK2889" s="71"/>
      <c r="BL2889" s="71"/>
      <c r="BM2889" s="71"/>
      <c r="BN2889" s="71"/>
      <c r="BO2889" s="71"/>
      <c r="BP2889" s="71"/>
      <c r="BQ2889" s="71"/>
      <c r="BR2889" s="71"/>
      <c r="BS2889" s="71"/>
      <c r="BT2889" s="71"/>
      <c r="BU2889" s="71"/>
      <c r="BV2889" s="71"/>
    </row>
    <row r="2890">
      <c r="A2890" s="53"/>
      <c r="B2890" s="53"/>
      <c r="C2890" s="53"/>
      <c r="D2890" s="53"/>
      <c r="E2890" s="86"/>
      <c r="F2890" s="89"/>
      <c r="G2890" s="84"/>
      <c r="H2890" s="55"/>
      <c r="I2890" s="54" t="str">
        <f t="shared" si="140"/>
        <v/>
      </c>
      <c r="J2890" s="56"/>
      <c r="K2890" s="57"/>
      <c r="L2890" s="206"/>
      <c r="M2890" s="124"/>
      <c r="N2890" s="93"/>
      <c r="O2890" s="61"/>
      <c r="P2890" s="90"/>
      <c r="Q2890" s="94"/>
      <c r="R2890" s="95"/>
      <c r="S2890" s="125"/>
      <c r="T2890" s="65"/>
      <c r="U2890" s="65"/>
      <c r="V2890" s="66"/>
      <c r="W2890" s="67"/>
      <c r="X2890" s="67"/>
      <c r="Y2890" s="67"/>
      <c r="Z2890" s="67"/>
      <c r="AA2890" s="67"/>
      <c r="AB2890" s="67"/>
      <c r="AC2890" s="67"/>
      <c r="AD2890" s="67"/>
      <c r="AE2890" s="67"/>
      <c r="AF2890" s="67"/>
      <c r="AG2890" s="67"/>
      <c r="AH2890" s="67"/>
      <c r="AI2890" s="67"/>
      <c r="AJ2890" s="96"/>
      <c r="AK2890" s="96"/>
      <c r="AL2890" s="70"/>
      <c r="AM2890" s="70"/>
      <c r="AN2890" s="71"/>
      <c r="AO2890" s="71"/>
      <c r="AP2890" s="71"/>
      <c r="AQ2890" s="71"/>
      <c r="AR2890" s="71"/>
      <c r="AS2890" s="71"/>
      <c r="AT2890" s="71"/>
      <c r="AU2890" s="71"/>
      <c r="AV2890" s="71"/>
      <c r="AW2890" s="71"/>
      <c r="AX2890" s="71"/>
      <c r="AY2890" s="71"/>
      <c r="AZ2890" s="71"/>
      <c r="BA2890" s="71"/>
      <c r="BB2890" s="71"/>
      <c r="BC2890" s="71"/>
      <c r="BD2890" s="71"/>
      <c r="BE2890" s="71"/>
      <c r="BF2890" s="71"/>
      <c r="BG2890" s="71"/>
      <c r="BH2890" s="71"/>
      <c r="BI2890" s="71"/>
      <c r="BJ2890" s="71"/>
      <c r="BK2890" s="71"/>
      <c r="BL2890" s="71"/>
      <c r="BM2890" s="71"/>
      <c r="BN2890" s="71"/>
      <c r="BO2890" s="71"/>
      <c r="BP2890" s="71"/>
      <c r="BQ2890" s="71"/>
      <c r="BR2890" s="71"/>
      <c r="BS2890" s="71"/>
      <c r="BT2890" s="71"/>
      <c r="BU2890" s="71"/>
      <c r="BV2890" s="71"/>
    </row>
    <row r="2891">
      <c r="A2891" s="53"/>
      <c r="B2891" s="53"/>
      <c r="C2891" s="53"/>
      <c r="D2891" s="53"/>
      <c r="E2891" s="86"/>
      <c r="F2891" s="89"/>
      <c r="G2891" s="84"/>
      <c r="H2891" s="55"/>
      <c r="I2891" s="54" t="str">
        <f t="shared" si="140"/>
        <v/>
      </c>
      <c r="J2891" s="56"/>
      <c r="K2891" s="57"/>
      <c r="L2891" s="206"/>
      <c r="M2891" s="124"/>
      <c r="N2891" s="93"/>
      <c r="O2891" s="61"/>
      <c r="P2891" s="90"/>
      <c r="Q2891" s="94"/>
      <c r="R2891" s="95"/>
      <c r="S2891" s="125"/>
      <c r="T2891" s="65"/>
      <c r="U2891" s="65"/>
      <c r="V2891" s="66"/>
      <c r="W2891" s="67"/>
      <c r="X2891" s="67"/>
      <c r="Y2891" s="67"/>
      <c r="Z2891" s="67"/>
      <c r="AA2891" s="67"/>
      <c r="AB2891" s="67"/>
      <c r="AC2891" s="67"/>
      <c r="AD2891" s="67"/>
      <c r="AE2891" s="67"/>
      <c r="AF2891" s="67"/>
      <c r="AG2891" s="67"/>
      <c r="AH2891" s="67"/>
      <c r="AI2891" s="67"/>
      <c r="AJ2891" s="96"/>
      <c r="AK2891" s="96"/>
      <c r="AL2891" s="70"/>
      <c r="AM2891" s="70"/>
      <c r="AN2891" s="71"/>
      <c r="AO2891" s="71"/>
      <c r="AP2891" s="71"/>
      <c r="AQ2891" s="71"/>
      <c r="AR2891" s="71"/>
      <c r="AS2891" s="71"/>
      <c r="AT2891" s="71"/>
      <c r="AU2891" s="71"/>
      <c r="AV2891" s="71"/>
      <c r="AW2891" s="71"/>
      <c r="AX2891" s="71"/>
      <c r="AY2891" s="71"/>
      <c r="AZ2891" s="71"/>
      <c r="BA2891" s="71"/>
      <c r="BB2891" s="71"/>
      <c r="BC2891" s="71"/>
      <c r="BD2891" s="71"/>
      <c r="BE2891" s="71"/>
      <c r="BF2891" s="71"/>
      <c r="BG2891" s="71"/>
      <c r="BH2891" s="71"/>
      <c r="BI2891" s="71"/>
      <c r="BJ2891" s="71"/>
      <c r="BK2891" s="71"/>
      <c r="BL2891" s="71"/>
      <c r="BM2891" s="71"/>
      <c r="BN2891" s="71"/>
      <c r="BO2891" s="71"/>
      <c r="BP2891" s="71"/>
      <c r="BQ2891" s="71"/>
      <c r="BR2891" s="71"/>
      <c r="BS2891" s="71"/>
      <c r="BT2891" s="71"/>
      <c r="BU2891" s="71"/>
      <c r="BV2891" s="71"/>
    </row>
    <row r="2892">
      <c r="A2892" s="53"/>
      <c r="B2892" s="53"/>
      <c r="C2892" s="53"/>
      <c r="D2892" s="53"/>
      <c r="E2892" s="86"/>
      <c r="F2892" s="89"/>
      <c r="G2892" s="84"/>
      <c r="H2892" s="55"/>
      <c r="I2892" s="54" t="str">
        <f t="shared" si="140"/>
        <v/>
      </c>
      <c r="J2892" s="56"/>
      <c r="K2892" s="57"/>
      <c r="L2892" s="206"/>
      <c r="M2892" s="124"/>
      <c r="N2892" s="93"/>
      <c r="O2892" s="61"/>
      <c r="P2892" s="90"/>
      <c r="Q2892" s="94"/>
      <c r="R2892" s="95"/>
      <c r="S2892" s="125"/>
      <c r="T2892" s="65"/>
      <c r="U2892" s="65"/>
      <c r="V2892" s="66"/>
      <c r="W2892" s="67"/>
      <c r="X2892" s="67"/>
      <c r="Y2892" s="67"/>
      <c r="Z2892" s="67"/>
      <c r="AA2892" s="67"/>
      <c r="AB2892" s="67"/>
      <c r="AC2892" s="67"/>
      <c r="AD2892" s="67"/>
      <c r="AE2892" s="67"/>
      <c r="AF2892" s="67"/>
      <c r="AG2892" s="67"/>
      <c r="AH2892" s="67"/>
      <c r="AI2892" s="67"/>
      <c r="AJ2892" s="96"/>
      <c r="AK2892" s="96"/>
      <c r="AL2892" s="70"/>
      <c r="AM2892" s="70"/>
      <c r="AN2892" s="71"/>
      <c r="AO2892" s="71"/>
      <c r="AP2892" s="71"/>
      <c r="AQ2892" s="71"/>
      <c r="AR2892" s="71"/>
      <c r="AS2892" s="71"/>
      <c r="AT2892" s="71"/>
      <c r="AU2892" s="71"/>
      <c r="AV2892" s="71"/>
      <c r="AW2892" s="71"/>
      <c r="AX2892" s="71"/>
      <c r="AY2892" s="71"/>
      <c r="AZ2892" s="71"/>
      <c r="BA2892" s="71"/>
      <c r="BB2892" s="71"/>
      <c r="BC2892" s="71"/>
      <c r="BD2892" s="71"/>
      <c r="BE2892" s="71"/>
      <c r="BF2892" s="71"/>
      <c r="BG2892" s="71"/>
      <c r="BH2892" s="71"/>
      <c r="BI2892" s="71"/>
      <c r="BJ2892" s="71"/>
      <c r="BK2892" s="71"/>
      <c r="BL2892" s="71"/>
      <c r="BM2892" s="71"/>
      <c r="BN2892" s="71"/>
      <c r="BO2892" s="71"/>
      <c r="BP2892" s="71"/>
      <c r="BQ2892" s="71"/>
      <c r="BR2892" s="71"/>
      <c r="BS2892" s="71"/>
      <c r="BT2892" s="71"/>
      <c r="BU2892" s="71"/>
      <c r="BV2892" s="71"/>
    </row>
    <row r="2893">
      <c r="A2893" s="53"/>
      <c r="B2893" s="53"/>
      <c r="C2893" s="53"/>
      <c r="D2893" s="53"/>
      <c r="E2893" s="86"/>
      <c r="F2893" s="89"/>
      <c r="G2893" s="84"/>
      <c r="H2893" s="55"/>
      <c r="I2893" s="54" t="str">
        <f t="shared" si="140"/>
        <v/>
      </c>
      <c r="J2893" s="56"/>
      <c r="K2893" s="57"/>
      <c r="L2893" s="204"/>
      <c r="M2893" s="124"/>
      <c r="N2893" s="93"/>
      <c r="O2893" s="61"/>
      <c r="P2893" s="90"/>
      <c r="Q2893" s="94"/>
      <c r="R2893" s="95"/>
      <c r="S2893" s="125"/>
      <c r="T2893" s="65"/>
      <c r="U2893" s="65"/>
      <c r="V2893" s="66"/>
      <c r="W2893" s="67"/>
      <c r="X2893" s="67"/>
      <c r="Y2893" s="67"/>
      <c r="Z2893" s="67"/>
      <c r="AA2893" s="67"/>
      <c r="AB2893" s="67"/>
      <c r="AC2893" s="67"/>
      <c r="AD2893" s="67"/>
      <c r="AE2893" s="67"/>
      <c r="AF2893" s="67"/>
      <c r="AG2893" s="67"/>
      <c r="AH2893" s="67"/>
      <c r="AI2893" s="67"/>
      <c r="AJ2893" s="96"/>
      <c r="AK2893" s="96"/>
      <c r="AL2893" s="70"/>
      <c r="AM2893" s="70"/>
      <c r="AN2893" s="71"/>
      <c r="AO2893" s="71"/>
      <c r="AP2893" s="71"/>
      <c r="AQ2893" s="71"/>
      <c r="AR2893" s="71"/>
      <c r="AS2893" s="71"/>
      <c r="AT2893" s="71"/>
      <c r="AU2893" s="71"/>
      <c r="AV2893" s="71"/>
      <c r="AW2893" s="71"/>
      <c r="AX2893" s="71"/>
      <c r="AY2893" s="71"/>
      <c r="AZ2893" s="71"/>
      <c r="BA2893" s="71"/>
      <c r="BB2893" s="71"/>
      <c r="BC2893" s="71"/>
      <c r="BD2893" s="71"/>
      <c r="BE2893" s="71"/>
      <c r="BF2893" s="71"/>
      <c r="BG2893" s="71"/>
      <c r="BH2893" s="71"/>
      <c r="BI2893" s="71"/>
      <c r="BJ2893" s="71"/>
      <c r="BK2893" s="71"/>
      <c r="BL2893" s="71"/>
      <c r="BM2893" s="71"/>
      <c r="BN2893" s="71"/>
      <c r="BO2893" s="71"/>
      <c r="BP2893" s="71"/>
      <c r="BQ2893" s="71"/>
      <c r="BR2893" s="71"/>
      <c r="BS2893" s="71"/>
      <c r="BT2893" s="71"/>
      <c r="BU2893" s="71"/>
      <c r="BV2893" s="71"/>
    </row>
    <row r="2894">
      <c r="A2894" s="53"/>
      <c r="B2894" s="53"/>
      <c r="C2894" s="53"/>
      <c r="D2894" s="53"/>
      <c r="E2894" s="86"/>
      <c r="F2894" s="89"/>
      <c r="G2894" s="84"/>
      <c r="H2894" s="55"/>
      <c r="I2894" s="54" t="str">
        <f t="shared" si="140"/>
        <v/>
      </c>
      <c r="J2894" s="56"/>
      <c r="K2894" s="57"/>
      <c r="L2894" s="204"/>
      <c r="M2894" s="124"/>
      <c r="N2894" s="93"/>
      <c r="O2894" s="61"/>
      <c r="P2894" s="90"/>
      <c r="Q2894" s="94"/>
      <c r="R2894" s="95"/>
      <c r="S2894" s="125"/>
      <c r="T2894" s="65"/>
      <c r="U2894" s="65"/>
      <c r="V2894" s="66"/>
      <c r="W2894" s="67"/>
      <c r="X2894" s="67"/>
      <c r="Y2894" s="67"/>
      <c r="Z2894" s="67"/>
      <c r="AA2894" s="67"/>
      <c r="AB2894" s="67"/>
      <c r="AC2894" s="67"/>
      <c r="AD2894" s="67"/>
      <c r="AE2894" s="67"/>
      <c r="AF2894" s="67"/>
      <c r="AG2894" s="67"/>
      <c r="AH2894" s="67"/>
      <c r="AI2894" s="67"/>
      <c r="AJ2894" s="96"/>
      <c r="AK2894" s="96"/>
      <c r="AL2894" s="70"/>
      <c r="AM2894" s="70"/>
      <c r="AN2894" s="71"/>
      <c r="AO2894" s="71"/>
      <c r="AP2894" s="71"/>
      <c r="AQ2894" s="71"/>
      <c r="AR2894" s="71"/>
      <c r="AS2894" s="71"/>
      <c r="AT2894" s="71"/>
      <c r="AU2894" s="71"/>
      <c r="AV2894" s="71"/>
      <c r="AW2894" s="71"/>
      <c r="AX2894" s="71"/>
      <c r="AY2894" s="71"/>
      <c r="AZ2894" s="71"/>
      <c r="BA2894" s="71"/>
      <c r="BB2894" s="71"/>
      <c r="BC2894" s="71"/>
      <c r="BD2894" s="71"/>
      <c r="BE2894" s="71"/>
      <c r="BF2894" s="71"/>
      <c r="BG2894" s="71"/>
      <c r="BH2894" s="71"/>
      <c r="BI2894" s="71"/>
      <c r="BJ2894" s="71"/>
      <c r="BK2894" s="71"/>
      <c r="BL2894" s="71"/>
      <c r="BM2894" s="71"/>
      <c r="BN2894" s="71"/>
      <c r="BO2894" s="71"/>
      <c r="BP2894" s="71"/>
      <c r="BQ2894" s="71"/>
      <c r="BR2894" s="71"/>
      <c r="BS2894" s="71"/>
      <c r="BT2894" s="71"/>
      <c r="BU2894" s="71"/>
      <c r="BV2894" s="71"/>
    </row>
    <row r="2895">
      <c r="A2895" s="53"/>
      <c r="B2895" s="53"/>
      <c r="C2895" s="53"/>
      <c r="D2895" s="53"/>
      <c r="E2895" s="86"/>
      <c r="F2895" s="89"/>
      <c r="G2895" s="84"/>
      <c r="H2895" s="55"/>
      <c r="I2895" s="54" t="str">
        <f t="shared" si="140"/>
        <v/>
      </c>
      <c r="J2895" s="56"/>
      <c r="K2895" s="57"/>
      <c r="L2895" s="204"/>
      <c r="M2895" s="124"/>
      <c r="N2895" s="93"/>
      <c r="O2895" s="61"/>
      <c r="P2895" s="90"/>
      <c r="Q2895" s="94"/>
      <c r="R2895" s="95"/>
      <c r="S2895" s="125"/>
      <c r="T2895" s="65"/>
      <c r="U2895" s="65"/>
      <c r="V2895" s="66"/>
      <c r="W2895" s="67"/>
      <c r="X2895" s="67"/>
      <c r="Y2895" s="67"/>
      <c r="Z2895" s="67"/>
      <c r="AA2895" s="67"/>
      <c r="AB2895" s="67"/>
      <c r="AC2895" s="67"/>
      <c r="AD2895" s="67"/>
      <c r="AE2895" s="67"/>
      <c r="AF2895" s="67"/>
      <c r="AG2895" s="67"/>
      <c r="AH2895" s="67"/>
      <c r="AI2895" s="67"/>
      <c r="AJ2895" s="96"/>
      <c r="AK2895" s="96"/>
      <c r="AL2895" s="70"/>
      <c r="AM2895" s="70"/>
      <c r="AN2895" s="71"/>
      <c r="AO2895" s="71"/>
      <c r="AP2895" s="71"/>
      <c r="AQ2895" s="71"/>
      <c r="AR2895" s="71"/>
      <c r="AS2895" s="71"/>
      <c r="AT2895" s="71"/>
      <c r="AU2895" s="71"/>
      <c r="AV2895" s="71"/>
      <c r="AW2895" s="71"/>
      <c r="AX2895" s="71"/>
      <c r="AY2895" s="71"/>
      <c r="AZ2895" s="71"/>
      <c r="BA2895" s="71"/>
      <c r="BB2895" s="71"/>
      <c r="BC2895" s="71"/>
      <c r="BD2895" s="71"/>
      <c r="BE2895" s="71"/>
      <c r="BF2895" s="71"/>
      <c r="BG2895" s="71"/>
      <c r="BH2895" s="71"/>
      <c r="BI2895" s="71"/>
      <c r="BJ2895" s="71"/>
      <c r="BK2895" s="71"/>
      <c r="BL2895" s="71"/>
      <c r="BM2895" s="71"/>
      <c r="BN2895" s="71"/>
      <c r="BO2895" s="71"/>
      <c r="BP2895" s="71"/>
      <c r="BQ2895" s="71"/>
      <c r="BR2895" s="71"/>
      <c r="BS2895" s="71"/>
      <c r="BT2895" s="71"/>
      <c r="BU2895" s="71"/>
      <c r="BV2895" s="71"/>
    </row>
    <row r="2896">
      <c r="A2896" s="53"/>
      <c r="B2896" s="53"/>
      <c r="C2896" s="53"/>
      <c r="D2896" s="53"/>
      <c r="E2896" s="86"/>
      <c r="F2896" s="89"/>
      <c r="G2896" s="84"/>
      <c r="H2896" s="55"/>
      <c r="I2896" s="54" t="str">
        <f t="shared" si="140"/>
        <v/>
      </c>
      <c r="J2896" s="56"/>
      <c r="K2896" s="57"/>
      <c r="L2896" s="204"/>
      <c r="M2896" s="124"/>
      <c r="N2896" s="93"/>
      <c r="O2896" s="61"/>
      <c r="P2896" s="90"/>
      <c r="Q2896" s="94"/>
      <c r="R2896" s="95"/>
      <c r="S2896" s="125"/>
      <c r="T2896" s="65"/>
      <c r="U2896" s="65"/>
      <c r="V2896" s="66"/>
      <c r="W2896" s="67"/>
      <c r="X2896" s="67"/>
      <c r="Y2896" s="67"/>
      <c r="Z2896" s="67"/>
      <c r="AA2896" s="67"/>
      <c r="AB2896" s="67"/>
      <c r="AC2896" s="67"/>
      <c r="AD2896" s="67"/>
      <c r="AE2896" s="67"/>
      <c r="AF2896" s="67"/>
      <c r="AG2896" s="67"/>
      <c r="AH2896" s="67"/>
      <c r="AI2896" s="67"/>
      <c r="AJ2896" s="96"/>
      <c r="AK2896" s="96"/>
      <c r="AL2896" s="70"/>
      <c r="AM2896" s="70"/>
      <c r="AN2896" s="71"/>
      <c r="AO2896" s="71"/>
      <c r="AP2896" s="71"/>
      <c r="AQ2896" s="71"/>
      <c r="AR2896" s="71"/>
      <c r="AS2896" s="71"/>
      <c r="AT2896" s="71"/>
      <c r="AU2896" s="71"/>
      <c r="AV2896" s="71"/>
      <c r="AW2896" s="71"/>
      <c r="AX2896" s="71"/>
      <c r="AY2896" s="71"/>
      <c r="AZ2896" s="71"/>
      <c r="BA2896" s="71"/>
      <c r="BB2896" s="71"/>
      <c r="BC2896" s="71"/>
      <c r="BD2896" s="71"/>
      <c r="BE2896" s="71"/>
      <c r="BF2896" s="71"/>
      <c r="BG2896" s="71"/>
      <c r="BH2896" s="71"/>
      <c r="BI2896" s="71"/>
      <c r="BJ2896" s="71"/>
      <c r="BK2896" s="71"/>
      <c r="BL2896" s="71"/>
      <c r="BM2896" s="71"/>
      <c r="BN2896" s="71"/>
      <c r="BO2896" s="71"/>
      <c r="BP2896" s="71"/>
      <c r="BQ2896" s="71"/>
      <c r="BR2896" s="71"/>
      <c r="BS2896" s="71"/>
      <c r="BT2896" s="71"/>
      <c r="BU2896" s="71"/>
      <c r="BV2896" s="71"/>
    </row>
    <row r="2897">
      <c r="A2897" s="53"/>
      <c r="B2897" s="53"/>
      <c r="C2897" s="53"/>
      <c r="D2897" s="53"/>
      <c r="E2897" s="86"/>
      <c r="F2897" s="89"/>
      <c r="G2897" s="84"/>
      <c r="H2897" s="55"/>
      <c r="I2897" s="54" t="str">
        <f t="shared" si="140"/>
        <v/>
      </c>
      <c r="J2897" s="56"/>
      <c r="K2897" s="57"/>
      <c r="L2897" s="206"/>
      <c r="M2897" s="124"/>
      <c r="N2897" s="93"/>
      <c r="O2897" s="61"/>
      <c r="P2897" s="90"/>
      <c r="Q2897" s="94"/>
      <c r="R2897" s="95"/>
      <c r="S2897" s="125"/>
      <c r="T2897" s="65"/>
      <c r="U2897" s="65"/>
      <c r="V2897" s="66"/>
      <c r="W2897" s="67"/>
      <c r="X2897" s="67"/>
      <c r="Y2897" s="67"/>
      <c r="Z2897" s="67"/>
      <c r="AA2897" s="67"/>
      <c r="AB2897" s="67"/>
      <c r="AC2897" s="67"/>
      <c r="AD2897" s="67"/>
      <c r="AE2897" s="67"/>
      <c r="AF2897" s="67"/>
      <c r="AG2897" s="67"/>
      <c r="AH2897" s="67"/>
      <c r="AI2897" s="67"/>
      <c r="AJ2897" s="96"/>
      <c r="AK2897" s="96"/>
      <c r="AL2897" s="70"/>
      <c r="AM2897" s="70"/>
      <c r="AN2897" s="71"/>
      <c r="AO2897" s="71"/>
      <c r="AP2897" s="71"/>
      <c r="AQ2897" s="71"/>
      <c r="AR2897" s="71"/>
      <c r="AS2897" s="71"/>
      <c r="AT2897" s="71"/>
      <c r="AU2897" s="71"/>
      <c r="AV2897" s="71"/>
      <c r="AW2897" s="71"/>
      <c r="AX2897" s="71"/>
      <c r="AY2897" s="71"/>
      <c r="AZ2897" s="71"/>
      <c r="BA2897" s="71"/>
      <c r="BB2897" s="71"/>
      <c r="BC2897" s="71"/>
      <c r="BD2897" s="71"/>
      <c r="BE2897" s="71"/>
      <c r="BF2897" s="71"/>
      <c r="BG2897" s="71"/>
      <c r="BH2897" s="71"/>
      <c r="BI2897" s="71"/>
      <c r="BJ2897" s="71"/>
      <c r="BK2897" s="71"/>
      <c r="BL2897" s="71"/>
      <c r="BM2897" s="71"/>
      <c r="BN2897" s="71"/>
      <c r="BO2897" s="71"/>
      <c r="BP2897" s="71"/>
      <c r="BQ2897" s="71"/>
      <c r="BR2897" s="71"/>
      <c r="BS2897" s="71"/>
      <c r="BT2897" s="71"/>
      <c r="BU2897" s="71"/>
      <c r="BV2897" s="71"/>
    </row>
    <row r="2898">
      <c r="A2898" s="53"/>
      <c r="B2898" s="53"/>
      <c r="C2898" s="53"/>
      <c r="D2898" s="53"/>
      <c r="E2898" s="86"/>
      <c r="F2898" s="89"/>
      <c r="G2898" s="84"/>
      <c r="H2898" s="55"/>
      <c r="I2898" s="54" t="str">
        <f t="shared" si="140"/>
        <v/>
      </c>
      <c r="J2898" s="56"/>
      <c r="K2898" s="57"/>
      <c r="L2898" s="204"/>
      <c r="M2898" s="124"/>
      <c r="N2898" s="93"/>
      <c r="O2898" s="61"/>
      <c r="P2898" s="90"/>
      <c r="Q2898" s="94"/>
      <c r="R2898" s="95"/>
      <c r="S2898" s="125"/>
      <c r="T2898" s="65"/>
      <c r="U2898" s="65"/>
      <c r="V2898" s="66"/>
      <c r="W2898" s="67"/>
      <c r="X2898" s="67"/>
      <c r="Y2898" s="67"/>
      <c r="Z2898" s="67"/>
      <c r="AA2898" s="67"/>
      <c r="AB2898" s="67"/>
      <c r="AC2898" s="67"/>
      <c r="AD2898" s="67"/>
      <c r="AE2898" s="67"/>
      <c r="AF2898" s="67"/>
      <c r="AG2898" s="67"/>
      <c r="AH2898" s="67"/>
      <c r="AI2898" s="67"/>
      <c r="AJ2898" s="96"/>
      <c r="AK2898" s="96"/>
      <c r="AL2898" s="70"/>
      <c r="AM2898" s="70"/>
      <c r="AN2898" s="71"/>
      <c r="AO2898" s="71"/>
      <c r="AP2898" s="71"/>
      <c r="AQ2898" s="71"/>
      <c r="AR2898" s="71"/>
      <c r="AS2898" s="71"/>
      <c r="AT2898" s="71"/>
      <c r="AU2898" s="71"/>
      <c r="AV2898" s="71"/>
      <c r="AW2898" s="71"/>
      <c r="AX2898" s="71"/>
      <c r="AY2898" s="71"/>
      <c r="AZ2898" s="71"/>
      <c r="BA2898" s="71"/>
      <c r="BB2898" s="71"/>
      <c r="BC2898" s="71"/>
      <c r="BD2898" s="71"/>
      <c r="BE2898" s="71"/>
      <c r="BF2898" s="71"/>
      <c r="BG2898" s="71"/>
      <c r="BH2898" s="71"/>
      <c r="BI2898" s="71"/>
      <c r="BJ2898" s="71"/>
      <c r="BK2898" s="71"/>
      <c r="BL2898" s="71"/>
      <c r="BM2898" s="71"/>
      <c r="BN2898" s="71"/>
      <c r="BO2898" s="71"/>
      <c r="BP2898" s="71"/>
      <c r="BQ2898" s="71"/>
      <c r="BR2898" s="71"/>
      <c r="BS2898" s="71"/>
      <c r="BT2898" s="71"/>
      <c r="BU2898" s="71"/>
      <c r="BV2898" s="71"/>
    </row>
    <row r="2899">
      <c r="A2899" s="53"/>
      <c r="B2899" s="53"/>
      <c r="C2899" s="53"/>
      <c r="D2899" s="53"/>
      <c r="E2899" s="86"/>
      <c r="F2899" s="89"/>
      <c r="G2899" s="84"/>
      <c r="H2899" s="55"/>
      <c r="I2899" s="54" t="str">
        <f t="shared" si="140"/>
        <v/>
      </c>
      <c r="J2899" s="56"/>
      <c r="K2899" s="57"/>
      <c r="L2899" s="206"/>
      <c r="M2899" s="124"/>
      <c r="N2899" s="93"/>
      <c r="O2899" s="61"/>
      <c r="P2899" s="90"/>
      <c r="Q2899" s="94"/>
      <c r="R2899" s="95"/>
      <c r="S2899" s="125"/>
      <c r="T2899" s="65"/>
      <c r="U2899" s="65"/>
      <c r="V2899" s="66"/>
      <c r="W2899" s="67"/>
      <c r="X2899" s="67"/>
      <c r="Y2899" s="67"/>
      <c r="Z2899" s="67"/>
      <c r="AA2899" s="67"/>
      <c r="AB2899" s="67"/>
      <c r="AC2899" s="67"/>
      <c r="AD2899" s="67"/>
      <c r="AE2899" s="67"/>
      <c r="AF2899" s="67"/>
      <c r="AG2899" s="67"/>
      <c r="AH2899" s="67"/>
      <c r="AI2899" s="67"/>
      <c r="AJ2899" s="96"/>
      <c r="AK2899" s="96"/>
      <c r="AL2899" s="70"/>
      <c r="AM2899" s="70"/>
      <c r="AN2899" s="71"/>
      <c r="AO2899" s="71"/>
      <c r="AP2899" s="71"/>
      <c r="AQ2899" s="71"/>
      <c r="AR2899" s="71"/>
      <c r="AS2899" s="71"/>
      <c r="AT2899" s="71"/>
      <c r="AU2899" s="71"/>
      <c r="AV2899" s="71"/>
      <c r="AW2899" s="71"/>
      <c r="AX2899" s="71"/>
      <c r="AY2899" s="71"/>
      <c r="AZ2899" s="71"/>
      <c r="BA2899" s="71"/>
      <c r="BB2899" s="71"/>
      <c r="BC2899" s="71"/>
      <c r="BD2899" s="71"/>
      <c r="BE2899" s="71"/>
      <c r="BF2899" s="71"/>
      <c r="BG2899" s="71"/>
      <c r="BH2899" s="71"/>
      <c r="BI2899" s="71"/>
      <c r="BJ2899" s="71"/>
      <c r="BK2899" s="71"/>
      <c r="BL2899" s="71"/>
      <c r="BM2899" s="71"/>
      <c r="BN2899" s="71"/>
      <c r="BO2899" s="71"/>
      <c r="BP2899" s="71"/>
      <c r="BQ2899" s="71"/>
      <c r="BR2899" s="71"/>
      <c r="BS2899" s="71"/>
      <c r="BT2899" s="71"/>
      <c r="BU2899" s="71"/>
      <c r="BV2899" s="71"/>
    </row>
    <row r="2900">
      <c r="A2900" s="53"/>
      <c r="B2900" s="53"/>
      <c r="C2900" s="53"/>
      <c r="D2900" s="53"/>
      <c r="E2900" s="86"/>
      <c r="F2900" s="89"/>
      <c r="G2900" s="84"/>
      <c r="H2900" s="55"/>
      <c r="I2900" s="54" t="str">
        <f t="shared" si="140"/>
        <v/>
      </c>
      <c r="J2900" s="56"/>
      <c r="K2900" s="57"/>
      <c r="L2900" s="206"/>
      <c r="M2900" s="124"/>
      <c r="N2900" s="93"/>
      <c r="O2900" s="61"/>
      <c r="P2900" s="90"/>
      <c r="Q2900" s="94"/>
      <c r="R2900" s="95"/>
      <c r="S2900" s="125"/>
      <c r="T2900" s="65"/>
      <c r="U2900" s="65"/>
      <c r="V2900" s="66"/>
      <c r="W2900" s="67"/>
      <c r="X2900" s="67"/>
      <c r="Y2900" s="67"/>
      <c r="Z2900" s="67"/>
      <c r="AA2900" s="67"/>
      <c r="AB2900" s="67"/>
      <c r="AC2900" s="67"/>
      <c r="AD2900" s="67"/>
      <c r="AE2900" s="67"/>
      <c r="AF2900" s="67"/>
      <c r="AG2900" s="67"/>
      <c r="AH2900" s="67"/>
      <c r="AI2900" s="67"/>
      <c r="AJ2900" s="96"/>
      <c r="AK2900" s="96"/>
      <c r="AL2900" s="70"/>
      <c r="AM2900" s="70"/>
      <c r="AN2900" s="71"/>
      <c r="AO2900" s="71"/>
      <c r="AP2900" s="71"/>
      <c r="AQ2900" s="71"/>
      <c r="AR2900" s="71"/>
      <c r="AS2900" s="71"/>
      <c r="AT2900" s="71"/>
      <c r="AU2900" s="71"/>
      <c r="AV2900" s="71"/>
      <c r="AW2900" s="71"/>
      <c r="AX2900" s="71"/>
      <c r="AY2900" s="71"/>
      <c r="AZ2900" s="71"/>
      <c r="BA2900" s="71"/>
      <c r="BB2900" s="71"/>
      <c r="BC2900" s="71"/>
      <c r="BD2900" s="71"/>
      <c r="BE2900" s="71"/>
      <c r="BF2900" s="71"/>
      <c r="BG2900" s="71"/>
      <c r="BH2900" s="71"/>
      <c r="BI2900" s="71"/>
      <c r="BJ2900" s="71"/>
      <c r="BK2900" s="71"/>
      <c r="BL2900" s="71"/>
      <c r="BM2900" s="71"/>
      <c r="BN2900" s="71"/>
      <c r="BO2900" s="71"/>
      <c r="BP2900" s="71"/>
      <c r="BQ2900" s="71"/>
      <c r="BR2900" s="71"/>
      <c r="BS2900" s="71"/>
      <c r="BT2900" s="71"/>
      <c r="BU2900" s="71"/>
      <c r="BV2900" s="71"/>
    </row>
    <row r="2901">
      <c r="A2901" s="53"/>
      <c r="B2901" s="53"/>
      <c r="C2901" s="53"/>
      <c r="D2901" s="53"/>
      <c r="E2901" s="86"/>
      <c r="F2901" s="89"/>
      <c r="G2901" s="84"/>
      <c r="H2901" s="55"/>
      <c r="I2901" s="54" t="str">
        <f t="shared" si="140"/>
        <v/>
      </c>
      <c r="J2901" s="56"/>
      <c r="K2901" s="57"/>
      <c r="L2901" s="206"/>
      <c r="M2901" s="124"/>
      <c r="N2901" s="93"/>
      <c r="O2901" s="61"/>
      <c r="P2901" s="90"/>
      <c r="Q2901" s="94"/>
      <c r="R2901" s="95"/>
      <c r="S2901" s="125"/>
      <c r="T2901" s="65"/>
      <c r="U2901" s="65"/>
      <c r="V2901" s="66"/>
      <c r="W2901" s="67"/>
      <c r="X2901" s="67"/>
      <c r="Y2901" s="67"/>
      <c r="Z2901" s="67"/>
      <c r="AA2901" s="67"/>
      <c r="AB2901" s="67"/>
      <c r="AC2901" s="67"/>
      <c r="AD2901" s="67"/>
      <c r="AE2901" s="67"/>
      <c r="AF2901" s="67"/>
      <c r="AG2901" s="67"/>
      <c r="AH2901" s="67"/>
      <c r="AI2901" s="67"/>
      <c r="AJ2901" s="96"/>
      <c r="AK2901" s="96"/>
      <c r="AL2901" s="70"/>
      <c r="AM2901" s="70"/>
      <c r="AN2901" s="71"/>
      <c r="AO2901" s="71"/>
      <c r="AP2901" s="71"/>
      <c r="AQ2901" s="71"/>
      <c r="AR2901" s="71"/>
      <c r="AS2901" s="71"/>
      <c r="AT2901" s="71"/>
      <c r="AU2901" s="71"/>
      <c r="AV2901" s="71"/>
      <c r="AW2901" s="71"/>
      <c r="AX2901" s="71"/>
      <c r="AY2901" s="71"/>
      <c r="AZ2901" s="71"/>
      <c r="BA2901" s="71"/>
      <c r="BB2901" s="71"/>
      <c r="BC2901" s="71"/>
      <c r="BD2901" s="71"/>
      <c r="BE2901" s="71"/>
      <c r="BF2901" s="71"/>
      <c r="BG2901" s="71"/>
      <c r="BH2901" s="71"/>
      <c r="BI2901" s="71"/>
      <c r="BJ2901" s="71"/>
      <c r="BK2901" s="71"/>
      <c r="BL2901" s="71"/>
      <c r="BM2901" s="71"/>
      <c r="BN2901" s="71"/>
      <c r="BO2901" s="71"/>
      <c r="BP2901" s="71"/>
      <c r="BQ2901" s="71"/>
      <c r="BR2901" s="71"/>
      <c r="BS2901" s="71"/>
      <c r="BT2901" s="71"/>
      <c r="BU2901" s="71"/>
      <c r="BV2901" s="71"/>
    </row>
    <row r="2902">
      <c r="A2902" s="53"/>
      <c r="B2902" s="53"/>
      <c r="C2902" s="53"/>
      <c r="D2902" s="53"/>
      <c r="E2902" s="86"/>
      <c r="F2902" s="89"/>
      <c r="G2902" s="84"/>
      <c r="H2902" s="55"/>
      <c r="I2902" s="54" t="str">
        <f t="shared" si="140"/>
        <v/>
      </c>
      <c r="J2902" s="56"/>
      <c r="K2902" s="57"/>
      <c r="L2902" s="204"/>
      <c r="M2902" s="124"/>
      <c r="N2902" s="93"/>
      <c r="O2902" s="61"/>
      <c r="P2902" s="90"/>
      <c r="Q2902" s="94"/>
      <c r="R2902" s="95"/>
      <c r="S2902" s="125"/>
      <c r="T2902" s="65"/>
      <c r="U2902" s="65"/>
      <c r="V2902" s="66"/>
      <c r="W2902" s="67"/>
      <c r="X2902" s="67"/>
      <c r="Y2902" s="67"/>
      <c r="Z2902" s="67"/>
      <c r="AA2902" s="67"/>
      <c r="AB2902" s="67"/>
      <c r="AC2902" s="67"/>
      <c r="AD2902" s="67"/>
      <c r="AE2902" s="67"/>
      <c r="AF2902" s="67"/>
      <c r="AG2902" s="67"/>
      <c r="AH2902" s="67"/>
      <c r="AI2902" s="67"/>
      <c r="AJ2902" s="96"/>
      <c r="AK2902" s="96"/>
      <c r="AL2902" s="70"/>
      <c r="AM2902" s="70"/>
      <c r="AN2902" s="71"/>
      <c r="AO2902" s="71"/>
      <c r="AP2902" s="71"/>
      <c r="AQ2902" s="71"/>
      <c r="AR2902" s="71"/>
      <c r="AS2902" s="71"/>
      <c r="AT2902" s="71"/>
      <c r="AU2902" s="71"/>
      <c r="AV2902" s="71"/>
      <c r="AW2902" s="71"/>
      <c r="AX2902" s="71"/>
      <c r="AY2902" s="71"/>
      <c r="AZ2902" s="71"/>
      <c r="BA2902" s="71"/>
      <c r="BB2902" s="71"/>
      <c r="BC2902" s="71"/>
      <c r="BD2902" s="71"/>
      <c r="BE2902" s="71"/>
      <c r="BF2902" s="71"/>
      <c r="BG2902" s="71"/>
      <c r="BH2902" s="71"/>
      <c r="BI2902" s="71"/>
      <c r="BJ2902" s="71"/>
      <c r="BK2902" s="71"/>
      <c r="BL2902" s="71"/>
      <c r="BM2902" s="71"/>
      <c r="BN2902" s="71"/>
      <c r="BO2902" s="71"/>
      <c r="BP2902" s="71"/>
      <c r="BQ2902" s="71"/>
      <c r="BR2902" s="71"/>
      <c r="BS2902" s="71"/>
      <c r="BT2902" s="71"/>
      <c r="BU2902" s="71"/>
      <c r="BV2902" s="71"/>
    </row>
    <row r="2903">
      <c r="A2903" s="53"/>
      <c r="B2903" s="53"/>
      <c r="C2903" s="53"/>
      <c r="D2903" s="53"/>
      <c r="E2903" s="86"/>
      <c r="F2903" s="89"/>
      <c r="G2903" s="84"/>
      <c r="H2903" s="55"/>
      <c r="I2903" s="54" t="str">
        <f t="shared" si="140"/>
        <v/>
      </c>
      <c r="J2903" s="56"/>
      <c r="K2903" s="57"/>
      <c r="L2903" s="206"/>
      <c r="M2903" s="124"/>
      <c r="N2903" s="93"/>
      <c r="O2903" s="61"/>
      <c r="P2903" s="90"/>
      <c r="Q2903" s="94"/>
      <c r="R2903" s="95"/>
      <c r="S2903" s="125"/>
      <c r="T2903" s="65"/>
      <c r="U2903" s="65"/>
      <c r="V2903" s="66"/>
      <c r="W2903" s="67"/>
      <c r="X2903" s="67"/>
      <c r="Y2903" s="67"/>
      <c r="Z2903" s="67"/>
      <c r="AA2903" s="67"/>
      <c r="AB2903" s="67"/>
      <c r="AC2903" s="67"/>
      <c r="AD2903" s="67"/>
      <c r="AE2903" s="67"/>
      <c r="AF2903" s="67"/>
      <c r="AG2903" s="67"/>
      <c r="AH2903" s="67"/>
      <c r="AI2903" s="67"/>
      <c r="AJ2903" s="96"/>
      <c r="AK2903" s="96"/>
      <c r="AL2903" s="70"/>
      <c r="AM2903" s="70"/>
      <c r="AN2903" s="71"/>
      <c r="AO2903" s="71"/>
      <c r="AP2903" s="71"/>
      <c r="AQ2903" s="71"/>
      <c r="AR2903" s="71"/>
      <c r="AS2903" s="71"/>
      <c r="AT2903" s="71"/>
      <c r="AU2903" s="71"/>
      <c r="AV2903" s="71"/>
      <c r="AW2903" s="71"/>
      <c r="AX2903" s="71"/>
      <c r="AY2903" s="71"/>
      <c r="AZ2903" s="71"/>
      <c r="BA2903" s="71"/>
      <c r="BB2903" s="71"/>
      <c r="BC2903" s="71"/>
      <c r="BD2903" s="71"/>
      <c r="BE2903" s="71"/>
      <c r="BF2903" s="71"/>
      <c r="BG2903" s="71"/>
      <c r="BH2903" s="71"/>
      <c r="BI2903" s="71"/>
      <c r="BJ2903" s="71"/>
      <c r="BK2903" s="71"/>
      <c r="BL2903" s="71"/>
      <c r="BM2903" s="71"/>
      <c r="BN2903" s="71"/>
      <c r="BO2903" s="71"/>
      <c r="BP2903" s="71"/>
      <c r="BQ2903" s="71"/>
      <c r="BR2903" s="71"/>
      <c r="BS2903" s="71"/>
      <c r="BT2903" s="71"/>
      <c r="BU2903" s="71"/>
      <c r="BV2903" s="71"/>
    </row>
    <row r="2904">
      <c r="A2904" s="53"/>
      <c r="B2904" s="53"/>
      <c r="C2904" s="53"/>
      <c r="D2904" s="53"/>
      <c r="E2904" s="86"/>
      <c r="F2904" s="89"/>
      <c r="G2904" s="84"/>
      <c r="H2904" s="55"/>
      <c r="I2904" s="54" t="str">
        <f t="shared" si="140"/>
        <v/>
      </c>
      <c r="J2904" s="56"/>
      <c r="K2904" s="57"/>
      <c r="L2904" s="206"/>
      <c r="M2904" s="124"/>
      <c r="N2904" s="93"/>
      <c r="O2904" s="61"/>
      <c r="P2904" s="90"/>
      <c r="Q2904" s="94"/>
      <c r="R2904" s="95"/>
      <c r="S2904" s="125"/>
      <c r="T2904" s="65"/>
      <c r="U2904" s="65"/>
      <c r="V2904" s="66"/>
      <c r="W2904" s="67"/>
      <c r="X2904" s="67"/>
      <c r="Y2904" s="67"/>
      <c r="Z2904" s="67"/>
      <c r="AA2904" s="67"/>
      <c r="AB2904" s="67"/>
      <c r="AC2904" s="67"/>
      <c r="AD2904" s="67"/>
      <c r="AE2904" s="67"/>
      <c r="AF2904" s="67"/>
      <c r="AG2904" s="67"/>
      <c r="AH2904" s="67"/>
      <c r="AI2904" s="67"/>
      <c r="AJ2904" s="96"/>
      <c r="AK2904" s="96"/>
      <c r="AL2904" s="70"/>
      <c r="AM2904" s="70"/>
      <c r="AN2904" s="71"/>
      <c r="AO2904" s="71"/>
      <c r="AP2904" s="71"/>
      <c r="AQ2904" s="71"/>
      <c r="AR2904" s="71"/>
      <c r="AS2904" s="71"/>
      <c r="AT2904" s="71"/>
      <c r="AU2904" s="71"/>
      <c r="AV2904" s="71"/>
      <c r="AW2904" s="71"/>
      <c r="AX2904" s="71"/>
      <c r="AY2904" s="71"/>
      <c r="AZ2904" s="71"/>
      <c r="BA2904" s="71"/>
      <c r="BB2904" s="71"/>
      <c r="BC2904" s="71"/>
      <c r="BD2904" s="71"/>
      <c r="BE2904" s="71"/>
      <c r="BF2904" s="71"/>
      <c r="BG2904" s="71"/>
      <c r="BH2904" s="71"/>
      <c r="BI2904" s="71"/>
      <c r="BJ2904" s="71"/>
      <c r="BK2904" s="71"/>
      <c r="BL2904" s="71"/>
      <c r="BM2904" s="71"/>
      <c r="BN2904" s="71"/>
      <c r="BO2904" s="71"/>
      <c r="BP2904" s="71"/>
      <c r="BQ2904" s="71"/>
      <c r="BR2904" s="71"/>
      <c r="BS2904" s="71"/>
      <c r="BT2904" s="71"/>
      <c r="BU2904" s="71"/>
      <c r="BV2904" s="71"/>
    </row>
    <row r="2905">
      <c r="A2905" s="53"/>
      <c r="B2905" s="53"/>
      <c r="C2905" s="53"/>
      <c r="D2905" s="53"/>
      <c r="E2905" s="86"/>
      <c r="F2905" s="89"/>
      <c r="G2905" s="84"/>
      <c r="H2905" s="55"/>
      <c r="I2905" s="54" t="str">
        <f t="shared" si="140"/>
        <v/>
      </c>
      <c r="J2905" s="56"/>
      <c r="K2905" s="57"/>
      <c r="L2905" s="206"/>
      <c r="M2905" s="124"/>
      <c r="N2905" s="93"/>
      <c r="O2905" s="61"/>
      <c r="P2905" s="90"/>
      <c r="Q2905" s="94"/>
      <c r="R2905" s="95"/>
      <c r="S2905" s="125"/>
      <c r="T2905" s="65"/>
      <c r="U2905" s="65"/>
      <c r="V2905" s="66"/>
      <c r="W2905" s="67"/>
      <c r="X2905" s="67"/>
      <c r="Y2905" s="67"/>
      <c r="Z2905" s="67"/>
      <c r="AA2905" s="67"/>
      <c r="AB2905" s="67"/>
      <c r="AC2905" s="67"/>
      <c r="AD2905" s="67"/>
      <c r="AE2905" s="67"/>
      <c r="AF2905" s="67"/>
      <c r="AG2905" s="67"/>
      <c r="AH2905" s="67"/>
      <c r="AI2905" s="67"/>
      <c r="AJ2905" s="96"/>
      <c r="AK2905" s="96"/>
      <c r="AL2905" s="70"/>
      <c r="AM2905" s="70"/>
      <c r="AN2905" s="71"/>
      <c r="AO2905" s="71"/>
      <c r="AP2905" s="71"/>
      <c r="AQ2905" s="71"/>
      <c r="AR2905" s="71"/>
      <c r="AS2905" s="71"/>
      <c r="AT2905" s="71"/>
      <c r="AU2905" s="71"/>
      <c r="AV2905" s="71"/>
      <c r="AW2905" s="71"/>
      <c r="AX2905" s="71"/>
      <c r="AY2905" s="71"/>
      <c r="AZ2905" s="71"/>
      <c r="BA2905" s="71"/>
      <c r="BB2905" s="71"/>
      <c r="BC2905" s="71"/>
      <c r="BD2905" s="71"/>
      <c r="BE2905" s="71"/>
      <c r="BF2905" s="71"/>
      <c r="BG2905" s="71"/>
      <c r="BH2905" s="71"/>
      <c r="BI2905" s="71"/>
      <c r="BJ2905" s="71"/>
      <c r="BK2905" s="71"/>
      <c r="BL2905" s="71"/>
      <c r="BM2905" s="71"/>
      <c r="BN2905" s="71"/>
      <c r="BO2905" s="71"/>
      <c r="BP2905" s="71"/>
      <c r="BQ2905" s="71"/>
      <c r="BR2905" s="71"/>
      <c r="BS2905" s="71"/>
      <c r="BT2905" s="71"/>
      <c r="BU2905" s="71"/>
      <c r="BV2905" s="71"/>
    </row>
    <row r="2906">
      <c r="A2906" s="53"/>
      <c r="B2906" s="53"/>
      <c r="C2906" s="53"/>
      <c r="D2906" s="53"/>
      <c r="E2906" s="86"/>
      <c r="F2906" s="89"/>
      <c r="G2906" s="84"/>
      <c r="H2906" s="55"/>
      <c r="I2906" s="54" t="str">
        <f t="shared" si="140"/>
        <v/>
      </c>
      <c r="J2906" s="56"/>
      <c r="K2906" s="57"/>
      <c r="L2906" s="206"/>
      <c r="M2906" s="124"/>
      <c r="N2906" s="93"/>
      <c r="O2906" s="61"/>
      <c r="P2906" s="90"/>
      <c r="Q2906" s="94"/>
      <c r="R2906" s="95"/>
      <c r="S2906" s="125"/>
      <c r="T2906" s="65"/>
      <c r="U2906" s="65"/>
      <c r="V2906" s="66"/>
      <c r="W2906" s="67"/>
      <c r="X2906" s="67"/>
      <c r="Y2906" s="67"/>
      <c r="Z2906" s="67"/>
      <c r="AA2906" s="67"/>
      <c r="AB2906" s="67"/>
      <c r="AC2906" s="67"/>
      <c r="AD2906" s="67"/>
      <c r="AE2906" s="67"/>
      <c r="AF2906" s="67"/>
      <c r="AG2906" s="67"/>
      <c r="AH2906" s="67"/>
      <c r="AI2906" s="67"/>
      <c r="AJ2906" s="96"/>
      <c r="AK2906" s="96"/>
      <c r="AL2906" s="70"/>
      <c r="AM2906" s="70"/>
      <c r="AN2906" s="71"/>
      <c r="AO2906" s="71"/>
      <c r="AP2906" s="71"/>
      <c r="AQ2906" s="71"/>
      <c r="AR2906" s="71"/>
      <c r="AS2906" s="71"/>
      <c r="AT2906" s="71"/>
      <c r="AU2906" s="71"/>
      <c r="AV2906" s="71"/>
      <c r="AW2906" s="71"/>
      <c r="AX2906" s="71"/>
      <c r="AY2906" s="71"/>
      <c r="AZ2906" s="71"/>
      <c r="BA2906" s="71"/>
      <c r="BB2906" s="71"/>
      <c r="BC2906" s="71"/>
      <c r="BD2906" s="71"/>
      <c r="BE2906" s="71"/>
      <c r="BF2906" s="71"/>
      <c r="BG2906" s="71"/>
      <c r="BH2906" s="71"/>
      <c r="BI2906" s="71"/>
      <c r="BJ2906" s="71"/>
      <c r="BK2906" s="71"/>
      <c r="BL2906" s="71"/>
      <c r="BM2906" s="71"/>
      <c r="BN2906" s="71"/>
      <c r="BO2906" s="71"/>
      <c r="BP2906" s="71"/>
      <c r="BQ2906" s="71"/>
      <c r="BR2906" s="71"/>
      <c r="BS2906" s="71"/>
      <c r="BT2906" s="71"/>
      <c r="BU2906" s="71"/>
      <c r="BV2906" s="71"/>
    </row>
    <row r="2907">
      <c r="A2907" s="53"/>
      <c r="B2907" s="53"/>
      <c r="C2907" s="53"/>
      <c r="D2907" s="53"/>
      <c r="E2907" s="86"/>
      <c r="F2907" s="89"/>
      <c r="G2907" s="84"/>
      <c r="H2907" s="55"/>
      <c r="I2907" s="54" t="str">
        <f t="shared" si="140"/>
        <v/>
      </c>
      <c r="J2907" s="56"/>
      <c r="K2907" s="57"/>
      <c r="L2907" s="206"/>
      <c r="M2907" s="124"/>
      <c r="N2907" s="93"/>
      <c r="O2907" s="61"/>
      <c r="P2907" s="90"/>
      <c r="Q2907" s="94"/>
      <c r="R2907" s="95"/>
      <c r="S2907" s="125"/>
      <c r="T2907" s="65"/>
      <c r="U2907" s="65"/>
      <c r="V2907" s="66"/>
      <c r="W2907" s="67"/>
      <c r="X2907" s="67"/>
      <c r="Y2907" s="67"/>
      <c r="Z2907" s="67"/>
      <c r="AA2907" s="67"/>
      <c r="AB2907" s="67"/>
      <c r="AC2907" s="67"/>
      <c r="AD2907" s="67"/>
      <c r="AE2907" s="67"/>
      <c r="AF2907" s="67"/>
      <c r="AG2907" s="67"/>
      <c r="AH2907" s="67"/>
      <c r="AI2907" s="67"/>
      <c r="AJ2907" s="96"/>
      <c r="AK2907" s="96"/>
      <c r="AL2907" s="70"/>
      <c r="AM2907" s="70"/>
      <c r="AN2907" s="71"/>
      <c r="AO2907" s="71"/>
      <c r="AP2907" s="71"/>
      <c r="AQ2907" s="71"/>
      <c r="AR2907" s="71"/>
      <c r="AS2907" s="71"/>
      <c r="AT2907" s="71"/>
      <c r="AU2907" s="71"/>
      <c r="AV2907" s="71"/>
      <c r="AW2907" s="71"/>
      <c r="AX2907" s="71"/>
      <c r="AY2907" s="71"/>
      <c r="AZ2907" s="71"/>
      <c r="BA2907" s="71"/>
      <c r="BB2907" s="71"/>
      <c r="BC2907" s="71"/>
      <c r="BD2907" s="71"/>
      <c r="BE2907" s="71"/>
      <c r="BF2907" s="71"/>
      <c r="BG2907" s="71"/>
      <c r="BH2907" s="71"/>
      <c r="BI2907" s="71"/>
      <c r="BJ2907" s="71"/>
      <c r="BK2907" s="71"/>
      <c r="BL2907" s="71"/>
      <c r="BM2907" s="71"/>
      <c r="BN2907" s="71"/>
      <c r="BO2907" s="71"/>
      <c r="BP2907" s="71"/>
      <c r="BQ2907" s="71"/>
      <c r="BR2907" s="71"/>
      <c r="BS2907" s="71"/>
      <c r="BT2907" s="71"/>
      <c r="BU2907" s="71"/>
      <c r="BV2907" s="71"/>
    </row>
    <row r="2908">
      <c r="A2908" s="53"/>
      <c r="B2908" s="53"/>
      <c r="C2908" s="53"/>
      <c r="D2908" s="53"/>
      <c r="E2908" s="86"/>
      <c r="F2908" s="89"/>
      <c r="G2908" s="84"/>
      <c r="H2908" s="55"/>
      <c r="I2908" s="54" t="str">
        <f t="shared" si="140"/>
        <v/>
      </c>
      <c r="J2908" s="56"/>
      <c r="K2908" s="57"/>
      <c r="L2908" s="206"/>
      <c r="M2908" s="124"/>
      <c r="N2908" s="93"/>
      <c r="O2908" s="61"/>
      <c r="P2908" s="90"/>
      <c r="Q2908" s="94"/>
      <c r="R2908" s="95"/>
      <c r="S2908" s="125"/>
      <c r="T2908" s="65"/>
      <c r="U2908" s="65"/>
      <c r="V2908" s="66"/>
      <c r="W2908" s="67"/>
      <c r="X2908" s="67"/>
      <c r="Y2908" s="67"/>
      <c r="Z2908" s="67"/>
      <c r="AA2908" s="67"/>
      <c r="AB2908" s="67"/>
      <c r="AC2908" s="67"/>
      <c r="AD2908" s="67"/>
      <c r="AE2908" s="67"/>
      <c r="AF2908" s="67"/>
      <c r="AG2908" s="67"/>
      <c r="AH2908" s="67"/>
      <c r="AI2908" s="67"/>
      <c r="AJ2908" s="96"/>
      <c r="AK2908" s="96"/>
      <c r="AL2908" s="70"/>
      <c r="AM2908" s="70"/>
      <c r="AN2908" s="71"/>
      <c r="AO2908" s="71"/>
      <c r="AP2908" s="71"/>
      <c r="AQ2908" s="71"/>
      <c r="AR2908" s="71"/>
      <c r="AS2908" s="71"/>
      <c r="AT2908" s="71"/>
      <c r="AU2908" s="71"/>
      <c r="AV2908" s="71"/>
      <c r="AW2908" s="71"/>
      <c r="AX2908" s="71"/>
      <c r="AY2908" s="71"/>
      <c r="AZ2908" s="71"/>
      <c r="BA2908" s="71"/>
      <c r="BB2908" s="71"/>
      <c r="BC2908" s="71"/>
      <c r="BD2908" s="71"/>
      <c r="BE2908" s="71"/>
      <c r="BF2908" s="71"/>
      <c r="BG2908" s="71"/>
      <c r="BH2908" s="71"/>
      <c r="BI2908" s="71"/>
      <c r="BJ2908" s="71"/>
      <c r="BK2908" s="71"/>
      <c r="BL2908" s="71"/>
      <c r="BM2908" s="71"/>
      <c r="BN2908" s="71"/>
      <c r="BO2908" s="71"/>
      <c r="BP2908" s="71"/>
      <c r="BQ2908" s="71"/>
      <c r="BR2908" s="71"/>
      <c r="BS2908" s="71"/>
      <c r="BT2908" s="71"/>
      <c r="BU2908" s="71"/>
      <c r="BV2908" s="71"/>
    </row>
    <row r="2909">
      <c r="A2909" s="53"/>
      <c r="B2909" s="53"/>
      <c r="C2909" s="53"/>
      <c r="D2909" s="53"/>
      <c r="E2909" s="86"/>
      <c r="F2909" s="89"/>
      <c r="G2909" s="84"/>
      <c r="H2909" s="55"/>
      <c r="I2909" s="54" t="str">
        <f t="shared" si="140"/>
        <v/>
      </c>
      <c r="J2909" s="56"/>
      <c r="K2909" s="57"/>
      <c r="L2909" s="206"/>
      <c r="M2909" s="124"/>
      <c r="N2909" s="93"/>
      <c r="O2909" s="61"/>
      <c r="P2909" s="90"/>
      <c r="Q2909" s="94"/>
      <c r="R2909" s="95"/>
      <c r="S2909" s="125"/>
      <c r="T2909" s="65"/>
      <c r="U2909" s="65"/>
      <c r="V2909" s="66"/>
      <c r="W2909" s="67"/>
      <c r="X2909" s="67"/>
      <c r="Y2909" s="67"/>
      <c r="Z2909" s="67"/>
      <c r="AA2909" s="67"/>
      <c r="AB2909" s="67"/>
      <c r="AC2909" s="67"/>
      <c r="AD2909" s="67"/>
      <c r="AE2909" s="67"/>
      <c r="AF2909" s="67"/>
      <c r="AG2909" s="67"/>
      <c r="AH2909" s="67"/>
      <c r="AI2909" s="67"/>
      <c r="AJ2909" s="96"/>
      <c r="AK2909" s="96"/>
      <c r="AL2909" s="70"/>
      <c r="AM2909" s="70"/>
      <c r="AN2909" s="71"/>
      <c r="AO2909" s="71"/>
      <c r="AP2909" s="71"/>
      <c r="AQ2909" s="71"/>
      <c r="AR2909" s="71"/>
      <c r="AS2909" s="71"/>
      <c r="AT2909" s="71"/>
      <c r="AU2909" s="71"/>
      <c r="AV2909" s="71"/>
      <c r="AW2909" s="71"/>
      <c r="AX2909" s="71"/>
      <c r="AY2909" s="71"/>
      <c r="AZ2909" s="71"/>
      <c r="BA2909" s="71"/>
      <c r="BB2909" s="71"/>
      <c r="BC2909" s="71"/>
      <c r="BD2909" s="71"/>
      <c r="BE2909" s="71"/>
      <c r="BF2909" s="71"/>
      <c r="BG2909" s="71"/>
      <c r="BH2909" s="71"/>
      <c r="BI2909" s="71"/>
      <c r="BJ2909" s="71"/>
      <c r="BK2909" s="71"/>
      <c r="BL2909" s="71"/>
      <c r="BM2909" s="71"/>
      <c r="BN2909" s="71"/>
      <c r="BO2909" s="71"/>
      <c r="BP2909" s="71"/>
      <c r="BQ2909" s="71"/>
      <c r="BR2909" s="71"/>
      <c r="BS2909" s="71"/>
      <c r="BT2909" s="71"/>
      <c r="BU2909" s="71"/>
      <c r="BV2909" s="71"/>
    </row>
    <row r="2910">
      <c r="A2910" s="53"/>
      <c r="B2910" s="53"/>
      <c r="C2910" s="53"/>
      <c r="D2910" s="53"/>
      <c r="E2910" s="86"/>
      <c r="F2910" s="89"/>
      <c r="G2910" s="84"/>
      <c r="H2910" s="55"/>
      <c r="I2910" s="54" t="str">
        <f t="shared" si="140"/>
        <v/>
      </c>
      <c r="J2910" s="56"/>
      <c r="K2910" s="57"/>
      <c r="L2910" s="206"/>
      <c r="M2910" s="124"/>
      <c r="N2910" s="93"/>
      <c r="O2910" s="61"/>
      <c r="P2910" s="90"/>
      <c r="Q2910" s="94"/>
      <c r="R2910" s="95"/>
      <c r="S2910" s="125"/>
      <c r="T2910" s="65"/>
      <c r="U2910" s="65"/>
      <c r="V2910" s="66"/>
      <c r="W2910" s="67"/>
      <c r="X2910" s="67"/>
      <c r="Y2910" s="67"/>
      <c r="Z2910" s="67"/>
      <c r="AA2910" s="67"/>
      <c r="AB2910" s="67"/>
      <c r="AC2910" s="67"/>
      <c r="AD2910" s="67"/>
      <c r="AE2910" s="67"/>
      <c r="AF2910" s="67"/>
      <c r="AG2910" s="67"/>
      <c r="AH2910" s="67"/>
      <c r="AI2910" s="67"/>
      <c r="AJ2910" s="96"/>
      <c r="AK2910" s="96"/>
      <c r="AL2910" s="70"/>
      <c r="AM2910" s="70"/>
      <c r="AN2910" s="71"/>
      <c r="AO2910" s="71"/>
      <c r="AP2910" s="71"/>
      <c r="AQ2910" s="71"/>
      <c r="AR2910" s="71"/>
      <c r="AS2910" s="71"/>
      <c r="AT2910" s="71"/>
      <c r="AU2910" s="71"/>
      <c r="AV2910" s="71"/>
      <c r="AW2910" s="71"/>
      <c r="AX2910" s="71"/>
      <c r="AY2910" s="71"/>
      <c r="AZ2910" s="71"/>
      <c r="BA2910" s="71"/>
      <c r="BB2910" s="71"/>
      <c r="BC2910" s="71"/>
      <c r="BD2910" s="71"/>
      <c r="BE2910" s="71"/>
      <c r="BF2910" s="71"/>
      <c r="BG2910" s="71"/>
      <c r="BH2910" s="71"/>
      <c r="BI2910" s="71"/>
      <c r="BJ2910" s="71"/>
      <c r="BK2910" s="71"/>
      <c r="BL2910" s="71"/>
      <c r="BM2910" s="71"/>
      <c r="BN2910" s="71"/>
      <c r="BO2910" s="71"/>
      <c r="BP2910" s="71"/>
      <c r="BQ2910" s="71"/>
      <c r="BR2910" s="71"/>
      <c r="BS2910" s="71"/>
      <c r="BT2910" s="71"/>
      <c r="BU2910" s="71"/>
      <c r="BV2910" s="71"/>
    </row>
    <row r="2911">
      <c r="A2911" s="53"/>
      <c r="B2911" s="53"/>
      <c r="C2911" s="53"/>
      <c r="D2911" s="53"/>
      <c r="E2911" s="86"/>
      <c r="F2911" s="89"/>
      <c r="G2911" s="84"/>
      <c r="H2911" s="55"/>
      <c r="I2911" s="54" t="str">
        <f t="shared" si="140"/>
        <v/>
      </c>
      <c r="J2911" s="56"/>
      <c r="K2911" s="57"/>
      <c r="L2911" s="206"/>
      <c r="M2911" s="124"/>
      <c r="N2911" s="93"/>
      <c r="O2911" s="61"/>
      <c r="P2911" s="90"/>
      <c r="Q2911" s="94"/>
      <c r="R2911" s="95"/>
      <c r="S2911" s="125"/>
      <c r="T2911" s="65"/>
      <c r="U2911" s="65"/>
      <c r="V2911" s="66"/>
      <c r="W2911" s="67"/>
      <c r="X2911" s="67"/>
      <c r="Y2911" s="67"/>
      <c r="Z2911" s="67"/>
      <c r="AA2911" s="67"/>
      <c r="AB2911" s="67"/>
      <c r="AC2911" s="67"/>
      <c r="AD2911" s="67"/>
      <c r="AE2911" s="67"/>
      <c r="AF2911" s="67"/>
      <c r="AG2911" s="67"/>
      <c r="AH2911" s="67"/>
      <c r="AI2911" s="67"/>
      <c r="AJ2911" s="96"/>
      <c r="AK2911" s="96"/>
      <c r="AL2911" s="70"/>
      <c r="AM2911" s="70"/>
      <c r="AN2911" s="71"/>
      <c r="AO2911" s="71"/>
      <c r="AP2911" s="71"/>
      <c r="AQ2911" s="71"/>
      <c r="AR2911" s="71"/>
      <c r="AS2911" s="71"/>
      <c r="AT2911" s="71"/>
      <c r="AU2911" s="71"/>
      <c r="AV2911" s="71"/>
      <c r="AW2911" s="71"/>
      <c r="AX2911" s="71"/>
      <c r="AY2911" s="71"/>
      <c r="AZ2911" s="71"/>
      <c r="BA2911" s="71"/>
      <c r="BB2911" s="71"/>
      <c r="BC2911" s="71"/>
      <c r="BD2911" s="71"/>
      <c r="BE2911" s="71"/>
      <c r="BF2911" s="71"/>
      <c r="BG2911" s="71"/>
      <c r="BH2911" s="71"/>
      <c r="BI2911" s="71"/>
      <c r="BJ2911" s="71"/>
      <c r="BK2911" s="71"/>
      <c r="BL2911" s="71"/>
      <c r="BM2911" s="71"/>
      <c r="BN2911" s="71"/>
      <c r="BO2911" s="71"/>
      <c r="BP2911" s="71"/>
      <c r="BQ2911" s="71"/>
      <c r="BR2911" s="71"/>
      <c r="BS2911" s="71"/>
      <c r="BT2911" s="71"/>
      <c r="BU2911" s="71"/>
      <c r="BV2911" s="71"/>
    </row>
    <row r="2912">
      <c r="A2912" s="53"/>
      <c r="B2912" s="53"/>
      <c r="C2912" s="53"/>
      <c r="D2912" s="53"/>
      <c r="E2912" s="86"/>
      <c r="F2912" s="89"/>
      <c r="G2912" s="84"/>
      <c r="H2912" s="55"/>
      <c r="I2912" s="54" t="str">
        <f t="shared" si="140"/>
        <v/>
      </c>
      <c r="J2912" s="56"/>
      <c r="K2912" s="57"/>
      <c r="L2912" s="206"/>
      <c r="M2912" s="124"/>
      <c r="N2912" s="93"/>
      <c r="O2912" s="61"/>
      <c r="P2912" s="90"/>
      <c r="Q2912" s="94"/>
      <c r="R2912" s="95"/>
      <c r="S2912" s="125"/>
      <c r="T2912" s="65"/>
      <c r="U2912" s="65"/>
      <c r="V2912" s="66"/>
      <c r="W2912" s="67"/>
      <c r="X2912" s="67"/>
      <c r="Y2912" s="67"/>
      <c r="Z2912" s="67"/>
      <c r="AA2912" s="67"/>
      <c r="AB2912" s="67"/>
      <c r="AC2912" s="67"/>
      <c r="AD2912" s="67"/>
      <c r="AE2912" s="67"/>
      <c r="AF2912" s="67"/>
      <c r="AG2912" s="67"/>
      <c r="AH2912" s="67"/>
      <c r="AI2912" s="67"/>
      <c r="AJ2912" s="96"/>
      <c r="AK2912" s="96"/>
      <c r="AL2912" s="70"/>
      <c r="AM2912" s="70"/>
      <c r="AN2912" s="71"/>
      <c r="AO2912" s="71"/>
      <c r="AP2912" s="71"/>
      <c r="AQ2912" s="71"/>
      <c r="AR2912" s="71"/>
      <c r="AS2912" s="71"/>
      <c r="AT2912" s="71"/>
      <c r="AU2912" s="71"/>
      <c r="AV2912" s="71"/>
      <c r="AW2912" s="71"/>
      <c r="AX2912" s="71"/>
      <c r="AY2912" s="71"/>
      <c r="AZ2912" s="71"/>
      <c r="BA2912" s="71"/>
      <c r="BB2912" s="71"/>
      <c r="BC2912" s="71"/>
      <c r="BD2912" s="71"/>
      <c r="BE2912" s="71"/>
      <c r="BF2912" s="71"/>
      <c r="BG2912" s="71"/>
      <c r="BH2912" s="71"/>
      <c r="BI2912" s="71"/>
      <c r="BJ2912" s="71"/>
      <c r="BK2912" s="71"/>
      <c r="BL2912" s="71"/>
      <c r="BM2912" s="71"/>
      <c r="BN2912" s="71"/>
      <c r="BO2912" s="71"/>
      <c r="BP2912" s="71"/>
      <c r="BQ2912" s="71"/>
      <c r="BR2912" s="71"/>
      <c r="BS2912" s="71"/>
      <c r="BT2912" s="71"/>
      <c r="BU2912" s="71"/>
      <c r="BV2912" s="71"/>
    </row>
    <row r="2913">
      <c r="A2913" s="53"/>
      <c r="B2913" s="53"/>
      <c r="C2913" s="53"/>
      <c r="D2913" s="53"/>
      <c r="E2913" s="86"/>
      <c r="F2913" s="89"/>
      <c r="G2913" s="84"/>
      <c r="H2913" s="55"/>
      <c r="I2913" s="54" t="str">
        <f t="shared" si="140"/>
        <v/>
      </c>
      <c r="J2913" s="56"/>
      <c r="K2913" s="57"/>
      <c r="L2913" s="206"/>
      <c r="M2913" s="124"/>
      <c r="N2913" s="93"/>
      <c r="O2913" s="61"/>
      <c r="P2913" s="90"/>
      <c r="Q2913" s="94"/>
      <c r="R2913" s="95"/>
      <c r="S2913" s="125"/>
      <c r="T2913" s="65"/>
      <c r="U2913" s="65"/>
      <c r="V2913" s="66"/>
      <c r="W2913" s="67"/>
      <c r="X2913" s="67"/>
      <c r="Y2913" s="67"/>
      <c r="Z2913" s="67"/>
      <c r="AA2913" s="67"/>
      <c r="AB2913" s="67"/>
      <c r="AC2913" s="67"/>
      <c r="AD2913" s="67"/>
      <c r="AE2913" s="67"/>
      <c r="AF2913" s="67"/>
      <c r="AG2913" s="67"/>
      <c r="AH2913" s="67"/>
      <c r="AI2913" s="67"/>
      <c r="AJ2913" s="96"/>
      <c r="AK2913" s="96"/>
      <c r="AL2913" s="70"/>
      <c r="AM2913" s="70"/>
      <c r="AN2913" s="71"/>
      <c r="AO2913" s="71"/>
      <c r="AP2913" s="71"/>
      <c r="AQ2913" s="71"/>
      <c r="AR2913" s="71"/>
      <c r="AS2913" s="71"/>
      <c r="AT2913" s="71"/>
      <c r="AU2913" s="71"/>
      <c r="AV2913" s="71"/>
      <c r="AW2913" s="71"/>
      <c r="AX2913" s="71"/>
      <c r="AY2913" s="71"/>
      <c r="AZ2913" s="71"/>
      <c r="BA2913" s="71"/>
      <c r="BB2913" s="71"/>
      <c r="BC2913" s="71"/>
      <c r="BD2913" s="71"/>
      <c r="BE2913" s="71"/>
      <c r="BF2913" s="71"/>
      <c r="BG2913" s="71"/>
      <c r="BH2913" s="71"/>
      <c r="BI2913" s="71"/>
      <c r="BJ2913" s="71"/>
      <c r="BK2913" s="71"/>
      <c r="BL2913" s="71"/>
      <c r="BM2913" s="71"/>
      <c r="BN2913" s="71"/>
      <c r="BO2913" s="71"/>
      <c r="BP2913" s="71"/>
      <c r="BQ2913" s="71"/>
      <c r="BR2913" s="71"/>
      <c r="BS2913" s="71"/>
      <c r="BT2913" s="71"/>
      <c r="BU2913" s="71"/>
      <c r="BV2913" s="71"/>
    </row>
    <row r="2914">
      <c r="A2914" s="53"/>
      <c r="B2914" s="53"/>
      <c r="C2914" s="53"/>
      <c r="D2914" s="53"/>
      <c r="E2914" s="86"/>
      <c r="F2914" s="89"/>
      <c r="G2914" s="84"/>
      <c r="H2914" s="55"/>
      <c r="I2914" s="54" t="str">
        <f t="shared" si="140"/>
        <v/>
      </c>
      <c r="J2914" s="56"/>
      <c r="K2914" s="57"/>
      <c r="L2914" s="206"/>
      <c r="M2914" s="124"/>
      <c r="N2914" s="93"/>
      <c r="O2914" s="61"/>
      <c r="P2914" s="90"/>
      <c r="Q2914" s="94"/>
      <c r="R2914" s="95"/>
      <c r="S2914" s="125"/>
      <c r="T2914" s="65"/>
      <c r="U2914" s="65"/>
      <c r="V2914" s="66"/>
      <c r="W2914" s="67"/>
      <c r="X2914" s="67"/>
      <c r="Y2914" s="67"/>
      <c r="Z2914" s="67"/>
      <c r="AA2914" s="67"/>
      <c r="AB2914" s="67"/>
      <c r="AC2914" s="67"/>
      <c r="AD2914" s="67"/>
      <c r="AE2914" s="67"/>
      <c r="AF2914" s="67"/>
      <c r="AG2914" s="67"/>
      <c r="AH2914" s="67"/>
      <c r="AI2914" s="67"/>
      <c r="AJ2914" s="96"/>
      <c r="AK2914" s="96"/>
      <c r="AL2914" s="70"/>
      <c r="AM2914" s="70"/>
      <c r="AN2914" s="71"/>
      <c r="AO2914" s="71"/>
      <c r="AP2914" s="71"/>
      <c r="AQ2914" s="71"/>
      <c r="AR2914" s="71"/>
      <c r="AS2914" s="71"/>
      <c r="AT2914" s="71"/>
      <c r="AU2914" s="71"/>
      <c r="AV2914" s="71"/>
      <c r="AW2914" s="71"/>
      <c r="AX2914" s="71"/>
      <c r="AY2914" s="71"/>
      <c r="AZ2914" s="71"/>
      <c r="BA2914" s="71"/>
      <c r="BB2914" s="71"/>
      <c r="BC2914" s="71"/>
      <c r="BD2914" s="71"/>
      <c r="BE2914" s="71"/>
      <c r="BF2914" s="71"/>
      <c r="BG2914" s="71"/>
      <c r="BH2914" s="71"/>
      <c r="BI2914" s="71"/>
      <c r="BJ2914" s="71"/>
      <c r="BK2914" s="71"/>
      <c r="BL2914" s="71"/>
      <c r="BM2914" s="71"/>
      <c r="BN2914" s="71"/>
      <c r="BO2914" s="71"/>
      <c r="BP2914" s="71"/>
      <c r="BQ2914" s="71"/>
      <c r="BR2914" s="71"/>
      <c r="BS2914" s="71"/>
      <c r="BT2914" s="71"/>
      <c r="BU2914" s="71"/>
      <c r="BV2914" s="71"/>
    </row>
    <row r="2915">
      <c r="A2915" s="53"/>
      <c r="B2915" s="53"/>
      <c r="C2915" s="53"/>
      <c r="D2915" s="53"/>
      <c r="E2915" s="86"/>
      <c r="F2915" s="89"/>
      <c r="G2915" s="84"/>
      <c r="H2915" s="55"/>
      <c r="I2915" s="54" t="str">
        <f t="shared" si="140"/>
        <v/>
      </c>
      <c r="J2915" s="56"/>
      <c r="K2915" s="57"/>
      <c r="L2915" s="206"/>
      <c r="M2915" s="124"/>
      <c r="N2915" s="93"/>
      <c r="O2915" s="61"/>
      <c r="P2915" s="90"/>
      <c r="Q2915" s="94"/>
      <c r="R2915" s="95"/>
      <c r="S2915" s="125"/>
      <c r="T2915" s="65"/>
      <c r="U2915" s="65"/>
      <c r="V2915" s="66"/>
      <c r="W2915" s="67"/>
      <c r="X2915" s="67"/>
      <c r="Y2915" s="67"/>
      <c r="Z2915" s="67"/>
      <c r="AA2915" s="67"/>
      <c r="AB2915" s="67"/>
      <c r="AC2915" s="67"/>
      <c r="AD2915" s="67"/>
      <c r="AE2915" s="67"/>
      <c r="AF2915" s="67"/>
      <c r="AG2915" s="67"/>
      <c r="AH2915" s="67"/>
      <c r="AI2915" s="67"/>
      <c r="AJ2915" s="96"/>
      <c r="AK2915" s="96"/>
      <c r="AL2915" s="70"/>
      <c r="AM2915" s="70"/>
      <c r="AN2915" s="71"/>
      <c r="AO2915" s="71"/>
      <c r="AP2915" s="71"/>
      <c r="AQ2915" s="71"/>
      <c r="AR2915" s="71"/>
      <c r="AS2915" s="71"/>
      <c r="AT2915" s="71"/>
      <c r="AU2915" s="71"/>
      <c r="AV2915" s="71"/>
      <c r="AW2915" s="71"/>
      <c r="AX2915" s="71"/>
      <c r="AY2915" s="71"/>
      <c r="AZ2915" s="71"/>
      <c r="BA2915" s="71"/>
      <c r="BB2915" s="71"/>
      <c r="BC2915" s="71"/>
      <c r="BD2915" s="71"/>
      <c r="BE2915" s="71"/>
      <c r="BF2915" s="71"/>
      <c r="BG2915" s="71"/>
      <c r="BH2915" s="71"/>
      <c r="BI2915" s="71"/>
      <c r="BJ2915" s="71"/>
      <c r="BK2915" s="71"/>
      <c r="BL2915" s="71"/>
      <c r="BM2915" s="71"/>
      <c r="BN2915" s="71"/>
      <c r="BO2915" s="71"/>
      <c r="BP2915" s="71"/>
      <c r="BQ2915" s="71"/>
      <c r="BR2915" s="71"/>
      <c r="BS2915" s="71"/>
      <c r="BT2915" s="71"/>
      <c r="BU2915" s="71"/>
      <c r="BV2915" s="71"/>
    </row>
    <row r="2916">
      <c r="A2916" s="53"/>
      <c r="B2916" s="53"/>
      <c r="C2916" s="53"/>
      <c r="D2916" s="53"/>
      <c r="E2916" s="86"/>
      <c r="F2916" s="89"/>
      <c r="G2916" s="84"/>
      <c r="H2916" s="55"/>
      <c r="I2916" s="54" t="str">
        <f t="shared" si="140"/>
        <v/>
      </c>
      <c r="J2916" s="56"/>
      <c r="K2916" s="57"/>
      <c r="L2916" s="206"/>
      <c r="M2916" s="124"/>
      <c r="N2916" s="93"/>
      <c r="O2916" s="61"/>
      <c r="P2916" s="90"/>
      <c r="Q2916" s="94"/>
      <c r="R2916" s="95"/>
      <c r="S2916" s="125"/>
      <c r="T2916" s="65"/>
      <c r="U2916" s="65"/>
      <c r="V2916" s="66"/>
      <c r="W2916" s="67"/>
      <c r="X2916" s="67"/>
      <c r="Y2916" s="67"/>
      <c r="Z2916" s="67"/>
      <c r="AA2916" s="67"/>
      <c r="AB2916" s="67"/>
      <c r="AC2916" s="67"/>
      <c r="AD2916" s="67"/>
      <c r="AE2916" s="67"/>
      <c r="AF2916" s="67"/>
      <c r="AG2916" s="67"/>
      <c r="AH2916" s="67"/>
      <c r="AI2916" s="67"/>
      <c r="AJ2916" s="96"/>
      <c r="AK2916" s="96"/>
      <c r="AL2916" s="70"/>
      <c r="AM2916" s="70"/>
      <c r="AN2916" s="71"/>
      <c r="AO2916" s="71"/>
      <c r="AP2916" s="71"/>
      <c r="AQ2916" s="71"/>
      <c r="AR2916" s="71"/>
      <c r="AS2916" s="71"/>
      <c r="AT2916" s="71"/>
      <c r="AU2916" s="71"/>
      <c r="AV2916" s="71"/>
      <c r="AW2916" s="71"/>
      <c r="AX2916" s="71"/>
      <c r="AY2916" s="71"/>
      <c r="AZ2916" s="71"/>
      <c r="BA2916" s="71"/>
      <c r="BB2916" s="71"/>
      <c r="BC2916" s="71"/>
      <c r="BD2916" s="71"/>
      <c r="BE2916" s="71"/>
      <c r="BF2916" s="71"/>
      <c r="BG2916" s="71"/>
      <c r="BH2916" s="71"/>
      <c r="BI2916" s="71"/>
      <c r="BJ2916" s="71"/>
      <c r="BK2916" s="71"/>
      <c r="BL2916" s="71"/>
      <c r="BM2916" s="71"/>
      <c r="BN2916" s="71"/>
      <c r="BO2916" s="71"/>
      <c r="BP2916" s="71"/>
      <c r="BQ2916" s="71"/>
      <c r="BR2916" s="71"/>
      <c r="BS2916" s="71"/>
      <c r="BT2916" s="71"/>
      <c r="BU2916" s="71"/>
      <c r="BV2916" s="71"/>
    </row>
    <row r="2917">
      <c r="A2917" s="53"/>
      <c r="B2917" s="53"/>
      <c r="C2917" s="53"/>
      <c r="D2917" s="53"/>
      <c r="E2917" s="86"/>
      <c r="F2917" s="89"/>
      <c r="G2917" s="84"/>
      <c r="H2917" s="55"/>
      <c r="I2917" s="54" t="str">
        <f t="shared" si="140"/>
        <v/>
      </c>
      <c r="J2917" s="56"/>
      <c r="K2917" s="57"/>
      <c r="L2917" s="206"/>
      <c r="M2917" s="124"/>
      <c r="N2917" s="93"/>
      <c r="O2917" s="61"/>
      <c r="P2917" s="90"/>
      <c r="Q2917" s="94"/>
      <c r="R2917" s="95"/>
      <c r="S2917" s="125"/>
      <c r="T2917" s="65"/>
      <c r="U2917" s="65"/>
      <c r="V2917" s="66"/>
      <c r="W2917" s="67"/>
      <c r="X2917" s="67"/>
      <c r="Y2917" s="67"/>
      <c r="Z2917" s="67"/>
      <c r="AA2917" s="67"/>
      <c r="AB2917" s="67"/>
      <c r="AC2917" s="67"/>
      <c r="AD2917" s="67"/>
      <c r="AE2917" s="67"/>
      <c r="AF2917" s="67"/>
      <c r="AG2917" s="67"/>
      <c r="AH2917" s="67"/>
      <c r="AI2917" s="67"/>
      <c r="AJ2917" s="96"/>
      <c r="AK2917" s="96"/>
      <c r="AL2917" s="70"/>
      <c r="AM2917" s="70"/>
      <c r="AN2917" s="71"/>
      <c r="AO2917" s="71"/>
      <c r="AP2917" s="71"/>
      <c r="AQ2917" s="71"/>
      <c r="AR2917" s="71"/>
      <c r="AS2917" s="71"/>
      <c r="AT2917" s="71"/>
      <c r="AU2917" s="71"/>
      <c r="AV2917" s="71"/>
      <c r="AW2917" s="71"/>
      <c r="AX2917" s="71"/>
      <c r="AY2917" s="71"/>
      <c r="AZ2917" s="71"/>
      <c r="BA2917" s="71"/>
      <c r="BB2917" s="71"/>
      <c r="BC2917" s="71"/>
      <c r="BD2917" s="71"/>
      <c r="BE2917" s="71"/>
      <c r="BF2917" s="71"/>
      <c r="BG2917" s="71"/>
      <c r="BH2917" s="71"/>
      <c r="BI2917" s="71"/>
      <c r="BJ2917" s="71"/>
      <c r="BK2917" s="71"/>
      <c r="BL2917" s="71"/>
      <c r="BM2917" s="71"/>
      <c r="BN2917" s="71"/>
      <c r="BO2917" s="71"/>
      <c r="BP2917" s="71"/>
      <c r="BQ2917" s="71"/>
      <c r="BR2917" s="71"/>
      <c r="BS2917" s="71"/>
      <c r="BT2917" s="71"/>
      <c r="BU2917" s="71"/>
      <c r="BV2917" s="71"/>
    </row>
    <row r="2918">
      <c r="A2918" s="53"/>
      <c r="B2918" s="53"/>
      <c r="C2918" s="53"/>
      <c r="D2918" s="53"/>
      <c r="E2918" s="86"/>
      <c r="F2918" s="89"/>
      <c r="G2918" s="84"/>
      <c r="H2918" s="55"/>
      <c r="I2918" s="54" t="str">
        <f t="shared" si="140"/>
        <v/>
      </c>
      <c r="J2918" s="56"/>
      <c r="K2918" s="57"/>
      <c r="L2918" s="206"/>
      <c r="M2918" s="124"/>
      <c r="N2918" s="93"/>
      <c r="O2918" s="61"/>
      <c r="P2918" s="90"/>
      <c r="Q2918" s="94"/>
      <c r="R2918" s="95"/>
      <c r="S2918" s="125"/>
      <c r="T2918" s="65"/>
      <c r="U2918" s="65"/>
      <c r="V2918" s="66"/>
      <c r="W2918" s="67"/>
      <c r="X2918" s="67"/>
      <c r="Y2918" s="67"/>
      <c r="Z2918" s="67"/>
      <c r="AA2918" s="67"/>
      <c r="AB2918" s="67"/>
      <c r="AC2918" s="67"/>
      <c r="AD2918" s="67"/>
      <c r="AE2918" s="67"/>
      <c r="AF2918" s="67"/>
      <c r="AG2918" s="67"/>
      <c r="AH2918" s="67"/>
      <c r="AI2918" s="67"/>
      <c r="AJ2918" s="96"/>
      <c r="AK2918" s="96"/>
      <c r="AL2918" s="70"/>
      <c r="AM2918" s="70"/>
      <c r="AN2918" s="71"/>
      <c r="AO2918" s="71"/>
      <c r="AP2918" s="71"/>
      <c r="AQ2918" s="71"/>
      <c r="AR2918" s="71"/>
      <c r="AS2918" s="71"/>
      <c r="AT2918" s="71"/>
      <c r="AU2918" s="71"/>
      <c r="AV2918" s="71"/>
      <c r="AW2918" s="71"/>
      <c r="AX2918" s="71"/>
      <c r="AY2918" s="71"/>
      <c r="AZ2918" s="71"/>
      <c r="BA2918" s="71"/>
      <c r="BB2918" s="71"/>
      <c r="BC2918" s="71"/>
      <c r="BD2918" s="71"/>
      <c r="BE2918" s="71"/>
      <c r="BF2918" s="71"/>
      <c r="BG2918" s="71"/>
      <c r="BH2918" s="71"/>
      <c r="BI2918" s="71"/>
      <c r="BJ2918" s="71"/>
      <c r="BK2918" s="71"/>
      <c r="BL2918" s="71"/>
      <c r="BM2918" s="71"/>
      <c r="BN2918" s="71"/>
      <c r="BO2918" s="71"/>
      <c r="BP2918" s="71"/>
      <c r="BQ2918" s="71"/>
      <c r="BR2918" s="71"/>
      <c r="BS2918" s="71"/>
      <c r="BT2918" s="71"/>
      <c r="BU2918" s="71"/>
      <c r="BV2918" s="71"/>
    </row>
    <row r="2919">
      <c r="A2919" s="53"/>
      <c r="B2919" s="53"/>
      <c r="C2919" s="53"/>
      <c r="D2919" s="53"/>
      <c r="E2919" s="86"/>
      <c r="F2919" s="89"/>
      <c r="G2919" s="84"/>
      <c r="H2919" s="55"/>
      <c r="I2919" s="54" t="str">
        <f t="shared" si="140"/>
        <v/>
      </c>
      <c r="J2919" s="56"/>
      <c r="K2919" s="57"/>
      <c r="L2919" s="206"/>
      <c r="M2919" s="124"/>
      <c r="N2919" s="93"/>
      <c r="O2919" s="61"/>
      <c r="P2919" s="90"/>
      <c r="Q2919" s="94"/>
      <c r="R2919" s="95"/>
      <c r="S2919" s="125"/>
      <c r="T2919" s="65"/>
      <c r="U2919" s="65"/>
      <c r="V2919" s="66"/>
      <c r="W2919" s="67"/>
      <c r="X2919" s="67"/>
      <c r="Y2919" s="67"/>
      <c r="Z2919" s="67"/>
      <c r="AA2919" s="67"/>
      <c r="AB2919" s="67"/>
      <c r="AC2919" s="67"/>
      <c r="AD2919" s="67"/>
      <c r="AE2919" s="67"/>
      <c r="AF2919" s="67"/>
      <c r="AG2919" s="67"/>
      <c r="AH2919" s="67"/>
      <c r="AI2919" s="67"/>
      <c r="AJ2919" s="96"/>
      <c r="AK2919" s="96"/>
      <c r="AL2919" s="70"/>
      <c r="AM2919" s="70"/>
      <c r="AN2919" s="71"/>
      <c r="AO2919" s="71"/>
      <c r="AP2919" s="71"/>
      <c r="AQ2919" s="71"/>
      <c r="AR2919" s="71"/>
      <c r="AS2919" s="71"/>
      <c r="AT2919" s="71"/>
      <c r="AU2919" s="71"/>
      <c r="AV2919" s="71"/>
      <c r="AW2919" s="71"/>
      <c r="AX2919" s="71"/>
      <c r="AY2919" s="71"/>
      <c r="AZ2919" s="71"/>
      <c r="BA2919" s="71"/>
      <c r="BB2919" s="71"/>
      <c r="BC2919" s="71"/>
      <c r="BD2919" s="71"/>
      <c r="BE2919" s="71"/>
      <c r="BF2919" s="71"/>
      <c r="BG2919" s="71"/>
      <c r="BH2919" s="71"/>
      <c r="BI2919" s="71"/>
      <c r="BJ2919" s="71"/>
      <c r="BK2919" s="71"/>
      <c r="BL2919" s="71"/>
      <c r="BM2919" s="71"/>
      <c r="BN2919" s="71"/>
      <c r="BO2919" s="71"/>
      <c r="BP2919" s="71"/>
      <c r="BQ2919" s="71"/>
      <c r="BR2919" s="71"/>
      <c r="BS2919" s="71"/>
      <c r="BT2919" s="71"/>
      <c r="BU2919" s="71"/>
      <c r="BV2919" s="71"/>
    </row>
    <row r="2920">
      <c r="A2920" s="53"/>
      <c r="B2920" s="53"/>
      <c r="C2920" s="53"/>
      <c r="D2920" s="53"/>
      <c r="E2920" s="86"/>
      <c r="F2920" s="89"/>
      <c r="G2920" s="84"/>
      <c r="H2920" s="55"/>
      <c r="I2920" s="54" t="str">
        <f t="shared" si="140"/>
        <v/>
      </c>
      <c r="J2920" s="56"/>
      <c r="K2920" s="57"/>
      <c r="L2920" s="206"/>
      <c r="M2920" s="124"/>
      <c r="N2920" s="93"/>
      <c r="O2920" s="61"/>
      <c r="P2920" s="90"/>
      <c r="Q2920" s="94"/>
      <c r="R2920" s="95"/>
      <c r="S2920" s="125"/>
      <c r="T2920" s="65"/>
      <c r="U2920" s="65"/>
      <c r="V2920" s="66"/>
      <c r="W2920" s="67"/>
      <c r="X2920" s="67"/>
      <c r="Y2920" s="67"/>
      <c r="Z2920" s="67"/>
      <c r="AA2920" s="67"/>
      <c r="AB2920" s="67"/>
      <c r="AC2920" s="67"/>
      <c r="AD2920" s="67"/>
      <c r="AE2920" s="67"/>
      <c r="AF2920" s="67"/>
      <c r="AG2920" s="67"/>
      <c r="AH2920" s="67"/>
      <c r="AI2920" s="67"/>
      <c r="AJ2920" s="96"/>
      <c r="AK2920" s="96"/>
      <c r="AL2920" s="70"/>
      <c r="AM2920" s="70"/>
      <c r="AN2920" s="71"/>
      <c r="AO2920" s="71"/>
      <c r="AP2920" s="71"/>
      <c r="AQ2920" s="71"/>
      <c r="AR2920" s="71"/>
      <c r="AS2920" s="71"/>
      <c r="AT2920" s="71"/>
      <c r="AU2920" s="71"/>
      <c r="AV2920" s="71"/>
      <c r="AW2920" s="71"/>
      <c r="AX2920" s="71"/>
      <c r="AY2920" s="71"/>
      <c r="AZ2920" s="71"/>
      <c r="BA2920" s="71"/>
      <c r="BB2920" s="71"/>
      <c r="BC2920" s="71"/>
      <c r="BD2920" s="71"/>
      <c r="BE2920" s="71"/>
      <c r="BF2920" s="71"/>
      <c r="BG2920" s="71"/>
      <c r="BH2920" s="71"/>
      <c r="BI2920" s="71"/>
      <c r="BJ2920" s="71"/>
      <c r="BK2920" s="71"/>
      <c r="BL2920" s="71"/>
      <c r="BM2920" s="71"/>
      <c r="BN2920" s="71"/>
      <c r="BO2920" s="71"/>
      <c r="BP2920" s="71"/>
      <c r="BQ2920" s="71"/>
      <c r="BR2920" s="71"/>
      <c r="BS2920" s="71"/>
      <c r="BT2920" s="71"/>
      <c r="BU2920" s="71"/>
      <c r="BV2920" s="71"/>
    </row>
    <row r="2921">
      <c r="A2921" s="53"/>
      <c r="B2921" s="53"/>
      <c r="C2921" s="53"/>
      <c r="D2921" s="53"/>
      <c r="E2921" s="86"/>
      <c r="F2921" s="89"/>
      <c r="G2921" s="84"/>
      <c r="H2921" s="55"/>
      <c r="I2921" s="54" t="str">
        <f t="shared" si="140"/>
        <v/>
      </c>
      <c r="J2921" s="56"/>
      <c r="K2921" s="57"/>
      <c r="L2921" s="206"/>
      <c r="M2921" s="124"/>
      <c r="N2921" s="93"/>
      <c r="O2921" s="61"/>
      <c r="P2921" s="90"/>
      <c r="Q2921" s="94"/>
      <c r="R2921" s="95"/>
      <c r="S2921" s="125"/>
      <c r="T2921" s="65"/>
      <c r="U2921" s="65"/>
      <c r="V2921" s="66"/>
      <c r="W2921" s="67"/>
      <c r="X2921" s="67"/>
      <c r="Y2921" s="67"/>
      <c r="Z2921" s="67"/>
      <c r="AA2921" s="67"/>
      <c r="AB2921" s="67"/>
      <c r="AC2921" s="67"/>
      <c r="AD2921" s="67"/>
      <c r="AE2921" s="67"/>
      <c r="AF2921" s="67"/>
      <c r="AG2921" s="67"/>
      <c r="AH2921" s="67"/>
      <c r="AI2921" s="67"/>
      <c r="AJ2921" s="96"/>
      <c r="AK2921" s="96"/>
      <c r="AL2921" s="70"/>
      <c r="AM2921" s="70"/>
      <c r="AN2921" s="71"/>
      <c r="AO2921" s="71"/>
      <c r="AP2921" s="71"/>
      <c r="AQ2921" s="71"/>
      <c r="AR2921" s="71"/>
      <c r="AS2921" s="71"/>
      <c r="AT2921" s="71"/>
      <c r="AU2921" s="71"/>
      <c r="AV2921" s="71"/>
      <c r="AW2921" s="71"/>
      <c r="AX2921" s="71"/>
      <c r="AY2921" s="71"/>
      <c r="AZ2921" s="71"/>
      <c r="BA2921" s="71"/>
      <c r="BB2921" s="71"/>
      <c r="BC2921" s="71"/>
      <c r="BD2921" s="71"/>
      <c r="BE2921" s="71"/>
      <c r="BF2921" s="71"/>
      <c r="BG2921" s="71"/>
      <c r="BH2921" s="71"/>
      <c r="BI2921" s="71"/>
      <c r="BJ2921" s="71"/>
      <c r="BK2921" s="71"/>
      <c r="BL2921" s="71"/>
      <c r="BM2921" s="71"/>
      <c r="BN2921" s="71"/>
      <c r="BO2921" s="71"/>
      <c r="BP2921" s="71"/>
      <c r="BQ2921" s="71"/>
      <c r="BR2921" s="71"/>
      <c r="BS2921" s="71"/>
      <c r="BT2921" s="71"/>
      <c r="BU2921" s="71"/>
      <c r="BV2921" s="71"/>
    </row>
    <row r="2922">
      <c r="A2922" s="53"/>
      <c r="B2922" s="53"/>
      <c r="C2922" s="53"/>
      <c r="D2922" s="53"/>
      <c r="E2922" s="86"/>
      <c r="F2922" s="89"/>
      <c r="G2922" s="84"/>
      <c r="H2922" s="55"/>
      <c r="I2922" s="54" t="str">
        <f t="shared" si="140"/>
        <v/>
      </c>
      <c r="J2922" s="56"/>
      <c r="K2922" s="57"/>
      <c r="L2922" s="206"/>
      <c r="M2922" s="124"/>
      <c r="N2922" s="93"/>
      <c r="O2922" s="61"/>
      <c r="P2922" s="90"/>
      <c r="Q2922" s="94"/>
      <c r="R2922" s="95"/>
      <c r="S2922" s="125"/>
      <c r="T2922" s="65"/>
      <c r="U2922" s="65"/>
      <c r="V2922" s="66"/>
      <c r="W2922" s="67"/>
      <c r="X2922" s="67"/>
      <c r="Y2922" s="67"/>
      <c r="Z2922" s="67"/>
      <c r="AA2922" s="67"/>
      <c r="AB2922" s="67"/>
      <c r="AC2922" s="67"/>
      <c r="AD2922" s="67"/>
      <c r="AE2922" s="67"/>
      <c r="AF2922" s="67"/>
      <c r="AG2922" s="67"/>
      <c r="AH2922" s="67"/>
      <c r="AI2922" s="67"/>
      <c r="AJ2922" s="96"/>
      <c r="AK2922" s="96"/>
      <c r="AL2922" s="70"/>
      <c r="AM2922" s="70"/>
      <c r="AN2922" s="71"/>
      <c r="AO2922" s="71"/>
      <c r="AP2922" s="71"/>
      <c r="AQ2922" s="71"/>
      <c r="AR2922" s="71"/>
      <c r="AS2922" s="71"/>
      <c r="AT2922" s="71"/>
      <c r="AU2922" s="71"/>
      <c r="AV2922" s="71"/>
      <c r="AW2922" s="71"/>
      <c r="AX2922" s="71"/>
      <c r="AY2922" s="71"/>
      <c r="AZ2922" s="71"/>
      <c r="BA2922" s="71"/>
      <c r="BB2922" s="71"/>
      <c r="BC2922" s="71"/>
      <c r="BD2922" s="71"/>
      <c r="BE2922" s="71"/>
      <c r="BF2922" s="71"/>
      <c r="BG2922" s="71"/>
      <c r="BH2922" s="71"/>
      <c r="BI2922" s="71"/>
      <c r="BJ2922" s="71"/>
      <c r="BK2922" s="71"/>
      <c r="BL2922" s="71"/>
      <c r="BM2922" s="71"/>
      <c r="BN2922" s="71"/>
      <c r="BO2922" s="71"/>
      <c r="BP2922" s="71"/>
      <c r="BQ2922" s="71"/>
      <c r="BR2922" s="71"/>
      <c r="BS2922" s="71"/>
      <c r="BT2922" s="71"/>
      <c r="BU2922" s="71"/>
      <c r="BV2922" s="71"/>
    </row>
    <row r="2923">
      <c r="A2923" s="53"/>
      <c r="B2923" s="53"/>
      <c r="C2923" s="53"/>
      <c r="D2923" s="53"/>
      <c r="E2923" s="86"/>
      <c r="F2923" s="89"/>
      <c r="G2923" s="84"/>
      <c r="H2923" s="55"/>
      <c r="I2923" s="54" t="str">
        <f t="shared" si="140"/>
        <v/>
      </c>
      <c r="J2923" s="56"/>
      <c r="K2923" s="57"/>
      <c r="L2923" s="206"/>
      <c r="M2923" s="124"/>
      <c r="N2923" s="93"/>
      <c r="O2923" s="61"/>
      <c r="P2923" s="90"/>
      <c r="Q2923" s="94"/>
      <c r="R2923" s="95"/>
      <c r="S2923" s="125"/>
      <c r="T2923" s="65"/>
      <c r="U2923" s="65"/>
      <c r="V2923" s="66"/>
      <c r="W2923" s="67"/>
      <c r="X2923" s="67"/>
      <c r="Y2923" s="67"/>
      <c r="Z2923" s="67"/>
      <c r="AA2923" s="67"/>
      <c r="AB2923" s="67"/>
      <c r="AC2923" s="67"/>
      <c r="AD2923" s="67"/>
      <c r="AE2923" s="67"/>
      <c r="AF2923" s="67"/>
      <c r="AG2923" s="67"/>
      <c r="AH2923" s="67"/>
      <c r="AI2923" s="67"/>
      <c r="AJ2923" s="96"/>
      <c r="AK2923" s="96"/>
      <c r="AL2923" s="70"/>
      <c r="AM2923" s="70"/>
      <c r="AN2923" s="71"/>
      <c r="AO2923" s="71"/>
      <c r="AP2923" s="71"/>
      <c r="AQ2923" s="71"/>
      <c r="AR2923" s="71"/>
      <c r="AS2923" s="71"/>
      <c r="AT2923" s="71"/>
      <c r="AU2923" s="71"/>
      <c r="AV2923" s="71"/>
      <c r="AW2923" s="71"/>
      <c r="AX2923" s="71"/>
      <c r="AY2923" s="71"/>
      <c r="AZ2923" s="71"/>
      <c r="BA2923" s="71"/>
      <c r="BB2923" s="71"/>
      <c r="BC2923" s="71"/>
      <c r="BD2923" s="71"/>
      <c r="BE2923" s="71"/>
      <c r="BF2923" s="71"/>
      <c r="BG2923" s="71"/>
      <c r="BH2923" s="71"/>
      <c r="BI2923" s="71"/>
      <c r="BJ2923" s="71"/>
      <c r="BK2923" s="71"/>
      <c r="BL2923" s="71"/>
      <c r="BM2923" s="71"/>
      <c r="BN2923" s="71"/>
      <c r="BO2923" s="71"/>
      <c r="BP2923" s="71"/>
      <c r="BQ2923" s="71"/>
      <c r="BR2923" s="71"/>
      <c r="BS2923" s="71"/>
      <c r="BT2923" s="71"/>
      <c r="BU2923" s="71"/>
      <c r="BV2923" s="71"/>
    </row>
    <row r="2924">
      <c r="A2924" s="53"/>
      <c r="B2924" s="53"/>
      <c r="C2924" s="53"/>
      <c r="D2924" s="53"/>
      <c r="E2924" s="86"/>
      <c r="F2924" s="89"/>
      <c r="G2924" s="84"/>
      <c r="H2924" s="55"/>
      <c r="I2924" s="54" t="str">
        <f t="shared" si="140"/>
        <v/>
      </c>
      <c r="J2924" s="56"/>
      <c r="K2924" s="57"/>
      <c r="L2924" s="206"/>
      <c r="M2924" s="124"/>
      <c r="N2924" s="93"/>
      <c r="O2924" s="61"/>
      <c r="P2924" s="90"/>
      <c r="Q2924" s="94"/>
      <c r="R2924" s="95"/>
      <c r="S2924" s="125"/>
      <c r="T2924" s="65"/>
      <c r="U2924" s="65"/>
      <c r="V2924" s="66"/>
      <c r="W2924" s="67"/>
      <c r="X2924" s="67"/>
      <c r="Y2924" s="67"/>
      <c r="Z2924" s="67"/>
      <c r="AA2924" s="67"/>
      <c r="AB2924" s="67"/>
      <c r="AC2924" s="67"/>
      <c r="AD2924" s="67"/>
      <c r="AE2924" s="67"/>
      <c r="AF2924" s="67"/>
      <c r="AG2924" s="67"/>
      <c r="AH2924" s="67"/>
      <c r="AI2924" s="67"/>
      <c r="AJ2924" s="96"/>
      <c r="AK2924" s="96"/>
      <c r="AL2924" s="70"/>
      <c r="AM2924" s="70"/>
      <c r="AN2924" s="71"/>
      <c r="AO2924" s="71"/>
      <c r="AP2924" s="71"/>
      <c r="AQ2924" s="71"/>
      <c r="AR2924" s="71"/>
      <c r="AS2924" s="71"/>
      <c r="AT2924" s="71"/>
      <c r="AU2924" s="71"/>
      <c r="AV2924" s="71"/>
      <c r="AW2924" s="71"/>
      <c r="AX2924" s="71"/>
      <c r="AY2924" s="71"/>
      <c r="AZ2924" s="71"/>
      <c r="BA2924" s="71"/>
      <c r="BB2924" s="71"/>
      <c r="BC2924" s="71"/>
      <c r="BD2924" s="71"/>
      <c r="BE2924" s="71"/>
      <c r="BF2924" s="71"/>
      <c r="BG2924" s="71"/>
      <c r="BH2924" s="71"/>
      <c r="BI2924" s="71"/>
      <c r="BJ2924" s="71"/>
      <c r="BK2924" s="71"/>
      <c r="BL2924" s="71"/>
      <c r="BM2924" s="71"/>
      <c r="BN2924" s="71"/>
      <c r="BO2924" s="71"/>
      <c r="BP2924" s="71"/>
      <c r="BQ2924" s="71"/>
      <c r="BR2924" s="71"/>
      <c r="BS2924" s="71"/>
      <c r="BT2924" s="71"/>
      <c r="BU2924" s="71"/>
      <c r="BV2924" s="71"/>
    </row>
    <row r="2925">
      <c r="A2925" s="53"/>
      <c r="B2925" s="53"/>
      <c r="C2925" s="53"/>
      <c r="D2925" s="53"/>
      <c r="E2925" s="86"/>
      <c r="F2925" s="89"/>
      <c r="G2925" s="84"/>
      <c r="H2925" s="55"/>
      <c r="I2925" s="54" t="str">
        <f t="shared" si="140"/>
        <v/>
      </c>
      <c r="J2925" s="56"/>
      <c r="K2925" s="57"/>
      <c r="L2925" s="206"/>
      <c r="M2925" s="124"/>
      <c r="N2925" s="93"/>
      <c r="O2925" s="61"/>
      <c r="P2925" s="90"/>
      <c r="Q2925" s="94"/>
      <c r="R2925" s="95"/>
      <c r="S2925" s="125"/>
      <c r="T2925" s="65"/>
      <c r="U2925" s="65"/>
      <c r="V2925" s="66"/>
      <c r="W2925" s="67"/>
      <c r="X2925" s="67"/>
      <c r="Y2925" s="67"/>
      <c r="Z2925" s="67"/>
      <c r="AA2925" s="67"/>
      <c r="AB2925" s="67"/>
      <c r="AC2925" s="67"/>
      <c r="AD2925" s="67"/>
      <c r="AE2925" s="67"/>
      <c r="AF2925" s="67"/>
      <c r="AG2925" s="67"/>
      <c r="AH2925" s="67"/>
      <c r="AI2925" s="67"/>
      <c r="AJ2925" s="96"/>
      <c r="AK2925" s="96"/>
      <c r="AL2925" s="70"/>
      <c r="AM2925" s="70"/>
      <c r="AN2925" s="71"/>
      <c r="AO2925" s="71"/>
      <c r="AP2925" s="71"/>
      <c r="AQ2925" s="71"/>
      <c r="AR2925" s="71"/>
      <c r="AS2925" s="71"/>
      <c r="AT2925" s="71"/>
      <c r="AU2925" s="71"/>
      <c r="AV2925" s="71"/>
      <c r="AW2925" s="71"/>
      <c r="AX2925" s="71"/>
      <c r="AY2925" s="71"/>
      <c r="AZ2925" s="71"/>
      <c r="BA2925" s="71"/>
      <c r="BB2925" s="71"/>
      <c r="BC2925" s="71"/>
      <c r="BD2925" s="71"/>
      <c r="BE2925" s="71"/>
      <c r="BF2925" s="71"/>
      <c r="BG2925" s="71"/>
      <c r="BH2925" s="71"/>
      <c r="BI2925" s="71"/>
      <c r="BJ2925" s="71"/>
      <c r="BK2925" s="71"/>
      <c r="BL2925" s="71"/>
      <c r="BM2925" s="71"/>
      <c r="BN2925" s="71"/>
      <c r="BO2925" s="71"/>
      <c r="BP2925" s="71"/>
      <c r="BQ2925" s="71"/>
      <c r="BR2925" s="71"/>
      <c r="BS2925" s="71"/>
      <c r="BT2925" s="71"/>
      <c r="BU2925" s="71"/>
      <c r="BV2925" s="71"/>
    </row>
    <row r="2926">
      <c r="A2926" s="53"/>
      <c r="B2926" s="53"/>
      <c r="C2926" s="53"/>
      <c r="D2926" s="53"/>
      <c r="E2926" s="86"/>
      <c r="F2926" s="89"/>
      <c r="G2926" s="84"/>
      <c r="H2926" s="55"/>
      <c r="I2926" s="54" t="str">
        <f t="shared" si="140"/>
        <v/>
      </c>
      <c r="J2926" s="56"/>
      <c r="K2926" s="57"/>
      <c r="L2926" s="206"/>
      <c r="M2926" s="124"/>
      <c r="N2926" s="93"/>
      <c r="O2926" s="61"/>
      <c r="P2926" s="90"/>
      <c r="Q2926" s="94"/>
      <c r="R2926" s="95"/>
      <c r="S2926" s="125"/>
      <c r="T2926" s="65"/>
      <c r="U2926" s="65"/>
      <c r="V2926" s="66"/>
      <c r="W2926" s="67"/>
      <c r="X2926" s="67"/>
      <c r="Y2926" s="67"/>
      <c r="Z2926" s="67"/>
      <c r="AA2926" s="67"/>
      <c r="AB2926" s="67"/>
      <c r="AC2926" s="67"/>
      <c r="AD2926" s="67"/>
      <c r="AE2926" s="67"/>
      <c r="AF2926" s="67"/>
      <c r="AG2926" s="67"/>
      <c r="AH2926" s="67"/>
      <c r="AI2926" s="67"/>
      <c r="AJ2926" s="96"/>
      <c r="AK2926" s="96"/>
      <c r="AL2926" s="70"/>
      <c r="AM2926" s="70"/>
      <c r="AN2926" s="71"/>
      <c r="AO2926" s="71"/>
      <c r="AP2926" s="71"/>
      <c r="AQ2926" s="71"/>
      <c r="AR2926" s="71"/>
      <c r="AS2926" s="71"/>
      <c r="AT2926" s="71"/>
      <c r="AU2926" s="71"/>
      <c r="AV2926" s="71"/>
      <c r="AW2926" s="71"/>
      <c r="AX2926" s="71"/>
      <c r="AY2926" s="71"/>
      <c r="AZ2926" s="71"/>
      <c r="BA2926" s="71"/>
      <c r="BB2926" s="71"/>
      <c r="BC2926" s="71"/>
      <c r="BD2926" s="71"/>
      <c r="BE2926" s="71"/>
      <c r="BF2926" s="71"/>
      <c r="BG2926" s="71"/>
      <c r="BH2926" s="71"/>
      <c r="BI2926" s="71"/>
      <c r="BJ2926" s="71"/>
      <c r="BK2926" s="71"/>
      <c r="BL2926" s="71"/>
      <c r="BM2926" s="71"/>
      <c r="BN2926" s="71"/>
      <c r="BO2926" s="71"/>
      <c r="BP2926" s="71"/>
      <c r="BQ2926" s="71"/>
      <c r="BR2926" s="71"/>
      <c r="BS2926" s="71"/>
      <c r="BT2926" s="71"/>
      <c r="BU2926" s="71"/>
      <c r="BV2926" s="71"/>
    </row>
    <row r="2927">
      <c r="A2927" s="53"/>
      <c r="B2927" s="53"/>
      <c r="C2927" s="53"/>
      <c r="D2927" s="53"/>
      <c r="E2927" s="86"/>
      <c r="F2927" s="89"/>
      <c r="G2927" s="84"/>
      <c r="H2927" s="55"/>
      <c r="I2927" s="54" t="str">
        <f t="shared" si="140"/>
        <v/>
      </c>
      <c r="J2927" s="56"/>
      <c r="K2927" s="57"/>
      <c r="L2927" s="206"/>
      <c r="M2927" s="124"/>
      <c r="N2927" s="93"/>
      <c r="O2927" s="61"/>
      <c r="P2927" s="90"/>
      <c r="Q2927" s="94"/>
      <c r="R2927" s="95"/>
      <c r="S2927" s="125"/>
      <c r="T2927" s="65"/>
      <c r="U2927" s="65"/>
      <c r="V2927" s="66"/>
      <c r="W2927" s="67"/>
      <c r="X2927" s="67"/>
      <c r="Y2927" s="67"/>
      <c r="Z2927" s="67"/>
      <c r="AA2927" s="67"/>
      <c r="AB2927" s="67"/>
      <c r="AC2927" s="67"/>
      <c r="AD2927" s="67"/>
      <c r="AE2927" s="67"/>
      <c r="AF2927" s="67"/>
      <c r="AG2927" s="67"/>
      <c r="AH2927" s="67"/>
      <c r="AI2927" s="67"/>
      <c r="AJ2927" s="96"/>
      <c r="AK2927" s="96"/>
      <c r="AL2927" s="70"/>
      <c r="AM2927" s="70"/>
      <c r="AN2927" s="71"/>
      <c r="AO2927" s="71"/>
      <c r="AP2927" s="71"/>
      <c r="AQ2927" s="71"/>
      <c r="AR2927" s="71"/>
      <c r="AS2927" s="71"/>
      <c r="AT2927" s="71"/>
      <c r="AU2927" s="71"/>
      <c r="AV2927" s="71"/>
      <c r="AW2927" s="71"/>
      <c r="AX2927" s="71"/>
      <c r="AY2927" s="71"/>
      <c r="AZ2927" s="71"/>
      <c r="BA2927" s="71"/>
      <c r="BB2927" s="71"/>
      <c r="BC2927" s="71"/>
      <c r="BD2927" s="71"/>
      <c r="BE2927" s="71"/>
      <c r="BF2927" s="71"/>
      <c r="BG2927" s="71"/>
      <c r="BH2927" s="71"/>
      <c r="BI2927" s="71"/>
      <c r="BJ2927" s="71"/>
      <c r="BK2927" s="71"/>
      <c r="BL2927" s="71"/>
      <c r="BM2927" s="71"/>
      <c r="BN2927" s="71"/>
      <c r="BO2927" s="71"/>
      <c r="BP2927" s="71"/>
      <c r="BQ2927" s="71"/>
      <c r="BR2927" s="71"/>
      <c r="BS2927" s="71"/>
      <c r="BT2927" s="71"/>
      <c r="BU2927" s="71"/>
      <c r="BV2927" s="71"/>
    </row>
    <row r="2928">
      <c r="A2928" s="53"/>
      <c r="B2928" s="53"/>
      <c r="C2928" s="53"/>
      <c r="D2928" s="53"/>
      <c r="E2928" s="86"/>
      <c r="F2928" s="89"/>
      <c r="G2928" s="84"/>
      <c r="H2928" s="55"/>
      <c r="I2928" s="54" t="str">
        <f t="shared" si="140"/>
        <v/>
      </c>
      <c r="J2928" s="56"/>
      <c r="K2928" s="57"/>
      <c r="L2928" s="206"/>
      <c r="M2928" s="124"/>
      <c r="N2928" s="93"/>
      <c r="O2928" s="61"/>
      <c r="P2928" s="90"/>
      <c r="Q2928" s="94"/>
      <c r="R2928" s="95"/>
      <c r="S2928" s="125"/>
      <c r="T2928" s="65"/>
      <c r="U2928" s="65"/>
      <c r="V2928" s="66"/>
      <c r="W2928" s="67"/>
      <c r="X2928" s="67"/>
      <c r="Y2928" s="67"/>
      <c r="Z2928" s="67"/>
      <c r="AA2928" s="67"/>
      <c r="AB2928" s="67"/>
      <c r="AC2928" s="67"/>
      <c r="AD2928" s="67"/>
      <c r="AE2928" s="67"/>
      <c r="AF2928" s="67"/>
      <c r="AG2928" s="67"/>
      <c r="AH2928" s="67"/>
      <c r="AI2928" s="67"/>
      <c r="AJ2928" s="96"/>
      <c r="AK2928" s="96"/>
      <c r="AL2928" s="70"/>
      <c r="AM2928" s="70"/>
      <c r="AN2928" s="71"/>
      <c r="AO2928" s="71"/>
      <c r="AP2928" s="71"/>
      <c r="AQ2928" s="71"/>
      <c r="AR2928" s="71"/>
      <c r="AS2928" s="71"/>
      <c r="AT2928" s="71"/>
      <c r="AU2928" s="71"/>
      <c r="AV2928" s="71"/>
      <c r="AW2928" s="71"/>
      <c r="AX2928" s="71"/>
      <c r="AY2928" s="71"/>
      <c r="AZ2928" s="71"/>
      <c r="BA2928" s="71"/>
      <c r="BB2928" s="71"/>
      <c r="BC2928" s="71"/>
      <c r="BD2928" s="71"/>
      <c r="BE2928" s="71"/>
      <c r="BF2928" s="71"/>
      <c r="BG2928" s="71"/>
      <c r="BH2928" s="71"/>
      <c r="BI2928" s="71"/>
      <c r="BJ2928" s="71"/>
      <c r="BK2928" s="71"/>
      <c r="BL2928" s="71"/>
      <c r="BM2928" s="71"/>
      <c r="BN2928" s="71"/>
      <c r="BO2928" s="71"/>
      <c r="BP2928" s="71"/>
      <c r="BQ2928" s="71"/>
      <c r="BR2928" s="71"/>
      <c r="BS2928" s="71"/>
      <c r="BT2928" s="71"/>
      <c r="BU2928" s="71"/>
      <c r="BV2928" s="71"/>
    </row>
    <row r="2929">
      <c r="A2929" s="53"/>
      <c r="B2929" s="53"/>
      <c r="C2929" s="53"/>
      <c r="D2929" s="53"/>
      <c r="E2929" s="86"/>
      <c r="F2929" s="89"/>
      <c r="G2929" s="84"/>
      <c r="H2929" s="55"/>
      <c r="I2929" s="54" t="str">
        <f t="shared" si="140"/>
        <v/>
      </c>
      <c r="J2929" s="56"/>
      <c r="K2929" s="57"/>
      <c r="L2929" s="206"/>
      <c r="M2929" s="124"/>
      <c r="N2929" s="93"/>
      <c r="O2929" s="61"/>
      <c r="P2929" s="90"/>
      <c r="Q2929" s="94"/>
      <c r="R2929" s="95"/>
      <c r="S2929" s="125"/>
      <c r="T2929" s="65"/>
      <c r="U2929" s="65"/>
      <c r="V2929" s="66"/>
      <c r="W2929" s="67"/>
      <c r="X2929" s="67"/>
      <c r="Y2929" s="67"/>
      <c r="Z2929" s="67"/>
      <c r="AA2929" s="67"/>
      <c r="AB2929" s="67"/>
      <c r="AC2929" s="67"/>
      <c r="AD2929" s="67"/>
      <c r="AE2929" s="67"/>
      <c r="AF2929" s="67"/>
      <c r="AG2929" s="67"/>
      <c r="AH2929" s="67"/>
      <c r="AI2929" s="67"/>
      <c r="AJ2929" s="96"/>
      <c r="AK2929" s="96"/>
      <c r="AL2929" s="70"/>
      <c r="AM2929" s="70"/>
      <c r="AN2929" s="71"/>
      <c r="AO2929" s="71"/>
      <c r="AP2929" s="71"/>
      <c r="AQ2929" s="71"/>
      <c r="AR2929" s="71"/>
      <c r="AS2929" s="71"/>
      <c r="AT2929" s="71"/>
      <c r="AU2929" s="71"/>
      <c r="AV2929" s="71"/>
      <c r="AW2929" s="71"/>
      <c r="AX2929" s="71"/>
      <c r="AY2929" s="71"/>
      <c r="AZ2929" s="71"/>
      <c r="BA2929" s="71"/>
      <c r="BB2929" s="71"/>
      <c r="BC2929" s="71"/>
      <c r="BD2929" s="71"/>
      <c r="BE2929" s="71"/>
      <c r="BF2929" s="71"/>
      <c r="BG2929" s="71"/>
      <c r="BH2929" s="71"/>
      <c r="BI2929" s="71"/>
      <c r="BJ2929" s="71"/>
      <c r="BK2929" s="71"/>
      <c r="BL2929" s="71"/>
      <c r="BM2929" s="71"/>
      <c r="BN2929" s="71"/>
      <c r="BO2929" s="71"/>
      <c r="BP2929" s="71"/>
      <c r="BQ2929" s="71"/>
      <c r="BR2929" s="71"/>
      <c r="BS2929" s="71"/>
      <c r="BT2929" s="71"/>
      <c r="BU2929" s="71"/>
      <c r="BV2929" s="71"/>
    </row>
    <row r="2930">
      <c r="A2930" s="53"/>
      <c r="B2930" s="53"/>
      <c r="C2930" s="53"/>
      <c r="D2930" s="53"/>
      <c r="E2930" s="86"/>
      <c r="F2930" s="89"/>
      <c r="G2930" s="84"/>
      <c r="H2930" s="55"/>
      <c r="I2930" s="54" t="str">
        <f t="shared" si="140"/>
        <v/>
      </c>
      <c r="J2930" s="56"/>
      <c r="K2930" s="57"/>
      <c r="L2930" s="206"/>
      <c r="M2930" s="124"/>
      <c r="N2930" s="93"/>
      <c r="O2930" s="61"/>
      <c r="P2930" s="90"/>
      <c r="Q2930" s="94"/>
      <c r="R2930" s="95"/>
      <c r="S2930" s="125"/>
      <c r="T2930" s="65"/>
      <c r="U2930" s="65"/>
      <c r="V2930" s="66"/>
      <c r="W2930" s="67"/>
      <c r="X2930" s="67"/>
      <c r="Y2930" s="67"/>
      <c r="Z2930" s="67"/>
      <c r="AA2930" s="67"/>
      <c r="AB2930" s="67"/>
      <c r="AC2930" s="67"/>
      <c r="AD2930" s="67"/>
      <c r="AE2930" s="67"/>
      <c r="AF2930" s="67"/>
      <c r="AG2930" s="67"/>
      <c r="AH2930" s="67"/>
      <c r="AI2930" s="67"/>
      <c r="AJ2930" s="96"/>
      <c r="AK2930" s="96"/>
      <c r="AL2930" s="70"/>
      <c r="AM2930" s="70"/>
      <c r="AN2930" s="71"/>
      <c r="AO2930" s="71"/>
      <c r="AP2930" s="71"/>
      <c r="AQ2930" s="71"/>
      <c r="AR2930" s="71"/>
      <c r="AS2930" s="71"/>
      <c r="AT2930" s="71"/>
      <c r="AU2930" s="71"/>
      <c r="AV2930" s="71"/>
      <c r="AW2930" s="71"/>
      <c r="AX2930" s="71"/>
      <c r="AY2930" s="71"/>
      <c r="AZ2930" s="71"/>
      <c r="BA2930" s="71"/>
      <c r="BB2930" s="71"/>
      <c r="BC2930" s="71"/>
      <c r="BD2930" s="71"/>
      <c r="BE2930" s="71"/>
      <c r="BF2930" s="71"/>
      <c r="BG2930" s="71"/>
      <c r="BH2930" s="71"/>
      <c r="BI2930" s="71"/>
      <c r="BJ2930" s="71"/>
      <c r="BK2930" s="71"/>
      <c r="BL2930" s="71"/>
      <c r="BM2930" s="71"/>
      <c r="BN2930" s="71"/>
      <c r="BO2930" s="71"/>
      <c r="BP2930" s="71"/>
      <c r="BQ2930" s="71"/>
      <c r="BR2930" s="71"/>
      <c r="BS2930" s="71"/>
      <c r="BT2930" s="71"/>
      <c r="BU2930" s="71"/>
      <c r="BV2930" s="71"/>
    </row>
    <row r="2931">
      <c r="A2931" s="53"/>
      <c r="B2931" s="53"/>
      <c r="C2931" s="53"/>
      <c r="D2931" s="53"/>
      <c r="E2931" s="86"/>
      <c r="F2931" s="89"/>
      <c r="G2931" s="84"/>
      <c r="H2931" s="55"/>
      <c r="I2931" s="54" t="str">
        <f t="shared" si="140"/>
        <v/>
      </c>
      <c r="J2931" s="56"/>
      <c r="K2931" s="57"/>
      <c r="L2931" s="206"/>
      <c r="M2931" s="124"/>
      <c r="N2931" s="93"/>
      <c r="O2931" s="61"/>
      <c r="P2931" s="90"/>
      <c r="Q2931" s="94"/>
      <c r="R2931" s="95"/>
      <c r="S2931" s="125"/>
      <c r="T2931" s="65"/>
      <c r="U2931" s="65"/>
      <c r="V2931" s="66"/>
      <c r="W2931" s="67"/>
      <c r="X2931" s="67"/>
      <c r="Y2931" s="67"/>
      <c r="Z2931" s="67"/>
      <c r="AA2931" s="67"/>
      <c r="AB2931" s="67"/>
      <c r="AC2931" s="67"/>
      <c r="AD2931" s="67"/>
      <c r="AE2931" s="67"/>
      <c r="AF2931" s="67"/>
      <c r="AG2931" s="67"/>
      <c r="AH2931" s="67"/>
      <c r="AI2931" s="67"/>
      <c r="AJ2931" s="96"/>
      <c r="AK2931" s="96"/>
      <c r="AL2931" s="70"/>
      <c r="AM2931" s="70"/>
      <c r="AN2931" s="71"/>
      <c r="AO2931" s="71"/>
      <c r="AP2931" s="71"/>
      <c r="AQ2931" s="71"/>
      <c r="AR2931" s="71"/>
      <c r="AS2931" s="71"/>
      <c r="AT2931" s="71"/>
      <c r="AU2931" s="71"/>
      <c r="AV2931" s="71"/>
      <c r="AW2931" s="71"/>
      <c r="AX2931" s="71"/>
      <c r="AY2931" s="71"/>
      <c r="AZ2931" s="71"/>
      <c r="BA2931" s="71"/>
      <c r="BB2931" s="71"/>
      <c r="BC2931" s="71"/>
      <c r="BD2931" s="71"/>
      <c r="BE2931" s="71"/>
      <c r="BF2931" s="71"/>
      <c r="BG2931" s="71"/>
      <c r="BH2931" s="71"/>
      <c r="BI2931" s="71"/>
      <c r="BJ2931" s="71"/>
      <c r="BK2931" s="71"/>
      <c r="BL2931" s="71"/>
      <c r="BM2931" s="71"/>
      <c r="BN2931" s="71"/>
      <c r="BO2931" s="71"/>
      <c r="BP2931" s="71"/>
      <c r="BQ2931" s="71"/>
      <c r="BR2931" s="71"/>
      <c r="BS2931" s="71"/>
      <c r="BT2931" s="71"/>
      <c r="BU2931" s="71"/>
      <c r="BV2931" s="71"/>
    </row>
    <row r="2932">
      <c r="A2932" s="53"/>
      <c r="B2932" s="53"/>
      <c r="C2932" s="53"/>
      <c r="D2932" s="53"/>
      <c r="E2932" s="86"/>
      <c r="F2932" s="89"/>
      <c r="G2932" s="84"/>
      <c r="H2932" s="55"/>
      <c r="I2932" s="54" t="str">
        <f t="shared" si="140"/>
        <v/>
      </c>
      <c r="J2932" s="56"/>
      <c r="K2932" s="57"/>
      <c r="L2932" s="206"/>
      <c r="M2932" s="124"/>
      <c r="N2932" s="93"/>
      <c r="O2932" s="61"/>
      <c r="P2932" s="90"/>
      <c r="Q2932" s="94"/>
      <c r="R2932" s="95"/>
      <c r="S2932" s="125"/>
      <c r="T2932" s="65"/>
      <c r="U2932" s="65"/>
      <c r="V2932" s="66"/>
      <c r="W2932" s="67"/>
      <c r="X2932" s="67"/>
      <c r="Y2932" s="67"/>
      <c r="Z2932" s="67"/>
      <c r="AA2932" s="67"/>
      <c r="AB2932" s="67"/>
      <c r="AC2932" s="67"/>
      <c r="AD2932" s="67"/>
      <c r="AE2932" s="67"/>
      <c r="AF2932" s="67"/>
      <c r="AG2932" s="67"/>
      <c r="AH2932" s="67"/>
      <c r="AI2932" s="67"/>
      <c r="AJ2932" s="96"/>
      <c r="AK2932" s="96"/>
      <c r="AL2932" s="70"/>
      <c r="AM2932" s="70"/>
      <c r="AN2932" s="71"/>
      <c r="AO2932" s="71"/>
      <c r="AP2932" s="71"/>
      <c r="AQ2932" s="71"/>
      <c r="AR2932" s="71"/>
      <c r="AS2932" s="71"/>
      <c r="AT2932" s="71"/>
      <c r="AU2932" s="71"/>
      <c r="AV2932" s="71"/>
      <c r="AW2932" s="71"/>
      <c r="AX2932" s="71"/>
      <c r="AY2932" s="71"/>
      <c r="AZ2932" s="71"/>
      <c r="BA2932" s="71"/>
      <c r="BB2932" s="71"/>
      <c r="BC2932" s="71"/>
      <c r="BD2932" s="71"/>
      <c r="BE2932" s="71"/>
      <c r="BF2932" s="71"/>
      <c r="BG2932" s="71"/>
      <c r="BH2932" s="71"/>
      <c r="BI2932" s="71"/>
      <c r="BJ2932" s="71"/>
      <c r="BK2932" s="71"/>
      <c r="BL2932" s="71"/>
      <c r="BM2932" s="71"/>
      <c r="BN2932" s="71"/>
      <c r="BO2932" s="71"/>
      <c r="BP2932" s="71"/>
      <c r="BQ2932" s="71"/>
      <c r="BR2932" s="71"/>
      <c r="BS2932" s="71"/>
      <c r="BT2932" s="71"/>
      <c r="BU2932" s="71"/>
      <c r="BV2932" s="71"/>
    </row>
    <row r="2933">
      <c r="A2933" s="53"/>
      <c r="B2933" s="53"/>
      <c r="C2933" s="53"/>
      <c r="D2933" s="53"/>
      <c r="E2933" s="86"/>
      <c r="F2933" s="89"/>
      <c r="G2933" s="84"/>
      <c r="H2933" s="55"/>
      <c r="I2933" s="54" t="str">
        <f t="shared" si="140"/>
        <v/>
      </c>
      <c r="J2933" s="56"/>
      <c r="K2933" s="57"/>
      <c r="L2933" s="206"/>
      <c r="M2933" s="124"/>
      <c r="N2933" s="93"/>
      <c r="O2933" s="61"/>
      <c r="P2933" s="90"/>
      <c r="Q2933" s="94"/>
      <c r="R2933" s="95"/>
      <c r="S2933" s="125"/>
      <c r="T2933" s="65"/>
      <c r="U2933" s="65"/>
      <c r="V2933" s="66"/>
      <c r="W2933" s="67"/>
      <c r="X2933" s="67"/>
      <c r="Y2933" s="67"/>
      <c r="Z2933" s="67"/>
      <c r="AA2933" s="67"/>
      <c r="AB2933" s="67"/>
      <c r="AC2933" s="67"/>
      <c r="AD2933" s="67"/>
      <c r="AE2933" s="67"/>
      <c r="AF2933" s="67"/>
      <c r="AG2933" s="67"/>
      <c r="AH2933" s="67"/>
      <c r="AI2933" s="67"/>
      <c r="AJ2933" s="96"/>
      <c r="AK2933" s="96"/>
      <c r="AL2933" s="70"/>
      <c r="AM2933" s="70"/>
      <c r="AN2933" s="71"/>
      <c r="AO2933" s="71"/>
      <c r="AP2933" s="71"/>
      <c r="AQ2933" s="71"/>
      <c r="AR2933" s="71"/>
      <c r="AS2933" s="71"/>
      <c r="AT2933" s="71"/>
      <c r="AU2933" s="71"/>
      <c r="AV2933" s="71"/>
      <c r="AW2933" s="71"/>
      <c r="AX2933" s="71"/>
      <c r="AY2933" s="71"/>
      <c r="AZ2933" s="71"/>
      <c r="BA2933" s="71"/>
      <c r="BB2933" s="71"/>
      <c r="BC2933" s="71"/>
      <c r="BD2933" s="71"/>
      <c r="BE2933" s="71"/>
      <c r="BF2933" s="71"/>
      <c r="BG2933" s="71"/>
      <c r="BH2933" s="71"/>
      <c r="BI2933" s="71"/>
      <c r="BJ2933" s="71"/>
      <c r="BK2933" s="71"/>
      <c r="BL2933" s="71"/>
      <c r="BM2933" s="71"/>
      <c r="BN2933" s="71"/>
      <c r="BO2933" s="71"/>
      <c r="BP2933" s="71"/>
      <c r="BQ2933" s="71"/>
      <c r="BR2933" s="71"/>
      <c r="BS2933" s="71"/>
      <c r="BT2933" s="71"/>
      <c r="BU2933" s="71"/>
      <c r="BV2933" s="71"/>
    </row>
    <row r="2934">
      <c r="A2934" s="53"/>
      <c r="B2934" s="53"/>
      <c r="C2934" s="53"/>
      <c r="D2934" s="53"/>
      <c r="E2934" s="86"/>
      <c r="F2934" s="89"/>
      <c r="G2934" s="84"/>
      <c r="H2934" s="55"/>
      <c r="I2934" s="54" t="str">
        <f t="shared" si="140"/>
        <v/>
      </c>
      <c r="J2934" s="56"/>
      <c r="K2934" s="57"/>
      <c r="L2934" s="206"/>
      <c r="M2934" s="124"/>
      <c r="N2934" s="93"/>
      <c r="O2934" s="61"/>
      <c r="P2934" s="90"/>
      <c r="Q2934" s="94"/>
      <c r="R2934" s="95"/>
      <c r="S2934" s="125"/>
      <c r="T2934" s="65"/>
      <c r="U2934" s="65"/>
      <c r="V2934" s="66"/>
      <c r="W2934" s="67"/>
      <c r="X2934" s="67"/>
      <c r="Y2934" s="67"/>
      <c r="Z2934" s="67"/>
      <c r="AA2934" s="67"/>
      <c r="AB2934" s="67"/>
      <c r="AC2934" s="67"/>
      <c r="AD2934" s="67"/>
      <c r="AE2934" s="67"/>
      <c r="AF2934" s="67"/>
      <c r="AG2934" s="67"/>
      <c r="AH2934" s="67"/>
      <c r="AI2934" s="67"/>
      <c r="AJ2934" s="96"/>
      <c r="AK2934" s="96"/>
      <c r="AL2934" s="70"/>
      <c r="AM2934" s="70"/>
      <c r="AN2934" s="71"/>
      <c r="AO2934" s="71"/>
      <c r="AP2934" s="71"/>
      <c r="AQ2934" s="71"/>
      <c r="AR2934" s="71"/>
      <c r="AS2934" s="71"/>
      <c r="AT2934" s="71"/>
      <c r="AU2934" s="71"/>
      <c r="AV2934" s="71"/>
      <c r="AW2934" s="71"/>
      <c r="AX2934" s="71"/>
      <c r="AY2934" s="71"/>
      <c r="AZ2934" s="71"/>
      <c r="BA2934" s="71"/>
      <c r="BB2934" s="71"/>
      <c r="BC2934" s="71"/>
      <c r="BD2934" s="71"/>
      <c r="BE2934" s="71"/>
      <c r="BF2934" s="71"/>
      <c r="BG2934" s="71"/>
      <c r="BH2934" s="71"/>
      <c r="BI2934" s="71"/>
      <c r="BJ2934" s="71"/>
      <c r="BK2934" s="71"/>
      <c r="BL2934" s="71"/>
      <c r="BM2934" s="71"/>
      <c r="BN2934" s="71"/>
      <c r="BO2934" s="71"/>
      <c r="BP2934" s="71"/>
      <c r="BQ2934" s="71"/>
      <c r="BR2934" s="71"/>
      <c r="BS2934" s="71"/>
      <c r="BT2934" s="71"/>
      <c r="BU2934" s="71"/>
      <c r="BV2934" s="71"/>
    </row>
    <row r="2935">
      <c r="A2935" s="53"/>
      <c r="B2935" s="53"/>
      <c r="C2935" s="53"/>
      <c r="D2935" s="53"/>
      <c r="E2935" s="86"/>
      <c r="F2935" s="89"/>
      <c r="G2935" s="84"/>
      <c r="H2935" s="55"/>
      <c r="I2935" s="54" t="str">
        <f t="shared" si="140"/>
        <v/>
      </c>
      <c r="J2935" s="56"/>
      <c r="K2935" s="57"/>
      <c r="L2935" s="206"/>
      <c r="M2935" s="124"/>
      <c r="N2935" s="93"/>
      <c r="O2935" s="61"/>
      <c r="P2935" s="90"/>
      <c r="Q2935" s="94"/>
      <c r="R2935" s="95"/>
      <c r="S2935" s="125"/>
      <c r="T2935" s="65"/>
      <c r="U2935" s="65"/>
      <c r="V2935" s="66"/>
      <c r="W2935" s="67"/>
      <c r="X2935" s="67"/>
      <c r="Y2935" s="67"/>
      <c r="Z2935" s="67"/>
      <c r="AA2935" s="67"/>
      <c r="AB2935" s="67"/>
      <c r="AC2935" s="67"/>
      <c r="AD2935" s="67"/>
      <c r="AE2935" s="67"/>
      <c r="AF2935" s="67"/>
      <c r="AG2935" s="67"/>
      <c r="AH2935" s="67"/>
      <c r="AI2935" s="67"/>
      <c r="AJ2935" s="96"/>
      <c r="AK2935" s="96"/>
      <c r="AL2935" s="70"/>
      <c r="AM2935" s="70"/>
      <c r="AN2935" s="71"/>
      <c r="AO2935" s="71"/>
      <c r="AP2935" s="71"/>
      <c r="AQ2935" s="71"/>
      <c r="AR2935" s="71"/>
      <c r="AS2935" s="71"/>
      <c r="AT2935" s="71"/>
      <c r="AU2935" s="71"/>
      <c r="AV2935" s="71"/>
      <c r="AW2935" s="71"/>
      <c r="AX2935" s="71"/>
      <c r="AY2935" s="71"/>
      <c r="AZ2935" s="71"/>
      <c r="BA2935" s="71"/>
      <c r="BB2935" s="71"/>
      <c r="BC2935" s="71"/>
      <c r="BD2935" s="71"/>
      <c r="BE2935" s="71"/>
      <c r="BF2935" s="71"/>
      <c r="BG2935" s="71"/>
      <c r="BH2935" s="71"/>
      <c r="BI2935" s="71"/>
      <c r="BJ2935" s="71"/>
      <c r="BK2935" s="71"/>
      <c r="BL2935" s="71"/>
      <c r="BM2935" s="71"/>
      <c r="BN2935" s="71"/>
      <c r="BO2935" s="71"/>
      <c r="BP2935" s="71"/>
      <c r="BQ2935" s="71"/>
      <c r="BR2935" s="71"/>
      <c r="BS2935" s="71"/>
      <c r="BT2935" s="71"/>
      <c r="BU2935" s="71"/>
      <c r="BV2935" s="71"/>
    </row>
    <row r="2936">
      <c r="A2936" s="53"/>
      <c r="B2936" s="53"/>
      <c r="C2936" s="53"/>
      <c r="D2936" s="53"/>
      <c r="E2936" s="86"/>
      <c r="F2936" s="89"/>
      <c r="G2936" s="84"/>
      <c r="H2936" s="55"/>
      <c r="I2936" s="54" t="str">
        <f t="shared" si="140"/>
        <v/>
      </c>
      <c r="J2936" s="56"/>
      <c r="K2936" s="57"/>
      <c r="L2936" s="206"/>
      <c r="M2936" s="124"/>
      <c r="N2936" s="93"/>
      <c r="O2936" s="61"/>
      <c r="P2936" s="90"/>
      <c r="Q2936" s="94"/>
      <c r="R2936" s="95"/>
      <c r="S2936" s="125"/>
      <c r="T2936" s="65"/>
      <c r="U2936" s="65"/>
      <c r="V2936" s="66"/>
      <c r="W2936" s="67"/>
      <c r="X2936" s="67"/>
      <c r="Y2936" s="67"/>
      <c r="Z2936" s="67"/>
      <c r="AA2936" s="67"/>
      <c r="AB2936" s="67"/>
      <c r="AC2936" s="67"/>
      <c r="AD2936" s="67"/>
      <c r="AE2936" s="67"/>
      <c r="AF2936" s="67"/>
      <c r="AG2936" s="67"/>
      <c r="AH2936" s="67"/>
      <c r="AI2936" s="67"/>
      <c r="AJ2936" s="96"/>
      <c r="AK2936" s="96"/>
      <c r="AL2936" s="70"/>
      <c r="AM2936" s="70"/>
      <c r="AN2936" s="71"/>
      <c r="AO2936" s="71"/>
      <c r="AP2936" s="71"/>
      <c r="AQ2936" s="71"/>
      <c r="AR2936" s="71"/>
      <c r="AS2936" s="71"/>
      <c r="AT2936" s="71"/>
      <c r="AU2936" s="71"/>
      <c r="AV2936" s="71"/>
      <c r="AW2936" s="71"/>
      <c r="AX2936" s="71"/>
      <c r="AY2936" s="71"/>
      <c r="AZ2936" s="71"/>
      <c r="BA2936" s="71"/>
      <c r="BB2936" s="71"/>
      <c r="BC2936" s="71"/>
      <c r="BD2936" s="71"/>
      <c r="BE2936" s="71"/>
      <c r="BF2936" s="71"/>
      <c r="BG2936" s="71"/>
      <c r="BH2936" s="71"/>
      <c r="BI2936" s="71"/>
      <c r="BJ2936" s="71"/>
      <c r="BK2936" s="71"/>
      <c r="BL2936" s="71"/>
      <c r="BM2936" s="71"/>
      <c r="BN2936" s="71"/>
      <c r="BO2936" s="71"/>
      <c r="BP2936" s="71"/>
      <c r="BQ2936" s="71"/>
      <c r="BR2936" s="71"/>
      <c r="BS2936" s="71"/>
      <c r="BT2936" s="71"/>
      <c r="BU2936" s="71"/>
      <c r="BV2936" s="71"/>
    </row>
    <row r="2937">
      <c r="A2937" s="53"/>
      <c r="B2937" s="53"/>
      <c r="C2937" s="53"/>
      <c r="D2937" s="53"/>
      <c r="E2937" s="86"/>
      <c r="F2937" s="89"/>
      <c r="G2937" s="84"/>
      <c r="H2937" s="55"/>
      <c r="I2937" s="54" t="str">
        <f t="shared" si="140"/>
        <v/>
      </c>
      <c r="J2937" s="56"/>
      <c r="K2937" s="57"/>
      <c r="L2937" s="206"/>
      <c r="M2937" s="124"/>
      <c r="N2937" s="93"/>
      <c r="O2937" s="61"/>
      <c r="P2937" s="90"/>
      <c r="Q2937" s="94"/>
      <c r="R2937" s="95"/>
      <c r="S2937" s="125"/>
      <c r="T2937" s="65"/>
      <c r="U2937" s="65"/>
      <c r="V2937" s="66"/>
      <c r="W2937" s="67"/>
      <c r="X2937" s="67"/>
      <c r="Y2937" s="67"/>
      <c r="Z2937" s="67"/>
      <c r="AA2937" s="67"/>
      <c r="AB2937" s="67"/>
      <c r="AC2937" s="67"/>
      <c r="AD2937" s="67"/>
      <c r="AE2937" s="67"/>
      <c r="AF2937" s="67"/>
      <c r="AG2937" s="67"/>
      <c r="AH2937" s="67"/>
      <c r="AI2937" s="67"/>
      <c r="AJ2937" s="96"/>
      <c r="AK2937" s="96"/>
      <c r="AL2937" s="70"/>
      <c r="AM2937" s="70"/>
      <c r="AN2937" s="71"/>
      <c r="AO2937" s="71"/>
      <c r="AP2937" s="71"/>
      <c r="AQ2937" s="71"/>
      <c r="AR2937" s="71"/>
      <c r="AS2937" s="71"/>
      <c r="AT2937" s="71"/>
      <c r="AU2937" s="71"/>
      <c r="AV2937" s="71"/>
      <c r="AW2937" s="71"/>
      <c r="AX2937" s="71"/>
      <c r="AY2937" s="71"/>
      <c r="AZ2937" s="71"/>
      <c r="BA2937" s="71"/>
      <c r="BB2937" s="71"/>
      <c r="BC2937" s="71"/>
      <c r="BD2937" s="71"/>
      <c r="BE2937" s="71"/>
      <c r="BF2937" s="71"/>
      <c r="BG2937" s="71"/>
      <c r="BH2937" s="71"/>
      <c r="BI2937" s="71"/>
      <c r="BJ2937" s="71"/>
      <c r="BK2937" s="71"/>
      <c r="BL2937" s="71"/>
      <c r="BM2937" s="71"/>
      <c r="BN2937" s="71"/>
      <c r="BO2937" s="71"/>
      <c r="BP2937" s="71"/>
      <c r="BQ2937" s="71"/>
      <c r="BR2937" s="71"/>
      <c r="BS2937" s="71"/>
      <c r="BT2937" s="71"/>
      <c r="BU2937" s="71"/>
      <c r="BV2937" s="71"/>
    </row>
    <row r="2938">
      <c r="A2938" s="53"/>
      <c r="B2938" s="53"/>
      <c r="C2938" s="53"/>
      <c r="D2938" s="53"/>
      <c r="E2938" s="86"/>
      <c r="F2938" s="89"/>
      <c r="G2938" s="84"/>
      <c r="H2938" s="55"/>
      <c r="I2938" s="54" t="str">
        <f t="shared" si="140"/>
        <v/>
      </c>
      <c r="J2938" s="56"/>
      <c r="K2938" s="57"/>
      <c r="L2938" s="206"/>
      <c r="M2938" s="124"/>
      <c r="N2938" s="93"/>
      <c r="O2938" s="61"/>
      <c r="P2938" s="90"/>
      <c r="Q2938" s="94"/>
      <c r="R2938" s="95"/>
      <c r="S2938" s="125"/>
      <c r="T2938" s="65"/>
      <c r="U2938" s="65"/>
      <c r="V2938" s="66"/>
      <c r="W2938" s="67"/>
      <c r="X2938" s="67"/>
      <c r="Y2938" s="67"/>
      <c r="Z2938" s="67"/>
      <c r="AA2938" s="67"/>
      <c r="AB2938" s="67"/>
      <c r="AC2938" s="67"/>
      <c r="AD2938" s="67"/>
      <c r="AE2938" s="67"/>
      <c r="AF2938" s="67"/>
      <c r="AG2938" s="67"/>
      <c r="AH2938" s="67"/>
      <c r="AI2938" s="67"/>
      <c r="AJ2938" s="96"/>
      <c r="AK2938" s="96"/>
      <c r="AL2938" s="70"/>
      <c r="AM2938" s="70"/>
      <c r="AN2938" s="71"/>
      <c r="AO2938" s="71"/>
      <c r="AP2938" s="71"/>
      <c r="AQ2938" s="71"/>
      <c r="AR2938" s="71"/>
      <c r="AS2938" s="71"/>
      <c r="AT2938" s="71"/>
      <c r="AU2938" s="71"/>
      <c r="AV2938" s="71"/>
      <c r="AW2938" s="71"/>
      <c r="AX2938" s="71"/>
      <c r="AY2938" s="71"/>
      <c r="AZ2938" s="71"/>
      <c r="BA2938" s="71"/>
      <c r="BB2938" s="71"/>
      <c r="BC2938" s="71"/>
      <c r="BD2938" s="71"/>
      <c r="BE2938" s="71"/>
      <c r="BF2938" s="71"/>
      <c r="BG2938" s="71"/>
      <c r="BH2938" s="71"/>
      <c r="BI2938" s="71"/>
      <c r="BJ2938" s="71"/>
      <c r="BK2938" s="71"/>
      <c r="BL2938" s="71"/>
      <c r="BM2938" s="71"/>
      <c r="BN2938" s="71"/>
      <c r="BO2938" s="71"/>
      <c r="BP2938" s="71"/>
      <c r="BQ2938" s="71"/>
      <c r="BR2938" s="71"/>
      <c r="BS2938" s="71"/>
      <c r="BT2938" s="71"/>
      <c r="BU2938" s="71"/>
      <c r="BV2938" s="71"/>
    </row>
    <row r="2939">
      <c r="A2939" s="53"/>
      <c r="B2939" s="53"/>
      <c r="C2939" s="53"/>
      <c r="D2939" s="53"/>
      <c r="E2939" s="86"/>
      <c r="F2939" s="89"/>
      <c r="G2939" s="84"/>
      <c r="H2939" s="55"/>
      <c r="I2939" s="54" t="str">
        <f t="shared" si="140"/>
        <v/>
      </c>
      <c r="J2939" s="56"/>
      <c r="K2939" s="57"/>
      <c r="L2939" s="206"/>
      <c r="M2939" s="124"/>
      <c r="N2939" s="93"/>
      <c r="O2939" s="61"/>
      <c r="P2939" s="90"/>
      <c r="Q2939" s="94"/>
      <c r="R2939" s="95"/>
      <c r="S2939" s="125"/>
      <c r="T2939" s="65"/>
      <c r="U2939" s="65"/>
      <c r="V2939" s="66"/>
      <c r="W2939" s="67"/>
      <c r="X2939" s="67"/>
      <c r="Y2939" s="67"/>
      <c r="Z2939" s="67"/>
      <c r="AA2939" s="67"/>
      <c r="AB2939" s="67"/>
      <c r="AC2939" s="67"/>
      <c r="AD2939" s="67"/>
      <c r="AE2939" s="67"/>
      <c r="AF2939" s="67"/>
      <c r="AG2939" s="67"/>
      <c r="AH2939" s="67"/>
      <c r="AI2939" s="67"/>
      <c r="AJ2939" s="96"/>
      <c r="AK2939" s="96"/>
      <c r="AL2939" s="70"/>
      <c r="AM2939" s="70"/>
      <c r="AN2939" s="71"/>
      <c r="AO2939" s="71"/>
      <c r="AP2939" s="71"/>
      <c r="AQ2939" s="71"/>
      <c r="AR2939" s="71"/>
      <c r="AS2939" s="71"/>
      <c r="AT2939" s="71"/>
      <c r="AU2939" s="71"/>
      <c r="AV2939" s="71"/>
      <c r="AW2939" s="71"/>
      <c r="AX2939" s="71"/>
      <c r="AY2939" s="71"/>
      <c r="AZ2939" s="71"/>
      <c r="BA2939" s="71"/>
      <c r="BB2939" s="71"/>
      <c r="BC2939" s="71"/>
      <c r="BD2939" s="71"/>
      <c r="BE2939" s="71"/>
      <c r="BF2939" s="71"/>
      <c r="BG2939" s="71"/>
      <c r="BH2939" s="71"/>
      <c r="BI2939" s="71"/>
      <c r="BJ2939" s="71"/>
      <c r="BK2939" s="71"/>
      <c r="BL2939" s="71"/>
      <c r="BM2939" s="71"/>
      <c r="BN2939" s="71"/>
      <c r="BO2939" s="71"/>
      <c r="BP2939" s="71"/>
      <c r="BQ2939" s="71"/>
      <c r="BR2939" s="71"/>
      <c r="BS2939" s="71"/>
      <c r="BT2939" s="71"/>
      <c r="BU2939" s="71"/>
      <c r="BV2939" s="71"/>
    </row>
    <row r="2940">
      <c r="A2940" s="53"/>
      <c r="B2940" s="53"/>
      <c r="C2940" s="53"/>
      <c r="D2940" s="53"/>
      <c r="E2940" s="86"/>
      <c r="F2940" s="89"/>
      <c r="G2940" s="84"/>
      <c r="H2940" s="55"/>
      <c r="I2940" s="54" t="str">
        <f t="shared" si="140"/>
        <v/>
      </c>
      <c r="J2940" s="56"/>
      <c r="K2940" s="57"/>
      <c r="L2940" s="206"/>
      <c r="M2940" s="124"/>
      <c r="N2940" s="93"/>
      <c r="O2940" s="61"/>
      <c r="P2940" s="90"/>
      <c r="Q2940" s="94"/>
      <c r="R2940" s="95"/>
      <c r="S2940" s="125"/>
      <c r="T2940" s="65"/>
      <c r="U2940" s="65"/>
      <c r="V2940" s="66"/>
      <c r="W2940" s="67"/>
      <c r="X2940" s="67"/>
      <c r="Y2940" s="67"/>
      <c r="Z2940" s="67"/>
      <c r="AA2940" s="67"/>
      <c r="AB2940" s="67"/>
      <c r="AC2940" s="67"/>
      <c r="AD2940" s="67"/>
      <c r="AE2940" s="67"/>
      <c r="AF2940" s="67"/>
      <c r="AG2940" s="67"/>
      <c r="AH2940" s="67"/>
      <c r="AI2940" s="67"/>
      <c r="AJ2940" s="96"/>
      <c r="AK2940" s="96"/>
      <c r="AL2940" s="70"/>
      <c r="AM2940" s="70"/>
      <c r="AN2940" s="71"/>
      <c r="AO2940" s="71"/>
      <c r="AP2940" s="71"/>
      <c r="AQ2940" s="71"/>
      <c r="AR2940" s="71"/>
      <c r="AS2940" s="71"/>
      <c r="AT2940" s="71"/>
      <c r="AU2940" s="71"/>
      <c r="AV2940" s="71"/>
      <c r="AW2940" s="71"/>
      <c r="AX2940" s="71"/>
      <c r="AY2940" s="71"/>
      <c r="AZ2940" s="71"/>
      <c r="BA2940" s="71"/>
      <c r="BB2940" s="71"/>
      <c r="BC2940" s="71"/>
      <c r="BD2940" s="71"/>
      <c r="BE2940" s="71"/>
      <c r="BF2940" s="71"/>
      <c r="BG2940" s="71"/>
      <c r="BH2940" s="71"/>
      <c r="BI2940" s="71"/>
      <c r="BJ2940" s="71"/>
      <c r="BK2940" s="71"/>
      <c r="BL2940" s="71"/>
      <c r="BM2940" s="71"/>
      <c r="BN2940" s="71"/>
      <c r="BO2940" s="71"/>
      <c r="BP2940" s="71"/>
      <c r="BQ2940" s="71"/>
      <c r="BR2940" s="71"/>
      <c r="BS2940" s="71"/>
      <c r="BT2940" s="71"/>
      <c r="BU2940" s="71"/>
      <c r="BV2940" s="71"/>
    </row>
    <row r="2941">
      <c r="A2941" s="53"/>
      <c r="B2941" s="53"/>
      <c r="C2941" s="53"/>
      <c r="D2941" s="53"/>
      <c r="E2941" s="86"/>
      <c r="F2941" s="89"/>
      <c r="G2941" s="84"/>
      <c r="H2941" s="55"/>
      <c r="I2941" s="54" t="str">
        <f t="shared" si="140"/>
        <v/>
      </c>
      <c r="J2941" s="56"/>
      <c r="K2941" s="57"/>
      <c r="L2941" s="206"/>
      <c r="M2941" s="124"/>
      <c r="N2941" s="93"/>
      <c r="O2941" s="61"/>
      <c r="P2941" s="90"/>
      <c r="Q2941" s="94"/>
      <c r="R2941" s="95"/>
      <c r="S2941" s="125"/>
      <c r="T2941" s="65"/>
      <c r="U2941" s="65"/>
      <c r="V2941" s="66"/>
      <c r="W2941" s="67"/>
      <c r="X2941" s="67"/>
      <c r="Y2941" s="67"/>
      <c r="Z2941" s="67"/>
      <c r="AA2941" s="67"/>
      <c r="AB2941" s="67"/>
      <c r="AC2941" s="67"/>
      <c r="AD2941" s="67"/>
      <c r="AE2941" s="67"/>
      <c r="AF2941" s="67"/>
      <c r="AG2941" s="67"/>
      <c r="AH2941" s="67"/>
      <c r="AI2941" s="67"/>
      <c r="AJ2941" s="96"/>
      <c r="AK2941" s="96"/>
      <c r="AL2941" s="70"/>
      <c r="AM2941" s="70"/>
      <c r="AN2941" s="71"/>
      <c r="AO2941" s="71"/>
      <c r="AP2941" s="71"/>
      <c r="AQ2941" s="71"/>
      <c r="AR2941" s="71"/>
      <c r="AS2941" s="71"/>
      <c r="AT2941" s="71"/>
      <c r="AU2941" s="71"/>
      <c r="AV2941" s="71"/>
      <c r="AW2941" s="71"/>
      <c r="AX2941" s="71"/>
      <c r="AY2941" s="71"/>
      <c r="AZ2941" s="71"/>
      <c r="BA2941" s="71"/>
      <c r="BB2941" s="71"/>
      <c r="BC2941" s="71"/>
      <c r="BD2941" s="71"/>
      <c r="BE2941" s="71"/>
      <c r="BF2941" s="71"/>
      <c r="BG2941" s="71"/>
      <c r="BH2941" s="71"/>
      <c r="BI2941" s="71"/>
      <c r="BJ2941" s="71"/>
      <c r="BK2941" s="71"/>
      <c r="BL2941" s="71"/>
      <c r="BM2941" s="71"/>
      <c r="BN2941" s="71"/>
      <c r="BO2941" s="71"/>
      <c r="BP2941" s="71"/>
      <c r="BQ2941" s="71"/>
      <c r="BR2941" s="71"/>
      <c r="BS2941" s="71"/>
      <c r="BT2941" s="71"/>
      <c r="BU2941" s="71"/>
      <c r="BV2941" s="71"/>
    </row>
    <row r="2942">
      <c r="A2942" s="53"/>
      <c r="B2942" s="53"/>
      <c r="C2942" s="53"/>
      <c r="D2942" s="53"/>
      <c r="E2942" s="86"/>
      <c r="F2942" s="89"/>
      <c r="G2942" s="84"/>
      <c r="H2942" s="55"/>
      <c r="I2942" s="54" t="str">
        <f t="shared" si="140"/>
        <v/>
      </c>
      <c r="J2942" s="56"/>
      <c r="K2942" s="57"/>
      <c r="L2942" s="206"/>
      <c r="M2942" s="124"/>
      <c r="N2942" s="93"/>
      <c r="O2942" s="61"/>
      <c r="P2942" s="90"/>
      <c r="Q2942" s="94"/>
      <c r="R2942" s="95"/>
      <c r="S2942" s="125"/>
      <c r="T2942" s="65"/>
      <c r="U2942" s="65"/>
      <c r="V2942" s="66"/>
      <c r="W2942" s="67"/>
      <c r="X2942" s="67"/>
      <c r="Y2942" s="67"/>
      <c r="Z2942" s="67"/>
      <c r="AA2942" s="67"/>
      <c r="AB2942" s="67"/>
      <c r="AC2942" s="67"/>
      <c r="AD2942" s="67"/>
      <c r="AE2942" s="67"/>
      <c r="AF2942" s="67"/>
      <c r="AG2942" s="67"/>
      <c r="AH2942" s="67"/>
      <c r="AI2942" s="67"/>
      <c r="AJ2942" s="96"/>
      <c r="AK2942" s="96"/>
      <c r="AL2942" s="70"/>
      <c r="AM2942" s="70"/>
      <c r="AN2942" s="71"/>
      <c r="AO2942" s="71"/>
      <c r="AP2942" s="71"/>
      <c r="AQ2942" s="71"/>
      <c r="AR2942" s="71"/>
      <c r="AS2942" s="71"/>
      <c r="AT2942" s="71"/>
      <c r="AU2942" s="71"/>
      <c r="AV2942" s="71"/>
      <c r="AW2942" s="71"/>
      <c r="AX2942" s="71"/>
      <c r="AY2942" s="71"/>
      <c r="AZ2942" s="71"/>
      <c r="BA2942" s="71"/>
      <c r="BB2942" s="71"/>
      <c r="BC2942" s="71"/>
      <c r="BD2942" s="71"/>
      <c r="BE2942" s="71"/>
      <c r="BF2942" s="71"/>
      <c r="BG2942" s="71"/>
      <c r="BH2942" s="71"/>
      <c r="BI2942" s="71"/>
      <c r="BJ2942" s="71"/>
      <c r="BK2942" s="71"/>
      <c r="BL2942" s="71"/>
      <c r="BM2942" s="71"/>
      <c r="BN2942" s="71"/>
      <c r="BO2942" s="71"/>
      <c r="BP2942" s="71"/>
      <c r="BQ2942" s="71"/>
      <c r="BR2942" s="71"/>
      <c r="BS2942" s="71"/>
      <c r="BT2942" s="71"/>
      <c r="BU2942" s="71"/>
      <c r="BV2942" s="71"/>
    </row>
    <row r="2943">
      <c r="A2943" s="53"/>
      <c r="B2943" s="53"/>
      <c r="C2943" s="53"/>
      <c r="D2943" s="53"/>
      <c r="E2943" s="86"/>
      <c r="F2943" s="89"/>
      <c r="G2943" s="84"/>
      <c r="H2943" s="55"/>
      <c r="I2943" s="54" t="str">
        <f t="shared" si="140"/>
        <v/>
      </c>
      <c r="J2943" s="56"/>
      <c r="K2943" s="57"/>
      <c r="L2943" s="206"/>
      <c r="M2943" s="124"/>
      <c r="N2943" s="93"/>
      <c r="O2943" s="61"/>
      <c r="P2943" s="90"/>
      <c r="Q2943" s="94"/>
      <c r="R2943" s="95"/>
      <c r="S2943" s="125"/>
      <c r="T2943" s="65"/>
      <c r="U2943" s="65"/>
      <c r="V2943" s="66"/>
      <c r="W2943" s="67"/>
      <c r="X2943" s="67"/>
      <c r="Y2943" s="67"/>
      <c r="Z2943" s="67"/>
      <c r="AA2943" s="67"/>
      <c r="AB2943" s="67"/>
      <c r="AC2943" s="67"/>
      <c r="AD2943" s="67"/>
      <c r="AE2943" s="67"/>
      <c r="AF2943" s="67"/>
      <c r="AG2943" s="67"/>
      <c r="AH2943" s="67"/>
      <c r="AI2943" s="67"/>
      <c r="AJ2943" s="96"/>
      <c r="AK2943" s="96"/>
      <c r="AL2943" s="70"/>
      <c r="AM2943" s="70"/>
      <c r="AN2943" s="71"/>
      <c r="AO2943" s="71"/>
      <c r="AP2943" s="71"/>
      <c r="AQ2943" s="71"/>
      <c r="AR2943" s="71"/>
      <c r="AS2943" s="71"/>
      <c r="AT2943" s="71"/>
      <c r="AU2943" s="71"/>
      <c r="AV2943" s="71"/>
      <c r="AW2943" s="71"/>
      <c r="AX2943" s="71"/>
      <c r="AY2943" s="71"/>
      <c r="AZ2943" s="71"/>
      <c r="BA2943" s="71"/>
      <c r="BB2943" s="71"/>
      <c r="BC2943" s="71"/>
      <c r="BD2943" s="71"/>
      <c r="BE2943" s="71"/>
      <c r="BF2943" s="71"/>
      <c r="BG2943" s="71"/>
      <c r="BH2943" s="71"/>
      <c r="BI2943" s="71"/>
      <c r="BJ2943" s="71"/>
      <c r="BK2943" s="71"/>
      <c r="BL2943" s="71"/>
      <c r="BM2943" s="71"/>
      <c r="BN2943" s="71"/>
      <c r="BO2943" s="71"/>
      <c r="BP2943" s="71"/>
      <c r="BQ2943" s="71"/>
      <c r="BR2943" s="71"/>
      <c r="BS2943" s="71"/>
      <c r="BT2943" s="71"/>
      <c r="BU2943" s="71"/>
      <c r="BV2943" s="71"/>
    </row>
    <row r="2944">
      <c r="A2944" s="53"/>
      <c r="B2944" s="53"/>
      <c r="C2944" s="53"/>
      <c r="D2944" s="53"/>
      <c r="E2944" s="86"/>
      <c r="F2944" s="89"/>
      <c r="G2944" s="84"/>
      <c r="H2944" s="55"/>
      <c r="I2944" s="54" t="str">
        <f t="shared" si="140"/>
        <v/>
      </c>
      <c r="J2944" s="56"/>
      <c r="K2944" s="57"/>
      <c r="L2944" s="206"/>
      <c r="M2944" s="124"/>
      <c r="N2944" s="93"/>
      <c r="O2944" s="61"/>
      <c r="P2944" s="90"/>
      <c r="Q2944" s="94"/>
      <c r="R2944" s="95"/>
      <c r="S2944" s="125"/>
      <c r="T2944" s="65"/>
      <c r="U2944" s="65"/>
      <c r="V2944" s="66"/>
      <c r="W2944" s="67"/>
      <c r="X2944" s="67"/>
      <c r="Y2944" s="67"/>
      <c r="Z2944" s="67"/>
      <c r="AA2944" s="67"/>
      <c r="AB2944" s="67"/>
      <c r="AC2944" s="67"/>
      <c r="AD2944" s="67"/>
      <c r="AE2944" s="67"/>
      <c r="AF2944" s="67"/>
      <c r="AG2944" s="67"/>
      <c r="AH2944" s="67"/>
      <c r="AI2944" s="67"/>
      <c r="AJ2944" s="96"/>
      <c r="AK2944" s="96"/>
      <c r="AL2944" s="70"/>
      <c r="AM2944" s="70"/>
      <c r="AN2944" s="71"/>
      <c r="AO2944" s="71"/>
      <c r="AP2944" s="71"/>
      <c r="AQ2944" s="71"/>
      <c r="AR2944" s="71"/>
      <c r="AS2944" s="71"/>
      <c r="AT2944" s="71"/>
      <c r="AU2944" s="71"/>
      <c r="AV2944" s="71"/>
      <c r="AW2944" s="71"/>
      <c r="AX2944" s="71"/>
      <c r="AY2944" s="71"/>
      <c r="AZ2944" s="71"/>
      <c r="BA2944" s="71"/>
      <c r="BB2944" s="71"/>
      <c r="BC2944" s="71"/>
      <c r="BD2944" s="71"/>
      <c r="BE2944" s="71"/>
      <c r="BF2944" s="71"/>
      <c r="BG2944" s="71"/>
      <c r="BH2944" s="71"/>
      <c r="BI2944" s="71"/>
      <c r="BJ2944" s="71"/>
      <c r="BK2944" s="71"/>
      <c r="BL2944" s="71"/>
      <c r="BM2944" s="71"/>
      <c r="BN2944" s="71"/>
      <c r="BO2944" s="71"/>
      <c r="BP2944" s="71"/>
      <c r="BQ2944" s="71"/>
      <c r="BR2944" s="71"/>
      <c r="BS2944" s="71"/>
      <c r="BT2944" s="71"/>
      <c r="BU2944" s="71"/>
      <c r="BV2944" s="71"/>
    </row>
    <row r="2945">
      <c r="A2945" s="53"/>
      <c r="B2945" s="53"/>
      <c r="C2945" s="53"/>
      <c r="D2945" s="53"/>
      <c r="E2945" s="86"/>
      <c r="F2945" s="89"/>
      <c r="G2945" s="84"/>
      <c r="H2945" s="55"/>
      <c r="I2945" s="54" t="str">
        <f t="shared" si="140"/>
        <v/>
      </c>
      <c r="J2945" s="56"/>
      <c r="K2945" s="57"/>
      <c r="L2945" s="206"/>
      <c r="M2945" s="124"/>
      <c r="N2945" s="93"/>
      <c r="O2945" s="61"/>
      <c r="P2945" s="90"/>
      <c r="Q2945" s="94"/>
      <c r="R2945" s="95"/>
      <c r="S2945" s="125"/>
      <c r="T2945" s="65"/>
      <c r="U2945" s="65"/>
      <c r="V2945" s="66"/>
      <c r="W2945" s="67"/>
      <c r="X2945" s="67"/>
      <c r="Y2945" s="67"/>
      <c r="Z2945" s="67"/>
      <c r="AA2945" s="67"/>
      <c r="AB2945" s="67"/>
      <c r="AC2945" s="67"/>
      <c r="AD2945" s="67"/>
      <c r="AE2945" s="67"/>
      <c r="AF2945" s="67"/>
      <c r="AG2945" s="67"/>
      <c r="AH2945" s="67"/>
      <c r="AI2945" s="67"/>
      <c r="AJ2945" s="96"/>
      <c r="AK2945" s="96"/>
      <c r="AL2945" s="70"/>
      <c r="AM2945" s="70"/>
      <c r="AN2945" s="71"/>
      <c r="AO2945" s="71"/>
      <c r="AP2945" s="71"/>
      <c r="AQ2945" s="71"/>
      <c r="AR2945" s="71"/>
      <c r="AS2945" s="71"/>
      <c r="AT2945" s="71"/>
      <c r="AU2945" s="71"/>
      <c r="AV2945" s="71"/>
      <c r="AW2945" s="71"/>
      <c r="AX2945" s="71"/>
      <c r="AY2945" s="71"/>
      <c r="AZ2945" s="71"/>
      <c r="BA2945" s="71"/>
      <c r="BB2945" s="71"/>
      <c r="BC2945" s="71"/>
      <c r="BD2945" s="71"/>
      <c r="BE2945" s="71"/>
      <c r="BF2945" s="71"/>
      <c r="BG2945" s="71"/>
      <c r="BH2945" s="71"/>
      <c r="BI2945" s="71"/>
      <c r="BJ2945" s="71"/>
      <c r="BK2945" s="71"/>
      <c r="BL2945" s="71"/>
      <c r="BM2945" s="71"/>
      <c r="BN2945" s="71"/>
      <c r="BO2945" s="71"/>
      <c r="BP2945" s="71"/>
      <c r="BQ2945" s="71"/>
      <c r="BR2945" s="71"/>
      <c r="BS2945" s="71"/>
      <c r="BT2945" s="71"/>
      <c r="BU2945" s="71"/>
      <c r="BV2945" s="71"/>
    </row>
    <row r="2946">
      <c r="A2946" s="53"/>
      <c r="B2946" s="53"/>
      <c r="C2946" s="53"/>
      <c r="D2946" s="53"/>
      <c r="E2946" s="86"/>
      <c r="F2946" s="89"/>
      <c r="G2946" s="84"/>
      <c r="H2946" s="55"/>
      <c r="I2946" s="54" t="str">
        <f t="shared" si="140"/>
        <v/>
      </c>
      <c r="J2946" s="56"/>
      <c r="K2946" s="57"/>
      <c r="L2946" s="206"/>
      <c r="M2946" s="124"/>
      <c r="N2946" s="93"/>
      <c r="O2946" s="61"/>
      <c r="P2946" s="90"/>
      <c r="Q2946" s="94"/>
      <c r="R2946" s="95"/>
      <c r="S2946" s="125"/>
      <c r="T2946" s="65"/>
      <c r="U2946" s="65"/>
      <c r="V2946" s="66"/>
      <c r="W2946" s="67"/>
      <c r="X2946" s="67"/>
      <c r="Y2946" s="67"/>
      <c r="Z2946" s="67"/>
      <c r="AA2946" s="67"/>
      <c r="AB2946" s="67"/>
      <c r="AC2946" s="67"/>
      <c r="AD2946" s="67"/>
      <c r="AE2946" s="67"/>
      <c r="AF2946" s="67"/>
      <c r="AG2946" s="67"/>
      <c r="AH2946" s="67"/>
      <c r="AI2946" s="67"/>
      <c r="AJ2946" s="96"/>
      <c r="AK2946" s="96"/>
      <c r="AL2946" s="70"/>
      <c r="AM2946" s="70"/>
      <c r="AN2946" s="71"/>
      <c r="AO2946" s="71"/>
      <c r="AP2946" s="71"/>
      <c r="AQ2946" s="71"/>
      <c r="AR2946" s="71"/>
      <c r="AS2946" s="71"/>
      <c r="AT2946" s="71"/>
      <c r="AU2946" s="71"/>
      <c r="AV2946" s="71"/>
      <c r="AW2946" s="71"/>
      <c r="AX2946" s="71"/>
      <c r="AY2946" s="71"/>
      <c r="AZ2946" s="71"/>
      <c r="BA2946" s="71"/>
      <c r="BB2946" s="71"/>
      <c r="BC2946" s="71"/>
      <c r="BD2946" s="71"/>
      <c r="BE2946" s="71"/>
      <c r="BF2946" s="71"/>
      <c r="BG2946" s="71"/>
      <c r="BH2946" s="71"/>
      <c r="BI2946" s="71"/>
      <c r="BJ2946" s="71"/>
      <c r="BK2946" s="71"/>
      <c r="BL2946" s="71"/>
      <c r="BM2946" s="71"/>
      <c r="BN2946" s="71"/>
      <c r="BO2946" s="71"/>
      <c r="BP2946" s="71"/>
      <c r="BQ2946" s="71"/>
      <c r="BR2946" s="71"/>
      <c r="BS2946" s="71"/>
      <c r="BT2946" s="71"/>
      <c r="BU2946" s="71"/>
      <c r="BV2946" s="71"/>
    </row>
    <row r="2947">
      <c r="A2947" s="53"/>
      <c r="B2947" s="53"/>
      <c r="C2947" s="53"/>
      <c r="D2947" s="53"/>
      <c r="E2947" s="86"/>
      <c r="F2947" s="89"/>
      <c r="G2947" s="84"/>
      <c r="H2947" s="55"/>
      <c r="I2947" s="54" t="str">
        <f t="shared" si="140"/>
        <v/>
      </c>
      <c r="J2947" s="56"/>
      <c r="K2947" s="57"/>
      <c r="L2947" s="206"/>
      <c r="M2947" s="124"/>
      <c r="N2947" s="93"/>
      <c r="O2947" s="61"/>
      <c r="P2947" s="90"/>
      <c r="Q2947" s="94"/>
      <c r="R2947" s="95"/>
      <c r="S2947" s="125"/>
      <c r="T2947" s="65"/>
      <c r="U2947" s="65"/>
      <c r="V2947" s="66"/>
      <c r="W2947" s="67"/>
      <c r="X2947" s="67"/>
      <c r="Y2947" s="67"/>
      <c r="Z2947" s="67"/>
      <c r="AA2947" s="67"/>
      <c r="AB2947" s="67"/>
      <c r="AC2947" s="67"/>
      <c r="AD2947" s="67"/>
      <c r="AE2947" s="67"/>
      <c r="AF2947" s="67"/>
      <c r="AG2947" s="67"/>
      <c r="AH2947" s="67"/>
      <c r="AI2947" s="67"/>
      <c r="AJ2947" s="96"/>
      <c r="AK2947" s="96"/>
      <c r="AL2947" s="70"/>
      <c r="AM2947" s="70"/>
      <c r="AN2947" s="71"/>
      <c r="AO2947" s="71"/>
      <c r="AP2947" s="71"/>
      <c r="AQ2947" s="71"/>
      <c r="AR2947" s="71"/>
      <c r="AS2947" s="71"/>
      <c r="AT2947" s="71"/>
      <c r="AU2947" s="71"/>
      <c r="AV2947" s="71"/>
      <c r="AW2947" s="71"/>
      <c r="AX2947" s="71"/>
      <c r="AY2947" s="71"/>
      <c r="AZ2947" s="71"/>
      <c r="BA2947" s="71"/>
      <c r="BB2947" s="71"/>
      <c r="BC2947" s="71"/>
      <c r="BD2947" s="71"/>
      <c r="BE2947" s="71"/>
      <c r="BF2947" s="71"/>
      <c r="BG2947" s="71"/>
      <c r="BH2947" s="71"/>
      <c r="BI2947" s="71"/>
      <c r="BJ2947" s="71"/>
      <c r="BK2947" s="71"/>
      <c r="BL2947" s="71"/>
      <c r="BM2947" s="71"/>
      <c r="BN2947" s="71"/>
      <c r="BO2947" s="71"/>
      <c r="BP2947" s="71"/>
      <c r="BQ2947" s="71"/>
      <c r="BR2947" s="71"/>
      <c r="BS2947" s="71"/>
      <c r="BT2947" s="71"/>
      <c r="BU2947" s="71"/>
      <c r="BV2947" s="71"/>
    </row>
    <row r="2948">
      <c r="A2948" s="53"/>
      <c r="B2948" s="53"/>
      <c r="C2948" s="53"/>
      <c r="D2948" s="53"/>
      <c r="E2948" s="86"/>
      <c r="F2948" s="89"/>
      <c r="G2948" s="84"/>
      <c r="H2948" s="55"/>
      <c r="I2948" s="54" t="str">
        <f t="shared" si="140"/>
        <v/>
      </c>
      <c r="J2948" s="56"/>
      <c r="K2948" s="57"/>
      <c r="L2948" s="206"/>
      <c r="M2948" s="124"/>
      <c r="N2948" s="93"/>
      <c r="O2948" s="61"/>
      <c r="P2948" s="90"/>
      <c r="Q2948" s="94"/>
      <c r="R2948" s="95"/>
      <c r="S2948" s="125"/>
      <c r="T2948" s="65"/>
      <c r="U2948" s="65"/>
      <c r="V2948" s="66"/>
      <c r="W2948" s="67"/>
      <c r="X2948" s="67"/>
      <c r="Y2948" s="67"/>
      <c r="Z2948" s="67"/>
      <c r="AA2948" s="67"/>
      <c r="AB2948" s="67"/>
      <c r="AC2948" s="67"/>
      <c r="AD2948" s="67"/>
      <c r="AE2948" s="67"/>
      <c r="AF2948" s="67"/>
      <c r="AG2948" s="67"/>
      <c r="AH2948" s="67"/>
      <c r="AI2948" s="67"/>
      <c r="AJ2948" s="96"/>
      <c r="AK2948" s="96"/>
      <c r="AL2948" s="70"/>
      <c r="AM2948" s="70"/>
      <c r="AN2948" s="71"/>
      <c r="AO2948" s="71"/>
      <c r="AP2948" s="71"/>
      <c r="AQ2948" s="71"/>
      <c r="AR2948" s="71"/>
      <c r="AS2948" s="71"/>
      <c r="AT2948" s="71"/>
      <c r="AU2948" s="71"/>
      <c r="AV2948" s="71"/>
      <c r="AW2948" s="71"/>
      <c r="AX2948" s="71"/>
      <c r="AY2948" s="71"/>
      <c r="AZ2948" s="71"/>
      <c r="BA2948" s="71"/>
      <c r="BB2948" s="71"/>
      <c r="BC2948" s="71"/>
      <c r="BD2948" s="71"/>
      <c r="BE2948" s="71"/>
      <c r="BF2948" s="71"/>
      <c r="BG2948" s="71"/>
      <c r="BH2948" s="71"/>
      <c r="BI2948" s="71"/>
      <c r="BJ2948" s="71"/>
      <c r="BK2948" s="71"/>
      <c r="BL2948" s="71"/>
      <c r="BM2948" s="71"/>
      <c r="BN2948" s="71"/>
      <c r="BO2948" s="71"/>
      <c r="BP2948" s="71"/>
      <c r="BQ2948" s="71"/>
      <c r="BR2948" s="71"/>
      <c r="BS2948" s="71"/>
      <c r="BT2948" s="71"/>
      <c r="BU2948" s="71"/>
      <c r="BV2948" s="71"/>
    </row>
    <row r="2949">
      <c r="A2949" s="53"/>
      <c r="B2949" s="53"/>
      <c r="C2949" s="53"/>
      <c r="D2949" s="53"/>
      <c r="E2949" s="86"/>
      <c r="F2949" s="89"/>
      <c r="G2949" s="84"/>
      <c r="H2949" s="55"/>
      <c r="I2949" s="54" t="str">
        <f t="shared" si="140"/>
        <v/>
      </c>
      <c r="J2949" s="56"/>
      <c r="K2949" s="57"/>
      <c r="L2949" s="206"/>
      <c r="M2949" s="124"/>
      <c r="N2949" s="93"/>
      <c r="O2949" s="61"/>
      <c r="P2949" s="90"/>
      <c r="Q2949" s="94"/>
      <c r="R2949" s="95"/>
      <c r="S2949" s="125"/>
      <c r="T2949" s="65"/>
      <c r="U2949" s="65"/>
      <c r="V2949" s="66"/>
      <c r="W2949" s="67"/>
      <c r="X2949" s="67"/>
      <c r="Y2949" s="67"/>
      <c r="Z2949" s="67"/>
      <c r="AA2949" s="67"/>
      <c r="AB2949" s="67"/>
      <c r="AC2949" s="67"/>
      <c r="AD2949" s="67"/>
      <c r="AE2949" s="67"/>
      <c r="AF2949" s="67"/>
      <c r="AG2949" s="67"/>
      <c r="AH2949" s="67"/>
      <c r="AI2949" s="67"/>
      <c r="AJ2949" s="96"/>
      <c r="AK2949" s="96"/>
      <c r="AL2949" s="70"/>
      <c r="AM2949" s="70"/>
      <c r="AN2949" s="71"/>
      <c r="AO2949" s="71"/>
      <c r="AP2949" s="71"/>
      <c r="AQ2949" s="71"/>
      <c r="AR2949" s="71"/>
      <c r="AS2949" s="71"/>
      <c r="AT2949" s="71"/>
      <c r="AU2949" s="71"/>
      <c r="AV2949" s="71"/>
      <c r="AW2949" s="71"/>
      <c r="AX2949" s="71"/>
      <c r="AY2949" s="71"/>
      <c r="AZ2949" s="71"/>
      <c r="BA2949" s="71"/>
      <c r="BB2949" s="71"/>
      <c r="BC2949" s="71"/>
      <c r="BD2949" s="71"/>
      <c r="BE2949" s="71"/>
      <c r="BF2949" s="71"/>
      <c r="BG2949" s="71"/>
      <c r="BH2949" s="71"/>
      <c r="BI2949" s="71"/>
      <c r="BJ2949" s="71"/>
      <c r="BK2949" s="71"/>
      <c r="BL2949" s="71"/>
      <c r="BM2949" s="71"/>
      <c r="BN2949" s="71"/>
      <c r="BO2949" s="71"/>
      <c r="BP2949" s="71"/>
      <c r="BQ2949" s="71"/>
      <c r="BR2949" s="71"/>
      <c r="BS2949" s="71"/>
      <c r="BT2949" s="71"/>
      <c r="BU2949" s="71"/>
      <c r="BV2949" s="71"/>
    </row>
    <row r="2950">
      <c r="A2950" s="53"/>
      <c r="B2950" s="53"/>
      <c r="C2950" s="53"/>
      <c r="D2950" s="53"/>
      <c r="E2950" s="86"/>
      <c r="F2950" s="89"/>
      <c r="G2950" s="84"/>
      <c r="H2950" s="55"/>
      <c r="I2950" s="54" t="str">
        <f t="shared" si="140"/>
        <v/>
      </c>
      <c r="J2950" s="56"/>
      <c r="K2950" s="57"/>
      <c r="L2950" s="206"/>
      <c r="M2950" s="124"/>
      <c r="N2950" s="93"/>
      <c r="O2950" s="61"/>
      <c r="P2950" s="90"/>
      <c r="Q2950" s="94"/>
      <c r="R2950" s="95"/>
      <c r="S2950" s="125"/>
      <c r="T2950" s="65"/>
      <c r="U2950" s="65"/>
      <c r="V2950" s="66"/>
      <c r="W2950" s="67"/>
      <c r="X2950" s="67"/>
      <c r="Y2950" s="67"/>
      <c r="Z2950" s="67"/>
      <c r="AA2950" s="67"/>
      <c r="AB2950" s="67"/>
      <c r="AC2950" s="67"/>
      <c r="AD2950" s="67"/>
      <c r="AE2950" s="67"/>
      <c r="AF2950" s="67"/>
      <c r="AG2950" s="67"/>
      <c r="AH2950" s="67"/>
      <c r="AI2950" s="67"/>
      <c r="AJ2950" s="96"/>
      <c r="AK2950" s="96"/>
      <c r="AL2950" s="70"/>
      <c r="AM2950" s="70"/>
      <c r="AN2950" s="71"/>
      <c r="AO2950" s="71"/>
      <c r="AP2950" s="71"/>
      <c r="AQ2950" s="71"/>
      <c r="AR2950" s="71"/>
      <c r="AS2950" s="71"/>
      <c r="AT2950" s="71"/>
      <c r="AU2950" s="71"/>
      <c r="AV2950" s="71"/>
      <c r="AW2950" s="71"/>
      <c r="AX2950" s="71"/>
      <c r="AY2950" s="71"/>
      <c r="AZ2950" s="71"/>
      <c r="BA2950" s="71"/>
      <c r="BB2950" s="71"/>
      <c r="BC2950" s="71"/>
      <c r="BD2950" s="71"/>
      <c r="BE2950" s="71"/>
      <c r="BF2950" s="71"/>
      <c r="BG2950" s="71"/>
      <c r="BH2950" s="71"/>
      <c r="BI2950" s="71"/>
      <c r="BJ2950" s="71"/>
      <c r="BK2950" s="71"/>
      <c r="BL2950" s="71"/>
      <c r="BM2950" s="71"/>
      <c r="BN2950" s="71"/>
      <c r="BO2950" s="71"/>
      <c r="BP2950" s="71"/>
      <c r="BQ2950" s="71"/>
      <c r="BR2950" s="71"/>
      <c r="BS2950" s="71"/>
      <c r="BT2950" s="71"/>
      <c r="BU2950" s="71"/>
      <c r="BV2950" s="71"/>
    </row>
    <row r="2951">
      <c r="A2951" s="53"/>
      <c r="B2951" s="53"/>
      <c r="C2951" s="53"/>
      <c r="D2951" s="53"/>
      <c r="E2951" s="86"/>
      <c r="F2951" s="89"/>
      <c r="G2951" s="84"/>
      <c r="H2951" s="55"/>
      <c r="I2951" s="54" t="str">
        <f t="shared" si="140"/>
        <v/>
      </c>
      <c r="J2951" s="56"/>
      <c r="K2951" s="57"/>
      <c r="L2951" s="206"/>
      <c r="M2951" s="124"/>
      <c r="N2951" s="93"/>
      <c r="O2951" s="61"/>
      <c r="P2951" s="90"/>
      <c r="Q2951" s="94"/>
      <c r="R2951" s="95"/>
      <c r="S2951" s="125"/>
      <c r="T2951" s="65"/>
      <c r="U2951" s="65"/>
      <c r="V2951" s="66"/>
      <c r="W2951" s="67"/>
      <c r="X2951" s="67"/>
      <c r="Y2951" s="67"/>
      <c r="Z2951" s="67"/>
      <c r="AA2951" s="67"/>
      <c r="AB2951" s="67"/>
      <c r="AC2951" s="67"/>
      <c r="AD2951" s="67"/>
      <c r="AE2951" s="67"/>
      <c r="AF2951" s="67"/>
      <c r="AG2951" s="67"/>
      <c r="AH2951" s="67"/>
      <c r="AI2951" s="67"/>
      <c r="AJ2951" s="96"/>
      <c r="AK2951" s="96"/>
      <c r="AL2951" s="70"/>
      <c r="AM2951" s="70"/>
      <c r="AN2951" s="71"/>
      <c r="AO2951" s="71"/>
      <c r="AP2951" s="71"/>
      <c r="AQ2951" s="71"/>
      <c r="AR2951" s="71"/>
      <c r="AS2951" s="71"/>
      <c r="AT2951" s="71"/>
      <c r="AU2951" s="71"/>
      <c r="AV2951" s="71"/>
      <c r="AW2951" s="71"/>
      <c r="AX2951" s="71"/>
      <c r="AY2951" s="71"/>
      <c r="AZ2951" s="71"/>
      <c r="BA2951" s="71"/>
      <c r="BB2951" s="71"/>
      <c r="BC2951" s="71"/>
      <c r="BD2951" s="71"/>
      <c r="BE2951" s="71"/>
      <c r="BF2951" s="71"/>
      <c r="BG2951" s="71"/>
      <c r="BH2951" s="71"/>
      <c r="BI2951" s="71"/>
      <c r="BJ2951" s="71"/>
      <c r="BK2951" s="71"/>
      <c r="BL2951" s="71"/>
      <c r="BM2951" s="71"/>
      <c r="BN2951" s="71"/>
      <c r="BO2951" s="71"/>
      <c r="BP2951" s="71"/>
      <c r="BQ2951" s="71"/>
      <c r="BR2951" s="71"/>
      <c r="BS2951" s="71"/>
      <c r="BT2951" s="71"/>
      <c r="BU2951" s="71"/>
      <c r="BV2951" s="71"/>
    </row>
    <row r="2952">
      <c r="A2952" s="53"/>
      <c r="B2952" s="53"/>
      <c r="C2952" s="53"/>
      <c r="D2952" s="53"/>
      <c r="E2952" s="86"/>
      <c r="F2952" s="89"/>
      <c r="G2952" s="84"/>
      <c r="H2952" s="55"/>
      <c r="I2952" s="54" t="str">
        <f t="shared" si="140"/>
        <v/>
      </c>
      <c r="J2952" s="56"/>
      <c r="K2952" s="57"/>
      <c r="L2952" s="206"/>
      <c r="M2952" s="124"/>
      <c r="N2952" s="93"/>
      <c r="O2952" s="61"/>
      <c r="P2952" s="90"/>
      <c r="Q2952" s="94"/>
      <c r="R2952" s="95"/>
      <c r="S2952" s="125"/>
      <c r="T2952" s="65"/>
      <c r="U2952" s="65"/>
      <c r="V2952" s="66"/>
      <c r="W2952" s="67"/>
      <c r="X2952" s="67"/>
      <c r="Y2952" s="67"/>
      <c r="Z2952" s="67"/>
      <c r="AA2952" s="67"/>
      <c r="AB2952" s="67"/>
      <c r="AC2952" s="67"/>
      <c r="AD2952" s="67"/>
      <c r="AE2952" s="67"/>
      <c r="AF2952" s="67"/>
      <c r="AG2952" s="67"/>
      <c r="AH2952" s="67"/>
      <c r="AI2952" s="67"/>
      <c r="AJ2952" s="96"/>
      <c r="AK2952" s="96"/>
      <c r="AL2952" s="70"/>
      <c r="AM2952" s="70"/>
      <c r="AN2952" s="71"/>
      <c r="AO2952" s="71"/>
      <c r="AP2952" s="71"/>
      <c r="AQ2952" s="71"/>
      <c r="AR2952" s="71"/>
      <c r="AS2952" s="71"/>
      <c r="AT2952" s="71"/>
      <c r="AU2952" s="71"/>
      <c r="AV2952" s="71"/>
      <c r="AW2952" s="71"/>
      <c r="AX2952" s="71"/>
      <c r="AY2952" s="71"/>
      <c r="AZ2952" s="71"/>
      <c r="BA2952" s="71"/>
      <c r="BB2952" s="71"/>
      <c r="BC2952" s="71"/>
      <c r="BD2952" s="71"/>
      <c r="BE2952" s="71"/>
      <c r="BF2952" s="71"/>
      <c r="BG2952" s="71"/>
      <c r="BH2952" s="71"/>
      <c r="BI2952" s="71"/>
      <c r="BJ2952" s="71"/>
      <c r="BK2952" s="71"/>
      <c r="BL2952" s="71"/>
      <c r="BM2952" s="71"/>
      <c r="BN2952" s="71"/>
      <c r="BO2952" s="71"/>
      <c r="BP2952" s="71"/>
      <c r="BQ2952" s="71"/>
      <c r="BR2952" s="71"/>
      <c r="BS2952" s="71"/>
      <c r="BT2952" s="71"/>
      <c r="BU2952" s="71"/>
      <c r="BV2952" s="71"/>
    </row>
    <row r="2953">
      <c r="A2953" s="53"/>
      <c r="B2953" s="53"/>
      <c r="C2953" s="53"/>
      <c r="D2953" s="53"/>
      <c r="E2953" s="86"/>
      <c r="F2953" s="89"/>
      <c r="G2953" s="84"/>
      <c r="H2953" s="55"/>
      <c r="I2953" s="54" t="str">
        <f t="shared" si="140"/>
        <v/>
      </c>
      <c r="J2953" s="56"/>
      <c r="K2953" s="57"/>
      <c r="L2953" s="206"/>
      <c r="M2953" s="124"/>
      <c r="N2953" s="93"/>
      <c r="O2953" s="61"/>
      <c r="P2953" s="90"/>
      <c r="Q2953" s="94"/>
      <c r="R2953" s="95"/>
      <c r="S2953" s="125"/>
      <c r="T2953" s="65"/>
      <c r="U2953" s="65"/>
      <c r="V2953" s="66"/>
      <c r="W2953" s="67"/>
      <c r="X2953" s="67"/>
      <c r="Y2953" s="67"/>
      <c r="Z2953" s="67"/>
      <c r="AA2953" s="67"/>
      <c r="AB2953" s="67"/>
      <c r="AC2953" s="67"/>
      <c r="AD2953" s="67"/>
      <c r="AE2953" s="67"/>
      <c r="AF2953" s="67"/>
      <c r="AG2953" s="67"/>
      <c r="AH2953" s="67"/>
      <c r="AI2953" s="67"/>
      <c r="AJ2953" s="96"/>
      <c r="AK2953" s="96"/>
      <c r="AL2953" s="70"/>
      <c r="AM2953" s="70"/>
      <c r="AN2953" s="71"/>
      <c r="AO2953" s="71"/>
      <c r="AP2953" s="71"/>
      <c r="AQ2953" s="71"/>
      <c r="AR2953" s="71"/>
      <c r="AS2953" s="71"/>
      <c r="AT2953" s="71"/>
      <c r="AU2953" s="71"/>
      <c r="AV2953" s="71"/>
      <c r="AW2953" s="71"/>
      <c r="AX2953" s="71"/>
      <c r="AY2953" s="71"/>
      <c r="AZ2953" s="71"/>
      <c r="BA2953" s="71"/>
      <c r="BB2953" s="71"/>
      <c r="BC2953" s="71"/>
      <c r="BD2953" s="71"/>
      <c r="BE2953" s="71"/>
      <c r="BF2953" s="71"/>
      <c r="BG2953" s="71"/>
      <c r="BH2953" s="71"/>
      <c r="BI2953" s="71"/>
      <c r="BJ2953" s="71"/>
      <c r="BK2953" s="71"/>
      <c r="BL2953" s="71"/>
      <c r="BM2953" s="71"/>
      <c r="BN2953" s="71"/>
      <c r="BO2953" s="71"/>
      <c r="BP2953" s="71"/>
      <c r="BQ2953" s="71"/>
      <c r="BR2953" s="71"/>
      <c r="BS2953" s="71"/>
      <c r="BT2953" s="71"/>
      <c r="BU2953" s="71"/>
      <c r="BV2953" s="71"/>
    </row>
    <row r="2954">
      <c r="A2954" s="53"/>
      <c r="B2954" s="53"/>
      <c r="C2954" s="53"/>
      <c r="D2954" s="53"/>
      <c r="E2954" s="86"/>
      <c r="F2954" s="89"/>
      <c r="G2954" s="84"/>
      <c r="H2954" s="55"/>
      <c r="I2954" s="54" t="str">
        <f t="shared" si="140"/>
        <v/>
      </c>
      <c r="J2954" s="56"/>
      <c r="K2954" s="57"/>
      <c r="L2954" s="206"/>
      <c r="M2954" s="124"/>
      <c r="N2954" s="93"/>
      <c r="O2954" s="61"/>
      <c r="P2954" s="90"/>
      <c r="Q2954" s="94"/>
      <c r="R2954" s="95"/>
      <c r="S2954" s="125"/>
      <c r="T2954" s="65"/>
      <c r="U2954" s="65"/>
      <c r="V2954" s="66"/>
      <c r="W2954" s="67"/>
      <c r="X2954" s="67"/>
      <c r="Y2954" s="67"/>
      <c r="Z2954" s="67"/>
      <c r="AA2954" s="67"/>
      <c r="AB2954" s="67"/>
      <c r="AC2954" s="67"/>
      <c r="AD2954" s="67"/>
      <c r="AE2954" s="67"/>
      <c r="AF2954" s="67"/>
      <c r="AG2954" s="67"/>
      <c r="AH2954" s="67"/>
      <c r="AI2954" s="67"/>
      <c r="AJ2954" s="96"/>
      <c r="AK2954" s="96"/>
      <c r="AL2954" s="70"/>
      <c r="AM2954" s="70"/>
      <c r="AN2954" s="71"/>
      <c r="AO2954" s="71"/>
      <c r="AP2954" s="71"/>
      <c r="AQ2954" s="71"/>
      <c r="AR2954" s="71"/>
      <c r="AS2954" s="71"/>
      <c r="AT2954" s="71"/>
      <c r="AU2954" s="71"/>
      <c r="AV2954" s="71"/>
      <c r="AW2954" s="71"/>
      <c r="AX2954" s="71"/>
      <c r="AY2954" s="71"/>
      <c r="AZ2954" s="71"/>
      <c r="BA2954" s="71"/>
      <c r="BB2954" s="71"/>
      <c r="BC2954" s="71"/>
      <c r="BD2954" s="71"/>
      <c r="BE2954" s="71"/>
      <c r="BF2954" s="71"/>
      <c r="BG2954" s="71"/>
      <c r="BH2954" s="71"/>
      <c r="BI2954" s="71"/>
      <c r="BJ2954" s="71"/>
      <c r="BK2954" s="71"/>
      <c r="BL2954" s="71"/>
      <c r="BM2954" s="71"/>
      <c r="BN2954" s="71"/>
      <c r="BO2954" s="71"/>
      <c r="BP2954" s="71"/>
      <c r="BQ2954" s="71"/>
      <c r="BR2954" s="71"/>
      <c r="BS2954" s="71"/>
      <c r="BT2954" s="71"/>
      <c r="BU2954" s="71"/>
      <c r="BV2954" s="71"/>
    </row>
    <row r="2955">
      <c r="A2955" s="53"/>
      <c r="B2955" s="53"/>
      <c r="C2955" s="53"/>
      <c r="D2955" s="53"/>
      <c r="E2955" s="86"/>
      <c r="F2955" s="89"/>
      <c r="G2955" s="84"/>
      <c r="H2955" s="55"/>
      <c r="I2955" s="54" t="str">
        <f t="shared" si="140"/>
        <v/>
      </c>
      <c r="J2955" s="56"/>
      <c r="K2955" s="57"/>
      <c r="L2955" s="206"/>
      <c r="M2955" s="124"/>
      <c r="N2955" s="93"/>
      <c r="O2955" s="61"/>
      <c r="P2955" s="90"/>
      <c r="Q2955" s="94"/>
      <c r="R2955" s="95"/>
      <c r="S2955" s="125"/>
      <c r="T2955" s="65"/>
      <c r="U2955" s="65"/>
      <c r="V2955" s="66"/>
      <c r="W2955" s="67"/>
      <c r="X2955" s="67"/>
      <c r="Y2955" s="67"/>
      <c r="Z2955" s="67"/>
      <c r="AA2955" s="67"/>
      <c r="AB2955" s="67"/>
      <c r="AC2955" s="67"/>
      <c r="AD2955" s="67"/>
      <c r="AE2955" s="67"/>
      <c r="AF2955" s="67"/>
      <c r="AG2955" s="67"/>
      <c r="AH2955" s="67"/>
      <c r="AI2955" s="67"/>
      <c r="AJ2955" s="96"/>
      <c r="AK2955" s="96"/>
      <c r="AL2955" s="70"/>
      <c r="AM2955" s="70"/>
      <c r="AN2955" s="71"/>
      <c r="AO2955" s="71"/>
      <c r="AP2955" s="71"/>
      <c r="AQ2955" s="71"/>
      <c r="AR2955" s="71"/>
      <c r="AS2955" s="71"/>
      <c r="AT2955" s="71"/>
      <c r="AU2955" s="71"/>
      <c r="AV2955" s="71"/>
      <c r="AW2955" s="71"/>
      <c r="AX2955" s="71"/>
      <c r="AY2955" s="71"/>
      <c r="AZ2955" s="71"/>
      <c r="BA2955" s="71"/>
      <c r="BB2955" s="71"/>
      <c r="BC2955" s="71"/>
      <c r="BD2955" s="71"/>
      <c r="BE2955" s="71"/>
      <c r="BF2955" s="71"/>
      <c r="BG2955" s="71"/>
      <c r="BH2955" s="71"/>
      <c r="BI2955" s="71"/>
      <c r="BJ2955" s="71"/>
      <c r="BK2955" s="71"/>
      <c r="BL2955" s="71"/>
      <c r="BM2955" s="71"/>
      <c r="BN2955" s="71"/>
      <c r="BO2955" s="71"/>
      <c r="BP2955" s="71"/>
      <c r="BQ2955" s="71"/>
      <c r="BR2955" s="71"/>
      <c r="BS2955" s="71"/>
      <c r="BT2955" s="71"/>
      <c r="BU2955" s="71"/>
      <c r="BV2955" s="71"/>
    </row>
    <row r="2956">
      <c r="A2956" s="53"/>
      <c r="B2956" s="53"/>
      <c r="C2956" s="53"/>
      <c r="D2956" s="53"/>
      <c r="E2956" s="86"/>
      <c r="F2956" s="89"/>
      <c r="G2956" s="84"/>
      <c r="H2956" s="55"/>
      <c r="I2956" s="54" t="str">
        <f t="shared" si="140"/>
        <v/>
      </c>
      <c r="J2956" s="56"/>
      <c r="K2956" s="57"/>
      <c r="L2956" s="206"/>
      <c r="M2956" s="124"/>
      <c r="N2956" s="93"/>
      <c r="O2956" s="61"/>
      <c r="P2956" s="90"/>
      <c r="Q2956" s="94"/>
      <c r="R2956" s="95"/>
      <c r="S2956" s="125"/>
      <c r="T2956" s="65"/>
      <c r="U2956" s="65"/>
      <c r="V2956" s="66"/>
      <c r="W2956" s="67"/>
      <c r="X2956" s="67"/>
      <c r="Y2956" s="67"/>
      <c r="Z2956" s="67"/>
      <c r="AA2956" s="67"/>
      <c r="AB2956" s="67"/>
      <c r="AC2956" s="67"/>
      <c r="AD2956" s="67"/>
      <c r="AE2956" s="67"/>
      <c r="AF2956" s="67"/>
      <c r="AG2956" s="67"/>
      <c r="AH2956" s="67"/>
      <c r="AI2956" s="67"/>
      <c r="AJ2956" s="96"/>
      <c r="AK2956" s="96"/>
      <c r="AL2956" s="70"/>
      <c r="AM2956" s="70"/>
      <c r="AN2956" s="71"/>
      <c r="AO2956" s="71"/>
      <c r="AP2956" s="71"/>
      <c r="AQ2956" s="71"/>
      <c r="AR2956" s="71"/>
      <c r="AS2956" s="71"/>
      <c r="AT2956" s="71"/>
      <c r="AU2956" s="71"/>
      <c r="AV2956" s="71"/>
      <c r="AW2956" s="71"/>
      <c r="AX2956" s="71"/>
      <c r="AY2956" s="71"/>
      <c r="AZ2956" s="71"/>
      <c r="BA2956" s="71"/>
      <c r="BB2956" s="71"/>
      <c r="BC2956" s="71"/>
      <c r="BD2956" s="71"/>
      <c r="BE2956" s="71"/>
      <c r="BF2956" s="71"/>
      <c r="BG2956" s="71"/>
      <c r="BH2956" s="71"/>
      <c r="BI2956" s="71"/>
      <c r="BJ2956" s="71"/>
      <c r="BK2956" s="71"/>
      <c r="BL2956" s="71"/>
      <c r="BM2956" s="71"/>
      <c r="BN2956" s="71"/>
      <c r="BO2956" s="71"/>
      <c r="BP2956" s="71"/>
      <c r="BQ2956" s="71"/>
      <c r="BR2956" s="71"/>
      <c r="BS2956" s="71"/>
      <c r="BT2956" s="71"/>
      <c r="BU2956" s="71"/>
      <c r="BV2956" s="71"/>
    </row>
    <row r="2957">
      <c r="A2957" s="53"/>
      <c r="B2957" s="53"/>
      <c r="C2957" s="53"/>
      <c r="D2957" s="53"/>
      <c r="E2957" s="86"/>
      <c r="F2957" s="89"/>
      <c r="G2957" s="84"/>
      <c r="H2957" s="55"/>
      <c r="I2957" s="54" t="str">
        <f t="shared" si="140"/>
        <v/>
      </c>
      <c r="J2957" s="56"/>
      <c r="K2957" s="57"/>
      <c r="L2957" s="206"/>
      <c r="M2957" s="124"/>
      <c r="N2957" s="93"/>
      <c r="O2957" s="61"/>
      <c r="P2957" s="90"/>
      <c r="Q2957" s="94"/>
      <c r="R2957" s="95"/>
      <c r="S2957" s="125"/>
      <c r="T2957" s="65"/>
      <c r="U2957" s="65"/>
      <c r="V2957" s="66"/>
      <c r="W2957" s="67"/>
      <c r="X2957" s="67"/>
      <c r="Y2957" s="67"/>
      <c r="Z2957" s="67"/>
      <c r="AA2957" s="67"/>
      <c r="AB2957" s="67"/>
      <c r="AC2957" s="67"/>
      <c r="AD2957" s="67"/>
      <c r="AE2957" s="67"/>
      <c r="AF2957" s="67"/>
      <c r="AG2957" s="67"/>
      <c r="AH2957" s="67"/>
      <c r="AI2957" s="67"/>
      <c r="AJ2957" s="96"/>
      <c r="AK2957" s="96"/>
      <c r="AL2957" s="70"/>
      <c r="AM2957" s="70"/>
      <c r="AN2957" s="71"/>
      <c r="AO2957" s="71"/>
      <c r="AP2957" s="71"/>
      <c r="AQ2957" s="71"/>
      <c r="AR2957" s="71"/>
      <c r="AS2957" s="71"/>
      <c r="AT2957" s="71"/>
      <c r="AU2957" s="71"/>
      <c r="AV2957" s="71"/>
      <c r="AW2957" s="71"/>
      <c r="AX2957" s="71"/>
      <c r="AY2957" s="71"/>
      <c r="AZ2957" s="71"/>
      <c r="BA2957" s="71"/>
      <c r="BB2957" s="71"/>
      <c r="BC2957" s="71"/>
      <c r="BD2957" s="71"/>
      <c r="BE2957" s="71"/>
      <c r="BF2957" s="71"/>
      <c r="BG2957" s="71"/>
      <c r="BH2957" s="71"/>
      <c r="BI2957" s="71"/>
      <c r="BJ2957" s="71"/>
      <c r="BK2957" s="71"/>
      <c r="BL2957" s="71"/>
      <c r="BM2957" s="71"/>
      <c r="BN2957" s="71"/>
      <c r="BO2957" s="71"/>
      <c r="BP2957" s="71"/>
      <c r="BQ2957" s="71"/>
      <c r="BR2957" s="71"/>
      <c r="BS2957" s="71"/>
      <c r="BT2957" s="71"/>
      <c r="BU2957" s="71"/>
      <c r="BV2957" s="71"/>
    </row>
    <row r="2958">
      <c r="A2958" s="53"/>
      <c r="B2958" s="53"/>
      <c r="C2958" s="53"/>
      <c r="D2958" s="53"/>
      <c r="E2958" s="86"/>
      <c r="F2958" s="89"/>
      <c r="G2958" s="84"/>
      <c r="H2958" s="55"/>
      <c r="I2958" s="54" t="str">
        <f t="shared" si="140"/>
        <v/>
      </c>
      <c r="J2958" s="56"/>
      <c r="K2958" s="57"/>
      <c r="L2958" s="206"/>
      <c r="M2958" s="124"/>
      <c r="N2958" s="93"/>
      <c r="O2958" s="61"/>
      <c r="P2958" s="90"/>
      <c r="Q2958" s="94"/>
      <c r="R2958" s="95"/>
      <c r="S2958" s="125"/>
      <c r="T2958" s="65"/>
      <c r="U2958" s="65"/>
      <c r="V2958" s="66"/>
      <c r="W2958" s="67"/>
      <c r="X2958" s="67"/>
      <c r="Y2958" s="67"/>
      <c r="Z2958" s="67"/>
      <c r="AA2958" s="67"/>
      <c r="AB2958" s="67"/>
      <c r="AC2958" s="67"/>
      <c r="AD2958" s="67"/>
      <c r="AE2958" s="67"/>
      <c r="AF2958" s="67"/>
      <c r="AG2958" s="67"/>
      <c r="AH2958" s="67"/>
      <c r="AI2958" s="67"/>
      <c r="AJ2958" s="96"/>
      <c r="AK2958" s="96"/>
      <c r="AL2958" s="70"/>
      <c r="AM2958" s="70"/>
      <c r="AN2958" s="71"/>
      <c r="AO2958" s="71"/>
      <c r="AP2958" s="71"/>
      <c r="AQ2958" s="71"/>
      <c r="AR2958" s="71"/>
      <c r="AS2958" s="71"/>
      <c r="AT2958" s="71"/>
      <c r="AU2958" s="71"/>
      <c r="AV2958" s="71"/>
      <c r="AW2958" s="71"/>
      <c r="AX2958" s="71"/>
      <c r="AY2958" s="71"/>
      <c r="AZ2958" s="71"/>
      <c r="BA2958" s="71"/>
      <c r="BB2958" s="71"/>
      <c r="BC2958" s="71"/>
      <c r="BD2958" s="71"/>
      <c r="BE2958" s="71"/>
      <c r="BF2958" s="71"/>
      <c r="BG2958" s="71"/>
      <c r="BH2958" s="71"/>
      <c r="BI2958" s="71"/>
      <c r="BJ2958" s="71"/>
      <c r="BK2958" s="71"/>
      <c r="BL2958" s="71"/>
      <c r="BM2958" s="71"/>
      <c r="BN2958" s="71"/>
      <c r="BO2958" s="71"/>
      <c r="BP2958" s="71"/>
      <c r="BQ2958" s="71"/>
      <c r="BR2958" s="71"/>
      <c r="BS2958" s="71"/>
      <c r="BT2958" s="71"/>
      <c r="BU2958" s="71"/>
      <c r="BV2958" s="71"/>
    </row>
    <row r="2959">
      <c r="A2959" s="53"/>
      <c r="B2959" s="53"/>
      <c r="C2959" s="53"/>
      <c r="D2959" s="53"/>
      <c r="E2959" s="86"/>
      <c r="F2959" s="89"/>
      <c r="G2959" s="84"/>
      <c r="H2959" s="55"/>
      <c r="I2959" s="54" t="str">
        <f t="shared" si="140"/>
        <v/>
      </c>
      <c r="J2959" s="56"/>
      <c r="K2959" s="57"/>
      <c r="L2959" s="206"/>
      <c r="M2959" s="124"/>
      <c r="N2959" s="93"/>
      <c r="O2959" s="61"/>
      <c r="P2959" s="90"/>
      <c r="Q2959" s="94"/>
      <c r="R2959" s="95"/>
      <c r="S2959" s="125"/>
      <c r="T2959" s="65"/>
      <c r="U2959" s="65"/>
      <c r="V2959" s="66"/>
      <c r="W2959" s="67"/>
      <c r="X2959" s="67"/>
      <c r="Y2959" s="67"/>
      <c r="Z2959" s="67"/>
      <c r="AA2959" s="67"/>
      <c r="AB2959" s="67"/>
      <c r="AC2959" s="67"/>
      <c r="AD2959" s="67"/>
      <c r="AE2959" s="67"/>
      <c r="AF2959" s="67"/>
      <c r="AG2959" s="67"/>
      <c r="AH2959" s="67"/>
      <c r="AI2959" s="67"/>
      <c r="AJ2959" s="96"/>
      <c r="AK2959" s="96"/>
      <c r="AL2959" s="70"/>
      <c r="AM2959" s="70"/>
      <c r="AN2959" s="71"/>
      <c r="AO2959" s="71"/>
      <c r="AP2959" s="71"/>
      <c r="AQ2959" s="71"/>
      <c r="AR2959" s="71"/>
      <c r="AS2959" s="71"/>
      <c r="AT2959" s="71"/>
      <c r="AU2959" s="71"/>
      <c r="AV2959" s="71"/>
      <c r="AW2959" s="71"/>
      <c r="AX2959" s="71"/>
      <c r="AY2959" s="71"/>
      <c r="AZ2959" s="71"/>
      <c r="BA2959" s="71"/>
      <c r="BB2959" s="71"/>
      <c r="BC2959" s="71"/>
      <c r="BD2959" s="71"/>
      <c r="BE2959" s="71"/>
      <c r="BF2959" s="71"/>
      <c r="BG2959" s="71"/>
      <c r="BH2959" s="71"/>
      <c r="BI2959" s="71"/>
      <c r="BJ2959" s="71"/>
      <c r="BK2959" s="71"/>
      <c r="BL2959" s="71"/>
      <c r="BM2959" s="71"/>
      <c r="BN2959" s="71"/>
      <c r="BO2959" s="71"/>
      <c r="BP2959" s="71"/>
      <c r="BQ2959" s="71"/>
      <c r="BR2959" s="71"/>
      <c r="BS2959" s="71"/>
      <c r="BT2959" s="71"/>
      <c r="BU2959" s="71"/>
      <c r="BV2959" s="71"/>
    </row>
    <row r="2960">
      <c r="A2960" s="53"/>
      <c r="B2960" s="53"/>
      <c r="C2960" s="53"/>
      <c r="D2960" s="53"/>
      <c r="E2960" s="86"/>
      <c r="F2960" s="89"/>
      <c r="G2960" s="84"/>
      <c r="H2960" s="55"/>
      <c r="I2960" s="54" t="str">
        <f t="shared" si="140"/>
        <v/>
      </c>
      <c r="J2960" s="56"/>
      <c r="K2960" s="57"/>
      <c r="L2960" s="206"/>
      <c r="M2960" s="124"/>
      <c r="N2960" s="93"/>
      <c r="O2960" s="61"/>
      <c r="P2960" s="90"/>
      <c r="Q2960" s="94"/>
      <c r="R2960" s="95"/>
      <c r="S2960" s="125"/>
      <c r="T2960" s="65"/>
      <c r="U2960" s="65"/>
      <c r="V2960" s="66"/>
      <c r="W2960" s="67"/>
      <c r="X2960" s="67"/>
      <c r="Y2960" s="67"/>
      <c r="Z2960" s="67"/>
      <c r="AA2960" s="67"/>
      <c r="AB2960" s="67"/>
      <c r="AC2960" s="67"/>
      <c r="AD2960" s="67"/>
      <c r="AE2960" s="67"/>
      <c r="AF2960" s="67"/>
      <c r="AG2960" s="67"/>
      <c r="AH2960" s="67"/>
      <c r="AI2960" s="67"/>
      <c r="AJ2960" s="96"/>
      <c r="AK2960" s="96"/>
      <c r="AL2960" s="70"/>
      <c r="AM2960" s="70"/>
      <c r="AN2960" s="71"/>
      <c r="AO2960" s="71"/>
      <c r="AP2960" s="71"/>
      <c r="AQ2960" s="71"/>
      <c r="AR2960" s="71"/>
      <c r="AS2960" s="71"/>
      <c r="AT2960" s="71"/>
      <c r="AU2960" s="71"/>
      <c r="AV2960" s="71"/>
      <c r="AW2960" s="71"/>
      <c r="AX2960" s="71"/>
      <c r="AY2960" s="71"/>
      <c r="AZ2960" s="71"/>
      <c r="BA2960" s="71"/>
      <c r="BB2960" s="71"/>
      <c r="BC2960" s="71"/>
      <c r="BD2960" s="71"/>
      <c r="BE2960" s="71"/>
      <c r="BF2960" s="71"/>
      <c r="BG2960" s="71"/>
      <c r="BH2960" s="71"/>
      <c r="BI2960" s="71"/>
      <c r="BJ2960" s="71"/>
      <c r="BK2960" s="71"/>
      <c r="BL2960" s="71"/>
      <c r="BM2960" s="71"/>
      <c r="BN2960" s="71"/>
      <c r="BO2960" s="71"/>
      <c r="BP2960" s="71"/>
      <c r="BQ2960" s="71"/>
      <c r="BR2960" s="71"/>
      <c r="BS2960" s="71"/>
      <c r="BT2960" s="71"/>
      <c r="BU2960" s="71"/>
      <c r="BV2960" s="71"/>
    </row>
    <row r="2961">
      <c r="A2961" s="53"/>
      <c r="B2961" s="53"/>
      <c r="C2961" s="53"/>
      <c r="D2961" s="53"/>
      <c r="E2961" s="86"/>
      <c r="F2961" s="89"/>
      <c r="G2961" s="84"/>
      <c r="H2961" s="55"/>
      <c r="I2961" s="54" t="str">
        <f t="shared" si="140"/>
        <v/>
      </c>
      <c r="J2961" s="56"/>
      <c r="K2961" s="57"/>
      <c r="L2961" s="206"/>
      <c r="M2961" s="124"/>
      <c r="N2961" s="93"/>
      <c r="O2961" s="61"/>
      <c r="P2961" s="90"/>
      <c r="Q2961" s="94"/>
      <c r="R2961" s="95"/>
      <c r="S2961" s="125"/>
      <c r="T2961" s="65"/>
      <c r="U2961" s="65"/>
      <c r="V2961" s="66"/>
      <c r="W2961" s="67"/>
      <c r="X2961" s="67"/>
      <c r="Y2961" s="67"/>
      <c r="Z2961" s="67"/>
      <c r="AA2961" s="67"/>
      <c r="AB2961" s="67"/>
      <c r="AC2961" s="67"/>
      <c r="AD2961" s="67"/>
      <c r="AE2961" s="67"/>
      <c r="AF2961" s="67"/>
      <c r="AG2961" s="67"/>
      <c r="AH2961" s="67"/>
      <c r="AI2961" s="67"/>
      <c r="AJ2961" s="96"/>
      <c r="AK2961" s="96"/>
      <c r="AL2961" s="70"/>
      <c r="AM2961" s="70"/>
      <c r="AN2961" s="71"/>
      <c r="AO2961" s="71"/>
      <c r="AP2961" s="71"/>
      <c r="AQ2961" s="71"/>
      <c r="AR2961" s="71"/>
      <c r="AS2961" s="71"/>
      <c r="AT2961" s="71"/>
      <c r="AU2961" s="71"/>
      <c r="AV2961" s="71"/>
      <c r="AW2961" s="71"/>
      <c r="AX2961" s="71"/>
      <c r="AY2961" s="71"/>
      <c r="AZ2961" s="71"/>
      <c r="BA2961" s="71"/>
      <c r="BB2961" s="71"/>
      <c r="BC2961" s="71"/>
      <c r="BD2961" s="71"/>
      <c r="BE2961" s="71"/>
      <c r="BF2961" s="71"/>
      <c r="BG2961" s="71"/>
      <c r="BH2961" s="71"/>
      <c r="BI2961" s="71"/>
      <c r="BJ2961" s="71"/>
      <c r="BK2961" s="71"/>
      <c r="BL2961" s="71"/>
      <c r="BM2961" s="71"/>
      <c r="BN2961" s="71"/>
      <c r="BO2961" s="71"/>
      <c r="BP2961" s="71"/>
      <c r="BQ2961" s="71"/>
      <c r="BR2961" s="71"/>
      <c r="BS2961" s="71"/>
      <c r="BT2961" s="71"/>
      <c r="BU2961" s="71"/>
      <c r="BV2961" s="71"/>
    </row>
    <row r="2962">
      <c r="A2962" s="53"/>
      <c r="B2962" s="53"/>
      <c r="C2962" s="53"/>
      <c r="D2962" s="53"/>
      <c r="E2962" s="86"/>
      <c r="F2962" s="89"/>
      <c r="G2962" s="84"/>
      <c r="H2962" s="55"/>
      <c r="I2962" s="54" t="str">
        <f t="shared" si="140"/>
        <v/>
      </c>
      <c r="J2962" s="56"/>
      <c r="K2962" s="57"/>
      <c r="L2962" s="206"/>
      <c r="M2962" s="124"/>
      <c r="N2962" s="93"/>
      <c r="O2962" s="61"/>
      <c r="P2962" s="90"/>
      <c r="Q2962" s="94"/>
      <c r="R2962" s="95"/>
      <c r="S2962" s="125"/>
      <c r="T2962" s="65"/>
      <c r="U2962" s="65"/>
      <c r="V2962" s="66"/>
      <c r="W2962" s="67"/>
      <c r="X2962" s="67"/>
      <c r="Y2962" s="67"/>
      <c r="Z2962" s="67"/>
      <c r="AA2962" s="67"/>
      <c r="AB2962" s="67"/>
      <c r="AC2962" s="67"/>
      <c r="AD2962" s="67"/>
      <c r="AE2962" s="67"/>
      <c r="AF2962" s="67"/>
      <c r="AG2962" s="67"/>
      <c r="AH2962" s="67"/>
      <c r="AI2962" s="67"/>
      <c r="AJ2962" s="96"/>
      <c r="AK2962" s="96"/>
      <c r="AL2962" s="70"/>
      <c r="AM2962" s="70"/>
      <c r="AN2962" s="71"/>
      <c r="AO2962" s="71"/>
      <c r="AP2962" s="71"/>
      <c r="AQ2962" s="71"/>
      <c r="AR2962" s="71"/>
      <c r="AS2962" s="71"/>
      <c r="AT2962" s="71"/>
      <c r="AU2962" s="71"/>
      <c r="AV2962" s="71"/>
      <c r="AW2962" s="71"/>
      <c r="AX2962" s="71"/>
      <c r="AY2962" s="71"/>
      <c r="AZ2962" s="71"/>
      <c r="BA2962" s="71"/>
      <c r="BB2962" s="71"/>
      <c r="BC2962" s="71"/>
      <c r="BD2962" s="71"/>
      <c r="BE2962" s="71"/>
      <c r="BF2962" s="71"/>
      <c r="BG2962" s="71"/>
      <c r="BH2962" s="71"/>
      <c r="BI2962" s="71"/>
      <c r="BJ2962" s="71"/>
      <c r="BK2962" s="71"/>
      <c r="BL2962" s="71"/>
      <c r="BM2962" s="71"/>
      <c r="BN2962" s="71"/>
      <c r="BO2962" s="71"/>
      <c r="BP2962" s="71"/>
      <c r="BQ2962" s="71"/>
      <c r="BR2962" s="71"/>
      <c r="BS2962" s="71"/>
      <c r="BT2962" s="71"/>
      <c r="BU2962" s="71"/>
      <c r="BV2962" s="71"/>
    </row>
    <row r="2963">
      <c r="A2963" s="53"/>
      <c r="B2963" s="53"/>
      <c r="C2963" s="53"/>
      <c r="D2963" s="53"/>
      <c r="E2963" s="86"/>
      <c r="F2963" s="89"/>
      <c r="G2963" s="84"/>
      <c r="H2963" s="55"/>
      <c r="I2963" s="54" t="str">
        <f t="shared" si="140"/>
        <v/>
      </c>
      <c r="J2963" s="56"/>
      <c r="K2963" s="57"/>
      <c r="L2963" s="206"/>
      <c r="M2963" s="124"/>
      <c r="N2963" s="93"/>
      <c r="O2963" s="61"/>
      <c r="P2963" s="90"/>
      <c r="Q2963" s="94"/>
      <c r="R2963" s="95"/>
      <c r="S2963" s="125"/>
      <c r="T2963" s="65"/>
      <c r="U2963" s="65"/>
      <c r="V2963" s="66"/>
      <c r="W2963" s="67"/>
      <c r="X2963" s="67"/>
      <c r="Y2963" s="67"/>
      <c r="Z2963" s="67"/>
      <c r="AA2963" s="67"/>
      <c r="AB2963" s="67"/>
      <c r="AC2963" s="67"/>
      <c r="AD2963" s="67"/>
      <c r="AE2963" s="67"/>
      <c r="AF2963" s="67"/>
      <c r="AG2963" s="67"/>
      <c r="AH2963" s="67"/>
      <c r="AI2963" s="67"/>
      <c r="AJ2963" s="96"/>
      <c r="AK2963" s="96"/>
      <c r="AL2963" s="70"/>
      <c r="AM2963" s="70"/>
      <c r="AN2963" s="71"/>
      <c r="AO2963" s="71"/>
      <c r="AP2963" s="71"/>
      <c r="AQ2963" s="71"/>
      <c r="AR2963" s="71"/>
      <c r="AS2963" s="71"/>
      <c r="AT2963" s="71"/>
      <c r="AU2963" s="71"/>
      <c r="AV2963" s="71"/>
      <c r="AW2963" s="71"/>
      <c r="AX2963" s="71"/>
      <c r="AY2963" s="71"/>
      <c r="AZ2963" s="71"/>
      <c r="BA2963" s="71"/>
      <c r="BB2963" s="71"/>
      <c r="BC2963" s="71"/>
      <c r="BD2963" s="71"/>
      <c r="BE2963" s="71"/>
      <c r="BF2963" s="71"/>
      <c r="BG2963" s="71"/>
      <c r="BH2963" s="71"/>
      <c r="BI2963" s="71"/>
      <c r="BJ2963" s="71"/>
      <c r="BK2963" s="71"/>
      <c r="BL2963" s="71"/>
      <c r="BM2963" s="71"/>
      <c r="BN2963" s="71"/>
      <c r="BO2963" s="71"/>
      <c r="BP2963" s="71"/>
      <c r="BQ2963" s="71"/>
      <c r="BR2963" s="71"/>
      <c r="BS2963" s="71"/>
      <c r="BT2963" s="71"/>
      <c r="BU2963" s="71"/>
      <c r="BV2963" s="71"/>
    </row>
    <row r="2964">
      <c r="A2964" s="53"/>
      <c r="B2964" s="53"/>
      <c r="C2964" s="53"/>
      <c r="D2964" s="53"/>
      <c r="E2964" s="86"/>
      <c r="F2964" s="89"/>
      <c r="G2964" s="84"/>
      <c r="H2964" s="55"/>
      <c r="I2964" s="54" t="str">
        <f t="shared" si="140"/>
        <v/>
      </c>
      <c r="J2964" s="56"/>
      <c r="K2964" s="57"/>
      <c r="L2964" s="206"/>
      <c r="M2964" s="124"/>
      <c r="N2964" s="93"/>
      <c r="O2964" s="61"/>
      <c r="P2964" s="90"/>
      <c r="Q2964" s="94"/>
      <c r="R2964" s="95"/>
      <c r="S2964" s="125"/>
      <c r="T2964" s="65"/>
      <c r="U2964" s="65"/>
      <c r="V2964" s="66"/>
      <c r="W2964" s="67"/>
      <c r="X2964" s="67"/>
      <c r="Y2964" s="67"/>
      <c r="Z2964" s="67"/>
      <c r="AA2964" s="67"/>
      <c r="AB2964" s="67"/>
      <c r="AC2964" s="67"/>
      <c r="AD2964" s="67"/>
      <c r="AE2964" s="67"/>
      <c r="AF2964" s="67"/>
      <c r="AG2964" s="67"/>
      <c r="AH2964" s="67"/>
      <c r="AI2964" s="67"/>
      <c r="AJ2964" s="96"/>
      <c r="AK2964" s="96"/>
      <c r="AL2964" s="70"/>
      <c r="AM2964" s="70"/>
      <c r="AN2964" s="71"/>
      <c r="AO2964" s="71"/>
      <c r="AP2964" s="71"/>
      <c r="AQ2964" s="71"/>
      <c r="AR2964" s="71"/>
      <c r="AS2964" s="71"/>
      <c r="AT2964" s="71"/>
      <c r="AU2964" s="71"/>
      <c r="AV2964" s="71"/>
      <c r="AW2964" s="71"/>
      <c r="AX2964" s="71"/>
      <c r="AY2964" s="71"/>
      <c r="AZ2964" s="71"/>
      <c r="BA2964" s="71"/>
      <c r="BB2964" s="71"/>
      <c r="BC2964" s="71"/>
      <c r="BD2964" s="71"/>
      <c r="BE2964" s="71"/>
      <c r="BF2964" s="71"/>
      <c r="BG2964" s="71"/>
      <c r="BH2964" s="71"/>
      <c r="BI2964" s="71"/>
      <c r="BJ2964" s="71"/>
      <c r="BK2964" s="71"/>
      <c r="BL2964" s="71"/>
      <c r="BM2964" s="71"/>
      <c r="BN2964" s="71"/>
      <c r="BO2964" s="71"/>
      <c r="BP2964" s="71"/>
      <c r="BQ2964" s="71"/>
      <c r="BR2964" s="71"/>
      <c r="BS2964" s="71"/>
      <c r="BT2964" s="71"/>
      <c r="BU2964" s="71"/>
      <c r="BV2964" s="71"/>
    </row>
  </sheetData>
  <autoFilter ref="$A$2:$BV$2774">
    <sortState ref="A2:BV2774">
      <sortCondition ref="G2:G2774"/>
    </sortState>
  </autoFilter>
  <mergeCells count="12">
    <mergeCell ref="BH1:BJ1"/>
    <mergeCell ref="BK1:BM1"/>
    <mergeCell ref="BN1:BP1"/>
    <mergeCell ref="BQ1:BS1"/>
    <mergeCell ref="BT1:BV1"/>
    <mergeCell ref="S1:V1"/>
    <mergeCell ref="W1:Y1"/>
    <mergeCell ref="Z1:AB1"/>
    <mergeCell ref="AC1:AE1"/>
    <mergeCell ref="AF1:AH1"/>
    <mergeCell ref="AI1:AK1"/>
    <mergeCell ref="BD1:BG1"/>
  </mergeCells>
  <conditionalFormatting sqref="I3:I2964">
    <cfRule type="cellIs" dxfId="0" priority="1" operator="greaterThanOrEqual">
      <formula>41</formula>
    </cfRule>
  </conditionalFormatting>
  <conditionalFormatting sqref="D3:D2964">
    <cfRule type="expression" dxfId="0" priority="2">
      <formula>COUNTIF(D:D,D3)&gt;1</formula>
    </cfRule>
  </conditionalFormatting>
  <dataValidations>
    <dataValidation type="list" allowBlank="1" showInputMessage="1" showErrorMessage="1" prompt="Crear Clave primero" sqref="D3:D2964">
      <formula1>Claves!$A$2:$A2964</formula1>
    </dataValidation>
  </dataValidations>
  <hyperlinks>
    <hyperlink r:id="rId2" ref="D1"/>
    <hyperlink r:id="rId3" ref="AO1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5.13" defaultRowHeight="15.0"/>
  <cols>
    <col customWidth="1" min="1" max="1" width="5.25"/>
    <col customWidth="1" min="2" max="2" width="54.38"/>
    <col customWidth="1" min="3" max="17" width="12.63"/>
    <col customWidth="1" min="18" max="18" width="5.75"/>
    <col customWidth="1" min="19" max="19" width="12.63"/>
    <col customWidth="1" min="20" max="20" width="5.75"/>
    <col customWidth="1" min="21" max="21" width="5.25"/>
    <col customWidth="1" min="22" max="22" width="44.13"/>
    <col customWidth="1" min="23" max="24" width="12.63"/>
  </cols>
  <sheetData>
    <row r="1">
      <c r="A1" s="207"/>
      <c r="B1" s="13"/>
      <c r="C1" s="208"/>
      <c r="D1" s="208"/>
      <c r="E1" s="208"/>
      <c r="F1" s="208"/>
      <c r="G1" s="209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1" t="s">
        <v>6824</v>
      </c>
      <c r="T1" s="13"/>
      <c r="U1" s="13"/>
      <c r="V1" s="13"/>
      <c r="W1" s="13"/>
      <c r="X1" s="14"/>
    </row>
    <row r="2">
      <c r="A2" s="212" t="s">
        <v>13</v>
      </c>
      <c r="B2" s="213" t="s">
        <v>6825</v>
      </c>
      <c r="C2" s="214" t="s">
        <v>6826</v>
      </c>
      <c r="D2" s="215" t="s">
        <v>6827</v>
      </c>
      <c r="E2" s="216" t="s">
        <v>6828</v>
      </c>
      <c r="F2" s="217" t="s">
        <v>23</v>
      </c>
      <c r="G2" s="217" t="s">
        <v>24</v>
      </c>
      <c r="H2" s="218" t="s">
        <v>6829</v>
      </c>
      <c r="I2" s="14"/>
      <c r="J2" s="218" t="s">
        <v>6830</v>
      </c>
      <c r="K2" s="14"/>
      <c r="L2" s="218" t="s">
        <v>6831</v>
      </c>
      <c r="M2" s="14"/>
      <c r="N2" s="218" t="s">
        <v>6832</v>
      </c>
      <c r="O2" s="14"/>
      <c r="P2" s="218" t="s">
        <v>6833</v>
      </c>
      <c r="Q2" s="14"/>
      <c r="R2" s="219"/>
      <c r="S2" s="214" t="s">
        <v>6834</v>
      </c>
      <c r="T2" s="213" t="s">
        <v>6835</v>
      </c>
      <c r="U2" s="213" t="s">
        <v>13</v>
      </c>
      <c r="V2" s="214"/>
      <c r="W2" s="214" t="s">
        <v>6836</v>
      </c>
      <c r="X2" s="220" t="s">
        <v>6837</v>
      </c>
    </row>
    <row r="3">
      <c r="A3" s="221" t="s">
        <v>6838</v>
      </c>
      <c r="B3" s="106" t="s">
        <v>6839</v>
      </c>
      <c r="C3" s="222">
        <v>208.0</v>
      </c>
      <c r="D3" s="223">
        <f t="shared" ref="D3:D71" si="6">SUMIF($S$3:$S1015,A3,$X$3:$X1015)</f>
        <v>0</v>
      </c>
      <c r="E3" s="223">
        <f t="shared" ref="E3:E71" si="7">C3+D3</f>
        <v>208</v>
      </c>
      <c r="F3" s="223">
        <f t="shared" ref="F3:F71" si="8">E3*0.16</f>
        <v>33.28</v>
      </c>
      <c r="G3" s="223">
        <f t="shared" ref="G3:G71" si="9">E3+F3</f>
        <v>241.28</v>
      </c>
      <c r="H3" s="223">
        <f t="shared" ref="H3:I3" si="1">C3*0.95</f>
        <v>197.6</v>
      </c>
      <c r="I3" s="223">
        <f t="shared" si="1"/>
        <v>0</v>
      </c>
      <c r="J3" s="223">
        <f t="shared" ref="J3:K3" si="2">C3*0.9</f>
        <v>187.2</v>
      </c>
      <c r="K3" s="223">
        <f t="shared" si="2"/>
        <v>0</v>
      </c>
      <c r="L3" s="223">
        <f t="shared" ref="L3:M3" si="3">C3*0.85</f>
        <v>176.8</v>
      </c>
      <c r="M3" s="223">
        <f t="shared" si="3"/>
        <v>0</v>
      </c>
      <c r="N3" s="223">
        <f t="shared" ref="N3:O3" si="4">C3*0.83</f>
        <v>172.64</v>
      </c>
      <c r="O3" s="223">
        <f t="shared" si="4"/>
        <v>0</v>
      </c>
      <c r="P3" s="223">
        <f t="shared" ref="P3:Q3" si="5">C3*0.8</f>
        <v>166.4</v>
      </c>
      <c r="Q3" s="223">
        <f t="shared" si="5"/>
        <v>0</v>
      </c>
      <c r="R3" s="224"/>
      <c r="S3" s="221" t="s">
        <v>6840</v>
      </c>
      <c r="T3" s="221">
        <v>1.0</v>
      </c>
      <c r="U3" s="221" t="s">
        <v>960</v>
      </c>
      <c r="V3" s="225" t="str">
        <f>VLOOKUP(U3,Productos!D3:S1015,4,FALSE())</f>
        <v>BIRLO DE 3/8 X 3 PARA BASE INFERIOR</v>
      </c>
      <c r="W3" s="226">
        <f>VLOOKUP(U3,Productos!D3:S1015,16,FALSE())</f>
        <v>25</v>
      </c>
      <c r="X3" s="227">
        <f t="shared" ref="X3:X38" si="15">T3*W3</f>
        <v>25</v>
      </c>
    </row>
    <row r="4">
      <c r="A4" s="74" t="s">
        <v>6841</v>
      </c>
      <c r="B4" s="81" t="s">
        <v>6842</v>
      </c>
      <c r="C4" s="228">
        <v>332.0</v>
      </c>
      <c r="D4" s="223">
        <f t="shared" si="6"/>
        <v>0</v>
      </c>
      <c r="E4" s="223">
        <f t="shared" si="7"/>
        <v>332</v>
      </c>
      <c r="F4" s="223">
        <f t="shared" si="8"/>
        <v>53.12</v>
      </c>
      <c r="G4" s="223">
        <f t="shared" si="9"/>
        <v>385.12</v>
      </c>
      <c r="H4" s="223">
        <f t="shared" ref="H4:I4" si="10">C4*0.95</f>
        <v>315.4</v>
      </c>
      <c r="I4" s="223">
        <f t="shared" si="10"/>
        <v>0</v>
      </c>
      <c r="J4" s="223">
        <f t="shared" ref="J4:K4" si="11">C4*0.9</f>
        <v>298.8</v>
      </c>
      <c r="K4" s="223">
        <f t="shared" si="11"/>
        <v>0</v>
      </c>
      <c r="L4" s="223">
        <f t="shared" ref="L4:M4" si="12">C4*0.85</f>
        <v>282.2</v>
      </c>
      <c r="M4" s="223">
        <f t="shared" si="12"/>
        <v>0</v>
      </c>
      <c r="N4" s="223">
        <f t="shared" ref="N4:O4" si="13">C4*0.83</f>
        <v>275.56</v>
      </c>
      <c r="O4" s="223">
        <f t="shared" si="13"/>
        <v>0</v>
      </c>
      <c r="P4" s="223">
        <f t="shared" ref="P4:Q4" si="14">C4*0.8</f>
        <v>265.6</v>
      </c>
      <c r="Q4" s="223">
        <f t="shared" si="14"/>
        <v>0</v>
      </c>
      <c r="R4" s="229"/>
      <c r="S4" s="221" t="s">
        <v>6843</v>
      </c>
      <c r="T4" s="221">
        <v>1.0</v>
      </c>
      <c r="U4" s="221" t="s">
        <v>1034</v>
      </c>
      <c r="V4" s="225" t="str">
        <f>VLOOKUP(U4,Productos!D3:S1015,4,FALSE())</f>
        <v>BUJE DE BRONCE 5/8 PARA BASE INFERIOR DÚPLEX</v>
      </c>
      <c r="W4" s="226">
        <f>VLOOKUP(U4,Productos!D3:S1015,16,FALSE())</f>
        <v>249</v>
      </c>
      <c r="X4" s="227">
        <f t="shared" si="15"/>
        <v>249</v>
      </c>
    </row>
    <row r="5">
      <c r="A5" s="74" t="s">
        <v>6844</v>
      </c>
      <c r="B5" s="81" t="s">
        <v>6845</v>
      </c>
      <c r="C5" s="228">
        <v>264.0</v>
      </c>
      <c r="D5" s="223">
        <f t="shared" si="6"/>
        <v>0</v>
      </c>
      <c r="E5" s="223">
        <f t="shared" si="7"/>
        <v>264</v>
      </c>
      <c r="F5" s="223">
        <f t="shared" si="8"/>
        <v>42.24</v>
      </c>
      <c r="G5" s="223">
        <f t="shared" si="9"/>
        <v>306.24</v>
      </c>
      <c r="H5" s="223">
        <f t="shared" ref="H5:I5" si="16">C5*0.95</f>
        <v>250.8</v>
      </c>
      <c r="I5" s="223">
        <f t="shared" si="16"/>
        <v>0</v>
      </c>
      <c r="J5" s="223">
        <f t="shared" ref="J5:K5" si="17">C5*0.9</f>
        <v>237.6</v>
      </c>
      <c r="K5" s="223">
        <f t="shared" si="17"/>
        <v>0</v>
      </c>
      <c r="L5" s="223">
        <f t="shared" ref="L5:M5" si="18">C5*0.85</f>
        <v>224.4</v>
      </c>
      <c r="M5" s="223">
        <f t="shared" si="18"/>
        <v>0</v>
      </c>
      <c r="N5" s="223">
        <f t="shared" ref="N5:O5" si="19">C5*0.83</f>
        <v>219.12</v>
      </c>
      <c r="O5" s="223">
        <f t="shared" si="19"/>
        <v>0</v>
      </c>
      <c r="P5" s="223">
        <f t="shared" ref="P5:Q5" si="20">C5*0.8</f>
        <v>211.2</v>
      </c>
      <c r="Q5" s="223">
        <f t="shared" si="20"/>
        <v>0</v>
      </c>
      <c r="R5" s="229"/>
      <c r="S5" s="221" t="s">
        <v>6846</v>
      </c>
      <c r="T5" s="221">
        <v>1.0</v>
      </c>
      <c r="U5" s="221" t="s">
        <v>1037</v>
      </c>
      <c r="V5" s="225" t="str">
        <f>VLOOKUP(U5,Productos!D3:S1015,4,FALSE())</f>
        <v>BUJE DE BRONCE 5/8 PARA BASE INFERIOR SENCILLA</v>
      </c>
      <c r="W5" s="226">
        <f>VLOOKUP(U5,Productos!D3:S1015,16,FALSE())</f>
        <v>202</v>
      </c>
      <c r="X5" s="227">
        <f t="shared" si="15"/>
        <v>202</v>
      </c>
    </row>
    <row r="6">
      <c r="A6" s="74" t="s">
        <v>6847</v>
      </c>
      <c r="B6" s="81" t="s">
        <v>6848</v>
      </c>
      <c r="C6" s="228">
        <v>264.0</v>
      </c>
      <c r="D6" s="223">
        <f t="shared" si="6"/>
        <v>0</v>
      </c>
      <c r="E6" s="223">
        <f t="shared" si="7"/>
        <v>264</v>
      </c>
      <c r="F6" s="223">
        <f t="shared" si="8"/>
        <v>42.24</v>
      </c>
      <c r="G6" s="223">
        <f t="shared" si="9"/>
        <v>306.24</v>
      </c>
      <c r="H6" s="223">
        <f t="shared" ref="H6:I6" si="21">C6*0.95</f>
        <v>250.8</v>
      </c>
      <c r="I6" s="223">
        <f t="shared" si="21"/>
        <v>0</v>
      </c>
      <c r="J6" s="223">
        <f t="shared" ref="J6:K6" si="22">C6*0.9</f>
        <v>237.6</v>
      </c>
      <c r="K6" s="223">
        <f t="shared" si="22"/>
        <v>0</v>
      </c>
      <c r="L6" s="223">
        <f t="shared" ref="L6:M6" si="23">C6*0.85</f>
        <v>224.4</v>
      </c>
      <c r="M6" s="223">
        <f t="shared" si="23"/>
        <v>0</v>
      </c>
      <c r="N6" s="223">
        <f t="shared" ref="N6:O6" si="24">C6*0.83</f>
        <v>219.12</v>
      </c>
      <c r="O6" s="223">
        <f t="shared" si="24"/>
        <v>0</v>
      </c>
      <c r="P6" s="223">
        <f t="shared" ref="P6:Q6" si="25">C6*0.8</f>
        <v>211.2</v>
      </c>
      <c r="Q6" s="223">
        <f t="shared" si="25"/>
        <v>0</v>
      </c>
      <c r="R6" s="229"/>
      <c r="S6" s="221" t="s">
        <v>6849</v>
      </c>
      <c r="T6" s="221">
        <v>1.0</v>
      </c>
      <c r="U6" s="221" t="s">
        <v>1070</v>
      </c>
      <c r="V6" s="225" t="str">
        <f>VLOOKUP(U6,Productos!D3:S1015,4,FALSE())</f>
        <v>BUJE DE NYLAMID 5/8 PARA BASE INFERIOR SENCILLA GRADO ALIMENTICIO</v>
      </c>
      <c r="W6" s="226">
        <f>VLOOKUP(U6,Productos!D3:S1015,16,FALSE())</f>
        <v>32</v>
      </c>
      <c r="X6" s="227">
        <f t="shared" si="15"/>
        <v>32</v>
      </c>
    </row>
    <row r="7" ht="34.5" customHeight="1">
      <c r="A7" s="74" t="s">
        <v>6850</v>
      </c>
      <c r="B7" s="81" t="s">
        <v>6851</v>
      </c>
      <c r="C7" s="228">
        <v>318.0</v>
      </c>
      <c r="D7" s="223">
        <f t="shared" si="6"/>
        <v>0</v>
      </c>
      <c r="E7" s="223">
        <f t="shared" si="7"/>
        <v>318</v>
      </c>
      <c r="F7" s="223">
        <f t="shared" si="8"/>
        <v>50.88</v>
      </c>
      <c r="G7" s="223">
        <f t="shared" si="9"/>
        <v>368.88</v>
      </c>
      <c r="H7" s="223">
        <f t="shared" ref="H7:I7" si="26">C7*0.95</f>
        <v>302.1</v>
      </c>
      <c r="I7" s="223">
        <f t="shared" si="26"/>
        <v>0</v>
      </c>
      <c r="J7" s="223">
        <f t="shared" ref="J7:K7" si="27">C7*0.9</f>
        <v>286.2</v>
      </c>
      <c r="K7" s="223">
        <f t="shared" si="27"/>
        <v>0</v>
      </c>
      <c r="L7" s="223">
        <f t="shared" ref="L7:M7" si="28">C7*0.85</f>
        <v>270.3</v>
      </c>
      <c r="M7" s="223">
        <f t="shared" si="28"/>
        <v>0</v>
      </c>
      <c r="N7" s="223">
        <f t="shared" ref="N7:O7" si="29">C7*0.83</f>
        <v>263.94</v>
      </c>
      <c r="O7" s="223">
        <f t="shared" si="29"/>
        <v>0</v>
      </c>
      <c r="P7" s="223">
        <f t="shared" ref="P7:Q7" si="30">C7*0.8</f>
        <v>254.4</v>
      </c>
      <c r="Q7" s="223">
        <f t="shared" si="30"/>
        <v>0</v>
      </c>
      <c r="R7" s="229"/>
      <c r="S7" s="221" t="s">
        <v>6852</v>
      </c>
      <c r="T7" s="221">
        <v>1.0</v>
      </c>
      <c r="U7" s="221" t="s">
        <v>1040</v>
      </c>
      <c r="V7" s="225" t="str">
        <f>VLOOKUP(U7,Productos!D3:S1015,4,FALSE())</f>
        <v>BUJE DE BRONCE DE CENTRO DÚPLEX PARA BASE INFERIOR</v>
      </c>
      <c r="W7" s="226">
        <f>VLOOKUP(U7,Productos!D3:S1015,16,FALSE())</f>
        <v>357</v>
      </c>
      <c r="X7" s="227">
        <f t="shared" si="15"/>
        <v>357</v>
      </c>
    </row>
    <row r="8">
      <c r="A8" s="74" t="s">
        <v>6853</v>
      </c>
      <c r="B8" s="84" t="s">
        <v>6854</v>
      </c>
      <c r="C8" s="228">
        <v>471.0</v>
      </c>
      <c r="D8" s="223">
        <f t="shared" si="6"/>
        <v>0</v>
      </c>
      <c r="E8" s="223">
        <f t="shared" si="7"/>
        <v>471</v>
      </c>
      <c r="F8" s="223">
        <f t="shared" si="8"/>
        <v>75.36</v>
      </c>
      <c r="G8" s="223">
        <f t="shared" si="9"/>
        <v>546.36</v>
      </c>
      <c r="H8" s="223">
        <f t="shared" ref="H8:I8" si="31">C8*0.95</f>
        <v>447.45</v>
      </c>
      <c r="I8" s="223">
        <f t="shared" si="31"/>
        <v>0</v>
      </c>
      <c r="J8" s="223">
        <f t="shared" ref="J8:K8" si="32">C8*0.9</f>
        <v>423.9</v>
      </c>
      <c r="K8" s="223">
        <f t="shared" si="32"/>
        <v>0</v>
      </c>
      <c r="L8" s="223">
        <f t="shared" ref="L8:M8" si="33">C8*0.85</f>
        <v>400.35</v>
      </c>
      <c r="M8" s="223">
        <f t="shared" si="33"/>
        <v>0</v>
      </c>
      <c r="N8" s="223">
        <f t="shared" ref="N8:O8" si="34">C8*0.83</f>
        <v>390.93</v>
      </c>
      <c r="O8" s="223">
        <f t="shared" si="34"/>
        <v>0</v>
      </c>
      <c r="P8" s="223">
        <f t="shared" ref="P8:Q8" si="35">C8*0.8</f>
        <v>376.8</v>
      </c>
      <c r="Q8" s="223">
        <f t="shared" si="35"/>
        <v>0</v>
      </c>
      <c r="R8" s="229"/>
      <c r="S8" s="221" t="s">
        <v>6855</v>
      </c>
      <c r="T8" s="221">
        <v>1.0</v>
      </c>
      <c r="U8" s="221" t="s">
        <v>1043</v>
      </c>
      <c r="V8" s="225" t="str">
        <f>VLOOKUP(U8,Productos!D3:S1015,4,FALSE())</f>
        <v>BUJE DE BRONCE DE CENTRO SENCILLO PARA BASE INFERIOR</v>
      </c>
      <c r="W8" s="226">
        <f>VLOOKUP(U8,Productos!D3:S1015,16,FALSE())</f>
        <v>357</v>
      </c>
      <c r="X8" s="227">
        <f t="shared" si="15"/>
        <v>357</v>
      </c>
    </row>
    <row r="9">
      <c r="A9" s="73" t="s">
        <v>6856</v>
      </c>
      <c r="B9" s="84" t="s">
        <v>6854</v>
      </c>
      <c r="C9" s="230">
        <v>8579.0</v>
      </c>
      <c r="D9" s="223">
        <f t="shared" si="6"/>
        <v>0</v>
      </c>
      <c r="E9" s="223">
        <f t="shared" si="7"/>
        <v>8579</v>
      </c>
      <c r="F9" s="223">
        <f t="shared" si="8"/>
        <v>1372.64</v>
      </c>
      <c r="G9" s="223">
        <f t="shared" si="9"/>
        <v>9951.64</v>
      </c>
      <c r="H9" s="223">
        <f t="shared" ref="H9:I9" si="36">C9*0.95</f>
        <v>8150.05</v>
      </c>
      <c r="I9" s="223">
        <f t="shared" si="36"/>
        <v>0</v>
      </c>
      <c r="J9" s="223">
        <f t="shared" ref="J9:K9" si="37">C9*0.9</f>
        <v>7721.1</v>
      </c>
      <c r="K9" s="223">
        <f t="shared" si="37"/>
        <v>0</v>
      </c>
      <c r="L9" s="223">
        <f t="shared" ref="L9:M9" si="38">C9*0.85</f>
        <v>7292.15</v>
      </c>
      <c r="M9" s="223">
        <f t="shared" si="38"/>
        <v>0</v>
      </c>
      <c r="N9" s="223">
        <f t="shared" ref="N9:O9" si="39">C9*0.83</f>
        <v>7120.57</v>
      </c>
      <c r="O9" s="223">
        <f t="shared" si="39"/>
        <v>0</v>
      </c>
      <c r="P9" s="223">
        <f t="shared" ref="P9:Q9" si="40">C9*0.8</f>
        <v>6863.2</v>
      </c>
      <c r="Q9" s="223">
        <f t="shared" si="40"/>
        <v>0</v>
      </c>
      <c r="R9" s="231"/>
      <c r="S9" s="221" t="s">
        <v>6857</v>
      </c>
      <c r="T9" s="221">
        <v>1.0</v>
      </c>
      <c r="U9" s="221" t="s">
        <v>1060</v>
      </c>
      <c r="V9" s="225" t="str">
        <f>VLOOKUP(U9,Productos!D3:S1015,4,FALSE())</f>
        <v>BUJE DE BRONCE PARA PUENTE ADICIONAL</v>
      </c>
      <c r="W9" s="226">
        <f>VLOOKUP(U9,Productos!D3:S1015,16,FALSE())</f>
        <v>125</v>
      </c>
      <c r="X9" s="227">
        <f t="shared" si="15"/>
        <v>125</v>
      </c>
    </row>
    <row r="10">
      <c r="A10" s="73" t="s">
        <v>6858</v>
      </c>
      <c r="B10" s="86" t="s">
        <v>6859</v>
      </c>
      <c r="C10" s="230">
        <v>1821.0</v>
      </c>
      <c r="D10" s="223">
        <f t="shared" si="6"/>
        <v>0</v>
      </c>
      <c r="E10" s="223">
        <f t="shared" si="7"/>
        <v>1821</v>
      </c>
      <c r="F10" s="223">
        <f t="shared" si="8"/>
        <v>291.36</v>
      </c>
      <c r="G10" s="223">
        <f t="shared" si="9"/>
        <v>2112.36</v>
      </c>
      <c r="H10" s="223">
        <f t="shared" ref="H10:I10" si="41">C10*0.95</f>
        <v>1729.95</v>
      </c>
      <c r="I10" s="223">
        <f t="shared" si="41"/>
        <v>0</v>
      </c>
      <c r="J10" s="223">
        <f t="shared" ref="J10:K10" si="42">C10*0.9</f>
        <v>1638.9</v>
      </c>
      <c r="K10" s="223">
        <f t="shared" si="42"/>
        <v>0</v>
      </c>
      <c r="L10" s="223">
        <f t="shared" ref="L10:M10" si="43">C10*0.85</f>
        <v>1547.85</v>
      </c>
      <c r="M10" s="223">
        <f t="shared" si="43"/>
        <v>0</v>
      </c>
      <c r="N10" s="223">
        <f t="shared" ref="N10:O10" si="44">C10*0.83</f>
        <v>1511.43</v>
      </c>
      <c r="O10" s="223">
        <f t="shared" si="44"/>
        <v>0</v>
      </c>
      <c r="P10" s="223">
        <f t="shared" ref="P10:Q10" si="45">C10*0.8</f>
        <v>1456.8</v>
      </c>
      <c r="Q10" s="223">
        <f t="shared" si="45"/>
        <v>0</v>
      </c>
      <c r="R10" s="231"/>
      <c r="S10" s="221" t="s">
        <v>6860</v>
      </c>
      <c r="T10" s="221">
        <v>6.0</v>
      </c>
      <c r="U10" s="221" t="s">
        <v>1076</v>
      </c>
      <c r="V10" s="225" t="str">
        <f>VLOOKUP(U10,Productos!D3:S1015,4,FALSE())</f>
        <v>BUJE ESPECIAL (PARA SERVICIOS)</v>
      </c>
      <c r="W10" s="226">
        <f>VLOOKUP(U10,Productos!D3:S1015,16,FALSE())</f>
        <v>342</v>
      </c>
      <c r="X10" s="227">
        <f t="shared" si="15"/>
        <v>2052</v>
      </c>
    </row>
    <row r="11">
      <c r="A11" s="221" t="s">
        <v>6840</v>
      </c>
      <c r="B11" s="106" t="s">
        <v>6861</v>
      </c>
      <c r="C11" s="222">
        <v>19.0</v>
      </c>
      <c r="D11" s="223">
        <f t="shared" si="6"/>
        <v>25</v>
      </c>
      <c r="E11" s="223">
        <f t="shared" si="7"/>
        <v>44</v>
      </c>
      <c r="F11" s="223">
        <f t="shared" si="8"/>
        <v>7.04</v>
      </c>
      <c r="G11" s="223">
        <f t="shared" si="9"/>
        <v>51.04</v>
      </c>
      <c r="H11" s="223">
        <f t="shared" ref="H11:I11" si="46">C11*0.95</f>
        <v>18.05</v>
      </c>
      <c r="I11" s="223">
        <f t="shared" si="46"/>
        <v>23.75</v>
      </c>
      <c r="J11" s="223">
        <f t="shared" ref="J11:K11" si="47">C11*0.9</f>
        <v>17.1</v>
      </c>
      <c r="K11" s="223">
        <f t="shared" si="47"/>
        <v>22.5</v>
      </c>
      <c r="L11" s="223">
        <f t="shared" ref="L11:M11" si="48">C11*0.85</f>
        <v>16.15</v>
      </c>
      <c r="M11" s="223">
        <f t="shared" si="48"/>
        <v>21.25</v>
      </c>
      <c r="N11" s="223">
        <f t="shared" ref="N11:O11" si="49">C11*0.83</f>
        <v>15.77</v>
      </c>
      <c r="O11" s="223">
        <f t="shared" si="49"/>
        <v>20.75</v>
      </c>
      <c r="P11" s="223">
        <f t="shared" ref="P11:Q11" si="50">C11*0.8</f>
        <v>15.2</v>
      </c>
      <c r="Q11" s="223">
        <f t="shared" si="50"/>
        <v>20</v>
      </c>
      <c r="R11" s="224"/>
      <c r="S11" s="221" t="s">
        <v>6862</v>
      </c>
      <c r="T11" s="221">
        <v>4.0</v>
      </c>
      <c r="U11" s="221" t="s">
        <v>1076</v>
      </c>
      <c r="V11" s="225" t="str">
        <f>VLOOKUP(U11,Productos!D3:S1015,4,FALSE())</f>
        <v>BUJE ESPECIAL (PARA SERVICIOS)</v>
      </c>
      <c r="W11" s="226">
        <f>VLOOKUP(U11,Productos!D3:S1015,16,FALSE())</f>
        <v>342</v>
      </c>
      <c r="X11" s="227">
        <f t="shared" si="15"/>
        <v>1368</v>
      </c>
    </row>
    <row r="12">
      <c r="A12" s="221" t="s">
        <v>6843</v>
      </c>
      <c r="B12" s="106" t="s">
        <v>6863</v>
      </c>
      <c r="C12" s="222">
        <v>33.0</v>
      </c>
      <c r="D12" s="223">
        <f t="shared" si="6"/>
        <v>249</v>
      </c>
      <c r="E12" s="223">
        <f t="shared" si="7"/>
        <v>282</v>
      </c>
      <c r="F12" s="223">
        <f t="shared" si="8"/>
        <v>45.12</v>
      </c>
      <c r="G12" s="223">
        <f t="shared" si="9"/>
        <v>327.12</v>
      </c>
      <c r="H12" s="223">
        <f t="shared" ref="H12:I12" si="51">C12*0.95</f>
        <v>31.35</v>
      </c>
      <c r="I12" s="223">
        <f t="shared" si="51"/>
        <v>236.55</v>
      </c>
      <c r="J12" s="223">
        <f t="shared" ref="J12:K12" si="52">C12*0.9</f>
        <v>29.7</v>
      </c>
      <c r="K12" s="223">
        <f t="shared" si="52"/>
        <v>224.1</v>
      </c>
      <c r="L12" s="223">
        <f t="shared" ref="L12:M12" si="53">C12*0.85</f>
        <v>28.05</v>
      </c>
      <c r="M12" s="223">
        <f t="shared" si="53"/>
        <v>211.65</v>
      </c>
      <c r="N12" s="223">
        <f t="shared" ref="N12:O12" si="54">C12*0.83</f>
        <v>27.39</v>
      </c>
      <c r="O12" s="223">
        <f t="shared" si="54"/>
        <v>206.67</v>
      </c>
      <c r="P12" s="223">
        <f t="shared" ref="P12:Q12" si="55">C12*0.8</f>
        <v>26.4</v>
      </c>
      <c r="Q12" s="223">
        <f t="shared" si="55"/>
        <v>199.2</v>
      </c>
      <c r="R12" s="224"/>
      <c r="S12" s="221" t="s">
        <v>6864</v>
      </c>
      <c r="T12" s="221">
        <v>1.0</v>
      </c>
      <c r="U12" s="221" t="s">
        <v>3037</v>
      </c>
      <c r="V12" s="225" t="str">
        <f>VLOOKUP(U12,Productos!D3:S1015,4,FALSE())</f>
        <v>JUEGO DE 4 BIRLOS PARA CARRO SUPERIOR DÚPLEX</v>
      </c>
      <c r="W12" s="226">
        <f>VLOOKUP(U12,Productos!D3:S1015,16,FALSE())</f>
        <v>192</v>
      </c>
      <c r="X12" s="227">
        <f t="shared" si="15"/>
        <v>192</v>
      </c>
    </row>
    <row r="13">
      <c r="A13" s="221" t="s">
        <v>6846</v>
      </c>
      <c r="B13" s="106" t="s">
        <v>6865</v>
      </c>
      <c r="C13" s="222">
        <v>27.0</v>
      </c>
      <c r="D13" s="223">
        <f t="shared" si="6"/>
        <v>202</v>
      </c>
      <c r="E13" s="223">
        <f t="shared" si="7"/>
        <v>229</v>
      </c>
      <c r="F13" s="223">
        <f t="shared" si="8"/>
        <v>36.64</v>
      </c>
      <c r="G13" s="223">
        <f t="shared" si="9"/>
        <v>265.64</v>
      </c>
      <c r="H13" s="223">
        <f t="shared" ref="H13:I13" si="56">C13*0.95</f>
        <v>25.65</v>
      </c>
      <c r="I13" s="223">
        <f t="shared" si="56"/>
        <v>191.9</v>
      </c>
      <c r="J13" s="223">
        <f t="shared" ref="J13:K13" si="57">C13*0.9</f>
        <v>24.3</v>
      </c>
      <c r="K13" s="223">
        <f t="shared" si="57"/>
        <v>181.8</v>
      </c>
      <c r="L13" s="223">
        <f t="shared" ref="L13:M13" si="58">C13*0.85</f>
        <v>22.95</v>
      </c>
      <c r="M13" s="223">
        <f t="shared" si="58"/>
        <v>171.7</v>
      </c>
      <c r="N13" s="223">
        <f t="shared" ref="N13:O13" si="59">C13*0.83</f>
        <v>22.41</v>
      </c>
      <c r="O13" s="223">
        <f t="shared" si="59"/>
        <v>167.66</v>
      </c>
      <c r="P13" s="223">
        <f t="shared" ref="P13:Q13" si="60">C13*0.8</f>
        <v>21.6</v>
      </c>
      <c r="Q13" s="223">
        <f t="shared" si="60"/>
        <v>161.6</v>
      </c>
      <c r="R13" s="224"/>
      <c r="S13" s="221" t="s">
        <v>6864</v>
      </c>
      <c r="T13" s="221">
        <v>1.0</v>
      </c>
      <c r="U13" s="221" t="s">
        <v>4408</v>
      </c>
      <c r="V13" s="225" t="str">
        <f>VLOOKUP(U13,Productos!D3:S1015,4,FALSE())</f>
        <v>MUELLE PARA CARRO</v>
      </c>
      <c r="W13" s="226">
        <f>VLOOKUP(U13,Productos!D3:S1015,16,FALSE())</f>
        <v>15.75</v>
      </c>
      <c r="X13" s="227">
        <f t="shared" si="15"/>
        <v>15.75</v>
      </c>
    </row>
    <row r="14">
      <c r="A14" s="221" t="s">
        <v>6849</v>
      </c>
      <c r="B14" s="106" t="s">
        <v>6866</v>
      </c>
      <c r="C14" s="222">
        <v>44.0</v>
      </c>
      <c r="D14" s="223">
        <f t="shared" si="6"/>
        <v>32</v>
      </c>
      <c r="E14" s="223">
        <f t="shared" si="7"/>
        <v>76</v>
      </c>
      <c r="F14" s="223">
        <f t="shared" si="8"/>
        <v>12.16</v>
      </c>
      <c r="G14" s="223">
        <f t="shared" si="9"/>
        <v>88.16</v>
      </c>
      <c r="H14" s="223">
        <f t="shared" ref="H14:I14" si="61">C14*0.95</f>
        <v>41.8</v>
      </c>
      <c r="I14" s="223">
        <f t="shared" si="61"/>
        <v>30.4</v>
      </c>
      <c r="J14" s="223">
        <f t="shared" ref="J14:K14" si="62">C14*0.9</f>
        <v>39.6</v>
      </c>
      <c r="K14" s="223">
        <f t="shared" si="62"/>
        <v>28.8</v>
      </c>
      <c r="L14" s="223">
        <f t="shared" ref="L14:M14" si="63">C14*0.85</f>
        <v>37.4</v>
      </c>
      <c r="M14" s="223">
        <f t="shared" si="63"/>
        <v>27.2</v>
      </c>
      <c r="N14" s="223">
        <f t="shared" ref="N14:O14" si="64">C14*0.83</f>
        <v>36.52</v>
      </c>
      <c r="O14" s="223">
        <f t="shared" si="64"/>
        <v>26.56</v>
      </c>
      <c r="P14" s="223">
        <f t="shared" ref="P14:Q14" si="65">C14*0.8</f>
        <v>35.2</v>
      </c>
      <c r="Q14" s="223">
        <f t="shared" si="65"/>
        <v>25.6</v>
      </c>
      <c r="R14" s="224"/>
      <c r="S14" s="221" t="s">
        <v>6867</v>
      </c>
      <c r="T14" s="221">
        <v>1.0</v>
      </c>
      <c r="U14" s="221" t="s">
        <v>3040</v>
      </c>
      <c r="V14" s="225" t="str">
        <f>VLOOKUP(U14,Productos!D3:S1015,4,FALSE())</f>
        <v>JUEGO DE 4 BIRLOS PARA CARRO SUPERIOR SENCILLO</v>
      </c>
      <c r="W14" s="226">
        <f>VLOOKUP(U14,Productos!D3:S1015,16,FALSE())</f>
        <v>192</v>
      </c>
      <c r="X14" s="227">
        <f t="shared" si="15"/>
        <v>192</v>
      </c>
    </row>
    <row r="15">
      <c r="A15" s="221" t="s">
        <v>6852</v>
      </c>
      <c r="B15" s="106" t="s">
        <v>6868</v>
      </c>
      <c r="C15" s="222">
        <v>50.0</v>
      </c>
      <c r="D15" s="223">
        <f t="shared" si="6"/>
        <v>357</v>
      </c>
      <c r="E15" s="223">
        <f t="shared" si="7"/>
        <v>407</v>
      </c>
      <c r="F15" s="223">
        <f t="shared" si="8"/>
        <v>65.12</v>
      </c>
      <c r="G15" s="223">
        <f t="shared" si="9"/>
        <v>472.12</v>
      </c>
      <c r="H15" s="223">
        <f t="shared" ref="H15:I15" si="66">C15*0.95</f>
        <v>47.5</v>
      </c>
      <c r="I15" s="223">
        <f t="shared" si="66"/>
        <v>339.15</v>
      </c>
      <c r="J15" s="223">
        <f t="shared" ref="J15:K15" si="67">C15*0.9</f>
        <v>45</v>
      </c>
      <c r="K15" s="223">
        <f t="shared" si="67"/>
        <v>321.3</v>
      </c>
      <c r="L15" s="223">
        <f t="shared" ref="L15:M15" si="68">C15*0.85</f>
        <v>42.5</v>
      </c>
      <c r="M15" s="223">
        <f t="shared" si="68"/>
        <v>303.45</v>
      </c>
      <c r="N15" s="223">
        <f t="shared" ref="N15:O15" si="69">C15*0.83</f>
        <v>41.5</v>
      </c>
      <c r="O15" s="223">
        <f t="shared" si="69"/>
        <v>296.31</v>
      </c>
      <c r="P15" s="223">
        <f t="shared" ref="P15:Q15" si="70">C15*0.8</f>
        <v>40</v>
      </c>
      <c r="Q15" s="223">
        <f t="shared" si="70"/>
        <v>285.6</v>
      </c>
      <c r="R15" s="224"/>
      <c r="S15" s="221" t="s">
        <v>6867</v>
      </c>
      <c r="T15" s="221">
        <v>1.0</v>
      </c>
      <c r="U15" s="221" t="s">
        <v>4408</v>
      </c>
      <c r="V15" s="225" t="str">
        <f>VLOOKUP(U15,Productos!D4:S1015,4,FALSE())</f>
        <v>MUELLE PARA CARRO</v>
      </c>
      <c r="W15" s="226">
        <f>VLOOKUP(U15,Productos!D4:S1015,16,FALSE())</f>
        <v>15.75</v>
      </c>
      <c r="X15" s="227">
        <f t="shared" si="15"/>
        <v>15.75</v>
      </c>
    </row>
    <row r="16">
      <c r="A16" s="221" t="s">
        <v>6855</v>
      </c>
      <c r="B16" s="106" t="s">
        <v>6869</v>
      </c>
      <c r="C16" s="222">
        <v>50.0</v>
      </c>
      <c r="D16" s="223">
        <f t="shared" si="6"/>
        <v>357</v>
      </c>
      <c r="E16" s="223">
        <f t="shared" si="7"/>
        <v>407</v>
      </c>
      <c r="F16" s="223">
        <f t="shared" si="8"/>
        <v>65.12</v>
      </c>
      <c r="G16" s="223">
        <f t="shared" si="9"/>
        <v>472.12</v>
      </c>
      <c r="H16" s="223">
        <f t="shared" ref="H16:I16" si="71">C16*0.95</f>
        <v>47.5</v>
      </c>
      <c r="I16" s="223">
        <f t="shared" si="71"/>
        <v>339.15</v>
      </c>
      <c r="J16" s="223">
        <f t="shared" ref="J16:K16" si="72">C16*0.9</f>
        <v>45</v>
      </c>
      <c r="K16" s="223">
        <f t="shared" si="72"/>
        <v>321.3</v>
      </c>
      <c r="L16" s="223">
        <f t="shared" ref="L16:M16" si="73">C16*0.85</f>
        <v>42.5</v>
      </c>
      <c r="M16" s="223">
        <f t="shared" si="73"/>
        <v>303.45</v>
      </c>
      <c r="N16" s="223">
        <f t="shared" ref="N16:O16" si="74">C16*0.83</f>
        <v>41.5</v>
      </c>
      <c r="O16" s="223">
        <f t="shared" si="74"/>
        <v>296.31</v>
      </c>
      <c r="P16" s="223">
        <f t="shared" ref="P16:Q16" si="75">C16*0.8</f>
        <v>40</v>
      </c>
      <c r="Q16" s="223">
        <f t="shared" si="75"/>
        <v>285.6</v>
      </c>
      <c r="R16" s="224"/>
      <c r="S16" s="221" t="s">
        <v>6870</v>
      </c>
      <c r="T16" s="221">
        <v>1.0</v>
      </c>
      <c r="U16" s="221" t="s">
        <v>2816</v>
      </c>
      <c r="V16" s="225" t="str">
        <f>VLOOKUP(U16,Productos!D4:S1015,4,FALSE())</f>
        <v>FLECHA PARA SINFÍN ASPA DÚPLEX</v>
      </c>
      <c r="W16" s="226">
        <f>VLOOKUP(U16,Productos!D4:S1015,16,FALSE())</f>
        <v>182</v>
      </c>
      <c r="X16" s="227">
        <f t="shared" si="15"/>
        <v>182</v>
      </c>
    </row>
    <row r="17">
      <c r="A17" s="221" t="s">
        <v>6857</v>
      </c>
      <c r="B17" s="106" t="s">
        <v>6871</v>
      </c>
      <c r="C17" s="222">
        <v>25.0</v>
      </c>
      <c r="D17" s="223">
        <f t="shared" si="6"/>
        <v>125</v>
      </c>
      <c r="E17" s="223">
        <f t="shared" si="7"/>
        <v>150</v>
      </c>
      <c r="F17" s="223">
        <f t="shared" si="8"/>
        <v>24</v>
      </c>
      <c r="G17" s="223">
        <f t="shared" si="9"/>
        <v>174</v>
      </c>
      <c r="H17" s="223">
        <f t="shared" ref="H17:I17" si="76">C17*0.95</f>
        <v>23.75</v>
      </c>
      <c r="I17" s="223">
        <f t="shared" si="76"/>
        <v>118.75</v>
      </c>
      <c r="J17" s="223">
        <f t="shared" ref="J17:K17" si="77">C17*0.9</f>
        <v>22.5</v>
      </c>
      <c r="K17" s="223">
        <f t="shared" si="77"/>
        <v>112.5</v>
      </c>
      <c r="L17" s="223">
        <f t="shared" ref="L17:M17" si="78">C17*0.85</f>
        <v>21.25</v>
      </c>
      <c r="M17" s="223">
        <f t="shared" si="78"/>
        <v>106.25</v>
      </c>
      <c r="N17" s="223">
        <f t="shared" ref="N17:O17" si="79">C17*0.83</f>
        <v>20.75</v>
      </c>
      <c r="O17" s="223">
        <f t="shared" si="79"/>
        <v>103.75</v>
      </c>
      <c r="P17" s="223">
        <f t="shared" ref="P17:Q17" si="80">C17*0.8</f>
        <v>20</v>
      </c>
      <c r="Q17" s="223">
        <f t="shared" si="80"/>
        <v>100</v>
      </c>
      <c r="R17" s="224"/>
      <c r="S17" s="221" t="s">
        <v>6870</v>
      </c>
      <c r="T17" s="221">
        <v>1.0</v>
      </c>
      <c r="U17" s="221" t="s">
        <v>5966</v>
      </c>
      <c r="V17" s="225" t="str">
        <f>VLOOKUP(U17,Productos!D4:S1015,4,FALSE())</f>
        <v>SELLO ESPONJA</v>
      </c>
      <c r="W17" s="226">
        <f>VLOOKUP(U17,Productos!D4:S1015,16,FALSE())</f>
        <v>22</v>
      </c>
      <c r="X17" s="227">
        <f t="shared" si="15"/>
        <v>22</v>
      </c>
    </row>
    <row r="18">
      <c r="A18" s="221" t="s">
        <v>6860</v>
      </c>
      <c r="B18" s="106" t="s">
        <v>6872</v>
      </c>
      <c r="C18" s="222">
        <v>130.0</v>
      </c>
      <c r="D18" s="223">
        <f t="shared" si="6"/>
        <v>2052</v>
      </c>
      <c r="E18" s="223">
        <f t="shared" si="7"/>
        <v>2182</v>
      </c>
      <c r="F18" s="223">
        <f t="shared" si="8"/>
        <v>349.12</v>
      </c>
      <c r="G18" s="223">
        <f t="shared" si="9"/>
        <v>2531.12</v>
      </c>
      <c r="H18" s="223">
        <f t="shared" ref="H18:I18" si="81">C18*0.95</f>
        <v>123.5</v>
      </c>
      <c r="I18" s="223">
        <f t="shared" si="81"/>
        <v>1949.4</v>
      </c>
      <c r="J18" s="223">
        <f t="shared" ref="J18:K18" si="82">C18*0.9</f>
        <v>117</v>
      </c>
      <c r="K18" s="223">
        <f t="shared" si="82"/>
        <v>1846.8</v>
      </c>
      <c r="L18" s="223">
        <f t="shared" ref="L18:M18" si="83">C18*0.85</f>
        <v>110.5</v>
      </c>
      <c r="M18" s="223">
        <f t="shared" si="83"/>
        <v>1744.2</v>
      </c>
      <c r="N18" s="223">
        <f t="shared" ref="N18:O18" si="84">C18*0.83</f>
        <v>107.9</v>
      </c>
      <c r="O18" s="223">
        <f t="shared" si="84"/>
        <v>1703.16</v>
      </c>
      <c r="P18" s="223">
        <f t="shared" ref="P18:Q18" si="85">C18*0.8</f>
        <v>104</v>
      </c>
      <c r="Q18" s="223">
        <f t="shared" si="85"/>
        <v>1641.6</v>
      </c>
      <c r="R18" s="224"/>
      <c r="S18" s="221" t="s">
        <v>6870</v>
      </c>
      <c r="T18" s="221">
        <v>4.0</v>
      </c>
      <c r="U18" s="221" t="s">
        <v>6507</v>
      </c>
      <c r="V18" s="225" t="str">
        <f>VLOOKUP(U18,Productos!D4:S1015,4,FALSE())</f>
        <v>TORNILLO SET CABEZA CUADRADA SET 3/8 X 1"1/2</v>
      </c>
      <c r="W18" s="226">
        <f>VLOOKUP(U18,Productos!D4:S1015,16,FALSE())</f>
        <v>10.5</v>
      </c>
      <c r="X18" s="227">
        <f t="shared" si="15"/>
        <v>42</v>
      </c>
    </row>
    <row r="19">
      <c r="A19" s="221" t="s">
        <v>6862</v>
      </c>
      <c r="B19" s="106" t="s">
        <v>6873</v>
      </c>
      <c r="C19" s="222">
        <v>130.0</v>
      </c>
      <c r="D19" s="223">
        <f t="shared" si="6"/>
        <v>1368</v>
      </c>
      <c r="E19" s="223">
        <f t="shared" si="7"/>
        <v>1498</v>
      </c>
      <c r="F19" s="223">
        <f t="shared" si="8"/>
        <v>239.68</v>
      </c>
      <c r="G19" s="223">
        <f t="shared" si="9"/>
        <v>1737.68</v>
      </c>
      <c r="H19" s="223">
        <f t="shared" ref="H19:I19" si="86">C19*0.95</f>
        <v>123.5</v>
      </c>
      <c r="I19" s="223">
        <f t="shared" si="86"/>
        <v>1299.6</v>
      </c>
      <c r="J19" s="223">
        <f t="shared" ref="J19:K19" si="87">C19*0.9</f>
        <v>117</v>
      </c>
      <c r="K19" s="223">
        <f t="shared" si="87"/>
        <v>1231.2</v>
      </c>
      <c r="L19" s="223">
        <f t="shared" ref="L19:M19" si="88">C19*0.85</f>
        <v>110.5</v>
      </c>
      <c r="M19" s="223">
        <f t="shared" si="88"/>
        <v>1162.8</v>
      </c>
      <c r="N19" s="223">
        <f t="shared" ref="N19:O19" si="89">C19*0.83</f>
        <v>107.9</v>
      </c>
      <c r="O19" s="223">
        <f t="shared" si="89"/>
        <v>1135.44</v>
      </c>
      <c r="P19" s="223">
        <f t="shared" ref="P19:Q19" si="90">C19*0.8</f>
        <v>104</v>
      </c>
      <c r="Q19" s="223">
        <f t="shared" si="90"/>
        <v>1094.4</v>
      </c>
      <c r="R19" s="224"/>
      <c r="S19" s="221" t="s">
        <v>6870</v>
      </c>
      <c r="T19" s="221">
        <v>1.0</v>
      </c>
      <c r="U19" s="221" t="s">
        <v>6513</v>
      </c>
      <c r="V19" s="225" t="str">
        <f>VLOOKUP(U19,Productos!D4:S1015,4,FALSE())</f>
        <v>TORNILLO SET CABEZA CUADRADA SET 3/8 X 3/4</v>
      </c>
      <c r="W19" s="226">
        <f>VLOOKUP(U19,Productos!D4:S1015,16,FALSE())</f>
        <v>6.3</v>
      </c>
      <c r="X19" s="227">
        <f t="shared" si="15"/>
        <v>6.3</v>
      </c>
    </row>
    <row r="20">
      <c r="A20" s="221" t="s">
        <v>6864</v>
      </c>
      <c r="B20" s="113" t="s">
        <v>6874</v>
      </c>
      <c r="C20" s="222">
        <v>256.0</v>
      </c>
      <c r="D20" s="223">
        <f t="shared" si="6"/>
        <v>207.75</v>
      </c>
      <c r="E20" s="223">
        <f t="shared" si="7"/>
        <v>463.75</v>
      </c>
      <c r="F20" s="223">
        <f t="shared" si="8"/>
        <v>74.2</v>
      </c>
      <c r="G20" s="223">
        <f t="shared" si="9"/>
        <v>537.95</v>
      </c>
      <c r="H20" s="223">
        <f t="shared" ref="H20:I20" si="91">C20*0.95</f>
        <v>243.2</v>
      </c>
      <c r="I20" s="223">
        <f t="shared" si="91"/>
        <v>197.3625</v>
      </c>
      <c r="J20" s="223">
        <f t="shared" ref="J20:K20" si="92">C20*0.9</f>
        <v>230.4</v>
      </c>
      <c r="K20" s="223">
        <f t="shared" si="92"/>
        <v>186.975</v>
      </c>
      <c r="L20" s="223">
        <f t="shared" ref="L20:M20" si="93">C20*0.85</f>
        <v>217.6</v>
      </c>
      <c r="M20" s="223">
        <f t="shared" si="93"/>
        <v>176.5875</v>
      </c>
      <c r="N20" s="223">
        <f t="shared" ref="N20:O20" si="94">C20*0.83</f>
        <v>212.48</v>
      </c>
      <c r="O20" s="223">
        <f t="shared" si="94"/>
        <v>172.4325</v>
      </c>
      <c r="P20" s="223">
        <f t="shared" ref="P20:Q20" si="95">C20*0.8</f>
        <v>204.8</v>
      </c>
      <c r="Q20" s="223">
        <f t="shared" si="95"/>
        <v>166.2</v>
      </c>
      <c r="R20" s="224"/>
      <c r="S20" s="221" t="s">
        <v>6870</v>
      </c>
      <c r="T20" s="221">
        <v>1.0</v>
      </c>
      <c r="U20" s="221" t="s">
        <v>4919</v>
      </c>
      <c r="V20" s="225" t="str">
        <f>VLOOKUP(U20,Productos!D4:S1015,4,FALSE())</f>
        <v>PERNO PARA SINFÍN ASPA DÚPLEX</v>
      </c>
      <c r="W20" s="226">
        <f>VLOOKUP(U20,Productos!D4:S1015,16,FALSE())</f>
        <v>18.9</v>
      </c>
      <c r="X20" s="227">
        <f t="shared" si="15"/>
        <v>18.9</v>
      </c>
    </row>
    <row r="21">
      <c r="A21" s="221" t="s">
        <v>6867</v>
      </c>
      <c r="B21" s="113" t="s">
        <v>6875</v>
      </c>
      <c r="C21" s="222">
        <v>256.0</v>
      </c>
      <c r="D21" s="223">
        <f t="shared" si="6"/>
        <v>207.75</v>
      </c>
      <c r="E21" s="223">
        <f t="shared" si="7"/>
        <v>463.75</v>
      </c>
      <c r="F21" s="223">
        <f t="shared" si="8"/>
        <v>74.2</v>
      </c>
      <c r="G21" s="223">
        <f t="shared" si="9"/>
        <v>537.95</v>
      </c>
      <c r="H21" s="223">
        <f t="shared" ref="H21:I21" si="96">C21*0.95</f>
        <v>243.2</v>
      </c>
      <c r="I21" s="223">
        <f t="shared" si="96"/>
        <v>197.3625</v>
      </c>
      <c r="J21" s="223">
        <f t="shared" ref="J21:K21" si="97">C21*0.9</f>
        <v>230.4</v>
      </c>
      <c r="K21" s="223">
        <f t="shared" si="97"/>
        <v>186.975</v>
      </c>
      <c r="L21" s="223">
        <f t="shared" ref="L21:M21" si="98">C21*0.85</f>
        <v>217.6</v>
      </c>
      <c r="M21" s="223">
        <f t="shared" si="98"/>
        <v>176.5875</v>
      </c>
      <c r="N21" s="223">
        <f t="shared" ref="N21:O21" si="99">C21*0.83</f>
        <v>212.48</v>
      </c>
      <c r="O21" s="223">
        <f t="shared" si="99"/>
        <v>172.4325</v>
      </c>
      <c r="P21" s="223">
        <f t="shared" ref="P21:Q21" si="100">C21*0.8</f>
        <v>204.8</v>
      </c>
      <c r="Q21" s="223">
        <f t="shared" si="100"/>
        <v>166.2</v>
      </c>
      <c r="R21" s="224"/>
      <c r="S21" s="221" t="s">
        <v>6870</v>
      </c>
      <c r="T21" s="221">
        <v>1.0</v>
      </c>
      <c r="U21" s="221" t="s">
        <v>4434</v>
      </c>
      <c r="V21" s="225" t="str">
        <f>VLOOKUP(U21,Productos!D4:S1015,4,FALSE())</f>
        <v>OPRESOR ALLEN 1/4X5/16</v>
      </c>
      <c r="W21" s="226">
        <f>VLOOKUP(U21,Productos!D4:S1015,16,FALSE())</f>
        <v>6.3</v>
      </c>
      <c r="X21" s="227">
        <f t="shared" si="15"/>
        <v>6.3</v>
      </c>
    </row>
    <row r="22">
      <c r="A22" s="221" t="s">
        <v>6870</v>
      </c>
      <c r="B22" s="113" t="s">
        <v>6876</v>
      </c>
      <c r="C22" s="222">
        <v>434.0</v>
      </c>
      <c r="D22" s="223">
        <f t="shared" si="6"/>
        <v>277.5</v>
      </c>
      <c r="E22" s="223">
        <f t="shared" si="7"/>
        <v>711.5</v>
      </c>
      <c r="F22" s="223">
        <f t="shared" si="8"/>
        <v>113.84</v>
      </c>
      <c r="G22" s="223">
        <f t="shared" si="9"/>
        <v>825.34</v>
      </c>
      <c r="H22" s="223">
        <f t="shared" ref="H22:I22" si="101">C22*0.95</f>
        <v>412.3</v>
      </c>
      <c r="I22" s="223">
        <f t="shared" si="101"/>
        <v>263.625</v>
      </c>
      <c r="J22" s="223">
        <f t="shared" ref="J22:K22" si="102">C22*0.9</f>
        <v>390.6</v>
      </c>
      <c r="K22" s="223">
        <f t="shared" si="102"/>
        <v>249.75</v>
      </c>
      <c r="L22" s="223">
        <f t="shared" ref="L22:M22" si="103">C22*0.85</f>
        <v>368.9</v>
      </c>
      <c r="M22" s="223">
        <f t="shared" si="103"/>
        <v>235.875</v>
      </c>
      <c r="N22" s="223">
        <f t="shared" ref="N22:O22" si="104">C22*0.83</f>
        <v>360.22</v>
      </c>
      <c r="O22" s="223">
        <f t="shared" si="104"/>
        <v>230.325</v>
      </c>
      <c r="P22" s="223">
        <f t="shared" ref="P22:Q22" si="105">C22*0.8</f>
        <v>347.2</v>
      </c>
      <c r="Q22" s="223">
        <f t="shared" si="105"/>
        <v>222</v>
      </c>
      <c r="R22" s="224"/>
      <c r="S22" s="221" t="s">
        <v>6877</v>
      </c>
      <c r="T22" s="221">
        <v>1.0</v>
      </c>
      <c r="U22" s="221" t="s">
        <v>2828</v>
      </c>
      <c r="V22" s="225" t="str">
        <f>VLOOKUP(U22,Productos!D4:S1015,4,FALSE())</f>
        <v>FLECHA PARA SINFÍN ASPA SENCILLA</v>
      </c>
      <c r="W22" s="226">
        <f>VLOOKUP(U22,Productos!D4:S1015,16,FALSE())</f>
        <v>125</v>
      </c>
      <c r="X22" s="227">
        <f t="shared" si="15"/>
        <v>125</v>
      </c>
    </row>
    <row r="23">
      <c r="A23" s="221" t="s">
        <v>6877</v>
      </c>
      <c r="B23" s="113" t="s">
        <v>6878</v>
      </c>
      <c r="C23" s="222">
        <v>491.0</v>
      </c>
      <c r="D23" s="223">
        <f t="shared" si="6"/>
        <v>197.4</v>
      </c>
      <c r="E23" s="223">
        <f t="shared" si="7"/>
        <v>688.4</v>
      </c>
      <c r="F23" s="223">
        <f t="shared" si="8"/>
        <v>110.144</v>
      </c>
      <c r="G23" s="223">
        <f t="shared" si="9"/>
        <v>798.544</v>
      </c>
      <c r="H23" s="223">
        <f t="shared" ref="H23:I23" si="106">C23*0.95</f>
        <v>466.45</v>
      </c>
      <c r="I23" s="223">
        <f t="shared" si="106"/>
        <v>187.53</v>
      </c>
      <c r="J23" s="223">
        <f t="shared" ref="J23:K23" si="107">C23*0.9</f>
        <v>441.9</v>
      </c>
      <c r="K23" s="223">
        <f t="shared" si="107"/>
        <v>177.66</v>
      </c>
      <c r="L23" s="223">
        <f t="shared" ref="L23:M23" si="108">C23*0.85</f>
        <v>417.35</v>
      </c>
      <c r="M23" s="223">
        <f t="shared" si="108"/>
        <v>167.79</v>
      </c>
      <c r="N23" s="223">
        <f t="shared" ref="N23:O23" si="109">C23*0.83</f>
        <v>407.53</v>
      </c>
      <c r="O23" s="223">
        <f t="shared" si="109"/>
        <v>163.842</v>
      </c>
      <c r="P23" s="223">
        <f t="shared" ref="P23:Q23" si="110">C23*0.8</f>
        <v>392.8</v>
      </c>
      <c r="Q23" s="223">
        <f t="shared" si="110"/>
        <v>157.92</v>
      </c>
      <c r="R23" s="224"/>
      <c r="S23" s="221" t="s">
        <v>6877</v>
      </c>
      <c r="T23" s="221">
        <v>1.0</v>
      </c>
      <c r="U23" s="221" t="s">
        <v>5966</v>
      </c>
      <c r="V23" s="225" t="str">
        <f>VLOOKUP(U23,Productos!D4:S1015,4,FALSE())</f>
        <v>SELLO ESPONJA</v>
      </c>
      <c r="W23" s="226">
        <f>VLOOKUP(U23,Productos!D4:S1015,16,FALSE())</f>
        <v>22</v>
      </c>
      <c r="X23" s="227">
        <f t="shared" si="15"/>
        <v>22</v>
      </c>
    </row>
    <row r="24">
      <c r="A24" s="221" t="s">
        <v>6879</v>
      </c>
      <c r="B24" s="106" t="s">
        <v>6880</v>
      </c>
      <c r="C24" s="222">
        <v>3434.0</v>
      </c>
      <c r="D24" s="223">
        <f t="shared" si="6"/>
        <v>21841</v>
      </c>
      <c r="E24" s="223">
        <f t="shared" si="7"/>
        <v>25275</v>
      </c>
      <c r="F24" s="223">
        <f t="shared" si="8"/>
        <v>4044</v>
      </c>
      <c r="G24" s="223">
        <f t="shared" si="9"/>
        <v>29319</v>
      </c>
      <c r="H24" s="223">
        <f t="shared" ref="H24:I24" si="111">C24*0.95</f>
        <v>3262.3</v>
      </c>
      <c r="I24" s="223">
        <f t="shared" si="111"/>
        <v>20748.95</v>
      </c>
      <c r="J24" s="223">
        <f t="shared" ref="J24:K24" si="112">C24*0.9</f>
        <v>3090.6</v>
      </c>
      <c r="K24" s="223">
        <f t="shared" si="112"/>
        <v>19656.9</v>
      </c>
      <c r="L24" s="223">
        <f t="shared" ref="L24:M24" si="113">C24*0.85</f>
        <v>2918.9</v>
      </c>
      <c r="M24" s="223">
        <f t="shared" si="113"/>
        <v>18564.85</v>
      </c>
      <c r="N24" s="223">
        <f t="shared" ref="N24:O24" si="114">C24*0.83</f>
        <v>2850.22</v>
      </c>
      <c r="O24" s="223">
        <f t="shared" si="114"/>
        <v>18128.03</v>
      </c>
      <c r="P24" s="223">
        <f t="shared" ref="P24:Q24" si="115">C24*0.8</f>
        <v>2747.2</v>
      </c>
      <c r="Q24" s="223">
        <f t="shared" si="115"/>
        <v>17472.8</v>
      </c>
      <c r="R24" s="224"/>
      <c r="S24" s="221" t="s">
        <v>6877</v>
      </c>
      <c r="T24" s="221">
        <v>2.0</v>
      </c>
      <c r="U24" s="221" t="s">
        <v>6510</v>
      </c>
      <c r="V24" s="225" t="str">
        <f>VLOOKUP(U24,Productos!D4:S1015,4,FALSE())</f>
        <v>TORNILLO SET CABEZA CUADRADA SET 3/8 X 1"1/4</v>
      </c>
      <c r="W24" s="226">
        <f>VLOOKUP(U24,Productos!D4:S1015,16,FALSE())</f>
        <v>6.3</v>
      </c>
      <c r="X24" s="227">
        <f t="shared" si="15"/>
        <v>12.6</v>
      </c>
    </row>
    <row r="25">
      <c r="A25" s="221" t="s">
        <v>6881</v>
      </c>
      <c r="B25" s="106" t="s">
        <v>6882</v>
      </c>
      <c r="C25" s="222">
        <v>1802.0</v>
      </c>
      <c r="D25" s="223">
        <f t="shared" si="6"/>
        <v>21841</v>
      </c>
      <c r="E25" s="223">
        <f t="shared" si="7"/>
        <v>23643</v>
      </c>
      <c r="F25" s="223">
        <f t="shared" si="8"/>
        <v>3782.88</v>
      </c>
      <c r="G25" s="223">
        <f t="shared" si="9"/>
        <v>27425.88</v>
      </c>
      <c r="H25" s="223">
        <f t="shared" ref="H25:I25" si="116">C25*0.95</f>
        <v>1711.9</v>
      </c>
      <c r="I25" s="223">
        <f t="shared" si="116"/>
        <v>20748.95</v>
      </c>
      <c r="J25" s="223">
        <f t="shared" ref="J25:K25" si="117">C25*0.9</f>
        <v>1621.8</v>
      </c>
      <c r="K25" s="223">
        <f t="shared" si="117"/>
        <v>19656.9</v>
      </c>
      <c r="L25" s="223">
        <f t="shared" ref="L25:M25" si="118">C25*0.85</f>
        <v>1531.7</v>
      </c>
      <c r="M25" s="223">
        <f t="shared" si="118"/>
        <v>18564.85</v>
      </c>
      <c r="N25" s="223">
        <f t="shared" ref="N25:O25" si="119">C25*0.83</f>
        <v>1495.66</v>
      </c>
      <c r="O25" s="223">
        <f t="shared" si="119"/>
        <v>18128.03</v>
      </c>
      <c r="P25" s="223">
        <f t="shared" ref="P25:Q25" si="120">C25*0.8</f>
        <v>1441.6</v>
      </c>
      <c r="Q25" s="223">
        <f t="shared" si="120"/>
        <v>17472.8</v>
      </c>
      <c r="R25" s="224"/>
      <c r="S25" s="221" t="s">
        <v>6877</v>
      </c>
      <c r="T25" s="221">
        <v>3.0</v>
      </c>
      <c r="U25" s="221" t="s">
        <v>6513</v>
      </c>
      <c r="V25" s="225" t="str">
        <f>VLOOKUP(U25,Productos!D4:S1015,4,FALSE())</f>
        <v>TORNILLO SET CABEZA CUADRADA SET 3/8 X 3/4</v>
      </c>
      <c r="W25" s="226">
        <f>VLOOKUP(U25,Productos!D4:S1015,16,FALSE())</f>
        <v>6.3</v>
      </c>
      <c r="X25" s="227">
        <f t="shared" si="15"/>
        <v>18.9</v>
      </c>
    </row>
    <row r="26">
      <c r="A26" s="221" t="s">
        <v>6883</v>
      </c>
      <c r="B26" s="106" t="s">
        <v>6884</v>
      </c>
      <c r="C26" s="222">
        <v>1678.0</v>
      </c>
      <c r="D26" s="223">
        <f t="shared" si="6"/>
        <v>10684</v>
      </c>
      <c r="E26" s="223">
        <f t="shared" si="7"/>
        <v>12362</v>
      </c>
      <c r="F26" s="223">
        <f t="shared" si="8"/>
        <v>1977.92</v>
      </c>
      <c r="G26" s="223">
        <f t="shared" si="9"/>
        <v>14339.92</v>
      </c>
      <c r="H26" s="223">
        <f t="shared" ref="H26:I26" si="121">C26*0.95</f>
        <v>1594.1</v>
      </c>
      <c r="I26" s="223">
        <f t="shared" si="121"/>
        <v>10149.8</v>
      </c>
      <c r="J26" s="223">
        <f t="shared" ref="J26:K26" si="122">C26*0.9</f>
        <v>1510.2</v>
      </c>
      <c r="K26" s="223">
        <f t="shared" si="122"/>
        <v>9615.6</v>
      </c>
      <c r="L26" s="223">
        <f t="shared" ref="L26:M26" si="123">C26*0.85</f>
        <v>1426.3</v>
      </c>
      <c r="M26" s="223">
        <f t="shared" si="123"/>
        <v>9081.4</v>
      </c>
      <c r="N26" s="223">
        <f t="shared" ref="N26:O26" si="124">C26*0.83</f>
        <v>1392.74</v>
      </c>
      <c r="O26" s="223">
        <f t="shared" si="124"/>
        <v>8867.72</v>
      </c>
      <c r="P26" s="223">
        <f t="shared" ref="P26:Q26" si="125">C26*0.8</f>
        <v>1342.4</v>
      </c>
      <c r="Q26" s="223">
        <f t="shared" si="125"/>
        <v>8547.2</v>
      </c>
      <c r="R26" s="224"/>
      <c r="S26" s="221" t="s">
        <v>6877</v>
      </c>
      <c r="T26" s="221">
        <v>1.0</v>
      </c>
      <c r="U26" s="221" t="s">
        <v>4925</v>
      </c>
      <c r="V26" s="225" t="str">
        <f>VLOOKUP(U26,Productos!D4:S1015,4,FALSE())</f>
        <v>PERNO PARA SINFÍN ASPA SENCILLO</v>
      </c>
      <c r="W26" s="226">
        <f>VLOOKUP(U26,Productos!D4:S1015,16,FALSE())</f>
        <v>12.6</v>
      </c>
      <c r="X26" s="227">
        <f t="shared" si="15"/>
        <v>12.6</v>
      </c>
    </row>
    <row r="27">
      <c r="A27" s="221" t="s">
        <v>6885</v>
      </c>
      <c r="B27" s="106" t="s">
        <v>6886</v>
      </c>
      <c r="C27" s="222">
        <v>874.0</v>
      </c>
      <c r="D27" s="223">
        <f t="shared" si="6"/>
        <v>10684</v>
      </c>
      <c r="E27" s="223">
        <f t="shared" si="7"/>
        <v>11558</v>
      </c>
      <c r="F27" s="223">
        <f t="shared" si="8"/>
        <v>1849.28</v>
      </c>
      <c r="G27" s="223">
        <f t="shared" si="9"/>
        <v>13407.28</v>
      </c>
      <c r="H27" s="223">
        <f t="shared" ref="H27:I27" si="126">C27*0.95</f>
        <v>830.3</v>
      </c>
      <c r="I27" s="223">
        <f t="shared" si="126"/>
        <v>10149.8</v>
      </c>
      <c r="J27" s="223">
        <f t="shared" ref="J27:K27" si="127">C27*0.9</f>
        <v>786.6</v>
      </c>
      <c r="K27" s="223">
        <f t="shared" si="127"/>
        <v>9615.6</v>
      </c>
      <c r="L27" s="223">
        <f t="shared" ref="L27:M27" si="128">C27*0.85</f>
        <v>742.9</v>
      </c>
      <c r="M27" s="223">
        <f t="shared" si="128"/>
        <v>9081.4</v>
      </c>
      <c r="N27" s="223">
        <f t="shared" ref="N27:O27" si="129">C27*0.83</f>
        <v>725.42</v>
      </c>
      <c r="O27" s="223">
        <f t="shared" si="129"/>
        <v>8867.72</v>
      </c>
      <c r="P27" s="223">
        <f t="shared" ref="P27:Q27" si="130">C27*0.8</f>
        <v>699.2</v>
      </c>
      <c r="Q27" s="223">
        <f t="shared" si="130"/>
        <v>8547.2</v>
      </c>
      <c r="R27" s="224"/>
      <c r="S27" s="221" t="s">
        <v>6877</v>
      </c>
      <c r="T27" s="221">
        <v>1.0</v>
      </c>
      <c r="U27" s="221" t="s">
        <v>4439</v>
      </c>
      <c r="V27" s="225" t="str">
        <f>VLOOKUP(U27,Productos!D4:S1015,4,FALSE())</f>
        <v>OPRESOR ALLEN 3/8X1/2</v>
      </c>
      <c r="W27" s="226">
        <f>VLOOKUP(U27,Productos!D4:S1015,16,FALSE())</f>
        <v>6.3</v>
      </c>
      <c r="X27" s="227">
        <f t="shared" si="15"/>
        <v>6.3</v>
      </c>
    </row>
    <row r="28">
      <c r="A28" s="221" t="s">
        <v>6887</v>
      </c>
      <c r="B28" s="106" t="s">
        <v>6888</v>
      </c>
      <c r="C28" s="222">
        <v>233.0</v>
      </c>
      <c r="D28" s="223">
        <f t="shared" si="6"/>
        <v>807</v>
      </c>
      <c r="E28" s="223">
        <f t="shared" si="7"/>
        <v>1040</v>
      </c>
      <c r="F28" s="223">
        <f t="shared" si="8"/>
        <v>166.4</v>
      </c>
      <c r="G28" s="223">
        <f t="shared" si="9"/>
        <v>1206.4</v>
      </c>
      <c r="H28" s="223">
        <f t="shared" ref="H28:I28" si="131">C28*0.95</f>
        <v>221.35</v>
      </c>
      <c r="I28" s="223">
        <f t="shared" si="131"/>
        <v>766.65</v>
      </c>
      <c r="J28" s="223">
        <f t="shared" ref="J28:K28" si="132">C28*0.9</f>
        <v>209.7</v>
      </c>
      <c r="K28" s="223">
        <f t="shared" si="132"/>
        <v>726.3</v>
      </c>
      <c r="L28" s="223">
        <f t="shared" ref="L28:M28" si="133">C28*0.85</f>
        <v>198.05</v>
      </c>
      <c r="M28" s="223">
        <f t="shared" si="133"/>
        <v>685.95</v>
      </c>
      <c r="N28" s="223">
        <f t="shared" ref="N28:O28" si="134">C28*0.83</f>
        <v>193.39</v>
      </c>
      <c r="O28" s="223">
        <f t="shared" si="134"/>
        <v>669.81</v>
      </c>
      <c r="P28" s="223">
        <f t="shared" ref="P28:Q28" si="135">C28*0.8</f>
        <v>186.4</v>
      </c>
      <c r="Q28" s="223">
        <f t="shared" si="135"/>
        <v>645.6</v>
      </c>
      <c r="R28" s="224"/>
      <c r="S28" s="221" t="s">
        <v>6879</v>
      </c>
      <c r="T28" s="221">
        <v>1.0</v>
      </c>
      <c r="U28" s="221" t="s">
        <v>3114</v>
      </c>
      <c r="V28" s="225" t="str">
        <f>VLOOKUP(U28,Productos!D4:S1015,4,FALSE())</f>
        <v>JUEGO DE BRONCES DÚPLEX MAQUINADOS</v>
      </c>
      <c r="W28" s="226">
        <f>VLOOKUP(U28,Productos!D4:S1015,16,FALSE())</f>
        <v>21841</v>
      </c>
      <c r="X28" s="227">
        <f t="shared" si="15"/>
        <v>21841</v>
      </c>
    </row>
    <row r="29">
      <c r="A29" s="73" t="s">
        <v>6889</v>
      </c>
      <c r="B29" s="86" t="s">
        <v>6890</v>
      </c>
      <c r="C29" s="230">
        <v>141.0</v>
      </c>
      <c r="D29" s="223">
        <f t="shared" si="6"/>
        <v>0</v>
      </c>
      <c r="E29" s="223">
        <f t="shared" si="7"/>
        <v>141</v>
      </c>
      <c r="F29" s="223">
        <f t="shared" si="8"/>
        <v>22.56</v>
      </c>
      <c r="G29" s="223">
        <f t="shared" si="9"/>
        <v>163.56</v>
      </c>
      <c r="H29" s="223">
        <f t="shared" ref="H29:I29" si="136">C29*0.95</f>
        <v>133.95</v>
      </c>
      <c r="I29" s="223">
        <f t="shared" si="136"/>
        <v>0</v>
      </c>
      <c r="J29" s="223">
        <f t="shared" ref="J29:K29" si="137">C29*0.9</f>
        <v>126.9</v>
      </c>
      <c r="K29" s="223">
        <f t="shared" si="137"/>
        <v>0</v>
      </c>
      <c r="L29" s="223">
        <f t="shared" ref="L29:M29" si="138">C29*0.85</f>
        <v>119.85</v>
      </c>
      <c r="M29" s="223">
        <f t="shared" si="138"/>
        <v>0</v>
      </c>
      <c r="N29" s="223">
        <f t="shared" ref="N29:O29" si="139">C29*0.83</f>
        <v>117.03</v>
      </c>
      <c r="O29" s="223">
        <f t="shared" si="139"/>
        <v>0</v>
      </c>
      <c r="P29" s="223">
        <f t="shared" ref="P29:Q29" si="140">C29*0.8</f>
        <v>112.8</v>
      </c>
      <c r="Q29" s="223">
        <f t="shared" si="140"/>
        <v>0</v>
      </c>
      <c r="R29" s="224"/>
      <c r="S29" s="221" t="s">
        <v>6881</v>
      </c>
      <c r="T29" s="221">
        <v>1.0</v>
      </c>
      <c r="U29" s="221" t="s">
        <v>3114</v>
      </c>
      <c r="V29" s="225" t="str">
        <f>VLOOKUP(U29,Productos!D4:S1015,4,FALSE())</f>
        <v>JUEGO DE BRONCES DÚPLEX MAQUINADOS</v>
      </c>
      <c r="W29" s="226">
        <f>VLOOKUP(U29,Productos!D4:S1015,16,FALSE())</f>
        <v>21841</v>
      </c>
      <c r="X29" s="227">
        <f t="shared" si="15"/>
        <v>21841</v>
      </c>
    </row>
    <row r="30">
      <c r="A30" s="73" t="s">
        <v>6891</v>
      </c>
      <c r="B30" s="86" t="s">
        <v>6892</v>
      </c>
      <c r="C30" s="230">
        <v>103.0</v>
      </c>
      <c r="D30" s="223">
        <f t="shared" si="6"/>
        <v>0</v>
      </c>
      <c r="E30" s="223">
        <f t="shared" si="7"/>
        <v>103</v>
      </c>
      <c r="F30" s="223">
        <f t="shared" si="8"/>
        <v>16.48</v>
      </c>
      <c r="G30" s="223">
        <f t="shared" si="9"/>
        <v>119.48</v>
      </c>
      <c r="H30" s="223">
        <f t="shared" ref="H30:I30" si="141">C30*0.95</f>
        <v>97.85</v>
      </c>
      <c r="I30" s="223">
        <f t="shared" si="141"/>
        <v>0</v>
      </c>
      <c r="J30" s="223">
        <f t="shared" ref="J30:K30" si="142">C30*0.9</f>
        <v>92.7</v>
      </c>
      <c r="K30" s="223">
        <f t="shared" si="142"/>
        <v>0</v>
      </c>
      <c r="L30" s="223">
        <f t="shared" ref="L30:M30" si="143">C30*0.85</f>
        <v>87.55</v>
      </c>
      <c r="M30" s="223">
        <f t="shared" si="143"/>
        <v>0</v>
      </c>
      <c r="N30" s="223">
        <f t="shared" ref="N30:O30" si="144">C30*0.83</f>
        <v>85.49</v>
      </c>
      <c r="O30" s="223">
        <f t="shared" si="144"/>
        <v>0</v>
      </c>
      <c r="P30" s="223">
        <f t="shared" ref="P30:Q30" si="145">C30*0.8</f>
        <v>82.4</v>
      </c>
      <c r="Q30" s="223">
        <f t="shared" si="145"/>
        <v>0</v>
      </c>
      <c r="R30" s="224"/>
      <c r="S30" s="221" t="s">
        <v>6883</v>
      </c>
      <c r="T30" s="221">
        <v>1.0</v>
      </c>
      <c r="U30" s="221" t="s">
        <v>3117</v>
      </c>
      <c r="V30" s="225" t="str">
        <f>VLOOKUP(U30,Productos!D4:S1015,4,FALSE())</f>
        <v>JUEGO DE BRONCES SENCILLOS MAQUINADOS</v>
      </c>
      <c r="W30" s="226">
        <f>VLOOKUP(U30,Productos!D4:S1015,16,FALSE())</f>
        <v>10684</v>
      </c>
      <c r="X30" s="227">
        <f t="shared" si="15"/>
        <v>10684</v>
      </c>
    </row>
    <row r="31">
      <c r="A31" s="73" t="s">
        <v>6893</v>
      </c>
      <c r="B31" s="86" t="s">
        <v>6894</v>
      </c>
      <c r="C31" s="230">
        <v>371.0</v>
      </c>
      <c r="D31" s="223">
        <f t="shared" si="6"/>
        <v>0</v>
      </c>
      <c r="E31" s="223">
        <f t="shared" si="7"/>
        <v>371</v>
      </c>
      <c r="F31" s="223">
        <f t="shared" si="8"/>
        <v>59.36</v>
      </c>
      <c r="G31" s="223">
        <f t="shared" si="9"/>
        <v>430.36</v>
      </c>
      <c r="H31" s="223">
        <f t="shared" ref="H31:I31" si="146">C31*0.95</f>
        <v>352.45</v>
      </c>
      <c r="I31" s="223">
        <f t="shared" si="146"/>
        <v>0</v>
      </c>
      <c r="J31" s="223">
        <f t="shared" ref="J31:K31" si="147">C31*0.9</f>
        <v>333.9</v>
      </c>
      <c r="K31" s="223">
        <f t="shared" si="147"/>
        <v>0</v>
      </c>
      <c r="L31" s="223">
        <f t="shared" ref="L31:M31" si="148">C31*0.85</f>
        <v>315.35</v>
      </c>
      <c r="M31" s="223">
        <f t="shared" si="148"/>
        <v>0</v>
      </c>
      <c r="N31" s="223">
        <f t="shared" ref="N31:O31" si="149">C31*0.83</f>
        <v>307.93</v>
      </c>
      <c r="O31" s="223">
        <f t="shared" si="149"/>
        <v>0</v>
      </c>
      <c r="P31" s="223">
        <f t="shared" ref="P31:Q31" si="150">C31*0.8</f>
        <v>296.8</v>
      </c>
      <c r="Q31" s="223">
        <f t="shared" si="150"/>
        <v>0</v>
      </c>
      <c r="R31" s="224"/>
      <c r="S31" s="221" t="s">
        <v>6885</v>
      </c>
      <c r="T31" s="221">
        <v>1.0</v>
      </c>
      <c r="U31" s="221" t="s">
        <v>3117</v>
      </c>
      <c r="V31" s="225" t="str">
        <f>VLOOKUP(U31,Productos!D4:S1015,4,FALSE())</f>
        <v>JUEGO DE BRONCES SENCILLOS MAQUINADOS</v>
      </c>
      <c r="W31" s="226">
        <f>VLOOKUP(U31,Productos!D4:S1015,16,FALSE())</f>
        <v>10684</v>
      </c>
      <c r="X31" s="227">
        <f t="shared" si="15"/>
        <v>10684</v>
      </c>
    </row>
    <row r="32">
      <c r="A32" s="73" t="s">
        <v>6895</v>
      </c>
      <c r="B32" s="86" t="s">
        <v>6896</v>
      </c>
      <c r="C32" s="230">
        <v>197.0</v>
      </c>
      <c r="D32" s="223">
        <f t="shared" si="6"/>
        <v>0</v>
      </c>
      <c r="E32" s="223">
        <f t="shared" si="7"/>
        <v>197</v>
      </c>
      <c r="F32" s="223">
        <f t="shared" si="8"/>
        <v>31.52</v>
      </c>
      <c r="G32" s="223">
        <f t="shared" si="9"/>
        <v>228.52</v>
      </c>
      <c r="H32" s="223">
        <f t="shared" ref="H32:I32" si="151">C32*0.95</f>
        <v>187.15</v>
      </c>
      <c r="I32" s="223">
        <f t="shared" si="151"/>
        <v>0</v>
      </c>
      <c r="J32" s="223">
        <f t="shared" ref="J32:K32" si="152">C32*0.9</f>
        <v>177.3</v>
      </c>
      <c r="K32" s="223">
        <f t="shared" si="152"/>
        <v>0</v>
      </c>
      <c r="L32" s="223">
        <f t="shared" ref="L32:M32" si="153">C32*0.85</f>
        <v>167.45</v>
      </c>
      <c r="M32" s="223">
        <f t="shared" si="153"/>
        <v>0</v>
      </c>
      <c r="N32" s="223">
        <f t="shared" ref="N32:O32" si="154">C32*0.83</f>
        <v>163.51</v>
      </c>
      <c r="O32" s="223">
        <f t="shared" si="154"/>
        <v>0</v>
      </c>
      <c r="P32" s="223">
        <f t="shared" ref="P32:Q32" si="155">C32*0.8</f>
        <v>157.6</v>
      </c>
      <c r="Q32" s="223">
        <f t="shared" si="155"/>
        <v>0</v>
      </c>
      <c r="R32" s="224"/>
      <c r="S32" s="221" t="s">
        <v>6887</v>
      </c>
      <c r="T32" s="221">
        <v>1.0</v>
      </c>
      <c r="U32" s="221" t="s">
        <v>2779</v>
      </c>
      <c r="V32" s="225" t="str">
        <f>VLOOKUP(U32,Productos!D4:S1015,4,FALSE())</f>
        <v>FLECHA PARA PALETAS DE AMASADORA DE 100 KG. (1"1/4X97CM.)</v>
      </c>
      <c r="W32" s="226">
        <f>VLOOKUP(U32,Productos!D4:S1015,16,FALSE())</f>
        <v>807</v>
      </c>
      <c r="X32" s="227">
        <f t="shared" si="15"/>
        <v>807</v>
      </c>
    </row>
    <row r="33">
      <c r="A33" s="221" t="s">
        <v>6897</v>
      </c>
      <c r="B33" s="106" t="s">
        <v>6898</v>
      </c>
      <c r="C33" s="222">
        <v>643.0</v>
      </c>
      <c r="D33" s="223">
        <f t="shared" si="6"/>
        <v>458</v>
      </c>
      <c r="E33" s="223">
        <f t="shared" si="7"/>
        <v>1101</v>
      </c>
      <c r="F33" s="223">
        <f t="shared" si="8"/>
        <v>176.16</v>
      </c>
      <c r="G33" s="223">
        <f t="shared" si="9"/>
        <v>1277.16</v>
      </c>
      <c r="H33" s="223">
        <f t="shared" ref="H33:I33" si="156">C33*0.95</f>
        <v>610.85</v>
      </c>
      <c r="I33" s="223">
        <f t="shared" si="156"/>
        <v>435.1</v>
      </c>
      <c r="J33" s="223">
        <f t="shared" ref="J33:K33" si="157">C33*0.9</f>
        <v>578.7</v>
      </c>
      <c r="K33" s="223">
        <f t="shared" si="157"/>
        <v>412.2</v>
      </c>
      <c r="L33" s="223">
        <f t="shared" ref="L33:M33" si="158">C33*0.85</f>
        <v>546.55</v>
      </c>
      <c r="M33" s="223">
        <f t="shared" si="158"/>
        <v>389.3</v>
      </c>
      <c r="N33" s="223">
        <f t="shared" ref="N33:O33" si="159">C33*0.83</f>
        <v>533.69</v>
      </c>
      <c r="O33" s="223">
        <f t="shared" si="159"/>
        <v>380.14</v>
      </c>
      <c r="P33" s="223">
        <f t="shared" ref="P33:Q33" si="160">C33*0.8</f>
        <v>514.4</v>
      </c>
      <c r="Q33" s="223">
        <f t="shared" si="160"/>
        <v>366.4</v>
      </c>
      <c r="R33" s="224"/>
      <c r="S33" s="221" t="s">
        <v>6897</v>
      </c>
      <c r="T33" s="221">
        <v>1.0</v>
      </c>
      <c r="U33" s="221" t="s">
        <v>1296</v>
      </c>
      <c r="V33" s="225" t="str">
        <f>VLOOKUP(U33,Productos!D4:S1015,4,FALSE())</f>
        <v>CASQUILLO PARA BALERO 7210</v>
      </c>
      <c r="W33" s="226">
        <f>VLOOKUP(U33,Productos!D4:S1015,16,FALSE())</f>
        <v>458</v>
      </c>
      <c r="X33" s="227">
        <f t="shared" si="15"/>
        <v>458</v>
      </c>
    </row>
    <row r="34">
      <c r="A34" s="221" t="s">
        <v>6899</v>
      </c>
      <c r="B34" s="106" t="s">
        <v>6900</v>
      </c>
      <c r="C34" s="222">
        <v>387.0</v>
      </c>
      <c r="D34" s="223">
        <f t="shared" si="6"/>
        <v>727</v>
      </c>
      <c r="E34" s="223">
        <f t="shared" si="7"/>
        <v>1114</v>
      </c>
      <c r="F34" s="223">
        <f t="shared" si="8"/>
        <v>178.24</v>
      </c>
      <c r="G34" s="223">
        <f t="shared" si="9"/>
        <v>1292.24</v>
      </c>
      <c r="H34" s="223">
        <f t="shared" ref="H34:I34" si="161">C34*0.95</f>
        <v>367.65</v>
      </c>
      <c r="I34" s="223">
        <f t="shared" si="161"/>
        <v>690.65</v>
      </c>
      <c r="J34" s="223">
        <f t="shared" ref="J34:K34" si="162">C34*0.9</f>
        <v>348.3</v>
      </c>
      <c r="K34" s="223">
        <f t="shared" si="162"/>
        <v>654.3</v>
      </c>
      <c r="L34" s="223">
        <f t="shared" ref="L34:M34" si="163">C34*0.85</f>
        <v>328.95</v>
      </c>
      <c r="M34" s="223">
        <f t="shared" si="163"/>
        <v>617.95</v>
      </c>
      <c r="N34" s="223">
        <f t="shared" ref="N34:O34" si="164">C34*0.83</f>
        <v>321.21</v>
      </c>
      <c r="O34" s="223">
        <f t="shared" si="164"/>
        <v>603.41</v>
      </c>
      <c r="P34" s="223">
        <f t="shared" ref="P34:Q34" si="165">C34*0.8</f>
        <v>309.6</v>
      </c>
      <c r="Q34" s="223">
        <f t="shared" si="165"/>
        <v>581.6</v>
      </c>
      <c r="R34" s="224"/>
      <c r="S34" s="221" t="s">
        <v>6899</v>
      </c>
      <c r="T34" s="221">
        <v>1.0</v>
      </c>
      <c r="U34" s="221" t="s">
        <v>1052</v>
      </c>
      <c r="V34" s="225" t="str">
        <f>VLOOKUP(U34,Productos!D4:S1015,4,FALSE())</f>
        <v>BUJE DE BRONCE PARA BASE DE ALUMINIO NORMAL (CASQUILLO)</v>
      </c>
      <c r="W34" s="226">
        <f>VLOOKUP(U34,Productos!D4:S1015,16,FALSE())</f>
        <v>727</v>
      </c>
      <c r="X34" s="227">
        <f t="shared" si="15"/>
        <v>727</v>
      </c>
    </row>
    <row r="35">
      <c r="A35" s="221" t="s">
        <v>6901</v>
      </c>
      <c r="B35" s="106" t="s">
        <v>6902</v>
      </c>
      <c r="C35" s="222">
        <v>1037.0</v>
      </c>
      <c r="D35" s="223">
        <f t="shared" si="6"/>
        <v>1188</v>
      </c>
      <c r="E35" s="223">
        <f t="shared" si="7"/>
        <v>2225</v>
      </c>
      <c r="F35" s="223">
        <f t="shared" si="8"/>
        <v>356</v>
      </c>
      <c r="G35" s="223">
        <f t="shared" si="9"/>
        <v>2581</v>
      </c>
      <c r="H35" s="223">
        <f t="shared" ref="H35:I35" si="166">C35*0.95</f>
        <v>985.15</v>
      </c>
      <c r="I35" s="223">
        <f t="shared" si="166"/>
        <v>1128.6</v>
      </c>
      <c r="J35" s="223">
        <f t="shared" ref="J35:K35" si="167">C35*0.9</f>
        <v>933.3</v>
      </c>
      <c r="K35" s="223">
        <f t="shared" si="167"/>
        <v>1069.2</v>
      </c>
      <c r="L35" s="223">
        <f t="shared" ref="L35:M35" si="168">C35*0.85</f>
        <v>881.45</v>
      </c>
      <c r="M35" s="223">
        <f t="shared" si="168"/>
        <v>1009.8</v>
      </c>
      <c r="N35" s="223">
        <f t="shared" ref="N35:O35" si="169">C35*0.83</f>
        <v>860.71</v>
      </c>
      <c r="O35" s="223">
        <f t="shared" si="169"/>
        <v>986.04</v>
      </c>
      <c r="P35" s="223">
        <f t="shared" ref="P35:Q35" si="170">C35*0.8</f>
        <v>829.6</v>
      </c>
      <c r="Q35" s="223">
        <f t="shared" si="170"/>
        <v>950.4</v>
      </c>
      <c r="R35" s="224"/>
      <c r="S35" s="221" t="s">
        <v>6901</v>
      </c>
      <c r="T35" s="221">
        <v>6.0</v>
      </c>
      <c r="U35" s="221" t="s">
        <v>1221</v>
      </c>
      <c r="V35" s="225" t="str">
        <f>VLOOKUP(U35,Productos!D4:S1015,4,FALSE())</f>
        <v>CAMISA DE ACERO INOXIDABLE T-304 GRADO ALIMENTICIO PARA BASE INFERIOR DE FIERRO</v>
      </c>
      <c r="W35" s="226">
        <f>VLOOKUP(U35,Productos!D4:S1015,16,FALSE())</f>
        <v>198</v>
      </c>
      <c r="X35" s="227">
        <f t="shared" si="15"/>
        <v>1188</v>
      </c>
    </row>
    <row r="36">
      <c r="A36" s="221" t="s">
        <v>6903</v>
      </c>
      <c r="B36" s="106" t="s">
        <v>6904</v>
      </c>
      <c r="C36" s="222">
        <v>698.0</v>
      </c>
      <c r="D36" s="223">
        <f t="shared" si="6"/>
        <v>792</v>
      </c>
      <c r="E36" s="223">
        <f t="shared" si="7"/>
        <v>1490</v>
      </c>
      <c r="F36" s="223">
        <f t="shared" si="8"/>
        <v>238.4</v>
      </c>
      <c r="G36" s="223">
        <f t="shared" si="9"/>
        <v>1728.4</v>
      </c>
      <c r="H36" s="223">
        <f t="shared" ref="H36:I36" si="171">C36*0.95</f>
        <v>663.1</v>
      </c>
      <c r="I36" s="223">
        <f t="shared" si="171"/>
        <v>752.4</v>
      </c>
      <c r="J36" s="223">
        <f t="shared" ref="J36:K36" si="172">C36*0.9</f>
        <v>628.2</v>
      </c>
      <c r="K36" s="223">
        <f t="shared" si="172"/>
        <v>712.8</v>
      </c>
      <c r="L36" s="223">
        <f t="shared" ref="L36:M36" si="173">C36*0.85</f>
        <v>593.3</v>
      </c>
      <c r="M36" s="223">
        <f t="shared" si="173"/>
        <v>673.2</v>
      </c>
      <c r="N36" s="223">
        <f t="shared" ref="N36:O36" si="174">C36*0.83</f>
        <v>579.34</v>
      </c>
      <c r="O36" s="223">
        <f t="shared" si="174"/>
        <v>657.36</v>
      </c>
      <c r="P36" s="223">
        <f t="shared" ref="P36:Q36" si="175">C36*0.8</f>
        <v>558.4</v>
      </c>
      <c r="Q36" s="223">
        <f t="shared" si="175"/>
        <v>633.6</v>
      </c>
      <c r="R36" s="224"/>
      <c r="S36" s="221" t="s">
        <v>6903</v>
      </c>
      <c r="T36" s="221">
        <v>4.0</v>
      </c>
      <c r="U36" s="221" t="s">
        <v>1221</v>
      </c>
      <c r="V36" s="225" t="str">
        <f>VLOOKUP(U36,Productos!D4:S1015,4,FALSE())</f>
        <v>CAMISA DE ACERO INOXIDABLE T-304 GRADO ALIMENTICIO PARA BASE INFERIOR DE FIERRO</v>
      </c>
      <c r="W36" s="226">
        <f>VLOOKUP(U36,Productos!D4:S1015,16,FALSE())</f>
        <v>198</v>
      </c>
      <c r="X36" s="227">
        <f t="shared" si="15"/>
        <v>792</v>
      </c>
    </row>
    <row r="37">
      <c r="A37" s="221" t="s">
        <v>6905</v>
      </c>
      <c r="B37" s="106" t="s">
        <v>6906</v>
      </c>
      <c r="C37" s="222">
        <v>636.0</v>
      </c>
      <c r="D37" s="223">
        <f t="shared" si="6"/>
        <v>498</v>
      </c>
      <c r="E37" s="223">
        <f t="shared" si="7"/>
        <v>1134</v>
      </c>
      <c r="F37" s="223">
        <f t="shared" si="8"/>
        <v>181.44</v>
      </c>
      <c r="G37" s="223">
        <f t="shared" si="9"/>
        <v>1315.44</v>
      </c>
      <c r="H37" s="223">
        <f t="shared" ref="H37:I37" si="176">C37*0.95</f>
        <v>604.2</v>
      </c>
      <c r="I37" s="223">
        <f t="shared" si="176"/>
        <v>473.1</v>
      </c>
      <c r="J37" s="223">
        <f t="shared" ref="J37:K37" si="177">C37*0.9</f>
        <v>572.4</v>
      </c>
      <c r="K37" s="223">
        <f t="shared" si="177"/>
        <v>448.2</v>
      </c>
      <c r="L37" s="223">
        <f t="shared" ref="L37:M37" si="178">C37*0.85</f>
        <v>540.6</v>
      </c>
      <c r="M37" s="223">
        <f t="shared" si="178"/>
        <v>423.3</v>
      </c>
      <c r="N37" s="223">
        <f t="shared" ref="N37:O37" si="179">C37*0.83</f>
        <v>527.88</v>
      </c>
      <c r="O37" s="223">
        <f t="shared" si="179"/>
        <v>413.34</v>
      </c>
      <c r="P37" s="223">
        <f t="shared" ref="P37:Q37" si="180">C37*0.8</f>
        <v>508.8</v>
      </c>
      <c r="Q37" s="223">
        <f t="shared" si="180"/>
        <v>398.4</v>
      </c>
      <c r="R37" s="224"/>
      <c r="S37" s="221" t="s">
        <v>6905</v>
      </c>
      <c r="T37" s="221">
        <v>6.0</v>
      </c>
      <c r="U37" s="221" t="s">
        <v>1224</v>
      </c>
      <c r="V37" s="225" t="str">
        <f>VLOOKUP(U37,Productos!D4:S1015,4,FALSE())</f>
        <v>CAMISA DE ACERO INOXIDABLE T-304 GRADO ALIMENTICIO PARA BASE SUPERIOR DE ALUMINIO</v>
      </c>
      <c r="W37" s="226">
        <f>VLOOKUP(U37,Productos!D4:S1015,16,FALSE())</f>
        <v>83</v>
      </c>
      <c r="X37" s="227">
        <f t="shared" si="15"/>
        <v>498</v>
      </c>
    </row>
    <row r="38">
      <c r="A38" s="221" t="s">
        <v>6907</v>
      </c>
      <c r="B38" s="106" t="s">
        <v>6894</v>
      </c>
      <c r="C38" s="222">
        <v>435.0</v>
      </c>
      <c r="D38" s="223">
        <f t="shared" si="6"/>
        <v>332</v>
      </c>
      <c r="E38" s="223">
        <f t="shared" si="7"/>
        <v>767</v>
      </c>
      <c r="F38" s="223">
        <f t="shared" si="8"/>
        <v>122.72</v>
      </c>
      <c r="G38" s="223">
        <f t="shared" si="9"/>
        <v>889.72</v>
      </c>
      <c r="H38" s="223">
        <f t="shared" ref="H38:I38" si="181">C38*0.95</f>
        <v>413.25</v>
      </c>
      <c r="I38" s="223">
        <f t="shared" si="181"/>
        <v>315.4</v>
      </c>
      <c r="J38" s="223">
        <f t="shared" ref="J38:K38" si="182">C38*0.9</f>
        <v>391.5</v>
      </c>
      <c r="K38" s="223">
        <f t="shared" si="182"/>
        <v>298.8</v>
      </c>
      <c r="L38" s="223">
        <f t="shared" ref="L38:M38" si="183">C38*0.85</f>
        <v>369.75</v>
      </c>
      <c r="M38" s="223">
        <f t="shared" si="183"/>
        <v>282.2</v>
      </c>
      <c r="N38" s="223">
        <f t="shared" ref="N38:O38" si="184">C38*0.83</f>
        <v>361.05</v>
      </c>
      <c r="O38" s="223">
        <f t="shared" si="184"/>
        <v>275.56</v>
      </c>
      <c r="P38" s="223">
        <f t="shared" ref="P38:Q38" si="185">C38*0.8</f>
        <v>348</v>
      </c>
      <c r="Q38" s="223">
        <f t="shared" si="185"/>
        <v>265.6</v>
      </c>
      <c r="R38" s="224"/>
      <c r="S38" s="221" t="s">
        <v>6907</v>
      </c>
      <c r="T38" s="221">
        <v>4.0</v>
      </c>
      <c r="U38" s="221" t="s">
        <v>1224</v>
      </c>
      <c r="V38" s="225" t="str">
        <f>VLOOKUP(U38,Productos!D4:S1015,4,FALSE())</f>
        <v>CAMISA DE ACERO INOXIDABLE T-304 GRADO ALIMENTICIO PARA BASE SUPERIOR DE ALUMINIO</v>
      </c>
      <c r="W38" s="226">
        <f>VLOOKUP(U38,Productos!D4:S1015,16,FALSE())</f>
        <v>83</v>
      </c>
      <c r="X38" s="227">
        <f t="shared" si="15"/>
        <v>332</v>
      </c>
    </row>
    <row r="39">
      <c r="A39" s="221" t="s">
        <v>6908</v>
      </c>
      <c r="B39" s="106" t="s">
        <v>6909</v>
      </c>
      <c r="C39" s="222">
        <v>1113.0</v>
      </c>
      <c r="D39" s="223">
        <f t="shared" si="6"/>
        <v>0</v>
      </c>
      <c r="E39" s="223">
        <f t="shared" si="7"/>
        <v>1113</v>
      </c>
      <c r="F39" s="223">
        <f t="shared" si="8"/>
        <v>178.08</v>
      </c>
      <c r="G39" s="223">
        <f t="shared" si="9"/>
        <v>1291.08</v>
      </c>
      <c r="H39" s="223">
        <f t="shared" ref="H39:I39" si="186">C39*0.95</f>
        <v>1057.35</v>
      </c>
      <c r="I39" s="223">
        <f t="shared" si="186"/>
        <v>0</v>
      </c>
      <c r="J39" s="223">
        <f t="shared" ref="J39:K39" si="187">C39*0.9</f>
        <v>1001.7</v>
      </c>
      <c r="K39" s="223">
        <f t="shared" si="187"/>
        <v>0</v>
      </c>
      <c r="L39" s="223">
        <f t="shared" ref="L39:M39" si="188">C39*0.85</f>
        <v>946.05</v>
      </c>
      <c r="M39" s="223">
        <f t="shared" si="188"/>
        <v>0</v>
      </c>
      <c r="N39" s="223">
        <f t="shared" ref="N39:O39" si="189">C39*0.83</f>
        <v>923.79</v>
      </c>
      <c r="O39" s="223">
        <f t="shared" si="189"/>
        <v>0</v>
      </c>
      <c r="P39" s="223">
        <f t="shared" ref="P39:Q39" si="190">C39*0.8</f>
        <v>890.4</v>
      </c>
      <c r="Q39" s="223">
        <f t="shared" si="190"/>
        <v>0</v>
      </c>
      <c r="R39" s="224"/>
      <c r="S39" s="224"/>
      <c r="T39" s="232"/>
      <c r="U39" s="232"/>
      <c r="V39" s="233"/>
      <c r="W39" s="224"/>
      <c r="X39" s="234"/>
    </row>
    <row r="40">
      <c r="A40" s="221" t="s">
        <v>6910</v>
      </c>
      <c r="B40" s="106" t="s">
        <v>6911</v>
      </c>
      <c r="C40" s="222">
        <v>767.0</v>
      </c>
      <c r="D40" s="223">
        <f t="shared" si="6"/>
        <v>0</v>
      </c>
      <c r="E40" s="223">
        <f t="shared" si="7"/>
        <v>767</v>
      </c>
      <c r="F40" s="223">
        <f t="shared" si="8"/>
        <v>122.72</v>
      </c>
      <c r="G40" s="223">
        <f t="shared" si="9"/>
        <v>889.72</v>
      </c>
      <c r="H40" s="223">
        <f t="shared" ref="H40:I40" si="191">C40*0.95</f>
        <v>728.65</v>
      </c>
      <c r="I40" s="223">
        <f t="shared" si="191"/>
        <v>0</v>
      </c>
      <c r="J40" s="223">
        <f t="shared" ref="J40:K40" si="192">C40*0.9</f>
        <v>690.3</v>
      </c>
      <c r="K40" s="223">
        <f t="shared" si="192"/>
        <v>0</v>
      </c>
      <c r="L40" s="223">
        <f t="shared" ref="L40:M40" si="193">C40*0.85</f>
        <v>651.95</v>
      </c>
      <c r="M40" s="223">
        <f t="shared" si="193"/>
        <v>0</v>
      </c>
      <c r="N40" s="223">
        <f t="shared" ref="N40:O40" si="194">C40*0.83</f>
        <v>636.61</v>
      </c>
      <c r="O40" s="223">
        <f t="shared" si="194"/>
        <v>0</v>
      </c>
      <c r="P40" s="223">
        <f t="shared" ref="P40:Q40" si="195">C40*0.8</f>
        <v>613.6</v>
      </c>
      <c r="Q40" s="223">
        <f t="shared" si="195"/>
        <v>0</v>
      </c>
      <c r="R40" s="224"/>
      <c r="S40" s="224"/>
      <c r="T40" s="232"/>
      <c r="U40" s="232"/>
      <c r="V40" s="233"/>
      <c r="W40" s="224"/>
      <c r="X40" s="234"/>
    </row>
    <row r="41">
      <c r="A41" s="73" t="s">
        <v>6912</v>
      </c>
      <c r="B41" s="86" t="s">
        <v>6913</v>
      </c>
      <c r="C41" s="230">
        <v>237.0</v>
      </c>
      <c r="D41" s="223">
        <f t="shared" si="6"/>
        <v>0</v>
      </c>
      <c r="E41" s="223">
        <f t="shared" si="7"/>
        <v>237</v>
      </c>
      <c r="F41" s="223">
        <f t="shared" si="8"/>
        <v>37.92</v>
      </c>
      <c r="G41" s="223">
        <f t="shared" si="9"/>
        <v>274.92</v>
      </c>
      <c r="H41" s="223">
        <f t="shared" ref="H41:I41" si="196">C41*0.95</f>
        <v>225.15</v>
      </c>
      <c r="I41" s="223">
        <f t="shared" si="196"/>
        <v>0</v>
      </c>
      <c r="J41" s="223">
        <f t="shared" ref="J41:K41" si="197">C41*0.9</f>
        <v>213.3</v>
      </c>
      <c r="K41" s="223">
        <f t="shared" si="197"/>
        <v>0</v>
      </c>
      <c r="L41" s="223">
        <f t="shared" ref="L41:M41" si="198">C41*0.85</f>
        <v>201.45</v>
      </c>
      <c r="M41" s="223">
        <f t="shared" si="198"/>
        <v>0</v>
      </c>
      <c r="N41" s="223">
        <f t="shared" ref="N41:O41" si="199">C41*0.83</f>
        <v>196.71</v>
      </c>
      <c r="O41" s="223">
        <f t="shared" si="199"/>
        <v>0</v>
      </c>
      <c r="P41" s="223">
        <f t="shared" ref="P41:Q41" si="200">C41*0.8</f>
        <v>189.6</v>
      </c>
      <c r="Q41" s="223">
        <f t="shared" si="200"/>
        <v>0</v>
      </c>
      <c r="R41" s="231"/>
      <c r="S41" s="235"/>
      <c r="T41" s="231"/>
      <c r="U41" s="236"/>
      <c r="V41" s="237"/>
      <c r="W41" s="236"/>
      <c r="X41" s="238"/>
    </row>
    <row r="42">
      <c r="A42" s="73" t="s">
        <v>6914</v>
      </c>
      <c r="B42" s="86" t="s">
        <v>6915</v>
      </c>
      <c r="C42" s="230">
        <v>387.0</v>
      </c>
      <c r="D42" s="223">
        <f t="shared" si="6"/>
        <v>0</v>
      </c>
      <c r="E42" s="223">
        <f t="shared" si="7"/>
        <v>387</v>
      </c>
      <c r="F42" s="223">
        <f t="shared" si="8"/>
        <v>61.92</v>
      </c>
      <c r="G42" s="223">
        <f t="shared" si="9"/>
        <v>448.92</v>
      </c>
      <c r="H42" s="223">
        <f t="shared" ref="H42:I42" si="201">C42*0.95</f>
        <v>367.65</v>
      </c>
      <c r="I42" s="223">
        <f t="shared" si="201"/>
        <v>0</v>
      </c>
      <c r="J42" s="223">
        <f t="shared" ref="J42:K42" si="202">C42*0.9</f>
        <v>348.3</v>
      </c>
      <c r="K42" s="223">
        <f t="shared" si="202"/>
        <v>0</v>
      </c>
      <c r="L42" s="223">
        <f t="shared" ref="L42:M42" si="203">C42*0.85</f>
        <v>328.95</v>
      </c>
      <c r="M42" s="223">
        <f t="shared" si="203"/>
        <v>0</v>
      </c>
      <c r="N42" s="223">
        <f t="shared" ref="N42:O42" si="204">C42*0.83</f>
        <v>321.21</v>
      </c>
      <c r="O42" s="223">
        <f t="shared" si="204"/>
        <v>0</v>
      </c>
      <c r="P42" s="223">
        <f t="shared" ref="P42:Q42" si="205">C42*0.8</f>
        <v>309.6</v>
      </c>
      <c r="Q42" s="223">
        <f t="shared" si="205"/>
        <v>0</v>
      </c>
      <c r="R42" s="231"/>
      <c r="S42" s="235"/>
      <c r="T42" s="231"/>
      <c r="U42" s="236"/>
      <c r="V42" s="237"/>
      <c r="W42" s="236"/>
      <c r="X42" s="238"/>
    </row>
    <row r="43">
      <c r="A43" s="73" t="s">
        <v>6916</v>
      </c>
      <c r="B43" s="86" t="s">
        <v>6917</v>
      </c>
      <c r="C43" s="230">
        <v>1156.0</v>
      </c>
      <c r="D43" s="223">
        <f t="shared" si="6"/>
        <v>0</v>
      </c>
      <c r="E43" s="223">
        <f t="shared" si="7"/>
        <v>1156</v>
      </c>
      <c r="F43" s="223">
        <f t="shared" si="8"/>
        <v>184.96</v>
      </c>
      <c r="G43" s="223">
        <f t="shared" si="9"/>
        <v>1340.96</v>
      </c>
      <c r="H43" s="223">
        <f t="shared" ref="H43:I43" si="206">C43*0.95</f>
        <v>1098.2</v>
      </c>
      <c r="I43" s="223">
        <f t="shared" si="206"/>
        <v>0</v>
      </c>
      <c r="J43" s="223">
        <f t="shared" ref="J43:K43" si="207">C43*0.9</f>
        <v>1040.4</v>
      </c>
      <c r="K43" s="223">
        <f t="shared" si="207"/>
        <v>0</v>
      </c>
      <c r="L43" s="223">
        <f t="shared" ref="L43:M43" si="208">C43*0.85</f>
        <v>982.6</v>
      </c>
      <c r="M43" s="223">
        <f t="shared" si="208"/>
        <v>0</v>
      </c>
      <c r="N43" s="223">
        <f t="shared" ref="N43:O43" si="209">C43*0.83</f>
        <v>959.48</v>
      </c>
      <c r="O43" s="223">
        <f t="shared" si="209"/>
        <v>0</v>
      </c>
      <c r="P43" s="223">
        <f t="shared" ref="P43:Q43" si="210">C43*0.8</f>
        <v>924.8</v>
      </c>
      <c r="Q43" s="223">
        <f t="shared" si="210"/>
        <v>0</v>
      </c>
      <c r="R43" s="231"/>
      <c r="S43" s="235"/>
      <c r="T43" s="231"/>
      <c r="U43" s="236"/>
      <c r="V43" s="237"/>
      <c r="W43" s="236"/>
      <c r="X43" s="238"/>
    </row>
    <row r="44">
      <c r="A44" s="73" t="s">
        <v>6918</v>
      </c>
      <c r="B44" s="86" t="s">
        <v>6919</v>
      </c>
      <c r="C44" s="230">
        <v>1829.0</v>
      </c>
      <c r="D44" s="223">
        <f t="shared" si="6"/>
        <v>0</v>
      </c>
      <c r="E44" s="223">
        <f t="shared" si="7"/>
        <v>1829</v>
      </c>
      <c r="F44" s="223">
        <f t="shared" si="8"/>
        <v>292.64</v>
      </c>
      <c r="G44" s="223">
        <f t="shared" si="9"/>
        <v>2121.64</v>
      </c>
      <c r="H44" s="223">
        <f t="shared" ref="H44:I44" si="211">C44*0.95</f>
        <v>1737.55</v>
      </c>
      <c r="I44" s="223">
        <f t="shared" si="211"/>
        <v>0</v>
      </c>
      <c r="J44" s="223">
        <f t="shared" ref="J44:K44" si="212">C44*0.9</f>
        <v>1646.1</v>
      </c>
      <c r="K44" s="223">
        <f t="shared" si="212"/>
        <v>0</v>
      </c>
      <c r="L44" s="223">
        <f t="shared" ref="L44:M44" si="213">C44*0.85</f>
        <v>1554.65</v>
      </c>
      <c r="M44" s="223">
        <f t="shared" si="213"/>
        <v>0</v>
      </c>
      <c r="N44" s="223">
        <f t="shared" ref="N44:O44" si="214">C44*0.83</f>
        <v>1518.07</v>
      </c>
      <c r="O44" s="223">
        <f t="shared" si="214"/>
        <v>0</v>
      </c>
      <c r="P44" s="223">
        <f t="shared" ref="P44:Q44" si="215">C44*0.8</f>
        <v>1463.2</v>
      </c>
      <c r="Q44" s="223">
        <f t="shared" si="215"/>
        <v>0</v>
      </c>
      <c r="R44" s="231"/>
      <c r="S44" s="235"/>
      <c r="T44" s="231"/>
      <c r="U44" s="236"/>
      <c r="V44" s="237"/>
      <c r="W44" s="236"/>
      <c r="X44" s="238"/>
    </row>
    <row r="45">
      <c r="A45" s="73" t="s">
        <v>6920</v>
      </c>
      <c r="B45" s="86" t="s">
        <v>6921</v>
      </c>
      <c r="C45" s="230">
        <v>1737.0</v>
      </c>
      <c r="D45" s="223">
        <f t="shared" si="6"/>
        <v>0</v>
      </c>
      <c r="E45" s="223">
        <f t="shared" si="7"/>
        <v>1737</v>
      </c>
      <c r="F45" s="223">
        <f t="shared" si="8"/>
        <v>277.92</v>
      </c>
      <c r="G45" s="223">
        <f t="shared" si="9"/>
        <v>2014.92</v>
      </c>
      <c r="H45" s="223">
        <f t="shared" ref="H45:I45" si="216">C45*0.95</f>
        <v>1650.15</v>
      </c>
      <c r="I45" s="223">
        <f t="shared" si="216"/>
        <v>0</v>
      </c>
      <c r="J45" s="223">
        <f t="shared" ref="J45:K45" si="217">C45*0.9</f>
        <v>1563.3</v>
      </c>
      <c r="K45" s="223">
        <f t="shared" si="217"/>
        <v>0</v>
      </c>
      <c r="L45" s="223">
        <f t="shared" ref="L45:M45" si="218">C45*0.85</f>
        <v>1476.45</v>
      </c>
      <c r="M45" s="223">
        <f t="shared" si="218"/>
        <v>0</v>
      </c>
      <c r="N45" s="223">
        <f t="shared" ref="N45:O45" si="219">C45*0.83</f>
        <v>1441.71</v>
      </c>
      <c r="O45" s="223">
        <f t="shared" si="219"/>
        <v>0</v>
      </c>
      <c r="P45" s="223">
        <f t="shared" ref="P45:Q45" si="220">C45*0.8</f>
        <v>1389.6</v>
      </c>
      <c r="Q45" s="223">
        <f t="shared" si="220"/>
        <v>0</v>
      </c>
      <c r="R45" s="224"/>
      <c r="S45" s="235"/>
      <c r="T45" s="231"/>
      <c r="U45" s="236"/>
      <c r="V45" s="237"/>
      <c r="W45" s="236"/>
      <c r="X45" s="238"/>
    </row>
    <row r="46">
      <c r="A46" s="73" t="s">
        <v>6922</v>
      </c>
      <c r="B46" s="86" t="s">
        <v>6923</v>
      </c>
      <c r="C46" s="230">
        <v>197.0</v>
      </c>
      <c r="D46" s="223">
        <f t="shared" si="6"/>
        <v>0</v>
      </c>
      <c r="E46" s="223">
        <f t="shared" si="7"/>
        <v>197</v>
      </c>
      <c r="F46" s="223">
        <f t="shared" si="8"/>
        <v>31.52</v>
      </c>
      <c r="G46" s="223">
        <f t="shared" si="9"/>
        <v>228.52</v>
      </c>
      <c r="H46" s="223">
        <f t="shared" ref="H46:I46" si="221">C46*0.95</f>
        <v>187.15</v>
      </c>
      <c r="I46" s="223">
        <f t="shared" si="221"/>
        <v>0</v>
      </c>
      <c r="J46" s="223">
        <f t="shared" ref="J46:K46" si="222">C46*0.9</f>
        <v>177.3</v>
      </c>
      <c r="K46" s="223">
        <f t="shared" si="222"/>
        <v>0</v>
      </c>
      <c r="L46" s="223">
        <f t="shared" ref="L46:M46" si="223">C46*0.85</f>
        <v>167.45</v>
      </c>
      <c r="M46" s="223">
        <f t="shared" si="223"/>
        <v>0</v>
      </c>
      <c r="N46" s="223">
        <f t="shared" ref="N46:O46" si="224">C46*0.83</f>
        <v>163.51</v>
      </c>
      <c r="O46" s="223">
        <f t="shared" si="224"/>
        <v>0</v>
      </c>
      <c r="P46" s="223">
        <f t="shared" ref="P46:Q46" si="225">C46*0.8</f>
        <v>157.6</v>
      </c>
      <c r="Q46" s="223">
        <f t="shared" si="225"/>
        <v>0</v>
      </c>
      <c r="R46" s="224"/>
      <c r="S46" s="235"/>
      <c r="T46" s="231"/>
      <c r="U46" s="236"/>
      <c r="V46" s="237"/>
      <c r="W46" s="236"/>
      <c r="X46" s="238"/>
    </row>
    <row r="47">
      <c r="A47" s="73" t="s">
        <v>6924</v>
      </c>
      <c r="B47" s="86" t="s">
        <v>6925</v>
      </c>
      <c r="C47" s="230">
        <v>80.0</v>
      </c>
      <c r="D47" s="223">
        <f t="shared" si="6"/>
        <v>0</v>
      </c>
      <c r="E47" s="223">
        <f t="shared" si="7"/>
        <v>80</v>
      </c>
      <c r="F47" s="223">
        <f t="shared" si="8"/>
        <v>12.8</v>
      </c>
      <c r="G47" s="223">
        <f t="shared" si="9"/>
        <v>92.8</v>
      </c>
      <c r="H47" s="223">
        <f t="shared" ref="H47:I47" si="226">C47*0.95</f>
        <v>76</v>
      </c>
      <c r="I47" s="223">
        <f t="shared" si="226"/>
        <v>0</v>
      </c>
      <c r="J47" s="223">
        <f t="shared" ref="J47:K47" si="227">C47*0.9</f>
        <v>72</v>
      </c>
      <c r="K47" s="223">
        <f t="shared" si="227"/>
        <v>0</v>
      </c>
      <c r="L47" s="223">
        <f t="shared" ref="L47:M47" si="228">C47*0.85</f>
        <v>68</v>
      </c>
      <c r="M47" s="223">
        <f t="shared" si="228"/>
        <v>0</v>
      </c>
      <c r="N47" s="223">
        <f t="shared" ref="N47:O47" si="229">C47*0.83</f>
        <v>66.4</v>
      </c>
      <c r="O47" s="223">
        <f t="shared" si="229"/>
        <v>0</v>
      </c>
      <c r="P47" s="223">
        <f t="shared" ref="P47:Q47" si="230">C47*0.8</f>
        <v>64</v>
      </c>
      <c r="Q47" s="223">
        <f t="shared" si="230"/>
        <v>0</v>
      </c>
      <c r="R47" s="224"/>
      <c r="S47" s="235"/>
      <c r="T47" s="231"/>
      <c r="U47" s="236"/>
      <c r="V47" s="237"/>
      <c r="W47" s="236"/>
      <c r="X47" s="238"/>
    </row>
    <row r="48">
      <c r="A48" s="73" t="s">
        <v>6926</v>
      </c>
      <c r="B48" s="86" t="s">
        <v>6927</v>
      </c>
      <c r="C48" s="230">
        <v>814.0</v>
      </c>
      <c r="D48" s="223">
        <f t="shared" si="6"/>
        <v>0</v>
      </c>
      <c r="E48" s="223">
        <f t="shared" si="7"/>
        <v>814</v>
      </c>
      <c r="F48" s="223">
        <f t="shared" si="8"/>
        <v>130.24</v>
      </c>
      <c r="G48" s="223">
        <f t="shared" si="9"/>
        <v>944.24</v>
      </c>
      <c r="H48" s="223">
        <f t="shared" ref="H48:I48" si="231">C48*0.95</f>
        <v>773.3</v>
      </c>
      <c r="I48" s="223">
        <f t="shared" si="231"/>
        <v>0</v>
      </c>
      <c r="J48" s="223">
        <f t="shared" ref="J48:K48" si="232">C48*0.9</f>
        <v>732.6</v>
      </c>
      <c r="K48" s="223">
        <f t="shared" si="232"/>
        <v>0</v>
      </c>
      <c r="L48" s="223">
        <f t="shared" ref="L48:M48" si="233">C48*0.85</f>
        <v>691.9</v>
      </c>
      <c r="M48" s="223">
        <f t="shared" si="233"/>
        <v>0</v>
      </c>
      <c r="N48" s="223">
        <f t="shared" ref="N48:O48" si="234">C48*0.83</f>
        <v>675.62</v>
      </c>
      <c r="O48" s="223">
        <f t="shared" si="234"/>
        <v>0</v>
      </c>
      <c r="P48" s="223">
        <f t="shared" ref="P48:Q48" si="235">C48*0.8</f>
        <v>651.2</v>
      </c>
      <c r="Q48" s="223">
        <f t="shared" si="235"/>
        <v>0</v>
      </c>
      <c r="R48" s="224"/>
      <c r="S48" s="235"/>
      <c r="T48" s="231"/>
      <c r="U48" s="236"/>
      <c r="V48" s="239"/>
      <c r="W48" s="236"/>
      <c r="X48" s="238"/>
    </row>
    <row r="49">
      <c r="A49" s="73" t="s">
        <v>6928</v>
      </c>
      <c r="B49" s="86" t="s">
        <v>6929</v>
      </c>
      <c r="C49" s="230">
        <v>541.0</v>
      </c>
      <c r="D49" s="223">
        <f t="shared" si="6"/>
        <v>0</v>
      </c>
      <c r="E49" s="223">
        <f t="shared" si="7"/>
        <v>541</v>
      </c>
      <c r="F49" s="223">
        <f t="shared" si="8"/>
        <v>86.56</v>
      </c>
      <c r="G49" s="223">
        <f t="shared" si="9"/>
        <v>627.56</v>
      </c>
      <c r="H49" s="223">
        <f t="shared" ref="H49:I49" si="236">C49*0.95</f>
        <v>513.95</v>
      </c>
      <c r="I49" s="223">
        <f t="shared" si="236"/>
        <v>0</v>
      </c>
      <c r="J49" s="223">
        <f t="shared" ref="J49:K49" si="237">C49*0.9</f>
        <v>486.9</v>
      </c>
      <c r="K49" s="223">
        <f t="shared" si="237"/>
        <v>0</v>
      </c>
      <c r="L49" s="223">
        <f t="shared" ref="L49:M49" si="238">C49*0.85</f>
        <v>459.85</v>
      </c>
      <c r="M49" s="223">
        <f t="shared" si="238"/>
        <v>0</v>
      </c>
      <c r="N49" s="223">
        <f t="shared" ref="N49:O49" si="239">C49*0.83</f>
        <v>449.03</v>
      </c>
      <c r="O49" s="223">
        <f t="shared" si="239"/>
        <v>0</v>
      </c>
      <c r="P49" s="223">
        <f t="shared" ref="P49:Q49" si="240">C49*0.8</f>
        <v>432.8</v>
      </c>
      <c r="Q49" s="223">
        <f t="shared" si="240"/>
        <v>0</v>
      </c>
      <c r="R49" s="224"/>
      <c r="S49" s="235"/>
      <c r="T49" s="231"/>
      <c r="U49" s="236"/>
      <c r="V49" s="239"/>
      <c r="W49" s="236"/>
      <c r="X49" s="238"/>
    </row>
    <row r="50">
      <c r="A50" s="73" t="s">
        <v>6930</v>
      </c>
      <c r="B50" s="86" t="s">
        <v>6931</v>
      </c>
      <c r="C50" s="230">
        <v>1057.0</v>
      </c>
      <c r="D50" s="223">
        <f t="shared" si="6"/>
        <v>0</v>
      </c>
      <c r="E50" s="223">
        <f t="shared" si="7"/>
        <v>1057</v>
      </c>
      <c r="F50" s="223">
        <f t="shared" si="8"/>
        <v>169.12</v>
      </c>
      <c r="G50" s="223">
        <f t="shared" si="9"/>
        <v>1226.12</v>
      </c>
      <c r="H50" s="223">
        <f t="shared" ref="H50:I50" si="241">C50*0.95</f>
        <v>1004.15</v>
      </c>
      <c r="I50" s="223">
        <f t="shared" si="241"/>
        <v>0</v>
      </c>
      <c r="J50" s="223">
        <f t="shared" ref="J50:K50" si="242">C50*0.9</f>
        <v>951.3</v>
      </c>
      <c r="K50" s="223">
        <f t="shared" si="242"/>
        <v>0</v>
      </c>
      <c r="L50" s="223">
        <f t="shared" ref="L50:M50" si="243">C50*0.85</f>
        <v>898.45</v>
      </c>
      <c r="M50" s="223">
        <f t="shared" si="243"/>
        <v>0</v>
      </c>
      <c r="N50" s="223">
        <f t="shared" ref="N50:O50" si="244">C50*0.83</f>
        <v>877.31</v>
      </c>
      <c r="O50" s="223">
        <f t="shared" si="244"/>
        <v>0</v>
      </c>
      <c r="P50" s="223">
        <f t="shared" ref="P50:Q50" si="245">C50*0.8</f>
        <v>845.6</v>
      </c>
      <c r="Q50" s="223">
        <f t="shared" si="245"/>
        <v>0</v>
      </c>
      <c r="R50" s="224"/>
      <c r="S50" s="235"/>
      <c r="T50" s="231"/>
      <c r="U50" s="236"/>
      <c r="V50" s="239"/>
      <c r="W50" s="236"/>
      <c r="X50" s="238"/>
    </row>
    <row r="51">
      <c r="A51" s="73" t="s">
        <v>6932</v>
      </c>
      <c r="B51" s="86" t="s">
        <v>6933</v>
      </c>
      <c r="C51" s="230">
        <v>753.0</v>
      </c>
      <c r="D51" s="223">
        <f t="shared" si="6"/>
        <v>0</v>
      </c>
      <c r="E51" s="223">
        <f t="shared" si="7"/>
        <v>753</v>
      </c>
      <c r="F51" s="223">
        <f t="shared" si="8"/>
        <v>120.48</v>
      </c>
      <c r="G51" s="223">
        <f t="shared" si="9"/>
        <v>873.48</v>
      </c>
      <c r="H51" s="223">
        <f t="shared" ref="H51:I51" si="246">C51*0.95</f>
        <v>715.35</v>
      </c>
      <c r="I51" s="223">
        <f t="shared" si="246"/>
        <v>0</v>
      </c>
      <c r="J51" s="223">
        <f t="shared" ref="J51:K51" si="247">C51*0.9</f>
        <v>677.7</v>
      </c>
      <c r="K51" s="223">
        <f t="shared" si="247"/>
        <v>0</v>
      </c>
      <c r="L51" s="223">
        <f t="shared" ref="L51:M51" si="248">C51*0.85</f>
        <v>640.05</v>
      </c>
      <c r="M51" s="223">
        <f t="shared" si="248"/>
        <v>0</v>
      </c>
      <c r="N51" s="223">
        <f t="shared" ref="N51:O51" si="249">C51*0.83</f>
        <v>624.99</v>
      </c>
      <c r="O51" s="223">
        <f t="shared" si="249"/>
        <v>0</v>
      </c>
      <c r="P51" s="223">
        <f t="shared" ref="P51:Q51" si="250">C51*0.8</f>
        <v>602.4</v>
      </c>
      <c r="Q51" s="223">
        <f t="shared" si="250"/>
        <v>0</v>
      </c>
      <c r="R51" s="232"/>
      <c r="S51" s="235"/>
      <c r="T51" s="231"/>
      <c r="U51" s="236"/>
      <c r="V51" s="239"/>
      <c r="W51" s="236"/>
      <c r="X51" s="238"/>
    </row>
    <row r="52">
      <c r="A52" s="73" t="s">
        <v>6934</v>
      </c>
      <c r="B52" s="86" t="s">
        <v>6935</v>
      </c>
      <c r="C52" s="230">
        <v>307.0</v>
      </c>
      <c r="D52" s="223">
        <f t="shared" si="6"/>
        <v>0</v>
      </c>
      <c r="E52" s="223">
        <f t="shared" si="7"/>
        <v>307</v>
      </c>
      <c r="F52" s="223">
        <f t="shared" si="8"/>
        <v>49.12</v>
      </c>
      <c r="G52" s="223">
        <f t="shared" si="9"/>
        <v>356.12</v>
      </c>
      <c r="H52" s="223">
        <f t="shared" ref="H52:I52" si="251">C52*0.95</f>
        <v>291.65</v>
      </c>
      <c r="I52" s="223">
        <f t="shared" si="251"/>
        <v>0</v>
      </c>
      <c r="J52" s="223">
        <f t="shared" ref="J52:K52" si="252">C52*0.9</f>
        <v>276.3</v>
      </c>
      <c r="K52" s="223">
        <f t="shared" si="252"/>
        <v>0</v>
      </c>
      <c r="L52" s="223">
        <f t="shared" ref="L52:M52" si="253">C52*0.85</f>
        <v>260.95</v>
      </c>
      <c r="M52" s="223">
        <f t="shared" si="253"/>
        <v>0</v>
      </c>
      <c r="N52" s="223">
        <f t="shared" ref="N52:O52" si="254">C52*0.83</f>
        <v>254.81</v>
      </c>
      <c r="O52" s="223">
        <f t="shared" si="254"/>
        <v>0</v>
      </c>
      <c r="P52" s="223">
        <f t="shared" ref="P52:Q52" si="255">C52*0.8</f>
        <v>245.6</v>
      </c>
      <c r="Q52" s="223">
        <f t="shared" si="255"/>
        <v>0</v>
      </c>
      <c r="R52" s="232"/>
      <c r="S52" s="235"/>
      <c r="T52" s="231"/>
      <c r="U52" s="236"/>
      <c r="V52" s="239"/>
      <c r="W52" s="236"/>
      <c r="X52" s="238"/>
    </row>
    <row r="53">
      <c r="A53" s="73" t="s">
        <v>6936</v>
      </c>
      <c r="B53" s="86" t="s">
        <v>6937</v>
      </c>
      <c r="C53" s="230">
        <v>218.0</v>
      </c>
      <c r="D53" s="223">
        <f t="shared" si="6"/>
        <v>0</v>
      </c>
      <c r="E53" s="223">
        <f t="shared" si="7"/>
        <v>218</v>
      </c>
      <c r="F53" s="223">
        <f t="shared" si="8"/>
        <v>34.88</v>
      </c>
      <c r="G53" s="223">
        <f t="shared" si="9"/>
        <v>252.88</v>
      </c>
      <c r="H53" s="223">
        <f t="shared" ref="H53:I53" si="256">C53*0.95</f>
        <v>207.1</v>
      </c>
      <c r="I53" s="223">
        <f t="shared" si="256"/>
        <v>0</v>
      </c>
      <c r="J53" s="223">
        <f t="shared" ref="J53:K53" si="257">C53*0.9</f>
        <v>196.2</v>
      </c>
      <c r="K53" s="223">
        <f t="shared" si="257"/>
        <v>0</v>
      </c>
      <c r="L53" s="223">
        <f t="shared" ref="L53:M53" si="258">C53*0.85</f>
        <v>185.3</v>
      </c>
      <c r="M53" s="223">
        <f t="shared" si="258"/>
        <v>0</v>
      </c>
      <c r="N53" s="223">
        <f t="shared" ref="N53:O53" si="259">C53*0.83</f>
        <v>180.94</v>
      </c>
      <c r="O53" s="223">
        <f t="shared" si="259"/>
        <v>0</v>
      </c>
      <c r="P53" s="223">
        <f t="shared" ref="P53:Q53" si="260">C53*0.8</f>
        <v>174.4</v>
      </c>
      <c r="Q53" s="223">
        <f t="shared" si="260"/>
        <v>0</v>
      </c>
      <c r="R53" s="231"/>
      <c r="S53" s="235"/>
      <c r="T53" s="231"/>
      <c r="U53" s="236"/>
      <c r="V53" s="239"/>
      <c r="W53" s="236"/>
      <c r="X53" s="238"/>
    </row>
    <row r="54">
      <c r="A54" s="73" t="s">
        <v>6938</v>
      </c>
      <c r="B54" s="86" t="s">
        <v>6939</v>
      </c>
      <c r="C54" s="230">
        <v>837.0</v>
      </c>
      <c r="D54" s="223">
        <f t="shared" si="6"/>
        <v>0</v>
      </c>
      <c r="E54" s="223">
        <f t="shared" si="7"/>
        <v>837</v>
      </c>
      <c r="F54" s="223">
        <f t="shared" si="8"/>
        <v>133.92</v>
      </c>
      <c r="G54" s="223">
        <f t="shared" si="9"/>
        <v>970.92</v>
      </c>
      <c r="H54" s="223">
        <f t="shared" ref="H54:I54" si="261">C54*0.95</f>
        <v>795.15</v>
      </c>
      <c r="I54" s="223">
        <f t="shared" si="261"/>
        <v>0</v>
      </c>
      <c r="J54" s="223">
        <f t="shared" ref="J54:K54" si="262">C54*0.9</f>
        <v>753.3</v>
      </c>
      <c r="K54" s="223">
        <f t="shared" si="262"/>
        <v>0</v>
      </c>
      <c r="L54" s="223">
        <f t="shared" ref="L54:M54" si="263">C54*0.85</f>
        <v>711.45</v>
      </c>
      <c r="M54" s="223">
        <f t="shared" si="263"/>
        <v>0</v>
      </c>
      <c r="N54" s="223">
        <f t="shared" ref="N54:O54" si="264">C54*0.83</f>
        <v>694.71</v>
      </c>
      <c r="O54" s="223">
        <f t="shared" si="264"/>
        <v>0</v>
      </c>
      <c r="P54" s="223">
        <f t="shared" ref="P54:Q54" si="265">C54*0.8</f>
        <v>669.6</v>
      </c>
      <c r="Q54" s="223">
        <f t="shared" si="265"/>
        <v>0</v>
      </c>
      <c r="R54" s="231"/>
      <c r="S54" s="235"/>
      <c r="T54" s="231"/>
      <c r="U54" s="236"/>
      <c r="V54" s="239"/>
      <c r="W54" s="236"/>
      <c r="X54" s="238"/>
    </row>
    <row r="55">
      <c r="A55" s="73" t="s">
        <v>6940</v>
      </c>
      <c r="B55" s="86" t="s">
        <v>6941</v>
      </c>
      <c r="C55" s="230">
        <v>964.0</v>
      </c>
      <c r="D55" s="223">
        <f t="shared" si="6"/>
        <v>0</v>
      </c>
      <c r="E55" s="223">
        <f t="shared" si="7"/>
        <v>964</v>
      </c>
      <c r="F55" s="223">
        <f t="shared" si="8"/>
        <v>154.24</v>
      </c>
      <c r="G55" s="223">
        <f t="shared" si="9"/>
        <v>1118.24</v>
      </c>
      <c r="H55" s="223">
        <f t="shared" ref="H55:I55" si="266">C55*0.95</f>
        <v>915.8</v>
      </c>
      <c r="I55" s="223">
        <f t="shared" si="266"/>
        <v>0</v>
      </c>
      <c r="J55" s="223">
        <f t="shared" ref="J55:K55" si="267">C55*0.9</f>
        <v>867.6</v>
      </c>
      <c r="K55" s="223">
        <f t="shared" si="267"/>
        <v>0</v>
      </c>
      <c r="L55" s="223">
        <f t="shared" ref="L55:M55" si="268">C55*0.85</f>
        <v>819.4</v>
      </c>
      <c r="M55" s="223">
        <f t="shared" si="268"/>
        <v>0</v>
      </c>
      <c r="N55" s="223">
        <f t="shared" ref="N55:O55" si="269">C55*0.83</f>
        <v>800.12</v>
      </c>
      <c r="O55" s="223">
        <f t="shared" si="269"/>
        <v>0</v>
      </c>
      <c r="P55" s="223">
        <f t="shared" ref="P55:Q55" si="270">C55*0.8</f>
        <v>771.2</v>
      </c>
      <c r="Q55" s="223">
        <f t="shared" si="270"/>
        <v>0</v>
      </c>
      <c r="R55" s="231"/>
      <c r="S55" s="235"/>
      <c r="T55" s="231"/>
      <c r="U55" s="236"/>
      <c r="V55" s="239"/>
      <c r="W55" s="236"/>
      <c r="X55" s="238"/>
    </row>
    <row r="56">
      <c r="A56" s="73" t="s">
        <v>6942</v>
      </c>
      <c r="B56" s="86" t="s">
        <v>6943</v>
      </c>
      <c r="C56" s="230">
        <v>1076.0</v>
      </c>
      <c r="D56" s="223">
        <f t="shared" si="6"/>
        <v>0</v>
      </c>
      <c r="E56" s="223">
        <f t="shared" si="7"/>
        <v>1076</v>
      </c>
      <c r="F56" s="223">
        <f t="shared" si="8"/>
        <v>172.16</v>
      </c>
      <c r="G56" s="223">
        <f t="shared" si="9"/>
        <v>1248.16</v>
      </c>
      <c r="H56" s="223">
        <f t="shared" ref="H56:I56" si="271">C56*0.95</f>
        <v>1022.2</v>
      </c>
      <c r="I56" s="223">
        <f t="shared" si="271"/>
        <v>0</v>
      </c>
      <c r="J56" s="223">
        <f t="shared" ref="J56:K56" si="272">C56*0.9</f>
        <v>968.4</v>
      </c>
      <c r="K56" s="223">
        <f t="shared" si="272"/>
        <v>0</v>
      </c>
      <c r="L56" s="223">
        <f t="shared" ref="L56:M56" si="273">C56*0.85</f>
        <v>914.6</v>
      </c>
      <c r="M56" s="223">
        <f t="shared" si="273"/>
        <v>0</v>
      </c>
      <c r="N56" s="223">
        <f t="shared" ref="N56:O56" si="274">C56*0.83</f>
        <v>893.08</v>
      </c>
      <c r="O56" s="223">
        <f t="shared" si="274"/>
        <v>0</v>
      </c>
      <c r="P56" s="223">
        <f t="shared" ref="P56:Q56" si="275">C56*0.8</f>
        <v>860.8</v>
      </c>
      <c r="Q56" s="223">
        <f t="shared" si="275"/>
        <v>0</v>
      </c>
      <c r="R56" s="231"/>
      <c r="S56" s="235"/>
      <c r="T56" s="231"/>
      <c r="U56" s="236"/>
      <c r="V56" s="239"/>
      <c r="W56" s="236"/>
      <c r="X56" s="238"/>
    </row>
    <row r="57">
      <c r="A57" s="73" t="s">
        <v>6944</v>
      </c>
      <c r="B57" s="86" t="s">
        <v>6945</v>
      </c>
      <c r="C57" s="230">
        <v>288.0</v>
      </c>
      <c r="D57" s="223">
        <f t="shared" si="6"/>
        <v>0</v>
      </c>
      <c r="E57" s="223">
        <f t="shared" si="7"/>
        <v>288</v>
      </c>
      <c r="F57" s="223">
        <f t="shared" si="8"/>
        <v>46.08</v>
      </c>
      <c r="G57" s="223">
        <f t="shared" si="9"/>
        <v>334.08</v>
      </c>
      <c r="H57" s="223">
        <f t="shared" ref="H57:I57" si="276">C57*0.95</f>
        <v>273.6</v>
      </c>
      <c r="I57" s="223">
        <f t="shared" si="276"/>
        <v>0</v>
      </c>
      <c r="J57" s="223">
        <f t="shared" ref="J57:K57" si="277">C57*0.9</f>
        <v>259.2</v>
      </c>
      <c r="K57" s="223">
        <f t="shared" si="277"/>
        <v>0</v>
      </c>
      <c r="L57" s="223">
        <f t="shared" ref="L57:M57" si="278">C57*0.85</f>
        <v>244.8</v>
      </c>
      <c r="M57" s="223">
        <f t="shared" si="278"/>
        <v>0</v>
      </c>
      <c r="N57" s="223">
        <f t="shared" ref="N57:O57" si="279">C57*0.83</f>
        <v>239.04</v>
      </c>
      <c r="O57" s="223">
        <f t="shared" si="279"/>
        <v>0</v>
      </c>
      <c r="P57" s="223">
        <f t="shared" ref="P57:Q57" si="280">C57*0.8</f>
        <v>230.4</v>
      </c>
      <c r="Q57" s="223">
        <f t="shared" si="280"/>
        <v>0</v>
      </c>
      <c r="R57" s="231"/>
      <c r="S57" s="235"/>
      <c r="T57" s="231"/>
      <c r="U57" s="236"/>
      <c r="V57" s="239"/>
      <c r="W57" s="236"/>
      <c r="X57" s="238"/>
    </row>
    <row r="58">
      <c r="A58" s="73" t="s">
        <v>6946</v>
      </c>
      <c r="B58" s="86" t="s">
        <v>6947</v>
      </c>
      <c r="C58" s="230">
        <v>190.0</v>
      </c>
      <c r="D58" s="223">
        <f t="shared" si="6"/>
        <v>0</v>
      </c>
      <c r="E58" s="223">
        <f t="shared" si="7"/>
        <v>190</v>
      </c>
      <c r="F58" s="223">
        <f t="shared" si="8"/>
        <v>30.4</v>
      </c>
      <c r="G58" s="223">
        <f t="shared" si="9"/>
        <v>220.4</v>
      </c>
      <c r="H58" s="223">
        <f t="shared" ref="H58:I58" si="281">C58*0.95</f>
        <v>180.5</v>
      </c>
      <c r="I58" s="223">
        <f t="shared" si="281"/>
        <v>0</v>
      </c>
      <c r="J58" s="223">
        <f t="shared" ref="J58:K58" si="282">C58*0.9</f>
        <v>171</v>
      </c>
      <c r="K58" s="223">
        <f t="shared" si="282"/>
        <v>0</v>
      </c>
      <c r="L58" s="223">
        <f t="shared" ref="L58:M58" si="283">C58*0.85</f>
        <v>161.5</v>
      </c>
      <c r="M58" s="223">
        <f t="shared" si="283"/>
        <v>0</v>
      </c>
      <c r="N58" s="223">
        <f t="shared" ref="N58:O58" si="284">C58*0.83</f>
        <v>157.7</v>
      </c>
      <c r="O58" s="223">
        <f t="shared" si="284"/>
        <v>0</v>
      </c>
      <c r="P58" s="223">
        <f t="shared" ref="P58:Q58" si="285">C58*0.8</f>
        <v>152</v>
      </c>
      <c r="Q58" s="223">
        <f t="shared" si="285"/>
        <v>0</v>
      </c>
      <c r="R58" s="231"/>
      <c r="S58" s="235"/>
      <c r="T58" s="231"/>
      <c r="U58" s="236"/>
      <c r="V58" s="239"/>
      <c r="W58" s="236"/>
      <c r="X58" s="238"/>
    </row>
    <row r="59">
      <c r="A59" s="73" t="s">
        <v>6948</v>
      </c>
      <c r="B59" s="86" t="s">
        <v>6949</v>
      </c>
      <c r="C59" s="230">
        <v>499.0</v>
      </c>
      <c r="D59" s="223">
        <f t="shared" si="6"/>
        <v>0</v>
      </c>
      <c r="E59" s="223">
        <f t="shared" si="7"/>
        <v>499</v>
      </c>
      <c r="F59" s="223">
        <f t="shared" si="8"/>
        <v>79.84</v>
      </c>
      <c r="G59" s="223">
        <f t="shared" si="9"/>
        <v>578.84</v>
      </c>
      <c r="H59" s="223">
        <f t="shared" ref="H59:I59" si="286">C59*0.95</f>
        <v>474.05</v>
      </c>
      <c r="I59" s="223">
        <f t="shared" si="286"/>
        <v>0</v>
      </c>
      <c r="J59" s="223">
        <f t="shared" ref="J59:K59" si="287">C59*0.9</f>
        <v>449.1</v>
      </c>
      <c r="K59" s="223">
        <f t="shared" si="287"/>
        <v>0</v>
      </c>
      <c r="L59" s="223">
        <f t="shared" ref="L59:M59" si="288">C59*0.85</f>
        <v>424.15</v>
      </c>
      <c r="M59" s="223">
        <f t="shared" si="288"/>
        <v>0</v>
      </c>
      <c r="N59" s="223">
        <f t="shared" ref="N59:O59" si="289">C59*0.83</f>
        <v>414.17</v>
      </c>
      <c r="O59" s="223">
        <f t="shared" si="289"/>
        <v>0</v>
      </c>
      <c r="P59" s="223">
        <f t="shared" ref="P59:Q59" si="290">C59*0.8</f>
        <v>399.2</v>
      </c>
      <c r="Q59" s="223">
        <f t="shared" si="290"/>
        <v>0</v>
      </c>
      <c r="R59" s="231"/>
      <c r="S59" s="235"/>
      <c r="T59" s="231"/>
      <c r="U59" s="236"/>
      <c r="V59" s="239"/>
      <c r="W59" s="236"/>
      <c r="X59" s="238"/>
    </row>
    <row r="60">
      <c r="A60" s="73" t="s">
        <v>6950</v>
      </c>
      <c r="B60" s="86" t="s">
        <v>6951</v>
      </c>
      <c r="C60" s="230">
        <v>197.0</v>
      </c>
      <c r="D60" s="223">
        <f t="shared" si="6"/>
        <v>0</v>
      </c>
      <c r="E60" s="223">
        <f t="shared" si="7"/>
        <v>197</v>
      </c>
      <c r="F60" s="223">
        <f t="shared" si="8"/>
        <v>31.52</v>
      </c>
      <c r="G60" s="223">
        <f t="shared" si="9"/>
        <v>228.52</v>
      </c>
      <c r="H60" s="223">
        <f t="shared" ref="H60:I60" si="291">C60*0.95</f>
        <v>187.15</v>
      </c>
      <c r="I60" s="223">
        <f t="shared" si="291"/>
        <v>0</v>
      </c>
      <c r="J60" s="223">
        <f t="shared" ref="J60:K60" si="292">C60*0.9</f>
        <v>177.3</v>
      </c>
      <c r="K60" s="223">
        <f t="shared" si="292"/>
        <v>0</v>
      </c>
      <c r="L60" s="223">
        <f t="shared" ref="L60:M60" si="293">C60*0.85</f>
        <v>167.45</v>
      </c>
      <c r="M60" s="223">
        <f t="shared" si="293"/>
        <v>0</v>
      </c>
      <c r="N60" s="223">
        <f t="shared" ref="N60:O60" si="294">C60*0.83</f>
        <v>163.51</v>
      </c>
      <c r="O60" s="223">
        <f t="shared" si="294"/>
        <v>0</v>
      </c>
      <c r="P60" s="223">
        <f t="shared" ref="P60:Q60" si="295">C60*0.8</f>
        <v>157.6</v>
      </c>
      <c r="Q60" s="223">
        <f t="shared" si="295"/>
        <v>0</v>
      </c>
      <c r="R60" s="231"/>
      <c r="S60" s="235"/>
      <c r="T60" s="231"/>
      <c r="U60" s="236"/>
      <c r="V60" s="239"/>
      <c r="W60" s="236"/>
      <c r="X60" s="238"/>
    </row>
    <row r="61">
      <c r="A61" s="73" t="s">
        <v>6952</v>
      </c>
      <c r="B61" s="86" t="s">
        <v>6953</v>
      </c>
      <c r="C61" s="230">
        <v>389.0</v>
      </c>
      <c r="D61" s="223">
        <f t="shared" si="6"/>
        <v>0</v>
      </c>
      <c r="E61" s="223">
        <f t="shared" si="7"/>
        <v>389</v>
      </c>
      <c r="F61" s="223">
        <f t="shared" si="8"/>
        <v>62.24</v>
      </c>
      <c r="G61" s="223">
        <f t="shared" si="9"/>
        <v>451.24</v>
      </c>
      <c r="H61" s="223">
        <f t="shared" ref="H61:I61" si="296">C61*0.95</f>
        <v>369.55</v>
      </c>
      <c r="I61" s="223">
        <f t="shared" si="296"/>
        <v>0</v>
      </c>
      <c r="J61" s="223">
        <f t="shared" ref="J61:K61" si="297">C61*0.9</f>
        <v>350.1</v>
      </c>
      <c r="K61" s="223">
        <f t="shared" si="297"/>
        <v>0</v>
      </c>
      <c r="L61" s="223">
        <f t="shared" ref="L61:M61" si="298">C61*0.85</f>
        <v>330.65</v>
      </c>
      <c r="M61" s="223">
        <f t="shared" si="298"/>
        <v>0</v>
      </c>
      <c r="N61" s="223">
        <f t="shared" ref="N61:O61" si="299">C61*0.83</f>
        <v>322.87</v>
      </c>
      <c r="O61" s="223">
        <f t="shared" si="299"/>
        <v>0</v>
      </c>
      <c r="P61" s="223">
        <f t="shared" ref="P61:Q61" si="300">C61*0.8</f>
        <v>311.2</v>
      </c>
      <c r="Q61" s="223">
        <f t="shared" si="300"/>
        <v>0</v>
      </c>
      <c r="R61" s="231"/>
      <c r="S61" s="235"/>
      <c r="T61" s="231"/>
      <c r="U61" s="236"/>
      <c r="V61" s="239"/>
      <c r="W61" s="236"/>
      <c r="X61" s="238"/>
    </row>
    <row r="62">
      <c r="A62" s="73" t="s">
        <v>6954</v>
      </c>
      <c r="B62" s="86" t="s">
        <v>6955</v>
      </c>
      <c r="C62" s="230">
        <v>389.0</v>
      </c>
      <c r="D62" s="223">
        <f t="shared" si="6"/>
        <v>0</v>
      </c>
      <c r="E62" s="223">
        <f t="shared" si="7"/>
        <v>389</v>
      </c>
      <c r="F62" s="223">
        <f t="shared" si="8"/>
        <v>62.24</v>
      </c>
      <c r="G62" s="223">
        <f t="shared" si="9"/>
        <v>451.24</v>
      </c>
      <c r="H62" s="223">
        <f t="shared" ref="H62:I62" si="301">C62*0.95</f>
        <v>369.55</v>
      </c>
      <c r="I62" s="223">
        <f t="shared" si="301"/>
        <v>0</v>
      </c>
      <c r="J62" s="223">
        <f t="shared" ref="J62:K62" si="302">C62*0.9</f>
        <v>350.1</v>
      </c>
      <c r="K62" s="223">
        <f t="shared" si="302"/>
        <v>0</v>
      </c>
      <c r="L62" s="223">
        <f t="shared" ref="L62:M62" si="303">C62*0.85</f>
        <v>330.65</v>
      </c>
      <c r="M62" s="223">
        <f t="shared" si="303"/>
        <v>0</v>
      </c>
      <c r="N62" s="223">
        <f t="shared" ref="N62:O62" si="304">C62*0.83</f>
        <v>322.87</v>
      </c>
      <c r="O62" s="223">
        <f t="shared" si="304"/>
        <v>0</v>
      </c>
      <c r="P62" s="223">
        <f t="shared" ref="P62:Q62" si="305">C62*0.8</f>
        <v>311.2</v>
      </c>
      <c r="Q62" s="223">
        <f t="shared" si="305"/>
        <v>0</v>
      </c>
      <c r="R62" s="231"/>
      <c r="S62" s="235"/>
      <c r="T62" s="231"/>
      <c r="U62" s="236"/>
      <c r="V62" s="239"/>
      <c r="W62" s="236"/>
      <c r="X62" s="238"/>
    </row>
    <row r="63">
      <c r="A63" s="73" t="s">
        <v>6956</v>
      </c>
      <c r="B63" s="86" t="s">
        <v>6957</v>
      </c>
      <c r="C63" s="230">
        <v>433.0</v>
      </c>
      <c r="D63" s="223">
        <f t="shared" si="6"/>
        <v>0</v>
      </c>
      <c r="E63" s="223">
        <f t="shared" si="7"/>
        <v>433</v>
      </c>
      <c r="F63" s="223">
        <f t="shared" si="8"/>
        <v>69.28</v>
      </c>
      <c r="G63" s="223">
        <f t="shared" si="9"/>
        <v>502.28</v>
      </c>
      <c r="H63" s="223">
        <f t="shared" ref="H63:I63" si="306">C63*0.95</f>
        <v>411.35</v>
      </c>
      <c r="I63" s="223">
        <f t="shared" si="306"/>
        <v>0</v>
      </c>
      <c r="J63" s="223">
        <f t="shared" ref="J63:K63" si="307">C63*0.9</f>
        <v>389.7</v>
      </c>
      <c r="K63" s="223">
        <f t="shared" si="307"/>
        <v>0</v>
      </c>
      <c r="L63" s="223">
        <f t="shared" ref="L63:M63" si="308">C63*0.85</f>
        <v>368.05</v>
      </c>
      <c r="M63" s="223">
        <f t="shared" si="308"/>
        <v>0</v>
      </c>
      <c r="N63" s="223">
        <f t="shared" ref="N63:O63" si="309">C63*0.83</f>
        <v>359.39</v>
      </c>
      <c r="O63" s="223">
        <f t="shared" si="309"/>
        <v>0</v>
      </c>
      <c r="P63" s="223">
        <f t="shared" ref="P63:Q63" si="310">C63*0.8</f>
        <v>346.4</v>
      </c>
      <c r="Q63" s="223">
        <f t="shared" si="310"/>
        <v>0</v>
      </c>
      <c r="R63" s="231"/>
      <c r="S63" s="235"/>
      <c r="T63" s="231"/>
      <c r="U63" s="236"/>
      <c r="V63" s="239"/>
      <c r="W63" s="236"/>
      <c r="X63" s="238"/>
    </row>
    <row r="64">
      <c r="A64" s="73" t="s">
        <v>6958</v>
      </c>
      <c r="B64" s="86" t="s">
        <v>6959</v>
      </c>
      <c r="C64" s="230">
        <v>574.0</v>
      </c>
      <c r="D64" s="223">
        <f t="shared" si="6"/>
        <v>0</v>
      </c>
      <c r="E64" s="223">
        <f t="shared" si="7"/>
        <v>574</v>
      </c>
      <c r="F64" s="223">
        <f t="shared" si="8"/>
        <v>91.84</v>
      </c>
      <c r="G64" s="223">
        <f t="shared" si="9"/>
        <v>665.84</v>
      </c>
      <c r="H64" s="223">
        <f t="shared" ref="H64:I64" si="311">C64*0.95</f>
        <v>545.3</v>
      </c>
      <c r="I64" s="223">
        <f t="shared" si="311"/>
        <v>0</v>
      </c>
      <c r="J64" s="223">
        <f t="shared" ref="J64:K64" si="312">C64*0.9</f>
        <v>516.6</v>
      </c>
      <c r="K64" s="223">
        <f t="shared" si="312"/>
        <v>0</v>
      </c>
      <c r="L64" s="223">
        <f t="shared" ref="L64:M64" si="313">C64*0.85</f>
        <v>487.9</v>
      </c>
      <c r="M64" s="223">
        <f t="shared" si="313"/>
        <v>0</v>
      </c>
      <c r="N64" s="223">
        <f t="shared" ref="N64:O64" si="314">C64*0.83</f>
        <v>476.42</v>
      </c>
      <c r="O64" s="223">
        <f t="shared" si="314"/>
        <v>0</v>
      </c>
      <c r="P64" s="223">
        <f t="shared" ref="P64:Q64" si="315">C64*0.8</f>
        <v>459.2</v>
      </c>
      <c r="Q64" s="223">
        <f t="shared" si="315"/>
        <v>0</v>
      </c>
      <c r="R64" s="231"/>
      <c r="S64" s="235"/>
      <c r="T64" s="231"/>
      <c r="U64" s="236"/>
      <c r="V64" s="239"/>
      <c r="W64" s="236"/>
      <c r="X64" s="238"/>
    </row>
    <row r="65">
      <c r="A65" s="73" t="s">
        <v>6960</v>
      </c>
      <c r="B65" s="86" t="s">
        <v>6961</v>
      </c>
      <c r="C65" s="230">
        <v>20.0</v>
      </c>
      <c r="D65" s="223">
        <f t="shared" si="6"/>
        <v>0</v>
      </c>
      <c r="E65" s="223">
        <f t="shared" si="7"/>
        <v>20</v>
      </c>
      <c r="F65" s="223">
        <f t="shared" si="8"/>
        <v>3.2</v>
      </c>
      <c r="G65" s="223">
        <f t="shared" si="9"/>
        <v>23.2</v>
      </c>
      <c r="H65" s="223">
        <f t="shared" ref="H65:I65" si="316">C65*0.95</f>
        <v>19</v>
      </c>
      <c r="I65" s="223">
        <f t="shared" si="316"/>
        <v>0</v>
      </c>
      <c r="J65" s="223">
        <f t="shared" ref="J65:K65" si="317">C65*0.9</f>
        <v>18</v>
      </c>
      <c r="K65" s="223">
        <f t="shared" si="317"/>
        <v>0</v>
      </c>
      <c r="L65" s="223">
        <f t="shared" ref="L65:M65" si="318">C65*0.85</f>
        <v>17</v>
      </c>
      <c r="M65" s="223">
        <f t="shared" si="318"/>
        <v>0</v>
      </c>
      <c r="N65" s="223">
        <f t="shared" ref="N65:O65" si="319">C65*0.83</f>
        <v>16.6</v>
      </c>
      <c r="O65" s="223">
        <f t="shared" si="319"/>
        <v>0</v>
      </c>
      <c r="P65" s="223">
        <f t="shared" ref="P65:Q65" si="320">C65*0.8</f>
        <v>16</v>
      </c>
      <c r="Q65" s="223">
        <f t="shared" si="320"/>
        <v>0</v>
      </c>
      <c r="R65" s="231"/>
      <c r="S65" s="235"/>
      <c r="T65" s="231"/>
      <c r="U65" s="236"/>
      <c r="V65" s="239"/>
      <c r="W65" s="236"/>
      <c r="X65" s="238"/>
    </row>
    <row r="66">
      <c r="A66" s="73" t="s">
        <v>6962</v>
      </c>
      <c r="B66" s="86" t="s">
        <v>6963</v>
      </c>
      <c r="C66" s="230">
        <v>223.0</v>
      </c>
      <c r="D66" s="223">
        <f t="shared" si="6"/>
        <v>0</v>
      </c>
      <c r="E66" s="223">
        <f t="shared" si="7"/>
        <v>223</v>
      </c>
      <c r="F66" s="223">
        <f t="shared" si="8"/>
        <v>35.68</v>
      </c>
      <c r="G66" s="223">
        <f t="shared" si="9"/>
        <v>258.68</v>
      </c>
      <c r="H66" s="223">
        <f t="shared" ref="H66:I66" si="321">C66*0.95</f>
        <v>211.85</v>
      </c>
      <c r="I66" s="223">
        <f t="shared" si="321"/>
        <v>0</v>
      </c>
      <c r="J66" s="223">
        <f t="shared" ref="J66:K66" si="322">C66*0.9</f>
        <v>200.7</v>
      </c>
      <c r="K66" s="223">
        <f t="shared" si="322"/>
        <v>0</v>
      </c>
      <c r="L66" s="223">
        <f t="shared" ref="L66:M66" si="323">C66*0.85</f>
        <v>189.55</v>
      </c>
      <c r="M66" s="223">
        <f t="shared" si="323"/>
        <v>0</v>
      </c>
      <c r="N66" s="223">
        <f t="shared" ref="N66:O66" si="324">C66*0.83</f>
        <v>185.09</v>
      </c>
      <c r="O66" s="223">
        <f t="shared" si="324"/>
        <v>0</v>
      </c>
      <c r="P66" s="223">
        <f t="shared" ref="P66:Q66" si="325">C66*0.8</f>
        <v>178.4</v>
      </c>
      <c r="Q66" s="223">
        <f t="shared" si="325"/>
        <v>0</v>
      </c>
      <c r="R66" s="231"/>
      <c r="S66" s="235"/>
      <c r="T66" s="231"/>
      <c r="U66" s="236"/>
      <c r="V66" s="239"/>
      <c r="W66" s="236"/>
      <c r="X66" s="236"/>
    </row>
    <row r="67">
      <c r="A67" s="73" t="s">
        <v>6964</v>
      </c>
      <c r="B67" s="86" t="s">
        <v>6965</v>
      </c>
      <c r="C67" s="230">
        <v>107.0</v>
      </c>
      <c r="D67" s="223">
        <f t="shared" si="6"/>
        <v>0</v>
      </c>
      <c r="E67" s="223">
        <f t="shared" si="7"/>
        <v>107</v>
      </c>
      <c r="F67" s="223">
        <f t="shared" si="8"/>
        <v>17.12</v>
      </c>
      <c r="G67" s="223">
        <f t="shared" si="9"/>
        <v>124.12</v>
      </c>
      <c r="H67" s="223">
        <f t="shared" ref="H67:I67" si="326">C67*0.95</f>
        <v>101.65</v>
      </c>
      <c r="I67" s="223">
        <f t="shared" si="326"/>
        <v>0</v>
      </c>
      <c r="J67" s="223">
        <f t="shared" ref="J67:K67" si="327">C67*0.9</f>
        <v>96.3</v>
      </c>
      <c r="K67" s="223">
        <f t="shared" si="327"/>
        <v>0</v>
      </c>
      <c r="L67" s="223">
        <f t="shared" ref="L67:M67" si="328">C67*0.85</f>
        <v>90.95</v>
      </c>
      <c r="M67" s="223">
        <f t="shared" si="328"/>
        <v>0</v>
      </c>
      <c r="N67" s="223">
        <f t="shared" ref="N67:O67" si="329">C67*0.83</f>
        <v>88.81</v>
      </c>
      <c r="O67" s="223">
        <f t="shared" si="329"/>
        <v>0</v>
      </c>
      <c r="P67" s="223">
        <f t="shared" ref="P67:Q67" si="330">C67*0.8</f>
        <v>85.6</v>
      </c>
      <c r="Q67" s="223">
        <f t="shared" si="330"/>
        <v>0</v>
      </c>
      <c r="R67" s="231"/>
      <c r="S67" s="235"/>
      <c r="T67" s="231"/>
      <c r="U67" s="236"/>
      <c r="V67" s="239"/>
      <c r="W67" s="236"/>
      <c r="X67" s="236"/>
    </row>
    <row r="68">
      <c r="A68" s="73" t="s">
        <v>6966</v>
      </c>
      <c r="B68" s="86" t="s">
        <v>6967</v>
      </c>
      <c r="C68" s="230">
        <v>1073.0</v>
      </c>
      <c r="D68" s="223">
        <f t="shared" si="6"/>
        <v>0</v>
      </c>
      <c r="E68" s="223">
        <f t="shared" si="7"/>
        <v>1073</v>
      </c>
      <c r="F68" s="223">
        <f t="shared" si="8"/>
        <v>171.68</v>
      </c>
      <c r="G68" s="223">
        <f t="shared" si="9"/>
        <v>1244.68</v>
      </c>
      <c r="H68" s="223">
        <f t="shared" ref="H68:I68" si="331">C68*0.95</f>
        <v>1019.35</v>
      </c>
      <c r="I68" s="223">
        <f t="shared" si="331"/>
        <v>0</v>
      </c>
      <c r="J68" s="223">
        <f t="shared" ref="J68:K68" si="332">C68*0.9</f>
        <v>965.7</v>
      </c>
      <c r="K68" s="223">
        <f t="shared" si="332"/>
        <v>0</v>
      </c>
      <c r="L68" s="223">
        <f t="shared" ref="L68:M68" si="333">C68*0.85</f>
        <v>912.05</v>
      </c>
      <c r="M68" s="223">
        <f t="shared" si="333"/>
        <v>0</v>
      </c>
      <c r="N68" s="223">
        <f t="shared" ref="N68:O68" si="334">C68*0.83</f>
        <v>890.59</v>
      </c>
      <c r="O68" s="223">
        <f t="shared" si="334"/>
        <v>0</v>
      </c>
      <c r="P68" s="223">
        <f t="shared" ref="P68:Q68" si="335">C68*0.8</f>
        <v>858.4</v>
      </c>
      <c r="Q68" s="223">
        <f t="shared" si="335"/>
        <v>0</v>
      </c>
      <c r="R68" s="231"/>
      <c r="S68" s="235"/>
      <c r="T68" s="231"/>
      <c r="U68" s="236"/>
      <c r="V68" s="239"/>
      <c r="W68" s="236"/>
      <c r="X68" s="236"/>
    </row>
    <row r="69">
      <c r="A69" s="73" t="s">
        <v>6968</v>
      </c>
      <c r="B69" s="240" t="s">
        <v>6969</v>
      </c>
      <c r="C69" s="230">
        <v>520.0</v>
      </c>
      <c r="D69" s="223">
        <f t="shared" si="6"/>
        <v>0</v>
      </c>
      <c r="E69" s="223">
        <f t="shared" si="7"/>
        <v>520</v>
      </c>
      <c r="F69" s="223">
        <f t="shared" si="8"/>
        <v>83.2</v>
      </c>
      <c r="G69" s="223">
        <f t="shared" si="9"/>
        <v>603.2</v>
      </c>
      <c r="H69" s="223">
        <f t="shared" ref="H69:I69" si="336">C69*0.95</f>
        <v>494</v>
      </c>
      <c r="I69" s="223">
        <f t="shared" si="336"/>
        <v>0</v>
      </c>
      <c r="J69" s="223">
        <f t="shared" ref="J69:K69" si="337">C69*0.9</f>
        <v>468</v>
      </c>
      <c r="K69" s="223">
        <f t="shared" si="337"/>
        <v>0</v>
      </c>
      <c r="L69" s="223">
        <f t="shared" ref="L69:M69" si="338">C69*0.85</f>
        <v>442</v>
      </c>
      <c r="M69" s="223">
        <f t="shared" si="338"/>
        <v>0</v>
      </c>
      <c r="N69" s="223">
        <f t="shared" ref="N69:O69" si="339">C69*0.83</f>
        <v>431.6</v>
      </c>
      <c r="O69" s="223">
        <f t="shared" si="339"/>
        <v>0</v>
      </c>
      <c r="P69" s="223">
        <f t="shared" ref="P69:Q69" si="340">C69*0.8</f>
        <v>416</v>
      </c>
      <c r="Q69" s="223">
        <f t="shared" si="340"/>
        <v>0</v>
      </c>
      <c r="R69" s="231"/>
      <c r="S69" s="235"/>
      <c r="T69" s="231"/>
      <c r="U69" s="236"/>
      <c r="V69" s="239"/>
      <c r="W69" s="236"/>
      <c r="X69" s="236"/>
    </row>
    <row r="70">
      <c r="A70" s="73" t="s">
        <v>6970</v>
      </c>
      <c r="B70" s="240" t="s">
        <v>6971</v>
      </c>
      <c r="C70" s="230">
        <v>222.0</v>
      </c>
      <c r="D70" s="223">
        <f t="shared" si="6"/>
        <v>0</v>
      </c>
      <c r="E70" s="223">
        <f t="shared" si="7"/>
        <v>222</v>
      </c>
      <c r="F70" s="223">
        <f t="shared" si="8"/>
        <v>35.52</v>
      </c>
      <c r="G70" s="223">
        <f t="shared" si="9"/>
        <v>257.52</v>
      </c>
      <c r="H70" s="223">
        <f t="shared" ref="H70:I70" si="341">C70*0.95</f>
        <v>210.9</v>
      </c>
      <c r="I70" s="223">
        <f t="shared" si="341"/>
        <v>0</v>
      </c>
      <c r="J70" s="223">
        <f t="shared" ref="J70:K70" si="342">C70*0.9</f>
        <v>199.8</v>
      </c>
      <c r="K70" s="223">
        <f t="shared" si="342"/>
        <v>0</v>
      </c>
      <c r="L70" s="223">
        <f t="shared" ref="L70:M70" si="343">C70*0.85</f>
        <v>188.7</v>
      </c>
      <c r="M70" s="223">
        <f t="shared" si="343"/>
        <v>0</v>
      </c>
      <c r="N70" s="223">
        <f t="shared" ref="N70:O70" si="344">C70*0.83</f>
        <v>184.26</v>
      </c>
      <c r="O70" s="223">
        <f t="shared" si="344"/>
        <v>0</v>
      </c>
      <c r="P70" s="223">
        <f t="shared" ref="P70:Q70" si="345">C70*0.8</f>
        <v>177.6</v>
      </c>
      <c r="Q70" s="223">
        <f t="shared" si="345"/>
        <v>0</v>
      </c>
      <c r="R70" s="231"/>
      <c r="S70" s="235"/>
      <c r="T70" s="231"/>
      <c r="U70" s="236"/>
      <c r="V70" s="239"/>
      <c r="W70" s="236"/>
      <c r="X70" s="236"/>
    </row>
    <row r="71">
      <c r="A71" s="241" t="s">
        <v>6856</v>
      </c>
      <c r="B71" s="241" t="s">
        <v>6972</v>
      </c>
      <c r="C71" s="230">
        <v>219.0</v>
      </c>
      <c r="D71" s="223">
        <f t="shared" si="6"/>
        <v>0</v>
      </c>
      <c r="E71" s="223">
        <f t="shared" si="7"/>
        <v>219</v>
      </c>
      <c r="F71" s="223">
        <f t="shared" si="8"/>
        <v>35.04</v>
      </c>
      <c r="G71" s="223">
        <f t="shared" si="9"/>
        <v>254.04</v>
      </c>
      <c r="H71" s="223">
        <f t="shared" ref="H71:I71" si="346">C71*0.95</f>
        <v>208.05</v>
      </c>
      <c r="I71" s="223">
        <f t="shared" si="346"/>
        <v>0</v>
      </c>
      <c r="J71" s="223">
        <f t="shared" ref="J71:K71" si="347">C71*0.9</f>
        <v>197.1</v>
      </c>
      <c r="K71" s="223">
        <f t="shared" si="347"/>
        <v>0</v>
      </c>
      <c r="L71" s="223">
        <f t="shared" ref="L71:M71" si="348">C71*0.85</f>
        <v>186.15</v>
      </c>
      <c r="M71" s="223">
        <f t="shared" si="348"/>
        <v>0</v>
      </c>
      <c r="N71" s="223">
        <f>C71*0.83</f>
        <v>181.77</v>
      </c>
      <c r="O71" s="221">
        <v>163.51</v>
      </c>
      <c r="P71" s="223">
        <f t="shared" ref="P71:Q71" si="349">C71*0.8</f>
        <v>175.2</v>
      </c>
      <c r="Q71" s="223">
        <f t="shared" si="349"/>
        <v>0</v>
      </c>
      <c r="R71" s="231"/>
      <c r="S71" s="242"/>
      <c r="T71" s="242"/>
      <c r="U71" s="242"/>
      <c r="V71" s="243"/>
      <c r="W71" s="242"/>
      <c r="X71" s="242"/>
    </row>
    <row r="72">
      <c r="A72" s="242"/>
      <c r="B72" s="242"/>
      <c r="C72" s="242"/>
      <c r="D72" s="242"/>
      <c r="E72" s="244"/>
      <c r="F72" s="231"/>
      <c r="G72" s="231"/>
      <c r="H72" s="231"/>
      <c r="I72" s="231"/>
      <c r="J72" s="231"/>
      <c r="K72" s="231"/>
      <c r="L72" s="231"/>
      <c r="M72" s="231"/>
      <c r="N72" s="231"/>
      <c r="O72" s="231"/>
      <c r="P72" s="231"/>
      <c r="Q72" s="231"/>
      <c r="R72" s="231"/>
      <c r="S72" s="242"/>
      <c r="T72" s="242"/>
      <c r="U72" s="242"/>
      <c r="V72" s="243"/>
      <c r="W72" s="242"/>
      <c r="X72" s="242"/>
    </row>
    <row r="73">
      <c r="A73" s="242"/>
      <c r="B73" s="242"/>
      <c r="C73" s="242"/>
      <c r="D73" s="242"/>
      <c r="E73" s="244"/>
      <c r="F73" s="231"/>
      <c r="G73" s="231"/>
      <c r="H73" s="231"/>
      <c r="I73" s="231"/>
      <c r="J73" s="231"/>
      <c r="K73" s="231"/>
      <c r="L73" s="231"/>
      <c r="M73" s="231"/>
      <c r="N73" s="231"/>
      <c r="O73" s="231"/>
      <c r="P73" s="231"/>
      <c r="Q73" s="231"/>
      <c r="R73" s="231"/>
      <c r="S73" s="242"/>
      <c r="T73" s="242"/>
      <c r="U73" s="242"/>
      <c r="V73" s="243"/>
      <c r="W73" s="242"/>
      <c r="X73" s="242"/>
    </row>
    <row r="74">
      <c r="A74" s="242"/>
      <c r="B74" s="242"/>
      <c r="C74" s="242"/>
      <c r="D74" s="242"/>
      <c r="E74" s="244"/>
      <c r="F74" s="231"/>
      <c r="G74" s="231"/>
      <c r="H74" s="231"/>
      <c r="I74" s="231"/>
      <c r="J74" s="231"/>
      <c r="K74" s="231"/>
      <c r="L74" s="231"/>
      <c r="M74" s="231"/>
      <c r="N74" s="231"/>
      <c r="O74" s="231"/>
      <c r="P74" s="231"/>
      <c r="Q74" s="231"/>
      <c r="R74" s="231"/>
      <c r="S74" s="242"/>
      <c r="T74" s="242"/>
      <c r="U74" s="242"/>
      <c r="V74" s="243"/>
      <c r="W74" s="242"/>
      <c r="X74" s="242"/>
    </row>
    <row r="75">
      <c r="A75" s="242"/>
      <c r="B75" s="242"/>
      <c r="C75" s="242"/>
      <c r="D75" s="242"/>
      <c r="E75" s="244"/>
      <c r="F75" s="231"/>
      <c r="G75" s="231"/>
      <c r="H75" s="231"/>
      <c r="I75" s="231"/>
      <c r="J75" s="231"/>
      <c r="K75" s="231"/>
      <c r="L75" s="231"/>
      <c r="M75" s="231"/>
      <c r="N75" s="231"/>
      <c r="O75" s="231"/>
      <c r="P75" s="231"/>
      <c r="Q75" s="231"/>
      <c r="R75" s="231"/>
      <c r="S75" s="242"/>
      <c r="T75" s="242"/>
      <c r="U75" s="242"/>
      <c r="V75" s="243"/>
      <c r="W75" s="242"/>
      <c r="X75" s="242"/>
    </row>
    <row r="76">
      <c r="A76" s="242"/>
      <c r="B76" s="242"/>
      <c r="C76" s="242"/>
      <c r="D76" s="242"/>
      <c r="E76" s="244"/>
      <c r="F76" s="231"/>
      <c r="G76" s="231"/>
      <c r="H76" s="231"/>
      <c r="I76" s="231"/>
      <c r="J76" s="231"/>
      <c r="K76" s="231"/>
      <c r="L76" s="231"/>
      <c r="M76" s="231"/>
      <c r="N76" s="231"/>
      <c r="O76" s="231"/>
      <c r="P76" s="231"/>
      <c r="Q76" s="231"/>
      <c r="R76" s="231"/>
      <c r="S76" s="242"/>
      <c r="T76" s="242"/>
      <c r="U76" s="242"/>
      <c r="V76" s="243"/>
      <c r="W76" s="242"/>
      <c r="X76" s="242"/>
    </row>
    <row r="77">
      <c r="A77" s="242"/>
      <c r="B77" s="242"/>
      <c r="C77" s="242"/>
      <c r="D77" s="242"/>
      <c r="E77" s="244"/>
      <c r="F77" s="231"/>
      <c r="G77" s="231"/>
      <c r="H77" s="231"/>
      <c r="I77" s="231"/>
      <c r="J77" s="231"/>
      <c r="K77" s="231"/>
      <c r="L77" s="231"/>
      <c r="M77" s="231"/>
      <c r="N77" s="231"/>
      <c r="O77" s="231"/>
      <c r="P77" s="231"/>
      <c r="Q77" s="231"/>
      <c r="R77" s="231"/>
      <c r="S77" s="242"/>
      <c r="T77" s="242"/>
      <c r="U77" s="242"/>
      <c r="V77" s="243"/>
      <c r="W77" s="242"/>
      <c r="X77" s="242"/>
    </row>
    <row r="78">
      <c r="A78" s="242"/>
      <c r="B78" s="242"/>
      <c r="C78" s="242"/>
      <c r="D78" s="242"/>
      <c r="E78" s="244"/>
      <c r="F78" s="231"/>
      <c r="G78" s="231"/>
      <c r="H78" s="231"/>
      <c r="I78" s="231"/>
      <c r="J78" s="231"/>
      <c r="K78" s="231"/>
      <c r="L78" s="231"/>
      <c r="M78" s="231"/>
      <c r="N78" s="231"/>
      <c r="O78" s="231"/>
      <c r="P78" s="231"/>
      <c r="Q78" s="231"/>
      <c r="R78" s="231"/>
      <c r="S78" s="242"/>
      <c r="T78" s="242"/>
      <c r="U78" s="242"/>
      <c r="V78" s="243"/>
      <c r="W78" s="242"/>
      <c r="X78" s="242"/>
    </row>
    <row r="79">
      <c r="A79" s="242"/>
      <c r="B79" s="242"/>
      <c r="C79" s="242"/>
      <c r="D79" s="242"/>
      <c r="E79" s="244"/>
      <c r="F79" s="231"/>
      <c r="G79" s="231"/>
      <c r="H79" s="231"/>
      <c r="I79" s="231"/>
      <c r="J79" s="231"/>
      <c r="K79" s="231"/>
      <c r="L79" s="231"/>
      <c r="M79" s="231"/>
      <c r="N79" s="231"/>
      <c r="O79" s="231"/>
      <c r="P79" s="231"/>
      <c r="Q79" s="231"/>
      <c r="R79" s="231"/>
      <c r="S79" s="236"/>
      <c r="T79" s="236"/>
      <c r="U79" s="236"/>
      <c r="V79" s="239"/>
      <c r="W79" s="236"/>
      <c r="X79" s="236"/>
    </row>
    <row r="80">
      <c r="A80" s="242"/>
      <c r="B80" s="242"/>
      <c r="C80" s="242"/>
      <c r="D80" s="242"/>
      <c r="E80" s="244"/>
      <c r="F80" s="231"/>
      <c r="G80" s="231"/>
      <c r="H80" s="231"/>
      <c r="I80" s="231"/>
      <c r="J80" s="231"/>
      <c r="K80" s="231"/>
      <c r="L80" s="231"/>
      <c r="M80" s="231"/>
      <c r="N80" s="231"/>
      <c r="O80" s="231"/>
      <c r="P80" s="231"/>
      <c r="Q80" s="231"/>
      <c r="R80" s="231"/>
      <c r="S80" s="236"/>
      <c r="T80" s="236"/>
      <c r="U80" s="236"/>
      <c r="V80" s="239"/>
      <c r="W80" s="236"/>
      <c r="X80" s="236"/>
    </row>
    <row r="81">
      <c r="A81" s="242"/>
      <c r="B81" s="242"/>
      <c r="C81" s="242"/>
      <c r="D81" s="242"/>
      <c r="E81" s="244"/>
      <c r="F81" s="231"/>
      <c r="G81" s="231"/>
      <c r="H81" s="231"/>
      <c r="I81" s="231"/>
      <c r="J81" s="231"/>
      <c r="K81" s="231"/>
      <c r="L81" s="231"/>
      <c r="M81" s="231"/>
      <c r="N81" s="231"/>
      <c r="O81" s="231"/>
      <c r="P81" s="231"/>
      <c r="Q81" s="231"/>
      <c r="R81" s="231"/>
      <c r="S81" s="236"/>
      <c r="T81" s="236"/>
      <c r="U81" s="236"/>
      <c r="V81" s="239"/>
      <c r="W81" s="236"/>
      <c r="X81" s="236"/>
    </row>
    <row r="82">
      <c r="A82" s="242"/>
      <c r="B82" s="242"/>
      <c r="C82" s="242"/>
      <c r="D82" s="242"/>
      <c r="E82" s="244"/>
      <c r="F82" s="231"/>
      <c r="G82" s="231"/>
      <c r="H82" s="231"/>
      <c r="I82" s="231"/>
      <c r="J82" s="231"/>
      <c r="K82" s="231"/>
      <c r="L82" s="231"/>
      <c r="M82" s="231"/>
      <c r="N82" s="231"/>
      <c r="O82" s="231"/>
      <c r="P82" s="231"/>
      <c r="Q82" s="231"/>
      <c r="R82" s="231"/>
      <c r="S82" s="236"/>
      <c r="T82" s="236"/>
      <c r="U82" s="236"/>
      <c r="V82" s="239"/>
      <c r="W82" s="236"/>
      <c r="X82" s="236"/>
    </row>
    <row r="83">
      <c r="A83" s="236"/>
      <c r="B83" s="236"/>
      <c r="C83" s="236"/>
      <c r="D83" s="238"/>
      <c r="E83" s="245"/>
      <c r="F83" s="246"/>
      <c r="G83" s="246"/>
      <c r="H83" s="236"/>
      <c r="I83" s="236"/>
      <c r="J83" s="236"/>
      <c r="K83" s="236"/>
      <c r="L83" s="236"/>
      <c r="M83" s="236"/>
      <c r="N83" s="236"/>
      <c r="O83" s="236"/>
      <c r="P83" s="236"/>
      <c r="Q83" s="236"/>
      <c r="R83" s="236"/>
      <c r="S83" s="236"/>
      <c r="T83" s="236"/>
      <c r="U83" s="236"/>
      <c r="V83" s="239"/>
      <c r="W83" s="236"/>
      <c r="X83" s="236"/>
    </row>
    <row r="84">
      <c r="A84" s="236"/>
      <c r="B84" s="236"/>
      <c r="C84" s="236"/>
      <c r="D84" s="238"/>
      <c r="E84" s="245"/>
      <c r="F84" s="246"/>
      <c r="G84" s="246"/>
      <c r="H84" s="236"/>
      <c r="I84" s="236"/>
      <c r="J84" s="236"/>
      <c r="K84" s="236"/>
      <c r="L84" s="236"/>
      <c r="M84" s="236"/>
      <c r="N84" s="236"/>
      <c r="O84" s="236"/>
      <c r="P84" s="236"/>
      <c r="Q84" s="236"/>
      <c r="R84" s="236"/>
      <c r="S84" s="236"/>
      <c r="T84" s="236"/>
      <c r="U84" s="236"/>
      <c r="V84" s="239"/>
      <c r="W84" s="236"/>
      <c r="X84" s="236"/>
    </row>
    <row r="85">
      <c r="A85" s="236"/>
      <c r="B85" s="236"/>
      <c r="C85" s="236"/>
      <c r="D85" s="238"/>
      <c r="E85" s="245"/>
      <c r="F85" s="246"/>
      <c r="G85" s="246"/>
      <c r="H85" s="236"/>
      <c r="I85" s="236"/>
      <c r="J85" s="236"/>
      <c r="K85" s="236"/>
      <c r="L85" s="236"/>
      <c r="M85" s="236"/>
      <c r="N85" s="236"/>
      <c r="O85" s="236"/>
      <c r="P85" s="236"/>
      <c r="Q85" s="236"/>
      <c r="R85" s="236"/>
      <c r="S85" s="236"/>
      <c r="T85" s="236"/>
      <c r="U85" s="236"/>
      <c r="V85" s="239"/>
      <c r="W85" s="236"/>
      <c r="X85" s="236"/>
    </row>
    <row r="86">
      <c r="A86" s="236"/>
      <c r="B86" s="236"/>
      <c r="C86" s="236"/>
      <c r="D86" s="238"/>
      <c r="E86" s="245"/>
      <c r="F86" s="246"/>
      <c r="G86" s="246"/>
      <c r="H86" s="236"/>
      <c r="I86" s="236"/>
      <c r="J86" s="236"/>
      <c r="K86" s="236"/>
      <c r="L86" s="236"/>
      <c r="M86" s="236"/>
      <c r="N86" s="236"/>
      <c r="O86" s="236"/>
      <c r="P86" s="236"/>
      <c r="Q86" s="236"/>
      <c r="R86" s="236"/>
      <c r="S86" s="236"/>
      <c r="T86" s="236"/>
      <c r="U86" s="236"/>
      <c r="V86" s="239"/>
      <c r="W86" s="236"/>
      <c r="X86" s="236"/>
    </row>
    <row r="87">
      <c r="A87" s="236"/>
      <c r="B87" s="236"/>
      <c r="C87" s="236"/>
      <c r="D87" s="238"/>
      <c r="E87" s="245"/>
      <c r="F87" s="246"/>
      <c r="G87" s="246"/>
      <c r="H87" s="236"/>
      <c r="I87" s="236"/>
      <c r="J87" s="236"/>
      <c r="K87" s="236"/>
      <c r="L87" s="236"/>
      <c r="M87" s="236"/>
      <c r="N87" s="236"/>
      <c r="O87" s="236"/>
      <c r="P87" s="236"/>
      <c r="Q87" s="236"/>
      <c r="R87" s="236"/>
      <c r="S87" s="236"/>
      <c r="T87" s="236"/>
      <c r="U87" s="236"/>
      <c r="V87" s="239"/>
      <c r="W87" s="236"/>
      <c r="X87" s="236"/>
    </row>
    <row r="88">
      <c r="A88" s="236"/>
      <c r="B88" s="236"/>
      <c r="C88" s="236"/>
      <c r="D88" s="238"/>
      <c r="E88" s="245"/>
      <c r="F88" s="246"/>
      <c r="G88" s="246"/>
      <c r="H88" s="236"/>
      <c r="I88" s="236"/>
      <c r="J88" s="236"/>
      <c r="K88" s="236"/>
      <c r="L88" s="236"/>
      <c r="M88" s="236"/>
      <c r="N88" s="236"/>
      <c r="O88" s="236"/>
      <c r="P88" s="236"/>
      <c r="Q88" s="236"/>
      <c r="R88" s="236"/>
      <c r="S88" s="242"/>
      <c r="T88" s="242"/>
      <c r="U88" s="242"/>
      <c r="V88" s="243"/>
      <c r="W88" s="242"/>
      <c r="X88" s="242"/>
    </row>
    <row r="89">
      <c r="A89" s="236"/>
      <c r="B89" s="236"/>
      <c r="C89" s="236"/>
      <c r="D89" s="238"/>
      <c r="E89" s="245"/>
      <c r="F89" s="246"/>
      <c r="G89" s="246"/>
      <c r="H89" s="236"/>
      <c r="I89" s="236"/>
      <c r="J89" s="236"/>
      <c r="K89" s="236"/>
      <c r="L89" s="236"/>
      <c r="M89" s="236"/>
      <c r="N89" s="236"/>
      <c r="O89" s="236"/>
      <c r="P89" s="236"/>
      <c r="Q89" s="236"/>
      <c r="R89" s="236"/>
      <c r="S89" s="242"/>
      <c r="T89" s="242"/>
      <c r="U89" s="242"/>
      <c r="V89" s="243"/>
      <c r="W89" s="242"/>
      <c r="X89" s="242"/>
    </row>
    <row r="90">
      <c r="A90" s="236"/>
      <c r="B90" s="236"/>
      <c r="C90" s="236"/>
      <c r="D90" s="238"/>
      <c r="E90" s="245"/>
      <c r="F90" s="246"/>
      <c r="G90" s="246"/>
      <c r="H90" s="236"/>
      <c r="I90" s="236"/>
      <c r="J90" s="236"/>
      <c r="K90" s="236"/>
      <c r="L90" s="236"/>
      <c r="M90" s="236"/>
      <c r="N90" s="236"/>
      <c r="O90" s="236"/>
      <c r="P90" s="236"/>
      <c r="Q90" s="236"/>
      <c r="R90" s="236"/>
      <c r="S90" s="242"/>
      <c r="T90" s="242"/>
      <c r="U90" s="242"/>
      <c r="V90" s="243"/>
      <c r="W90" s="242"/>
      <c r="X90" s="242"/>
    </row>
    <row r="91">
      <c r="A91" s="236"/>
      <c r="B91" s="236"/>
      <c r="C91" s="236"/>
      <c r="D91" s="238"/>
      <c r="E91" s="245"/>
      <c r="F91" s="246"/>
      <c r="G91" s="246"/>
      <c r="H91" s="236"/>
      <c r="I91" s="236"/>
      <c r="J91" s="236"/>
      <c r="K91" s="236"/>
      <c r="L91" s="236"/>
      <c r="M91" s="236"/>
      <c r="N91" s="236"/>
      <c r="O91" s="236"/>
      <c r="P91" s="236"/>
      <c r="Q91" s="236"/>
      <c r="R91" s="236"/>
      <c r="S91" s="242"/>
      <c r="T91" s="242"/>
      <c r="U91" s="242"/>
      <c r="V91" s="243"/>
      <c r="W91" s="242"/>
      <c r="X91" s="242"/>
    </row>
    <row r="92">
      <c r="A92" s="236"/>
      <c r="B92" s="236"/>
      <c r="C92" s="236"/>
      <c r="D92" s="238"/>
      <c r="E92" s="245"/>
      <c r="F92" s="246"/>
      <c r="G92" s="246"/>
      <c r="H92" s="236"/>
      <c r="I92" s="236"/>
      <c r="J92" s="236"/>
      <c r="K92" s="236"/>
      <c r="L92" s="236"/>
      <c r="M92" s="236"/>
      <c r="N92" s="236"/>
      <c r="O92" s="236"/>
      <c r="P92" s="236"/>
      <c r="Q92" s="236"/>
      <c r="R92" s="236"/>
      <c r="S92" s="236"/>
      <c r="T92" s="236"/>
      <c r="U92" s="236"/>
      <c r="V92" s="239"/>
      <c r="W92" s="236"/>
      <c r="X92" s="236"/>
    </row>
    <row r="93">
      <c r="A93" s="236"/>
      <c r="B93" s="236"/>
      <c r="C93" s="236"/>
      <c r="D93" s="238"/>
      <c r="E93" s="245"/>
      <c r="F93" s="246"/>
      <c r="G93" s="246"/>
      <c r="H93" s="236"/>
      <c r="I93" s="236"/>
      <c r="J93" s="236"/>
      <c r="K93" s="236"/>
      <c r="L93" s="236"/>
      <c r="M93" s="236"/>
      <c r="N93" s="236"/>
      <c r="O93" s="236"/>
      <c r="P93" s="236"/>
      <c r="Q93" s="236"/>
      <c r="R93" s="236"/>
      <c r="S93" s="236"/>
      <c r="T93" s="236"/>
      <c r="U93" s="236"/>
      <c r="V93" s="239"/>
      <c r="W93" s="236"/>
      <c r="X93" s="236"/>
    </row>
    <row r="94">
      <c r="A94" s="236"/>
      <c r="B94" s="236"/>
      <c r="C94" s="236"/>
      <c r="D94" s="238"/>
      <c r="E94" s="245"/>
      <c r="F94" s="246"/>
      <c r="G94" s="246"/>
      <c r="H94" s="236"/>
      <c r="I94" s="236"/>
      <c r="J94" s="236"/>
      <c r="K94" s="236"/>
      <c r="L94" s="236"/>
      <c r="M94" s="236"/>
      <c r="N94" s="236"/>
      <c r="O94" s="236"/>
      <c r="P94" s="236"/>
      <c r="Q94" s="236"/>
      <c r="R94" s="236"/>
      <c r="S94" s="236"/>
      <c r="T94" s="236"/>
      <c r="U94" s="236"/>
      <c r="V94" s="239"/>
      <c r="W94" s="236"/>
      <c r="X94" s="236"/>
    </row>
    <row r="95">
      <c r="A95" s="236"/>
      <c r="B95" s="236"/>
      <c r="C95" s="236"/>
      <c r="D95" s="238"/>
      <c r="E95" s="245"/>
      <c r="F95" s="246"/>
      <c r="G95" s="246"/>
      <c r="H95" s="236"/>
      <c r="I95" s="236"/>
      <c r="J95" s="236"/>
      <c r="K95" s="236"/>
      <c r="L95" s="236"/>
      <c r="M95" s="236"/>
      <c r="N95" s="236"/>
      <c r="O95" s="236"/>
      <c r="P95" s="236"/>
      <c r="Q95" s="236"/>
      <c r="R95" s="236"/>
      <c r="S95" s="236"/>
      <c r="T95" s="236"/>
      <c r="U95" s="236"/>
      <c r="V95" s="239"/>
      <c r="W95" s="236"/>
      <c r="X95" s="236"/>
    </row>
    <row r="96">
      <c r="A96" s="236"/>
      <c r="B96" s="236"/>
      <c r="C96" s="236"/>
      <c r="D96" s="238"/>
      <c r="E96" s="245"/>
      <c r="F96" s="246"/>
      <c r="G96" s="246"/>
      <c r="H96" s="236"/>
      <c r="I96" s="236"/>
      <c r="J96" s="236"/>
      <c r="K96" s="236"/>
      <c r="L96" s="236"/>
      <c r="M96" s="236"/>
      <c r="N96" s="236"/>
      <c r="O96" s="236"/>
      <c r="P96" s="236"/>
      <c r="Q96" s="236"/>
      <c r="R96" s="236"/>
      <c r="S96" s="236"/>
      <c r="T96" s="236"/>
      <c r="U96" s="236"/>
      <c r="V96" s="239"/>
      <c r="W96" s="236"/>
      <c r="X96" s="236"/>
    </row>
    <row r="97">
      <c r="A97" s="236"/>
      <c r="B97" s="236"/>
      <c r="C97" s="236"/>
      <c r="D97" s="238"/>
      <c r="E97" s="245"/>
      <c r="F97" s="246"/>
      <c r="G97" s="246"/>
      <c r="H97" s="236"/>
      <c r="I97" s="236"/>
      <c r="J97" s="236"/>
      <c r="K97" s="236"/>
      <c r="L97" s="236"/>
      <c r="M97" s="236"/>
      <c r="N97" s="236"/>
      <c r="O97" s="236"/>
      <c r="P97" s="236"/>
      <c r="Q97" s="236"/>
      <c r="R97" s="236"/>
      <c r="S97" s="236"/>
      <c r="T97" s="236"/>
      <c r="U97" s="236"/>
      <c r="V97" s="239"/>
      <c r="W97" s="236"/>
      <c r="X97" s="236"/>
    </row>
    <row r="98">
      <c r="A98" s="236"/>
      <c r="B98" s="236"/>
      <c r="C98" s="236"/>
      <c r="D98" s="238"/>
      <c r="E98" s="245"/>
      <c r="F98" s="246"/>
      <c r="G98" s="246"/>
      <c r="H98" s="236"/>
      <c r="I98" s="236"/>
      <c r="J98" s="236"/>
      <c r="K98" s="236"/>
      <c r="L98" s="236"/>
      <c r="M98" s="236"/>
      <c r="N98" s="236"/>
      <c r="O98" s="236"/>
      <c r="P98" s="236"/>
      <c r="Q98" s="236"/>
      <c r="R98" s="236"/>
      <c r="S98" s="236"/>
      <c r="T98" s="236"/>
      <c r="U98" s="236"/>
      <c r="V98" s="239"/>
      <c r="W98" s="236"/>
      <c r="X98" s="236"/>
    </row>
    <row r="99">
      <c r="A99" s="236"/>
      <c r="B99" s="236"/>
      <c r="C99" s="236"/>
      <c r="D99" s="238"/>
      <c r="E99" s="245"/>
      <c r="F99" s="246"/>
      <c r="G99" s="246"/>
      <c r="H99" s="236"/>
      <c r="I99" s="236"/>
      <c r="J99" s="236"/>
      <c r="K99" s="236"/>
      <c r="L99" s="236"/>
      <c r="M99" s="236"/>
      <c r="N99" s="236"/>
      <c r="O99" s="236"/>
      <c r="P99" s="236"/>
      <c r="Q99" s="236"/>
      <c r="R99" s="236"/>
      <c r="S99" s="236"/>
      <c r="T99" s="236"/>
      <c r="U99" s="236"/>
      <c r="V99" s="239"/>
      <c r="W99" s="236"/>
      <c r="X99" s="236"/>
    </row>
    <row r="100">
      <c r="A100" s="236"/>
      <c r="B100" s="236"/>
      <c r="C100" s="236"/>
      <c r="D100" s="238"/>
      <c r="E100" s="245"/>
      <c r="F100" s="246"/>
      <c r="G100" s="246"/>
      <c r="H100" s="236"/>
      <c r="I100" s="236"/>
      <c r="J100" s="236"/>
      <c r="K100" s="236"/>
      <c r="L100" s="236"/>
      <c r="M100" s="236"/>
      <c r="N100" s="236"/>
      <c r="O100" s="236"/>
      <c r="P100" s="236"/>
      <c r="Q100" s="236"/>
      <c r="R100" s="236"/>
      <c r="S100" s="236"/>
      <c r="T100" s="236"/>
      <c r="U100" s="236"/>
      <c r="V100" s="239"/>
      <c r="W100" s="236"/>
      <c r="X100" s="236"/>
    </row>
    <row r="101">
      <c r="A101" s="236"/>
      <c r="B101" s="236"/>
      <c r="C101" s="236"/>
      <c r="D101" s="238"/>
      <c r="E101" s="245"/>
      <c r="F101" s="246"/>
      <c r="G101" s="246"/>
      <c r="H101" s="236"/>
      <c r="I101" s="236"/>
      <c r="J101" s="236"/>
      <c r="K101" s="236"/>
      <c r="L101" s="236"/>
      <c r="M101" s="236"/>
      <c r="N101" s="236"/>
      <c r="O101" s="236"/>
      <c r="P101" s="236"/>
      <c r="Q101" s="236"/>
      <c r="R101" s="236"/>
      <c r="S101" s="236"/>
      <c r="T101" s="236"/>
      <c r="U101" s="236"/>
      <c r="V101" s="239"/>
      <c r="W101" s="236"/>
      <c r="X101" s="236"/>
    </row>
    <row r="102">
      <c r="A102" s="236"/>
      <c r="B102" s="236"/>
      <c r="C102" s="236"/>
      <c r="D102" s="238"/>
      <c r="E102" s="245"/>
      <c r="F102" s="246"/>
      <c r="G102" s="246"/>
      <c r="H102" s="236"/>
      <c r="I102" s="236"/>
      <c r="J102" s="236"/>
      <c r="K102" s="236"/>
      <c r="L102" s="236"/>
      <c r="M102" s="236"/>
      <c r="N102" s="236"/>
      <c r="O102" s="236"/>
      <c r="P102" s="236"/>
      <c r="Q102" s="236"/>
      <c r="R102" s="236"/>
      <c r="S102" s="236"/>
      <c r="T102" s="236"/>
      <c r="U102" s="236"/>
      <c r="V102" s="239"/>
      <c r="W102" s="236"/>
      <c r="X102" s="236"/>
    </row>
    <row r="103">
      <c r="A103" s="236"/>
      <c r="B103" s="236"/>
      <c r="C103" s="236"/>
      <c r="D103" s="238"/>
      <c r="E103" s="245"/>
      <c r="F103" s="246"/>
      <c r="G103" s="246"/>
      <c r="H103" s="236"/>
      <c r="I103" s="236"/>
      <c r="J103" s="236"/>
      <c r="K103" s="236"/>
      <c r="L103" s="236"/>
      <c r="M103" s="236"/>
      <c r="N103" s="236"/>
      <c r="O103" s="236"/>
      <c r="P103" s="236"/>
      <c r="Q103" s="236"/>
      <c r="R103" s="236"/>
      <c r="S103" s="236"/>
      <c r="T103" s="236"/>
      <c r="U103" s="236"/>
      <c r="V103" s="239"/>
      <c r="W103" s="236"/>
      <c r="X103" s="236"/>
    </row>
    <row r="104">
      <c r="A104" s="236"/>
      <c r="B104" s="236"/>
      <c r="C104" s="236"/>
      <c r="D104" s="238"/>
      <c r="E104" s="245"/>
      <c r="F104" s="246"/>
      <c r="G104" s="246"/>
      <c r="H104" s="236"/>
      <c r="I104" s="236"/>
      <c r="J104" s="236"/>
      <c r="K104" s="236"/>
      <c r="L104" s="236"/>
      <c r="M104" s="236"/>
      <c r="N104" s="236"/>
      <c r="O104" s="236"/>
      <c r="P104" s="236"/>
      <c r="Q104" s="236"/>
      <c r="R104" s="236"/>
      <c r="S104" s="236"/>
      <c r="T104" s="236"/>
      <c r="U104" s="236"/>
      <c r="V104" s="239"/>
      <c r="W104" s="236"/>
      <c r="X104" s="236"/>
    </row>
    <row r="105">
      <c r="A105" s="236"/>
      <c r="B105" s="236"/>
      <c r="C105" s="236"/>
      <c r="D105" s="238"/>
      <c r="E105" s="245"/>
      <c r="F105" s="246"/>
      <c r="G105" s="246"/>
      <c r="H105" s="236"/>
      <c r="I105" s="236"/>
      <c r="J105" s="236"/>
      <c r="K105" s="236"/>
      <c r="L105" s="236"/>
      <c r="M105" s="236"/>
      <c r="N105" s="236"/>
      <c r="O105" s="236"/>
      <c r="P105" s="236"/>
      <c r="Q105" s="236"/>
      <c r="R105" s="236"/>
      <c r="S105" s="236"/>
      <c r="T105" s="236"/>
      <c r="U105" s="236"/>
      <c r="V105" s="239"/>
      <c r="W105" s="236"/>
      <c r="X105" s="236"/>
    </row>
    <row r="106">
      <c r="A106" s="236"/>
      <c r="B106" s="236"/>
      <c r="C106" s="236"/>
      <c r="D106" s="238"/>
      <c r="E106" s="245"/>
      <c r="F106" s="246"/>
      <c r="G106" s="246"/>
      <c r="H106" s="236"/>
      <c r="I106" s="236"/>
      <c r="J106" s="236"/>
      <c r="K106" s="236"/>
      <c r="L106" s="236"/>
      <c r="M106" s="236"/>
      <c r="N106" s="236"/>
      <c r="O106" s="236"/>
      <c r="P106" s="236"/>
      <c r="Q106" s="236"/>
      <c r="R106" s="236"/>
      <c r="S106" s="236"/>
      <c r="T106" s="236"/>
      <c r="U106" s="236"/>
      <c r="V106" s="239"/>
      <c r="W106" s="236"/>
      <c r="X106" s="236"/>
    </row>
    <row r="107">
      <c r="A107" s="236"/>
      <c r="B107" s="236"/>
      <c r="C107" s="236"/>
      <c r="D107" s="238"/>
      <c r="E107" s="245"/>
      <c r="F107" s="246"/>
      <c r="G107" s="246"/>
      <c r="H107" s="236"/>
      <c r="I107" s="236"/>
      <c r="J107" s="236"/>
      <c r="K107" s="236"/>
      <c r="L107" s="236"/>
      <c r="M107" s="236"/>
      <c r="N107" s="236"/>
      <c r="O107" s="236"/>
      <c r="P107" s="236"/>
      <c r="Q107" s="236"/>
      <c r="R107" s="236"/>
      <c r="S107" s="236"/>
      <c r="T107" s="236"/>
      <c r="U107" s="236"/>
      <c r="V107" s="239"/>
      <c r="W107" s="236"/>
      <c r="X107" s="236"/>
    </row>
    <row r="108">
      <c r="A108" s="236"/>
      <c r="B108" s="236"/>
      <c r="C108" s="236"/>
      <c r="D108" s="238"/>
      <c r="E108" s="245"/>
      <c r="F108" s="246"/>
      <c r="G108" s="246"/>
      <c r="H108" s="236"/>
      <c r="I108" s="236"/>
      <c r="J108" s="236"/>
      <c r="K108" s="236"/>
      <c r="L108" s="236"/>
      <c r="M108" s="236"/>
      <c r="N108" s="236"/>
      <c r="O108" s="236"/>
      <c r="P108" s="236"/>
      <c r="Q108" s="236"/>
      <c r="R108" s="236"/>
      <c r="S108" s="236"/>
      <c r="T108" s="236"/>
      <c r="U108" s="236"/>
      <c r="V108" s="239"/>
      <c r="W108" s="236"/>
      <c r="X108" s="236"/>
    </row>
    <row r="109">
      <c r="A109" s="236"/>
      <c r="B109" s="236"/>
      <c r="C109" s="236"/>
      <c r="D109" s="238"/>
      <c r="E109" s="245"/>
      <c r="F109" s="246"/>
      <c r="G109" s="246"/>
      <c r="H109" s="236"/>
      <c r="I109" s="236"/>
      <c r="J109" s="236"/>
      <c r="K109" s="236"/>
      <c r="L109" s="236"/>
      <c r="M109" s="236"/>
      <c r="N109" s="236"/>
      <c r="O109" s="236"/>
      <c r="P109" s="236"/>
      <c r="Q109" s="236"/>
      <c r="R109" s="236"/>
      <c r="S109" s="236"/>
      <c r="T109" s="236"/>
      <c r="U109" s="236"/>
      <c r="V109" s="239"/>
      <c r="W109" s="236"/>
      <c r="X109" s="236"/>
    </row>
    <row r="110">
      <c r="A110" s="236"/>
      <c r="B110" s="236"/>
      <c r="C110" s="236"/>
      <c r="D110" s="238"/>
      <c r="E110" s="245"/>
      <c r="F110" s="246"/>
      <c r="G110" s="246"/>
      <c r="H110" s="236"/>
      <c r="I110" s="236"/>
      <c r="J110" s="236"/>
      <c r="K110" s="236"/>
      <c r="L110" s="236"/>
      <c r="M110" s="236"/>
      <c r="N110" s="236"/>
      <c r="O110" s="236"/>
      <c r="P110" s="236"/>
      <c r="Q110" s="236"/>
      <c r="R110" s="236"/>
      <c r="S110" s="236"/>
      <c r="T110" s="236"/>
      <c r="U110" s="236"/>
      <c r="V110" s="239"/>
      <c r="W110" s="236"/>
      <c r="X110" s="236"/>
    </row>
    <row r="111">
      <c r="A111" s="236"/>
      <c r="B111" s="236"/>
      <c r="C111" s="236"/>
      <c r="D111" s="238"/>
      <c r="E111" s="245"/>
      <c r="F111" s="246"/>
      <c r="G111" s="246"/>
      <c r="H111" s="236"/>
      <c r="I111" s="236"/>
      <c r="J111" s="236"/>
      <c r="K111" s="236"/>
      <c r="L111" s="236"/>
      <c r="M111" s="236"/>
      <c r="N111" s="236"/>
      <c r="O111" s="236"/>
      <c r="P111" s="236"/>
      <c r="Q111" s="236"/>
      <c r="R111" s="236"/>
      <c r="S111" s="236"/>
      <c r="T111" s="236"/>
      <c r="U111" s="236"/>
      <c r="V111" s="239"/>
      <c r="W111" s="236"/>
      <c r="X111" s="236"/>
    </row>
    <row r="112">
      <c r="A112" s="236"/>
      <c r="B112" s="236"/>
      <c r="C112" s="236"/>
      <c r="D112" s="238"/>
      <c r="E112" s="245"/>
      <c r="F112" s="246"/>
      <c r="G112" s="246"/>
      <c r="H112" s="236"/>
      <c r="I112" s="236"/>
      <c r="J112" s="236"/>
      <c r="K112" s="236"/>
      <c r="L112" s="236"/>
      <c r="M112" s="236"/>
      <c r="N112" s="236"/>
      <c r="O112" s="236"/>
      <c r="P112" s="236"/>
      <c r="Q112" s="236"/>
      <c r="R112" s="236"/>
      <c r="S112" s="236"/>
      <c r="T112" s="236"/>
      <c r="U112" s="236"/>
      <c r="V112" s="239"/>
      <c r="W112" s="236"/>
      <c r="X112" s="236"/>
    </row>
    <row r="113">
      <c r="A113" s="236"/>
      <c r="B113" s="236"/>
      <c r="C113" s="236"/>
      <c r="D113" s="238"/>
      <c r="E113" s="245"/>
      <c r="F113" s="246"/>
      <c r="G113" s="246"/>
      <c r="H113" s="236"/>
      <c r="I113" s="236"/>
      <c r="J113" s="236"/>
      <c r="K113" s="236"/>
      <c r="L113" s="236"/>
      <c r="M113" s="236"/>
      <c r="N113" s="236"/>
      <c r="O113" s="236"/>
      <c r="P113" s="236"/>
      <c r="Q113" s="236"/>
      <c r="R113" s="236"/>
      <c r="S113" s="236"/>
      <c r="T113" s="236"/>
      <c r="U113" s="236"/>
      <c r="V113" s="239"/>
      <c r="W113" s="236"/>
      <c r="X113" s="236"/>
    </row>
    <row r="114">
      <c r="A114" s="236"/>
      <c r="B114" s="236"/>
      <c r="C114" s="236"/>
      <c r="D114" s="238"/>
      <c r="E114" s="245"/>
      <c r="F114" s="246"/>
      <c r="G114" s="246"/>
      <c r="H114" s="236"/>
      <c r="I114" s="236"/>
      <c r="J114" s="236"/>
      <c r="K114" s="236"/>
      <c r="L114" s="236"/>
      <c r="M114" s="236"/>
      <c r="N114" s="236"/>
      <c r="O114" s="236"/>
      <c r="P114" s="236"/>
      <c r="Q114" s="236"/>
      <c r="R114" s="236"/>
      <c r="S114" s="236"/>
      <c r="T114" s="236"/>
      <c r="U114" s="236"/>
      <c r="V114" s="239"/>
      <c r="W114" s="236"/>
      <c r="X114" s="236"/>
    </row>
    <row r="115">
      <c r="A115" s="236"/>
      <c r="B115" s="236"/>
      <c r="C115" s="236"/>
      <c r="D115" s="238"/>
      <c r="E115" s="245"/>
      <c r="F115" s="246"/>
      <c r="G115" s="246"/>
      <c r="H115" s="236"/>
      <c r="I115" s="236"/>
      <c r="J115" s="236"/>
      <c r="K115" s="236"/>
      <c r="L115" s="236"/>
      <c r="M115" s="236"/>
      <c r="N115" s="236"/>
      <c r="O115" s="236"/>
      <c r="P115" s="236"/>
      <c r="Q115" s="236"/>
      <c r="R115" s="236"/>
      <c r="S115" s="236"/>
      <c r="T115" s="236"/>
      <c r="U115" s="236"/>
      <c r="V115" s="239"/>
      <c r="W115" s="236"/>
      <c r="X115" s="236"/>
    </row>
    <row r="116">
      <c r="A116" s="236"/>
      <c r="B116" s="236"/>
      <c r="C116" s="236"/>
      <c r="D116" s="238"/>
      <c r="E116" s="245"/>
      <c r="F116" s="246"/>
      <c r="G116" s="246"/>
      <c r="H116" s="236"/>
      <c r="I116" s="236"/>
      <c r="J116" s="236"/>
      <c r="K116" s="236"/>
      <c r="L116" s="236"/>
      <c r="M116" s="236"/>
      <c r="N116" s="236"/>
      <c r="O116" s="236"/>
      <c r="P116" s="236"/>
      <c r="Q116" s="236"/>
      <c r="R116" s="236"/>
      <c r="S116" s="236"/>
      <c r="T116" s="236"/>
      <c r="U116" s="236"/>
      <c r="V116" s="239"/>
      <c r="W116" s="236"/>
      <c r="X116" s="236"/>
    </row>
    <row r="117">
      <c r="A117" s="236"/>
      <c r="B117" s="236"/>
      <c r="C117" s="236"/>
      <c r="D117" s="238"/>
      <c r="E117" s="245"/>
      <c r="F117" s="246"/>
      <c r="G117" s="246"/>
      <c r="H117" s="236"/>
      <c r="I117" s="236"/>
      <c r="J117" s="236"/>
      <c r="K117" s="236"/>
      <c r="L117" s="236"/>
      <c r="M117" s="236"/>
      <c r="N117" s="236"/>
      <c r="O117" s="236"/>
      <c r="P117" s="236"/>
      <c r="Q117" s="236"/>
      <c r="R117" s="236"/>
      <c r="S117" s="236"/>
      <c r="T117" s="236"/>
      <c r="U117" s="236"/>
      <c r="V117" s="239"/>
      <c r="W117" s="236"/>
      <c r="X117" s="236"/>
    </row>
    <row r="118">
      <c r="A118" s="236"/>
      <c r="B118" s="236"/>
      <c r="C118" s="236"/>
      <c r="D118" s="238"/>
      <c r="E118" s="245"/>
      <c r="F118" s="246"/>
      <c r="G118" s="246"/>
      <c r="H118" s="236"/>
      <c r="I118" s="236"/>
      <c r="J118" s="236"/>
      <c r="K118" s="236"/>
      <c r="L118" s="236"/>
      <c r="M118" s="236"/>
      <c r="N118" s="236"/>
      <c r="O118" s="236"/>
      <c r="P118" s="236"/>
      <c r="Q118" s="236"/>
      <c r="R118" s="236"/>
      <c r="S118" s="236"/>
      <c r="T118" s="236"/>
      <c r="U118" s="236"/>
      <c r="V118" s="239"/>
      <c r="W118" s="236"/>
      <c r="X118" s="236"/>
    </row>
    <row r="119">
      <c r="A119" s="236"/>
      <c r="B119" s="236"/>
      <c r="C119" s="236"/>
      <c r="D119" s="238"/>
      <c r="E119" s="245"/>
      <c r="F119" s="246"/>
      <c r="G119" s="246"/>
      <c r="H119" s="236"/>
      <c r="I119" s="236"/>
      <c r="J119" s="236"/>
      <c r="K119" s="236"/>
      <c r="L119" s="236"/>
      <c r="M119" s="236"/>
      <c r="N119" s="236"/>
      <c r="O119" s="236"/>
      <c r="P119" s="236"/>
      <c r="Q119" s="236"/>
      <c r="R119" s="236"/>
      <c r="S119" s="236"/>
      <c r="T119" s="236"/>
      <c r="U119" s="236"/>
      <c r="V119" s="239"/>
      <c r="W119" s="236"/>
      <c r="X119" s="236"/>
    </row>
    <row r="120">
      <c r="A120" s="236"/>
      <c r="B120" s="236"/>
      <c r="C120" s="236"/>
      <c r="D120" s="238"/>
      <c r="E120" s="245"/>
      <c r="F120" s="246"/>
      <c r="G120" s="246"/>
      <c r="H120" s="236"/>
      <c r="I120" s="236"/>
      <c r="J120" s="236"/>
      <c r="K120" s="236"/>
      <c r="L120" s="236"/>
      <c r="M120" s="236"/>
      <c r="N120" s="236"/>
      <c r="O120" s="236"/>
      <c r="P120" s="236"/>
      <c r="Q120" s="236"/>
      <c r="R120" s="236"/>
      <c r="S120" s="236"/>
      <c r="T120" s="236"/>
      <c r="U120" s="236"/>
      <c r="V120" s="239"/>
      <c r="W120" s="236"/>
      <c r="X120" s="236"/>
    </row>
    <row r="121">
      <c r="A121" s="236"/>
      <c r="B121" s="236"/>
      <c r="C121" s="236"/>
      <c r="D121" s="238"/>
      <c r="E121" s="245"/>
      <c r="F121" s="246"/>
      <c r="G121" s="246"/>
      <c r="H121" s="236"/>
      <c r="I121" s="236"/>
      <c r="J121" s="236"/>
      <c r="K121" s="236"/>
      <c r="L121" s="236"/>
      <c r="M121" s="236"/>
      <c r="N121" s="236"/>
      <c r="O121" s="236"/>
      <c r="P121" s="236"/>
      <c r="Q121" s="236"/>
      <c r="R121" s="236"/>
      <c r="S121" s="236"/>
      <c r="T121" s="236"/>
      <c r="U121" s="236"/>
      <c r="V121" s="239"/>
      <c r="W121" s="236"/>
      <c r="X121" s="236"/>
    </row>
    <row r="122">
      <c r="A122" s="236"/>
      <c r="B122" s="236"/>
      <c r="C122" s="236"/>
      <c r="D122" s="238"/>
      <c r="E122" s="245"/>
      <c r="F122" s="246"/>
      <c r="G122" s="246"/>
      <c r="H122" s="236"/>
      <c r="I122" s="236"/>
      <c r="J122" s="236"/>
      <c r="K122" s="236"/>
      <c r="L122" s="236"/>
      <c r="M122" s="236"/>
      <c r="N122" s="236"/>
      <c r="O122" s="236"/>
      <c r="P122" s="236"/>
      <c r="Q122" s="236"/>
      <c r="R122" s="236"/>
      <c r="S122" s="236"/>
      <c r="T122" s="236"/>
      <c r="U122" s="236"/>
      <c r="V122" s="239"/>
      <c r="W122" s="236"/>
      <c r="X122" s="236"/>
    </row>
    <row r="123">
      <c r="A123" s="236"/>
      <c r="B123" s="236"/>
      <c r="C123" s="236"/>
      <c r="D123" s="238"/>
      <c r="E123" s="245"/>
      <c r="F123" s="246"/>
      <c r="G123" s="246"/>
      <c r="H123" s="236"/>
      <c r="I123" s="236"/>
      <c r="J123" s="236"/>
      <c r="K123" s="236"/>
      <c r="L123" s="236"/>
      <c r="M123" s="236"/>
      <c r="N123" s="236"/>
      <c r="O123" s="236"/>
      <c r="P123" s="236"/>
      <c r="Q123" s="236"/>
      <c r="R123" s="236"/>
      <c r="S123" s="236"/>
      <c r="T123" s="236"/>
      <c r="U123" s="236"/>
      <c r="V123" s="239"/>
      <c r="W123" s="236"/>
      <c r="X123" s="236"/>
    </row>
    <row r="124">
      <c r="A124" s="236"/>
      <c r="B124" s="236"/>
      <c r="C124" s="236"/>
      <c r="D124" s="238"/>
      <c r="E124" s="245"/>
      <c r="F124" s="246"/>
      <c r="G124" s="246"/>
      <c r="H124" s="236"/>
      <c r="I124" s="236"/>
      <c r="J124" s="236"/>
      <c r="K124" s="236"/>
      <c r="L124" s="236"/>
      <c r="M124" s="236"/>
      <c r="N124" s="236"/>
      <c r="O124" s="236"/>
      <c r="P124" s="236"/>
      <c r="Q124" s="236"/>
      <c r="R124" s="236"/>
      <c r="S124" s="236"/>
      <c r="T124" s="236"/>
      <c r="U124" s="236"/>
      <c r="V124" s="239"/>
      <c r="W124" s="236"/>
      <c r="X124" s="236"/>
    </row>
    <row r="125">
      <c r="A125" s="236"/>
      <c r="B125" s="236"/>
      <c r="C125" s="236"/>
      <c r="D125" s="238"/>
      <c r="E125" s="245"/>
      <c r="F125" s="246"/>
      <c r="G125" s="246"/>
      <c r="H125" s="236"/>
      <c r="I125" s="236"/>
      <c r="J125" s="236"/>
      <c r="K125" s="236"/>
      <c r="L125" s="236"/>
      <c r="M125" s="236"/>
      <c r="N125" s="236"/>
      <c r="O125" s="236"/>
      <c r="P125" s="236"/>
      <c r="Q125" s="236"/>
      <c r="R125" s="236"/>
      <c r="S125" s="236"/>
      <c r="T125" s="236"/>
      <c r="U125" s="236"/>
      <c r="V125" s="239"/>
      <c r="W125" s="236"/>
      <c r="X125" s="236"/>
    </row>
    <row r="126">
      <c r="A126" s="236"/>
      <c r="B126" s="236"/>
      <c r="C126" s="236"/>
      <c r="D126" s="238"/>
      <c r="E126" s="245"/>
      <c r="F126" s="246"/>
      <c r="G126" s="246"/>
      <c r="H126" s="236"/>
      <c r="I126" s="236"/>
      <c r="J126" s="236"/>
      <c r="K126" s="236"/>
      <c r="L126" s="236"/>
      <c r="M126" s="236"/>
      <c r="N126" s="236"/>
      <c r="O126" s="236"/>
      <c r="P126" s="236"/>
      <c r="Q126" s="236"/>
      <c r="R126" s="236"/>
      <c r="S126" s="236"/>
      <c r="T126" s="236"/>
      <c r="U126" s="236"/>
      <c r="V126" s="239"/>
      <c r="W126" s="236"/>
      <c r="X126" s="236"/>
    </row>
    <row r="127">
      <c r="A127" s="236"/>
      <c r="B127" s="236"/>
      <c r="C127" s="236"/>
      <c r="D127" s="238"/>
      <c r="E127" s="245"/>
      <c r="F127" s="246"/>
      <c r="G127" s="246"/>
      <c r="H127" s="236"/>
      <c r="I127" s="236"/>
      <c r="J127" s="236"/>
      <c r="K127" s="236"/>
      <c r="L127" s="236"/>
      <c r="M127" s="236"/>
      <c r="N127" s="236"/>
      <c r="O127" s="236"/>
      <c r="P127" s="236"/>
      <c r="Q127" s="236"/>
      <c r="R127" s="236"/>
      <c r="S127" s="236"/>
      <c r="T127" s="236"/>
      <c r="U127" s="236"/>
      <c r="V127" s="239"/>
      <c r="W127" s="236"/>
      <c r="X127" s="236"/>
    </row>
    <row r="128">
      <c r="A128" s="236"/>
      <c r="B128" s="236"/>
      <c r="C128" s="236"/>
      <c r="D128" s="238"/>
      <c r="E128" s="245"/>
      <c r="F128" s="246"/>
      <c r="G128" s="246"/>
      <c r="H128" s="236"/>
      <c r="I128" s="236"/>
      <c r="J128" s="236"/>
      <c r="K128" s="236"/>
      <c r="L128" s="236"/>
      <c r="M128" s="236"/>
      <c r="N128" s="236"/>
      <c r="O128" s="236"/>
      <c r="P128" s="236"/>
      <c r="Q128" s="236"/>
      <c r="R128" s="236"/>
      <c r="S128" s="236"/>
      <c r="T128" s="236"/>
      <c r="U128" s="236"/>
      <c r="V128" s="239"/>
      <c r="W128" s="236"/>
      <c r="X128" s="236"/>
    </row>
    <row r="129">
      <c r="A129" s="236"/>
      <c r="B129" s="236"/>
      <c r="C129" s="236"/>
      <c r="D129" s="238"/>
      <c r="E129" s="245"/>
      <c r="F129" s="246"/>
      <c r="G129" s="246"/>
      <c r="H129" s="236"/>
      <c r="I129" s="236"/>
      <c r="J129" s="236"/>
      <c r="K129" s="236"/>
      <c r="L129" s="236"/>
      <c r="M129" s="236"/>
      <c r="N129" s="236"/>
      <c r="O129" s="236"/>
      <c r="P129" s="236"/>
      <c r="Q129" s="236"/>
      <c r="R129" s="236"/>
      <c r="S129" s="236"/>
      <c r="T129" s="236"/>
      <c r="U129" s="236"/>
      <c r="V129" s="239"/>
      <c r="W129" s="236"/>
      <c r="X129" s="236"/>
    </row>
    <row r="130">
      <c r="A130" s="236"/>
      <c r="B130" s="236"/>
      <c r="C130" s="236"/>
      <c r="D130" s="238"/>
      <c r="E130" s="245"/>
      <c r="F130" s="246"/>
      <c r="G130" s="246"/>
      <c r="H130" s="236"/>
      <c r="I130" s="236"/>
      <c r="J130" s="236"/>
      <c r="K130" s="236"/>
      <c r="L130" s="236"/>
      <c r="M130" s="236"/>
      <c r="N130" s="236"/>
      <c r="O130" s="236"/>
      <c r="P130" s="236"/>
      <c r="Q130" s="236"/>
      <c r="R130" s="236"/>
      <c r="S130" s="236"/>
      <c r="T130" s="236"/>
      <c r="U130" s="236"/>
      <c r="V130" s="239"/>
      <c r="W130" s="236"/>
      <c r="X130" s="236"/>
    </row>
    <row r="131">
      <c r="A131" s="236"/>
      <c r="B131" s="236"/>
      <c r="C131" s="236"/>
      <c r="D131" s="238"/>
      <c r="E131" s="245"/>
      <c r="F131" s="246"/>
      <c r="G131" s="246"/>
      <c r="H131" s="236"/>
      <c r="I131" s="236"/>
      <c r="J131" s="236"/>
      <c r="K131" s="236"/>
      <c r="L131" s="236"/>
      <c r="M131" s="236"/>
      <c r="N131" s="236"/>
      <c r="O131" s="236"/>
      <c r="P131" s="236"/>
      <c r="Q131" s="236"/>
      <c r="R131" s="236"/>
      <c r="S131" s="236"/>
      <c r="T131" s="236"/>
      <c r="U131" s="236"/>
      <c r="V131" s="239"/>
      <c r="W131" s="236"/>
      <c r="X131" s="236"/>
    </row>
    <row r="132">
      <c r="A132" s="236"/>
      <c r="B132" s="236"/>
      <c r="C132" s="236"/>
      <c r="D132" s="238"/>
      <c r="E132" s="245"/>
      <c r="F132" s="246"/>
      <c r="G132" s="246"/>
      <c r="H132" s="236"/>
      <c r="I132" s="236"/>
      <c r="J132" s="236"/>
      <c r="K132" s="236"/>
      <c r="L132" s="236"/>
      <c r="M132" s="236"/>
      <c r="N132" s="236"/>
      <c r="O132" s="236"/>
      <c r="P132" s="236"/>
      <c r="Q132" s="236"/>
      <c r="R132" s="236"/>
      <c r="S132" s="236"/>
      <c r="T132" s="236"/>
      <c r="U132" s="236"/>
      <c r="V132" s="239"/>
      <c r="W132" s="236"/>
      <c r="X132" s="236"/>
    </row>
    <row r="133">
      <c r="A133" s="236"/>
      <c r="B133" s="236"/>
      <c r="C133" s="236"/>
      <c r="D133" s="238"/>
      <c r="E133" s="245"/>
      <c r="F133" s="246"/>
      <c r="G133" s="246"/>
      <c r="H133" s="236"/>
      <c r="I133" s="236"/>
      <c r="J133" s="236"/>
      <c r="K133" s="236"/>
      <c r="L133" s="236"/>
      <c r="M133" s="236"/>
      <c r="N133" s="236"/>
      <c r="O133" s="236"/>
      <c r="P133" s="236"/>
      <c r="Q133" s="236"/>
      <c r="R133" s="236"/>
      <c r="S133" s="236"/>
      <c r="T133" s="236"/>
      <c r="U133" s="236"/>
      <c r="V133" s="239"/>
      <c r="W133" s="236"/>
      <c r="X133" s="236"/>
    </row>
    <row r="134">
      <c r="A134" s="236"/>
      <c r="B134" s="236"/>
      <c r="C134" s="236"/>
      <c r="D134" s="238"/>
      <c r="E134" s="245"/>
      <c r="F134" s="246"/>
      <c r="G134" s="246"/>
      <c r="H134" s="236"/>
      <c r="I134" s="236"/>
      <c r="J134" s="236"/>
      <c r="K134" s="236"/>
      <c r="L134" s="236"/>
      <c r="M134" s="236"/>
      <c r="N134" s="236"/>
      <c r="O134" s="236"/>
      <c r="P134" s="236"/>
      <c r="Q134" s="236"/>
      <c r="R134" s="236"/>
      <c r="S134" s="236"/>
      <c r="T134" s="236"/>
      <c r="U134" s="236"/>
      <c r="V134" s="239"/>
      <c r="W134" s="236"/>
      <c r="X134" s="236"/>
    </row>
    <row r="135">
      <c r="A135" s="236"/>
      <c r="B135" s="236"/>
      <c r="C135" s="236"/>
      <c r="D135" s="238"/>
      <c r="E135" s="245"/>
      <c r="F135" s="246"/>
      <c r="G135" s="246"/>
      <c r="H135" s="236"/>
      <c r="I135" s="236"/>
      <c r="J135" s="236"/>
      <c r="K135" s="236"/>
      <c r="L135" s="236"/>
      <c r="M135" s="236"/>
      <c r="N135" s="236"/>
      <c r="O135" s="236"/>
      <c r="P135" s="236"/>
      <c r="Q135" s="236"/>
      <c r="R135" s="236"/>
      <c r="S135" s="236"/>
      <c r="T135" s="236"/>
      <c r="U135" s="236"/>
      <c r="V135" s="239"/>
      <c r="W135" s="236"/>
      <c r="X135" s="236"/>
    </row>
    <row r="136">
      <c r="A136" s="236"/>
      <c r="B136" s="236"/>
      <c r="C136" s="236"/>
      <c r="D136" s="238"/>
      <c r="E136" s="245"/>
      <c r="F136" s="246"/>
      <c r="G136" s="246"/>
      <c r="H136" s="236"/>
      <c r="I136" s="236"/>
      <c r="J136" s="236"/>
      <c r="K136" s="236"/>
      <c r="L136" s="236"/>
      <c r="M136" s="236"/>
      <c r="N136" s="236"/>
      <c r="O136" s="236"/>
      <c r="P136" s="236"/>
      <c r="Q136" s="236"/>
      <c r="R136" s="236"/>
      <c r="S136" s="236"/>
      <c r="T136" s="236"/>
      <c r="U136" s="236"/>
      <c r="V136" s="239"/>
      <c r="W136" s="236"/>
      <c r="X136" s="236"/>
    </row>
    <row r="137">
      <c r="A137" s="236"/>
      <c r="B137" s="236"/>
      <c r="C137" s="236"/>
      <c r="D137" s="238"/>
      <c r="E137" s="245"/>
      <c r="F137" s="246"/>
      <c r="G137" s="246"/>
      <c r="H137" s="236"/>
      <c r="I137" s="236"/>
      <c r="J137" s="236"/>
      <c r="K137" s="236"/>
      <c r="L137" s="236"/>
      <c r="M137" s="236"/>
      <c r="N137" s="236"/>
      <c r="O137" s="236"/>
      <c r="P137" s="236"/>
      <c r="Q137" s="236"/>
      <c r="R137" s="236"/>
      <c r="S137" s="236"/>
      <c r="T137" s="236"/>
      <c r="U137" s="236"/>
      <c r="V137" s="239"/>
      <c r="W137" s="236"/>
      <c r="X137" s="236"/>
    </row>
    <row r="138">
      <c r="A138" s="236"/>
      <c r="B138" s="236"/>
      <c r="C138" s="236"/>
      <c r="D138" s="238"/>
      <c r="E138" s="245"/>
      <c r="F138" s="246"/>
      <c r="G138" s="246"/>
      <c r="H138" s="236"/>
      <c r="I138" s="236"/>
      <c r="J138" s="236"/>
      <c r="K138" s="236"/>
      <c r="L138" s="236"/>
      <c r="M138" s="236"/>
      <c r="N138" s="236"/>
      <c r="O138" s="236"/>
      <c r="P138" s="236"/>
      <c r="Q138" s="236"/>
      <c r="R138" s="236"/>
      <c r="S138" s="236"/>
      <c r="T138" s="236"/>
      <c r="U138" s="236"/>
      <c r="V138" s="239"/>
      <c r="W138" s="236"/>
      <c r="X138" s="236"/>
    </row>
    <row r="139">
      <c r="A139" s="236"/>
      <c r="B139" s="236"/>
      <c r="C139" s="236"/>
      <c r="D139" s="238"/>
      <c r="E139" s="245"/>
      <c r="F139" s="246"/>
      <c r="G139" s="246"/>
      <c r="H139" s="236"/>
      <c r="I139" s="236"/>
      <c r="J139" s="236"/>
      <c r="K139" s="236"/>
      <c r="L139" s="236"/>
      <c r="M139" s="236"/>
      <c r="N139" s="236"/>
      <c r="O139" s="236"/>
      <c r="P139" s="236"/>
      <c r="Q139" s="236"/>
      <c r="R139" s="236"/>
      <c r="S139" s="236"/>
      <c r="T139" s="236"/>
      <c r="U139" s="236"/>
      <c r="V139" s="239"/>
      <c r="W139" s="236"/>
      <c r="X139" s="236"/>
    </row>
    <row r="140">
      <c r="A140" s="236"/>
      <c r="B140" s="236"/>
      <c r="C140" s="236"/>
      <c r="D140" s="238"/>
      <c r="E140" s="245"/>
      <c r="F140" s="246"/>
      <c r="G140" s="246"/>
      <c r="H140" s="236"/>
      <c r="I140" s="236"/>
      <c r="J140" s="236"/>
      <c r="K140" s="236"/>
      <c r="L140" s="236"/>
      <c r="M140" s="236"/>
      <c r="N140" s="236"/>
      <c r="O140" s="236"/>
      <c r="P140" s="236"/>
      <c r="Q140" s="236"/>
      <c r="R140" s="236"/>
      <c r="S140" s="236"/>
      <c r="T140" s="236"/>
      <c r="U140" s="236"/>
      <c r="V140" s="239"/>
      <c r="W140" s="236"/>
      <c r="X140" s="236"/>
    </row>
    <row r="141">
      <c r="A141" s="236"/>
      <c r="B141" s="236"/>
      <c r="C141" s="236"/>
      <c r="D141" s="238"/>
      <c r="E141" s="245"/>
      <c r="F141" s="246"/>
      <c r="G141" s="246"/>
      <c r="H141" s="236"/>
      <c r="I141" s="236"/>
      <c r="J141" s="236"/>
      <c r="K141" s="236"/>
      <c r="L141" s="236"/>
      <c r="M141" s="236"/>
      <c r="N141" s="236"/>
      <c r="O141" s="236"/>
      <c r="P141" s="236"/>
      <c r="Q141" s="236"/>
      <c r="R141" s="236"/>
      <c r="S141" s="236"/>
      <c r="T141" s="236"/>
      <c r="U141" s="236"/>
      <c r="V141" s="239"/>
      <c r="W141" s="236"/>
      <c r="X141" s="236"/>
    </row>
    <row r="142">
      <c r="A142" s="236"/>
      <c r="B142" s="236"/>
      <c r="C142" s="236"/>
      <c r="D142" s="238"/>
      <c r="E142" s="245"/>
      <c r="F142" s="246"/>
      <c r="G142" s="246"/>
      <c r="H142" s="236"/>
      <c r="I142" s="236"/>
      <c r="J142" s="236"/>
      <c r="K142" s="236"/>
      <c r="L142" s="236"/>
      <c r="M142" s="236"/>
      <c r="N142" s="236"/>
      <c r="O142" s="236"/>
      <c r="P142" s="236"/>
      <c r="Q142" s="236"/>
      <c r="R142" s="236"/>
      <c r="S142" s="236"/>
      <c r="T142" s="236"/>
      <c r="U142" s="236"/>
      <c r="V142" s="239"/>
      <c r="W142" s="236"/>
      <c r="X142" s="236"/>
    </row>
    <row r="143">
      <c r="A143" s="236"/>
      <c r="B143" s="236"/>
      <c r="C143" s="236"/>
      <c r="D143" s="238"/>
      <c r="E143" s="245"/>
      <c r="F143" s="246"/>
      <c r="G143" s="246"/>
      <c r="H143" s="236"/>
      <c r="I143" s="236"/>
      <c r="J143" s="236"/>
      <c r="K143" s="236"/>
      <c r="L143" s="236"/>
      <c r="M143" s="236"/>
      <c r="N143" s="236"/>
      <c r="O143" s="236"/>
      <c r="P143" s="236"/>
      <c r="Q143" s="236"/>
      <c r="R143" s="236"/>
      <c r="S143" s="236"/>
      <c r="T143" s="236"/>
      <c r="U143" s="236"/>
      <c r="V143" s="239"/>
      <c r="W143" s="236"/>
      <c r="X143" s="236"/>
    </row>
    <row r="144">
      <c r="A144" s="236"/>
      <c r="B144" s="236"/>
      <c r="C144" s="236"/>
      <c r="D144" s="238"/>
      <c r="E144" s="245"/>
      <c r="F144" s="246"/>
      <c r="G144" s="246"/>
      <c r="H144" s="236"/>
      <c r="I144" s="236"/>
      <c r="J144" s="236"/>
      <c r="K144" s="236"/>
      <c r="L144" s="236"/>
      <c r="M144" s="236"/>
      <c r="N144" s="236"/>
      <c r="O144" s="236"/>
      <c r="P144" s="236"/>
      <c r="Q144" s="236"/>
      <c r="R144" s="236"/>
      <c r="S144" s="236"/>
      <c r="T144" s="236"/>
      <c r="U144" s="236"/>
      <c r="V144" s="239"/>
      <c r="W144" s="236"/>
      <c r="X144" s="236"/>
    </row>
    <row r="145">
      <c r="A145" s="236"/>
      <c r="B145" s="236"/>
      <c r="C145" s="236"/>
      <c r="D145" s="238"/>
      <c r="E145" s="245"/>
      <c r="F145" s="246"/>
      <c r="G145" s="246"/>
      <c r="H145" s="236"/>
      <c r="I145" s="236"/>
      <c r="J145" s="236"/>
      <c r="K145" s="236"/>
      <c r="L145" s="236"/>
      <c r="M145" s="236"/>
      <c r="N145" s="236"/>
      <c r="O145" s="236"/>
      <c r="P145" s="236"/>
      <c r="Q145" s="236"/>
      <c r="R145" s="236"/>
      <c r="S145" s="236"/>
      <c r="T145" s="236"/>
      <c r="U145" s="236"/>
      <c r="V145" s="239"/>
      <c r="W145" s="236"/>
      <c r="X145" s="236"/>
    </row>
    <row r="146">
      <c r="A146" s="236"/>
      <c r="B146" s="236"/>
      <c r="C146" s="236"/>
      <c r="D146" s="238"/>
      <c r="E146" s="245"/>
      <c r="F146" s="246"/>
      <c r="G146" s="246"/>
      <c r="H146" s="236"/>
      <c r="I146" s="236"/>
      <c r="J146" s="236"/>
      <c r="K146" s="236"/>
      <c r="L146" s="236"/>
      <c r="M146" s="236"/>
      <c r="N146" s="236"/>
      <c r="O146" s="236"/>
      <c r="P146" s="236"/>
      <c r="Q146" s="236"/>
      <c r="R146" s="236"/>
      <c r="S146" s="236"/>
      <c r="T146" s="236"/>
      <c r="U146" s="236"/>
      <c r="V146" s="239"/>
      <c r="W146" s="236"/>
      <c r="X146" s="236"/>
    </row>
    <row r="147">
      <c r="A147" s="236"/>
      <c r="B147" s="236"/>
      <c r="C147" s="236"/>
      <c r="D147" s="238"/>
      <c r="E147" s="245"/>
      <c r="F147" s="246"/>
      <c r="G147" s="246"/>
      <c r="H147" s="236"/>
      <c r="I147" s="236"/>
      <c r="J147" s="236"/>
      <c r="K147" s="236"/>
      <c r="L147" s="236"/>
      <c r="M147" s="236"/>
      <c r="N147" s="236"/>
      <c r="O147" s="236"/>
      <c r="P147" s="236"/>
      <c r="Q147" s="236"/>
      <c r="R147" s="236"/>
      <c r="S147" s="236"/>
      <c r="T147" s="236"/>
      <c r="U147" s="236"/>
      <c r="V147" s="239"/>
      <c r="W147" s="236"/>
      <c r="X147" s="236"/>
    </row>
    <row r="148">
      <c r="A148" s="236"/>
      <c r="B148" s="236"/>
      <c r="C148" s="236"/>
      <c r="D148" s="238"/>
      <c r="E148" s="245"/>
      <c r="F148" s="246"/>
      <c r="G148" s="246"/>
      <c r="H148" s="236"/>
      <c r="I148" s="236"/>
      <c r="J148" s="236"/>
      <c r="K148" s="236"/>
      <c r="L148" s="236"/>
      <c r="M148" s="236"/>
      <c r="N148" s="236"/>
      <c r="O148" s="236"/>
      <c r="P148" s="236"/>
      <c r="Q148" s="236"/>
      <c r="R148" s="236"/>
      <c r="S148" s="236"/>
      <c r="T148" s="236"/>
      <c r="U148" s="236"/>
      <c r="V148" s="239"/>
      <c r="W148" s="236"/>
      <c r="X148" s="236"/>
    </row>
    <row r="149">
      <c r="A149" s="236"/>
      <c r="B149" s="236"/>
      <c r="C149" s="236"/>
      <c r="D149" s="238"/>
      <c r="E149" s="245"/>
      <c r="F149" s="246"/>
      <c r="G149" s="246"/>
      <c r="H149" s="236"/>
      <c r="I149" s="236"/>
      <c r="J149" s="236"/>
      <c r="K149" s="236"/>
      <c r="L149" s="236"/>
      <c r="M149" s="236"/>
      <c r="N149" s="236"/>
      <c r="O149" s="236"/>
      <c r="P149" s="236"/>
      <c r="Q149" s="236"/>
      <c r="R149" s="236"/>
      <c r="S149" s="236"/>
      <c r="T149" s="236"/>
      <c r="U149" s="236"/>
      <c r="V149" s="239"/>
      <c r="W149" s="236"/>
      <c r="X149" s="236"/>
    </row>
    <row r="150">
      <c r="A150" s="236"/>
      <c r="B150" s="236"/>
      <c r="C150" s="236"/>
      <c r="D150" s="238"/>
      <c r="E150" s="245"/>
      <c r="F150" s="246"/>
      <c r="G150" s="246"/>
      <c r="H150" s="236"/>
      <c r="I150" s="236"/>
      <c r="J150" s="236"/>
      <c r="K150" s="236"/>
      <c r="L150" s="236"/>
      <c r="M150" s="236"/>
      <c r="N150" s="236"/>
      <c r="O150" s="236"/>
      <c r="P150" s="236"/>
      <c r="Q150" s="236"/>
      <c r="R150" s="236"/>
      <c r="S150" s="236"/>
      <c r="T150" s="236"/>
      <c r="U150" s="236"/>
      <c r="V150" s="239"/>
      <c r="W150" s="236"/>
      <c r="X150" s="236"/>
    </row>
    <row r="151">
      <c r="A151" s="236"/>
      <c r="B151" s="236"/>
      <c r="C151" s="236"/>
      <c r="D151" s="238"/>
      <c r="E151" s="245"/>
      <c r="F151" s="246"/>
      <c r="G151" s="246"/>
      <c r="H151" s="236"/>
      <c r="I151" s="236"/>
      <c r="J151" s="236"/>
      <c r="K151" s="236"/>
      <c r="L151" s="236"/>
      <c r="M151" s="236"/>
      <c r="N151" s="236"/>
      <c r="O151" s="236"/>
      <c r="P151" s="236"/>
      <c r="Q151" s="236"/>
      <c r="R151" s="236"/>
      <c r="S151" s="236"/>
      <c r="T151" s="236"/>
      <c r="U151" s="236"/>
      <c r="V151" s="239"/>
      <c r="W151" s="236"/>
      <c r="X151" s="236"/>
    </row>
    <row r="152">
      <c r="A152" s="236"/>
      <c r="B152" s="236"/>
      <c r="C152" s="236"/>
      <c r="D152" s="238"/>
      <c r="E152" s="245"/>
      <c r="F152" s="246"/>
      <c r="G152" s="246"/>
      <c r="H152" s="236"/>
      <c r="I152" s="236"/>
      <c r="J152" s="236"/>
      <c r="K152" s="236"/>
      <c r="L152" s="236"/>
      <c r="M152" s="236"/>
      <c r="N152" s="236"/>
      <c r="O152" s="236"/>
      <c r="P152" s="236"/>
      <c r="Q152" s="236"/>
      <c r="R152" s="236"/>
      <c r="S152" s="236"/>
      <c r="T152" s="236"/>
      <c r="U152" s="236"/>
      <c r="V152" s="239"/>
      <c r="W152" s="236"/>
      <c r="X152" s="236"/>
    </row>
    <row r="153">
      <c r="A153" s="236"/>
      <c r="B153" s="236"/>
      <c r="C153" s="236"/>
      <c r="D153" s="238"/>
      <c r="E153" s="245"/>
      <c r="F153" s="246"/>
      <c r="G153" s="246"/>
      <c r="H153" s="236"/>
      <c r="I153" s="236"/>
      <c r="J153" s="236"/>
      <c r="K153" s="236"/>
      <c r="L153" s="236"/>
      <c r="M153" s="236"/>
      <c r="N153" s="236"/>
      <c r="O153" s="236"/>
      <c r="P153" s="236"/>
      <c r="Q153" s="236"/>
      <c r="R153" s="236"/>
      <c r="S153" s="236"/>
      <c r="T153" s="236"/>
      <c r="U153" s="236"/>
      <c r="V153" s="239"/>
      <c r="W153" s="236"/>
      <c r="X153" s="236"/>
    </row>
    <row r="154">
      <c r="A154" s="236"/>
      <c r="B154" s="236"/>
      <c r="C154" s="236"/>
      <c r="D154" s="238"/>
      <c r="E154" s="245"/>
      <c r="F154" s="246"/>
      <c r="G154" s="246"/>
      <c r="H154" s="236"/>
      <c r="I154" s="236"/>
      <c r="J154" s="236"/>
      <c r="K154" s="236"/>
      <c r="L154" s="236"/>
      <c r="M154" s="236"/>
      <c r="N154" s="236"/>
      <c r="O154" s="236"/>
      <c r="P154" s="236"/>
      <c r="Q154" s="236"/>
      <c r="R154" s="236"/>
      <c r="S154" s="236"/>
      <c r="T154" s="236"/>
      <c r="U154" s="236"/>
      <c r="V154" s="239"/>
      <c r="W154" s="236"/>
      <c r="X154" s="236"/>
    </row>
    <row r="155">
      <c r="A155" s="236"/>
      <c r="B155" s="236"/>
      <c r="C155" s="236"/>
      <c r="D155" s="238"/>
      <c r="E155" s="245"/>
      <c r="F155" s="246"/>
      <c r="G155" s="246"/>
      <c r="H155" s="236"/>
      <c r="I155" s="236"/>
      <c r="J155" s="236"/>
      <c r="K155" s="236"/>
      <c r="L155" s="236"/>
      <c r="M155" s="236"/>
      <c r="N155" s="236"/>
      <c r="O155" s="236"/>
      <c r="P155" s="236"/>
      <c r="Q155" s="236"/>
      <c r="R155" s="236"/>
      <c r="S155" s="236"/>
      <c r="T155" s="236"/>
      <c r="U155" s="236"/>
      <c r="V155" s="239"/>
      <c r="W155" s="236"/>
      <c r="X155" s="236"/>
    </row>
    <row r="156">
      <c r="A156" s="236"/>
      <c r="B156" s="236"/>
      <c r="C156" s="236"/>
      <c r="D156" s="238"/>
      <c r="E156" s="245"/>
      <c r="F156" s="246"/>
      <c r="G156" s="246"/>
      <c r="H156" s="236"/>
      <c r="I156" s="236"/>
      <c r="J156" s="236"/>
      <c r="K156" s="236"/>
      <c r="L156" s="236"/>
      <c r="M156" s="236"/>
      <c r="N156" s="236"/>
      <c r="O156" s="236"/>
      <c r="P156" s="236"/>
      <c r="Q156" s="236"/>
      <c r="R156" s="236"/>
      <c r="S156" s="236"/>
      <c r="T156" s="236"/>
      <c r="U156" s="236"/>
      <c r="V156" s="239"/>
      <c r="W156" s="236"/>
      <c r="X156" s="236"/>
    </row>
    <row r="157">
      <c r="A157" s="236"/>
      <c r="B157" s="236"/>
      <c r="C157" s="236"/>
      <c r="D157" s="238"/>
      <c r="E157" s="245"/>
      <c r="F157" s="246"/>
      <c r="G157" s="246"/>
      <c r="H157" s="236"/>
      <c r="I157" s="236"/>
      <c r="J157" s="236"/>
      <c r="K157" s="236"/>
      <c r="L157" s="236"/>
      <c r="M157" s="236"/>
      <c r="N157" s="236"/>
      <c r="O157" s="236"/>
      <c r="P157" s="236"/>
      <c r="Q157" s="236"/>
      <c r="R157" s="236"/>
      <c r="S157" s="236"/>
      <c r="T157" s="236"/>
      <c r="U157" s="236"/>
      <c r="V157" s="239"/>
      <c r="W157" s="236"/>
      <c r="X157" s="236"/>
    </row>
    <row r="158">
      <c r="A158" s="236"/>
      <c r="B158" s="236"/>
      <c r="C158" s="236"/>
      <c r="D158" s="238"/>
      <c r="E158" s="245"/>
      <c r="F158" s="246"/>
      <c r="G158" s="246"/>
      <c r="H158" s="236"/>
      <c r="I158" s="236"/>
      <c r="J158" s="236"/>
      <c r="K158" s="236"/>
      <c r="L158" s="236"/>
      <c r="M158" s="236"/>
      <c r="N158" s="236"/>
      <c r="O158" s="236"/>
      <c r="P158" s="236"/>
      <c r="Q158" s="236"/>
      <c r="R158" s="236"/>
      <c r="S158" s="236"/>
      <c r="T158" s="236"/>
      <c r="U158" s="236"/>
      <c r="V158" s="239"/>
      <c r="W158" s="236"/>
      <c r="X158" s="236"/>
    </row>
    <row r="159">
      <c r="A159" s="236"/>
      <c r="B159" s="236"/>
      <c r="C159" s="236"/>
      <c r="D159" s="238"/>
      <c r="E159" s="245"/>
      <c r="F159" s="246"/>
      <c r="G159" s="246"/>
      <c r="H159" s="236"/>
      <c r="I159" s="236"/>
      <c r="J159" s="236"/>
      <c r="K159" s="236"/>
      <c r="L159" s="236"/>
      <c r="M159" s="236"/>
      <c r="N159" s="236"/>
      <c r="O159" s="236"/>
      <c r="P159" s="236"/>
      <c r="Q159" s="236"/>
      <c r="R159" s="236"/>
      <c r="S159" s="236"/>
      <c r="T159" s="236"/>
      <c r="U159" s="236"/>
      <c r="V159" s="239"/>
      <c r="W159" s="236"/>
      <c r="X159" s="236"/>
    </row>
    <row r="160">
      <c r="A160" s="236"/>
      <c r="B160" s="236"/>
      <c r="C160" s="236"/>
      <c r="D160" s="238"/>
      <c r="E160" s="245"/>
      <c r="F160" s="246"/>
      <c r="G160" s="246"/>
      <c r="H160" s="236"/>
      <c r="I160" s="236"/>
      <c r="J160" s="236"/>
      <c r="K160" s="236"/>
      <c r="L160" s="236"/>
      <c r="M160" s="236"/>
      <c r="N160" s="236"/>
      <c r="O160" s="236"/>
      <c r="P160" s="236"/>
      <c r="Q160" s="236"/>
      <c r="R160" s="236"/>
      <c r="S160" s="236"/>
      <c r="T160" s="236"/>
      <c r="U160" s="236"/>
      <c r="V160" s="239"/>
      <c r="W160" s="236"/>
      <c r="X160" s="236"/>
    </row>
    <row r="161">
      <c r="A161" s="236"/>
      <c r="B161" s="236"/>
      <c r="C161" s="236"/>
      <c r="D161" s="238"/>
      <c r="E161" s="245"/>
      <c r="F161" s="246"/>
      <c r="G161" s="246"/>
      <c r="H161" s="236"/>
      <c r="I161" s="236"/>
      <c r="J161" s="236"/>
      <c r="K161" s="236"/>
      <c r="L161" s="236"/>
      <c r="M161" s="236"/>
      <c r="N161" s="236"/>
      <c r="O161" s="236"/>
      <c r="P161" s="236"/>
      <c r="Q161" s="236"/>
      <c r="R161" s="236"/>
      <c r="S161" s="236"/>
      <c r="T161" s="236"/>
      <c r="U161" s="236"/>
      <c r="V161" s="239"/>
      <c r="W161" s="236"/>
      <c r="X161" s="236"/>
    </row>
    <row r="162">
      <c r="A162" s="236"/>
      <c r="B162" s="236"/>
      <c r="C162" s="236"/>
      <c r="D162" s="238"/>
      <c r="E162" s="245"/>
      <c r="F162" s="246"/>
      <c r="G162" s="246"/>
      <c r="H162" s="236"/>
      <c r="I162" s="236"/>
      <c r="J162" s="236"/>
      <c r="K162" s="236"/>
      <c r="L162" s="236"/>
      <c r="M162" s="236"/>
      <c r="N162" s="236"/>
      <c r="O162" s="236"/>
      <c r="P162" s="236"/>
      <c r="Q162" s="236"/>
      <c r="R162" s="236"/>
      <c r="S162" s="236"/>
      <c r="T162" s="236"/>
      <c r="U162" s="236"/>
      <c r="V162" s="239"/>
      <c r="W162" s="236"/>
      <c r="X162" s="236"/>
    </row>
    <row r="163">
      <c r="A163" s="236"/>
      <c r="B163" s="236"/>
      <c r="C163" s="236"/>
      <c r="D163" s="238"/>
      <c r="E163" s="245"/>
      <c r="F163" s="246"/>
      <c r="G163" s="246"/>
      <c r="H163" s="236"/>
      <c r="I163" s="236"/>
      <c r="J163" s="236"/>
      <c r="K163" s="236"/>
      <c r="L163" s="236"/>
      <c r="M163" s="236"/>
      <c r="N163" s="236"/>
      <c r="O163" s="236"/>
      <c r="P163" s="236"/>
      <c r="Q163" s="236"/>
      <c r="R163" s="236"/>
      <c r="S163" s="236"/>
      <c r="T163" s="236"/>
      <c r="U163" s="236"/>
      <c r="V163" s="239"/>
      <c r="W163" s="236"/>
      <c r="X163" s="236"/>
    </row>
    <row r="164">
      <c r="A164" s="236"/>
      <c r="B164" s="236"/>
      <c r="C164" s="236"/>
      <c r="D164" s="238"/>
      <c r="E164" s="245"/>
      <c r="F164" s="246"/>
      <c r="G164" s="246"/>
      <c r="H164" s="236"/>
      <c r="I164" s="236"/>
      <c r="J164" s="236"/>
      <c r="K164" s="236"/>
      <c r="L164" s="236"/>
      <c r="M164" s="236"/>
      <c r="N164" s="236"/>
      <c r="O164" s="236"/>
      <c r="P164" s="236"/>
      <c r="Q164" s="236"/>
      <c r="R164" s="236"/>
      <c r="S164" s="236"/>
      <c r="T164" s="236"/>
      <c r="U164" s="236"/>
      <c r="V164" s="239"/>
      <c r="W164" s="236"/>
      <c r="X164" s="236"/>
    </row>
    <row r="165">
      <c r="A165" s="236"/>
      <c r="B165" s="236"/>
      <c r="C165" s="236"/>
      <c r="D165" s="238"/>
      <c r="E165" s="245"/>
      <c r="F165" s="246"/>
      <c r="G165" s="246"/>
      <c r="H165" s="236"/>
      <c r="I165" s="236"/>
      <c r="J165" s="236"/>
      <c r="K165" s="236"/>
      <c r="L165" s="236"/>
      <c r="M165" s="236"/>
      <c r="N165" s="236"/>
      <c r="O165" s="236"/>
      <c r="P165" s="236"/>
      <c r="Q165" s="236"/>
      <c r="R165" s="236"/>
      <c r="S165" s="236"/>
      <c r="T165" s="236"/>
      <c r="U165" s="236"/>
      <c r="V165" s="239"/>
      <c r="W165" s="236"/>
      <c r="X165" s="236"/>
    </row>
    <row r="166">
      <c r="A166" s="236"/>
      <c r="B166" s="236"/>
      <c r="C166" s="236"/>
      <c r="D166" s="238"/>
      <c r="E166" s="245"/>
      <c r="F166" s="246"/>
      <c r="G166" s="246"/>
      <c r="H166" s="236"/>
      <c r="I166" s="236"/>
      <c r="J166" s="236"/>
      <c r="K166" s="236"/>
      <c r="L166" s="236"/>
      <c r="M166" s="236"/>
      <c r="N166" s="236"/>
      <c r="O166" s="236"/>
      <c r="P166" s="236"/>
      <c r="Q166" s="236"/>
      <c r="R166" s="236"/>
      <c r="S166" s="236"/>
      <c r="T166" s="236"/>
      <c r="U166" s="236"/>
      <c r="V166" s="239"/>
      <c r="W166" s="236"/>
      <c r="X166" s="236"/>
    </row>
    <row r="167">
      <c r="A167" s="236"/>
      <c r="B167" s="236"/>
      <c r="C167" s="236"/>
      <c r="D167" s="238"/>
      <c r="E167" s="245"/>
      <c r="F167" s="246"/>
      <c r="G167" s="246"/>
      <c r="H167" s="236"/>
      <c r="I167" s="236"/>
      <c r="J167" s="236"/>
      <c r="K167" s="236"/>
      <c r="L167" s="236"/>
      <c r="M167" s="236"/>
      <c r="N167" s="236"/>
      <c r="O167" s="236"/>
      <c r="P167" s="236"/>
      <c r="Q167" s="236"/>
      <c r="R167" s="236"/>
      <c r="S167" s="236"/>
      <c r="T167" s="236"/>
      <c r="U167" s="236"/>
      <c r="V167" s="239"/>
      <c r="W167" s="236"/>
      <c r="X167" s="236"/>
    </row>
    <row r="168">
      <c r="A168" s="236"/>
      <c r="B168" s="236"/>
      <c r="C168" s="236"/>
      <c r="D168" s="238"/>
      <c r="E168" s="245"/>
      <c r="F168" s="246"/>
      <c r="G168" s="246"/>
      <c r="H168" s="236"/>
      <c r="I168" s="236"/>
      <c r="J168" s="236"/>
      <c r="K168" s="236"/>
      <c r="L168" s="236"/>
      <c r="M168" s="236"/>
      <c r="N168" s="236"/>
      <c r="O168" s="236"/>
      <c r="P168" s="236"/>
      <c r="Q168" s="236"/>
      <c r="R168" s="236"/>
      <c r="S168" s="236"/>
      <c r="T168" s="236"/>
      <c r="U168" s="236"/>
      <c r="V168" s="239"/>
      <c r="W168" s="236"/>
      <c r="X168" s="236"/>
    </row>
    <row r="169">
      <c r="A169" s="236"/>
      <c r="B169" s="236"/>
      <c r="C169" s="236"/>
      <c r="D169" s="238"/>
      <c r="E169" s="245"/>
      <c r="F169" s="246"/>
      <c r="G169" s="246"/>
      <c r="H169" s="236"/>
      <c r="I169" s="236"/>
      <c r="J169" s="236"/>
      <c r="K169" s="236"/>
      <c r="L169" s="236"/>
      <c r="M169" s="236"/>
      <c r="N169" s="236"/>
      <c r="O169" s="236"/>
      <c r="P169" s="236"/>
      <c r="Q169" s="236"/>
      <c r="R169" s="236"/>
      <c r="S169" s="236"/>
      <c r="T169" s="236"/>
      <c r="U169" s="236"/>
      <c r="V169" s="239"/>
      <c r="W169" s="236"/>
      <c r="X169" s="236"/>
    </row>
    <row r="170">
      <c r="A170" s="236"/>
      <c r="B170" s="236"/>
      <c r="C170" s="236"/>
      <c r="D170" s="238"/>
      <c r="E170" s="245"/>
      <c r="F170" s="246"/>
      <c r="G170" s="246"/>
      <c r="H170" s="236"/>
      <c r="I170" s="236"/>
      <c r="J170" s="236"/>
      <c r="K170" s="236"/>
      <c r="L170" s="236"/>
      <c r="M170" s="236"/>
      <c r="N170" s="236"/>
      <c r="O170" s="236"/>
      <c r="P170" s="236"/>
      <c r="Q170" s="236"/>
      <c r="R170" s="236"/>
      <c r="S170" s="236"/>
      <c r="T170" s="236"/>
      <c r="U170" s="236"/>
      <c r="V170" s="239"/>
      <c r="W170" s="236"/>
      <c r="X170" s="236"/>
    </row>
    <row r="171">
      <c r="A171" s="236"/>
      <c r="B171" s="236"/>
      <c r="C171" s="236"/>
      <c r="D171" s="238"/>
      <c r="E171" s="245"/>
      <c r="F171" s="246"/>
      <c r="G171" s="246"/>
      <c r="H171" s="236"/>
      <c r="I171" s="236"/>
      <c r="J171" s="236"/>
      <c r="K171" s="236"/>
      <c r="L171" s="236"/>
      <c r="M171" s="236"/>
      <c r="N171" s="236"/>
      <c r="O171" s="236"/>
      <c r="P171" s="236"/>
      <c r="Q171" s="236"/>
      <c r="R171" s="236"/>
      <c r="S171" s="236"/>
      <c r="T171" s="236"/>
      <c r="U171" s="236"/>
      <c r="V171" s="239"/>
      <c r="W171" s="236"/>
      <c r="X171" s="236"/>
    </row>
    <row r="172">
      <c r="A172" s="236"/>
      <c r="B172" s="236"/>
      <c r="C172" s="236"/>
      <c r="D172" s="238"/>
      <c r="E172" s="245"/>
      <c r="F172" s="246"/>
      <c r="G172" s="246"/>
      <c r="H172" s="236"/>
      <c r="I172" s="236"/>
      <c r="J172" s="236"/>
      <c r="K172" s="236"/>
      <c r="L172" s="236"/>
      <c r="M172" s="236"/>
      <c r="N172" s="236"/>
      <c r="O172" s="236"/>
      <c r="P172" s="236"/>
      <c r="Q172" s="236"/>
      <c r="R172" s="236"/>
      <c r="S172" s="236"/>
      <c r="T172" s="236"/>
      <c r="U172" s="236"/>
      <c r="V172" s="239"/>
      <c r="W172" s="236"/>
      <c r="X172" s="236"/>
    </row>
    <row r="173">
      <c r="A173" s="236"/>
      <c r="B173" s="236"/>
      <c r="C173" s="236"/>
      <c r="D173" s="238"/>
      <c r="E173" s="245"/>
      <c r="F173" s="246"/>
      <c r="G173" s="246"/>
      <c r="H173" s="236"/>
      <c r="I173" s="236"/>
      <c r="J173" s="236"/>
      <c r="K173" s="236"/>
      <c r="L173" s="236"/>
      <c r="M173" s="236"/>
      <c r="N173" s="236"/>
      <c r="O173" s="236"/>
      <c r="P173" s="236"/>
      <c r="Q173" s="236"/>
      <c r="R173" s="236"/>
      <c r="S173" s="236"/>
      <c r="T173" s="236"/>
      <c r="U173" s="236"/>
      <c r="V173" s="239"/>
      <c r="W173" s="236"/>
      <c r="X173" s="236"/>
    </row>
    <row r="174">
      <c r="A174" s="236"/>
      <c r="B174" s="236"/>
      <c r="C174" s="236"/>
      <c r="D174" s="238"/>
      <c r="E174" s="245"/>
      <c r="F174" s="246"/>
      <c r="G174" s="246"/>
      <c r="H174" s="236"/>
      <c r="I174" s="236"/>
      <c r="J174" s="236"/>
      <c r="K174" s="236"/>
      <c r="L174" s="236"/>
      <c r="M174" s="236"/>
      <c r="N174" s="236"/>
      <c r="O174" s="236"/>
      <c r="P174" s="236"/>
      <c r="Q174" s="236"/>
      <c r="R174" s="236"/>
      <c r="S174" s="236"/>
      <c r="T174" s="236"/>
      <c r="U174" s="236"/>
      <c r="V174" s="239"/>
      <c r="W174" s="236"/>
      <c r="X174" s="236"/>
    </row>
    <row r="175">
      <c r="A175" s="236"/>
      <c r="B175" s="236"/>
      <c r="C175" s="236"/>
      <c r="D175" s="238"/>
      <c r="E175" s="245"/>
      <c r="F175" s="246"/>
      <c r="G175" s="246"/>
      <c r="H175" s="236"/>
      <c r="I175" s="236"/>
      <c r="J175" s="236"/>
      <c r="K175" s="236"/>
      <c r="L175" s="236"/>
      <c r="M175" s="236"/>
      <c r="N175" s="236"/>
      <c r="O175" s="236"/>
      <c r="P175" s="236"/>
      <c r="Q175" s="236"/>
      <c r="R175" s="236"/>
      <c r="S175" s="236"/>
      <c r="T175" s="236"/>
      <c r="U175" s="236"/>
      <c r="V175" s="239"/>
      <c r="W175" s="236"/>
      <c r="X175" s="236"/>
    </row>
    <row r="176">
      <c r="A176" s="236"/>
      <c r="B176" s="236"/>
      <c r="C176" s="236"/>
      <c r="D176" s="238"/>
      <c r="E176" s="245"/>
      <c r="F176" s="246"/>
      <c r="G176" s="246"/>
      <c r="H176" s="236"/>
      <c r="I176" s="236"/>
      <c r="J176" s="236"/>
      <c r="K176" s="236"/>
      <c r="L176" s="236"/>
      <c r="M176" s="236"/>
      <c r="N176" s="236"/>
      <c r="O176" s="236"/>
      <c r="P176" s="236"/>
      <c r="Q176" s="236"/>
      <c r="R176" s="236"/>
      <c r="S176" s="236"/>
      <c r="T176" s="236"/>
      <c r="U176" s="236"/>
      <c r="V176" s="239"/>
      <c r="W176" s="236"/>
      <c r="X176" s="236"/>
    </row>
    <row r="177">
      <c r="A177" s="236"/>
      <c r="B177" s="236"/>
      <c r="C177" s="236"/>
      <c r="D177" s="238"/>
      <c r="E177" s="245"/>
      <c r="F177" s="246"/>
      <c r="G177" s="246"/>
      <c r="H177" s="236"/>
      <c r="I177" s="236"/>
      <c r="J177" s="236"/>
      <c r="K177" s="236"/>
      <c r="L177" s="236"/>
      <c r="M177" s="236"/>
      <c r="N177" s="236"/>
      <c r="O177" s="236"/>
      <c r="P177" s="236"/>
      <c r="Q177" s="236"/>
      <c r="R177" s="236"/>
      <c r="S177" s="236"/>
      <c r="T177" s="236"/>
      <c r="U177" s="236"/>
      <c r="V177" s="239"/>
      <c r="W177" s="236"/>
      <c r="X177" s="236"/>
    </row>
    <row r="178">
      <c r="A178" s="236"/>
      <c r="B178" s="236"/>
      <c r="C178" s="236"/>
      <c r="D178" s="238"/>
      <c r="E178" s="245"/>
      <c r="F178" s="246"/>
      <c r="G178" s="246"/>
      <c r="H178" s="236"/>
      <c r="I178" s="236"/>
      <c r="J178" s="236"/>
      <c r="K178" s="236"/>
      <c r="L178" s="236"/>
      <c r="M178" s="236"/>
      <c r="N178" s="236"/>
      <c r="O178" s="236"/>
      <c r="P178" s="236"/>
      <c r="Q178" s="236"/>
      <c r="R178" s="236"/>
      <c r="S178" s="236"/>
      <c r="T178" s="236"/>
      <c r="U178" s="236"/>
      <c r="V178" s="239"/>
      <c r="W178" s="236"/>
      <c r="X178" s="236"/>
    </row>
    <row r="179">
      <c r="A179" s="236"/>
      <c r="B179" s="236"/>
      <c r="C179" s="236"/>
      <c r="D179" s="238"/>
      <c r="E179" s="245"/>
      <c r="F179" s="246"/>
      <c r="G179" s="246"/>
      <c r="H179" s="236"/>
      <c r="I179" s="236"/>
      <c r="J179" s="236"/>
      <c r="K179" s="236"/>
      <c r="L179" s="236"/>
      <c r="M179" s="236"/>
      <c r="N179" s="236"/>
      <c r="O179" s="236"/>
      <c r="P179" s="236"/>
      <c r="Q179" s="236"/>
      <c r="R179" s="236"/>
      <c r="S179" s="236"/>
      <c r="T179" s="236"/>
      <c r="U179" s="236"/>
      <c r="V179" s="239"/>
      <c r="W179" s="236"/>
      <c r="X179" s="236"/>
    </row>
    <row r="180">
      <c r="A180" s="236"/>
      <c r="B180" s="236"/>
      <c r="C180" s="236"/>
      <c r="D180" s="238"/>
      <c r="E180" s="245"/>
      <c r="F180" s="246"/>
      <c r="G180" s="246"/>
      <c r="H180" s="236"/>
      <c r="I180" s="236"/>
      <c r="J180" s="236"/>
      <c r="K180" s="236"/>
      <c r="L180" s="236"/>
      <c r="M180" s="236"/>
      <c r="N180" s="236"/>
      <c r="O180" s="236"/>
      <c r="P180" s="236"/>
      <c r="Q180" s="236"/>
      <c r="R180" s="236"/>
      <c r="S180" s="236"/>
      <c r="T180" s="236"/>
      <c r="U180" s="236"/>
      <c r="V180" s="239"/>
      <c r="W180" s="236"/>
      <c r="X180" s="236"/>
    </row>
    <row r="181">
      <c r="A181" s="236"/>
      <c r="B181" s="236"/>
      <c r="C181" s="236"/>
      <c r="D181" s="238"/>
      <c r="E181" s="245"/>
      <c r="F181" s="246"/>
      <c r="G181" s="246"/>
      <c r="H181" s="236"/>
      <c r="I181" s="236"/>
      <c r="J181" s="236"/>
      <c r="K181" s="236"/>
      <c r="L181" s="236"/>
      <c r="M181" s="236"/>
      <c r="N181" s="236"/>
      <c r="O181" s="236"/>
      <c r="P181" s="236"/>
      <c r="Q181" s="236"/>
      <c r="R181" s="236"/>
      <c r="S181" s="236"/>
      <c r="T181" s="236"/>
      <c r="U181" s="236"/>
      <c r="V181" s="239"/>
      <c r="W181" s="236"/>
      <c r="X181" s="236"/>
    </row>
    <row r="182">
      <c r="A182" s="236"/>
      <c r="B182" s="236"/>
      <c r="C182" s="236"/>
      <c r="D182" s="238"/>
      <c r="E182" s="245"/>
      <c r="F182" s="246"/>
      <c r="G182" s="246"/>
      <c r="H182" s="236"/>
      <c r="I182" s="236"/>
      <c r="J182" s="236"/>
      <c r="K182" s="236"/>
      <c r="L182" s="236"/>
      <c r="M182" s="236"/>
      <c r="N182" s="236"/>
      <c r="O182" s="236"/>
      <c r="P182" s="236"/>
      <c r="Q182" s="236"/>
      <c r="R182" s="236"/>
      <c r="S182" s="236"/>
      <c r="T182" s="236"/>
      <c r="U182" s="236"/>
      <c r="V182" s="239"/>
      <c r="W182" s="236"/>
      <c r="X182" s="236"/>
    </row>
    <row r="183">
      <c r="A183" s="236"/>
      <c r="B183" s="236"/>
      <c r="C183" s="236"/>
      <c r="D183" s="238"/>
      <c r="E183" s="245"/>
      <c r="F183" s="246"/>
      <c r="G183" s="246"/>
      <c r="H183" s="236"/>
      <c r="I183" s="236"/>
      <c r="J183" s="236"/>
      <c r="K183" s="236"/>
      <c r="L183" s="236"/>
      <c r="M183" s="236"/>
      <c r="N183" s="236"/>
      <c r="O183" s="236"/>
      <c r="P183" s="236"/>
      <c r="Q183" s="236"/>
      <c r="R183" s="236"/>
      <c r="S183" s="236"/>
      <c r="T183" s="236"/>
      <c r="U183" s="236"/>
      <c r="V183" s="239"/>
      <c r="W183" s="236"/>
      <c r="X183" s="236"/>
    </row>
    <row r="184">
      <c r="A184" s="236"/>
      <c r="B184" s="236"/>
      <c r="C184" s="236"/>
      <c r="D184" s="238"/>
      <c r="E184" s="245"/>
      <c r="F184" s="246"/>
      <c r="G184" s="246"/>
      <c r="H184" s="236"/>
      <c r="I184" s="236"/>
      <c r="J184" s="236"/>
      <c r="K184" s="236"/>
      <c r="L184" s="236"/>
      <c r="M184" s="236"/>
      <c r="N184" s="236"/>
      <c r="O184" s="236"/>
      <c r="P184" s="236"/>
      <c r="Q184" s="236"/>
      <c r="R184" s="236"/>
      <c r="S184" s="236"/>
      <c r="T184" s="236"/>
      <c r="U184" s="236"/>
      <c r="V184" s="239"/>
      <c r="W184" s="236"/>
      <c r="X184" s="236"/>
    </row>
    <row r="185">
      <c r="A185" s="236"/>
      <c r="B185" s="236"/>
      <c r="C185" s="236"/>
      <c r="D185" s="238"/>
      <c r="E185" s="245"/>
      <c r="F185" s="246"/>
      <c r="G185" s="246"/>
      <c r="H185" s="236"/>
      <c r="I185" s="236"/>
      <c r="J185" s="236"/>
      <c r="K185" s="236"/>
      <c r="L185" s="236"/>
      <c r="M185" s="236"/>
      <c r="N185" s="236"/>
      <c r="O185" s="236"/>
      <c r="P185" s="236"/>
      <c r="Q185" s="236"/>
      <c r="R185" s="236"/>
      <c r="S185" s="236"/>
      <c r="T185" s="236"/>
      <c r="U185" s="236"/>
      <c r="V185" s="239"/>
      <c r="W185" s="236"/>
      <c r="X185" s="236"/>
    </row>
    <row r="186">
      <c r="A186" s="236"/>
      <c r="B186" s="236"/>
      <c r="C186" s="236"/>
      <c r="D186" s="238"/>
      <c r="E186" s="245"/>
      <c r="F186" s="246"/>
      <c r="G186" s="246"/>
      <c r="H186" s="236"/>
      <c r="I186" s="236"/>
      <c r="J186" s="236"/>
      <c r="K186" s="236"/>
      <c r="L186" s="236"/>
      <c r="M186" s="236"/>
      <c r="N186" s="236"/>
      <c r="O186" s="236"/>
      <c r="P186" s="236"/>
      <c r="Q186" s="236"/>
      <c r="R186" s="236"/>
      <c r="S186" s="236"/>
      <c r="T186" s="236"/>
      <c r="U186" s="236"/>
      <c r="V186" s="239"/>
      <c r="W186" s="236"/>
      <c r="X186" s="236"/>
    </row>
    <row r="187">
      <c r="A187" s="236"/>
      <c r="B187" s="236"/>
      <c r="C187" s="236"/>
      <c r="D187" s="238"/>
      <c r="E187" s="245"/>
      <c r="F187" s="246"/>
      <c r="G187" s="246"/>
      <c r="H187" s="236"/>
      <c r="I187" s="236"/>
      <c r="J187" s="236"/>
      <c r="K187" s="236"/>
      <c r="L187" s="236"/>
      <c r="M187" s="236"/>
      <c r="N187" s="236"/>
      <c r="O187" s="236"/>
      <c r="P187" s="236"/>
      <c r="Q187" s="236"/>
      <c r="R187" s="236"/>
      <c r="S187" s="236"/>
      <c r="T187" s="236"/>
      <c r="U187" s="236"/>
      <c r="V187" s="239"/>
      <c r="W187" s="236"/>
      <c r="X187" s="236"/>
    </row>
    <row r="188">
      <c r="A188" s="236"/>
      <c r="B188" s="236"/>
      <c r="C188" s="236"/>
      <c r="D188" s="238"/>
      <c r="E188" s="245"/>
      <c r="F188" s="246"/>
      <c r="G188" s="246"/>
      <c r="H188" s="236"/>
      <c r="I188" s="236"/>
      <c r="J188" s="236"/>
      <c r="K188" s="236"/>
      <c r="L188" s="236"/>
      <c r="M188" s="236"/>
      <c r="N188" s="236"/>
      <c r="O188" s="236"/>
      <c r="P188" s="236"/>
      <c r="Q188" s="236"/>
      <c r="R188" s="236"/>
      <c r="S188" s="236"/>
      <c r="T188" s="236"/>
      <c r="U188" s="236"/>
      <c r="V188" s="239"/>
      <c r="W188" s="236"/>
      <c r="X188" s="236"/>
    </row>
    <row r="189">
      <c r="A189" s="236"/>
      <c r="B189" s="236"/>
      <c r="C189" s="236"/>
      <c r="D189" s="238"/>
      <c r="E189" s="245"/>
      <c r="F189" s="246"/>
      <c r="G189" s="246"/>
      <c r="H189" s="236"/>
      <c r="I189" s="236"/>
      <c r="J189" s="236"/>
      <c r="K189" s="236"/>
      <c r="L189" s="236"/>
      <c r="M189" s="236"/>
      <c r="N189" s="236"/>
      <c r="O189" s="236"/>
      <c r="P189" s="236"/>
      <c r="Q189" s="236"/>
      <c r="R189" s="236"/>
      <c r="S189" s="236"/>
      <c r="T189" s="236"/>
      <c r="U189" s="236"/>
      <c r="V189" s="239"/>
      <c r="W189" s="236"/>
      <c r="X189" s="236"/>
    </row>
    <row r="190">
      <c r="A190" s="236"/>
      <c r="B190" s="236"/>
      <c r="C190" s="236"/>
      <c r="D190" s="238"/>
      <c r="E190" s="245"/>
      <c r="F190" s="246"/>
      <c r="G190" s="246"/>
      <c r="H190" s="236"/>
      <c r="I190" s="236"/>
      <c r="J190" s="236"/>
      <c r="K190" s="236"/>
      <c r="L190" s="236"/>
      <c r="M190" s="236"/>
      <c r="N190" s="236"/>
      <c r="O190" s="236"/>
      <c r="P190" s="236"/>
      <c r="Q190" s="236"/>
      <c r="R190" s="236"/>
      <c r="S190" s="236"/>
      <c r="T190" s="236"/>
      <c r="U190" s="236"/>
      <c r="V190" s="239"/>
      <c r="W190" s="236"/>
      <c r="X190" s="236"/>
    </row>
    <row r="191">
      <c r="A191" s="236"/>
      <c r="B191" s="236"/>
      <c r="C191" s="236"/>
      <c r="D191" s="238"/>
      <c r="E191" s="245"/>
      <c r="F191" s="246"/>
      <c r="G191" s="246"/>
      <c r="H191" s="236"/>
      <c r="I191" s="236"/>
      <c r="J191" s="236"/>
      <c r="K191" s="236"/>
      <c r="L191" s="236"/>
      <c r="M191" s="236"/>
      <c r="N191" s="236"/>
      <c r="O191" s="236"/>
      <c r="P191" s="236"/>
      <c r="Q191" s="236"/>
      <c r="R191" s="236"/>
      <c r="S191" s="236"/>
      <c r="T191" s="236"/>
      <c r="U191" s="236"/>
      <c r="V191" s="239"/>
      <c r="W191" s="236"/>
      <c r="X191" s="236"/>
    </row>
    <row r="192">
      <c r="A192" s="236"/>
      <c r="B192" s="236"/>
      <c r="C192" s="236"/>
      <c r="D192" s="238"/>
      <c r="E192" s="245"/>
      <c r="F192" s="246"/>
      <c r="G192" s="246"/>
      <c r="H192" s="236"/>
      <c r="I192" s="236"/>
      <c r="J192" s="236"/>
      <c r="K192" s="236"/>
      <c r="L192" s="236"/>
      <c r="M192" s="236"/>
      <c r="N192" s="236"/>
      <c r="O192" s="236"/>
      <c r="P192" s="236"/>
      <c r="Q192" s="236"/>
      <c r="R192" s="236"/>
      <c r="S192" s="236"/>
      <c r="T192" s="236"/>
      <c r="U192" s="236"/>
      <c r="V192" s="239"/>
      <c r="W192" s="236"/>
      <c r="X192" s="236"/>
    </row>
    <row r="193">
      <c r="A193" s="236"/>
      <c r="B193" s="236"/>
      <c r="C193" s="236"/>
      <c r="D193" s="238"/>
      <c r="E193" s="245"/>
      <c r="F193" s="246"/>
      <c r="G193" s="246"/>
      <c r="H193" s="236"/>
      <c r="I193" s="236"/>
      <c r="J193" s="236"/>
      <c r="K193" s="236"/>
      <c r="L193" s="236"/>
      <c r="M193" s="236"/>
      <c r="N193" s="236"/>
      <c r="O193" s="236"/>
      <c r="P193" s="236"/>
      <c r="Q193" s="236"/>
      <c r="R193" s="236"/>
      <c r="S193" s="236"/>
      <c r="T193" s="236"/>
      <c r="U193" s="236"/>
      <c r="V193" s="239"/>
      <c r="W193" s="236"/>
      <c r="X193" s="236"/>
    </row>
    <row r="194">
      <c r="A194" s="236"/>
      <c r="B194" s="236"/>
      <c r="C194" s="236"/>
      <c r="D194" s="238"/>
      <c r="E194" s="245"/>
      <c r="F194" s="246"/>
      <c r="G194" s="246"/>
      <c r="H194" s="236"/>
      <c r="I194" s="236"/>
      <c r="J194" s="236"/>
      <c r="K194" s="236"/>
      <c r="L194" s="236"/>
      <c r="M194" s="236"/>
      <c r="N194" s="236"/>
      <c r="O194" s="236"/>
      <c r="P194" s="236"/>
      <c r="Q194" s="236"/>
      <c r="R194" s="236"/>
      <c r="S194" s="236"/>
      <c r="T194" s="236"/>
      <c r="U194" s="236"/>
      <c r="V194" s="239"/>
      <c r="W194" s="236"/>
      <c r="X194" s="236"/>
    </row>
    <row r="195">
      <c r="A195" s="236"/>
      <c r="B195" s="236"/>
      <c r="C195" s="236"/>
      <c r="D195" s="238"/>
      <c r="E195" s="245"/>
      <c r="F195" s="246"/>
      <c r="G195" s="246"/>
      <c r="H195" s="236"/>
      <c r="I195" s="236"/>
      <c r="J195" s="236"/>
      <c r="K195" s="236"/>
      <c r="L195" s="236"/>
      <c r="M195" s="236"/>
      <c r="N195" s="236"/>
      <c r="O195" s="236"/>
      <c r="P195" s="236"/>
      <c r="Q195" s="236"/>
      <c r="R195" s="236"/>
      <c r="S195" s="236"/>
      <c r="T195" s="236"/>
      <c r="U195" s="236"/>
      <c r="V195" s="239"/>
      <c r="W195" s="236"/>
      <c r="X195" s="236"/>
    </row>
    <row r="196">
      <c r="A196" s="236"/>
      <c r="B196" s="236"/>
      <c r="C196" s="236"/>
      <c r="D196" s="238"/>
      <c r="E196" s="245"/>
      <c r="F196" s="246"/>
      <c r="G196" s="246"/>
      <c r="H196" s="236"/>
      <c r="I196" s="236"/>
      <c r="J196" s="236"/>
      <c r="K196" s="236"/>
      <c r="L196" s="236"/>
      <c r="M196" s="236"/>
      <c r="N196" s="236"/>
      <c r="O196" s="236"/>
      <c r="P196" s="236"/>
      <c r="Q196" s="236"/>
      <c r="R196" s="236"/>
      <c r="S196" s="236"/>
      <c r="T196" s="236"/>
      <c r="U196" s="236"/>
      <c r="V196" s="239"/>
      <c r="W196" s="236"/>
      <c r="X196" s="236"/>
    </row>
    <row r="197">
      <c r="A197" s="236"/>
      <c r="B197" s="236"/>
      <c r="C197" s="236"/>
      <c r="D197" s="238"/>
      <c r="E197" s="245"/>
      <c r="F197" s="246"/>
      <c r="G197" s="246"/>
      <c r="H197" s="236"/>
      <c r="I197" s="236"/>
      <c r="J197" s="236"/>
      <c r="K197" s="236"/>
      <c r="L197" s="236"/>
      <c r="M197" s="236"/>
      <c r="N197" s="236"/>
      <c r="O197" s="236"/>
      <c r="P197" s="236"/>
      <c r="Q197" s="236"/>
      <c r="R197" s="236"/>
      <c r="S197" s="236"/>
      <c r="T197" s="236"/>
      <c r="U197" s="236"/>
      <c r="V197" s="239"/>
      <c r="W197" s="236"/>
      <c r="X197" s="236"/>
    </row>
    <row r="198">
      <c r="A198" s="236"/>
      <c r="B198" s="236"/>
      <c r="C198" s="236"/>
      <c r="D198" s="238"/>
      <c r="E198" s="245"/>
      <c r="F198" s="246"/>
      <c r="G198" s="246"/>
      <c r="H198" s="236"/>
      <c r="I198" s="236"/>
      <c r="J198" s="236"/>
      <c r="K198" s="236"/>
      <c r="L198" s="236"/>
      <c r="M198" s="236"/>
      <c r="N198" s="236"/>
      <c r="O198" s="236"/>
      <c r="P198" s="236"/>
      <c r="Q198" s="236"/>
      <c r="R198" s="236"/>
      <c r="S198" s="236"/>
      <c r="T198" s="236"/>
      <c r="U198" s="236"/>
      <c r="V198" s="239"/>
      <c r="W198" s="236"/>
      <c r="X198" s="236"/>
    </row>
    <row r="199">
      <c r="A199" s="236"/>
      <c r="B199" s="236"/>
      <c r="C199" s="236"/>
      <c r="D199" s="238"/>
      <c r="E199" s="245"/>
      <c r="F199" s="246"/>
      <c r="G199" s="246"/>
      <c r="H199" s="236"/>
      <c r="I199" s="236"/>
      <c r="J199" s="236"/>
      <c r="K199" s="236"/>
      <c r="L199" s="236"/>
      <c r="M199" s="236"/>
      <c r="N199" s="236"/>
      <c r="O199" s="236"/>
      <c r="P199" s="236"/>
      <c r="Q199" s="236"/>
      <c r="R199" s="236"/>
      <c r="S199" s="236"/>
      <c r="T199" s="236"/>
      <c r="U199" s="236"/>
      <c r="V199" s="239"/>
      <c r="W199" s="236"/>
      <c r="X199" s="236"/>
    </row>
    <row r="200">
      <c r="A200" s="236"/>
      <c r="B200" s="236"/>
      <c r="C200" s="236"/>
      <c r="D200" s="238"/>
      <c r="E200" s="245"/>
      <c r="F200" s="246"/>
      <c r="G200" s="246"/>
      <c r="H200" s="236"/>
      <c r="I200" s="236"/>
      <c r="J200" s="236"/>
      <c r="K200" s="236"/>
      <c r="L200" s="236"/>
      <c r="M200" s="236"/>
      <c r="N200" s="236"/>
      <c r="O200" s="236"/>
      <c r="P200" s="236"/>
      <c r="Q200" s="236"/>
      <c r="R200" s="236"/>
      <c r="S200" s="236"/>
      <c r="T200" s="236"/>
      <c r="U200" s="236"/>
      <c r="V200" s="239"/>
      <c r="W200" s="236"/>
      <c r="X200" s="236"/>
    </row>
    <row r="201">
      <c r="A201" s="236"/>
      <c r="B201" s="236"/>
      <c r="C201" s="236"/>
      <c r="D201" s="238"/>
      <c r="E201" s="245"/>
      <c r="F201" s="246"/>
      <c r="G201" s="246"/>
      <c r="H201" s="236"/>
      <c r="I201" s="236"/>
      <c r="J201" s="236"/>
      <c r="K201" s="236"/>
      <c r="L201" s="236"/>
      <c r="M201" s="236"/>
      <c r="N201" s="236"/>
      <c r="O201" s="236"/>
      <c r="P201" s="236"/>
      <c r="Q201" s="236"/>
      <c r="R201" s="236"/>
      <c r="S201" s="236"/>
      <c r="T201" s="236"/>
      <c r="U201" s="236"/>
      <c r="V201" s="239"/>
      <c r="W201" s="236"/>
      <c r="X201" s="236"/>
    </row>
    <row r="202">
      <c r="A202" s="236"/>
      <c r="B202" s="236"/>
      <c r="C202" s="236"/>
      <c r="D202" s="238"/>
      <c r="E202" s="245"/>
      <c r="F202" s="246"/>
      <c r="G202" s="246"/>
      <c r="H202" s="236"/>
      <c r="I202" s="236"/>
      <c r="J202" s="236"/>
      <c r="K202" s="236"/>
      <c r="L202" s="236"/>
      <c r="M202" s="236"/>
      <c r="N202" s="236"/>
      <c r="O202" s="236"/>
      <c r="P202" s="236"/>
      <c r="Q202" s="236"/>
      <c r="R202" s="236"/>
      <c r="S202" s="236"/>
      <c r="T202" s="236"/>
      <c r="U202" s="236"/>
      <c r="V202" s="239"/>
      <c r="W202" s="236"/>
      <c r="X202" s="236"/>
    </row>
    <row r="203">
      <c r="A203" s="236"/>
      <c r="B203" s="236"/>
      <c r="C203" s="236"/>
      <c r="D203" s="238"/>
      <c r="E203" s="245"/>
      <c r="F203" s="246"/>
      <c r="G203" s="246"/>
      <c r="H203" s="236"/>
      <c r="I203" s="236"/>
      <c r="J203" s="236"/>
      <c r="K203" s="236"/>
      <c r="L203" s="236"/>
      <c r="M203" s="236"/>
      <c r="N203" s="236"/>
      <c r="O203" s="236"/>
      <c r="P203" s="236"/>
      <c r="Q203" s="236"/>
      <c r="R203" s="236"/>
      <c r="S203" s="236"/>
      <c r="T203" s="236"/>
      <c r="U203" s="236"/>
      <c r="V203" s="239"/>
      <c r="W203" s="236"/>
      <c r="X203" s="236"/>
    </row>
    <row r="204">
      <c r="A204" s="236"/>
      <c r="B204" s="236"/>
      <c r="C204" s="236"/>
      <c r="D204" s="238"/>
      <c r="E204" s="245"/>
      <c r="F204" s="246"/>
      <c r="G204" s="246"/>
      <c r="H204" s="236"/>
      <c r="I204" s="236"/>
      <c r="J204" s="236"/>
      <c r="K204" s="236"/>
      <c r="L204" s="236"/>
      <c r="M204" s="236"/>
      <c r="N204" s="236"/>
      <c r="O204" s="236"/>
      <c r="P204" s="236"/>
      <c r="Q204" s="236"/>
      <c r="R204" s="236"/>
      <c r="S204" s="236"/>
      <c r="T204" s="236"/>
      <c r="U204" s="236"/>
      <c r="V204" s="239"/>
      <c r="W204" s="236"/>
      <c r="X204" s="236"/>
    </row>
    <row r="205">
      <c r="A205" s="236"/>
      <c r="B205" s="236"/>
      <c r="C205" s="236"/>
      <c r="D205" s="238"/>
      <c r="E205" s="245"/>
      <c r="F205" s="246"/>
      <c r="G205" s="246"/>
      <c r="H205" s="236"/>
      <c r="I205" s="236"/>
      <c r="J205" s="236"/>
      <c r="K205" s="236"/>
      <c r="L205" s="236"/>
      <c r="M205" s="236"/>
      <c r="N205" s="236"/>
      <c r="O205" s="236"/>
      <c r="P205" s="236"/>
      <c r="Q205" s="236"/>
      <c r="R205" s="236"/>
      <c r="S205" s="236"/>
      <c r="T205" s="236"/>
      <c r="U205" s="236"/>
      <c r="V205" s="239"/>
      <c r="W205" s="236"/>
      <c r="X205" s="236"/>
    </row>
    <row r="206">
      <c r="A206" s="236"/>
      <c r="B206" s="236"/>
      <c r="C206" s="236"/>
      <c r="D206" s="238"/>
      <c r="E206" s="245"/>
      <c r="F206" s="246"/>
      <c r="G206" s="246"/>
      <c r="H206" s="236"/>
      <c r="I206" s="236"/>
      <c r="J206" s="236"/>
      <c r="K206" s="236"/>
      <c r="L206" s="236"/>
      <c r="M206" s="236"/>
      <c r="N206" s="236"/>
      <c r="O206" s="236"/>
      <c r="P206" s="236"/>
      <c r="Q206" s="236"/>
      <c r="R206" s="236"/>
      <c r="S206" s="236"/>
      <c r="T206" s="236"/>
      <c r="U206" s="236"/>
      <c r="V206" s="239"/>
      <c r="W206" s="236"/>
      <c r="X206" s="236"/>
    </row>
    <row r="207">
      <c r="A207" s="236"/>
      <c r="B207" s="236"/>
      <c r="C207" s="236"/>
      <c r="D207" s="238"/>
      <c r="E207" s="245"/>
      <c r="F207" s="246"/>
      <c r="G207" s="246"/>
      <c r="H207" s="236"/>
      <c r="I207" s="236"/>
      <c r="J207" s="236"/>
      <c r="K207" s="236"/>
      <c r="L207" s="236"/>
      <c r="M207" s="236"/>
      <c r="N207" s="236"/>
      <c r="O207" s="236"/>
      <c r="P207" s="236"/>
      <c r="Q207" s="236"/>
      <c r="R207" s="236"/>
      <c r="S207" s="236"/>
      <c r="T207" s="236"/>
      <c r="U207" s="236"/>
      <c r="V207" s="239"/>
      <c r="W207" s="236"/>
      <c r="X207" s="236"/>
    </row>
    <row r="208">
      <c r="A208" s="236"/>
      <c r="B208" s="236"/>
      <c r="C208" s="236"/>
      <c r="D208" s="238"/>
      <c r="E208" s="245"/>
      <c r="F208" s="246"/>
      <c r="G208" s="246"/>
      <c r="H208" s="236"/>
      <c r="I208" s="236"/>
      <c r="J208" s="236"/>
      <c r="K208" s="236"/>
      <c r="L208" s="236"/>
      <c r="M208" s="236"/>
      <c r="N208" s="236"/>
      <c r="O208" s="236"/>
      <c r="P208" s="236"/>
      <c r="Q208" s="236"/>
      <c r="R208" s="236"/>
      <c r="S208" s="236"/>
      <c r="T208" s="236"/>
      <c r="U208" s="236"/>
      <c r="V208" s="239"/>
      <c r="W208" s="236"/>
      <c r="X208" s="236"/>
    </row>
    <row r="209">
      <c r="A209" s="236"/>
      <c r="B209" s="236"/>
      <c r="C209" s="236"/>
      <c r="D209" s="238"/>
      <c r="E209" s="245"/>
      <c r="F209" s="246"/>
      <c r="G209" s="246"/>
      <c r="H209" s="236"/>
      <c r="I209" s="236"/>
      <c r="J209" s="236"/>
      <c r="K209" s="236"/>
      <c r="L209" s="236"/>
      <c r="M209" s="236"/>
      <c r="N209" s="236"/>
      <c r="O209" s="236"/>
      <c r="P209" s="236"/>
      <c r="Q209" s="236"/>
      <c r="R209" s="236"/>
      <c r="S209" s="236"/>
      <c r="T209" s="236"/>
      <c r="U209" s="236"/>
      <c r="V209" s="239"/>
      <c r="W209" s="236"/>
      <c r="X209" s="236"/>
    </row>
    <row r="210">
      <c r="A210" s="236"/>
      <c r="B210" s="236"/>
      <c r="C210" s="236"/>
      <c r="D210" s="238"/>
      <c r="E210" s="245"/>
      <c r="F210" s="246"/>
      <c r="G210" s="246"/>
      <c r="H210" s="236"/>
      <c r="I210" s="236"/>
      <c r="J210" s="236"/>
      <c r="K210" s="236"/>
      <c r="L210" s="236"/>
      <c r="M210" s="236"/>
      <c r="N210" s="236"/>
      <c r="O210" s="236"/>
      <c r="P210" s="236"/>
      <c r="Q210" s="236"/>
      <c r="R210" s="236"/>
      <c r="S210" s="236"/>
      <c r="T210" s="236"/>
      <c r="U210" s="236"/>
      <c r="V210" s="239"/>
      <c r="W210" s="236"/>
      <c r="X210" s="236"/>
    </row>
    <row r="211">
      <c r="A211" s="236"/>
      <c r="B211" s="236"/>
      <c r="C211" s="236"/>
      <c r="D211" s="238"/>
      <c r="E211" s="245"/>
      <c r="F211" s="246"/>
      <c r="G211" s="246"/>
      <c r="H211" s="236"/>
      <c r="I211" s="236"/>
      <c r="J211" s="236"/>
      <c r="K211" s="236"/>
      <c r="L211" s="236"/>
      <c r="M211" s="236"/>
      <c r="N211" s="236"/>
      <c r="O211" s="236"/>
      <c r="P211" s="236"/>
      <c r="Q211" s="236"/>
      <c r="R211" s="236"/>
      <c r="S211" s="236"/>
      <c r="T211" s="236"/>
      <c r="U211" s="236"/>
      <c r="V211" s="239"/>
      <c r="W211" s="236"/>
      <c r="X211" s="236"/>
    </row>
    <row r="212">
      <c r="A212" s="236"/>
      <c r="B212" s="236"/>
      <c r="C212" s="236"/>
      <c r="D212" s="238"/>
      <c r="E212" s="245"/>
      <c r="F212" s="246"/>
      <c r="G212" s="246"/>
      <c r="H212" s="236"/>
      <c r="I212" s="236"/>
      <c r="J212" s="236"/>
      <c r="K212" s="236"/>
      <c r="L212" s="236"/>
      <c r="M212" s="236"/>
      <c r="N212" s="236"/>
      <c r="O212" s="236"/>
      <c r="P212" s="236"/>
      <c r="Q212" s="236"/>
      <c r="R212" s="236"/>
      <c r="S212" s="236"/>
      <c r="T212" s="236"/>
      <c r="U212" s="236"/>
      <c r="V212" s="239"/>
      <c r="W212" s="236"/>
      <c r="X212" s="236"/>
    </row>
    <row r="213">
      <c r="A213" s="236"/>
      <c r="B213" s="236"/>
      <c r="C213" s="236"/>
      <c r="D213" s="238"/>
      <c r="E213" s="245"/>
      <c r="F213" s="246"/>
      <c r="G213" s="246"/>
      <c r="H213" s="236"/>
      <c r="I213" s="236"/>
      <c r="J213" s="236"/>
      <c r="K213" s="236"/>
      <c r="L213" s="236"/>
      <c r="M213" s="236"/>
      <c r="N213" s="236"/>
      <c r="O213" s="236"/>
      <c r="P213" s="236"/>
      <c r="Q213" s="236"/>
      <c r="R213" s="236"/>
      <c r="S213" s="236"/>
      <c r="T213" s="236"/>
      <c r="U213" s="236"/>
      <c r="V213" s="239"/>
      <c r="W213" s="236"/>
      <c r="X213" s="236"/>
    </row>
    <row r="214">
      <c r="A214" s="236"/>
      <c r="B214" s="236"/>
      <c r="C214" s="236"/>
      <c r="D214" s="238"/>
      <c r="E214" s="245"/>
      <c r="F214" s="246"/>
      <c r="G214" s="246"/>
      <c r="H214" s="236"/>
      <c r="I214" s="236"/>
      <c r="J214" s="236"/>
      <c r="K214" s="236"/>
      <c r="L214" s="236"/>
      <c r="M214" s="236"/>
      <c r="N214" s="236"/>
      <c r="O214" s="236"/>
      <c r="P214" s="236"/>
      <c r="Q214" s="236"/>
      <c r="R214" s="236"/>
      <c r="S214" s="236"/>
      <c r="T214" s="236"/>
      <c r="U214" s="236"/>
      <c r="V214" s="239"/>
      <c r="W214" s="236"/>
      <c r="X214" s="236"/>
    </row>
    <row r="215">
      <c r="A215" s="236"/>
      <c r="B215" s="236"/>
      <c r="C215" s="236"/>
      <c r="D215" s="238"/>
      <c r="E215" s="245"/>
      <c r="F215" s="246"/>
      <c r="G215" s="246"/>
      <c r="H215" s="236"/>
      <c r="I215" s="236"/>
      <c r="J215" s="236"/>
      <c r="K215" s="236"/>
      <c r="L215" s="236"/>
      <c r="M215" s="236"/>
      <c r="N215" s="236"/>
      <c r="O215" s="236"/>
      <c r="P215" s="236"/>
      <c r="Q215" s="236"/>
      <c r="R215" s="236"/>
      <c r="S215" s="236"/>
      <c r="T215" s="236"/>
      <c r="U215" s="236"/>
      <c r="V215" s="239"/>
      <c r="W215" s="236"/>
      <c r="X215" s="236"/>
    </row>
    <row r="216">
      <c r="A216" s="236"/>
      <c r="B216" s="236"/>
      <c r="C216" s="236"/>
      <c r="D216" s="238"/>
      <c r="E216" s="245"/>
      <c r="F216" s="246"/>
      <c r="G216" s="246"/>
      <c r="H216" s="236"/>
      <c r="I216" s="236"/>
      <c r="J216" s="236"/>
      <c r="K216" s="236"/>
      <c r="L216" s="236"/>
      <c r="M216" s="236"/>
      <c r="N216" s="236"/>
      <c r="O216" s="236"/>
      <c r="P216" s="236"/>
      <c r="Q216" s="236"/>
      <c r="R216" s="236"/>
      <c r="S216" s="236"/>
      <c r="T216" s="236"/>
      <c r="U216" s="236"/>
      <c r="V216" s="239"/>
      <c r="W216" s="236"/>
      <c r="X216" s="236"/>
    </row>
    <row r="217">
      <c r="A217" s="236"/>
      <c r="B217" s="236"/>
      <c r="C217" s="236"/>
      <c r="D217" s="238"/>
      <c r="E217" s="245"/>
      <c r="F217" s="246"/>
      <c r="G217" s="246"/>
      <c r="H217" s="236"/>
      <c r="I217" s="236"/>
      <c r="J217" s="236"/>
      <c r="K217" s="236"/>
      <c r="L217" s="236"/>
      <c r="M217" s="236"/>
      <c r="N217" s="236"/>
      <c r="O217" s="236"/>
      <c r="P217" s="236"/>
      <c r="Q217" s="236"/>
      <c r="R217" s="236"/>
      <c r="S217" s="236"/>
      <c r="T217" s="236"/>
      <c r="U217" s="236"/>
      <c r="V217" s="239"/>
      <c r="W217" s="236"/>
      <c r="X217" s="236"/>
    </row>
    <row r="218">
      <c r="A218" s="236"/>
      <c r="B218" s="236"/>
      <c r="C218" s="236"/>
      <c r="D218" s="238"/>
      <c r="E218" s="245"/>
      <c r="F218" s="246"/>
      <c r="G218" s="246"/>
      <c r="H218" s="236"/>
      <c r="I218" s="236"/>
      <c r="J218" s="236"/>
      <c r="K218" s="236"/>
      <c r="L218" s="236"/>
      <c r="M218" s="236"/>
      <c r="N218" s="236"/>
      <c r="O218" s="236"/>
      <c r="P218" s="236"/>
      <c r="Q218" s="236"/>
      <c r="R218" s="236"/>
      <c r="S218" s="236"/>
      <c r="T218" s="236"/>
      <c r="U218" s="236"/>
      <c r="V218" s="239"/>
      <c r="W218" s="236"/>
      <c r="X218" s="236"/>
    </row>
    <row r="219">
      <c r="A219" s="236"/>
      <c r="B219" s="236"/>
      <c r="C219" s="236"/>
      <c r="D219" s="238"/>
      <c r="E219" s="245"/>
      <c r="F219" s="246"/>
      <c r="G219" s="246"/>
      <c r="H219" s="236"/>
      <c r="I219" s="236"/>
      <c r="J219" s="236"/>
      <c r="K219" s="236"/>
      <c r="L219" s="236"/>
      <c r="M219" s="236"/>
      <c r="N219" s="236"/>
      <c r="O219" s="236"/>
      <c r="P219" s="236"/>
      <c r="Q219" s="236"/>
      <c r="R219" s="236"/>
      <c r="S219" s="236"/>
      <c r="T219" s="236"/>
      <c r="U219" s="236"/>
      <c r="V219" s="239"/>
      <c r="W219" s="236"/>
      <c r="X219" s="236"/>
    </row>
    <row r="220">
      <c r="A220" s="236"/>
      <c r="B220" s="236"/>
      <c r="C220" s="236"/>
      <c r="D220" s="238"/>
      <c r="E220" s="245"/>
      <c r="F220" s="246"/>
      <c r="G220" s="246"/>
      <c r="H220" s="236"/>
      <c r="I220" s="236"/>
      <c r="J220" s="236"/>
      <c r="K220" s="236"/>
      <c r="L220" s="236"/>
      <c r="M220" s="236"/>
      <c r="N220" s="236"/>
      <c r="O220" s="236"/>
      <c r="P220" s="236"/>
      <c r="Q220" s="236"/>
      <c r="R220" s="236"/>
      <c r="S220" s="236"/>
      <c r="T220" s="236"/>
      <c r="U220" s="236"/>
      <c r="V220" s="239"/>
      <c r="W220" s="236"/>
      <c r="X220" s="236"/>
    </row>
    <row r="221">
      <c r="A221" s="236"/>
      <c r="B221" s="236"/>
      <c r="C221" s="236"/>
      <c r="D221" s="238"/>
      <c r="E221" s="245"/>
      <c r="F221" s="246"/>
      <c r="G221" s="246"/>
      <c r="H221" s="236"/>
      <c r="I221" s="236"/>
      <c r="J221" s="236"/>
      <c r="K221" s="236"/>
      <c r="L221" s="236"/>
      <c r="M221" s="236"/>
      <c r="N221" s="236"/>
      <c r="O221" s="236"/>
      <c r="P221" s="236"/>
      <c r="Q221" s="236"/>
      <c r="R221" s="236"/>
      <c r="S221" s="236"/>
      <c r="T221" s="236"/>
      <c r="U221" s="236"/>
      <c r="V221" s="239"/>
      <c r="W221" s="236"/>
      <c r="X221" s="236"/>
    </row>
    <row r="222">
      <c r="A222" s="236"/>
      <c r="B222" s="236"/>
      <c r="C222" s="236"/>
      <c r="D222" s="238"/>
      <c r="E222" s="245"/>
      <c r="F222" s="246"/>
      <c r="G222" s="246"/>
      <c r="H222" s="236"/>
      <c r="I222" s="236"/>
      <c r="J222" s="236"/>
      <c r="K222" s="236"/>
      <c r="L222" s="236"/>
      <c r="M222" s="236"/>
      <c r="N222" s="236"/>
      <c r="O222" s="236"/>
      <c r="P222" s="236"/>
      <c r="Q222" s="236"/>
      <c r="R222" s="236"/>
      <c r="S222" s="236"/>
      <c r="T222" s="236"/>
      <c r="U222" s="236"/>
      <c r="V222" s="239"/>
      <c r="W222" s="236"/>
      <c r="X222" s="236"/>
    </row>
    <row r="223">
      <c r="A223" s="236"/>
      <c r="B223" s="236"/>
      <c r="C223" s="236"/>
      <c r="D223" s="238"/>
      <c r="E223" s="245"/>
      <c r="F223" s="246"/>
      <c r="G223" s="246"/>
      <c r="H223" s="236"/>
      <c r="I223" s="236"/>
      <c r="J223" s="236"/>
      <c r="K223" s="236"/>
      <c r="L223" s="236"/>
      <c r="M223" s="236"/>
      <c r="N223" s="236"/>
      <c r="O223" s="236"/>
      <c r="P223" s="236"/>
      <c r="Q223" s="236"/>
      <c r="R223" s="236"/>
      <c r="S223" s="236"/>
      <c r="T223" s="236"/>
      <c r="U223" s="236"/>
      <c r="V223" s="239"/>
      <c r="W223" s="236"/>
      <c r="X223" s="236"/>
    </row>
    <row r="224">
      <c r="A224" s="236"/>
      <c r="B224" s="236"/>
      <c r="C224" s="236"/>
      <c r="D224" s="238"/>
      <c r="E224" s="245"/>
      <c r="F224" s="246"/>
      <c r="G224" s="246"/>
      <c r="H224" s="236"/>
      <c r="I224" s="236"/>
      <c r="J224" s="236"/>
      <c r="K224" s="236"/>
      <c r="L224" s="236"/>
      <c r="M224" s="236"/>
      <c r="N224" s="236"/>
      <c r="O224" s="236"/>
      <c r="P224" s="236"/>
      <c r="Q224" s="236"/>
      <c r="R224" s="236"/>
      <c r="S224" s="236"/>
      <c r="T224" s="236"/>
      <c r="U224" s="236"/>
      <c r="V224" s="239"/>
      <c r="W224" s="236"/>
      <c r="X224" s="236"/>
    </row>
    <row r="225">
      <c r="A225" s="236"/>
      <c r="B225" s="236"/>
      <c r="C225" s="236"/>
      <c r="D225" s="238"/>
      <c r="E225" s="245"/>
      <c r="F225" s="246"/>
      <c r="G225" s="246"/>
      <c r="H225" s="236"/>
      <c r="I225" s="236"/>
      <c r="J225" s="236"/>
      <c r="K225" s="236"/>
      <c r="L225" s="236"/>
      <c r="M225" s="236"/>
      <c r="N225" s="236"/>
      <c r="O225" s="236"/>
      <c r="P225" s="236"/>
      <c r="Q225" s="236"/>
      <c r="R225" s="236"/>
      <c r="S225" s="236"/>
      <c r="T225" s="236"/>
      <c r="U225" s="236"/>
      <c r="V225" s="239"/>
      <c r="W225" s="236"/>
      <c r="X225" s="236"/>
    </row>
    <row r="226">
      <c r="A226" s="236"/>
      <c r="B226" s="236"/>
      <c r="C226" s="236"/>
      <c r="D226" s="238"/>
      <c r="E226" s="245"/>
      <c r="F226" s="246"/>
      <c r="G226" s="246"/>
      <c r="H226" s="236"/>
      <c r="I226" s="236"/>
      <c r="J226" s="236"/>
      <c r="K226" s="236"/>
      <c r="L226" s="236"/>
      <c r="M226" s="236"/>
      <c r="N226" s="236"/>
      <c r="O226" s="236"/>
      <c r="P226" s="236"/>
      <c r="Q226" s="236"/>
      <c r="R226" s="236"/>
      <c r="S226" s="236"/>
      <c r="T226" s="236"/>
      <c r="U226" s="236"/>
      <c r="V226" s="239"/>
      <c r="W226" s="236"/>
      <c r="X226" s="236"/>
    </row>
    <row r="227">
      <c r="A227" s="236"/>
      <c r="B227" s="236"/>
      <c r="C227" s="236"/>
      <c r="D227" s="238"/>
      <c r="E227" s="245"/>
      <c r="F227" s="246"/>
      <c r="G227" s="246"/>
      <c r="H227" s="236"/>
      <c r="I227" s="236"/>
      <c r="J227" s="236"/>
      <c r="K227" s="236"/>
      <c r="L227" s="236"/>
      <c r="M227" s="236"/>
      <c r="N227" s="236"/>
      <c r="O227" s="236"/>
      <c r="P227" s="236"/>
      <c r="Q227" s="236"/>
      <c r="R227" s="236"/>
      <c r="S227" s="236"/>
      <c r="T227" s="236"/>
      <c r="U227" s="236"/>
      <c r="V227" s="239"/>
      <c r="W227" s="236"/>
      <c r="X227" s="236"/>
    </row>
    <row r="228">
      <c r="A228" s="236"/>
      <c r="B228" s="236"/>
      <c r="C228" s="236"/>
      <c r="D228" s="238"/>
      <c r="E228" s="245"/>
      <c r="F228" s="246"/>
      <c r="G228" s="246"/>
      <c r="H228" s="236"/>
      <c r="I228" s="236"/>
      <c r="J228" s="236"/>
      <c r="K228" s="236"/>
      <c r="L228" s="236"/>
      <c r="M228" s="236"/>
      <c r="N228" s="236"/>
      <c r="O228" s="236"/>
      <c r="P228" s="236"/>
      <c r="Q228" s="236"/>
      <c r="R228" s="236"/>
      <c r="S228" s="236"/>
      <c r="T228" s="236"/>
      <c r="U228" s="236"/>
      <c r="V228" s="239"/>
      <c r="W228" s="236"/>
      <c r="X228" s="236"/>
    </row>
    <row r="229">
      <c r="A229" s="236"/>
      <c r="B229" s="236"/>
      <c r="C229" s="236"/>
      <c r="D229" s="238"/>
      <c r="E229" s="245"/>
      <c r="F229" s="246"/>
      <c r="G229" s="246"/>
      <c r="H229" s="236"/>
      <c r="I229" s="236"/>
      <c r="J229" s="236"/>
      <c r="K229" s="236"/>
      <c r="L229" s="236"/>
      <c r="M229" s="236"/>
      <c r="N229" s="236"/>
      <c r="O229" s="236"/>
      <c r="P229" s="236"/>
      <c r="Q229" s="236"/>
      <c r="R229" s="236"/>
      <c r="S229" s="236"/>
      <c r="T229" s="236"/>
      <c r="U229" s="236"/>
      <c r="V229" s="239"/>
      <c r="W229" s="236"/>
      <c r="X229" s="236"/>
    </row>
    <row r="230">
      <c r="A230" s="236"/>
      <c r="B230" s="236"/>
      <c r="C230" s="236"/>
      <c r="D230" s="238"/>
      <c r="E230" s="245"/>
      <c r="F230" s="246"/>
      <c r="G230" s="246"/>
      <c r="H230" s="236"/>
      <c r="I230" s="236"/>
      <c r="J230" s="236"/>
      <c r="K230" s="236"/>
      <c r="L230" s="236"/>
      <c r="M230" s="236"/>
      <c r="N230" s="236"/>
      <c r="O230" s="236"/>
      <c r="P230" s="236"/>
      <c r="Q230" s="236"/>
      <c r="R230" s="236"/>
      <c r="S230" s="236"/>
      <c r="T230" s="236"/>
      <c r="U230" s="236"/>
      <c r="V230" s="239"/>
      <c r="W230" s="236"/>
      <c r="X230" s="236"/>
    </row>
    <row r="231">
      <c r="A231" s="236"/>
      <c r="B231" s="236"/>
      <c r="C231" s="236"/>
      <c r="D231" s="238"/>
      <c r="E231" s="245"/>
      <c r="F231" s="246"/>
      <c r="G231" s="246"/>
      <c r="H231" s="236"/>
      <c r="I231" s="236"/>
      <c r="J231" s="236"/>
      <c r="K231" s="236"/>
      <c r="L231" s="236"/>
      <c r="M231" s="236"/>
      <c r="N231" s="236"/>
      <c r="O231" s="236"/>
      <c r="P231" s="236"/>
      <c r="Q231" s="236"/>
      <c r="R231" s="236"/>
      <c r="S231" s="236"/>
      <c r="T231" s="236"/>
      <c r="U231" s="236"/>
      <c r="V231" s="239"/>
      <c r="W231" s="236"/>
      <c r="X231" s="236"/>
    </row>
    <row r="232">
      <c r="A232" s="236"/>
      <c r="B232" s="236"/>
      <c r="C232" s="236"/>
      <c r="D232" s="238"/>
      <c r="E232" s="245"/>
      <c r="F232" s="246"/>
      <c r="G232" s="246"/>
      <c r="H232" s="236"/>
      <c r="I232" s="236"/>
      <c r="J232" s="236"/>
      <c r="K232" s="236"/>
      <c r="L232" s="236"/>
      <c r="M232" s="236"/>
      <c r="N232" s="236"/>
      <c r="O232" s="236"/>
      <c r="P232" s="236"/>
      <c r="Q232" s="236"/>
      <c r="R232" s="236"/>
      <c r="S232" s="236"/>
      <c r="T232" s="236"/>
      <c r="U232" s="236"/>
      <c r="V232" s="239"/>
      <c r="W232" s="236"/>
      <c r="X232" s="236"/>
    </row>
    <row r="233">
      <c r="A233" s="236"/>
      <c r="B233" s="236"/>
      <c r="C233" s="236"/>
      <c r="D233" s="238"/>
      <c r="E233" s="245"/>
      <c r="F233" s="246"/>
      <c r="G233" s="246"/>
      <c r="H233" s="236"/>
      <c r="I233" s="236"/>
      <c r="J233" s="236"/>
      <c r="K233" s="236"/>
      <c r="L233" s="236"/>
      <c r="M233" s="236"/>
      <c r="N233" s="236"/>
      <c r="O233" s="236"/>
      <c r="P233" s="236"/>
      <c r="Q233" s="236"/>
      <c r="R233" s="236"/>
      <c r="S233" s="236"/>
      <c r="T233" s="236"/>
      <c r="U233" s="236"/>
      <c r="V233" s="239"/>
      <c r="W233" s="236"/>
      <c r="X233" s="236"/>
    </row>
    <row r="234">
      <c r="A234" s="236"/>
      <c r="B234" s="236"/>
      <c r="C234" s="236"/>
      <c r="D234" s="238"/>
      <c r="E234" s="245"/>
      <c r="F234" s="246"/>
      <c r="G234" s="246"/>
      <c r="H234" s="236"/>
      <c r="I234" s="236"/>
      <c r="J234" s="236"/>
      <c r="K234" s="236"/>
      <c r="L234" s="236"/>
      <c r="M234" s="236"/>
      <c r="N234" s="236"/>
      <c r="O234" s="236"/>
      <c r="P234" s="236"/>
      <c r="Q234" s="236"/>
      <c r="R234" s="236"/>
      <c r="S234" s="236"/>
      <c r="T234" s="236"/>
      <c r="U234" s="236"/>
      <c r="V234" s="239"/>
      <c r="W234" s="236"/>
      <c r="X234" s="236"/>
    </row>
    <row r="235">
      <c r="A235" s="236"/>
      <c r="B235" s="236"/>
      <c r="C235" s="236"/>
      <c r="D235" s="238"/>
      <c r="E235" s="245"/>
      <c r="F235" s="246"/>
      <c r="G235" s="246"/>
      <c r="H235" s="236"/>
      <c r="I235" s="236"/>
      <c r="J235" s="236"/>
      <c r="K235" s="236"/>
      <c r="L235" s="236"/>
      <c r="M235" s="236"/>
      <c r="N235" s="236"/>
      <c r="O235" s="236"/>
      <c r="P235" s="236"/>
      <c r="Q235" s="236"/>
      <c r="R235" s="236"/>
      <c r="S235" s="236"/>
      <c r="T235" s="236"/>
      <c r="U235" s="236"/>
      <c r="V235" s="239"/>
      <c r="W235" s="236"/>
      <c r="X235" s="236"/>
    </row>
    <row r="236">
      <c r="A236" s="236"/>
      <c r="B236" s="236"/>
      <c r="C236" s="236"/>
      <c r="D236" s="238"/>
      <c r="E236" s="245"/>
      <c r="F236" s="246"/>
      <c r="G236" s="246"/>
      <c r="H236" s="236"/>
      <c r="I236" s="236"/>
      <c r="J236" s="236"/>
      <c r="K236" s="236"/>
      <c r="L236" s="236"/>
      <c r="M236" s="236"/>
      <c r="N236" s="236"/>
      <c r="O236" s="236"/>
      <c r="P236" s="236"/>
      <c r="Q236" s="236"/>
      <c r="R236" s="236"/>
      <c r="S236" s="236"/>
      <c r="T236" s="236"/>
      <c r="U236" s="236"/>
      <c r="V236" s="239"/>
      <c r="W236" s="236"/>
      <c r="X236" s="236"/>
    </row>
    <row r="237">
      <c r="A237" s="236"/>
      <c r="B237" s="236"/>
      <c r="C237" s="236"/>
      <c r="D237" s="238"/>
      <c r="E237" s="245"/>
      <c r="F237" s="246"/>
      <c r="G237" s="246"/>
      <c r="H237" s="236"/>
      <c r="I237" s="236"/>
      <c r="J237" s="236"/>
      <c r="K237" s="236"/>
      <c r="L237" s="236"/>
      <c r="M237" s="236"/>
      <c r="N237" s="236"/>
      <c r="O237" s="236"/>
      <c r="P237" s="236"/>
      <c r="Q237" s="236"/>
      <c r="R237" s="236"/>
      <c r="S237" s="236"/>
      <c r="T237" s="236"/>
      <c r="U237" s="236"/>
      <c r="V237" s="239"/>
      <c r="W237" s="236"/>
      <c r="X237" s="236"/>
    </row>
    <row r="238">
      <c r="A238" s="236"/>
      <c r="B238" s="236"/>
      <c r="C238" s="236"/>
      <c r="D238" s="238"/>
      <c r="E238" s="245"/>
      <c r="F238" s="246"/>
      <c r="G238" s="246"/>
      <c r="H238" s="236"/>
      <c r="I238" s="236"/>
      <c r="J238" s="236"/>
      <c r="K238" s="236"/>
      <c r="L238" s="236"/>
      <c r="M238" s="236"/>
      <c r="N238" s="236"/>
      <c r="O238" s="236"/>
      <c r="P238" s="236"/>
      <c r="Q238" s="236"/>
      <c r="R238" s="236"/>
      <c r="S238" s="236"/>
      <c r="T238" s="236"/>
      <c r="U238" s="236"/>
      <c r="V238" s="239"/>
      <c r="W238" s="236"/>
      <c r="X238" s="236"/>
    </row>
    <row r="239">
      <c r="A239" s="236"/>
      <c r="B239" s="236"/>
      <c r="C239" s="236"/>
      <c r="D239" s="238"/>
      <c r="E239" s="245"/>
      <c r="F239" s="246"/>
      <c r="G239" s="246"/>
      <c r="H239" s="236"/>
      <c r="I239" s="236"/>
      <c r="J239" s="236"/>
      <c r="K239" s="236"/>
      <c r="L239" s="236"/>
      <c r="M239" s="236"/>
      <c r="N239" s="236"/>
      <c r="O239" s="236"/>
      <c r="P239" s="236"/>
      <c r="Q239" s="236"/>
      <c r="R239" s="236"/>
      <c r="S239" s="236"/>
      <c r="T239" s="236"/>
      <c r="U239" s="236"/>
      <c r="V239" s="239"/>
      <c r="W239" s="236"/>
      <c r="X239" s="236"/>
    </row>
    <row r="240">
      <c r="A240" s="236"/>
      <c r="B240" s="236"/>
      <c r="C240" s="236"/>
      <c r="D240" s="238"/>
      <c r="E240" s="245"/>
      <c r="F240" s="246"/>
      <c r="G240" s="246"/>
      <c r="H240" s="236"/>
      <c r="I240" s="236"/>
      <c r="J240" s="236"/>
      <c r="K240" s="236"/>
      <c r="L240" s="236"/>
      <c r="M240" s="236"/>
      <c r="N240" s="236"/>
      <c r="O240" s="236"/>
      <c r="P240" s="236"/>
      <c r="Q240" s="236"/>
      <c r="R240" s="236"/>
      <c r="S240" s="236"/>
      <c r="T240" s="236"/>
      <c r="U240" s="236"/>
      <c r="V240" s="239"/>
      <c r="W240" s="236"/>
      <c r="X240" s="236"/>
    </row>
    <row r="241">
      <c r="A241" s="236"/>
      <c r="B241" s="236"/>
      <c r="C241" s="236"/>
      <c r="D241" s="238"/>
      <c r="E241" s="245"/>
      <c r="F241" s="246"/>
      <c r="G241" s="246"/>
      <c r="H241" s="236"/>
      <c r="I241" s="236"/>
      <c r="J241" s="236"/>
      <c r="K241" s="236"/>
      <c r="L241" s="236"/>
      <c r="M241" s="236"/>
      <c r="N241" s="236"/>
      <c r="O241" s="236"/>
      <c r="P241" s="236"/>
      <c r="Q241" s="236"/>
      <c r="R241" s="236"/>
      <c r="S241" s="236"/>
      <c r="T241" s="236"/>
      <c r="U241" s="236"/>
      <c r="V241" s="239"/>
      <c r="W241" s="236"/>
      <c r="X241" s="236"/>
    </row>
    <row r="242">
      <c r="A242" s="236"/>
      <c r="B242" s="236"/>
      <c r="C242" s="236"/>
      <c r="D242" s="238"/>
      <c r="E242" s="245"/>
      <c r="F242" s="246"/>
      <c r="G242" s="246"/>
      <c r="H242" s="236"/>
      <c r="I242" s="236"/>
      <c r="J242" s="236"/>
      <c r="K242" s="236"/>
      <c r="L242" s="236"/>
      <c r="M242" s="236"/>
      <c r="N242" s="236"/>
      <c r="O242" s="236"/>
      <c r="P242" s="236"/>
      <c r="Q242" s="236"/>
      <c r="R242" s="236"/>
      <c r="S242" s="236"/>
      <c r="T242" s="236"/>
      <c r="U242" s="236"/>
      <c r="V242" s="239"/>
      <c r="W242" s="236"/>
      <c r="X242" s="236"/>
    </row>
    <row r="243">
      <c r="A243" s="236"/>
      <c r="B243" s="236"/>
      <c r="C243" s="236"/>
      <c r="D243" s="238"/>
      <c r="E243" s="245"/>
      <c r="F243" s="246"/>
      <c r="G243" s="246"/>
      <c r="H243" s="236"/>
      <c r="I243" s="236"/>
      <c r="J243" s="236"/>
      <c r="K243" s="236"/>
      <c r="L243" s="236"/>
      <c r="M243" s="236"/>
      <c r="N243" s="236"/>
      <c r="O243" s="236"/>
      <c r="P243" s="236"/>
      <c r="Q243" s="236"/>
      <c r="R243" s="236"/>
      <c r="S243" s="236"/>
      <c r="T243" s="236"/>
      <c r="U243" s="236"/>
      <c r="V243" s="239"/>
      <c r="W243" s="236"/>
      <c r="X243" s="236"/>
    </row>
    <row r="244">
      <c r="A244" s="236"/>
      <c r="B244" s="236"/>
      <c r="C244" s="236"/>
      <c r="D244" s="238"/>
      <c r="E244" s="245"/>
      <c r="F244" s="246"/>
      <c r="G244" s="246"/>
      <c r="H244" s="236"/>
      <c r="I244" s="236"/>
      <c r="J244" s="236"/>
      <c r="K244" s="236"/>
      <c r="L244" s="236"/>
      <c r="M244" s="236"/>
      <c r="N244" s="236"/>
      <c r="O244" s="236"/>
      <c r="P244" s="236"/>
      <c r="Q244" s="236"/>
      <c r="R244" s="236"/>
      <c r="S244" s="236"/>
      <c r="T244" s="236"/>
      <c r="U244" s="236"/>
      <c r="V244" s="239"/>
      <c r="W244" s="236"/>
      <c r="X244" s="236"/>
    </row>
    <row r="245">
      <c r="A245" s="236"/>
      <c r="B245" s="236"/>
      <c r="C245" s="236"/>
      <c r="D245" s="238"/>
      <c r="E245" s="245"/>
      <c r="F245" s="246"/>
      <c r="G245" s="246"/>
      <c r="H245" s="236"/>
      <c r="I245" s="236"/>
      <c r="J245" s="236"/>
      <c r="K245" s="236"/>
      <c r="L245" s="236"/>
      <c r="M245" s="236"/>
      <c r="N245" s="236"/>
      <c r="O245" s="236"/>
      <c r="P245" s="236"/>
      <c r="Q245" s="236"/>
      <c r="R245" s="236"/>
      <c r="S245" s="236"/>
      <c r="T245" s="236"/>
      <c r="U245" s="236"/>
      <c r="V245" s="239"/>
      <c r="W245" s="236"/>
      <c r="X245" s="236"/>
    </row>
    <row r="246">
      <c r="A246" s="236"/>
      <c r="B246" s="236"/>
      <c r="C246" s="236"/>
      <c r="D246" s="238"/>
      <c r="E246" s="245"/>
      <c r="F246" s="246"/>
      <c r="G246" s="246"/>
      <c r="H246" s="236"/>
      <c r="I246" s="236"/>
      <c r="J246" s="236"/>
      <c r="K246" s="236"/>
      <c r="L246" s="236"/>
      <c r="M246" s="236"/>
      <c r="N246" s="236"/>
      <c r="O246" s="236"/>
      <c r="P246" s="236"/>
      <c r="Q246" s="236"/>
      <c r="R246" s="236"/>
      <c r="S246" s="236"/>
      <c r="T246" s="236"/>
      <c r="U246" s="236"/>
      <c r="V246" s="239"/>
      <c r="W246" s="236"/>
      <c r="X246" s="236"/>
    </row>
    <row r="247">
      <c r="A247" s="236"/>
      <c r="B247" s="236"/>
      <c r="C247" s="236"/>
      <c r="D247" s="238"/>
      <c r="E247" s="245"/>
      <c r="F247" s="246"/>
      <c r="G247" s="246"/>
      <c r="H247" s="236"/>
      <c r="I247" s="236"/>
      <c r="J247" s="236"/>
      <c r="K247" s="236"/>
      <c r="L247" s="236"/>
      <c r="M247" s="236"/>
      <c r="N247" s="236"/>
      <c r="O247" s="236"/>
      <c r="P247" s="236"/>
      <c r="Q247" s="236"/>
      <c r="R247" s="236"/>
      <c r="S247" s="236"/>
      <c r="T247" s="236"/>
      <c r="U247" s="236"/>
      <c r="V247" s="239"/>
      <c r="W247" s="236"/>
      <c r="X247" s="236"/>
    </row>
    <row r="248">
      <c r="A248" s="236"/>
      <c r="B248" s="236"/>
      <c r="C248" s="236"/>
      <c r="D248" s="238"/>
      <c r="E248" s="245"/>
      <c r="F248" s="246"/>
      <c r="G248" s="246"/>
      <c r="H248" s="236"/>
      <c r="I248" s="236"/>
      <c r="J248" s="236"/>
      <c r="K248" s="236"/>
      <c r="L248" s="236"/>
      <c r="M248" s="236"/>
      <c r="N248" s="236"/>
      <c r="O248" s="236"/>
      <c r="P248" s="236"/>
      <c r="Q248" s="236"/>
      <c r="R248" s="236"/>
      <c r="S248" s="236"/>
      <c r="T248" s="236"/>
      <c r="U248" s="236"/>
      <c r="V248" s="239"/>
      <c r="W248" s="236"/>
      <c r="X248" s="236"/>
    </row>
    <row r="249">
      <c r="A249" s="236"/>
      <c r="B249" s="236"/>
      <c r="C249" s="236"/>
      <c r="D249" s="238"/>
      <c r="E249" s="245"/>
      <c r="F249" s="246"/>
      <c r="G249" s="246"/>
      <c r="H249" s="236"/>
      <c r="I249" s="236"/>
      <c r="J249" s="236"/>
      <c r="K249" s="236"/>
      <c r="L249" s="236"/>
      <c r="M249" s="236"/>
      <c r="N249" s="236"/>
      <c r="O249" s="236"/>
      <c r="P249" s="236"/>
      <c r="Q249" s="236"/>
      <c r="R249" s="236"/>
      <c r="S249" s="236"/>
      <c r="T249" s="236"/>
      <c r="U249" s="236"/>
      <c r="V249" s="239"/>
      <c r="W249" s="236"/>
      <c r="X249" s="236"/>
    </row>
    <row r="250">
      <c r="A250" s="236"/>
      <c r="B250" s="236"/>
      <c r="C250" s="236"/>
      <c r="D250" s="238"/>
      <c r="E250" s="245"/>
      <c r="F250" s="246"/>
      <c r="G250" s="246"/>
      <c r="H250" s="236"/>
      <c r="I250" s="236"/>
      <c r="J250" s="236"/>
      <c r="K250" s="236"/>
      <c r="L250" s="236"/>
      <c r="M250" s="236"/>
      <c r="N250" s="236"/>
      <c r="O250" s="236"/>
      <c r="P250" s="236"/>
      <c r="Q250" s="236"/>
      <c r="R250" s="236"/>
      <c r="S250" s="236"/>
      <c r="T250" s="236"/>
      <c r="U250" s="236"/>
      <c r="V250" s="239"/>
      <c r="W250" s="236"/>
      <c r="X250" s="236"/>
    </row>
    <row r="251">
      <c r="A251" s="236"/>
      <c r="B251" s="236"/>
      <c r="C251" s="236"/>
      <c r="D251" s="238"/>
      <c r="E251" s="245"/>
      <c r="F251" s="246"/>
      <c r="G251" s="246"/>
      <c r="H251" s="236"/>
      <c r="I251" s="236"/>
      <c r="J251" s="236"/>
      <c r="K251" s="236"/>
      <c r="L251" s="236"/>
      <c r="M251" s="236"/>
      <c r="N251" s="236"/>
      <c r="O251" s="236"/>
      <c r="P251" s="236"/>
      <c r="Q251" s="236"/>
      <c r="R251" s="236"/>
      <c r="S251" s="236"/>
      <c r="T251" s="236"/>
      <c r="U251" s="236"/>
      <c r="V251" s="239"/>
      <c r="W251" s="236"/>
      <c r="X251" s="236"/>
    </row>
    <row r="252">
      <c r="A252" s="236"/>
      <c r="B252" s="236"/>
      <c r="C252" s="236"/>
      <c r="D252" s="238"/>
      <c r="E252" s="245"/>
      <c r="F252" s="246"/>
      <c r="G252" s="246"/>
      <c r="H252" s="236"/>
      <c r="I252" s="236"/>
      <c r="J252" s="236"/>
      <c r="K252" s="236"/>
      <c r="L252" s="236"/>
      <c r="M252" s="236"/>
      <c r="N252" s="236"/>
      <c r="O252" s="236"/>
      <c r="P252" s="236"/>
      <c r="Q252" s="236"/>
      <c r="R252" s="236"/>
      <c r="S252" s="236"/>
      <c r="T252" s="236"/>
      <c r="U252" s="236"/>
      <c r="V252" s="239"/>
      <c r="W252" s="236"/>
      <c r="X252" s="236"/>
    </row>
    <row r="253">
      <c r="A253" s="236"/>
      <c r="B253" s="236"/>
      <c r="C253" s="236"/>
      <c r="D253" s="238"/>
      <c r="E253" s="245"/>
      <c r="F253" s="246"/>
      <c r="G253" s="246"/>
      <c r="H253" s="236"/>
      <c r="I253" s="236"/>
      <c r="J253" s="236"/>
      <c r="K253" s="236"/>
      <c r="L253" s="236"/>
      <c r="M253" s="236"/>
      <c r="N253" s="236"/>
      <c r="O253" s="236"/>
      <c r="P253" s="236"/>
      <c r="Q253" s="236"/>
      <c r="R253" s="236"/>
      <c r="S253" s="236"/>
      <c r="T253" s="236"/>
      <c r="U253" s="236"/>
      <c r="V253" s="239"/>
      <c r="W253" s="236"/>
      <c r="X253" s="236"/>
    </row>
    <row r="254">
      <c r="A254" s="236"/>
      <c r="B254" s="236"/>
      <c r="C254" s="236"/>
      <c r="D254" s="238"/>
      <c r="E254" s="245"/>
      <c r="F254" s="246"/>
      <c r="G254" s="246"/>
      <c r="H254" s="236"/>
      <c r="I254" s="236"/>
      <c r="J254" s="236"/>
      <c r="K254" s="236"/>
      <c r="L254" s="236"/>
      <c r="M254" s="236"/>
      <c r="N254" s="236"/>
      <c r="O254" s="236"/>
      <c r="P254" s="236"/>
      <c r="Q254" s="236"/>
      <c r="R254" s="236"/>
      <c r="S254" s="236"/>
      <c r="T254" s="236"/>
      <c r="U254" s="236"/>
      <c r="V254" s="239"/>
      <c r="W254" s="236"/>
      <c r="X254" s="236"/>
    </row>
    <row r="255">
      <c r="A255" s="236"/>
      <c r="B255" s="236"/>
      <c r="C255" s="236"/>
      <c r="D255" s="238"/>
      <c r="E255" s="245"/>
      <c r="F255" s="246"/>
      <c r="G255" s="246"/>
      <c r="H255" s="236"/>
      <c r="I255" s="236"/>
      <c r="J255" s="236"/>
      <c r="K255" s="236"/>
      <c r="L255" s="236"/>
      <c r="M255" s="236"/>
      <c r="N255" s="236"/>
      <c r="O255" s="236"/>
      <c r="P255" s="236"/>
      <c r="Q255" s="236"/>
      <c r="R255" s="236"/>
      <c r="S255" s="236"/>
      <c r="T255" s="236"/>
      <c r="U255" s="236"/>
      <c r="V255" s="239"/>
      <c r="W255" s="236"/>
      <c r="X255" s="236"/>
    </row>
    <row r="256">
      <c r="A256" s="236"/>
      <c r="B256" s="236"/>
      <c r="C256" s="236"/>
      <c r="D256" s="238"/>
      <c r="E256" s="245"/>
      <c r="F256" s="246"/>
      <c r="G256" s="246"/>
      <c r="H256" s="236"/>
      <c r="I256" s="236"/>
      <c r="J256" s="236"/>
      <c r="K256" s="236"/>
      <c r="L256" s="236"/>
      <c r="M256" s="236"/>
      <c r="N256" s="236"/>
      <c r="O256" s="236"/>
      <c r="P256" s="236"/>
      <c r="Q256" s="236"/>
      <c r="R256" s="236"/>
      <c r="S256" s="236"/>
      <c r="T256" s="236"/>
      <c r="U256" s="236"/>
      <c r="V256" s="239"/>
      <c r="W256" s="236"/>
      <c r="X256" s="236"/>
    </row>
    <row r="257">
      <c r="A257" s="236"/>
      <c r="B257" s="236"/>
      <c r="C257" s="236"/>
      <c r="D257" s="238"/>
      <c r="E257" s="245"/>
      <c r="F257" s="246"/>
      <c r="G257" s="246"/>
      <c r="H257" s="236"/>
      <c r="I257" s="236"/>
      <c r="J257" s="236"/>
      <c r="K257" s="236"/>
      <c r="L257" s="236"/>
      <c r="M257" s="236"/>
      <c r="N257" s="236"/>
      <c r="O257" s="236"/>
      <c r="P257" s="236"/>
      <c r="Q257" s="236"/>
      <c r="R257" s="236"/>
      <c r="S257" s="236"/>
      <c r="T257" s="236"/>
      <c r="U257" s="236"/>
      <c r="V257" s="239"/>
      <c r="W257" s="236"/>
      <c r="X257" s="236"/>
    </row>
    <row r="258">
      <c r="A258" s="236"/>
      <c r="B258" s="236"/>
      <c r="C258" s="236"/>
      <c r="D258" s="238"/>
      <c r="E258" s="245"/>
      <c r="F258" s="246"/>
      <c r="G258" s="246"/>
      <c r="H258" s="236"/>
      <c r="I258" s="236"/>
      <c r="J258" s="236"/>
      <c r="K258" s="236"/>
      <c r="L258" s="236"/>
      <c r="M258" s="236"/>
      <c r="N258" s="236"/>
      <c r="O258" s="236"/>
      <c r="P258" s="236"/>
      <c r="Q258" s="236"/>
      <c r="R258" s="236"/>
      <c r="S258" s="236"/>
      <c r="T258" s="236"/>
      <c r="U258" s="236"/>
      <c r="V258" s="239"/>
      <c r="W258" s="236"/>
      <c r="X258" s="236"/>
    </row>
    <row r="259">
      <c r="A259" s="236"/>
      <c r="B259" s="236"/>
      <c r="C259" s="236"/>
      <c r="D259" s="238"/>
      <c r="E259" s="245"/>
      <c r="F259" s="246"/>
      <c r="G259" s="246"/>
      <c r="H259" s="236"/>
      <c r="I259" s="236"/>
      <c r="J259" s="236"/>
      <c r="K259" s="236"/>
      <c r="L259" s="236"/>
      <c r="M259" s="236"/>
      <c r="N259" s="236"/>
      <c r="O259" s="236"/>
      <c r="P259" s="236"/>
      <c r="Q259" s="236"/>
      <c r="R259" s="236"/>
      <c r="S259" s="236"/>
      <c r="T259" s="236"/>
      <c r="U259" s="236"/>
      <c r="V259" s="239"/>
      <c r="W259" s="236"/>
      <c r="X259" s="236"/>
    </row>
    <row r="260">
      <c r="A260" s="236"/>
      <c r="B260" s="236"/>
      <c r="C260" s="236"/>
      <c r="D260" s="238"/>
      <c r="E260" s="245"/>
      <c r="F260" s="246"/>
      <c r="G260" s="246"/>
      <c r="H260" s="236"/>
      <c r="I260" s="236"/>
      <c r="J260" s="236"/>
      <c r="K260" s="236"/>
      <c r="L260" s="236"/>
      <c r="M260" s="236"/>
      <c r="N260" s="236"/>
      <c r="O260" s="236"/>
      <c r="P260" s="236"/>
      <c r="Q260" s="236"/>
      <c r="R260" s="236"/>
      <c r="S260" s="236"/>
      <c r="T260" s="236"/>
      <c r="U260" s="236"/>
      <c r="V260" s="239"/>
      <c r="W260" s="236"/>
      <c r="X260" s="236"/>
    </row>
    <row r="261">
      <c r="A261" s="236"/>
      <c r="B261" s="236"/>
      <c r="C261" s="236"/>
      <c r="D261" s="238"/>
      <c r="E261" s="245"/>
      <c r="F261" s="246"/>
      <c r="G261" s="246"/>
      <c r="H261" s="236"/>
      <c r="I261" s="236"/>
      <c r="J261" s="236"/>
      <c r="K261" s="236"/>
      <c r="L261" s="236"/>
      <c r="M261" s="236"/>
      <c r="N261" s="236"/>
      <c r="O261" s="236"/>
      <c r="P261" s="236"/>
      <c r="Q261" s="236"/>
      <c r="R261" s="236"/>
      <c r="S261" s="236"/>
      <c r="T261" s="236"/>
      <c r="U261" s="236"/>
      <c r="V261" s="239"/>
      <c r="W261" s="236"/>
      <c r="X261" s="236"/>
    </row>
    <row r="262">
      <c r="A262" s="236"/>
      <c r="B262" s="236"/>
      <c r="C262" s="236"/>
      <c r="D262" s="238"/>
      <c r="E262" s="245"/>
      <c r="F262" s="246"/>
      <c r="G262" s="246"/>
      <c r="H262" s="236"/>
      <c r="I262" s="236"/>
      <c r="J262" s="236"/>
      <c r="K262" s="236"/>
      <c r="L262" s="236"/>
      <c r="M262" s="236"/>
      <c r="N262" s="236"/>
      <c r="O262" s="236"/>
      <c r="P262" s="236"/>
      <c r="Q262" s="236"/>
      <c r="R262" s="236"/>
      <c r="S262" s="236"/>
      <c r="T262" s="236"/>
      <c r="U262" s="236"/>
      <c r="V262" s="239"/>
      <c r="W262" s="236"/>
      <c r="X262" s="236"/>
    </row>
    <row r="263">
      <c r="A263" s="236"/>
      <c r="B263" s="236"/>
      <c r="C263" s="236"/>
      <c r="D263" s="238"/>
      <c r="E263" s="245"/>
      <c r="F263" s="246"/>
      <c r="G263" s="246"/>
      <c r="H263" s="236"/>
      <c r="I263" s="236"/>
      <c r="J263" s="236"/>
      <c r="K263" s="236"/>
      <c r="L263" s="236"/>
      <c r="M263" s="236"/>
      <c r="N263" s="236"/>
      <c r="O263" s="236"/>
      <c r="P263" s="236"/>
      <c r="Q263" s="236"/>
      <c r="R263" s="236"/>
      <c r="S263" s="236"/>
      <c r="T263" s="236"/>
      <c r="U263" s="236"/>
      <c r="V263" s="239"/>
      <c r="W263" s="236"/>
      <c r="X263" s="236"/>
    </row>
    <row r="264">
      <c r="A264" s="236"/>
      <c r="B264" s="236"/>
      <c r="C264" s="236"/>
      <c r="D264" s="238"/>
      <c r="E264" s="245"/>
      <c r="F264" s="246"/>
      <c r="G264" s="246"/>
      <c r="H264" s="236"/>
      <c r="I264" s="236"/>
      <c r="J264" s="236"/>
      <c r="K264" s="236"/>
      <c r="L264" s="236"/>
      <c r="M264" s="236"/>
      <c r="N264" s="236"/>
      <c r="O264" s="236"/>
      <c r="P264" s="236"/>
      <c r="Q264" s="236"/>
      <c r="R264" s="236"/>
      <c r="S264" s="236"/>
      <c r="T264" s="236"/>
      <c r="U264" s="236"/>
      <c r="V264" s="239"/>
      <c r="W264" s="236"/>
      <c r="X264" s="236"/>
    </row>
    <row r="265">
      <c r="A265" s="236"/>
      <c r="B265" s="236"/>
      <c r="C265" s="236"/>
      <c r="D265" s="238"/>
      <c r="E265" s="245"/>
      <c r="F265" s="246"/>
      <c r="G265" s="246"/>
      <c r="H265" s="236"/>
      <c r="I265" s="236"/>
      <c r="J265" s="236"/>
      <c r="K265" s="236"/>
      <c r="L265" s="236"/>
      <c r="M265" s="236"/>
      <c r="N265" s="236"/>
      <c r="O265" s="236"/>
      <c r="P265" s="236"/>
      <c r="Q265" s="236"/>
      <c r="R265" s="236"/>
      <c r="S265" s="236"/>
      <c r="T265" s="236"/>
      <c r="U265" s="236"/>
      <c r="V265" s="239"/>
      <c r="W265" s="236"/>
      <c r="X265" s="236"/>
    </row>
    <row r="266">
      <c r="A266" s="236"/>
      <c r="B266" s="236"/>
      <c r="C266" s="236"/>
      <c r="D266" s="238"/>
      <c r="E266" s="245"/>
      <c r="F266" s="246"/>
      <c r="G266" s="246"/>
      <c r="H266" s="236"/>
      <c r="I266" s="236"/>
      <c r="J266" s="236"/>
      <c r="K266" s="236"/>
      <c r="L266" s="236"/>
      <c r="M266" s="236"/>
      <c r="N266" s="236"/>
      <c r="O266" s="236"/>
      <c r="P266" s="236"/>
      <c r="Q266" s="236"/>
      <c r="R266" s="236"/>
      <c r="S266" s="236"/>
      <c r="T266" s="236"/>
      <c r="U266" s="236"/>
      <c r="V266" s="239"/>
      <c r="W266" s="236"/>
      <c r="X266" s="236"/>
    </row>
    <row r="267">
      <c r="A267" s="236"/>
      <c r="B267" s="236"/>
      <c r="C267" s="236"/>
      <c r="D267" s="238"/>
      <c r="E267" s="245"/>
      <c r="F267" s="246"/>
      <c r="G267" s="246"/>
      <c r="H267" s="236"/>
      <c r="I267" s="236"/>
      <c r="J267" s="236"/>
      <c r="K267" s="236"/>
      <c r="L267" s="236"/>
      <c r="M267" s="236"/>
      <c r="N267" s="236"/>
      <c r="O267" s="236"/>
      <c r="P267" s="236"/>
      <c r="Q267" s="236"/>
      <c r="R267" s="236"/>
      <c r="S267" s="236"/>
      <c r="T267" s="236"/>
      <c r="U267" s="236"/>
      <c r="V267" s="239"/>
      <c r="W267" s="236"/>
      <c r="X267" s="236"/>
    </row>
    <row r="268">
      <c r="A268" s="236"/>
      <c r="B268" s="236"/>
      <c r="C268" s="236"/>
      <c r="D268" s="238"/>
      <c r="E268" s="245"/>
      <c r="F268" s="246"/>
      <c r="G268" s="246"/>
      <c r="H268" s="236"/>
      <c r="I268" s="236"/>
      <c r="J268" s="236"/>
      <c r="K268" s="236"/>
      <c r="L268" s="236"/>
      <c r="M268" s="236"/>
      <c r="N268" s="236"/>
      <c r="O268" s="236"/>
      <c r="P268" s="236"/>
      <c r="Q268" s="236"/>
      <c r="R268" s="236"/>
      <c r="S268" s="236"/>
      <c r="T268" s="236"/>
      <c r="U268" s="236"/>
      <c r="V268" s="239"/>
      <c r="W268" s="236"/>
      <c r="X268" s="236"/>
    </row>
    <row r="269">
      <c r="A269" s="236"/>
      <c r="B269" s="236"/>
      <c r="C269" s="236"/>
      <c r="D269" s="238"/>
      <c r="E269" s="245"/>
      <c r="F269" s="246"/>
      <c r="G269" s="246"/>
      <c r="H269" s="236"/>
      <c r="I269" s="236"/>
      <c r="J269" s="236"/>
      <c r="K269" s="236"/>
      <c r="L269" s="236"/>
      <c r="M269" s="236"/>
      <c r="N269" s="236"/>
      <c r="O269" s="236"/>
      <c r="P269" s="236"/>
      <c r="Q269" s="236"/>
      <c r="R269" s="236"/>
      <c r="S269" s="236"/>
      <c r="T269" s="236"/>
      <c r="U269" s="236"/>
      <c r="V269" s="239"/>
      <c r="W269" s="236"/>
      <c r="X269" s="236"/>
    </row>
    <row r="270">
      <c r="A270" s="236"/>
      <c r="B270" s="236"/>
      <c r="C270" s="236"/>
      <c r="D270" s="238"/>
      <c r="E270" s="245"/>
      <c r="F270" s="246"/>
      <c r="G270" s="246"/>
      <c r="H270" s="236"/>
      <c r="I270" s="236"/>
      <c r="J270" s="236"/>
      <c r="K270" s="236"/>
      <c r="L270" s="236"/>
      <c r="M270" s="236"/>
      <c r="N270" s="236"/>
      <c r="O270" s="236"/>
      <c r="P270" s="236"/>
      <c r="Q270" s="236"/>
      <c r="R270" s="236"/>
      <c r="S270" s="236"/>
      <c r="T270" s="236"/>
      <c r="U270" s="236"/>
      <c r="V270" s="239"/>
      <c r="W270" s="236"/>
      <c r="X270" s="236"/>
    </row>
    <row r="271">
      <c r="A271" s="236"/>
      <c r="B271" s="236"/>
      <c r="C271" s="236"/>
      <c r="D271" s="238"/>
      <c r="E271" s="245"/>
      <c r="F271" s="246"/>
      <c r="G271" s="246"/>
      <c r="H271" s="236"/>
      <c r="I271" s="236"/>
      <c r="J271" s="236"/>
      <c r="K271" s="236"/>
      <c r="L271" s="236"/>
      <c r="M271" s="236"/>
      <c r="N271" s="236"/>
      <c r="O271" s="236"/>
      <c r="P271" s="236"/>
      <c r="Q271" s="236"/>
      <c r="R271" s="236"/>
      <c r="S271" s="236"/>
      <c r="T271" s="236"/>
      <c r="U271" s="236"/>
      <c r="V271" s="239"/>
      <c r="W271" s="236"/>
      <c r="X271" s="236"/>
    </row>
    <row r="272">
      <c r="A272" s="236"/>
      <c r="B272" s="236"/>
      <c r="C272" s="236"/>
      <c r="D272" s="238"/>
      <c r="E272" s="245"/>
      <c r="F272" s="246"/>
      <c r="G272" s="246"/>
      <c r="H272" s="236"/>
      <c r="I272" s="236"/>
      <c r="J272" s="236"/>
      <c r="K272" s="236"/>
      <c r="L272" s="236"/>
      <c r="M272" s="236"/>
      <c r="N272" s="236"/>
      <c r="O272" s="236"/>
      <c r="P272" s="236"/>
      <c r="Q272" s="236"/>
      <c r="R272" s="236"/>
      <c r="S272" s="236"/>
      <c r="T272" s="236"/>
      <c r="U272" s="236"/>
      <c r="V272" s="239"/>
      <c r="W272" s="236"/>
      <c r="X272" s="236"/>
    </row>
    <row r="273">
      <c r="A273" s="236"/>
      <c r="B273" s="236"/>
      <c r="C273" s="236"/>
      <c r="D273" s="238"/>
      <c r="E273" s="245"/>
      <c r="F273" s="246"/>
      <c r="G273" s="246"/>
      <c r="H273" s="236"/>
      <c r="I273" s="236"/>
      <c r="J273" s="236"/>
      <c r="K273" s="236"/>
      <c r="L273" s="236"/>
      <c r="M273" s="236"/>
      <c r="N273" s="236"/>
      <c r="O273" s="236"/>
      <c r="P273" s="236"/>
      <c r="Q273" s="236"/>
      <c r="R273" s="236"/>
      <c r="S273" s="236"/>
      <c r="T273" s="236"/>
      <c r="U273" s="236"/>
      <c r="V273" s="239"/>
      <c r="W273" s="236"/>
      <c r="X273" s="236"/>
    </row>
    <row r="274">
      <c r="A274" s="236"/>
      <c r="B274" s="236"/>
      <c r="C274" s="236"/>
      <c r="D274" s="238"/>
      <c r="E274" s="245"/>
      <c r="F274" s="246"/>
      <c r="G274" s="246"/>
      <c r="H274" s="236"/>
      <c r="I274" s="236"/>
      <c r="J274" s="236"/>
      <c r="K274" s="236"/>
      <c r="L274" s="236"/>
      <c r="M274" s="236"/>
      <c r="N274" s="236"/>
      <c r="O274" s="236"/>
      <c r="P274" s="236"/>
      <c r="Q274" s="236"/>
      <c r="R274" s="236"/>
      <c r="S274" s="236"/>
      <c r="T274" s="236"/>
      <c r="U274" s="236"/>
      <c r="V274" s="239"/>
      <c r="W274" s="236"/>
      <c r="X274" s="236"/>
    </row>
    <row r="275">
      <c r="A275" s="236"/>
      <c r="B275" s="236"/>
      <c r="C275" s="236"/>
      <c r="D275" s="238"/>
      <c r="E275" s="245"/>
      <c r="F275" s="246"/>
      <c r="G275" s="246"/>
      <c r="H275" s="236"/>
      <c r="I275" s="236"/>
      <c r="J275" s="236"/>
      <c r="K275" s="236"/>
      <c r="L275" s="236"/>
      <c r="M275" s="236"/>
      <c r="N275" s="236"/>
      <c r="O275" s="236"/>
      <c r="P275" s="236"/>
      <c r="Q275" s="236"/>
      <c r="R275" s="236"/>
      <c r="S275" s="236"/>
      <c r="T275" s="236"/>
      <c r="U275" s="236"/>
      <c r="V275" s="239"/>
      <c r="W275" s="236"/>
      <c r="X275" s="236"/>
    </row>
    <row r="276">
      <c r="A276" s="236"/>
      <c r="B276" s="236"/>
      <c r="C276" s="236"/>
      <c r="D276" s="238"/>
      <c r="E276" s="245"/>
      <c r="F276" s="246"/>
      <c r="G276" s="246"/>
      <c r="H276" s="236"/>
      <c r="I276" s="236"/>
      <c r="J276" s="236"/>
      <c r="K276" s="236"/>
      <c r="L276" s="236"/>
      <c r="M276" s="236"/>
      <c r="N276" s="236"/>
      <c r="O276" s="236"/>
      <c r="P276" s="236"/>
      <c r="Q276" s="236"/>
      <c r="R276" s="236"/>
      <c r="S276" s="236"/>
      <c r="T276" s="236"/>
      <c r="U276" s="236"/>
      <c r="V276" s="239"/>
      <c r="W276" s="236"/>
      <c r="X276" s="236"/>
    </row>
    <row r="277">
      <c r="A277" s="236"/>
      <c r="B277" s="236"/>
      <c r="C277" s="236"/>
      <c r="D277" s="238"/>
      <c r="E277" s="245"/>
      <c r="F277" s="246"/>
      <c r="G277" s="246"/>
      <c r="H277" s="236"/>
      <c r="I277" s="236"/>
      <c r="J277" s="236"/>
      <c r="K277" s="236"/>
      <c r="L277" s="236"/>
      <c r="M277" s="236"/>
      <c r="N277" s="236"/>
      <c r="O277" s="236"/>
      <c r="P277" s="236"/>
      <c r="Q277" s="236"/>
      <c r="R277" s="236"/>
      <c r="S277" s="236"/>
      <c r="T277" s="236"/>
      <c r="U277" s="236"/>
      <c r="V277" s="239"/>
      <c r="W277" s="236"/>
      <c r="X277" s="236"/>
    </row>
    <row r="278">
      <c r="A278" s="236"/>
      <c r="B278" s="236"/>
      <c r="C278" s="236"/>
      <c r="D278" s="238"/>
      <c r="E278" s="245"/>
      <c r="F278" s="246"/>
      <c r="G278" s="246"/>
      <c r="H278" s="236"/>
      <c r="I278" s="236"/>
      <c r="J278" s="236"/>
      <c r="K278" s="236"/>
      <c r="L278" s="236"/>
      <c r="M278" s="236"/>
      <c r="N278" s="236"/>
      <c r="O278" s="236"/>
      <c r="P278" s="236"/>
      <c r="Q278" s="236"/>
      <c r="R278" s="236"/>
      <c r="S278" s="236"/>
      <c r="T278" s="236"/>
      <c r="U278" s="236"/>
      <c r="V278" s="239"/>
      <c r="W278" s="236"/>
      <c r="X278" s="236"/>
    </row>
    <row r="279">
      <c r="A279" s="236"/>
      <c r="B279" s="236"/>
      <c r="C279" s="236"/>
      <c r="D279" s="238"/>
      <c r="E279" s="245"/>
      <c r="F279" s="246"/>
      <c r="G279" s="246"/>
      <c r="H279" s="236"/>
      <c r="I279" s="236"/>
      <c r="J279" s="236"/>
      <c r="K279" s="236"/>
      <c r="L279" s="236"/>
      <c r="M279" s="236"/>
      <c r="N279" s="236"/>
      <c r="O279" s="236"/>
      <c r="P279" s="236"/>
      <c r="Q279" s="236"/>
      <c r="R279" s="236"/>
      <c r="S279" s="236"/>
      <c r="T279" s="236"/>
      <c r="U279" s="236"/>
      <c r="V279" s="239"/>
      <c r="W279" s="236"/>
      <c r="X279" s="236"/>
    </row>
    <row r="280">
      <c r="A280" s="236"/>
      <c r="B280" s="236"/>
      <c r="C280" s="236"/>
      <c r="D280" s="238"/>
      <c r="E280" s="245"/>
      <c r="F280" s="246"/>
      <c r="G280" s="246"/>
      <c r="H280" s="236"/>
      <c r="I280" s="236"/>
      <c r="J280" s="236"/>
      <c r="K280" s="236"/>
      <c r="L280" s="236"/>
      <c r="M280" s="236"/>
      <c r="N280" s="236"/>
      <c r="O280" s="236"/>
      <c r="P280" s="236"/>
      <c r="Q280" s="236"/>
      <c r="R280" s="236"/>
      <c r="S280" s="236"/>
      <c r="T280" s="236"/>
      <c r="U280" s="236"/>
      <c r="V280" s="239"/>
      <c r="W280" s="236"/>
      <c r="X280" s="236"/>
    </row>
    <row r="281">
      <c r="A281" s="236"/>
      <c r="B281" s="236"/>
      <c r="C281" s="236"/>
      <c r="D281" s="238"/>
      <c r="E281" s="245"/>
      <c r="F281" s="246"/>
      <c r="G281" s="246"/>
      <c r="H281" s="236"/>
      <c r="I281" s="236"/>
      <c r="J281" s="236"/>
      <c r="K281" s="236"/>
      <c r="L281" s="236"/>
      <c r="M281" s="236"/>
      <c r="N281" s="236"/>
      <c r="O281" s="236"/>
      <c r="P281" s="236"/>
      <c r="Q281" s="236"/>
      <c r="R281" s="236"/>
      <c r="S281" s="236"/>
      <c r="T281" s="236"/>
      <c r="U281" s="236"/>
      <c r="V281" s="239"/>
      <c r="W281" s="236"/>
      <c r="X281" s="236"/>
    </row>
    <row r="282">
      <c r="A282" s="236"/>
      <c r="B282" s="236"/>
      <c r="C282" s="236"/>
      <c r="D282" s="238"/>
      <c r="E282" s="245"/>
      <c r="F282" s="246"/>
      <c r="G282" s="246"/>
      <c r="H282" s="236"/>
      <c r="I282" s="236"/>
      <c r="J282" s="236"/>
      <c r="K282" s="236"/>
      <c r="L282" s="236"/>
      <c r="M282" s="236"/>
      <c r="N282" s="236"/>
      <c r="O282" s="236"/>
      <c r="P282" s="236"/>
      <c r="Q282" s="236"/>
      <c r="R282" s="236"/>
      <c r="S282" s="236"/>
      <c r="T282" s="236"/>
      <c r="U282" s="236"/>
      <c r="V282" s="239"/>
      <c r="W282" s="236"/>
      <c r="X282" s="236"/>
    </row>
    <row r="283">
      <c r="A283" s="236"/>
      <c r="B283" s="236"/>
      <c r="C283" s="236"/>
      <c r="D283" s="238"/>
      <c r="E283" s="245"/>
      <c r="F283" s="246"/>
      <c r="G283" s="246"/>
      <c r="H283" s="236"/>
      <c r="I283" s="236"/>
      <c r="J283" s="236"/>
      <c r="K283" s="236"/>
      <c r="L283" s="236"/>
      <c r="M283" s="236"/>
      <c r="N283" s="236"/>
      <c r="O283" s="236"/>
      <c r="P283" s="236"/>
      <c r="Q283" s="236"/>
      <c r="R283" s="236"/>
      <c r="S283" s="236"/>
      <c r="T283" s="236"/>
      <c r="U283" s="236"/>
      <c r="V283" s="239"/>
      <c r="W283" s="236"/>
      <c r="X283" s="236"/>
    </row>
    <row r="284">
      <c r="A284" s="236"/>
      <c r="B284" s="236"/>
      <c r="C284" s="236"/>
      <c r="D284" s="238"/>
      <c r="E284" s="245"/>
      <c r="F284" s="246"/>
      <c r="G284" s="246"/>
      <c r="H284" s="236"/>
      <c r="I284" s="236"/>
      <c r="J284" s="236"/>
      <c r="K284" s="236"/>
      <c r="L284" s="236"/>
      <c r="M284" s="236"/>
      <c r="N284" s="236"/>
      <c r="O284" s="236"/>
      <c r="P284" s="236"/>
      <c r="Q284" s="236"/>
      <c r="R284" s="236"/>
      <c r="S284" s="236"/>
      <c r="T284" s="236"/>
      <c r="U284" s="236"/>
      <c r="V284" s="239"/>
      <c r="W284" s="236"/>
      <c r="X284" s="236"/>
    </row>
    <row r="285">
      <c r="A285" s="236"/>
      <c r="B285" s="236"/>
      <c r="C285" s="236"/>
      <c r="D285" s="238"/>
      <c r="E285" s="245"/>
      <c r="F285" s="246"/>
      <c r="G285" s="246"/>
      <c r="H285" s="236"/>
      <c r="I285" s="236"/>
      <c r="J285" s="236"/>
      <c r="K285" s="236"/>
      <c r="L285" s="236"/>
      <c r="M285" s="236"/>
      <c r="N285" s="236"/>
      <c r="O285" s="236"/>
      <c r="P285" s="236"/>
      <c r="Q285" s="236"/>
      <c r="R285" s="236"/>
      <c r="S285" s="236"/>
      <c r="T285" s="236"/>
      <c r="U285" s="236"/>
      <c r="V285" s="239"/>
      <c r="W285" s="236"/>
      <c r="X285" s="236"/>
    </row>
    <row r="286">
      <c r="A286" s="236"/>
      <c r="B286" s="236"/>
      <c r="C286" s="236"/>
      <c r="D286" s="238"/>
      <c r="E286" s="245"/>
      <c r="F286" s="246"/>
      <c r="G286" s="246"/>
      <c r="H286" s="236"/>
      <c r="I286" s="236"/>
      <c r="J286" s="236"/>
      <c r="K286" s="236"/>
      <c r="L286" s="236"/>
      <c r="M286" s="236"/>
      <c r="N286" s="236"/>
      <c r="O286" s="236"/>
      <c r="P286" s="236"/>
      <c r="Q286" s="236"/>
      <c r="R286" s="236"/>
      <c r="S286" s="236"/>
      <c r="T286" s="236"/>
      <c r="U286" s="236"/>
      <c r="V286" s="239"/>
      <c r="W286" s="236"/>
      <c r="X286" s="236"/>
    </row>
    <row r="287">
      <c r="A287" s="236"/>
      <c r="B287" s="236"/>
      <c r="C287" s="236"/>
      <c r="D287" s="238"/>
      <c r="E287" s="245"/>
      <c r="F287" s="246"/>
      <c r="G287" s="246"/>
      <c r="H287" s="236"/>
      <c r="I287" s="236"/>
      <c r="J287" s="236"/>
      <c r="K287" s="236"/>
      <c r="L287" s="236"/>
      <c r="M287" s="236"/>
      <c r="N287" s="236"/>
      <c r="O287" s="236"/>
      <c r="P287" s="236"/>
      <c r="Q287" s="236"/>
      <c r="R287" s="236"/>
      <c r="S287" s="236"/>
      <c r="T287" s="236"/>
      <c r="U287" s="236"/>
      <c r="V287" s="239"/>
      <c r="W287" s="236"/>
      <c r="X287" s="236"/>
    </row>
    <row r="288">
      <c r="A288" s="236"/>
      <c r="B288" s="236"/>
      <c r="C288" s="236"/>
      <c r="D288" s="238"/>
      <c r="E288" s="245"/>
      <c r="F288" s="246"/>
      <c r="G288" s="246"/>
      <c r="H288" s="236"/>
      <c r="I288" s="236"/>
      <c r="J288" s="236"/>
      <c r="K288" s="236"/>
      <c r="L288" s="236"/>
      <c r="M288" s="236"/>
      <c r="N288" s="236"/>
      <c r="O288" s="236"/>
      <c r="P288" s="236"/>
      <c r="Q288" s="236"/>
      <c r="R288" s="236"/>
      <c r="S288" s="236"/>
      <c r="T288" s="236"/>
      <c r="U288" s="236"/>
      <c r="V288" s="239"/>
      <c r="W288" s="236"/>
      <c r="X288" s="236"/>
    </row>
    <row r="289">
      <c r="A289" s="236"/>
      <c r="B289" s="236"/>
      <c r="C289" s="236"/>
      <c r="D289" s="238"/>
      <c r="E289" s="245"/>
      <c r="F289" s="246"/>
      <c r="G289" s="246"/>
      <c r="H289" s="236"/>
      <c r="I289" s="236"/>
      <c r="J289" s="236"/>
      <c r="K289" s="236"/>
      <c r="L289" s="236"/>
      <c r="M289" s="236"/>
      <c r="N289" s="236"/>
      <c r="O289" s="236"/>
      <c r="P289" s="236"/>
      <c r="Q289" s="236"/>
      <c r="R289" s="236"/>
      <c r="S289" s="236"/>
      <c r="T289" s="236"/>
      <c r="U289" s="236"/>
      <c r="V289" s="239"/>
      <c r="W289" s="236"/>
      <c r="X289" s="236"/>
    </row>
    <row r="290">
      <c r="A290" s="236"/>
      <c r="B290" s="236"/>
      <c r="C290" s="236"/>
      <c r="D290" s="238"/>
      <c r="E290" s="245"/>
      <c r="F290" s="246"/>
      <c r="G290" s="246"/>
      <c r="H290" s="236"/>
      <c r="I290" s="236"/>
      <c r="J290" s="236"/>
      <c r="K290" s="236"/>
      <c r="L290" s="236"/>
      <c r="M290" s="236"/>
      <c r="N290" s="236"/>
      <c r="O290" s="236"/>
      <c r="P290" s="236"/>
      <c r="Q290" s="236"/>
      <c r="R290" s="236"/>
      <c r="S290" s="236"/>
      <c r="T290" s="236"/>
      <c r="U290" s="236"/>
      <c r="V290" s="239"/>
      <c r="W290" s="236"/>
      <c r="X290" s="236"/>
    </row>
    <row r="291">
      <c r="A291" s="236"/>
      <c r="B291" s="236"/>
      <c r="C291" s="236"/>
      <c r="D291" s="238"/>
      <c r="E291" s="245"/>
      <c r="F291" s="246"/>
      <c r="G291" s="246"/>
      <c r="H291" s="236"/>
      <c r="I291" s="236"/>
      <c r="J291" s="236"/>
      <c r="K291" s="236"/>
      <c r="L291" s="236"/>
      <c r="M291" s="236"/>
      <c r="N291" s="236"/>
      <c r="O291" s="236"/>
      <c r="P291" s="236"/>
      <c r="Q291" s="236"/>
      <c r="R291" s="236"/>
      <c r="S291" s="236"/>
      <c r="T291" s="236"/>
      <c r="U291" s="236"/>
      <c r="V291" s="239"/>
      <c r="W291" s="236"/>
      <c r="X291" s="236"/>
    </row>
    <row r="292">
      <c r="A292" s="236"/>
      <c r="B292" s="236"/>
      <c r="C292" s="236"/>
      <c r="D292" s="238"/>
      <c r="E292" s="245"/>
      <c r="F292" s="246"/>
      <c r="G292" s="246"/>
      <c r="H292" s="236"/>
      <c r="I292" s="236"/>
      <c r="J292" s="236"/>
      <c r="K292" s="236"/>
      <c r="L292" s="236"/>
      <c r="M292" s="236"/>
      <c r="N292" s="236"/>
      <c r="O292" s="236"/>
      <c r="P292" s="236"/>
      <c r="Q292" s="236"/>
      <c r="R292" s="236"/>
      <c r="S292" s="236"/>
      <c r="T292" s="236"/>
      <c r="U292" s="236"/>
      <c r="V292" s="239"/>
      <c r="W292" s="236"/>
      <c r="X292" s="236"/>
    </row>
    <row r="293">
      <c r="A293" s="236"/>
      <c r="B293" s="236"/>
      <c r="C293" s="236"/>
      <c r="D293" s="238"/>
      <c r="E293" s="245"/>
      <c r="F293" s="246"/>
      <c r="G293" s="246"/>
      <c r="H293" s="236"/>
      <c r="I293" s="236"/>
      <c r="J293" s="236"/>
      <c r="K293" s="236"/>
      <c r="L293" s="236"/>
      <c r="M293" s="236"/>
      <c r="N293" s="236"/>
      <c r="O293" s="236"/>
      <c r="P293" s="236"/>
      <c r="Q293" s="236"/>
      <c r="R293" s="236"/>
      <c r="S293" s="236"/>
      <c r="T293" s="236"/>
      <c r="U293" s="236"/>
      <c r="V293" s="239"/>
      <c r="W293" s="236"/>
      <c r="X293" s="236"/>
    </row>
    <row r="294">
      <c r="A294" s="236"/>
      <c r="B294" s="236"/>
      <c r="C294" s="236"/>
      <c r="D294" s="238"/>
      <c r="E294" s="245"/>
      <c r="F294" s="246"/>
      <c r="G294" s="246"/>
      <c r="H294" s="236"/>
      <c r="I294" s="236"/>
      <c r="J294" s="236"/>
      <c r="K294" s="236"/>
      <c r="L294" s="236"/>
      <c r="M294" s="236"/>
      <c r="N294" s="236"/>
      <c r="O294" s="236"/>
      <c r="P294" s="236"/>
      <c r="Q294" s="236"/>
      <c r="R294" s="236"/>
      <c r="S294" s="236"/>
      <c r="T294" s="236"/>
      <c r="U294" s="236"/>
      <c r="V294" s="239"/>
      <c r="W294" s="236"/>
      <c r="X294" s="236"/>
    </row>
    <row r="295">
      <c r="A295" s="236"/>
      <c r="B295" s="236"/>
      <c r="C295" s="236"/>
      <c r="D295" s="238"/>
      <c r="E295" s="245"/>
      <c r="F295" s="246"/>
      <c r="G295" s="246"/>
      <c r="H295" s="236"/>
      <c r="I295" s="236"/>
      <c r="J295" s="236"/>
      <c r="K295" s="236"/>
      <c r="L295" s="236"/>
      <c r="M295" s="236"/>
      <c r="N295" s="236"/>
      <c r="O295" s="236"/>
      <c r="P295" s="236"/>
      <c r="Q295" s="236"/>
      <c r="R295" s="236"/>
      <c r="S295" s="236"/>
      <c r="T295" s="236"/>
      <c r="U295" s="236"/>
      <c r="V295" s="239"/>
      <c r="W295" s="236"/>
      <c r="X295" s="236"/>
    </row>
    <row r="296">
      <c r="A296" s="236"/>
      <c r="B296" s="236"/>
      <c r="C296" s="236"/>
      <c r="D296" s="238"/>
      <c r="E296" s="245"/>
      <c r="F296" s="246"/>
      <c r="G296" s="246"/>
      <c r="H296" s="236"/>
      <c r="I296" s="236"/>
      <c r="J296" s="236"/>
      <c r="K296" s="236"/>
      <c r="L296" s="236"/>
      <c r="M296" s="236"/>
      <c r="N296" s="236"/>
      <c r="O296" s="236"/>
      <c r="P296" s="236"/>
      <c r="Q296" s="236"/>
      <c r="R296" s="236"/>
      <c r="S296" s="236"/>
      <c r="T296" s="236"/>
      <c r="U296" s="236"/>
      <c r="V296" s="239"/>
      <c r="W296" s="236"/>
      <c r="X296" s="236"/>
    </row>
    <row r="297">
      <c r="A297" s="236"/>
      <c r="B297" s="236"/>
      <c r="C297" s="236"/>
      <c r="D297" s="238"/>
      <c r="E297" s="245"/>
      <c r="F297" s="246"/>
      <c r="G297" s="246"/>
      <c r="H297" s="236"/>
      <c r="I297" s="236"/>
      <c r="J297" s="236"/>
      <c r="K297" s="236"/>
      <c r="L297" s="236"/>
      <c r="M297" s="236"/>
      <c r="N297" s="236"/>
      <c r="O297" s="236"/>
      <c r="P297" s="236"/>
      <c r="Q297" s="236"/>
      <c r="R297" s="236"/>
      <c r="S297" s="236"/>
      <c r="T297" s="236"/>
      <c r="U297" s="236"/>
      <c r="V297" s="239"/>
      <c r="W297" s="236"/>
      <c r="X297" s="236"/>
    </row>
    <row r="298">
      <c r="A298" s="236"/>
      <c r="B298" s="236"/>
      <c r="C298" s="236"/>
      <c r="D298" s="238"/>
      <c r="E298" s="245"/>
      <c r="F298" s="246"/>
      <c r="G298" s="246"/>
      <c r="H298" s="236"/>
      <c r="I298" s="236"/>
      <c r="J298" s="236"/>
      <c r="K298" s="236"/>
      <c r="L298" s="236"/>
      <c r="M298" s="236"/>
      <c r="N298" s="236"/>
      <c r="O298" s="236"/>
      <c r="P298" s="236"/>
      <c r="Q298" s="236"/>
      <c r="R298" s="236"/>
      <c r="S298" s="236"/>
      <c r="T298" s="236"/>
      <c r="U298" s="236"/>
      <c r="V298" s="239"/>
      <c r="W298" s="236"/>
      <c r="X298" s="236"/>
    </row>
    <row r="299">
      <c r="A299" s="236"/>
      <c r="B299" s="236"/>
      <c r="C299" s="236"/>
      <c r="D299" s="238"/>
      <c r="E299" s="245"/>
      <c r="F299" s="246"/>
      <c r="G299" s="246"/>
      <c r="H299" s="236"/>
      <c r="I299" s="236"/>
      <c r="J299" s="236"/>
      <c r="K299" s="236"/>
      <c r="L299" s="236"/>
      <c r="M299" s="236"/>
      <c r="N299" s="236"/>
      <c r="O299" s="236"/>
      <c r="P299" s="236"/>
      <c r="Q299" s="236"/>
      <c r="R299" s="236"/>
      <c r="S299" s="236"/>
      <c r="T299" s="236"/>
      <c r="U299" s="236"/>
      <c r="V299" s="239"/>
      <c r="W299" s="236"/>
      <c r="X299" s="236"/>
    </row>
    <row r="300">
      <c r="A300" s="236"/>
      <c r="B300" s="236"/>
      <c r="C300" s="236"/>
      <c r="D300" s="238"/>
      <c r="E300" s="245"/>
      <c r="F300" s="246"/>
      <c r="G300" s="246"/>
      <c r="H300" s="236"/>
      <c r="I300" s="236"/>
      <c r="J300" s="236"/>
      <c r="K300" s="236"/>
      <c r="L300" s="236"/>
      <c r="M300" s="236"/>
      <c r="N300" s="236"/>
      <c r="O300" s="236"/>
      <c r="P300" s="236"/>
      <c r="Q300" s="236"/>
      <c r="R300" s="236"/>
      <c r="S300" s="236"/>
      <c r="T300" s="236"/>
      <c r="U300" s="236"/>
      <c r="V300" s="239"/>
      <c r="W300" s="236"/>
      <c r="X300" s="236"/>
    </row>
    <row r="301">
      <c r="A301" s="236"/>
      <c r="B301" s="236"/>
      <c r="C301" s="236"/>
      <c r="D301" s="238"/>
      <c r="E301" s="245"/>
      <c r="F301" s="246"/>
      <c r="G301" s="246"/>
      <c r="H301" s="236"/>
      <c r="I301" s="236"/>
      <c r="J301" s="236"/>
      <c r="K301" s="236"/>
      <c r="L301" s="236"/>
      <c r="M301" s="236"/>
      <c r="N301" s="236"/>
      <c r="O301" s="236"/>
      <c r="P301" s="236"/>
      <c r="Q301" s="236"/>
      <c r="R301" s="236"/>
      <c r="S301" s="236"/>
      <c r="T301" s="236"/>
      <c r="U301" s="236"/>
      <c r="V301" s="239"/>
      <c r="W301" s="236"/>
      <c r="X301" s="236"/>
    </row>
    <row r="302">
      <c r="A302" s="236"/>
      <c r="B302" s="236"/>
      <c r="C302" s="236"/>
      <c r="D302" s="238"/>
      <c r="E302" s="245"/>
      <c r="F302" s="246"/>
      <c r="G302" s="246"/>
      <c r="H302" s="236"/>
      <c r="I302" s="236"/>
      <c r="J302" s="236"/>
      <c r="K302" s="236"/>
      <c r="L302" s="236"/>
      <c r="M302" s="236"/>
      <c r="N302" s="236"/>
      <c r="O302" s="236"/>
      <c r="P302" s="236"/>
      <c r="Q302" s="236"/>
      <c r="R302" s="236"/>
      <c r="S302" s="236"/>
      <c r="T302" s="236"/>
      <c r="U302" s="236"/>
      <c r="V302" s="239"/>
      <c r="W302" s="236"/>
      <c r="X302" s="236"/>
    </row>
    <row r="303">
      <c r="A303" s="236"/>
      <c r="B303" s="236"/>
      <c r="C303" s="236"/>
      <c r="D303" s="238"/>
      <c r="E303" s="245"/>
      <c r="F303" s="246"/>
      <c r="G303" s="246"/>
      <c r="H303" s="236"/>
      <c r="I303" s="236"/>
      <c r="J303" s="236"/>
      <c r="K303" s="236"/>
      <c r="L303" s="236"/>
      <c r="M303" s="236"/>
      <c r="N303" s="236"/>
      <c r="O303" s="236"/>
      <c r="P303" s="236"/>
      <c r="Q303" s="236"/>
      <c r="R303" s="236"/>
      <c r="S303" s="236"/>
      <c r="T303" s="236"/>
      <c r="U303" s="236"/>
      <c r="V303" s="239"/>
      <c r="W303" s="236"/>
      <c r="X303" s="236"/>
    </row>
    <row r="304">
      <c r="A304" s="236"/>
      <c r="B304" s="236"/>
      <c r="C304" s="236"/>
      <c r="D304" s="238"/>
      <c r="E304" s="245"/>
      <c r="F304" s="246"/>
      <c r="G304" s="246"/>
      <c r="H304" s="236"/>
      <c r="I304" s="236"/>
      <c r="J304" s="236"/>
      <c r="K304" s="236"/>
      <c r="L304" s="236"/>
      <c r="M304" s="236"/>
      <c r="N304" s="236"/>
      <c r="O304" s="236"/>
      <c r="P304" s="236"/>
      <c r="Q304" s="236"/>
      <c r="R304" s="236"/>
      <c r="S304" s="236"/>
      <c r="T304" s="236"/>
      <c r="U304" s="236"/>
      <c r="V304" s="239"/>
      <c r="W304" s="236"/>
      <c r="X304" s="236"/>
    </row>
    <row r="305">
      <c r="A305" s="236"/>
      <c r="B305" s="236"/>
      <c r="C305" s="236"/>
      <c r="D305" s="238"/>
      <c r="E305" s="245"/>
      <c r="F305" s="246"/>
      <c r="G305" s="246"/>
      <c r="H305" s="236"/>
      <c r="I305" s="236"/>
      <c r="J305" s="236"/>
      <c r="K305" s="236"/>
      <c r="L305" s="236"/>
      <c r="M305" s="236"/>
      <c r="N305" s="236"/>
      <c r="O305" s="236"/>
      <c r="P305" s="236"/>
      <c r="Q305" s="236"/>
      <c r="R305" s="236"/>
      <c r="S305" s="236"/>
      <c r="T305" s="236"/>
      <c r="U305" s="236"/>
      <c r="V305" s="239"/>
      <c r="W305" s="236"/>
      <c r="X305" s="236"/>
    </row>
    <row r="306">
      <c r="A306" s="236"/>
      <c r="B306" s="236"/>
      <c r="C306" s="236"/>
      <c r="D306" s="238"/>
      <c r="E306" s="245"/>
      <c r="F306" s="246"/>
      <c r="G306" s="246"/>
      <c r="H306" s="236"/>
      <c r="I306" s="236"/>
      <c r="J306" s="236"/>
      <c r="K306" s="236"/>
      <c r="L306" s="236"/>
      <c r="M306" s="236"/>
      <c r="N306" s="236"/>
      <c r="O306" s="236"/>
      <c r="P306" s="236"/>
      <c r="Q306" s="236"/>
      <c r="R306" s="236"/>
      <c r="S306" s="236"/>
      <c r="T306" s="236"/>
      <c r="U306" s="236"/>
      <c r="V306" s="239"/>
      <c r="W306" s="236"/>
      <c r="X306" s="236"/>
    </row>
    <row r="307">
      <c r="A307" s="236"/>
      <c r="B307" s="236"/>
      <c r="C307" s="236"/>
      <c r="D307" s="238"/>
      <c r="E307" s="245"/>
      <c r="F307" s="246"/>
      <c r="G307" s="246"/>
      <c r="H307" s="236"/>
      <c r="I307" s="236"/>
      <c r="J307" s="236"/>
      <c r="K307" s="236"/>
      <c r="L307" s="236"/>
      <c r="M307" s="236"/>
      <c r="N307" s="236"/>
      <c r="O307" s="236"/>
      <c r="P307" s="236"/>
      <c r="Q307" s="236"/>
      <c r="R307" s="236"/>
      <c r="S307" s="236"/>
      <c r="T307" s="236"/>
      <c r="U307" s="236"/>
      <c r="V307" s="239"/>
      <c r="W307" s="236"/>
      <c r="X307" s="236"/>
    </row>
    <row r="308">
      <c r="A308" s="236"/>
      <c r="B308" s="236"/>
      <c r="C308" s="236"/>
      <c r="D308" s="238"/>
      <c r="E308" s="245"/>
      <c r="F308" s="246"/>
      <c r="G308" s="246"/>
      <c r="H308" s="236"/>
      <c r="I308" s="236"/>
      <c r="J308" s="236"/>
      <c r="K308" s="236"/>
      <c r="L308" s="236"/>
      <c r="M308" s="236"/>
      <c r="N308" s="236"/>
      <c r="O308" s="236"/>
      <c r="P308" s="236"/>
      <c r="Q308" s="236"/>
      <c r="R308" s="236"/>
      <c r="S308" s="236"/>
      <c r="T308" s="236"/>
      <c r="U308" s="236"/>
      <c r="V308" s="239"/>
      <c r="W308" s="236"/>
      <c r="X308" s="236"/>
    </row>
    <row r="309">
      <c r="A309" s="236"/>
      <c r="B309" s="236"/>
      <c r="C309" s="236"/>
      <c r="D309" s="238"/>
      <c r="E309" s="245"/>
      <c r="F309" s="246"/>
      <c r="G309" s="246"/>
      <c r="H309" s="236"/>
      <c r="I309" s="236"/>
      <c r="J309" s="236"/>
      <c r="K309" s="236"/>
      <c r="L309" s="236"/>
      <c r="M309" s="236"/>
      <c r="N309" s="236"/>
      <c r="O309" s="236"/>
      <c r="P309" s="236"/>
      <c r="Q309" s="236"/>
      <c r="R309" s="236"/>
      <c r="S309" s="236"/>
      <c r="T309" s="236"/>
      <c r="U309" s="236"/>
      <c r="V309" s="239"/>
      <c r="W309" s="236"/>
      <c r="X309" s="236"/>
    </row>
    <row r="310">
      <c r="A310" s="236"/>
      <c r="B310" s="236"/>
      <c r="C310" s="236"/>
      <c r="D310" s="238"/>
      <c r="E310" s="245"/>
      <c r="F310" s="246"/>
      <c r="G310" s="246"/>
      <c r="H310" s="236"/>
      <c r="I310" s="236"/>
      <c r="J310" s="236"/>
      <c r="K310" s="236"/>
      <c r="L310" s="236"/>
      <c r="M310" s="236"/>
      <c r="N310" s="236"/>
      <c r="O310" s="236"/>
      <c r="P310" s="236"/>
      <c r="Q310" s="236"/>
      <c r="R310" s="236"/>
      <c r="S310" s="236"/>
      <c r="T310" s="236"/>
      <c r="U310" s="236"/>
      <c r="V310" s="239"/>
      <c r="W310" s="236"/>
      <c r="X310" s="236"/>
    </row>
    <row r="311">
      <c r="A311" s="236"/>
      <c r="B311" s="236"/>
      <c r="C311" s="236"/>
      <c r="D311" s="238"/>
      <c r="E311" s="245"/>
      <c r="F311" s="246"/>
      <c r="G311" s="246"/>
      <c r="H311" s="236"/>
      <c r="I311" s="236"/>
      <c r="J311" s="236"/>
      <c r="K311" s="236"/>
      <c r="L311" s="236"/>
      <c r="M311" s="236"/>
      <c r="N311" s="236"/>
      <c r="O311" s="236"/>
      <c r="P311" s="236"/>
      <c r="Q311" s="236"/>
      <c r="R311" s="236"/>
      <c r="S311" s="236"/>
      <c r="T311" s="236"/>
      <c r="U311" s="236"/>
      <c r="V311" s="239"/>
      <c r="W311" s="236"/>
      <c r="X311" s="236"/>
    </row>
    <row r="312">
      <c r="A312" s="236"/>
      <c r="B312" s="236"/>
      <c r="C312" s="236"/>
      <c r="D312" s="238"/>
      <c r="E312" s="245"/>
      <c r="F312" s="246"/>
      <c r="G312" s="246"/>
      <c r="H312" s="236"/>
      <c r="I312" s="236"/>
      <c r="J312" s="236"/>
      <c r="K312" s="236"/>
      <c r="L312" s="236"/>
      <c r="M312" s="236"/>
      <c r="N312" s="236"/>
      <c r="O312" s="236"/>
      <c r="P312" s="236"/>
      <c r="Q312" s="236"/>
      <c r="R312" s="236"/>
      <c r="S312" s="236"/>
      <c r="T312" s="236"/>
      <c r="U312" s="236"/>
      <c r="V312" s="239"/>
      <c r="W312" s="236"/>
      <c r="X312" s="236"/>
    </row>
    <row r="313">
      <c r="A313" s="236"/>
      <c r="B313" s="236"/>
      <c r="C313" s="236"/>
      <c r="D313" s="238"/>
      <c r="E313" s="245"/>
      <c r="F313" s="246"/>
      <c r="G313" s="246"/>
      <c r="H313" s="236"/>
      <c r="I313" s="236"/>
      <c r="J313" s="236"/>
      <c r="K313" s="236"/>
      <c r="L313" s="236"/>
      <c r="M313" s="236"/>
      <c r="N313" s="236"/>
      <c r="O313" s="236"/>
      <c r="P313" s="236"/>
      <c r="Q313" s="236"/>
      <c r="R313" s="236"/>
      <c r="S313" s="236"/>
      <c r="T313" s="236"/>
      <c r="U313" s="236"/>
      <c r="V313" s="239"/>
      <c r="W313" s="236"/>
      <c r="X313" s="236"/>
    </row>
    <row r="314">
      <c r="A314" s="236"/>
      <c r="B314" s="236"/>
      <c r="C314" s="236"/>
      <c r="D314" s="238"/>
      <c r="E314" s="245"/>
      <c r="F314" s="246"/>
      <c r="G314" s="246"/>
      <c r="H314" s="236"/>
      <c r="I314" s="236"/>
      <c r="J314" s="236"/>
      <c r="K314" s="236"/>
      <c r="L314" s="236"/>
      <c r="M314" s="236"/>
      <c r="N314" s="236"/>
      <c r="O314" s="236"/>
      <c r="P314" s="236"/>
      <c r="Q314" s="236"/>
      <c r="R314" s="236"/>
      <c r="S314" s="236"/>
      <c r="T314" s="236"/>
      <c r="U314" s="236"/>
      <c r="V314" s="239"/>
      <c r="W314" s="236"/>
      <c r="X314" s="236"/>
    </row>
    <row r="315">
      <c r="A315" s="236"/>
      <c r="B315" s="236"/>
      <c r="C315" s="236"/>
      <c r="D315" s="238"/>
      <c r="E315" s="245"/>
      <c r="F315" s="246"/>
      <c r="G315" s="246"/>
      <c r="H315" s="236"/>
      <c r="I315" s="236"/>
      <c r="J315" s="236"/>
      <c r="K315" s="236"/>
      <c r="L315" s="236"/>
      <c r="M315" s="236"/>
      <c r="N315" s="236"/>
      <c r="O315" s="236"/>
      <c r="P315" s="236"/>
      <c r="Q315" s="236"/>
      <c r="R315" s="236"/>
      <c r="S315" s="236"/>
      <c r="T315" s="236"/>
      <c r="U315" s="236"/>
      <c r="V315" s="239"/>
      <c r="W315" s="236"/>
      <c r="X315" s="236"/>
    </row>
    <row r="316">
      <c r="A316" s="236"/>
      <c r="B316" s="236"/>
      <c r="C316" s="236"/>
      <c r="D316" s="238"/>
      <c r="E316" s="245"/>
      <c r="F316" s="246"/>
      <c r="G316" s="246"/>
      <c r="H316" s="236"/>
      <c r="I316" s="236"/>
      <c r="J316" s="236"/>
      <c r="K316" s="236"/>
      <c r="L316" s="236"/>
      <c r="M316" s="236"/>
      <c r="N316" s="236"/>
      <c r="O316" s="236"/>
      <c r="P316" s="236"/>
      <c r="Q316" s="236"/>
      <c r="R316" s="236"/>
      <c r="S316" s="236"/>
      <c r="T316" s="236"/>
      <c r="U316" s="236"/>
      <c r="V316" s="239"/>
      <c r="W316" s="236"/>
      <c r="X316" s="236"/>
    </row>
    <row r="317">
      <c r="A317" s="236"/>
      <c r="B317" s="236"/>
      <c r="C317" s="236"/>
      <c r="D317" s="238"/>
      <c r="E317" s="245"/>
      <c r="F317" s="246"/>
      <c r="G317" s="246"/>
      <c r="H317" s="236"/>
      <c r="I317" s="236"/>
      <c r="J317" s="236"/>
      <c r="K317" s="236"/>
      <c r="L317" s="236"/>
      <c r="M317" s="236"/>
      <c r="N317" s="236"/>
      <c r="O317" s="236"/>
      <c r="P317" s="236"/>
      <c r="Q317" s="236"/>
      <c r="R317" s="236"/>
      <c r="S317" s="236"/>
      <c r="T317" s="236"/>
      <c r="U317" s="236"/>
      <c r="V317" s="239"/>
      <c r="W317" s="236"/>
      <c r="X317" s="236"/>
    </row>
    <row r="318">
      <c r="A318" s="236"/>
      <c r="B318" s="236"/>
      <c r="C318" s="236"/>
      <c r="D318" s="238"/>
      <c r="E318" s="245"/>
      <c r="F318" s="246"/>
      <c r="G318" s="246"/>
      <c r="H318" s="236"/>
      <c r="I318" s="236"/>
      <c r="J318" s="236"/>
      <c r="K318" s="236"/>
      <c r="L318" s="236"/>
      <c r="M318" s="236"/>
      <c r="N318" s="236"/>
      <c r="O318" s="236"/>
      <c r="P318" s="236"/>
      <c r="Q318" s="236"/>
      <c r="R318" s="236"/>
      <c r="S318" s="236"/>
      <c r="T318" s="236"/>
      <c r="U318" s="236"/>
      <c r="V318" s="239"/>
      <c r="W318" s="236"/>
      <c r="X318" s="236"/>
    </row>
    <row r="319">
      <c r="A319" s="236"/>
      <c r="B319" s="236"/>
      <c r="C319" s="236"/>
      <c r="D319" s="238"/>
      <c r="E319" s="245"/>
      <c r="F319" s="246"/>
      <c r="G319" s="246"/>
      <c r="H319" s="236"/>
      <c r="I319" s="236"/>
      <c r="J319" s="236"/>
      <c r="K319" s="236"/>
      <c r="L319" s="236"/>
      <c r="M319" s="236"/>
      <c r="N319" s="236"/>
      <c r="O319" s="236"/>
      <c r="P319" s="236"/>
      <c r="Q319" s="236"/>
      <c r="R319" s="236"/>
      <c r="S319" s="236"/>
      <c r="T319" s="236"/>
      <c r="U319" s="236"/>
      <c r="V319" s="239"/>
      <c r="W319" s="236"/>
      <c r="X319" s="236"/>
    </row>
    <row r="320">
      <c r="A320" s="236"/>
      <c r="B320" s="236"/>
      <c r="C320" s="236"/>
      <c r="D320" s="238"/>
      <c r="E320" s="245"/>
      <c r="F320" s="246"/>
      <c r="G320" s="246"/>
      <c r="H320" s="236"/>
      <c r="I320" s="236"/>
      <c r="J320" s="236"/>
      <c r="K320" s="236"/>
      <c r="L320" s="236"/>
      <c r="M320" s="236"/>
      <c r="N320" s="236"/>
      <c r="O320" s="236"/>
      <c r="P320" s="236"/>
      <c r="Q320" s="236"/>
      <c r="R320" s="236"/>
      <c r="S320" s="236"/>
      <c r="T320" s="236"/>
      <c r="U320" s="236"/>
      <c r="V320" s="239"/>
      <c r="W320" s="236"/>
      <c r="X320" s="236"/>
    </row>
    <row r="321">
      <c r="A321" s="236"/>
      <c r="B321" s="236"/>
      <c r="C321" s="236"/>
      <c r="D321" s="238"/>
      <c r="E321" s="245"/>
      <c r="F321" s="246"/>
      <c r="G321" s="246"/>
      <c r="H321" s="236"/>
      <c r="I321" s="236"/>
      <c r="J321" s="236"/>
      <c r="K321" s="236"/>
      <c r="L321" s="236"/>
      <c r="M321" s="236"/>
      <c r="N321" s="236"/>
      <c r="O321" s="236"/>
      <c r="P321" s="236"/>
      <c r="Q321" s="236"/>
      <c r="R321" s="236"/>
      <c r="S321" s="236"/>
      <c r="T321" s="236"/>
      <c r="U321" s="236"/>
      <c r="V321" s="239"/>
      <c r="W321" s="236"/>
      <c r="X321" s="236"/>
    </row>
    <row r="322">
      <c r="A322" s="236"/>
      <c r="B322" s="236"/>
      <c r="C322" s="236"/>
      <c r="D322" s="238"/>
      <c r="E322" s="245"/>
      <c r="F322" s="246"/>
      <c r="G322" s="246"/>
      <c r="H322" s="236"/>
      <c r="I322" s="236"/>
      <c r="J322" s="236"/>
      <c r="K322" s="236"/>
      <c r="L322" s="236"/>
      <c r="M322" s="236"/>
      <c r="N322" s="236"/>
      <c r="O322" s="236"/>
      <c r="P322" s="236"/>
      <c r="Q322" s="236"/>
      <c r="R322" s="236"/>
      <c r="S322" s="236"/>
      <c r="T322" s="236"/>
      <c r="U322" s="236"/>
      <c r="V322" s="239"/>
      <c r="W322" s="236"/>
      <c r="X322" s="236"/>
    </row>
    <row r="323">
      <c r="A323" s="236"/>
      <c r="B323" s="236"/>
      <c r="C323" s="236"/>
      <c r="D323" s="238"/>
      <c r="E323" s="245"/>
      <c r="F323" s="246"/>
      <c r="G323" s="246"/>
      <c r="H323" s="236"/>
      <c r="I323" s="236"/>
      <c r="J323" s="236"/>
      <c r="K323" s="236"/>
      <c r="L323" s="236"/>
      <c r="M323" s="236"/>
      <c r="N323" s="236"/>
      <c r="O323" s="236"/>
      <c r="P323" s="236"/>
      <c r="Q323" s="236"/>
      <c r="R323" s="236"/>
      <c r="S323" s="236"/>
      <c r="T323" s="236"/>
      <c r="U323" s="236"/>
      <c r="V323" s="239"/>
      <c r="W323" s="236"/>
      <c r="X323" s="236"/>
    </row>
    <row r="324">
      <c r="A324" s="236"/>
      <c r="B324" s="236"/>
      <c r="C324" s="236"/>
      <c r="D324" s="238"/>
      <c r="E324" s="245"/>
      <c r="F324" s="246"/>
      <c r="G324" s="246"/>
      <c r="H324" s="236"/>
      <c r="I324" s="236"/>
      <c r="J324" s="236"/>
      <c r="K324" s="236"/>
      <c r="L324" s="236"/>
      <c r="M324" s="236"/>
      <c r="N324" s="236"/>
      <c r="O324" s="236"/>
      <c r="P324" s="236"/>
      <c r="Q324" s="236"/>
      <c r="R324" s="236"/>
      <c r="S324" s="236"/>
      <c r="T324" s="236"/>
      <c r="U324" s="236"/>
      <c r="V324" s="239"/>
      <c r="W324" s="236"/>
      <c r="X324" s="236"/>
    </row>
    <row r="325">
      <c r="A325" s="236"/>
      <c r="B325" s="236"/>
      <c r="C325" s="236"/>
      <c r="D325" s="238"/>
      <c r="E325" s="245"/>
      <c r="F325" s="246"/>
      <c r="G325" s="246"/>
      <c r="H325" s="236"/>
      <c r="I325" s="236"/>
      <c r="J325" s="236"/>
      <c r="K325" s="236"/>
      <c r="L325" s="236"/>
      <c r="M325" s="236"/>
      <c r="N325" s="236"/>
      <c r="O325" s="236"/>
      <c r="P325" s="236"/>
      <c r="Q325" s="236"/>
      <c r="R325" s="236"/>
      <c r="S325" s="236"/>
      <c r="T325" s="236"/>
      <c r="U325" s="236"/>
      <c r="V325" s="239"/>
      <c r="W325" s="236"/>
      <c r="X325" s="236"/>
    </row>
    <row r="326">
      <c r="A326" s="236"/>
      <c r="B326" s="236"/>
      <c r="C326" s="236"/>
      <c r="D326" s="238"/>
      <c r="E326" s="245"/>
      <c r="F326" s="246"/>
      <c r="G326" s="246"/>
      <c r="H326" s="236"/>
      <c r="I326" s="236"/>
      <c r="J326" s="236"/>
      <c r="K326" s="236"/>
      <c r="L326" s="236"/>
      <c r="M326" s="236"/>
      <c r="N326" s="236"/>
      <c r="O326" s="236"/>
      <c r="P326" s="236"/>
      <c r="Q326" s="236"/>
      <c r="R326" s="236"/>
      <c r="S326" s="236"/>
      <c r="T326" s="236"/>
      <c r="U326" s="236"/>
      <c r="V326" s="239"/>
      <c r="W326" s="236"/>
      <c r="X326" s="236"/>
    </row>
    <row r="327">
      <c r="A327" s="236"/>
      <c r="B327" s="236"/>
      <c r="C327" s="236"/>
      <c r="D327" s="238"/>
      <c r="E327" s="245"/>
      <c r="F327" s="246"/>
      <c r="G327" s="246"/>
      <c r="H327" s="236"/>
      <c r="I327" s="236"/>
      <c r="J327" s="236"/>
      <c r="K327" s="236"/>
      <c r="L327" s="236"/>
      <c r="M327" s="236"/>
      <c r="N327" s="236"/>
      <c r="O327" s="236"/>
      <c r="P327" s="236"/>
      <c r="Q327" s="236"/>
      <c r="R327" s="236"/>
      <c r="S327" s="236"/>
      <c r="T327" s="236"/>
      <c r="U327" s="236"/>
      <c r="V327" s="239"/>
      <c r="W327" s="236"/>
      <c r="X327" s="236"/>
    </row>
    <row r="328">
      <c r="A328" s="236"/>
      <c r="B328" s="236"/>
      <c r="C328" s="236"/>
      <c r="D328" s="238"/>
      <c r="E328" s="245"/>
      <c r="F328" s="246"/>
      <c r="G328" s="246"/>
      <c r="H328" s="236"/>
      <c r="I328" s="236"/>
      <c r="J328" s="236"/>
      <c r="K328" s="236"/>
      <c r="L328" s="236"/>
      <c r="M328" s="236"/>
      <c r="N328" s="236"/>
      <c r="O328" s="236"/>
      <c r="P328" s="236"/>
      <c r="Q328" s="236"/>
      <c r="R328" s="236"/>
      <c r="S328" s="236"/>
      <c r="T328" s="236"/>
      <c r="U328" s="236"/>
      <c r="V328" s="239"/>
      <c r="W328" s="236"/>
      <c r="X328" s="236"/>
    </row>
    <row r="329">
      <c r="A329" s="236"/>
      <c r="B329" s="236"/>
      <c r="C329" s="236"/>
      <c r="D329" s="238"/>
      <c r="E329" s="245"/>
      <c r="F329" s="246"/>
      <c r="G329" s="246"/>
      <c r="H329" s="236"/>
      <c r="I329" s="236"/>
      <c r="J329" s="236"/>
      <c r="K329" s="236"/>
      <c r="L329" s="236"/>
      <c r="M329" s="236"/>
      <c r="N329" s="236"/>
      <c r="O329" s="236"/>
      <c r="P329" s="236"/>
      <c r="Q329" s="236"/>
      <c r="R329" s="236"/>
      <c r="S329" s="236"/>
      <c r="T329" s="236"/>
      <c r="U329" s="236"/>
      <c r="V329" s="239"/>
      <c r="W329" s="236"/>
      <c r="X329" s="236"/>
    </row>
    <row r="330">
      <c r="A330" s="236"/>
      <c r="B330" s="236"/>
      <c r="C330" s="236"/>
      <c r="D330" s="238"/>
      <c r="E330" s="245"/>
      <c r="F330" s="246"/>
      <c r="G330" s="246"/>
      <c r="H330" s="236"/>
      <c r="I330" s="236"/>
      <c r="J330" s="236"/>
      <c r="K330" s="236"/>
      <c r="L330" s="236"/>
      <c r="M330" s="236"/>
      <c r="N330" s="236"/>
      <c r="O330" s="236"/>
      <c r="P330" s="236"/>
      <c r="Q330" s="236"/>
      <c r="R330" s="236"/>
      <c r="S330" s="236"/>
      <c r="T330" s="236"/>
      <c r="U330" s="236"/>
      <c r="V330" s="239"/>
      <c r="W330" s="236"/>
      <c r="X330" s="236"/>
    </row>
    <row r="331">
      <c r="A331" s="236"/>
      <c r="B331" s="236"/>
      <c r="C331" s="236"/>
      <c r="D331" s="238"/>
      <c r="E331" s="245"/>
      <c r="F331" s="246"/>
      <c r="G331" s="246"/>
      <c r="H331" s="236"/>
      <c r="I331" s="236"/>
      <c r="J331" s="236"/>
      <c r="K331" s="236"/>
      <c r="L331" s="236"/>
      <c r="M331" s="236"/>
      <c r="N331" s="236"/>
      <c r="O331" s="236"/>
      <c r="P331" s="236"/>
      <c r="Q331" s="236"/>
      <c r="R331" s="236"/>
      <c r="S331" s="236"/>
      <c r="T331" s="236"/>
      <c r="U331" s="236"/>
      <c r="V331" s="239"/>
      <c r="W331" s="236"/>
      <c r="X331" s="236"/>
    </row>
    <row r="332">
      <c r="A332" s="236"/>
      <c r="B332" s="236"/>
      <c r="C332" s="236"/>
      <c r="D332" s="238"/>
      <c r="E332" s="245"/>
      <c r="F332" s="246"/>
      <c r="G332" s="246"/>
      <c r="H332" s="236"/>
      <c r="I332" s="236"/>
      <c r="J332" s="236"/>
      <c r="K332" s="236"/>
      <c r="L332" s="236"/>
      <c r="M332" s="236"/>
      <c r="N332" s="236"/>
      <c r="O332" s="236"/>
      <c r="P332" s="236"/>
      <c r="Q332" s="236"/>
      <c r="R332" s="236"/>
      <c r="S332" s="236"/>
      <c r="T332" s="236"/>
      <c r="U332" s="236"/>
      <c r="V332" s="239"/>
      <c r="W332" s="236"/>
      <c r="X332" s="236"/>
    </row>
    <row r="333">
      <c r="A333" s="236"/>
      <c r="B333" s="236"/>
      <c r="C333" s="236"/>
      <c r="D333" s="238"/>
      <c r="E333" s="245"/>
      <c r="F333" s="246"/>
      <c r="G333" s="246"/>
      <c r="H333" s="236"/>
      <c r="I333" s="236"/>
      <c r="J333" s="236"/>
      <c r="K333" s="236"/>
      <c r="L333" s="236"/>
      <c r="M333" s="236"/>
      <c r="N333" s="236"/>
      <c r="O333" s="236"/>
      <c r="P333" s="236"/>
      <c r="Q333" s="236"/>
      <c r="R333" s="236"/>
      <c r="S333" s="236"/>
      <c r="T333" s="236"/>
      <c r="U333" s="236"/>
      <c r="V333" s="239"/>
      <c r="W333" s="236"/>
      <c r="X333" s="236"/>
    </row>
    <row r="334">
      <c r="A334" s="236"/>
      <c r="B334" s="236"/>
      <c r="C334" s="236"/>
      <c r="D334" s="238"/>
      <c r="E334" s="245"/>
      <c r="F334" s="246"/>
      <c r="G334" s="246"/>
      <c r="H334" s="236"/>
      <c r="I334" s="236"/>
      <c r="J334" s="236"/>
      <c r="K334" s="236"/>
      <c r="L334" s="236"/>
      <c r="M334" s="236"/>
      <c r="N334" s="236"/>
      <c r="O334" s="236"/>
      <c r="P334" s="236"/>
      <c r="Q334" s="236"/>
      <c r="R334" s="236"/>
      <c r="S334" s="236"/>
      <c r="T334" s="236"/>
      <c r="U334" s="236"/>
      <c r="V334" s="239"/>
      <c r="W334" s="236"/>
      <c r="X334" s="236"/>
    </row>
    <row r="335">
      <c r="A335" s="236"/>
      <c r="B335" s="236"/>
      <c r="C335" s="236"/>
      <c r="D335" s="238"/>
      <c r="E335" s="245"/>
      <c r="F335" s="246"/>
      <c r="G335" s="246"/>
      <c r="H335" s="236"/>
      <c r="I335" s="236"/>
      <c r="J335" s="236"/>
      <c r="K335" s="236"/>
      <c r="L335" s="236"/>
      <c r="M335" s="236"/>
      <c r="N335" s="236"/>
      <c r="O335" s="236"/>
      <c r="P335" s="236"/>
      <c r="Q335" s="236"/>
      <c r="R335" s="236"/>
      <c r="S335" s="236"/>
      <c r="T335" s="236"/>
      <c r="U335" s="236"/>
      <c r="V335" s="239"/>
      <c r="W335" s="236"/>
      <c r="X335" s="236"/>
    </row>
    <row r="336">
      <c r="A336" s="236"/>
      <c r="B336" s="236"/>
      <c r="C336" s="236"/>
      <c r="D336" s="238"/>
      <c r="E336" s="245"/>
      <c r="F336" s="246"/>
      <c r="G336" s="246"/>
      <c r="H336" s="236"/>
      <c r="I336" s="236"/>
      <c r="J336" s="236"/>
      <c r="K336" s="236"/>
      <c r="L336" s="236"/>
      <c r="M336" s="236"/>
      <c r="N336" s="236"/>
      <c r="O336" s="236"/>
      <c r="P336" s="236"/>
      <c r="Q336" s="236"/>
      <c r="R336" s="236"/>
      <c r="S336" s="236"/>
      <c r="T336" s="236"/>
      <c r="U336" s="236"/>
      <c r="V336" s="239"/>
      <c r="W336" s="236"/>
      <c r="X336" s="236"/>
    </row>
    <row r="337">
      <c r="A337" s="236"/>
      <c r="B337" s="236"/>
      <c r="C337" s="236"/>
      <c r="D337" s="238"/>
      <c r="E337" s="245"/>
      <c r="F337" s="246"/>
      <c r="G337" s="246"/>
      <c r="H337" s="236"/>
      <c r="I337" s="236"/>
      <c r="J337" s="236"/>
      <c r="K337" s="236"/>
      <c r="L337" s="236"/>
      <c r="M337" s="236"/>
      <c r="N337" s="236"/>
      <c r="O337" s="236"/>
      <c r="P337" s="236"/>
      <c r="Q337" s="236"/>
      <c r="R337" s="236"/>
      <c r="S337" s="236"/>
      <c r="T337" s="236"/>
      <c r="U337" s="236"/>
      <c r="V337" s="239"/>
      <c r="W337" s="236"/>
      <c r="X337" s="236"/>
    </row>
    <row r="338">
      <c r="A338" s="236"/>
      <c r="B338" s="236"/>
      <c r="C338" s="236"/>
      <c r="D338" s="238"/>
      <c r="E338" s="245"/>
      <c r="F338" s="246"/>
      <c r="G338" s="246"/>
      <c r="H338" s="236"/>
      <c r="I338" s="236"/>
      <c r="J338" s="236"/>
      <c r="K338" s="236"/>
      <c r="L338" s="236"/>
      <c r="M338" s="236"/>
      <c r="N338" s="236"/>
      <c r="O338" s="236"/>
      <c r="P338" s="236"/>
      <c r="Q338" s="236"/>
      <c r="R338" s="236"/>
      <c r="S338" s="236"/>
      <c r="T338" s="236"/>
      <c r="U338" s="236"/>
      <c r="V338" s="239"/>
      <c r="W338" s="236"/>
      <c r="X338" s="236"/>
    </row>
    <row r="339">
      <c r="A339" s="236"/>
      <c r="B339" s="236"/>
      <c r="C339" s="236"/>
      <c r="D339" s="238"/>
      <c r="E339" s="245"/>
      <c r="F339" s="246"/>
      <c r="G339" s="246"/>
      <c r="H339" s="236"/>
      <c r="I339" s="236"/>
      <c r="J339" s="236"/>
      <c r="K339" s="236"/>
      <c r="L339" s="236"/>
      <c r="M339" s="236"/>
      <c r="N339" s="236"/>
      <c r="O339" s="236"/>
      <c r="P339" s="236"/>
      <c r="Q339" s="236"/>
      <c r="R339" s="236"/>
      <c r="S339" s="236"/>
      <c r="T339" s="236"/>
      <c r="U339" s="236"/>
      <c r="V339" s="239"/>
      <c r="W339" s="236"/>
      <c r="X339" s="236"/>
    </row>
    <row r="340">
      <c r="A340" s="236"/>
      <c r="B340" s="236"/>
      <c r="C340" s="236"/>
      <c r="D340" s="238"/>
      <c r="E340" s="245"/>
      <c r="F340" s="246"/>
      <c r="G340" s="246"/>
      <c r="H340" s="236"/>
      <c r="I340" s="236"/>
      <c r="J340" s="236"/>
      <c r="K340" s="236"/>
      <c r="L340" s="236"/>
      <c r="M340" s="236"/>
      <c r="N340" s="236"/>
      <c r="O340" s="236"/>
      <c r="P340" s="236"/>
      <c r="Q340" s="236"/>
      <c r="R340" s="236"/>
      <c r="S340" s="236"/>
      <c r="T340" s="236"/>
      <c r="U340" s="236"/>
      <c r="V340" s="239"/>
      <c r="W340" s="236"/>
      <c r="X340" s="236"/>
    </row>
    <row r="341">
      <c r="A341" s="236"/>
      <c r="B341" s="236"/>
      <c r="C341" s="236"/>
      <c r="D341" s="238"/>
      <c r="E341" s="245"/>
      <c r="F341" s="246"/>
      <c r="G341" s="246"/>
      <c r="H341" s="236"/>
      <c r="I341" s="236"/>
      <c r="J341" s="236"/>
      <c r="K341" s="236"/>
      <c r="L341" s="236"/>
      <c r="M341" s="236"/>
      <c r="N341" s="236"/>
      <c r="O341" s="236"/>
      <c r="P341" s="236"/>
      <c r="Q341" s="236"/>
      <c r="R341" s="236"/>
      <c r="S341" s="236"/>
      <c r="T341" s="236"/>
      <c r="U341" s="236"/>
      <c r="V341" s="239"/>
      <c r="W341" s="236"/>
      <c r="X341" s="236"/>
    </row>
    <row r="342">
      <c r="A342" s="236"/>
      <c r="B342" s="236"/>
      <c r="C342" s="236"/>
      <c r="D342" s="238"/>
      <c r="E342" s="245"/>
      <c r="F342" s="246"/>
      <c r="G342" s="246"/>
      <c r="H342" s="236"/>
      <c r="I342" s="236"/>
      <c r="J342" s="236"/>
      <c r="K342" s="236"/>
      <c r="L342" s="236"/>
      <c r="M342" s="236"/>
      <c r="N342" s="236"/>
      <c r="O342" s="236"/>
      <c r="P342" s="236"/>
      <c r="Q342" s="236"/>
      <c r="R342" s="236"/>
      <c r="S342" s="236"/>
      <c r="T342" s="236"/>
      <c r="U342" s="236"/>
      <c r="V342" s="239"/>
      <c r="W342" s="236"/>
      <c r="X342" s="236"/>
    </row>
    <row r="343">
      <c r="A343" s="236"/>
      <c r="B343" s="236"/>
      <c r="C343" s="236"/>
      <c r="D343" s="238"/>
      <c r="E343" s="245"/>
      <c r="F343" s="246"/>
      <c r="G343" s="246"/>
      <c r="H343" s="236"/>
      <c r="I343" s="236"/>
      <c r="J343" s="236"/>
      <c r="K343" s="236"/>
      <c r="L343" s="236"/>
      <c r="M343" s="236"/>
      <c r="N343" s="236"/>
      <c r="O343" s="236"/>
      <c r="P343" s="236"/>
      <c r="Q343" s="236"/>
      <c r="R343" s="236"/>
      <c r="S343" s="236"/>
      <c r="T343" s="236"/>
      <c r="U343" s="236"/>
      <c r="V343" s="239"/>
      <c r="W343" s="236"/>
      <c r="X343" s="236"/>
    </row>
    <row r="344">
      <c r="A344" s="236"/>
      <c r="B344" s="236"/>
      <c r="C344" s="236"/>
      <c r="D344" s="238"/>
      <c r="E344" s="245"/>
      <c r="F344" s="246"/>
      <c r="G344" s="246"/>
      <c r="H344" s="236"/>
      <c r="I344" s="236"/>
      <c r="J344" s="236"/>
      <c r="K344" s="236"/>
      <c r="L344" s="236"/>
      <c r="M344" s="236"/>
      <c r="N344" s="236"/>
      <c r="O344" s="236"/>
      <c r="P344" s="236"/>
      <c r="Q344" s="236"/>
      <c r="R344" s="236"/>
      <c r="S344" s="236"/>
      <c r="T344" s="236"/>
      <c r="U344" s="236"/>
      <c r="V344" s="239"/>
      <c r="W344" s="236"/>
      <c r="X344" s="236"/>
    </row>
    <row r="345">
      <c r="A345" s="236"/>
      <c r="B345" s="236"/>
      <c r="C345" s="236"/>
      <c r="D345" s="238"/>
      <c r="E345" s="245"/>
      <c r="F345" s="246"/>
      <c r="G345" s="246"/>
      <c r="H345" s="236"/>
      <c r="I345" s="236"/>
      <c r="J345" s="236"/>
      <c r="K345" s="236"/>
      <c r="L345" s="236"/>
      <c r="M345" s="236"/>
      <c r="N345" s="236"/>
      <c r="O345" s="236"/>
      <c r="P345" s="236"/>
      <c r="Q345" s="236"/>
      <c r="R345" s="236"/>
      <c r="S345" s="236"/>
      <c r="T345" s="236"/>
      <c r="U345" s="236"/>
      <c r="V345" s="239"/>
      <c r="W345" s="236"/>
      <c r="X345" s="236"/>
    </row>
    <row r="346">
      <c r="A346" s="236"/>
      <c r="B346" s="236"/>
      <c r="C346" s="236"/>
      <c r="D346" s="238"/>
      <c r="E346" s="245"/>
      <c r="F346" s="246"/>
      <c r="G346" s="246"/>
      <c r="H346" s="236"/>
      <c r="I346" s="236"/>
      <c r="J346" s="236"/>
      <c r="K346" s="236"/>
      <c r="L346" s="236"/>
      <c r="M346" s="236"/>
      <c r="N346" s="236"/>
      <c r="O346" s="236"/>
      <c r="P346" s="236"/>
      <c r="Q346" s="236"/>
      <c r="R346" s="236"/>
      <c r="S346" s="236"/>
      <c r="T346" s="236"/>
      <c r="U346" s="236"/>
      <c r="V346" s="239"/>
      <c r="W346" s="236"/>
      <c r="X346" s="236"/>
    </row>
    <row r="347">
      <c r="A347" s="236"/>
      <c r="B347" s="236"/>
      <c r="C347" s="236"/>
      <c r="D347" s="238"/>
      <c r="E347" s="245"/>
      <c r="F347" s="246"/>
      <c r="G347" s="246"/>
      <c r="H347" s="236"/>
      <c r="I347" s="236"/>
      <c r="J347" s="236"/>
      <c r="K347" s="236"/>
      <c r="L347" s="236"/>
      <c r="M347" s="236"/>
      <c r="N347" s="236"/>
      <c r="O347" s="236"/>
      <c r="P347" s="236"/>
      <c r="Q347" s="236"/>
      <c r="R347" s="236"/>
      <c r="S347" s="236"/>
      <c r="T347" s="236"/>
      <c r="U347" s="236"/>
      <c r="V347" s="239"/>
      <c r="W347" s="236"/>
      <c r="X347" s="236"/>
    </row>
    <row r="348">
      <c r="A348" s="236"/>
      <c r="B348" s="236"/>
      <c r="C348" s="236"/>
      <c r="D348" s="238"/>
      <c r="E348" s="245"/>
      <c r="F348" s="246"/>
      <c r="G348" s="246"/>
      <c r="H348" s="236"/>
      <c r="I348" s="236"/>
      <c r="J348" s="236"/>
      <c r="K348" s="236"/>
      <c r="L348" s="236"/>
      <c r="M348" s="236"/>
      <c r="N348" s="236"/>
      <c r="O348" s="236"/>
      <c r="P348" s="236"/>
      <c r="Q348" s="236"/>
      <c r="R348" s="236"/>
      <c r="S348" s="236"/>
      <c r="T348" s="236"/>
      <c r="U348" s="236"/>
      <c r="V348" s="239"/>
      <c r="W348" s="236"/>
      <c r="X348" s="236"/>
    </row>
    <row r="349">
      <c r="A349" s="236"/>
      <c r="B349" s="236"/>
      <c r="C349" s="236"/>
      <c r="D349" s="238"/>
      <c r="E349" s="245"/>
      <c r="F349" s="246"/>
      <c r="G349" s="246"/>
      <c r="H349" s="236"/>
      <c r="I349" s="236"/>
      <c r="J349" s="236"/>
      <c r="K349" s="236"/>
      <c r="L349" s="236"/>
      <c r="M349" s="236"/>
      <c r="N349" s="236"/>
      <c r="O349" s="236"/>
      <c r="P349" s="236"/>
      <c r="Q349" s="236"/>
      <c r="R349" s="236"/>
      <c r="S349" s="236"/>
      <c r="T349" s="236"/>
      <c r="U349" s="236"/>
      <c r="V349" s="239"/>
      <c r="W349" s="236"/>
      <c r="X349" s="236"/>
    </row>
    <row r="350">
      <c r="A350" s="236"/>
      <c r="B350" s="236"/>
      <c r="C350" s="236"/>
      <c r="D350" s="238"/>
      <c r="E350" s="245"/>
      <c r="F350" s="246"/>
      <c r="G350" s="246"/>
      <c r="H350" s="236"/>
      <c r="I350" s="236"/>
      <c r="J350" s="236"/>
      <c r="K350" s="236"/>
      <c r="L350" s="236"/>
      <c r="M350" s="236"/>
      <c r="N350" s="236"/>
      <c r="O350" s="236"/>
      <c r="P350" s="236"/>
      <c r="Q350" s="236"/>
      <c r="R350" s="236"/>
      <c r="S350" s="236"/>
      <c r="T350" s="236"/>
      <c r="U350" s="236"/>
      <c r="V350" s="239"/>
      <c r="W350" s="236"/>
      <c r="X350" s="236"/>
    </row>
    <row r="351">
      <c r="A351" s="236"/>
      <c r="B351" s="236"/>
      <c r="C351" s="236"/>
      <c r="D351" s="238"/>
      <c r="E351" s="245"/>
      <c r="F351" s="246"/>
      <c r="G351" s="246"/>
      <c r="H351" s="236"/>
      <c r="I351" s="236"/>
      <c r="J351" s="236"/>
      <c r="K351" s="236"/>
      <c r="L351" s="236"/>
      <c r="M351" s="236"/>
      <c r="N351" s="236"/>
      <c r="O351" s="236"/>
      <c r="P351" s="236"/>
      <c r="Q351" s="236"/>
      <c r="R351" s="236"/>
      <c r="S351" s="236"/>
      <c r="T351" s="236"/>
      <c r="U351" s="236"/>
      <c r="V351" s="239"/>
      <c r="W351" s="236"/>
      <c r="X351" s="236"/>
    </row>
    <row r="352">
      <c r="A352" s="236"/>
      <c r="B352" s="236"/>
      <c r="C352" s="236"/>
      <c r="D352" s="238"/>
      <c r="E352" s="245"/>
      <c r="F352" s="246"/>
      <c r="G352" s="246"/>
      <c r="H352" s="236"/>
      <c r="I352" s="236"/>
      <c r="J352" s="236"/>
      <c r="K352" s="236"/>
      <c r="L352" s="236"/>
      <c r="M352" s="236"/>
      <c r="N352" s="236"/>
      <c r="O352" s="236"/>
      <c r="P352" s="236"/>
      <c r="Q352" s="236"/>
      <c r="R352" s="236"/>
      <c r="S352" s="236"/>
      <c r="T352" s="236"/>
      <c r="U352" s="236"/>
      <c r="V352" s="239"/>
      <c r="W352" s="236"/>
      <c r="X352" s="236"/>
    </row>
    <row r="353">
      <c r="A353" s="236"/>
      <c r="B353" s="236"/>
      <c r="C353" s="236"/>
      <c r="D353" s="238"/>
      <c r="E353" s="245"/>
      <c r="F353" s="246"/>
      <c r="G353" s="246"/>
      <c r="H353" s="236"/>
      <c r="I353" s="236"/>
      <c r="J353" s="236"/>
      <c r="K353" s="236"/>
      <c r="L353" s="236"/>
      <c r="M353" s="236"/>
      <c r="N353" s="236"/>
      <c r="O353" s="236"/>
      <c r="P353" s="236"/>
      <c r="Q353" s="236"/>
      <c r="R353" s="236"/>
      <c r="S353" s="236"/>
      <c r="T353" s="236"/>
      <c r="U353" s="236"/>
      <c r="V353" s="239"/>
      <c r="W353" s="236"/>
      <c r="X353" s="236"/>
    </row>
    <row r="354">
      <c r="A354" s="236"/>
      <c r="B354" s="236"/>
      <c r="C354" s="236"/>
      <c r="D354" s="238"/>
      <c r="E354" s="245"/>
      <c r="F354" s="246"/>
      <c r="G354" s="246"/>
      <c r="H354" s="236"/>
      <c r="I354" s="236"/>
      <c r="J354" s="236"/>
      <c r="K354" s="236"/>
      <c r="L354" s="236"/>
      <c r="M354" s="236"/>
      <c r="N354" s="236"/>
      <c r="O354" s="236"/>
      <c r="P354" s="236"/>
      <c r="Q354" s="236"/>
      <c r="R354" s="236"/>
      <c r="S354" s="236"/>
      <c r="T354" s="236"/>
      <c r="U354" s="236"/>
      <c r="V354" s="239"/>
      <c r="W354" s="236"/>
      <c r="X354" s="236"/>
    </row>
    <row r="355">
      <c r="A355" s="236"/>
      <c r="B355" s="236"/>
      <c r="C355" s="236"/>
      <c r="D355" s="238"/>
      <c r="E355" s="245"/>
      <c r="F355" s="246"/>
      <c r="G355" s="246"/>
      <c r="H355" s="236"/>
      <c r="I355" s="236"/>
      <c r="J355" s="236"/>
      <c r="K355" s="236"/>
      <c r="L355" s="236"/>
      <c r="M355" s="236"/>
      <c r="N355" s="236"/>
      <c r="O355" s="236"/>
      <c r="P355" s="236"/>
      <c r="Q355" s="236"/>
      <c r="R355" s="236"/>
      <c r="S355" s="236"/>
      <c r="T355" s="236"/>
      <c r="U355" s="236"/>
      <c r="V355" s="239"/>
      <c r="W355" s="236"/>
      <c r="X355" s="236"/>
    </row>
    <row r="356">
      <c r="A356" s="236"/>
      <c r="B356" s="236"/>
      <c r="C356" s="236"/>
      <c r="D356" s="238"/>
      <c r="E356" s="245"/>
      <c r="F356" s="246"/>
      <c r="G356" s="246"/>
      <c r="H356" s="236"/>
      <c r="I356" s="236"/>
      <c r="J356" s="236"/>
      <c r="K356" s="236"/>
      <c r="L356" s="236"/>
      <c r="M356" s="236"/>
      <c r="N356" s="236"/>
      <c r="O356" s="236"/>
      <c r="P356" s="236"/>
      <c r="Q356" s="236"/>
      <c r="R356" s="236"/>
      <c r="S356" s="236"/>
      <c r="T356" s="236"/>
      <c r="U356" s="236"/>
      <c r="V356" s="239"/>
      <c r="W356" s="236"/>
      <c r="X356" s="236"/>
    </row>
    <row r="357">
      <c r="A357" s="236"/>
      <c r="B357" s="236"/>
      <c r="C357" s="236"/>
      <c r="D357" s="238"/>
      <c r="E357" s="245"/>
      <c r="F357" s="246"/>
      <c r="G357" s="246"/>
      <c r="H357" s="236"/>
      <c r="I357" s="236"/>
      <c r="J357" s="236"/>
      <c r="K357" s="236"/>
      <c r="L357" s="236"/>
      <c r="M357" s="236"/>
      <c r="N357" s="236"/>
      <c r="O357" s="236"/>
      <c r="P357" s="236"/>
      <c r="Q357" s="236"/>
      <c r="R357" s="236"/>
      <c r="S357" s="236"/>
      <c r="T357" s="236"/>
      <c r="U357" s="236"/>
      <c r="V357" s="239"/>
      <c r="W357" s="236"/>
      <c r="X357" s="236"/>
    </row>
    <row r="358">
      <c r="A358" s="236"/>
      <c r="B358" s="236"/>
      <c r="C358" s="236"/>
      <c r="D358" s="238"/>
      <c r="E358" s="245"/>
      <c r="F358" s="246"/>
      <c r="G358" s="246"/>
      <c r="H358" s="236"/>
      <c r="I358" s="236"/>
      <c r="J358" s="236"/>
      <c r="K358" s="236"/>
      <c r="L358" s="236"/>
      <c r="M358" s="236"/>
      <c r="N358" s="236"/>
      <c r="O358" s="236"/>
      <c r="P358" s="236"/>
      <c r="Q358" s="236"/>
      <c r="R358" s="236"/>
      <c r="S358" s="236"/>
      <c r="T358" s="236"/>
      <c r="U358" s="236"/>
      <c r="V358" s="239"/>
      <c r="W358" s="236"/>
      <c r="X358" s="236"/>
    </row>
    <row r="359">
      <c r="A359" s="236"/>
      <c r="B359" s="236"/>
      <c r="C359" s="236"/>
      <c r="D359" s="238"/>
      <c r="E359" s="245"/>
      <c r="F359" s="246"/>
      <c r="G359" s="246"/>
      <c r="H359" s="236"/>
      <c r="I359" s="236"/>
      <c r="J359" s="236"/>
      <c r="K359" s="236"/>
      <c r="L359" s="236"/>
      <c r="M359" s="236"/>
      <c r="N359" s="236"/>
      <c r="O359" s="236"/>
      <c r="P359" s="236"/>
      <c r="Q359" s="236"/>
      <c r="R359" s="236"/>
      <c r="S359" s="236"/>
      <c r="T359" s="236"/>
      <c r="U359" s="236"/>
      <c r="V359" s="239"/>
      <c r="W359" s="236"/>
      <c r="X359" s="236"/>
    </row>
    <row r="360">
      <c r="A360" s="236"/>
      <c r="B360" s="236"/>
      <c r="C360" s="236"/>
      <c r="D360" s="238"/>
      <c r="E360" s="245"/>
      <c r="F360" s="246"/>
      <c r="G360" s="246"/>
      <c r="H360" s="236"/>
      <c r="I360" s="236"/>
      <c r="J360" s="236"/>
      <c r="K360" s="236"/>
      <c r="L360" s="236"/>
      <c r="M360" s="236"/>
      <c r="N360" s="236"/>
      <c r="O360" s="236"/>
      <c r="P360" s="236"/>
      <c r="Q360" s="236"/>
      <c r="R360" s="236"/>
      <c r="S360" s="236"/>
      <c r="T360" s="236"/>
      <c r="U360" s="236"/>
      <c r="V360" s="239"/>
      <c r="W360" s="236"/>
      <c r="X360" s="236"/>
    </row>
    <row r="361">
      <c r="A361" s="236"/>
      <c r="B361" s="236"/>
      <c r="C361" s="236"/>
      <c r="D361" s="238"/>
      <c r="E361" s="245"/>
      <c r="F361" s="246"/>
      <c r="G361" s="246"/>
      <c r="H361" s="236"/>
      <c r="I361" s="236"/>
      <c r="J361" s="236"/>
      <c r="K361" s="236"/>
      <c r="L361" s="236"/>
      <c r="M361" s="236"/>
      <c r="N361" s="236"/>
      <c r="O361" s="236"/>
      <c r="P361" s="236"/>
      <c r="Q361" s="236"/>
      <c r="R361" s="236"/>
      <c r="S361" s="236"/>
      <c r="T361" s="236"/>
      <c r="U361" s="236"/>
      <c r="V361" s="239"/>
      <c r="W361" s="236"/>
      <c r="X361" s="236"/>
    </row>
    <row r="362">
      <c r="A362" s="236"/>
      <c r="B362" s="236"/>
      <c r="C362" s="236"/>
      <c r="D362" s="238"/>
      <c r="E362" s="245"/>
      <c r="F362" s="246"/>
      <c r="G362" s="246"/>
      <c r="H362" s="236"/>
      <c r="I362" s="236"/>
      <c r="J362" s="236"/>
      <c r="K362" s="236"/>
      <c r="L362" s="236"/>
      <c r="M362" s="236"/>
      <c r="N362" s="236"/>
      <c r="O362" s="236"/>
      <c r="P362" s="236"/>
      <c r="Q362" s="236"/>
      <c r="R362" s="236"/>
      <c r="S362" s="236"/>
      <c r="T362" s="236"/>
      <c r="U362" s="236"/>
      <c r="V362" s="239"/>
      <c r="W362" s="236"/>
      <c r="X362" s="236"/>
    </row>
    <row r="363">
      <c r="A363" s="236"/>
      <c r="B363" s="236"/>
      <c r="C363" s="236"/>
      <c r="D363" s="238"/>
      <c r="E363" s="245"/>
      <c r="F363" s="246"/>
      <c r="G363" s="246"/>
      <c r="H363" s="236"/>
      <c r="I363" s="236"/>
      <c r="J363" s="236"/>
      <c r="K363" s="236"/>
      <c r="L363" s="236"/>
      <c r="M363" s="236"/>
      <c r="N363" s="236"/>
      <c r="O363" s="236"/>
      <c r="P363" s="236"/>
      <c r="Q363" s="236"/>
      <c r="R363" s="236"/>
      <c r="S363" s="236"/>
      <c r="T363" s="236"/>
      <c r="U363" s="236"/>
      <c r="V363" s="239"/>
      <c r="W363" s="236"/>
      <c r="X363" s="236"/>
    </row>
    <row r="364">
      <c r="A364" s="236"/>
      <c r="B364" s="236"/>
      <c r="C364" s="236"/>
      <c r="D364" s="238"/>
      <c r="E364" s="245"/>
      <c r="F364" s="246"/>
      <c r="G364" s="246"/>
      <c r="H364" s="236"/>
      <c r="I364" s="236"/>
      <c r="J364" s="236"/>
      <c r="K364" s="236"/>
      <c r="L364" s="236"/>
      <c r="M364" s="236"/>
      <c r="N364" s="236"/>
      <c r="O364" s="236"/>
      <c r="P364" s="236"/>
      <c r="Q364" s="236"/>
      <c r="R364" s="236"/>
      <c r="S364" s="236"/>
      <c r="T364" s="236"/>
      <c r="U364" s="236"/>
      <c r="V364" s="239"/>
      <c r="W364" s="236"/>
      <c r="X364" s="236"/>
    </row>
    <row r="365">
      <c r="A365" s="236"/>
      <c r="B365" s="236"/>
      <c r="C365" s="236"/>
      <c r="D365" s="238"/>
      <c r="E365" s="245"/>
      <c r="F365" s="246"/>
      <c r="G365" s="246"/>
      <c r="H365" s="236"/>
      <c r="I365" s="236"/>
      <c r="J365" s="236"/>
      <c r="K365" s="236"/>
      <c r="L365" s="236"/>
      <c r="M365" s="236"/>
      <c r="N365" s="236"/>
      <c r="O365" s="236"/>
      <c r="P365" s="236"/>
      <c r="Q365" s="236"/>
      <c r="R365" s="236"/>
      <c r="S365" s="236"/>
      <c r="T365" s="236"/>
      <c r="U365" s="236"/>
      <c r="V365" s="239"/>
      <c r="W365" s="236"/>
      <c r="X365" s="236"/>
    </row>
    <row r="366">
      <c r="A366" s="236"/>
      <c r="B366" s="236"/>
      <c r="C366" s="236"/>
      <c r="D366" s="238"/>
      <c r="E366" s="245"/>
      <c r="F366" s="246"/>
      <c r="G366" s="246"/>
      <c r="H366" s="236"/>
      <c r="I366" s="236"/>
      <c r="J366" s="236"/>
      <c r="K366" s="236"/>
      <c r="L366" s="236"/>
      <c r="M366" s="236"/>
      <c r="N366" s="236"/>
      <c r="O366" s="236"/>
      <c r="P366" s="236"/>
      <c r="Q366" s="236"/>
      <c r="R366" s="236"/>
      <c r="S366" s="236"/>
      <c r="T366" s="236"/>
      <c r="U366" s="236"/>
      <c r="V366" s="239"/>
      <c r="W366" s="236"/>
      <c r="X366" s="236"/>
    </row>
    <row r="367">
      <c r="A367" s="236"/>
      <c r="B367" s="236"/>
      <c r="C367" s="236"/>
      <c r="D367" s="238"/>
      <c r="E367" s="245"/>
      <c r="F367" s="246"/>
      <c r="G367" s="246"/>
      <c r="H367" s="236"/>
      <c r="I367" s="236"/>
      <c r="J367" s="236"/>
      <c r="K367" s="236"/>
      <c r="L367" s="236"/>
      <c r="M367" s="236"/>
      <c r="N367" s="236"/>
      <c r="O367" s="236"/>
      <c r="P367" s="236"/>
      <c r="Q367" s="236"/>
      <c r="R367" s="236"/>
      <c r="S367" s="236"/>
      <c r="T367" s="236"/>
      <c r="U367" s="236"/>
      <c r="V367" s="239"/>
      <c r="W367" s="236"/>
      <c r="X367" s="236"/>
    </row>
    <row r="368">
      <c r="A368" s="236"/>
      <c r="B368" s="236"/>
      <c r="C368" s="236"/>
      <c r="D368" s="238"/>
      <c r="E368" s="245"/>
      <c r="F368" s="246"/>
      <c r="G368" s="246"/>
      <c r="H368" s="236"/>
      <c r="I368" s="236"/>
      <c r="J368" s="236"/>
      <c r="K368" s="236"/>
      <c r="L368" s="236"/>
      <c r="M368" s="236"/>
      <c r="N368" s="236"/>
      <c r="O368" s="236"/>
      <c r="P368" s="236"/>
      <c r="Q368" s="236"/>
      <c r="R368" s="236"/>
      <c r="S368" s="236"/>
      <c r="T368" s="236"/>
      <c r="U368" s="236"/>
      <c r="V368" s="239"/>
      <c r="W368" s="236"/>
      <c r="X368" s="236"/>
    </row>
    <row r="369">
      <c r="A369" s="236"/>
      <c r="B369" s="236"/>
      <c r="C369" s="236"/>
      <c r="D369" s="238"/>
      <c r="E369" s="245"/>
      <c r="F369" s="246"/>
      <c r="G369" s="246"/>
      <c r="H369" s="236"/>
      <c r="I369" s="236"/>
      <c r="J369" s="236"/>
      <c r="K369" s="236"/>
      <c r="L369" s="236"/>
      <c r="M369" s="236"/>
      <c r="N369" s="236"/>
      <c r="O369" s="236"/>
      <c r="P369" s="236"/>
      <c r="Q369" s="236"/>
      <c r="R369" s="236"/>
      <c r="S369" s="236"/>
      <c r="T369" s="236"/>
      <c r="U369" s="236"/>
      <c r="V369" s="239"/>
      <c r="W369" s="236"/>
      <c r="X369" s="236"/>
    </row>
    <row r="370">
      <c r="A370" s="236"/>
      <c r="B370" s="236"/>
      <c r="C370" s="236"/>
      <c r="D370" s="238"/>
      <c r="E370" s="245"/>
      <c r="F370" s="246"/>
      <c r="G370" s="246"/>
      <c r="H370" s="236"/>
      <c r="I370" s="236"/>
      <c r="J370" s="236"/>
      <c r="K370" s="236"/>
      <c r="L370" s="236"/>
      <c r="M370" s="236"/>
      <c r="N370" s="236"/>
      <c r="O370" s="236"/>
      <c r="P370" s="236"/>
      <c r="Q370" s="236"/>
      <c r="R370" s="236"/>
      <c r="S370" s="236"/>
      <c r="T370" s="236"/>
      <c r="U370" s="236"/>
      <c r="V370" s="239"/>
      <c r="W370" s="236"/>
      <c r="X370" s="236"/>
    </row>
    <row r="371">
      <c r="A371" s="236"/>
      <c r="B371" s="236"/>
      <c r="C371" s="236"/>
      <c r="D371" s="238"/>
      <c r="E371" s="245"/>
      <c r="F371" s="246"/>
      <c r="G371" s="246"/>
      <c r="H371" s="236"/>
      <c r="I371" s="236"/>
      <c r="J371" s="236"/>
      <c r="K371" s="236"/>
      <c r="L371" s="236"/>
      <c r="M371" s="236"/>
      <c r="N371" s="236"/>
      <c r="O371" s="236"/>
      <c r="P371" s="236"/>
      <c r="Q371" s="236"/>
      <c r="R371" s="236"/>
      <c r="S371" s="236"/>
      <c r="T371" s="236"/>
      <c r="U371" s="236"/>
      <c r="V371" s="239"/>
      <c r="W371" s="236"/>
      <c r="X371" s="236"/>
    </row>
    <row r="372">
      <c r="A372" s="236"/>
      <c r="B372" s="236"/>
      <c r="C372" s="236"/>
      <c r="D372" s="238"/>
      <c r="E372" s="245"/>
      <c r="F372" s="246"/>
      <c r="G372" s="246"/>
      <c r="H372" s="236"/>
      <c r="I372" s="236"/>
      <c r="J372" s="236"/>
      <c r="K372" s="236"/>
      <c r="L372" s="236"/>
      <c r="M372" s="236"/>
      <c r="N372" s="236"/>
      <c r="O372" s="236"/>
      <c r="P372" s="236"/>
      <c r="Q372" s="236"/>
      <c r="R372" s="236"/>
      <c r="S372" s="236"/>
      <c r="T372" s="236"/>
      <c r="U372" s="236"/>
      <c r="V372" s="239"/>
      <c r="W372" s="236"/>
      <c r="X372" s="236"/>
    </row>
    <row r="373">
      <c r="A373" s="236"/>
      <c r="B373" s="236"/>
      <c r="C373" s="236"/>
      <c r="D373" s="238"/>
      <c r="E373" s="245"/>
      <c r="F373" s="246"/>
      <c r="G373" s="246"/>
      <c r="H373" s="236"/>
      <c r="I373" s="236"/>
      <c r="J373" s="236"/>
      <c r="K373" s="236"/>
      <c r="L373" s="236"/>
      <c r="M373" s="236"/>
      <c r="N373" s="236"/>
      <c r="O373" s="236"/>
      <c r="P373" s="236"/>
      <c r="Q373" s="236"/>
      <c r="R373" s="236"/>
      <c r="S373" s="236"/>
      <c r="T373" s="236"/>
      <c r="U373" s="236"/>
      <c r="V373" s="239"/>
      <c r="W373" s="236"/>
      <c r="X373" s="236"/>
    </row>
    <row r="374">
      <c r="A374" s="236"/>
      <c r="B374" s="236"/>
      <c r="C374" s="236"/>
      <c r="D374" s="238"/>
      <c r="E374" s="245"/>
      <c r="F374" s="246"/>
      <c r="G374" s="246"/>
      <c r="H374" s="236"/>
      <c r="I374" s="236"/>
      <c r="J374" s="236"/>
      <c r="K374" s="236"/>
      <c r="L374" s="236"/>
      <c r="M374" s="236"/>
      <c r="N374" s="236"/>
      <c r="O374" s="236"/>
      <c r="P374" s="236"/>
      <c r="Q374" s="236"/>
      <c r="R374" s="236"/>
      <c r="S374" s="236"/>
      <c r="T374" s="236"/>
      <c r="U374" s="236"/>
      <c r="V374" s="239"/>
      <c r="W374" s="236"/>
      <c r="X374" s="236"/>
    </row>
    <row r="375">
      <c r="A375" s="236"/>
      <c r="B375" s="236"/>
      <c r="C375" s="236"/>
      <c r="D375" s="238"/>
      <c r="E375" s="245"/>
      <c r="F375" s="246"/>
      <c r="G375" s="246"/>
      <c r="H375" s="236"/>
      <c r="I375" s="236"/>
      <c r="J375" s="236"/>
      <c r="K375" s="236"/>
      <c r="L375" s="236"/>
      <c r="M375" s="236"/>
      <c r="N375" s="236"/>
      <c r="O375" s="236"/>
      <c r="P375" s="236"/>
      <c r="Q375" s="236"/>
      <c r="R375" s="236"/>
      <c r="S375" s="236"/>
      <c r="T375" s="236"/>
      <c r="U375" s="236"/>
      <c r="V375" s="239"/>
      <c r="W375" s="236"/>
      <c r="X375" s="236"/>
    </row>
    <row r="376">
      <c r="A376" s="236"/>
      <c r="B376" s="236"/>
      <c r="C376" s="236"/>
      <c r="D376" s="238"/>
      <c r="E376" s="245"/>
      <c r="F376" s="246"/>
      <c r="G376" s="246"/>
      <c r="H376" s="236"/>
      <c r="I376" s="236"/>
      <c r="J376" s="236"/>
      <c r="K376" s="236"/>
      <c r="L376" s="236"/>
      <c r="M376" s="236"/>
      <c r="N376" s="236"/>
      <c r="O376" s="236"/>
      <c r="P376" s="236"/>
      <c r="Q376" s="236"/>
      <c r="R376" s="236"/>
      <c r="S376" s="236"/>
      <c r="T376" s="236"/>
      <c r="U376" s="236"/>
      <c r="V376" s="239"/>
      <c r="W376" s="236"/>
      <c r="X376" s="236"/>
    </row>
    <row r="377">
      <c r="A377" s="236"/>
      <c r="B377" s="236"/>
      <c r="C377" s="236"/>
      <c r="D377" s="238"/>
      <c r="E377" s="245"/>
      <c r="F377" s="246"/>
      <c r="G377" s="246"/>
      <c r="H377" s="236"/>
      <c r="I377" s="236"/>
      <c r="J377" s="236"/>
      <c r="K377" s="236"/>
      <c r="L377" s="236"/>
      <c r="M377" s="236"/>
      <c r="N377" s="236"/>
      <c r="O377" s="236"/>
      <c r="P377" s="236"/>
      <c r="Q377" s="236"/>
      <c r="R377" s="236"/>
      <c r="S377" s="236"/>
      <c r="T377" s="236"/>
      <c r="U377" s="236"/>
      <c r="V377" s="239"/>
      <c r="W377" s="236"/>
      <c r="X377" s="236"/>
    </row>
    <row r="378">
      <c r="A378" s="236"/>
      <c r="B378" s="236"/>
      <c r="C378" s="236"/>
      <c r="D378" s="238"/>
      <c r="E378" s="245"/>
      <c r="F378" s="246"/>
      <c r="G378" s="246"/>
      <c r="H378" s="236"/>
      <c r="I378" s="236"/>
      <c r="J378" s="236"/>
      <c r="K378" s="236"/>
      <c r="L378" s="236"/>
      <c r="M378" s="236"/>
      <c r="N378" s="236"/>
      <c r="O378" s="236"/>
      <c r="P378" s="236"/>
      <c r="Q378" s="236"/>
      <c r="R378" s="236"/>
      <c r="S378" s="236"/>
      <c r="T378" s="236"/>
      <c r="U378" s="236"/>
      <c r="V378" s="239"/>
      <c r="W378" s="236"/>
      <c r="X378" s="236"/>
    </row>
    <row r="379">
      <c r="A379" s="236"/>
      <c r="B379" s="236"/>
      <c r="C379" s="236"/>
      <c r="D379" s="238"/>
      <c r="E379" s="245"/>
      <c r="F379" s="246"/>
      <c r="G379" s="246"/>
      <c r="H379" s="236"/>
      <c r="I379" s="236"/>
      <c r="J379" s="236"/>
      <c r="K379" s="236"/>
      <c r="L379" s="236"/>
      <c r="M379" s="236"/>
      <c r="N379" s="236"/>
      <c r="O379" s="236"/>
      <c r="P379" s="236"/>
      <c r="Q379" s="236"/>
      <c r="R379" s="236"/>
      <c r="S379" s="236"/>
      <c r="T379" s="236"/>
      <c r="U379" s="236"/>
      <c r="V379" s="239"/>
      <c r="W379" s="236"/>
      <c r="X379" s="236"/>
    </row>
    <row r="380">
      <c r="A380" s="236"/>
      <c r="B380" s="236"/>
      <c r="C380" s="236"/>
      <c r="D380" s="238"/>
      <c r="E380" s="245"/>
      <c r="F380" s="246"/>
      <c r="G380" s="246"/>
      <c r="H380" s="236"/>
      <c r="I380" s="236"/>
      <c r="J380" s="236"/>
      <c r="K380" s="236"/>
      <c r="L380" s="236"/>
      <c r="M380" s="236"/>
      <c r="N380" s="236"/>
      <c r="O380" s="236"/>
      <c r="P380" s="236"/>
      <c r="Q380" s="236"/>
      <c r="R380" s="236"/>
      <c r="S380" s="236"/>
      <c r="T380" s="236"/>
      <c r="U380" s="236"/>
      <c r="V380" s="239"/>
      <c r="W380" s="236"/>
      <c r="X380" s="236"/>
    </row>
    <row r="381">
      <c r="A381" s="236"/>
      <c r="B381" s="236"/>
      <c r="C381" s="236"/>
      <c r="D381" s="238"/>
      <c r="E381" s="245"/>
      <c r="F381" s="246"/>
      <c r="G381" s="246"/>
      <c r="H381" s="236"/>
      <c r="I381" s="236"/>
      <c r="J381" s="236"/>
      <c r="K381" s="236"/>
      <c r="L381" s="236"/>
      <c r="M381" s="236"/>
      <c r="N381" s="236"/>
      <c r="O381" s="236"/>
      <c r="P381" s="236"/>
      <c r="Q381" s="236"/>
      <c r="R381" s="236"/>
      <c r="S381" s="236"/>
      <c r="T381" s="236"/>
      <c r="U381" s="236"/>
      <c r="V381" s="239"/>
      <c r="W381" s="236"/>
      <c r="X381" s="236"/>
    </row>
    <row r="382">
      <c r="A382" s="236"/>
      <c r="B382" s="236"/>
      <c r="C382" s="236"/>
      <c r="D382" s="238"/>
      <c r="E382" s="245"/>
      <c r="F382" s="246"/>
      <c r="G382" s="246"/>
      <c r="H382" s="236"/>
      <c r="I382" s="236"/>
      <c r="J382" s="236"/>
      <c r="K382" s="236"/>
      <c r="L382" s="236"/>
      <c r="M382" s="236"/>
      <c r="N382" s="236"/>
      <c r="O382" s="236"/>
      <c r="P382" s="236"/>
      <c r="Q382" s="236"/>
      <c r="R382" s="236"/>
      <c r="S382" s="236"/>
      <c r="T382" s="236"/>
      <c r="U382" s="236"/>
      <c r="V382" s="239"/>
      <c r="W382" s="236"/>
      <c r="X382" s="236"/>
    </row>
    <row r="383">
      <c r="A383" s="236"/>
      <c r="B383" s="236"/>
      <c r="C383" s="236"/>
      <c r="D383" s="238"/>
      <c r="E383" s="245"/>
      <c r="F383" s="246"/>
      <c r="G383" s="246"/>
      <c r="H383" s="236"/>
      <c r="I383" s="236"/>
      <c r="J383" s="236"/>
      <c r="K383" s="236"/>
      <c r="L383" s="236"/>
      <c r="M383" s="236"/>
      <c r="N383" s="236"/>
      <c r="O383" s="236"/>
      <c r="P383" s="236"/>
      <c r="Q383" s="236"/>
      <c r="R383" s="236"/>
      <c r="S383" s="236"/>
      <c r="T383" s="236"/>
      <c r="U383" s="236"/>
      <c r="V383" s="239"/>
      <c r="W383" s="236"/>
      <c r="X383" s="236"/>
    </row>
    <row r="384">
      <c r="A384" s="236"/>
      <c r="B384" s="236"/>
      <c r="C384" s="236"/>
      <c r="D384" s="238"/>
      <c r="E384" s="245"/>
      <c r="F384" s="246"/>
      <c r="G384" s="246"/>
      <c r="H384" s="236"/>
      <c r="I384" s="236"/>
      <c r="J384" s="236"/>
      <c r="K384" s="236"/>
      <c r="L384" s="236"/>
      <c r="M384" s="236"/>
      <c r="N384" s="236"/>
      <c r="O384" s="236"/>
      <c r="P384" s="236"/>
      <c r="Q384" s="236"/>
      <c r="R384" s="236"/>
      <c r="S384" s="236"/>
      <c r="T384" s="236"/>
      <c r="U384" s="236"/>
      <c r="V384" s="239"/>
      <c r="W384" s="236"/>
      <c r="X384" s="236"/>
    </row>
    <row r="385">
      <c r="A385" s="236"/>
      <c r="B385" s="236"/>
      <c r="C385" s="236"/>
      <c r="D385" s="238"/>
      <c r="E385" s="245"/>
      <c r="F385" s="246"/>
      <c r="G385" s="246"/>
      <c r="H385" s="236"/>
      <c r="I385" s="236"/>
      <c r="J385" s="236"/>
      <c r="K385" s="236"/>
      <c r="L385" s="236"/>
      <c r="M385" s="236"/>
      <c r="N385" s="236"/>
      <c r="O385" s="236"/>
      <c r="P385" s="236"/>
      <c r="Q385" s="236"/>
      <c r="R385" s="236"/>
      <c r="S385" s="236"/>
      <c r="T385" s="236"/>
      <c r="U385" s="236"/>
      <c r="V385" s="239"/>
      <c r="W385" s="236"/>
      <c r="X385" s="236"/>
    </row>
    <row r="386">
      <c r="A386" s="236"/>
      <c r="B386" s="236"/>
      <c r="C386" s="236"/>
      <c r="D386" s="238"/>
      <c r="E386" s="245"/>
      <c r="F386" s="246"/>
      <c r="G386" s="246"/>
      <c r="H386" s="236"/>
      <c r="I386" s="236"/>
      <c r="J386" s="236"/>
      <c r="K386" s="236"/>
      <c r="L386" s="236"/>
      <c r="M386" s="236"/>
      <c r="N386" s="236"/>
      <c r="O386" s="236"/>
      <c r="P386" s="236"/>
      <c r="Q386" s="236"/>
      <c r="R386" s="236"/>
      <c r="S386" s="236"/>
      <c r="T386" s="236"/>
      <c r="U386" s="236"/>
      <c r="V386" s="239"/>
      <c r="W386" s="236"/>
      <c r="X386" s="236"/>
    </row>
    <row r="387">
      <c r="A387" s="236"/>
      <c r="B387" s="236"/>
      <c r="C387" s="236"/>
      <c r="D387" s="238"/>
      <c r="E387" s="245"/>
      <c r="F387" s="246"/>
      <c r="G387" s="246"/>
      <c r="H387" s="236"/>
      <c r="I387" s="236"/>
      <c r="J387" s="236"/>
      <c r="K387" s="236"/>
      <c r="L387" s="236"/>
      <c r="M387" s="236"/>
      <c r="N387" s="236"/>
      <c r="O387" s="236"/>
      <c r="P387" s="236"/>
      <c r="Q387" s="236"/>
      <c r="R387" s="236"/>
      <c r="S387" s="236"/>
      <c r="T387" s="236"/>
      <c r="U387" s="236"/>
      <c r="V387" s="239"/>
      <c r="W387" s="236"/>
      <c r="X387" s="236"/>
    </row>
    <row r="388">
      <c r="A388" s="236"/>
      <c r="B388" s="236"/>
      <c r="C388" s="236"/>
      <c r="D388" s="238"/>
      <c r="E388" s="245"/>
      <c r="F388" s="246"/>
      <c r="G388" s="246"/>
      <c r="H388" s="236"/>
      <c r="I388" s="236"/>
      <c r="J388" s="236"/>
      <c r="K388" s="236"/>
      <c r="L388" s="236"/>
      <c r="M388" s="236"/>
      <c r="N388" s="236"/>
      <c r="O388" s="236"/>
      <c r="P388" s="236"/>
      <c r="Q388" s="236"/>
      <c r="R388" s="236"/>
      <c r="S388" s="236"/>
      <c r="T388" s="236"/>
      <c r="U388" s="236"/>
      <c r="V388" s="239"/>
      <c r="W388" s="236"/>
      <c r="X388" s="236"/>
    </row>
    <row r="389">
      <c r="A389" s="236"/>
      <c r="B389" s="236"/>
      <c r="C389" s="236"/>
      <c r="D389" s="238"/>
      <c r="E389" s="245"/>
      <c r="F389" s="246"/>
      <c r="G389" s="246"/>
      <c r="H389" s="236"/>
      <c r="I389" s="236"/>
      <c r="J389" s="236"/>
      <c r="K389" s="236"/>
      <c r="L389" s="236"/>
      <c r="M389" s="236"/>
      <c r="N389" s="236"/>
      <c r="O389" s="236"/>
      <c r="P389" s="236"/>
      <c r="Q389" s="236"/>
      <c r="R389" s="236"/>
      <c r="S389" s="236"/>
      <c r="T389" s="236"/>
      <c r="U389" s="236"/>
      <c r="V389" s="239"/>
      <c r="W389" s="236"/>
      <c r="X389" s="236"/>
    </row>
    <row r="390">
      <c r="A390" s="236"/>
      <c r="B390" s="236"/>
      <c r="C390" s="236"/>
      <c r="D390" s="238"/>
      <c r="E390" s="245"/>
      <c r="F390" s="246"/>
      <c r="G390" s="246"/>
      <c r="H390" s="236"/>
      <c r="I390" s="236"/>
      <c r="J390" s="236"/>
      <c r="K390" s="236"/>
      <c r="L390" s="236"/>
      <c r="M390" s="236"/>
      <c r="N390" s="236"/>
      <c r="O390" s="236"/>
      <c r="P390" s="236"/>
      <c r="Q390" s="236"/>
      <c r="R390" s="236"/>
      <c r="S390" s="236"/>
      <c r="T390" s="236"/>
      <c r="U390" s="236"/>
      <c r="V390" s="239"/>
      <c r="W390" s="236"/>
      <c r="X390" s="236"/>
    </row>
    <row r="391">
      <c r="A391" s="236"/>
      <c r="B391" s="236"/>
      <c r="C391" s="236"/>
      <c r="D391" s="238"/>
      <c r="E391" s="245"/>
      <c r="F391" s="246"/>
      <c r="G391" s="246"/>
      <c r="H391" s="236"/>
      <c r="I391" s="236"/>
      <c r="J391" s="236"/>
      <c r="K391" s="236"/>
      <c r="L391" s="236"/>
      <c r="M391" s="236"/>
      <c r="N391" s="236"/>
      <c r="O391" s="236"/>
      <c r="P391" s="236"/>
      <c r="Q391" s="236"/>
      <c r="R391" s="236"/>
      <c r="S391" s="236"/>
      <c r="T391" s="236"/>
      <c r="U391" s="236"/>
      <c r="V391" s="239"/>
      <c r="W391" s="236"/>
      <c r="X391" s="236"/>
    </row>
    <row r="392">
      <c r="A392" s="236"/>
      <c r="B392" s="236"/>
      <c r="C392" s="236"/>
      <c r="D392" s="238"/>
      <c r="E392" s="245"/>
      <c r="F392" s="246"/>
      <c r="G392" s="246"/>
      <c r="H392" s="236"/>
      <c r="I392" s="236"/>
      <c r="J392" s="236"/>
      <c r="K392" s="236"/>
      <c r="L392" s="236"/>
      <c r="M392" s="236"/>
      <c r="N392" s="236"/>
      <c r="O392" s="236"/>
      <c r="P392" s="236"/>
      <c r="Q392" s="236"/>
      <c r="R392" s="236"/>
      <c r="S392" s="236"/>
      <c r="T392" s="236"/>
      <c r="U392" s="236"/>
      <c r="V392" s="239"/>
      <c r="W392" s="236"/>
      <c r="X392" s="236"/>
    </row>
    <row r="393">
      <c r="A393" s="236"/>
      <c r="B393" s="236"/>
      <c r="C393" s="236"/>
      <c r="D393" s="238"/>
      <c r="E393" s="245"/>
      <c r="F393" s="246"/>
      <c r="G393" s="246"/>
      <c r="H393" s="236"/>
      <c r="I393" s="236"/>
      <c r="J393" s="236"/>
      <c r="K393" s="236"/>
      <c r="L393" s="236"/>
      <c r="M393" s="236"/>
      <c r="N393" s="236"/>
      <c r="O393" s="236"/>
      <c r="P393" s="236"/>
      <c r="Q393" s="236"/>
      <c r="R393" s="236"/>
      <c r="S393" s="236"/>
      <c r="T393" s="236"/>
      <c r="U393" s="236"/>
      <c r="V393" s="239"/>
      <c r="W393" s="236"/>
      <c r="X393" s="236"/>
    </row>
    <row r="394">
      <c r="A394" s="236"/>
      <c r="B394" s="236"/>
      <c r="C394" s="236"/>
      <c r="D394" s="238"/>
      <c r="E394" s="245"/>
      <c r="F394" s="246"/>
      <c r="G394" s="246"/>
      <c r="H394" s="236"/>
      <c r="I394" s="236"/>
      <c r="J394" s="236"/>
      <c r="K394" s="236"/>
      <c r="L394" s="236"/>
      <c r="M394" s="236"/>
      <c r="N394" s="236"/>
      <c r="O394" s="236"/>
      <c r="P394" s="236"/>
      <c r="Q394" s="236"/>
      <c r="R394" s="236"/>
      <c r="S394" s="236"/>
      <c r="T394" s="236"/>
      <c r="U394" s="236"/>
      <c r="V394" s="239"/>
      <c r="W394" s="236"/>
      <c r="X394" s="236"/>
    </row>
    <row r="395">
      <c r="A395" s="236"/>
      <c r="B395" s="236"/>
      <c r="C395" s="236"/>
      <c r="D395" s="238"/>
      <c r="E395" s="245"/>
      <c r="F395" s="246"/>
      <c r="G395" s="246"/>
      <c r="H395" s="236"/>
      <c r="I395" s="236"/>
      <c r="J395" s="236"/>
      <c r="K395" s="236"/>
      <c r="L395" s="236"/>
      <c r="M395" s="236"/>
      <c r="N395" s="236"/>
      <c r="O395" s="236"/>
      <c r="P395" s="236"/>
      <c r="Q395" s="236"/>
      <c r="R395" s="236"/>
      <c r="S395" s="236"/>
      <c r="T395" s="236"/>
      <c r="U395" s="236"/>
      <c r="V395" s="239"/>
      <c r="W395" s="236"/>
      <c r="X395" s="236"/>
    </row>
    <row r="396">
      <c r="A396" s="236"/>
      <c r="B396" s="236"/>
      <c r="C396" s="236"/>
      <c r="D396" s="238"/>
      <c r="E396" s="245"/>
      <c r="F396" s="246"/>
      <c r="G396" s="246"/>
      <c r="H396" s="236"/>
      <c r="I396" s="236"/>
      <c r="J396" s="236"/>
      <c r="K396" s="236"/>
      <c r="L396" s="236"/>
      <c r="M396" s="236"/>
      <c r="N396" s="236"/>
      <c r="O396" s="236"/>
      <c r="P396" s="236"/>
      <c r="Q396" s="236"/>
      <c r="R396" s="236"/>
      <c r="S396" s="236"/>
      <c r="T396" s="236"/>
      <c r="U396" s="236"/>
      <c r="V396" s="239"/>
      <c r="W396" s="236"/>
      <c r="X396" s="236"/>
    </row>
    <row r="397">
      <c r="A397" s="236"/>
      <c r="B397" s="236"/>
      <c r="C397" s="236"/>
      <c r="D397" s="238"/>
      <c r="E397" s="245"/>
      <c r="F397" s="246"/>
      <c r="G397" s="246"/>
      <c r="H397" s="236"/>
      <c r="I397" s="236"/>
      <c r="J397" s="236"/>
      <c r="K397" s="236"/>
      <c r="L397" s="236"/>
      <c r="M397" s="236"/>
      <c r="N397" s="236"/>
      <c r="O397" s="236"/>
      <c r="P397" s="236"/>
      <c r="Q397" s="236"/>
      <c r="R397" s="236"/>
      <c r="S397" s="236"/>
      <c r="T397" s="236"/>
      <c r="U397" s="236"/>
      <c r="V397" s="239"/>
      <c r="W397" s="236"/>
      <c r="X397" s="236"/>
    </row>
    <row r="398">
      <c r="A398" s="236"/>
      <c r="B398" s="236"/>
      <c r="C398" s="236"/>
      <c r="D398" s="238"/>
      <c r="E398" s="245"/>
      <c r="F398" s="246"/>
      <c r="G398" s="246"/>
      <c r="H398" s="236"/>
      <c r="I398" s="236"/>
      <c r="J398" s="236"/>
      <c r="K398" s="236"/>
      <c r="L398" s="236"/>
      <c r="M398" s="236"/>
      <c r="N398" s="236"/>
      <c r="O398" s="236"/>
      <c r="P398" s="236"/>
      <c r="Q398" s="236"/>
      <c r="R398" s="236"/>
      <c r="S398" s="236"/>
      <c r="T398" s="236"/>
      <c r="U398" s="236"/>
      <c r="V398" s="239"/>
      <c r="W398" s="236"/>
      <c r="X398" s="236"/>
    </row>
    <row r="399">
      <c r="A399" s="236"/>
      <c r="B399" s="236"/>
      <c r="C399" s="236"/>
      <c r="D399" s="238"/>
      <c r="E399" s="245"/>
      <c r="F399" s="246"/>
      <c r="G399" s="246"/>
      <c r="H399" s="236"/>
      <c r="I399" s="236"/>
      <c r="J399" s="236"/>
      <c r="K399" s="236"/>
      <c r="L399" s="236"/>
      <c r="M399" s="236"/>
      <c r="N399" s="236"/>
      <c r="O399" s="236"/>
      <c r="P399" s="236"/>
      <c r="Q399" s="236"/>
      <c r="R399" s="236"/>
      <c r="S399" s="236"/>
      <c r="T399" s="236"/>
      <c r="U399" s="236"/>
      <c r="V399" s="239"/>
      <c r="W399" s="236"/>
      <c r="X399" s="236"/>
    </row>
    <row r="400">
      <c r="A400" s="236"/>
      <c r="B400" s="236"/>
      <c r="C400" s="236"/>
      <c r="D400" s="238"/>
      <c r="E400" s="245"/>
      <c r="F400" s="246"/>
      <c r="G400" s="246"/>
      <c r="H400" s="236"/>
      <c r="I400" s="236"/>
      <c r="J400" s="236"/>
      <c r="K400" s="236"/>
      <c r="L400" s="236"/>
      <c r="M400" s="236"/>
      <c r="N400" s="236"/>
      <c r="O400" s="236"/>
      <c r="P400" s="236"/>
      <c r="Q400" s="236"/>
      <c r="R400" s="236"/>
      <c r="S400" s="236"/>
      <c r="T400" s="236"/>
      <c r="U400" s="236"/>
      <c r="V400" s="239"/>
      <c r="W400" s="236"/>
      <c r="X400" s="236"/>
    </row>
    <row r="401">
      <c r="A401" s="236"/>
      <c r="B401" s="236"/>
      <c r="C401" s="236"/>
      <c r="D401" s="238"/>
      <c r="E401" s="245"/>
      <c r="F401" s="246"/>
      <c r="G401" s="246"/>
      <c r="H401" s="236"/>
      <c r="I401" s="236"/>
      <c r="J401" s="236"/>
      <c r="K401" s="236"/>
      <c r="L401" s="236"/>
      <c r="M401" s="236"/>
      <c r="N401" s="236"/>
      <c r="O401" s="236"/>
      <c r="P401" s="236"/>
      <c r="Q401" s="236"/>
      <c r="R401" s="236"/>
      <c r="S401" s="236"/>
      <c r="T401" s="236"/>
      <c r="U401" s="236"/>
      <c r="V401" s="239"/>
      <c r="W401" s="236"/>
      <c r="X401" s="236"/>
    </row>
    <row r="402">
      <c r="A402" s="236"/>
      <c r="B402" s="236"/>
      <c r="C402" s="236"/>
      <c r="D402" s="238"/>
      <c r="E402" s="245"/>
      <c r="F402" s="246"/>
      <c r="G402" s="246"/>
      <c r="H402" s="236"/>
      <c r="I402" s="236"/>
      <c r="J402" s="236"/>
      <c r="K402" s="236"/>
      <c r="L402" s="236"/>
      <c r="M402" s="236"/>
      <c r="N402" s="236"/>
      <c r="O402" s="236"/>
      <c r="P402" s="236"/>
      <c r="Q402" s="236"/>
      <c r="R402" s="236"/>
      <c r="S402" s="236"/>
      <c r="T402" s="236"/>
      <c r="U402" s="236"/>
      <c r="V402" s="239"/>
      <c r="W402" s="236"/>
      <c r="X402" s="236"/>
    </row>
    <row r="403">
      <c r="A403" s="236"/>
      <c r="B403" s="236"/>
      <c r="C403" s="236"/>
      <c r="D403" s="238"/>
      <c r="E403" s="245"/>
      <c r="F403" s="246"/>
      <c r="G403" s="246"/>
      <c r="H403" s="236"/>
      <c r="I403" s="236"/>
      <c r="J403" s="236"/>
      <c r="K403" s="236"/>
      <c r="L403" s="236"/>
      <c r="M403" s="236"/>
      <c r="N403" s="236"/>
      <c r="O403" s="236"/>
      <c r="P403" s="236"/>
      <c r="Q403" s="236"/>
      <c r="R403" s="236"/>
      <c r="S403" s="236"/>
      <c r="T403" s="236"/>
      <c r="U403" s="236"/>
      <c r="V403" s="239"/>
      <c r="W403" s="236"/>
      <c r="X403" s="236"/>
    </row>
    <row r="404">
      <c r="A404" s="236"/>
      <c r="B404" s="236"/>
      <c r="C404" s="236"/>
      <c r="D404" s="238"/>
      <c r="E404" s="245"/>
      <c r="F404" s="246"/>
      <c r="G404" s="246"/>
      <c r="H404" s="236"/>
      <c r="I404" s="236"/>
      <c r="J404" s="236"/>
      <c r="K404" s="236"/>
      <c r="L404" s="236"/>
      <c r="M404" s="236"/>
      <c r="N404" s="236"/>
      <c r="O404" s="236"/>
      <c r="P404" s="236"/>
      <c r="Q404" s="236"/>
      <c r="R404" s="236"/>
      <c r="S404" s="236"/>
      <c r="T404" s="236"/>
      <c r="U404" s="236"/>
      <c r="V404" s="239"/>
      <c r="W404" s="236"/>
      <c r="X404" s="236"/>
    </row>
    <row r="405">
      <c r="A405" s="236"/>
      <c r="B405" s="236"/>
      <c r="C405" s="236"/>
      <c r="D405" s="238"/>
      <c r="E405" s="245"/>
      <c r="F405" s="246"/>
      <c r="G405" s="246"/>
      <c r="H405" s="236"/>
      <c r="I405" s="236"/>
      <c r="J405" s="236"/>
      <c r="K405" s="236"/>
      <c r="L405" s="236"/>
      <c r="M405" s="236"/>
      <c r="N405" s="236"/>
      <c r="O405" s="236"/>
      <c r="P405" s="236"/>
      <c r="Q405" s="236"/>
      <c r="R405" s="236"/>
      <c r="S405" s="236"/>
      <c r="T405" s="236"/>
      <c r="U405" s="236"/>
      <c r="V405" s="239"/>
      <c r="W405" s="236"/>
      <c r="X405" s="236"/>
    </row>
    <row r="406">
      <c r="A406" s="236"/>
      <c r="B406" s="236"/>
      <c r="C406" s="236"/>
      <c r="D406" s="238"/>
      <c r="E406" s="245"/>
      <c r="F406" s="246"/>
      <c r="G406" s="246"/>
      <c r="H406" s="236"/>
      <c r="I406" s="236"/>
      <c r="J406" s="236"/>
      <c r="K406" s="236"/>
      <c r="L406" s="236"/>
      <c r="M406" s="236"/>
      <c r="N406" s="236"/>
      <c r="O406" s="236"/>
      <c r="P406" s="236"/>
      <c r="Q406" s="236"/>
      <c r="R406" s="236"/>
      <c r="S406" s="236"/>
      <c r="T406" s="236"/>
      <c r="U406" s="236"/>
      <c r="V406" s="239"/>
      <c r="W406" s="236"/>
      <c r="X406" s="236"/>
    </row>
    <row r="407">
      <c r="A407" s="236"/>
      <c r="B407" s="236"/>
      <c r="C407" s="236"/>
      <c r="D407" s="238"/>
      <c r="E407" s="245"/>
      <c r="F407" s="246"/>
      <c r="G407" s="246"/>
      <c r="H407" s="236"/>
      <c r="I407" s="236"/>
      <c r="J407" s="236"/>
      <c r="K407" s="236"/>
      <c r="L407" s="236"/>
      <c r="M407" s="236"/>
      <c r="N407" s="236"/>
      <c r="O407" s="236"/>
      <c r="P407" s="236"/>
      <c r="Q407" s="236"/>
      <c r="R407" s="236"/>
      <c r="S407" s="236"/>
      <c r="T407" s="236"/>
      <c r="U407" s="236"/>
      <c r="V407" s="239"/>
      <c r="W407" s="236"/>
      <c r="X407" s="236"/>
    </row>
    <row r="408">
      <c r="A408" s="236"/>
      <c r="B408" s="236"/>
      <c r="C408" s="236"/>
      <c r="D408" s="238"/>
      <c r="E408" s="245"/>
      <c r="F408" s="246"/>
      <c r="G408" s="246"/>
      <c r="H408" s="236"/>
      <c r="I408" s="236"/>
      <c r="J408" s="236"/>
      <c r="K408" s="236"/>
      <c r="L408" s="236"/>
      <c r="M408" s="236"/>
      <c r="N408" s="236"/>
      <c r="O408" s="236"/>
      <c r="P408" s="236"/>
      <c r="Q408" s="236"/>
      <c r="R408" s="236"/>
      <c r="S408" s="236"/>
      <c r="T408" s="236"/>
      <c r="U408" s="236"/>
      <c r="V408" s="239"/>
      <c r="W408" s="236"/>
      <c r="X408" s="236"/>
    </row>
    <row r="409">
      <c r="A409" s="236"/>
      <c r="B409" s="236"/>
      <c r="C409" s="236"/>
      <c r="D409" s="238"/>
      <c r="E409" s="245"/>
      <c r="F409" s="246"/>
      <c r="G409" s="246"/>
      <c r="H409" s="236"/>
      <c r="I409" s="236"/>
      <c r="J409" s="236"/>
      <c r="K409" s="236"/>
      <c r="L409" s="236"/>
      <c r="M409" s="236"/>
      <c r="N409" s="236"/>
      <c r="O409" s="236"/>
      <c r="P409" s="236"/>
      <c r="Q409" s="236"/>
      <c r="R409" s="236"/>
      <c r="S409" s="236"/>
      <c r="T409" s="236"/>
      <c r="U409" s="236"/>
      <c r="V409" s="239"/>
      <c r="W409" s="236"/>
      <c r="X409" s="236"/>
    </row>
    <row r="410">
      <c r="A410" s="236"/>
      <c r="B410" s="236"/>
      <c r="C410" s="236"/>
      <c r="D410" s="238"/>
      <c r="E410" s="245"/>
      <c r="F410" s="246"/>
      <c r="G410" s="246"/>
      <c r="H410" s="236"/>
      <c r="I410" s="236"/>
      <c r="J410" s="236"/>
      <c r="K410" s="236"/>
      <c r="L410" s="236"/>
      <c r="M410" s="236"/>
      <c r="N410" s="236"/>
      <c r="O410" s="236"/>
      <c r="P410" s="236"/>
      <c r="Q410" s="236"/>
      <c r="R410" s="236"/>
      <c r="S410" s="236"/>
      <c r="T410" s="236"/>
      <c r="U410" s="236"/>
      <c r="V410" s="239"/>
      <c r="W410" s="236"/>
      <c r="X410" s="236"/>
    </row>
    <row r="411">
      <c r="A411" s="236"/>
      <c r="B411" s="236"/>
      <c r="C411" s="236"/>
      <c r="D411" s="238"/>
      <c r="E411" s="245"/>
      <c r="F411" s="246"/>
      <c r="G411" s="246"/>
      <c r="H411" s="236"/>
      <c r="I411" s="236"/>
      <c r="J411" s="236"/>
      <c r="K411" s="236"/>
      <c r="L411" s="236"/>
      <c r="M411" s="236"/>
      <c r="N411" s="236"/>
      <c r="O411" s="236"/>
      <c r="P411" s="236"/>
      <c r="Q411" s="236"/>
      <c r="R411" s="236"/>
      <c r="S411" s="236"/>
      <c r="T411" s="236"/>
      <c r="U411" s="236"/>
      <c r="V411" s="239"/>
      <c r="W411" s="236"/>
      <c r="X411" s="236"/>
    </row>
    <row r="412">
      <c r="A412" s="236"/>
      <c r="B412" s="236"/>
      <c r="C412" s="236"/>
      <c r="D412" s="238"/>
      <c r="E412" s="245"/>
      <c r="F412" s="246"/>
      <c r="G412" s="246"/>
      <c r="H412" s="236"/>
      <c r="I412" s="236"/>
      <c r="J412" s="236"/>
      <c r="K412" s="236"/>
      <c r="L412" s="236"/>
      <c r="M412" s="236"/>
      <c r="N412" s="236"/>
      <c r="O412" s="236"/>
      <c r="P412" s="236"/>
      <c r="Q412" s="236"/>
      <c r="R412" s="236"/>
      <c r="S412" s="236"/>
      <c r="T412" s="236"/>
      <c r="U412" s="236"/>
      <c r="V412" s="239"/>
      <c r="W412" s="236"/>
      <c r="X412" s="236"/>
    </row>
    <row r="413">
      <c r="A413" s="236"/>
      <c r="B413" s="236"/>
      <c r="C413" s="236"/>
      <c r="D413" s="238"/>
      <c r="E413" s="245"/>
      <c r="F413" s="246"/>
      <c r="G413" s="246"/>
      <c r="H413" s="236"/>
      <c r="I413" s="236"/>
      <c r="J413" s="236"/>
      <c r="K413" s="236"/>
      <c r="L413" s="236"/>
      <c r="M413" s="236"/>
      <c r="N413" s="236"/>
      <c r="O413" s="236"/>
      <c r="P413" s="236"/>
      <c r="Q413" s="236"/>
      <c r="R413" s="236"/>
      <c r="S413" s="236"/>
      <c r="T413" s="236"/>
      <c r="U413" s="236"/>
      <c r="V413" s="239"/>
      <c r="W413" s="236"/>
      <c r="X413" s="236"/>
    </row>
    <row r="414">
      <c r="A414" s="236"/>
      <c r="B414" s="236"/>
      <c r="C414" s="236"/>
      <c r="D414" s="238"/>
      <c r="E414" s="245"/>
      <c r="F414" s="246"/>
      <c r="G414" s="246"/>
      <c r="H414" s="236"/>
      <c r="I414" s="236"/>
      <c r="J414" s="236"/>
      <c r="K414" s="236"/>
      <c r="L414" s="236"/>
      <c r="M414" s="236"/>
      <c r="N414" s="236"/>
      <c r="O414" s="236"/>
      <c r="P414" s="236"/>
      <c r="Q414" s="236"/>
      <c r="R414" s="236"/>
      <c r="S414" s="236"/>
      <c r="T414" s="236"/>
      <c r="U414" s="236"/>
      <c r="V414" s="239"/>
      <c r="W414" s="236"/>
      <c r="X414" s="236"/>
    </row>
    <row r="415">
      <c r="A415" s="236"/>
      <c r="B415" s="236"/>
      <c r="C415" s="236"/>
      <c r="D415" s="238"/>
      <c r="E415" s="245"/>
      <c r="F415" s="246"/>
      <c r="G415" s="246"/>
      <c r="H415" s="236"/>
      <c r="I415" s="236"/>
      <c r="J415" s="236"/>
      <c r="K415" s="236"/>
      <c r="L415" s="236"/>
      <c r="M415" s="236"/>
      <c r="N415" s="236"/>
      <c r="O415" s="236"/>
      <c r="P415" s="236"/>
      <c r="Q415" s="236"/>
      <c r="R415" s="236"/>
      <c r="S415" s="236"/>
      <c r="T415" s="236"/>
      <c r="U415" s="236"/>
      <c r="V415" s="239"/>
      <c r="W415" s="236"/>
      <c r="X415" s="236"/>
    </row>
    <row r="416">
      <c r="A416" s="236"/>
      <c r="B416" s="236"/>
      <c r="C416" s="236"/>
      <c r="D416" s="238"/>
      <c r="E416" s="245"/>
      <c r="F416" s="246"/>
      <c r="G416" s="246"/>
      <c r="H416" s="236"/>
      <c r="I416" s="236"/>
      <c r="J416" s="236"/>
      <c r="K416" s="236"/>
      <c r="L416" s="236"/>
      <c r="M416" s="236"/>
      <c r="N416" s="236"/>
      <c r="O416" s="236"/>
      <c r="P416" s="236"/>
      <c r="Q416" s="236"/>
      <c r="R416" s="236"/>
      <c r="S416" s="236"/>
      <c r="T416" s="236"/>
      <c r="U416" s="236"/>
      <c r="V416" s="239"/>
      <c r="W416" s="236"/>
      <c r="X416" s="236"/>
    </row>
    <row r="417">
      <c r="A417" s="236"/>
      <c r="B417" s="236"/>
      <c r="C417" s="236"/>
      <c r="D417" s="238"/>
      <c r="E417" s="245"/>
      <c r="F417" s="246"/>
      <c r="G417" s="246"/>
      <c r="H417" s="236"/>
      <c r="I417" s="236"/>
      <c r="J417" s="236"/>
      <c r="K417" s="236"/>
      <c r="L417" s="236"/>
      <c r="M417" s="236"/>
      <c r="N417" s="236"/>
      <c r="O417" s="236"/>
      <c r="P417" s="236"/>
      <c r="Q417" s="236"/>
      <c r="R417" s="236"/>
      <c r="S417" s="236"/>
      <c r="T417" s="236"/>
      <c r="U417" s="236"/>
      <c r="V417" s="239"/>
      <c r="W417" s="236"/>
      <c r="X417" s="236"/>
    </row>
    <row r="418">
      <c r="A418" s="236"/>
      <c r="B418" s="236"/>
      <c r="C418" s="236"/>
      <c r="D418" s="238"/>
      <c r="E418" s="245"/>
      <c r="F418" s="246"/>
      <c r="G418" s="246"/>
      <c r="H418" s="236"/>
      <c r="I418" s="236"/>
      <c r="J418" s="236"/>
      <c r="K418" s="236"/>
      <c r="L418" s="236"/>
      <c r="M418" s="236"/>
      <c r="N418" s="236"/>
      <c r="O418" s="236"/>
      <c r="P418" s="236"/>
      <c r="Q418" s="236"/>
      <c r="R418" s="236"/>
      <c r="S418" s="236"/>
      <c r="T418" s="236"/>
      <c r="U418" s="236"/>
      <c r="V418" s="239"/>
      <c r="W418" s="236"/>
      <c r="X418" s="236"/>
    </row>
    <row r="419">
      <c r="A419" s="236"/>
      <c r="B419" s="236"/>
      <c r="C419" s="236"/>
      <c r="D419" s="238"/>
      <c r="E419" s="245"/>
      <c r="F419" s="246"/>
      <c r="G419" s="246"/>
      <c r="H419" s="236"/>
      <c r="I419" s="236"/>
      <c r="J419" s="236"/>
      <c r="K419" s="236"/>
      <c r="L419" s="236"/>
      <c r="M419" s="236"/>
      <c r="N419" s="236"/>
      <c r="O419" s="236"/>
      <c r="P419" s="236"/>
      <c r="Q419" s="236"/>
      <c r="R419" s="236"/>
      <c r="S419" s="236"/>
      <c r="T419" s="236"/>
      <c r="U419" s="236"/>
      <c r="V419" s="239"/>
      <c r="W419" s="236"/>
      <c r="X419" s="236"/>
    </row>
    <row r="420">
      <c r="A420" s="236"/>
      <c r="B420" s="236"/>
      <c r="C420" s="236"/>
      <c r="D420" s="238"/>
      <c r="E420" s="245"/>
      <c r="F420" s="246"/>
      <c r="G420" s="246"/>
      <c r="H420" s="236"/>
      <c r="I420" s="236"/>
      <c r="J420" s="236"/>
      <c r="K420" s="236"/>
      <c r="L420" s="236"/>
      <c r="M420" s="236"/>
      <c r="N420" s="236"/>
      <c r="O420" s="236"/>
      <c r="P420" s="236"/>
      <c r="Q420" s="236"/>
      <c r="R420" s="236"/>
      <c r="S420" s="236"/>
      <c r="T420" s="236"/>
      <c r="U420" s="236"/>
      <c r="V420" s="239"/>
      <c r="W420" s="236"/>
      <c r="X420" s="236"/>
    </row>
    <row r="421">
      <c r="A421" s="236"/>
      <c r="B421" s="236"/>
      <c r="C421" s="236"/>
      <c r="D421" s="238"/>
      <c r="E421" s="245"/>
      <c r="F421" s="246"/>
      <c r="G421" s="246"/>
      <c r="H421" s="236"/>
      <c r="I421" s="236"/>
      <c r="J421" s="236"/>
      <c r="K421" s="236"/>
      <c r="L421" s="236"/>
      <c r="M421" s="236"/>
      <c r="N421" s="236"/>
      <c r="O421" s="236"/>
      <c r="P421" s="236"/>
      <c r="Q421" s="236"/>
      <c r="R421" s="236"/>
      <c r="S421" s="236"/>
      <c r="T421" s="236"/>
      <c r="U421" s="236"/>
      <c r="V421" s="239"/>
      <c r="W421" s="236"/>
      <c r="X421" s="236"/>
    </row>
    <row r="422">
      <c r="A422" s="236"/>
      <c r="B422" s="236"/>
      <c r="C422" s="236"/>
      <c r="D422" s="238"/>
      <c r="E422" s="245"/>
      <c r="F422" s="246"/>
      <c r="G422" s="246"/>
      <c r="H422" s="236"/>
      <c r="I422" s="236"/>
      <c r="J422" s="236"/>
      <c r="K422" s="236"/>
      <c r="L422" s="236"/>
      <c r="M422" s="236"/>
      <c r="N422" s="236"/>
      <c r="O422" s="236"/>
      <c r="P422" s="236"/>
      <c r="Q422" s="236"/>
      <c r="R422" s="236"/>
      <c r="S422" s="236"/>
      <c r="T422" s="236"/>
      <c r="U422" s="236"/>
      <c r="V422" s="239"/>
      <c r="W422" s="236"/>
      <c r="X422" s="236"/>
    </row>
    <row r="423">
      <c r="A423" s="236"/>
      <c r="B423" s="236"/>
      <c r="C423" s="236"/>
      <c r="D423" s="238"/>
      <c r="E423" s="245"/>
      <c r="F423" s="246"/>
      <c r="G423" s="246"/>
      <c r="H423" s="236"/>
      <c r="I423" s="236"/>
      <c r="J423" s="236"/>
      <c r="K423" s="236"/>
      <c r="L423" s="236"/>
      <c r="M423" s="236"/>
      <c r="N423" s="236"/>
      <c r="O423" s="236"/>
      <c r="P423" s="236"/>
      <c r="Q423" s="236"/>
      <c r="R423" s="236"/>
      <c r="S423" s="236"/>
      <c r="T423" s="236"/>
      <c r="U423" s="236"/>
      <c r="V423" s="239"/>
      <c r="W423" s="236"/>
      <c r="X423" s="236"/>
    </row>
    <row r="424">
      <c r="A424" s="236"/>
      <c r="B424" s="236"/>
      <c r="C424" s="236"/>
      <c r="D424" s="238"/>
      <c r="E424" s="245"/>
      <c r="F424" s="246"/>
      <c r="G424" s="246"/>
      <c r="H424" s="236"/>
      <c r="I424" s="236"/>
      <c r="J424" s="236"/>
      <c r="K424" s="236"/>
      <c r="L424" s="236"/>
      <c r="M424" s="236"/>
      <c r="N424" s="236"/>
      <c r="O424" s="236"/>
      <c r="P424" s="236"/>
      <c r="Q424" s="236"/>
      <c r="R424" s="236"/>
      <c r="S424" s="236"/>
      <c r="T424" s="236"/>
      <c r="U424" s="236"/>
      <c r="V424" s="239"/>
      <c r="W424" s="236"/>
      <c r="X424" s="236"/>
    </row>
    <row r="425">
      <c r="A425" s="236"/>
      <c r="B425" s="236"/>
      <c r="C425" s="236"/>
      <c r="D425" s="238"/>
      <c r="E425" s="245"/>
      <c r="F425" s="246"/>
      <c r="G425" s="246"/>
      <c r="H425" s="236"/>
      <c r="I425" s="236"/>
      <c r="J425" s="236"/>
      <c r="K425" s="236"/>
      <c r="L425" s="236"/>
      <c r="M425" s="236"/>
      <c r="N425" s="236"/>
      <c r="O425" s="236"/>
      <c r="P425" s="236"/>
      <c r="Q425" s="236"/>
      <c r="R425" s="236"/>
      <c r="S425" s="236"/>
      <c r="T425" s="236"/>
      <c r="U425" s="236"/>
      <c r="V425" s="239"/>
      <c r="W425" s="236"/>
      <c r="X425" s="236"/>
    </row>
    <row r="426">
      <c r="A426" s="236"/>
      <c r="B426" s="236"/>
      <c r="C426" s="236"/>
      <c r="D426" s="238"/>
      <c r="E426" s="245"/>
      <c r="F426" s="246"/>
      <c r="G426" s="246"/>
      <c r="H426" s="236"/>
      <c r="I426" s="236"/>
      <c r="J426" s="236"/>
      <c r="K426" s="236"/>
      <c r="L426" s="236"/>
      <c r="M426" s="236"/>
      <c r="N426" s="236"/>
      <c r="O426" s="236"/>
      <c r="P426" s="236"/>
      <c r="Q426" s="236"/>
      <c r="R426" s="236"/>
      <c r="S426" s="236"/>
      <c r="T426" s="236"/>
      <c r="U426" s="236"/>
      <c r="V426" s="239"/>
      <c r="W426" s="236"/>
      <c r="X426" s="236"/>
    </row>
    <row r="427">
      <c r="A427" s="236"/>
      <c r="B427" s="236"/>
      <c r="C427" s="236"/>
      <c r="D427" s="238"/>
      <c r="E427" s="245"/>
      <c r="F427" s="246"/>
      <c r="G427" s="246"/>
      <c r="H427" s="236"/>
      <c r="I427" s="236"/>
      <c r="J427" s="236"/>
      <c r="K427" s="236"/>
      <c r="L427" s="236"/>
      <c r="M427" s="236"/>
      <c r="N427" s="236"/>
      <c r="O427" s="236"/>
      <c r="P427" s="236"/>
      <c r="Q427" s="236"/>
      <c r="R427" s="236"/>
      <c r="S427" s="236"/>
      <c r="T427" s="236"/>
      <c r="U427" s="236"/>
      <c r="V427" s="239"/>
      <c r="W427" s="236"/>
      <c r="X427" s="236"/>
    </row>
    <row r="428">
      <c r="A428" s="236"/>
      <c r="B428" s="236"/>
      <c r="C428" s="236"/>
      <c r="D428" s="238"/>
      <c r="E428" s="245"/>
      <c r="F428" s="246"/>
      <c r="G428" s="246"/>
      <c r="H428" s="236"/>
      <c r="I428" s="236"/>
      <c r="J428" s="236"/>
      <c r="K428" s="236"/>
      <c r="L428" s="236"/>
      <c r="M428" s="236"/>
      <c r="N428" s="236"/>
      <c r="O428" s="236"/>
      <c r="P428" s="236"/>
      <c r="Q428" s="236"/>
      <c r="R428" s="236"/>
      <c r="S428" s="236"/>
      <c r="T428" s="236"/>
      <c r="U428" s="236"/>
      <c r="V428" s="239"/>
      <c r="W428" s="236"/>
      <c r="X428" s="236"/>
    </row>
    <row r="429">
      <c r="A429" s="236"/>
      <c r="B429" s="236"/>
      <c r="C429" s="236"/>
      <c r="D429" s="238"/>
      <c r="E429" s="245"/>
      <c r="F429" s="246"/>
      <c r="G429" s="246"/>
      <c r="H429" s="236"/>
      <c r="I429" s="236"/>
      <c r="J429" s="236"/>
      <c r="K429" s="236"/>
      <c r="L429" s="236"/>
      <c r="M429" s="236"/>
      <c r="N429" s="236"/>
      <c r="O429" s="236"/>
      <c r="P429" s="236"/>
      <c r="Q429" s="236"/>
      <c r="R429" s="236"/>
      <c r="S429" s="236"/>
      <c r="T429" s="236"/>
      <c r="U429" s="236"/>
      <c r="V429" s="239"/>
      <c r="W429" s="236"/>
      <c r="X429" s="236"/>
    </row>
    <row r="430">
      <c r="A430" s="236"/>
      <c r="B430" s="236"/>
      <c r="C430" s="236"/>
      <c r="D430" s="238"/>
      <c r="E430" s="245"/>
      <c r="F430" s="246"/>
      <c r="G430" s="246"/>
      <c r="H430" s="236"/>
      <c r="I430" s="236"/>
      <c r="J430" s="236"/>
      <c r="K430" s="236"/>
      <c r="L430" s="236"/>
      <c r="M430" s="236"/>
      <c r="N430" s="236"/>
      <c r="O430" s="236"/>
      <c r="P430" s="236"/>
      <c r="Q430" s="236"/>
      <c r="R430" s="236"/>
      <c r="S430" s="236"/>
      <c r="T430" s="236"/>
      <c r="U430" s="236"/>
      <c r="V430" s="239"/>
      <c r="W430" s="236"/>
      <c r="X430" s="236"/>
    </row>
    <row r="431">
      <c r="A431" s="236"/>
      <c r="B431" s="236"/>
      <c r="C431" s="236"/>
      <c r="D431" s="238"/>
      <c r="E431" s="245"/>
      <c r="F431" s="246"/>
      <c r="G431" s="246"/>
      <c r="H431" s="236"/>
      <c r="I431" s="236"/>
      <c r="J431" s="236"/>
      <c r="K431" s="236"/>
      <c r="L431" s="236"/>
      <c r="M431" s="236"/>
      <c r="N431" s="236"/>
      <c r="O431" s="236"/>
      <c r="P431" s="236"/>
      <c r="Q431" s="236"/>
      <c r="R431" s="236"/>
      <c r="S431" s="236"/>
      <c r="T431" s="236"/>
      <c r="U431" s="236"/>
      <c r="V431" s="239"/>
      <c r="W431" s="236"/>
      <c r="X431" s="236"/>
    </row>
    <row r="432">
      <c r="A432" s="236"/>
      <c r="B432" s="236"/>
      <c r="C432" s="236"/>
      <c r="D432" s="238"/>
      <c r="E432" s="245"/>
      <c r="F432" s="246"/>
      <c r="G432" s="246"/>
      <c r="H432" s="236"/>
      <c r="I432" s="236"/>
      <c r="J432" s="236"/>
      <c r="K432" s="236"/>
      <c r="L432" s="236"/>
      <c r="M432" s="236"/>
      <c r="N432" s="236"/>
      <c r="O432" s="236"/>
      <c r="P432" s="236"/>
      <c r="Q432" s="236"/>
      <c r="R432" s="236"/>
      <c r="S432" s="236"/>
      <c r="T432" s="236"/>
      <c r="U432" s="236"/>
      <c r="V432" s="239"/>
      <c r="W432" s="236"/>
      <c r="X432" s="236"/>
    </row>
    <row r="433">
      <c r="A433" s="236"/>
      <c r="B433" s="236"/>
      <c r="C433" s="236"/>
      <c r="D433" s="238"/>
      <c r="E433" s="245"/>
      <c r="F433" s="246"/>
      <c r="G433" s="246"/>
      <c r="H433" s="236"/>
      <c r="I433" s="236"/>
      <c r="J433" s="236"/>
      <c r="K433" s="236"/>
      <c r="L433" s="236"/>
      <c r="M433" s="236"/>
      <c r="N433" s="236"/>
      <c r="O433" s="236"/>
      <c r="P433" s="236"/>
      <c r="Q433" s="236"/>
      <c r="R433" s="236"/>
      <c r="S433" s="236"/>
      <c r="T433" s="236"/>
      <c r="U433" s="236"/>
      <c r="V433" s="239"/>
      <c r="W433" s="236"/>
      <c r="X433" s="236"/>
    </row>
    <row r="434">
      <c r="A434" s="236"/>
      <c r="B434" s="236"/>
      <c r="C434" s="236"/>
      <c r="D434" s="238"/>
      <c r="E434" s="245"/>
      <c r="F434" s="246"/>
      <c r="G434" s="246"/>
      <c r="H434" s="236"/>
      <c r="I434" s="236"/>
      <c r="J434" s="236"/>
      <c r="K434" s="236"/>
      <c r="L434" s="236"/>
      <c r="M434" s="236"/>
      <c r="N434" s="236"/>
      <c r="O434" s="236"/>
      <c r="P434" s="236"/>
      <c r="Q434" s="236"/>
      <c r="R434" s="236"/>
      <c r="S434" s="236"/>
      <c r="T434" s="236"/>
      <c r="U434" s="236"/>
      <c r="V434" s="239"/>
      <c r="W434" s="236"/>
      <c r="X434" s="236"/>
    </row>
    <row r="435">
      <c r="A435" s="236"/>
      <c r="B435" s="236"/>
      <c r="C435" s="236"/>
      <c r="D435" s="238"/>
      <c r="E435" s="245"/>
      <c r="F435" s="246"/>
      <c r="G435" s="246"/>
      <c r="H435" s="236"/>
      <c r="I435" s="236"/>
      <c r="J435" s="236"/>
      <c r="K435" s="236"/>
      <c r="L435" s="236"/>
      <c r="M435" s="236"/>
      <c r="N435" s="236"/>
      <c r="O435" s="236"/>
      <c r="P435" s="236"/>
      <c r="Q435" s="236"/>
      <c r="R435" s="236"/>
      <c r="S435" s="236"/>
      <c r="T435" s="236"/>
      <c r="U435" s="236"/>
      <c r="V435" s="239"/>
      <c r="W435" s="236"/>
      <c r="X435" s="236"/>
    </row>
    <row r="436">
      <c r="A436" s="236"/>
      <c r="B436" s="236"/>
      <c r="C436" s="236"/>
      <c r="D436" s="238"/>
      <c r="E436" s="245"/>
      <c r="F436" s="246"/>
      <c r="G436" s="246"/>
      <c r="H436" s="236"/>
      <c r="I436" s="236"/>
      <c r="J436" s="236"/>
      <c r="K436" s="236"/>
      <c r="L436" s="236"/>
      <c r="M436" s="236"/>
      <c r="N436" s="236"/>
      <c r="O436" s="236"/>
      <c r="P436" s="236"/>
      <c r="Q436" s="236"/>
      <c r="R436" s="236"/>
      <c r="S436" s="236"/>
      <c r="T436" s="236"/>
      <c r="U436" s="236"/>
      <c r="V436" s="239"/>
      <c r="W436" s="236"/>
      <c r="X436" s="236"/>
    </row>
    <row r="437">
      <c r="A437" s="236"/>
      <c r="B437" s="236"/>
      <c r="C437" s="236"/>
      <c r="D437" s="238"/>
      <c r="E437" s="245"/>
      <c r="F437" s="246"/>
      <c r="G437" s="246"/>
      <c r="H437" s="236"/>
      <c r="I437" s="236"/>
      <c r="J437" s="236"/>
      <c r="K437" s="236"/>
      <c r="L437" s="236"/>
      <c r="M437" s="236"/>
      <c r="N437" s="236"/>
      <c r="O437" s="236"/>
      <c r="P437" s="236"/>
      <c r="Q437" s="236"/>
      <c r="R437" s="236"/>
      <c r="S437" s="236"/>
      <c r="T437" s="236"/>
      <c r="U437" s="236"/>
      <c r="V437" s="239"/>
      <c r="W437" s="236"/>
      <c r="X437" s="236"/>
    </row>
    <row r="438">
      <c r="A438" s="236"/>
      <c r="B438" s="236"/>
      <c r="C438" s="236"/>
      <c r="D438" s="238"/>
      <c r="E438" s="245"/>
      <c r="F438" s="246"/>
      <c r="G438" s="246"/>
      <c r="H438" s="236"/>
      <c r="I438" s="236"/>
      <c r="J438" s="236"/>
      <c r="K438" s="236"/>
      <c r="L438" s="236"/>
      <c r="M438" s="236"/>
      <c r="N438" s="236"/>
      <c r="O438" s="236"/>
      <c r="P438" s="236"/>
      <c r="Q438" s="236"/>
      <c r="R438" s="236"/>
      <c r="S438" s="236"/>
      <c r="T438" s="236"/>
      <c r="U438" s="236"/>
      <c r="V438" s="239"/>
      <c r="W438" s="236"/>
      <c r="X438" s="236"/>
    </row>
    <row r="439">
      <c r="A439" s="236"/>
      <c r="B439" s="236"/>
      <c r="C439" s="236"/>
      <c r="D439" s="238"/>
      <c r="E439" s="245"/>
      <c r="F439" s="246"/>
      <c r="G439" s="246"/>
      <c r="H439" s="236"/>
      <c r="I439" s="236"/>
      <c r="J439" s="236"/>
      <c r="K439" s="236"/>
      <c r="L439" s="236"/>
      <c r="M439" s="236"/>
      <c r="N439" s="236"/>
      <c r="O439" s="236"/>
      <c r="P439" s="236"/>
      <c r="Q439" s="236"/>
      <c r="R439" s="236"/>
      <c r="S439" s="236"/>
      <c r="T439" s="236"/>
      <c r="U439" s="236"/>
      <c r="V439" s="239"/>
      <c r="W439" s="236"/>
      <c r="X439" s="236"/>
    </row>
    <row r="440">
      <c r="A440" s="236"/>
      <c r="B440" s="236"/>
      <c r="C440" s="236"/>
      <c r="D440" s="238"/>
      <c r="E440" s="245"/>
      <c r="F440" s="246"/>
      <c r="G440" s="246"/>
      <c r="H440" s="236"/>
      <c r="I440" s="236"/>
      <c r="J440" s="236"/>
      <c r="K440" s="236"/>
      <c r="L440" s="236"/>
      <c r="M440" s="236"/>
      <c r="N440" s="236"/>
      <c r="O440" s="236"/>
      <c r="P440" s="236"/>
      <c r="Q440" s="236"/>
      <c r="R440" s="236"/>
      <c r="S440" s="236"/>
      <c r="T440" s="236"/>
      <c r="U440" s="236"/>
      <c r="V440" s="239"/>
      <c r="W440" s="236"/>
      <c r="X440" s="236"/>
    </row>
    <row r="441">
      <c r="A441" s="236"/>
      <c r="B441" s="236"/>
      <c r="C441" s="236"/>
      <c r="D441" s="238"/>
      <c r="E441" s="245"/>
      <c r="F441" s="246"/>
      <c r="G441" s="246"/>
      <c r="H441" s="236"/>
      <c r="I441" s="236"/>
      <c r="J441" s="236"/>
      <c r="K441" s="236"/>
      <c r="L441" s="236"/>
      <c r="M441" s="236"/>
      <c r="N441" s="236"/>
      <c r="O441" s="236"/>
      <c r="P441" s="236"/>
      <c r="Q441" s="236"/>
      <c r="R441" s="236"/>
      <c r="S441" s="236"/>
      <c r="T441" s="236"/>
      <c r="U441" s="236"/>
      <c r="V441" s="239"/>
      <c r="W441" s="236"/>
      <c r="X441" s="236"/>
    </row>
    <row r="442">
      <c r="A442" s="236"/>
      <c r="B442" s="236"/>
      <c r="C442" s="236"/>
      <c r="D442" s="238"/>
      <c r="E442" s="245"/>
      <c r="F442" s="246"/>
      <c r="G442" s="246"/>
      <c r="H442" s="236"/>
      <c r="I442" s="236"/>
      <c r="J442" s="236"/>
      <c r="K442" s="236"/>
      <c r="L442" s="236"/>
      <c r="M442" s="236"/>
      <c r="N442" s="236"/>
      <c r="O442" s="236"/>
      <c r="P442" s="236"/>
      <c r="Q442" s="236"/>
      <c r="R442" s="236"/>
      <c r="S442" s="236"/>
      <c r="T442" s="236"/>
      <c r="U442" s="236"/>
      <c r="V442" s="239"/>
      <c r="W442" s="236"/>
      <c r="X442" s="236"/>
    </row>
    <row r="443">
      <c r="A443" s="236"/>
      <c r="B443" s="236"/>
      <c r="C443" s="236"/>
      <c r="D443" s="238"/>
      <c r="E443" s="245"/>
      <c r="F443" s="246"/>
      <c r="G443" s="246"/>
      <c r="H443" s="236"/>
      <c r="I443" s="236"/>
      <c r="J443" s="236"/>
      <c r="K443" s="236"/>
      <c r="L443" s="236"/>
      <c r="M443" s="236"/>
      <c r="N443" s="236"/>
      <c r="O443" s="236"/>
      <c r="P443" s="236"/>
      <c r="Q443" s="236"/>
      <c r="R443" s="236"/>
      <c r="S443" s="236"/>
      <c r="T443" s="236"/>
      <c r="U443" s="236"/>
      <c r="V443" s="239"/>
      <c r="W443" s="236"/>
      <c r="X443" s="236"/>
    </row>
    <row r="444">
      <c r="A444" s="236"/>
      <c r="B444" s="236"/>
      <c r="C444" s="236"/>
      <c r="D444" s="238"/>
      <c r="E444" s="245"/>
      <c r="F444" s="246"/>
      <c r="G444" s="246"/>
      <c r="H444" s="236"/>
      <c r="I444" s="236"/>
      <c r="J444" s="236"/>
      <c r="K444" s="236"/>
      <c r="L444" s="236"/>
      <c r="M444" s="236"/>
      <c r="N444" s="236"/>
      <c r="O444" s="236"/>
      <c r="P444" s="236"/>
      <c r="Q444" s="236"/>
      <c r="R444" s="236"/>
      <c r="S444" s="236"/>
      <c r="T444" s="236"/>
      <c r="U444" s="236"/>
      <c r="V444" s="239"/>
      <c r="W444" s="236"/>
      <c r="X444" s="236"/>
    </row>
    <row r="445">
      <c r="A445" s="236"/>
      <c r="B445" s="236"/>
      <c r="C445" s="236"/>
      <c r="D445" s="238"/>
      <c r="E445" s="245"/>
      <c r="F445" s="246"/>
      <c r="G445" s="246"/>
      <c r="H445" s="236"/>
      <c r="I445" s="236"/>
      <c r="J445" s="236"/>
      <c r="K445" s="236"/>
      <c r="L445" s="236"/>
      <c r="M445" s="236"/>
      <c r="N445" s="236"/>
      <c r="O445" s="236"/>
      <c r="P445" s="236"/>
      <c r="Q445" s="236"/>
      <c r="R445" s="236"/>
      <c r="S445" s="236"/>
      <c r="T445" s="236"/>
      <c r="U445" s="236"/>
      <c r="V445" s="239"/>
      <c r="W445" s="236"/>
      <c r="X445" s="236"/>
    </row>
    <row r="446">
      <c r="A446" s="236"/>
      <c r="B446" s="236"/>
      <c r="C446" s="236"/>
      <c r="D446" s="238"/>
      <c r="E446" s="245"/>
      <c r="F446" s="246"/>
      <c r="G446" s="246"/>
      <c r="H446" s="236"/>
      <c r="I446" s="236"/>
      <c r="J446" s="236"/>
      <c r="K446" s="236"/>
      <c r="L446" s="236"/>
      <c r="M446" s="236"/>
      <c r="N446" s="236"/>
      <c r="O446" s="236"/>
      <c r="P446" s="236"/>
      <c r="Q446" s="236"/>
      <c r="R446" s="236"/>
      <c r="S446" s="236"/>
      <c r="T446" s="236"/>
      <c r="U446" s="236"/>
      <c r="V446" s="239"/>
      <c r="W446" s="236"/>
      <c r="X446" s="236"/>
    </row>
    <row r="447">
      <c r="A447" s="236"/>
      <c r="B447" s="236"/>
      <c r="C447" s="236"/>
      <c r="D447" s="238"/>
      <c r="E447" s="245"/>
      <c r="F447" s="246"/>
      <c r="G447" s="246"/>
      <c r="H447" s="236"/>
      <c r="I447" s="236"/>
      <c r="J447" s="236"/>
      <c r="K447" s="236"/>
      <c r="L447" s="236"/>
      <c r="M447" s="236"/>
      <c r="N447" s="236"/>
      <c r="O447" s="236"/>
      <c r="P447" s="236"/>
      <c r="Q447" s="236"/>
      <c r="R447" s="236"/>
      <c r="S447" s="236"/>
      <c r="T447" s="236"/>
      <c r="U447" s="236"/>
      <c r="V447" s="239"/>
      <c r="W447" s="236"/>
      <c r="X447" s="236"/>
    </row>
    <row r="448">
      <c r="A448" s="236"/>
      <c r="B448" s="236"/>
      <c r="C448" s="236"/>
      <c r="D448" s="238"/>
      <c r="E448" s="245"/>
      <c r="F448" s="246"/>
      <c r="G448" s="246"/>
      <c r="H448" s="236"/>
      <c r="I448" s="236"/>
      <c r="J448" s="236"/>
      <c r="K448" s="236"/>
      <c r="L448" s="236"/>
      <c r="M448" s="236"/>
      <c r="N448" s="236"/>
      <c r="O448" s="236"/>
      <c r="P448" s="236"/>
      <c r="Q448" s="236"/>
      <c r="R448" s="236"/>
      <c r="S448" s="236"/>
      <c r="T448" s="236"/>
      <c r="U448" s="236"/>
      <c r="V448" s="239"/>
      <c r="W448" s="236"/>
      <c r="X448" s="236"/>
    </row>
    <row r="449">
      <c r="A449" s="236"/>
      <c r="B449" s="236"/>
      <c r="C449" s="236"/>
      <c r="D449" s="238"/>
      <c r="E449" s="245"/>
      <c r="F449" s="246"/>
      <c r="G449" s="246"/>
      <c r="H449" s="236"/>
      <c r="I449" s="236"/>
      <c r="J449" s="236"/>
      <c r="K449" s="236"/>
      <c r="L449" s="236"/>
      <c r="M449" s="236"/>
      <c r="N449" s="236"/>
      <c r="O449" s="236"/>
      <c r="P449" s="236"/>
      <c r="Q449" s="236"/>
      <c r="R449" s="236"/>
      <c r="S449" s="236"/>
      <c r="T449" s="236"/>
      <c r="U449" s="236"/>
      <c r="V449" s="239"/>
      <c r="W449" s="236"/>
      <c r="X449" s="236"/>
    </row>
    <row r="450">
      <c r="A450" s="236"/>
      <c r="B450" s="236"/>
      <c r="C450" s="236"/>
      <c r="D450" s="238"/>
      <c r="E450" s="245"/>
      <c r="F450" s="246"/>
      <c r="G450" s="246"/>
      <c r="H450" s="236"/>
      <c r="I450" s="236"/>
      <c r="J450" s="236"/>
      <c r="K450" s="236"/>
      <c r="L450" s="236"/>
      <c r="M450" s="236"/>
      <c r="N450" s="236"/>
      <c r="O450" s="236"/>
      <c r="P450" s="236"/>
      <c r="Q450" s="236"/>
      <c r="R450" s="236"/>
      <c r="S450" s="236"/>
      <c r="T450" s="236"/>
      <c r="U450" s="236"/>
      <c r="V450" s="239"/>
      <c r="W450" s="236"/>
      <c r="X450" s="236"/>
    </row>
    <row r="451">
      <c r="A451" s="236"/>
      <c r="B451" s="236"/>
      <c r="C451" s="236"/>
      <c r="D451" s="238"/>
      <c r="E451" s="245"/>
      <c r="F451" s="246"/>
      <c r="G451" s="246"/>
      <c r="H451" s="236"/>
      <c r="I451" s="236"/>
      <c r="J451" s="236"/>
      <c r="K451" s="236"/>
      <c r="L451" s="236"/>
      <c r="M451" s="236"/>
      <c r="N451" s="236"/>
      <c r="O451" s="236"/>
      <c r="P451" s="236"/>
      <c r="Q451" s="236"/>
      <c r="R451" s="236"/>
      <c r="S451" s="236"/>
      <c r="T451" s="236"/>
      <c r="U451" s="236"/>
      <c r="V451" s="239"/>
      <c r="W451" s="236"/>
      <c r="X451" s="236"/>
    </row>
    <row r="452">
      <c r="A452" s="236"/>
      <c r="B452" s="236"/>
      <c r="C452" s="236"/>
      <c r="D452" s="238"/>
      <c r="E452" s="245"/>
      <c r="F452" s="246"/>
      <c r="G452" s="246"/>
      <c r="H452" s="236"/>
      <c r="I452" s="236"/>
      <c r="J452" s="236"/>
      <c r="K452" s="236"/>
      <c r="L452" s="236"/>
      <c r="M452" s="236"/>
      <c r="N452" s="236"/>
      <c r="O452" s="236"/>
      <c r="P452" s="236"/>
      <c r="Q452" s="236"/>
      <c r="R452" s="236"/>
      <c r="S452" s="236"/>
      <c r="T452" s="236"/>
      <c r="U452" s="236"/>
      <c r="V452" s="239"/>
      <c r="W452" s="236"/>
      <c r="X452" s="236"/>
    </row>
    <row r="453">
      <c r="A453" s="236"/>
      <c r="B453" s="236"/>
      <c r="C453" s="236"/>
      <c r="D453" s="238"/>
      <c r="E453" s="245"/>
      <c r="F453" s="246"/>
      <c r="G453" s="246"/>
      <c r="H453" s="236"/>
      <c r="I453" s="236"/>
      <c r="J453" s="236"/>
      <c r="K453" s="236"/>
      <c r="L453" s="236"/>
      <c r="M453" s="236"/>
      <c r="N453" s="236"/>
      <c r="O453" s="236"/>
      <c r="P453" s="236"/>
      <c r="Q453" s="236"/>
      <c r="R453" s="236"/>
      <c r="S453" s="236"/>
      <c r="T453" s="236"/>
      <c r="U453" s="236"/>
      <c r="V453" s="239"/>
      <c r="W453" s="236"/>
      <c r="X453" s="236"/>
    </row>
    <row r="454">
      <c r="A454" s="236"/>
      <c r="B454" s="236"/>
      <c r="C454" s="236"/>
      <c r="D454" s="238"/>
      <c r="E454" s="245"/>
      <c r="F454" s="246"/>
      <c r="G454" s="246"/>
      <c r="H454" s="236"/>
      <c r="I454" s="236"/>
      <c r="J454" s="236"/>
      <c r="K454" s="236"/>
      <c r="L454" s="236"/>
      <c r="M454" s="236"/>
      <c r="N454" s="236"/>
      <c r="O454" s="236"/>
      <c r="P454" s="236"/>
      <c r="Q454" s="236"/>
      <c r="R454" s="236"/>
      <c r="S454" s="236"/>
      <c r="T454" s="236"/>
      <c r="U454" s="236"/>
      <c r="V454" s="239"/>
      <c r="W454" s="236"/>
      <c r="X454" s="236"/>
    </row>
    <row r="455">
      <c r="A455" s="236"/>
      <c r="B455" s="236"/>
      <c r="C455" s="236"/>
      <c r="D455" s="238"/>
      <c r="E455" s="245"/>
      <c r="F455" s="246"/>
      <c r="G455" s="246"/>
      <c r="H455" s="236"/>
      <c r="I455" s="236"/>
      <c r="J455" s="236"/>
      <c r="K455" s="236"/>
      <c r="L455" s="236"/>
      <c r="M455" s="236"/>
      <c r="N455" s="236"/>
      <c r="O455" s="236"/>
      <c r="P455" s="236"/>
      <c r="Q455" s="236"/>
      <c r="R455" s="236"/>
      <c r="S455" s="236"/>
      <c r="T455" s="236"/>
      <c r="U455" s="236"/>
      <c r="V455" s="239"/>
      <c r="W455" s="236"/>
      <c r="X455" s="236"/>
    </row>
    <row r="456">
      <c r="A456" s="236"/>
      <c r="B456" s="236"/>
      <c r="C456" s="236"/>
      <c r="D456" s="238"/>
      <c r="E456" s="245"/>
      <c r="F456" s="246"/>
      <c r="G456" s="246"/>
      <c r="H456" s="236"/>
      <c r="I456" s="236"/>
      <c r="J456" s="236"/>
      <c r="K456" s="236"/>
      <c r="L456" s="236"/>
      <c r="M456" s="236"/>
      <c r="N456" s="236"/>
      <c r="O456" s="236"/>
      <c r="P456" s="236"/>
      <c r="Q456" s="236"/>
      <c r="R456" s="236"/>
      <c r="S456" s="236"/>
      <c r="T456" s="236"/>
      <c r="U456" s="236"/>
      <c r="V456" s="239"/>
      <c r="W456" s="236"/>
      <c r="X456" s="236"/>
    </row>
    <row r="457">
      <c r="A457" s="236"/>
      <c r="B457" s="236"/>
      <c r="C457" s="236"/>
      <c r="D457" s="238"/>
      <c r="E457" s="245"/>
      <c r="F457" s="246"/>
      <c r="G457" s="246"/>
      <c r="H457" s="236"/>
      <c r="I457" s="236"/>
      <c r="J457" s="236"/>
      <c r="K457" s="236"/>
      <c r="L457" s="236"/>
      <c r="M457" s="236"/>
      <c r="N457" s="236"/>
      <c r="O457" s="236"/>
      <c r="P457" s="236"/>
      <c r="Q457" s="236"/>
      <c r="R457" s="236"/>
      <c r="S457" s="236"/>
      <c r="T457" s="236"/>
      <c r="U457" s="236"/>
      <c r="V457" s="239"/>
      <c r="W457" s="236"/>
      <c r="X457" s="236"/>
    </row>
    <row r="458">
      <c r="A458" s="236"/>
      <c r="B458" s="236"/>
      <c r="C458" s="236"/>
      <c r="D458" s="238"/>
      <c r="E458" s="245"/>
      <c r="F458" s="246"/>
      <c r="G458" s="246"/>
      <c r="H458" s="236"/>
      <c r="I458" s="236"/>
      <c r="J458" s="236"/>
      <c r="K458" s="236"/>
      <c r="L458" s="236"/>
      <c r="M458" s="236"/>
      <c r="N458" s="236"/>
      <c r="O458" s="236"/>
      <c r="P458" s="236"/>
      <c r="Q458" s="236"/>
      <c r="R458" s="236"/>
      <c r="S458" s="236"/>
      <c r="T458" s="236"/>
      <c r="U458" s="236"/>
      <c r="V458" s="239"/>
      <c r="W458" s="236"/>
      <c r="X458" s="236"/>
    </row>
    <row r="459">
      <c r="A459" s="236"/>
      <c r="B459" s="236"/>
      <c r="C459" s="236"/>
      <c r="D459" s="238"/>
      <c r="E459" s="245"/>
      <c r="F459" s="246"/>
      <c r="G459" s="246"/>
      <c r="H459" s="236"/>
      <c r="I459" s="236"/>
      <c r="J459" s="236"/>
      <c r="K459" s="236"/>
      <c r="L459" s="236"/>
      <c r="M459" s="236"/>
      <c r="N459" s="236"/>
      <c r="O459" s="236"/>
      <c r="P459" s="236"/>
      <c r="Q459" s="236"/>
      <c r="R459" s="236"/>
      <c r="S459" s="236"/>
      <c r="T459" s="236"/>
      <c r="U459" s="236"/>
      <c r="V459" s="239"/>
      <c r="W459" s="236"/>
      <c r="X459" s="236"/>
    </row>
    <row r="460">
      <c r="A460" s="236"/>
      <c r="B460" s="236"/>
      <c r="C460" s="236"/>
      <c r="D460" s="238"/>
      <c r="E460" s="245"/>
      <c r="F460" s="246"/>
      <c r="G460" s="246"/>
      <c r="H460" s="236"/>
      <c r="I460" s="236"/>
      <c r="J460" s="236"/>
      <c r="K460" s="236"/>
      <c r="L460" s="236"/>
      <c r="M460" s="236"/>
      <c r="N460" s="236"/>
      <c r="O460" s="236"/>
      <c r="P460" s="236"/>
      <c r="Q460" s="236"/>
      <c r="R460" s="236"/>
      <c r="S460" s="236"/>
      <c r="T460" s="236"/>
      <c r="U460" s="236"/>
      <c r="V460" s="239"/>
      <c r="W460" s="236"/>
      <c r="X460" s="236"/>
    </row>
    <row r="461">
      <c r="A461" s="236"/>
      <c r="B461" s="236"/>
      <c r="C461" s="236"/>
      <c r="D461" s="238"/>
      <c r="E461" s="245"/>
      <c r="F461" s="246"/>
      <c r="G461" s="246"/>
      <c r="H461" s="236"/>
      <c r="I461" s="236"/>
      <c r="J461" s="236"/>
      <c r="K461" s="236"/>
      <c r="L461" s="236"/>
      <c r="M461" s="236"/>
      <c r="N461" s="236"/>
      <c r="O461" s="236"/>
      <c r="P461" s="236"/>
      <c r="Q461" s="236"/>
      <c r="R461" s="236"/>
      <c r="S461" s="236"/>
      <c r="T461" s="236"/>
      <c r="U461" s="236"/>
      <c r="V461" s="239"/>
      <c r="W461" s="236"/>
      <c r="X461" s="236"/>
    </row>
    <row r="462">
      <c r="A462" s="236"/>
      <c r="B462" s="236"/>
      <c r="C462" s="236"/>
      <c r="D462" s="238"/>
      <c r="E462" s="245"/>
      <c r="F462" s="246"/>
      <c r="G462" s="246"/>
      <c r="H462" s="236"/>
      <c r="I462" s="236"/>
      <c r="J462" s="236"/>
      <c r="K462" s="236"/>
      <c r="L462" s="236"/>
      <c r="M462" s="236"/>
      <c r="N462" s="236"/>
      <c r="O462" s="236"/>
      <c r="P462" s="236"/>
      <c r="Q462" s="236"/>
      <c r="R462" s="236"/>
      <c r="S462" s="236"/>
      <c r="T462" s="236"/>
      <c r="U462" s="236"/>
      <c r="V462" s="239"/>
      <c r="W462" s="236"/>
      <c r="X462" s="236"/>
    </row>
    <row r="463">
      <c r="A463" s="236"/>
      <c r="B463" s="236"/>
      <c r="C463" s="236"/>
      <c r="D463" s="238"/>
      <c r="E463" s="245"/>
      <c r="F463" s="246"/>
      <c r="G463" s="246"/>
      <c r="H463" s="236"/>
      <c r="I463" s="236"/>
      <c r="J463" s="236"/>
      <c r="K463" s="236"/>
      <c r="L463" s="236"/>
      <c r="M463" s="236"/>
      <c r="N463" s="236"/>
      <c r="O463" s="236"/>
      <c r="P463" s="236"/>
      <c r="Q463" s="236"/>
      <c r="R463" s="236"/>
      <c r="S463" s="236"/>
      <c r="T463" s="236"/>
      <c r="U463" s="236"/>
      <c r="V463" s="239"/>
      <c r="W463" s="236"/>
      <c r="X463" s="236"/>
    </row>
    <row r="464">
      <c r="A464" s="236"/>
      <c r="B464" s="236"/>
      <c r="C464" s="236"/>
      <c r="D464" s="238"/>
      <c r="E464" s="245"/>
      <c r="F464" s="246"/>
      <c r="G464" s="246"/>
      <c r="H464" s="236"/>
      <c r="I464" s="236"/>
      <c r="J464" s="236"/>
      <c r="K464" s="236"/>
      <c r="L464" s="236"/>
      <c r="M464" s="236"/>
      <c r="N464" s="236"/>
      <c r="O464" s="236"/>
      <c r="P464" s="236"/>
      <c r="Q464" s="236"/>
      <c r="R464" s="236"/>
      <c r="S464" s="236"/>
      <c r="T464" s="236"/>
      <c r="U464" s="236"/>
      <c r="V464" s="239"/>
      <c r="W464" s="236"/>
      <c r="X464" s="236"/>
    </row>
    <row r="465">
      <c r="A465" s="236"/>
      <c r="B465" s="236"/>
      <c r="C465" s="236"/>
      <c r="D465" s="238"/>
      <c r="E465" s="245"/>
      <c r="F465" s="246"/>
      <c r="G465" s="246"/>
      <c r="H465" s="236"/>
      <c r="I465" s="236"/>
      <c r="J465" s="236"/>
      <c r="K465" s="236"/>
      <c r="L465" s="236"/>
      <c r="M465" s="236"/>
      <c r="N465" s="236"/>
      <c r="O465" s="236"/>
      <c r="P465" s="236"/>
      <c r="Q465" s="236"/>
      <c r="R465" s="236"/>
      <c r="S465" s="236"/>
      <c r="T465" s="236"/>
      <c r="U465" s="236"/>
      <c r="V465" s="239"/>
      <c r="W465" s="236"/>
      <c r="X465" s="236"/>
    </row>
    <row r="466">
      <c r="A466" s="236"/>
      <c r="B466" s="236"/>
      <c r="C466" s="236"/>
      <c r="D466" s="238"/>
      <c r="E466" s="245"/>
      <c r="F466" s="246"/>
      <c r="G466" s="246"/>
      <c r="H466" s="236"/>
      <c r="I466" s="236"/>
      <c r="J466" s="236"/>
      <c r="K466" s="236"/>
      <c r="L466" s="236"/>
      <c r="M466" s="236"/>
      <c r="N466" s="236"/>
      <c r="O466" s="236"/>
      <c r="P466" s="236"/>
      <c r="Q466" s="236"/>
      <c r="R466" s="236"/>
      <c r="S466" s="236"/>
      <c r="T466" s="236"/>
      <c r="U466" s="236"/>
      <c r="V466" s="239"/>
      <c r="W466" s="236"/>
      <c r="X466" s="236"/>
    </row>
    <row r="467">
      <c r="A467" s="236"/>
      <c r="B467" s="236"/>
      <c r="C467" s="236"/>
      <c r="D467" s="238"/>
      <c r="E467" s="245"/>
      <c r="F467" s="246"/>
      <c r="G467" s="246"/>
      <c r="H467" s="236"/>
      <c r="I467" s="236"/>
      <c r="J467" s="236"/>
      <c r="K467" s="236"/>
      <c r="L467" s="236"/>
      <c r="M467" s="236"/>
      <c r="N467" s="236"/>
      <c r="O467" s="236"/>
      <c r="P467" s="236"/>
      <c r="Q467" s="236"/>
      <c r="R467" s="236"/>
      <c r="S467" s="236"/>
      <c r="T467" s="236"/>
      <c r="U467" s="236"/>
      <c r="V467" s="239"/>
      <c r="W467" s="236"/>
      <c r="X467" s="236"/>
    </row>
    <row r="468">
      <c r="A468" s="236"/>
      <c r="B468" s="236"/>
      <c r="C468" s="236"/>
      <c r="D468" s="238"/>
      <c r="E468" s="245"/>
      <c r="F468" s="246"/>
      <c r="G468" s="246"/>
      <c r="H468" s="236"/>
      <c r="I468" s="236"/>
      <c r="J468" s="236"/>
      <c r="K468" s="236"/>
      <c r="L468" s="236"/>
      <c r="M468" s="236"/>
      <c r="N468" s="236"/>
      <c r="O468" s="236"/>
      <c r="P468" s="236"/>
      <c r="Q468" s="236"/>
      <c r="R468" s="236"/>
      <c r="S468" s="236"/>
      <c r="T468" s="236"/>
      <c r="U468" s="236"/>
      <c r="V468" s="239"/>
      <c r="W468" s="236"/>
      <c r="X468" s="236"/>
    </row>
    <row r="469">
      <c r="A469" s="236"/>
      <c r="B469" s="236"/>
      <c r="C469" s="236"/>
      <c r="D469" s="238"/>
      <c r="E469" s="245"/>
      <c r="F469" s="246"/>
      <c r="G469" s="246"/>
      <c r="H469" s="236"/>
      <c r="I469" s="236"/>
      <c r="J469" s="236"/>
      <c r="K469" s="236"/>
      <c r="L469" s="236"/>
      <c r="M469" s="236"/>
      <c r="N469" s="236"/>
      <c r="O469" s="236"/>
      <c r="P469" s="236"/>
      <c r="Q469" s="236"/>
      <c r="R469" s="236"/>
      <c r="S469" s="236"/>
      <c r="T469" s="236"/>
      <c r="U469" s="236"/>
      <c r="V469" s="239"/>
      <c r="W469" s="236"/>
      <c r="X469" s="236"/>
    </row>
    <row r="470">
      <c r="A470" s="236"/>
      <c r="B470" s="236"/>
      <c r="C470" s="236"/>
      <c r="D470" s="238"/>
      <c r="E470" s="245"/>
      <c r="F470" s="246"/>
      <c r="G470" s="246"/>
      <c r="H470" s="236"/>
      <c r="I470" s="236"/>
      <c r="J470" s="236"/>
      <c r="K470" s="236"/>
      <c r="L470" s="236"/>
      <c r="M470" s="236"/>
      <c r="N470" s="236"/>
      <c r="O470" s="236"/>
      <c r="P470" s="236"/>
      <c r="Q470" s="236"/>
      <c r="R470" s="236"/>
      <c r="S470" s="236"/>
      <c r="T470" s="236"/>
      <c r="U470" s="236"/>
      <c r="V470" s="239"/>
      <c r="W470" s="236"/>
      <c r="X470" s="236"/>
    </row>
    <row r="471">
      <c r="A471" s="236"/>
      <c r="B471" s="236"/>
      <c r="C471" s="236"/>
      <c r="D471" s="238"/>
      <c r="E471" s="245"/>
      <c r="F471" s="246"/>
      <c r="G471" s="246"/>
      <c r="H471" s="236"/>
      <c r="I471" s="236"/>
      <c r="J471" s="236"/>
      <c r="K471" s="236"/>
      <c r="L471" s="236"/>
      <c r="M471" s="236"/>
      <c r="N471" s="236"/>
      <c r="O471" s="236"/>
      <c r="P471" s="236"/>
      <c r="Q471" s="236"/>
      <c r="R471" s="236"/>
      <c r="S471" s="236"/>
      <c r="T471" s="236"/>
      <c r="U471" s="236"/>
      <c r="V471" s="239"/>
      <c r="W471" s="236"/>
      <c r="X471" s="236"/>
    </row>
    <row r="472">
      <c r="A472" s="236"/>
      <c r="B472" s="236"/>
      <c r="C472" s="236"/>
      <c r="D472" s="238"/>
      <c r="E472" s="245"/>
      <c r="F472" s="246"/>
      <c r="G472" s="246"/>
      <c r="H472" s="236"/>
      <c r="I472" s="236"/>
      <c r="J472" s="236"/>
      <c r="K472" s="236"/>
      <c r="L472" s="236"/>
      <c r="M472" s="236"/>
      <c r="N472" s="236"/>
      <c r="O472" s="236"/>
      <c r="P472" s="236"/>
      <c r="Q472" s="236"/>
      <c r="R472" s="236"/>
      <c r="S472" s="236"/>
      <c r="T472" s="236"/>
      <c r="U472" s="236"/>
      <c r="V472" s="239"/>
      <c r="W472" s="236"/>
      <c r="X472" s="236"/>
    </row>
    <row r="473">
      <c r="A473" s="236"/>
      <c r="B473" s="236"/>
      <c r="C473" s="236"/>
      <c r="D473" s="238"/>
      <c r="E473" s="245"/>
      <c r="F473" s="246"/>
      <c r="G473" s="246"/>
      <c r="H473" s="236"/>
      <c r="I473" s="236"/>
      <c r="J473" s="236"/>
      <c r="K473" s="236"/>
      <c r="L473" s="236"/>
      <c r="M473" s="236"/>
      <c r="N473" s="236"/>
      <c r="O473" s="236"/>
      <c r="P473" s="236"/>
      <c r="Q473" s="236"/>
      <c r="R473" s="236"/>
      <c r="S473" s="236"/>
      <c r="T473" s="236"/>
      <c r="U473" s="236"/>
      <c r="V473" s="239"/>
      <c r="W473" s="236"/>
      <c r="X473" s="236"/>
    </row>
    <row r="474">
      <c r="A474" s="236"/>
      <c r="B474" s="236"/>
      <c r="C474" s="236"/>
      <c r="D474" s="238"/>
      <c r="E474" s="245"/>
      <c r="F474" s="246"/>
      <c r="G474" s="246"/>
      <c r="H474" s="236"/>
      <c r="I474" s="236"/>
      <c r="J474" s="236"/>
      <c r="K474" s="236"/>
      <c r="L474" s="236"/>
      <c r="M474" s="236"/>
      <c r="N474" s="236"/>
      <c r="O474" s="236"/>
      <c r="P474" s="236"/>
      <c r="Q474" s="236"/>
      <c r="R474" s="236"/>
      <c r="S474" s="236"/>
      <c r="T474" s="236"/>
      <c r="U474" s="236"/>
      <c r="V474" s="239"/>
      <c r="W474" s="236"/>
      <c r="X474" s="236"/>
    </row>
    <row r="475">
      <c r="A475" s="236"/>
      <c r="B475" s="236"/>
      <c r="C475" s="236"/>
      <c r="D475" s="238"/>
      <c r="E475" s="245"/>
      <c r="F475" s="246"/>
      <c r="G475" s="246"/>
      <c r="H475" s="236"/>
      <c r="I475" s="236"/>
      <c r="J475" s="236"/>
      <c r="K475" s="236"/>
      <c r="L475" s="236"/>
      <c r="M475" s="236"/>
      <c r="N475" s="236"/>
      <c r="O475" s="236"/>
      <c r="P475" s="236"/>
      <c r="Q475" s="236"/>
      <c r="R475" s="236"/>
      <c r="S475" s="236"/>
      <c r="T475" s="236"/>
      <c r="U475" s="236"/>
      <c r="V475" s="239"/>
      <c r="W475" s="236"/>
      <c r="X475" s="236"/>
    </row>
    <row r="476">
      <c r="A476" s="236"/>
      <c r="B476" s="236"/>
      <c r="C476" s="236"/>
      <c r="D476" s="238"/>
      <c r="E476" s="245"/>
      <c r="F476" s="246"/>
      <c r="G476" s="246"/>
      <c r="H476" s="236"/>
      <c r="I476" s="236"/>
      <c r="J476" s="236"/>
      <c r="K476" s="236"/>
      <c r="L476" s="236"/>
      <c r="M476" s="236"/>
      <c r="N476" s="236"/>
      <c r="O476" s="236"/>
      <c r="P476" s="236"/>
      <c r="Q476" s="236"/>
      <c r="R476" s="236"/>
      <c r="S476" s="236"/>
      <c r="T476" s="236"/>
      <c r="U476" s="236"/>
      <c r="V476" s="239"/>
      <c r="W476" s="236"/>
      <c r="X476" s="236"/>
    </row>
    <row r="477">
      <c r="A477" s="236"/>
      <c r="B477" s="236"/>
      <c r="C477" s="236"/>
      <c r="D477" s="238"/>
      <c r="E477" s="245"/>
      <c r="F477" s="246"/>
      <c r="G477" s="246"/>
      <c r="H477" s="236"/>
      <c r="I477" s="236"/>
      <c r="J477" s="236"/>
      <c r="K477" s="236"/>
      <c r="L477" s="236"/>
      <c r="M477" s="236"/>
      <c r="N477" s="236"/>
      <c r="O477" s="236"/>
      <c r="P477" s="236"/>
      <c r="Q477" s="236"/>
      <c r="R477" s="236"/>
      <c r="S477" s="236"/>
      <c r="T477" s="236"/>
      <c r="U477" s="236"/>
      <c r="V477" s="239"/>
      <c r="W477" s="236"/>
      <c r="X477" s="236"/>
    </row>
    <row r="478">
      <c r="A478" s="236"/>
      <c r="B478" s="236"/>
      <c r="C478" s="236"/>
      <c r="D478" s="238"/>
      <c r="E478" s="245"/>
      <c r="F478" s="246"/>
      <c r="G478" s="246"/>
      <c r="H478" s="236"/>
      <c r="I478" s="236"/>
      <c r="J478" s="236"/>
      <c r="K478" s="236"/>
      <c r="L478" s="236"/>
      <c r="M478" s="236"/>
      <c r="N478" s="236"/>
      <c r="O478" s="236"/>
      <c r="P478" s="236"/>
      <c r="Q478" s="236"/>
      <c r="R478" s="236"/>
      <c r="S478" s="236"/>
      <c r="T478" s="236"/>
      <c r="U478" s="236"/>
      <c r="V478" s="239"/>
      <c r="W478" s="236"/>
      <c r="X478" s="236"/>
    </row>
    <row r="479">
      <c r="A479" s="236"/>
      <c r="B479" s="236"/>
      <c r="C479" s="236"/>
      <c r="D479" s="238"/>
      <c r="E479" s="245"/>
      <c r="F479" s="246"/>
      <c r="G479" s="246"/>
      <c r="H479" s="236"/>
      <c r="I479" s="236"/>
      <c r="J479" s="236"/>
      <c r="K479" s="236"/>
      <c r="L479" s="236"/>
      <c r="M479" s="236"/>
      <c r="N479" s="236"/>
      <c r="O479" s="236"/>
      <c r="P479" s="236"/>
      <c r="Q479" s="236"/>
      <c r="R479" s="236"/>
      <c r="S479" s="236"/>
      <c r="T479" s="236"/>
      <c r="U479" s="236"/>
      <c r="V479" s="239"/>
      <c r="W479" s="236"/>
      <c r="X479" s="236"/>
    </row>
    <row r="480">
      <c r="A480" s="236"/>
      <c r="B480" s="236"/>
      <c r="C480" s="236"/>
      <c r="D480" s="238"/>
      <c r="E480" s="245"/>
      <c r="F480" s="246"/>
      <c r="G480" s="246"/>
      <c r="H480" s="236"/>
      <c r="I480" s="236"/>
      <c r="J480" s="236"/>
      <c r="K480" s="236"/>
      <c r="L480" s="236"/>
      <c r="M480" s="236"/>
      <c r="N480" s="236"/>
      <c r="O480" s="236"/>
      <c r="P480" s="236"/>
      <c r="Q480" s="236"/>
      <c r="R480" s="236"/>
      <c r="S480" s="236"/>
      <c r="T480" s="236"/>
      <c r="U480" s="236"/>
      <c r="V480" s="239"/>
      <c r="W480" s="236"/>
      <c r="X480" s="236"/>
    </row>
    <row r="481">
      <c r="A481" s="236"/>
      <c r="B481" s="236"/>
      <c r="C481" s="236"/>
      <c r="D481" s="238"/>
      <c r="E481" s="245"/>
      <c r="F481" s="246"/>
      <c r="G481" s="246"/>
      <c r="H481" s="236"/>
      <c r="I481" s="236"/>
      <c r="J481" s="236"/>
      <c r="K481" s="236"/>
      <c r="L481" s="236"/>
      <c r="M481" s="236"/>
      <c r="N481" s="236"/>
      <c r="O481" s="236"/>
      <c r="P481" s="236"/>
      <c r="Q481" s="236"/>
      <c r="R481" s="236"/>
      <c r="S481" s="236"/>
      <c r="T481" s="236"/>
      <c r="U481" s="236"/>
      <c r="V481" s="239"/>
      <c r="W481" s="236"/>
      <c r="X481" s="236"/>
    </row>
    <row r="482">
      <c r="A482" s="236"/>
      <c r="B482" s="236"/>
      <c r="C482" s="236"/>
      <c r="D482" s="238"/>
      <c r="E482" s="245"/>
      <c r="F482" s="246"/>
      <c r="G482" s="246"/>
      <c r="H482" s="236"/>
      <c r="I482" s="236"/>
      <c r="J482" s="236"/>
      <c r="K482" s="236"/>
      <c r="L482" s="236"/>
      <c r="M482" s="236"/>
      <c r="N482" s="236"/>
      <c r="O482" s="236"/>
      <c r="P482" s="236"/>
      <c r="Q482" s="236"/>
      <c r="R482" s="236"/>
      <c r="S482" s="236"/>
      <c r="T482" s="236"/>
      <c r="U482" s="236"/>
      <c r="V482" s="239"/>
      <c r="W482" s="236"/>
      <c r="X482" s="236"/>
    </row>
    <row r="483">
      <c r="A483" s="236"/>
      <c r="B483" s="236"/>
      <c r="C483" s="236"/>
      <c r="D483" s="238"/>
      <c r="E483" s="245"/>
      <c r="F483" s="246"/>
      <c r="G483" s="246"/>
      <c r="H483" s="236"/>
      <c r="I483" s="236"/>
      <c r="J483" s="236"/>
      <c r="K483" s="236"/>
      <c r="L483" s="236"/>
      <c r="M483" s="236"/>
      <c r="N483" s="236"/>
      <c r="O483" s="236"/>
      <c r="P483" s="236"/>
      <c r="Q483" s="236"/>
      <c r="R483" s="236"/>
      <c r="S483" s="236"/>
      <c r="T483" s="236"/>
      <c r="U483" s="236"/>
      <c r="V483" s="239"/>
      <c r="W483" s="236"/>
      <c r="X483" s="236"/>
    </row>
    <row r="484">
      <c r="A484" s="236"/>
      <c r="B484" s="236"/>
      <c r="C484" s="236"/>
      <c r="D484" s="238"/>
      <c r="E484" s="245"/>
      <c r="F484" s="246"/>
      <c r="G484" s="246"/>
      <c r="H484" s="236"/>
      <c r="I484" s="236"/>
      <c r="J484" s="236"/>
      <c r="K484" s="236"/>
      <c r="L484" s="236"/>
      <c r="M484" s="236"/>
      <c r="N484" s="236"/>
      <c r="O484" s="236"/>
      <c r="P484" s="236"/>
      <c r="Q484" s="236"/>
      <c r="R484" s="236"/>
      <c r="S484" s="236"/>
      <c r="T484" s="236"/>
      <c r="U484" s="236"/>
      <c r="V484" s="239"/>
      <c r="W484" s="236"/>
      <c r="X484" s="236"/>
    </row>
    <row r="485">
      <c r="A485" s="236"/>
      <c r="B485" s="236"/>
      <c r="C485" s="236"/>
      <c r="D485" s="238"/>
      <c r="E485" s="245"/>
      <c r="F485" s="246"/>
      <c r="G485" s="246"/>
      <c r="H485" s="236"/>
      <c r="I485" s="236"/>
      <c r="J485" s="236"/>
      <c r="K485" s="236"/>
      <c r="L485" s="236"/>
      <c r="M485" s="236"/>
      <c r="N485" s="236"/>
      <c r="O485" s="236"/>
      <c r="P485" s="236"/>
      <c r="Q485" s="236"/>
      <c r="R485" s="236"/>
      <c r="S485" s="236"/>
      <c r="T485" s="236"/>
      <c r="U485" s="236"/>
      <c r="V485" s="239"/>
      <c r="W485" s="236"/>
      <c r="X485" s="236"/>
    </row>
    <row r="486">
      <c r="A486" s="236"/>
      <c r="B486" s="236"/>
      <c r="C486" s="236"/>
      <c r="D486" s="238"/>
      <c r="E486" s="245"/>
      <c r="F486" s="246"/>
      <c r="G486" s="246"/>
      <c r="H486" s="236"/>
      <c r="I486" s="236"/>
      <c r="J486" s="236"/>
      <c r="K486" s="236"/>
      <c r="L486" s="236"/>
      <c r="M486" s="236"/>
      <c r="N486" s="236"/>
      <c r="O486" s="236"/>
      <c r="P486" s="236"/>
      <c r="Q486" s="236"/>
      <c r="R486" s="236"/>
      <c r="S486" s="236"/>
      <c r="T486" s="236"/>
      <c r="U486" s="236"/>
      <c r="V486" s="239"/>
      <c r="W486" s="236"/>
      <c r="X486" s="236"/>
    </row>
    <row r="487">
      <c r="A487" s="236"/>
      <c r="B487" s="236"/>
      <c r="C487" s="236"/>
      <c r="D487" s="238"/>
      <c r="E487" s="245"/>
      <c r="F487" s="246"/>
      <c r="G487" s="246"/>
      <c r="H487" s="236"/>
      <c r="I487" s="236"/>
      <c r="J487" s="236"/>
      <c r="K487" s="236"/>
      <c r="L487" s="236"/>
      <c r="M487" s="236"/>
      <c r="N487" s="236"/>
      <c r="O487" s="236"/>
      <c r="P487" s="236"/>
      <c r="Q487" s="236"/>
      <c r="R487" s="236"/>
      <c r="S487" s="236"/>
      <c r="T487" s="236"/>
      <c r="U487" s="236"/>
      <c r="V487" s="239"/>
      <c r="W487" s="236"/>
      <c r="X487" s="236"/>
    </row>
    <row r="488">
      <c r="A488" s="236"/>
      <c r="B488" s="236"/>
      <c r="C488" s="236"/>
      <c r="D488" s="238"/>
      <c r="E488" s="245"/>
      <c r="F488" s="246"/>
      <c r="G488" s="246"/>
      <c r="H488" s="236"/>
      <c r="I488" s="236"/>
      <c r="J488" s="236"/>
      <c r="K488" s="236"/>
      <c r="L488" s="236"/>
      <c r="M488" s="236"/>
      <c r="N488" s="236"/>
      <c r="O488" s="236"/>
      <c r="P488" s="236"/>
      <c r="Q488" s="236"/>
      <c r="R488" s="236"/>
      <c r="S488" s="236"/>
      <c r="T488" s="236"/>
      <c r="U488" s="236"/>
      <c r="V488" s="239"/>
      <c r="W488" s="236"/>
      <c r="X488" s="236"/>
    </row>
    <row r="489">
      <c r="A489" s="236"/>
      <c r="B489" s="236"/>
      <c r="C489" s="236"/>
      <c r="D489" s="238"/>
      <c r="E489" s="245"/>
      <c r="F489" s="246"/>
      <c r="G489" s="246"/>
      <c r="H489" s="236"/>
      <c r="I489" s="236"/>
      <c r="J489" s="236"/>
      <c r="K489" s="236"/>
      <c r="L489" s="236"/>
      <c r="M489" s="236"/>
      <c r="N489" s="236"/>
      <c r="O489" s="236"/>
      <c r="P489" s="236"/>
      <c r="Q489" s="236"/>
      <c r="R489" s="236"/>
      <c r="S489" s="236"/>
      <c r="T489" s="236"/>
      <c r="U489" s="236"/>
      <c r="V489" s="239"/>
      <c r="W489" s="236"/>
      <c r="X489" s="236"/>
    </row>
    <row r="490">
      <c r="A490" s="236"/>
      <c r="B490" s="236"/>
      <c r="C490" s="236"/>
      <c r="D490" s="238"/>
      <c r="E490" s="245"/>
      <c r="F490" s="246"/>
      <c r="G490" s="246"/>
      <c r="H490" s="236"/>
      <c r="I490" s="236"/>
      <c r="J490" s="236"/>
      <c r="K490" s="236"/>
      <c r="L490" s="236"/>
      <c r="M490" s="236"/>
      <c r="N490" s="236"/>
      <c r="O490" s="236"/>
      <c r="P490" s="236"/>
      <c r="Q490" s="236"/>
      <c r="R490" s="236"/>
      <c r="S490" s="236"/>
      <c r="T490" s="236"/>
      <c r="U490" s="236"/>
      <c r="V490" s="239"/>
      <c r="W490" s="236"/>
      <c r="X490" s="236"/>
    </row>
    <row r="491">
      <c r="A491" s="236"/>
      <c r="B491" s="236"/>
      <c r="C491" s="236"/>
      <c r="D491" s="238"/>
      <c r="E491" s="245"/>
      <c r="F491" s="246"/>
      <c r="G491" s="246"/>
      <c r="H491" s="236"/>
      <c r="I491" s="236"/>
      <c r="J491" s="236"/>
      <c r="K491" s="236"/>
      <c r="L491" s="236"/>
      <c r="M491" s="236"/>
      <c r="N491" s="236"/>
      <c r="O491" s="236"/>
      <c r="P491" s="236"/>
      <c r="Q491" s="236"/>
      <c r="R491" s="236"/>
      <c r="S491" s="236"/>
      <c r="T491" s="236"/>
      <c r="U491" s="236"/>
      <c r="V491" s="239"/>
      <c r="W491" s="236"/>
      <c r="X491" s="236"/>
    </row>
    <row r="492">
      <c r="A492" s="236"/>
      <c r="B492" s="236"/>
      <c r="C492" s="236"/>
      <c r="D492" s="238"/>
      <c r="E492" s="245"/>
      <c r="F492" s="246"/>
      <c r="G492" s="246"/>
      <c r="H492" s="236"/>
      <c r="I492" s="236"/>
      <c r="J492" s="236"/>
      <c r="K492" s="236"/>
      <c r="L492" s="236"/>
      <c r="M492" s="236"/>
      <c r="N492" s="236"/>
      <c r="O492" s="236"/>
      <c r="P492" s="236"/>
      <c r="Q492" s="236"/>
      <c r="R492" s="236"/>
      <c r="S492" s="236"/>
      <c r="T492" s="236"/>
      <c r="U492" s="236"/>
      <c r="V492" s="239"/>
      <c r="W492" s="236"/>
      <c r="X492" s="236"/>
    </row>
    <row r="493">
      <c r="A493" s="236"/>
      <c r="B493" s="236"/>
      <c r="C493" s="236"/>
      <c r="D493" s="238"/>
      <c r="E493" s="245"/>
      <c r="F493" s="246"/>
      <c r="G493" s="246"/>
      <c r="H493" s="236"/>
      <c r="I493" s="236"/>
      <c r="J493" s="236"/>
      <c r="K493" s="236"/>
      <c r="L493" s="236"/>
      <c r="M493" s="236"/>
      <c r="N493" s="236"/>
      <c r="O493" s="236"/>
      <c r="P493" s="236"/>
      <c r="Q493" s="236"/>
      <c r="R493" s="236"/>
      <c r="S493" s="236"/>
      <c r="T493" s="236"/>
      <c r="U493" s="236"/>
      <c r="V493" s="239"/>
      <c r="W493" s="236"/>
      <c r="X493" s="236"/>
    </row>
    <row r="494">
      <c r="A494" s="236"/>
      <c r="B494" s="236"/>
      <c r="C494" s="236"/>
      <c r="D494" s="238"/>
      <c r="E494" s="245"/>
      <c r="F494" s="246"/>
      <c r="G494" s="246"/>
      <c r="H494" s="236"/>
      <c r="I494" s="236"/>
      <c r="J494" s="236"/>
      <c r="K494" s="236"/>
      <c r="L494" s="236"/>
      <c r="M494" s="236"/>
      <c r="N494" s="236"/>
      <c r="O494" s="236"/>
      <c r="P494" s="236"/>
      <c r="Q494" s="236"/>
      <c r="R494" s="236"/>
      <c r="S494" s="236"/>
      <c r="T494" s="236"/>
      <c r="U494" s="236"/>
      <c r="V494" s="239"/>
      <c r="W494" s="236"/>
      <c r="X494" s="236"/>
    </row>
    <row r="495">
      <c r="A495" s="236"/>
      <c r="B495" s="236"/>
      <c r="C495" s="236"/>
      <c r="D495" s="238"/>
      <c r="E495" s="245"/>
      <c r="F495" s="246"/>
      <c r="G495" s="246"/>
      <c r="H495" s="236"/>
      <c r="I495" s="236"/>
      <c r="J495" s="236"/>
      <c r="K495" s="236"/>
      <c r="L495" s="236"/>
      <c r="M495" s="236"/>
      <c r="N495" s="236"/>
      <c r="O495" s="236"/>
      <c r="P495" s="236"/>
      <c r="Q495" s="236"/>
      <c r="R495" s="236"/>
      <c r="S495" s="236"/>
      <c r="T495" s="236"/>
      <c r="U495" s="236"/>
      <c r="V495" s="239"/>
      <c r="W495" s="236"/>
      <c r="X495" s="236"/>
    </row>
    <row r="496">
      <c r="A496" s="236"/>
      <c r="B496" s="236"/>
      <c r="C496" s="236"/>
      <c r="D496" s="238"/>
      <c r="E496" s="245"/>
      <c r="F496" s="246"/>
      <c r="G496" s="246"/>
      <c r="H496" s="236"/>
      <c r="I496" s="236"/>
      <c r="J496" s="236"/>
      <c r="K496" s="236"/>
      <c r="L496" s="236"/>
      <c r="M496" s="236"/>
      <c r="N496" s="236"/>
      <c r="O496" s="236"/>
      <c r="P496" s="236"/>
      <c r="Q496" s="236"/>
      <c r="R496" s="236"/>
      <c r="S496" s="236"/>
      <c r="T496" s="236"/>
      <c r="U496" s="236"/>
      <c r="V496" s="239"/>
      <c r="W496" s="236"/>
      <c r="X496" s="236"/>
    </row>
    <row r="497">
      <c r="A497" s="236"/>
      <c r="B497" s="236"/>
      <c r="C497" s="236"/>
      <c r="D497" s="238"/>
      <c r="E497" s="245"/>
      <c r="F497" s="246"/>
      <c r="G497" s="246"/>
      <c r="H497" s="236"/>
      <c r="I497" s="236"/>
      <c r="J497" s="236"/>
      <c r="K497" s="236"/>
      <c r="L497" s="236"/>
      <c r="M497" s="236"/>
      <c r="N497" s="236"/>
      <c r="O497" s="236"/>
      <c r="P497" s="236"/>
      <c r="Q497" s="236"/>
      <c r="R497" s="236"/>
      <c r="S497" s="236"/>
      <c r="T497" s="236"/>
      <c r="U497" s="236"/>
      <c r="V497" s="239"/>
      <c r="W497" s="236"/>
      <c r="X497" s="236"/>
    </row>
    <row r="498">
      <c r="A498" s="236"/>
      <c r="B498" s="236"/>
      <c r="C498" s="236"/>
      <c r="D498" s="238"/>
      <c r="E498" s="245"/>
      <c r="F498" s="246"/>
      <c r="G498" s="246"/>
      <c r="H498" s="236"/>
      <c r="I498" s="236"/>
      <c r="J498" s="236"/>
      <c r="K498" s="236"/>
      <c r="L498" s="236"/>
      <c r="M498" s="236"/>
      <c r="N498" s="236"/>
      <c r="O498" s="236"/>
      <c r="P498" s="236"/>
      <c r="Q498" s="236"/>
      <c r="R498" s="236"/>
      <c r="S498" s="236"/>
      <c r="T498" s="236"/>
      <c r="U498" s="236"/>
      <c r="V498" s="239"/>
      <c r="W498" s="236"/>
      <c r="X498" s="236"/>
    </row>
    <row r="499">
      <c r="A499" s="236"/>
      <c r="B499" s="236"/>
      <c r="C499" s="236"/>
      <c r="D499" s="238"/>
      <c r="E499" s="245"/>
      <c r="F499" s="246"/>
      <c r="G499" s="246"/>
      <c r="H499" s="236"/>
      <c r="I499" s="236"/>
      <c r="J499" s="236"/>
      <c r="K499" s="236"/>
      <c r="L499" s="236"/>
      <c r="M499" s="236"/>
      <c r="N499" s="236"/>
      <c r="O499" s="236"/>
      <c r="P499" s="236"/>
      <c r="Q499" s="236"/>
      <c r="R499" s="236"/>
      <c r="S499" s="236"/>
      <c r="T499" s="236"/>
      <c r="U499" s="236"/>
      <c r="V499" s="239"/>
      <c r="W499" s="236"/>
      <c r="X499" s="236"/>
    </row>
    <row r="500">
      <c r="A500" s="236"/>
      <c r="B500" s="236"/>
      <c r="C500" s="236"/>
      <c r="D500" s="238"/>
      <c r="E500" s="245"/>
      <c r="F500" s="246"/>
      <c r="G500" s="246"/>
      <c r="H500" s="236"/>
      <c r="I500" s="236"/>
      <c r="J500" s="236"/>
      <c r="K500" s="236"/>
      <c r="L500" s="236"/>
      <c r="M500" s="236"/>
      <c r="N500" s="236"/>
      <c r="O500" s="236"/>
      <c r="P500" s="236"/>
      <c r="Q500" s="236"/>
      <c r="R500" s="236"/>
      <c r="S500" s="236"/>
      <c r="T500" s="236"/>
      <c r="U500" s="236"/>
      <c r="V500" s="239"/>
      <c r="W500" s="236"/>
      <c r="X500" s="236"/>
    </row>
    <row r="501">
      <c r="A501" s="236"/>
      <c r="B501" s="236"/>
      <c r="C501" s="236"/>
      <c r="D501" s="238"/>
      <c r="E501" s="245"/>
      <c r="F501" s="246"/>
      <c r="G501" s="246"/>
      <c r="H501" s="236"/>
      <c r="I501" s="236"/>
      <c r="J501" s="236"/>
      <c r="K501" s="236"/>
      <c r="L501" s="236"/>
      <c r="M501" s="236"/>
      <c r="N501" s="236"/>
      <c r="O501" s="236"/>
      <c r="P501" s="236"/>
      <c r="Q501" s="236"/>
      <c r="R501" s="236"/>
      <c r="S501" s="236"/>
      <c r="T501" s="236"/>
      <c r="U501" s="236"/>
      <c r="V501" s="239"/>
      <c r="W501" s="236"/>
      <c r="X501" s="236"/>
    </row>
    <row r="502">
      <c r="A502" s="236"/>
      <c r="B502" s="236"/>
      <c r="C502" s="236"/>
      <c r="D502" s="238"/>
      <c r="E502" s="245"/>
      <c r="F502" s="246"/>
      <c r="G502" s="246"/>
      <c r="H502" s="236"/>
      <c r="I502" s="236"/>
      <c r="J502" s="236"/>
      <c r="K502" s="236"/>
      <c r="L502" s="236"/>
      <c r="M502" s="236"/>
      <c r="N502" s="236"/>
      <c r="O502" s="236"/>
      <c r="P502" s="236"/>
      <c r="Q502" s="236"/>
      <c r="R502" s="236"/>
      <c r="S502" s="236"/>
      <c r="T502" s="236"/>
      <c r="U502" s="236"/>
      <c r="V502" s="239"/>
      <c r="W502" s="236"/>
      <c r="X502" s="236"/>
    </row>
    <row r="503">
      <c r="A503" s="236"/>
      <c r="B503" s="236"/>
      <c r="C503" s="236"/>
      <c r="D503" s="238"/>
      <c r="E503" s="245"/>
      <c r="F503" s="246"/>
      <c r="G503" s="246"/>
      <c r="H503" s="236"/>
      <c r="I503" s="236"/>
      <c r="J503" s="236"/>
      <c r="K503" s="236"/>
      <c r="L503" s="236"/>
      <c r="M503" s="236"/>
      <c r="N503" s="236"/>
      <c r="O503" s="236"/>
      <c r="P503" s="236"/>
      <c r="Q503" s="236"/>
      <c r="R503" s="236"/>
      <c r="S503" s="236"/>
      <c r="T503" s="236"/>
      <c r="U503" s="236"/>
      <c r="V503" s="239"/>
      <c r="W503" s="236"/>
      <c r="X503" s="236"/>
    </row>
    <row r="504">
      <c r="A504" s="236"/>
      <c r="B504" s="236"/>
      <c r="C504" s="236"/>
      <c r="D504" s="238"/>
      <c r="E504" s="245"/>
      <c r="F504" s="246"/>
      <c r="G504" s="246"/>
      <c r="H504" s="236"/>
      <c r="I504" s="236"/>
      <c r="J504" s="236"/>
      <c r="K504" s="236"/>
      <c r="L504" s="236"/>
      <c r="M504" s="236"/>
      <c r="N504" s="236"/>
      <c r="O504" s="236"/>
      <c r="P504" s="236"/>
      <c r="Q504" s="236"/>
      <c r="R504" s="236"/>
      <c r="S504" s="236"/>
      <c r="T504" s="236"/>
      <c r="U504" s="236"/>
      <c r="V504" s="239"/>
      <c r="W504" s="236"/>
      <c r="X504" s="236"/>
    </row>
    <row r="505">
      <c r="A505" s="236"/>
      <c r="B505" s="236"/>
      <c r="C505" s="236"/>
      <c r="D505" s="238"/>
      <c r="E505" s="245"/>
      <c r="F505" s="246"/>
      <c r="G505" s="246"/>
      <c r="H505" s="236"/>
      <c r="I505" s="236"/>
      <c r="J505" s="236"/>
      <c r="K505" s="236"/>
      <c r="L505" s="236"/>
      <c r="M505" s="236"/>
      <c r="N505" s="236"/>
      <c r="O505" s="236"/>
      <c r="P505" s="236"/>
      <c r="Q505" s="236"/>
      <c r="R505" s="236"/>
      <c r="S505" s="236"/>
      <c r="T505" s="236"/>
      <c r="U505" s="236"/>
      <c r="V505" s="239"/>
      <c r="W505" s="236"/>
      <c r="X505" s="236"/>
    </row>
    <row r="506">
      <c r="A506" s="236"/>
      <c r="B506" s="236"/>
      <c r="C506" s="236"/>
      <c r="D506" s="238"/>
      <c r="E506" s="245"/>
      <c r="F506" s="246"/>
      <c r="G506" s="246"/>
      <c r="H506" s="236"/>
      <c r="I506" s="236"/>
      <c r="J506" s="236"/>
      <c r="K506" s="236"/>
      <c r="L506" s="236"/>
      <c r="M506" s="236"/>
      <c r="N506" s="236"/>
      <c r="O506" s="236"/>
      <c r="P506" s="236"/>
      <c r="Q506" s="236"/>
      <c r="R506" s="236"/>
      <c r="S506" s="236"/>
      <c r="T506" s="236"/>
      <c r="U506" s="236"/>
      <c r="V506" s="239"/>
      <c r="W506" s="236"/>
      <c r="X506" s="236"/>
    </row>
    <row r="507">
      <c r="A507" s="236"/>
      <c r="B507" s="236"/>
      <c r="C507" s="236"/>
      <c r="D507" s="238"/>
      <c r="E507" s="245"/>
      <c r="F507" s="246"/>
      <c r="G507" s="246"/>
      <c r="H507" s="236"/>
      <c r="I507" s="236"/>
      <c r="J507" s="236"/>
      <c r="K507" s="236"/>
      <c r="L507" s="236"/>
      <c r="M507" s="236"/>
      <c r="N507" s="236"/>
      <c r="O507" s="236"/>
      <c r="P507" s="236"/>
      <c r="Q507" s="236"/>
      <c r="R507" s="236"/>
      <c r="S507" s="236"/>
      <c r="T507" s="236"/>
      <c r="U507" s="236"/>
      <c r="V507" s="239"/>
      <c r="W507" s="236"/>
      <c r="X507" s="236"/>
    </row>
    <row r="508">
      <c r="A508" s="236"/>
      <c r="B508" s="236"/>
      <c r="C508" s="236"/>
      <c r="D508" s="238"/>
      <c r="E508" s="245"/>
      <c r="F508" s="246"/>
      <c r="G508" s="246"/>
      <c r="H508" s="236"/>
      <c r="I508" s="236"/>
      <c r="J508" s="236"/>
      <c r="K508" s="236"/>
      <c r="L508" s="236"/>
      <c r="M508" s="236"/>
      <c r="N508" s="236"/>
      <c r="O508" s="236"/>
      <c r="P508" s="236"/>
      <c r="Q508" s="236"/>
      <c r="R508" s="236"/>
      <c r="S508" s="236"/>
      <c r="T508" s="236"/>
      <c r="U508" s="236"/>
      <c r="V508" s="239"/>
      <c r="W508" s="236"/>
      <c r="X508" s="236"/>
    </row>
    <row r="509">
      <c r="A509" s="236"/>
      <c r="B509" s="236"/>
      <c r="C509" s="236"/>
      <c r="D509" s="238"/>
      <c r="E509" s="245"/>
      <c r="F509" s="246"/>
      <c r="G509" s="246"/>
      <c r="H509" s="236"/>
      <c r="I509" s="236"/>
      <c r="J509" s="236"/>
      <c r="K509" s="236"/>
      <c r="L509" s="236"/>
      <c r="M509" s="236"/>
      <c r="N509" s="236"/>
      <c r="O509" s="236"/>
      <c r="P509" s="236"/>
      <c r="Q509" s="236"/>
      <c r="R509" s="236"/>
      <c r="S509" s="236"/>
      <c r="T509" s="236"/>
      <c r="U509" s="236"/>
      <c r="V509" s="239"/>
      <c r="W509" s="236"/>
      <c r="X509" s="236"/>
    </row>
    <row r="510">
      <c r="A510" s="236"/>
      <c r="B510" s="236"/>
      <c r="C510" s="236"/>
      <c r="D510" s="238"/>
      <c r="E510" s="245"/>
      <c r="F510" s="246"/>
      <c r="G510" s="246"/>
      <c r="H510" s="236"/>
      <c r="I510" s="236"/>
      <c r="J510" s="236"/>
      <c r="K510" s="236"/>
      <c r="L510" s="236"/>
      <c r="M510" s="236"/>
      <c r="N510" s="236"/>
      <c r="O510" s="236"/>
      <c r="P510" s="236"/>
      <c r="Q510" s="236"/>
      <c r="R510" s="236"/>
      <c r="S510" s="236"/>
      <c r="T510" s="236"/>
      <c r="U510" s="236"/>
      <c r="V510" s="239"/>
      <c r="W510" s="236"/>
      <c r="X510" s="236"/>
    </row>
    <row r="511">
      <c r="A511" s="236"/>
      <c r="B511" s="236"/>
      <c r="C511" s="236"/>
      <c r="D511" s="238"/>
      <c r="E511" s="245"/>
      <c r="F511" s="246"/>
      <c r="G511" s="246"/>
      <c r="H511" s="236"/>
      <c r="I511" s="236"/>
      <c r="J511" s="236"/>
      <c r="K511" s="236"/>
      <c r="L511" s="236"/>
      <c r="M511" s="236"/>
      <c r="N511" s="236"/>
      <c r="O511" s="236"/>
      <c r="P511" s="236"/>
      <c r="Q511" s="236"/>
      <c r="R511" s="236"/>
      <c r="S511" s="236"/>
      <c r="T511" s="236"/>
      <c r="U511" s="236"/>
      <c r="V511" s="239"/>
      <c r="W511" s="236"/>
      <c r="X511" s="236"/>
    </row>
    <row r="512">
      <c r="A512" s="236"/>
      <c r="B512" s="236"/>
      <c r="C512" s="236"/>
      <c r="D512" s="238"/>
      <c r="E512" s="245"/>
      <c r="F512" s="246"/>
      <c r="G512" s="246"/>
      <c r="H512" s="236"/>
      <c r="I512" s="236"/>
      <c r="J512" s="236"/>
      <c r="K512" s="236"/>
      <c r="L512" s="236"/>
      <c r="M512" s="236"/>
      <c r="N512" s="236"/>
      <c r="O512" s="236"/>
      <c r="P512" s="236"/>
      <c r="Q512" s="236"/>
      <c r="R512" s="236"/>
      <c r="S512" s="236"/>
      <c r="T512" s="236"/>
      <c r="U512" s="236"/>
      <c r="V512" s="239"/>
      <c r="W512" s="236"/>
      <c r="X512" s="236"/>
    </row>
    <row r="513">
      <c r="A513" s="236"/>
      <c r="B513" s="236"/>
      <c r="C513" s="236"/>
      <c r="D513" s="238"/>
      <c r="E513" s="245"/>
      <c r="F513" s="246"/>
      <c r="G513" s="246"/>
      <c r="H513" s="236"/>
      <c r="I513" s="236"/>
      <c r="J513" s="236"/>
      <c r="K513" s="236"/>
      <c r="L513" s="236"/>
      <c r="M513" s="236"/>
      <c r="N513" s="236"/>
      <c r="O513" s="236"/>
      <c r="P513" s="236"/>
      <c r="Q513" s="236"/>
      <c r="R513" s="236"/>
      <c r="S513" s="236"/>
      <c r="T513" s="236"/>
      <c r="U513" s="236"/>
      <c r="V513" s="239"/>
      <c r="W513" s="236"/>
      <c r="X513" s="236"/>
    </row>
    <row r="514">
      <c r="A514" s="236"/>
      <c r="B514" s="236"/>
      <c r="C514" s="236"/>
      <c r="D514" s="238"/>
      <c r="E514" s="245"/>
      <c r="F514" s="246"/>
      <c r="G514" s="246"/>
      <c r="H514" s="236"/>
      <c r="I514" s="236"/>
      <c r="J514" s="236"/>
      <c r="K514" s="236"/>
      <c r="L514" s="236"/>
      <c r="M514" s="236"/>
      <c r="N514" s="236"/>
      <c r="O514" s="236"/>
      <c r="P514" s="236"/>
      <c r="Q514" s="236"/>
      <c r="R514" s="236"/>
      <c r="S514" s="236"/>
      <c r="T514" s="236"/>
      <c r="U514" s="236"/>
      <c r="V514" s="239"/>
      <c r="W514" s="236"/>
      <c r="X514" s="236"/>
    </row>
    <row r="515">
      <c r="A515" s="236"/>
      <c r="B515" s="236"/>
      <c r="C515" s="236"/>
      <c r="D515" s="238"/>
      <c r="E515" s="245"/>
      <c r="F515" s="246"/>
      <c r="G515" s="246"/>
      <c r="H515" s="236"/>
      <c r="I515" s="236"/>
      <c r="J515" s="236"/>
      <c r="K515" s="236"/>
      <c r="L515" s="236"/>
      <c r="M515" s="236"/>
      <c r="N515" s="236"/>
      <c r="O515" s="236"/>
      <c r="P515" s="236"/>
      <c r="Q515" s="236"/>
      <c r="R515" s="236"/>
      <c r="S515" s="236"/>
      <c r="T515" s="236"/>
      <c r="U515" s="236"/>
      <c r="V515" s="239"/>
      <c r="W515" s="236"/>
      <c r="X515" s="236"/>
    </row>
    <row r="516">
      <c r="A516" s="236"/>
      <c r="B516" s="236"/>
      <c r="C516" s="236"/>
      <c r="D516" s="238"/>
      <c r="E516" s="245"/>
      <c r="F516" s="246"/>
      <c r="G516" s="246"/>
      <c r="H516" s="236"/>
      <c r="I516" s="236"/>
      <c r="J516" s="236"/>
      <c r="K516" s="236"/>
      <c r="L516" s="236"/>
      <c r="M516" s="236"/>
      <c r="N516" s="236"/>
      <c r="O516" s="236"/>
      <c r="P516" s="236"/>
      <c r="Q516" s="236"/>
      <c r="R516" s="236"/>
      <c r="S516" s="236"/>
      <c r="T516" s="236"/>
      <c r="U516" s="236"/>
      <c r="V516" s="239"/>
      <c r="W516" s="236"/>
      <c r="X516" s="236"/>
    </row>
    <row r="517">
      <c r="A517" s="236"/>
      <c r="B517" s="236"/>
      <c r="C517" s="236"/>
      <c r="D517" s="238"/>
      <c r="E517" s="245"/>
      <c r="F517" s="246"/>
      <c r="G517" s="246"/>
      <c r="H517" s="236"/>
      <c r="I517" s="236"/>
      <c r="J517" s="236"/>
      <c r="K517" s="236"/>
      <c r="L517" s="236"/>
      <c r="M517" s="236"/>
      <c r="N517" s="236"/>
      <c r="O517" s="236"/>
      <c r="P517" s="236"/>
      <c r="Q517" s="236"/>
      <c r="R517" s="236"/>
      <c r="S517" s="236"/>
      <c r="T517" s="236"/>
      <c r="U517" s="236"/>
      <c r="V517" s="239"/>
      <c r="W517" s="236"/>
      <c r="X517" s="236"/>
    </row>
    <row r="518">
      <c r="A518" s="236"/>
      <c r="B518" s="236"/>
      <c r="C518" s="236"/>
      <c r="D518" s="238"/>
      <c r="E518" s="245"/>
      <c r="F518" s="246"/>
      <c r="G518" s="246"/>
      <c r="H518" s="236"/>
      <c r="I518" s="236"/>
      <c r="J518" s="236"/>
      <c r="K518" s="236"/>
      <c r="L518" s="236"/>
      <c r="M518" s="236"/>
      <c r="N518" s="236"/>
      <c r="O518" s="236"/>
      <c r="P518" s="236"/>
      <c r="Q518" s="236"/>
      <c r="R518" s="236"/>
      <c r="S518" s="236"/>
      <c r="T518" s="236"/>
      <c r="U518" s="236"/>
      <c r="V518" s="239"/>
      <c r="W518" s="236"/>
      <c r="X518" s="236"/>
    </row>
    <row r="519">
      <c r="A519" s="236"/>
      <c r="B519" s="236"/>
      <c r="C519" s="236"/>
      <c r="D519" s="238"/>
      <c r="E519" s="245"/>
      <c r="F519" s="246"/>
      <c r="G519" s="246"/>
      <c r="H519" s="236"/>
      <c r="I519" s="236"/>
      <c r="J519" s="236"/>
      <c r="K519" s="236"/>
      <c r="L519" s="236"/>
      <c r="M519" s="236"/>
      <c r="N519" s="236"/>
      <c r="O519" s="236"/>
      <c r="P519" s="236"/>
      <c r="Q519" s="236"/>
      <c r="R519" s="236"/>
      <c r="S519" s="236"/>
      <c r="T519" s="236"/>
      <c r="U519" s="236"/>
      <c r="V519" s="239"/>
      <c r="W519" s="236"/>
      <c r="X519" s="236"/>
    </row>
    <row r="520">
      <c r="A520" s="236"/>
      <c r="B520" s="236"/>
      <c r="C520" s="236"/>
      <c r="D520" s="238"/>
      <c r="E520" s="245"/>
      <c r="F520" s="246"/>
      <c r="G520" s="246"/>
      <c r="H520" s="236"/>
      <c r="I520" s="236"/>
      <c r="J520" s="236"/>
      <c r="K520" s="236"/>
      <c r="L520" s="236"/>
      <c r="M520" s="236"/>
      <c r="N520" s="236"/>
      <c r="O520" s="236"/>
      <c r="P520" s="236"/>
      <c r="Q520" s="236"/>
      <c r="R520" s="236"/>
      <c r="S520" s="236"/>
      <c r="T520" s="236"/>
      <c r="U520" s="236"/>
      <c r="V520" s="239"/>
      <c r="W520" s="236"/>
      <c r="X520" s="236"/>
    </row>
    <row r="521">
      <c r="A521" s="236"/>
      <c r="B521" s="236"/>
      <c r="C521" s="236"/>
      <c r="D521" s="238"/>
      <c r="E521" s="245"/>
      <c r="F521" s="246"/>
      <c r="G521" s="246"/>
      <c r="H521" s="236"/>
      <c r="I521" s="236"/>
      <c r="J521" s="236"/>
      <c r="K521" s="236"/>
      <c r="L521" s="236"/>
      <c r="M521" s="236"/>
      <c r="N521" s="236"/>
      <c r="O521" s="236"/>
      <c r="P521" s="236"/>
      <c r="Q521" s="236"/>
      <c r="R521" s="236"/>
      <c r="S521" s="236"/>
      <c r="T521" s="236"/>
      <c r="U521" s="236"/>
      <c r="V521" s="239"/>
      <c r="W521" s="236"/>
      <c r="X521" s="236"/>
    </row>
    <row r="522">
      <c r="A522" s="236"/>
      <c r="B522" s="236"/>
      <c r="C522" s="236"/>
      <c r="D522" s="238"/>
      <c r="E522" s="245"/>
      <c r="F522" s="246"/>
      <c r="G522" s="246"/>
      <c r="H522" s="236"/>
      <c r="I522" s="236"/>
      <c r="J522" s="236"/>
      <c r="K522" s="236"/>
      <c r="L522" s="236"/>
      <c r="M522" s="236"/>
      <c r="N522" s="236"/>
      <c r="O522" s="236"/>
      <c r="P522" s="236"/>
      <c r="Q522" s="236"/>
      <c r="R522" s="236"/>
      <c r="S522" s="236"/>
      <c r="T522" s="236"/>
      <c r="U522" s="236"/>
      <c r="V522" s="239"/>
      <c r="W522" s="236"/>
      <c r="X522" s="236"/>
    </row>
    <row r="523">
      <c r="A523" s="236"/>
      <c r="B523" s="236"/>
      <c r="C523" s="236"/>
      <c r="D523" s="238"/>
      <c r="E523" s="245"/>
      <c r="F523" s="246"/>
      <c r="G523" s="246"/>
      <c r="H523" s="236"/>
      <c r="I523" s="236"/>
      <c r="J523" s="236"/>
      <c r="K523" s="236"/>
      <c r="L523" s="236"/>
      <c r="M523" s="236"/>
      <c r="N523" s="236"/>
      <c r="O523" s="236"/>
      <c r="P523" s="236"/>
      <c r="Q523" s="236"/>
      <c r="R523" s="236"/>
      <c r="S523" s="236"/>
      <c r="T523" s="236"/>
      <c r="U523" s="236"/>
      <c r="V523" s="239"/>
      <c r="W523" s="236"/>
      <c r="X523" s="236"/>
    </row>
    <row r="524">
      <c r="A524" s="236"/>
      <c r="B524" s="236"/>
      <c r="C524" s="236"/>
      <c r="D524" s="238"/>
      <c r="E524" s="245"/>
      <c r="F524" s="246"/>
      <c r="G524" s="246"/>
      <c r="H524" s="236"/>
      <c r="I524" s="236"/>
      <c r="J524" s="236"/>
      <c r="K524" s="236"/>
      <c r="L524" s="236"/>
      <c r="M524" s="236"/>
      <c r="N524" s="236"/>
      <c r="O524" s="236"/>
      <c r="P524" s="236"/>
      <c r="Q524" s="236"/>
      <c r="R524" s="236"/>
      <c r="S524" s="236"/>
      <c r="T524" s="236"/>
      <c r="U524" s="236"/>
      <c r="V524" s="239"/>
      <c r="W524" s="236"/>
      <c r="X524" s="236"/>
    </row>
    <row r="525">
      <c r="A525" s="236"/>
      <c r="B525" s="236"/>
      <c r="C525" s="236"/>
      <c r="D525" s="238"/>
      <c r="E525" s="245"/>
      <c r="F525" s="246"/>
      <c r="G525" s="246"/>
      <c r="H525" s="236"/>
      <c r="I525" s="236"/>
      <c r="J525" s="236"/>
      <c r="K525" s="236"/>
      <c r="L525" s="236"/>
      <c r="M525" s="236"/>
      <c r="N525" s="236"/>
      <c r="O525" s="236"/>
      <c r="P525" s="236"/>
      <c r="Q525" s="236"/>
      <c r="R525" s="236"/>
      <c r="S525" s="236"/>
      <c r="T525" s="236"/>
      <c r="U525" s="236"/>
      <c r="V525" s="239"/>
      <c r="W525" s="236"/>
      <c r="X525" s="236"/>
    </row>
    <row r="526">
      <c r="A526" s="236"/>
      <c r="B526" s="236"/>
      <c r="C526" s="236"/>
      <c r="D526" s="238"/>
      <c r="E526" s="245"/>
      <c r="F526" s="246"/>
      <c r="G526" s="246"/>
      <c r="H526" s="236"/>
      <c r="I526" s="236"/>
      <c r="J526" s="236"/>
      <c r="K526" s="236"/>
      <c r="L526" s="236"/>
      <c r="M526" s="236"/>
      <c r="N526" s="236"/>
      <c r="O526" s="236"/>
      <c r="P526" s="236"/>
      <c r="Q526" s="236"/>
      <c r="R526" s="236"/>
      <c r="S526" s="236"/>
      <c r="T526" s="236"/>
      <c r="U526" s="236"/>
      <c r="V526" s="239"/>
      <c r="W526" s="236"/>
      <c r="X526" s="236"/>
    </row>
    <row r="527">
      <c r="A527" s="236"/>
      <c r="B527" s="236"/>
      <c r="C527" s="236"/>
      <c r="D527" s="238"/>
      <c r="E527" s="245"/>
      <c r="F527" s="246"/>
      <c r="G527" s="246"/>
      <c r="H527" s="236"/>
      <c r="I527" s="236"/>
      <c r="J527" s="236"/>
      <c r="K527" s="236"/>
      <c r="L527" s="236"/>
      <c r="M527" s="236"/>
      <c r="N527" s="236"/>
      <c r="O527" s="236"/>
      <c r="P527" s="236"/>
      <c r="Q527" s="236"/>
      <c r="R527" s="236"/>
      <c r="S527" s="236"/>
      <c r="T527" s="236"/>
      <c r="U527" s="236"/>
      <c r="V527" s="239"/>
      <c r="W527" s="236"/>
      <c r="X527" s="236"/>
    </row>
    <row r="528">
      <c r="A528" s="236"/>
      <c r="B528" s="236"/>
      <c r="C528" s="236"/>
      <c r="D528" s="238"/>
      <c r="E528" s="245"/>
      <c r="F528" s="246"/>
      <c r="G528" s="246"/>
      <c r="H528" s="236"/>
      <c r="I528" s="236"/>
      <c r="J528" s="236"/>
      <c r="K528" s="236"/>
      <c r="L528" s="236"/>
      <c r="M528" s="236"/>
      <c r="N528" s="236"/>
      <c r="O528" s="236"/>
      <c r="P528" s="236"/>
      <c r="Q528" s="236"/>
      <c r="R528" s="236"/>
      <c r="S528" s="236"/>
      <c r="T528" s="236"/>
      <c r="U528" s="236"/>
      <c r="V528" s="239"/>
      <c r="W528" s="236"/>
      <c r="X528" s="236"/>
    </row>
    <row r="529">
      <c r="A529" s="236"/>
      <c r="B529" s="236"/>
      <c r="C529" s="236"/>
      <c r="D529" s="238"/>
      <c r="E529" s="245"/>
      <c r="F529" s="246"/>
      <c r="G529" s="246"/>
      <c r="H529" s="236"/>
      <c r="I529" s="236"/>
      <c r="J529" s="236"/>
      <c r="K529" s="236"/>
      <c r="L529" s="236"/>
      <c r="M529" s="236"/>
      <c r="N529" s="236"/>
      <c r="O529" s="236"/>
      <c r="P529" s="236"/>
      <c r="Q529" s="236"/>
      <c r="R529" s="236"/>
      <c r="S529" s="236"/>
      <c r="T529" s="236"/>
      <c r="U529" s="236"/>
      <c r="V529" s="239"/>
      <c r="W529" s="236"/>
      <c r="X529" s="236"/>
    </row>
    <row r="530">
      <c r="A530" s="236"/>
      <c r="B530" s="236"/>
      <c r="C530" s="236"/>
      <c r="D530" s="238"/>
      <c r="E530" s="245"/>
      <c r="F530" s="246"/>
      <c r="G530" s="246"/>
      <c r="H530" s="236"/>
      <c r="I530" s="236"/>
      <c r="J530" s="236"/>
      <c r="K530" s="236"/>
      <c r="L530" s="236"/>
      <c r="M530" s="236"/>
      <c r="N530" s="236"/>
      <c r="O530" s="236"/>
      <c r="P530" s="236"/>
      <c r="Q530" s="236"/>
      <c r="R530" s="236"/>
      <c r="S530" s="236"/>
      <c r="T530" s="236"/>
      <c r="U530" s="236"/>
      <c r="V530" s="239"/>
      <c r="W530" s="236"/>
      <c r="X530" s="236"/>
    </row>
    <row r="531">
      <c r="A531" s="236"/>
      <c r="B531" s="236"/>
      <c r="C531" s="236"/>
      <c r="D531" s="238"/>
      <c r="E531" s="245"/>
      <c r="F531" s="246"/>
      <c r="G531" s="246"/>
      <c r="H531" s="236"/>
      <c r="I531" s="236"/>
      <c r="J531" s="236"/>
      <c r="K531" s="236"/>
      <c r="L531" s="236"/>
      <c r="M531" s="236"/>
      <c r="N531" s="236"/>
      <c r="O531" s="236"/>
      <c r="P531" s="236"/>
      <c r="Q531" s="236"/>
      <c r="R531" s="236"/>
      <c r="S531" s="236"/>
      <c r="T531" s="236"/>
      <c r="U531" s="236"/>
      <c r="V531" s="239"/>
      <c r="W531" s="236"/>
      <c r="X531" s="236"/>
    </row>
    <row r="532">
      <c r="A532" s="236"/>
      <c r="B532" s="236"/>
      <c r="C532" s="236"/>
      <c r="D532" s="238"/>
      <c r="E532" s="245"/>
      <c r="F532" s="246"/>
      <c r="G532" s="246"/>
      <c r="H532" s="236"/>
      <c r="I532" s="236"/>
      <c r="J532" s="236"/>
      <c r="K532" s="236"/>
      <c r="L532" s="236"/>
      <c r="M532" s="236"/>
      <c r="N532" s="236"/>
      <c r="O532" s="236"/>
      <c r="P532" s="236"/>
      <c r="Q532" s="236"/>
      <c r="R532" s="236"/>
      <c r="S532" s="236"/>
      <c r="T532" s="236"/>
      <c r="U532" s="236"/>
      <c r="V532" s="239"/>
      <c r="W532" s="236"/>
      <c r="X532" s="236"/>
    </row>
    <row r="533">
      <c r="A533" s="236"/>
      <c r="B533" s="236"/>
      <c r="C533" s="236"/>
      <c r="D533" s="238"/>
      <c r="E533" s="245"/>
      <c r="F533" s="246"/>
      <c r="G533" s="246"/>
      <c r="H533" s="236"/>
      <c r="I533" s="236"/>
      <c r="J533" s="236"/>
      <c r="K533" s="236"/>
      <c r="L533" s="236"/>
      <c r="M533" s="236"/>
      <c r="N533" s="236"/>
      <c r="O533" s="236"/>
      <c r="P533" s="236"/>
      <c r="Q533" s="236"/>
      <c r="R533" s="236"/>
      <c r="S533" s="236"/>
      <c r="T533" s="236"/>
      <c r="U533" s="236"/>
      <c r="V533" s="239"/>
      <c r="W533" s="236"/>
      <c r="X533" s="236"/>
    </row>
    <row r="534">
      <c r="A534" s="236"/>
      <c r="B534" s="236"/>
      <c r="C534" s="236"/>
      <c r="D534" s="238"/>
      <c r="E534" s="245"/>
      <c r="F534" s="246"/>
      <c r="G534" s="246"/>
      <c r="H534" s="236"/>
      <c r="I534" s="236"/>
      <c r="J534" s="236"/>
      <c r="K534" s="236"/>
      <c r="L534" s="236"/>
      <c r="M534" s="236"/>
      <c r="N534" s="236"/>
      <c r="O534" s="236"/>
      <c r="P534" s="236"/>
      <c r="Q534" s="236"/>
      <c r="R534" s="236"/>
      <c r="S534" s="236"/>
      <c r="T534" s="236"/>
      <c r="U534" s="236"/>
      <c r="V534" s="239"/>
      <c r="W534" s="236"/>
      <c r="X534" s="236"/>
    </row>
    <row r="535">
      <c r="A535" s="236"/>
      <c r="B535" s="236"/>
      <c r="C535" s="236"/>
      <c r="D535" s="238"/>
      <c r="E535" s="245"/>
      <c r="F535" s="246"/>
      <c r="G535" s="246"/>
      <c r="H535" s="236"/>
      <c r="I535" s="236"/>
      <c r="J535" s="236"/>
      <c r="K535" s="236"/>
      <c r="L535" s="236"/>
      <c r="M535" s="236"/>
      <c r="N535" s="236"/>
      <c r="O535" s="236"/>
      <c r="P535" s="236"/>
      <c r="Q535" s="236"/>
      <c r="R535" s="236"/>
      <c r="S535" s="236"/>
      <c r="T535" s="236"/>
      <c r="U535" s="236"/>
      <c r="V535" s="239"/>
      <c r="W535" s="236"/>
      <c r="X535" s="236"/>
    </row>
    <row r="536">
      <c r="A536" s="236"/>
      <c r="B536" s="236"/>
      <c r="C536" s="236"/>
      <c r="D536" s="238"/>
      <c r="E536" s="245"/>
      <c r="F536" s="246"/>
      <c r="G536" s="246"/>
      <c r="H536" s="236"/>
      <c r="I536" s="236"/>
      <c r="J536" s="236"/>
      <c r="K536" s="236"/>
      <c r="L536" s="236"/>
      <c r="M536" s="236"/>
      <c r="N536" s="236"/>
      <c r="O536" s="236"/>
      <c r="P536" s="236"/>
      <c r="Q536" s="236"/>
      <c r="R536" s="236"/>
      <c r="S536" s="236"/>
      <c r="T536" s="236"/>
      <c r="U536" s="236"/>
      <c r="V536" s="239"/>
      <c r="W536" s="236"/>
      <c r="X536" s="236"/>
    </row>
    <row r="537">
      <c r="A537" s="236"/>
      <c r="B537" s="236"/>
      <c r="C537" s="236"/>
      <c r="D537" s="238"/>
      <c r="E537" s="245"/>
      <c r="F537" s="246"/>
      <c r="G537" s="246"/>
      <c r="H537" s="236"/>
      <c r="I537" s="236"/>
      <c r="J537" s="236"/>
      <c r="K537" s="236"/>
      <c r="L537" s="236"/>
      <c r="M537" s="236"/>
      <c r="N537" s="236"/>
      <c r="O537" s="236"/>
      <c r="P537" s="236"/>
      <c r="Q537" s="236"/>
      <c r="R537" s="236"/>
      <c r="S537" s="236"/>
      <c r="T537" s="236"/>
      <c r="U537" s="236"/>
      <c r="V537" s="239"/>
      <c r="W537" s="236"/>
      <c r="X537" s="236"/>
    </row>
    <row r="538">
      <c r="A538" s="236"/>
      <c r="B538" s="236"/>
      <c r="C538" s="236"/>
      <c r="D538" s="238"/>
      <c r="E538" s="245"/>
      <c r="F538" s="246"/>
      <c r="G538" s="246"/>
      <c r="H538" s="236"/>
      <c r="I538" s="236"/>
      <c r="J538" s="236"/>
      <c r="K538" s="236"/>
      <c r="L538" s="236"/>
      <c r="M538" s="236"/>
      <c r="N538" s="236"/>
      <c r="O538" s="236"/>
      <c r="P538" s="236"/>
      <c r="Q538" s="236"/>
      <c r="R538" s="236"/>
      <c r="S538" s="236"/>
      <c r="T538" s="236"/>
      <c r="U538" s="236"/>
      <c r="V538" s="239"/>
      <c r="W538" s="236"/>
      <c r="X538" s="236"/>
    </row>
    <row r="539">
      <c r="A539" s="236"/>
      <c r="B539" s="236"/>
      <c r="C539" s="236"/>
      <c r="D539" s="238"/>
      <c r="E539" s="245"/>
      <c r="F539" s="246"/>
      <c r="G539" s="246"/>
      <c r="H539" s="236"/>
      <c r="I539" s="236"/>
      <c r="J539" s="236"/>
      <c r="K539" s="236"/>
      <c r="L539" s="236"/>
      <c r="M539" s="236"/>
      <c r="N539" s="236"/>
      <c r="O539" s="236"/>
      <c r="P539" s="236"/>
      <c r="Q539" s="236"/>
      <c r="R539" s="236"/>
      <c r="S539" s="236"/>
      <c r="T539" s="236"/>
      <c r="U539" s="236"/>
      <c r="V539" s="239"/>
      <c r="W539" s="236"/>
      <c r="X539" s="236"/>
    </row>
    <row r="540">
      <c r="A540" s="236"/>
      <c r="B540" s="236"/>
      <c r="C540" s="236"/>
      <c r="D540" s="238"/>
      <c r="E540" s="245"/>
      <c r="F540" s="246"/>
      <c r="G540" s="246"/>
      <c r="H540" s="236"/>
      <c r="I540" s="236"/>
      <c r="J540" s="236"/>
      <c r="K540" s="236"/>
      <c r="L540" s="236"/>
      <c r="M540" s="236"/>
      <c r="N540" s="236"/>
      <c r="O540" s="236"/>
      <c r="P540" s="236"/>
      <c r="Q540" s="236"/>
      <c r="R540" s="236"/>
      <c r="S540" s="236"/>
      <c r="T540" s="236"/>
      <c r="U540" s="236"/>
      <c r="V540" s="239"/>
      <c r="W540" s="236"/>
      <c r="X540" s="236"/>
    </row>
    <row r="541">
      <c r="A541" s="236"/>
      <c r="B541" s="236"/>
      <c r="C541" s="236"/>
      <c r="D541" s="238"/>
      <c r="E541" s="245"/>
      <c r="F541" s="246"/>
      <c r="G541" s="246"/>
      <c r="H541" s="236"/>
      <c r="I541" s="236"/>
      <c r="J541" s="236"/>
      <c r="K541" s="236"/>
      <c r="L541" s="236"/>
      <c r="M541" s="236"/>
      <c r="N541" s="236"/>
      <c r="O541" s="236"/>
      <c r="P541" s="236"/>
      <c r="Q541" s="236"/>
      <c r="R541" s="236"/>
      <c r="S541" s="236"/>
      <c r="T541" s="236"/>
      <c r="U541" s="236"/>
      <c r="V541" s="239"/>
      <c r="W541" s="236"/>
      <c r="X541" s="236"/>
    </row>
    <row r="542">
      <c r="A542" s="236"/>
      <c r="B542" s="236"/>
      <c r="C542" s="236"/>
      <c r="D542" s="238"/>
      <c r="E542" s="245"/>
      <c r="F542" s="246"/>
      <c r="G542" s="246"/>
      <c r="H542" s="236"/>
      <c r="I542" s="236"/>
      <c r="J542" s="236"/>
      <c r="K542" s="236"/>
      <c r="L542" s="236"/>
      <c r="M542" s="236"/>
      <c r="N542" s="236"/>
      <c r="O542" s="236"/>
      <c r="P542" s="236"/>
      <c r="Q542" s="236"/>
      <c r="R542" s="236"/>
      <c r="S542" s="236"/>
      <c r="T542" s="236"/>
      <c r="U542" s="236"/>
      <c r="V542" s="239"/>
      <c r="W542" s="236"/>
      <c r="X542" s="236"/>
    </row>
    <row r="543">
      <c r="A543" s="236"/>
      <c r="B543" s="236"/>
      <c r="C543" s="236"/>
      <c r="D543" s="238"/>
      <c r="E543" s="245"/>
      <c r="F543" s="246"/>
      <c r="G543" s="246"/>
      <c r="H543" s="236"/>
      <c r="I543" s="236"/>
      <c r="J543" s="236"/>
      <c r="K543" s="236"/>
      <c r="L543" s="236"/>
      <c r="M543" s="236"/>
      <c r="N543" s="236"/>
      <c r="O543" s="236"/>
      <c r="P543" s="236"/>
      <c r="Q543" s="236"/>
      <c r="R543" s="236"/>
      <c r="S543" s="236"/>
      <c r="T543" s="236"/>
      <c r="U543" s="236"/>
      <c r="V543" s="239"/>
      <c r="W543" s="236"/>
      <c r="X543" s="236"/>
    </row>
    <row r="544">
      <c r="A544" s="236"/>
      <c r="B544" s="236"/>
      <c r="C544" s="236"/>
      <c r="D544" s="238"/>
      <c r="E544" s="245"/>
      <c r="F544" s="246"/>
      <c r="G544" s="246"/>
      <c r="H544" s="236"/>
      <c r="I544" s="236"/>
      <c r="J544" s="236"/>
      <c r="K544" s="236"/>
      <c r="L544" s="236"/>
      <c r="M544" s="236"/>
      <c r="N544" s="236"/>
      <c r="O544" s="236"/>
      <c r="P544" s="236"/>
      <c r="Q544" s="236"/>
      <c r="R544" s="236"/>
      <c r="S544" s="236"/>
      <c r="T544" s="236"/>
      <c r="U544" s="236"/>
      <c r="V544" s="239"/>
      <c r="W544" s="236"/>
      <c r="X544" s="236"/>
    </row>
    <row r="545">
      <c r="A545" s="236"/>
      <c r="B545" s="236"/>
      <c r="C545" s="236"/>
      <c r="D545" s="238"/>
      <c r="E545" s="245"/>
      <c r="F545" s="246"/>
      <c r="G545" s="246"/>
      <c r="H545" s="236"/>
      <c r="I545" s="236"/>
      <c r="J545" s="236"/>
      <c r="K545" s="236"/>
      <c r="L545" s="236"/>
      <c r="M545" s="236"/>
      <c r="N545" s="236"/>
      <c r="O545" s="236"/>
      <c r="P545" s="236"/>
      <c r="Q545" s="236"/>
      <c r="R545" s="236"/>
      <c r="S545" s="236"/>
      <c r="T545" s="236"/>
      <c r="U545" s="236"/>
      <c r="V545" s="239"/>
      <c r="W545" s="236"/>
      <c r="X545" s="236"/>
    </row>
    <row r="546">
      <c r="A546" s="236"/>
      <c r="B546" s="236"/>
      <c r="C546" s="236"/>
      <c r="D546" s="238"/>
      <c r="E546" s="245"/>
      <c r="F546" s="246"/>
      <c r="G546" s="246"/>
      <c r="H546" s="236"/>
      <c r="I546" s="236"/>
      <c r="J546" s="236"/>
      <c r="K546" s="236"/>
      <c r="L546" s="236"/>
      <c r="M546" s="236"/>
      <c r="N546" s="236"/>
      <c r="O546" s="236"/>
      <c r="P546" s="236"/>
      <c r="Q546" s="236"/>
      <c r="R546" s="236"/>
      <c r="S546" s="236"/>
      <c r="T546" s="236"/>
      <c r="U546" s="236"/>
      <c r="V546" s="239"/>
      <c r="W546" s="236"/>
      <c r="X546" s="236"/>
    </row>
    <row r="547">
      <c r="A547" s="236"/>
      <c r="B547" s="236"/>
      <c r="C547" s="236"/>
      <c r="D547" s="238"/>
      <c r="E547" s="245"/>
      <c r="F547" s="246"/>
      <c r="G547" s="246"/>
      <c r="H547" s="236"/>
      <c r="I547" s="236"/>
      <c r="J547" s="236"/>
      <c r="K547" s="236"/>
      <c r="L547" s="236"/>
      <c r="M547" s="236"/>
      <c r="N547" s="236"/>
      <c r="O547" s="236"/>
      <c r="P547" s="236"/>
      <c r="Q547" s="236"/>
      <c r="R547" s="236"/>
      <c r="S547" s="236"/>
      <c r="T547" s="236"/>
      <c r="U547" s="236"/>
      <c r="V547" s="239"/>
      <c r="W547" s="236"/>
      <c r="X547" s="236"/>
    </row>
    <row r="548">
      <c r="A548" s="236"/>
      <c r="B548" s="236"/>
      <c r="C548" s="236"/>
      <c r="D548" s="238"/>
      <c r="E548" s="245"/>
      <c r="F548" s="246"/>
      <c r="G548" s="246"/>
      <c r="H548" s="236"/>
      <c r="I548" s="236"/>
      <c r="J548" s="236"/>
      <c r="K548" s="236"/>
      <c r="L548" s="236"/>
      <c r="M548" s="236"/>
      <c r="N548" s="236"/>
      <c r="O548" s="236"/>
      <c r="P548" s="236"/>
      <c r="Q548" s="236"/>
      <c r="R548" s="236"/>
      <c r="S548" s="236"/>
      <c r="T548" s="236"/>
      <c r="U548" s="236"/>
      <c r="V548" s="239"/>
      <c r="W548" s="236"/>
      <c r="X548" s="236"/>
    </row>
    <row r="549">
      <c r="A549" s="236"/>
      <c r="B549" s="236"/>
      <c r="C549" s="236"/>
      <c r="D549" s="238"/>
      <c r="E549" s="245"/>
      <c r="F549" s="246"/>
      <c r="G549" s="246"/>
      <c r="H549" s="236"/>
      <c r="I549" s="236"/>
      <c r="J549" s="236"/>
      <c r="K549" s="236"/>
      <c r="L549" s="236"/>
      <c r="M549" s="236"/>
      <c r="N549" s="236"/>
      <c r="O549" s="236"/>
      <c r="P549" s="236"/>
      <c r="Q549" s="236"/>
      <c r="R549" s="236"/>
      <c r="S549" s="236"/>
      <c r="T549" s="236"/>
      <c r="U549" s="236"/>
      <c r="V549" s="239"/>
      <c r="W549" s="236"/>
      <c r="X549" s="236"/>
    </row>
    <row r="550">
      <c r="A550" s="236"/>
      <c r="B550" s="236"/>
      <c r="C550" s="236"/>
      <c r="D550" s="238"/>
      <c r="E550" s="245"/>
      <c r="F550" s="246"/>
      <c r="G550" s="246"/>
      <c r="H550" s="236"/>
      <c r="I550" s="236"/>
      <c r="J550" s="236"/>
      <c r="K550" s="236"/>
      <c r="L550" s="236"/>
      <c r="M550" s="236"/>
      <c r="N550" s="236"/>
      <c r="O550" s="236"/>
      <c r="P550" s="236"/>
      <c r="Q550" s="236"/>
      <c r="R550" s="236"/>
      <c r="S550" s="236"/>
      <c r="T550" s="236"/>
      <c r="U550" s="236"/>
      <c r="V550" s="239"/>
      <c r="W550" s="236"/>
      <c r="X550" s="236"/>
    </row>
    <row r="551">
      <c r="A551" s="236"/>
      <c r="B551" s="236"/>
      <c r="C551" s="236"/>
      <c r="D551" s="238"/>
      <c r="E551" s="245"/>
      <c r="F551" s="246"/>
      <c r="G551" s="246"/>
      <c r="H551" s="236"/>
      <c r="I551" s="236"/>
      <c r="J551" s="236"/>
      <c r="K551" s="236"/>
      <c r="L551" s="236"/>
      <c r="M551" s="236"/>
      <c r="N551" s="236"/>
      <c r="O551" s="236"/>
      <c r="P551" s="236"/>
      <c r="Q551" s="236"/>
      <c r="R551" s="236"/>
      <c r="S551" s="236"/>
      <c r="T551" s="236"/>
      <c r="U551" s="236"/>
      <c r="V551" s="239"/>
      <c r="W551" s="236"/>
      <c r="X551" s="236"/>
    </row>
    <row r="552">
      <c r="A552" s="236"/>
      <c r="B552" s="236"/>
      <c r="C552" s="236"/>
      <c r="D552" s="238"/>
      <c r="E552" s="245"/>
      <c r="F552" s="246"/>
      <c r="G552" s="246"/>
      <c r="H552" s="236"/>
      <c r="I552" s="236"/>
      <c r="J552" s="236"/>
      <c r="K552" s="236"/>
      <c r="L552" s="236"/>
      <c r="M552" s="236"/>
      <c r="N552" s="236"/>
      <c r="O552" s="236"/>
      <c r="P552" s="236"/>
      <c r="Q552" s="236"/>
      <c r="R552" s="236"/>
      <c r="S552" s="236"/>
      <c r="T552" s="236"/>
      <c r="U552" s="236"/>
      <c r="V552" s="239"/>
      <c r="W552" s="236"/>
      <c r="X552" s="236"/>
    </row>
    <row r="553">
      <c r="A553" s="236"/>
      <c r="B553" s="236"/>
      <c r="C553" s="236"/>
      <c r="D553" s="238"/>
      <c r="E553" s="245"/>
      <c r="F553" s="246"/>
      <c r="G553" s="246"/>
      <c r="H553" s="236"/>
      <c r="I553" s="236"/>
      <c r="J553" s="236"/>
      <c r="K553" s="236"/>
      <c r="L553" s="236"/>
      <c r="M553" s="236"/>
      <c r="N553" s="236"/>
      <c r="O553" s="236"/>
      <c r="P553" s="236"/>
      <c r="Q553" s="236"/>
      <c r="R553" s="236"/>
      <c r="S553" s="236"/>
      <c r="T553" s="236"/>
      <c r="U553" s="236"/>
      <c r="V553" s="239"/>
      <c r="W553" s="236"/>
      <c r="X553" s="236"/>
    </row>
    <row r="554">
      <c r="A554" s="236"/>
      <c r="B554" s="236"/>
      <c r="C554" s="236"/>
      <c r="D554" s="238"/>
      <c r="E554" s="245"/>
      <c r="F554" s="246"/>
      <c r="G554" s="246"/>
      <c r="H554" s="236"/>
      <c r="I554" s="236"/>
      <c r="J554" s="236"/>
      <c r="K554" s="236"/>
      <c r="L554" s="236"/>
      <c r="M554" s="236"/>
      <c r="N554" s="236"/>
      <c r="O554" s="236"/>
      <c r="P554" s="236"/>
      <c r="Q554" s="236"/>
      <c r="R554" s="236"/>
      <c r="S554" s="236"/>
      <c r="T554" s="236"/>
      <c r="U554" s="236"/>
      <c r="V554" s="239"/>
      <c r="W554" s="236"/>
      <c r="X554" s="236"/>
    </row>
    <row r="555">
      <c r="A555" s="236"/>
      <c r="B555" s="236"/>
      <c r="C555" s="236"/>
      <c r="D555" s="238"/>
      <c r="E555" s="245"/>
      <c r="F555" s="246"/>
      <c r="G555" s="246"/>
      <c r="H555" s="236"/>
      <c r="I555" s="236"/>
      <c r="J555" s="236"/>
      <c r="K555" s="236"/>
      <c r="L555" s="236"/>
      <c r="M555" s="236"/>
      <c r="N555" s="236"/>
      <c r="O555" s="236"/>
      <c r="P555" s="236"/>
      <c r="Q555" s="236"/>
      <c r="R555" s="236"/>
      <c r="S555" s="236"/>
      <c r="T555" s="236"/>
      <c r="U555" s="236"/>
      <c r="V555" s="239"/>
      <c r="W555" s="236"/>
      <c r="X555" s="236"/>
    </row>
    <row r="556">
      <c r="A556" s="236"/>
      <c r="B556" s="236"/>
      <c r="C556" s="236"/>
      <c r="D556" s="238"/>
      <c r="E556" s="245"/>
      <c r="F556" s="246"/>
      <c r="G556" s="246"/>
      <c r="H556" s="236"/>
      <c r="I556" s="236"/>
      <c r="J556" s="236"/>
      <c r="K556" s="236"/>
      <c r="L556" s="236"/>
      <c r="M556" s="236"/>
      <c r="N556" s="236"/>
      <c r="O556" s="236"/>
      <c r="P556" s="236"/>
      <c r="Q556" s="236"/>
      <c r="R556" s="236"/>
      <c r="S556" s="236"/>
      <c r="T556" s="236"/>
      <c r="U556" s="236"/>
      <c r="V556" s="239"/>
      <c r="W556" s="236"/>
      <c r="X556" s="236"/>
    </row>
    <row r="557">
      <c r="A557" s="236"/>
      <c r="B557" s="236"/>
      <c r="C557" s="236"/>
      <c r="D557" s="238"/>
      <c r="E557" s="245"/>
      <c r="F557" s="246"/>
      <c r="G557" s="246"/>
      <c r="H557" s="236"/>
      <c r="I557" s="236"/>
      <c r="J557" s="236"/>
      <c r="K557" s="236"/>
      <c r="L557" s="236"/>
      <c r="M557" s="236"/>
      <c r="N557" s="236"/>
      <c r="O557" s="236"/>
      <c r="P557" s="236"/>
      <c r="Q557" s="236"/>
      <c r="R557" s="236"/>
      <c r="S557" s="236"/>
      <c r="T557" s="236"/>
      <c r="U557" s="236"/>
      <c r="V557" s="239"/>
      <c r="W557" s="236"/>
      <c r="X557" s="236"/>
    </row>
    <row r="558">
      <c r="A558" s="236"/>
      <c r="B558" s="236"/>
      <c r="C558" s="236"/>
      <c r="D558" s="238"/>
      <c r="E558" s="245"/>
      <c r="F558" s="246"/>
      <c r="G558" s="246"/>
      <c r="H558" s="236"/>
      <c r="I558" s="236"/>
      <c r="J558" s="236"/>
      <c r="K558" s="236"/>
      <c r="L558" s="236"/>
      <c r="M558" s="236"/>
      <c r="N558" s="236"/>
      <c r="O558" s="236"/>
      <c r="P558" s="236"/>
      <c r="Q558" s="236"/>
      <c r="R558" s="236"/>
      <c r="S558" s="236"/>
      <c r="T558" s="236"/>
      <c r="U558" s="236"/>
      <c r="V558" s="239"/>
      <c r="W558" s="236"/>
      <c r="X558" s="236"/>
    </row>
    <row r="559">
      <c r="A559" s="236"/>
      <c r="B559" s="236"/>
      <c r="C559" s="236"/>
      <c r="D559" s="238"/>
      <c r="E559" s="245"/>
      <c r="F559" s="246"/>
      <c r="G559" s="246"/>
      <c r="H559" s="236"/>
      <c r="I559" s="236"/>
      <c r="J559" s="236"/>
      <c r="K559" s="236"/>
      <c r="L559" s="236"/>
      <c r="M559" s="236"/>
      <c r="N559" s="236"/>
      <c r="O559" s="236"/>
      <c r="P559" s="236"/>
      <c r="Q559" s="236"/>
      <c r="R559" s="236"/>
      <c r="S559" s="236"/>
      <c r="T559" s="236"/>
      <c r="U559" s="236"/>
      <c r="V559" s="239"/>
      <c r="W559" s="236"/>
      <c r="X559" s="236"/>
    </row>
    <row r="560">
      <c r="A560" s="236"/>
      <c r="B560" s="236"/>
      <c r="C560" s="236"/>
      <c r="D560" s="238"/>
      <c r="E560" s="245"/>
      <c r="F560" s="246"/>
      <c r="G560" s="246"/>
      <c r="H560" s="236"/>
      <c r="I560" s="236"/>
      <c r="J560" s="236"/>
      <c r="K560" s="236"/>
      <c r="L560" s="236"/>
      <c r="M560" s="236"/>
      <c r="N560" s="236"/>
      <c r="O560" s="236"/>
      <c r="P560" s="236"/>
      <c r="Q560" s="236"/>
      <c r="R560" s="236"/>
      <c r="S560" s="236"/>
      <c r="T560" s="236"/>
      <c r="U560" s="236"/>
      <c r="V560" s="239"/>
      <c r="W560" s="236"/>
      <c r="X560" s="236"/>
    </row>
    <row r="561">
      <c r="A561" s="236"/>
      <c r="B561" s="236"/>
      <c r="C561" s="236"/>
      <c r="D561" s="238"/>
      <c r="E561" s="245"/>
      <c r="F561" s="246"/>
      <c r="G561" s="246"/>
      <c r="H561" s="236"/>
      <c r="I561" s="236"/>
      <c r="J561" s="236"/>
      <c r="K561" s="236"/>
      <c r="L561" s="236"/>
      <c r="M561" s="236"/>
      <c r="N561" s="236"/>
      <c r="O561" s="236"/>
      <c r="P561" s="236"/>
      <c r="Q561" s="236"/>
      <c r="R561" s="236"/>
      <c r="S561" s="236"/>
      <c r="T561" s="236"/>
      <c r="U561" s="236"/>
      <c r="V561" s="239"/>
      <c r="W561" s="236"/>
      <c r="X561" s="236"/>
    </row>
    <row r="562">
      <c r="A562" s="236"/>
      <c r="B562" s="236"/>
      <c r="C562" s="236"/>
      <c r="D562" s="238"/>
      <c r="E562" s="245"/>
      <c r="F562" s="246"/>
      <c r="G562" s="246"/>
      <c r="H562" s="236"/>
      <c r="I562" s="236"/>
      <c r="J562" s="236"/>
      <c r="K562" s="236"/>
      <c r="L562" s="236"/>
      <c r="M562" s="236"/>
      <c r="N562" s="236"/>
      <c r="O562" s="236"/>
      <c r="P562" s="236"/>
      <c r="Q562" s="236"/>
      <c r="R562" s="236"/>
      <c r="S562" s="236"/>
      <c r="T562" s="236"/>
      <c r="U562" s="236"/>
      <c r="V562" s="239"/>
      <c r="W562" s="236"/>
      <c r="X562" s="236"/>
    </row>
    <row r="563">
      <c r="A563" s="236"/>
      <c r="B563" s="236"/>
      <c r="C563" s="236"/>
      <c r="D563" s="238"/>
      <c r="E563" s="245"/>
      <c r="F563" s="246"/>
      <c r="G563" s="246"/>
      <c r="H563" s="236"/>
      <c r="I563" s="236"/>
      <c r="J563" s="236"/>
      <c r="K563" s="236"/>
      <c r="L563" s="236"/>
      <c r="M563" s="236"/>
      <c r="N563" s="236"/>
      <c r="O563" s="236"/>
      <c r="P563" s="236"/>
      <c r="Q563" s="236"/>
      <c r="R563" s="236"/>
      <c r="S563" s="236"/>
      <c r="T563" s="236"/>
      <c r="U563" s="236"/>
      <c r="V563" s="239"/>
      <c r="W563" s="236"/>
      <c r="X563" s="236"/>
    </row>
    <row r="564">
      <c r="A564" s="236"/>
      <c r="B564" s="236"/>
      <c r="C564" s="236"/>
      <c r="D564" s="238"/>
      <c r="E564" s="245"/>
      <c r="F564" s="246"/>
      <c r="G564" s="246"/>
      <c r="H564" s="236"/>
      <c r="I564" s="236"/>
      <c r="J564" s="236"/>
      <c r="K564" s="236"/>
      <c r="L564" s="236"/>
      <c r="M564" s="236"/>
      <c r="N564" s="236"/>
      <c r="O564" s="236"/>
      <c r="P564" s="236"/>
      <c r="Q564" s="236"/>
      <c r="R564" s="236"/>
      <c r="S564" s="236"/>
      <c r="T564" s="236"/>
      <c r="U564" s="236"/>
      <c r="V564" s="239"/>
      <c r="W564" s="236"/>
      <c r="X564" s="236"/>
    </row>
    <row r="565">
      <c r="A565" s="236"/>
      <c r="B565" s="236"/>
      <c r="C565" s="236"/>
      <c r="D565" s="238"/>
      <c r="E565" s="245"/>
      <c r="F565" s="246"/>
      <c r="G565" s="246"/>
      <c r="H565" s="236"/>
      <c r="I565" s="236"/>
      <c r="J565" s="236"/>
      <c r="K565" s="236"/>
      <c r="L565" s="236"/>
      <c r="M565" s="236"/>
      <c r="N565" s="236"/>
      <c r="O565" s="236"/>
      <c r="P565" s="236"/>
      <c r="Q565" s="236"/>
      <c r="R565" s="236"/>
      <c r="S565" s="236"/>
      <c r="T565" s="236"/>
      <c r="U565" s="236"/>
      <c r="V565" s="239"/>
      <c r="W565" s="236"/>
      <c r="X565" s="236"/>
    </row>
    <row r="566">
      <c r="A566" s="236"/>
      <c r="B566" s="236"/>
      <c r="C566" s="236"/>
      <c r="D566" s="238"/>
      <c r="E566" s="245"/>
      <c r="F566" s="246"/>
      <c r="G566" s="246"/>
      <c r="H566" s="236"/>
      <c r="I566" s="236"/>
      <c r="J566" s="236"/>
      <c r="K566" s="236"/>
      <c r="L566" s="236"/>
      <c r="M566" s="236"/>
      <c r="N566" s="236"/>
      <c r="O566" s="236"/>
      <c r="P566" s="236"/>
      <c r="Q566" s="236"/>
      <c r="R566" s="236"/>
      <c r="S566" s="236"/>
      <c r="T566" s="236"/>
      <c r="U566" s="236"/>
      <c r="V566" s="239"/>
      <c r="W566" s="236"/>
      <c r="X566" s="236"/>
    </row>
    <row r="567">
      <c r="A567" s="236"/>
      <c r="B567" s="236"/>
      <c r="C567" s="236"/>
      <c r="D567" s="238"/>
      <c r="E567" s="245"/>
      <c r="F567" s="246"/>
      <c r="G567" s="246"/>
      <c r="H567" s="236"/>
      <c r="I567" s="236"/>
      <c r="J567" s="236"/>
      <c r="K567" s="236"/>
      <c r="L567" s="236"/>
      <c r="M567" s="236"/>
      <c r="N567" s="236"/>
      <c r="O567" s="236"/>
      <c r="P567" s="236"/>
      <c r="Q567" s="236"/>
      <c r="R567" s="236"/>
      <c r="S567" s="236"/>
      <c r="T567" s="236"/>
      <c r="U567" s="236"/>
      <c r="V567" s="239"/>
      <c r="W567" s="236"/>
      <c r="X567" s="236"/>
    </row>
    <row r="568">
      <c r="A568" s="236"/>
      <c r="B568" s="236"/>
      <c r="C568" s="236"/>
      <c r="D568" s="238"/>
      <c r="E568" s="245"/>
      <c r="F568" s="246"/>
      <c r="G568" s="246"/>
      <c r="H568" s="236"/>
      <c r="I568" s="236"/>
      <c r="J568" s="236"/>
      <c r="K568" s="236"/>
      <c r="L568" s="236"/>
      <c r="M568" s="236"/>
      <c r="N568" s="236"/>
      <c r="O568" s="236"/>
      <c r="P568" s="236"/>
      <c r="Q568" s="236"/>
      <c r="R568" s="236"/>
      <c r="S568" s="236"/>
      <c r="T568" s="236"/>
      <c r="U568" s="236"/>
      <c r="V568" s="239"/>
      <c r="W568" s="236"/>
      <c r="X568" s="236"/>
    </row>
    <row r="569">
      <c r="A569" s="236"/>
      <c r="B569" s="236"/>
      <c r="C569" s="236"/>
      <c r="D569" s="238"/>
      <c r="E569" s="245"/>
      <c r="F569" s="246"/>
      <c r="G569" s="246"/>
      <c r="H569" s="236"/>
      <c r="I569" s="236"/>
      <c r="J569" s="236"/>
      <c r="K569" s="236"/>
      <c r="L569" s="236"/>
      <c r="M569" s="236"/>
      <c r="N569" s="236"/>
      <c r="O569" s="236"/>
      <c r="P569" s="236"/>
      <c r="Q569" s="236"/>
      <c r="R569" s="236"/>
      <c r="S569" s="236"/>
      <c r="T569" s="236"/>
      <c r="U569" s="236"/>
      <c r="V569" s="239"/>
      <c r="W569" s="236"/>
      <c r="X569" s="236"/>
    </row>
    <row r="570">
      <c r="A570" s="236"/>
      <c r="B570" s="236"/>
      <c r="C570" s="236"/>
      <c r="D570" s="238"/>
      <c r="E570" s="245"/>
      <c r="F570" s="246"/>
      <c r="G570" s="246"/>
      <c r="H570" s="236"/>
      <c r="I570" s="236"/>
      <c r="J570" s="236"/>
      <c r="K570" s="236"/>
      <c r="L570" s="236"/>
      <c r="M570" s="236"/>
      <c r="N570" s="236"/>
      <c r="O570" s="236"/>
      <c r="P570" s="236"/>
      <c r="Q570" s="236"/>
      <c r="R570" s="236"/>
      <c r="S570" s="236"/>
      <c r="T570" s="236"/>
      <c r="U570" s="236"/>
      <c r="V570" s="239"/>
      <c r="W570" s="236"/>
      <c r="X570" s="236"/>
    </row>
    <row r="571">
      <c r="A571" s="236"/>
      <c r="B571" s="236"/>
      <c r="C571" s="236"/>
      <c r="D571" s="238"/>
      <c r="E571" s="245"/>
      <c r="F571" s="246"/>
      <c r="G571" s="246"/>
      <c r="H571" s="236"/>
      <c r="I571" s="236"/>
      <c r="J571" s="236"/>
      <c r="K571" s="236"/>
      <c r="L571" s="236"/>
      <c r="M571" s="236"/>
      <c r="N571" s="236"/>
      <c r="O571" s="236"/>
      <c r="P571" s="236"/>
      <c r="Q571" s="236"/>
      <c r="R571" s="236"/>
      <c r="S571" s="236"/>
      <c r="T571" s="236"/>
      <c r="U571" s="236"/>
      <c r="V571" s="239"/>
      <c r="W571" s="236"/>
      <c r="X571" s="236"/>
    </row>
    <row r="572">
      <c r="A572" s="236"/>
      <c r="B572" s="236"/>
      <c r="C572" s="236"/>
      <c r="D572" s="238"/>
      <c r="E572" s="245"/>
      <c r="F572" s="246"/>
      <c r="G572" s="246"/>
      <c r="H572" s="236"/>
      <c r="I572" s="236"/>
      <c r="J572" s="236"/>
      <c r="K572" s="236"/>
      <c r="L572" s="236"/>
      <c r="M572" s="236"/>
      <c r="N572" s="236"/>
      <c r="O572" s="236"/>
      <c r="P572" s="236"/>
      <c r="Q572" s="236"/>
      <c r="R572" s="236"/>
      <c r="S572" s="236"/>
      <c r="T572" s="236"/>
      <c r="U572" s="236"/>
      <c r="V572" s="239"/>
      <c r="W572" s="236"/>
      <c r="X572" s="236"/>
    </row>
    <row r="573">
      <c r="A573" s="236"/>
      <c r="B573" s="236"/>
      <c r="C573" s="236"/>
      <c r="D573" s="238"/>
      <c r="E573" s="245"/>
      <c r="F573" s="246"/>
      <c r="G573" s="246"/>
      <c r="H573" s="236"/>
      <c r="I573" s="236"/>
      <c r="J573" s="236"/>
      <c r="K573" s="236"/>
      <c r="L573" s="236"/>
      <c r="M573" s="236"/>
      <c r="N573" s="236"/>
      <c r="O573" s="236"/>
      <c r="P573" s="236"/>
      <c r="Q573" s="236"/>
      <c r="R573" s="236"/>
      <c r="S573" s="236"/>
      <c r="T573" s="236"/>
      <c r="U573" s="236"/>
      <c r="V573" s="239"/>
      <c r="W573" s="236"/>
      <c r="X573" s="236"/>
    </row>
    <row r="574">
      <c r="A574" s="236"/>
      <c r="B574" s="236"/>
      <c r="C574" s="236"/>
      <c r="D574" s="238"/>
      <c r="E574" s="245"/>
      <c r="F574" s="246"/>
      <c r="G574" s="246"/>
      <c r="H574" s="236"/>
      <c r="I574" s="236"/>
      <c r="J574" s="236"/>
      <c r="K574" s="236"/>
      <c r="L574" s="236"/>
      <c r="M574" s="236"/>
      <c r="N574" s="236"/>
      <c r="O574" s="236"/>
      <c r="P574" s="236"/>
      <c r="Q574" s="236"/>
      <c r="R574" s="236"/>
      <c r="S574" s="236"/>
      <c r="T574" s="236"/>
      <c r="U574" s="236"/>
      <c r="V574" s="239"/>
      <c r="W574" s="236"/>
      <c r="X574" s="236"/>
    </row>
    <row r="575">
      <c r="A575" s="236"/>
      <c r="B575" s="236"/>
      <c r="C575" s="236"/>
      <c r="D575" s="238"/>
      <c r="E575" s="245"/>
      <c r="F575" s="246"/>
      <c r="G575" s="246"/>
      <c r="H575" s="236"/>
      <c r="I575" s="236"/>
      <c r="J575" s="236"/>
      <c r="K575" s="236"/>
      <c r="L575" s="236"/>
      <c r="M575" s="236"/>
      <c r="N575" s="236"/>
      <c r="O575" s="236"/>
      <c r="P575" s="236"/>
      <c r="Q575" s="236"/>
      <c r="R575" s="236"/>
      <c r="S575" s="236"/>
      <c r="T575" s="236"/>
      <c r="U575" s="236"/>
      <c r="V575" s="239"/>
      <c r="W575" s="236"/>
      <c r="X575" s="236"/>
    </row>
    <row r="576">
      <c r="A576" s="236"/>
      <c r="B576" s="236"/>
      <c r="C576" s="236"/>
      <c r="D576" s="238"/>
      <c r="E576" s="245"/>
      <c r="F576" s="246"/>
      <c r="G576" s="246"/>
      <c r="H576" s="236"/>
      <c r="I576" s="236"/>
      <c r="J576" s="236"/>
      <c r="K576" s="236"/>
      <c r="L576" s="236"/>
      <c r="M576" s="236"/>
      <c r="N576" s="236"/>
      <c r="O576" s="236"/>
      <c r="P576" s="236"/>
      <c r="Q576" s="236"/>
      <c r="R576" s="236"/>
      <c r="S576" s="236"/>
      <c r="T576" s="236"/>
      <c r="U576" s="236"/>
      <c r="V576" s="239"/>
      <c r="W576" s="236"/>
      <c r="X576" s="236"/>
    </row>
    <row r="577">
      <c r="A577" s="236"/>
      <c r="B577" s="236"/>
      <c r="C577" s="236"/>
      <c r="D577" s="238"/>
      <c r="E577" s="245"/>
      <c r="F577" s="246"/>
      <c r="G577" s="246"/>
      <c r="H577" s="236"/>
      <c r="I577" s="236"/>
      <c r="J577" s="236"/>
      <c r="K577" s="236"/>
      <c r="L577" s="236"/>
      <c r="M577" s="236"/>
      <c r="N577" s="236"/>
      <c r="O577" s="236"/>
      <c r="P577" s="236"/>
      <c r="Q577" s="236"/>
      <c r="R577" s="236"/>
      <c r="S577" s="236"/>
      <c r="T577" s="236"/>
      <c r="U577" s="236"/>
      <c r="V577" s="239"/>
      <c r="W577" s="236"/>
      <c r="X577" s="236"/>
    </row>
    <row r="578">
      <c r="A578" s="236"/>
      <c r="B578" s="236"/>
      <c r="C578" s="236"/>
      <c r="D578" s="238"/>
      <c r="E578" s="245"/>
      <c r="F578" s="246"/>
      <c r="G578" s="246"/>
      <c r="H578" s="236"/>
      <c r="I578" s="236"/>
      <c r="J578" s="236"/>
      <c r="K578" s="236"/>
      <c r="L578" s="236"/>
      <c r="M578" s="236"/>
      <c r="N578" s="236"/>
      <c r="O578" s="236"/>
      <c r="P578" s="236"/>
      <c r="Q578" s="236"/>
      <c r="R578" s="236"/>
      <c r="S578" s="236"/>
      <c r="T578" s="236"/>
      <c r="U578" s="236"/>
      <c r="V578" s="239"/>
      <c r="W578" s="236"/>
      <c r="X578" s="236"/>
    </row>
    <row r="579">
      <c r="A579" s="236"/>
      <c r="B579" s="236"/>
      <c r="C579" s="236"/>
      <c r="D579" s="238"/>
      <c r="E579" s="245"/>
      <c r="F579" s="246"/>
      <c r="G579" s="246"/>
      <c r="H579" s="236"/>
      <c r="I579" s="236"/>
      <c r="J579" s="236"/>
      <c r="K579" s="236"/>
      <c r="L579" s="236"/>
      <c r="M579" s="236"/>
      <c r="N579" s="236"/>
      <c r="O579" s="236"/>
      <c r="P579" s="236"/>
      <c r="Q579" s="236"/>
      <c r="R579" s="236"/>
      <c r="S579" s="236"/>
      <c r="T579" s="236"/>
      <c r="U579" s="236"/>
      <c r="V579" s="239"/>
      <c r="W579" s="236"/>
      <c r="X579" s="236"/>
    </row>
    <row r="580">
      <c r="A580" s="236"/>
      <c r="B580" s="236"/>
      <c r="C580" s="236"/>
      <c r="D580" s="238"/>
      <c r="E580" s="245"/>
      <c r="F580" s="246"/>
      <c r="G580" s="246"/>
      <c r="H580" s="236"/>
      <c r="I580" s="236"/>
      <c r="J580" s="236"/>
      <c r="K580" s="236"/>
      <c r="L580" s="236"/>
      <c r="M580" s="236"/>
      <c r="N580" s="236"/>
      <c r="O580" s="236"/>
      <c r="P580" s="236"/>
      <c r="Q580" s="236"/>
      <c r="R580" s="236"/>
      <c r="S580" s="236"/>
      <c r="T580" s="236"/>
      <c r="U580" s="236"/>
      <c r="V580" s="239"/>
      <c r="W580" s="236"/>
      <c r="X580" s="236"/>
    </row>
    <row r="581">
      <c r="A581" s="236"/>
      <c r="B581" s="236"/>
      <c r="C581" s="236"/>
      <c r="D581" s="238"/>
      <c r="E581" s="245"/>
      <c r="F581" s="246"/>
      <c r="G581" s="246"/>
      <c r="H581" s="236"/>
      <c r="I581" s="236"/>
      <c r="J581" s="236"/>
      <c r="K581" s="236"/>
      <c r="L581" s="236"/>
      <c r="M581" s="236"/>
      <c r="N581" s="236"/>
      <c r="O581" s="236"/>
      <c r="P581" s="236"/>
      <c r="Q581" s="236"/>
      <c r="R581" s="236"/>
      <c r="S581" s="236"/>
      <c r="T581" s="236"/>
      <c r="U581" s="236"/>
      <c r="V581" s="239"/>
      <c r="W581" s="236"/>
      <c r="X581" s="236"/>
    </row>
    <row r="582">
      <c r="A582" s="236"/>
      <c r="B582" s="236"/>
      <c r="C582" s="236"/>
      <c r="D582" s="238"/>
      <c r="E582" s="245"/>
      <c r="F582" s="246"/>
      <c r="G582" s="246"/>
      <c r="H582" s="236"/>
      <c r="I582" s="236"/>
      <c r="J582" s="236"/>
      <c r="K582" s="236"/>
      <c r="L582" s="236"/>
      <c r="M582" s="236"/>
      <c r="N582" s="236"/>
      <c r="O582" s="236"/>
      <c r="P582" s="236"/>
      <c r="Q582" s="236"/>
      <c r="R582" s="236"/>
      <c r="S582" s="236"/>
      <c r="T582" s="236"/>
      <c r="U582" s="236"/>
      <c r="V582" s="239"/>
      <c r="W582" s="236"/>
      <c r="X582" s="236"/>
    </row>
    <row r="583">
      <c r="A583" s="236"/>
      <c r="B583" s="236"/>
      <c r="C583" s="236"/>
      <c r="D583" s="238"/>
      <c r="E583" s="245"/>
      <c r="F583" s="246"/>
      <c r="G583" s="246"/>
      <c r="H583" s="236"/>
      <c r="I583" s="236"/>
      <c r="J583" s="236"/>
      <c r="K583" s="236"/>
      <c r="L583" s="236"/>
      <c r="M583" s="236"/>
      <c r="N583" s="236"/>
      <c r="O583" s="236"/>
      <c r="P583" s="236"/>
      <c r="Q583" s="236"/>
      <c r="R583" s="236"/>
      <c r="S583" s="236"/>
      <c r="T583" s="236"/>
      <c r="U583" s="236"/>
      <c r="V583" s="239"/>
      <c r="W583" s="236"/>
      <c r="X583" s="236"/>
    </row>
    <row r="584">
      <c r="A584" s="236"/>
      <c r="B584" s="236"/>
      <c r="C584" s="236"/>
      <c r="D584" s="238"/>
      <c r="E584" s="245"/>
      <c r="F584" s="246"/>
      <c r="G584" s="246"/>
      <c r="H584" s="236"/>
      <c r="I584" s="236"/>
      <c r="J584" s="236"/>
      <c r="K584" s="236"/>
      <c r="L584" s="236"/>
      <c r="M584" s="236"/>
      <c r="N584" s="236"/>
      <c r="O584" s="236"/>
      <c r="P584" s="236"/>
      <c r="Q584" s="236"/>
      <c r="R584" s="236"/>
      <c r="S584" s="236"/>
      <c r="T584" s="236"/>
      <c r="U584" s="236"/>
      <c r="V584" s="239"/>
      <c r="W584" s="236"/>
      <c r="X584" s="236"/>
    </row>
    <row r="585">
      <c r="A585" s="236"/>
      <c r="B585" s="236"/>
      <c r="C585" s="236"/>
      <c r="D585" s="238"/>
      <c r="E585" s="245"/>
      <c r="F585" s="246"/>
      <c r="G585" s="246"/>
      <c r="H585" s="236"/>
      <c r="I585" s="236"/>
      <c r="J585" s="236"/>
      <c r="K585" s="236"/>
      <c r="L585" s="236"/>
      <c r="M585" s="236"/>
      <c r="N585" s="236"/>
      <c r="O585" s="236"/>
      <c r="P585" s="236"/>
      <c r="Q585" s="236"/>
      <c r="R585" s="236"/>
      <c r="S585" s="236"/>
      <c r="T585" s="236"/>
      <c r="U585" s="236"/>
      <c r="V585" s="239"/>
      <c r="W585" s="236"/>
      <c r="X585" s="236"/>
    </row>
    <row r="586">
      <c r="A586" s="236"/>
      <c r="B586" s="236"/>
      <c r="C586" s="236"/>
      <c r="D586" s="238"/>
      <c r="E586" s="245"/>
      <c r="F586" s="246"/>
      <c r="G586" s="246"/>
      <c r="H586" s="236"/>
      <c r="I586" s="236"/>
      <c r="J586" s="236"/>
      <c r="K586" s="236"/>
      <c r="L586" s="236"/>
      <c r="M586" s="236"/>
      <c r="N586" s="236"/>
      <c r="O586" s="236"/>
      <c r="P586" s="236"/>
      <c r="Q586" s="236"/>
      <c r="R586" s="236"/>
      <c r="S586" s="236"/>
      <c r="T586" s="236"/>
      <c r="U586" s="236"/>
      <c r="V586" s="239"/>
      <c r="W586" s="236"/>
      <c r="X586" s="236"/>
    </row>
    <row r="587">
      <c r="A587" s="236"/>
      <c r="B587" s="236"/>
      <c r="C587" s="236"/>
      <c r="D587" s="238"/>
      <c r="E587" s="245"/>
      <c r="F587" s="246"/>
      <c r="G587" s="246"/>
      <c r="H587" s="236"/>
      <c r="I587" s="236"/>
      <c r="J587" s="236"/>
      <c r="K587" s="236"/>
      <c r="L587" s="236"/>
      <c r="M587" s="236"/>
      <c r="N587" s="236"/>
      <c r="O587" s="236"/>
      <c r="P587" s="236"/>
      <c r="Q587" s="236"/>
      <c r="R587" s="236"/>
      <c r="S587" s="236"/>
      <c r="T587" s="236"/>
      <c r="U587" s="236"/>
      <c r="V587" s="239"/>
      <c r="W587" s="236"/>
      <c r="X587" s="236"/>
    </row>
    <row r="588">
      <c r="A588" s="236"/>
      <c r="B588" s="236"/>
      <c r="C588" s="236"/>
      <c r="D588" s="238"/>
      <c r="E588" s="245"/>
      <c r="F588" s="246"/>
      <c r="G588" s="246"/>
      <c r="H588" s="236"/>
      <c r="I588" s="236"/>
      <c r="J588" s="236"/>
      <c r="K588" s="236"/>
      <c r="L588" s="236"/>
      <c r="M588" s="236"/>
      <c r="N588" s="236"/>
      <c r="O588" s="236"/>
      <c r="P588" s="236"/>
      <c r="Q588" s="236"/>
      <c r="R588" s="236"/>
      <c r="S588" s="236"/>
      <c r="T588" s="236"/>
      <c r="U588" s="236"/>
      <c r="V588" s="239"/>
      <c r="W588" s="236"/>
      <c r="X588" s="236"/>
    </row>
    <row r="589">
      <c r="A589" s="236"/>
      <c r="B589" s="236"/>
      <c r="C589" s="236"/>
      <c r="D589" s="238"/>
      <c r="E589" s="245"/>
      <c r="F589" s="246"/>
      <c r="G589" s="246"/>
      <c r="H589" s="236"/>
      <c r="I589" s="236"/>
      <c r="J589" s="236"/>
      <c r="K589" s="236"/>
      <c r="L589" s="236"/>
      <c r="M589" s="236"/>
      <c r="N589" s="236"/>
      <c r="O589" s="236"/>
      <c r="P589" s="236"/>
      <c r="Q589" s="236"/>
      <c r="R589" s="236"/>
      <c r="S589" s="236"/>
      <c r="T589" s="236"/>
      <c r="U589" s="236"/>
      <c r="V589" s="239"/>
      <c r="W589" s="236"/>
      <c r="X589" s="236"/>
    </row>
    <row r="590">
      <c r="A590" s="236"/>
      <c r="B590" s="236"/>
      <c r="C590" s="236"/>
      <c r="D590" s="238"/>
      <c r="E590" s="245"/>
      <c r="F590" s="246"/>
      <c r="G590" s="246"/>
      <c r="H590" s="236"/>
      <c r="I590" s="236"/>
      <c r="J590" s="236"/>
      <c r="K590" s="236"/>
      <c r="L590" s="236"/>
      <c r="M590" s="236"/>
      <c r="N590" s="236"/>
      <c r="O590" s="236"/>
      <c r="P590" s="236"/>
      <c r="Q590" s="236"/>
      <c r="R590" s="236"/>
      <c r="S590" s="236"/>
      <c r="T590" s="236"/>
      <c r="U590" s="236"/>
      <c r="V590" s="239"/>
      <c r="W590" s="236"/>
      <c r="X590" s="236"/>
    </row>
    <row r="591">
      <c r="A591" s="236"/>
      <c r="B591" s="236"/>
      <c r="C591" s="236"/>
      <c r="D591" s="238"/>
      <c r="E591" s="245"/>
      <c r="F591" s="246"/>
      <c r="G591" s="246"/>
      <c r="H591" s="236"/>
      <c r="I591" s="236"/>
      <c r="J591" s="236"/>
      <c r="K591" s="236"/>
      <c r="L591" s="236"/>
      <c r="M591" s="236"/>
      <c r="N591" s="236"/>
      <c r="O591" s="236"/>
      <c r="P591" s="236"/>
      <c r="Q591" s="236"/>
      <c r="R591" s="236"/>
      <c r="S591" s="236"/>
      <c r="T591" s="236"/>
      <c r="U591" s="236"/>
      <c r="V591" s="239"/>
      <c r="W591" s="236"/>
      <c r="X591" s="236"/>
    </row>
    <row r="592">
      <c r="A592" s="236"/>
      <c r="B592" s="236"/>
      <c r="C592" s="236"/>
      <c r="D592" s="238"/>
      <c r="E592" s="245"/>
      <c r="F592" s="246"/>
      <c r="G592" s="246"/>
      <c r="H592" s="236"/>
      <c r="I592" s="236"/>
      <c r="J592" s="236"/>
      <c r="K592" s="236"/>
      <c r="L592" s="236"/>
      <c r="M592" s="236"/>
      <c r="N592" s="236"/>
      <c r="O592" s="236"/>
      <c r="P592" s="236"/>
      <c r="Q592" s="236"/>
      <c r="R592" s="236"/>
      <c r="S592" s="236"/>
      <c r="T592" s="236"/>
      <c r="U592" s="236"/>
      <c r="V592" s="239"/>
      <c r="W592" s="236"/>
      <c r="X592" s="236"/>
    </row>
    <row r="593">
      <c r="A593" s="236"/>
      <c r="B593" s="236"/>
      <c r="C593" s="236"/>
      <c r="D593" s="238"/>
      <c r="E593" s="245"/>
      <c r="F593" s="246"/>
      <c r="G593" s="246"/>
      <c r="H593" s="236"/>
      <c r="I593" s="236"/>
      <c r="J593" s="236"/>
      <c r="K593" s="236"/>
      <c r="L593" s="236"/>
      <c r="M593" s="236"/>
      <c r="N593" s="236"/>
      <c r="O593" s="236"/>
      <c r="P593" s="236"/>
      <c r="Q593" s="236"/>
      <c r="R593" s="236"/>
      <c r="S593" s="236"/>
      <c r="T593" s="236"/>
      <c r="U593" s="236"/>
      <c r="V593" s="239"/>
      <c r="W593" s="236"/>
      <c r="X593" s="236"/>
    </row>
    <row r="594">
      <c r="A594" s="236"/>
      <c r="B594" s="236"/>
      <c r="C594" s="236"/>
      <c r="D594" s="238"/>
      <c r="E594" s="245"/>
      <c r="F594" s="246"/>
      <c r="G594" s="246"/>
      <c r="H594" s="236"/>
      <c r="I594" s="236"/>
      <c r="J594" s="236"/>
      <c r="K594" s="236"/>
      <c r="L594" s="236"/>
      <c r="M594" s="236"/>
      <c r="N594" s="236"/>
      <c r="O594" s="236"/>
      <c r="P594" s="236"/>
      <c r="Q594" s="236"/>
      <c r="R594" s="236"/>
      <c r="S594" s="236"/>
      <c r="T594" s="236"/>
      <c r="U594" s="236"/>
      <c r="V594" s="239"/>
      <c r="W594" s="236"/>
      <c r="X594" s="236"/>
    </row>
    <row r="595">
      <c r="A595" s="236"/>
      <c r="B595" s="236"/>
      <c r="C595" s="236"/>
      <c r="D595" s="238"/>
      <c r="E595" s="245"/>
      <c r="F595" s="246"/>
      <c r="G595" s="246"/>
      <c r="H595" s="236"/>
      <c r="I595" s="236"/>
      <c r="J595" s="236"/>
      <c r="K595" s="236"/>
      <c r="L595" s="236"/>
      <c r="M595" s="236"/>
      <c r="N595" s="236"/>
      <c r="O595" s="236"/>
      <c r="P595" s="236"/>
      <c r="Q595" s="236"/>
      <c r="R595" s="236"/>
      <c r="S595" s="236"/>
      <c r="T595" s="236"/>
      <c r="U595" s="236"/>
      <c r="V595" s="239"/>
      <c r="W595" s="236"/>
      <c r="X595" s="236"/>
    </row>
    <row r="596">
      <c r="A596" s="236"/>
      <c r="B596" s="236"/>
      <c r="C596" s="236"/>
      <c r="D596" s="238"/>
      <c r="E596" s="245"/>
      <c r="F596" s="246"/>
      <c r="G596" s="246"/>
      <c r="H596" s="236"/>
      <c r="I596" s="236"/>
      <c r="J596" s="236"/>
      <c r="K596" s="236"/>
      <c r="L596" s="236"/>
      <c r="M596" s="236"/>
      <c r="N596" s="236"/>
      <c r="O596" s="236"/>
      <c r="P596" s="236"/>
      <c r="Q596" s="236"/>
      <c r="R596" s="236"/>
      <c r="S596" s="236"/>
      <c r="T596" s="236"/>
      <c r="U596" s="236"/>
      <c r="V596" s="239"/>
      <c r="W596" s="236"/>
      <c r="X596" s="236"/>
    </row>
    <row r="597">
      <c r="A597" s="236"/>
      <c r="B597" s="236"/>
      <c r="C597" s="236"/>
      <c r="D597" s="238"/>
      <c r="E597" s="245"/>
      <c r="F597" s="246"/>
      <c r="G597" s="246"/>
      <c r="H597" s="236"/>
      <c r="I597" s="236"/>
      <c r="J597" s="236"/>
      <c r="K597" s="236"/>
      <c r="L597" s="236"/>
      <c r="M597" s="236"/>
      <c r="N597" s="236"/>
      <c r="O597" s="236"/>
      <c r="P597" s="236"/>
      <c r="Q597" s="236"/>
      <c r="R597" s="236"/>
      <c r="S597" s="236"/>
      <c r="T597" s="236"/>
      <c r="U597" s="236"/>
      <c r="V597" s="239"/>
      <c r="W597" s="236"/>
      <c r="X597" s="236"/>
    </row>
    <row r="598">
      <c r="A598" s="236"/>
      <c r="B598" s="236"/>
      <c r="C598" s="236"/>
      <c r="D598" s="238"/>
      <c r="E598" s="245"/>
      <c r="F598" s="246"/>
      <c r="G598" s="246"/>
      <c r="H598" s="236"/>
      <c r="I598" s="236"/>
      <c r="J598" s="236"/>
      <c r="K598" s="236"/>
      <c r="L598" s="236"/>
      <c r="M598" s="236"/>
      <c r="N598" s="236"/>
      <c r="O598" s="236"/>
      <c r="P598" s="236"/>
      <c r="Q598" s="236"/>
      <c r="R598" s="236"/>
      <c r="S598" s="236"/>
      <c r="T598" s="236"/>
      <c r="U598" s="236"/>
      <c r="V598" s="239"/>
      <c r="W598" s="236"/>
      <c r="X598" s="236"/>
    </row>
    <row r="599">
      <c r="A599" s="236"/>
      <c r="B599" s="236"/>
      <c r="C599" s="236"/>
      <c r="D599" s="238"/>
      <c r="E599" s="245"/>
      <c r="F599" s="246"/>
      <c r="G599" s="246"/>
      <c r="H599" s="236"/>
      <c r="I599" s="236"/>
      <c r="J599" s="236"/>
      <c r="K599" s="236"/>
      <c r="L599" s="236"/>
      <c r="M599" s="236"/>
      <c r="N599" s="236"/>
      <c r="O599" s="236"/>
      <c r="P599" s="236"/>
      <c r="Q599" s="236"/>
      <c r="R599" s="236"/>
      <c r="S599" s="236"/>
      <c r="T599" s="236"/>
      <c r="U599" s="236"/>
      <c r="V599" s="239"/>
      <c r="W599" s="236"/>
      <c r="X599" s="236"/>
    </row>
    <row r="600">
      <c r="A600" s="236"/>
      <c r="B600" s="236"/>
      <c r="C600" s="236"/>
      <c r="D600" s="238"/>
      <c r="E600" s="245"/>
      <c r="F600" s="246"/>
      <c r="G600" s="246"/>
      <c r="H600" s="236"/>
      <c r="I600" s="236"/>
      <c r="J600" s="236"/>
      <c r="K600" s="236"/>
      <c r="L600" s="236"/>
      <c r="M600" s="236"/>
      <c r="N600" s="236"/>
      <c r="O600" s="236"/>
      <c r="P600" s="236"/>
      <c r="Q600" s="236"/>
      <c r="R600" s="236"/>
      <c r="S600" s="236"/>
      <c r="T600" s="236"/>
      <c r="U600" s="236"/>
      <c r="V600" s="239"/>
      <c r="W600" s="236"/>
      <c r="X600" s="236"/>
    </row>
    <row r="601">
      <c r="A601" s="236"/>
      <c r="B601" s="236"/>
      <c r="C601" s="236"/>
      <c r="D601" s="238"/>
      <c r="E601" s="245"/>
      <c r="F601" s="246"/>
      <c r="G601" s="246"/>
      <c r="H601" s="236"/>
      <c r="I601" s="236"/>
      <c r="J601" s="236"/>
      <c r="K601" s="236"/>
      <c r="L601" s="236"/>
      <c r="M601" s="236"/>
      <c r="N601" s="236"/>
      <c r="O601" s="236"/>
      <c r="P601" s="236"/>
      <c r="Q601" s="236"/>
      <c r="R601" s="236"/>
      <c r="S601" s="236"/>
      <c r="T601" s="236"/>
      <c r="U601" s="236"/>
      <c r="V601" s="239"/>
      <c r="W601" s="236"/>
      <c r="X601" s="236"/>
    </row>
    <row r="602">
      <c r="A602" s="236"/>
      <c r="B602" s="236"/>
      <c r="C602" s="236"/>
      <c r="D602" s="238"/>
      <c r="E602" s="245"/>
      <c r="F602" s="246"/>
      <c r="G602" s="246"/>
      <c r="H602" s="236"/>
      <c r="I602" s="236"/>
      <c r="J602" s="236"/>
      <c r="K602" s="236"/>
      <c r="L602" s="236"/>
      <c r="M602" s="236"/>
      <c r="N602" s="236"/>
      <c r="O602" s="236"/>
      <c r="P602" s="236"/>
      <c r="Q602" s="236"/>
      <c r="R602" s="236"/>
      <c r="S602" s="236"/>
      <c r="T602" s="236"/>
      <c r="U602" s="236"/>
      <c r="V602" s="239"/>
      <c r="W602" s="236"/>
      <c r="X602" s="236"/>
    </row>
    <row r="603">
      <c r="A603" s="236"/>
      <c r="B603" s="236"/>
      <c r="C603" s="236"/>
      <c r="D603" s="238"/>
      <c r="E603" s="245"/>
      <c r="F603" s="246"/>
      <c r="G603" s="246"/>
      <c r="H603" s="236"/>
      <c r="I603" s="236"/>
      <c r="J603" s="236"/>
      <c r="K603" s="236"/>
      <c r="L603" s="236"/>
      <c r="M603" s="236"/>
      <c r="N603" s="236"/>
      <c r="O603" s="236"/>
      <c r="P603" s="236"/>
      <c r="Q603" s="236"/>
      <c r="R603" s="236"/>
      <c r="S603" s="236"/>
      <c r="T603" s="236"/>
      <c r="U603" s="236"/>
      <c r="V603" s="239"/>
      <c r="W603" s="236"/>
      <c r="X603" s="236"/>
    </row>
    <row r="604">
      <c r="A604" s="236"/>
      <c r="B604" s="236"/>
      <c r="C604" s="236"/>
      <c r="D604" s="238"/>
      <c r="E604" s="245"/>
      <c r="F604" s="246"/>
      <c r="G604" s="246"/>
      <c r="H604" s="236"/>
      <c r="I604" s="236"/>
      <c r="J604" s="236"/>
      <c r="K604" s="236"/>
      <c r="L604" s="236"/>
      <c r="M604" s="236"/>
      <c r="N604" s="236"/>
      <c r="O604" s="236"/>
      <c r="P604" s="236"/>
      <c r="Q604" s="236"/>
      <c r="R604" s="236"/>
      <c r="S604" s="236"/>
      <c r="T604" s="236"/>
      <c r="U604" s="236"/>
      <c r="V604" s="239"/>
      <c r="W604" s="236"/>
      <c r="X604" s="236"/>
    </row>
    <row r="605">
      <c r="A605" s="236"/>
      <c r="B605" s="236"/>
      <c r="C605" s="236"/>
      <c r="D605" s="238"/>
      <c r="E605" s="245"/>
      <c r="F605" s="246"/>
      <c r="G605" s="246"/>
      <c r="H605" s="236"/>
      <c r="I605" s="236"/>
      <c r="J605" s="236"/>
      <c r="K605" s="236"/>
      <c r="L605" s="236"/>
      <c r="M605" s="236"/>
      <c r="N605" s="236"/>
      <c r="O605" s="236"/>
      <c r="P605" s="236"/>
      <c r="Q605" s="236"/>
      <c r="R605" s="236"/>
      <c r="S605" s="236"/>
      <c r="T605" s="236"/>
      <c r="U605" s="236"/>
      <c r="V605" s="239"/>
      <c r="W605" s="236"/>
      <c r="X605" s="236"/>
    </row>
    <row r="606">
      <c r="A606" s="236"/>
      <c r="B606" s="236"/>
      <c r="C606" s="236"/>
      <c r="D606" s="238"/>
      <c r="E606" s="245"/>
      <c r="F606" s="246"/>
      <c r="G606" s="246"/>
      <c r="H606" s="236"/>
      <c r="I606" s="236"/>
      <c r="J606" s="236"/>
      <c r="K606" s="236"/>
      <c r="L606" s="236"/>
      <c r="M606" s="236"/>
      <c r="N606" s="236"/>
      <c r="O606" s="236"/>
      <c r="P606" s="236"/>
      <c r="Q606" s="236"/>
      <c r="R606" s="236"/>
      <c r="S606" s="236"/>
      <c r="T606" s="236"/>
      <c r="U606" s="236"/>
      <c r="V606" s="239"/>
      <c r="W606" s="236"/>
      <c r="X606" s="236"/>
    </row>
    <row r="607">
      <c r="A607" s="236"/>
      <c r="B607" s="236"/>
      <c r="C607" s="236"/>
      <c r="D607" s="238"/>
      <c r="E607" s="245"/>
      <c r="F607" s="246"/>
      <c r="G607" s="246"/>
      <c r="H607" s="236"/>
      <c r="I607" s="236"/>
      <c r="J607" s="236"/>
      <c r="K607" s="236"/>
      <c r="L607" s="236"/>
      <c r="M607" s="236"/>
      <c r="N607" s="236"/>
      <c r="O607" s="236"/>
      <c r="P607" s="236"/>
      <c r="Q607" s="236"/>
      <c r="R607" s="236"/>
      <c r="S607" s="236"/>
      <c r="T607" s="236"/>
      <c r="U607" s="236"/>
      <c r="V607" s="239"/>
      <c r="W607" s="236"/>
      <c r="X607" s="236"/>
    </row>
    <row r="608">
      <c r="A608" s="236"/>
      <c r="B608" s="236"/>
      <c r="C608" s="236"/>
      <c r="D608" s="238"/>
      <c r="E608" s="245"/>
      <c r="F608" s="246"/>
      <c r="G608" s="246"/>
      <c r="H608" s="236"/>
      <c r="I608" s="236"/>
      <c r="J608" s="236"/>
      <c r="K608" s="236"/>
      <c r="L608" s="236"/>
      <c r="M608" s="236"/>
      <c r="N608" s="236"/>
      <c r="O608" s="236"/>
      <c r="P608" s="236"/>
      <c r="Q608" s="236"/>
      <c r="R608" s="236"/>
      <c r="S608" s="236"/>
      <c r="T608" s="236"/>
      <c r="U608" s="236"/>
      <c r="V608" s="239"/>
      <c r="W608" s="236"/>
      <c r="X608" s="236"/>
    </row>
    <row r="609">
      <c r="A609" s="236"/>
      <c r="B609" s="236"/>
      <c r="C609" s="236"/>
      <c r="D609" s="238"/>
      <c r="E609" s="245"/>
      <c r="F609" s="246"/>
      <c r="G609" s="246"/>
      <c r="H609" s="236"/>
      <c r="I609" s="236"/>
      <c r="J609" s="236"/>
      <c r="K609" s="236"/>
      <c r="L609" s="236"/>
      <c r="M609" s="236"/>
      <c r="N609" s="236"/>
      <c r="O609" s="236"/>
      <c r="P609" s="236"/>
      <c r="Q609" s="236"/>
      <c r="R609" s="236"/>
      <c r="S609" s="236"/>
      <c r="T609" s="236"/>
      <c r="U609" s="236"/>
      <c r="V609" s="239"/>
      <c r="W609" s="236"/>
      <c r="X609" s="236"/>
    </row>
    <row r="610">
      <c r="A610" s="236"/>
      <c r="B610" s="236"/>
      <c r="C610" s="236"/>
      <c r="D610" s="238"/>
      <c r="E610" s="245"/>
      <c r="F610" s="246"/>
      <c r="G610" s="246"/>
      <c r="H610" s="236"/>
      <c r="I610" s="236"/>
      <c r="J610" s="236"/>
      <c r="K610" s="236"/>
      <c r="L610" s="236"/>
      <c r="M610" s="236"/>
      <c r="N610" s="236"/>
      <c r="O610" s="236"/>
      <c r="P610" s="236"/>
      <c r="Q610" s="236"/>
      <c r="R610" s="236"/>
      <c r="S610" s="236"/>
      <c r="T610" s="236"/>
      <c r="U610" s="236"/>
      <c r="V610" s="239"/>
      <c r="W610" s="236"/>
      <c r="X610" s="236"/>
    </row>
    <row r="611">
      <c r="A611" s="236"/>
      <c r="B611" s="236"/>
      <c r="C611" s="236"/>
      <c r="D611" s="238"/>
      <c r="E611" s="245"/>
      <c r="F611" s="246"/>
      <c r="G611" s="246"/>
      <c r="H611" s="236"/>
      <c r="I611" s="236"/>
      <c r="J611" s="236"/>
      <c r="K611" s="236"/>
      <c r="L611" s="236"/>
      <c r="M611" s="236"/>
      <c r="N611" s="236"/>
      <c r="O611" s="236"/>
      <c r="P611" s="236"/>
      <c r="Q611" s="236"/>
      <c r="R611" s="236"/>
      <c r="S611" s="236"/>
      <c r="T611" s="236"/>
      <c r="U611" s="236"/>
      <c r="V611" s="239"/>
      <c r="W611" s="236"/>
      <c r="X611" s="236"/>
    </row>
    <row r="612">
      <c r="A612" s="236"/>
      <c r="B612" s="236"/>
      <c r="C612" s="236"/>
      <c r="D612" s="238"/>
      <c r="E612" s="245"/>
      <c r="F612" s="246"/>
      <c r="G612" s="246"/>
      <c r="H612" s="236"/>
      <c r="I612" s="236"/>
      <c r="J612" s="236"/>
      <c r="K612" s="236"/>
      <c r="L612" s="236"/>
      <c r="M612" s="236"/>
      <c r="N612" s="236"/>
      <c r="O612" s="236"/>
      <c r="P612" s="236"/>
      <c r="Q612" s="236"/>
      <c r="R612" s="236"/>
      <c r="S612" s="236"/>
      <c r="T612" s="236"/>
      <c r="U612" s="236"/>
      <c r="V612" s="239"/>
      <c r="W612" s="236"/>
      <c r="X612" s="236"/>
    </row>
    <row r="613">
      <c r="A613" s="236"/>
      <c r="B613" s="236"/>
      <c r="C613" s="236"/>
      <c r="D613" s="238"/>
      <c r="E613" s="245"/>
      <c r="F613" s="246"/>
      <c r="G613" s="246"/>
      <c r="H613" s="236"/>
      <c r="I613" s="236"/>
      <c r="J613" s="236"/>
      <c r="K613" s="236"/>
      <c r="L613" s="236"/>
      <c r="M613" s="236"/>
      <c r="N613" s="236"/>
      <c r="O613" s="236"/>
      <c r="P613" s="236"/>
      <c r="Q613" s="236"/>
      <c r="R613" s="236"/>
      <c r="S613" s="236"/>
      <c r="T613" s="236"/>
      <c r="U613" s="236"/>
      <c r="V613" s="239"/>
      <c r="W613" s="236"/>
      <c r="X613" s="236"/>
    </row>
    <row r="614">
      <c r="A614" s="236"/>
      <c r="B614" s="236"/>
      <c r="C614" s="236"/>
      <c r="D614" s="238"/>
      <c r="E614" s="245"/>
      <c r="F614" s="246"/>
      <c r="G614" s="246"/>
      <c r="H614" s="236"/>
      <c r="I614" s="236"/>
      <c r="J614" s="236"/>
      <c r="K614" s="236"/>
      <c r="L614" s="236"/>
      <c r="M614" s="236"/>
      <c r="N614" s="236"/>
      <c r="O614" s="236"/>
      <c r="P614" s="236"/>
      <c r="Q614" s="236"/>
      <c r="R614" s="236"/>
      <c r="S614" s="236"/>
      <c r="T614" s="236"/>
      <c r="U614" s="236"/>
      <c r="V614" s="239"/>
      <c r="W614" s="236"/>
      <c r="X614" s="236"/>
    </row>
    <row r="615">
      <c r="A615" s="236"/>
      <c r="B615" s="236"/>
      <c r="C615" s="236"/>
      <c r="D615" s="238"/>
      <c r="E615" s="245"/>
      <c r="F615" s="246"/>
      <c r="G615" s="246"/>
      <c r="H615" s="236"/>
      <c r="I615" s="236"/>
      <c r="J615" s="236"/>
      <c r="K615" s="236"/>
      <c r="L615" s="236"/>
      <c r="M615" s="236"/>
      <c r="N615" s="236"/>
      <c r="O615" s="236"/>
      <c r="P615" s="236"/>
      <c r="Q615" s="236"/>
      <c r="R615" s="236"/>
      <c r="S615" s="236"/>
      <c r="T615" s="236"/>
      <c r="U615" s="236"/>
      <c r="V615" s="239"/>
      <c r="W615" s="236"/>
      <c r="X615" s="236"/>
    </row>
    <row r="616">
      <c r="A616" s="236"/>
      <c r="B616" s="236"/>
      <c r="C616" s="236"/>
      <c r="D616" s="238"/>
      <c r="E616" s="245"/>
      <c r="F616" s="246"/>
      <c r="G616" s="246"/>
      <c r="H616" s="236"/>
      <c r="I616" s="236"/>
      <c r="J616" s="236"/>
      <c r="K616" s="236"/>
      <c r="L616" s="236"/>
      <c r="M616" s="236"/>
      <c r="N616" s="236"/>
      <c r="O616" s="236"/>
      <c r="P616" s="236"/>
      <c r="Q616" s="236"/>
      <c r="R616" s="236"/>
      <c r="S616" s="236"/>
      <c r="T616" s="236"/>
      <c r="U616" s="236"/>
      <c r="V616" s="239"/>
      <c r="W616" s="236"/>
      <c r="X616" s="236"/>
    </row>
    <row r="617">
      <c r="A617" s="236"/>
      <c r="B617" s="236"/>
      <c r="C617" s="236"/>
      <c r="D617" s="238"/>
      <c r="E617" s="245"/>
      <c r="F617" s="246"/>
      <c r="G617" s="246"/>
      <c r="H617" s="236"/>
      <c r="I617" s="236"/>
      <c r="J617" s="236"/>
      <c r="K617" s="236"/>
      <c r="L617" s="236"/>
      <c r="M617" s="236"/>
      <c r="N617" s="236"/>
      <c r="O617" s="236"/>
      <c r="P617" s="236"/>
      <c r="Q617" s="236"/>
      <c r="R617" s="236"/>
      <c r="S617" s="236"/>
      <c r="T617" s="236"/>
      <c r="U617" s="236"/>
      <c r="V617" s="239"/>
      <c r="W617" s="236"/>
      <c r="X617" s="236"/>
    </row>
    <row r="618">
      <c r="A618" s="236"/>
      <c r="B618" s="236"/>
      <c r="C618" s="236"/>
      <c r="D618" s="238"/>
      <c r="E618" s="245"/>
      <c r="F618" s="246"/>
      <c r="G618" s="246"/>
      <c r="H618" s="236"/>
      <c r="I618" s="236"/>
      <c r="J618" s="236"/>
      <c r="K618" s="236"/>
      <c r="L618" s="236"/>
      <c r="M618" s="236"/>
      <c r="N618" s="236"/>
      <c r="O618" s="236"/>
      <c r="P618" s="236"/>
      <c r="Q618" s="236"/>
      <c r="R618" s="236"/>
      <c r="S618" s="236"/>
      <c r="T618" s="236"/>
      <c r="U618" s="236"/>
      <c r="V618" s="239"/>
      <c r="W618" s="236"/>
      <c r="X618" s="236"/>
    </row>
    <row r="619">
      <c r="A619" s="236"/>
      <c r="B619" s="236"/>
      <c r="C619" s="236"/>
      <c r="D619" s="238"/>
      <c r="E619" s="245"/>
      <c r="F619" s="246"/>
      <c r="G619" s="246"/>
      <c r="H619" s="236"/>
      <c r="I619" s="236"/>
      <c r="J619" s="236"/>
      <c r="K619" s="236"/>
      <c r="L619" s="236"/>
      <c r="M619" s="236"/>
      <c r="N619" s="236"/>
      <c r="O619" s="236"/>
      <c r="P619" s="236"/>
      <c r="Q619" s="236"/>
      <c r="R619" s="236"/>
      <c r="S619" s="236"/>
      <c r="T619" s="236"/>
      <c r="U619" s="236"/>
      <c r="V619" s="239"/>
      <c r="W619" s="236"/>
      <c r="X619" s="236"/>
    </row>
    <row r="620">
      <c r="A620" s="236"/>
      <c r="B620" s="236"/>
      <c r="C620" s="236"/>
      <c r="D620" s="238"/>
      <c r="E620" s="245"/>
      <c r="F620" s="246"/>
      <c r="G620" s="246"/>
      <c r="H620" s="236"/>
      <c r="I620" s="236"/>
      <c r="J620" s="236"/>
      <c r="K620" s="236"/>
      <c r="L620" s="236"/>
      <c r="M620" s="236"/>
      <c r="N620" s="236"/>
      <c r="O620" s="236"/>
      <c r="P620" s="236"/>
      <c r="Q620" s="236"/>
      <c r="R620" s="236"/>
      <c r="S620" s="236"/>
      <c r="T620" s="236"/>
      <c r="U620" s="236"/>
      <c r="V620" s="239"/>
      <c r="W620" s="236"/>
      <c r="X620" s="236"/>
    </row>
    <row r="621">
      <c r="A621" s="236"/>
      <c r="B621" s="236"/>
      <c r="C621" s="236"/>
      <c r="D621" s="238"/>
      <c r="E621" s="245"/>
      <c r="F621" s="246"/>
      <c r="G621" s="246"/>
      <c r="H621" s="236"/>
      <c r="I621" s="236"/>
      <c r="J621" s="236"/>
      <c r="K621" s="236"/>
      <c r="L621" s="236"/>
      <c r="M621" s="236"/>
      <c r="N621" s="236"/>
      <c r="O621" s="236"/>
      <c r="P621" s="236"/>
      <c r="Q621" s="236"/>
      <c r="R621" s="236"/>
      <c r="S621" s="236"/>
      <c r="T621" s="236"/>
      <c r="U621" s="236"/>
      <c r="V621" s="239"/>
      <c r="W621" s="236"/>
      <c r="X621" s="236"/>
    </row>
    <row r="622">
      <c r="A622" s="236"/>
      <c r="B622" s="236"/>
      <c r="C622" s="236"/>
      <c r="D622" s="238"/>
      <c r="E622" s="245"/>
      <c r="F622" s="246"/>
      <c r="G622" s="246"/>
      <c r="H622" s="236"/>
      <c r="I622" s="236"/>
      <c r="J622" s="236"/>
      <c r="K622" s="236"/>
      <c r="L622" s="236"/>
      <c r="M622" s="236"/>
      <c r="N622" s="236"/>
      <c r="O622" s="236"/>
      <c r="P622" s="236"/>
      <c r="Q622" s="236"/>
      <c r="R622" s="236"/>
      <c r="S622" s="236"/>
      <c r="T622" s="236"/>
      <c r="U622" s="236"/>
      <c r="V622" s="239"/>
      <c r="W622" s="236"/>
      <c r="X622" s="236"/>
    </row>
    <row r="623">
      <c r="A623" s="236"/>
      <c r="B623" s="236"/>
      <c r="C623" s="236"/>
      <c r="D623" s="238"/>
      <c r="E623" s="245"/>
      <c r="F623" s="246"/>
      <c r="G623" s="246"/>
      <c r="H623" s="236"/>
      <c r="I623" s="236"/>
      <c r="J623" s="236"/>
      <c r="K623" s="236"/>
      <c r="L623" s="236"/>
      <c r="M623" s="236"/>
      <c r="N623" s="236"/>
      <c r="O623" s="236"/>
      <c r="P623" s="236"/>
      <c r="Q623" s="236"/>
      <c r="R623" s="236"/>
      <c r="S623" s="236"/>
      <c r="T623" s="236"/>
      <c r="U623" s="236"/>
      <c r="V623" s="239"/>
      <c r="W623" s="236"/>
      <c r="X623" s="236"/>
    </row>
    <row r="624">
      <c r="A624" s="236"/>
      <c r="B624" s="236"/>
      <c r="C624" s="236"/>
      <c r="D624" s="238"/>
      <c r="E624" s="245"/>
      <c r="F624" s="246"/>
      <c r="G624" s="246"/>
      <c r="H624" s="236"/>
      <c r="I624" s="236"/>
      <c r="J624" s="236"/>
      <c r="K624" s="236"/>
      <c r="L624" s="236"/>
      <c r="M624" s="236"/>
      <c r="N624" s="236"/>
      <c r="O624" s="236"/>
      <c r="P624" s="236"/>
      <c r="Q624" s="236"/>
      <c r="R624" s="236"/>
      <c r="S624" s="236"/>
      <c r="T624" s="236"/>
      <c r="U624" s="236"/>
      <c r="V624" s="239"/>
      <c r="W624" s="236"/>
      <c r="X624" s="236"/>
    </row>
    <row r="625">
      <c r="A625" s="236"/>
      <c r="B625" s="236"/>
      <c r="C625" s="236"/>
      <c r="D625" s="238"/>
      <c r="E625" s="245"/>
      <c r="F625" s="246"/>
      <c r="G625" s="246"/>
      <c r="H625" s="236"/>
      <c r="I625" s="236"/>
      <c r="J625" s="236"/>
      <c r="K625" s="236"/>
      <c r="L625" s="236"/>
      <c r="M625" s="236"/>
      <c r="N625" s="236"/>
      <c r="O625" s="236"/>
      <c r="P625" s="236"/>
      <c r="Q625" s="236"/>
      <c r="R625" s="236"/>
      <c r="S625" s="236"/>
      <c r="T625" s="236"/>
      <c r="U625" s="236"/>
      <c r="V625" s="239"/>
      <c r="W625" s="236"/>
      <c r="X625" s="236"/>
    </row>
    <row r="626">
      <c r="A626" s="236"/>
      <c r="B626" s="236"/>
      <c r="C626" s="236"/>
      <c r="D626" s="238"/>
      <c r="E626" s="245"/>
      <c r="F626" s="246"/>
      <c r="G626" s="246"/>
      <c r="H626" s="236"/>
      <c r="I626" s="236"/>
      <c r="J626" s="236"/>
      <c r="K626" s="236"/>
      <c r="L626" s="236"/>
      <c r="M626" s="236"/>
      <c r="N626" s="236"/>
      <c r="O626" s="236"/>
      <c r="P626" s="236"/>
      <c r="Q626" s="236"/>
      <c r="R626" s="236"/>
      <c r="S626" s="236"/>
      <c r="T626" s="236"/>
      <c r="U626" s="236"/>
      <c r="V626" s="239"/>
      <c r="W626" s="236"/>
      <c r="X626" s="236"/>
    </row>
    <row r="627">
      <c r="A627" s="236"/>
      <c r="B627" s="236"/>
      <c r="C627" s="236"/>
      <c r="D627" s="238"/>
      <c r="E627" s="245"/>
      <c r="F627" s="246"/>
      <c r="G627" s="246"/>
      <c r="H627" s="236"/>
      <c r="I627" s="236"/>
      <c r="J627" s="236"/>
      <c r="K627" s="236"/>
      <c r="L627" s="236"/>
      <c r="M627" s="236"/>
      <c r="N627" s="236"/>
      <c r="O627" s="236"/>
      <c r="P627" s="236"/>
      <c r="Q627" s="236"/>
      <c r="R627" s="236"/>
      <c r="S627" s="236"/>
      <c r="T627" s="236"/>
      <c r="U627" s="236"/>
      <c r="V627" s="239"/>
      <c r="W627" s="236"/>
      <c r="X627" s="236"/>
    </row>
    <row r="628">
      <c r="A628" s="236"/>
      <c r="B628" s="236"/>
      <c r="C628" s="236"/>
      <c r="D628" s="238"/>
      <c r="E628" s="245"/>
      <c r="F628" s="246"/>
      <c r="G628" s="246"/>
      <c r="H628" s="236"/>
      <c r="I628" s="236"/>
      <c r="J628" s="236"/>
      <c r="K628" s="236"/>
      <c r="L628" s="236"/>
      <c r="M628" s="236"/>
      <c r="N628" s="236"/>
      <c r="O628" s="236"/>
      <c r="P628" s="236"/>
      <c r="Q628" s="236"/>
      <c r="R628" s="236"/>
      <c r="S628" s="236"/>
      <c r="T628" s="236"/>
      <c r="U628" s="236"/>
      <c r="V628" s="239"/>
      <c r="W628" s="236"/>
      <c r="X628" s="236"/>
    </row>
    <row r="629">
      <c r="A629" s="236"/>
      <c r="B629" s="236"/>
      <c r="C629" s="236"/>
      <c r="D629" s="238"/>
      <c r="E629" s="245"/>
      <c r="F629" s="246"/>
      <c r="G629" s="246"/>
      <c r="H629" s="236"/>
      <c r="I629" s="236"/>
      <c r="J629" s="236"/>
      <c r="K629" s="236"/>
      <c r="L629" s="236"/>
      <c r="M629" s="236"/>
      <c r="N629" s="236"/>
      <c r="O629" s="236"/>
      <c r="P629" s="236"/>
      <c r="Q629" s="236"/>
      <c r="R629" s="236"/>
      <c r="S629" s="236"/>
      <c r="T629" s="236"/>
      <c r="U629" s="236"/>
      <c r="V629" s="239"/>
      <c r="W629" s="236"/>
      <c r="X629" s="236"/>
    </row>
    <row r="630">
      <c r="A630" s="236"/>
      <c r="B630" s="236"/>
      <c r="C630" s="236"/>
      <c r="D630" s="238"/>
      <c r="E630" s="245"/>
      <c r="F630" s="246"/>
      <c r="G630" s="246"/>
      <c r="H630" s="236"/>
      <c r="I630" s="236"/>
      <c r="J630" s="236"/>
      <c r="K630" s="236"/>
      <c r="L630" s="236"/>
      <c r="M630" s="236"/>
      <c r="N630" s="236"/>
      <c r="O630" s="236"/>
      <c r="P630" s="236"/>
      <c r="Q630" s="236"/>
      <c r="R630" s="236"/>
      <c r="S630" s="236"/>
      <c r="T630" s="236"/>
      <c r="U630" s="236"/>
      <c r="V630" s="239"/>
      <c r="W630" s="236"/>
      <c r="X630" s="236"/>
    </row>
    <row r="631">
      <c r="A631" s="236"/>
      <c r="B631" s="236"/>
      <c r="C631" s="236"/>
      <c r="D631" s="238"/>
      <c r="E631" s="245"/>
      <c r="F631" s="246"/>
      <c r="G631" s="246"/>
      <c r="H631" s="236"/>
      <c r="I631" s="236"/>
      <c r="J631" s="236"/>
      <c r="K631" s="236"/>
      <c r="L631" s="236"/>
      <c r="M631" s="236"/>
      <c r="N631" s="236"/>
      <c r="O631" s="236"/>
      <c r="P631" s="236"/>
      <c r="Q631" s="236"/>
      <c r="R631" s="236"/>
      <c r="S631" s="236"/>
      <c r="T631" s="236"/>
      <c r="U631" s="236"/>
      <c r="V631" s="239"/>
      <c r="W631" s="236"/>
      <c r="X631" s="236"/>
    </row>
    <row r="632">
      <c r="A632" s="236"/>
      <c r="B632" s="236"/>
      <c r="C632" s="236"/>
      <c r="D632" s="238"/>
      <c r="E632" s="245"/>
      <c r="F632" s="246"/>
      <c r="G632" s="246"/>
      <c r="H632" s="236"/>
      <c r="I632" s="236"/>
      <c r="J632" s="236"/>
      <c r="K632" s="236"/>
      <c r="L632" s="236"/>
      <c r="M632" s="236"/>
      <c r="N632" s="236"/>
      <c r="O632" s="236"/>
      <c r="P632" s="236"/>
      <c r="Q632" s="236"/>
      <c r="R632" s="236"/>
      <c r="S632" s="236"/>
      <c r="T632" s="236"/>
      <c r="U632" s="236"/>
      <c r="V632" s="239"/>
      <c r="W632" s="236"/>
      <c r="X632" s="236"/>
    </row>
    <row r="633">
      <c r="A633" s="236"/>
      <c r="B633" s="236"/>
      <c r="C633" s="236"/>
      <c r="D633" s="238"/>
      <c r="E633" s="245"/>
      <c r="F633" s="246"/>
      <c r="G633" s="246"/>
      <c r="H633" s="236"/>
      <c r="I633" s="236"/>
      <c r="J633" s="236"/>
      <c r="K633" s="236"/>
      <c r="L633" s="236"/>
      <c r="M633" s="236"/>
      <c r="N633" s="236"/>
      <c r="O633" s="236"/>
      <c r="P633" s="236"/>
      <c r="Q633" s="236"/>
      <c r="R633" s="236"/>
      <c r="S633" s="236"/>
      <c r="T633" s="236"/>
      <c r="U633" s="236"/>
      <c r="V633" s="239"/>
      <c r="W633" s="236"/>
      <c r="X633" s="236"/>
    </row>
    <row r="634">
      <c r="A634" s="236"/>
      <c r="B634" s="236"/>
      <c r="C634" s="236"/>
      <c r="D634" s="238"/>
      <c r="E634" s="245"/>
      <c r="F634" s="246"/>
      <c r="G634" s="246"/>
      <c r="H634" s="236"/>
      <c r="I634" s="236"/>
      <c r="J634" s="236"/>
      <c r="K634" s="236"/>
      <c r="L634" s="236"/>
      <c r="M634" s="236"/>
      <c r="N634" s="236"/>
      <c r="O634" s="236"/>
      <c r="P634" s="236"/>
      <c r="Q634" s="236"/>
      <c r="R634" s="236"/>
      <c r="S634" s="236"/>
      <c r="T634" s="236"/>
      <c r="U634" s="236"/>
      <c r="V634" s="239"/>
      <c r="W634" s="236"/>
      <c r="X634" s="236"/>
    </row>
    <row r="635">
      <c r="A635" s="236"/>
      <c r="B635" s="236"/>
      <c r="C635" s="236"/>
      <c r="D635" s="238"/>
      <c r="E635" s="245"/>
      <c r="F635" s="246"/>
      <c r="G635" s="246"/>
      <c r="H635" s="236"/>
      <c r="I635" s="236"/>
      <c r="J635" s="236"/>
      <c r="K635" s="236"/>
      <c r="L635" s="236"/>
      <c r="M635" s="236"/>
      <c r="N635" s="236"/>
      <c r="O635" s="236"/>
      <c r="P635" s="236"/>
      <c r="Q635" s="236"/>
      <c r="R635" s="236"/>
      <c r="S635" s="236"/>
      <c r="T635" s="236"/>
      <c r="U635" s="236"/>
      <c r="V635" s="239"/>
      <c r="W635" s="236"/>
      <c r="X635" s="236"/>
    </row>
    <row r="636">
      <c r="A636" s="236"/>
      <c r="B636" s="236"/>
      <c r="C636" s="236"/>
      <c r="D636" s="238"/>
      <c r="E636" s="245"/>
      <c r="F636" s="246"/>
      <c r="G636" s="246"/>
      <c r="H636" s="236"/>
      <c r="I636" s="236"/>
      <c r="J636" s="236"/>
      <c r="K636" s="236"/>
      <c r="L636" s="236"/>
      <c r="M636" s="236"/>
      <c r="N636" s="236"/>
      <c r="O636" s="236"/>
      <c r="P636" s="236"/>
      <c r="Q636" s="236"/>
      <c r="R636" s="236"/>
      <c r="S636" s="236"/>
      <c r="T636" s="236"/>
      <c r="U636" s="236"/>
      <c r="V636" s="239"/>
      <c r="W636" s="236"/>
      <c r="X636" s="236"/>
    </row>
    <row r="637">
      <c r="A637" s="236"/>
      <c r="B637" s="236"/>
      <c r="C637" s="236"/>
      <c r="D637" s="238"/>
      <c r="E637" s="245"/>
      <c r="F637" s="246"/>
      <c r="G637" s="246"/>
      <c r="H637" s="236"/>
      <c r="I637" s="236"/>
      <c r="J637" s="236"/>
      <c r="K637" s="236"/>
      <c r="L637" s="236"/>
      <c r="M637" s="236"/>
      <c r="N637" s="236"/>
      <c r="O637" s="236"/>
      <c r="P637" s="236"/>
      <c r="Q637" s="236"/>
      <c r="R637" s="236"/>
      <c r="S637" s="236"/>
      <c r="T637" s="236"/>
      <c r="U637" s="236"/>
      <c r="V637" s="239"/>
      <c r="W637" s="236"/>
      <c r="X637" s="236"/>
    </row>
    <row r="638">
      <c r="A638" s="236"/>
      <c r="B638" s="236"/>
      <c r="C638" s="236"/>
      <c r="D638" s="238"/>
      <c r="E638" s="245"/>
      <c r="F638" s="246"/>
      <c r="G638" s="246"/>
      <c r="H638" s="236"/>
      <c r="I638" s="236"/>
      <c r="J638" s="236"/>
      <c r="K638" s="236"/>
      <c r="L638" s="236"/>
      <c r="M638" s="236"/>
      <c r="N638" s="236"/>
      <c r="O638" s="236"/>
      <c r="P638" s="236"/>
      <c r="Q638" s="236"/>
      <c r="R638" s="236"/>
      <c r="S638" s="236"/>
      <c r="T638" s="236"/>
      <c r="U638" s="236"/>
      <c r="V638" s="239"/>
      <c r="W638" s="236"/>
      <c r="X638" s="236"/>
    </row>
    <row r="639">
      <c r="A639" s="236"/>
      <c r="B639" s="236"/>
      <c r="C639" s="236"/>
      <c r="D639" s="238"/>
      <c r="E639" s="245"/>
      <c r="F639" s="246"/>
      <c r="G639" s="246"/>
      <c r="H639" s="236"/>
      <c r="I639" s="236"/>
      <c r="J639" s="236"/>
      <c r="K639" s="236"/>
      <c r="L639" s="236"/>
      <c r="M639" s="236"/>
      <c r="N639" s="236"/>
      <c r="O639" s="236"/>
      <c r="P639" s="236"/>
      <c r="Q639" s="236"/>
      <c r="R639" s="236"/>
      <c r="S639" s="236"/>
      <c r="T639" s="236"/>
      <c r="U639" s="236"/>
      <c r="V639" s="239"/>
      <c r="W639" s="236"/>
      <c r="X639" s="236"/>
    </row>
    <row r="640">
      <c r="A640" s="236"/>
      <c r="B640" s="236"/>
      <c r="C640" s="236"/>
      <c r="D640" s="238"/>
      <c r="E640" s="245"/>
      <c r="F640" s="246"/>
      <c r="G640" s="246"/>
      <c r="H640" s="236"/>
      <c r="I640" s="236"/>
      <c r="J640" s="236"/>
      <c r="K640" s="236"/>
      <c r="L640" s="236"/>
      <c r="M640" s="236"/>
      <c r="N640" s="236"/>
      <c r="O640" s="236"/>
      <c r="P640" s="236"/>
      <c r="Q640" s="236"/>
      <c r="R640" s="236"/>
      <c r="S640" s="236"/>
      <c r="T640" s="236"/>
      <c r="U640" s="236"/>
      <c r="V640" s="239"/>
      <c r="W640" s="236"/>
      <c r="X640" s="236"/>
    </row>
    <row r="641">
      <c r="A641" s="236"/>
      <c r="B641" s="236"/>
      <c r="C641" s="236"/>
      <c r="D641" s="238"/>
      <c r="E641" s="245"/>
      <c r="F641" s="246"/>
      <c r="G641" s="246"/>
      <c r="H641" s="236"/>
      <c r="I641" s="236"/>
      <c r="J641" s="236"/>
      <c r="K641" s="236"/>
      <c r="L641" s="236"/>
      <c r="M641" s="236"/>
      <c r="N641" s="236"/>
      <c r="O641" s="236"/>
      <c r="P641" s="236"/>
      <c r="Q641" s="236"/>
      <c r="R641" s="236"/>
      <c r="S641" s="236"/>
      <c r="T641" s="236"/>
      <c r="U641" s="236"/>
      <c r="V641" s="239"/>
      <c r="W641" s="236"/>
      <c r="X641" s="236"/>
    </row>
    <row r="642">
      <c r="A642" s="236"/>
      <c r="B642" s="236"/>
      <c r="C642" s="236"/>
      <c r="D642" s="238"/>
      <c r="E642" s="245"/>
      <c r="F642" s="246"/>
      <c r="G642" s="246"/>
      <c r="H642" s="236"/>
      <c r="I642" s="236"/>
      <c r="J642" s="236"/>
      <c r="K642" s="236"/>
      <c r="L642" s="236"/>
      <c r="M642" s="236"/>
      <c r="N642" s="236"/>
      <c r="O642" s="236"/>
      <c r="P642" s="236"/>
      <c r="Q642" s="236"/>
      <c r="R642" s="236"/>
      <c r="S642" s="236"/>
      <c r="T642" s="236"/>
      <c r="U642" s="236"/>
      <c r="V642" s="239"/>
      <c r="W642" s="236"/>
      <c r="X642" s="236"/>
    </row>
    <row r="643">
      <c r="A643" s="236"/>
      <c r="B643" s="236"/>
      <c r="C643" s="236"/>
      <c r="D643" s="238"/>
      <c r="E643" s="245"/>
      <c r="F643" s="246"/>
      <c r="G643" s="246"/>
      <c r="H643" s="236"/>
      <c r="I643" s="236"/>
      <c r="J643" s="236"/>
      <c r="K643" s="236"/>
      <c r="L643" s="236"/>
      <c r="M643" s="236"/>
      <c r="N643" s="236"/>
      <c r="O643" s="236"/>
      <c r="P643" s="236"/>
      <c r="Q643" s="236"/>
      <c r="R643" s="236"/>
      <c r="S643" s="236"/>
      <c r="T643" s="236"/>
      <c r="U643" s="236"/>
      <c r="V643" s="239"/>
      <c r="W643" s="236"/>
      <c r="X643" s="236"/>
    </row>
    <row r="644">
      <c r="A644" s="236"/>
      <c r="B644" s="236"/>
      <c r="C644" s="236"/>
      <c r="D644" s="238"/>
      <c r="E644" s="245"/>
      <c r="F644" s="246"/>
      <c r="G644" s="246"/>
      <c r="H644" s="236"/>
      <c r="I644" s="236"/>
      <c r="J644" s="236"/>
      <c r="K644" s="236"/>
      <c r="L644" s="236"/>
      <c r="M644" s="236"/>
      <c r="N644" s="236"/>
      <c r="O644" s="236"/>
      <c r="P644" s="236"/>
      <c r="Q644" s="236"/>
      <c r="R644" s="236"/>
      <c r="S644" s="236"/>
      <c r="T644" s="236"/>
      <c r="U644" s="236"/>
      <c r="V644" s="239"/>
      <c r="W644" s="236"/>
      <c r="X644" s="236"/>
    </row>
    <row r="645">
      <c r="A645" s="236"/>
      <c r="B645" s="236"/>
      <c r="C645" s="236"/>
      <c r="D645" s="238"/>
      <c r="E645" s="245"/>
      <c r="F645" s="246"/>
      <c r="G645" s="246"/>
      <c r="H645" s="236"/>
      <c r="I645" s="236"/>
      <c r="J645" s="236"/>
      <c r="K645" s="236"/>
      <c r="L645" s="236"/>
      <c r="M645" s="236"/>
      <c r="N645" s="236"/>
      <c r="O645" s="236"/>
      <c r="P645" s="236"/>
      <c r="Q645" s="236"/>
      <c r="R645" s="236"/>
      <c r="S645" s="236"/>
      <c r="T645" s="236"/>
      <c r="U645" s="236"/>
      <c r="V645" s="239"/>
      <c r="W645" s="236"/>
      <c r="X645" s="236"/>
    </row>
    <row r="646">
      <c r="A646" s="236"/>
      <c r="B646" s="236"/>
      <c r="C646" s="236"/>
      <c r="D646" s="238"/>
      <c r="E646" s="245"/>
      <c r="F646" s="246"/>
      <c r="G646" s="246"/>
      <c r="H646" s="236"/>
      <c r="I646" s="236"/>
      <c r="J646" s="236"/>
      <c r="K646" s="236"/>
      <c r="L646" s="236"/>
      <c r="M646" s="236"/>
      <c r="N646" s="236"/>
      <c r="O646" s="236"/>
      <c r="P646" s="236"/>
      <c r="Q646" s="236"/>
      <c r="R646" s="236"/>
      <c r="S646" s="236"/>
      <c r="T646" s="236"/>
      <c r="U646" s="236"/>
      <c r="V646" s="239"/>
      <c r="W646" s="236"/>
      <c r="X646" s="236"/>
    </row>
    <row r="647">
      <c r="A647" s="236"/>
      <c r="B647" s="236"/>
      <c r="C647" s="236"/>
      <c r="D647" s="238"/>
      <c r="E647" s="245"/>
      <c r="F647" s="246"/>
      <c r="G647" s="246"/>
      <c r="H647" s="236"/>
      <c r="I647" s="236"/>
      <c r="J647" s="236"/>
      <c r="K647" s="236"/>
      <c r="L647" s="236"/>
      <c r="M647" s="236"/>
      <c r="N647" s="236"/>
      <c r="O647" s="236"/>
      <c r="P647" s="236"/>
      <c r="Q647" s="236"/>
      <c r="R647" s="236"/>
      <c r="S647" s="236"/>
      <c r="T647" s="236"/>
      <c r="U647" s="236"/>
      <c r="V647" s="239"/>
      <c r="W647" s="236"/>
      <c r="X647" s="236"/>
    </row>
    <row r="648">
      <c r="A648" s="236"/>
      <c r="B648" s="236"/>
      <c r="C648" s="236"/>
      <c r="D648" s="238"/>
      <c r="E648" s="245"/>
      <c r="F648" s="246"/>
      <c r="G648" s="246"/>
      <c r="H648" s="236"/>
      <c r="I648" s="236"/>
      <c r="J648" s="236"/>
      <c r="K648" s="236"/>
      <c r="L648" s="236"/>
      <c r="M648" s="236"/>
      <c r="N648" s="236"/>
      <c r="O648" s="236"/>
      <c r="P648" s="236"/>
      <c r="Q648" s="236"/>
      <c r="R648" s="236"/>
      <c r="S648" s="236"/>
      <c r="T648" s="236"/>
      <c r="U648" s="236"/>
      <c r="V648" s="239"/>
      <c r="W648" s="236"/>
      <c r="X648" s="236"/>
    </row>
    <row r="649">
      <c r="A649" s="236"/>
      <c r="B649" s="236"/>
      <c r="C649" s="236"/>
      <c r="D649" s="238"/>
      <c r="E649" s="245"/>
      <c r="F649" s="246"/>
      <c r="G649" s="246"/>
      <c r="H649" s="236"/>
      <c r="I649" s="236"/>
      <c r="J649" s="236"/>
      <c r="K649" s="236"/>
      <c r="L649" s="236"/>
      <c r="M649" s="236"/>
      <c r="N649" s="236"/>
      <c r="O649" s="236"/>
      <c r="P649" s="236"/>
      <c r="Q649" s="236"/>
      <c r="R649" s="236"/>
      <c r="S649" s="236"/>
      <c r="T649" s="236"/>
      <c r="U649" s="236"/>
      <c r="V649" s="239"/>
      <c r="W649" s="236"/>
      <c r="X649" s="236"/>
    </row>
    <row r="650">
      <c r="A650" s="236"/>
      <c r="B650" s="236"/>
      <c r="C650" s="236"/>
      <c r="D650" s="238"/>
      <c r="E650" s="245"/>
      <c r="F650" s="246"/>
      <c r="G650" s="246"/>
      <c r="H650" s="236"/>
      <c r="I650" s="236"/>
      <c r="J650" s="236"/>
      <c r="K650" s="236"/>
      <c r="L650" s="236"/>
      <c r="M650" s="236"/>
      <c r="N650" s="236"/>
      <c r="O650" s="236"/>
      <c r="P650" s="236"/>
      <c r="Q650" s="236"/>
      <c r="R650" s="236"/>
      <c r="S650" s="236"/>
      <c r="T650" s="236"/>
      <c r="U650" s="236"/>
      <c r="V650" s="239"/>
      <c r="W650" s="236"/>
      <c r="X650" s="236"/>
    </row>
    <row r="651">
      <c r="A651" s="236"/>
      <c r="B651" s="236"/>
      <c r="C651" s="236"/>
      <c r="D651" s="238"/>
      <c r="E651" s="245"/>
      <c r="F651" s="246"/>
      <c r="G651" s="246"/>
      <c r="H651" s="236"/>
      <c r="I651" s="236"/>
      <c r="J651" s="236"/>
      <c r="K651" s="236"/>
      <c r="L651" s="236"/>
      <c r="M651" s="236"/>
      <c r="N651" s="236"/>
      <c r="O651" s="236"/>
      <c r="P651" s="236"/>
      <c r="Q651" s="236"/>
      <c r="R651" s="236"/>
      <c r="S651" s="236"/>
      <c r="T651" s="236"/>
      <c r="U651" s="236"/>
      <c r="V651" s="239"/>
      <c r="W651" s="236"/>
      <c r="X651" s="236"/>
    </row>
    <row r="652">
      <c r="A652" s="236"/>
      <c r="B652" s="236"/>
      <c r="C652" s="236"/>
      <c r="D652" s="238"/>
      <c r="E652" s="245"/>
      <c r="F652" s="246"/>
      <c r="G652" s="246"/>
      <c r="H652" s="236"/>
      <c r="I652" s="236"/>
      <c r="J652" s="236"/>
      <c r="K652" s="236"/>
      <c r="L652" s="236"/>
      <c r="M652" s="236"/>
      <c r="N652" s="236"/>
      <c r="O652" s="236"/>
      <c r="P652" s="236"/>
      <c r="Q652" s="236"/>
      <c r="R652" s="236"/>
      <c r="S652" s="236"/>
      <c r="T652" s="236"/>
      <c r="U652" s="236"/>
      <c r="V652" s="239"/>
      <c r="W652" s="236"/>
      <c r="X652" s="236"/>
    </row>
    <row r="653">
      <c r="A653" s="236"/>
      <c r="B653" s="236"/>
      <c r="C653" s="236"/>
      <c r="D653" s="238"/>
      <c r="E653" s="245"/>
      <c r="F653" s="246"/>
      <c r="G653" s="246"/>
      <c r="H653" s="236"/>
      <c r="I653" s="236"/>
      <c r="J653" s="236"/>
      <c r="K653" s="236"/>
      <c r="L653" s="236"/>
      <c r="M653" s="236"/>
      <c r="N653" s="236"/>
      <c r="O653" s="236"/>
      <c r="P653" s="236"/>
      <c r="Q653" s="236"/>
      <c r="R653" s="236"/>
      <c r="S653" s="236"/>
      <c r="T653" s="236"/>
      <c r="U653" s="236"/>
      <c r="V653" s="239"/>
      <c r="W653" s="236"/>
      <c r="X653" s="236"/>
    </row>
    <row r="654">
      <c r="A654" s="236"/>
      <c r="B654" s="236"/>
      <c r="C654" s="236"/>
      <c r="D654" s="238"/>
      <c r="E654" s="245"/>
      <c r="F654" s="246"/>
      <c r="G654" s="246"/>
      <c r="H654" s="236"/>
      <c r="I654" s="236"/>
      <c r="J654" s="236"/>
      <c r="K654" s="236"/>
      <c r="L654" s="236"/>
      <c r="M654" s="236"/>
      <c r="N654" s="236"/>
      <c r="O654" s="236"/>
      <c r="P654" s="236"/>
      <c r="Q654" s="236"/>
      <c r="R654" s="236"/>
      <c r="S654" s="236"/>
      <c r="T654" s="236"/>
      <c r="U654" s="236"/>
      <c r="V654" s="239"/>
      <c r="W654" s="236"/>
      <c r="X654" s="236"/>
    </row>
    <row r="655">
      <c r="A655" s="236"/>
      <c r="B655" s="236"/>
      <c r="C655" s="236"/>
      <c r="D655" s="238"/>
      <c r="E655" s="245"/>
      <c r="F655" s="246"/>
      <c r="G655" s="246"/>
      <c r="H655" s="236"/>
      <c r="I655" s="236"/>
      <c r="J655" s="236"/>
      <c r="K655" s="236"/>
      <c r="L655" s="236"/>
      <c r="M655" s="236"/>
      <c r="N655" s="236"/>
      <c r="O655" s="236"/>
      <c r="P655" s="236"/>
      <c r="Q655" s="236"/>
      <c r="R655" s="236"/>
      <c r="S655" s="236"/>
      <c r="T655" s="236"/>
      <c r="U655" s="236"/>
      <c r="V655" s="239"/>
      <c r="W655" s="236"/>
      <c r="X655" s="236"/>
    </row>
    <row r="656">
      <c r="A656" s="236"/>
      <c r="B656" s="236"/>
      <c r="C656" s="236"/>
      <c r="D656" s="238"/>
      <c r="E656" s="245"/>
      <c r="F656" s="246"/>
      <c r="G656" s="246"/>
      <c r="H656" s="236"/>
      <c r="I656" s="236"/>
      <c r="J656" s="236"/>
      <c r="K656" s="236"/>
      <c r="L656" s="236"/>
      <c r="M656" s="236"/>
      <c r="N656" s="236"/>
      <c r="O656" s="236"/>
      <c r="P656" s="236"/>
      <c r="Q656" s="236"/>
      <c r="R656" s="236"/>
      <c r="S656" s="236"/>
      <c r="T656" s="236"/>
      <c r="U656" s="236"/>
      <c r="V656" s="239"/>
      <c r="W656" s="236"/>
      <c r="X656" s="236"/>
    </row>
    <row r="657">
      <c r="A657" s="236"/>
      <c r="B657" s="236"/>
      <c r="C657" s="236"/>
      <c r="D657" s="238"/>
      <c r="E657" s="245"/>
      <c r="F657" s="246"/>
      <c r="G657" s="246"/>
      <c r="H657" s="236"/>
      <c r="I657" s="236"/>
      <c r="J657" s="236"/>
      <c r="K657" s="236"/>
      <c r="L657" s="236"/>
      <c r="M657" s="236"/>
      <c r="N657" s="236"/>
      <c r="O657" s="236"/>
      <c r="P657" s="236"/>
      <c r="Q657" s="236"/>
      <c r="R657" s="236"/>
      <c r="S657" s="236"/>
      <c r="T657" s="236"/>
      <c r="U657" s="236"/>
      <c r="V657" s="239"/>
      <c r="W657" s="236"/>
      <c r="X657" s="236"/>
    </row>
    <row r="658">
      <c r="A658" s="236"/>
      <c r="B658" s="236"/>
      <c r="C658" s="236"/>
      <c r="D658" s="238"/>
      <c r="E658" s="245"/>
      <c r="F658" s="246"/>
      <c r="G658" s="246"/>
      <c r="H658" s="236"/>
      <c r="I658" s="236"/>
      <c r="J658" s="236"/>
      <c r="K658" s="236"/>
      <c r="L658" s="236"/>
      <c r="M658" s="236"/>
      <c r="N658" s="236"/>
      <c r="O658" s="236"/>
      <c r="P658" s="236"/>
      <c r="Q658" s="236"/>
      <c r="R658" s="236"/>
      <c r="S658" s="236"/>
      <c r="T658" s="236"/>
      <c r="U658" s="236"/>
      <c r="V658" s="239"/>
      <c r="W658" s="236"/>
      <c r="X658" s="236"/>
    </row>
    <row r="659">
      <c r="A659" s="236"/>
      <c r="B659" s="236"/>
      <c r="C659" s="236"/>
      <c r="D659" s="238"/>
      <c r="E659" s="245"/>
      <c r="F659" s="246"/>
      <c r="G659" s="246"/>
      <c r="H659" s="236"/>
      <c r="I659" s="236"/>
      <c r="J659" s="236"/>
      <c r="K659" s="236"/>
      <c r="L659" s="236"/>
      <c r="M659" s="236"/>
      <c r="N659" s="236"/>
      <c r="O659" s="236"/>
      <c r="P659" s="236"/>
      <c r="Q659" s="236"/>
      <c r="R659" s="236"/>
      <c r="S659" s="236"/>
      <c r="T659" s="236"/>
      <c r="U659" s="236"/>
      <c r="V659" s="239"/>
      <c r="W659" s="236"/>
      <c r="X659" s="236"/>
    </row>
    <row r="660">
      <c r="A660" s="236"/>
      <c r="B660" s="236"/>
      <c r="C660" s="236"/>
      <c r="D660" s="238"/>
      <c r="E660" s="245"/>
      <c r="F660" s="246"/>
      <c r="G660" s="246"/>
      <c r="H660" s="236"/>
      <c r="I660" s="236"/>
      <c r="J660" s="236"/>
      <c r="K660" s="236"/>
      <c r="L660" s="236"/>
      <c r="M660" s="236"/>
      <c r="N660" s="236"/>
      <c r="O660" s="236"/>
      <c r="P660" s="236"/>
      <c r="Q660" s="236"/>
      <c r="R660" s="236"/>
      <c r="S660" s="236"/>
      <c r="T660" s="236"/>
      <c r="U660" s="236"/>
      <c r="V660" s="239"/>
      <c r="W660" s="236"/>
      <c r="X660" s="236"/>
    </row>
    <row r="661">
      <c r="A661" s="236"/>
      <c r="B661" s="236"/>
      <c r="C661" s="236"/>
      <c r="D661" s="238"/>
      <c r="E661" s="245"/>
      <c r="F661" s="246"/>
      <c r="G661" s="246"/>
      <c r="H661" s="236"/>
      <c r="I661" s="236"/>
      <c r="J661" s="236"/>
      <c r="K661" s="236"/>
      <c r="L661" s="236"/>
      <c r="M661" s="236"/>
      <c r="N661" s="236"/>
      <c r="O661" s="236"/>
      <c r="P661" s="236"/>
      <c r="Q661" s="236"/>
      <c r="R661" s="236"/>
      <c r="S661" s="236"/>
      <c r="T661" s="236"/>
      <c r="U661" s="236"/>
      <c r="V661" s="239"/>
      <c r="W661" s="236"/>
      <c r="X661" s="236"/>
    </row>
    <row r="662">
      <c r="A662" s="236"/>
      <c r="B662" s="236"/>
      <c r="C662" s="236"/>
      <c r="D662" s="238"/>
      <c r="E662" s="245"/>
      <c r="F662" s="246"/>
      <c r="G662" s="246"/>
      <c r="H662" s="236"/>
      <c r="I662" s="236"/>
      <c r="J662" s="236"/>
      <c r="K662" s="236"/>
      <c r="L662" s="236"/>
      <c r="M662" s="236"/>
      <c r="N662" s="236"/>
      <c r="O662" s="236"/>
      <c r="P662" s="236"/>
      <c r="Q662" s="236"/>
      <c r="R662" s="236"/>
      <c r="S662" s="236"/>
      <c r="T662" s="236"/>
      <c r="U662" s="236"/>
      <c r="V662" s="239"/>
      <c r="W662" s="236"/>
      <c r="X662" s="236"/>
    </row>
    <row r="663">
      <c r="A663" s="236"/>
      <c r="B663" s="236"/>
      <c r="C663" s="236"/>
      <c r="D663" s="238"/>
      <c r="E663" s="245"/>
      <c r="F663" s="246"/>
      <c r="G663" s="246"/>
      <c r="H663" s="236"/>
      <c r="I663" s="236"/>
      <c r="J663" s="236"/>
      <c r="K663" s="236"/>
      <c r="L663" s="236"/>
      <c r="M663" s="236"/>
      <c r="N663" s="236"/>
      <c r="O663" s="236"/>
      <c r="P663" s="236"/>
      <c r="Q663" s="236"/>
      <c r="R663" s="236"/>
      <c r="S663" s="236"/>
      <c r="T663" s="236"/>
      <c r="U663" s="236"/>
      <c r="V663" s="239"/>
      <c r="W663" s="236"/>
      <c r="X663" s="236"/>
    </row>
    <row r="664">
      <c r="A664" s="236"/>
      <c r="B664" s="236"/>
      <c r="C664" s="236"/>
      <c r="D664" s="238"/>
      <c r="E664" s="245"/>
      <c r="F664" s="246"/>
      <c r="G664" s="246"/>
      <c r="H664" s="236"/>
      <c r="I664" s="236"/>
      <c r="J664" s="236"/>
      <c r="K664" s="236"/>
      <c r="L664" s="236"/>
      <c r="M664" s="236"/>
      <c r="N664" s="236"/>
      <c r="O664" s="236"/>
      <c r="P664" s="236"/>
      <c r="Q664" s="236"/>
      <c r="R664" s="236"/>
      <c r="S664" s="236"/>
      <c r="T664" s="236"/>
      <c r="U664" s="236"/>
      <c r="V664" s="239"/>
      <c r="W664" s="236"/>
      <c r="X664" s="236"/>
    </row>
    <row r="665">
      <c r="A665" s="236"/>
      <c r="B665" s="236"/>
      <c r="C665" s="236"/>
      <c r="D665" s="238"/>
      <c r="E665" s="245"/>
      <c r="F665" s="246"/>
      <c r="G665" s="246"/>
      <c r="H665" s="236"/>
      <c r="I665" s="236"/>
      <c r="J665" s="236"/>
      <c r="K665" s="236"/>
      <c r="L665" s="236"/>
      <c r="M665" s="236"/>
      <c r="N665" s="236"/>
      <c r="O665" s="236"/>
      <c r="P665" s="236"/>
      <c r="Q665" s="236"/>
      <c r="R665" s="236"/>
      <c r="S665" s="236"/>
      <c r="T665" s="236"/>
      <c r="U665" s="236"/>
      <c r="V665" s="239"/>
      <c r="W665" s="236"/>
      <c r="X665" s="236"/>
    </row>
    <row r="666">
      <c r="A666" s="236"/>
      <c r="B666" s="236"/>
      <c r="C666" s="236"/>
      <c r="D666" s="238"/>
      <c r="E666" s="245"/>
      <c r="F666" s="246"/>
      <c r="G666" s="246"/>
      <c r="H666" s="236"/>
      <c r="I666" s="236"/>
      <c r="J666" s="236"/>
      <c r="K666" s="236"/>
      <c r="L666" s="236"/>
      <c r="M666" s="236"/>
      <c r="N666" s="236"/>
      <c r="O666" s="236"/>
      <c r="P666" s="236"/>
      <c r="Q666" s="236"/>
      <c r="R666" s="236"/>
      <c r="S666" s="236"/>
      <c r="T666" s="236"/>
      <c r="U666" s="236"/>
      <c r="V666" s="239"/>
      <c r="W666" s="236"/>
      <c r="X666" s="236"/>
    </row>
    <row r="667">
      <c r="A667" s="236"/>
      <c r="B667" s="236"/>
      <c r="C667" s="236"/>
      <c r="D667" s="238"/>
      <c r="E667" s="245"/>
      <c r="F667" s="246"/>
      <c r="G667" s="246"/>
      <c r="H667" s="236"/>
      <c r="I667" s="236"/>
      <c r="J667" s="236"/>
      <c r="K667" s="236"/>
      <c r="L667" s="236"/>
      <c r="M667" s="236"/>
      <c r="N667" s="236"/>
      <c r="O667" s="236"/>
      <c r="P667" s="236"/>
      <c r="Q667" s="236"/>
      <c r="R667" s="236"/>
      <c r="S667" s="236"/>
      <c r="T667" s="236"/>
      <c r="U667" s="236"/>
      <c r="V667" s="239"/>
      <c r="W667" s="236"/>
      <c r="X667" s="236"/>
    </row>
    <row r="668">
      <c r="A668" s="236"/>
      <c r="B668" s="236"/>
      <c r="C668" s="236"/>
      <c r="D668" s="238"/>
      <c r="E668" s="245"/>
      <c r="F668" s="246"/>
      <c r="G668" s="246"/>
      <c r="H668" s="236"/>
      <c r="I668" s="236"/>
      <c r="J668" s="236"/>
      <c r="K668" s="236"/>
      <c r="L668" s="236"/>
      <c r="M668" s="236"/>
      <c r="N668" s="236"/>
      <c r="O668" s="236"/>
      <c r="P668" s="236"/>
      <c r="Q668" s="236"/>
      <c r="R668" s="236"/>
      <c r="S668" s="236"/>
      <c r="T668" s="236"/>
      <c r="U668" s="236"/>
      <c r="V668" s="239"/>
      <c r="W668" s="236"/>
      <c r="X668" s="236"/>
    </row>
    <row r="669">
      <c r="A669" s="236"/>
      <c r="B669" s="236"/>
      <c r="C669" s="236"/>
      <c r="D669" s="238"/>
      <c r="E669" s="245"/>
      <c r="F669" s="246"/>
      <c r="G669" s="246"/>
      <c r="H669" s="236"/>
      <c r="I669" s="236"/>
      <c r="J669" s="236"/>
      <c r="K669" s="236"/>
      <c r="L669" s="236"/>
      <c r="M669" s="236"/>
      <c r="N669" s="236"/>
      <c r="O669" s="236"/>
      <c r="P669" s="236"/>
      <c r="Q669" s="236"/>
      <c r="R669" s="236"/>
      <c r="S669" s="236"/>
      <c r="T669" s="236"/>
      <c r="U669" s="236"/>
      <c r="V669" s="239"/>
      <c r="W669" s="236"/>
      <c r="X669" s="236"/>
    </row>
    <row r="670">
      <c r="A670" s="236"/>
      <c r="B670" s="236"/>
      <c r="C670" s="236"/>
      <c r="D670" s="238"/>
      <c r="E670" s="245"/>
      <c r="F670" s="246"/>
      <c r="G670" s="246"/>
      <c r="H670" s="236"/>
      <c r="I670" s="236"/>
      <c r="J670" s="236"/>
      <c r="K670" s="236"/>
      <c r="L670" s="236"/>
      <c r="M670" s="236"/>
      <c r="N670" s="236"/>
      <c r="O670" s="236"/>
      <c r="P670" s="236"/>
      <c r="Q670" s="236"/>
      <c r="R670" s="236"/>
      <c r="S670" s="236"/>
      <c r="T670" s="236"/>
      <c r="U670" s="236"/>
      <c r="V670" s="239"/>
      <c r="W670" s="236"/>
      <c r="X670" s="236"/>
    </row>
    <row r="671">
      <c r="A671" s="236"/>
      <c r="B671" s="236"/>
      <c r="C671" s="236"/>
      <c r="D671" s="238"/>
      <c r="E671" s="245"/>
      <c r="F671" s="246"/>
      <c r="G671" s="246"/>
      <c r="H671" s="236"/>
      <c r="I671" s="236"/>
      <c r="J671" s="236"/>
      <c r="K671" s="236"/>
      <c r="L671" s="236"/>
      <c r="M671" s="236"/>
      <c r="N671" s="236"/>
      <c r="O671" s="236"/>
      <c r="P671" s="236"/>
      <c r="Q671" s="236"/>
      <c r="R671" s="236"/>
      <c r="S671" s="236"/>
      <c r="T671" s="236"/>
      <c r="U671" s="236"/>
      <c r="V671" s="239"/>
      <c r="W671" s="236"/>
      <c r="X671" s="236"/>
    </row>
    <row r="672">
      <c r="A672" s="236"/>
      <c r="B672" s="236"/>
      <c r="C672" s="236"/>
      <c r="D672" s="238"/>
      <c r="E672" s="245"/>
      <c r="F672" s="246"/>
      <c r="G672" s="246"/>
      <c r="H672" s="236"/>
      <c r="I672" s="236"/>
      <c r="J672" s="236"/>
      <c r="K672" s="236"/>
      <c r="L672" s="236"/>
      <c r="M672" s="236"/>
      <c r="N672" s="236"/>
      <c r="O672" s="236"/>
      <c r="P672" s="236"/>
      <c r="Q672" s="236"/>
      <c r="R672" s="236"/>
      <c r="S672" s="236"/>
      <c r="T672" s="236"/>
      <c r="U672" s="236"/>
      <c r="V672" s="239"/>
      <c r="W672" s="236"/>
      <c r="X672" s="236"/>
    </row>
    <row r="673">
      <c r="A673" s="236"/>
      <c r="B673" s="236"/>
      <c r="C673" s="236"/>
      <c r="D673" s="238"/>
      <c r="E673" s="245"/>
      <c r="F673" s="246"/>
      <c r="G673" s="246"/>
      <c r="H673" s="236"/>
      <c r="I673" s="236"/>
      <c r="J673" s="236"/>
      <c r="K673" s="236"/>
      <c r="L673" s="236"/>
      <c r="M673" s="236"/>
      <c r="N673" s="236"/>
      <c r="O673" s="236"/>
      <c r="P673" s="236"/>
      <c r="Q673" s="236"/>
      <c r="R673" s="236"/>
      <c r="S673" s="236"/>
      <c r="T673" s="236"/>
      <c r="U673" s="236"/>
      <c r="V673" s="239"/>
      <c r="W673" s="236"/>
      <c r="X673" s="236"/>
    </row>
    <row r="674">
      <c r="A674" s="236"/>
      <c r="B674" s="236"/>
      <c r="C674" s="236"/>
      <c r="D674" s="238"/>
      <c r="E674" s="245"/>
      <c r="F674" s="246"/>
      <c r="G674" s="246"/>
      <c r="H674" s="236"/>
      <c r="I674" s="236"/>
      <c r="J674" s="236"/>
      <c r="K674" s="236"/>
      <c r="L674" s="236"/>
      <c r="M674" s="236"/>
      <c r="N674" s="236"/>
      <c r="O674" s="236"/>
      <c r="P674" s="236"/>
      <c r="Q674" s="236"/>
      <c r="R674" s="236"/>
      <c r="S674" s="236"/>
      <c r="T674" s="236"/>
      <c r="U674" s="236"/>
      <c r="V674" s="239"/>
      <c r="W674" s="236"/>
      <c r="X674" s="236"/>
    </row>
    <row r="675">
      <c r="A675" s="236"/>
      <c r="B675" s="236"/>
      <c r="C675" s="236"/>
      <c r="D675" s="238"/>
      <c r="E675" s="245"/>
      <c r="F675" s="246"/>
      <c r="G675" s="246"/>
      <c r="H675" s="236"/>
      <c r="I675" s="236"/>
      <c r="J675" s="236"/>
      <c r="K675" s="236"/>
      <c r="L675" s="236"/>
      <c r="M675" s="236"/>
      <c r="N675" s="236"/>
      <c r="O675" s="236"/>
      <c r="P675" s="236"/>
      <c r="Q675" s="236"/>
      <c r="R675" s="236"/>
      <c r="S675" s="236"/>
      <c r="T675" s="236"/>
      <c r="U675" s="236"/>
      <c r="V675" s="239"/>
      <c r="W675" s="236"/>
      <c r="X675" s="236"/>
    </row>
    <row r="676">
      <c r="A676" s="236"/>
      <c r="B676" s="236"/>
      <c r="C676" s="236"/>
      <c r="D676" s="238"/>
      <c r="E676" s="245"/>
      <c r="F676" s="246"/>
      <c r="G676" s="246"/>
      <c r="H676" s="236"/>
      <c r="I676" s="236"/>
      <c r="J676" s="236"/>
      <c r="K676" s="236"/>
      <c r="L676" s="236"/>
      <c r="M676" s="236"/>
      <c r="N676" s="236"/>
      <c r="O676" s="236"/>
      <c r="P676" s="236"/>
      <c r="Q676" s="236"/>
      <c r="R676" s="236"/>
      <c r="S676" s="236"/>
      <c r="T676" s="236"/>
      <c r="U676" s="236"/>
      <c r="V676" s="239"/>
      <c r="W676" s="236"/>
      <c r="X676" s="236"/>
    </row>
    <row r="677">
      <c r="A677" s="236"/>
      <c r="B677" s="236"/>
      <c r="C677" s="236"/>
      <c r="D677" s="238"/>
      <c r="E677" s="245"/>
      <c r="F677" s="246"/>
      <c r="G677" s="246"/>
      <c r="H677" s="236"/>
      <c r="I677" s="236"/>
      <c r="J677" s="236"/>
      <c r="K677" s="236"/>
      <c r="L677" s="236"/>
      <c r="M677" s="236"/>
      <c r="N677" s="236"/>
      <c r="O677" s="236"/>
      <c r="P677" s="236"/>
      <c r="Q677" s="236"/>
      <c r="R677" s="236"/>
      <c r="S677" s="236"/>
      <c r="T677" s="236"/>
      <c r="U677" s="236"/>
      <c r="V677" s="239"/>
      <c r="W677" s="236"/>
      <c r="X677" s="236"/>
    </row>
    <row r="678">
      <c r="A678" s="236"/>
      <c r="B678" s="236"/>
      <c r="C678" s="236"/>
      <c r="D678" s="238"/>
      <c r="E678" s="245"/>
      <c r="F678" s="246"/>
      <c r="G678" s="246"/>
      <c r="H678" s="236"/>
      <c r="I678" s="236"/>
      <c r="J678" s="236"/>
      <c r="K678" s="236"/>
      <c r="L678" s="236"/>
      <c r="M678" s="236"/>
      <c r="N678" s="236"/>
      <c r="O678" s="236"/>
      <c r="P678" s="236"/>
      <c r="Q678" s="236"/>
      <c r="R678" s="236"/>
      <c r="S678" s="236"/>
      <c r="T678" s="236"/>
      <c r="U678" s="236"/>
      <c r="V678" s="239"/>
      <c r="W678" s="236"/>
      <c r="X678" s="236"/>
    </row>
    <row r="679">
      <c r="A679" s="236"/>
      <c r="B679" s="236"/>
      <c r="C679" s="236"/>
      <c r="D679" s="238"/>
      <c r="E679" s="245"/>
      <c r="F679" s="246"/>
      <c r="G679" s="246"/>
      <c r="H679" s="236"/>
      <c r="I679" s="236"/>
      <c r="J679" s="236"/>
      <c r="K679" s="236"/>
      <c r="L679" s="236"/>
      <c r="M679" s="236"/>
      <c r="N679" s="236"/>
      <c r="O679" s="236"/>
      <c r="P679" s="236"/>
      <c r="Q679" s="236"/>
      <c r="R679" s="236"/>
      <c r="S679" s="236"/>
      <c r="T679" s="236"/>
      <c r="U679" s="236"/>
      <c r="V679" s="239"/>
      <c r="W679" s="236"/>
      <c r="X679" s="236"/>
    </row>
    <row r="680">
      <c r="A680" s="236"/>
      <c r="B680" s="236"/>
      <c r="C680" s="236"/>
      <c r="D680" s="238"/>
      <c r="E680" s="245"/>
      <c r="F680" s="246"/>
      <c r="G680" s="246"/>
      <c r="H680" s="236"/>
      <c r="I680" s="236"/>
      <c r="J680" s="236"/>
      <c r="K680" s="236"/>
      <c r="L680" s="236"/>
      <c r="M680" s="236"/>
      <c r="N680" s="236"/>
      <c r="O680" s="236"/>
      <c r="P680" s="236"/>
      <c r="Q680" s="236"/>
      <c r="R680" s="236"/>
      <c r="S680" s="236"/>
      <c r="T680" s="236"/>
      <c r="U680" s="236"/>
      <c r="V680" s="239"/>
      <c r="W680" s="236"/>
      <c r="X680" s="236"/>
    </row>
    <row r="681">
      <c r="A681" s="236"/>
      <c r="B681" s="236"/>
      <c r="C681" s="236"/>
      <c r="D681" s="238"/>
      <c r="E681" s="245"/>
      <c r="F681" s="246"/>
      <c r="G681" s="246"/>
      <c r="H681" s="236"/>
      <c r="I681" s="236"/>
      <c r="J681" s="236"/>
      <c r="K681" s="236"/>
      <c r="L681" s="236"/>
      <c r="M681" s="236"/>
      <c r="N681" s="236"/>
      <c r="O681" s="236"/>
      <c r="P681" s="236"/>
      <c r="Q681" s="236"/>
      <c r="R681" s="236"/>
      <c r="S681" s="236"/>
      <c r="T681" s="236"/>
      <c r="U681" s="236"/>
      <c r="V681" s="239"/>
      <c r="W681" s="236"/>
      <c r="X681" s="236"/>
    </row>
    <row r="682">
      <c r="A682" s="236"/>
      <c r="B682" s="236"/>
      <c r="C682" s="236"/>
      <c r="D682" s="238"/>
      <c r="E682" s="245"/>
      <c r="F682" s="246"/>
      <c r="G682" s="246"/>
      <c r="H682" s="236"/>
      <c r="I682" s="236"/>
      <c r="J682" s="236"/>
      <c r="K682" s="236"/>
      <c r="L682" s="236"/>
      <c r="M682" s="236"/>
      <c r="N682" s="236"/>
      <c r="O682" s="236"/>
      <c r="P682" s="236"/>
      <c r="Q682" s="236"/>
      <c r="R682" s="236"/>
      <c r="S682" s="236"/>
      <c r="T682" s="236"/>
      <c r="U682" s="236"/>
      <c r="V682" s="239"/>
      <c r="W682" s="236"/>
      <c r="X682" s="236"/>
    </row>
    <row r="683">
      <c r="A683" s="236"/>
      <c r="B683" s="236"/>
      <c r="C683" s="236"/>
      <c r="D683" s="238"/>
      <c r="E683" s="245"/>
      <c r="F683" s="246"/>
      <c r="G683" s="246"/>
      <c r="H683" s="236"/>
      <c r="I683" s="236"/>
      <c r="J683" s="236"/>
      <c r="K683" s="236"/>
      <c r="L683" s="236"/>
      <c r="M683" s="236"/>
      <c r="N683" s="236"/>
      <c r="O683" s="236"/>
      <c r="P683" s="236"/>
      <c r="Q683" s="236"/>
      <c r="R683" s="236"/>
      <c r="S683" s="236"/>
      <c r="T683" s="236"/>
      <c r="U683" s="236"/>
      <c r="V683" s="239"/>
      <c r="W683" s="236"/>
      <c r="X683" s="236"/>
    </row>
    <row r="684">
      <c r="A684" s="236"/>
      <c r="B684" s="236"/>
      <c r="C684" s="236"/>
      <c r="D684" s="238"/>
      <c r="E684" s="245"/>
      <c r="F684" s="246"/>
      <c r="G684" s="246"/>
      <c r="H684" s="236"/>
      <c r="I684" s="236"/>
      <c r="J684" s="236"/>
      <c r="K684" s="236"/>
      <c r="L684" s="236"/>
      <c r="M684" s="236"/>
      <c r="N684" s="236"/>
      <c r="O684" s="236"/>
      <c r="P684" s="236"/>
      <c r="Q684" s="236"/>
      <c r="R684" s="236"/>
      <c r="S684" s="236"/>
      <c r="T684" s="236"/>
      <c r="U684" s="236"/>
      <c r="V684" s="239"/>
      <c r="W684" s="236"/>
      <c r="X684" s="236"/>
    </row>
    <row r="685">
      <c r="A685" s="236"/>
      <c r="B685" s="236"/>
      <c r="C685" s="236"/>
      <c r="D685" s="238"/>
      <c r="E685" s="245"/>
      <c r="F685" s="246"/>
      <c r="G685" s="246"/>
      <c r="H685" s="236"/>
      <c r="I685" s="236"/>
      <c r="J685" s="236"/>
      <c r="K685" s="236"/>
      <c r="L685" s="236"/>
      <c r="M685" s="236"/>
      <c r="N685" s="236"/>
      <c r="O685" s="236"/>
      <c r="P685" s="236"/>
      <c r="Q685" s="236"/>
      <c r="R685" s="236"/>
      <c r="S685" s="236"/>
      <c r="T685" s="236"/>
      <c r="U685" s="236"/>
      <c r="V685" s="239"/>
      <c r="W685" s="236"/>
      <c r="X685" s="236"/>
    </row>
    <row r="686">
      <c r="A686" s="236"/>
      <c r="B686" s="236"/>
      <c r="C686" s="236"/>
      <c r="D686" s="238"/>
      <c r="E686" s="245"/>
      <c r="F686" s="246"/>
      <c r="G686" s="246"/>
      <c r="H686" s="236"/>
      <c r="I686" s="236"/>
      <c r="J686" s="236"/>
      <c r="K686" s="236"/>
      <c r="L686" s="236"/>
      <c r="M686" s="236"/>
      <c r="N686" s="236"/>
      <c r="O686" s="236"/>
      <c r="P686" s="236"/>
      <c r="Q686" s="236"/>
      <c r="R686" s="236"/>
      <c r="S686" s="236"/>
      <c r="T686" s="236"/>
      <c r="U686" s="236"/>
      <c r="V686" s="239"/>
      <c r="W686" s="236"/>
      <c r="X686" s="236"/>
    </row>
    <row r="687">
      <c r="A687" s="236"/>
      <c r="B687" s="236"/>
      <c r="C687" s="236"/>
      <c r="D687" s="238"/>
      <c r="E687" s="245"/>
      <c r="F687" s="246"/>
      <c r="G687" s="246"/>
      <c r="H687" s="236"/>
      <c r="I687" s="236"/>
      <c r="J687" s="236"/>
      <c r="K687" s="236"/>
      <c r="L687" s="236"/>
      <c r="M687" s="236"/>
      <c r="N687" s="236"/>
      <c r="O687" s="236"/>
      <c r="P687" s="236"/>
      <c r="Q687" s="236"/>
      <c r="R687" s="236"/>
      <c r="S687" s="236"/>
      <c r="T687" s="236"/>
      <c r="U687" s="236"/>
      <c r="V687" s="239"/>
      <c r="W687" s="236"/>
      <c r="X687" s="236"/>
    </row>
    <row r="688">
      <c r="A688" s="236"/>
      <c r="B688" s="236"/>
      <c r="C688" s="236"/>
      <c r="D688" s="238"/>
      <c r="E688" s="245"/>
      <c r="F688" s="246"/>
      <c r="G688" s="246"/>
      <c r="H688" s="236"/>
      <c r="I688" s="236"/>
      <c r="J688" s="236"/>
      <c r="K688" s="236"/>
      <c r="L688" s="236"/>
      <c r="M688" s="236"/>
      <c r="N688" s="236"/>
      <c r="O688" s="236"/>
      <c r="P688" s="236"/>
      <c r="Q688" s="236"/>
      <c r="R688" s="236"/>
      <c r="S688" s="236"/>
      <c r="T688" s="236"/>
      <c r="U688" s="236"/>
      <c r="V688" s="239"/>
      <c r="W688" s="236"/>
      <c r="X688" s="236"/>
    </row>
    <row r="689">
      <c r="A689" s="236"/>
      <c r="B689" s="236"/>
      <c r="C689" s="236"/>
      <c r="D689" s="238"/>
      <c r="E689" s="245"/>
      <c r="F689" s="246"/>
      <c r="G689" s="246"/>
      <c r="H689" s="236"/>
      <c r="I689" s="236"/>
      <c r="J689" s="236"/>
      <c r="K689" s="236"/>
      <c r="L689" s="236"/>
      <c r="M689" s="236"/>
      <c r="N689" s="236"/>
      <c r="O689" s="236"/>
      <c r="P689" s="236"/>
      <c r="Q689" s="236"/>
      <c r="R689" s="236"/>
      <c r="S689" s="236"/>
      <c r="T689" s="236"/>
      <c r="U689" s="236"/>
      <c r="V689" s="239"/>
      <c r="W689" s="236"/>
      <c r="X689" s="236"/>
    </row>
    <row r="690">
      <c r="A690" s="236"/>
      <c r="B690" s="236"/>
      <c r="C690" s="236"/>
      <c r="D690" s="238"/>
      <c r="E690" s="245"/>
      <c r="F690" s="246"/>
      <c r="G690" s="246"/>
      <c r="H690" s="236"/>
      <c r="I690" s="236"/>
      <c r="J690" s="236"/>
      <c r="K690" s="236"/>
      <c r="L690" s="236"/>
      <c r="M690" s="236"/>
      <c r="N690" s="236"/>
      <c r="O690" s="236"/>
      <c r="P690" s="236"/>
      <c r="Q690" s="236"/>
      <c r="R690" s="236"/>
      <c r="S690" s="236"/>
      <c r="T690" s="236"/>
      <c r="U690" s="236"/>
      <c r="V690" s="239"/>
      <c r="W690" s="236"/>
      <c r="X690" s="236"/>
    </row>
    <row r="691">
      <c r="A691" s="236"/>
      <c r="B691" s="236"/>
      <c r="C691" s="236"/>
      <c r="D691" s="238"/>
      <c r="E691" s="245"/>
      <c r="F691" s="246"/>
      <c r="G691" s="246"/>
      <c r="H691" s="236"/>
      <c r="I691" s="236"/>
      <c r="J691" s="236"/>
      <c r="K691" s="236"/>
      <c r="L691" s="236"/>
      <c r="M691" s="236"/>
      <c r="N691" s="236"/>
      <c r="O691" s="236"/>
      <c r="P691" s="236"/>
      <c r="Q691" s="236"/>
      <c r="R691" s="236"/>
      <c r="S691" s="236"/>
      <c r="T691" s="236"/>
      <c r="U691" s="236"/>
      <c r="V691" s="239"/>
      <c r="W691" s="236"/>
      <c r="X691" s="236"/>
    </row>
    <row r="692">
      <c r="A692" s="236"/>
      <c r="B692" s="236"/>
      <c r="C692" s="236"/>
      <c r="D692" s="238"/>
      <c r="E692" s="245"/>
      <c r="F692" s="246"/>
      <c r="G692" s="246"/>
      <c r="H692" s="236"/>
      <c r="I692" s="236"/>
      <c r="J692" s="236"/>
      <c r="K692" s="236"/>
      <c r="L692" s="236"/>
      <c r="M692" s="236"/>
      <c r="N692" s="236"/>
      <c r="O692" s="236"/>
      <c r="P692" s="236"/>
      <c r="Q692" s="236"/>
      <c r="R692" s="236"/>
      <c r="S692" s="236"/>
      <c r="T692" s="236"/>
      <c r="U692" s="236"/>
      <c r="V692" s="239"/>
      <c r="W692" s="236"/>
      <c r="X692" s="236"/>
    </row>
    <row r="693">
      <c r="A693" s="236"/>
      <c r="B693" s="236"/>
      <c r="C693" s="236"/>
      <c r="D693" s="238"/>
      <c r="E693" s="245"/>
      <c r="F693" s="246"/>
      <c r="G693" s="246"/>
      <c r="H693" s="236"/>
      <c r="I693" s="236"/>
      <c r="J693" s="236"/>
      <c r="K693" s="236"/>
      <c r="L693" s="236"/>
      <c r="M693" s="236"/>
      <c r="N693" s="236"/>
      <c r="O693" s="236"/>
      <c r="P693" s="236"/>
      <c r="Q693" s="236"/>
      <c r="R693" s="236"/>
      <c r="S693" s="236"/>
      <c r="T693" s="236"/>
      <c r="U693" s="236"/>
      <c r="V693" s="239"/>
      <c r="W693" s="236"/>
      <c r="X693" s="236"/>
    </row>
    <row r="694">
      <c r="A694" s="236"/>
      <c r="B694" s="236"/>
      <c r="C694" s="236"/>
      <c r="D694" s="238"/>
      <c r="E694" s="245"/>
      <c r="F694" s="246"/>
      <c r="G694" s="246"/>
      <c r="H694" s="236"/>
      <c r="I694" s="236"/>
      <c r="J694" s="236"/>
      <c r="K694" s="236"/>
      <c r="L694" s="236"/>
      <c r="M694" s="236"/>
      <c r="N694" s="236"/>
      <c r="O694" s="236"/>
      <c r="P694" s="236"/>
      <c r="Q694" s="236"/>
      <c r="R694" s="236"/>
      <c r="S694" s="236"/>
      <c r="T694" s="236"/>
      <c r="U694" s="236"/>
      <c r="V694" s="239"/>
      <c r="W694" s="236"/>
      <c r="X694" s="236"/>
    </row>
    <row r="695">
      <c r="A695" s="236"/>
      <c r="B695" s="236"/>
      <c r="C695" s="236"/>
      <c r="D695" s="238"/>
      <c r="E695" s="245"/>
      <c r="F695" s="246"/>
      <c r="G695" s="246"/>
      <c r="H695" s="236"/>
      <c r="I695" s="236"/>
      <c r="J695" s="236"/>
      <c r="K695" s="236"/>
      <c r="L695" s="236"/>
      <c r="M695" s="236"/>
      <c r="N695" s="236"/>
      <c r="O695" s="236"/>
      <c r="P695" s="236"/>
      <c r="Q695" s="236"/>
      <c r="R695" s="236"/>
      <c r="S695" s="236"/>
      <c r="T695" s="236"/>
      <c r="U695" s="236"/>
      <c r="V695" s="239"/>
      <c r="W695" s="236"/>
      <c r="X695" s="236"/>
    </row>
    <row r="696">
      <c r="A696" s="236"/>
      <c r="B696" s="236"/>
      <c r="C696" s="236"/>
      <c r="D696" s="238"/>
      <c r="E696" s="245"/>
      <c r="F696" s="246"/>
      <c r="G696" s="246"/>
      <c r="H696" s="236"/>
      <c r="I696" s="236"/>
      <c r="J696" s="236"/>
      <c r="K696" s="236"/>
      <c r="L696" s="236"/>
      <c r="M696" s="236"/>
      <c r="N696" s="236"/>
      <c r="O696" s="236"/>
      <c r="P696" s="236"/>
      <c r="Q696" s="236"/>
      <c r="R696" s="236"/>
      <c r="S696" s="236"/>
      <c r="T696" s="236"/>
      <c r="U696" s="236"/>
      <c r="V696" s="239"/>
      <c r="W696" s="236"/>
      <c r="X696" s="236"/>
    </row>
    <row r="697">
      <c r="A697" s="236"/>
      <c r="B697" s="236"/>
      <c r="C697" s="236"/>
      <c r="D697" s="238"/>
      <c r="E697" s="245"/>
      <c r="F697" s="246"/>
      <c r="G697" s="246"/>
      <c r="H697" s="236"/>
      <c r="I697" s="236"/>
      <c r="J697" s="236"/>
      <c r="K697" s="236"/>
      <c r="L697" s="236"/>
      <c r="M697" s="236"/>
      <c r="N697" s="236"/>
      <c r="O697" s="236"/>
      <c r="P697" s="236"/>
      <c r="Q697" s="236"/>
      <c r="R697" s="236"/>
      <c r="S697" s="236"/>
      <c r="T697" s="236"/>
      <c r="U697" s="236"/>
      <c r="V697" s="239"/>
      <c r="W697" s="236"/>
      <c r="X697" s="236"/>
    </row>
    <row r="698">
      <c r="A698" s="236"/>
      <c r="B698" s="236"/>
      <c r="C698" s="236"/>
      <c r="D698" s="238"/>
      <c r="E698" s="245"/>
      <c r="F698" s="246"/>
      <c r="G698" s="246"/>
      <c r="H698" s="236"/>
      <c r="I698" s="236"/>
      <c r="J698" s="236"/>
      <c r="K698" s="236"/>
      <c r="L698" s="236"/>
      <c r="M698" s="236"/>
      <c r="N698" s="236"/>
      <c r="O698" s="236"/>
      <c r="P698" s="236"/>
      <c r="Q698" s="236"/>
      <c r="R698" s="236"/>
      <c r="S698" s="236"/>
      <c r="T698" s="236"/>
      <c r="U698" s="236"/>
      <c r="V698" s="239"/>
      <c r="W698" s="236"/>
      <c r="X698" s="236"/>
    </row>
    <row r="699">
      <c r="A699" s="236"/>
      <c r="B699" s="236"/>
      <c r="C699" s="236"/>
      <c r="D699" s="238"/>
      <c r="E699" s="245"/>
      <c r="F699" s="246"/>
      <c r="G699" s="246"/>
      <c r="H699" s="236"/>
      <c r="I699" s="236"/>
      <c r="J699" s="236"/>
      <c r="K699" s="236"/>
      <c r="L699" s="236"/>
      <c r="M699" s="236"/>
      <c r="N699" s="236"/>
      <c r="O699" s="236"/>
      <c r="P699" s="236"/>
      <c r="Q699" s="236"/>
      <c r="R699" s="236"/>
      <c r="S699" s="236"/>
      <c r="T699" s="236"/>
      <c r="U699" s="236"/>
      <c r="V699" s="239"/>
      <c r="W699" s="236"/>
      <c r="X699" s="236"/>
    </row>
    <row r="700">
      <c r="A700" s="236"/>
      <c r="B700" s="236"/>
      <c r="C700" s="236"/>
      <c r="D700" s="238"/>
      <c r="E700" s="245"/>
      <c r="F700" s="246"/>
      <c r="G700" s="246"/>
      <c r="H700" s="236"/>
      <c r="I700" s="236"/>
      <c r="J700" s="236"/>
      <c r="K700" s="236"/>
      <c r="L700" s="236"/>
      <c r="M700" s="236"/>
      <c r="N700" s="236"/>
      <c r="O700" s="236"/>
      <c r="P700" s="236"/>
      <c r="Q700" s="236"/>
      <c r="R700" s="236"/>
      <c r="S700" s="236"/>
      <c r="T700" s="236"/>
      <c r="U700" s="236"/>
      <c r="V700" s="239"/>
      <c r="W700" s="236"/>
      <c r="X700" s="236"/>
    </row>
    <row r="701">
      <c r="A701" s="236"/>
      <c r="B701" s="236"/>
      <c r="C701" s="236"/>
      <c r="D701" s="238"/>
      <c r="E701" s="245"/>
      <c r="F701" s="246"/>
      <c r="G701" s="246"/>
      <c r="H701" s="236"/>
      <c r="I701" s="236"/>
      <c r="J701" s="236"/>
      <c r="K701" s="236"/>
      <c r="L701" s="236"/>
      <c r="M701" s="236"/>
      <c r="N701" s="236"/>
      <c r="O701" s="236"/>
      <c r="P701" s="236"/>
      <c r="Q701" s="236"/>
      <c r="R701" s="236"/>
      <c r="S701" s="236"/>
      <c r="T701" s="236"/>
      <c r="U701" s="236"/>
      <c r="V701" s="239"/>
      <c r="W701" s="236"/>
      <c r="X701" s="236"/>
    </row>
    <row r="702">
      <c r="A702" s="236"/>
      <c r="B702" s="236"/>
      <c r="C702" s="236"/>
      <c r="D702" s="238"/>
      <c r="E702" s="245"/>
      <c r="F702" s="246"/>
      <c r="G702" s="246"/>
      <c r="H702" s="236"/>
      <c r="I702" s="236"/>
      <c r="J702" s="236"/>
      <c r="K702" s="236"/>
      <c r="L702" s="236"/>
      <c r="M702" s="236"/>
      <c r="N702" s="236"/>
      <c r="O702" s="236"/>
      <c r="P702" s="236"/>
      <c r="Q702" s="236"/>
      <c r="R702" s="236"/>
      <c r="S702" s="236"/>
      <c r="T702" s="236"/>
      <c r="U702" s="236"/>
      <c r="V702" s="239"/>
      <c r="W702" s="236"/>
      <c r="X702" s="236"/>
    </row>
    <row r="703">
      <c r="A703" s="236"/>
      <c r="B703" s="236"/>
      <c r="C703" s="236"/>
      <c r="D703" s="238"/>
      <c r="E703" s="245"/>
      <c r="F703" s="246"/>
      <c r="G703" s="246"/>
      <c r="H703" s="236"/>
      <c r="I703" s="236"/>
      <c r="J703" s="236"/>
      <c r="K703" s="236"/>
      <c r="L703" s="236"/>
      <c r="M703" s="236"/>
      <c r="N703" s="236"/>
      <c r="O703" s="236"/>
      <c r="P703" s="236"/>
      <c r="Q703" s="236"/>
      <c r="R703" s="236"/>
      <c r="S703" s="236"/>
      <c r="T703" s="236"/>
      <c r="U703" s="236"/>
      <c r="V703" s="239"/>
      <c r="W703" s="236"/>
      <c r="X703" s="236"/>
    </row>
    <row r="704">
      <c r="A704" s="236"/>
      <c r="B704" s="236"/>
      <c r="C704" s="236"/>
      <c r="D704" s="238"/>
      <c r="E704" s="245"/>
      <c r="F704" s="246"/>
      <c r="G704" s="246"/>
      <c r="H704" s="236"/>
      <c r="I704" s="236"/>
      <c r="J704" s="236"/>
      <c r="K704" s="236"/>
      <c r="L704" s="236"/>
      <c r="M704" s="236"/>
      <c r="N704" s="236"/>
      <c r="O704" s="236"/>
      <c r="P704" s="236"/>
      <c r="Q704" s="236"/>
      <c r="R704" s="236"/>
      <c r="S704" s="236"/>
      <c r="T704" s="236"/>
      <c r="U704" s="236"/>
      <c r="V704" s="239"/>
      <c r="W704" s="236"/>
      <c r="X704" s="236"/>
    </row>
    <row r="705">
      <c r="A705" s="236"/>
      <c r="B705" s="236"/>
      <c r="C705" s="236"/>
      <c r="D705" s="238"/>
      <c r="E705" s="245"/>
      <c r="F705" s="246"/>
      <c r="G705" s="246"/>
      <c r="H705" s="236"/>
      <c r="I705" s="236"/>
      <c r="J705" s="236"/>
      <c r="K705" s="236"/>
      <c r="L705" s="236"/>
      <c r="M705" s="236"/>
      <c r="N705" s="236"/>
      <c r="O705" s="236"/>
      <c r="P705" s="236"/>
      <c r="Q705" s="236"/>
      <c r="R705" s="236"/>
      <c r="S705" s="236"/>
      <c r="T705" s="236"/>
      <c r="U705" s="236"/>
      <c r="V705" s="239"/>
      <c r="W705" s="236"/>
      <c r="X705" s="236"/>
    </row>
    <row r="706">
      <c r="A706" s="236"/>
      <c r="B706" s="236"/>
      <c r="C706" s="236"/>
      <c r="D706" s="238"/>
      <c r="E706" s="245"/>
      <c r="F706" s="246"/>
      <c r="G706" s="246"/>
      <c r="H706" s="236"/>
      <c r="I706" s="236"/>
      <c r="J706" s="236"/>
      <c r="K706" s="236"/>
      <c r="L706" s="236"/>
      <c r="M706" s="236"/>
      <c r="N706" s="236"/>
      <c r="O706" s="236"/>
      <c r="P706" s="236"/>
      <c r="Q706" s="236"/>
      <c r="R706" s="236"/>
      <c r="S706" s="236"/>
      <c r="T706" s="236"/>
      <c r="U706" s="236"/>
      <c r="V706" s="239"/>
      <c r="W706" s="236"/>
      <c r="X706" s="236"/>
    </row>
    <row r="707">
      <c r="A707" s="236"/>
      <c r="B707" s="236"/>
      <c r="C707" s="236"/>
      <c r="D707" s="238"/>
      <c r="E707" s="245"/>
      <c r="F707" s="246"/>
      <c r="G707" s="246"/>
      <c r="H707" s="236"/>
      <c r="I707" s="236"/>
      <c r="J707" s="236"/>
      <c r="K707" s="236"/>
      <c r="L707" s="236"/>
      <c r="M707" s="236"/>
      <c r="N707" s="236"/>
      <c r="O707" s="236"/>
      <c r="P707" s="236"/>
      <c r="Q707" s="236"/>
      <c r="R707" s="236"/>
      <c r="S707" s="236"/>
      <c r="T707" s="236"/>
      <c r="U707" s="236"/>
      <c r="V707" s="239"/>
      <c r="W707" s="236"/>
      <c r="X707" s="236"/>
    </row>
    <row r="708">
      <c r="A708" s="236"/>
      <c r="B708" s="236"/>
      <c r="C708" s="236"/>
      <c r="D708" s="238"/>
      <c r="E708" s="245"/>
      <c r="F708" s="246"/>
      <c r="G708" s="246"/>
      <c r="H708" s="236"/>
      <c r="I708" s="236"/>
      <c r="J708" s="236"/>
      <c r="K708" s="236"/>
      <c r="L708" s="236"/>
      <c r="M708" s="236"/>
      <c r="N708" s="236"/>
      <c r="O708" s="236"/>
      <c r="P708" s="236"/>
      <c r="Q708" s="236"/>
      <c r="R708" s="236"/>
      <c r="S708" s="236"/>
      <c r="T708" s="236"/>
      <c r="U708" s="236"/>
      <c r="V708" s="239"/>
      <c r="W708" s="236"/>
      <c r="X708" s="236"/>
    </row>
    <row r="709">
      <c r="A709" s="236"/>
      <c r="B709" s="236"/>
      <c r="C709" s="236"/>
      <c r="D709" s="238"/>
      <c r="E709" s="245"/>
      <c r="F709" s="246"/>
      <c r="G709" s="246"/>
      <c r="H709" s="236"/>
      <c r="I709" s="236"/>
      <c r="J709" s="236"/>
      <c r="K709" s="236"/>
      <c r="L709" s="236"/>
      <c r="M709" s="236"/>
      <c r="N709" s="236"/>
      <c r="O709" s="236"/>
      <c r="P709" s="236"/>
      <c r="Q709" s="236"/>
      <c r="R709" s="236"/>
      <c r="S709" s="236"/>
      <c r="T709" s="236"/>
      <c r="U709" s="236"/>
      <c r="V709" s="239"/>
      <c r="W709" s="236"/>
      <c r="X709" s="236"/>
    </row>
    <row r="710">
      <c r="A710" s="236"/>
      <c r="B710" s="236"/>
      <c r="C710" s="236"/>
      <c r="D710" s="238"/>
      <c r="E710" s="245"/>
      <c r="F710" s="246"/>
      <c r="G710" s="246"/>
      <c r="H710" s="236"/>
      <c r="I710" s="236"/>
      <c r="J710" s="236"/>
      <c r="K710" s="236"/>
      <c r="L710" s="236"/>
      <c r="M710" s="236"/>
      <c r="N710" s="236"/>
      <c r="O710" s="236"/>
      <c r="P710" s="236"/>
      <c r="Q710" s="236"/>
      <c r="R710" s="236"/>
      <c r="S710" s="236"/>
      <c r="T710" s="236"/>
      <c r="U710" s="236"/>
      <c r="V710" s="239"/>
      <c r="W710" s="236"/>
      <c r="X710" s="236"/>
    </row>
    <row r="711">
      <c r="A711" s="236"/>
      <c r="B711" s="236"/>
      <c r="C711" s="236"/>
      <c r="D711" s="238"/>
      <c r="E711" s="245"/>
      <c r="F711" s="246"/>
      <c r="G711" s="246"/>
      <c r="H711" s="236"/>
      <c r="I711" s="236"/>
      <c r="J711" s="236"/>
      <c r="K711" s="236"/>
      <c r="L711" s="236"/>
      <c r="M711" s="236"/>
      <c r="N711" s="236"/>
      <c r="O711" s="236"/>
      <c r="P711" s="236"/>
      <c r="Q711" s="236"/>
      <c r="R711" s="236"/>
      <c r="S711" s="236"/>
      <c r="T711" s="236"/>
      <c r="U711" s="236"/>
      <c r="V711" s="239"/>
      <c r="W711" s="236"/>
      <c r="X711" s="236"/>
    </row>
    <row r="712">
      <c r="A712" s="236"/>
      <c r="B712" s="236"/>
      <c r="C712" s="236"/>
      <c r="D712" s="238"/>
      <c r="E712" s="245"/>
      <c r="F712" s="246"/>
      <c r="G712" s="246"/>
      <c r="H712" s="236"/>
      <c r="I712" s="236"/>
      <c r="J712" s="236"/>
      <c r="K712" s="236"/>
      <c r="L712" s="236"/>
      <c r="M712" s="236"/>
      <c r="N712" s="236"/>
      <c r="O712" s="236"/>
      <c r="P712" s="236"/>
      <c r="Q712" s="236"/>
      <c r="R712" s="236"/>
      <c r="S712" s="236"/>
      <c r="T712" s="236"/>
      <c r="U712" s="236"/>
      <c r="V712" s="239"/>
      <c r="W712" s="236"/>
      <c r="X712" s="236"/>
    </row>
    <row r="713">
      <c r="A713" s="236"/>
      <c r="B713" s="236"/>
      <c r="C713" s="236"/>
      <c r="D713" s="238"/>
      <c r="E713" s="245"/>
      <c r="F713" s="246"/>
      <c r="G713" s="246"/>
      <c r="H713" s="236"/>
      <c r="I713" s="236"/>
      <c r="J713" s="236"/>
      <c r="K713" s="236"/>
      <c r="L713" s="236"/>
      <c r="M713" s="236"/>
      <c r="N713" s="236"/>
      <c r="O713" s="236"/>
      <c r="P713" s="236"/>
      <c r="Q713" s="236"/>
      <c r="R713" s="236"/>
      <c r="S713" s="236"/>
      <c r="T713" s="236"/>
      <c r="U713" s="236"/>
      <c r="V713" s="239"/>
      <c r="W713" s="236"/>
      <c r="X713" s="236"/>
    </row>
    <row r="714">
      <c r="A714" s="236"/>
      <c r="B714" s="236"/>
      <c r="C714" s="236"/>
      <c r="D714" s="238"/>
      <c r="E714" s="245"/>
      <c r="F714" s="246"/>
      <c r="G714" s="246"/>
      <c r="H714" s="236"/>
      <c r="I714" s="236"/>
      <c r="J714" s="236"/>
      <c r="K714" s="236"/>
      <c r="L714" s="236"/>
      <c r="M714" s="236"/>
      <c r="N714" s="236"/>
      <c r="O714" s="236"/>
      <c r="P714" s="236"/>
      <c r="Q714" s="236"/>
      <c r="R714" s="236"/>
      <c r="S714" s="236"/>
      <c r="T714" s="236"/>
      <c r="U714" s="236"/>
      <c r="V714" s="239"/>
      <c r="W714" s="236"/>
      <c r="X714" s="236"/>
    </row>
    <row r="715">
      <c r="A715" s="236"/>
      <c r="B715" s="236"/>
      <c r="C715" s="236"/>
      <c r="D715" s="238"/>
      <c r="E715" s="245"/>
      <c r="F715" s="246"/>
      <c r="G715" s="246"/>
      <c r="H715" s="236"/>
      <c r="I715" s="236"/>
      <c r="J715" s="236"/>
      <c r="K715" s="236"/>
      <c r="L715" s="236"/>
      <c r="M715" s="236"/>
      <c r="N715" s="236"/>
      <c r="O715" s="236"/>
      <c r="P715" s="236"/>
      <c r="Q715" s="236"/>
      <c r="R715" s="236"/>
      <c r="S715" s="236"/>
      <c r="T715" s="236"/>
      <c r="U715" s="236"/>
      <c r="V715" s="239"/>
      <c r="W715" s="236"/>
      <c r="X715" s="236"/>
    </row>
    <row r="716">
      <c r="A716" s="236"/>
      <c r="B716" s="236"/>
      <c r="C716" s="236"/>
      <c r="D716" s="238"/>
      <c r="E716" s="245"/>
      <c r="F716" s="246"/>
      <c r="G716" s="246"/>
      <c r="H716" s="236"/>
      <c r="I716" s="236"/>
      <c r="J716" s="236"/>
      <c r="K716" s="236"/>
      <c r="L716" s="236"/>
      <c r="M716" s="236"/>
      <c r="N716" s="236"/>
      <c r="O716" s="236"/>
      <c r="P716" s="236"/>
      <c r="Q716" s="236"/>
      <c r="R716" s="236"/>
      <c r="S716" s="236"/>
      <c r="T716" s="236"/>
      <c r="U716" s="236"/>
      <c r="V716" s="239"/>
      <c r="W716" s="236"/>
      <c r="X716" s="236"/>
    </row>
    <row r="717">
      <c r="A717" s="236"/>
      <c r="B717" s="236"/>
      <c r="C717" s="236"/>
      <c r="D717" s="238"/>
      <c r="E717" s="245"/>
      <c r="F717" s="246"/>
      <c r="G717" s="246"/>
      <c r="H717" s="236"/>
      <c r="I717" s="236"/>
      <c r="J717" s="236"/>
      <c r="K717" s="236"/>
      <c r="L717" s="236"/>
      <c r="M717" s="236"/>
      <c r="N717" s="236"/>
      <c r="O717" s="236"/>
      <c r="P717" s="236"/>
      <c r="Q717" s="236"/>
      <c r="R717" s="236"/>
      <c r="S717" s="236"/>
      <c r="T717" s="236"/>
      <c r="U717" s="236"/>
      <c r="V717" s="239"/>
      <c r="W717" s="236"/>
      <c r="X717" s="236"/>
    </row>
    <row r="718">
      <c r="A718" s="236"/>
      <c r="B718" s="236"/>
      <c r="C718" s="236"/>
      <c r="D718" s="238"/>
      <c r="E718" s="245"/>
      <c r="F718" s="246"/>
      <c r="G718" s="246"/>
      <c r="H718" s="236"/>
      <c r="I718" s="236"/>
      <c r="J718" s="236"/>
      <c r="K718" s="236"/>
      <c r="L718" s="236"/>
      <c r="M718" s="236"/>
      <c r="N718" s="236"/>
      <c r="O718" s="236"/>
      <c r="P718" s="236"/>
      <c r="Q718" s="236"/>
      <c r="R718" s="236"/>
      <c r="S718" s="236"/>
      <c r="T718" s="236"/>
      <c r="U718" s="236"/>
      <c r="V718" s="239"/>
      <c r="W718" s="236"/>
      <c r="X718" s="236"/>
    </row>
    <row r="719">
      <c r="A719" s="236"/>
      <c r="B719" s="236"/>
      <c r="C719" s="236"/>
      <c r="D719" s="238"/>
      <c r="E719" s="245"/>
      <c r="F719" s="246"/>
      <c r="G719" s="246"/>
      <c r="H719" s="236"/>
      <c r="I719" s="236"/>
      <c r="J719" s="236"/>
      <c r="K719" s="236"/>
      <c r="L719" s="236"/>
      <c r="M719" s="236"/>
      <c r="N719" s="236"/>
      <c r="O719" s="236"/>
      <c r="P719" s="236"/>
      <c r="Q719" s="236"/>
      <c r="R719" s="236"/>
      <c r="S719" s="236"/>
      <c r="T719" s="236"/>
      <c r="U719" s="236"/>
      <c r="V719" s="239"/>
      <c r="W719" s="236"/>
      <c r="X719" s="236"/>
    </row>
    <row r="720">
      <c r="A720" s="236"/>
      <c r="B720" s="236"/>
      <c r="C720" s="236"/>
      <c r="D720" s="238"/>
      <c r="E720" s="245"/>
      <c r="F720" s="246"/>
      <c r="G720" s="246"/>
      <c r="H720" s="236"/>
      <c r="I720" s="236"/>
      <c r="J720" s="236"/>
      <c r="K720" s="236"/>
      <c r="L720" s="236"/>
      <c r="M720" s="236"/>
      <c r="N720" s="236"/>
      <c r="O720" s="236"/>
      <c r="P720" s="236"/>
      <c r="Q720" s="236"/>
      <c r="R720" s="236"/>
      <c r="S720" s="236"/>
      <c r="T720" s="236"/>
      <c r="U720" s="236"/>
      <c r="V720" s="239"/>
      <c r="W720" s="236"/>
      <c r="X720" s="236"/>
    </row>
    <row r="721">
      <c r="A721" s="236"/>
      <c r="B721" s="236"/>
      <c r="C721" s="236"/>
      <c r="D721" s="238"/>
      <c r="E721" s="245"/>
      <c r="F721" s="246"/>
      <c r="G721" s="246"/>
      <c r="H721" s="236"/>
      <c r="I721" s="236"/>
      <c r="J721" s="236"/>
      <c r="K721" s="236"/>
      <c r="L721" s="236"/>
      <c r="M721" s="236"/>
      <c r="N721" s="236"/>
      <c r="O721" s="236"/>
      <c r="P721" s="236"/>
      <c r="Q721" s="236"/>
      <c r="R721" s="236"/>
      <c r="S721" s="236"/>
      <c r="T721" s="236"/>
      <c r="U721" s="236"/>
      <c r="V721" s="239"/>
      <c r="W721" s="236"/>
      <c r="X721" s="236"/>
    </row>
    <row r="722">
      <c r="A722" s="236"/>
      <c r="B722" s="236"/>
      <c r="C722" s="236"/>
      <c r="D722" s="238"/>
      <c r="E722" s="245"/>
      <c r="F722" s="246"/>
      <c r="G722" s="246"/>
      <c r="H722" s="236"/>
      <c r="I722" s="236"/>
      <c r="J722" s="236"/>
      <c r="K722" s="236"/>
      <c r="L722" s="236"/>
      <c r="M722" s="236"/>
      <c r="N722" s="236"/>
      <c r="O722" s="236"/>
      <c r="P722" s="236"/>
      <c r="Q722" s="236"/>
      <c r="R722" s="236"/>
      <c r="S722" s="236"/>
      <c r="T722" s="236"/>
      <c r="U722" s="236"/>
      <c r="V722" s="239"/>
      <c r="W722" s="236"/>
      <c r="X722" s="236"/>
    </row>
    <row r="723">
      <c r="A723" s="236"/>
      <c r="B723" s="236"/>
      <c r="C723" s="236"/>
      <c r="D723" s="238"/>
      <c r="E723" s="245"/>
      <c r="F723" s="246"/>
      <c r="G723" s="246"/>
      <c r="H723" s="236"/>
      <c r="I723" s="236"/>
      <c r="J723" s="236"/>
      <c r="K723" s="236"/>
      <c r="L723" s="236"/>
      <c r="M723" s="236"/>
      <c r="N723" s="236"/>
      <c r="O723" s="236"/>
      <c r="P723" s="236"/>
      <c r="Q723" s="236"/>
      <c r="R723" s="236"/>
      <c r="S723" s="236"/>
      <c r="T723" s="236"/>
      <c r="U723" s="236"/>
      <c r="V723" s="239"/>
      <c r="W723" s="236"/>
      <c r="X723" s="236"/>
    </row>
    <row r="724">
      <c r="A724" s="236"/>
      <c r="B724" s="236"/>
      <c r="C724" s="236"/>
      <c r="D724" s="238"/>
      <c r="E724" s="245"/>
      <c r="F724" s="246"/>
      <c r="G724" s="246"/>
      <c r="H724" s="236"/>
      <c r="I724" s="236"/>
      <c r="J724" s="236"/>
      <c r="K724" s="236"/>
      <c r="L724" s="236"/>
      <c r="M724" s="236"/>
      <c r="N724" s="236"/>
      <c r="O724" s="236"/>
      <c r="P724" s="236"/>
      <c r="Q724" s="236"/>
      <c r="R724" s="236"/>
      <c r="S724" s="236"/>
      <c r="T724" s="236"/>
      <c r="U724" s="236"/>
      <c r="V724" s="239"/>
      <c r="W724" s="236"/>
      <c r="X724" s="236"/>
    </row>
    <row r="725">
      <c r="A725" s="236"/>
      <c r="B725" s="236"/>
      <c r="C725" s="236"/>
      <c r="D725" s="238"/>
      <c r="E725" s="245"/>
      <c r="F725" s="246"/>
      <c r="G725" s="246"/>
      <c r="H725" s="236"/>
      <c r="I725" s="236"/>
      <c r="J725" s="236"/>
      <c r="K725" s="236"/>
      <c r="L725" s="236"/>
      <c r="M725" s="236"/>
      <c r="N725" s="236"/>
      <c r="O725" s="236"/>
      <c r="P725" s="236"/>
      <c r="Q725" s="236"/>
      <c r="R725" s="236"/>
      <c r="S725" s="236"/>
      <c r="T725" s="236"/>
      <c r="U725" s="236"/>
      <c r="V725" s="239"/>
      <c r="W725" s="236"/>
      <c r="X725" s="236"/>
    </row>
    <row r="726">
      <c r="A726" s="236"/>
      <c r="B726" s="236"/>
      <c r="C726" s="236"/>
      <c r="D726" s="238"/>
      <c r="E726" s="245"/>
      <c r="F726" s="246"/>
      <c r="G726" s="246"/>
      <c r="H726" s="236"/>
      <c r="I726" s="236"/>
      <c r="J726" s="236"/>
      <c r="K726" s="236"/>
      <c r="L726" s="236"/>
      <c r="M726" s="236"/>
      <c r="N726" s="236"/>
      <c r="O726" s="236"/>
      <c r="P726" s="236"/>
      <c r="Q726" s="236"/>
      <c r="R726" s="236"/>
      <c r="S726" s="236"/>
      <c r="T726" s="236"/>
      <c r="U726" s="236"/>
      <c r="V726" s="239"/>
      <c r="W726" s="236"/>
      <c r="X726" s="236"/>
    </row>
    <row r="727">
      <c r="A727" s="236"/>
      <c r="B727" s="236"/>
      <c r="C727" s="236"/>
      <c r="D727" s="238"/>
      <c r="E727" s="245"/>
      <c r="F727" s="246"/>
      <c r="G727" s="246"/>
      <c r="H727" s="236"/>
      <c r="I727" s="236"/>
      <c r="J727" s="236"/>
      <c r="K727" s="236"/>
      <c r="L727" s="236"/>
      <c r="M727" s="236"/>
      <c r="N727" s="236"/>
      <c r="O727" s="236"/>
      <c r="P727" s="236"/>
      <c r="Q727" s="236"/>
      <c r="R727" s="236"/>
      <c r="S727" s="236"/>
      <c r="T727" s="236"/>
      <c r="U727" s="236"/>
      <c r="V727" s="239"/>
      <c r="W727" s="236"/>
      <c r="X727" s="236"/>
    </row>
    <row r="728">
      <c r="A728" s="236"/>
      <c r="B728" s="236"/>
      <c r="C728" s="236"/>
      <c r="D728" s="238"/>
      <c r="E728" s="245"/>
      <c r="F728" s="246"/>
      <c r="G728" s="246"/>
      <c r="H728" s="236"/>
      <c r="I728" s="236"/>
      <c r="J728" s="236"/>
      <c r="K728" s="236"/>
      <c r="L728" s="236"/>
      <c r="M728" s="236"/>
      <c r="N728" s="236"/>
      <c r="O728" s="236"/>
      <c r="P728" s="236"/>
      <c r="Q728" s="236"/>
      <c r="R728" s="236"/>
      <c r="S728" s="236"/>
      <c r="T728" s="236"/>
      <c r="U728" s="236"/>
      <c r="V728" s="239"/>
      <c r="W728" s="236"/>
      <c r="X728" s="236"/>
    </row>
    <row r="729">
      <c r="A729" s="236"/>
      <c r="B729" s="236"/>
      <c r="C729" s="236"/>
      <c r="D729" s="238"/>
      <c r="E729" s="245"/>
      <c r="F729" s="246"/>
      <c r="G729" s="246"/>
      <c r="H729" s="236"/>
      <c r="I729" s="236"/>
      <c r="J729" s="236"/>
      <c r="K729" s="236"/>
      <c r="L729" s="236"/>
      <c r="M729" s="236"/>
      <c r="N729" s="236"/>
      <c r="O729" s="236"/>
      <c r="P729" s="236"/>
      <c r="Q729" s="236"/>
      <c r="R729" s="236"/>
      <c r="S729" s="236"/>
      <c r="T729" s="236"/>
      <c r="U729" s="236"/>
      <c r="V729" s="239"/>
      <c r="W729" s="236"/>
      <c r="X729" s="236"/>
    </row>
    <row r="730">
      <c r="A730" s="236"/>
      <c r="B730" s="236"/>
      <c r="C730" s="236"/>
      <c r="D730" s="238"/>
      <c r="E730" s="245"/>
      <c r="F730" s="246"/>
      <c r="G730" s="246"/>
      <c r="H730" s="236"/>
      <c r="I730" s="236"/>
      <c r="J730" s="236"/>
      <c r="K730" s="236"/>
      <c r="L730" s="236"/>
      <c r="M730" s="236"/>
      <c r="N730" s="236"/>
      <c r="O730" s="236"/>
      <c r="P730" s="236"/>
      <c r="Q730" s="236"/>
      <c r="R730" s="236"/>
      <c r="S730" s="236"/>
      <c r="T730" s="236"/>
      <c r="U730" s="236"/>
      <c r="V730" s="239"/>
      <c r="W730" s="236"/>
      <c r="X730" s="236"/>
    </row>
    <row r="731">
      <c r="A731" s="236"/>
      <c r="B731" s="236"/>
      <c r="C731" s="236"/>
      <c r="D731" s="238"/>
      <c r="E731" s="245"/>
      <c r="F731" s="246"/>
      <c r="G731" s="246"/>
      <c r="H731" s="236"/>
      <c r="I731" s="236"/>
      <c r="J731" s="236"/>
      <c r="K731" s="236"/>
      <c r="L731" s="236"/>
      <c r="M731" s="236"/>
      <c r="N731" s="236"/>
      <c r="O731" s="236"/>
      <c r="P731" s="236"/>
      <c r="Q731" s="236"/>
      <c r="R731" s="236"/>
      <c r="S731" s="236"/>
      <c r="T731" s="236"/>
      <c r="U731" s="236"/>
      <c r="V731" s="239"/>
      <c r="W731" s="236"/>
      <c r="X731" s="236"/>
    </row>
    <row r="732">
      <c r="A732" s="236"/>
      <c r="B732" s="236"/>
      <c r="C732" s="236"/>
      <c r="D732" s="238"/>
      <c r="E732" s="245"/>
      <c r="F732" s="246"/>
      <c r="G732" s="246"/>
      <c r="H732" s="236"/>
      <c r="I732" s="236"/>
      <c r="J732" s="236"/>
      <c r="K732" s="236"/>
      <c r="L732" s="236"/>
      <c r="M732" s="236"/>
      <c r="N732" s="236"/>
      <c r="O732" s="236"/>
      <c r="P732" s="236"/>
      <c r="Q732" s="236"/>
      <c r="R732" s="236"/>
      <c r="S732" s="236"/>
      <c r="T732" s="236"/>
      <c r="U732" s="236"/>
      <c r="V732" s="239"/>
      <c r="W732" s="236"/>
      <c r="X732" s="236"/>
    </row>
    <row r="733">
      <c r="A733" s="236"/>
      <c r="B733" s="236"/>
      <c r="C733" s="236"/>
      <c r="D733" s="238"/>
      <c r="E733" s="245"/>
      <c r="F733" s="246"/>
      <c r="G733" s="246"/>
      <c r="H733" s="236"/>
      <c r="I733" s="236"/>
      <c r="J733" s="236"/>
      <c r="K733" s="236"/>
      <c r="L733" s="236"/>
      <c r="M733" s="236"/>
      <c r="N733" s="236"/>
      <c r="O733" s="236"/>
      <c r="P733" s="236"/>
      <c r="Q733" s="236"/>
      <c r="R733" s="236"/>
      <c r="S733" s="236"/>
      <c r="T733" s="236"/>
      <c r="U733" s="236"/>
      <c r="V733" s="239"/>
      <c r="W733" s="236"/>
      <c r="X733" s="236"/>
    </row>
    <row r="734">
      <c r="A734" s="236"/>
      <c r="B734" s="236"/>
      <c r="C734" s="236"/>
      <c r="D734" s="238"/>
      <c r="E734" s="245"/>
      <c r="F734" s="246"/>
      <c r="G734" s="246"/>
      <c r="H734" s="236"/>
      <c r="I734" s="236"/>
      <c r="J734" s="236"/>
      <c r="K734" s="236"/>
      <c r="L734" s="236"/>
      <c r="M734" s="236"/>
      <c r="N734" s="236"/>
      <c r="O734" s="236"/>
      <c r="P734" s="236"/>
      <c r="Q734" s="236"/>
      <c r="R734" s="236"/>
      <c r="S734" s="236"/>
      <c r="T734" s="236"/>
      <c r="U734" s="236"/>
      <c r="V734" s="239"/>
      <c r="W734" s="236"/>
      <c r="X734" s="236"/>
    </row>
    <row r="735">
      <c r="A735" s="236"/>
      <c r="B735" s="236"/>
      <c r="C735" s="236"/>
      <c r="D735" s="238"/>
      <c r="E735" s="245"/>
      <c r="F735" s="246"/>
      <c r="G735" s="246"/>
      <c r="H735" s="236"/>
      <c r="I735" s="236"/>
      <c r="J735" s="236"/>
      <c r="K735" s="236"/>
      <c r="L735" s="236"/>
      <c r="M735" s="236"/>
      <c r="N735" s="236"/>
      <c r="O735" s="236"/>
      <c r="P735" s="236"/>
      <c r="Q735" s="236"/>
      <c r="R735" s="236"/>
      <c r="S735" s="236"/>
      <c r="T735" s="236"/>
      <c r="U735" s="236"/>
      <c r="V735" s="239"/>
      <c r="W735" s="236"/>
      <c r="X735" s="236"/>
    </row>
    <row r="736">
      <c r="A736" s="236"/>
      <c r="B736" s="236"/>
      <c r="C736" s="236"/>
      <c r="D736" s="238"/>
      <c r="E736" s="245"/>
      <c r="F736" s="246"/>
      <c r="G736" s="246"/>
      <c r="H736" s="236"/>
      <c r="I736" s="236"/>
      <c r="J736" s="236"/>
      <c r="K736" s="236"/>
      <c r="L736" s="236"/>
      <c r="M736" s="236"/>
      <c r="N736" s="236"/>
      <c r="O736" s="236"/>
      <c r="P736" s="236"/>
      <c r="Q736" s="236"/>
      <c r="R736" s="236"/>
      <c r="S736" s="236"/>
      <c r="T736" s="236"/>
      <c r="U736" s="236"/>
      <c r="V736" s="239"/>
      <c r="W736" s="236"/>
      <c r="X736" s="236"/>
    </row>
    <row r="737">
      <c r="A737" s="236"/>
      <c r="B737" s="236"/>
      <c r="C737" s="236"/>
      <c r="D737" s="238"/>
      <c r="E737" s="245"/>
      <c r="F737" s="246"/>
      <c r="G737" s="246"/>
      <c r="H737" s="236"/>
      <c r="I737" s="236"/>
      <c r="J737" s="236"/>
      <c r="K737" s="236"/>
      <c r="L737" s="236"/>
      <c r="M737" s="236"/>
      <c r="N737" s="236"/>
      <c r="O737" s="236"/>
      <c r="P737" s="236"/>
      <c r="Q737" s="236"/>
      <c r="R737" s="236"/>
      <c r="S737" s="236"/>
      <c r="T737" s="236"/>
      <c r="U737" s="236"/>
      <c r="V737" s="239"/>
      <c r="W737" s="236"/>
      <c r="X737" s="236"/>
    </row>
    <row r="738">
      <c r="A738" s="236"/>
      <c r="B738" s="236"/>
      <c r="C738" s="236"/>
      <c r="D738" s="238"/>
      <c r="E738" s="245"/>
      <c r="F738" s="246"/>
      <c r="G738" s="246"/>
      <c r="H738" s="236"/>
      <c r="I738" s="236"/>
      <c r="J738" s="236"/>
      <c r="K738" s="236"/>
      <c r="L738" s="236"/>
      <c r="M738" s="236"/>
      <c r="N738" s="236"/>
      <c r="O738" s="236"/>
      <c r="P738" s="236"/>
      <c r="Q738" s="236"/>
      <c r="R738" s="236"/>
      <c r="S738" s="236"/>
      <c r="T738" s="236"/>
      <c r="U738" s="236"/>
      <c r="V738" s="239"/>
      <c r="W738" s="236"/>
      <c r="X738" s="236"/>
    </row>
    <row r="739">
      <c r="A739" s="236"/>
      <c r="B739" s="236"/>
      <c r="C739" s="236"/>
      <c r="D739" s="238"/>
      <c r="E739" s="245"/>
      <c r="F739" s="246"/>
      <c r="G739" s="246"/>
      <c r="H739" s="236"/>
      <c r="I739" s="236"/>
      <c r="J739" s="236"/>
      <c r="K739" s="236"/>
      <c r="L739" s="236"/>
      <c r="M739" s="236"/>
      <c r="N739" s="236"/>
      <c r="O739" s="236"/>
      <c r="P739" s="236"/>
      <c r="Q739" s="236"/>
      <c r="R739" s="236"/>
      <c r="S739" s="236"/>
      <c r="T739" s="236"/>
      <c r="U739" s="236"/>
      <c r="V739" s="239"/>
      <c r="W739" s="236"/>
      <c r="X739" s="236"/>
    </row>
    <row r="740">
      <c r="A740" s="236"/>
      <c r="B740" s="236"/>
      <c r="C740" s="236"/>
      <c r="D740" s="238"/>
      <c r="E740" s="245"/>
      <c r="F740" s="246"/>
      <c r="G740" s="246"/>
      <c r="H740" s="236"/>
      <c r="I740" s="236"/>
      <c r="J740" s="236"/>
      <c r="K740" s="236"/>
      <c r="L740" s="236"/>
      <c r="M740" s="236"/>
      <c r="N740" s="236"/>
      <c r="O740" s="236"/>
      <c r="P740" s="236"/>
      <c r="Q740" s="236"/>
      <c r="R740" s="236"/>
      <c r="S740" s="236"/>
      <c r="T740" s="236"/>
      <c r="U740" s="236"/>
      <c r="V740" s="239"/>
      <c r="W740" s="236"/>
      <c r="X740" s="236"/>
    </row>
    <row r="741">
      <c r="A741" s="236"/>
      <c r="B741" s="236"/>
      <c r="C741" s="236"/>
      <c r="D741" s="238"/>
      <c r="E741" s="245"/>
      <c r="F741" s="246"/>
      <c r="G741" s="246"/>
      <c r="H741" s="236"/>
      <c r="I741" s="236"/>
      <c r="J741" s="236"/>
      <c r="K741" s="236"/>
      <c r="L741" s="236"/>
      <c r="M741" s="236"/>
      <c r="N741" s="236"/>
      <c r="O741" s="236"/>
      <c r="P741" s="236"/>
      <c r="Q741" s="236"/>
      <c r="R741" s="236"/>
      <c r="S741" s="236"/>
      <c r="T741" s="236"/>
      <c r="U741" s="236"/>
      <c r="V741" s="239"/>
      <c r="W741" s="236"/>
      <c r="X741" s="236"/>
    </row>
    <row r="742">
      <c r="A742" s="236"/>
      <c r="B742" s="236"/>
      <c r="C742" s="236"/>
      <c r="D742" s="238"/>
      <c r="E742" s="245"/>
      <c r="F742" s="246"/>
      <c r="G742" s="246"/>
      <c r="H742" s="236"/>
      <c r="I742" s="236"/>
      <c r="J742" s="236"/>
      <c r="K742" s="236"/>
      <c r="L742" s="236"/>
      <c r="M742" s="236"/>
      <c r="N742" s="236"/>
      <c r="O742" s="236"/>
      <c r="P742" s="236"/>
      <c r="Q742" s="236"/>
      <c r="R742" s="236"/>
      <c r="S742" s="236"/>
      <c r="T742" s="236"/>
      <c r="U742" s="236"/>
      <c r="V742" s="239"/>
      <c r="W742" s="236"/>
      <c r="X742" s="236"/>
    </row>
    <row r="743">
      <c r="A743" s="236"/>
      <c r="B743" s="236"/>
      <c r="C743" s="236"/>
      <c r="D743" s="238"/>
      <c r="E743" s="245"/>
      <c r="F743" s="246"/>
      <c r="G743" s="246"/>
      <c r="H743" s="236"/>
      <c r="I743" s="236"/>
      <c r="J743" s="236"/>
      <c r="K743" s="236"/>
      <c r="L743" s="236"/>
      <c r="M743" s="236"/>
      <c r="N743" s="236"/>
      <c r="O743" s="236"/>
      <c r="P743" s="236"/>
      <c r="Q743" s="236"/>
      <c r="R743" s="236"/>
      <c r="S743" s="236"/>
      <c r="T743" s="236"/>
      <c r="U743" s="236"/>
      <c r="V743" s="239"/>
      <c r="W743" s="236"/>
      <c r="X743" s="236"/>
    </row>
    <row r="744">
      <c r="A744" s="236"/>
      <c r="B744" s="236"/>
      <c r="C744" s="236"/>
      <c r="D744" s="238"/>
      <c r="E744" s="245"/>
      <c r="F744" s="246"/>
      <c r="G744" s="246"/>
      <c r="H744" s="236"/>
      <c r="I744" s="236"/>
      <c r="J744" s="236"/>
      <c r="K744" s="236"/>
      <c r="L744" s="236"/>
      <c r="M744" s="236"/>
      <c r="N744" s="236"/>
      <c r="O744" s="236"/>
      <c r="P744" s="236"/>
      <c r="Q744" s="236"/>
      <c r="R744" s="236"/>
      <c r="S744" s="236"/>
      <c r="T744" s="236"/>
      <c r="U744" s="236"/>
      <c r="V744" s="239"/>
      <c r="W744" s="236"/>
      <c r="X744" s="236"/>
    </row>
    <row r="745">
      <c r="A745" s="236"/>
      <c r="B745" s="236"/>
      <c r="C745" s="236"/>
      <c r="D745" s="238"/>
      <c r="E745" s="245"/>
      <c r="F745" s="246"/>
      <c r="G745" s="246"/>
      <c r="H745" s="236"/>
      <c r="I745" s="236"/>
      <c r="J745" s="236"/>
      <c r="K745" s="236"/>
      <c r="L745" s="236"/>
      <c r="M745" s="236"/>
      <c r="N745" s="236"/>
      <c r="O745" s="236"/>
      <c r="P745" s="236"/>
      <c r="Q745" s="236"/>
      <c r="R745" s="236"/>
      <c r="S745" s="236"/>
      <c r="T745" s="236"/>
      <c r="U745" s="236"/>
      <c r="V745" s="239"/>
      <c r="W745" s="236"/>
      <c r="X745" s="236"/>
    </row>
    <row r="746">
      <c r="A746" s="236"/>
      <c r="B746" s="236"/>
      <c r="C746" s="236"/>
      <c r="D746" s="238"/>
      <c r="E746" s="245"/>
      <c r="F746" s="246"/>
      <c r="G746" s="246"/>
      <c r="H746" s="236"/>
      <c r="I746" s="236"/>
      <c r="J746" s="236"/>
      <c r="K746" s="236"/>
      <c r="L746" s="236"/>
      <c r="M746" s="236"/>
      <c r="N746" s="236"/>
      <c r="O746" s="236"/>
      <c r="P746" s="236"/>
      <c r="Q746" s="236"/>
      <c r="R746" s="236"/>
      <c r="S746" s="236"/>
      <c r="T746" s="236"/>
      <c r="U746" s="236"/>
      <c r="V746" s="239"/>
      <c r="W746" s="236"/>
      <c r="X746" s="236"/>
    </row>
    <row r="747">
      <c r="A747" s="236"/>
      <c r="B747" s="236"/>
      <c r="C747" s="236"/>
      <c r="D747" s="238"/>
      <c r="E747" s="245"/>
      <c r="F747" s="246"/>
      <c r="G747" s="246"/>
      <c r="H747" s="236"/>
      <c r="I747" s="236"/>
      <c r="J747" s="236"/>
      <c r="K747" s="236"/>
      <c r="L747" s="236"/>
      <c r="M747" s="236"/>
      <c r="N747" s="236"/>
      <c r="O747" s="236"/>
      <c r="P747" s="236"/>
      <c r="Q747" s="236"/>
      <c r="R747" s="236"/>
      <c r="S747" s="236"/>
      <c r="T747" s="236"/>
      <c r="U747" s="236"/>
      <c r="V747" s="239"/>
      <c r="W747" s="236"/>
      <c r="X747" s="236"/>
    </row>
    <row r="748">
      <c r="A748" s="236"/>
      <c r="B748" s="236"/>
      <c r="C748" s="236"/>
      <c r="D748" s="238"/>
      <c r="E748" s="245"/>
      <c r="F748" s="246"/>
      <c r="G748" s="246"/>
      <c r="H748" s="236"/>
      <c r="I748" s="236"/>
      <c r="J748" s="236"/>
      <c r="K748" s="236"/>
      <c r="L748" s="236"/>
      <c r="M748" s="236"/>
      <c r="N748" s="236"/>
      <c r="O748" s="236"/>
      <c r="P748" s="236"/>
      <c r="Q748" s="236"/>
      <c r="R748" s="236"/>
      <c r="S748" s="236"/>
      <c r="T748" s="236"/>
      <c r="U748" s="236"/>
      <c r="V748" s="239"/>
      <c r="W748" s="236"/>
      <c r="X748" s="236"/>
    </row>
    <row r="749">
      <c r="A749" s="236"/>
      <c r="B749" s="236"/>
      <c r="C749" s="236"/>
      <c r="D749" s="238"/>
      <c r="E749" s="245"/>
      <c r="F749" s="246"/>
      <c r="G749" s="246"/>
      <c r="H749" s="236"/>
      <c r="I749" s="236"/>
      <c r="J749" s="236"/>
      <c r="K749" s="236"/>
      <c r="L749" s="236"/>
      <c r="M749" s="236"/>
      <c r="N749" s="236"/>
      <c r="O749" s="236"/>
      <c r="P749" s="236"/>
      <c r="Q749" s="236"/>
      <c r="R749" s="236"/>
      <c r="S749" s="236"/>
      <c r="T749" s="236"/>
      <c r="U749" s="236"/>
      <c r="V749" s="239"/>
      <c r="W749" s="236"/>
      <c r="X749" s="236"/>
    </row>
    <row r="750">
      <c r="A750" s="236"/>
      <c r="B750" s="236"/>
      <c r="C750" s="236"/>
      <c r="D750" s="238"/>
      <c r="E750" s="245"/>
      <c r="F750" s="246"/>
      <c r="G750" s="246"/>
      <c r="H750" s="236"/>
      <c r="I750" s="236"/>
      <c r="J750" s="236"/>
      <c r="K750" s="236"/>
      <c r="L750" s="236"/>
      <c r="M750" s="236"/>
      <c r="N750" s="236"/>
      <c r="O750" s="236"/>
      <c r="P750" s="236"/>
      <c r="Q750" s="236"/>
      <c r="R750" s="236"/>
      <c r="S750" s="236"/>
      <c r="T750" s="236"/>
      <c r="U750" s="236"/>
      <c r="V750" s="239"/>
      <c r="W750" s="236"/>
      <c r="X750" s="236"/>
    </row>
    <row r="751">
      <c r="A751" s="236"/>
      <c r="B751" s="236"/>
      <c r="C751" s="236"/>
      <c r="D751" s="238"/>
      <c r="E751" s="245"/>
      <c r="F751" s="246"/>
      <c r="G751" s="246"/>
      <c r="H751" s="236"/>
      <c r="I751" s="236"/>
      <c r="J751" s="236"/>
      <c r="K751" s="236"/>
      <c r="L751" s="236"/>
      <c r="M751" s="236"/>
      <c r="N751" s="236"/>
      <c r="O751" s="236"/>
      <c r="P751" s="236"/>
      <c r="Q751" s="236"/>
      <c r="R751" s="236"/>
      <c r="S751" s="236"/>
      <c r="T751" s="236"/>
      <c r="U751" s="236"/>
      <c r="V751" s="239"/>
      <c r="W751" s="236"/>
      <c r="X751" s="236"/>
    </row>
    <row r="752">
      <c r="A752" s="236"/>
      <c r="B752" s="236"/>
      <c r="C752" s="236"/>
      <c r="D752" s="238"/>
      <c r="E752" s="245"/>
      <c r="F752" s="246"/>
      <c r="G752" s="246"/>
      <c r="H752" s="236"/>
      <c r="I752" s="236"/>
      <c r="J752" s="236"/>
      <c r="K752" s="236"/>
      <c r="L752" s="236"/>
      <c r="M752" s="236"/>
      <c r="N752" s="236"/>
      <c r="O752" s="236"/>
      <c r="P752" s="236"/>
      <c r="Q752" s="236"/>
      <c r="R752" s="236"/>
      <c r="S752" s="236"/>
      <c r="T752" s="236"/>
      <c r="U752" s="236"/>
      <c r="V752" s="239"/>
      <c r="W752" s="236"/>
      <c r="X752" s="236"/>
    </row>
    <row r="753">
      <c r="A753" s="236"/>
      <c r="B753" s="236"/>
      <c r="C753" s="236"/>
      <c r="D753" s="238"/>
      <c r="E753" s="245"/>
      <c r="F753" s="246"/>
      <c r="G753" s="246"/>
      <c r="H753" s="236"/>
      <c r="I753" s="236"/>
      <c r="J753" s="236"/>
      <c r="K753" s="236"/>
      <c r="L753" s="236"/>
      <c r="M753" s="236"/>
      <c r="N753" s="236"/>
      <c r="O753" s="236"/>
      <c r="P753" s="236"/>
      <c r="Q753" s="236"/>
      <c r="R753" s="236"/>
      <c r="S753" s="236"/>
      <c r="T753" s="236"/>
      <c r="U753" s="236"/>
      <c r="V753" s="239"/>
      <c r="W753" s="236"/>
      <c r="X753" s="236"/>
    </row>
    <row r="754">
      <c r="A754" s="236"/>
      <c r="B754" s="236"/>
      <c r="C754" s="236"/>
      <c r="D754" s="238"/>
      <c r="E754" s="245"/>
      <c r="F754" s="246"/>
      <c r="G754" s="246"/>
      <c r="H754" s="236"/>
      <c r="I754" s="236"/>
      <c r="J754" s="236"/>
      <c r="K754" s="236"/>
      <c r="L754" s="236"/>
      <c r="M754" s="236"/>
      <c r="N754" s="236"/>
      <c r="O754" s="236"/>
      <c r="P754" s="236"/>
      <c r="Q754" s="236"/>
      <c r="R754" s="236"/>
      <c r="S754" s="236"/>
      <c r="T754" s="236"/>
      <c r="U754" s="236"/>
      <c r="V754" s="239"/>
      <c r="W754" s="236"/>
      <c r="X754" s="236"/>
    </row>
    <row r="755">
      <c r="A755" s="236"/>
      <c r="B755" s="236"/>
      <c r="C755" s="236"/>
      <c r="D755" s="238"/>
      <c r="E755" s="245"/>
      <c r="F755" s="246"/>
      <c r="G755" s="246"/>
      <c r="H755" s="236"/>
      <c r="I755" s="236"/>
      <c r="J755" s="236"/>
      <c r="K755" s="236"/>
      <c r="L755" s="236"/>
      <c r="M755" s="236"/>
      <c r="N755" s="236"/>
      <c r="O755" s="236"/>
      <c r="P755" s="236"/>
      <c r="Q755" s="236"/>
      <c r="R755" s="236"/>
      <c r="S755" s="236"/>
      <c r="T755" s="236"/>
      <c r="U755" s="236"/>
      <c r="V755" s="239"/>
      <c r="W755" s="236"/>
      <c r="X755" s="236"/>
    </row>
    <row r="756">
      <c r="A756" s="236"/>
      <c r="B756" s="236"/>
      <c r="C756" s="236"/>
      <c r="D756" s="238"/>
      <c r="E756" s="245"/>
      <c r="F756" s="246"/>
      <c r="G756" s="246"/>
      <c r="H756" s="236"/>
      <c r="I756" s="236"/>
      <c r="J756" s="236"/>
      <c r="K756" s="236"/>
      <c r="L756" s="236"/>
      <c r="M756" s="236"/>
      <c r="N756" s="236"/>
      <c r="O756" s="236"/>
      <c r="P756" s="236"/>
      <c r="Q756" s="236"/>
      <c r="R756" s="236"/>
      <c r="S756" s="236"/>
      <c r="T756" s="236"/>
      <c r="U756" s="236"/>
      <c r="V756" s="239"/>
      <c r="W756" s="236"/>
      <c r="X756" s="236"/>
    </row>
    <row r="757">
      <c r="A757" s="236"/>
      <c r="B757" s="236"/>
      <c r="C757" s="236"/>
      <c r="D757" s="238"/>
      <c r="E757" s="245"/>
      <c r="F757" s="246"/>
      <c r="G757" s="246"/>
      <c r="H757" s="236"/>
      <c r="I757" s="236"/>
      <c r="J757" s="236"/>
      <c r="K757" s="236"/>
      <c r="L757" s="236"/>
      <c r="M757" s="236"/>
      <c r="N757" s="236"/>
      <c r="O757" s="236"/>
      <c r="P757" s="236"/>
      <c r="Q757" s="236"/>
      <c r="R757" s="236"/>
      <c r="S757" s="236"/>
      <c r="T757" s="236"/>
      <c r="U757" s="236"/>
      <c r="V757" s="239"/>
      <c r="W757" s="236"/>
      <c r="X757" s="236"/>
    </row>
    <row r="758">
      <c r="A758" s="236"/>
      <c r="B758" s="236"/>
      <c r="C758" s="236"/>
      <c r="D758" s="238"/>
      <c r="E758" s="245"/>
      <c r="F758" s="246"/>
      <c r="G758" s="246"/>
      <c r="H758" s="236"/>
      <c r="I758" s="236"/>
      <c r="J758" s="236"/>
      <c r="K758" s="236"/>
      <c r="L758" s="236"/>
      <c r="M758" s="236"/>
      <c r="N758" s="236"/>
      <c r="O758" s="236"/>
      <c r="P758" s="236"/>
      <c r="Q758" s="236"/>
      <c r="R758" s="236"/>
      <c r="S758" s="236"/>
      <c r="T758" s="236"/>
      <c r="U758" s="236"/>
      <c r="V758" s="239"/>
      <c r="W758" s="236"/>
      <c r="X758" s="236"/>
    </row>
    <row r="759">
      <c r="A759" s="236"/>
      <c r="B759" s="236"/>
      <c r="C759" s="236"/>
      <c r="D759" s="238"/>
      <c r="E759" s="245"/>
      <c r="F759" s="246"/>
      <c r="G759" s="246"/>
      <c r="H759" s="236"/>
      <c r="I759" s="236"/>
      <c r="J759" s="236"/>
      <c r="K759" s="236"/>
      <c r="L759" s="236"/>
      <c r="M759" s="236"/>
      <c r="N759" s="236"/>
      <c r="O759" s="236"/>
      <c r="P759" s="236"/>
      <c r="Q759" s="236"/>
      <c r="R759" s="236"/>
      <c r="S759" s="236"/>
      <c r="T759" s="236"/>
      <c r="U759" s="236"/>
      <c r="V759" s="239"/>
      <c r="W759" s="236"/>
      <c r="X759" s="236"/>
    </row>
    <row r="760">
      <c r="A760" s="236"/>
      <c r="B760" s="236"/>
      <c r="C760" s="236"/>
      <c r="D760" s="238"/>
      <c r="E760" s="245"/>
      <c r="F760" s="246"/>
      <c r="G760" s="246"/>
      <c r="H760" s="236"/>
      <c r="I760" s="236"/>
      <c r="J760" s="236"/>
      <c r="K760" s="236"/>
      <c r="L760" s="236"/>
      <c r="M760" s="236"/>
      <c r="N760" s="236"/>
      <c r="O760" s="236"/>
      <c r="P760" s="236"/>
      <c r="Q760" s="236"/>
      <c r="R760" s="236"/>
      <c r="S760" s="236"/>
      <c r="T760" s="236"/>
      <c r="U760" s="236"/>
      <c r="V760" s="239"/>
      <c r="W760" s="236"/>
      <c r="X760" s="236"/>
    </row>
    <row r="761">
      <c r="A761" s="236"/>
      <c r="B761" s="236"/>
      <c r="C761" s="236"/>
      <c r="D761" s="238"/>
      <c r="E761" s="245"/>
      <c r="F761" s="246"/>
      <c r="G761" s="246"/>
      <c r="H761" s="236"/>
      <c r="I761" s="236"/>
      <c r="J761" s="236"/>
      <c r="K761" s="236"/>
      <c r="L761" s="236"/>
      <c r="M761" s="236"/>
      <c r="N761" s="236"/>
      <c r="O761" s="236"/>
      <c r="P761" s="236"/>
      <c r="Q761" s="236"/>
      <c r="R761" s="236"/>
      <c r="S761" s="236"/>
      <c r="T761" s="236"/>
      <c r="U761" s="236"/>
      <c r="V761" s="239"/>
      <c r="W761" s="236"/>
      <c r="X761" s="236"/>
    </row>
    <row r="762">
      <c r="A762" s="236"/>
      <c r="B762" s="236"/>
      <c r="C762" s="236"/>
      <c r="D762" s="238"/>
      <c r="E762" s="245"/>
      <c r="F762" s="246"/>
      <c r="G762" s="246"/>
      <c r="H762" s="236"/>
      <c r="I762" s="236"/>
      <c r="J762" s="236"/>
      <c r="K762" s="236"/>
      <c r="L762" s="236"/>
      <c r="M762" s="236"/>
      <c r="N762" s="236"/>
      <c r="O762" s="236"/>
      <c r="P762" s="236"/>
      <c r="Q762" s="236"/>
      <c r="R762" s="236"/>
      <c r="S762" s="236"/>
      <c r="T762" s="236"/>
      <c r="U762" s="236"/>
      <c r="V762" s="239"/>
      <c r="W762" s="236"/>
      <c r="X762" s="236"/>
    </row>
    <row r="763">
      <c r="A763" s="236"/>
      <c r="B763" s="236"/>
      <c r="C763" s="236"/>
      <c r="D763" s="238"/>
      <c r="E763" s="245"/>
      <c r="F763" s="246"/>
      <c r="G763" s="246"/>
      <c r="H763" s="236"/>
      <c r="I763" s="236"/>
      <c r="J763" s="236"/>
      <c r="K763" s="236"/>
      <c r="L763" s="236"/>
      <c r="M763" s="236"/>
      <c r="N763" s="236"/>
      <c r="O763" s="236"/>
      <c r="P763" s="236"/>
      <c r="Q763" s="236"/>
      <c r="R763" s="236"/>
      <c r="S763" s="236"/>
      <c r="T763" s="236"/>
      <c r="U763" s="236"/>
      <c r="V763" s="239"/>
      <c r="W763" s="236"/>
      <c r="X763" s="236"/>
    </row>
    <row r="764">
      <c r="A764" s="236"/>
      <c r="B764" s="236"/>
      <c r="C764" s="236"/>
      <c r="D764" s="238"/>
      <c r="E764" s="245"/>
      <c r="F764" s="246"/>
      <c r="G764" s="246"/>
      <c r="H764" s="236"/>
      <c r="I764" s="236"/>
      <c r="J764" s="236"/>
      <c r="K764" s="236"/>
      <c r="L764" s="236"/>
      <c r="M764" s="236"/>
      <c r="N764" s="236"/>
      <c r="O764" s="236"/>
      <c r="P764" s="236"/>
      <c r="Q764" s="236"/>
      <c r="R764" s="236"/>
      <c r="S764" s="236"/>
      <c r="T764" s="236"/>
      <c r="U764" s="236"/>
      <c r="V764" s="239"/>
      <c r="W764" s="236"/>
      <c r="X764" s="236"/>
    </row>
    <row r="765">
      <c r="A765" s="236"/>
      <c r="B765" s="236"/>
      <c r="C765" s="236"/>
      <c r="D765" s="238"/>
      <c r="E765" s="245"/>
      <c r="F765" s="246"/>
      <c r="G765" s="246"/>
      <c r="H765" s="236"/>
      <c r="I765" s="236"/>
      <c r="J765" s="236"/>
      <c r="K765" s="236"/>
      <c r="L765" s="236"/>
      <c r="M765" s="236"/>
      <c r="N765" s="236"/>
      <c r="O765" s="236"/>
      <c r="P765" s="236"/>
      <c r="Q765" s="236"/>
      <c r="R765" s="236"/>
      <c r="S765" s="236"/>
      <c r="T765" s="236"/>
      <c r="U765" s="236"/>
      <c r="V765" s="239"/>
      <c r="W765" s="236"/>
      <c r="X765" s="236"/>
    </row>
    <row r="766">
      <c r="A766" s="236"/>
      <c r="B766" s="236"/>
      <c r="C766" s="236"/>
      <c r="D766" s="238"/>
      <c r="E766" s="245"/>
      <c r="F766" s="246"/>
      <c r="G766" s="246"/>
      <c r="H766" s="236"/>
      <c r="I766" s="236"/>
      <c r="J766" s="236"/>
      <c r="K766" s="236"/>
      <c r="L766" s="236"/>
      <c r="M766" s="236"/>
      <c r="N766" s="236"/>
      <c r="O766" s="236"/>
      <c r="P766" s="236"/>
      <c r="Q766" s="236"/>
      <c r="R766" s="236"/>
      <c r="S766" s="236"/>
      <c r="T766" s="236"/>
      <c r="U766" s="236"/>
      <c r="V766" s="239"/>
      <c r="W766" s="236"/>
      <c r="X766" s="236"/>
    </row>
    <row r="767">
      <c r="A767" s="236"/>
      <c r="B767" s="236"/>
      <c r="C767" s="236"/>
      <c r="D767" s="238"/>
      <c r="E767" s="245"/>
      <c r="F767" s="246"/>
      <c r="G767" s="246"/>
      <c r="H767" s="236"/>
      <c r="I767" s="236"/>
      <c r="J767" s="236"/>
      <c r="K767" s="236"/>
      <c r="L767" s="236"/>
      <c r="M767" s="236"/>
      <c r="N767" s="236"/>
      <c r="O767" s="236"/>
      <c r="P767" s="236"/>
      <c r="Q767" s="236"/>
      <c r="R767" s="236"/>
      <c r="S767" s="236"/>
      <c r="T767" s="236"/>
      <c r="U767" s="236"/>
      <c r="V767" s="239"/>
      <c r="W767" s="236"/>
      <c r="X767" s="236"/>
    </row>
    <row r="768">
      <c r="A768" s="236"/>
      <c r="B768" s="236"/>
      <c r="C768" s="236"/>
      <c r="D768" s="238"/>
      <c r="E768" s="245"/>
      <c r="F768" s="246"/>
      <c r="G768" s="246"/>
      <c r="H768" s="236"/>
      <c r="I768" s="236"/>
      <c r="J768" s="236"/>
      <c r="K768" s="236"/>
      <c r="L768" s="236"/>
      <c r="M768" s="236"/>
      <c r="N768" s="236"/>
      <c r="O768" s="236"/>
      <c r="P768" s="236"/>
      <c r="Q768" s="236"/>
      <c r="R768" s="236"/>
      <c r="S768" s="236"/>
      <c r="T768" s="236"/>
      <c r="U768" s="236"/>
      <c r="V768" s="239"/>
      <c r="W768" s="236"/>
      <c r="X768" s="236"/>
    </row>
    <row r="769">
      <c r="A769" s="236"/>
      <c r="B769" s="236"/>
      <c r="C769" s="236"/>
      <c r="D769" s="238"/>
      <c r="E769" s="245"/>
      <c r="F769" s="246"/>
      <c r="G769" s="246"/>
      <c r="H769" s="236"/>
      <c r="I769" s="236"/>
      <c r="J769" s="236"/>
      <c r="K769" s="236"/>
      <c r="L769" s="236"/>
      <c r="M769" s="236"/>
      <c r="N769" s="236"/>
      <c r="O769" s="236"/>
      <c r="P769" s="236"/>
      <c r="Q769" s="236"/>
      <c r="R769" s="236"/>
      <c r="S769" s="236"/>
      <c r="T769" s="236"/>
      <c r="U769" s="236"/>
      <c r="V769" s="239"/>
      <c r="W769" s="236"/>
      <c r="X769" s="236"/>
    </row>
    <row r="770">
      <c r="A770" s="236"/>
      <c r="B770" s="236"/>
      <c r="C770" s="236"/>
      <c r="D770" s="238"/>
      <c r="E770" s="245"/>
      <c r="F770" s="246"/>
      <c r="G770" s="246"/>
      <c r="H770" s="236"/>
      <c r="I770" s="236"/>
      <c r="J770" s="236"/>
      <c r="K770" s="236"/>
      <c r="L770" s="236"/>
      <c r="M770" s="236"/>
      <c r="N770" s="236"/>
      <c r="O770" s="236"/>
      <c r="P770" s="236"/>
      <c r="Q770" s="236"/>
      <c r="R770" s="236"/>
      <c r="S770" s="236"/>
      <c r="T770" s="236"/>
      <c r="U770" s="236"/>
      <c r="V770" s="239"/>
      <c r="W770" s="236"/>
      <c r="X770" s="236"/>
    </row>
    <row r="771">
      <c r="A771" s="236"/>
      <c r="B771" s="236"/>
      <c r="C771" s="236"/>
      <c r="D771" s="238"/>
      <c r="E771" s="245"/>
      <c r="F771" s="246"/>
      <c r="G771" s="246"/>
      <c r="H771" s="236"/>
      <c r="I771" s="236"/>
      <c r="J771" s="236"/>
      <c r="K771" s="236"/>
      <c r="L771" s="236"/>
      <c r="M771" s="236"/>
      <c r="N771" s="236"/>
      <c r="O771" s="236"/>
      <c r="P771" s="236"/>
      <c r="Q771" s="236"/>
      <c r="R771" s="236"/>
      <c r="S771" s="236"/>
      <c r="T771" s="236"/>
      <c r="U771" s="236"/>
      <c r="V771" s="239"/>
      <c r="W771" s="236"/>
      <c r="X771" s="236"/>
    </row>
    <row r="772">
      <c r="A772" s="236"/>
      <c r="B772" s="236"/>
      <c r="C772" s="236"/>
      <c r="D772" s="238"/>
      <c r="E772" s="245"/>
      <c r="F772" s="246"/>
      <c r="G772" s="246"/>
      <c r="H772" s="236"/>
      <c r="I772" s="236"/>
      <c r="J772" s="236"/>
      <c r="K772" s="236"/>
      <c r="L772" s="236"/>
      <c r="M772" s="236"/>
      <c r="N772" s="236"/>
      <c r="O772" s="236"/>
      <c r="P772" s="236"/>
      <c r="Q772" s="236"/>
      <c r="R772" s="236"/>
      <c r="S772" s="236"/>
      <c r="T772" s="236"/>
      <c r="U772" s="236"/>
      <c r="V772" s="239"/>
      <c r="W772" s="236"/>
      <c r="X772" s="236"/>
    </row>
    <row r="773">
      <c r="A773" s="236"/>
      <c r="B773" s="236"/>
      <c r="C773" s="236"/>
      <c r="D773" s="238"/>
      <c r="E773" s="245"/>
      <c r="F773" s="246"/>
      <c r="G773" s="246"/>
      <c r="H773" s="236"/>
      <c r="I773" s="236"/>
      <c r="J773" s="236"/>
      <c r="K773" s="236"/>
      <c r="L773" s="236"/>
      <c r="M773" s="236"/>
      <c r="N773" s="236"/>
      <c r="O773" s="236"/>
      <c r="P773" s="236"/>
      <c r="Q773" s="236"/>
      <c r="R773" s="236"/>
      <c r="S773" s="236"/>
      <c r="T773" s="236"/>
      <c r="U773" s="236"/>
      <c r="V773" s="239"/>
      <c r="W773" s="236"/>
      <c r="X773" s="236"/>
    </row>
    <row r="774">
      <c r="A774" s="236"/>
      <c r="B774" s="236"/>
      <c r="C774" s="236"/>
      <c r="D774" s="238"/>
      <c r="E774" s="245"/>
      <c r="F774" s="246"/>
      <c r="G774" s="246"/>
      <c r="H774" s="236"/>
      <c r="I774" s="236"/>
      <c r="J774" s="236"/>
      <c r="K774" s="236"/>
      <c r="L774" s="236"/>
      <c r="M774" s="236"/>
      <c r="N774" s="236"/>
      <c r="O774" s="236"/>
      <c r="P774" s="236"/>
      <c r="Q774" s="236"/>
      <c r="R774" s="236"/>
      <c r="S774" s="236"/>
      <c r="T774" s="236"/>
      <c r="U774" s="236"/>
      <c r="V774" s="239"/>
      <c r="W774" s="236"/>
      <c r="X774" s="236"/>
    </row>
    <row r="775">
      <c r="A775" s="236"/>
      <c r="B775" s="236"/>
      <c r="C775" s="236"/>
      <c r="D775" s="238"/>
      <c r="E775" s="245"/>
      <c r="F775" s="246"/>
      <c r="G775" s="246"/>
      <c r="H775" s="236"/>
      <c r="I775" s="236"/>
      <c r="J775" s="236"/>
      <c r="K775" s="236"/>
      <c r="L775" s="236"/>
      <c r="M775" s="236"/>
      <c r="N775" s="236"/>
      <c r="O775" s="236"/>
      <c r="P775" s="236"/>
      <c r="Q775" s="236"/>
      <c r="R775" s="236"/>
      <c r="S775" s="236"/>
      <c r="T775" s="236"/>
      <c r="U775" s="236"/>
      <c r="V775" s="239"/>
      <c r="W775" s="236"/>
      <c r="X775" s="236"/>
    </row>
    <row r="776">
      <c r="A776" s="236"/>
      <c r="B776" s="236"/>
      <c r="C776" s="236"/>
      <c r="D776" s="238"/>
      <c r="E776" s="245"/>
      <c r="F776" s="246"/>
      <c r="G776" s="246"/>
      <c r="H776" s="236"/>
      <c r="I776" s="236"/>
      <c r="J776" s="236"/>
      <c r="K776" s="236"/>
      <c r="L776" s="236"/>
      <c r="M776" s="236"/>
      <c r="N776" s="236"/>
      <c r="O776" s="236"/>
      <c r="P776" s="236"/>
      <c r="Q776" s="236"/>
      <c r="R776" s="236"/>
      <c r="S776" s="236"/>
      <c r="T776" s="236"/>
      <c r="U776" s="236"/>
      <c r="V776" s="239"/>
      <c r="W776" s="236"/>
      <c r="X776" s="236"/>
    </row>
    <row r="777">
      <c r="A777" s="236"/>
      <c r="B777" s="236"/>
      <c r="C777" s="236"/>
      <c r="D777" s="238"/>
      <c r="E777" s="245"/>
      <c r="F777" s="246"/>
      <c r="G777" s="246"/>
      <c r="H777" s="236"/>
      <c r="I777" s="236"/>
      <c r="J777" s="236"/>
      <c r="K777" s="236"/>
      <c r="L777" s="236"/>
      <c r="M777" s="236"/>
      <c r="N777" s="236"/>
      <c r="O777" s="236"/>
      <c r="P777" s="236"/>
      <c r="Q777" s="236"/>
      <c r="R777" s="236"/>
      <c r="S777" s="236"/>
      <c r="T777" s="236"/>
      <c r="U777" s="236"/>
      <c r="V777" s="239"/>
      <c r="W777" s="236"/>
      <c r="X777" s="236"/>
    </row>
    <row r="778">
      <c r="A778" s="236"/>
      <c r="B778" s="236"/>
      <c r="C778" s="236"/>
      <c r="D778" s="238"/>
      <c r="E778" s="245"/>
      <c r="F778" s="246"/>
      <c r="G778" s="246"/>
      <c r="H778" s="236"/>
      <c r="I778" s="236"/>
      <c r="J778" s="236"/>
      <c r="K778" s="236"/>
      <c r="L778" s="236"/>
      <c r="M778" s="236"/>
      <c r="N778" s="236"/>
      <c r="O778" s="236"/>
      <c r="P778" s="236"/>
      <c r="Q778" s="236"/>
      <c r="R778" s="236"/>
      <c r="S778" s="236"/>
      <c r="T778" s="236"/>
      <c r="U778" s="236"/>
      <c r="V778" s="239"/>
      <c r="W778" s="236"/>
      <c r="X778" s="236"/>
    </row>
    <row r="779">
      <c r="A779" s="236"/>
      <c r="B779" s="236"/>
      <c r="C779" s="236"/>
      <c r="D779" s="238"/>
      <c r="E779" s="245"/>
      <c r="F779" s="246"/>
      <c r="G779" s="246"/>
      <c r="H779" s="236"/>
      <c r="I779" s="236"/>
      <c r="J779" s="236"/>
      <c r="K779" s="236"/>
      <c r="L779" s="236"/>
      <c r="M779" s="236"/>
      <c r="N779" s="236"/>
      <c r="O779" s="236"/>
      <c r="P779" s="236"/>
      <c r="Q779" s="236"/>
      <c r="R779" s="236"/>
      <c r="S779" s="236"/>
      <c r="T779" s="236"/>
      <c r="U779" s="236"/>
      <c r="V779" s="239"/>
      <c r="W779" s="236"/>
      <c r="X779" s="236"/>
    </row>
    <row r="780">
      <c r="A780" s="236"/>
      <c r="B780" s="236"/>
      <c r="C780" s="236"/>
      <c r="D780" s="238"/>
      <c r="E780" s="245"/>
      <c r="F780" s="246"/>
      <c r="G780" s="246"/>
      <c r="H780" s="236"/>
      <c r="I780" s="236"/>
      <c r="J780" s="236"/>
      <c r="K780" s="236"/>
      <c r="L780" s="236"/>
      <c r="M780" s="236"/>
      <c r="N780" s="236"/>
      <c r="O780" s="236"/>
      <c r="P780" s="236"/>
      <c r="Q780" s="236"/>
      <c r="R780" s="236"/>
      <c r="S780" s="236"/>
      <c r="T780" s="236"/>
      <c r="U780" s="236"/>
      <c r="V780" s="239"/>
      <c r="W780" s="236"/>
      <c r="X780" s="236"/>
    </row>
    <row r="781">
      <c r="A781" s="236"/>
      <c r="B781" s="236"/>
      <c r="C781" s="236"/>
      <c r="D781" s="238"/>
      <c r="E781" s="245"/>
      <c r="F781" s="246"/>
      <c r="G781" s="246"/>
      <c r="H781" s="236"/>
      <c r="I781" s="236"/>
      <c r="J781" s="236"/>
      <c r="K781" s="236"/>
      <c r="L781" s="236"/>
      <c r="M781" s="236"/>
      <c r="N781" s="236"/>
      <c r="O781" s="236"/>
      <c r="P781" s="236"/>
      <c r="Q781" s="236"/>
      <c r="R781" s="236"/>
      <c r="S781" s="236"/>
      <c r="T781" s="236"/>
      <c r="U781" s="236"/>
      <c r="V781" s="239"/>
      <c r="W781" s="236"/>
      <c r="X781" s="236"/>
    </row>
    <row r="782">
      <c r="A782" s="236"/>
      <c r="B782" s="236"/>
      <c r="C782" s="236"/>
      <c r="D782" s="238"/>
      <c r="E782" s="245"/>
      <c r="F782" s="246"/>
      <c r="G782" s="246"/>
      <c r="H782" s="236"/>
      <c r="I782" s="236"/>
      <c r="J782" s="236"/>
      <c r="K782" s="236"/>
      <c r="L782" s="236"/>
      <c r="M782" s="236"/>
      <c r="N782" s="236"/>
      <c r="O782" s="236"/>
      <c r="P782" s="236"/>
      <c r="Q782" s="236"/>
      <c r="R782" s="236"/>
      <c r="S782" s="236"/>
      <c r="T782" s="236"/>
      <c r="U782" s="236"/>
      <c r="V782" s="239"/>
      <c r="W782" s="236"/>
      <c r="X782" s="236"/>
    </row>
    <row r="783">
      <c r="A783" s="236"/>
      <c r="B783" s="236"/>
      <c r="C783" s="236"/>
      <c r="D783" s="238"/>
      <c r="E783" s="245"/>
      <c r="F783" s="246"/>
      <c r="G783" s="246"/>
      <c r="H783" s="236"/>
      <c r="I783" s="236"/>
      <c r="J783" s="236"/>
      <c r="K783" s="236"/>
      <c r="L783" s="236"/>
      <c r="M783" s="236"/>
      <c r="N783" s="236"/>
      <c r="O783" s="236"/>
      <c r="P783" s="236"/>
      <c r="Q783" s="236"/>
      <c r="R783" s="236"/>
      <c r="S783" s="236"/>
      <c r="T783" s="236"/>
      <c r="U783" s="236"/>
      <c r="V783" s="239"/>
      <c r="W783" s="236"/>
      <c r="X783" s="236"/>
    </row>
    <row r="784">
      <c r="A784" s="236"/>
      <c r="B784" s="236"/>
      <c r="C784" s="236"/>
      <c r="D784" s="238"/>
      <c r="E784" s="245"/>
      <c r="F784" s="246"/>
      <c r="G784" s="246"/>
      <c r="H784" s="236"/>
      <c r="I784" s="236"/>
      <c r="J784" s="236"/>
      <c r="K784" s="236"/>
      <c r="L784" s="236"/>
      <c r="M784" s="236"/>
      <c r="N784" s="236"/>
      <c r="O784" s="236"/>
      <c r="P784" s="236"/>
      <c r="Q784" s="236"/>
      <c r="R784" s="236"/>
      <c r="S784" s="236"/>
      <c r="T784" s="236"/>
      <c r="U784" s="236"/>
      <c r="V784" s="239"/>
      <c r="W784" s="236"/>
      <c r="X784" s="236"/>
    </row>
    <row r="785">
      <c r="A785" s="236"/>
      <c r="B785" s="236"/>
      <c r="C785" s="236"/>
      <c r="D785" s="238"/>
      <c r="E785" s="245"/>
      <c r="F785" s="246"/>
      <c r="G785" s="246"/>
      <c r="H785" s="236"/>
      <c r="I785" s="236"/>
      <c r="J785" s="236"/>
      <c r="K785" s="236"/>
      <c r="L785" s="236"/>
      <c r="M785" s="236"/>
      <c r="N785" s="236"/>
      <c r="O785" s="236"/>
      <c r="P785" s="236"/>
      <c r="Q785" s="236"/>
      <c r="R785" s="236"/>
      <c r="S785" s="236"/>
      <c r="T785" s="236"/>
      <c r="U785" s="236"/>
      <c r="V785" s="239"/>
      <c r="W785" s="236"/>
      <c r="X785" s="236"/>
    </row>
    <row r="786">
      <c r="A786" s="236"/>
      <c r="B786" s="236"/>
      <c r="C786" s="236"/>
      <c r="D786" s="238"/>
      <c r="E786" s="245"/>
      <c r="F786" s="246"/>
      <c r="G786" s="246"/>
      <c r="H786" s="236"/>
      <c r="I786" s="236"/>
      <c r="J786" s="236"/>
      <c r="K786" s="236"/>
      <c r="L786" s="236"/>
      <c r="M786" s="236"/>
      <c r="N786" s="236"/>
      <c r="O786" s="236"/>
      <c r="P786" s="236"/>
      <c r="Q786" s="236"/>
      <c r="R786" s="236"/>
      <c r="S786" s="236"/>
      <c r="T786" s="236"/>
      <c r="U786" s="236"/>
      <c r="V786" s="239"/>
      <c r="W786" s="236"/>
      <c r="X786" s="236"/>
    </row>
    <row r="787">
      <c r="A787" s="236"/>
      <c r="B787" s="236"/>
      <c r="C787" s="236"/>
      <c r="D787" s="238"/>
      <c r="E787" s="245"/>
      <c r="F787" s="246"/>
      <c r="G787" s="246"/>
      <c r="H787" s="236"/>
      <c r="I787" s="236"/>
      <c r="J787" s="236"/>
      <c r="K787" s="236"/>
      <c r="L787" s="236"/>
      <c r="M787" s="236"/>
      <c r="N787" s="236"/>
      <c r="O787" s="236"/>
      <c r="P787" s="236"/>
      <c r="Q787" s="236"/>
      <c r="R787" s="236"/>
      <c r="S787" s="236"/>
      <c r="T787" s="236"/>
      <c r="U787" s="236"/>
      <c r="V787" s="239"/>
      <c r="W787" s="236"/>
      <c r="X787" s="236"/>
    </row>
    <row r="788">
      <c r="A788" s="236"/>
      <c r="B788" s="236"/>
      <c r="C788" s="236"/>
      <c r="D788" s="238"/>
      <c r="E788" s="245"/>
      <c r="F788" s="246"/>
      <c r="G788" s="246"/>
      <c r="H788" s="236"/>
      <c r="I788" s="236"/>
      <c r="J788" s="236"/>
      <c r="K788" s="236"/>
      <c r="L788" s="236"/>
      <c r="M788" s="236"/>
      <c r="N788" s="236"/>
      <c r="O788" s="236"/>
      <c r="P788" s="236"/>
      <c r="Q788" s="236"/>
      <c r="R788" s="236"/>
      <c r="S788" s="236"/>
      <c r="T788" s="236"/>
      <c r="U788" s="236"/>
      <c r="V788" s="239"/>
      <c r="W788" s="236"/>
      <c r="X788" s="236"/>
    </row>
    <row r="789">
      <c r="A789" s="236"/>
      <c r="B789" s="236"/>
      <c r="C789" s="236"/>
      <c r="D789" s="238"/>
      <c r="E789" s="245"/>
      <c r="F789" s="246"/>
      <c r="G789" s="246"/>
      <c r="H789" s="236"/>
      <c r="I789" s="236"/>
      <c r="J789" s="236"/>
      <c r="K789" s="236"/>
      <c r="L789" s="236"/>
      <c r="M789" s="236"/>
      <c r="N789" s="236"/>
      <c r="O789" s="236"/>
      <c r="P789" s="236"/>
      <c r="Q789" s="236"/>
      <c r="R789" s="236"/>
      <c r="S789" s="236"/>
      <c r="T789" s="236"/>
      <c r="U789" s="236"/>
      <c r="V789" s="239"/>
      <c r="W789" s="236"/>
      <c r="X789" s="236"/>
    </row>
    <row r="790">
      <c r="A790" s="236"/>
      <c r="B790" s="236"/>
      <c r="C790" s="236"/>
      <c r="D790" s="238"/>
      <c r="E790" s="245"/>
      <c r="F790" s="246"/>
      <c r="G790" s="246"/>
      <c r="H790" s="236"/>
      <c r="I790" s="236"/>
      <c r="J790" s="236"/>
      <c r="K790" s="236"/>
      <c r="L790" s="236"/>
      <c r="M790" s="236"/>
      <c r="N790" s="236"/>
      <c r="O790" s="236"/>
      <c r="P790" s="236"/>
      <c r="Q790" s="236"/>
      <c r="R790" s="236"/>
      <c r="S790" s="236"/>
      <c r="T790" s="236"/>
      <c r="U790" s="236"/>
      <c r="V790" s="239"/>
      <c r="W790" s="236"/>
      <c r="X790" s="236"/>
    </row>
    <row r="791">
      <c r="A791" s="236"/>
      <c r="B791" s="236"/>
      <c r="C791" s="236"/>
      <c r="D791" s="238"/>
      <c r="E791" s="245"/>
      <c r="F791" s="246"/>
      <c r="G791" s="246"/>
      <c r="H791" s="236"/>
      <c r="I791" s="236"/>
      <c r="J791" s="236"/>
      <c r="K791" s="236"/>
      <c r="L791" s="236"/>
      <c r="M791" s="236"/>
      <c r="N791" s="236"/>
      <c r="O791" s="236"/>
      <c r="P791" s="236"/>
      <c r="Q791" s="236"/>
      <c r="R791" s="236"/>
      <c r="S791" s="236"/>
      <c r="T791" s="236"/>
      <c r="U791" s="236"/>
      <c r="V791" s="239"/>
      <c r="W791" s="236"/>
      <c r="X791" s="236"/>
    </row>
    <row r="792">
      <c r="A792" s="236"/>
      <c r="B792" s="236"/>
      <c r="C792" s="236"/>
      <c r="D792" s="238"/>
      <c r="E792" s="245"/>
      <c r="F792" s="246"/>
      <c r="G792" s="246"/>
      <c r="H792" s="236"/>
      <c r="I792" s="236"/>
      <c r="J792" s="236"/>
      <c r="K792" s="236"/>
      <c r="L792" s="236"/>
      <c r="M792" s="236"/>
      <c r="N792" s="236"/>
      <c r="O792" s="236"/>
      <c r="P792" s="236"/>
      <c r="Q792" s="236"/>
      <c r="R792" s="236"/>
      <c r="S792" s="236"/>
      <c r="T792" s="236"/>
      <c r="U792" s="236"/>
      <c r="V792" s="239"/>
      <c r="W792" s="236"/>
      <c r="X792" s="236"/>
    </row>
    <row r="793">
      <c r="A793" s="236"/>
      <c r="B793" s="236"/>
      <c r="C793" s="236"/>
      <c r="D793" s="238"/>
      <c r="E793" s="245"/>
      <c r="F793" s="246"/>
      <c r="G793" s="246"/>
      <c r="H793" s="236"/>
      <c r="I793" s="236"/>
      <c r="J793" s="236"/>
      <c r="K793" s="236"/>
      <c r="L793" s="236"/>
      <c r="M793" s="236"/>
      <c r="N793" s="236"/>
      <c r="O793" s="236"/>
      <c r="P793" s="236"/>
      <c r="Q793" s="236"/>
      <c r="R793" s="236"/>
      <c r="S793" s="236"/>
      <c r="T793" s="236"/>
      <c r="U793" s="236"/>
      <c r="V793" s="239"/>
      <c r="W793" s="236"/>
      <c r="X793" s="236"/>
    </row>
    <row r="794">
      <c r="A794" s="236"/>
      <c r="B794" s="236"/>
      <c r="C794" s="236"/>
      <c r="D794" s="238"/>
      <c r="E794" s="245"/>
      <c r="F794" s="246"/>
      <c r="G794" s="246"/>
      <c r="H794" s="236"/>
      <c r="I794" s="236"/>
      <c r="J794" s="236"/>
      <c r="K794" s="236"/>
      <c r="L794" s="236"/>
      <c r="M794" s="236"/>
      <c r="N794" s="236"/>
      <c r="O794" s="236"/>
      <c r="P794" s="236"/>
      <c r="Q794" s="236"/>
      <c r="R794" s="236"/>
      <c r="S794" s="236"/>
      <c r="T794" s="236"/>
      <c r="U794" s="236"/>
      <c r="V794" s="239"/>
      <c r="W794" s="236"/>
      <c r="X794" s="236"/>
    </row>
    <row r="795">
      <c r="A795" s="236"/>
      <c r="B795" s="236"/>
      <c r="C795" s="236"/>
      <c r="D795" s="238"/>
      <c r="E795" s="245"/>
      <c r="F795" s="246"/>
      <c r="G795" s="246"/>
      <c r="H795" s="236"/>
      <c r="I795" s="236"/>
      <c r="J795" s="236"/>
      <c r="K795" s="236"/>
      <c r="L795" s="236"/>
      <c r="M795" s="236"/>
      <c r="N795" s="236"/>
      <c r="O795" s="236"/>
      <c r="P795" s="236"/>
      <c r="Q795" s="236"/>
      <c r="R795" s="236"/>
      <c r="S795" s="236"/>
      <c r="T795" s="236"/>
      <c r="U795" s="236"/>
      <c r="V795" s="239"/>
      <c r="W795" s="236"/>
      <c r="X795" s="236"/>
    </row>
    <row r="796">
      <c r="A796" s="236"/>
      <c r="B796" s="236"/>
      <c r="C796" s="236"/>
      <c r="D796" s="238"/>
      <c r="E796" s="245"/>
      <c r="F796" s="246"/>
      <c r="G796" s="246"/>
      <c r="H796" s="236"/>
      <c r="I796" s="236"/>
      <c r="J796" s="236"/>
      <c r="K796" s="236"/>
      <c r="L796" s="236"/>
      <c r="M796" s="236"/>
      <c r="N796" s="236"/>
      <c r="O796" s="236"/>
      <c r="P796" s="236"/>
      <c r="Q796" s="236"/>
      <c r="R796" s="236"/>
      <c r="S796" s="236"/>
      <c r="T796" s="236"/>
      <c r="U796" s="236"/>
      <c r="V796" s="239"/>
      <c r="W796" s="236"/>
      <c r="X796" s="236"/>
    </row>
    <row r="797">
      <c r="A797" s="236"/>
      <c r="B797" s="236"/>
      <c r="C797" s="236"/>
      <c r="D797" s="238"/>
      <c r="E797" s="245"/>
      <c r="F797" s="246"/>
      <c r="G797" s="246"/>
      <c r="H797" s="236"/>
      <c r="I797" s="236"/>
      <c r="J797" s="236"/>
      <c r="K797" s="236"/>
      <c r="L797" s="236"/>
      <c r="M797" s="236"/>
      <c r="N797" s="236"/>
      <c r="O797" s="236"/>
      <c r="P797" s="236"/>
      <c r="Q797" s="236"/>
      <c r="R797" s="236"/>
      <c r="S797" s="236"/>
      <c r="T797" s="236"/>
      <c r="U797" s="236"/>
      <c r="V797" s="239"/>
      <c r="W797" s="236"/>
      <c r="X797" s="236"/>
    </row>
    <row r="798">
      <c r="A798" s="236"/>
      <c r="B798" s="236"/>
      <c r="C798" s="236"/>
      <c r="D798" s="238"/>
      <c r="E798" s="245"/>
      <c r="F798" s="246"/>
      <c r="G798" s="246"/>
      <c r="H798" s="236"/>
      <c r="I798" s="236"/>
      <c r="J798" s="236"/>
      <c r="K798" s="236"/>
      <c r="L798" s="236"/>
      <c r="M798" s="236"/>
      <c r="N798" s="236"/>
      <c r="O798" s="236"/>
      <c r="P798" s="236"/>
      <c r="Q798" s="236"/>
      <c r="R798" s="236"/>
      <c r="S798" s="236"/>
      <c r="T798" s="236"/>
      <c r="U798" s="236"/>
      <c r="V798" s="239"/>
      <c r="W798" s="236"/>
      <c r="X798" s="236"/>
    </row>
    <row r="799">
      <c r="A799" s="236"/>
      <c r="B799" s="236"/>
      <c r="C799" s="236"/>
      <c r="D799" s="238"/>
      <c r="E799" s="245"/>
      <c r="F799" s="246"/>
      <c r="G799" s="246"/>
      <c r="H799" s="236"/>
      <c r="I799" s="236"/>
      <c r="J799" s="236"/>
      <c r="K799" s="236"/>
      <c r="L799" s="236"/>
      <c r="M799" s="236"/>
      <c r="N799" s="236"/>
      <c r="O799" s="236"/>
      <c r="P799" s="236"/>
      <c r="Q799" s="236"/>
      <c r="R799" s="236"/>
      <c r="S799" s="236"/>
      <c r="T799" s="236"/>
      <c r="U799" s="236"/>
      <c r="V799" s="239"/>
      <c r="W799" s="236"/>
      <c r="X799" s="236"/>
    </row>
    <row r="800">
      <c r="A800" s="236"/>
      <c r="B800" s="236"/>
      <c r="C800" s="236"/>
      <c r="D800" s="238"/>
      <c r="E800" s="245"/>
      <c r="F800" s="246"/>
      <c r="G800" s="246"/>
      <c r="H800" s="236"/>
      <c r="I800" s="236"/>
      <c r="J800" s="236"/>
      <c r="K800" s="236"/>
      <c r="L800" s="236"/>
      <c r="M800" s="236"/>
      <c r="N800" s="236"/>
      <c r="O800" s="236"/>
      <c r="P800" s="236"/>
      <c r="Q800" s="236"/>
      <c r="R800" s="236"/>
      <c r="S800" s="236"/>
      <c r="T800" s="236"/>
      <c r="U800" s="236"/>
      <c r="V800" s="239"/>
      <c r="W800" s="236"/>
      <c r="X800" s="236"/>
    </row>
    <row r="801">
      <c r="A801" s="236"/>
      <c r="B801" s="236"/>
      <c r="C801" s="236"/>
      <c r="D801" s="238"/>
      <c r="E801" s="245"/>
      <c r="F801" s="246"/>
      <c r="G801" s="246"/>
      <c r="H801" s="236"/>
      <c r="I801" s="236"/>
      <c r="J801" s="236"/>
      <c r="K801" s="236"/>
      <c r="L801" s="236"/>
      <c r="M801" s="236"/>
      <c r="N801" s="236"/>
      <c r="O801" s="236"/>
      <c r="P801" s="236"/>
      <c r="Q801" s="236"/>
      <c r="R801" s="236"/>
      <c r="S801" s="236"/>
      <c r="T801" s="236"/>
      <c r="U801" s="236"/>
      <c r="V801" s="239"/>
      <c r="W801" s="236"/>
      <c r="X801" s="236"/>
    </row>
    <row r="802">
      <c r="A802" s="236"/>
      <c r="B802" s="236"/>
      <c r="C802" s="236"/>
      <c r="D802" s="238"/>
      <c r="E802" s="245"/>
      <c r="F802" s="246"/>
      <c r="G802" s="246"/>
      <c r="H802" s="236"/>
      <c r="I802" s="236"/>
      <c r="J802" s="236"/>
      <c r="K802" s="236"/>
      <c r="L802" s="236"/>
      <c r="M802" s="236"/>
      <c r="N802" s="236"/>
      <c r="O802" s="236"/>
      <c r="P802" s="236"/>
      <c r="Q802" s="236"/>
      <c r="R802" s="236"/>
      <c r="S802" s="236"/>
      <c r="T802" s="236"/>
      <c r="U802" s="236"/>
      <c r="V802" s="239"/>
      <c r="W802" s="236"/>
      <c r="X802" s="236"/>
    </row>
    <row r="803">
      <c r="A803" s="236"/>
      <c r="B803" s="236"/>
      <c r="C803" s="236"/>
      <c r="D803" s="238"/>
      <c r="E803" s="245"/>
      <c r="F803" s="246"/>
      <c r="G803" s="246"/>
      <c r="H803" s="236"/>
      <c r="I803" s="236"/>
      <c r="J803" s="236"/>
      <c r="K803" s="236"/>
      <c r="L803" s="236"/>
      <c r="M803" s="236"/>
      <c r="N803" s="236"/>
      <c r="O803" s="236"/>
      <c r="P803" s="236"/>
      <c r="Q803" s="236"/>
      <c r="R803" s="236"/>
      <c r="S803" s="236"/>
      <c r="T803" s="236"/>
      <c r="U803" s="236"/>
      <c r="V803" s="239"/>
      <c r="W803" s="236"/>
      <c r="X803" s="236"/>
    </row>
    <row r="804">
      <c r="A804" s="236"/>
      <c r="B804" s="236"/>
      <c r="C804" s="236"/>
      <c r="D804" s="238"/>
      <c r="E804" s="245"/>
      <c r="F804" s="246"/>
      <c r="G804" s="246"/>
      <c r="H804" s="236"/>
      <c r="I804" s="236"/>
      <c r="J804" s="236"/>
      <c r="K804" s="236"/>
      <c r="L804" s="236"/>
      <c r="M804" s="236"/>
      <c r="N804" s="236"/>
      <c r="O804" s="236"/>
      <c r="P804" s="236"/>
      <c r="Q804" s="236"/>
      <c r="R804" s="236"/>
      <c r="S804" s="236"/>
      <c r="T804" s="236"/>
      <c r="U804" s="236"/>
      <c r="V804" s="239"/>
      <c r="W804" s="236"/>
      <c r="X804" s="236"/>
    </row>
    <row r="805">
      <c r="A805" s="236"/>
      <c r="B805" s="236"/>
      <c r="C805" s="236"/>
      <c r="D805" s="238"/>
      <c r="E805" s="245"/>
      <c r="F805" s="246"/>
      <c r="G805" s="246"/>
      <c r="H805" s="236"/>
      <c r="I805" s="236"/>
      <c r="J805" s="236"/>
      <c r="K805" s="236"/>
      <c r="L805" s="236"/>
      <c r="M805" s="236"/>
      <c r="N805" s="236"/>
      <c r="O805" s="236"/>
      <c r="P805" s="236"/>
      <c r="Q805" s="236"/>
      <c r="R805" s="236"/>
      <c r="S805" s="236"/>
      <c r="T805" s="236"/>
      <c r="U805" s="236"/>
      <c r="V805" s="239"/>
      <c r="W805" s="236"/>
      <c r="X805" s="236"/>
    </row>
    <row r="806">
      <c r="A806" s="236"/>
      <c r="B806" s="236"/>
      <c r="C806" s="236"/>
      <c r="D806" s="238"/>
      <c r="E806" s="245"/>
      <c r="F806" s="246"/>
      <c r="G806" s="246"/>
      <c r="H806" s="236"/>
      <c r="I806" s="236"/>
      <c r="J806" s="236"/>
      <c r="K806" s="236"/>
      <c r="L806" s="236"/>
      <c r="M806" s="236"/>
      <c r="N806" s="236"/>
      <c r="O806" s="236"/>
      <c r="P806" s="236"/>
      <c r="Q806" s="236"/>
      <c r="R806" s="236"/>
      <c r="S806" s="236"/>
      <c r="T806" s="236"/>
      <c r="U806" s="236"/>
      <c r="V806" s="239"/>
      <c r="W806" s="236"/>
      <c r="X806" s="236"/>
    </row>
    <row r="807">
      <c r="A807" s="236"/>
      <c r="B807" s="236"/>
      <c r="C807" s="236"/>
      <c r="D807" s="238"/>
      <c r="E807" s="245"/>
      <c r="F807" s="246"/>
      <c r="G807" s="246"/>
      <c r="H807" s="236"/>
      <c r="I807" s="236"/>
      <c r="J807" s="236"/>
      <c r="K807" s="236"/>
      <c r="L807" s="236"/>
      <c r="M807" s="236"/>
      <c r="N807" s="236"/>
      <c r="O807" s="236"/>
      <c r="P807" s="236"/>
      <c r="Q807" s="236"/>
      <c r="R807" s="236"/>
      <c r="S807" s="236"/>
      <c r="T807" s="236"/>
      <c r="U807" s="236"/>
      <c r="V807" s="239"/>
      <c r="W807" s="236"/>
      <c r="X807" s="236"/>
    </row>
    <row r="808">
      <c r="A808" s="236"/>
      <c r="B808" s="236"/>
      <c r="C808" s="236"/>
      <c r="D808" s="238"/>
      <c r="E808" s="245"/>
      <c r="F808" s="246"/>
      <c r="G808" s="246"/>
      <c r="H808" s="236"/>
      <c r="I808" s="236"/>
      <c r="J808" s="236"/>
      <c r="K808" s="236"/>
      <c r="L808" s="236"/>
      <c r="M808" s="236"/>
      <c r="N808" s="236"/>
      <c r="O808" s="236"/>
      <c r="P808" s="236"/>
      <c r="Q808" s="236"/>
      <c r="R808" s="236"/>
      <c r="S808" s="236"/>
      <c r="T808" s="236"/>
      <c r="U808" s="236"/>
      <c r="V808" s="239"/>
      <c r="W808" s="236"/>
      <c r="X808" s="236"/>
    </row>
    <row r="809">
      <c r="A809" s="236"/>
      <c r="B809" s="236"/>
      <c r="C809" s="236"/>
      <c r="D809" s="238"/>
      <c r="E809" s="245"/>
      <c r="F809" s="246"/>
      <c r="G809" s="246"/>
      <c r="H809" s="236"/>
      <c r="I809" s="236"/>
      <c r="J809" s="236"/>
      <c r="K809" s="236"/>
      <c r="L809" s="236"/>
      <c r="M809" s="236"/>
      <c r="N809" s="236"/>
      <c r="O809" s="236"/>
      <c r="P809" s="236"/>
      <c r="Q809" s="236"/>
      <c r="R809" s="236"/>
      <c r="S809" s="236"/>
      <c r="T809" s="236"/>
      <c r="U809" s="236"/>
      <c r="V809" s="239"/>
      <c r="W809" s="236"/>
      <c r="X809" s="236"/>
    </row>
    <row r="810">
      <c r="A810" s="236"/>
      <c r="B810" s="236"/>
      <c r="C810" s="236"/>
      <c r="D810" s="238"/>
      <c r="E810" s="245"/>
      <c r="F810" s="246"/>
      <c r="G810" s="246"/>
      <c r="H810" s="236"/>
      <c r="I810" s="236"/>
      <c r="J810" s="236"/>
      <c r="K810" s="236"/>
      <c r="L810" s="236"/>
      <c r="M810" s="236"/>
      <c r="N810" s="236"/>
      <c r="O810" s="236"/>
      <c r="P810" s="236"/>
      <c r="Q810" s="236"/>
      <c r="R810" s="236"/>
      <c r="S810" s="236"/>
      <c r="T810" s="236"/>
      <c r="U810" s="236"/>
      <c r="V810" s="239"/>
      <c r="W810" s="236"/>
      <c r="X810" s="236"/>
    </row>
    <row r="811">
      <c r="A811" s="236"/>
      <c r="B811" s="236"/>
      <c r="C811" s="236"/>
      <c r="D811" s="238"/>
      <c r="E811" s="245"/>
      <c r="F811" s="246"/>
      <c r="G811" s="246"/>
      <c r="H811" s="236"/>
      <c r="I811" s="236"/>
      <c r="J811" s="236"/>
      <c r="K811" s="236"/>
      <c r="L811" s="236"/>
      <c r="M811" s="236"/>
      <c r="N811" s="236"/>
      <c r="O811" s="236"/>
      <c r="P811" s="236"/>
      <c r="Q811" s="236"/>
      <c r="R811" s="236"/>
      <c r="S811" s="236"/>
      <c r="T811" s="236"/>
      <c r="U811" s="236"/>
      <c r="V811" s="239"/>
      <c r="W811" s="236"/>
      <c r="X811" s="236"/>
    </row>
    <row r="812">
      <c r="A812" s="236"/>
      <c r="B812" s="236"/>
      <c r="C812" s="236"/>
      <c r="D812" s="238"/>
      <c r="E812" s="245"/>
      <c r="F812" s="246"/>
      <c r="G812" s="246"/>
      <c r="H812" s="236"/>
      <c r="I812" s="236"/>
      <c r="J812" s="236"/>
      <c r="K812" s="236"/>
      <c r="L812" s="236"/>
      <c r="M812" s="236"/>
      <c r="N812" s="236"/>
      <c r="O812" s="236"/>
      <c r="P812" s="236"/>
      <c r="Q812" s="236"/>
      <c r="R812" s="236"/>
      <c r="S812" s="236"/>
      <c r="T812" s="236"/>
      <c r="U812" s="236"/>
      <c r="V812" s="239"/>
      <c r="W812" s="236"/>
      <c r="X812" s="236"/>
    </row>
    <row r="813">
      <c r="A813" s="236"/>
      <c r="B813" s="236"/>
      <c r="C813" s="236"/>
      <c r="D813" s="238"/>
      <c r="E813" s="245"/>
      <c r="F813" s="246"/>
      <c r="G813" s="246"/>
      <c r="H813" s="236"/>
      <c r="I813" s="236"/>
      <c r="J813" s="236"/>
      <c r="K813" s="236"/>
      <c r="L813" s="236"/>
      <c r="M813" s="236"/>
      <c r="N813" s="236"/>
      <c r="O813" s="236"/>
      <c r="P813" s="236"/>
      <c r="Q813" s="236"/>
      <c r="R813" s="236"/>
      <c r="S813" s="236"/>
      <c r="T813" s="236"/>
      <c r="U813" s="236"/>
      <c r="V813" s="239"/>
      <c r="W813" s="236"/>
      <c r="X813" s="236"/>
    </row>
    <row r="814">
      <c r="A814" s="236"/>
      <c r="B814" s="236"/>
      <c r="C814" s="236"/>
      <c r="D814" s="238"/>
      <c r="E814" s="245"/>
      <c r="F814" s="246"/>
      <c r="G814" s="246"/>
      <c r="H814" s="236"/>
      <c r="I814" s="236"/>
      <c r="J814" s="236"/>
      <c r="K814" s="236"/>
      <c r="L814" s="236"/>
      <c r="M814" s="236"/>
      <c r="N814" s="236"/>
      <c r="O814" s="236"/>
      <c r="P814" s="236"/>
      <c r="Q814" s="236"/>
      <c r="R814" s="236"/>
      <c r="S814" s="236"/>
      <c r="T814" s="236"/>
      <c r="U814" s="236"/>
      <c r="V814" s="239"/>
      <c r="W814" s="236"/>
      <c r="X814" s="236"/>
    </row>
    <row r="815">
      <c r="A815" s="236"/>
      <c r="B815" s="236"/>
      <c r="C815" s="236"/>
      <c r="D815" s="238"/>
      <c r="E815" s="245"/>
      <c r="F815" s="246"/>
      <c r="G815" s="246"/>
      <c r="H815" s="236"/>
      <c r="I815" s="236"/>
      <c r="J815" s="236"/>
      <c r="K815" s="236"/>
      <c r="L815" s="236"/>
      <c r="M815" s="236"/>
      <c r="N815" s="236"/>
      <c r="O815" s="236"/>
      <c r="P815" s="236"/>
      <c r="Q815" s="236"/>
      <c r="R815" s="236"/>
      <c r="S815" s="236"/>
      <c r="T815" s="236"/>
      <c r="U815" s="236"/>
      <c r="V815" s="239"/>
      <c r="W815" s="236"/>
      <c r="X815" s="236"/>
    </row>
    <row r="816">
      <c r="A816" s="236"/>
      <c r="B816" s="236"/>
      <c r="C816" s="236"/>
      <c r="D816" s="238"/>
      <c r="E816" s="245"/>
      <c r="F816" s="246"/>
      <c r="G816" s="246"/>
      <c r="H816" s="236"/>
      <c r="I816" s="236"/>
      <c r="J816" s="236"/>
      <c r="K816" s="236"/>
      <c r="L816" s="236"/>
      <c r="M816" s="236"/>
      <c r="N816" s="236"/>
      <c r="O816" s="236"/>
      <c r="P816" s="236"/>
      <c r="Q816" s="236"/>
      <c r="R816" s="236"/>
      <c r="S816" s="236"/>
      <c r="T816" s="236"/>
      <c r="U816" s="236"/>
      <c r="V816" s="239"/>
      <c r="W816" s="236"/>
      <c r="X816" s="236"/>
    </row>
    <row r="817">
      <c r="A817" s="236"/>
      <c r="B817" s="236"/>
      <c r="C817" s="236"/>
      <c r="D817" s="238"/>
      <c r="E817" s="245"/>
      <c r="F817" s="246"/>
      <c r="G817" s="246"/>
      <c r="H817" s="236"/>
      <c r="I817" s="236"/>
      <c r="J817" s="236"/>
      <c r="K817" s="236"/>
      <c r="L817" s="236"/>
      <c r="M817" s="236"/>
      <c r="N817" s="236"/>
      <c r="O817" s="236"/>
      <c r="P817" s="236"/>
      <c r="Q817" s="236"/>
      <c r="R817" s="236"/>
      <c r="S817" s="236"/>
      <c r="T817" s="236"/>
      <c r="U817" s="236"/>
      <c r="V817" s="239"/>
      <c r="W817" s="236"/>
      <c r="X817" s="236"/>
    </row>
    <row r="818">
      <c r="A818" s="236"/>
      <c r="B818" s="236"/>
      <c r="C818" s="236"/>
      <c r="D818" s="238"/>
      <c r="E818" s="245"/>
      <c r="F818" s="246"/>
      <c r="G818" s="246"/>
      <c r="H818" s="236"/>
      <c r="I818" s="236"/>
      <c r="J818" s="236"/>
      <c r="K818" s="236"/>
      <c r="L818" s="236"/>
      <c r="M818" s="236"/>
      <c r="N818" s="236"/>
      <c r="O818" s="236"/>
      <c r="P818" s="236"/>
      <c r="Q818" s="236"/>
      <c r="R818" s="236"/>
      <c r="S818" s="236"/>
      <c r="T818" s="236"/>
      <c r="U818" s="236"/>
      <c r="V818" s="239"/>
      <c r="W818" s="236"/>
      <c r="X818" s="236"/>
    </row>
    <row r="819">
      <c r="A819" s="236"/>
      <c r="B819" s="236"/>
      <c r="C819" s="236"/>
      <c r="D819" s="238"/>
      <c r="E819" s="245"/>
      <c r="F819" s="246"/>
      <c r="G819" s="246"/>
      <c r="H819" s="236"/>
      <c r="I819" s="236"/>
      <c r="J819" s="236"/>
      <c r="K819" s="236"/>
      <c r="L819" s="236"/>
      <c r="M819" s="236"/>
      <c r="N819" s="236"/>
      <c r="O819" s="236"/>
      <c r="P819" s="236"/>
      <c r="Q819" s="236"/>
      <c r="R819" s="236"/>
      <c r="S819" s="236"/>
      <c r="T819" s="236"/>
      <c r="U819" s="236"/>
      <c r="V819" s="239"/>
      <c r="W819" s="236"/>
      <c r="X819" s="236"/>
    </row>
    <row r="820">
      <c r="A820" s="236"/>
      <c r="B820" s="236"/>
      <c r="C820" s="236"/>
      <c r="D820" s="238"/>
      <c r="E820" s="245"/>
      <c r="F820" s="246"/>
      <c r="G820" s="246"/>
      <c r="H820" s="236"/>
      <c r="I820" s="236"/>
      <c r="J820" s="236"/>
      <c r="K820" s="236"/>
      <c r="L820" s="236"/>
      <c r="M820" s="236"/>
      <c r="N820" s="236"/>
      <c r="O820" s="236"/>
      <c r="P820" s="236"/>
      <c r="Q820" s="236"/>
      <c r="R820" s="236"/>
      <c r="S820" s="236"/>
      <c r="T820" s="236"/>
      <c r="U820" s="236"/>
      <c r="V820" s="239"/>
      <c r="W820" s="236"/>
      <c r="X820" s="236"/>
    </row>
    <row r="821">
      <c r="A821" s="236"/>
      <c r="B821" s="236"/>
      <c r="C821" s="236"/>
      <c r="D821" s="238"/>
      <c r="E821" s="245"/>
      <c r="F821" s="246"/>
      <c r="G821" s="246"/>
      <c r="H821" s="236"/>
      <c r="I821" s="236"/>
      <c r="J821" s="236"/>
      <c r="K821" s="236"/>
      <c r="L821" s="236"/>
      <c r="M821" s="236"/>
      <c r="N821" s="236"/>
      <c r="O821" s="236"/>
      <c r="P821" s="236"/>
      <c r="Q821" s="236"/>
      <c r="R821" s="236"/>
      <c r="S821" s="236"/>
      <c r="T821" s="236"/>
      <c r="U821" s="236"/>
      <c r="V821" s="239"/>
      <c r="W821" s="236"/>
      <c r="X821" s="236"/>
    </row>
    <row r="822">
      <c r="A822" s="236"/>
      <c r="B822" s="236"/>
      <c r="C822" s="236"/>
      <c r="D822" s="238"/>
      <c r="E822" s="245"/>
      <c r="F822" s="246"/>
      <c r="G822" s="246"/>
      <c r="H822" s="236"/>
      <c r="I822" s="236"/>
      <c r="J822" s="236"/>
      <c r="K822" s="236"/>
      <c r="L822" s="236"/>
      <c r="M822" s="236"/>
      <c r="N822" s="236"/>
      <c r="O822" s="236"/>
      <c r="P822" s="236"/>
      <c r="Q822" s="236"/>
      <c r="R822" s="236"/>
      <c r="S822" s="236"/>
      <c r="T822" s="236"/>
      <c r="U822" s="236"/>
      <c r="V822" s="239"/>
      <c r="W822" s="236"/>
      <c r="X822" s="236"/>
    </row>
    <row r="823">
      <c r="A823" s="236"/>
      <c r="B823" s="236"/>
      <c r="C823" s="236"/>
      <c r="D823" s="238"/>
      <c r="E823" s="245"/>
      <c r="F823" s="246"/>
      <c r="G823" s="246"/>
      <c r="H823" s="236"/>
      <c r="I823" s="236"/>
      <c r="J823" s="236"/>
      <c r="K823" s="236"/>
      <c r="L823" s="236"/>
      <c r="M823" s="236"/>
      <c r="N823" s="236"/>
      <c r="O823" s="236"/>
      <c r="P823" s="236"/>
      <c r="Q823" s="236"/>
      <c r="R823" s="236"/>
      <c r="S823" s="236"/>
      <c r="T823" s="236"/>
      <c r="U823" s="236"/>
      <c r="V823" s="239"/>
      <c r="W823" s="236"/>
      <c r="X823" s="236"/>
    </row>
    <row r="824">
      <c r="A824" s="236"/>
      <c r="B824" s="236"/>
      <c r="C824" s="236"/>
      <c r="D824" s="238"/>
      <c r="E824" s="245"/>
      <c r="F824" s="246"/>
      <c r="G824" s="246"/>
      <c r="H824" s="236"/>
      <c r="I824" s="236"/>
      <c r="J824" s="236"/>
      <c r="K824" s="236"/>
      <c r="L824" s="236"/>
      <c r="M824" s="236"/>
      <c r="N824" s="236"/>
      <c r="O824" s="236"/>
      <c r="P824" s="236"/>
      <c r="Q824" s="236"/>
      <c r="R824" s="236"/>
      <c r="S824" s="236"/>
      <c r="T824" s="236"/>
      <c r="U824" s="236"/>
      <c r="V824" s="239"/>
      <c r="W824" s="236"/>
      <c r="X824" s="236"/>
    </row>
    <row r="825">
      <c r="A825" s="236"/>
      <c r="B825" s="236"/>
      <c r="C825" s="236"/>
      <c r="D825" s="238"/>
      <c r="E825" s="245"/>
      <c r="F825" s="246"/>
      <c r="G825" s="246"/>
      <c r="H825" s="236"/>
      <c r="I825" s="236"/>
      <c r="J825" s="236"/>
      <c r="K825" s="236"/>
      <c r="L825" s="236"/>
      <c r="M825" s="236"/>
      <c r="N825" s="236"/>
      <c r="O825" s="236"/>
      <c r="P825" s="236"/>
      <c r="Q825" s="236"/>
      <c r="R825" s="236"/>
      <c r="S825" s="236"/>
      <c r="T825" s="236"/>
      <c r="U825" s="236"/>
      <c r="V825" s="239"/>
      <c r="W825" s="236"/>
      <c r="X825" s="236"/>
    </row>
    <row r="826">
      <c r="A826" s="236"/>
      <c r="B826" s="236"/>
      <c r="C826" s="236"/>
      <c r="D826" s="238"/>
      <c r="E826" s="245"/>
      <c r="F826" s="246"/>
      <c r="G826" s="246"/>
      <c r="H826" s="236"/>
      <c r="I826" s="236"/>
      <c r="J826" s="236"/>
      <c r="K826" s="236"/>
      <c r="L826" s="236"/>
      <c r="M826" s="236"/>
      <c r="N826" s="236"/>
      <c r="O826" s="236"/>
      <c r="P826" s="236"/>
      <c r="Q826" s="236"/>
      <c r="R826" s="236"/>
      <c r="S826" s="236"/>
      <c r="T826" s="236"/>
      <c r="U826" s="236"/>
      <c r="V826" s="239"/>
      <c r="W826" s="236"/>
      <c r="X826" s="236"/>
    </row>
    <row r="827">
      <c r="A827" s="236"/>
      <c r="B827" s="236"/>
      <c r="C827" s="236"/>
      <c r="D827" s="238"/>
      <c r="E827" s="245"/>
      <c r="F827" s="246"/>
      <c r="G827" s="246"/>
      <c r="H827" s="236"/>
      <c r="I827" s="236"/>
      <c r="J827" s="236"/>
      <c r="K827" s="236"/>
      <c r="L827" s="236"/>
      <c r="M827" s="236"/>
      <c r="N827" s="236"/>
      <c r="O827" s="236"/>
      <c r="P827" s="236"/>
      <c r="Q827" s="236"/>
      <c r="R827" s="236"/>
      <c r="S827" s="236"/>
      <c r="T827" s="236"/>
      <c r="U827" s="236"/>
      <c r="V827" s="239"/>
      <c r="W827" s="236"/>
      <c r="X827" s="236"/>
    </row>
    <row r="828">
      <c r="A828" s="236"/>
      <c r="B828" s="236"/>
      <c r="C828" s="236"/>
      <c r="D828" s="238"/>
      <c r="E828" s="245"/>
      <c r="F828" s="246"/>
      <c r="G828" s="246"/>
      <c r="H828" s="236"/>
      <c r="I828" s="236"/>
      <c r="J828" s="236"/>
      <c r="K828" s="236"/>
      <c r="L828" s="236"/>
      <c r="M828" s="236"/>
      <c r="N828" s="236"/>
      <c r="O828" s="236"/>
      <c r="P828" s="236"/>
      <c r="Q828" s="236"/>
      <c r="R828" s="236"/>
      <c r="S828" s="236"/>
      <c r="T828" s="236"/>
      <c r="U828" s="236"/>
      <c r="V828" s="239"/>
      <c r="W828" s="236"/>
      <c r="X828" s="236"/>
    </row>
    <row r="829">
      <c r="A829" s="236"/>
      <c r="B829" s="236"/>
      <c r="C829" s="236"/>
      <c r="D829" s="238"/>
      <c r="E829" s="245"/>
      <c r="F829" s="246"/>
      <c r="G829" s="246"/>
      <c r="H829" s="236"/>
      <c r="I829" s="236"/>
      <c r="J829" s="236"/>
      <c r="K829" s="236"/>
      <c r="L829" s="236"/>
      <c r="M829" s="236"/>
      <c r="N829" s="236"/>
      <c r="O829" s="236"/>
      <c r="P829" s="236"/>
      <c r="Q829" s="236"/>
      <c r="R829" s="236"/>
      <c r="S829" s="236"/>
      <c r="T829" s="236"/>
      <c r="U829" s="236"/>
      <c r="V829" s="239"/>
      <c r="W829" s="236"/>
      <c r="X829" s="236"/>
    </row>
    <row r="830">
      <c r="A830" s="236"/>
      <c r="B830" s="236"/>
      <c r="C830" s="236"/>
      <c r="D830" s="238"/>
      <c r="E830" s="245"/>
      <c r="F830" s="246"/>
      <c r="G830" s="246"/>
      <c r="H830" s="236"/>
      <c r="I830" s="236"/>
      <c r="J830" s="236"/>
      <c r="K830" s="236"/>
      <c r="L830" s="236"/>
      <c r="M830" s="236"/>
      <c r="N830" s="236"/>
      <c r="O830" s="236"/>
      <c r="P830" s="236"/>
      <c r="Q830" s="236"/>
      <c r="R830" s="236"/>
      <c r="S830" s="236"/>
      <c r="T830" s="236"/>
      <c r="U830" s="236"/>
      <c r="V830" s="239"/>
      <c r="W830" s="236"/>
      <c r="X830" s="236"/>
    </row>
    <row r="831">
      <c r="A831" s="236"/>
      <c r="B831" s="236"/>
      <c r="C831" s="236"/>
      <c r="D831" s="238"/>
      <c r="E831" s="245"/>
      <c r="F831" s="246"/>
      <c r="G831" s="246"/>
      <c r="H831" s="236"/>
      <c r="I831" s="236"/>
      <c r="J831" s="236"/>
      <c r="K831" s="236"/>
      <c r="L831" s="236"/>
      <c r="M831" s="236"/>
      <c r="N831" s="236"/>
      <c r="O831" s="236"/>
      <c r="P831" s="236"/>
      <c r="Q831" s="236"/>
      <c r="R831" s="236"/>
      <c r="S831" s="236"/>
      <c r="T831" s="236"/>
      <c r="U831" s="236"/>
      <c r="V831" s="239"/>
      <c r="W831" s="236"/>
      <c r="X831" s="236"/>
    </row>
    <row r="832">
      <c r="A832" s="236"/>
      <c r="B832" s="236"/>
      <c r="C832" s="236"/>
      <c r="D832" s="238"/>
      <c r="E832" s="245"/>
      <c r="F832" s="246"/>
      <c r="G832" s="246"/>
      <c r="H832" s="236"/>
      <c r="I832" s="236"/>
      <c r="J832" s="236"/>
      <c r="K832" s="236"/>
      <c r="L832" s="236"/>
      <c r="M832" s="236"/>
      <c r="N832" s="236"/>
      <c r="O832" s="236"/>
      <c r="P832" s="236"/>
      <c r="Q832" s="236"/>
      <c r="R832" s="236"/>
      <c r="S832" s="236"/>
      <c r="T832" s="236"/>
      <c r="U832" s="236"/>
      <c r="V832" s="239"/>
      <c r="W832" s="236"/>
      <c r="X832" s="236"/>
    </row>
    <row r="833">
      <c r="A833" s="236"/>
      <c r="B833" s="236"/>
      <c r="C833" s="236"/>
      <c r="D833" s="238"/>
      <c r="E833" s="245"/>
      <c r="F833" s="246"/>
      <c r="G833" s="246"/>
      <c r="H833" s="236"/>
      <c r="I833" s="236"/>
      <c r="J833" s="236"/>
      <c r="K833" s="236"/>
      <c r="L833" s="236"/>
      <c r="M833" s="236"/>
      <c r="N833" s="236"/>
      <c r="O833" s="236"/>
      <c r="P833" s="236"/>
      <c r="Q833" s="236"/>
      <c r="R833" s="236"/>
      <c r="S833" s="236"/>
      <c r="T833" s="236"/>
      <c r="U833" s="236"/>
      <c r="V833" s="239"/>
      <c r="W833" s="236"/>
      <c r="X833" s="236"/>
    </row>
    <row r="834">
      <c r="A834" s="236"/>
      <c r="B834" s="236"/>
      <c r="C834" s="236"/>
      <c r="D834" s="238"/>
      <c r="E834" s="245"/>
      <c r="F834" s="246"/>
      <c r="G834" s="246"/>
      <c r="H834" s="236"/>
      <c r="I834" s="236"/>
      <c r="J834" s="236"/>
      <c r="K834" s="236"/>
      <c r="L834" s="236"/>
      <c r="M834" s="236"/>
      <c r="N834" s="236"/>
      <c r="O834" s="236"/>
      <c r="P834" s="236"/>
      <c r="Q834" s="236"/>
      <c r="R834" s="236"/>
      <c r="S834" s="236"/>
      <c r="T834" s="236"/>
      <c r="U834" s="236"/>
      <c r="V834" s="239"/>
      <c r="W834" s="236"/>
      <c r="X834" s="236"/>
    </row>
    <row r="835">
      <c r="A835" s="236"/>
      <c r="B835" s="236"/>
      <c r="C835" s="236"/>
      <c r="D835" s="238"/>
      <c r="E835" s="245"/>
      <c r="F835" s="246"/>
      <c r="G835" s="246"/>
      <c r="H835" s="236"/>
      <c r="I835" s="236"/>
      <c r="J835" s="236"/>
      <c r="K835" s="236"/>
      <c r="L835" s="236"/>
      <c r="M835" s="236"/>
      <c r="N835" s="236"/>
      <c r="O835" s="236"/>
      <c r="P835" s="236"/>
      <c r="Q835" s="236"/>
      <c r="R835" s="236"/>
      <c r="S835" s="236"/>
      <c r="T835" s="236"/>
      <c r="U835" s="236"/>
      <c r="V835" s="239"/>
      <c r="W835" s="236"/>
      <c r="X835" s="236"/>
    </row>
    <row r="836">
      <c r="A836" s="236"/>
      <c r="B836" s="236"/>
      <c r="C836" s="236"/>
      <c r="D836" s="238"/>
      <c r="E836" s="245"/>
      <c r="F836" s="246"/>
      <c r="G836" s="246"/>
      <c r="H836" s="236"/>
      <c r="I836" s="236"/>
      <c r="J836" s="236"/>
      <c r="K836" s="236"/>
      <c r="L836" s="236"/>
      <c r="M836" s="236"/>
      <c r="N836" s="236"/>
      <c r="O836" s="236"/>
      <c r="P836" s="236"/>
      <c r="Q836" s="236"/>
      <c r="R836" s="236"/>
      <c r="S836" s="236"/>
      <c r="T836" s="236"/>
      <c r="U836" s="236"/>
      <c r="V836" s="239"/>
      <c r="W836" s="236"/>
      <c r="X836" s="236"/>
    </row>
    <row r="837">
      <c r="A837" s="236"/>
      <c r="B837" s="236"/>
      <c r="C837" s="236"/>
      <c r="D837" s="238"/>
      <c r="E837" s="245"/>
      <c r="F837" s="246"/>
      <c r="G837" s="246"/>
      <c r="H837" s="236"/>
      <c r="I837" s="236"/>
      <c r="J837" s="236"/>
      <c r="K837" s="236"/>
      <c r="L837" s="236"/>
      <c r="M837" s="236"/>
      <c r="N837" s="236"/>
      <c r="O837" s="236"/>
      <c r="P837" s="236"/>
      <c r="Q837" s="236"/>
      <c r="R837" s="236"/>
      <c r="S837" s="236"/>
      <c r="T837" s="236"/>
      <c r="U837" s="236"/>
      <c r="V837" s="239"/>
      <c r="W837" s="236"/>
      <c r="X837" s="236"/>
    </row>
    <row r="838">
      <c r="A838" s="236"/>
      <c r="B838" s="236"/>
      <c r="C838" s="236"/>
      <c r="D838" s="238"/>
      <c r="E838" s="245"/>
      <c r="F838" s="246"/>
      <c r="G838" s="246"/>
      <c r="H838" s="236"/>
      <c r="I838" s="236"/>
      <c r="J838" s="236"/>
      <c r="K838" s="236"/>
      <c r="L838" s="236"/>
      <c r="M838" s="236"/>
      <c r="N838" s="236"/>
      <c r="O838" s="236"/>
      <c r="P838" s="236"/>
      <c r="Q838" s="236"/>
      <c r="R838" s="236"/>
      <c r="S838" s="236"/>
      <c r="T838" s="236"/>
      <c r="U838" s="236"/>
      <c r="V838" s="239"/>
      <c r="W838" s="236"/>
      <c r="X838" s="236"/>
    </row>
    <row r="839">
      <c r="A839" s="236"/>
      <c r="B839" s="236"/>
      <c r="C839" s="236"/>
      <c r="D839" s="238"/>
      <c r="E839" s="245"/>
      <c r="F839" s="246"/>
      <c r="G839" s="246"/>
      <c r="H839" s="236"/>
      <c r="I839" s="236"/>
      <c r="J839" s="236"/>
      <c r="K839" s="236"/>
      <c r="L839" s="236"/>
      <c r="M839" s="236"/>
      <c r="N839" s="236"/>
      <c r="O839" s="236"/>
      <c r="P839" s="236"/>
      <c r="Q839" s="236"/>
      <c r="R839" s="236"/>
      <c r="S839" s="236"/>
      <c r="T839" s="236"/>
      <c r="U839" s="236"/>
      <c r="V839" s="239"/>
      <c r="W839" s="236"/>
      <c r="X839" s="236"/>
    </row>
    <row r="840">
      <c r="A840" s="236"/>
      <c r="B840" s="236"/>
      <c r="C840" s="236"/>
      <c r="D840" s="238"/>
      <c r="E840" s="245"/>
      <c r="F840" s="246"/>
      <c r="G840" s="246"/>
      <c r="H840" s="236"/>
      <c r="I840" s="236"/>
      <c r="J840" s="236"/>
      <c r="K840" s="236"/>
      <c r="L840" s="236"/>
      <c r="M840" s="236"/>
      <c r="N840" s="236"/>
      <c r="O840" s="236"/>
      <c r="P840" s="236"/>
      <c r="Q840" s="236"/>
      <c r="R840" s="236"/>
      <c r="S840" s="236"/>
      <c r="T840" s="236"/>
      <c r="U840" s="236"/>
      <c r="V840" s="239"/>
      <c r="W840" s="236"/>
      <c r="X840" s="236"/>
    </row>
    <row r="841">
      <c r="A841" s="236"/>
      <c r="B841" s="236"/>
      <c r="C841" s="236"/>
      <c r="D841" s="238"/>
      <c r="E841" s="245"/>
      <c r="F841" s="246"/>
      <c r="G841" s="246"/>
      <c r="H841" s="236"/>
      <c r="I841" s="236"/>
      <c r="J841" s="236"/>
      <c r="K841" s="236"/>
      <c r="L841" s="236"/>
      <c r="M841" s="236"/>
      <c r="N841" s="236"/>
      <c r="O841" s="236"/>
      <c r="P841" s="236"/>
      <c r="Q841" s="236"/>
      <c r="R841" s="236"/>
      <c r="S841" s="236"/>
      <c r="T841" s="236"/>
      <c r="U841" s="236"/>
      <c r="V841" s="239"/>
      <c r="W841" s="236"/>
      <c r="X841" s="236"/>
    </row>
    <row r="842">
      <c r="A842" s="236"/>
      <c r="B842" s="236"/>
      <c r="C842" s="236"/>
      <c r="D842" s="238"/>
      <c r="E842" s="245"/>
      <c r="F842" s="246"/>
      <c r="G842" s="246"/>
      <c r="H842" s="236"/>
      <c r="I842" s="236"/>
      <c r="J842" s="236"/>
      <c r="K842" s="236"/>
      <c r="L842" s="236"/>
      <c r="M842" s="236"/>
      <c r="N842" s="236"/>
      <c r="O842" s="236"/>
      <c r="P842" s="236"/>
      <c r="Q842" s="236"/>
      <c r="R842" s="236"/>
      <c r="S842" s="236"/>
      <c r="T842" s="236"/>
      <c r="U842" s="236"/>
      <c r="V842" s="239"/>
      <c r="W842" s="236"/>
      <c r="X842" s="236"/>
    </row>
    <row r="843">
      <c r="A843" s="236"/>
      <c r="B843" s="236"/>
      <c r="C843" s="236"/>
      <c r="D843" s="238"/>
      <c r="E843" s="245"/>
      <c r="F843" s="246"/>
      <c r="G843" s="246"/>
      <c r="H843" s="236"/>
      <c r="I843" s="236"/>
      <c r="J843" s="236"/>
      <c r="K843" s="236"/>
      <c r="L843" s="236"/>
      <c r="M843" s="236"/>
      <c r="N843" s="236"/>
      <c r="O843" s="236"/>
      <c r="P843" s="236"/>
      <c r="Q843" s="236"/>
      <c r="R843" s="236"/>
      <c r="S843" s="236"/>
      <c r="T843" s="236"/>
      <c r="U843" s="236"/>
      <c r="V843" s="239"/>
      <c r="W843" s="236"/>
      <c r="X843" s="236"/>
    </row>
    <row r="844">
      <c r="A844" s="236"/>
      <c r="B844" s="236"/>
      <c r="C844" s="236"/>
      <c r="D844" s="238"/>
      <c r="E844" s="245"/>
      <c r="F844" s="246"/>
      <c r="G844" s="246"/>
      <c r="H844" s="236"/>
      <c r="I844" s="236"/>
      <c r="J844" s="236"/>
      <c r="K844" s="236"/>
      <c r="L844" s="236"/>
      <c r="M844" s="236"/>
      <c r="N844" s="236"/>
      <c r="O844" s="236"/>
      <c r="P844" s="236"/>
      <c r="Q844" s="236"/>
      <c r="R844" s="236"/>
      <c r="S844" s="236"/>
      <c r="T844" s="236"/>
      <c r="U844" s="236"/>
      <c r="V844" s="239"/>
      <c r="W844" s="236"/>
      <c r="X844" s="236"/>
    </row>
    <row r="845">
      <c r="A845" s="236"/>
      <c r="B845" s="236"/>
      <c r="C845" s="236"/>
      <c r="D845" s="238"/>
      <c r="E845" s="245"/>
      <c r="F845" s="246"/>
      <c r="G845" s="246"/>
      <c r="H845" s="236"/>
      <c r="I845" s="236"/>
      <c r="J845" s="236"/>
      <c r="K845" s="236"/>
      <c r="L845" s="236"/>
      <c r="M845" s="236"/>
      <c r="N845" s="236"/>
      <c r="O845" s="236"/>
      <c r="P845" s="236"/>
      <c r="Q845" s="236"/>
      <c r="R845" s="236"/>
      <c r="S845" s="236"/>
      <c r="T845" s="236"/>
      <c r="U845" s="236"/>
      <c r="V845" s="239"/>
      <c r="W845" s="236"/>
      <c r="X845" s="236"/>
    </row>
    <row r="846">
      <c r="A846" s="236"/>
      <c r="B846" s="236"/>
      <c r="C846" s="236"/>
      <c r="D846" s="238"/>
      <c r="E846" s="245"/>
      <c r="F846" s="246"/>
      <c r="G846" s="246"/>
      <c r="H846" s="236"/>
      <c r="I846" s="236"/>
      <c r="J846" s="236"/>
      <c r="K846" s="236"/>
      <c r="L846" s="236"/>
      <c r="M846" s="236"/>
      <c r="N846" s="236"/>
      <c r="O846" s="236"/>
      <c r="P846" s="236"/>
      <c r="Q846" s="236"/>
      <c r="R846" s="236"/>
      <c r="S846" s="236"/>
      <c r="T846" s="236"/>
      <c r="U846" s="236"/>
      <c r="V846" s="239"/>
      <c r="W846" s="236"/>
      <c r="X846" s="236"/>
    </row>
    <row r="847">
      <c r="A847" s="236"/>
      <c r="B847" s="236"/>
      <c r="C847" s="236"/>
      <c r="D847" s="238"/>
      <c r="E847" s="245"/>
      <c r="F847" s="246"/>
      <c r="G847" s="246"/>
      <c r="H847" s="236"/>
      <c r="I847" s="236"/>
      <c r="J847" s="236"/>
      <c r="K847" s="236"/>
      <c r="L847" s="236"/>
      <c r="M847" s="236"/>
      <c r="N847" s="236"/>
      <c r="O847" s="236"/>
      <c r="P847" s="236"/>
      <c r="Q847" s="236"/>
      <c r="R847" s="236"/>
      <c r="S847" s="236"/>
      <c r="T847" s="236"/>
      <c r="U847" s="236"/>
      <c r="V847" s="239"/>
      <c r="W847" s="236"/>
      <c r="X847" s="236"/>
    </row>
    <row r="848">
      <c r="A848" s="236"/>
      <c r="B848" s="236"/>
      <c r="C848" s="236"/>
      <c r="D848" s="238"/>
      <c r="E848" s="245"/>
      <c r="F848" s="246"/>
      <c r="G848" s="246"/>
      <c r="H848" s="236"/>
      <c r="I848" s="236"/>
      <c r="J848" s="236"/>
      <c r="K848" s="236"/>
      <c r="L848" s="236"/>
      <c r="M848" s="236"/>
      <c r="N848" s="236"/>
      <c r="O848" s="236"/>
      <c r="P848" s="236"/>
      <c r="Q848" s="236"/>
      <c r="R848" s="236"/>
      <c r="S848" s="236"/>
      <c r="T848" s="236"/>
      <c r="U848" s="236"/>
      <c r="V848" s="239"/>
      <c r="W848" s="236"/>
      <c r="X848" s="236"/>
    </row>
    <row r="849">
      <c r="A849" s="236"/>
      <c r="B849" s="236"/>
      <c r="C849" s="236"/>
      <c r="D849" s="238"/>
      <c r="E849" s="245"/>
      <c r="F849" s="246"/>
      <c r="G849" s="246"/>
      <c r="H849" s="236"/>
      <c r="I849" s="236"/>
      <c r="J849" s="236"/>
      <c r="K849" s="236"/>
      <c r="L849" s="236"/>
      <c r="M849" s="236"/>
      <c r="N849" s="236"/>
      <c r="O849" s="236"/>
      <c r="P849" s="236"/>
      <c r="Q849" s="236"/>
      <c r="R849" s="236"/>
      <c r="S849" s="236"/>
      <c r="T849" s="236"/>
      <c r="U849" s="236"/>
      <c r="V849" s="239"/>
      <c r="W849" s="236"/>
      <c r="X849" s="236"/>
    </row>
    <row r="850">
      <c r="A850" s="236"/>
      <c r="B850" s="236"/>
      <c r="C850" s="236"/>
      <c r="D850" s="238"/>
      <c r="E850" s="245"/>
      <c r="F850" s="246"/>
      <c r="G850" s="246"/>
      <c r="H850" s="236"/>
      <c r="I850" s="236"/>
      <c r="J850" s="236"/>
      <c r="K850" s="236"/>
      <c r="L850" s="236"/>
      <c r="M850" s="236"/>
      <c r="N850" s="236"/>
      <c r="O850" s="236"/>
      <c r="P850" s="236"/>
      <c r="Q850" s="236"/>
      <c r="R850" s="236"/>
      <c r="S850" s="236"/>
      <c r="T850" s="236"/>
      <c r="U850" s="236"/>
      <c r="V850" s="239"/>
      <c r="W850" s="236"/>
      <c r="X850" s="236"/>
    </row>
    <row r="851">
      <c r="A851" s="236"/>
      <c r="B851" s="236"/>
      <c r="C851" s="236"/>
      <c r="D851" s="238"/>
      <c r="E851" s="245"/>
      <c r="F851" s="246"/>
      <c r="G851" s="246"/>
      <c r="H851" s="236"/>
      <c r="I851" s="236"/>
      <c r="J851" s="236"/>
      <c r="K851" s="236"/>
      <c r="L851" s="236"/>
      <c r="M851" s="236"/>
      <c r="N851" s="236"/>
      <c r="O851" s="236"/>
      <c r="P851" s="236"/>
      <c r="Q851" s="236"/>
      <c r="R851" s="236"/>
      <c r="S851" s="236"/>
      <c r="T851" s="236"/>
      <c r="U851" s="236"/>
      <c r="V851" s="239"/>
      <c r="W851" s="236"/>
      <c r="X851" s="236"/>
    </row>
    <row r="852">
      <c r="A852" s="236"/>
      <c r="B852" s="236"/>
      <c r="C852" s="236"/>
      <c r="D852" s="238"/>
      <c r="E852" s="245"/>
      <c r="F852" s="246"/>
      <c r="G852" s="246"/>
      <c r="H852" s="236"/>
      <c r="I852" s="236"/>
      <c r="J852" s="236"/>
      <c r="K852" s="236"/>
      <c r="L852" s="236"/>
      <c r="M852" s="236"/>
      <c r="N852" s="236"/>
      <c r="O852" s="236"/>
      <c r="P852" s="236"/>
      <c r="Q852" s="236"/>
      <c r="R852" s="236"/>
      <c r="S852" s="236"/>
      <c r="T852" s="236"/>
      <c r="U852" s="236"/>
      <c r="V852" s="239"/>
      <c r="W852" s="236"/>
      <c r="X852" s="236"/>
    </row>
    <row r="853">
      <c r="A853" s="236"/>
      <c r="B853" s="236"/>
      <c r="C853" s="236"/>
      <c r="D853" s="238"/>
      <c r="E853" s="245"/>
      <c r="F853" s="246"/>
      <c r="G853" s="246"/>
      <c r="H853" s="236"/>
      <c r="I853" s="236"/>
      <c r="J853" s="236"/>
      <c r="K853" s="236"/>
      <c r="L853" s="236"/>
      <c r="M853" s="236"/>
      <c r="N853" s="236"/>
      <c r="O853" s="236"/>
      <c r="P853" s="236"/>
      <c r="Q853" s="236"/>
      <c r="R853" s="236"/>
      <c r="S853" s="236"/>
      <c r="T853" s="236"/>
      <c r="U853" s="236"/>
      <c r="V853" s="239"/>
      <c r="W853" s="236"/>
      <c r="X853" s="236"/>
    </row>
    <row r="854">
      <c r="A854" s="236"/>
      <c r="B854" s="236"/>
      <c r="C854" s="236"/>
      <c r="D854" s="238"/>
      <c r="E854" s="245"/>
      <c r="F854" s="246"/>
      <c r="G854" s="246"/>
      <c r="H854" s="236"/>
      <c r="I854" s="236"/>
      <c r="J854" s="236"/>
      <c r="K854" s="236"/>
      <c r="L854" s="236"/>
      <c r="M854" s="236"/>
      <c r="N854" s="236"/>
      <c r="O854" s="236"/>
      <c r="P854" s="236"/>
      <c r="Q854" s="236"/>
      <c r="R854" s="236"/>
      <c r="S854" s="236"/>
      <c r="T854" s="236"/>
      <c r="U854" s="236"/>
      <c r="V854" s="239"/>
      <c r="W854" s="236"/>
      <c r="X854" s="236"/>
    </row>
    <row r="855">
      <c r="A855" s="236"/>
      <c r="B855" s="236"/>
      <c r="C855" s="236"/>
      <c r="D855" s="238"/>
      <c r="E855" s="245"/>
      <c r="F855" s="246"/>
      <c r="G855" s="246"/>
      <c r="H855" s="236"/>
      <c r="I855" s="236"/>
      <c r="J855" s="236"/>
      <c r="K855" s="236"/>
      <c r="L855" s="236"/>
      <c r="M855" s="236"/>
      <c r="N855" s="236"/>
      <c r="O855" s="236"/>
      <c r="P855" s="236"/>
      <c r="Q855" s="236"/>
      <c r="R855" s="236"/>
      <c r="S855" s="236"/>
      <c r="T855" s="236"/>
      <c r="U855" s="236"/>
      <c r="V855" s="239"/>
      <c r="W855" s="236"/>
      <c r="X855" s="236"/>
    </row>
    <row r="856">
      <c r="A856" s="236"/>
      <c r="B856" s="236"/>
      <c r="C856" s="236"/>
      <c r="D856" s="238"/>
      <c r="E856" s="245"/>
      <c r="F856" s="246"/>
      <c r="G856" s="246"/>
      <c r="H856" s="236"/>
      <c r="I856" s="236"/>
      <c r="J856" s="236"/>
      <c r="K856" s="236"/>
      <c r="L856" s="236"/>
      <c r="M856" s="236"/>
      <c r="N856" s="236"/>
      <c r="O856" s="236"/>
      <c r="P856" s="236"/>
      <c r="Q856" s="236"/>
      <c r="R856" s="236"/>
      <c r="S856" s="236"/>
      <c r="T856" s="236"/>
      <c r="U856" s="236"/>
      <c r="V856" s="239"/>
      <c r="W856" s="236"/>
      <c r="X856" s="236"/>
    </row>
    <row r="857">
      <c r="A857" s="236"/>
      <c r="B857" s="236"/>
      <c r="C857" s="236"/>
      <c r="D857" s="238"/>
      <c r="E857" s="245"/>
      <c r="F857" s="246"/>
      <c r="G857" s="246"/>
      <c r="H857" s="236"/>
      <c r="I857" s="236"/>
      <c r="J857" s="236"/>
      <c r="K857" s="236"/>
      <c r="L857" s="236"/>
      <c r="M857" s="236"/>
      <c r="N857" s="236"/>
      <c r="O857" s="236"/>
      <c r="P857" s="236"/>
      <c r="Q857" s="236"/>
      <c r="R857" s="236"/>
      <c r="S857" s="236"/>
      <c r="T857" s="236"/>
      <c r="U857" s="236"/>
      <c r="V857" s="239"/>
      <c r="W857" s="236"/>
      <c r="X857" s="236"/>
    </row>
    <row r="858">
      <c r="A858" s="236"/>
      <c r="B858" s="236"/>
      <c r="C858" s="236"/>
      <c r="D858" s="238"/>
      <c r="E858" s="245"/>
      <c r="F858" s="246"/>
      <c r="G858" s="246"/>
      <c r="H858" s="236"/>
      <c r="I858" s="236"/>
      <c r="J858" s="236"/>
      <c r="K858" s="236"/>
      <c r="L858" s="236"/>
      <c r="M858" s="236"/>
      <c r="N858" s="236"/>
      <c r="O858" s="236"/>
      <c r="P858" s="236"/>
      <c r="Q858" s="236"/>
      <c r="R858" s="236"/>
      <c r="S858" s="236"/>
      <c r="T858" s="236"/>
      <c r="U858" s="236"/>
      <c r="V858" s="239"/>
      <c r="W858" s="236"/>
      <c r="X858" s="236"/>
    </row>
    <row r="859">
      <c r="A859" s="236"/>
      <c r="B859" s="236"/>
      <c r="C859" s="236"/>
      <c r="D859" s="238"/>
      <c r="E859" s="245"/>
      <c r="F859" s="246"/>
      <c r="G859" s="246"/>
      <c r="H859" s="236"/>
      <c r="I859" s="236"/>
      <c r="J859" s="236"/>
      <c r="K859" s="236"/>
      <c r="L859" s="236"/>
      <c r="M859" s="236"/>
      <c r="N859" s="236"/>
      <c r="O859" s="236"/>
      <c r="P859" s="236"/>
      <c r="Q859" s="236"/>
      <c r="R859" s="236"/>
      <c r="S859" s="236"/>
      <c r="T859" s="236"/>
      <c r="U859" s="236"/>
      <c r="V859" s="239"/>
      <c r="W859" s="236"/>
      <c r="X859" s="236"/>
    </row>
    <row r="860">
      <c r="A860" s="236"/>
      <c r="B860" s="236"/>
      <c r="C860" s="236"/>
      <c r="D860" s="238"/>
      <c r="E860" s="245"/>
      <c r="F860" s="246"/>
      <c r="G860" s="246"/>
      <c r="H860" s="236"/>
      <c r="I860" s="236"/>
      <c r="J860" s="236"/>
      <c r="K860" s="236"/>
      <c r="L860" s="236"/>
      <c r="M860" s="236"/>
      <c r="N860" s="236"/>
      <c r="O860" s="236"/>
      <c r="P860" s="236"/>
      <c r="Q860" s="236"/>
      <c r="R860" s="236"/>
      <c r="S860" s="236"/>
      <c r="T860" s="236"/>
      <c r="U860" s="236"/>
      <c r="V860" s="239"/>
      <c r="W860" s="236"/>
      <c r="X860" s="236"/>
    </row>
    <row r="861">
      <c r="A861" s="236"/>
      <c r="B861" s="236"/>
      <c r="C861" s="236"/>
      <c r="D861" s="238"/>
      <c r="E861" s="245"/>
      <c r="F861" s="246"/>
      <c r="G861" s="246"/>
      <c r="H861" s="236"/>
      <c r="I861" s="236"/>
      <c r="J861" s="236"/>
      <c r="K861" s="236"/>
      <c r="L861" s="236"/>
      <c r="M861" s="236"/>
      <c r="N861" s="236"/>
      <c r="O861" s="236"/>
      <c r="P861" s="236"/>
      <c r="Q861" s="236"/>
      <c r="R861" s="236"/>
      <c r="S861" s="236"/>
      <c r="T861" s="236"/>
      <c r="U861" s="236"/>
      <c r="V861" s="239"/>
      <c r="W861" s="236"/>
      <c r="X861" s="236"/>
    </row>
    <row r="862">
      <c r="A862" s="236"/>
      <c r="B862" s="236"/>
      <c r="C862" s="236"/>
      <c r="D862" s="238"/>
      <c r="E862" s="245"/>
      <c r="F862" s="246"/>
      <c r="G862" s="246"/>
      <c r="H862" s="236"/>
      <c r="I862" s="236"/>
      <c r="J862" s="236"/>
      <c r="K862" s="236"/>
      <c r="L862" s="236"/>
      <c r="M862" s="236"/>
      <c r="N862" s="236"/>
      <c r="O862" s="236"/>
      <c r="P862" s="236"/>
      <c r="Q862" s="236"/>
      <c r="R862" s="236"/>
      <c r="S862" s="236"/>
      <c r="T862" s="236"/>
      <c r="U862" s="236"/>
      <c r="V862" s="239"/>
      <c r="W862" s="236"/>
      <c r="X862" s="236"/>
    </row>
    <row r="863">
      <c r="A863" s="236"/>
      <c r="B863" s="236"/>
      <c r="C863" s="236"/>
      <c r="D863" s="238"/>
      <c r="E863" s="245"/>
      <c r="F863" s="246"/>
      <c r="G863" s="246"/>
      <c r="H863" s="236"/>
      <c r="I863" s="236"/>
      <c r="J863" s="236"/>
      <c r="K863" s="236"/>
      <c r="L863" s="236"/>
      <c r="M863" s="236"/>
      <c r="N863" s="236"/>
      <c r="O863" s="236"/>
      <c r="P863" s="236"/>
      <c r="Q863" s="236"/>
      <c r="R863" s="236"/>
      <c r="S863" s="236"/>
      <c r="T863" s="236"/>
      <c r="U863" s="236"/>
      <c r="V863" s="239"/>
      <c r="W863" s="236"/>
      <c r="X863" s="236"/>
    </row>
    <row r="864">
      <c r="A864" s="236"/>
      <c r="B864" s="236"/>
      <c r="C864" s="236"/>
      <c r="D864" s="238"/>
      <c r="E864" s="245"/>
      <c r="F864" s="246"/>
      <c r="G864" s="246"/>
      <c r="H864" s="236"/>
      <c r="I864" s="236"/>
      <c r="J864" s="236"/>
      <c r="K864" s="236"/>
      <c r="L864" s="236"/>
      <c r="M864" s="236"/>
      <c r="N864" s="236"/>
      <c r="O864" s="236"/>
      <c r="P864" s="236"/>
      <c r="Q864" s="236"/>
      <c r="R864" s="236"/>
      <c r="S864" s="236"/>
      <c r="T864" s="236"/>
      <c r="U864" s="236"/>
      <c r="V864" s="239"/>
      <c r="W864" s="236"/>
      <c r="X864" s="236"/>
    </row>
    <row r="865">
      <c r="A865" s="236"/>
      <c r="B865" s="236"/>
      <c r="C865" s="236"/>
      <c r="D865" s="238"/>
      <c r="E865" s="245"/>
      <c r="F865" s="246"/>
      <c r="G865" s="246"/>
      <c r="H865" s="236"/>
      <c r="I865" s="236"/>
      <c r="J865" s="236"/>
      <c r="K865" s="236"/>
      <c r="L865" s="236"/>
      <c r="M865" s="236"/>
      <c r="N865" s="236"/>
      <c r="O865" s="236"/>
      <c r="P865" s="236"/>
      <c r="Q865" s="236"/>
      <c r="R865" s="236"/>
      <c r="S865" s="236"/>
      <c r="T865" s="236"/>
      <c r="U865" s="236"/>
      <c r="V865" s="239"/>
      <c r="W865" s="236"/>
      <c r="X865" s="236"/>
    </row>
    <row r="866">
      <c r="A866" s="236"/>
      <c r="B866" s="236"/>
      <c r="C866" s="236"/>
      <c r="D866" s="238"/>
      <c r="E866" s="245"/>
      <c r="F866" s="246"/>
      <c r="G866" s="246"/>
      <c r="H866" s="236"/>
      <c r="I866" s="236"/>
      <c r="J866" s="236"/>
      <c r="K866" s="236"/>
      <c r="L866" s="236"/>
      <c r="M866" s="236"/>
      <c r="N866" s="236"/>
      <c r="O866" s="236"/>
      <c r="P866" s="236"/>
      <c r="Q866" s="236"/>
      <c r="R866" s="236"/>
      <c r="S866" s="236"/>
      <c r="T866" s="236"/>
      <c r="U866" s="236"/>
      <c r="V866" s="239"/>
      <c r="W866" s="236"/>
      <c r="X866" s="236"/>
    </row>
    <row r="867">
      <c r="A867" s="236"/>
      <c r="B867" s="236"/>
      <c r="C867" s="236"/>
      <c r="D867" s="238"/>
      <c r="E867" s="245"/>
      <c r="F867" s="246"/>
      <c r="G867" s="246"/>
      <c r="H867" s="236"/>
      <c r="I867" s="236"/>
      <c r="J867" s="236"/>
      <c r="K867" s="236"/>
      <c r="L867" s="236"/>
      <c r="M867" s="236"/>
      <c r="N867" s="236"/>
      <c r="O867" s="236"/>
      <c r="P867" s="236"/>
      <c r="Q867" s="236"/>
      <c r="R867" s="236"/>
      <c r="S867" s="236"/>
      <c r="T867" s="236"/>
      <c r="U867" s="236"/>
      <c r="V867" s="239"/>
      <c r="W867" s="236"/>
      <c r="X867" s="236"/>
    </row>
    <row r="868">
      <c r="A868" s="236"/>
      <c r="B868" s="236"/>
      <c r="C868" s="236"/>
      <c r="D868" s="238"/>
      <c r="E868" s="245"/>
      <c r="F868" s="246"/>
      <c r="G868" s="246"/>
      <c r="H868" s="236"/>
      <c r="I868" s="236"/>
      <c r="J868" s="236"/>
      <c r="K868" s="236"/>
      <c r="L868" s="236"/>
      <c r="M868" s="236"/>
      <c r="N868" s="236"/>
      <c r="O868" s="236"/>
      <c r="P868" s="236"/>
      <c r="Q868" s="236"/>
      <c r="R868" s="236"/>
      <c r="S868" s="236"/>
      <c r="T868" s="236"/>
      <c r="U868" s="236"/>
      <c r="V868" s="239"/>
      <c r="W868" s="236"/>
      <c r="X868" s="236"/>
    </row>
    <row r="869">
      <c r="A869" s="236"/>
      <c r="B869" s="236"/>
      <c r="C869" s="236"/>
      <c r="D869" s="238"/>
      <c r="E869" s="245"/>
      <c r="F869" s="246"/>
      <c r="G869" s="246"/>
      <c r="H869" s="236"/>
      <c r="I869" s="236"/>
      <c r="J869" s="236"/>
      <c r="K869" s="236"/>
      <c r="L869" s="236"/>
      <c r="M869" s="236"/>
      <c r="N869" s="236"/>
      <c r="O869" s="236"/>
      <c r="P869" s="236"/>
      <c r="Q869" s="236"/>
      <c r="R869" s="236"/>
      <c r="S869" s="236"/>
      <c r="T869" s="236"/>
      <c r="U869" s="236"/>
      <c r="V869" s="239"/>
      <c r="W869" s="236"/>
      <c r="X869" s="236"/>
    </row>
    <row r="870">
      <c r="A870" s="236"/>
      <c r="B870" s="236"/>
      <c r="C870" s="236"/>
      <c r="D870" s="238"/>
      <c r="E870" s="245"/>
      <c r="F870" s="246"/>
      <c r="G870" s="246"/>
      <c r="H870" s="236"/>
      <c r="I870" s="236"/>
      <c r="J870" s="236"/>
      <c r="K870" s="236"/>
      <c r="L870" s="236"/>
      <c r="M870" s="236"/>
      <c r="N870" s="236"/>
      <c r="O870" s="236"/>
      <c r="P870" s="236"/>
      <c r="Q870" s="236"/>
      <c r="R870" s="236"/>
      <c r="S870" s="236"/>
      <c r="T870" s="236"/>
      <c r="U870" s="236"/>
      <c r="V870" s="239"/>
      <c r="W870" s="236"/>
      <c r="X870" s="236"/>
    </row>
    <row r="871">
      <c r="A871" s="236"/>
      <c r="B871" s="236"/>
      <c r="C871" s="236"/>
      <c r="D871" s="238"/>
      <c r="E871" s="245"/>
      <c r="F871" s="246"/>
      <c r="G871" s="246"/>
      <c r="H871" s="236"/>
      <c r="I871" s="236"/>
      <c r="J871" s="236"/>
      <c r="K871" s="236"/>
      <c r="L871" s="236"/>
      <c r="M871" s="236"/>
      <c r="N871" s="236"/>
      <c r="O871" s="236"/>
      <c r="P871" s="236"/>
      <c r="Q871" s="236"/>
      <c r="R871" s="236"/>
      <c r="S871" s="236"/>
      <c r="T871" s="236"/>
      <c r="U871" s="236"/>
      <c r="V871" s="239"/>
      <c r="W871" s="236"/>
      <c r="X871" s="236"/>
    </row>
    <row r="872">
      <c r="A872" s="236"/>
      <c r="B872" s="236"/>
      <c r="C872" s="236"/>
      <c r="D872" s="238"/>
      <c r="E872" s="245"/>
      <c r="F872" s="246"/>
      <c r="G872" s="246"/>
      <c r="H872" s="236"/>
      <c r="I872" s="236"/>
      <c r="J872" s="236"/>
      <c r="K872" s="236"/>
      <c r="L872" s="236"/>
      <c r="M872" s="236"/>
      <c r="N872" s="236"/>
      <c r="O872" s="236"/>
      <c r="P872" s="236"/>
      <c r="Q872" s="236"/>
      <c r="R872" s="236"/>
      <c r="S872" s="236"/>
      <c r="T872" s="236"/>
      <c r="U872" s="236"/>
      <c r="V872" s="239"/>
      <c r="W872" s="236"/>
      <c r="X872" s="236"/>
    </row>
    <row r="873">
      <c r="A873" s="236"/>
      <c r="B873" s="236"/>
      <c r="C873" s="236"/>
      <c r="D873" s="238"/>
      <c r="E873" s="245"/>
      <c r="F873" s="246"/>
      <c r="G873" s="246"/>
      <c r="H873" s="236"/>
      <c r="I873" s="236"/>
      <c r="J873" s="236"/>
      <c r="K873" s="236"/>
      <c r="L873" s="236"/>
      <c r="M873" s="236"/>
      <c r="N873" s="236"/>
      <c r="O873" s="236"/>
      <c r="P873" s="236"/>
      <c r="Q873" s="236"/>
      <c r="R873" s="236"/>
      <c r="S873" s="236"/>
      <c r="T873" s="236"/>
      <c r="U873" s="236"/>
      <c r="V873" s="239"/>
      <c r="W873" s="236"/>
      <c r="X873" s="236"/>
    </row>
    <row r="874">
      <c r="A874" s="236"/>
      <c r="B874" s="236"/>
      <c r="C874" s="236"/>
      <c r="D874" s="238"/>
      <c r="E874" s="245"/>
      <c r="F874" s="246"/>
      <c r="G874" s="246"/>
      <c r="H874" s="236"/>
      <c r="I874" s="236"/>
      <c r="J874" s="236"/>
      <c r="K874" s="236"/>
      <c r="L874" s="236"/>
      <c r="M874" s="236"/>
      <c r="N874" s="236"/>
      <c r="O874" s="236"/>
      <c r="P874" s="236"/>
      <c r="Q874" s="236"/>
      <c r="R874" s="236"/>
      <c r="S874" s="236"/>
      <c r="T874" s="236"/>
      <c r="U874" s="236"/>
      <c r="V874" s="239"/>
      <c r="W874" s="236"/>
      <c r="X874" s="236"/>
    </row>
    <row r="875">
      <c r="A875" s="236"/>
      <c r="B875" s="236"/>
      <c r="C875" s="236"/>
      <c r="D875" s="238"/>
      <c r="E875" s="245"/>
      <c r="F875" s="246"/>
      <c r="G875" s="246"/>
      <c r="H875" s="236"/>
      <c r="I875" s="236"/>
      <c r="J875" s="236"/>
      <c r="K875" s="236"/>
      <c r="L875" s="236"/>
      <c r="M875" s="236"/>
      <c r="N875" s="236"/>
      <c r="O875" s="236"/>
      <c r="P875" s="236"/>
      <c r="Q875" s="236"/>
      <c r="R875" s="236"/>
      <c r="S875" s="236"/>
      <c r="T875" s="236"/>
      <c r="U875" s="236"/>
      <c r="V875" s="239"/>
      <c r="W875" s="236"/>
      <c r="X875" s="236"/>
    </row>
    <row r="876">
      <c r="A876" s="236"/>
      <c r="B876" s="236"/>
      <c r="C876" s="236"/>
      <c r="D876" s="238"/>
      <c r="E876" s="245"/>
      <c r="F876" s="246"/>
      <c r="G876" s="246"/>
      <c r="H876" s="236"/>
      <c r="I876" s="236"/>
      <c r="J876" s="236"/>
      <c r="K876" s="236"/>
      <c r="L876" s="236"/>
      <c r="M876" s="236"/>
      <c r="N876" s="236"/>
      <c r="O876" s="236"/>
      <c r="P876" s="236"/>
      <c r="Q876" s="236"/>
      <c r="R876" s="236"/>
      <c r="S876" s="236"/>
      <c r="T876" s="236"/>
      <c r="U876" s="236"/>
      <c r="V876" s="239"/>
      <c r="W876" s="236"/>
      <c r="X876" s="236"/>
    </row>
    <row r="877">
      <c r="A877" s="236"/>
      <c r="B877" s="236"/>
      <c r="C877" s="236"/>
      <c r="D877" s="238"/>
      <c r="E877" s="245"/>
      <c r="F877" s="246"/>
      <c r="G877" s="246"/>
      <c r="H877" s="236"/>
      <c r="I877" s="236"/>
      <c r="J877" s="236"/>
      <c r="K877" s="236"/>
      <c r="L877" s="236"/>
      <c r="M877" s="236"/>
      <c r="N877" s="236"/>
      <c r="O877" s="236"/>
      <c r="P877" s="236"/>
      <c r="Q877" s="236"/>
      <c r="R877" s="236"/>
      <c r="S877" s="236"/>
      <c r="T877" s="236"/>
      <c r="U877" s="236"/>
      <c r="V877" s="239"/>
      <c r="W877" s="236"/>
      <c r="X877" s="236"/>
    </row>
    <row r="878">
      <c r="A878" s="236"/>
      <c r="B878" s="236"/>
      <c r="C878" s="236"/>
      <c r="D878" s="238"/>
      <c r="E878" s="245"/>
      <c r="F878" s="246"/>
      <c r="G878" s="246"/>
      <c r="H878" s="236"/>
      <c r="I878" s="236"/>
      <c r="J878" s="236"/>
      <c r="K878" s="236"/>
      <c r="L878" s="236"/>
      <c r="M878" s="236"/>
      <c r="N878" s="236"/>
      <c r="O878" s="236"/>
      <c r="P878" s="236"/>
      <c r="Q878" s="236"/>
      <c r="R878" s="236"/>
      <c r="S878" s="236"/>
      <c r="T878" s="236"/>
      <c r="U878" s="236"/>
      <c r="V878" s="239"/>
      <c r="W878" s="236"/>
      <c r="X878" s="236"/>
    </row>
    <row r="879">
      <c r="A879" s="236"/>
      <c r="B879" s="236"/>
      <c r="C879" s="236"/>
      <c r="D879" s="238"/>
      <c r="E879" s="245"/>
      <c r="F879" s="246"/>
      <c r="G879" s="246"/>
      <c r="H879" s="236"/>
      <c r="I879" s="236"/>
      <c r="J879" s="236"/>
      <c r="K879" s="236"/>
      <c r="L879" s="236"/>
      <c r="M879" s="236"/>
      <c r="N879" s="236"/>
      <c r="O879" s="236"/>
      <c r="P879" s="236"/>
      <c r="Q879" s="236"/>
      <c r="R879" s="236"/>
      <c r="S879" s="236"/>
      <c r="T879" s="236"/>
      <c r="U879" s="236"/>
      <c r="V879" s="239"/>
      <c r="W879" s="236"/>
      <c r="X879" s="236"/>
    </row>
    <row r="880">
      <c r="A880" s="236"/>
      <c r="B880" s="236"/>
      <c r="C880" s="236"/>
      <c r="D880" s="238"/>
      <c r="E880" s="245"/>
      <c r="F880" s="246"/>
      <c r="G880" s="246"/>
      <c r="H880" s="236"/>
      <c r="I880" s="236"/>
      <c r="J880" s="236"/>
      <c r="K880" s="236"/>
      <c r="L880" s="236"/>
      <c r="M880" s="236"/>
      <c r="N880" s="236"/>
      <c r="O880" s="236"/>
      <c r="P880" s="236"/>
      <c r="Q880" s="236"/>
      <c r="R880" s="236"/>
      <c r="S880" s="236"/>
      <c r="T880" s="236"/>
      <c r="U880" s="236"/>
      <c r="V880" s="239"/>
      <c r="W880" s="236"/>
      <c r="X880" s="236"/>
    </row>
    <row r="881">
      <c r="A881" s="236"/>
      <c r="B881" s="236"/>
      <c r="C881" s="236"/>
      <c r="D881" s="238"/>
      <c r="E881" s="245"/>
      <c r="F881" s="246"/>
      <c r="G881" s="246"/>
      <c r="H881" s="236"/>
      <c r="I881" s="236"/>
      <c r="J881" s="236"/>
      <c r="K881" s="236"/>
      <c r="L881" s="236"/>
      <c r="M881" s="236"/>
      <c r="N881" s="236"/>
      <c r="O881" s="236"/>
      <c r="P881" s="236"/>
      <c r="Q881" s="236"/>
      <c r="R881" s="236"/>
      <c r="S881" s="236"/>
      <c r="T881" s="236"/>
      <c r="U881" s="236"/>
      <c r="V881" s="239"/>
      <c r="W881" s="236"/>
      <c r="X881" s="236"/>
    </row>
    <row r="882">
      <c r="A882" s="236"/>
      <c r="B882" s="236"/>
      <c r="C882" s="236"/>
      <c r="D882" s="238"/>
      <c r="E882" s="245"/>
      <c r="F882" s="246"/>
      <c r="G882" s="246"/>
      <c r="H882" s="236"/>
      <c r="I882" s="236"/>
      <c r="J882" s="236"/>
      <c r="K882" s="236"/>
      <c r="L882" s="236"/>
      <c r="M882" s="236"/>
      <c r="N882" s="236"/>
      <c r="O882" s="236"/>
      <c r="P882" s="236"/>
      <c r="Q882" s="236"/>
      <c r="R882" s="236"/>
      <c r="S882" s="236"/>
      <c r="T882" s="236"/>
      <c r="U882" s="236"/>
      <c r="V882" s="239"/>
      <c r="W882" s="236"/>
      <c r="X882" s="236"/>
    </row>
    <row r="883">
      <c r="A883" s="236"/>
      <c r="B883" s="236"/>
      <c r="C883" s="236"/>
      <c r="D883" s="238"/>
      <c r="E883" s="245"/>
      <c r="F883" s="246"/>
      <c r="G883" s="246"/>
      <c r="H883" s="236"/>
      <c r="I883" s="236"/>
      <c r="J883" s="236"/>
      <c r="K883" s="236"/>
      <c r="L883" s="236"/>
      <c r="M883" s="236"/>
      <c r="N883" s="236"/>
      <c r="O883" s="236"/>
      <c r="P883" s="236"/>
      <c r="Q883" s="236"/>
      <c r="R883" s="236"/>
      <c r="S883" s="236"/>
      <c r="T883" s="236"/>
      <c r="U883" s="236"/>
      <c r="V883" s="239"/>
      <c r="W883" s="236"/>
      <c r="X883" s="236"/>
    </row>
    <row r="884">
      <c r="A884" s="236"/>
      <c r="B884" s="236"/>
      <c r="C884" s="236"/>
      <c r="D884" s="238"/>
      <c r="E884" s="245"/>
      <c r="F884" s="246"/>
      <c r="G884" s="246"/>
      <c r="H884" s="236"/>
      <c r="I884" s="236"/>
      <c r="J884" s="236"/>
      <c r="K884" s="236"/>
      <c r="L884" s="236"/>
      <c r="M884" s="236"/>
      <c r="N884" s="236"/>
      <c r="O884" s="236"/>
      <c r="P884" s="236"/>
      <c r="Q884" s="236"/>
      <c r="R884" s="236"/>
      <c r="S884" s="236"/>
      <c r="T884" s="236"/>
      <c r="U884" s="236"/>
      <c r="V884" s="239"/>
      <c r="W884" s="236"/>
      <c r="X884" s="236"/>
    </row>
    <row r="885">
      <c r="A885" s="236"/>
      <c r="B885" s="236"/>
      <c r="C885" s="236"/>
      <c r="D885" s="238"/>
      <c r="E885" s="245"/>
      <c r="F885" s="246"/>
      <c r="G885" s="246"/>
      <c r="H885" s="236"/>
      <c r="I885" s="236"/>
      <c r="J885" s="236"/>
      <c r="K885" s="236"/>
      <c r="L885" s="236"/>
      <c r="M885" s="236"/>
      <c r="N885" s="236"/>
      <c r="O885" s="236"/>
      <c r="P885" s="236"/>
      <c r="Q885" s="236"/>
      <c r="R885" s="236"/>
      <c r="S885" s="236"/>
      <c r="T885" s="236"/>
      <c r="U885" s="236"/>
      <c r="V885" s="239"/>
      <c r="W885" s="236"/>
      <c r="X885" s="236"/>
    </row>
    <row r="886">
      <c r="A886" s="236"/>
      <c r="B886" s="236"/>
      <c r="C886" s="236"/>
      <c r="D886" s="238"/>
      <c r="E886" s="245"/>
      <c r="F886" s="246"/>
      <c r="G886" s="246"/>
      <c r="H886" s="236"/>
      <c r="I886" s="236"/>
      <c r="J886" s="236"/>
      <c r="K886" s="236"/>
      <c r="L886" s="236"/>
      <c r="M886" s="236"/>
      <c r="N886" s="236"/>
      <c r="O886" s="236"/>
      <c r="P886" s="236"/>
      <c r="Q886" s="236"/>
      <c r="R886" s="236"/>
      <c r="S886" s="236"/>
      <c r="T886" s="236"/>
      <c r="U886" s="236"/>
      <c r="V886" s="239"/>
      <c r="W886" s="236"/>
      <c r="X886" s="236"/>
    </row>
    <row r="887">
      <c r="A887" s="236"/>
      <c r="B887" s="236"/>
      <c r="C887" s="236"/>
      <c r="D887" s="238"/>
      <c r="E887" s="245"/>
      <c r="F887" s="246"/>
      <c r="G887" s="246"/>
      <c r="H887" s="236"/>
      <c r="I887" s="236"/>
      <c r="J887" s="236"/>
      <c r="K887" s="236"/>
      <c r="L887" s="236"/>
      <c r="M887" s="236"/>
      <c r="N887" s="236"/>
      <c r="O887" s="236"/>
      <c r="P887" s="236"/>
      <c r="Q887" s="236"/>
      <c r="R887" s="236"/>
      <c r="S887" s="236"/>
      <c r="T887" s="236"/>
      <c r="U887" s="236"/>
      <c r="V887" s="239"/>
      <c r="W887" s="236"/>
      <c r="X887" s="236"/>
    </row>
    <row r="888">
      <c r="A888" s="236"/>
      <c r="B888" s="236"/>
      <c r="C888" s="236"/>
      <c r="D888" s="238"/>
      <c r="E888" s="245"/>
      <c r="F888" s="246"/>
      <c r="G888" s="246"/>
      <c r="H888" s="236"/>
      <c r="I888" s="236"/>
      <c r="J888" s="236"/>
      <c r="K888" s="236"/>
      <c r="L888" s="236"/>
      <c r="M888" s="236"/>
      <c r="N888" s="236"/>
      <c r="O888" s="236"/>
      <c r="P888" s="236"/>
      <c r="Q888" s="236"/>
      <c r="R888" s="236"/>
      <c r="S888" s="236"/>
      <c r="T888" s="236"/>
      <c r="U888" s="236"/>
      <c r="V888" s="239"/>
      <c r="W888" s="236"/>
      <c r="X888" s="236"/>
    </row>
    <row r="889">
      <c r="A889" s="236"/>
      <c r="B889" s="236"/>
      <c r="C889" s="236"/>
      <c r="D889" s="238"/>
      <c r="E889" s="245"/>
      <c r="F889" s="246"/>
      <c r="G889" s="246"/>
      <c r="H889" s="236"/>
      <c r="I889" s="236"/>
      <c r="J889" s="236"/>
      <c r="K889" s="236"/>
      <c r="L889" s="236"/>
      <c r="M889" s="236"/>
      <c r="N889" s="236"/>
      <c r="O889" s="236"/>
      <c r="P889" s="236"/>
      <c r="Q889" s="236"/>
      <c r="R889" s="236"/>
      <c r="S889" s="236"/>
      <c r="T889" s="236"/>
      <c r="U889" s="236"/>
      <c r="V889" s="239"/>
      <c r="W889" s="236"/>
      <c r="X889" s="236"/>
    </row>
    <row r="890">
      <c r="A890" s="236"/>
      <c r="B890" s="236"/>
      <c r="C890" s="236"/>
      <c r="D890" s="238"/>
      <c r="E890" s="245"/>
      <c r="F890" s="246"/>
      <c r="G890" s="246"/>
      <c r="H890" s="236"/>
      <c r="I890" s="236"/>
      <c r="J890" s="236"/>
      <c r="K890" s="236"/>
      <c r="L890" s="236"/>
      <c r="M890" s="236"/>
      <c r="N890" s="236"/>
      <c r="O890" s="236"/>
      <c r="P890" s="236"/>
      <c r="Q890" s="236"/>
      <c r="R890" s="236"/>
      <c r="S890" s="236"/>
      <c r="T890" s="236"/>
      <c r="U890" s="236"/>
      <c r="V890" s="239"/>
      <c r="W890" s="236"/>
      <c r="X890" s="236"/>
    </row>
    <row r="891">
      <c r="A891" s="236"/>
      <c r="B891" s="236"/>
      <c r="C891" s="236"/>
      <c r="D891" s="238"/>
      <c r="E891" s="245"/>
      <c r="F891" s="246"/>
      <c r="G891" s="246"/>
      <c r="H891" s="236"/>
      <c r="I891" s="236"/>
      <c r="J891" s="236"/>
      <c r="K891" s="236"/>
      <c r="L891" s="236"/>
      <c r="M891" s="236"/>
      <c r="N891" s="236"/>
      <c r="O891" s="236"/>
      <c r="P891" s="236"/>
      <c r="Q891" s="236"/>
      <c r="R891" s="236"/>
      <c r="S891" s="236"/>
      <c r="T891" s="236"/>
      <c r="U891" s="236"/>
      <c r="V891" s="239"/>
      <c r="W891" s="236"/>
      <c r="X891" s="236"/>
    </row>
    <row r="892">
      <c r="A892" s="236"/>
      <c r="B892" s="236"/>
      <c r="C892" s="236"/>
      <c r="D892" s="238"/>
      <c r="E892" s="245"/>
      <c r="F892" s="246"/>
      <c r="G892" s="246"/>
      <c r="H892" s="236"/>
      <c r="I892" s="236"/>
      <c r="J892" s="236"/>
      <c r="K892" s="236"/>
      <c r="L892" s="236"/>
      <c r="M892" s="236"/>
      <c r="N892" s="236"/>
      <c r="O892" s="236"/>
      <c r="P892" s="236"/>
      <c r="Q892" s="236"/>
      <c r="R892" s="236"/>
      <c r="S892" s="236"/>
      <c r="T892" s="236"/>
      <c r="U892" s="236"/>
      <c r="V892" s="239"/>
      <c r="W892" s="236"/>
      <c r="X892" s="236"/>
    </row>
    <row r="893">
      <c r="A893" s="236"/>
      <c r="B893" s="236"/>
      <c r="C893" s="236"/>
      <c r="D893" s="238"/>
      <c r="E893" s="245"/>
      <c r="F893" s="246"/>
      <c r="G893" s="246"/>
      <c r="H893" s="236"/>
      <c r="I893" s="236"/>
      <c r="J893" s="236"/>
      <c r="K893" s="236"/>
      <c r="L893" s="236"/>
      <c r="M893" s="236"/>
      <c r="N893" s="236"/>
      <c r="O893" s="236"/>
      <c r="P893" s="236"/>
      <c r="Q893" s="236"/>
      <c r="R893" s="236"/>
      <c r="S893" s="236"/>
      <c r="T893" s="236"/>
      <c r="U893" s="236"/>
      <c r="V893" s="239"/>
      <c r="W893" s="236"/>
      <c r="X893" s="236"/>
    </row>
    <row r="894">
      <c r="A894" s="236"/>
      <c r="B894" s="236"/>
      <c r="C894" s="236"/>
      <c r="D894" s="238"/>
      <c r="E894" s="245"/>
      <c r="F894" s="246"/>
      <c r="G894" s="246"/>
      <c r="H894" s="236"/>
      <c r="I894" s="236"/>
      <c r="J894" s="236"/>
      <c r="K894" s="236"/>
      <c r="L894" s="236"/>
      <c r="M894" s="236"/>
      <c r="N894" s="236"/>
      <c r="O894" s="236"/>
      <c r="P894" s="236"/>
      <c r="Q894" s="236"/>
      <c r="R894" s="236"/>
      <c r="S894" s="236"/>
      <c r="T894" s="236"/>
      <c r="U894" s="236"/>
      <c r="V894" s="239"/>
      <c r="W894" s="236"/>
      <c r="X894" s="236"/>
    </row>
    <row r="895">
      <c r="A895" s="236"/>
      <c r="B895" s="236"/>
      <c r="C895" s="236"/>
      <c r="D895" s="238"/>
      <c r="E895" s="245"/>
      <c r="F895" s="246"/>
      <c r="G895" s="246"/>
      <c r="H895" s="236"/>
      <c r="I895" s="236"/>
      <c r="J895" s="236"/>
      <c r="K895" s="236"/>
      <c r="L895" s="236"/>
      <c r="M895" s="236"/>
      <c r="N895" s="236"/>
      <c r="O895" s="236"/>
      <c r="P895" s="236"/>
      <c r="Q895" s="236"/>
      <c r="R895" s="236"/>
      <c r="S895" s="236"/>
      <c r="T895" s="236"/>
      <c r="U895" s="236"/>
      <c r="V895" s="239"/>
      <c r="W895" s="236"/>
      <c r="X895" s="236"/>
    </row>
    <row r="896">
      <c r="A896" s="236"/>
      <c r="B896" s="236"/>
      <c r="C896" s="236"/>
      <c r="D896" s="238"/>
      <c r="E896" s="245"/>
      <c r="F896" s="246"/>
      <c r="G896" s="246"/>
      <c r="H896" s="236"/>
      <c r="I896" s="236"/>
      <c r="J896" s="236"/>
      <c r="K896" s="236"/>
      <c r="L896" s="236"/>
      <c r="M896" s="236"/>
      <c r="N896" s="236"/>
      <c r="O896" s="236"/>
      <c r="P896" s="236"/>
      <c r="Q896" s="236"/>
      <c r="R896" s="236"/>
      <c r="S896" s="236"/>
      <c r="T896" s="236"/>
      <c r="U896" s="236"/>
      <c r="V896" s="239"/>
      <c r="W896" s="236"/>
      <c r="X896" s="236"/>
    </row>
    <row r="897">
      <c r="A897" s="236"/>
      <c r="B897" s="236"/>
      <c r="C897" s="236"/>
      <c r="D897" s="238"/>
      <c r="E897" s="245"/>
      <c r="F897" s="246"/>
      <c r="G897" s="246"/>
      <c r="H897" s="236"/>
      <c r="I897" s="236"/>
      <c r="J897" s="236"/>
      <c r="K897" s="236"/>
      <c r="L897" s="236"/>
      <c r="M897" s="236"/>
      <c r="N897" s="236"/>
      <c r="O897" s="236"/>
      <c r="P897" s="236"/>
      <c r="Q897" s="236"/>
      <c r="R897" s="236"/>
      <c r="S897" s="236"/>
      <c r="T897" s="236"/>
      <c r="U897" s="236"/>
      <c r="V897" s="239"/>
      <c r="W897" s="236"/>
      <c r="X897" s="236"/>
    </row>
    <row r="898">
      <c r="A898" s="236"/>
      <c r="B898" s="236"/>
      <c r="C898" s="236"/>
      <c r="D898" s="238"/>
      <c r="E898" s="245"/>
      <c r="F898" s="246"/>
      <c r="G898" s="246"/>
      <c r="H898" s="236"/>
      <c r="I898" s="236"/>
      <c r="J898" s="236"/>
      <c r="K898" s="236"/>
      <c r="L898" s="236"/>
      <c r="M898" s="236"/>
      <c r="N898" s="236"/>
      <c r="O898" s="236"/>
      <c r="P898" s="236"/>
      <c r="Q898" s="236"/>
      <c r="R898" s="236"/>
      <c r="S898" s="236"/>
      <c r="T898" s="236"/>
      <c r="U898" s="236"/>
      <c r="V898" s="239"/>
      <c r="W898" s="236"/>
      <c r="X898" s="236"/>
    </row>
    <row r="899">
      <c r="A899" s="236"/>
      <c r="B899" s="236"/>
      <c r="C899" s="236"/>
      <c r="D899" s="238"/>
      <c r="E899" s="245"/>
      <c r="F899" s="246"/>
      <c r="G899" s="246"/>
      <c r="H899" s="236"/>
      <c r="I899" s="236"/>
      <c r="J899" s="236"/>
      <c r="K899" s="236"/>
      <c r="L899" s="236"/>
      <c r="M899" s="236"/>
      <c r="N899" s="236"/>
      <c r="O899" s="236"/>
      <c r="P899" s="236"/>
      <c r="Q899" s="236"/>
      <c r="R899" s="236"/>
      <c r="S899" s="236"/>
      <c r="T899" s="236"/>
      <c r="U899" s="236"/>
      <c r="V899" s="239"/>
      <c r="W899" s="236"/>
      <c r="X899" s="236"/>
    </row>
    <row r="900">
      <c r="A900" s="236"/>
      <c r="B900" s="236"/>
      <c r="C900" s="236"/>
      <c r="D900" s="238"/>
      <c r="E900" s="245"/>
      <c r="F900" s="246"/>
      <c r="G900" s="246"/>
      <c r="H900" s="236"/>
      <c r="I900" s="236"/>
      <c r="J900" s="236"/>
      <c r="K900" s="236"/>
      <c r="L900" s="236"/>
      <c r="M900" s="236"/>
      <c r="N900" s="236"/>
      <c r="O900" s="236"/>
      <c r="P900" s="236"/>
      <c r="Q900" s="236"/>
      <c r="R900" s="236"/>
      <c r="S900" s="236"/>
      <c r="T900" s="236"/>
      <c r="U900" s="236"/>
      <c r="V900" s="239"/>
      <c r="W900" s="236"/>
      <c r="X900" s="236"/>
    </row>
    <row r="901">
      <c r="A901" s="236"/>
      <c r="B901" s="236"/>
      <c r="C901" s="236"/>
      <c r="D901" s="238"/>
      <c r="E901" s="245"/>
      <c r="F901" s="246"/>
      <c r="G901" s="246"/>
      <c r="H901" s="236"/>
      <c r="I901" s="236"/>
      <c r="J901" s="236"/>
      <c r="K901" s="236"/>
      <c r="L901" s="236"/>
      <c r="M901" s="236"/>
      <c r="N901" s="236"/>
      <c r="O901" s="236"/>
      <c r="P901" s="236"/>
      <c r="Q901" s="236"/>
      <c r="R901" s="236"/>
      <c r="S901" s="236"/>
      <c r="T901" s="236"/>
      <c r="U901" s="236"/>
      <c r="V901" s="239"/>
      <c r="W901" s="236"/>
      <c r="X901" s="236"/>
    </row>
    <row r="902">
      <c r="A902" s="236"/>
      <c r="B902" s="236"/>
      <c r="C902" s="236"/>
      <c r="D902" s="238"/>
      <c r="E902" s="245"/>
      <c r="F902" s="246"/>
      <c r="G902" s="246"/>
      <c r="H902" s="236"/>
      <c r="I902" s="236"/>
      <c r="J902" s="236"/>
      <c r="K902" s="236"/>
      <c r="L902" s="236"/>
      <c r="M902" s="236"/>
      <c r="N902" s="236"/>
      <c r="O902" s="236"/>
      <c r="P902" s="236"/>
      <c r="Q902" s="236"/>
      <c r="R902" s="236"/>
      <c r="S902" s="236"/>
      <c r="T902" s="236"/>
      <c r="U902" s="236"/>
      <c r="V902" s="239"/>
      <c r="W902" s="236"/>
      <c r="X902" s="236"/>
    </row>
    <row r="903">
      <c r="A903" s="236"/>
      <c r="B903" s="236"/>
      <c r="C903" s="236"/>
      <c r="D903" s="238"/>
      <c r="E903" s="245"/>
      <c r="F903" s="246"/>
      <c r="G903" s="246"/>
      <c r="H903" s="236"/>
      <c r="I903" s="236"/>
      <c r="J903" s="236"/>
      <c r="K903" s="236"/>
      <c r="L903" s="236"/>
      <c r="M903" s="236"/>
      <c r="N903" s="236"/>
      <c r="O903" s="236"/>
      <c r="P903" s="236"/>
      <c r="Q903" s="236"/>
      <c r="R903" s="236"/>
      <c r="S903" s="236"/>
      <c r="T903" s="236"/>
      <c r="U903" s="236"/>
      <c r="V903" s="239"/>
      <c r="W903" s="236"/>
      <c r="X903" s="236"/>
    </row>
    <row r="904">
      <c r="A904" s="236"/>
      <c r="B904" s="236"/>
      <c r="C904" s="236"/>
      <c r="D904" s="238"/>
      <c r="E904" s="245"/>
      <c r="F904" s="246"/>
      <c r="G904" s="246"/>
      <c r="H904" s="236"/>
      <c r="I904" s="236"/>
      <c r="J904" s="236"/>
      <c r="K904" s="236"/>
      <c r="L904" s="236"/>
      <c r="M904" s="236"/>
      <c r="N904" s="236"/>
      <c r="O904" s="236"/>
      <c r="P904" s="236"/>
      <c r="Q904" s="236"/>
      <c r="R904" s="236"/>
      <c r="S904" s="236"/>
      <c r="T904" s="236"/>
      <c r="U904" s="236"/>
      <c r="V904" s="239"/>
      <c r="W904" s="236"/>
      <c r="X904" s="236"/>
    </row>
    <row r="905">
      <c r="A905" s="236"/>
      <c r="B905" s="236"/>
      <c r="C905" s="236"/>
      <c r="D905" s="238"/>
      <c r="E905" s="245"/>
      <c r="F905" s="246"/>
      <c r="G905" s="246"/>
      <c r="H905" s="236"/>
      <c r="I905" s="236"/>
      <c r="J905" s="236"/>
      <c r="K905" s="236"/>
      <c r="L905" s="236"/>
      <c r="M905" s="236"/>
      <c r="N905" s="236"/>
      <c r="O905" s="236"/>
      <c r="P905" s="236"/>
      <c r="Q905" s="236"/>
      <c r="R905" s="236"/>
      <c r="S905" s="236"/>
      <c r="T905" s="236"/>
      <c r="U905" s="236"/>
      <c r="V905" s="239"/>
      <c r="W905" s="236"/>
      <c r="X905" s="236"/>
    </row>
    <row r="906">
      <c r="A906" s="236"/>
      <c r="B906" s="236"/>
      <c r="C906" s="236"/>
      <c r="D906" s="238"/>
      <c r="E906" s="245"/>
      <c r="F906" s="246"/>
      <c r="G906" s="246"/>
      <c r="H906" s="236"/>
      <c r="I906" s="236"/>
      <c r="J906" s="236"/>
      <c r="K906" s="236"/>
      <c r="L906" s="236"/>
      <c r="M906" s="236"/>
      <c r="N906" s="236"/>
      <c r="O906" s="236"/>
      <c r="P906" s="236"/>
      <c r="Q906" s="236"/>
      <c r="R906" s="236"/>
      <c r="S906" s="236"/>
      <c r="T906" s="236"/>
      <c r="U906" s="236"/>
      <c r="V906" s="239"/>
      <c r="W906" s="236"/>
      <c r="X906" s="236"/>
    </row>
    <row r="907">
      <c r="A907" s="236"/>
      <c r="B907" s="236"/>
      <c r="C907" s="236"/>
      <c r="D907" s="238"/>
      <c r="E907" s="245"/>
      <c r="F907" s="246"/>
      <c r="G907" s="246"/>
      <c r="H907" s="236"/>
      <c r="I907" s="236"/>
      <c r="J907" s="236"/>
      <c r="K907" s="236"/>
      <c r="L907" s="236"/>
      <c r="M907" s="236"/>
      <c r="N907" s="236"/>
      <c r="O907" s="236"/>
      <c r="P907" s="236"/>
      <c r="Q907" s="236"/>
      <c r="R907" s="236"/>
      <c r="S907" s="236"/>
      <c r="T907" s="236"/>
      <c r="U907" s="236"/>
      <c r="V907" s="239"/>
      <c r="W907" s="236"/>
      <c r="X907" s="236"/>
    </row>
    <row r="908">
      <c r="A908" s="236"/>
      <c r="B908" s="236"/>
      <c r="C908" s="236"/>
      <c r="D908" s="238"/>
      <c r="E908" s="245"/>
      <c r="F908" s="246"/>
      <c r="G908" s="246"/>
      <c r="H908" s="236"/>
      <c r="I908" s="236"/>
      <c r="J908" s="236"/>
      <c r="K908" s="236"/>
      <c r="L908" s="236"/>
      <c r="M908" s="236"/>
      <c r="N908" s="236"/>
      <c r="O908" s="236"/>
      <c r="P908" s="236"/>
      <c r="Q908" s="236"/>
      <c r="R908" s="236"/>
      <c r="S908" s="236"/>
      <c r="T908" s="236"/>
      <c r="U908" s="236"/>
      <c r="V908" s="239"/>
      <c r="W908" s="236"/>
      <c r="X908" s="236"/>
    </row>
    <row r="909">
      <c r="A909" s="236"/>
      <c r="B909" s="236"/>
      <c r="C909" s="236"/>
      <c r="D909" s="238"/>
      <c r="E909" s="245"/>
      <c r="F909" s="246"/>
      <c r="G909" s="246"/>
      <c r="H909" s="236"/>
      <c r="I909" s="236"/>
      <c r="J909" s="236"/>
      <c r="K909" s="236"/>
      <c r="L909" s="236"/>
      <c r="M909" s="236"/>
      <c r="N909" s="236"/>
      <c r="O909" s="236"/>
      <c r="P909" s="236"/>
      <c r="Q909" s="236"/>
      <c r="R909" s="236"/>
      <c r="S909" s="236"/>
      <c r="T909" s="236"/>
      <c r="U909" s="236"/>
      <c r="V909" s="239"/>
      <c r="W909" s="236"/>
      <c r="X909" s="236"/>
    </row>
    <row r="910">
      <c r="A910" s="236"/>
      <c r="B910" s="236"/>
      <c r="C910" s="236"/>
      <c r="D910" s="238"/>
      <c r="E910" s="245"/>
      <c r="F910" s="246"/>
      <c r="G910" s="246"/>
      <c r="H910" s="236"/>
      <c r="I910" s="236"/>
      <c r="J910" s="236"/>
      <c r="K910" s="236"/>
      <c r="L910" s="236"/>
      <c r="M910" s="236"/>
      <c r="N910" s="236"/>
      <c r="O910" s="236"/>
      <c r="P910" s="236"/>
      <c r="Q910" s="236"/>
      <c r="R910" s="236"/>
      <c r="S910" s="236"/>
      <c r="T910" s="236"/>
      <c r="U910" s="236"/>
      <c r="V910" s="239"/>
      <c r="W910" s="236"/>
      <c r="X910" s="236"/>
    </row>
    <row r="911">
      <c r="A911" s="236"/>
      <c r="B911" s="236"/>
      <c r="C911" s="236"/>
      <c r="D911" s="238"/>
      <c r="E911" s="245"/>
      <c r="F911" s="246"/>
      <c r="G911" s="246"/>
      <c r="H911" s="236"/>
      <c r="I911" s="236"/>
      <c r="J911" s="236"/>
      <c r="K911" s="236"/>
      <c r="L911" s="236"/>
      <c r="M911" s="236"/>
      <c r="N911" s="236"/>
      <c r="O911" s="236"/>
      <c r="P911" s="236"/>
      <c r="Q911" s="236"/>
      <c r="R911" s="236"/>
      <c r="S911" s="236"/>
      <c r="T911" s="236"/>
      <c r="U911" s="236"/>
      <c r="V911" s="239"/>
      <c r="W911" s="236"/>
      <c r="X911" s="236"/>
    </row>
    <row r="912">
      <c r="A912" s="236"/>
      <c r="B912" s="236"/>
      <c r="C912" s="236"/>
      <c r="D912" s="238"/>
      <c r="E912" s="245"/>
      <c r="F912" s="246"/>
      <c r="G912" s="246"/>
      <c r="H912" s="236"/>
      <c r="I912" s="236"/>
      <c r="J912" s="236"/>
      <c r="K912" s="236"/>
      <c r="L912" s="236"/>
      <c r="M912" s="236"/>
      <c r="N912" s="236"/>
      <c r="O912" s="236"/>
      <c r="P912" s="236"/>
      <c r="Q912" s="236"/>
      <c r="R912" s="236"/>
      <c r="S912" s="236"/>
      <c r="T912" s="236"/>
      <c r="U912" s="236"/>
      <c r="V912" s="239"/>
      <c r="W912" s="236"/>
      <c r="X912" s="236"/>
    </row>
    <row r="913">
      <c r="A913" s="236"/>
      <c r="B913" s="236"/>
      <c r="C913" s="236"/>
      <c r="D913" s="238"/>
      <c r="E913" s="245"/>
      <c r="F913" s="246"/>
      <c r="G913" s="246"/>
      <c r="H913" s="236"/>
      <c r="I913" s="236"/>
      <c r="J913" s="236"/>
      <c r="K913" s="236"/>
      <c r="L913" s="236"/>
      <c r="M913" s="236"/>
      <c r="N913" s="236"/>
      <c r="O913" s="236"/>
      <c r="P913" s="236"/>
      <c r="Q913" s="236"/>
      <c r="R913" s="236"/>
      <c r="S913" s="236"/>
      <c r="T913" s="236"/>
      <c r="U913" s="236"/>
      <c r="V913" s="239"/>
      <c r="W913" s="236"/>
      <c r="X913" s="236"/>
    </row>
    <row r="914">
      <c r="A914" s="236"/>
      <c r="B914" s="236"/>
      <c r="C914" s="236"/>
      <c r="D914" s="238"/>
      <c r="E914" s="245"/>
      <c r="F914" s="246"/>
      <c r="G914" s="246"/>
      <c r="H914" s="236"/>
      <c r="I914" s="236"/>
      <c r="J914" s="236"/>
      <c r="K914" s="236"/>
      <c r="L914" s="236"/>
      <c r="M914" s="236"/>
      <c r="N914" s="236"/>
      <c r="O914" s="236"/>
      <c r="P914" s="236"/>
      <c r="Q914" s="236"/>
      <c r="R914" s="236"/>
      <c r="S914" s="236"/>
      <c r="T914" s="236"/>
      <c r="U914" s="236"/>
      <c r="V914" s="239"/>
      <c r="W914" s="236"/>
      <c r="X914" s="236"/>
    </row>
    <row r="915">
      <c r="A915" s="236"/>
      <c r="B915" s="236"/>
      <c r="C915" s="236"/>
      <c r="D915" s="238"/>
      <c r="E915" s="245"/>
      <c r="F915" s="246"/>
      <c r="G915" s="246"/>
      <c r="H915" s="236"/>
      <c r="I915" s="236"/>
      <c r="J915" s="236"/>
      <c r="K915" s="236"/>
      <c r="L915" s="236"/>
      <c r="M915" s="236"/>
      <c r="N915" s="236"/>
      <c r="O915" s="236"/>
      <c r="P915" s="236"/>
      <c r="Q915" s="236"/>
      <c r="R915" s="236"/>
      <c r="S915" s="236"/>
      <c r="T915" s="236"/>
      <c r="U915" s="236"/>
      <c r="V915" s="239"/>
      <c r="W915" s="236"/>
      <c r="X915" s="236"/>
    </row>
    <row r="916">
      <c r="A916" s="236"/>
      <c r="B916" s="236"/>
      <c r="C916" s="236"/>
      <c r="D916" s="238"/>
      <c r="E916" s="245"/>
      <c r="F916" s="246"/>
      <c r="G916" s="246"/>
      <c r="H916" s="236"/>
      <c r="I916" s="236"/>
      <c r="J916" s="236"/>
      <c r="K916" s="236"/>
      <c r="L916" s="236"/>
      <c r="M916" s="236"/>
      <c r="N916" s="236"/>
      <c r="O916" s="236"/>
      <c r="P916" s="236"/>
      <c r="Q916" s="236"/>
      <c r="R916" s="236"/>
      <c r="S916" s="236"/>
      <c r="T916" s="236"/>
      <c r="U916" s="236"/>
      <c r="V916" s="239"/>
      <c r="W916" s="236"/>
      <c r="X916" s="236"/>
    </row>
    <row r="917">
      <c r="A917" s="236"/>
      <c r="B917" s="236"/>
      <c r="C917" s="236"/>
      <c r="D917" s="238"/>
      <c r="E917" s="245"/>
      <c r="F917" s="246"/>
      <c r="G917" s="246"/>
      <c r="H917" s="236"/>
      <c r="I917" s="236"/>
      <c r="J917" s="236"/>
      <c r="K917" s="236"/>
      <c r="L917" s="236"/>
      <c r="M917" s="236"/>
      <c r="N917" s="236"/>
      <c r="O917" s="236"/>
      <c r="P917" s="236"/>
      <c r="Q917" s="236"/>
      <c r="R917" s="236"/>
      <c r="S917" s="236"/>
      <c r="T917" s="236"/>
      <c r="U917" s="236"/>
      <c r="V917" s="239"/>
      <c r="W917" s="236"/>
      <c r="X917" s="236"/>
    </row>
    <row r="918">
      <c r="A918" s="236"/>
      <c r="B918" s="236"/>
      <c r="C918" s="236"/>
      <c r="D918" s="238"/>
      <c r="E918" s="245"/>
      <c r="F918" s="246"/>
      <c r="G918" s="246"/>
      <c r="H918" s="236"/>
      <c r="I918" s="236"/>
      <c r="J918" s="236"/>
      <c r="K918" s="236"/>
      <c r="L918" s="236"/>
      <c r="M918" s="236"/>
      <c r="N918" s="236"/>
      <c r="O918" s="236"/>
      <c r="P918" s="236"/>
      <c r="Q918" s="236"/>
      <c r="R918" s="236"/>
      <c r="S918" s="236"/>
      <c r="T918" s="236"/>
      <c r="U918" s="236"/>
      <c r="V918" s="239"/>
      <c r="W918" s="236"/>
      <c r="X918" s="236"/>
    </row>
    <row r="919">
      <c r="A919" s="236"/>
      <c r="B919" s="236"/>
      <c r="C919" s="236"/>
      <c r="D919" s="238"/>
      <c r="E919" s="245"/>
      <c r="F919" s="246"/>
      <c r="G919" s="246"/>
      <c r="H919" s="236"/>
      <c r="I919" s="236"/>
      <c r="J919" s="236"/>
      <c r="K919" s="236"/>
      <c r="L919" s="236"/>
      <c r="M919" s="236"/>
      <c r="N919" s="236"/>
      <c r="O919" s="236"/>
      <c r="P919" s="236"/>
      <c r="Q919" s="236"/>
      <c r="R919" s="236"/>
      <c r="S919" s="236"/>
      <c r="T919" s="236"/>
      <c r="U919" s="236"/>
      <c r="V919" s="239"/>
      <c r="W919" s="236"/>
      <c r="X919" s="236"/>
    </row>
    <row r="920">
      <c r="A920" s="236"/>
      <c r="B920" s="236"/>
      <c r="C920" s="236"/>
      <c r="D920" s="238"/>
      <c r="E920" s="245"/>
      <c r="F920" s="246"/>
      <c r="G920" s="246"/>
      <c r="H920" s="236"/>
      <c r="I920" s="236"/>
      <c r="J920" s="236"/>
      <c r="K920" s="236"/>
      <c r="L920" s="236"/>
      <c r="M920" s="236"/>
      <c r="N920" s="236"/>
      <c r="O920" s="236"/>
      <c r="P920" s="236"/>
      <c r="Q920" s="236"/>
      <c r="R920" s="236"/>
      <c r="S920" s="236"/>
      <c r="T920" s="236"/>
      <c r="U920" s="236"/>
      <c r="V920" s="239"/>
      <c r="W920" s="236"/>
      <c r="X920" s="236"/>
    </row>
    <row r="921">
      <c r="A921" s="236"/>
      <c r="B921" s="236"/>
      <c r="C921" s="236"/>
      <c r="D921" s="238"/>
      <c r="E921" s="245"/>
      <c r="F921" s="246"/>
      <c r="G921" s="246"/>
      <c r="H921" s="236"/>
      <c r="I921" s="236"/>
      <c r="J921" s="236"/>
      <c r="K921" s="236"/>
      <c r="L921" s="236"/>
      <c r="M921" s="236"/>
      <c r="N921" s="236"/>
      <c r="O921" s="236"/>
      <c r="P921" s="236"/>
      <c r="Q921" s="236"/>
      <c r="R921" s="236"/>
      <c r="S921" s="236"/>
      <c r="T921" s="236"/>
      <c r="U921" s="236"/>
      <c r="V921" s="239"/>
      <c r="W921" s="236"/>
      <c r="X921" s="236"/>
    </row>
    <row r="922">
      <c r="A922" s="236"/>
      <c r="B922" s="236"/>
      <c r="C922" s="236"/>
      <c r="D922" s="238"/>
      <c r="E922" s="245"/>
      <c r="F922" s="246"/>
      <c r="G922" s="246"/>
      <c r="H922" s="236"/>
      <c r="I922" s="236"/>
      <c r="J922" s="236"/>
      <c r="K922" s="236"/>
      <c r="L922" s="236"/>
      <c r="M922" s="236"/>
      <c r="N922" s="236"/>
      <c r="O922" s="236"/>
      <c r="P922" s="236"/>
      <c r="Q922" s="236"/>
      <c r="R922" s="236"/>
      <c r="S922" s="236"/>
      <c r="T922" s="236"/>
      <c r="U922" s="236"/>
      <c r="V922" s="239"/>
      <c r="W922" s="236"/>
      <c r="X922" s="236"/>
    </row>
    <row r="923">
      <c r="A923" s="236"/>
      <c r="B923" s="236"/>
      <c r="C923" s="236"/>
      <c r="D923" s="238"/>
      <c r="E923" s="245"/>
      <c r="F923" s="246"/>
      <c r="G923" s="246"/>
      <c r="H923" s="236"/>
      <c r="I923" s="236"/>
      <c r="J923" s="236"/>
      <c r="K923" s="236"/>
      <c r="L923" s="236"/>
      <c r="M923" s="236"/>
      <c r="N923" s="236"/>
      <c r="O923" s="236"/>
      <c r="P923" s="236"/>
      <c r="Q923" s="236"/>
      <c r="R923" s="236"/>
      <c r="S923" s="236"/>
      <c r="T923" s="236"/>
      <c r="U923" s="236"/>
      <c r="V923" s="239"/>
      <c r="W923" s="236"/>
      <c r="X923" s="236"/>
    </row>
    <row r="924">
      <c r="A924" s="236"/>
      <c r="B924" s="236"/>
      <c r="C924" s="236"/>
      <c r="D924" s="238"/>
      <c r="E924" s="245"/>
      <c r="F924" s="246"/>
      <c r="G924" s="246"/>
      <c r="H924" s="236"/>
      <c r="I924" s="236"/>
      <c r="J924" s="236"/>
      <c r="K924" s="236"/>
      <c r="L924" s="236"/>
      <c r="M924" s="236"/>
      <c r="N924" s="236"/>
      <c r="O924" s="236"/>
      <c r="P924" s="236"/>
      <c r="Q924" s="236"/>
      <c r="R924" s="236"/>
      <c r="S924" s="236"/>
      <c r="T924" s="236"/>
      <c r="U924" s="236"/>
      <c r="V924" s="239"/>
      <c r="W924" s="236"/>
      <c r="X924" s="236"/>
    </row>
    <row r="925">
      <c r="A925" s="236"/>
      <c r="B925" s="236"/>
      <c r="C925" s="236"/>
      <c r="D925" s="238"/>
      <c r="E925" s="245"/>
      <c r="F925" s="246"/>
      <c r="G925" s="246"/>
      <c r="H925" s="236"/>
      <c r="I925" s="236"/>
      <c r="J925" s="236"/>
      <c r="K925" s="236"/>
      <c r="L925" s="236"/>
      <c r="M925" s="236"/>
      <c r="N925" s="236"/>
      <c r="O925" s="236"/>
      <c r="P925" s="236"/>
      <c r="Q925" s="236"/>
      <c r="R925" s="236"/>
      <c r="S925" s="236"/>
      <c r="T925" s="236"/>
      <c r="U925" s="236"/>
      <c r="V925" s="239"/>
      <c r="W925" s="236"/>
      <c r="X925" s="236"/>
    </row>
    <row r="926">
      <c r="A926" s="236"/>
      <c r="B926" s="236"/>
      <c r="C926" s="236"/>
      <c r="D926" s="238"/>
      <c r="E926" s="245"/>
      <c r="F926" s="246"/>
      <c r="G926" s="246"/>
      <c r="H926" s="236"/>
      <c r="I926" s="236"/>
      <c r="J926" s="236"/>
      <c r="K926" s="236"/>
      <c r="L926" s="236"/>
      <c r="M926" s="236"/>
      <c r="N926" s="236"/>
      <c r="O926" s="236"/>
      <c r="P926" s="236"/>
      <c r="Q926" s="236"/>
      <c r="R926" s="236"/>
      <c r="S926" s="236"/>
      <c r="T926" s="236"/>
      <c r="U926" s="236"/>
      <c r="V926" s="239"/>
      <c r="W926" s="236"/>
      <c r="X926" s="236"/>
    </row>
    <row r="927">
      <c r="A927" s="236"/>
      <c r="B927" s="236"/>
      <c r="C927" s="236"/>
      <c r="D927" s="238"/>
      <c r="E927" s="245"/>
      <c r="F927" s="246"/>
      <c r="G927" s="246"/>
      <c r="H927" s="236"/>
      <c r="I927" s="236"/>
      <c r="J927" s="236"/>
      <c r="K927" s="236"/>
      <c r="L927" s="236"/>
      <c r="M927" s="236"/>
      <c r="N927" s="236"/>
      <c r="O927" s="236"/>
      <c r="P927" s="236"/>
      <c r="Q927" s="236"/>
      <c r="R927" s="236"/>
      <c r="S927" s="236"/>
      <c r="T927" s="236"/>
      <c r="U927" s="236"/>
      <c r="V927" s="239"/>
      <c r="W927" s="236"/>
      <c r="X927" s="236"/>
    </row>
    <row r="928">
      <c r="A928" s="236"/>
      <c r="B928" s="236"/>
      <c r="C928" s="236"/>
      <c r="D928" s="238"/>
      <c r="E928" s="245"/>
      <c r="F928" s="246"/>
      <c r="G928" s="246"/>
      <c r="H928" s="236"/>
      <c r="I928" s="236"/>
      <c r="J928" s="236"/>
      <c r="K928" s="236"/>
      <c r="L928" s="236"/>
      <c r="M928" s="236"/>
      <c r="N928" s="236"/>
      <c r="O928" s="236"/>
      <c r="P928" s="236"/>
      <c r="Q928" s="236"/>
      <c r="R928" s="236"/>
      <c r="S928" s="236"/>
      <c r="T928" s="236"/>
      <c r="U928" s="236"/>
      <c r="V928" s="239"/>
      <c r="W928" s="236"/>
      <c r="X928" s="236"/>
    </row>
    <row r="929">
      <c r="A929" s="236"/>
      <c r="B929" s="236"/>
      <c r="C929" s="236"/>
      <c r="D929" s="238"/>
      <c r="E929" s="245"/>
      <c r="F929" s="246"/>
      <c r="G929" s="246"/>
      <c r="H929" s="236"/>
      <c r="I929" s="236"/>
      <c r="J929" s="236"/>
      <c r="K929" s="236"/>
      <c r="L929" s="236"/>
      <c r="M929" s="236"/>
      <c r="N929" s="236"/>
      <c r="O929" s="236"/>
      <c r="P929" s="236"/>
      <c r="Q929" s="236"/>
      <c r="R929" s="236"/>
      <c r="S929" s="236"/>
      <c r="T929" s="236"/>
      <c r="U929" s="236"/>
      <c r="V929" s="239"/>
      <c r="W929" s="236"/>
      <c r="X929" s="236"/>
    </row>
    <row r="930">
      <c r="A930" s="236"/>
      <c r="B930" s="236"/>
      <c r="C930" s="236"/>
      <c r="D930" s="238"/>
      <c r="E930" s="245"/>
      <c r="F930" s="246"/>
      <c r="G930" s="246"/>
      <c r="H930" s="236"/>
      <c r="I930" s="236"/>
      <c r="J930" s="236"/>
      <c r="K930" s="236"/>
      <c r="L930" s="236"/>
      <c r="M930" s="236"/>
      <c r="N930" s="236"/>
      <c r="O930" s="236"/>
      <c r="P930" s="236"/>
      <c r="Q930" s="236"/>
      <c r="R930" s="236"/>
      <c r="S930" s="236"/>
      <c r="T930" s="236"/>
      <c r="U930" s="236"/>
      <c r="V930" s="239"/>
      <c r="W930" s="236"/>
      <c r="X930" s="236"/>
    </row>
    <row r="931">
      <c r="A931" s="236"/>
      <c r="B931" s="236"/>
      <c r="C931" s="236"/>
      <c r="D931" s="238"/>
      <c r="E931" s="245"/>
      <c r="F931" s="246"/>
      <c r="G931" s="246"/>
      <c r="H931" s="236"/>
      <c r="I931" s="236"/>
      <c r="J931" s="236"/>
      <c r="K931" s="236"/>
      <c r="L931" s="236"/>
      <c r="M931" s="236"/>
      <c r="N931" s="236"/>
      <c r="O931" s="236"/>
      <c r="P931" s="236"/>
      <c r="Q931" s="236"/>
      <c r="R931" s="236"/>
      <c r="S931" s="236"/>
      <c r="T931" s="236"/>
      <c r="U931" s="236"/>
      <c r="V931" s="239"/>
      <c r="W931" s="236"/>
      <c r="X931" s="236"/>
    </row>
    <row r="932">
      <c r="A932" s="236"/>
      <c r="B932" s="236"/>
      <c r="C932" s="236"/>
      <c r="D932" s="238"/>
      <c r="E932" s="245"/>
      <c r="F932" s="246"/>
      <c r="G932" s="246"/>
      <c r="H932" s="236"/>
      <c r="I932" s="236"/>
      <c r="J932" s="236"/>
      <c r="K932" s="236"/>
      <c r="L932" s="236"/>
      <c r="M932" s="236"/>
      <c r="N932" s="236"/>
      <c r="O932" s="236"/>
      <c r="P932" s="236"/>
      <c r="Q932" s="236"/>
      <c r="R932" s="236"/>
      <c r="S932" s="236"/>
      <c r="T932" s="236"/>
      <c r="U932" s="236"/>
      <c r="V932" s="239"/>
      <c r="W932" s="236"/>
      <c r="X932" s="236"/>
    </row>
    <row r="933">
      <c r="A933" s="236"/>
      <c r="B933" s="236"/>
      <c r="C933" s="236"/>
      <c r="D933" s="238"/>
      <c r="E933" s="245"/>
      <c r="F933" s="246"/>
      <c r="G933" s="246"/>
      <c r="H933" s="236"/>
      <c r="I933" s="236"/>
      <c r="J933" s="236"/>
      <c r="K933" s="236"/>
      <c r="L933" s="236"/>
      <c r="M933" s="236"/>
      <c r="N933" s="236"/>
      <c r="O933" s="236"/>
      <c r="P933" s="236"/>
      <c r="Q933" s="236"/>
      <c r="R933" s="236"/>
      <c r="S933" s="236"/>
      <c r="T933" s="236"/>
      <c r="U933" s="236"/>
      <c r="V933" s="239"/>
      <c r="W933" s="236"/>
      <c r="X933" s="236"/>
    </row>
    <row r="934">
      <c r="A934" s="236"/>
      <c r="B934" s="236"/>
      <c r="C934" s="236"/>
      <c r="D934" s="238"/>
      <c r="E934" s="245"/>
      <c r="F934" s="246"/>
      <c r="G934" s="246"/>
      <c r="H934" s="236"/>
      <c r="I934" s="236"/>
      <c r="J934" s="236"/>
      <c r="K934" s="236"/>
      <c r="L934" s="236"/>
      <c r="M934" s="236"/>
      <c r="N934" s="236"/>
      <c r="O934" s="236"/>
      <c r="P934" s="236"/>
      <c r="Q934" s="236"/>
      <c r="R934" s="236"/>
      <c r="S934" s="236"/>
      <c r="T934" s="236"/>
      <c r="U934" s="236"/>
      <c r="V934" s="239"/>
      <c r="W934" s="236"/>
      <c r="X934" s="236"/>
    </row>
    <row r="935">
      <c r="A935" s="236"/>
      <c r="B935" s="236"/>
      <c r="C935" s="236"/>
      <c r="D935" s="238"/>
      <c r="E935" s="245"/>
      <c r="F935" s="246"/>
      <c r="G935" s="246"/>
      <c r="H935" s="236"/>
      <c r="I935" s="236"/>
      <c r="J935" s="236"/>
      <c r="K935" s="236"/>
      <c r="L935" s="236"/>
      <c r="M935" s="236"/>
      <c r="N935" s="236"/>
      <c r="O935" s="236"/>
      <c r="P935" s="236"/>
      <c r="Q935" s="236"/>
      <c r="R935" s="236"/>
      <c r="S935" s="236"/>
      <c r="T935" s="236"/>
      <c r="U935" s="236"/>
      <c r="V935" s="239"/>
      <c r="W935" s="236"/>
      <c r="X935" s="236"/>
    </row>
    <row r="936">
      <c r="A936" s="236"/>
      <c r="B936" s="236"/>
      <c r="C936" s="236"/>
      <c r="D936" s="238"/>
      <c r="E936" s="245"/>
      <c r="F936" s="246"/>
      <c r="G936" s="246"/>
      <c r="H936" s="236"/>
      <c r="I936" s="236"/>
      <c r="J936" s="236"/>
      <c r="K936" s="236"/>
      <c r="L936" s="236"/>
      <c r="M936" s="236"/>
      <c r="N936" s="236"/>
      <c r="O936" s="236"/>
      <c r="P936" s="236"/>
      <c r="Q936" s="236"/>
      <c r="R936" s="236"/>
      <c r="S936" s="236"/>
      <c r="T936" s="236"/>
      <c r="U936" s="236"/>
      <c r="V936" s="239"/>
      <c r="W936" s="236"/>
      <c r="X936" s="236"/>
    </row>
    <row r="937">
      <c r="A937" s="236"/>
      <c r="B937" s="236"/>
      <c r="C937" s="236"/>
      <c r="D937" s="238"/>
      <c r="E937" s="245"/>
      <c r="F937" s="246"/>
      <c r="G937" s="246"/>
      <c r="H937" s="236"/>
      <c r="I937" s="236"/>
      <c r="J937" s="236"/>
      <c r="K937" s="236"/>
      <c r="L937" s="236"/>
      <c r="M937" s="236"/>
      <c r="N937" s="236"/>
      <c r="O937" s="236"/>
      <c r="P937" s="236"/>
      <c r="Q937" s="236"/>
      <c r="R937" s="236"/>
      <c r="S937" s="236"/>
      <c r="T937" s="236"/>
      <c r="U937" s="236"/>
      <c r="V937" s="239"/>
      <c r="W937" s="236"/>
      <c r="X937" s="236"/>
    </row>
    <row r="938">
      <c r="A938" s="236"/>
      <c r="B938" s="236"/>
      <c r="C938" s="236"/>
      <c r="D938" s="238"/>
      <c r="E938" s="245"/>
      <c r="F938" s="246"/>
      <c r="G938" s="246"/>
      <c r="H938" s="236"/>
      <c r="I938" s="236"/>
      <c r="J938" s="236"/>
      <c r="K938" s="236"/>
      <c r="L938" s="236"/>
      <c r="M938" s="236"/>
      <c r="N938" s="236"/>
      <c r="O938" s="236"/>
      <c r="P938" s="236"/>
      <c r="Q938" s="236"/>
      <c r="R938" s="236"/>
      <c r="S938" s="236"/>
      <c r="T938" s="236"/>
      <c r="U938" s="236"/>
      <c r="V938" s="239"/>
      <c r="W938" s="236"/>
      <c r="X938" s="236"/>
    </row>
    <row r="939">
      <c r="A939" s="236"/>
      <c r="B939" s="236"/>
      <c r="C939" s="236"/>
      <c r="D939" s="238"/>
      <c r="E939" s="245"/>
      <c r="F939" s="246"/>
      <c r="G939" s="246"/>
      <c r="H939" s="236"/>
      <c r="I939" s="236"/>
      <c r="J939" s="236"/>
      <c r="K939" s="236"/>
      <c r="L939" s="236"/>
      <c r="M939" s="236"/>
      <c r="N939" s="236"/>
      <c r="O939" s="236"/>
      <c r="P939" s="236"/>
      <c r="Q939" s="236"/>
      <c r="R939" s="236"/>
      <c r="S939" s="236"/>
      <c r="T939" s="236"/>
      <c r="U939" s="236"/>
      <c r="V939" s="239"/>
      <c r="W939" s="236"/>
      <c r="X939" s="236"/>
    </row>
    <row r="940">
      <c r="A940" s="236"/>
      <c r="B940" s="236"/>
      <c r="C940" s="236"/>
      <c r="D940" s="238"/>
      <c r="E940" s="245"/>
      <c r="F940" s="246"/>
      <c r="G940" s="246"/>
      <c r="H940" s="236"/>
      <c r="I940" s="236"/>
      <c r="J940" s="236"/>
      <c r="K940" s="236"/>
      <c r="L940" s="236"/>
      <c r="M940" s="236"/>
      <c r="N940" s="236"/>
      <c r="O940" s="236"/>
      <c r="P940" s="236"/>
      <c r="Q940" s="236"/>
      <c r="R940" s="236"/>
      <c r="S940" s="236"/>
      <c r="T940" s="236"/>
      <c r="U940" s="236"/>
      <c r="V940" s="239"/>
      <c r="W940" s="236"/>
      <c r="X940" s="236"/>
    </row>
    <row r="941">
      <c r="A941" s="236"/>
      <c r="B941" s="236"/>
      <c r="C941" s="236"/>
      <c r="D941" s="238"/>
      <c r="E941" s="245"/>
      <c r="F941" s="246"/>
      <c r="G941" s="246"/>
      <c r="H941" s="236"/>
      <c r="I941" s="236"/>
      <c r="J941" s="236"/>
      <c r="K941" s="236"/>
      <c r="L941" s="236"/>
      <c r="M941" s="236"/>
      <c r="N941" s="236"/>
      <c r="O941" s="236"/>
      <c r="P941" s="236"/>
      <c r="Q941" s="236"/>
      <c r="R941" s="236"/>
      <c r="S941" s="236"/>
      <c r="T941" s="236"/>
      <c r="U941" s="236"/>
      <c r="V941" s="239"/>
      <c r="W941" s="236"/>
      <c r="X941" s="236"/>
    </row>
    <row r="942">
      <c r="A942" s="236"/>
      <c r="B942" s="236"/>
      <c r="C942" s="236"/>
      <c r="D942" s="238"/>
      <c r="E942" s="245"/>
      <c r="F942" s="246"/>
      <c r="G942" s="246"/>
      <c r="H942" s="236"/>
      <c r="I942" s="236"/>
      <c r="J942" s="236"/>
      <c r="K942" s="236"/>
      <c r="L942" s="236"/>
      <c r="M942" s="236"/>
      <c r="N942" s="236"/>
      <c r="O942" s="236"/>
      <c r="P942" s="236"/>
      <c r="Q942" s="236"/>
      <c r="R942" s="236"/>
      <c r="S942" s="236"/>
      <c r="T942" s="236"/>
      <c r="U942" s="236"/>
      <c r="V942" s="239"/>
      <c r="W942" s="236"/>
      <c r="X942" s="236"/>
    </row>
    <row r="943">
      <c r="A943" s="236"/>
      <c r="B943" s="236"/>
      <c r="C943" s="236"/>
      <c r="D943" s="238"/>
      <c r="E943" s="245"/>
      <c r="F943" s="246"/>
      <c r="G943" s="246"/>
      <c r="H943" s="236"/>
      <c r="I943" s="236"/>
      <c r="J943" s="236"/>
      <c r="K943" s="236"/>
      <c r="L943" s="236"/>
      <c r="M943" s="236"/>
      <c r="N943" s="236"/>
      <c r="O943" s="236"/>
      <c r="P943" s="236"/>
      <c r="Q943" s="236"/>
      <c r="R943" s="236"/>
      <c r="S943" s="236"/>
      <c r="T943" s="236"/>
      <c r="U943" s="236"/>
      <c r="V943" s="239"/>
      <c r="W943" s="236"/>
      <c r="X943" s="236"/>
    </row>
    <row r="944">
      <c r="A944" s="236"/>
      <c r="B944" s="236"/>
      <c r="C944" s="236"/>
      <c r="D944" s="238"/>
      <c r="E944" s="245"/>
      <c r="F944" s="246"/>
      <c r="G944" s="246"/>
      <c r="H944" s="236"/>
      <c r="I944" s="236"/>
      <c r="J944" s="236"/>
      <c r="K944" s="236"/>
      <c r="L944" s="236"/>
      <c r="M944" s="236"/>
      <c r="N944" s="236"/>
      <c r="O944" s="236"/>
      <c r="P944" s="236"/>
      <c r="Q944" s="236"/>
      <c r="R944" s="236"/>
      <c r="S944" s="236"/>
      <c r="T944" s="236"/>
      <c r="U944" s="236"/>
      <c r="V944" s="239"/>
      <c r="W944" s="236"/>
      <c r="X944" s="236"/>
    </row>
    <row r="945">
      <c r="A945" s="236"/>
      <c r="B945" s="236"/>
      <c r="C945" s="236"/>
      <c r="D945" s="238"/>
      <c r="E945" s="245"/>
      <c r="F945" s="246"/>
      <c r="G945" s="246"/>
      <c r="H945" s="236"/>
      <c r="I945" s="236"/>
      <c r="J945" s="236"/>
      <c r="K945" s="236"/>
      <c r="L945" s="236"/>
      <c r="M945" s="236"/>
      <c r="N945" s="236"/>
      <c r="O945" s="236"/>
      <c r="P945" s="236"/>
      <c r="Q945" s="236"/>
      <c r="R945" s="236"/>
      <c r="S945" s="236"/>
      <c r="T945" s="236"/>
      <c r="U945" s="236"/>
      <c r="V945" s="239"/>
      <c r="W945" s="236"/>
      <c r="X945" s="236"/>
    </row>
    <row r="946">
      <c r="A946" s="236"/>
      <c r="B946" s="236"/>
      <c r="C946" s="236"/>
      <c r="D946" s="238"/>
      <c r="E946" s="245"/>
      <c r="F946" s="246"/>
      <c r="G946" s="246"/>
      <c r="H946" s="236"/>
      <c r="I946" s="236"/>
      <c r="J946" s="236"/>
      <c r="K946" s="236"/>
      <c r="L946" s="236"/>
      <c r="M946" s="236"/>
      <c r="N946" s="236"/>
      <c r="O946" s="236"/>
      <c r="P946" s="236"/>
      <c r="Q946" s="236"/>
      <c r="R946" s="236"/>
      <c r="S946" s="236"/>
      <c r="T946" s="236"/>
      <c r="U946" s="236"/>
      <c r="V946" s="239"/>
      <c r="W946" s="236"/>
      <c r="X946" s="236"/>
    </row>
    <row r="947">
      <c r="A947" s="236"/>
      <c r="B947" s="236"/>
      <c r="C947" s="236"/>
      <c r="D947" s="238"/>
      <c r="E947" s="245"/>
      <c r="F947" s="246"/>
      <c r="G947" s="246"/>
      <c r="H947" s="236"/>
      <c r="I947" s="236"/>
      <c r="J947" s="236"/>
      <c r="K947" s="236"/>
      <c r="L947" s="236"/>
      <c r="M947" s="236"/>
      <c r="N947" s="236"/>
      <c r="O947" s="236"/>
      <c r="P947" s="236"/>
      <c r="Q947" s="236"/>
      <c r="R947" s="236"/>
      <c r="S947" s="236"/>
      <c r="T947" s="236"/>
      <c r="U947" s="236"/>
      <c r="V947" s="239"/>
      <c r="W947" s="236"/>
      <c r="X947" s="236"/>
    </row>
    <row r="948">
      <c r="A948" s="236"/>
      <c r="B948" s="236"/>
      <c r="C948" s="236"/>
      <c r="D948" s="238"/>
      <c r="E948" s="245"/>
      <c r="F948" s="246"/>
      <c r="G948" s="246"/>
      <c r="H948" s="236"/>
      <c r="I948" s="236"/>
      <c r="J948" s="236"/>
      <c r="K948" s="236"/>
      <c r="L948" s="236"/>
      <c r="M948" s="236"/>
      <c r="N948" s="236"/>
      <c r="O948" s="236"/>
      <c r="P948" s="236"/>
      <c r="Q948" s="236"/>
      <c r="R948" s="236"/>
      <c r="S948" s="236"/>
      <c r="T948" s="236"/>
      <c r="U948" s="236"/>
      <c r="V948" s="239"/>
      <c r="W948" s="236"/>
      <c r="X948" s="236"/>
    </row>
    <row r="949">
      <c r="A949" s="236"/>
      <c r="B949" s="236"/>
      <c r="C949" s="236"/>
      <c r="D949" s="238"/>
      <c r="E949" s="245"/>
      <c r="F949" s="246"/>
      <c r="G949" s="246"/>
      <c r="H949" s="236"/>
      <c r="I949" s="236"/>
      <c r="J949" s="236"/>
      <c r="K949" s="236"/>
      <c r="L949" s="236"/>
      <c r="M949" s="236"/>
      <c r="N949" s="236"/>
      <c r="O949" s="236"/>
      <c r="P949" s="236"/>
      <c r="Q949" s="236"/>
      <c r="R949" s="236"/>
      <c r="S949" s="236"/>
      <c r="T949" s="236"/>
      <c r="U949" s="236"/>
      <c r="V949" s="239"/>
      <c r="W949" s="236"/>
      <c r="X949" s="236"/>
    </row>
    <row r="950">
      <c r="A950" s="236"/>
      <c r="B950" s="236"/>
      <c r="C950" s="236"/>
      <c r="D950" s="238"/>
      <c r="E950" s="245"/>
      <c r="F950" s="246"/>
      <c r="G950" s="246"/>
      <c r="H950" s="236"/>
      <c r="I950" s="236"/>
      <c r="J950" s="236"/>
      <c r="K950" s="236"/>
      <c r="L950" s="236"/>
      <c r="M950" s="236"/>
      <c r="N950" s="236"/>
      <c r="O950" s="236"/>
      <c r="P950" s="236"/>
      <c r="Q950" s="236"/>
      <c r="R950" s="236"/>
      <c r="S950" s="236"/>
      <c r="T950" s="236"/>
      <c r="U950" s="236"/>
      <c r="V950" s="239"/>
      <c r="W950" s="236"/>
      <c r="X950" s="236"/>
    </row>
    <row r="951">
      <c r="A951" s="236"/>
      <c r="B951" s="236"/>
      <c r="C951" s="236"/>
      <c r="D951" s="238"/>
      <c r="E951" s="245"/>
      <c r="F951" s="246"/>
      <c r="G951" s="246"/>
      <c r="H951" s="236"/>
      <c r="I951" s="236"/>
      <c r="J951" s="236"/>
      <c r="K951" s="236"/>
      <c r="L951" s="236"/>
      <c r="M951" s="236"/>
      <c r="N951" s="236"/>
      <c r="O951" s="236"/>
      <c r="P951" s="236"/>
      <c r="Q951" s="236"/>
      <c r="R951" s="236"/>
      <c r="S951" s="236"/>
      <c r="T951" s="236"/>
      <c r="U951" s="236"/>
      <c r="V951" s="239"/>
      <c r="W951" s="236"/>
      <c r="X951" s="236"/>
    </row>
    <row r="952">
      <c r="A952" s="236"/>
      <c r="B952" s="236"/>
      <c r="C952" s="236"/>
      <c r="D952" s="238"/>
      <c r="E952" s="245"/>
      <c r="F952" s="246"/>
      <c r="G952" s="246"/>
      <c r="H952" s="236"/>
      <c r="I952" s="236"/>
      <c r="J952" s="236"/>
      <c r="K952" s="236"/>
      <c r="L952" s="236"/>
      <c r="M952" s="236"/>
      <c r="N952" s="236"/>
      <c r="O952" s="236"/>
      <c r="P952" s="236"/>
      <c r="Q952" s="236"/>
      <c r="R952" s="236"/>
      <c r="S952" s="236"/>
      <c r="T952" s="236"/>
      <c r="U952" s="236"/>
      <c r="V952" s="239"/>
      <c r="W952" s="236"/>
      <c r="X952" s="236"/>
    </row>
    <row r="953">
      <c r="A953" s="236"/>
      <c r="B953" s="236"/>
      <c r="C953" s="236"/>
      <c r="D953" s="238"/>
      <c r="E953" s="245"/>
      <c r="F953" s="246"/>
      <c r="G953" s="246"/>
      <c r="H953" s="236"/>
      <c r="I953" s="236"/>
      <c r="J953" s="236"/>
      <c r="K953" s="236"/>
      <c r="L953" s="236"/>
      <c r="M953" s="236"/>
      <c r="N953" s="236"/>
      <c r="O953" s="236"/>
      <c r="P953" s="236"/>
      <c r="Q953" s="236"/>
      <c r="R953" s="236"/>
      <c r="S953" s="236"/>
      <c r="T953" s="236"/>
      <c r="U953" s="236"/>
      <c r="V953" s="239"/>
      <c r="W953" s="236"/>
      <c r="X953" s="236"/>
    </row>
    <row r="954">
      <c r="A954" s="236"/>
      <c r="B954" s="236"/>
      <c r="C954" s="236"/>
      <c r="D954" s="238"/>
      <c r="E954" s="245"/>
      <c r="F954" s="246"/>
      <c r="G954" s="246"/>
      <c r="H954" s="236"/>
      <c r="I954" s="236"/>
      <c r="J954" s="236"/>
      <c r="K954" s="236"/>
      <c r="L954" s="236"/>
      <c r="M954" s="236"/>
      <c r="N954" s="236"/>
      <c r="O954" s="236"/>
      <c r="P954" s="236"/>
      <c r="Q954" s="236"/>
      <c r="R954" s="236"/>
      <c r="S954" s="236"/>
      <c r="T954" s="236"/>
      <c r="U954" s="236"/>
      <c r="V954" s="239"/>
      <c r="W954" s="236"/>
      <c r="X954" s="236"/>
    </row>
    <row r="955">
      <c r="A955" s="236"/>
      <c r="B955" s="236"/>
      <c r="C955" s="236"/>
      <c r="D955" s="238"/>
      <c r="E955" s="245"/>
      <c r="F955" s="246"/>
      <c r="G955" s="246"/>
      <c r="H955" s="236"/>
      <c r="I955" s="236"/>
      <c r="J955" s="236"/>
      <c r="K955" s="236"/>
      <c r="L955" s="236"/>
      <c r="M955" s="236"/>
      <c r="N955" s="236"/>
      <c r="O955" s="236"/>
      <c r="P955" s="236"/>
      <c r="Q955" s="236"/>
      <c r="R955" s="236"/>
      <c r="S955" s="236"/>
      <c r="T955" s="236"/>
      <c r="U955" s="236"/>
      <c r="V955" s="239"/>
      <c r="W955" s="236"/>
      <c r="X955" s="236"/>
    </row>
    <row r="956">
      <c r="A956" s="236"/>
      <c r="B956" s="236"/>
      <c r="C956" s="236"/>
      <c r="D956" s="238"/>
      <c r="E956" s="245"/>
      <c r="F956" s="246"/>
      <c r="G956" s="246"/>
      <c r="H956" s="236"/>
      <c r="I956" s="236"/>
      <c r="J956" s="236"/>
      <c r="K956" s="236"/>
      <c r="L956" s="236"/>
      <c r="M956" s="236"/>
      <c r="N956" s="236"/>
      <c r="O956" s="236"/>
      <c r="P956" s="236"/>
      <c r="Q956" s="236"/>
      <c r="R956" s="236"/>
      <c r="S956" s="236"/>
      <c r="T956" s="236"/>
      <c r="U956" s="236"/>
      <c r="V956" s="239"/>
      <c r="W956" s="236"/>
      <c r="X956" s="236"/>
    </row>
    <row r="957">
      <c r="A957" s="236"/>
      <c r="B957" s="236"/>
      <c r="C957" s="236"/>
      <c r="D957" s="238"/>
      <c r="E957" s="245"/>
      <c r="F957" s="246"/>
      <c r="G957" s="246"/>
      <c r="H957" s="236"/>
      <c r="I957" s="236"/>
      <c r="J957" s="236"/>
      <c r="K957" s="236"/>
      <c r="L957" s="236"/>
      <c r="M957" s="236"/>
      <c r="N957" s="236"/>
      <c r="O957" s="236"/>
      <c r="P957" s="236"/>
      <c r="Q957" s="236"/>
      <c r="R957" s="236"/>
      <c r="S957" s="236"/>
      <c r="T957" s="236"/>
      <c r="U957" s="236"/>
      <c r="V957" s="239"/>
      <c r="W957" s="236"/>
      <c r="X957" s="236"/>
    </row>
    <row r="958">
      <c r="A958" s="236"/>
      <c r="B958" s="236"/>
      <c r="C958" s="236"/>
      <c r="D958" s="238"/>
      <c r="E958" s="245"/>
      <c r="F958" s="246"/>
      <c r="G958" s="246"/>
      <c r="H958" s="236"/>
      <c r="I958" s="236"/>
      <c r="J958" s="236"/>
      <c r="K958" s="236"/>
      <c r="L958" s="236"/>
      <c r="M958" s="236"/>
      <c r="N958" s="236"/>
      <c r="O958" s="236"/>
      <c r="P958" s="236"/>
      <c r="Q958" s="236"/>
      <c r="R958" s="236"/>
      <c r="S958" s="236"/>
      <c r="T958" s="236"/>
      <c r="U958" s="236"/>
      <c r="V958" s="239"/>
      <c r="W958" s="236"/>
      <c r="X958" s="236"/>
    </row>
    <row r="959">
      <c r="A959" s="236"/>
      <c r="B959" s="236"/>
      <c r="C959" s="236"/>
      <c r="D959" s="238"/>
      <c r="E959" s="245"/>
      <c r="F959" s="246"/>
      <c r="G959" s="246"/>
      <c r="H959" s="236"/>
      <c r="I959" s="236"/>
      <c r="J959" s="236"/>
      <c r="K959" s="236"/>
      <c r="L959" s="236"/>
      <c r="M959" s="236"/>
      <c r="N959" s="236"/>
      <c r="O959" s="236"/>
      <c r="P959" s="236"/>
      <c r="Q959" s="236"/>
      <c r="R959" s="236"/>
      <c r="S959" s="236"/>
      <c r="T959" s="236"/>
      <c r="U959" s="236"/>
      <c r="V959" s="239"/>
      <c r="W959" s="236"/>
      <c r="X959" s="236"/>
    </row>
    <row r="960">
      <c r="A960" s="236"/>
      <c r="B960" s="236"/>
      <c r="C960" s="236"/>
      <c r="D960" s="238"/>
      <c r="E960" s="245"/>
      <c r="F960" s="246"/>
      <c r="G960" s="246"/>
      <c r="H960" s="236"/>
      <c r="I960" s="236"/>
      <c r="J960" s="236"/>
      <c r="K960" s="236"/>
      <c r="L960" s="236"/>
      <c r="M960" s="236"/>
      <c r="N960" s="236"/>
      <c r="O960" s="236"/>
      <c r="P960" s="236"/>
      <c r="Q960" s="236"/>
      <c r="R960" s="236"/>
      <c r="S960" s="236"/>
      <c r="T960" s="236"/>
      <c r="U960" s="236"/>
      <c r="V960" s="239"/>
      <c r="W960" s="236"/>
      <c r="X960" s="236"/>
    </row>
    <row r="961">
      <c r="A961" s="236"/>
      <c r="B961" s="236"/>
      <c r="C961" s="236"/>
      <c r="D961" s="238"/>
      <c r="E961" s="245"/>
      <c r="F961" s="246"/>
      <c r="G961" s="246"/>
      <c r="H961" s="236"/>
      <c r="I961" s="236"/>
      <c r="J961" s="236"/>
      <c r="K961" s="236"/>
      <c r="L961" s="236"/>
      <c r="M961" s="236"/>
      <c r="N961" s="236"/>
      <c r="O961" s="236"/>
      <c r="P961" s="236"/>
      <c r="Q961" s="236"/>
      <c r="R961" s="236"/>
      <c r="S961" s="236"/>
      <c r="T961" s="236"/>
      <c r="U961" s="236"/>
      <c r="V961" s="239"/>
      <c r="W961" s="236"/>
      <c r="X961" s="236"/>
    </row>
    <row r="962">
      <c r="A962" s="236"/>
      <c r="B962" s="236"/>
      <c r="C962" s="236"/>
      <c r="D962" s="238"/>
      <c r="E962" s="245"/>
      <c r="F962" s="246"/>
      <c r="G962" s="246"/>
      <c r="H962" s="236"/>
      <c r="I962" s="236"/>
      <c r="J962" s="236"/>
      <c r="K962" s="236"/>
      <c r="L962" s="236"/>
      <c r="M962" s="236"/>
      <c r="N962" s="236"/>
      <c r="O962" s="236"/>
      <c r="P962" s="236"/>
      <c r="Q962" s="236"/>
      <c r="R962" s="236"/>
      <c r="S962" s="236"/>
      <c r="T962" s="236"/>
      <c r="U962" s="236"/>
      <c r="V962" s="239"/>
      <c r="W962" s="236"/>
      <c r="X962" s="236"/>
    </row>
    <row r="963">
      <c r="A963" s="236"/>
      <c r="B963" s="236"/>
      <c r="C963" s="236"/>
      <c r="D963" s="238"/>
      <c r="E963" s="245"/>
      <c r="F963" s="246"/>
      <c r="G963" s="246"/>
      <c r="H963" s="236"/>
      <c r="I963" s="236"/>
      <c r="J963" s="236"/>
      <c r="K963" s="236"/>
      <c r="L963" s="236"/>
      <c r="M963" s="236"/>
      <c r="N963" s="236"/>
      <c r="O963" s="236"/>
      <c r="P963" s="236"/>
      <c r="Q963" s="236"/>
      <c r="R963" s="236"/>
      <c r="S963" s="236"/>
      <c r="T963" s="236"/>
      <c r="U963" s="236"/>
      <c r="V963" s="239"/>
      <c r="W963" s="236"/>
      <c r="X963" s="236"/>
    </row>
    <row r="964">
      <c r="A964" s="236"/>
      <c r="B964" s="236"/>
      <c r="C964" s="236"/>
      <c r="D964" s="238"/>
      <c r="E964" s="245"/>
      <c r="F964" s="246"/>
      <c r="G964" s="246"/>
      <c r="H964" s="236"/>
      <c r="I964" s="236"/>
      <c r="J964" s="236"/>
      <c r="K964" s="236"/>
      <c r="L964" s="236"/>
      <c r="M964" s="236"/>
      <c r="N964" s="236"/>
      <c r="O964" s="236"/>
      <c r="P964" s="236"/>
      <c r="Q964" s="236"/>
      <c r="R964" s="236"/>
      <c r="S964" s="236"/>
      <c r="T964" s="236"/>
      <c r="U964" s="236"/>
      <c r="V964" s="239"/>
      <c r="W964" s="236"/>
      <c r="X964" s="236"/>
    </row>
    <row r="965">
      <c r="A965" s="236"/>
      <c r="B965" s="236"/>
      <c r="C965" s="236"/>
      <c r="D965" s="238"/>
      <c r="E965" s="245"/>
      <c r="F965" s="246"/>
      <c r="G965" s="246"/>
      <c r="H965" s="236"/>
      <c r="I965" s="236"/>
      <c r="J965" s="236"/>
      <c r="K965" s="236"/>
      <c r="L965" s="236"/>
      <c r="M965" s="236"/>
      <c r="N965" s="236"/>
      <c r="O965" s="236"/>
      <c r="P965" s="236"/>
      <c r="Q965" s="236"/>
      <c r="R965" s="236"/>
      <c r="S965" s="236"/>
      <c r="T965" s="236"/>
      <c r="U965" s="236"/>
      <c r="V965" s="239"/>
      <c r="W965" s="236"/>
      <c r="X965" s="236"/>
    </row>
    <row r="966">
      <c r="A966" s="236"/>
      <c r="B966" s="236"/>
      <c r="C966" s="236"/>
      <c r="D966" s="238"/>
      <c r="E966" s="245"/>
      <c r="F966" s="246"/>
      <c r="G966" s="246"/>
      <c r="H966" s="236"/>
      <c r="I966" s="236"/>
      <c r="J966" s="236"/>
      <c r="K966" s="236"/>
      <c r="L966" s="236"/>
      <c r="M966" s="236"/>
      <c r="N966" s="236"/>
      <c r="O966" s="236"/>
      <c r="P966" s="236"/>
      <c r="Q966" s="236"/>
      <c r="R966" s="236"/>
      <c r="S966" s="236"/>
      <c r="T966" s="236"/>
      <c r="U966" s="236"/>
      <c r="V966" s="239"/>
      <c r="W966" s="236"/>
      <c r="X966" s="236"/>
    </row>
    <row r="967">
      <c r="A967" s="236"/>
      <c r="B967" s="236"/>
      <c r="C967" s="236"/>
      <c r="D967" s="238"/>
      <c r="E967" s="245"/>
      <c r="F967" s="246"/>
      <c r="G967" s="246"/>
      <c r="H967" s="236"/>
      <c r="I967" s="236"/>
      <c r="J967" s="236"/>
      <c r="K967" s="236"/>
      <c r="L967" s="236"/>
      <c r="M967" s="236"/>
      <c r="N967" s="236"/>
      <c r="O967" s="236"/>
      <c r="P967" s="236"/>
      <c r="Q967" s="236"/>
      <c r="R967" s="236"/>
      <c r="S967" s="236"/>
      <c r="T967" s="236"/>
      <c r="U967" s="236"/>
      <c r="V967" s="239"/>
      <c r="W967" s="236"/>
      <c r="X967" s="236"/>
    </row>
    <row r="968">
      <c r="A968" s="236"/>
      <c r="B968" s="236"/>
      <c r="C968" s="236"/>
      <c r="D968" s="238"/>
      <c r="E968" s="245"/>
      <c r="F968" s="246"/>
      <c r="G968" s="246"/>
      <c r="H968" s="236"/>
      <c r="I968" s="236"/>
      <c r="J968" s="236"/>
      <c r="K968" s="236"/>
      <c r="L968" s="236"/>
      <c r="M968" s="236"/>
      <c r="N968" s="236"/>
      <c r="O968" s="236"/>
      <c r="P968" s="236"/>
      <c r="Q968" s="236"/>
      <c r="R968" s="236"/>
      <c r="S968" s="236"/>
      <c r="T968" s="236"/>
      <c r="U968" s="236"/>
      <c r="V968" s="239"/>
      <c r="W968" s="236"/>
      <c r="X968" s="236"/>
    </row>
    <row r="969">
      <c r="A969" s="236"/>
      <c r="B969" s="236"/>
      <c r="C969" s="236"/>
      <c r="D969" s="238"/>
      <c r="E969" s="245"/>
      <c r="F969" s="246"/>
      <c r="G969" s="246"/>
      <c r="H969" s="236"/>
      <c r="I969" s="236"/>
      <c r="J969" s="236"/>
      <c r="K969" s="236"/>
      <c r="L969" s="236"/>
      <c r="M969" s="236"/>
      <c r="N969" s="236"/>
      <c r="O969" s="236"/>
      <c r="P969" s="236"/>
      <c r="Q969" s="236"/>
      <c r="R969" s="236"/>
      <c r="S969" s="236"/>
      <c r="T969" s="236"/>
      <c r="U969" s="236"/>
      <c r="V969" s="239"/>
      <c r="W969" s="236"/>
      <c r="X969" s="236"/>
    </row>
    <row r="970">
      <c r="A970" s="236"/>
      <c r="B970" s="236"/>
      <c r="C970" s="236"/>
      <c r="D970" s="238"/>
      <c r="E970" s="245"/>
      <c r="F970" s="246"/>
      <c r="G970" s="246"/>
      <c r="H970" s="236"/>
      <c r="I970" s="236"/>
      <c r="J970" s="236"/>
      <c r="K970" s="236"/>
      <c r="L970" s="236"/>
      <c r="M970" s="236"/>
      <c r="N970" s="236"/>
      <c r="O970" s="236"/>
      <c r="P970" s="236"/>
      <c r="Q970" s="236"/>
      <c r="R970" s="236"/>
      <c r="S970" s="236"/>
      <c r="T970" s="236"/>
      <c r="U970" s="236"/>
      <c r="V970" s="239"/>
      <c r="W970" s="236"/>
      <c r="X970" s="236"/>
    </row>
    <row r="971">
      <c r="A971" s="236"/>
      <c r="B971" s="236"/>
      <c r="C971" s="236"/>
      <c r="D971" s="238"/>
      <c r="E971" s="245"/>
      <c r="F971" s="246"/>
      <c r="G971" s="246"/>
      <c r="H971" s="236"/>
      <c r="I971" s="236"/>
      <c r="J971" s="236"/>
      <c r="K971" s="236"/>
      <c r="L971" s="236"/>
      <c r="M971" s="236"/>
      <c r="N971" s="236"/>
      <c r="O971" s="236"/>
      <c r="P971" s="236"/>
      <c r="Q971" s="236"/>
      <c r="R971" s="236"/>
      <c r="S971" s="236"/>
      <c r="T971" s="236"/>
      <c r="U971" s="236"/>
      <c r="V971" s="239"/>
      <c r="W971" s="236"/>
      <c r="X971" s="236"/>
    </row>
    <row r="972">
      <c r="A972" s="236"/>
      <c r="B972" s="236"/>
      <c r="C972" s="236"/>
      <c r="D972" s="238"/>
      <c r="E972" s="245"/>
      <c r="F972" s="246"/>
      <c r="G972" s="246"/>
      <c r="H972" s="236"/>
      <c r="I972" s="236"/>
      <c r="J972" s="236"/>
      <c r="K972" s="236"/>
      <c r="L972" s="236"/>
      <c r="M972" s="236"/>
      <c r="N972" s="236"/>
      <c r="O972" s="236"/>
      <c r="P972" s="236"/>
      <c r="Q972" s="236"/>
      <c r="R972" s="236"/>
      <c r="S972" s="236"/>
      <c r="T972" s="236"/>
      <c r="U972" s="236"/>
      <c r="V972" s="239"/>
      <c r="W972" s="236"/>
      <c r="X972" s="236"/>
    </row>
    <row r="973">
      <c r="A973" s="236"/>
      <c r="B973" s="236"/>
      <c r="C973" s="236"/>
      <c r="D973" s="238"/>
      <c r="E973" s="245"/>
      <c r="F973" s="246"/>
      <c r="G973" s="246"/>
      <c r="H973" s="236"/>
      <c r="I973" s="236"/>
      <c r="J973" s="236"/>
      <c r="K973" s="236"/>
      <c r="L973" s="236"/>
      <c r="M973" s="236"/>
      <c r="N973" s="236"/>
      <c r="O973" s="236"/>
      <c r="P973" s="236"/>
      <c r="Q973" s="236"/>
      <c r="R973" s="236"/>
      <c r="S973" s="236"/>
      <c r="T973" s="236"/>
      <c r="U973" s="236"/>
      <c r="V973" s="239"/>
      <c r="W973" s="236"/>
      <c r="X973" s="236"/>
    </row>
    <row r="974">
      <c r="A974" s="236"/>
      <c r="B974" s="236"/>
      <c r="C974" s="236"/>
      <c r="D974" s="238"/>
      <c r="E974" s="245"/>
      <c r="F974" s="246"/>
      <c r="G974" s="246"/>
      <c r="H974" s="236"/>
      <c r="I974" s="236"/>
      <c r="J974" s="236"/>
      <c r="K974" s="236"/>
      <c r="L974" s="236"/>
      <c r="M974" s="236"/>
      <c r="N974" s="236"/>
      <c r="O974" s="236"/>
      <c r="P974" s="236"/>
      <c r="Q974" s="236"/>
      <c r="R974" s="236"/>
      <c r="S974" s="236"/>
      <c r="T974" s="236"/>
      <c r="U974" s="236"/>
      <c r="V974" s="239"/>
      <c r="W974" s="236"/>
      <c r="X974" s="236"/>
    </row>
    <row r="975">
      <c r="A975" s="236"/>
      <c r="B975" s="236"/>
      <c r="C975" s="236"/>
      <c r="D975" s="238"/>
      <c r="E975" s="245"/>
      <c r="F975" s="246"/>
      <c r="G975" s="246"/>
      <c r="H975" s="236"/>
      <c r="I975" s="236"/>
      <c r="J975" s="236"/>
      <c r="K975" s="236"/>
      <c r="L975" s="236"/>
      <c r="M975" s="236"/>
      <c r="N975" s="236"/>
      <c r="O975" s="236"/>
      <c r="P975" s="236"/>
      <c r="Q975" s="236"/>
      <c r="R975" s="236"/>
      <c r="S975" s="236"/>
      <c r="T975" s="236"/>
      <c r="U975" s="236"/>
      <c r="V975" s="239"/>
      <c r="W975" s="236"/>
      <c r="X975" s="236"/>
    </row>
    <row r="976">
      <c r="A976" s="236"/>
      <c r="B976" s="236"/>
      <c r="C976" s="236"/>
      <c r="D976" s="238"/>
      <c r="E976" s="245"/>
      <c r="F976" s="246"/>
      <c r="G976" s="246"/>
      <c r="H976" s="236"/>
      <c r="I976" s="236"/>
      <c r="J976" s="236"/>
      <c r="K976" s="236"/>
      <c r="L976" s="236"/>
      <c r="M976" s="236"/>
      <c r="N976" s="236"/>
      <c r="O976" s="236"/>
      <c r="P976" s="236"/>
      <c r="Q976" s="236"/>
      <c r="R976" s="236"/>
      <c r="S976" s="236"/>
      <c r="T976" s="236"/>
      <c r="U976" s="236"/>
      <c r="V976" s="239"/>
      <c r="W976" s="236"/>
      <c r="X976" s="236"/>
    </row>
    <row r="977">
      <c r="A977" s="236"/>
      <c r="B977" s="236"/>
      <c r="C977" s="236"/>
      <c r="D977" s="238"/>
      <c r="E977" s="245"/>
      <c r="F977" s="246"/>
      <c r="G977" s="246"/>
      <c r="H977" s="236"/>
      <c r="I977" s="236"/>
      <c r="J977" s="236"/>
      <c r="K977" s="236"/>
      <c r="L977" s="236"/>
      <c r="M977" s="236"/>
      <c r="N977" s="236"/>
      <c r="O977" s="236"/>
      <c r="P977" s="236"/>
      <c r="Q977" s="236"/>
      <c r="R977" s="236"/>
      <c r="S977" s="236"/>
      <c r="T977" s="236"/>
      <c r="U977" s="236"/>
      <c r="V977" s="239"/>
      <c r="W977" s="236"/>
      <c r="X977" s="236"/>
    </row>
    <row r="978">
      <c r="A978" s="236"/>
      <c r="B978" s="236"/>
      <c r="C978" s="236"/>
      <c r="D978" s="238"/>
      <c r="E978" s="245"/>
      <c r="F978" s="246"/>
      <c r="G978" s="246"/>
      <c r="H978" s="236"/>
      <c r="I978" s="236"/>
      <c r="J978" s="236"/>
      <c r="K978" s="236"/>
      <c r="L978" s="236"/>
      <c r="M978" s="236"/>
      <c r="N978" s="236"/>
      <c r="O978" s="236"/>
      <c r="P978" s="236"/>
      <c r="Q978" s="236"/>
      <c r="R978" s="236"/>
      <c r="S978" s="236"/>
      <c r="T978" s="236"/>
      <c r="U978" s="236"/>
      <c r="V978" s="239"/>
      <c r="W978" s="236"/>
      <c r="X978" s="236"/>
    </row>
    <row r="979">
      <c r="A979" s="236"/>
      <c r="B979" s="236"/>
      <c r="C979" s="236"/>
      <c r="D979" s="238"/>
      <c r="E979" s="245"/>
      <c r="F979" s="246"/>
      <c r="G979" s="246"/>
      <c r="H979" s="236"/>
      <c r="I979" s="236"/>
      <c r="J979" s="236"/>
      <c r="K979" s="236"/>
      <c r="L979" s="236"/>
      <c r="M979" s="236"/>
      <c r="N979" s="236"/>
      <c r="O979" s="236"/>
      <c r="P979" s="236"/>
      <c r="Q979" s="236"/>
      <c r="R979" s="236"/>
      <c r="S979" s="236"/>
      <c r="T979" s="236"/>
      <c r="U979" s="236"/>
      <c r="V979" s="239"/>
      <c r="W979" s="236"/>
      <c r="X979" s="236"/>
    </row>
    <row r="980">
      <c r="A980" s="236"/>
      <c r="B980" s="236"/>
      <c r="C980" s="236"/>
      <c r="D980" s="238"/>
      <c r="E980" s="245"/>
      <c r="F980" s="246"/>
      <c r="G980" s="246"/>
      <c r="H980" s="236"/>
      <c r="I980" s="236"/>
      <c r="J980" s="236"/>
      <c r="K980" s="236"/>
      <c r="L980" s="236"/>
      <c r="M980" s="236"/>
      <c r="N980" s="236"/>
      <c r="O980" s="236"/>
      <c r="P980" s="236"/>
      <c r="Q980" s="236"/>
      <c r="R980" s="236"/>
      <c r="S980" s="236"/>
      <c r="T980" s="236"/>
      <c r="U980" s="236"/>
      <c r="V980" s="239"/>
      <c r="W980" s="236"/>
      <c r="X980" s="236"/>
    </row>
    <row r="981">
      <c r="A981" s="236"/>
      <c r="B981" s="236"/>
      <c r="C981" s="236"/>
      <c r="D981" s="238"/>
      <c r="E981" s="245"/>
      <c r="F981" s="246"/>
      <c r="G981" s="246"/>
      <c r="H981" s="236"/>
      <c r="I981" s="236"/>
      <c r="J981" s="236"/>
      <c r="K981" s="236"/>
      <c r="L981" s="236"/>
      <c r="M981" s="236"/>
      <c r="N981" s="236"/>
      <c r="O981" s="236"/>
      <c r="P981" s="236"/>
      <c r="Q981" s="236"/>
      <c r="R981" s="236"/>
      <c r="S981" s="236"/>
      <c r="T981" s="236"/>
      <c r="U981" s="236"/>
      <c r="V981" s="239"/>
      <c r="W981" s="236"/>
      <c r="X981" s="236"/>
    </row>
    <row r="982">
      <c r="A982" s="236"/>
      <c r="B982" s="236"/>
      <c r="C982" s="236"/>
      <c r="D982" s="238"/>
      <c r="E982" s="245"/>
      <c r="F982" s="246"/>
      <c r="G982" s="246"/>
      <c r="H982" s="236"/>
      <c r="I982" s="236"/>
      <c r="J982" s="236"/>
      <c r="K982" s="236"/>
      <c r="L982" s="236"/>
      <c r="M982" s="236"/>
      <c r="N982" s="236"/>
      <c r="O982" s="236"/>
      <c r="P982" s="236"/>
      <c r="Q982" s="236"/>
      <c r="R982" s="236"/>
      <c r="S982" s="236"/>
      <c r="T982" s="236"/>
      <c r="U982" s="236"/>
      <c r="V982" s="239"/>
      <c r="W982" s="236"/>
      <c r="X982" s="236"/>
    </row>
    <row r="983">
      <c r="A983" s="236"/>
      <c r="B983" s="236"/>
      <c r="C983" s="236"/>
      <c r="D983" s="238"/>
      <c r="E983" s="245"/>
      <c r="F983" s="246"/>
      <c r="G983" s="246"/>
      <c r="H983" s="236"/>
      <c r="I983" s="236"/>
      <c r="J983" s="236"/>
      <c r="K983" s="236"/>
      <c r="L983" s="236"/>
      <c r="M983" s="236"/>
      <c r="N983" s="236"/>
      <c r="O983" s="236"/>
      <c r="P983" s="236"/>
      <c r="Q983" s="236"/>
      <c r="R983" s="236"/>
      <c r="S983" s="236"/>
      <c r="T983" s="236"/>
      <c r="U983" s="236"/>
      <c r="V983" s="239"/>
      <c r="W983" s="236"/>
      <c r="X983" s="236"/>
    </row>
    <row r="984">
      <c r="A984" s="236"/>
      <c r="B984" s="236"/>
      <c r="C984" s="236"/>
      <c r="D984" s="238"/>
      <c r="E984" s="245"/>
      <c r="F984" s="246"/>
      <c r="G984" s="246"/>
      <c r="H984" s="236"/>
      <c r="I984" s="236"/>
      <c r="J984" s="236"/>
      <c r="K984" s="236"/>
      <c r="L984" s="236"/>
      <c r="M984" s="236"/>
      <c r="N984" s="236"/>
      <c r="O984" s="236"/>
      <c r="P984" s="236"/>
      <c r="Q984" s="236"/>
      <c r="R984" s="236"/>
      <c r="S984" s="236"/>
      <c r="T984" s="236"/>
      <c r="U984" s="236"/>
      <c r="V984" s="239"/>
      <c r="W984" s="236"/>
      <c r="X984" s="236"/>
    </row>
    <row r="985">
      <c r="A985" s="236"/>
      <c r="B985" s="236"/>
      <c r="C985" s="236"/>
      <c r="D985" s="238"/>
      <c r="E985" s="245"/>
      <c r="F985" s="246"/>
      <c r="G985" s="246"/>
      <c r="H985" s="236"/>
      <c r="I985" s="236"/>
      <c r="J985" s="236"/>
      <c r="K985" s="236"/>
      <c r="L985" s="236"/>
      <c r="M985" s="236"/>
      <c r="N985" s="236"/>
      <c r="O985" s="236"/>
      <c r="P985" s="236"/>
      <c r="Q985" s="236"/>
      <c r="R985" s="236"/>
      <c r="S985" s="236"/>
      <c r="T985" s="236"/>
      <c r="U985" s="236"/>
      <c r="V985" s="239"/>
      <c r="W985" s="236"/>
      <c r="X985" s="236"/>
    </row>
    <row r="986">
      <c r="A986" s="236"/>
      <c r="B986" s="236"/>
      <c r="C986" s="236"/>
      <c r="D986" s="238"/>
      <c r="E986" s="245"/>
      <c r="F986" s="246"/>
      <c r="G986" s="246"/>
      <c r="H986" s="236"/>
      <c r="I986" s="236"/>
      <c r="J986" s="236"/>
      <c r="K986" s="236"/>
      <c r="L986" s="236"/>
      <c r="M986" s="236"/>
      <c r="N986" s="236"/>
      <c r="O986" s="236"/>
      <c r="P986" s="236"/>
      <c r="Q986" s="236"/>
      <c r="R986" s="236"/>
      <c r="S986" s="236"/>
      <c r="T986" s="236"/>
      <c r="U986" s="236"/>
      <c r="V986" s="239"/>
      <c r="W986" s="236"/>
      <c r="X986" s="236"/>
    </row>
    <row r="987">
      <c r="A987" s="236"/>
      <c r="B987" s="236"/>
      <c r="C987" s="236"/>
      <c r="D987" s="238"/>
      <c r="E987" s="245"/>
      <c r="F987" s="246"/>
      <c r="G987" s="246"/>
      <c r="H987" s="236"/>
      <c r="I987" s="236"/>
      <c r="J987" s="236"/>
      <c r="K987" s="236"/>
      <c r="L987" s="236"/>
      <c r="M987" s="236"/>
      <c r="N987" s="236"/>
      <c r="O987" s="236"/>
      <c r="P987" s="236"/>
      <c r="Q987" s="236"/>
      <c r="R987" s="236"/>
      <c r="S987" s="236"/>
      <c r="T987" s="236"/>
      <c r="U987" s="236"/>
      <c r="V987" s="239"/>
      <c r="W987" s="236"/>
      <c r="X987" s="236"/>
    </row>
    <row r="988">
      <c r="A988" s="236"/>
      <c r="B988" s="236"/>
      <c r="C988" s="236"/>
      <c r="D988" s="238"/>
      <c r="E988" s="245"/>
      <c r="F988" s="246"/>
      <c r="G988" s="246"/>
      <c r="H988" s="236"/>
      <c r="I988" s="236"/>
      <c r="J988" s="236"/>
      <c r="K988" s="236"/>
      <c r="L988" s="236"/>
      <c r="M988" s="236"/>
      <c r="N988" s="236"/>
      <c r="O988" s="236"/>
      <c r="P988" s="236"/>
      <c r="Q988" s="236"/>
      <c r="R988" s="236"/>
      <c r="S988" s="236"/>
      <c r="T988" s="236"/>
      <c r="U988" s="236"/>
      <c r="V988" s="239"/>
      <c r="W988" s="236"/>
      <c r="X988" s="236"/>
    </row>
    <row r="989">
      <c r="A989" s="236"/>
      <c r="B989" s="236"/>
      <c r="C989" s="236"/>
      <c r="D989" s="238"/>
      <c r="E989" s="245"/>
      <c r="F989" s="246"/>
      <c r="G989" s="246"/>
      <c r="H989" s="236"/>
      <c r="I989" s="236"/>
      <c r="J989" s="236"/>
      <c r="K989" s="236"/>
      <c r="L989" s="236"/>
      <c r="M989" s="236"/>
      <c r="N989" s="236"/>
      <c r="O989" s="236"/>
      <c r="P989" s="236"/>
      <c r="Q989" s="236"/>
      <c r="R989" s="236"/>
      <c r="S989" s="236"/>
      <c r="T989" s="236"/>
      <c r="U989" s="236"/>
      <c r="V989" s="239"/>
      <c r="W989" s="236"/>
      <c r="X989" s="236"/>
    </row>
    <row r="990">
      <c r="A990" s="236"/>
      <c r="B990" s="236"/>
      <c r="C990" s="236"/>
      <c r="D990" s="238"/>
      <c r="E990" s="245"/>
      <c r="F990" s="246"/>
      <c r="G990" s="246"/>
      <c r="H990" s="236"/>
      <c r="I990" s="236"/>
      <c r="J990" s="236"/>
      <c r="K990" s="236"/>
      <c r="L990" s="236"/>
      <c r="M990" s="236"/>
      <c r="N990" s="236"/>
      <c r="O990" s="236"/>
      <c r="P990" s="236"/>
      <c r="Q990" s="236"/>
      <c r="R990" s="236"/>
      <c r="S990" s="236"/>
      <c r="T990" s="236"/>
      <c r="U990" s="236"/>
      <c r="V990" s="239"/>
      <c r="W990" s="236"/>
      <c r="X990" s="236"/>
    </row>
    <row r="991">
      <c r="A991" s="236"/>
      <c r="B991" s="236"/>
      <c r="C991" s="236"/>
      <c r="D991" s="238"/>
      <c r="E991" s="245"/>
      <c r="F991" s="246"/>
      <c r="G991" s="246"/>
      <c r="H991" s="236"/>
      <c r="I991" s="236"/>
      <c r="J991" s="236"/>
      <c r="K991" s="236"/>
      <c r="L991" s="236"/>
      <c r="M991" s="236"/>
      <c r="N991" s="236"/>
      <c r="O991" s="236"/>
      <c r="P991" s="236"/>
      <c r="Q991" s="236"/>
      <c r="R991" s="236"/>
      <c r="S991" s="236"/>
      <c r="T991" s="236"/>
      <c r="U991" s="236"/>
      <c r="V991" s="239"/>
      <c r="W991" s="236"/>
      <c r="X991" s="236"/>
    </row>
    <row r="992">
      <c r="A992" s="236"/>
      <c r="B992" s="236"/>
      <c r="C992" s="236"/>
      <c r="D992" s="238"/>
      <c r="E992" s="245"/>
      <c r="F992" s="246"/>
      <c r="G992" s="246"/>
      <c r="H992" s="236"/>
      <c r="I992" s="236"/>
      <c r="J992" s="236"/>
      <c r="K992" s="236"/>
      <c r="L992" s="236"/>
      <c r="M992" s="236"/>
      <c r="N992" s="236"/>
      <c r="O992" s="236"/>
      <c r="P992" s="236"/>
      <c r="Q992" s="236"/>
      <c r="R992" s="236"/>
      <c r="S992" s="236"/>
      <c r="T992" s="236"/>
      <c r="U992" s="236"/>
      <c r="V992" s="239"/>
      <c r="W992" s="236"/>
      <c r="X992" s="236"/>
    </row>
    <row r="993">
      <c r="A993" s="236"/>
      <c r="B993" s="236"/>
      <c r="C993" s="236"/>
      <c r="D993" s="238"/>
      <c r="E993" s="245"/>
      <c r="F993" s="246"/>
      <c r="G993" s="246"/>
      <c r="H993" s="236"/>
      <c r="I993" s="236"/>
      <c r="J993" s="236"/>
      <c r="K993" s="236"/>
      <c r="L993" s="236"/>
      <c r="M993" s="236"/>
      <c r="N993" s="236"/>
      <c r="O993" s="236"/>
      <c r="P993" s="236"/>
      <c r="Q993" s="236"/>
      <c r="R993" s="236"/>
      <c r="S993" s="236"/>
      <c r="T993" s="236"/>
      <c r="U993" s="236"/>
      <c r="V993" s="239"/>
      <c r="W993" s="236"/>
      <c r="X993" s="236"/>
    </row>
    <row r="994">
      <c r="A994" s="236"/>
      <c r="B994" s="236"/>
      <c r="C994" s="236"/>
      <c r="D994" s="238"/>
      <c r="E994" s="245"/>
      <c r="F994" s="246"/>
      <c r="G994" s="246"/>
      <c r="H994" s="236"/>
      <c r="I994" s="236"/>
      <c r="J994" s="236"/>
      <c r="K994" s="236"/>
      <c r="L994" s="236"/>
      <c r="M994" s="236"/>
      <c r="N994" s="236"/>
      <c r="O994" s="236"/>
      <c r="P994" s="236"/>
      <c r="Q994" s="236"/>
      <c r="R994" s="236"/>
      <c r="S994" s="236"/>
      <c r="T994" s="236"/>
      <c r="U994" s="236"/>
      <c r="V994" s="239"/>
      <c r="W994" s="236"/>
      <c r="X994" s="236"/>
    </row>
    <row r="995">
      <c r="A995" s="236"/>
      <c r="B995" s="236"/>
      <c r="C995" s="236"/>
      <c r="D995" s="238"/>
      <c r="E995" s="245"/>
      <c r="F995" s="246"/>
      <c r="G995" s="246"/>
      <c r="H995" s="236"/>
      <c r="I995" s="236"/>
      <c r="J995" s="236"/>
      <c r="K995" s="236"/>
      <c r="L995" s="236"/>
      <c r="M995" s="236"/>
      <c r="N995" s="236"/>
      <c r="O995" s="236"/>
      <c r="P995" s="236"/>
      <c r="Q995" s="236"/>
      <c r="R995" s="236"/>
      <c r="S995" s="236"/>
      <c r="T995" s="236"/>
      <c r="U995" s="236"/>
      <c r="V995" s="239"/>
      <c r="W995" s="236"/>
      <c r="X995" s="236"/>
    </row>
    <row r="996">
      <c r="A996" s="236"/>
      <c r="B996" s="236"/>
      <c r="C996" s="236"/>
      <c r="D996" s="238"/>
      <c r="E996" s="245"/>
      <c r="F996" s="246"/>
      <c r="G996" s="246"/>
      <c r="H996" s="236"/>
      <c r="I996" s="236"/>
      <c r="J996" s="236"/>
      <c r="K996" s="236"/>
      <c r="L996" s="236"/>
      <c r="M996" s="236"/>
      <c r="N996" s="236"/>
      <c r="O996" s="236"/>
      <c r="P996" s="236"/>
      <c r="Q996" s="236"/>
      <c r="R996" s="236"/>
      <c r="S996" s="236"/>
      <c r="T996" s="236"/>
      <c r="U996" s="236"/>
      <c r="V996" s="239"/>
      <c r="W996" s="236"/>
      <c r="X996" s="236"/>
    </row>
    <row r="997">
      <c r="A997" s="236"/>
      <c r="B997" s="236"/>
      <c r="C997" s="236"/>
      <c r="D997" s="238"/>
      <c r="E997" s="245"/>
      <c r="F997" s="246"/>
      <c r="G997" s="246"/>
      <c r="H997" s="236"/>
      <c r="I997" s="236"/>
      <c r="J997" s="236"/>
      <c r="K997" s="236"/>
      <c r="L997" s="236"/>
      <c r="M997" s="236"/>
      <c r="N997" s="236"/>
      <c r="O997" s="236"/>
      <c r="P997" s="236"/>
      <c r="Q997" s="236"/>
      <c r="R997" s="236"/>
      <c r="S997" s="236"/>
      <c r="T997" s="236"/>
      <c r="U997" s="236"/>
      <c r="V997" s="239"/>
      <c r="W997" s="236"/>
      <c r="X997" s="236"/>
    </row>
    <row r="998">
      <c r="A998" s="236"/>
      <c r="B998" s="236"/>
      <c r="C998" s="236"/>
      <c r="D998" s="238"/>
      <c r="E998" s="245"/>
      <c r="F998" s="246"/>
      <c r="G998" s="246"/>
      <c r="H998" s="236"/>
      <c r="I998" s="236"/>
      <c r="J998" s="236"/>
      <c r="K998" s="236"/>
      <c r="L998" s="236"/>
      <c r="M998" s="236"/>
      <c r="N998" s="236"/>
      <c r="O998" s="236"/>
      <c r="P998" s="236"/>
      <c r="Q998" s="236"/>
      <c r="R998" s="236"/>
      <c r="S998" s="236"/>
      <c r="T998" s="236"/>
      <c r="U998" s="236"/>
      <c r="V998" s="239"/>
      <c r="W998" s="236"/>
      <c r="X998" s="236"/>
    </row>
    <row r="999">
      <c r="A999" s="236"/>
      <c r="B999" s="236"/>
      <c r="C999" s="236"/>
      <c r="D999" s="238"/>
      <c r="E999" s="245"/>
      <c r="F999" s="246"/>
      <c r="G999" s="246"/>
      <c r="H999" s="236"/>
      <c r="I999" s="236"/>
      <c r="J999" s="236"/>
      <c r="K999" s="236"/>
      <c r="L999" s="236"/>
      <c r="M999" s="236"/>
      <c r="N999" s="236"/>
      <c r="O999" s="236"/>
      <c r="P999" s="236"/>
      <c r="Q999" s="236"/>
      <c r="R999" s="236"/>
      <c r="S999" s="236"/>
      <c r="T999" s="236"/>
      <c r="U999" s="236"/>
      <c r="V999" s="239"/>
      <c r="W999" s="236"/>
      <c r="X999" s="236"/>
    </row>
    <row r="1000">
      <c r="A1000" s="236"/>
      <c r="B1000" s="236"/>
      <c r="C1000" s="236"/>
      <c r="D1000" s="238"/>
      <c r="E1000" s="245"/>
      <c r="F1000" s="246"/>
      <c r="G1000" s="246"/>
      <c r="H1000" s="236"/>
      <c r="I1000" s="236"/>
      <c r="J1000" s="236"/>
      <c r="K1000" s="236"/>
      <c r="L1000" s="236"/>
      <c r="M1000" s="236"/>
      <c r="N1000" s="236"/>
      <c r="O1000" s="236"/>
      <c r="P1000" s="236"/>
      <c r="Q1000" s="236"/>
      <c r="R1000" s="236"/>
      <c r="S1000" s="236"/>
      <c r="T1000" s="236"/>
      <c r="U1000" s="236"/>
      <c r="V1000" s="239"/>
      <c r="W1000" s="236"/>
      <c r="X1000" s="236"/>
    </row>
    <row r="1001">
      <c r="A1001" s="236"/>
      <c r="B1001" s="236"/>
      <c r="C1001" s="236"/>
      <c r="D1001" s="238"/>
      <c r="E1001" s="245"/>
      <c r="F1001" s="246"/>
      <c r="G1001" s="246"/>
      <c r="H1001" s="236"/>
      <c r="I1001" s="236"/>
      <c r="J1001" s="236"/>
      <c r="K1001" s="236"/>
      <c r="L1001" s="236"/>
      <c r="M1001" s="236"/>
      <c r="N1001" s="236"/>
      <c r="O1001" s="236"/>
      <c r="P1001" s="236"/>
      <c r="Q1001" s="236"/>
      <c r="R1001" s="236"/>
      <c r="S1001" s="236"/>
      <c r="T1001" s="236"/>
      <c r="U1001" s="236"/>
      <c r="V1001" s="239"/>
      <c r="W1001" s="236"/>
      <c r="X1001" s="236"/>
    </row>
    <row r="1002">
      <c r="A1002" s="236"/>
      <c r="B1002" s="236"/>
      <c r="C1002" s="236"/>
      <c r="D1002" s="238"/>
      <c r="E1002" s="245"/>
      <c r="F1002" s="246"/>
      <c r="G1002" s="246"/>
      <c r="H1002" s="236"/>
      <c r="I1002" s="236"/>
      <c r="J1002" s="236"/>
      <c r="K1002" s="236"/>
      <c r="L1002" s="236"/>
      <c r="M1002" s="236"/>
      <c r="N1002" s="236"/>
      <c r="O1002" s="236"/>
      <c r="P1002" s="236"/>
      <c r="Q1002" s="236"/>
      <c r="R1002" s="236"/>
      <c r="S1002" s="236"/>
      <c r="T1002" s="236"/>
      <c r="U1002" s="236"/>
      <c r="V1002" s="239"/>
      <c r="W1002" s="236"/>
      <c r="X1002" s="236"/>
    </row>
    <row r="1003">
      <c r="A1003" s="236"/>
      <c r="B1003" s="236"/>
      <c r="C1003" s="236"/>
      <c r="D1003" s="238"/>
      <c r="E1003" s="245"/>
      <c r="F1003" s="246"/>
      <c r="G1003" s="246"/>
      <c r="H1003" s="236"/>
      <c r="I1003" s="236"/>
      <c r="J1003" s="236"/>
      <c r="K1003" s="236"/>
      <c r="L1003" s="236"/>
      <c r="M1003" s="236"/>
      <c r="N1003" s="236"/>
      <c r="O1003" s="236"/>
      <c r="P1003" s="236"/>
      <c r="Q1003" s="236"/>
      <c r="R1003" s="236"/>
      <c r="S1003" s="236"/>
      <c r="T1003" s="236"/>
      <c r="U1003" s="236"/>
      <c r="V1003" s="239"/>
      <c r="W1003" s="236"/>
      <c r="X1003" s="236"/>
    </row>
    <row r="1004">
      <c r="A1004" s="236"/>
      <c r="B1004" s="236"/>
      <c r="C1004" s="236"/>
      <c r="D1004" s="238"/>
      <c r="E1004" s="245"/>
      <c r="F1004" s="246"/>
      <c r="G1004" s="246"/>
      <c r="H1004" s="236"/>
      <c r="I1004" s="236"/>
      <c r="J1004" s="236"/>
      <c r="K1004" s="236"/>
      <c r="L1004" s="236"/>
      <c r="M1004" s="236"/>
      <c r="N1004" s="236"/>
      <c r="O1004" s="236"/>
      <c r="P1004" s="236"/>
      <c r="Q1004" s="236"/>
      <c r="R1004" s="236"/>
      <c r="S1004" s="236"/>
      <c r="T1004" s="236"/>
      <c r="U1004" s="236"/>
      <c r="V1004" s="239"/>
      <c r="W1004" s="236"/>
      <c r="X1004" s="236"/>
    </row>
    <row r="1005">
      <c r="A1005" s="236"/>
      <c r="B1005" s="236"/>
      <c r="C1005" s="236"/>
      <c r="D1005" s="238"/>
      <c r="E1005" s="245"/>
      <c r="F1005" s="246"/>
      <c r="G1005" s="246"/>
      <c r="H1005" s="236"/>
      <c r="I1005" s="236"/>
      <c r="J1005" s="236"/>
      <c r="K1005" s="236"/>
      <c r="L1005" s="236"/>
      <c r="M1005" s="236"/>
      <c r="N1005" s="236"/>
      <c r="O1005" s="236"/>
      <c r="P1005" s="236"/>
      <c r="Q1005" s="236"/>
      <c r="R1005" s="236"/>
      <c r="S1005" s="236"/>
      <c r="T1005" s="236"/>
      <c r="U1005" s="236"/>
      <c r="V1005" s="239"/>
      <c r="W1005" s="236"/>
      <c r="X1005" s="236"/>
    </row>
    <row r="1006">
      <c r="A1006" s="236"/>
      <c r="B1006" s="236"/>
      <c r="C1006" s="236"/>
      <c r="D1006" s="238"/>
      <c r="E1006" s="245"/>
      <c r="F1006" s="246"/>
      <c r="G1006" s="246"/>
      <c r="H1006" s="236"/>
      <c r="I1006" s="236"/>
      <c r="J1006" s="236"/>
      <c r="K1006" s="236"/>
      <c r="L1006" s="236"/>
      <c r="M1006" s="236"/>
      <c r="N1006" s="236"/>
      <c r="O1006" s="236"/>
      <c r="P1006" s="236"/>
      <c r="Q1006" s="236"/>
      <c r="R1006" s="236"/>
      <c r="S1006" s="236"/>
      <c r="T1006" s="236"/>
      <c r="U1006" s="236"/>
      <c r="V1006" s="239"/>
      <c r="W1006" s="236"/>
      <c r="X1006" s="236"/>
    </row>
    <row r="1007">
      <c r="A1007" s="236"/>
      <c r="B1007" s="236"/>
      <c r="C1007" s="236"/>
      <c r="D1007" s="238"/>
      <c r="E1007" s="245"/>
      <c r="F1007" s="246"/>
      <c r="G1007" s="246"/>
      <c r="H1007" s="236"/>
      <c r="I1007" s="236"/>
      <c r="J1007" s="236"/>
      <c r="K1007" s="236"/>
      <c r="L1007" s="236"/>
      <c r="M1007" s="236"/>
      <c r="N1007" s="236"/>
      <c r="O1007" s="236"/>
      <c r="P1007" s="236"/>
      <c r="Q1007" s="236"/>
      <c r="R1007" s="236"/>
      <c r="S1007" s="236"/>
      <c r="T1007" s="236"/>
      <c r="U1007" s="236"/>
      <c r="V1007" s="239"/>
      <c r="W1007" s="236"/>
      <c r="X1007" s="236"/>
    </row>
    <row r="1008">
      <c r="A1008" s="236"/>
      <c r="B1008" s="236"/>
      <c r="C1008" s="236"/>
      <c r="D1008" s="238"/>
      <c r="E1008" s="245"/>
      <c r="F1008" s="246"/>
      <c r="G1008" s="246"/>
      <c r="H1008" s="236"/>
      <c r="I1008" s="236"/>
      <c r="J1008" s="236"/>
      <c r="K1008" s="236"/>
      <c r="L1008" s="236"/>
      <c r="M1008" s="236"/>
      <c r="N1008" s="236"/>
      <c r="O1008" s="236"/>
      <c r="P1008" s="236"/>
      <c r="Q1008" s="236"/>
      <c r="R1008" s="236"/>
      <c r="S1008" s="236"/>
      <c r="T1008" s="236"/>
      <c r="U1008" s="236"/>
      <c r="V1008" s="239"/>
      <c r="W1008" s="236"/>
      <c r="X1008" s="236"/>
    </row>
    <row r="1009">
      <c r="A1009" s="236"/>
      <c r="B1009" s="236"/>
      <c r="C1009" s="236"/>
      <c r="D1009" s="238"/>
      <c r="E1009" s="245"/>
      <c r="F1009" s="246"/>
      <c r="G1009" s="246"/>
      <c r="H1009" s="236"/>
      <c r="I1009" s="236"/>
      <c r="J1009" s="236"/>
      <c r="K1009" s="236"/>
      <c r="L1009" s="236"/>
      <c r="M1009" s="236"/>
      <c r="N1009" s="236"/>
      <c r="O1009" s="236"/>
      <c r="P1009" s="236"/>
      <c r="Q1009" s="236"/>
      <c r="R1009" s="236"/>
      <c r="S1009" s="236"/>
      <c r="T1009" s="236"/>
      <c r="U1009" s="236"/>
      <c r="V1009" s="239"/>
      <c r="W1009" s="236"/>
      <c r="X1009" s="236"/>
    </row>
    <row r="1010">
      <c r="A1010" s="236"/>
      <c r="B1010" s="236"/>
      <c r="C1010" s="236"/>
      <c r="D1010" s="238"/>
      <c r="E1010" s="245"/>
      <c r="F1010" s="246"/>
      <c r="G1010" s="246"/>
      <c r="H1010" s="236"/>
      <c r="I1010" s="236"/>
      <c r="J1010" s="236"/>
      <c r="K1010" s="236"/>
      <c r="L1010" s="236"/>
      <c r="M1010" s="236"/>
      <c r="N1010" s="236"/>
      <c r="O1010" s="236"/>
      <c r="P1010" s="236"/>
      <c r="Q1010" s="236"/>
      <c r="R1010" s="236"/>
      <c r="S1010" s="236"/>
      <c r="T1010" s="236"/>
      <c r="U1010" s="236"/>
      <c r="V1010" s="239"/>
      <c r="W1010" s="236"/>
      <c r="X1010" s="236"/>
    </row>
    <row r="1011">
      <c r="A1011" s="236"/>
      <c r="B1011" s="236"/>
      <c r="C1011" s="236"/>
      <c r="D1011" s="238"/>
      <c r="E1011" s="245"/>
      <c r="F1011" s="246"/>
      <c r="G1011" s="246"/>
      <c r="H1011" s="236"/>
      <c r="I1011" s="236"/>
      <c r="J1011" s="236"/>
      <c r="K1011" s="236"/>
      <c r="L1011" s="236"/>
      <c r="M1011" s="236"/>
      <c r="N1011" s="236"/>
      <c r="O1011" s="236"/>
      <c r="P1011" s="236"/>
      <c r="Q1011" s="236"/>
      <c r="R1011" s="236"/>
      <c r="S1011" s="236"/>
      <c r="T1011" s="236"/>
      <c r="U1011" s="236"/>
      <c r="V1011" s="239"/>
      <c r="W1011" s="236"/>
      <c r="X1011" s="236"/>
    </row>
    <row r="1012">
      <c r="A1012" s="236"/>
      <c r="B1012" s="236"/>
      <c r="C1012" s="236"/>
      <c r="D1012" s="238"/>
      <c r="E1012" s="245"/>
      <c r="F1012" s="246"/>
      <c r="G1012" s="246"/>
      <c r="H1012" s="236"/>
      <c r="I1012" s="236"/>
      <c r="J1012" s="236"/>
      <c r="K1012" s="236"/>
      <c r="L1012" s="236"/>
      <c r="M1012" s="236"/>
      <c r="N1012" s="236"/>
      <c r="O1012" s="236"/>
      <c r="P1012" s="236"/>
      <c r="Q1012" s="236"/>
      <c r="R1012" s="236"/>
      <c r="S1012" s="236"/>
      <c r="T1012" s="236"/>
      <c r="U1012" s="236"/>
      <c r="V1012" s="239"/>
      <c r="W1012" s="236"/>
      <c r="X1012" s="236"/>
    </row>
    <row r="1013">
      <c r="A1013" s="236"/>
      <c r="B1013" s="236"/>
      <c r="C1013" s="236"/>
      <c r="D1013" s="238"/>
      <c r="E1013" s="245"/>
      <c r="F1013" s="246"/>
      <c r="G1013" s="246"/>
      <c r="H1013" s="236"/>
      <c r="I1013" s="236"/>
      <c r="J1013" s="236"/>
      <c r="K1013" s="236"/>
      <c r="L1013" s="236"/>
      <c r="M1013" s="236"/>
      <c r="N1013" s="236"/>
      <c r="O1013" s="236"/>
      <c r="P1013" s="236"/>
      <c r="Q1013" s="236"/>
      <c r="R1013" s="236"/>
      <c r="S1013" s="236"/>
      <c r="T1013" s="236"/>
      <c r="U1013" s="236"/>
      <c r="V1013" s="239"/>
      <c r="W1013" s="236"/>
      <c r="X1013" s="236"/>
    </row>
    <row r="1014">
      <c r="A1014" s="236"/>
      <c r="B1014" s="236"/>
      <c r="C1014" s="236"/>
      <c r="D1014" s="238"/>
      <c r="E1014" s="245"/>
      <c r="F1014" s="246"/>
      <c r="G1014" s="246"/>
      <c r="H1014" s="236"/>
      <c r="I1014" s="236"/>
      <c r="J1014" s="236"/>
      <c r="K1014" s="236"/>
      <c r="L1014" s="236"/>
      <c r="M1014" s="236"/>
      <c r="N1014" s="236"/>
      <c r="O1014" s="236"/>
      <c r="P1014" s="236"/>
      <c r="Q1014" s="236"/>
      <c r="R1014" s="236"/>
      <c r="S1014" s="236"/>
      <c r="T1014" s="236"/>
      <c r="U1014" s="236"/>
      <c r="V1014" s="239"/>
      <c r="W1014" s="236"/>
      <c r="X1014" s="236"/>
    </row>
    <row r="1015">
      <c r="A1015" s="236"/>
      <c r="B1015" s="236"/>
      <c r="C1015" s="236"/>
      <c r="D1015" s="238"/>
      <c r="E1015" s="245"/>
      <c r="F1015" s="246"/>
      <c r="G1015" s="246"/>
      <c r="H1015" s="236"/>
      <c r="I1015" s="236"/>
      <c r="J1015" s="236"/>
      <c r="K1015" s="236"/>
      <c r="L1015" s="236"/>
      <c r="M1015" s="236"/>
      <c r="N1015" s="236"/>
      <c r="O1015" s="236"/>
      <c r="P1015" s="236"/>
      <c r="Q1015" s="236"/>
      <c r="R1015" s="236"/>
      <c r="S1015" s="236"/>
      <c r="T1015" s="236"/>
      <c r="U1015" s="236"/>
      <c r="V1015" s="239"/>
      <c r="W1015" s="236"/>
      <c r="X1015" s="236"/>
    </row>
  </sheetData>
  <mergeCells count="7">
    <mergeCell ref="A1:B1"/>
    <mergeCell ref="S1:X1"/>
    <mergeCell ref="H2:I2"/>
    <mergeCell ref="J2:K2"/>
    <mergeCell ref="L2:M2"/>
    <mergeCell ref="N2:O2"/>
    <mergeCell ref="P2:Q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8.88"/>
    <col customWidth="1" min="2" max="2" width="11.13"/>
    <col customWidth="1" min="3" max="3" width="7.75"/>
    <col customWidth="1" min="4" max="4" width="29.25"/>
    <col customWidth="1" min="5" max="5" width="13.75"/>
    <col customWidth="1" hidden="1" min="6" max="7" width="13.75"/>
    <col customWidth="1" min="8" max="8" width="13.88"/>
    <col customWidth="1" min="9" max="10" width="12.63"/>
  </cols>
  <sheetData>
    <row r="1">
      <c r="A1" s="247" t="s">
        <v>6973</v>
      </c>
    </row>
    <row r="2">
      <c r="A2" s="248" t="s">
        <v>6974</v>
      </c>
      <c r="B2" s="249" t="s">
        <v>6975</v>
      </c>
    </row>
    <row r="3">
      <c r="A3" s="250"/>
      <c r="B3" s="251" t="s">
        <v>6976</v>
      </c>
      <c r="C3" s="252"/>
      <c r="D3" s="252"/>
      <c r="E3" s="253"/>
      <c r="F3" s="253"/>
      <c r="G3" s="253"/>
      <c r="H3" s="254">
        <f>TODAY()</f>
        <v>46070</v>
      </c>
      <c r="I3" s="252"/>
      <c r="J3" s="255"/>
    </row>
    <row r="4">
      <c r="A4" s="256" t="s">
        <v>6977</v>
      </c>
      <c r="B4" s="13"/>
      <c r="C4" s="13"/>
      <c r="D4" s="13"/>
      <c r="E4" s="13"/>
      <c r="F4" s="13"/>
      <c r="G4" s="13"/>
      <c r="H4" s="13"/>
      <c r="I4" s="13"/>
      <c r="J4" s="14"/>
    </row>
    <row r="5">
      <c r="A5" s="257" t="s">
        <v>13</v>
      </c>
      <c r="B5" s="258" t="s">
        <v>6978</v>
      </c>
      <c r="C5" s="258" t="s">
        <v>13</v>
      </c>
      <c r="D5" s="258" t="s">
        <v>6979</v>
      </c>
      <c r="E5" s="259" t="s">
        <v>6980</v>
      </c>
      <c r="F5" s="259" t="s">
        <v>6981</v>
      </c>
      <c r="G5" s="259" t="s">
        <v>6982</v>
      </c>
      <c r="H5" s="259" t="s">
        <v>6983</v>
      </c>
      <c r="I5" s="260" t="s">
        <v>6984</v>
      </c>
      <c r="J5" s="261" t="s">
        <v>6985</v>
      </c>
    </row>
    <row r="6">
      <c r="A6" s="262" t="s">
        <v>4657</v>
      </c>
      <c r="B6" s="263" t="s">
        <v>6986</v>
      </c>
      <c r="C6" s="264" t="s">
        <v>3973</v>
      </c>
      <c r="D6" s="264" t="s">
        <v>6987</v>
      </c>
      <c r="E6" s="265">
        <f>VLOOKUP(C6,Productos!$D$3:$S235,16,FALSE())</f>
        <v>143632</v>
      </c>
      <c r="F6" s="266">
        <f>SUM($E$6:$E$8)*0.95</f>
        <v>152986.1</v>
      </c>
      <c r="G6" s="266">
        <f>(ROUND(F6/1000,0))*1000</f>
        <v>153000</v>
      </c>
      <c r="H6" s="266">
        <f>SUM($E$6:$E$8)-G6</f>
        <v>8038</v>
      </c>
      <c r="I6" s="266">
        <f>G6*0.16</f>
        <v>24480</v>
      </c>
      <c r="J6" s="266">
        <f>G6+I6</f>
        <v>177480</v>
      </c>
    </row>
    <row r="7">
      <c r="A7" s="267"/>
      <c r="B7" s="267"/>
      <c r="C7" s="268" t="s">
        <v>137</v>
      </c>
      <c r="D7" s="268" t="s">
        <v>6988</v>
      </c>
      <c r="E7" s="265">
        <f>VLOOKUP(C7,Productos!$D$3:$S235,16,FALSE())</f>
        <v>15973</v>
      </c>
      <c r="F7" s="267"/>
      <c r="G7" s="267"/>
      <c r="H7" s="267"/>
      <c r="I7" s="267"/>
      <c r="J7" s="267"/>
    </row>
    <row r="8">
      <c r="A8" s="269"/>
      <c r="B8" s="269"/>
      <c r="C8" s="268" t="s">
        <v>774</v>
      </c>
      <c r="D8" s="268" t="s">
        <v>6989</v>
      </c>
      <c r="E8" s="265">
        <f>VLOOKUP(C8,Productos!$D$3:$S235,16,FALSE())</f>
        <v>1433</v>
      </c>
      <c r="F8" s="269"/>
      <c r="G8" s="269"/>
      <c r="H8" s="269"/>
      <c r="I8" s="269"/>
      <c r="J8" s="269"/>
    </row>
    <row r="9">
      <c r="A9" s="270" t="s">
        <v>4655</v>
      </c>
      <c r="B9" s="271" t="s">
        <v>6990</v>
      </c>
      <c r="C9" s="272" t="s">
        <v>3981</v>
      </c>
      <c r="D9" s="272" t="s">
        <v>6991</v>
      </c>
      <c r="E9" s="273">
        <f>VLOOKUP(C9,Productos!$D$3:$S235,16,FALSE())</f>
        <v>157192</v>
      </c>
      <c r="F9" s="274">
        <f>SUM($E$9:$E$11)*0.95</f>
        <v>170927.8</v>
      </c>
      <c r="G9" s="274">
        <f>(ROUND(F9/1000,0))*1000</f>
        <v>171000</v>
      </c>
      <c r="H9" s="274">
        <f>SUM($E$9:$E$11)-G9</f>
        <v>8924</v>
      </c>
      <c r="I9" s="274">
        <f>G9*0.16</f>
        <v>27360</v>
      </c>
      <c r="J9" s="274">
        <f>G9+I9</f>
        <v>198360</v>
      </c>
    </row>
    <row r="10">
      <c r="A10" s="267"/>
      <c r="B10" s="267"/>
      <c r="C10" s="275" t="s">
        <v>154</v>
      </c>
      <c r="D10" s="275" t="s">
        <v>6992</v>
      </c>
      <c r="E10" s="276">
        <f>VLOOKUP(C10,Productos!$D$3:$S235,16,FALSE())</f>
        <v>21299</v>
      </c>
      <c r="F10" s="267"/>
      <c r="G10" s="267"/>
      <c r="H10" s="267"/>
      <c r="I10" s="267"/>
      <c r="J10" s="267"/>
    </row>
    <row r="11">
      <c r="A11" s="269"/>
      <c r="B11" s="269"/>
      <c r="C11" s="275" t="s">
        <v>774</v>
      </c>
      <c r="D11" s="275" t="s">
        <v>6989</v>
      </c>
      <c r="E11" s="276">
        <f>VLOOKUP(C11,Productos!$D$3:$S235,16,FALSE())</f>
        <v>1433</v>
      </c>
      <c r="F11" s="269"/>
      <c r="G11" s="269"/>
      <c r="H11" s="269"/>
      <c r="I11" s="269"/>
      <c r="J11" s="269"/>
    </row>
    <row r="12">
      <c r="A12" s="262" t="s">
        <v>4659</v>
      </c>
      <c r="B12" s="263" t="s">
        <v>6993</v>
      </c>
      <c r="C12" s="264" t="s">
        <v>3981</v>
      </c>
      <c r="D12" s="264" t="s">
        <v>6991</v>
      </c>
      <c r="E12" s="265">
        <f>VLOOKUP(C12,Productos!$D$3:$S235,16,FALSE())</f>
        <v>157192</v>
      </c>
      <c r="F12" s="266">
        <f>SUM($E$12:$E$16)*0.95</f>
        <v>199571.25</v>
      </c>
      <c r="G12" s="266">
        <f>(ROUND(F12/1000,0))*1000</f>
        <v>200000</v>
      </c>
      <c r="H12" s="266">
        <f>SUM($E$12:$E$16)-G12</f>
        <v>10075</v>
      </c>
      <c r="I12" s="266">
        <f>G12*0.16</f>
        <v>32000</v>
      </c>
      <c r="J12" s="266">
        <f>G12+I12</f>
        <v>232000</v>
      </c>
    </row>
    <row r="13">
      <c r="A13" s="267"/>
      <c r="B13" s="267"/>
      <c r="C13" s="268" t="s">
        <v>154</v>
      </c>
      <c r="D13" s="268" t="s">
        <v>6992</v>
      </c>
      <c r="E13" s="265">
        <f>VLOOKUP(C13,Productos!$D$3:$S235,16,FALSE())</f>
        <v>21299</v>
      </c>
      <c r="F13" s="267"/>
      <c r="G13" s="267"/>
      <c r="H13" s="267"/>
      <c r="I13" s="267"/>
      <c r="J13" s="267"/>
    </row>
    <row r="14">
      <c r="A14" s="267"/>
      <c r="B14" s="267"/>
      <c r="C14" s="268" t="s">
        <v>774</v>
      </c>
      <c r="D14" s="268" t="s">
        <v>6989</v>
      </c>
      <c r="E14" s="265">
        <f>VLOOKUP(C14,Productos!$D$3:$S235,16,FALSE())</f>
        <v>1433</v>
      </c>
      <c r="F14" s="267"/>
      <c r="G14" s="267"/>
      <c r="H14" s="267"/>
      <c r="I14" s="267"/>
      <c r="J14" s="267"/>
    </row>
    <row r="15">
      <c r="A15" s="267"/>
      <c r="B15" s="267"/>
      <c r="C15" s="268" t="s">
        <v>4309</v>
      </c>
      <c r="D15" s="268" t="s">
        <v>6994</v>
      </c>
      <c r="E15" s="265">
        <f>VLOOKUP(C15,Productos!$D$3:$S235,16,FALSE())</f>
        <v>16560</v>
      </c>
      <c r="F15" s="267"/>
      <c r="G15" s="267"/>
      <c r="H15" s="267"/>
      <c r="I15" s="267"/>
      <c r="J15" s="267"/>
    </row>
    <row r="16">
      <c r="A16" s="269"/>
      <c r="B16" s="269"/>
      <c r="C16" s="268" t="s">
        <v>4017</v>
      </c>
      <c r="D16" s="268" t="s">
        <v>6995</v>
      </c>
      <c r="E16" s="265">
        <f>VLOOKUP(C16,Productos!$D$3:$S235,16,FALSE())</f>
        <v>13591</v>
      </c>
      <c r="F16" s="269"/>
      <c r="G16" s="269"/>
      <c r="H16" s="269"/>
      <c r="I16" s="269"/>
      <c r="J16" s="269"/>
    </row>
    <row r="17">
      <c r="A17" s="270" t="s">
        <v>4661</v>
      </c>
      <c r="B17" s="271" t="s">
        <v>6996</v>
      </c>
      <c r="C17" s="277" t="s">
        <v>3981</v>
      </c>
      <c r="D17" s="277" t="s">
        <v>6991</v>
      </c>
      <c r="E17" s="278">
        <f>VLOOKUP(C17,Productos!$D$3:$S235,16,FALSE())</f>
        <v>157192</v>
      </c>
      <c r="F17" s="274">
        <f>SUM($E$17:$E$24)*0.95</f>
        <v>264494.25</v>
      </c>
      <c r="G17" s="274">
        <f>(ROUND(F17/1000,0))*1000</f>
        <v>264000</v>
      </c>
      <c r="H17" s="274">
        <f>SUM($E$17:$E$24)-G17</f>
        <v>14415</v>
      </c>
      <c r="I17" s="274">
        <f>G17*0.16</f>
        <v>42240</v>
      </c>
      <c r="J17" s="274">
        <f>G17+I17</f>
        <v>306240</v>
      </c>
    </row>
    <row r="18">
      <c r="A18" s="267"/>
      <c r="B18" s="267"/>
      <c r="C18" s="275" t="s">
        <v>154</v>
      </c>
      <c r="D18" s="275" t="s">
        <v>6992</v>
      </c>
      <c r="E18" s="276">
        <f>VLOOKUP(C18,Productos!$D$3:$S235,16,FALSE())</f>
        <v>21299</v>
      </c>
      <c r="F18" s="267"/>
      <c r="G18" s="267"/>
      <c r="H18" s="267"/>
      <c r="I18" s="267"/>
      <c r="J18" s="267"/>
    </row>
    <row r="19">
      <c r="A19" s="267"/>
      <c r="B19" s="267"/>
      <c r="C19" s="275" t="s">
        <v>774</v>
      </c>
      <c r="D19" s="275" t="s">
        <v>6989</v>
      </c>
      <c r="E19" s="276">
        <f>VLOOKUP(C19,Productos!$D$3:$S235,16,FALSE())</f>
        <v>1433</v>
      </c>
      <c r="F19" s="267"/>
      <c r="G19" s="267"/>
      <c r="H19" s="267"/>
      <c r="I19" s="267"/>
      <c r="J19" s="267"/>
    </row>
    <row r="20">
      <c r="A20" s="267"/>
      <c r="B20" s="267"/>
      <c r="C20" s="275" t="s">
        <v>4309</v>
      </c>
      <c r="D20" s="275" t="s">
        <v>6994</v>
      </c>
      <c r="E20" s="276">
        <f>VLOOKUP(C20,Productos!$D$3:$S235,16,FALSE())</f>
        <v>16560</v>
      </c>
      <c r="F20" s="267"/>
      <c r="G20" s="267"/>
      <c r="H20" s="267"/>
      <c r="I20" s="267"/>
      <c r="J20" s="267"/>
    </row>
    <row r="21">
      <c r="A21" s="267"/>
      <c r="B21" s="267"/>
      <c r="C21" s="275" t="s">
        <v>4017</v>
      </c>
      <c r="D21" s="275" t="s">
        <v>6995</v>
      </c>
      <c r="E21" s="276">
        <f>VLOOKUP(C21,Productos!$D$3:$S235,16,FALSE())</f>
        <v>13591</v>
      </c>
      <c r="F21" s="267"/>
      <c r="G21" s="267"/>
      <c r="H21" s="267"/>
      <c r="I21" s="267"/>
      <c r="J21" s="267"/>
    </row>
    <row r="22">
      <c r="A22" s="267"/>
      <c r="B22" s="267"/>
      <c r="C22" s="275" t="s">
        <v>4504</v>
      </c>
      <c r="D22" s="275" t="s">
        <v>6997</v>
      </c>
      <c r="E22" s="276">
        <f>VLOOKUP(C22,Productos!$D$3:$S235,16,FALSE())</f>
        <v>23112</v>
      </c>
      <c r="F22" s="267"/>
      <c r="G22" s="267"/>
      <c r="H22" s="267"/>
      <c r="I22" s="267"/>
      <c r="J22" s="267"/>
    </row>
    <row r="23">
      <c r="A23" s="267"/>
      <c r="B23" s="267"/>
      <c r="C23" s="275" t="s">
        <v>4119</v>
      </c>
      <c r="D23" s="275" t="s">
        <v>6998</v>
      </c>
      <c r="E23" s="276">
        <f>VLOOKUP(C23,Productos!$D$3:$S235,16,FALSE())</f>
        <v>32927</v>
      </c>
      <c r="F23" s="267"/>
      <c r="G23" s="267"/>
      <c r="H23" s="267"/>
      <c r="I23" s="267"/>
      <c r="J23" s="267"/>
    </row>
    <row r="24">
      <c r="A24" s="269"/>
      <c r="B24" s="269"/>
      <c r="C24" s="275" t="s">
        <v>2630</v>
      </c>
      <c r="D24" s="275" t="s">
        <v>6999</v>
      </c>
      <c r="E24" s="276">
        <f>VLOOKUP(C24,Productos!$D$3:$S235,16,FALSE())</f>
        <v>12301</v>
      </c>
      <c r="F24" s="269"/>
      <c r="G24" s="269"/>
      <c r="H24" s="269"/>
      <c r="I24" s="269"/>
      <c r="J24" s="269"/>
    </row>
    <row r="25">
      <c r="A25" s="262" t="s">
        <v>4662</v>
      </c>
      <c r="B25" s="263" t="s">
        <v>7000</v>
      </c>
      <c r="C25" s="279" t="s">
        <v>3981</v>
      </c>
      <c r="D25" s="280" t="s">
        <v>6991</v>
      </c>
      <c r="E25" s="265">
        <f>VLOOKUP(C25,Productos!$D$3:$S235,16,FALSE())</f>
        <v>157192</v>
      </c>
      <c r="F25" s="266">
        <f>SUM($E$25:$E$32)*0.95</f>
        <v>269617.6</v>
      </c>
      <c r="G25" s="266">
        <f>(ROUND(F25/1000,0))*1000</f>
        <v>270000</v>
      </c>
      <c r="H25" s="266">
        <f>SUM($E$25:$E$32)-G25</f>
        <v>13808</v>
      </c>
      <c r="I25" s="266">
        <f>G25*0.16</f>
        <v>43200</v>
      </c>
      <c r="J25" s="266">
        <f>G25+I25</f>
        <v>313200</v>
      </c>
    </row>
    <row r="26">
      <c r="A26" s="267"/>
      <c r="B26" s="267"/>
      <c r="C26" s="268" t="s">
        <v>154</v>
      </c>
      <c r="D26" s="268" t="s">
        <v>6992</v>
      </c>
      <c r="E26" s="265">
        <f>VLOOKUP(C26,Productos!$D$3:$S235,16,FALSE())</f>
        <v>21299</v>
      </c>
      <c r="F26" s="267"/>
      <c r="G26" s="267"/>
      <c r="H26" s="267"/>
      <c r="I26" s="267"/>
      <c r="J26" s="267"/>
    </row>
    <row r="27">
      <c r="A27" s="267"/>
      <c r="B27" s="267"/>
      <c r="C27" s="268" t="s">
        <v>774</v>
      </c>
      <c r="D27" s="268" t="s">
        <v>6989</v>
      </c>
      <c r="E27" s="265">
        <f>VLOOKUP(C27,Productos!$D$3:$S235,16,FALSE())</f>
        <v>1433</v>
      </c>
      <c r="F27" s="267"/>
      <c r="G27" s="267"/>
      <c r="H27" s="267"/>
      <c r="I27" s="267"/>
      <c r="J27" s="267"/>
    </row>
    <row r="28">
      <c r="A28" s="267"/>
      <c r="B28" s="267"/>
      <c r="C28" s="268" t="s">
        <v>4309</v>
      </c>
      <c r="D28" s="268" t="s">
        <v>6994</v>
      </c>
      <c r="E28" s="265">
        <f>VLOOKUP(C28,Productos!$D$3:$S235,16,FALSE())</f>
        <v>16560</v>
      </c>
      <c r="F28" s="267"/>
      <c r="G28" s="267"/>
      <c r="H28" s="267"/>
      <c r="I28" s="267"/>
      <c r="J28" s="267"/>
    </row>
    <row r="29">
      <c r="A29" s="267"/>
      <c r="B29" s="267"/>
      <c r="C29" s="268" t="s">
        <v>4017</v>
      </c>
      <c r="D29" s="268" t="s">
        <v>6995</v>
      </c>
      <c r="E29" s="265">
        <f>VLOOKUP(C29,Productos!$D$3:$S235,16,FALSE())</f>
        <v>13591</v>
      </c>
      <c r="F29" s="267"/>
      <c r="G29" s="267"/>
      <c r="H29" s="267"/>
      <c r="I29" s="267"/>
      <c r="J29" s="267"/>
    </row>
    <row r="30">
      <c r="A30" s="267"/>
      <c r="B30" s="267"/>
      <c r="C30" s="268" t="s">
        <v>4504</v>
      </c>
      <c r="D30" s="268" t="s">
        <v>6997</v>
      </c>
      <c r="E30" s="265">
        <f>VLOOKUP(C30,Productos!$D$3:$S235,16,FALSE())</f>
        <v>23112</v>
      </c>
      <c r="F30" s="267"/>
      <c r="G30" s="267"/>
      <c r="H30" s="267"/>
      <c r="I30" s="267"/>
      <c r="J30" s="267"/>
    </row>
    <row r="31">
      <c r="A31" s="267"/>
      <c r="B31" s="267"/>
      <c r="C31" s="268" t="s">
        <v>4115</v>
      </c>
      <c r="D31" s="268" t="s">
        <v>7001</v>
      </c>
      <c r="E31" s="265">
        <f>VLOOKUP(C31,Productos!$D$3:$S235,16,FALSE())</f>
        <v>38320</v>
      </c>
      <c r="F31" s="267"/>
      <c r="G31" s="267"/>
      <c r="H31" s="267"/>
      <c r="I31" s="267"/>
      <c r="J31" s="267"/>
    </row>
    <row r="32">
      <c r="A32" s="269"/>
      <c r="B32" s="269"/>
      <c r="C32" s="268" t="s">
        <v>2630</v>
      </c>
      <c r="D32" s="268" t="s">
        <v>6999</v>
      </c>
      <c r="E32" s="265">
        <f>VLOOKUP(C32,Productos!$D$3:$S235,16,FALSE())</f>
        <v>12301</v>
      </c>
      <c r="F32" s="269"/>
      <c r="G32" s="269"/>
      <c r="H32" s="269"/>
      <c r="I32" s="269"/>
      <c r="J32" s="269"/>
    </row>
    <row r="33">
      <c r="A33" s="270" t="s">
        <v>4663</v>
      </c>
      <c r="B33" s="271" t="s">
        <v>7002</v>
      </c>
      <c r="C33" s="281" t="s">
        <v>3989</v>
      </c>
      <c r="D33" s="281" t="s">
        <v>7003</v>
      </c>
      <c r="E33" s="282">
        <f>VLOOKUP(C33,Productos!$D$3:$S235,16,FALSE())</f>
        <v>166581</v>
      </c>
      <c r="F33" s="274">
        <f>SUM($E$33:$E$40)*0.95</f>
        <v>299209.15</v>
      </c>
      <c r="G33" s="274">
        <f>(ROUND(F33/1000,0))*1000</f>
        <v>299000</v>
      </c>
      <c r="H33" s="274">
        <f>SUM($E$33:$E$40)-G33</f>
        <v>15957</v>
      </c>
      <c r="I33" s="274">
        <f>G33*0.16</f>
        <v>47840</v>
      </c>
      <c r="J33" s="274">
        <f>G33+I33</f>
        <v>346840</v>
      </c>
    </row>
    <row r="34">
      <c r="A34" s="267"/>
      <c r="B34" s="267"/>
      <c r="C34" s="275" t="s">
        <v>154</v>
      </c>
      <c r="D34" s="275" t="s">
        <v>6992</v>
      </c>
      <c r="E34" s="276">
        <f>VLOOKUP(C34,Productos!$D$3:$S235,16,FALSE())</f>
        <v>21299</v>
      </c>
      <c r="F34" s="267"/>
      <c r="G34" s="267"/>
      <c r="H34" s="267"/>
      <c r="I34" s="267"/>
      <c r="J34" s="267"/>
    </row>
    <row r="35">
      <c r="A35" s="267"/>
      <c r="B35" s="267"/>
      <c r="C35" s="275" t="s">
        <v>774</v>
      </c>
      <c r="D35" s="275" t="s">
        <v>6989</v>
      </c>
      <c r="E35" s="276">
        <f>VLOOKUP(C35,Productos!$D$3:$S235,16,FALSE())</f>
        <v>1433</v>
      </c>
      <c r="F35" s="267"/>
      <c r="G35" s="267"/>
      <c r="H35" s="267"/>
      <c r="I35" s="267"/>
      <c r="J35" s="267"/>
    </row>
    <row r="36">
      <c r="A36" s="267"/>
      <c r="B36" s="267"/>
      <c r="C36" s="275" t="s">
        <v>4309</v>
      </c>
      <c r="D36" s="275" t="s">
        <v>6994</v>
      </c>
      <c r="E36" s="276">
        <f>VLOOKUP(C36,Productos!$D$3:$S235,16,FALSE())</f>
        <v>16560</v>
      </c>
      <c r="F36" s="267"/>
      <c r="G36" s="267"/>
      <c r="H36" s="267"/>
      <c r="I36" s="267"/>
      <c r="J36" s="267"/>
    </row>
    <row r="37">
      <c r="A37" s="267"/>
      <c r="B37" s="267"/>
      <c r="C37" s="275" t="s">
        <v>4017</v>
      </c>
      <c r="D37" s="275" t="s">
        <v>6995</v>
      </c>
      <c r="E37" s="276">
        <f>VLOOKUP(C37,Productos!$D$3:$S235,16,FALSE())</f>
        <v>13591</v>
      </c>
      <c r="F37" s="267"/>
      <c r="G37" s="267"/>
      <c r="H37" s="267"/>
      <c r="I37" s="267"/>
      <c r="J37" s="267"/>
    </row>
    <row r="38">
      <c r="A38" s="267"/>
      <c r="B38" s="267"/>
      <c r="C38" s="281" t="s">
        <v>4508</v>
      </c>
      <c r="D38" s="281" t="s">
        <v>7004</v>
      </c>
      <c r="E38" s="282">
        <f>VLOOKUP(C38,Productos!$D$3:$S235,16,FALSE())</f>
        <v>26269</v>
      </c>
      <c r="F38" s="267"/>
      <c r="G38" s="267"/>
      <c r="H38" s="267"/>
      <c r="I38" s="267"/>
      <c r="J38" s="267"/>
    </row>
    <row r="39">
      <c r="A39" s="267"/>
      <c r="B39" s="267"/>
      <c r="C39" s="281" t="s">
        <v>4205</v>
      </c>
      <c r="D39" s="281" t="s">
        <v>7005</v>
      </c>
      <c r="E39" s="282">
        <f>VLOOKUP(C39,Productos!$D$3:$S235,16,FALSE())</f>
        <v>56923</v>
      </c>
      <c r="F39" s="267"/>
      <c r="G39" s="267"/>
      <c r="H39" s="267"/>
      <c r="I39" s="267"/>
      <c r="J39" s="267"/>
    </row>
    <row r="40">
      <c r="A40" s="269"/>
      <c r="B40" s="269"/>
      <c r="C40" s="275" t="s">
        <v>2630</v>
      </c>
      <c r="D40" s="275" t="s">
        <v>6999</v>
      </c>
      <c r="E40" s="276">
        <f>VLOOKUP(C40,Productos!$D$3:$S235,16,FALSE())</f>
        <v>12301</v>
      </c>
      <c r="F40" s="269"/>
      <c r="G40" s="269"/>
      <c r="H40" s="269"/>
      <c r="I40" s="269"/>
      <c r="J40" s="269"/>
    </row>
    <row r="41">
      <c r="A41" s="262" t="s">
        <v>7006</v>
      </c>
      <c r="B41" s="263" t="s">
        <v>7007</v>
      </c>
      <c r="C41" s="280" t="s">
        <v>3989</v>
      </c>
      <c r="D41" s="280" t="s">
        <v>7003</v>
      </c>
      <c r="E41" s="265">
        <f>VLOOKUP(C41,Productos!$D$3:$S235,16,FALSE())</f>
        <v>166581</v>
      </c>
      <c r="F41" s="266">
        <f>SUM($E$41:$E$48)*0.95</f>
        <v>306905.1</v>
      </c>
      <c r="G41" s="266">
        <f>(ROUND(F41/1000,0))*1000</f>
        <v>307000</v>
      </c>
      <c r="H41" s="266">
        <f>SUM($E$41:$E$48)-G41</f>
        <v>16058</v>
      </c>
      <c r="I41" s="266">
        <f>G41*0.16</f>
        <v>49120</v>
      </c>
      <c r="J41" s="266">
        <f>G41+I41</f>
        <v>356120</v>
      </c>
    </row>
    <row r="42">
      <c r="A42" s="267"/>
      <c r="B42" s="267"/>
      <c r="C42" s="268" t="s">
        <v>154</v>
      </c>
      <c r="D42" s="268" t="s">
        <v>6992</v>
      </c>
      <c r="E42" s="265">
        <f>VLOOKUP(C42,Productos!$D$3:$S235,16,FALSE())</f>
        <v>21299</v>
      </c>
      <c r="F42" s="267"/>
      <c r="G42" s="267"/>
      <c r="H42" s="267"/>
      <c r="I42" s="267"/>
      <c r="J42" s="267"/>
    </row>
    <row r="43">
      <c r="A43" s="267"/>
      <c r="B43" s="267"/>
      <c r="C43" s="268" t="s">
        <v>774</v>
      </c>
      <c r="D43" s="268" t="s">
        <v>6989</v>
      </c>
      <c r="E43" s="265">
        <f>VLOOKUP(C43,Productos!$D$3:$S235,16,FALSE())</f>
        <v>1433</v>
      </c>
      <c r="F43" s="267"/>
      <c r="G43" s="267"/>
      <c r="H43" s="267"/>
      <c r="I43" s="267"/>
      <c r="J43" s="267"/>
    </row>
    <row r="44">
      <c r="A44" s="267"/>
      <c r="B44" s="267"/>
      <c r="C44" s="268" t="s">
        <v>4311</v>
      </c>
      <c r="D44" s="268" t="s">
        <v>7008</v>
      </c>
      <c r="E44" s="265">
        <f>VLOOKUP(C44,Productos!$D$3:$S235,16,FALSE())</f>
        <v>17449</v>
      </c>
      <c r="F44" s="267"/>
      <c r="G44" s="267"/>
      <c r="H44" s="267"/>
      <c r="I44" s="267"/>
      <c r="J44" s="267"/>
    </row>
    <row r="45">
      <c r="A45" s="267"/>
      <c r="B45" s="267"/>
      <c r="C45" s="268" t="s">
        <v>4017</v>
      </c>
      <c r="D45" s="268" t="s">
        <v>6995</v>
      </c>
      <c r="E45" s="265">
        <f>VLOOKUP(C45,Productos!$D$3:$S235,16,FALSE())</f>
        <v>13591</v>
      </c>
      <c r="F45" s="267"/>
      <c r="G45" s="267"/>
      <c r="H45" s="267"/>
      <c r="I45" s="267"/>
      <c r="J45" s="267"/>
    </row>
    <row r="46">
      <c r="A46" s="267"/>
      <c r="B46" s="267"/>
      <c r="C46" s="280" t="s">
        <v>4508</v>
      </c>
      <c r="D46" s="280" t="s">
        <v>7004</v>
      </c>
      <c r="E46" s="265">
        <f>VLOOKUP(C46,Productos!$D$3:$S235,16,FALSE())</f>
        <v>26269</v>
      </c>
      <c r="F46" s="267"/>
      <c r="G46" s="267"/>
      <c r="H46" s="267"/>
      <c r="I46" s="267"/>
      <c r="J46" s="267"/>
    </row>
    <row r="47">
      <c r="A47" s="267"/>
      <c r="B47" s="267"/>
      <c r="C47" s="280" t="s">
        <v>4138</v>
      </c>
      <c r="D47" s="280" t="s">
        <v>7009</v>
      </c>
      <c r="E47" s="265">
        <f>VLOOKUP(C47,Productos!$D$3:$S235,16,FALSE())</f>
        <v>64135</v>
      </c>
      <c r="F47" s="267"/>
      <c r="G47" s="267"/>
      <c r="H47" s="267"/>
      <c r="I47" s="267"/>
      <c r="J47" s="267"/>
    </row>
    <row r="48">
      <c r="A48" s="269"/>
      <c r="B48" s="269"/>
      <c r="C48" s="283" t="s">
        <v>2630</v>
      </c>
      <c r="D48" s="283" t="s">
        <v>6999</v>
      </c>
      <c r="E48" s="265">
        <f>VLOOKUP(C48,Productos!$D$3:$S235,16,FALSE())</f>
        <v>12301</v>
      </c>
      <c r="F48" s="269"/>
      <c r="G48" s="269"/>
      <c r="H48" s="269"/>
      <c r="I48" s="269"/>
      <c r="J48" s="269"/>
    </row>
    <row r="49">
      <c r="A49" s="270" t="s">
        <v>7010</v>
      </c>
      <c r="B49" s="271" t="s">
        <v>7011</v>
      </c>
      <c r="C49" s="281" t="s">
        <v>3999</v>
      </c>
      <c r="D49" s="281" t="s">
        <v>7012</v>
      </c>
      <c r="E49" s="282">
        <f>VLOOKUP(C49,Productos!$D$3:$S235,16,FALSE())</f>
        <v>192164</v>
      </c>
      <c r="F49" s="274">
        <f>SUM($E$49:$E$56)*0.95</f>
        <v>331208.95</v>
      </c>
      <c r="G49" s="274">
        <f>(ROUND(F49/1000,0))*1000</f>
        <v>331000</v>
      </c>
      <c r="H49" s="274">
        <f>SUM($E$49:$E$56)-G49</f>
        <v>17641</v>
      </c>
      <c r="I49" s="274">
        <f>G49*0.16</f>
        <v>52960</v>
      </c>
      <c r="J49" s="274">
        <f>G49+I49</f>
        <v>383960</v>
      </c>
    </row>
    <row r="50">
      <c r="A50" s="267"/>
      <c r="B50" s="267"/>
      <c r="C50" s="275" t="s">
        <v>154</v>
      </c>
      <c r="D50" s="275" t="s">
        <v>6992</v>
      </c>
      <c r="E50" s="276">
        <f>VLOOKUP(C50,Productos!$D$3:$S235,16,FALSE())</f>
        <v>21299</v>
      </c>
      <c r="F50" s="267"/>
      <c r="G50" s="267"/>
      <c r="H50" s="267"/>
      <c r="I50" s="267"/>
      <c r="J50" s="267"/>
    </row>
    <row r="51">
      <c r="A51" s="267"/>
      <c r="B51" s="267"/>
      <c r="C51" s="275" t="s">
        <v>774</v>
      </c>
      <c r="D51" s="275" t="s">
        <v>6989</v>
      </c>
      <c r="E51" s="276">
        <f>VLOOKUP(C51,Productos!$D$3:$S235,16,FALSE())</f>
        <v>1433</v>
      </c>
      <c r="F51" s="267"/>
      <c r="G51" s="267"/>
      <c r="H51" s="267"/>
      <c r="I51" s="267"/>
      <c r="J51" s="267"/>
    </row>
    <row r="52">
      <c r="A52" s="267"/>
      <c r="B52" s="267"/>
      <c r="C52" s="275" t="s">
        <v>4311</v>
      </c>
      <c r="D52" s="275" t="s">
        <v>7008</v>
      </c>
      <c r="E52" s="276">
        <f>VLOOKUP(C52,Productos!$D$3:$S235,16,FALSE())</f>
        <v>17449</v>
      </c>
      <c r="F52" s="267"/>
      <c r="G52" s="267"/>
      <c r="H52" s="267"/>
      <c r="I52" s="267"/>
      <c r="J52" s="267"/>
    </row>
    <row r="53">
      <c r="A53" s="267"/>
      <c r="B53" s="267"/>
      <c r="C53" s="275" t="s">
        <v>4017</v>
      </c>
      <c r="D53" s="275" t="s">
        <v>6995</v>
      </c>
      <c r="E53" s="276">
        <f>VLOOKUP(C53,Productos!$D$3:$S235,16,FALSE())</f>
        <v>13591</v>
      </c>
      <c r="F53" s="267"/>
      <c r="G53" s="267"/>
      <c r="H53" s="267"/>
      <c r="I53" s="267"/>
      <c r="J53" s="267"/>
    </row>
    <row r="54">
      <c r="A54" s="267"/>
      <c r="B54" s="267"/>
      <c r="C54" s="281" t="s">
        <v>4508</v>
      </c>
      <c r="D54" s="281" t="s">
        <v>7004</v>
      </c>
      <c r="E54" s="282">
        <f>VLOOKUP(C54,Productos!$D$3:$S235,16,FALSE())</f>
        <v>26269</v>
      </c>
      <c r="F54" s="267"/>
      <c r="G54" s="267"/>
      <c r="H54" s="267"/>
      <c r="I54" s="267"/>
      <c r="J54" s="267"/>
    </row>
    <row r="55">
      <c r="A55" s="267"/>
      <c r="B55" s="267"/>
      <c r="C55" s="281" t="s">
        <v>4138</v>
      </c>
      <c r="D55" s="281" t="s">
        <v>7013</v>
      </c>
      <c r="E55" s="282">
        <f>VLOOKUP(C55,Productos!$D$3:$S235,16,FALSE())</f>
        <v>64135</v>
      </c>
      <c r="F55" s="267"/>
      <c r="G55" s="267"/>
      <c r="H55" s="267"/>
      <c r="I55" s="267"/>
      <c r="J55" s="267"/>
    </row>
    <row r="56">
      <c r="A56" s="269"/>
      <c r="B56" s="269"/>
      <c r="C56" s="284" t="s">
        <v>2630</v>
      </c>
      <c r="D56" s="284" t="s">
        <v>6999</v>
      </c>
      <c r="E56" s="285">
        <f>VLOOKUP(C56,Productos!$D$3:$S235,16,FALSE())</f>
        <v>12301</v>
      </c>
      <c r="F56" s="269"/>
      <c r="G56" s="269"/>
      <c r="H56" s="269"/>
      <c r="I56" s="269"/>
      <c r="J56" s="269"/>
    </row>
    <row r="57">
      <c r="A57" s="262" t="s">
        <v>7014</v>
      </c>
      <c r="B57" s="263" t="s">
        <v>7015</v>
      </c>
      <c r="C57" s="280" t="s">
        <v>3999</v>
      </c>
      <c r="D57" s="280" t="s">
        <v>7012</v>
      </c>
      <c r="E57" s="265">
        <f>VLOOKUP(C57,Productos!$D$3:$S235,16,FALSE())</f>
        <v>192164</v>
      </c>
      <c r="F57" s="266">
        <f>SUM($E$57:$E$64)*0.95</f>
        <v>376080.3</v>
      </c>
      <c r="G57" s="266">
        <f>(ROUND(F57/1000,0))*1000</f>
        <v>376000</v>
      </c>
      <c r="H57" s="266">
        <f>SUM($E$57:$E$64)-G57</f>
        <v>19874</v>
      </c>
      <c r="I57" s="266">
        <f>G57*0.16</f>
        <v>60160</v>
      </c>
      <c r="J57" s="266">
        <f>G57+I57</f>
        <v>436160</v>
      </c>
    </row>
    <row r="58">
      <c r="A58" s="267"/>
      <c r="B58" s="267"/>
      <c r="C58" s="268" t="s">
        <v>154</v>
      </c>
      <c r="D58" s="268" t="s">
        <v>6992</v>
      </c>
      <c r="E58" s="265">
        <f>VLOOKUP(C58,Productos!$D$3:$S235,16,FALSE())</f>
        <v>21299</v>
      </c>
      <c r="F58" s="267"/>
      <c r="G58" s="267"/>
      <c r="H58" s="267"/>
      <c r="I58" s="267"/>
      <c r="J58" s="267"/>
    </row>
    <row r="59">
      <c r="A59" s="267"/>
      <c r="B59" s="267"/>
      <c r="C59" s="268" t="s">
        <v>774</v>
      </c>
      <c r="D59" s="268" t="s">
        <v>6989</v>
      </c>
      <c r="E59" s="265">
        <f>VLOOKUP(C59,Productos!$D$3:$S235,16,FALSE())</f>
        <v>1433</v>
      </c>
      <c r="F59" s="267"/>
      <c r="G59" s="267"/>
      <c r="H59" s="267"/>
      <c r="I59" s="267"/>
      <c r="J59" s="267"/>
    </row>
    <row r="60">
      <c r="A60" s="267"/>
      <c r="B60" s="267"/>
      <c r="C60" s="268" t="s">
        <v>4311</v>
      </c>
      <c r="D60" s="268" t="s">
        <v>7008</v>
      </c>
      <c r="E60" s="265">
        <f>VLOOKUP(C60,Productos!$D$3:$S235,16,FALSE())</f>
        <v>17449</v>
      </c>
      <c r="F60" s="267"/>
      <c r="G60" s="267"/>
      <c r="H60" s="267"/>
      <c r="I60" s="267"/>
      <c r="J60" s="267"/>
    </row>
    <row r="61">
      <c r="A61" s="267"/>
      <c r="B61" s="267"/>
      <c r="C61" s="268" t="s">
        <v>4017</v>
      </c>
      <c r="D61" s="268" t="s">
        <v>6995</v>
      </c>
      <c r="E61" s="265">
        <f>VLOOKUP(C61,Productos!$D$3:$S235,16,FALSE())</f>
        <v>13591</v>
      </c>
      <c r="F61" s="267"/>
      <c r="G61" s="267"/>
      <c r="H61" s="267"/>
      <c r="I61" s="267"/>
      <c r="J61" s="267"/>
    </row>
    <row r="62">
      <c r="A62" s="267"/>
      <c r="B62" s="267"/>
      <c r="C62" s="280" t="s">
        <v>4508</v>
      </c>
      <c r="D62" s="280" t="s">
        <v>7004</v>
      </c>
      <c r="E62" s="265">
        <f>VLOOKUP(C62,Productos!$D$3:$S235,16,FALSE())</f>
        <v>26269</v>
      </c>
      <c r="F62" s="267"/>
      <c r="G62" s="267"/>
      <c r="H62" s="267"/>
      <c r="I62" s="267"/>
      <c r="J62" s="267"/>
    </row>
    <row r="63">
      <c r="A63" s="267"/>
      <c r="B63" s="267"/>
      <c r="C63" s="280" t="s">
        <v>4138</v>
      </c>
      <c r="D63" s="280" t="s">
        <v>7009</v>
      </c>
      <c r="E63" s="265">
        <f>VLOOKUP(C63,Productos!$D$3:$S235,16,FALSE())</f>
        <v>64135</v>
      </c>
      <c r="F63" s="267"/>
      <c r="G63" s="267"/>
      <c r="H63" s="267"/>
      <c r="I63" s="267"/>
      <c r="J63" s="267"/>
    </row>
    <row r="64">
      <c r="A64" s="269"/>
      <c r="B64" s="269"/>
      <c r="C64" s="283" t="s">
        <v>3580</v>
      </c>
      <c r="D64" s="283" t="s">
        <v>7016</v>
      </c>
      <c r="E64" s="265">
        <f>VLOOKUP(C64,Productos!$D$3:$S235,16,FALSE())</f>
        <v>59534</v>
      </c>
      <c r="F64" s="269"/>
      <c r="G64" s="269"/>
      <c r="H64" s="269"/>
      <c r="I64" s="269"/>
      <c r="J64" s="269"/>
    </row>
    <row r="65">
      <c r="A65" s="286" t="s">
        <v>4652</v>
      </c>
      <c r="B65" s="287" t="s">
        <v>7017</v>
      </c>
      <c r="C65" s="288" t="s">
        <v>6552</v>
      </c>
      <c r="D65" s="288" t="s">
        <v>7018</v>
      </c>
      <c r="E65" s="289">
        <f>VLOOKUP(C65,Productos!$D$3:$S235,16,FALSE())</f>
        <v>150435</v>
      </c>
      <c r="F65" s="290">
        <f>SUM($E$65:$E$67)*0.95</f>
        <v>159448.95</v>
      </c>
      <c r="G65" s="290">
        <f>(ROUND(F65/1000,0))*1000</f>
        <v>159000</v>
      </c>
      <c r="H65" s="290">
        <f>SUM($E$65:$E$67)-G65</f>
        <v>8841</v>
      </c>
      <c r="I65" s="290">
        <f>G65*0.16</f>
        <v>25440</v>
      </c>
      <c r="J65" s="290">
        <f>G65+I65</f>
        <v>184440</v>
      </c>
    </row>
    <row r="66">
      <c r="A66" s="267"/>
      <c r="B66" s="267"/>
      <c r="C66" s="288" t="s">
        <v>137</v>
      </c>
      <c r="D66" s="288" t="s">
        <v>7019</v>
      </c>
      <c r="E66" s="289">
        <f>VLOOKUP(C66,Productos!$D$3:$S235,16,FALSE())</f>
        <v>15973</v>
      </c>
      <c r="F66" s="267"/>
      <c r="G66" s="267"/>
      <c r="H66" s="267"/>
      <c r="I66" s="267"/>
      <c r="J66" s="267"/>
    </row>
    <row r="67">
      <c r="A67" s="269"/>
      <c r="B67" s="269"/>
      <c r="C67" s="291" t="s">
        <v>774</v>
      </c>
      <c r="D67" s="291" t="s">
        <v>6989</v>
      </c>
      <c r="E67" s="292">
        <f>VLOOKUP(C67,Productos!$D$3:$S235,16,FALSE())</f>
        <v>1433</v>
      </c>
      <c r="F67" s="269"/>
      <c r="G67" s="269"/>
      <c r="H67" s="269"/>
      <c r="I67" s="269"/>
      <c r="J67" s="269"/>
    </row>
    <row r="68">
      <c r="A68" s="262" t="s">
        <v>7020</v>
      </c>
      <c r="B68" s="293" t="s">
        <v>7021</v>
      </c>
      <c r="C68" s="280" t="s">
        <v>6556</v>
      </c>
      <c r="D68" s="280" t="s">
        <v>7022</v>
      </c>
      <c r="E68" s="265">
        <f>VLOOKUP(C68,Productos!$D$3:$S235,16,FALSE())</f>
        <v>160245</v>
      </c>
      <c r="F68" s="266">
        <f>SUM($E$68:$E$70)*0.95</f>
        <v>173828.15</v>
      </c>
      <c r="G68" s="266">
        <f>(ROUND(F68/1000,0))*1000</f>
        <v>174000</v>
      </c>
      <c r="H68" s="266">
        <f>SUM($E$68:$E$70)-G68</f>
        <v>8977</v>
      </c>
      <c r="I68" s="266">
        <f>G68*0.16</f>
        <v>27840</v>
      </c>
      <c r="J68" s="266">
        <f>G68+I68</f>
        <v>201840</v>
      </c>
    </row>
    <row r="69">
      <c r="A69" s="267"/>
      <c r="B69" s="267"/>
      <c r="C69" s="283" t="s">
        <v>154</v>
      </c>
      <c r="D69" s="283" t="s">
        <v>7023</v>
      </c>
      <c r="E69" s="265">
        <f>VLOOKUP(C69,Productos!$D$3:$S235,16,FALSE())</f>
        <v>21299</v>
      </c>
      <c r="F69" s="267"/>
      <c r="G69" s="267"/>
      <c r="H69" s="267"/>
      <c r="I69" s="267"/>
      <c r="J69" s="267"/>
    </row>
    <row r="70">
      <c r="A70" s="269"/>
      <c r="B70" s="269"/>
      <c r="C70" s="283" t="s">
        <v>774</v>
      </c>
      <c r="D70" s="283" t="s">
        <v>6989</v>
      </c>
      <c r="E70" s="265">
        <f>VLOOKUP(C70,Productos!$D$3:$S235,16,FALSE())</f>
        <v>1433</v>
      </c>
      <c r="F70" s="267"/>
      <c r="G70" s="267"/>
      <c r="H70" s="267"/>
      <c r="I70" s="269"/>
      <c r="J70" s="269"/>
    </row>
    <row r="71">
      <c r="A71" s="286" t="s">
        <v>7024</v>
      </c>
      <c r="B71" s="287" t="s">
        <v>7025</v>
      </c>
      <c r="C71" s="288" t="s">
        <v>6556</v>
      </c>
      <c r="D71" s="288" t="s">
        <v>7022</v>
      </c>
      <c r="E71" s="289">
        <f>VLOOKUP(C71,Productos!$D$3:$S235,16,FALSE())</f>
        <v>160245</v>
      </c>
      <c r="F71" s="290">
        <f>SUM($E$71:$E$75)*0.95</f>
        <v>203316.15</v>
      </c>
      <c r="G71" s="290">
        <f>(ROUND(F71/1000,0))*1000</f>
        <v>203000</v>
      </c>
      <c r="H71" s="290">
        <f>SUM($E$71:$E$75)-G71</f>
        <v>11017</v>
      </c>
      <c r="I71" s="290">
        <f>G71*0.16</f>
        <v>32480</v>
      </c>
      <c r="J71" s="290">
        <f>G71+I71</f>
        <v>235480</v>
      </c>
    </row>
    <row r="72">
      <c r="A72" s="267"/>
      <c r="B72" s="267"/>
      <c r="C72" s="291" t="s">
        <v>154</v>
      </c>
      <c r="D72" s="291" t="s">
        <v>7023</v>
      </c>
      <c r="E72" s="292">
        <f>VLOOKUP(C72,Productos!$D$3:$S235,16,FALSE())</f>
        <v>21299</v>
      </c>
      <c r="F72" s="267"/>
      <c r="G72" s="267"/>
      <c r="H72" s="267"/>
      <c r="I72" s="267"/>
      <c r="J72" s="267"/>
    </row>
    <row r="73">
      <c r="A73" s="267"/>
      <c r="B73" s="267"/>
      <c r="C73" s="291" t="s">
        <v>774</v>
      </c>
      <c r="D73" s="291" t="s">
        <v>6989</v>
      </c>
      <c r="E73" s="292">
        <f>VLOOKUP(C73,Productos!$D$3:$S235,16,FALSE())</f>
        <v>1433</v>
      </c>
      <c r="F73" s="267"/>
      <c r="G73" s="267"/>
      <c r="H73" s="267"/>
      <c r="I73" s="267"/>
      <c r="J73" s="267"/>
    </row>
    <row r="74">
      <c r="A74" s="267"/>
      <c r="B74" s="267"/>
      <c r="C74" s="291" t="s">
        <v>4311</v>
      </c>
      <c r="D74" s="291" t="s">
        <v>7008</v>
      </c>
      <c r="E74" s="292">
        <f>VLOOKUP(C74,Productos!$D$3:$S235,16,FALSE())</f>
        <v>17449</v>
      </c>
      <c r="F74" s="267"/>
      <c r="G74" s="267"/>
      <c r="H74" s="267"/>
      <c r="I74" s="267"/>
      <c r="J74" s="267"/>
    </row>
    <row r="75">
      <c r="A75" s="269"/>
      <c r="B75" s="269"/>
      <c r="C75" s="291" t="s">
        <v>4017</v>
      </c>
      <c r="D75" s="291" t="s">
        <v>6995</v>
      </c>
      <c r="E75" s="292">
        <f>VLOOKUP(C75,Productos!$D$3:$S235,16,FALSE())</f>
        <v>13591</v>
      </c>
      <c r="F75" s="269"/>
      <c r="G75" s="269"/>
      <c r="H75" s="269"/>
      <c r="I75" s="269"/>
      <c r="J75" s="269"/>
    </row>
    <row r="76">
      <c r="A76" s="262" t="s">
        <v>7026</v>
      </c>
      <c r="B76" s="293" t="s">
        <v>7027</v>
      </c>
      <c r="C76" s="283" t="s">
        <v>6556</v>
      </c>
      <c r="D76" s="283" t="s">
        <v>7022</v>
      </c>
      <c r="E76" s="265">
        <f>VLOOKUP(C76,Productos!$D$3:$S235,16,FALSE())</f>
        <v>160245</v>
      </c>
      <c r="F76" s="266">
        <f>SUM($E$76:$E$83)*0.95</f>
        <v>268239.15</v>
      </c>
      <c r="G76" s="266">
        <f>(ROUND(F76/1000,0))*1000</f>
        <v>268000</v>
      </c>
      <c r="H76" s="266">
        <f>SUM($E$76:$E$83)-G76</f>
        <v>14357</v>
      </c>
      <c r="I76" s="266">
        <f>G76*0.16</f>
        <v>42880</v>
      </c>
      <c r="J76" s="266">
        <f>G76+I76</f>
        <v>310880</v>
      </c>
    </row>
    <row r="77">
      <c r="A77" s="267"/>
      <c r="B77" s="267"/>
      <c r="C77" s="283" t="s">
        <v>154</v>
      </c>
      <c r="D77" s="283" t="s">
        <v>7023</v>
      </c>
      <c r="E77" s="265">
        <f>VLOOKUP(C77,Productos!$D$3:$S235,16,FALSE())</f>
        <v>21299</v>
      </c>
      <c r="F77" s="267"/>
      <c r="G77" s="267"/>
      <c r="H77" s="267"/>
      <c r="I77" s="267"/>
      <c r="J77" s="267"/>
    </row>
    <row r="78">
      <c r="A78" s="267"/>
      <c r="B78" s="267"/>
      <c r="C78" s="283" t="s">
        <v>774</v>
      </c>
      <c r="D78" s="283" t="s">
        <v>6989</v>
      </c>
      <c r="E78" s="265">
        <f>VLOOKUP(C78,Productos!$D$3:$S235,16,FALSE())</f>
        <v>1433</v>
      </c>
      <c r="F78" s="267"/>
      <c r="G78" s="267"/>
      <c r="H78" s="267"/>
      <c r="I78" s="267"/>
      <c r="J78" s="267"/>
    </row>
    <row r="79">
      <c r="A79" s="267"/>
      <c r="B79" s="267"/>
      <c r="C79" s="283" t="s">
        <v>4311</v>
      </c>
      <c r="D79" s="283" t="s">
        <v>7008</v>
      </c>
      <c r="E79" s="265">
        <f>VLOOKUP(C79,Productos!$D$3:$S235,16,FALSE())</f>
        <v>17449</v>
      </c>
      <c r="F79" s="267"/>
      <c r="G79" s="267"/>
      <c r="H79" s="267"/>
      <c r="I79" s="267"/>
      <c r="J79" s="267"/>
    </row>
    <row r="80">
      <c r="A80" s="267"/>
      <c r="B80" s="267"/>
      <c r="C80" s="283" t="s">
        <v>4017</v>
      </c>
      <c r="D80" s="283" t="s">
        <v>6995</v>
      </c>
      <c r="E80" s="265">
        <f>VLOOKUP(C80,Productos!$D$3:$S235,16,FALSE())</f>
        <v>13591</v>
      </c>
      <c r="F80" s="267"/>
      <c r="G80" s="267"/>
      <c r="H80" s="267"/>
      <c r="I80" s="267"/>
      <c r="J80" s="267"/>
    </row>
    <row r="81">
      <c r="A81" s="267"/>
      <c r="B81" s="267"/>
      <c r="C81" s="283" t="s">
        <v>4504</v>
      </c>
      <c r="D81" s="283" t="s">
        <v>6997</v>
      </c>
      <c r="E81" s="265">
        <f>VLOOKUP(C81,Productos!$D$3:$S235,16,FALSE())</f>
        <v>23112</v>
      </c>
      <c r="F81" s="267"/>
      <c r="G81" s="267"/>
      <c r="H81" s="267"/>
      <c r="I81" s="267"/>
      <c r="J81" s="267"/>
    </row>
    <row r="82">
      <c r="A82" s="267"/>
      <c r="B82" s="267"/>
      <c r="C82" s="283" t="s">
        <v>4119</v>
      </c>
      <c r="D82" s="283" t="s">
        <v>6998</v>
      </c>
      <c r="E82" s="265">
        <f>VLOOKUP(C82,Productos!$D$3:$S235,16,FALSE())</f>
        <v>32927</v>
      </c>
      <c r="F82" s="267"/>
      <c r="G82" s="267"/>
      <c r="H82" s="267"/>
      <c r="I82" s="267"/>
      <c r="J82" s="267"/>
    </row>
    <row r="83">
      <c r="A83" s="269"/>
      <c r="B83" s="269"/>
      <c r="C83" s="283" t="s">
        <v>2630</v>
      </c>
      <c r="D83" s="283" t="s">
        <v>6999</v>
      </c>
      <c r="E83" s="265">
        <f>VLOOKUP(C83,Productos!$D$3:$S235,16,FALSE())</f>
        <v>12301</v>
      </c>
      <c r="F83" s="269"/>
      <c r="G83" s="267"/>
      <c r="H83" s="269"/>
      <c r="I83" s="269"/>
      <c r="J83" s="269"/>
    </row>
    <row r="84">
      <c r="A84" s="286" t="s">
        <v>7028</v>
      </c>
      <c r="B84" s="287" t="s">
        <v>7029</v>
      </c>
      <c r="C84" s="291" t="s">
        <v>6556</v>
      </c>
      <c r="D84" s="291" t="s">
        <v>7022</v>
      </c>
      <c r="E84" s="292">
        <f>VLOOKUP(C84,Productos!$D$3:$S235,16,FALSE())</f>
        <v>160245</v>
      </c>
      <c r="F84" s="290">
        <f>SUM($E$84:$E$91)*0.95</f>
        <v>273362.5</v>
      </c>
      <c r="G84" s="290">
        <f>(ROUND(F84/1000,0))*1000</f>
        <v>273000</v>
      </c>
      <c r="H84" s="290">
        <f>SUM($E$84:$E$91)-G84</f>
        <v>14750</v>
      </c>
      <c r="I84" s="290">
        <f>G84*0.16</f>
        <v>43680</v>
      </c>
      <c r="J84" s="290">
        <f>G84+I84</f>
        <v>316680</v>
      </c>
    </row>
    <row r="85">
      <c r="A85" s="267"/>
      <c r="B85" s="267"/>
      <c r="C85" s="291" t="s">
        <v>154</v>
      </c>
      <c r="D85" s="291" t="s">
        <v>7023</v>
      </c>
      <c r="E85" s="292">
        <f>VLOOKUP(C85,Productos!$D$3:$S235,16,FALSE())</f>
        <v>21299</v>
      </c>
      <c r="F85" s="267"/>
      <c r="G85" s="267"/>
      <c r="H85" s="267"/>
      <c r="I85" s="267"/>
      <c r="J85" s="267"/>
    </row>
    <row r="86">
      <c r="A86" s="267"/>
      <c r="B86" s="267"/>
      <c r="C86" s="291" t="s">
        <v>774</v>
      </c>
      <c r="D86" s="291" t="s">
        <v>6989</v>
      </c>
      <c r="E86" s="292">
        <f>VLOOKUP(C86,Productos!$D$3:$S235,16,FALSE())</f>
        <v>1433</v>
      </c>
      <c r="F86" s="267"/>
      <c r="G86" s="267"/>
      <c r="H86" s="267"/>
      <c r="I86" s="267"/>
      <c r="J86" s="267"/>
    </row>
    <row r="87">
      <c r="A87" s="267"/>
      <c r="B87" s="267"/>
      <c r="C87" s="291" t="s">
        <v>4311</v>
      </c>
      <c r="D87" s="291" t="s">
        <v>7008</v>
      </c>
      <c r="E87" s="292">
        <f>VLOOKUP(C87,Productos!$D$3:$S235,16,FALSE())</f>
        <v>17449</v>
      </c>
      <c r="F87" s="267"/>
      <c r="G87" s="267"/>
      <c r="H87" s="267"/>
      <c r="I87" s="267"/>
      <c r="J87" s="267"/>
    </row>
    <row r="88">
      <c r="A88" s="267"/>
      <c r="B88" s="267"/>
      <c r="C88" s="291" t="s">
        <v>4017</v>
      </c>
      <c r="D88" s="291" t="s">
        <v>6995</v>
      </c>
      <c r="E88" s="292">
        <f>VLOOKUP(C88,Productos!$D$3:$S235,16,FALSE())</f>
        <v>13591</v>
      </c>
      <c r="F88" s="267"/>
      <c r="G88" s="267"/>
      <c r="H88" s="267"/>
      <c r="I88" s="267"/>
      <c r="J88" s="267"/>
    </row>
    <row r="89">
      <c r="A89" s="267"/>
      <c r="B89" s="267"/>
      <c r="C89" s="291" t="s">
        <v>4504</v>
      </c>
      <c r="D89" s="291" t="s">
        <v>6997</v>
      </c>
      <c r="E89" s="292">
        <f>VLOOKUP(C89,Productos!$D$3:$S235,16,FALSE())</f>
        <v>23112</v>
      </c>
      <c r="F89" s="267"/>
      <c r="G89" s="267"/>
      <c r="H89" s="267"/>
      <c r="I89" s="267"/>
      <c r="J89" s="267"/>
    </row>
    <row r="90">
      <c r="A90" s="267"/>
      <c r="B90" s="267"/>
      <c r="C90" s="291" t="s">
        <v>4115</v>
      </c>
      <c r="D90" s="291" t="s">
        <v>7001</v>
      </c>
      <c r="E90" s="292">
        <f>VLOOKUP(C90,Productos!$D$3:$S235,16,FALSE())</f>
        <v>38320</v>
      </c>
      <c r="F90" s="267"/>
      <c r="G90" s="267"/>
      <c r="H90" s="267"/>
      <c r="I90" s="267"/>
      <c r="J90" s="267"/>
    </row>
    <row r="91">
      <c r="A91" s="269"/>
      <c r="B91" s="269"/>
      <c r="C91" s="291" t="s">
        <v>2630</v>
      </c>
      <c r="D91" s="291" t="s">
        <v>6999</v>
      </c>
      <c r="E91" s="292">
        <f>VLOOKUP(C91,Productos!$D$3:$S235,16,FALSE())</f>
        <v>12301</v>
      </c>
      <c r="F91" s="269"/>
      <c r="G91" s="269"/>
      <c r="H91" s="269"/>
      <c r="I91" s="269"/>
      <c r="J91" s="269"/>
    </row>
    <row r="92">
      <c r="A92" s="262" t="s">
        <v>7030</v>
      </c>
      <c r="B92" s="293" t="s">
        <v>7031</v>
      </c>
      <c r="C92" s="280" t="s">
        <v>6560</v>
      </c>
      <c r="D92" s="280" t="s">
        <v>7032</v>
      </c>
      <c r="E92" s="265">
        <f>VLOOKUP(C92,Productos!$D$3:$S235,16,FALSE())</f>
        <v>170057</v>
      </c>
      <c r="F92" s="266">
        <f>SUM($E$92:$E$99)*0.95</f>
        <v>302511.35</v>
      </c>
      <c r="G92" s="266">
        <f>(ROUND(F92/1000,0))*1000</f>
        <v>303000</v>
      </c>
      <c r="H92" s="266">
        <f>SUM($E$92:$E$99)-G92</f>
        <v>15433</v>
      </c>
      <c r="I92" s="266">
        <f>G92*0.16</f>
        <v>48480</v>
      </c>
      <c r="J92" s="266">
        <f>G92+I92</f>
        <v>351480</v>
      </c>
    </row>
    <row r="93">
      <c r="A93" s="267"/>
      <c r="B93" s="267"/>
      <c r="C93" s="283" t="s">
        <v>154</v>
      </c>
      <c r="D93" s="283" t="s">
        <v>7023</v>
      </c>
      <c r="E93" s="265">
        <f>VLOOKUP(C93,Productos!$D$3:$S235,16,FALSE())</f>
        <v>21299</v>
      </c>
      <c r="F93" s="267"/>
      <c r="G93" s="267"/>
      <c r="H93" s="267"/>
      <c r="I93" s="267"/>
      <c r="J93" s="267"/>
    </row>
    <row r="94">
      <c r="A94" s="267"/>
      <c r="B94" s="267"/>
      <c r="C94" s="283" t="s">
        <v>774</v>
      </c>
      <c r="D94" s="283" t="s">
        <v>6989</v>
      </c>
      <c r="E94" s="265">
        <f>VLOOKUP(C94,Productos!$D$3:$S235,16,FALSE())</f>
        <v>1433</v>
      </c>
      <c r="F94" s="267"/>
      <c r="G94" s="267"/>
      <c r="H94" s="267"/>
      <c r="I94" s="267"/>
      <c r="J94" s="267"/>
    </row>
    <row r="95">
      <c r="A95" s="267"/>
      <c r="B95" s="267"/>
      <c r="C95" s="283" t="s">
        <v>4309</v>
      </c>
      <c r="D95" s="283" t="s">
        <v>6994</v>
      </c>
      <c r="E95" s="265">
        <f>VLOOKUP(C95,Productos!$D$3:$S235,16,FALSE())</f>
        <v>16560</v>
      </c>
      <c r="F95" s="267"/>
      <c r="G95" s="267"/>
      <c r="H95" s="267"/>
      <c r="I95" s="267"/>
      <c r="J95" s="267"/>
    </row>
    <row r="96">
      <c r="A96" s="267"/>
      <c r="B96" s="267"/>
      <c r="C96" s="283" t="s">
        <v>4017</v>
      </c>
      <c r="D96" s="283" t="s">
        <v>6995</v>
      </c>
      <c r="E96" s="265">
        <f>VLOOKUP(C96,Productos!$D$3:$S235,16,FALSE())</f>
        <v>13591</v>
      </c>
      <c r="F96" s="267"/>
      <c r="G96" s="267"/>
      <c r="H96" s="267"/>
      <c r="I96" s="267"/>
      <c r="J96" s="267"/>
    </row>
    <row r="97">
      <c r="A97" s="267"/>
      <c r="B97" s="267"/>
      <c r="C97" s="283" t="s">
        <v>4508</v>
      </c>
      <c r="D97" s="283" t="s">
        <v>7004</v>
      </c>
      <c r="E97" s="265">
        <f>VLOOKUP(C97,Productos!$D$3:$S235,16,FALSE())</f>
        <v>26269</v>
      </c>
      <c r="F97" s="267"/>
      <c r="G97" s="267"/>
      <c r="H97" s="267"/>
      <c r="I97" s="267"/>
      <c r="J97" s="267"/>
    </row>
    <row r="98">
      <c r="A98" s="267"/>
      <c r="B98" s="267"/>
      <c r="C98" s="283" t="s">
        <v>4205</v>
      </c>
      <c r="D98" s="283" t="s">
        <v>7005</v>
      </c>
      <c r="E98" s="265">
        <f>VLOOKUP(C98,Productos!$D$3:$S235,16,FALSE())</f>
        <v>56923</v>
      </c>
      <c r="F98" s="267"/>
      <c r="G98" s="267"/>
      <c r="H98" s="267"/>
      <c r="I98" s="267"/>
      <c r="J98" s="267"/>
    </row>
    <row r="99">
      <c r="A99" s="269"/>
      <c r="B99" s="269"/>
      <c r="C99" s="283" t="s">
        <v>2630</v>
      </c>
      <c r="D99" s="283" t="s">
        <v>6999</v>
      </c>
      <c r="E99" s="265">
        <f>VLOOKUP(C99,Productos!$D$3:$S235,16,FALSE())</f>
        <v>12301</v>
      </c>
      <c r="F99" s="269"/>
      <c r="G99" s="267"/>
      <c r="H99" s="269"/>
      <c r="I99" s="269"/>
      <c r="J99" s="269"/>
    </row>
    <row r="100">
      <c r="A100" s="286" t="s">
        <v>7033</v>
      </c>
      <c r="B100" s="287" t="s">
        <v>7034</v>
      </c>
      <c r="C100" s="288" t="s">
        <v>6560</v>
      </c>
      <c r="D100" s="288" t="s">
        <v>7032</v>
      </c>
      <c r="E100" s="289">
        <f>VLOOKUP(C100,Productos!$D$3:$S235,16,FALSE())</f>
        <v>170057</v>
      </c>
      <c r="F100" s="290">
        <f>SUM($E$100:$E$107)*0.95</f>
        <v>309362.75</v>
      </c>
      <c r="G100" s="290">
        <f>(ROUND(F100/1000,0))*1000</f>
        <v>309000</v>
      </c>
      <c r="H100" s="290">
        <f>SUM($E$100:$E$107)-G100</f>
        <v>16645</v>
      </c>
      <c r="I100" s="290">
        <f>G100*0.16</f>
        <v>49440</v>
      </c>
      <c r="J100" s="290">
        <f>G100+I100</f>
        <v>358440</v>
      </c>
    </row>
    <row r="101">
      <c r="A101" s="267"/>
      <c r="B101" s="267"/>
      <c r="C101" s="291" t="s">
        <v>154</v>
      </c>
      <c r="D101" s="291" t="s">
        <v>7023</v>
      </c>
      <c r="E101" s="292">
        <f>VLOOKUP(C101,Productos!$D$3:$S235,16,FALSE())</f>
        <v>21299</v>
      </c>
      <c r="F101" s="267"/>
      <c r="G101" s="267"/>
      <c r="H101" s="267"/>
      <c r="I101" s="267"/>
      <c r="J101" s="267"/>
    </row>
    <row r="102">
      <c r="A102" s="267"/>
      <c r="B102" s="267"/>
      <c r="C102" s="291" t="s">
        <v>774</v>
      </c>
      <c r="D102" s="291" t="s">
        <v>6989</v>
      </c>
      <c r="E102" s="292">
        <f>VLOOKUP(C102,Productos!$D$3:$S235,16,FALSE())</f>
        <v>1433</v>
      </c>
      <c r="F102" s="267"/>
      <c r="G102" s="267"/>
      <c r="H102" s="267"/>
      <c r="I102" s="267"/>
      <c r="J102" s="267"/>
    </row>
    <row r="103">
      <c r="A103" s="267"/>
      <c r="B103" s="267"/>
      <c r="C103" s="291" t="s">
        <v>4309</v>
      </c>
      <c r="D103" s="291" t="s">
        <v>6994</v>
      </c>
      <c r="E103" s="292">
        <f>VLOOKUP(C103,Productos!$D$3:$S235,16,FALSE())</f>
        <v>16560</v>
      </c>
      <c r="F103" s="267"/>
      <c r="G103" s="267"/>
      <c r="H103" s="267"/>
      <c r="I103" s="267"/>
      <c r="J103" s="267"/>
    </row>
    <row r="104">
      <c r="A104" s="267"/>
      <c r="B104" s="267"/>
      <c r="C104" s="291" t="s">
        <v>4017</v>
      </c>
      <c r="D104" s="291" t="s">
        <v>6995</v>
      </c>
      <c r="E104" s="292">
        <f>VLOOKUP(C104,Productos!$D$3:$S235,16,FALSE())</f>
        <v>13591</v>
      </c>
      <c r="F104" s="267"/>
      <c r="G104" s="267"/>
      <c r="H104" s="267"/>
      <c r="I104" s="267"/>
      <c r="J104" s="267"/>
    </row>
    <row r="105">
      <c r="A105" s="267"/>
      <c r="B105" s="267"/>
      <c r="C105" s="291" t="s">
        <v>4508</v>
      </c>
      <c r="D105" s="291" t="s">
        <v>7004</v>
      </c>
      <c r="E105" s="292">
        <f>VLOOKUP(C105,Productos!$D$3:$S235,16,FALSE())</f>
        <v>26269</v>
      </c>
      <c r="F105" s="267"/>
      <c r="G105" s="267"/>
      <c r="H105" s="267"/>
      <c r="I105" s="267"/>
      <c r="J105" s="267"/>
    </row>
    <row r="106">
      <c r="A106" s="267"/>
      <c r="B106" s="267"/>
      <c r="C106" s="291" t="s">
        <v>4138</v>
      </c>
      <c r="D106" s="291" t="s">
        <v>7009</v>
      </c>
      <c r="E106" s="292">
        <f>VLOOKUP(C106,Productos!$D$3:$S235,16,FALSE())</f>
        <v>64135</v>
      </c>
      <c r="F106" s="267"/>
      <c r="G106" s="267"/>
      <c r="H106" s="267"/>
      <c r="I106" s="267"/>
      <c r="J106" s="267"/>
    </row>
    <row r="107">
      <c r="A107" s="269"/>
      <c r="B107" s="269"/>
      <c r="C107" s="291" t="s">
        <v>2630</v>
      </c>
      <c r="D107" s="291" t="s">
        <v>6999</v>
      </c>
      <c r="E107" s="292">
        <f>VLOOKUP(C107,Productos!$D$3:$S235,16,FALSE())</f>
        <v>12301</v>
      </c>
      <c r="F107" s="269"/>
      <c r="G107" s="269"/>
      <c r="H107" s="269"/>
      <c r="I107" s="269"/>
      <c r="J107" s="269"/>
    </row>
    <row r="108">
      <c r="A108" s="262" t="s">
        <v>7035</v>
      </c>
      <c r="B108" s="293" t="s">
        <v>7036</v>
      </c>
      <c r="C108" s="280" t="s">
        <v>6564</v>
      </c>
      <c r="D108" s="280" t="s">
        <v>7037</v>
      </c>
      <c r="E108" s="265">
        <f>VLOOKUP(C108,Productos!$D$3:$S235,16,FALSE())</f>
        <v>179867</v>
      </c>
      <c r="F108" s="266">
        <f>SUM($E$108:$E$115)*0.95</f>
        <v>318682.25</v>
      </c>
      <c r="G108" s="266">
        <f>(ROUND(F108/1000,0))*1000</f>
        <v>319000</v>
      </c>
      <c r="H108" s="266">
        <f>SUM($E$108:$E$115)-G108</f>
        <v>16455</v>
      </c>
      <c r="I108" s="266">
        <f>G108*0.16</f>
        <v>51040</v>
      </c>
      <c r="J108" s="266">
        <f>G108+I108</f>
        <v>370040</v>
      </c>
    </row>
    <row r="109">
      <c r="A109" s="267"/>
      <c r="B109" s="267"/>
      <c r="C109" s="283" t="s">
        <v>154</v>
      </c>
      <c r="D109" s="283" t="s">
        <v>7023</v>
      </c>
      <c r="E109" s="265">
        <f>VLOOKUP(C109,Productos!$D$3:$S235,16,FALSE())</f>
        <v>21299</v>
      </c>
      <c r="F109" s="267"/>
      <c r="G109" s="267"/>
      <c r="H109" s="267"/>
      <c r="I109" s="267"/>
      <c r="J109" s="267"/>
    </row>
    <row r="110">
      <c r="A110" s="267"/>
      <c r="B110" s="267"/>
      <c r="C110" s="283" t="s">
        <v>774</v>
      </c>
      <c r="D110" s="283" t="s">
        <v>6989</v>
      </c>
      <c r="E110" s="265">
        <f>VLOOKUP(C110,Productos!$D$3:$S235,16,FALSE())</f>
        <v>1433</v>
      </c>
      <c r="F110" s="267"/>
      <c r="G110" s="267"/>
      <c r="H110" s="267"/>
      <c r="I110" s="267"/>
      <c r="J110" s="267"/>
    </row>
    <row r="111">
      <c r="A111" s="267"/>
      <c r="B111" s="267"/>
      <c r="C111" s="283" t="s">
        <v>4309</v>
      </c>
      <c r="D111" s="283" t="s">
        <v>6994</v>
      </c>
      <c r="E111" s="265">
        <f>VLOOKUP(C111,Productos!$D$3:$S235,16,FALSE())</f>
        <v>16560</v>
      </c>
      <c r="F111" s="267"/>
      <c r="G111" s="267"/>
      <c r="H111" s="267"/>
      <c r="I111" s="267"/>
      <c r="J111" s="267"/>
    </row>
    <row r="112">
      <c r="A112" s="267"/>
      <c r="B112" s="267"/>
      <c r="C112" s="283" t="s">
        <v>4017</v>
      </c>
      <c r="D112" s="283" t="s">
        <v>6995</v>
      </c>
      <c r="E112" s="265">
        <f>VLOOKUP(C112,Productos!$D$3:$S235,16,FALSE())</f>
        <v>13591</v>
      </c>
      <c r="F112" s="267"/>
      <c r="G112" s="267"/>
      <c r="H112" s="267"/>
      <c r="I112" s="267"/>
      <c r="J112" s="267"/>
    </row>
    <row r="113">
      <c r="A113" s="267"/>
      <c r="B113" s="267"/>
      <c r="C113" s="283" t="s">
        <v>4508</v>
      </c>
      <c r="D113" s="283" t="s">
        <v>7004</v>
      </c>
      <c r="E113" s="265">
        <f>VLOOKUP(C113,Productos!$D$3:$S235,16,FALSE())</f>
        <v>26269</v>
      </c>
      <c r="F113" s="267"/>
      <c r="G113" s="267"/>
      <c r="H113" s="267"/>
      <c r="I113" s="267"/>
      <c r="J113" s="267"/>
    </row>
    <row r="114">
      <c r="A114" s="267"/>
      <c r="B114" s="267"/>
      <c r="C114" s="283" t="s">
        <v>4138</v>
      </c>
      <c r="D114" s="283" t="s">
        <v>7009</v>
      </c>
      <c r="E114" s="265">
        <f>VLOOKUP(C114,Productos!$D$3:$S235,16,FALSE())</f>
        <v>64135</v>
      </c>
      <c r="F114" s="267"/>
      <c r="G114" s="267"/>
      <c r="H114" s="267"/>
      <c r="I114" s="267"/>
      <c r="J114" s="267"/>
    </row>
    <row r="115">
      <c r="A115" s="269"/>
      <c r="B115" s="269"/>
      <c r="C115" s="283" t="s">
        <v>2630</v>
      </c>
      <c r="D115" s="283" t="s">
        <v>6999</v>
      </c>
      <c r="E115" s="265">
        <f>VLOOKUP(C115,Productos!$D$3:$S235,16,FALSE())</f>
        <v>12301</v>
      </c>
      <c r="F115" s="269"/>
      <c r="G115" s="267"/>
      <c r="H115" s="269"/>
      <c r="I115" s="269"/>
      <c r="J115" s="269"/>
    </row>
    <row r="116">
      <c r="A116" s="286" t="s">
        <v>7038</v>
      </c>
      <c r="B116" s="287" t="s">
        <v>7039</v>
      </c>
      <c r="C116" s="288" t="s">
        <v>6564</v>
      </c>
      <c r="D116" s="288" t="s">
        <v>7037</v>
      </c>
      <c r="E116" s="289">
        <f>VLOOKUP(C116,Productos!$D$3:$S235,16,FALSE())</f>
        <v>179867</v>
      </c>
      <c r="F116" s="290">
        <f>SUM($E$116:$E$123)*0.9</f>
        <v>344419.2</v>
      </c>
      <c r="G116" s="290">
        <f>(ROUND(F116/1000,0))*1000</f>
        <v>344000</v>
      </c>
      <c r="H116" s="290">
        <f>SUM($E$116:$E$123)-G116</f>
        <v>38688</v>
      </c>
      <c r="I116" s="290">
        <f>G116*0.16</f>
        <v>55040</v>
      </c>
      <c r="J116" s="290">
        <f>G116+I116</f>
        <v>399040</v>
      </c>
    </row>
    <row r="117">
      <c r="A117" s="267"/>
      <c r="B117" s="267"/>
      <c r="C117" s="291" t="s">
        <v>154</v>
      </c>
      <c r="D117" s="291" t="s">
        <v>7023</v>
      </c>
      <c r="E117" s="292">
        <f>VLOOKUP(C117,Productos!$D$3:$S235,16,FALSE())</f>
        <v>21299</v>
      </c>
      <c r="F117" s="267"/>
      <c r="G117" s="267"/>
      <c r="H117" s="267"/>
      <c r="I117" s="267"/>
      <c r="J117" s="267"/>
    </row>
    <row r="118">
      <c r="A118" s="267"/>
      <c r="B118" s="267"/>
      <c r="C118" s="291" t="s">
        <v>774</v>
      </c>
      <c r="D118" s="291" t="s">
        <v>6989</v>
      </c>
      <c r="E118" s="292">
        <f>VLOOKUP(C118,Productos!$D$3:$S235,16,FALSE())</f>
        <v>1433</v>
      </c>
      <c r="F118" s="267"/>
      <c r="G118" s="267"/>
      <c r="H118" s="267"/>
      <c r="I118" s="267"/>
      <c r="J118" s="267"/>
    </row>
    <row r="119">
      <c r="A119" s="267"/>
      <c r="B119" s="267"/>
      <c r="C119" s="291" t="s">
        <v>4309</v>
      </c>
      <c r="D119" s="291" t="s">
        <v>6994</v>
      </c>
      <c r="E119" s="292">
        <f>VLOOKUP(C119,Productos!$D$3:$S235,16,FALSE())</f>
        <v>16560</v>
      </c>
      <c r="F119" s="267"/>
      <c r="G119" s="267"/>
      <c r="H119" s="267"/>
      <c r="I119" s="267"/>
      <c r="J119" s="267"/>
    </row>
    <row r="120">
      <c r="A120" s="267"/>
      <c r="B120" s="267"/>
      <c r="C120" s="291" t="s">
        <v>4017</v>
      </c>
      <c r="D120" s="291" t="s">
        <v>6995</v>
      </c>
      <c r="E120" s="292">
        <f>VLOOKUP(C120,Productos!$D$3:$S235,16,FALSE())</f>
        <v>13591</v>
      </c>
      <c r="F120" s="267"/>
      <c r="G120" s="267"/>
      <c r="H120" s="267"/>
      <c r="I120" s="267"/>
      <c r="J120" s="267"/>
    </row>
    <row r="121">
      <c r="A121" s="267"/>
      <c r="B121" s="267"/>
      <c r="C121" s="291" t="s">
        <v>4508</v>
      </c>
      <c r="D121" s="291" t="s">
        <v>7004</v>
      </c>
      <c r="E121" s="292">
        <f>VLOOKUP(C121,Productos!$D$3:$S235,16,FALSE())</f>
        <v>26269</v>
      </c>
      <c r="F121" s="267"/>
      <c r="G121" s="267"/>
      <c r="H121" s="267"/>
      <c r="I121" s="267"/>
      <c r="J121" s="267"/>
    </row>
    <row r="122">
      <c r="A122" s="267"/>
      <c r="B122" s="267"/>
      <c r="C122" s="291" t="s">
        <v>4138</v>
      </c>
      <c r="D122" s="291" t="s">
        <v>7009</v>
      </c>
      <c r="E122" s="292">
        <f>VLOOKUP(C122,Productos!$D$3:$S235,16,FALSE())</f>
        <v>64135</v>
      </c>
      <c r="F122" s="267"/>
      <c r="G122" s="267"/>
      <c r="H122" s="267"/>
      <c r="I122" s="267"/>
      <c r="J122" s="267"/>
    </row>
    <row r="123">
      <c r="A123" s="269"/>
      <c r="B123" s="269"/>
      <c r="C123" s="291" t="s">
        <v>3580</v>
      </c>
      <c r="D123" s="291" t="s">
        <v>7016</v>
      </c>
      <c r="E123" s="292">
        <f>VLOOKUP(C123,Productos!$D$3:$S235,16,FALSE())</f>
        <v>59534</v>
      </c>
      <c r="F123" s="269"/>
      <c r="G123" s="269"/>
      <c r="H123" s="269"/>
      <c r="I123" s="269"/>
      <c r="J123" s="269"/>
    </row>
    <row r="124">
      <c r="A124" s="262" t="s">
        <v>7040</v>
      </c>
      <c r="B124" s="294" t="s">
        <v>7041</v>
      </c>
      <c r="C124" s="280" t="s">
        <v>6528</v>
      </c>
      <c r="D124" s="280" t="s">
        <v>7042</v>
      </c>
      <c r="E124" s="265">
        <f>VLOOKUP(C124,Productos!$D$3:$S235,16,FALSE())</f>
        <v>196127</v>
      </c>
      <c r="F124" s="266">
        <f>SUM($E$124:$E$126)*0.9</f>
        <v>195192</v>
      </c>
      <c r="G124" s="266">
        <f>(ROUND(F124/1000,0))*1000</f>
        <v>195000</v>
      </c>
      <c r="H124" s="266">
        <f>SUM($E$124:$E$126)-G124</f>
        <v>21880</v>
      </c>
      <c r="I124" s="266">
        <f>G124*0.16</f>
        <v>31200</v>
      </c>
      <c r="J124" s="266">
        <f>G124+I124</f>
        <v>226200</v>
      </c>
    </row>
    <row r="125">
      <c r="A125" s="267"/>
      <c r="B125" s="267"/>
      <c r="C125" s="283" t="s">
        <v>132</v>
      </c>
      <c r="D125" s="283" t="s">
        <v>7043</v>
      </c>
      <c r="E125" s="265">
        <f>VLOOKUP(C125,Productos!$D$3:$S235,16,FALSE())</f>
        <v>19320</v>
      </c>
      <c r="F125" s="267"/>
      <c r="G125" s="267"/>
      <c r="H125" s="267"/>
      <c r="I125" s="267"/>
      <c r="J125" s="267"/>
    </row>
    <row r="126">
      <c r="A126" s="269"/>
      <c r="B126" s="269"/>
      <c r="C126" s="283" t="s">
        <v>774</v>
      </c>
      <c r="D126" s="283" t="s">
        <v>6989</v>
      </c>
      <c r="E126" s="265">
        <f>VLOOKUP(C126,Productos!$D$3:$S235,16,FALSE())</f>
        <v>1433</v>
      </c>
      <c r="F126" s="267"/>
      <c r="G126" s="267"/>
      <c r="H126" s="267"/>
      <c r="I126" s="269"/>
      <c r="J126" s="269"/>
    </row>
    <row r="127">
      <c r="A127" s="295" t="s">
        <v>7044</v>
      </c>
      <c r="B127" s="296" t="s">
        <v>7045</v>
      </c>
      <c r="C127" s="297" t="s">
        <v>6532</v>
      </c>
      <c r="D127" s="297" t="s">
        <v>7046</v>
      </c>
      <c r="E127" s="298">
        <f>VLOOKUP(C127,Productos!$D$3:$S235,16,FALSE())</f>
        <v>198224</v>
      </c>
      <c r="F127" s="299">
        <f>SUM($E$127:$E$129)*0.9</f>
        <v>205485.3</v>
      </c>
      <c r="G127" s="299">
        <f>(ROUND(F127/1000,0))*1000</f>
        <v>205000</v>
      </c>
      <c r="H127" s="299">
        <f>SUM($E$127:$E$129)-G127</f>
        <v>23317</v>
      </c>
      <c r="I127" s="299">
        <f>G127*0.16</f>
        <v>32800</v>
      </c>
      <c r="J127" s="299">
        <f>G127+I127</f>
        <v>237800</v>
      </c>
    </row>
    <row r="128">
      <c r="A128" s="267"/>
      <c r="B128" s="267"/>
      <c r="C128" s="297" t="s">
        <v>148</v>
      </c>
      <c r="D128" s="297" t="s">
        <v>7047</v>
      </c>
      <c r="E128" s="298">
        <f>VLOOKUP(C128,Productos!$D$3:$S235,16,FALSE())</f>
        <v>28660</v>
      </c>
      <c r="F128" s="267"/>
      <c r="G128" s="267"/>
      <c r="H128" s="267"/>
      <c r="I128" s="267"/>
      <c r="J128" s="267"/>
    </row>
    <row r="129">
      <c r="A129" s="269"/>
      <c r="B129" s="269"/>
      <c r="C129" s="300" t="s">
        <v>774</v>
      </c>
      <c r="D129" s="300" t="s">
        <v>6989</v>
      </c>
      <c r="E129" s="301">
        <f>VLOOKUP(C129,Productos!$D$3:$S235,16,FALSE())</f>
        <v>1433</v>
      </c>
      <c r="F129" s="269"/>
      <c r="G129" s="269"/>
      <c r="H129" s="269"/>
      <c r="I129" s="269"/>
      <c r="J129" s="269"/>
    </row>
    <row r="130">
      <c r="A130" s="262" t="s">
        <v>4650</v>
      </c>
      <c r="B130" s="294" t="s">
        <v>7048</v>
      </c>
      <c r="C130" s="280" t="s">
        <v>6532</v>
      </c>
      <c r="D130" s="280" t="s">
        <v>7046</v>
      </c>
      <c r="E130" s="265">
        <f>VLOOKUP(C130,Productos!$D$3:$S235,16,FALSE())</f>
        <v>198224</v>
      </c>
      <c r="F130" s="266">
        <f>SUM($E$130:$E$134)*0.9</f>
        <v>233421.3</v>
      </c>
      <c r="G130" s="266">
        <f>(ROUND(F130/1000,0))*1000</f>
        <v>233000</v>
      </c>
      <c r="H130" s="266">
        <f>SUM($E$130:$E$134)-G130</f>
        <v>26357</v>
      </c>
      <c r="I130" s="266">
        <f>G130*0.16</f>
        <v>37280</v>
      </c>
      <c r="J130" s="266">
        <f>G130+I130</f>
        <v>270280</v>
      </c>
    </row>
    <row r="131">
      <c r="A131" s="267"/>
      <c r="B131" s="267"/>
      <c r="C131" s="280" t="s">
        <v>148</v>
      </c>
      <c r="D131" s="280" t="s">
        <v>7047</v>
      </c>
      <c r="E131" s="265">
        <f>VLOOKUP(C131,Productos!$D$3:$S235,16,FALSE())</f>
        <v>28660</v>
      </c>
      <c r="F131" s="267"/>
      <c r="G131" s="267"/>
      <c r="H131" s="267"/>
      <c r="I131" s="267"/>
      <c r="J131" s="267"/>
    </row>
    <row r="132">
      <c r="A132" s="267"/>
      <c r="B132" s="267"/>
      <c r="C132" s="283" t="s">
        <v>774</v>
      </c>
      <c r="D132" s="283" t="s">
        <v>6989</v>
      </c>
      <c r="E132" s="265">
        <f>VLOOKUP(C132,Productos!$D$3:$S235,16,FALSE())</f>
        <v>1433</v>
      </c>
      <c r="F132" s="267"/>
      <c r="G132" s="267"/>
      <c r="H132" s="267"/>
      <c r="I132" s="267"/>
      <c r="J132" s="267"/>
    </row>
    <row r="133">
      <c r="A133" s="267"/>
      <c r="B133" s="267"/>
      <c r="C133" s="283" t="s">
        <v>4311</v>
      </c>
      <c r="D133" s="283" t="s">
        <v>7008</v>
      </c>
      <c r="E133" s="265">
        <f>VLOOKUP(C133,Productos!$D$3:$S235,16,FALSE())</f>
        <v>17449</v>
      </c>
      <c r="F133" s="267"/>
      <c r="G133" s="267"/>
      <c r="H133" s="267"/>
      <c r="I133" s="267"/>
      <c r="J133" s="267"/>
    </row>
    <row r="134">
      <c r="A134" s="269"/>
      <c r="B134" s="269"/>
      <c r="C134" s="283" t="s">
        <v>4017</v>
      </c>
      <c r="D134" s="283" t="s">
        <v>6995</v>
      </c>
      <c r="E134" s="265">
        <f>VLOOKUP(C134,Productos!$D$3:$S235,16,FALSE())</f>
        <v>13591</v>
      </c>
      <c r="F134" s="267"/>
      <c r="G134" s="267"/>
      <c r="H134" s="267"/>
      <c r="I134" s="269"/>
      <c r="J134" s="269"/>
    </row>
    <row r="135">
      <c r="A135" s="295" t="s">
        <v>7049</v>
      </c>
      <c r="B135" s="296" t="s">
        <v>7050</v>
      </c>
      <c r="C135" s="297" t="s">
        <v>6532</v>
      </c>
      <c r="D135" s="297" t="s">
        <v>7051</v>
      </c>
      <c r="E135" s="298">
        <f>VLOOKUP(C135,Productos!$D$3:$S235,16,FALSE())</f>
        <v>198224</v>
      </c>
      <c r="F135" s="299">
        <f>SUM($E$135:$E$142)*0.9</f>
        <v>294927.3</v>
      </c>
      <c r="G135" s="299">
        <f>(ROUND(F135/1000,0))*1000</f>
        <v>295000</v>
      </c>
      <c r="H135" s="299">
        <f>SUM($E$135:$E$142)-G135</f>
        <v>32697</v>
      </c>
      <c r="I135" s="299">
        <f>G135*0.16</f>
        <v>47200</v>
      </c>
      <c r="J135" s="299">
        <f>G135+I135</f>
        <v>342200</v>
      </c>
    </row>
    <row r="136">
      <c r="A136" s="267"/>
      <c r="B136" s="267"/>
      <c r="C136" s="302" t="s">
        <v>148</v>
      </c>
      <c r="D136" s="302" t="s">
        <v>7047</v>
      </c>
      <c r="E136" s="303">
        <f>VLOOKUP(C136,Productos!$D$3:$S235,16,FALSE())</f>
        <v>28660</v>
      </c>
      <c r="F136" s="267"/>
      <c r="G136" s="267"/>
      <c r="H136" s="267"/>
      <c r="I136" s="267"/>
      <c r="J136" s="267"/>
    </row>
    <row r="137">
      <c r="A137" s="267"/>
      <c r="B137" s="267"/>
      <c r="C137" s="302" t="s">
        <v>774</v>
      </c>
      <c r="D137" s="302" t="s">
        <v>6989</v>
      </c>
      <c r="E137" s="303">
        <f>VLOOKUP(C137,Productos!$D$3:$S235,16,FALSE())</f>
        <v>1433</v>
      </c>
      <c r="F137" s="267"/>
      <c r="G137" s="267"/>
      <c r="H137" s="267"/>
      <c r="I137" s="267"/>
      <c r="J137" s="267"/>
    </row>
    <row r="138">
      <c r="A138" s="267"/>
      <c r="B138" s="267"/>
      <c r="C138" s="302" t="s">
        <v>4311</v>
      </c>
      <c r="D138" s="302" t="s">
        <v>7008</v>
      </c>
      <c r="E138" s="303">
        <f>VLOOKUP(C138,Productos!$D$3:$S235,16,FALSE())</f>
        <v>17449</v>
      </c>
      <c r="F138" s="267"/>
      <c r="G138" s="267"/>
      <c r="H138" s="267"/>
      <c r="I138" s="267"/>
      <c r="J138" s="267"/>
    </row>
    <row r="139">
      <c r="A139" s="267"/>
      <c r="B139" s="267"/>
      <c r="C139" s="302" t="s">
        <v>4017</v>
      </c>
      <c r="D139" s="302" t="s">
        <v>6995</v>
      </c>
      <c r="E139" s="303">
        <f>VLOOKUP(C139,Productos!$D$3:$S235,16,FALSE())</f>
        <v>13591</v>
      </c>
      <c r="F139" s="267"/>
      <c r="G139" s="267"/>
      <c r="H139" s="267"/>
      <c r="I139" s="267"/>
      <c r="J139" s="267"/>
    </row>
    <row r="140">
      <c r="A140" s="267"/>
      <c r="B140" s="267"/>
      <c r="C140" s="302" t="s">
        <v>4504</v>
      </c>
      <c r="D140" s="302" t="s">
        <v>7052</v>
      </c>
      <c r="E140" s="303">
        <f>VLOOKUP(C140,Productos!$D$3:$S235,16,FALSE())</f>
        <v>23112</v>
      </c>
      <c r="F140" s="267"/>
      <c r="G140" s="267"/>
      <c r="H140" s="267"/>
      <c r="I140" s="267"/>
      <c r="J140" s="267"/>
    </row>
    <row r="141">
      <c r="A141" s="267"/>
      <c r="B141" s="267"/>
      <c r="C141" s="302" t="s">
        <v>4119</v>
      </c>
      <c r="D141" s="302" t="s">
        <v>6998</v>
      </c>
      <c r="E141" s="303">
        <f>VLOOKUP(C141,Productos!$D$3:$S235,16,FALSE())</f>
        <v>32927</v>
      </c>
      <c r="F141" s="267"/>
      <c r="G141" s="267"/>
      <c r="H141" s="267"/>
      <c r="I141" s="267"/>
      <c r="J141" s="267"/>
    </row>
    <row r="142">
      <c r="A142" s="269"/>
      <c r="B142" s="269"/>
      <c r="C142" s="302" t="s">
        <v>2630</v>
      </c>
      <c r="D142" s="302" t="s">
        <v>6999</v>
      </c>
      <c r="E142" s="303">
        <f>VLOOKUP(C142,Productos!$D$3:$S235,16,FALSE())</f>
        <v>12301</v>
      </c>
      <c r="F142" s="269"/>
      <c r="G142" s="269"/>
      <c r="H142" s="269"/>
      <c r="I142" s="269"/>
      <c r="J142" s="269"/>
    </row>
    <row r="143">
      <c r="A143" s="262" t="s">
        <v>7053</v>
      </c>
      <c r="B143" s="294" t="s">
        <v>7054</v>
      </c>
      <c r="C143" s="283" t="s">
        <v>6532</v>
      </c>
      <c r="D143" s="283" t="s">
        <v>7046</v>
      </c>
      <c r="E143" s="265">
        <f>VLOOKUP(C143,Productos!$D$3:$S235,16,FALSE())</f>
        <v>198224</v>
      </c>
      <c r="F143" s="266">
        <f>SUM($E$143:$E$150)*0.9</f>
        <v>299781</v>
      </c>
      <c r="G143" s="266">
        <f>(ROUND(F143/1000,0))*1000</f>
        <v>300000</v>
      </c>
      <c r="H143" s="266">
        <f>SUM($E$143:$E$150)-G143</f>
        <v>33090</v>
      </c>
      <c r="I143" s="266">
        <f>G143*0.16</f>
        <v>48000</v>
      </c>
      <c r="J143" s="266">
        <f>G143+I143</f>
        <v>348000</v>
      </c>
    </row>
    <row r="144">
      <c r="A144" s="267"/>
      <c r="B144" s="267"/>
      <c r="C144" s="283" t="s">
        <v>148</v>
      </c>
      <c r="D144" s="283" t="s">
        <v>7047</v>
      </c>
      <c r="E144" s="265">
        <f>VLOOKUP(C144,Productos!$D$3:$S235,16,FALSE())</f>
        <v>28660</v>
      </c>
      <c r="F144" s="267"/>
      <c r="G144" s="267"/>
      <c r="H144" s="267"/>
      <c r="I144" s="267"/>
      <c r="J144" s="267"/>
    </row>
    <row r="145">
      <c r="A145" s="267"/>
      <c r="B145" s="267"/>
      <c r="C145" s="283" t="s">
        <v>774</v>
      </c>
      <c r="D145" s="283" t="s">
        <v>6989</v>
      </c>
      <c r="E145" s="265">
        <f>VLOOKUP(C145,Productos!$D$3:$S235,16,FALSE())</f>
        <v>1433</v>
      </c>
      <c r="F145" s="267"/>
      <c r="G145" s="267"/>
      <c r="H145" s="267"/>
      <c r="I145" s="267"/>
      <c r="J145" s="267"/>
    </row>
    <row r="146">
      <c r="A146" s="267"/>
      <c r="B146" s="267"/>
      <c r="C146" s="283" t="s">
        <v>4311</v>
      </c>
      <c r="D146" s="283" t="s">
        <v>7008</v>
      </c>
      <c r="E146" s="265">
        <f>VLOOKUP(C146,Productos!$D$3:$S235,16,FALSE())</f>
        <v>17449</v>
      </c>
      <c r="F146" s="267"/>
      <c r="G146" s="267"/>
      <c r="H146" s="267"/>
      <c r="I146" s="267"/>
      <c r="J146" s="267"/>
    </row>
    <row r="147">
      <c r="A147" s="267"/>
      <c r="B147" s="267"/>
      <c r="C147" s="283" t="s">
        <v>4017</v>
      </c>
      <c r="D147" s="283" t="s">
        <v>6995</v>
      </c>
      <c r="E147" s="265">
        <f>VLOOKUP(C147,Productos!$D$3:$S235,16,FALSE())</f>
        <v>13591</v>
      </c>
      <c r="F147" s="267"/>
      <c r="G147" s="267"/>
      <c r="H147" s="267"/>
      <c r="I147" s="267"/>
      <c r="J147" s="267"/>
    </row>
    <row r="148">
      <c r="A148" s="267"/>
      <c r="B148" s="267"/>
      <c r="C148" s="283" t="s">
        <v>4504</v>
      </c>
      <c r="D148" s="283" t="s">
        <v>7052</v>
      </c>
      <c r="E148" s="265">
        <f>VLOOKUP(C148,Productos!$D$3:$S235,16,FALSE())</f>
        <v>23112</v>
      </c>
      <c r="F148" s="267"/>
      <c r="G148" s="267"/>
      <c r="H148" s="267"/>
      <c r="I148" s="267"/>
      <c r="J148" s="267"/>
    </row>
    <row r="149">
      <c r="A149" s="267"/>
      <c r="B149" s="267"/>
      <c r="C149" s="283" t="s">
        <v>4115</v>
      </c>
      <c r="D149" s="283" t="s">
        <v>7001</v>
      </c>
      <c r="E149" s="265">
        <f>VLOOKUP(C149,Productos!$D$3:$S235,16,FALSE())</f>
        <v>38320</v>
      </c>
      <c r="F149" s="267"/>
      <c r="G149" s="267"/>
      <c r="H149" s="267"/>
      <c r="I149" s="267"/>
      <c r="J149" s="267"/>
    </row>
    <row r="150">
      <c r="A150" s="269"/>
      <c r="B150" s="269"/>
      <c r="C150" s="283" t="s">
        <v>2630</v>
      </c>
      <c r="D150" s="283" t="s">
        <v>6999</v>
      </c>
      <c r="E150" s="265">
        <f>VLOOKUP(C150,Productos!$D$3:$S235,16,FALSE())</f>
        <v>12301</v>
      </c>
      <c r="F150" s="267"/>
      <c r="G150" s="267"/>
      <c r="H150" s="267"/>
      <c r="I150" s="269"/>
      <c r="J150" s="269"/>
    </row>
    <row r="151">
      <c r="A151" s="295" t="s">
        <v>7055</v>
      </c>
      <c r="B151" s="296" t="s">
        <v>7056</v>
      </c>
      <c r="C151" s="297" t="s">
        <v>6536</v>
      </c>
      <c r="D151" s="297" t="s">
        <v>7057</v>
      </c>
      <c r="E151" s="298">
        <f>VLOOKUP(C151,Productos!$D$3:$S235,16,FALSE())</f>
        <v>215913</v>
      </c>
      <c r="F151" s="299">
        <f>SUM($E$151:$E$158)*0.9</f>
        <v>335285.1</v>
      </c>
      <c r="G151" s="299">
        <f>(ROUND(F151/1000,0))*1000</f>
        <v>335000</v>
      </c>
      <c r="H151" s="299">
        <f>SUM($E$151:$E$158)-G151</f>
        <v>37539</v>
      </c>
      <c r="I151" s="299">
        <f>G151*0.16</f>
        <v>53600</v>
      </c>
      <c r="J151" s="299">
        <f>G151+I151</f>
        <v>388600</v>
      </c>
    </row>
    <row r="152">
      <c r="A152" s="267"/>
      <c r="B152" s="267"/>
      <c r="C152" s="302" t="s">
        <v>148</v>
      </c>
      <c r="D152" s="302" t="s">
        <v>7047</v>
      </c>
      <c r="E152" s="303">
        <f>VLOOKUP(C152,Productos!$D$3:$S235,16,FALSE())</f>
        <v>28660</v>
      </c>
      <c r="F152" s="267"/>
      <c r="G152" s="267"/>
      <c r="H152" s="267"/>
      <c r="I152" s="267"/>
      <c r="J152" s="267"/>
    </row>
    <row r="153">
      <c r="A153" s="267"/>
      <c r="B153" s="267"/>
      <c r="C153" s="302" t="s">
        <v>774</v>
      </c>
      <c r="D153" s="302" t="s">
        <v>6989</v>
      </c>
      <c r="E153" s="303">
        <f>VLOOKUP(C153,Productos!$D$3:$S235,16,FALSE())</f>
        <v>1433</v>
      </c>
      <c r="F153" s="267"/>
      <c r="G153" s="267"/>
      <c r="H153" s="267"/>
      <c r="I153" s="267"/>
      <c r="J153" s="267"/>
    </row>
    <row r="154">
      <c r="A154" s="267"/>
      <c r="B154" s="267"/>
      <c r="C154" s="302" t="s">
        <v>4311</v>
      </c>
      <c r="D154" s="302" t="s">
        <v>7008</v>
      </c>
      <c r="E154" s="303">
        <f>VLOOKUP(C154,Productos!$D$3:$S235,16,FALSE())</f>
        <v>17449</v>
      </c>
      <c r="F154" s="267"/>
      <c r="G154" s="267"/>
      <c r="H154" s="267"/>
      <c r="I154" s="267"/>
      <c r="J154" s="267"/>
    </row>
    <row r="155">
      <c r="A155" s="267"/>
      <c r="B155" s="267"/>
      <c r="C155" s="302" t="s">
        <v>4017</v>
      </c>
      <c r="D155" s="302" t="s">
        <v>6995</v>
      </c>
      <c r="E155" s="303">
        <f>VLOOKUP(C155,Productos!$D$3:$S235,16,FALSE())</f>
        <v>13591</v>
      </c>
      <c r="F155" s="267"/>
      <c r="G155" s="267"/>
      <c r="H155" s="267"/>
      <c r="I155" s="267"/>
      <c r="J155" s="267"/>
    </row>
    <row r="156">
      <c r="A156" s="267"/>
      <c r="B156" s="267"/>
      <c r="C156" s="302" t="s">
        <v>4508</v>
      </c>
      <c r="D156" s="302" t="s">
        <v>7058</v>
      </c>
      <c r="E156" s="303">
        <f>VLOOKUP(C156,Productos!$D$3:$S235,16,FALSE())</f>
        <v>26269</v>
      </c>
      <c r="F156" s="267"/>
      <c r="G156" s="267"/>
      <c r="H156" s="267"/>
      <c r="I156" s="267"/>
      <c r="J156" s="267"/>
    </row>
    <row r="157">
      <c r="A157" s="267"/>
      <c r="B157" s="267"/>
      <c r="C157" s="297" t="s">
        <v>4205</v>
      </c>
      <c r="D157" s="297" t="s">
        <v>7005</v>
      </c>
      <c r="E157" s="298">
        <f>VLOOKUP(C157,Productos!$D$3:$S235,16,FALSE())</f>
        <v>56923</v>
      </c>
      <c r="F157" s="267"/>
      <c r="G157" s="267"/>
      <c r="H157" s="267"/>
      <c r="I157" s="267"/>
      <c r="J157" s="267"/>
    </row>
    <row r="158">
      <c r="A158" s="269"/>
      <c r="B158" s="269"/>
      <c r="C158" s="297" t="s">
        <v>2630</v>
      </c>
      <c r="D158" s="297" t="s">
        <v>6999</v>
      </c>
      <c r="E158" s="298">
        <f>VLOOKUP(C158,Productos!$D$3:$S235,16,FALSE())</f>
        <v>12301</v>
      </c>
      <c r="F158" s="269"/>
      <c r="G158" s="269"/>
      <c r="H158" s="269"/>
      <c r="I158" s="269"/>
      <c r="J158" s="269"/>
    </row>
    <row r="159">
      <c r="A159" s="262" t="s">
        <v>7059</v>
      </c>
      <c r="B159" s="294" t="s">
        <v>7060</v>
      </c>
      <c r="C159" s="280" t="s">
        <v>6536</v>
      </c>
      <c r="D159" s="280" t="s">
        <v>7057</v>
      </c>
      <c r="E159" s="265">
        <f>VLOOKUP(C159,Productos!$D$3:$S235,16,FALSE())</f>
        <v>215913</v>
      </c>
      <c r="F159" s="266">
        <f>SUM($E$159:$E$166)*0.9</f>
        <v>341775.9</v>
      </c>
      <c r="G159" s="266">
        <f>(ROUND(F159/1000,0))*1000</f>
        <v>342000</v>
      </c>
      <c r="H159" s="266">
        <f>SUM($E$159:$E$166)-G159</f>
        <v>37751</v>
      </c>
      <c r="I159" s="266">
        <f>G159*0.16</f>
        <v>54720</v>
      </c>
      <c r="J159" s="266">
        <f>G159+I159</f>
        <v>396720</v>
      </c>
    </row>
    <row r="160">
      <c r="A160" s="267"/>
      <c r="B160" s="267"/>
      <c r="C160" s="283" t="s">
        <v>148</v>
      </c>
      <c r="D160" s="283" t="s">
        <v>7047</v>
      </c>
      <c r="E160" s="265">
        <f>VLOOKUP(C160,Productos!$D$3:$S235,16,FALSE())</f>
        <v>28660</v>
      </c>
      <c r="F160" s="267"/>
      <c r="G160" s="267"/>
      <c r="H160" s="267"/>
      <c r="I160" s="267"/>
      <c r="J160" s="267"/>
    </row>
    <row r="161">
      <c r="A161" s="267"/>
      <c r="B161" s="267"/>
      <c r="C161" s="283" t="s">
        <v>774</v>
      </c>
      <c r="D161" s="283" t="s">
        <v>6989</v>
      </c>
      <c r="E161" s="265">
        <f>VLOOKUP(C161,Productos!$D$3:$S235,16,FALSE())</f>
        <v>1433</v>
      </c>
      <c r="F161" s="267"/>
      <c r="G161" s="267"/>
      <c r="H161" s="267"/>
      <c r="I161" s="267"/>
      <c r="J161" s="267"/>
    </row>
    <row r="162">
      <c r="A162" s="267"/>
      <c r="B162" s="267"/>
      <c r="C162" s="283" t="s">
        <v>4311</v>
      </c>
      <c r="D162" s="283" t="s">
        <v>7008</v>
      </c>
      <c r="E162" s="265">
        <f>VLOOKUP(C162,Productos!$D$3:$S235,16,FALSE())</f>
        <v>17449</v>
      </c>
      <c r="F162" s="267"/>
      <c r="G162" s="267"/>
      <c r="H162" s="267"/>
      <c r="I162" s="267"/>
      <c r="J162" s="267"/>
    </row>
    <row r="163">
      <c r="A163" s="267"/>
      <c r="B163" s="267"/>
      <c r="C163" s="283" t="s">
        <v>4017</v>
      </c>
      <c r="D163" s="283" t="s">
        <v>6995</v>
      </c>
      <c r="E163" s="265">
        <f>VLOOKUP(C163,Productos!$D$3:$S235,16,FALSE())</f>
        <v>13591</v>
      </c>
      <c r="F163" s="267"/>
      <c r="G163" s="267"/>
      <c r="H163" s="267"/>
      <c r="I163" s="267"/>
      <c r="J163" s="267"/>
    </row>
    <row r="164">
      <c r="A164" s="267"/>
      <c r="B164" s="267"/>
      <c r="C164" s="283" t="s">
        <v>4508</v>
      </c>
      <c r="D164" s="283" t="s">
        <v>7058</v>
      </c>
      <c r="E164" s="265">
        <f>VLOOKUP(C164,Productos!$D$3:$S235,16,FALSE())</f>
        <v>26269</v>
      </c>
      <c r="F164" s="267"/>
      <c r="G164" s="267"/>
      <c r="H164" s="267"/>
      <c r="I164" s="267"/>
      <c r="J164" s="267"/>
    </row>
    <row r="165">
      <c r="A165" s="267"/>
      <c r="B165" s="267"/>
      <c r="C165" s="280" t="s">
        <v>4138</v>
      </c>
      <c r="D165" s="280" t="s">
        <v>7009</v>
      </c>
      <c r="E165" s="265">
        <f>VLOOKUP(C165,Productos!$D$3:$S235,16,FALSE())</f>
        <v>64135</v>
      </c>
      <c r="F165" s="267"/>
      <c r="G165" s="267"/>
      <c r="H165" s="267"/>
      <c r="I165" s="267"/>
      <c r="J165" s="267"/>
    </row>
    <row r="166">
      <c r="A166" s="269"/>
      <c r="B166" s="269"/>
      <c r="C166" s="283" t="s">
        <v>2630</v>
      </c>
      <c r="D166" s="283" t="s">
        <v>6999</v>
      </c>
      <c r="E166" s="265">
        <f>VLOOKUP(C166,Productos!$D$3:$S235,16,FALSE())</f>
        <v>12301</v>
      </c>
      <c r="F166" s="267"/>
      <c r="G166" s="267"/>
      <c r="H166" s="267"/>
      <c r="I166" s="269"/>
      <c r="J166" s="269"/>
    </row>
    <row r="167">
      <c r="A167" s="295" t="s">
        <v>7061</v>
      </c>
      <c r="B167" s="296" t="s">
        <v>7062</v>
      </c>
      <c r="C167" s="297" t="s">
        <v>6540</v>
      </c>
      <c r="D167" s="297" t="s">
        <v>7063</v>
      </c>
      <c r="E167" s="298">
        <f>VLOOKUP(C167,Productos!$D$3:$S235,16,FALSE())</f>
        <v>226706</v>
      </c>
      <c r="F167" s="299">
        <f>SUM($E$167:$E$174)*0.9</f>
        <v>351489.6</v>
      </c>
      <c r="G167" s="299">
        <f>(ROUND(F167/1000,0))*1000</f>
        <v>351000</v>
      </c>
      <c r="H167" s="299">
        <f>SUM($E$167:$E$174)-G167</f>
        <v>39544</v>
      </c>
      <c r="I167" s="299">
        <f>G167*0.16</f>
        <v>56160</v>
      </c>
      <c r="J167" s="299">
        <f>G167+I167</f>
        <v>407160</v>
      </c>
    </row>
    <row r="168">
      <c r="A168" s="267"/>
      <c r="B168" s="267"/>
      <c r="C168" s="302" t="s">
        <v>148</v>
      </c>
      <c r="D168" s="302" t="s">
        <v>7047</v>
      </c>
      <c r="E168" s="303">
        <f>VLOOKUP(C168,Productos!$D$3:$S235,16,FALSE())</f>
        <v>28660</v>
      </c>
      <c r="F168" s="267"/>
      <c r="G168" s="267"/>
      <c r="H168" s="267"/>
      <c r="I168" s="267"/>
      <c r="J168" s="267"/>
    </row>
    <row r="169">
      <c r="A169" s="267"/>
      <c r="B169" s="267"/>
      <c r="C169" s="302" t="s">
        <v>774</v>
      </c>
      <c r="D169" s="302" t="s">
        <v>6989</v>
      </c>
      <c r="E169" s="303">
        <f>VLOOKUP(C169,Productos!$D$3:$S235,16,FALSE())</f>
        <v>1433</v>
      </c>
      <c r="F169" s="267"/>
      <c r="G169" s="267"/>
      <c r="H169" s="267"/>
      <c r="I169" s="267"/>
      <c r="J169" s="267"/>
    </row>
    <row r="170">
      <c r="A170" s="267"/>
      <c r="B170" s="267"/>
      <c r="C170" s="302" t="s">
        <v>4311</v>
      </c>
      <c r="D170" s="302" t="s">
        <v>7008</v>
      </c>
      <c r="E170" s="303">
        <f>VLOOKUP(C170,Productos!$D$3:$S235,16,FALSE())</f>
        <v>17449</v>
      </c>
      <c r="F170" s="267"/>
      <c r="G170" s="267"/>
      <c r="H170" s="267"/>
      <c r="I170" s="267"/>
      <c r="J170" s="267"/>
    </row>
    <row r="171">
      <c r="A171" s="267"/>
      <c r="B171" s="267"/>
      <c r="C171" s="302" t="s">
        <v>4017</v>
      </c>
      <c r="D171" s="302" t="s">
        <v>6995</v>
      </c>
      <c r="E171" s="303">
        <f>VLOOKUP(C171,Productos!$D$3:$S235,16,FALSE())</f>
        <v>13591</v>
      </c>
      <c r="F171" s="267"/>
      <c r="G171" s="267"/>
      <c r="H171" s="267"/>
      <c r="I171" s="267"/>
      <c r="J171" s="267"/>
    </row>
    <row r="172">
      <c r="A172" s="267"/>
      <c r="B172" s="267"/>
      <c r="C172" s="302" t="s">
        <v>4508</v>
      </c>
      <c r="D172" s="302" t="s">
        <v>7058</v>
      </c>
      <c r="E172" s="303">
        <f>VLOOKUP(C172,Productos!$D$3:$S235,16,FALSE())</f>
        <v>26269</v>
      </c>
      <c r="F172" s="267"/>
      <c r="G172" s="267"/>
      <c r="H172" s="267"/>
      <c r="I172" s="267"/>
      <c r="J172" s="267"/>
    </row>
    <row r="173">
      <c r="A173" s="267"/>
      <c r="B173" s="267"/>
      <c r="C173" s="297" t="s">
        <v>4138</v>
      </c>
      <c r="D173" s="297" t="s">
        <v>7009</v>
      </c>
      <c r="E173" s="298">
        <f>VLOOKUP(C173,Productos!$D$3:$S235,16,FALSE())</f>
        <v>64135</v>
      </c>
      <c r="F173" s="267"/>
      <c r="G173" s="267"/>
      <c r="H173" s="267"/>
      <c r="I173" s="267"/>
      <c r="J173" s="267"/>
    </row>
    <row r="174">
      <c r="A174" s="269"/>
      <c r="B174" s="269"/>
      <c r="C174" s="302" t="s">
        <v>2630</v>
      </c>
      <c r="D174" s="302" t="s">
        <v>6999</v>
      </c>
      <c r="E174" s="303">
        <f>VLOOKUP(C174,Productos!$D$3:$S235,16,FALSE())</f>
        <v>12301</v>
      </c>
      <c r="F174" s="269"/>
      <c r="G174" s="269"/>
      <c r="H174" s="269"/>
      <c r="I174" s="269"/>
      <c r="J174" s="269"/>
    </row>
    <row r="175">
      <c r="A175" s="262" t="s">
        <v>7064</v>
      </c>
      <c r="B175" s="294" t="s">
        <v>7065</v>
      </c>
      <c r="C175" s="280" t="s">
        <v>6540</v>
      </c>
      <c r="D175" s="280" t="s">
        <v>7063</v>
      </c>
      <c r="E175" s="265">
        <f>VLOOKUP(C175,Productos!$D$3:$S235,16,FALSE())</f>
        <v>226706</v>
      </c>
      <c r="F175" s="266">
        <f>SUM($E$175:$E$182)*0.9</f>
        <v>414440.1</v>
      </c>
      <c r="G175" s="266">
        <f>(ROUND(F175/1000,0))*1000</f>
        <v>414000</v>
      </c>
      <c r="H175" s="266">
        <f>SUM($E$175:$E$182)-G175</f>
        <v>46489</v>
      </c>
      <c r="I175" s="266">
        <f>G175*0.16</f>
        <v>66240</v>
      </c>
      <c r="J175" s="266">
        <f>G175+I175</f>
        <v>480240</v>
      </c>
    </row>
    <row r="176">
      <c r="A176" s="267"/>
      <c r="B176" s="267"/>
      <c r="C176" s="280" t="s">
        <v>148</v>
      </c>
      <c r="D176" s="280" t="s">
        <v>7047</v>
      </c>
      <c r="E176" s="265">
        <f>VLOOKUP(C176,Productos!$D$3:$S235,16,FALSE())</f>
        <v>28660</v>
      </c>
      <c r="F176" s="267"/>
      <c r="G176" s="267"/>
      <c r="H176" s="267"/>
      <c r="I176" s="267"/>
      <c r="J176" s="267"/>
    </row>
    <row r="177">
      <c r="A177" s="267"/>
      <c r="B177" s="267"/>
      <c r="C177" s="283" t="s">
        <v>774</v>
      </c>
      <c r="D177" s="283" t="s">
        <v>6989</v>
      </c>
      <c r="E177" s="265">
        <f>VLOOKUP(C177,Productos!$D$3:$S235,16,FALSE())</f>
        <v>1433</v>
      </c>
      <c r="F177" s="267"/>
      <c r="G177" s="267"/>
      <c r="H177" s="267"/>
      <c r="I177" s="267"/>
      <c r="J177" s="267"/>
    </row>
    <row r="178">
      <c r="A178" s="267"/>
      <c r="B178" s="267"/>
      <c r="C178" s="283" t="s">
        <v>4311</v>
      </c>
      <c r="D178" s="283" t="s">
        <v>7008</v>
      </c>
      <c r="E178" s="265">
        <f>VLOOKUP(C178,Productos!$D$3:$S235,16,FALSE())</f>
        <v>17449</v>
      </c>
      <c r="F178" s="267"/>
      <c r="G178" s="267"/>
      <c r="H178" s="267"/>
      <c r="I178" s="267"/>
      <c r="J178" s="267"/>
    </row>
    <row r="179">
      <c r="A179" s="267"/>
      <c r="B179" s="267"/>
      <c r="C179" s="283" t="s">
        <v>4017</v>
      </c>
      <c r="D179" s="283" t="s">
        <v>6995</v>
      </c>
      <c r="E179" s="265">
        <f>VLOOKUP(C179,Productos!$D$3:$S235,16,FALSE())</f>
        <v>13591</v>
      </c>
      <c r="F179" s="267"/>
      <c r="G179" s="267"/>
      <c r="H179" s="267"/>
      <c r="I179" s="267"/>
      <c r="J179" s="267"/>
    </row>
    <row r="180">
      <c r="A180" s="267"/>
      <c r="B180" s="267"/>
      <c r="C180" s="283" t="s">
        <v>4512</v>
      </c>
      <c r="D180" s="283" t="s">
        <v>7066</v>
      </c>
      <c r="E180" s="265">
        <f>VLOOKUP(C180,Productos!$D$3:$S235,16,FALSE())</f>
        <v>48981</v>
      </c>
      <c r="F180" s="267"/>
      <c r="G180" s="267"/>
      <c r="H180" s="267"/>
      <c r="I180" s="267"/>
      <c r="J180" s="267"/>
    </row>
    <row r="181">
      <c r="A181" s="267"/>
      <c r="B181" s="267"/>
      <c r="C181" s="283" t="s">
        <v>4138</v>
      </c>
      <c r="D181" s="283" t="s">
        <v>7009</v>
      </c>
      <c r="E181" s="265">
        <f>VLOOKUP(C181,Productos!$D$3:$S235,16,FALSE())</f>
        <v>64135</v>
      </c>
      <c r="F181" s="267"/>
      <c r="G181" s="267"/>
      <c r="H181" s="267"/>
      <c r="I181" s="267"/>
      <c r="J181" s="267"/>
    </row>
    <row r="182">
      <c r="A182" s="269"/>
      <c r="B182" s="269"/>
      <c r="C182" s="283" t="s">
        <v>3580</v>
      </c>
      <c r="D182" s="283" t="s">
        <v>7016</v>
      </c>
      <c r="E182" s="265">
        <f>VLOOKUP(C182,Productos!$D$3:$S235,16,FALSE())</f>
        <v>59534</v>
      </c>
      <c r="F182" s="267"/>
      <c r="G182" s="267"/>
      <c r="H182" s="267"/>
      <c r="I182" s="269"/>
      <c r="J182" s="269"/>
    </row>
    <row r="183">
      <c r="A183" s="304" t="s">
        <v>7067</v>
      </c>
      <c r="B183" s="305" t="s">
        <v>7068</v>
      </c>
      <c r="C183" s="306" t="s">
        <v>1107</v>
      </c>
      <c r="D183" s="306" t="s">
        <v>7069</v>
      </c>
      <c r="E183" s="307">
        <f>VLOOKUP(C183,Productos!$D$3:$S235,16,FALSE())</f>
        <v>54057</v>
      </c>
      <c r="F183" s="308">
        <f>SUM($E$183:$E$187)*0.9</f>
        <v>96984</v>
      </c>
      <c r="G183" s="308">
        <f>(ROUND(F183/1000,0))*1000</f>
        <v>97000</v>
      </c>
      <c r="H183" s="308">
        <f>SUM($E$183:$E$187)-G183</f>
        <v>10760</v>
      </c>
      <c r="I183" s="308">
        <f>G183*0.16</f>
        <v>15520</v>
      </c>
      <c r="J183" s="308">
        <f>G183+I183</f>
        <v>112520</v>
      </c>
    </row>
    <row r="184">
      <c r="A184" s="267"/>
      <c r="B184" s="267"/>
      <c r="C184" s="309" t="s">
        <v>189</v>
      </c>
      <c r="D184" s="309" t="s">
        <v>7019</v>
      </c>
      <c r="E184" s="310">
        <f>VLOOKUP(C184,Productos!$D$3:$S235,16,FALSE())</f>
        <v>17271</v>
      </c>
      <c r="F184" s="267"/>
      <c r="G184" s="267"/>
      <c r="H184" s="267"/>
      <c r="I184" s="267"/>
      <c r="J184" s="267"/>
    </row>
    <row r="185">
      <c r="A185" s="267"/>
      <c r="B185" s="267"/>
      <c r="C185" s="309" t="s">
        <v>774</v>
      </c>
      <c r="D185" s="309" t="s">
        <v>6989</v>
      </c>
      <c r="E185" s="310">
        <f>VLOOKUP(C185,Productos!$D$3:$S235,16,FALSE())</f>
        <v>1433</v>
      </c>
      <c r="F185" s="267"/>
      <c r="G185" s="267"/>
      <c r="H185" s="267"/>
      <c r="I185" s="267"/>
      <c r="J185" s="267"/>
    </row>
    <row r="186">
      <c r="A186" s="267"/>
      <c r="B186" s="267"/>
      <c r="C186" s="309" t="s">
        <v>1980</v>
      </c>
      <c r="D186" s="309" t="s">
        <v>7070</v>
      </c>
      <c r="E186" s="310">
        <f>VLOOKUP(C186,Productos!$D$3:$S235,16,FALSE())</f>
        <v>11060</v>
      </c>
      <c r="F186" s="267"/>
      <c r="G186" s="267"/>
      <c r="H186" s="267"/>
      <c r="I186" s="267"/>
      <c r="J186" s="267"/>
    </row>
    <row r="187">
      <c r="A187" s="269"/>
      <c r="B187" s="269"/>
      <c r="C187" s="309" t="s">
        <v>2142</v>
      </c>
      <c r="D187" s="309" t="s">
        <v>7071</v>
      </c>
      <c r="E187" s="310">
        <f>VLOOKUP(C187,Productos!$D$3:$S235,16,FALSE())</f>
        <v>23939</v>
      </c>
      <c r="F187" s="269"/>
      <c r="G187" s="269"/>
      <c r="H187" s="269"/>
      <c r="I187" s="269"/>
      <c r="J187" s="269"/>
    </row>
    <row r="188">
      <c r="A188" s="262" t="s">
        <v>7072</v>
      </c>
      <c r="B188" s="311" t="s">
        <v>7073</v>
      </c>
      <c r="C188" s="283" t="s">
        <v>1107</v>
      </c>
      <c r="D188" s="283" t="s">
        <v>7069</v>
      </c>
      <c r="E188" s="265">
        <f>VLOOKUP(C188,Productos!$D$3:$S235,16,FALSE())</f>
        <v>54057</v>
      </c>
      <c r="F188" s="266">
        <f>SUM($E$188:$E$193)*0.9</f>
        <v>111317.4</v>
      </c>
      <c r="G188" s="266">
        <f>(ROUND(F188/1000,0))*1000</f>
        <v>111000</v>
      </c>
      <c r="H188" s="266">
        <f>SUM($E$188:$E$193)-G188</f>
        <v>12686</v>
      </c>
      <c r="I188" s="266">
        <f>G188*0.16</f>
        <v>17760</v>
      </c>
      <c r="J188" s="266">
        <f>G188+I188</f>
        <v>128760</v>
      </c>
    </row>
    <row r="189">
      <c r="A189" s="267"/>
      <c r="B189" s="267"/>
      <c r="C189" s="283" t="s">
        <v>189</v>
      </c>
      <c r="D189" s="283" t="s">
        <v>7019</v>
      </c>
      <c r="E189" s="265">
        <f>VLOOKUP(C189,Productos!$D$3:$S235,16,FALSE())</f>
        <v>17271</v>
      </c>
      <c r="F189" s="267"/>
      <c r="G189" s="267"/>
      <c r="H189" s="267"/>
      <c r="I189" s="267"/>
      <c r="J189" s="267"/>
    </row>
    <row r="190">
      <c r="A190" s="267"/>
      <c r="B190" s="267"/>
      <c r="C190" s="283" t="s">
        <v>774</v>
      </c>
      <c r="D190" s="283" t="s">
        <v>6989</v>
      </c>
      <c r="E190" s="265">
        <f>VLOOKUP(C190,Productos!$D$3:$S235,16,FALSE())</f>
        <v>1433</v>
      </c>
      <c r="F190" s="267"/>
      <c r="G190" s="267"/>
      <c r="H190" s="267"/>
      <c r="I190" s="267"/>
      <c r="J190" s="267"/>
    </row>
    <row r="191">
      <c r="A191" s="267"/>
      <c r="B191" s="267"/>
      <c r="C191" s="283" t="s">
        <v>1980</v>
      </c>
      <c r="D191" s="283" t="s">
        <v>7070</v>
      </c>
      <c r="E191" s="265">
        <f>VLOOKUP(C191,Productos!$D$3:$S235,16,FALSE())</f>
        <v>11060</v>
      </c>
      <c r="F191" s="267"/>
      <c r="G191" s="267"/>
      <c r="H191" s="267"/>
      <c r="I191" s="267"/>
      <c r="J191" s="267"/>
    </row>
    <row r="192">
      <c r="A192" s="267"/>
      <c r="B192" s="267"/>
      <c r="C192" s="283" t="s">
        <v>2142</v>
      </c>
      <c r="D192" s="283" t="s">
        <v>7071</v>
      </c>
      <c r="E192" s="265">
        <f>VLOOKUP(C192,Productos!$D$3:$S235,16,FALSE())</f>
        <v>23939</v>
      </c>
      <c r="F192" s="267"/>
      <c r="G192" s="267"/>
      <c r="H192" s="267"/>
      <c r="I192" s="267"/>
      <c r="J192" s="267"/>
    </row>
    <row r="193">
      <c r="A193" s="269"/>
      <c r="B193" s="269"/>
      <c r="C193" s="283" t="s">
        <v>4044</v>
      </c>
      <c r="D193" s="283" t="s">
        <v>7074</v>
      </c>
      <c r="E193" s="265">
        <f>VLOOKUP(C193,Productos!$D$3:$S235,16,FALSE())</f>
        <v>15926</v>
      </c>
      <c r="F193" s="267"/>
      <c r="G193" s="267"/>
      <c r="H193" s="267"/>
      <c r="I193" s="269"/>
      <c r="J193" s="269"/>
    </row>
    <row r="194">
      <c r="A194" s="304" t="s">
        <v>7075</v>
      </c>
      <c r="B194" s="305" t="s">
        <v>7076</v>
      </c>
      <c r="C194" s="309" t="s">
        <v>1107</v>
      </c>
      <c r="D194" s="309" t="s">
        <v>7069</v>
      </c>
      <c r="E194" s="310">
        <f>VLOOKUP(C194,Productos!$D$3:$S235,16,FALSE())</f>
        <v>54057</v>
      </c>
      <c r="F194" s="308">
        <f>SUM($E$194:$E$200)*0.9</f>
        <v>170640</v>
      </c>
      <c r="G194" s="308">
        <f>(ROUND(F194/1000,0))*1000</f>
        <v>171000</v>
      </c>
      <c r="H194" s="308">
        <f>SUM($E$194:$E$200)-G194</f>
        <v>18600</v>
      </c>
      <c r="I194" s="308">
        <f>G194*0.16</f>
        <v>27360</v>
      </c>
      <c r="J194" s="308">
        <f>G194+I194</f>
        <v>198360</v>
      </c>
    </row>
    <row r="195">
      <c r="A195" s="267"/>
      <c r="B195" s="267"/>
      <c r="C195" s="309" t="s">
        <v>193</v>
      </c>
      <c r="D195" s="309" t="s">
        <v>7077</v>
      </c>
      <c r="E195" s="310">
        <f>VLOOKUP(C195,Productos!$D$3:$S235,16,FALSE())</f>
        <v>22733</v>
      </c>
      <c r="F195" s="267"/>
      <c r="G195" s="267"/>
      <c r="H195" s="267"/>
      <c r="I195" s="267"/>
      <c r="J195" s="267"/>
    </row>
    <row r="196">
      <c r="A196" s="267"/>
      <c r="B196" s="267"/>
      <c r="C196" s="309" t="s">
        <v>774</v>
      </c>
      <c r="D196" s="309" t="s">
        <v>6989</v>
      </c>
      <c r="E196" s="310">
        <f>VLOOKUP(C196,Productos!$D$3:$S235,16,FALSE())</f>
        <v>1433</v>
      </c>
      <c r="F196" s="267"/>
      <c r="G196" s="267"/>
      <c r="H196" s="267"/>
      <c r="I196" s="267"/>
      <c r="J196" s="267"/>
    </row>
    <row r="197">
      <c r="A197" s="267"/>
      <c r="B197" s="267"/>
      <c r="C197" s="309" t="s">
        <v>1684</v>
      </c>
      <c r="D197" s="309" t="s">
        <v>7078</v>
      </c>
      <c r="E197" s="310">
        <f>VLOOKUP(C197,Productos!$D$3:$S235,16,FALSE())</f>
        <v>63586</v>
      </c>
      <c r="F197" s="267"/>
      <c r="G197" s="267"/>
      <c r="H197" s="267"/>
      <c r="I197" s="267"/>
      <c r="J197" s="267"/>
    </row>
    <row r="198">
      <c r="A198" s="267"/>
      <c r="B198" s="267"/>
      <c r="C198" s="309" t="s">
        <v>2142</v>
      </c>
      <c r="D198" s="309" t="s">
        <v>7071</v>
      </c>
      <c r="E198" s="310">
        <f>VLOOKUP(C198,Productos!$D$3:$S235,16,FALSE())</f>
        <v>23939</v>
      </c>
      <c r="F198" s="267"/>
      <c r="G198" s="267"/>
      <c r="H198" s="267"/>
      <c r="I198" s="267"/>
      <c r="J198" s="267"/>
    </row>
    <row r="199">
      <c r="A199" s="267"/>
      <c r="B199" s="267"/>
      <c r="C199" s="309" t="s">
        <v>4044</v>
      </c>
      <c r="D199" s="309" t="s">
        <v>7074</v>
      </c>
      <c r="E199" s="310">
        <f>VLOOKUP(C199,Productos!$D$3:$S235,16,FALSE())</f>
        <v>15926</v>
      </c>
      <c r="F199" s="267"/>
      <c r="G199" s="267"/>
      <c r="H199" s="267"/>
      <c r="I199" s="267"/>
      <c r="J199" s="267"/>
    </row>
    <row r="200">
      <c r="A200" s="269"/>
      <c r="B200" s="269"/>
      <c r="C200" s="309" t="s">
        <v>2644</v>
      </c>
      <c r="D200" s="309" t="s">
        <v>7079</v>
      </c>
      <c r="E200" s="310">
        <f>VLOOKUP(C200,Productos!$D$3:$S235,16,FALSE())</f>
        <v>7926</v>
      </c>
      <c r="F200" s="269"/>
      <c r="G200" s="269"/>
      <c r="H200" s="269"/>
      <c r="I200" s="269"/>
      <c r="J200" s="269"/>
    </row>
    <row r="201">
      <c r="A201" s="262" t="s">
        <v>7080</v>
      </c>
      <c r="B201" s="311" t="s">
        <v>7081</v>
      </c>
      <c r="C201" s="283" t="s">
        <v>1107</v>
      </c>
      <c r="D201" s="283" t="s">
        <v>7069</v>
      </c>
      <c r="E201" s="265">
        <f>VLOOKUP(C201,Productos!$D$3:$S235,16,FALSE())</f>
        <v>54057</v>
      </c>
      <c r="F201" s="266">
        <f>SUM($E$201:$E$207)*0.9</f>
        <v>196789.5</v>
      </c>
      <c r="G201" s="266">
        <f>(ROUND(F201/1000,0))*1000</f>
        <v>197000</v>
      </c>
      <c r="H201" s="266">
        <f>SUM($E$201:$E$207)-G201</f>
        <v>21655</v>
      </c>
      <c r="I201" s="266">
        <f>G201*0.16</f>
        <v>31520</v>
      </c>
      <c r="J201" s="266">
        <f>G201+I201</f>
        <v>228520</v>
      </c>
    </row>
    <row r="202">
      <c r="A202" s="267"/>
      <c r="B202" s="267"/>
      <c r="C202" s="283" t="s">
        <v>193</v>
      </c>
      <c r="D202" s="283" t="s">
        <v>7077</v>
      </c>
      <c r="E202" s="265">
        <f>VLOOKUP(C202,Productos!$D$3:$S235,16,FALSE())</f>
        <v>22733</v>
      </c>
      <c r="F202" s="267"/>
      <c r="G202" s="267"/>
      <c r="H202" s="267"/>
      <c r="I202" s="267"/>
      <c r="J202" s="267"/>
    </row>
    <row r="203">
      <c r="A203" s="267"/>
      <c r="B203" s="267"/>
      <c r="C203" s="283" t="s">
        <v>774</v>
      </c>
      <c r="D203" s="283" t="s">
        <v>6989</v>
      </c>
      <c r="E203" s="265">
        <f>VLOOKUP(C203,Productos!$D$3:$S235,16,FALSE())</f>
        <v>1433</v>
      </c>
      <c r="F203" s="267"/>
      <c r="G203" s="267"/>
      <c r="H203" s="267"/>
      <c r="I203" s="267"/>
      <c r="J203" s="267"/>
    </row>
    <row r="204">
      <c r="A204" s="267"/>
      <c r="B204" s="267"/>
      <c r="C204" s="283" t="s">
        <v>1684</v>
      </c>
      <c r="D204" s="283" t="s">
        <v>7078</v>
      </c>
      <c r="E204" s="265">
        <f>VLOOKUP(C204,Productos!$D$3:$S235,16,FALSE())</f>
        <v>63586</v>
      </c>
      <c r="F204" s="267"/>
      <c r="G204" s="267"/>
      <c r="H204" s="267"/>
      <c r="I204" s="267"/>
      <c r="J204" s="267"/>
    </row>
    <row r="205">
      <c r="A205" s="267"/>
      <c r="B205" s="267"/>
      <c r="C205" s="283" t="s">
        <v>2130</v>
      </c>
      <c r="D205" s="283" t="s">
        <v>7082</v>
      </c>
      <c r="E205" s="265">
        <f>VLOOKUP(C205,Productos!$D$3:$S235,16,FALSE())</f>
        <v>52994</v>
      </c>
      <c r="F205" s="267"/>
      <c r="G205" s="267"/>
      <c r="H205" s="267"/>
      <c r="I205" s="267"/>
      <c r="J205" s="267"/>
    </row>
    <row r="206">
      <c r="A206" s="267"/>
      <c r="B206" s="267"/>
      <c r="C206" s="283" t="s">
        <v>4044</v>
      </c>
      <c r="D206" s="283" t="s">
        <v>7074</v>
      </c>
      <c r="E206" s="265">
        <f>VLOOKUP(C206,Productos!$D$3:$S235,16,FALSE())</f>
        <v>15926</v>
      </c>
      <c r="F206" s="267"/>
      <c r="G206" s="267"/>
      <c r="H206" s="267"/>
      <c r="I206" s="267"/>
      <c r="J206" s="267"/>
    </row>
    <row r="207">
      <c r="A207" s="269"/>
      <c r="B207" s="269"/>
      <c r="C207" s="283" t="s">
        <v>2644</v>
      </c>
      <c r="D207" s="283" t="s">
        <v>7079</v>
      </c>
      <c r="E207" s="265">
        <f>VLOOKUP(C207,Productos!$D$3:$S235,16,FALSE())</f>
        <v>7926</v>
      </c>
      <c r="F207" s="269"/>
      <c r="G207" s="267"/>
      <c r="H207" s="269"/>
      <c r="I207" s="269"/>
      <c r="J207" s="269"/>
    </row>
    <row r="208">
      <c r="A208" s="304" t="s">
        <v>7083</v>
      </c>
      <c r="B208" s="305" t="s">
        <v>7084</v>
      </c>
      <c r="C208" s="309" t="s">
        <v>5149</v>
      </c>
      <c r="D208" s="309" t="s">
        <v>7085</v>
      </c>
      <c r="E208" s="310">
        <f>VLOOKUP(C208,Productos!$D$3:$S235,16,FALSE())</f>
        <v>68299</v>
      </c>
      <c r="F208" s="308">
        <f>SUM($E$208:$E$215)*0.9</f>
        <v>302064.3</v>
      </c>
      <c r="G208" s="308">
        <f>(ROUND(F208/1000,0))*1000</f>
        <v>302000</v>
      </c>
      <c r="H208" s="308">
        <f>SUM($E$208:$E$215)-G208</f>
        <v>33627</v>
      </c>
      <c r="I208" s="308">
        <f>G208*0.16</f>
        <v>48320</v>
      </c>
      <c r="J208" s="308">
        <f>G208+I208</f>
        <v>350320</v>
      </c>
    </row>
    <row r="209">
      <c r="A209" s="267"/>
      <c r="B209" s="267"/>
      <c r="C209" s="309" t="s">
        <v>197</v>
      </c>
      <c r="D209" s="309" t="s">
        <v>7086</v>
      </c>
      <c r="E209" s="310">
        <f>VLOOKUP(C209,Productos!$D$3:$S235,16,FALSE())</f>
        <v>26879</v>
      </c>
      <c r="F209" s="267"/>
      <c r="G209" s="267"/>
      <c r="H209" s="267"/>
      <c r="I209" s="267"/>
      <c r="J209" s="267"/>
    </row>
    <row r="210">
      <c r="A210" s="267"/>
      <c r="B210" s="267"/>
      <c r="C210" s="309" t="s">
        <v>774</v>
      </c>
      <c r="D210" s="309" t="s">
        <v>6989</v>
      </c>
      <c r="E210" s="310">
        <f>VLOOKUP(C210,Productos!$D$3:$S235,16,FALSE())</f>
        <v>1433</v>
      </c>
      <c r="F210" s="267"/>
      <c r="G210" s="267"/>
      <c r="H210" s="267"/>
      <c r="I210" s="267"/>
      <c r="J210" s="267"/>
    </row>
    <row r="211">
      <c r="A211" s="267"/>
      <c r="B211" s="267"/>
      <c r="C211" s="309" t="s">
        <v>1684</v>
      </c>
      <c r="D211" s="309" t="s">
        <v>7078</v>
      </c>
      <c r="E211" s="310">
        <f>VLOOKUP(C211,Productos!$D$3:$S235,16,FALSE())</f>
        <v>63586</v>
      </c>
      <c r="F211" s="267"/>
      <c r="G211" s="267"/>
      <c r="H211" s="267"/>
      <c r="I211" s="267"/>
      <c r="J211" s="267"/>
    </row>
    <row r="212">
      <c r="A212" s="267"/>
      <c r="B212" s="267"/>
      <c r="C212" s="309" t="s">
        <v>2130</v>
      </c>
      <c r="D212" s="309" t="s">
        <v>7082</v>
      </c>
      <c r="E212" s="310">
        <f>VLOOKUP(C212,Productos!$D$3:$S235,16,FALSE())</f>
        <v>52994</v>
      </c>
      <c r="F212" s="267"/>
      <c r="G212" s="267"/>
      <c r="H212" s="267"/>
      <c r="I212" s="267"/>
      <c r="J212" s="267"/>
    </row>
    <row r="213">
      <c r="A213" s="267"/>
      <c r="B213" s="267"/>
      <c r="C213" s="309" t="s">
        <v>4044</v>
      </c>
      <c r="D213" s="309" t="s">
        <v>7074</v>
      </c>
      <c r="E213" s="310">
        <f>VLOOKUP(C213,Productos!$D$3:$S235,16,FALSE())</f>
        <v>15926</v>
      </c>
      <c r="F213" s="267"/>
      <c r="G213" s="267"/>
      <c r="H213" s="267"/>
      <c r="I213" s="267"/>
      <c r="J213" s="267"/>
    </row>
    <row r="214">
      <c r="A214" s="267"/>
      <c r="B214" s="267"/>
      <c r="C214" s="309" t="s">
        <v>982</v>
      </c>
      <c r="D214" s="309" t="s">
        <v>7087</v>
      </c>
      <c r="E214" s="310">
        <f>VLOOKUP(C214,Productos!$D$3:$S235,16,FALSE())</f>
        <v>51742</v>
      </c>
      <c r="F214" s="267"/>
      <c r="G214" s="267"/>
      <c r="H214" s="267"/>
      <c r="I214" s="267"/>
      <c r="J214" s="267"/>
    </row>
    <row r="215">
      <c r="A215" s="269"/>
      <c r="B215" s="269"/>
      <c r="C215" s="309" t="s">
        <v>2440</v>
      </c>
      <c r="D215" s="309" t="s">
        <v>7088</v>
      </c>
      <c r="E215" s="310">
        <f>VLOOKUP(C215,Productos!$D$3:$S235,16,FALSE())</f>
        <v>54768</v>
      </c>
      <c r="F215" s="269"/>
      <c r="G215" s="269"/>
      <c r="H215" s="269"/>
      <c r="I215" s="269"/>
      <c r="J215" s="269"/>
    </row>
    <row r="216">
      <c r="A216" s="262" t="s">
        <v>7089</v>
      </c>
      <c r="B216" s="311" t="s">
        <v>7090</v>
      </c>
      <c r="C216" s="283" t="s">
        <v>5142</v>
      </c>
      <c r="D216" s="283" t="s">
        <v>7091</v>
      </c>
      <c r="E216" s="265">
        <f>VLOOKUP(C216,Productos!$D$3:$S235,16,FALSE())</f>
        <v>69548</v>
      </c>
      <c r="F216" s="266">
        <f>SUM($E$216:$E$223)*0.9</f>
        <v>340419.6</v>
      </c>
      <c r="G216" s="266">
        <f>(ROUND(F216/1000,0))*1000</f>
        <v>340000</v>
      </c>
      <c r="H216" s="266">
        <f>SUM($E$216:$E$223)-G216</f>
        <v>38244</v>
      </c>
      <c r="I216" s="266">
        <f>G216*0.16</f>
        <v>54400</v>
      </c>
      <c r="J216" s="266">
        <f>G216+I216</f>
        <v>394400</v>
      </c>
    </row>
    <row r="217">
      <c r="A217" s="267"/>
      <c r="B217" s="267"/>
      <c r="C217" s="283" t="s">
        <v>197</v>
      </c>
      <c r="D217" s="283" t="s">
        <v>7086</v>
      </c>
      <c r="E217" s="265">
        <f>VLOOKUP(C217,Productos!$D$3:$S235,16,FALSE())</f>
        <v>26879</v>
      </c>
      <c r="F217" s="267"/>
      <c r="G217" s="267"/>
      <c r="H217" s="267"/>
      <c r="I217" s="267"/>
      <c r="J217" s="267"/>
    </row>
    <row r="218">
      <c r="A218" s="267"/>
      <c r="B218" s="267"/>
      <c r="C218" s="283" t="s">
        <v>774</v>
      </c>
      <c r="D218" s="283" t="s">
        <v>6989</v>
      </c>
      <c r="E218" s="265">
        <f>VLOOKUP(C218,Productos!$D$3:$S235,16,FALSE())</f>
        <v>1433</v>
      </c>
      <c r="F218" s="267"/>
      <c r="G218" s="267"/>
      <c r="H218" s="267"/>
      <c r="I218" s="267"/>
      <c r="J218" s="267"/>
    </row>
    <row r="219">
      <c r="A219" s="267"/>
      <c r="B219" s="267"/>
      <c r="C219" s="283" t="s">
        <v>1682</v>
      </c>
      <c r="D219" s="283" t="s">
        <v>7092</v>
      </c>
      <c r="E219" s="265">
        <f>VLOOKUP(C219,Productos!$D$3:$S235,16,FALSE())</f>
        <v>104954</v>
      </c>
      <c r="F219" s="267"/>
      <c r="G219" s="267"/>
      <c r="H219" s="267"/>
      <c r="I219" s="267"/>
      <c r="J219" s="267"/>
    </row>
    <row r="220">
      <c r="A220" s="267"/>
      <c r="B220" s="267"/>
      <c r="C220" s="283" t="s">
        <v>2130</v>
      </c>
      <c r="D220" s="283" t="s">
        <v>7082</v>
      </c>
      <c r="E220" s="265">
        <f>VLOOKUP(C220,Productos!$D$3:$S235,16,FALSE())</f>
        <v>52994</v>
      </c>
      <c r="F220" s="267"/>
      <c r="G220" s="267"/>
      <c r="H220" s="267"/>
      <c r="I220" s="267"/>
      <c r="J220" s="267"/>
    </row>
    <row r="221">
      <c r="A221" s="267"/>
      <c r="B221" s="267"/>
      <c r="C221" s="283" t="s">
        <v>4044</v>
      </c>
      <c r="D221" s="283" t="s">
        <v>7074</v>
      </c>
      <c r="E221" s="265">
        <f>VLOOKUP(C221,Productos!$D$3:$S235,16,FALSE())</f>
        <v>15926</v>
      </c>
      <c r="F221" s="267"/>
      <c r="G221" s="267"/>
      <c r="H221" s="267"/>
      <c r="I221" s="267"/>
      <c r="J221" s="267"/>
    </row>
    <row r="222">
      <c r="A222" s="267"/>
      <c r="B222" s="267"/>
      <c r="C222" s="283" t="s">
        <v>982</v>
      </c>
      <c r="D222" s="283" t="s">
        <v>7087</v>
      </c>
      <c r="E222" s="265">
        <f>VLOOKUP(C222,Productos!$D$3:$S235,16,FALSE())</f>
        <v>51742</v>
      </c>
      <c r="F222" s="267"/>
      <c r="G222" s="267"/>
      <c r="H222" s="267"/>
      <c r="I222" s="267"/>
      <c r="J222" s="267"/>
    </row>
    <row r="223">
      <c r="A223" s="269"/>
      <c r="B223" s="269"/>
      <c r="C223" s="283" t="s">
        <v>2440</v>
      </c>
      <c r="D223" s="283" t="s">
        <v>7088</v>
      </c>
      <c r="E223" s="265">
        <f>VLOOKUP(C223,Productos!$D$3:$S235,16,FALSE())</f>
        <v>54768</v>
      </c>
      <c r="F223" s="269"/>
      <c r="G223" s="269"/>
      <c r="H223" s="269"/>
      <c r="I223" s="269"/>
      <c r="J223" s="269"/>
    </row>
    <row r="224">
      <c r="A224" s="312"/>
      <c r="B224" s="313"/>
      <c r="C224" s="314"/>
      <c r="D224" s="314"/>
      <c r="E224" s="315"/>
      <c r="F224" s="315"/>
      <c r="G224" s="315"/>
      <c r="H224" s="315"/>
      <c r="I224" s="315"/>
      <c r="J224" s="315"/>
    </row>
    <row r="225">
      <c r="A225" s="312"/>
      <c r="B225" s="313"/>
      <c r="C225" s="314"/>
      <c r="D225" s="314"/>
      <c r="E225" s="315"/>
      <c r="F225" s="315"/>
      <c r="G225" s="315"/>
      <c r="H225" s="315"/>
      <c r="I225" s="315"/>
      <c r="J225" s="315"/>
    </row>
    <row r="226">
      <c r="A226" s="312"/>
      <c r="B226" s="313"/>
      <c r="C226" s="314"/>
      <c r="D226" s="314"/>
      <c r="E226" s="315"/>
      <c r="F226" s="315"/>
      <c r="G226" s="315"/>
      <c r="H226" s="315"/>
      <c r="I226" s="315"/>
      <c r="J226" s="315"/>
    </row>
    <row r="227">
      <c r="A227" s="312"/>
      <c r="B227" s="313"/>
      <c r="C227" s="314"/>
      <c r="D227" s="314"/>
      <c r="E227" s="315"/>
      <c r="F227" s="315"/>
      <c r="G227" s="315"/>
      <c r="H227" s="315"/>
      <c r="I227" s="315"/>
      <c r="J227" s="315"/>
    </row>
    <row r="228">
      <c r="A228" s="312"/>
      <c r="B228" s="313"/>
      <c r="C228" s="314"/>
      <c r="D228" s="314"/>
      <c r="E228" s="315"/>
      <c r="F228" s="315"/>
      <c r="G228" s="315"/>
      <c r="H228" s="315"/>
      <c r="I228" s="315"/>
      <c r="J228" s="315"/>
    </row>
    <row r="229">
      <c r="A229" s="312"/>
      <c r="B229" s="313"/>
      <c r="C229" s="314"/>
      <c r="D229" s="314"/>
      <c r="E229" s="315"/>
      <c r="F229" s="315"/>
      <c r="G229" s="315"/>
      <c r="H229" s="315"/>
      <c r="I229" s="315"/>
      <c r="J229" s="315"/>
    </row>
    <row r="230">
      <c r="A230" s="312"/>
      <c r="B230" s="313"/>
      <c r="C230" s="314"/>
      <c r="D230" s="314"/>
      <c r="E230" s="315"/>
      <c r="F230" s="315"/>
      <c r="G230" s="315"/>
      <c r="H230" s="315"/>
      <c r="I230" s="315"/>
      <c r="J230" s="315"/>
    </row>
    <row r="231">
      <c r="A231" s="312"/>
      <c r="B231" s="313"/>
      <c r="C231" s="314"/>
      <c r="D231" s="314"/>
      <c r="E231" s="315"/>
      <c r="F231" s="315"/>
      <c r="G231" s="315"/>
      <c r="H231" s="315"/>
      <c r="I231" s="315"/>
      <c r="J231" s="315"/>
    </row>
    <row r="232">
      <c r="A232" s="312"/>
      <c r="B232" s="313"/>
      <c r="C232" s="314"/>
      <c r="D232" s="314"/>
      <c r="E232" s="315"/>
      <c r="F232" s="315"/>
      <c r="G232" s="315"/>
      <c r="H232" s="315"/>
      <c r="I232" s="315"/>
      <c r="J232" s="315"/>
    </row>
    <row r="233">
      <c r="A233" s="312"/>
      <c r="B233" s="313"/>
      <c r="C233" s="314"/>
      <c r="D233" s="314"/>
      <c r="E233" s="315"/>
      <c r="F233" s="315"/>
      <c r="G233" s="315"/>
      <c r="H233" s="315"/>
      <c r="I233" s="315"/>
      <c r="J233" s="315"/>
    </row>
    <row r="234">
      <c r="A234" s="312"/>
      <c r="B234" s="313"/>
      <c r="C234" s="314"/>
      <c r="D234" s="314"/>
      <c r="E234" s="315"/>
      <c r="F234" s="315"/>
      <c r="G234" s="315"/>
      <c r="H234" s="315"/>
      <c r="I234" s="315"/>
      <c r="J234" s="315"/>
    </row>
    <row r="235">
      <c r="A235" s="312"/>
      <c r="B235" s="313"/>
      <c r="C235" s="314"/>
      <c r="D235" s="314"/>
      <c r="E235" s="315"/>
      <c r="F235" s="315"/>
      <c r="G235" s="315"/>
      <c r="H235" s="315"/>
      <c r="I235" s="315"/>
      <c r="J235" s="315"/>
    </row>
  </sheetData>
  <mergeCells count="236">
    <mergeCell ref="A201:A207"/>
    <mergeCell ref="A208:A215"/>
    <mergeCell ref="A216:A223"/>
    <mergeCell ref="A151:A158"/>
    <mergeCell ref="A159:A166"/>
    <mergeCell ref="A167:A174"/>
    <mergeCell ref="A175:A182"/>
    <mergeCell ref="A183:A187"/>
    <mergeCell ref="A188:A193"/>
    <mergeCell ref="A194:A200"/>
    <mergeCell ref="A6:A8"/>
    <mergeCell ref="A9:A11"/>
    <mergeCell ref="B9:B11"/>
    <mergeCell ref="A12:A16"/>
    <mergeCell ref="B12:B16"/>
    <mergeCell ref="A17:A24"/>
    <mergeCell ref="B17:B24"/>
    <mergeCell ref="A41:A48"/>
    <mergeCell ref="B41:B48"/>
    <mergeCell ref="A49:A56"/>
    <mergeCell ref="B49:B56"/>
    <mergeCell ref="A57:A64"/>
    <mergeCell ref="B57:B64"/>
    <mergeCell ref="B65:B67"/>
    <mergeCell ref="A65:A67"/>
    <mergeCell ref="A68:A70"/>
    <mergeCell ref="A71:A75"/>
    <mergeCell ref="A76:A83"/>
    <mergeCell ref="A84:A91"/>
    <mergeCell ref="A92:A99"/>
    <mergeCell ref="A100:A107"/>
    <mergeCell ref="B68:B70"/>
    <mergeCell ref="B71:B75"/>
    <mergeCell ref="B76:B83"/>
    <mergeCell ref="B84:B91"/>
    <mergeCell ref="B92:B99"/>
    <mergeCell ref="B100:B107"/>
    <mergeCell ref="B108:B115"/>
    <mergeCell ref="A108:A115"/>
    <mergeCell ref="A116:A123"/>
    <mergeCell ref="A124:A126"/>
    <mergeCell ref="A127:A129"/>
    <mergeCell ref="A130:A134"/>
    <mergeCell ref="A135:A142"/>
    <mergeCell ref="A143:A150"/>
    <mergeCell ref="B116:B123"/>
    <mergeCell ref="B124:B126"/>
    <mergeCell ref="B127:B129"/>
    <mergeCell ref="B130:B134"/>
    <mergeCell ref="B135:B142"/>
    <mergeCell ref="B143:B150"/>
    <mergeCell ref="B151:B158"/>
    <mergeCell ref="B208:B215"/>
    <mergeCell ref="B216:B223"/>
    <mergeCell ref="B159:B166"/>
    <mergeCell ref="B167:B174"/>
    <mergeCell ref="B175:B182"/>
    <mergeCell ref="B183:B187"/>
    <mergeCell ref="B188:B193"/>
    <mergeCell ref="B194:B200"/>
    <mergeCell ref="B201:B207"/>
    <mergeCell ref="H6:H8"/>
    <mergeCell ref="I6:I8"/>
    <mergeCell ref="H9:H11"/>
    <mergeCell ref="I9:I11"/>
    <mergeCell ref="J9:J11"/>
    <mergeCell ref="A1:J1"/>
    <mergeCell ref="B2:J2"/>
    <mergeCell ref="B3:D3"/>
    <mergeCell ref="H3:I3"/>
    <mergeCell ref="A4:J4"/>
    <mergeCell ref="B6:B8"/>
    <mergeCell ref="J6:J8"/>
    <mergeCell ref="I12:I16"/>
    <mergeCell ref="J12:J16"/>
    <mergeCell ref="F17:F24"/>
    <mergeCell ref="G17:G24"/>
    <mergeCell ref="H17:H24"/>
    <mergeCell ref="I17:I24"/>
    <mergeCell ref="J17:J24"/>
    <mergeCell ref="F6:F8"/>
    <mergeCell ref="G6:G8"/>
    <mergeCell ref="F9:F11"/>
    <mergeCell ref="G9:G11"/>
    <mergeCell ref="F12:F16"/>
    <mergeCell ref="G12:G16"/>
    <mergeCell ref="H12:H16"/>
    <mergeCell ref="A25:A32"/>
    <mergeCell ref="B25:B32"/>
    <mergeCell ref="F25:F32"/>
    <mergeCell ref="G25:G32"/>
    <mergeCell ref="H25:H32"/>
    <mergeCell ref="I25:I32"/>
    <mergeCell ref="J25:J32"/>
    <mergeCell ref="A33:A40"/>
    <mergeCell ref="B33:B40"/>
    <mergeCell ref="F33:F40"/>
    <mergeCell ref="G33:G40"/>
    <mergeCell ref="H33:H40"/>
    <mergeCell ref="I33:I40"/>
    <mergeCell ref="J33:J40"/>
    <mergeCell ref="I84:I91"/>
    <mergeCell ref="J84:J91"/>
    <mergeCell ref="I92:I99"/>
    <mergeCell ref="J92:J99"/>
    <mergeCell ref="I100:I107"/>
    <mergeCell ref="J100:J107"/>
    <mergeCell ref="G84:G91"/>
    <mergeCell ref="H84:H91"/>
    <mergeCell ref="F92:F99"/>
    <mergeCell ref="G92:G99"/>
    <mergeCell ref="H92:H99"/>
    <mergeCell ref="G100:G107"/>
    <mergeCell ref="H100:H107"/>
    <mergeCell ref="I116:I123"/>
    <mergeCell ref="J116:J123"/>
    <mergeCell ref="F100:F107"/>
    <mergeCell ref="F108:F115"/>
    <mergeCell ref="G108:G115"/>
    <mergeCell ref="H108:H115"/>
    <mergeCell ref="I108:I115"/>
    <mergeCell ref="J108:J115"/>
    <mergeCell ref="F116:F123"/>
    <mergeCell ref="H49:H56"/>
    <mergeCell ref="I49:I56"/>
    <mergeCell ref="F41:F48"/>
    <mergeCell ref="G41:G48"/>
    <mergeCell ref="H41:H48"/>
    <mergeCell ref="I41:I48"/>
    <mergeCell ref="J41:J48"/>
    <mergeCell ref="G49:G56"/>
    <mergeCell ref="J49:J56"/>
    <mergeCell ref="I65:I67"/>
    <mergeCell ref="J65:J67"/>
    <mergeCell ref="I68:I70"/>
    <mergeCell ref="J68:J70"/>
    <mergeCell ref="I71:I75"/>
    <mergeCell ref="J71:J75"/>
    <mergeCell ref="F49:F56"/>
    <mergeCell ref="F57:F64"/>
    <mergeCell ref="G57:G64"/>
    <mergeCell ref="H57:H64"/>
    <mergeCell ref="I57:I64"/>
    <mergeCell ref="J57:J64"/>
    <mergeCell ref="F65:F67"/>
    <mergeCell ref="G65:G67"/>
    <mergeCell ref="H65:H67"/>
    <mergeCell ref="F68:F70"/>
    <mergeCell ref="G68:G70"/>
    <mergeCell ref="H68:H70"/>
    <mergeCell ref="G71:G75"/>
    <mergeCell ref="H71:H75"/>
    <mergeCell ref="F71:F75"/>
    <mergeCell ref="F76:F83"/>
    <mergeCell ref="G76:G83"/>
    <mergeCell ref="H76:H83"/>
    <mergeCell ref="I76:I83"/>
    <mergeCell ref="J76:J83"/>
    <mergeCell ref="F84:F91"/>
    <mergeCell ref="G116:G123"/>
    <mergeCell ref="H116:H123"/>
    <mergeCell ref="F124:F126"/>
    <mergeCell ref="G124:G126"/>
    <mergeCell ref="H124:H126"/>
    <mergeCell ref="I124:I126"/>
    <mergeCell ref="J124:J126"/>
    <mergeCell ref="F159:F166"/>
    <mergeCell ref="F167:F174"/>
    <mergeCell ref="G167:G174"/>
    <mergeCell ref="H167:H174"/>
    <mergeCell ref="I167:I174"/>
    <mergeCell ref="J167:J174"/>
    <mergeCell ref="F175:F182"/>
    <mergeCell ref="G175:G182"/>
    <mergeCell ref="H175:H182"/>
    <mergeCell ref="F183:F187"/>
    <mergeCell ref="G183:G187"/>
    <mergeCell ref="H183:H187"/>
    <mergeCell ref="G188:G193"/>
    <mergeCell ref="H188:H193"/>
    <mergeCell ref="I201:I207"/>
    <mergeCell ref="J201:J207"/>
    <mergeCell ref="F188:F193"/>
    <mergeCell ref="F194:F200"/>
    <mergeCell ref="G194:G200"/>
    <mergeCell ref="H194:H200"/>
    <mergeCell ref="I194:I200"/>
    <mergeCell ref="J194:J200"/>
    <mergeCell ref="F201:F207"/>
    <mergeCell ref="H130:H134"/>
    <mergeCell ref="I130:I134"/>
    <mergeCell ref="F127:F129"/>
    <mergeCell ref="G127:G129"/>
    <mergeCell ref="H127:H129"/>
    <mergeCell ref="I127:I129"/>
    <mergeCell ref="J127:J129"/>
    <mergeCell ref="G130:G134"/>
    <mergeCell ref="J130:J134"/>
    <mergeCell ref="I143:I150"/>
    <mergeCell ref="J143:J150"/>
    <mergeCell ref="I151:I158"/>
    <mergeCell ref="J151:J158"/>
    <mergeCell ref="I159:I166"/>
    <mergeCell ref="J159:J166"/>
    <mergeCell ref="F130:F134"/>
    <mergeCell ref="F135:F142"/>
    <mergeCell ref="G135:G142"/>
    <mergeCell ref="H135:H142"/>
    <mergeCell ref="I135:I142"/>
    <mergeCell ref="J135:J142"/>
    <mergeCell ref="F143:F150"/>
    <mergeCell ref="G143:G150"/>
    <mergeCell ref="H143:H150"/>
    <mergeCell ref="F151:F158"/>
    <mergeCell ref="G151:G158"/>
    <mergeCell ref="H151:H158"/>
    <mergeCell ref="G159:G166"/>
    <mergeCell ref="H159:H166"/>
    <mergeCell ref="I175:I182"/>
    <mergeCell ref="J175:J182"/>
    <mergeCell ref="I183:I187"/>
    <mergeCell ref="J183:J187"/>
    <mergeCell ref="I188:I193"/>
    <mergeCell ref="J188:J193"/>
    <mergeCell ref="F216:F223"/>
    <mergeCell ref="G216:G223"/>
    <mergeCell ref="H216:H223"/>
    <mergeCell ref="I216:I223"/>
    <mergeCell ref="J216:J223"/>
    <mergeCell ref="G201:G207"/>
    <mergeCell ref="H201:H207"/>
    <mergeCell ref="F208:F215"/>
    <mergeCell ref="G208:G215"/>
    <mergeCell ref="H208:H215"/>
    <mergeCell ref="I208:I215"/>
    <mergeCell ref="J208:J21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5.13" defaultRowHeight="15.0"/>
  <cols>
    <col customWidth="1" min="1" max="1" width="7.63"/>
    <col customWidth="1" min="2" max="2" width="36.38"/>
    <col customWidth="1" min="4" max="4" width="9.5"/>
    <col customWidth="1" min="5" max="5" width="10.88"/>
    <col customWidth="1" min="6" max="6" width="12.88"/>
    <col customWidth="1" min="7" max="11" width="9.5"/>
    <col customWidth="1" min="12" max="12" width="37.25"/>
  </cols>
  <sheetData>
    <row r="1">
      <c r="A1" s="316" t="s">
        <v>6975</v>
      </c>
      <c r="L1" s="317"/>
      <c r="M1" s="317"/>
      <c r="N1" s="317"/>
      <c r="O1" s="317"/>
      <c r="P1" s="317"/>
      <c r="Q1" s="317"/>
      <c r="R1" s="317"/>
      <c r="S1" s="317"/>
      <c r="T1" s="317"/>
      <c r="U1" s="317"/>
      <c r="V1" s="317"/>
      <c r="W1" s="317"/>
      <c r="X1" s="317"/>
      <c r="Y1" s="317"/>
      <c r="Z1" s="317"/>
      <c r="AA1" s="317"/>
      <c r="AB1" s="317"/>
      <c r="AC1" s="317"/>
    </row>
    <row r="2">
      <c r="A2" s="318"/>
      <c r="B2" s="319"/>
      <c r="C2" s="320"/>
      <c r="D2" s="321"/>
      <c r="E2" s="321"/>
      <c r="F2" s="321"/>
      <c r="G2" s="320"/>
      <c r="H2" s="320"/>
      <c r="I2" s="320"/>
      <c r="J2" s="320"/>
      <c r="K2" s="322"/>
      <c r="L2" s="317"/>
      <c r="M2" s="317"/>
      <c r="N2" s="317"/>
      <c r="O2" s="317"/>
      <c r="P2" s="317"/>
      <c r="Q2" s="317"/>
      <c r="R2" s="317"/>
      <c r="S2" s="317"/>
      <c r="T2" s="317"/>
      <c r="U2" s="317"/>
      <c r="V2" s="317"/>
      <c r="W2" s="317"/>
      <c r="X2" s="317"/>
      <c r="Y2" s="317"/>
      <c r="Z2" s="317"/>
      <c r="AA2" s="317"/>
      <c r="AB2" s="317"/>
      <c r="AC2" s="317"/>
    </row>
    <row r="3">
      <c r="A3" s="323" t="s">
        <v>7093</v>
      </c>
      <c r="L3" s="317"/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7"/>
      <c r="Y3" s="317"/>
      <c r="Z3" s="317"/>
      <c r="AA3" s="317"/>
      <c r="AB3" s="317"/>
      <c r="AC3" s="317"/>
    </row>
    <row r="4">
      <c r="A4" s="318"/>
      <c r="B4" s="319"/>
      <c r="C4" s="320"/>
      <c r="D4" s="321"/>
      <c r="E4" s="321"/>
      <c r="F4" s="321"/>
      <c r="G4" s="320"/>
      <c r="H4" s="320"/>
      <c r="I4" s="320"/>
      <c r="K4" s="322"/>
      <c r="L4" s="317"/>
      <c r="M4" s="317"/>
      <c r="N4" s="317"/>
      <c r="O4" s="317"/>
      <c r="P4" s="317"/>
      <c r="Q4" s="317"/>
      <c r="R4" s="317"/>
      <c r="S4" s="317"/>
      <c r="T4" s="317"/>
      <c r="U4" s="317"/>
      <c r="V4" s="317"/>
      <c r="W4" s="317"/>
      <c r="X4" s="317"/>
      <c r="Y4" s="317"/>
      <c r="Z4" s="317"/>
      <c r="AA4" s="317"/>
      <c r="AB4" s="317"/>
      <c r="AC4" s="317"/>
    </row>
    <row r="5">
      <c r="A5" s="324" t="s">
        <v>7094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4"/>
      <c r="M5" s="317"/>
      <c r="N5" s="317"/>
      <c r="O5" s="317"/>
      <c r="P5" s="317"/>
      <c r="Q5" s="317"/>
      <c r="R5" s="317"/>
      <c r="S5" s="317"/>
      <c r="T5" s="317"/>
      <c r="U5" s="317"/>
      <c r="V5" s="317"/>
      <c r="W5" s="317"/>
      <c r="X5" s="317"/>
      <c r="Y5" s="317"/>
      <c r="Z5" s="317"/>
      <c r="AA5" s="317"/>
      <c r="AB5" s="317"/>
      <c r="AC5" s="317"/>
    </row>
    <row r="6">
      <c r="A6" s="325" t="s">
        <v>13</v>
      </c>
      <c r="B6" s="326" t="s">
        <v>7095</v>
      </c>
      <c r="C6" s="327" t="s">
        <v>7096</v>
      </c>
      <c r="D6" s="327" t="s">
        <v>7097</v>
      </c>
      <c r="E6" s="327" t="s">
        <v>7098</v>
      </c>
      <c r="F6" s="327" t="s">
        <v>7099</v>
      </c>
      <c r="G6" s="327" t="s">
        <v>7100</v>
      </c>
      <c r="H6" s="327" t="s">
        <v>7101</v>
      </c>
      <c r="I6" s="328" t="s">
        <v>7102</v>
      </c>
      <c r="J6" s="329" t="s">
        <v>23</v>
      </c>
      <c r="K6" s="330" t="s">
        <v>24</v>
      </c>
      <c r="L6" s="330" t="s">
        <v>0</v>
      </c>
      <c r="M6" s="317"/>
      <c r="N6" s="317"/>
      <c r="O6" s="317"/>
      <c r="P6" s="317"/>
      <c r="Q6" s="317"/>
      <c r="R6" s="317"/>
      <c r="S6" s="317"/>
      <c r="T6" s="317"/>
      <c r="U6" s="317"/>
      <c r="V6" s="317"/>
      <c r="W6" s="317"/>
      <c r="X6" s="317"/>
      <c r="Y6" s="317"/>
      <c r="Z6" s="317"/>
      <c r="AA6" s="317"/>
      <c r="AB6" s="317"/>
      <c r="AC6" s="317"/>
    </row>
    <row r="7">
      <c r="A7" s="331" t="s">
        <v>703</v>
      </c>
      <c r="B7" s="332" t="s">
        <v>7103</v>
      </c>
      <c r="C7" s="333">
        <v>44901.0</v>
      </c>
      <c r="D7" s="334" t="s">
        <v>7104</v>
      </c>
      <c r="E7" s="335"/>
      <c r="F7" s="335"/>
      <c r="G7" s="336"/>
      <c r="H7" s="336"/>
      <c r="I7" s="336">
        <v>843.0</v>
      </c>
      <c r="J7" s="337">
        <f t="shared" ref="J7:J31" si="1">I7*0.16</f>
        <v>134.88</v>
      </c>
      <c r="K7" s="337">
        <f t="shared" ref="K7:K31" si="2">I7+J7</f>
        <v>977.88</v>
      </c>
      <c r="L7" s="338"/>
      <c r="M7" s="317"/>
      <c r="N7" s="317"/>
      <c r="O7" s="317"/>
      <c r="P7" s="317"/>
      <c r="Q7" s="317"/>
      <c r="R7" s="317"/>
      <c r="S7" s="317"/>
      <c r="T7" s="317"/>
      <c r="U7" s="317"/>
      <c r="V7" s="317"/>
      <c r="W7" s="317"/>
      <c r="X7" s="317"/>
      <c r="Y7" s="317"/>
      <c r="Z7" s="317"/>
      <c r="AA7" s="317"/>
      <c r="AB7" s="317"/>
      <c r="AC7" s="317"/>
    </row>
    <row r="8">
      <c r="A8" s="331" t="s">
        <v>703</v>
      </c>
      <c r="B8" s="332" t="s">
        <v>7105</v>
      </c>
      <c r="C8" s="333">
        <v>44903.0</v>
      </c>
      <c r="D8" s="334" t="s">
        <v>7104</v>
      </c>
      <c r="E8" s="335"/>
      <c r="F8" s="335"/>
      <c r="G8" s="336"/>
      <c r="H8" s="336"/>
      <c r="I8" s="336">
        <v>3305.0</v>
      </c>
      <c r="J8" s="337">
        <f t="shared" si="1"/>
        <v>528.8</v>
      </c>
      <c r="K8" s="337">
        <f t="shared" si="2"/>
        <v>3833.8</v>
      </c>
      <c r="L8" s="338"/>
      <c r="M8" s="317"/>
      <c r="N8" s="317"/>
      <c r="O8" s="317"/>
      <c r="P8" s="317"/>
      <c r="Q8" s="317"/>
      <c r="R8" s="317"/>
      <c r="S8" s="317"/>
      <c r="T8" s="317"/>
      <c r="U8" s="317"/>
      <c r="V8" s="317"/>
      <c r="W8" s="317"/>
      <c r="X8" s="317"/>
      <c r="Y8" s="317"/>
      <c r="Z8" s="317"/>
      <c r="AA8" s="317"/>
      <c r="AB8" s="317"/>
      <c r="AC8" s="317"/>
    </row>
    <row r="9">
      <c r="A9" s="331" t="s">
        <v>703</v>
      </c>
      <c r="B9" s="339" t="s">
        <v>7106</v>
      </c>
      <c r="C9" s="340">
        <v>44903.0</v>
      </c>
      <c r="D9" s="334" t="s">
        <v>7104</v>
      </c>
      <c r="E9" s="335"/>
      <c r="F9" s="335"/>
      <c r="G9" s="336"/>
      <c r="H9" s="336"/>
      <c r="I9" s="336">
        <v>1100.0</v>
      </c>
      <c r="J9" s="337">
        <f t="shared" si="1"/>
        <v>176</v>
      </c>
      <c r="K9" s="337">
        <f t="shared" si="2"/>
        <v>1276</v>
      </c>
      <c r="L9" s="338"/>
      <c r="M9" s="317"/>
      <c r="N9" s="317"/>
      <c r="O9" s="317"/>
      <c r="P9" s="317"/>
      <c r="Q9" s="317"/>
      <c r="R9" s="317"/>
      <c r="S9" s="317"/>
      <c r="T9" s="317"/>
      <c r="U9" s="317"/>
      <c r="V9" s="317"/>
      <c r="W9" s="317"/>
      <c r="X9" s="317"/>
      <c r="Y9" s="317"/>
      <c r="Z9" s="317"/>
      <c r="AA9" s="317"/>
      <c r="AB9" s="317"/>
      <c r="AC9" s="317"/>
    </row>
    <row r="10">
      <c r="A10" s="331" t="s">
        <v>7107</v>
      </c>
      <c r="B10" s="339" t="s">
        <v>7108</v>
      </c>
      <c r="C10" s="333">
        <v>44908.0</v>
      </c>
      <c r="D10" s="334" t="s">
        <v>7104</v>
      </c>
      <c r="E10" s="335"/>
      <c r="F10" s="335"/>
      <c r="G10" s="336"/>
      <c r="H10" s="336"/>
      <c r="I10" s="336">
        <v>1250.0</v>
      </c>
      <c r="J10" s="337">
        <f t="shared" si="1"/>
        <v>200</v>
      </c>
      <c r="K10" s="337">
        <f t="shared" si="2"/>
        <v>1450</v>
      </c>
      <c r="L10" s="338"/>
      <c r="M10" s="317"/>
      <c r="N10" s="317"/>
      <c r="O10" s="317"/>
      <c r="P10" s="317"/>
      <c r="Q10" s="317"/>
      <c r="R10" s="317"/>
      <c r="S10" s="317"/>
      <c r="T10" s="317"/>
      <c r="U10" s="317"/>
      <c r="V10" s="317"/>
      <c r="W10" s="317"/>
      <c r="X10" s="317"/>
      <c r="Y10" s="317"/>
      <c r="Z10" s="317"/>
      <c r="AA10" s="317"/>
      <c r="AB10" s="317"/>
      <c r="AC10" s="317"/>
    </row>
    <row r="11">
      <c r="A11" s="331" t="s">
        <v>703</v>
      </c>
      <c r="B11" s="341" t="s">
        <v>7109</v>
      </c>
      <c r="C11" s="333">
        <v>44922.0</v>
      </c>
      <c r="D11" s="334" t="s">
        <v>7104</v>
      </c>
      <c r="E11" s="335"/>
      <c r="F11" s="335" t="s">
        <v>7110</v>
      </c>
      <c r="G11" s="336"/>
      <c r="H11" s="336"/>
      <c r="I11" s="336">
        <v>746.0</v>
      </c>
      <c r="J11" s="337">
        <f t="shared" si="1"/>
        <v>119.36</v>
      </c>
      <c r="K11" s="337">
        <f t="shared" si="2"/>
        <v>865.36</v>
      </c>
      <c r="L11" s="338"/>
      <c r="M11" s="317"/>
      <c r="N11" s="317"/>
      <c r="O11" s="317"/>
      <c r="P11" s="317"/>
      <c r="Q11" s="317"/>
      <c r="R11" s="317"/>
      <c r="S11" s="317"/>
      <c r="T11" s="317"/>
      <c r="U11" s="317"/>
      <c r="V11" s="317"/>
      <c r="W11" s="317"/>
      <c r="X11" s="317"/>
      <c r="Y11" s="317"/>
      <c r="Z11" s="317"/>
      <c r="AA11" s="317"/>
      <c r="AB11" s="317"/>
      <c r="AC11" s="317"/>
    </row>
    <row r="12">
      <c r="A12" s="331" t="s">
        <v>703</v>
      </c>
      <c r="B12" s="339" t="s">
        <v>7111</v>
      </c>
      <c r="C12" s="333">
        <v>44922.0</v>
      </c>
      <c r="D12" s="334" t="s">
        <v>7112</v>
      </c>
      <c r="E12" s="335"/>
      <c r="F12" s="335" t="s">
        <v>7113</v>
      </c>
      <c r="G12" s="336"/>
      <c r="H12" s="336"/>
      <c r="I12" s="336">
        <v>2136.0</v>
      </c>
      <c r="J12" s="337">
        <f t="shared" si="1"/>
        <v>341.76</v>
      </c>
      <c r="K12" s="337">
        <f t="shared" si="2"/>
        <v>2477.76</v>
      </c>
      <c r="L12" s="338"/>
      <c r="M12" s="317"/>
      <c r="N12" s="317"/>
      <c r="O12" s="317"/>
      <c r="P12" s="317"/>
      <c r="Q12" s="317"/>
      <c r="R12" s="317"/>
      <c r="S12" s="317"/>
      <c r="T12" s="317"/>
      <c r="U12" s="317"/>
      <c r="V12" s="317"/>
      <c r="W12" s="317"/>
      <c r="X12" s="317"/>
      <c r="Y12" s="317"/>
      <c r="Z12" s="317"/>
      <c r="AA12" s="317"/>
      <c r="AB12" s="317"/>
      <c r="AC12" s="317"/>
    </row>
    <row r="13">
      <c r="A13" s="331" t="s">
        <v>703</v>
      </c>
      <c r="B13" s="339" t="s">
        <v>7114</v>
      </c>
      <c r="C13" s="342">
        <v>44924.0</v>
      </c>
      <c r="D13" s="334" t="s">
        <v>7104</v>
      </c>
      <c r="E13" s="335"/>
      <c r="F13" s="335" t="s">
        <v>7115</v>
      </c>
      <c r="G13" s="336"/>
      <c r="H13" s="336"/>
      <c r="I13" s="336">
        <v>5438.0</v>
      </c>
      <c r="J13" s="337">
        <f t="shared" si="1"/>
        <v>870.08</v>
      </c>
      <c r="K13" s="337">
        <f t="shared" si="2"/>
        <v>6308.08</v>
      </c>
      <c r="L13" s="338"/>
      <c r="M13" s="317"/>
      <c r="N13" s="317"/>
      <c r="O13" s="317"/>
      <c r="P13" s="317"/>
      <c r="Q13" s="317"/>
      <c r="R13" s="317"/>
      <c r="S13" s="317"/>
      <c r="T13" s="317"/>
      <c r="U13" s="317"/>
      <c r="V13" s="317"/>
      <c r="W13" s="317"/>
      <c r="X13" s="317"/>
      <c r="Y13" s="317"/>
      <c r="Z13" s="317"/>
      <c r="AA13" s="317"/>
      <c r="AB13" s="317"/>
      <c r="AC13" s="317"/>
    </row>
    <row r="14">
      <c r="A14" s="331" t="s">
        <v>703</v>
      </c>
      <c r="B14" s="339" t="s">
        <v>7116</v>
      </c>
      <c r="C14" s="333">
        <v>44930.0</v>
      </c>
      <c r="D14" s="335" t="s">
        <v>7117</v>
      </c>
      <c r="E14" s="335"/>
      <c r="F14" s="335" t="s">
        <v>7115</v>
      </c>
      <c r="G14" s="336"/>
      <c r="H14" s="336"/>
      <c r="I14" s="336">
        <v>12672.0</v>
      </c>
      <c r="J14" s="337">
        <f t="shared" si="1"/>
        <v>2027.52</v>
      </c>
      <c r="K14" s="337">
        <f t="shared" si="2"/>
        <v>14699.52</v>
      </c>
      <c r="L14" s="338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</row>
    <row r="15">
      <c r="A15" s="331" t="s">
        <v>703</v>
      </c>
      <c r="B15" s="339" t="s">
        <v>7118</v>
      </c>
      <c r="C15" s="340">
        <v>44944.0</v>
      </c>
      <c r="D15" s="335" t="s">
        <v>7119</v>
      </c>
      <c r="E15" s="335"/>
      <c r="F15" s="335" t="s">
        <v>7120</v>
      </c>
      <c r="G15" s="336"/>
      <c r="H15" s="336"/>
      <c r="I15" s="336">
        <v>1050.0</v>
      </c>
      <c r="J15" s="337">
        <f t="shared" si="1"/>
        <v>168</v>
      </c>
      <c r="K15" s="337">
        <f t="shared" si="2"/>
        <v>1218</v>
      </c>
      <c r="L15" s="338"/>
      <c r="M15" s="317"/>
      <c r="N15" s="317"/>
      <c r="O15" s="317"/>
      <c r="P15" s="317"/>
      <c r="Q15" s="317"/>
      <c r="R15" s="317"/>
      <c r="S15" s="317"/>
      <c r="T15" s="317"/>
      <c r="U15" s="317"/>
      <c r="V15" s="317"/>
      <c r="W15" s="317"/>
      <c r="X15" s="317"/>
      <c r="Y15" s="317"/>
      <c r="Z15" s="317"/>
      <c r="AA15" s="317"/>
      <c r="AB15" s="317"/>
      <c r="AC15" s="317"/>
    </row>
    <row r="16">
      <c r="A16" s="331" t="s">
        <v>703</v>
      </c>
      <c r="B16" s="343" t="s">
        <v>7121</v>
      </c>
      <c r="C16" s="340">
        <v>44945.0</v>
      </c>
      <c r="D16" s="335" t="s">
        <v>7122</v>
      </c>
      <c r="E16" s="335"/>
      <c r="F16" s="335" t="s">
        <v>7123</v>
      </c>
      <c r="G16" s="336"/>
      <c r="H16" s="336"/>
      <c r="I16" s="336">
        <v>646.0</v>
      </c>
      <c r="J16" s="337">
        <f t="shared" si="1"/>
        <v>103.36</v>
      </c>
      <c r="K16" s="337">
        <f t="shared" si="2"/>
        <v>749.36</v>
      </c>
      <c r="L16" s="338"/>
      <c r="M16" s="317"/>
      <c r="N16" s="317"/>
      <c r="O16" s="317"/>
      <c r="P16" s="317"/>
      <c r="Q16" s="317"/>
      <c r="R16" s="317"/>
      <c r="S16" s="317"/>
      <c r="T16" s="317"/>
      <c r="U16" s="317"/>
      <c r="V16" s="317"/>
      <c r="W16" s="317"/>
      <c r="X16" s="317"/>
      <c r="Y16" s="317"/>
      <c r="Z16" s="317"/>
      <c r="AA16" s="317"/>
      <c r="AB16" s="317"/>
      <c r="AC16" s="317"/>
    </row>
    <row r="17">
      <c r="A17" s="331" t="s">
        <v>703</v>
      </c>
      <c r="B17" s="343" t="s">
        <v>7124</v>
      </c>
      <c r="C17" s="340">
        <v>44960.0</v>
      </c>
      <c r="D17" s="335" t="s">
        <v>7125</v>
      </c>
      <c r="E17" s="335"/>
      <c r="F17" s="335" t="s">
        <v>7110</v>
      </c>
      <c r="G17" s="336"/>
      <c r="H17" s="336"/>
      <c r="I17" s="336">
        <v>833.0</v>
      </c>
      <c r="J17" s="337">
        <f t="shared" si="1"/>
        <v>133.28</v>
      </c>
      <c r="K17" s="337">
        <f t="shared" si="2"/>
        <v>966.28</v>
      </c>
      <c r="L17" s="338"/>
      <c r="M17" s="317"/>
      <c r="N17" s="317"/>
      <c r="O17" s="317"/>
      <c r="P17" s="317"/>
      <c r="Q17" s="317"/>
      <c r="R17" s="317"/>
      <c r="S17" s="317"/>
      <c r="T17" s="317"/>
      <c r="U17" s="317"/>
      <c r="V17" s="317"/>
      <c r="W17" s="317"/>
      <c r="X17" s="317"/>
      <c r="Y17" s="317"/>
      <c r="Z17" s="317"/>
      <c r="AA17" s="317"/>
      <c r="AB17" s="317"/>
      <c r="AC17" s="317"/>
    </row>
    <row r="18">
      <c r="A18" s="344" t="s">
        <v>7126</v>
      </c>
      <c r="B18" s="343" t="s">
        <v>7127</v>
      </c>
      <c r="C18" s="340">
        <v>44971.0</v>
      </c>
      <c r="D18" s="335" t="s">
        <v>7128</v>
      </c>
      <c r="E18" s="335"/>
      <c r="F18" s="335" t="s">
        <v>7129</v>
      </c>
      <c r="G18" s="336"/>
      <c r="H18" s="336"/>
      <c r="I18" s="336">
        <v>895.0</v>
      </c>
      <c r="J18" s="337">
        <f t="shared" si="1"/>
        <v>143.2</v>
      </c>
      <c r="K18" s="337">
        <f t="shared" si="2"/>
        <v>1038.2</v>
      </c>
      <c r="L18" s="338"/>
      <c r="M18" s="317"/>
      <c r="N18" s="317"/>
      <c r="O18" s="317"/>
      <c r="P18" s="317"/>
      <c r="Q18" s="317"/>
      <c r="R18" s="317"/>
      <c r="S18" s="317"/>
      <c r="T18" s="317"/>
      <c r="U18" s="317"/>
      <c r="V18" s="317"/>
      <c r="W18" s="317"/>
      <c r="X18" s="317"/>
      <c r="Y18" s="317"/>
      <c r="Z18" s="317"/>
      <c r="AA18" s="317"/>
      <c r="AB18" s="317"/>
      <c r="AC18" s="317"/>
    </row>
    <row r="19">
      <c r="A19" s="331" t="s">
        <v>703</v>
      </c>
      <c r="B19" s="343" t="s">
        <v>7130</v>
      </c>
      <c r="C19" s="340">
        <v>44973.0</v>
      </c>
      <c r="D19" s="335" t="s">
        <v>7125</v>
      </c>
      <c r="E19" s="335"/>
      <c r="F19" s="335" t="s">
        <v>7131</v>
      </c>
      <c r="G19" s="336"/>
      <c r="H19" s="336"/>
      <c r="I19" s="336">
        <v>753.0</v>
      </c>
      <c r="J19" s="337">
        <f t="shared" si="1"/>
        <v>120.48</v>
      </c>
      <c r="K19" s="337">
        <f t="shared" si="2"/>
        <v>873.48</v>
      </c>
      <c r="L19" s="338"/>
      <c r="M19" s="317"/>
      <c r="N19" s="317"/>
      <c r="O19" s="317"/>
      <c r="P19" s="317"/>
      <c r="Q19" s="317"/>
      <c r="R19" s="317"/>
      <c r="S19" s="317"/>
      <c r="T19" s="317"/>
      <c r="U19" s="317"/>
      <c r="V19" s="317"/>
      <c r="W19" s="317"/>
      <c r="X19" s="317"/>
      <c r="Y19" s="317"/>
      <c r="Z19" s="317"/>
      <c r="AA19" s="317"/>
      <c r="AB19" s="317"/>
      <c r="AC19" s="317"/>
    </row>
    <row r="20">
      <c r="A20" s="345" t="s">
        <v>5660</v>
      </c>
      <c r="B20" s="343" t="s">
        <v>7132</v>
      </c>
      <c r="C20" s="340">
        <v>44979.0</v>
      </c>
      <c r="D20" s="335" t="s">
        <v>7133</v>
      </c>
      <c r="E20" s="335"/>
      <c r="F20" s="335" t="s">
        <v>7134</v>
      </c>
      <c r="G20" s="336"/>
      <c r="H20" s="336"/>
      <c r="I20" s="336">
        <v>7300.0</v>
      </c>
      <c r="J20" s="337">
        <f t="shared" si="1"/>
        <v>1168</v>
      </c>
      <c r="K20" s="337">
        <f t="shared" si="2"/>
        <v>8468</v>
      </c>
      <c r="L20" s="338"/>
      <c r="M20" s="317"/>
      <c r="N20" s="317"/>
      <c r="O20" s="317"/>
      <c r="P20" s="317"/>
      <c r="Q20" s="317"/>
      <c r="R20" s="317"/>
      <c r="S20" s="317"/>
      <c r="T20" s="317"/>
      <c r="U20" s="317"/>
      <c r="V20" s="317"/>
      <c r="W20" s="317"/>
      <c r="X20" s="317"/>
      <c r="Y20" s="317"/>
      <c r="Z20" s="317"/>
      <c r="AA20" s="317"/>
      <c r="AB20" s="317"/>
      <c r="AC20" s="317"/>
    </row>
    <row r="21">
      <c r="A21" s="345" t="s">
        <v>5540</v>
      </c>
      <c r="B21" s="343" t="s">
        <v>7135</v>
      </c>
      <c r="C21" s="340">
        <v>44979.0</v>
      </c>
      <c r="D21" s="335" t="s">
        <v>7136</v>
      </c>
      <c r="E21" s="335"/>
      <c r="F21" s="335" t="s">
        <v>7134</v>
      </c>
      <c r="G21" s="336"/>
      <c r="H21" s="336"/>
      <c r="I21" s="336">
        <v>7300.0</v>
      </c>
      <c r="J21" s="337">
        <f t="shared" si="1"/>
        <v>1168</v>
      </c>
      <c r="K21" s="337">
        <f t="shared" si="2"/>
        <v>8468</v>
      </c>
      <c r="L21" s="338"/>
      <c r="M21" s="317"/>
      <c r="N21" s="317"/>
      <c r="O21" s="317"/>
      <c r="P21" s="317"/>
      <c r="Q21" s="317"/>
      <c r="R21" s="317"/>
      <c r="S21" s="317"/>
      <c r="T21" s="317"/>
      <c r="U21" s="317"/>
      <c r="V21" s="317"/>
      <c r="W21" s="317"/>
      <c r="X21" s="317"/>
      <c r="Y21" s="317"/>
      <c r="Z21" s="317"/>
      <c r="AA21" s="317"/>
      <c r="AB21" s="317"/>
      <c r="AC21" s="317"/>
    </row>
    <row r="22">
      <c r="A22" s="345" t="s">
        <v>7137</v>
      </c>
      <c r="B22" s="343" t="s">
        <v>7138</v>
      </c>
      <c r="C22" s="340">
        <v>44979.0</v>
      </c>
      <c r="D22" s="335" t="s">
        <v>7136</v>
      </c>
      <c r="E22" s="335"/>
      <c r="F22" s="335" t="s">
        <v>7134</v>
      </c>
      <c r="G22" s="336"/>
      <c r="H22" s="336"/>
      <c r="I22" s="336">
        <v>7300.0</v>
      </c>
      <c r="J22" s="337">
        <f t="shared" si="1"/>
        <v>1168</v>
      </c>
      <c r="K22" s="337">
        <f t="shared" si="2"/>
        <v>8468</v>
      </c>
      <c r="L22" s="338"/>
      <c r="M22" s="317"/>
      <c r="N22" s="317"/>
      <c r="O22" s="317"/>
      <c r="P22" s="317"/>
      <c r="Q22" s="317"/>
      <c r="R22" s="317"/>
      <c r="S22" s="317"/>
      <c r="T22" s="317"/>
      <c r="U22" s="317"/>
      <c r="V22" s="317"/>
      <c r="W22" s="317"/>
      <c r="X22" s="317"/>
      <c r="Y22" s="317"/>
      <c r="Z22" s="317"/>
      <c r="AA22" s="317"/>
      <c r="AB22" s="317"/>
      <c r="AC22" s="317"/>
    </row>
    <row r="23">
      <c r="A23" s="331" t="s">
        <v>703</v>
      </c>
      <c r="B23" s="341" t="s">
        <v>7139</v>
      </c>
      <c r="C23" s="340">
        <v>44998.0</v>
      </c>
      <c r="D23" s="334" t="s">
        <v>7140</v>
      </c>
      <c r="E23" s="335"/>
      <c r="F23" s="335"/>
      <c r="G23" s="336"/>
      <c r="H23" s="336"/>
      <c r="I23" s="336">
        <v>1280.0</v>
      </c>
      <c r="J23" s="337">
        <f t="shared" si="1"/>
        <v>204.8</v>
      </c>
      <c r="K23" s="337">
        <f t="shared" si="2"/>
        <v>1484.8</v>
      </c>
      <c r="L23" s="338"/>
      <c r="M23" s="317"/>
      <c r="N23" s="317"/>
      <c r="O23" s="317"/>
      <c r="P23" s="317"/>
      <c r="Q23" s="317"/>
      <c r="R23" s="317"/>
      <c r="S23" s="317"/>
      <c r="T23" s="317"/>
      <c r="U23" s="317"/>
      <c r="V23" s="317"/>
      <c r="W23" s="317"/>
      <c r="X23" s="317"/>
      <c r="Y23" s="317"/>
      <c r="Z23" s="317"/>
      <c r="AA23" s="317"/>
      <c r="AB23" s="317"/>
      <c r="AC23" s="317"/>
    </row>
    <row r="24">
      <c r="A24" s="331" t="s">
        <v>703</v>
      </c>
      <c r="B24" s="343" t="s">
        <v>7141</v>
      </c>
      <c r="C24" s="340">
        <v>44999.0</v>
      </c>
      <c r="D24" s="335" t="s">
        <v>7125</v>
      </c>
      <c r="E24" s="335"/>
      <c r="F24" s="335" t="s">
        <v>7110</v>
      </c>
      <c r="G24" s="336"/>
      <c r="H24" s="336"/>
      <c r="I24" s="336">
        <v>3133.0</v>
      </c>
      <c r="J24" s="337">
        <f t="shared" si="1"/>
        <v>501.28</v>
      </c>
      <c r="K24" s="337">
        <f t="shared" si="2"/>
        <v>3634.28</v>
      </c>
      <c r="L24" s="338"/>
      <c r="M24" s="317"/>
      <c r="N24" s="317"/>
      <c r="O24" s="317"/>
      <c r="P24" s="317"/>
      <c r="Q24" s="317"/>
      <c r="R24" s="317"/>
      <c r="S24" s="317"/>
      <c r="T24" s="317"/>
      <c r="U24" s="317"/>
      <c r="V24" s="317"/>
      <c r="W24" s="317"/>
      <c r="X24" s="317"/>
      <c r="Y24" s="317"/>
      <c r="Z24" s="317"/>
      <c r="AA24" s="317"/>
      <c r="AB24" s="317"/>
      <c r="AC24" s="317"/>
    </row>
    <row r="25">
      <c r="A25" s="331" t="s">
        <v>703</v>
      </c>
      <c r="B25" s="339" t="s">
        <v>7142</v>
      </c>
      <c r="C25" s="340">
        <v>45000.0</v>
      </c>
      <c r="D25" s="335" t="s">
        <v>7125</v>
      </c>
      <c r="E25" s="335"/>
      <c r="F25" s="335" t="s">
        <v>7143</v>
      </c>
      <c r="G25" s="336"/>
      <c r="H25" s="336"/>
      <c r="I25" s="336">
        <v>10225.0</v>
      </c>
      <c r="J25" s="337">
        <f t="shared" si="1"/>
        <v>1636</v>
      </c>
      <c r="K25" s="337">
        <f t="shared" si="2"/>
        <v>11861</v>
      </c>
      <c r="L25" s="338"/>
      <c r="M25" s="317"/>
      <c r="N25" s="317"/>
      <c r="O25" s="317"/>
      <c r="P25" s="317"/>
      <c r="Q25" s="317"/>
      <c r="R25" s="317"/>
      <c r="S25" s="317"/>
      <c r="T25" s="317"/>
      <c r="U25" s="317"/>
      <c r="V25" s="317"/>
      <c r="W25" s="317"/>
      <c r="X25" s="317"/>
      <c r="Y25" s="317"/>
      <c r="Z25" s="317"/>
      <c r="AA25" s="317"/>
      <c r="AB25" s="317"/>
      <c r="AC25" s="317"/>
    </row>
    <row r="26">
      <c r="A26" s="331" t="s">
        <v>703</v>
      </c>
      <c r="B26" s="339" t="s">
        <v>7144</v>
      </c>
      <c r="C26" s="340">
        <v>45008.0</v>
      </c>
      <c r="D26" s="335" t="s">
        <v>7125</v>
      </c>
      <c r="E26" s="335"/>
      <c r="F26" s="335" t="s">
        <v>7115</v>
      </c>
      <c r="G26" s="336"/>
      <c r="H26" s="336"/>
      <c r="I26" s="336">
        <v>49.0</v>
      </c>
      <c r="J26" s="337">
        <f t="shared" si="1"/>
        <v>7.84</v>
      </c>
      <c r="K26" s="337">
        <f t="shared" si="2"/>
        <v>56.84</v>
      </c>
      <c r="L26" s="338"/>
      <c r="M26" s="317"/>
      <c r="N26" s="317"/>
      <c r="O26" s="317"/>
      <c r="P26" s="317"/>
      <c r="Q26" s="317"/>
      <c r="R26" s="317"/>
      <c r="S26" s="317"/>
      <c r="T26" s="317"/>
      <c r="U26" s="317"/>
      <c r="V26" s="317"/>
      <c r="W26" s="317"/>
      <c r="X26" s="317"/>
      <c r="Y26" s="317"/>
      <c r="Z26" s="317"/>
      <c r="AA26" s="317"/>
      <c r="AB26" s="317"/>
      <c r="AC26" s="317"/>
    </row>
    <row r="27">
      <c r="A27" s="331" t="s">
        <v>703</v>
      </c>
      <c r="B27" s="339" t="s">
        <v>7145</v>
      </c>
      <c r="C27" s="340">
        <v>45008.0</v>
      </c>
      <c r="D27" s="335" t="s">
        <v>7125</v>
      </c>
      <c r="E27" s="335"/>
      <c r="F27" s="335" t="s">
        <v>7115</v>
      </c>
      <c r="G27" s="336"/>
      <c r="H27" s="336"/>
      <c r="I27" s="336">
        <v>555.0</v>
      </c>
      <c r="J27" s="337">
        <f t="shared" si="1"/>
        <v>88.8</v>
      </c>
      <c r="K27" s="337">
        <f t="shared" si="2"/>
        <v>643.8</v>
      </c>
      <c r="L27" s="338"/>
      <c r="M27" s="317"/>
      <c r="N27" s="317"/>
      <c r="O27" s="317"/>
      <c r="P27" s="317"/>
      <c r="Q27" s="317"/>
      <c r="R27" s="317"/>
      <c r="S27" s="317"/>
      <c r="T27" s="317"/>
      <c r="U27" s="317"/>
      <c r="V27" s="317"/>
      <c r="W27" s="317"/>
      <c r="X27" s="317"/>
      <c r="Y27" s="317"/>
      <c r="Z27" s="317"/>
      <c r="AA27" s="317"/>
      <c r="AB27" s="317"/>
      <c r="AC27" s="317"/>
    </row>
    <row r="28">
      <c r="A28" s="331" t="s">
        <v>703</v>
      </c>
      <c r="B28" s="346" t="s">
        <v>7146</v>
      </c>
      <c r="C28" s="340">
        <v>45029.0</v>
      </c>
      <c r="D28" s="335" t="s">
        <v>7147</v>
      </c>
      <c r="E28" s="335"/>
      <c r="F28" s="335" t="s">
        <v>7148</v>
      </c>
      <c r="G28" s="336"/>
      <c r="H28" s="336"/>
      <c r="I28" s="336">
        <v>248.4</v>
      </c>
      <c r="J28" s="337">
        <f t="shared" si="1"/>
        <v>39.744</v>
      </c>
      <c r="K28" s="337">
        <f t="shared" si="2"/>
        <v>288.144</v>
      </c>
      <c r="L28" s="338"/>
      <c r="M28" s="317"/>
      <c r="N28" s="317"/>
      <c r="O28" s="317"/>
      <c r="P28" s="317"/>
      <c r="Q28" s="317"/>
      <c r="R28" s="317"/>
      <c r="S28" s="317"/>
      <c r="T28" s="317"/>
      <c r="U28" s="317"/>
      <c r="V28" s="317"/>
      <c r="W28" s="317"/>
      <c r="X28" s="317"/>
      <c r="Y28" s="317"/>
      <c r="Z28" s="317"/>
      <c r="AA28" s="317"/>
      <c r="AB28" s="317"/>
      <c r="AC28" s="317"/>
    </row>
    <row r="29">
      <c r="A29" s="331" t="s">
        <v>703</v>
      </c>
      <c r="B29" s="343" t="s">
        <v>7149</v>
      </c>
      <c r="C29" s="340">
        <v>45029.0</v>
      </c>
      <c r="D29" s="335" t="s">
        <v>7147</v>
      </c>
      <c r="E29" s="335"/>
      <c r="F29" s="335" t="s">
        <v>7148</v>
      </c>
      <c r="G29" s="336"/>
      <c r="H29" s="336"/>
      <c r="I29" s="336">
        <v>342.0</v>
      </c>
      <c r="J29" s="337">
        <f t="shared" si="1"/>
        <v>54.72</v>
      </c>
      <c r="K29" s="337">
        <f t="shared" si="2"/>
        <v>396.72</v>
      </c>
      <c r="L29" s="338"/>
      <c r="M29" s="317"/>
      <c r="N29" s="317"/>
      <c r="O29" s="317"/>
      <c r="P29" s="317"/>
      <c r="Q29" s="317"/>
      <c r="R29" s="317"/>
      <c r="S29" s="317"/>
      <c r="T29" s="317"/>
      <c r="U29" s="317"/>
      <c r="V29" s="317"/>
      <c r="W29" s="317"/>
      <c r="X29" s="317"/>
      <c r="Y29" s="317"/>
      <c r="Z29" s="317"/>
      <c r="AA29" s="317"/>
      <c r="AB29" s="317"/>
      <c r="AC29" s="317"/>
    </row>
    <row r="30">
      <c r="A30" s="347" t="s">
        <v>5641</v>
      </c>
      <c r="B30" s="348" t="s">
        <v>7150</v>
      </c>
      <c r="C30" s="349">
        <v>45062.0</v>
      </c>
      <c r="D30" s="350" t="s">
        <v>7151</v>
      </c>
      <c r="E30" s="350"/>
      <c r="F30" s="350" t="s">
        <v>7152</v>
      </c>
      <c r="G30" s="351"/>
      <c r="H30" s="352"/>
      <c r="I30" s="352">
        <v>4222.8</v>
      </c>
      <c r="J30" s="351">
        <f t="shared" si="1"/>
        <v>675.648</v>
      </c>
      <c r="K30" s="351">
        <f t="shared" si="2"/>
        <v>4898.448</v>
      </c>
      <c r="L30" s="338"/>
      <c r="M30" s="317"/>
      <c r="N30" s="317"/>
      <c r="O30" s="317"/>
      <c r="P30" s="317"/>
      <c r="Q30" s="317"/>
      <c r="R30" s="317"/>
      <c r="S30" s="317"/>
      <c r="T30" s="317"/>
      <c r="U30" s="317"/>
      <c r="V30" s="317"/>
      <c r="W30" s="317"/>
      <c r="X30" s="317"/>
      <c r="Y30" s="317"/>
      <c r="Z30" s="317"/>
      <c r="AA30" s="317"/>
      <c r="AB30" s="317"/>
      <c r="AC30" s="317"/>
    </row>
    <row r="31">
      <c r="A31" s="347" t="s">
        <v>5641</v>
      </c>
      <c r="B31" s="353" t="s">
        <v>7153</v>
      </c>
      <c r="C31" s="349">
        <v>45062.0</v>
      </c>
      <c r="D31" s="350" t="s">
        <v>7151</v>
      </c>
      <c r="E31" s="353"/>
      <c r="F31" s="353" t="s">
        <v>7152</v>
      </c>
      <c r="G31" s="354"/>
      <c r="H31" s="351"/>
      <c r="I31" s="351">
        <v>1283.04</v>
      </c>
      <c r="J31" s="351">
        <f t="shared" si="1"/>
        <v>205.2864</v>
      </c>
      <c r="K31" s="351">
        <f t="shared" si="2"/>
        <v>1488.3264</v>
      </c>
      <c r="L31" s="338"/>
      <c r="M31" s="317"/>
      <c r="N31" s="317"/>
      <c r="O31" s="317"/>
      <c r="P31" s="317"/>
      <c r="Q31" s="317"/>
      <c r="R31" s="317"/>
      <c r="S31" s="317"/>
      <c r="T31" s="317"/>
      <c r="U31" s="317"/>
      <c r="V31" s="317"/>
      <c r="W31" s="317"/>
      <c r="X31" s="317"/>
      <c r="Y31" s="317"/>
      <c r="Z31" s="317"/>
      <c r="AA31" s="317"/>
      <c r="AB31" s="317"/>
      <c r="AC31" s="317"/>
    </row>
    <row r="32">
      <c r="A32" s="331" t="s">
        <v>5641</v>
      </c>
      <c r="B32" s="339" t="s">
        <v>7154</v>
      </c>
      <c r="C32" s="340">
        <v>45063.0</v>
      </c>
      <c r="D32" s="334" t="s">
        <v>7155</v>
      </c>
      <c r="E32" s="335"/>
      <c r="F32" s="335" t="s">
        <v>7156</v>
      </c>
      <c r="G32" s="336"/>
      <c r="H32" s="336"/>
      <c r="I32" s="336">
        <v>14740.0</v>
      </c>
      <c r="J32" s="337">
        <v>2358.4</v>
      </c>
      <c r="K32" s="337">
        <v>17098.4</v>
      </c>
      <c r="L32" s="355"/>
      <c r="M32" s="317"/>
      <c r="N32" s="317"/>
      <c r="O32" s="317"/>
      <c r="P32" s="317"/>
      <c r="Q32" s="317"/>
      <c r="R32" s="317"/>
      <c r="S32" s="317"/>
      <c r="T32" s="317"/>
      <c r="U32" s="317"/>
      <c r="V32" s="317"/>
      <c r="W32" s="317"/>
      <c r="X32" s="317"/>
      <c r="Y32" s="317"/>
      <c r="Z32" s="317"/>
      <c r="AA32" s="317"/>
      <c r="AB32" s="317"/>
      <c r="AC32" s="317"/>
    </row>
    <row r="33" ht="66.0" customHeight="1">
      <c r="A33" s="331" t="s">
        <v>5239</v>
      </c>
      <c r="B33" s="339" t="s">
        <v>7157</v>
      </c>
      <c r="C33" s="356">
        <v>45070.0</v>
      </c>
      <c r="D33" s="357" t="s">
        <v>7158</v>
      </c>
      <c r="E33" s="357"/>
      <c r="F33" s="357" t="s">
        <v>7159</v>
      </c>
      <c r="G33" s="338"/>
      <c r="H33" s="336"/>
      <c r="I33" s="336">
        <v>130.0</v>
      </c>
      <c r="J33" s="337">
        <f t="shared" ref="J33:J48" si="3">I33*0.16</f>
        <v>20.8</v>
      </c>
      <c r="K33" s="358">
        <f t="shared" ref="K33:K48" si="4">I33+J33</f>
        <v>150.8</v>
      </c>
      <c r="L33" s="359"/>
      <c r="M33" s="317"/>
      <c r="N33" s="317"/>
      <c r="O33" s="317"/>
      <c r="P33" s="317"/>
      <c r="Q33" s="317"/>
      <c r="R33" s="317"/>
      <c r="S33" s="317"/>
      <c r="T33" s="317"/>
      <c r="U33" s="317"/>
      <c r="V33" s="317"/>
      <c r="W33" s="317"/>
      <c r="X33" s="317"/>
      <c r="Y33" s="317"/>
      <c r="Z33" s="317"/>
      <c r="AA33" s="317"/>
      <c r="AB33" s="317"/>
      <c r="AC33" s="317"/>
    </row>
    <row r="34">
      <c r="A34" s="331" t="s">
        <v>5239</v>
      </c>
      <c r="B34" s="357" t="s">
        <v>7160</v>
      </c>
      <c r="C34" s="356">
        <v>45083.0</v>
      </c>
      <c r="D34" s="357" t="s">
        <v>7125</v>
      </c>
      <c r="E34" s="357"/>
      <c r="F34" s="357" t="s">
        <v>7161</v>
      </c>
      <c r="G34" s="338"/>
      <c r="H34" s="360"/>
      <c r="I34" s="360">
        <v>734.29</v>
      </c>
      <c r="J34" s="337">
        <f t="shared" si="3"/>
        <v>117.4864</v>
      </c>
      <c r="K34" s="361">
        <f t="shared" si="4"/>
        <v>851.7764</v>
      </c>
      <c r="L34" s="338"/>
      <c r="M34" s="317"/>
      <c r="N34" s="317"/>
      <c r="O34" s="317"/>
      <c r="P34" s="317"/>
      <c r="Q34" s="317"/>
      <c r="R34" s="317"/>
      <c r="S34" s="317"/>
      <c r="T34" s="317"/>
      <c r="U34" s="317"/>
      <c r="V34" s="317"/>
      <c r="W34" s="317"/>
      <c r="X34" s="317"/>
      <c r="Y34" s="317"/>
      <c r="Z34" s="317"/>
      <c r="AA34" s="317"/>
      <c r="AB34" s="317"/>
      <c r="AC34" s="317"/>
    </row>
    <row r="35">
      <c r="A35" s="362" t="s">
        <v>5239</v>
      </c>
      <c r="B35" s="357" t="s">
        <v>7162</v>
      </c>
      <c r="C35" s="356">
        <v>45085.0</v>
      </c>
      <c r="D35" s="357" t="s">
        <v>7163</v>
      </c>
      <c r="E35" s="357"/>
      <c r="F35" s="357" t="s">
        <v>7164</v>
      </c>
      <c r="G35" s="338"/>
      <c r="H35" s="360"/>
      <c r="I35" s="360">
        <v>5600.0</v>
      </c>
      <c r="J35" s="337">
        <f t="shared" si="3"/>
        <v>896</v>
      </c>
      <c r="K35" s="361">
        <f t="shared" si="4"/>
        <v>6496</v>
      </c>
      <c r="L35" s="338"/>
      <c r="M35" s="317"/>
      <c r="N35" s="317"/>
      <c r="O35" s="317"/>
      <c r="P35" s="317"/>
      <c r="Q35" s="317"/>
      <c r="R35" s="317"/>
      <c r="S35" s="317"/>
      <c r="T35" s="317"/>
      <c r="U35" s="317"/>
      <c r="V35" s="317"/>
      <c r="W35" s="317"/>
      <c r="X35" s="317"/>
      <c r="Y35" s="317"/>
      <c r="Z35" s="317"/>
      <c r="AA35" s="317"/>
      <c r="AB35" s="317"/>
      <c r="AC35" s="317"/>
    </row>
    <row r="36">
      <c r="A36" s="362" t="s">
        <v>5239</v>
      </c>
      <c r="B36" s="357" t="s">
        <v>7165</v>
      </c>
      <c r="C36" s="356">
        <v>45085.0</v>
      </c>
      <c r="D36" s="357" t="s">
        <v>7163</v>
      </c>
      <c r="E36" s="357"/>
      <c r="F36" s="357" t="s">
        <v>7164</v>
      </c>
      <c r="G36" s="338"/>
      <c r="H36" s="360"/>
      <c r="I36" s="360">
        <v>5000.0</v>
      </c>
      <c r="J36" s="337">
        <f t="shared" si="3"/>
        <v>800</v>
      </c>
      <c r="K36" s="361">
        <f t="shared" si="4"/>
        <v>5800</v>
      </c>
      <c r="L36" s="338"/>
      <c r="M36" s="317"/>
      <c r="N36" s="317"/>
      <c r="O36" s="317"/>
      <c r="P36" s="317"/>
      <c r="Q36" s="317"/>
      <c r="R36" s="317"/>
      <c r="S36" s="317"/>
      <c r="T36" s="317"/>
      <c r="U36" s="317"/>
      <c r="V36" s="317"/>
      <c r="W36" s="317"/>
      <c r="X36" s="317"/>
      <c r="Y36" s="317"/>
      <c r="Z36" s="317"/>
      <c r="AA36" s="317"/>
      <c r="AB36" s="317"/>
      <c r="AC36" s="317"/>
    </row>
    <row r="37">
      <c r="A37" s="362" t="s">
        <v>5239</v>
      </c>
      <c r="B37" s="357" t="s">
        <v>7166</v>
      </c>
      <c r="C37" s="363">
        <v>45103.0</v>
      </c>
      <c r="D37" s="357" t="s">
        <v>7147</v>
      </c>
      <c r="E37" s="364"/>
      <c r="F37" s="364"/>
      <c r="G37" s="338"/>
      <c r="H37" s="360"/>
      <c r="I37" s="360">
        <v>320.0</v>
      </c>
      <c r="J37" s="337">
        <f t="shared" si="3"/>
        <v>51.2</v>
      </c>
      <c r="K37" s="361">
        <f t="shared" si="4"/>
        <v>371.2</v>
      </c>
      <c r="L37" s="338"/>
      <c r="M37" s="317"/>
      <c r="N37" s="317"/>
      <c r="O37" s="317"/>
      <c r="P37" s="317"/>
      <c r="Q37" s="317"/>
      <c r="R37" s="317"/>
      <c r="S37" s="317"/>
      <c r="T37" s="317"/>
      <c r="U37" s="317"/>
      <c r="V37" s="317"/>
      <c r="W37" s="317"/>
      <c r="X37" s="317"/>
      <c r="Y37" s="317"/>
      <c r="Z37" s="317"/>
      <c r="AA37" s="317"/>
      <c r="AB37" s="317"/>
      <c r="AC37" s="317"/>
    </row>
    <row r="38">
      <c r="A38" s="362" t="s">
        <v>5239</v>
      </c>
      <c r="B38" s="357" t="s">
        <v>7167</v>
      </c>
      <c r="C38" s="356">
        <v>45105.0</v>
      </c>
      <c r="D38" s="357" t="s">
        <v>7151</v>
      </c>
      <c r="E38" s="357"/>
      <c r="F38" s="357" t="s">
        <v>7168</v>
      </c>
      <c r="G38" s="338"/>
      <c r="H38" s="360"/>
      <c r="I38" s="360">
        <v>750.0</v>
      </c>
      <c r="J38" s="337">
        <f t="shared" si="3"/>
        <v>120</v>
      </c>
      <c r="K38" s="361">
        <f t="shared" si="4"/>
        <v>870</v>
      </c>
      <c r="L38" s="338"/>
      <c r="M38" s="317"/>
      <c r="N38" s="317"/>
      <c r="O38" s="317"/>
      <c r="P38" s="317"/>
      <c r="Q38" s="317"/>
      <c r="R38" s="317"/>
      <c r="S38" s="317"/>
      <c r="T38" s="317"/>
      <c r="U38" s="317"/>
      <c r="V38" s="317"/>
      <c r="W38" s="317"/>
      <c r="X38" s="317"/>
      <c r="Y38" s="317"/>
      <c r="Z38" s="317"/>
      <c r="AA38" s="317"/>
      <c r="AB38" s="317"/>
      <c r="AC38" s="317"/>
    </row>
    <row r="39">
      <c r="A39" s="362" t="s">
        <v>5239</v>
      </c>
      <c r="B39" s="357" t="s">
        <v>7169</v>
      </c>
      <c r="C39" s="363">
        <v>45113.0</v>
      </c>
      <c r="D39" s="357" t="s">
        <v>7147</v>
      </c>
      <c r="E39" s="357" t="s">
        <v>7170</v>
      </c>
      <c r="F39" s="357" t="s">
        <v>7171</v>
      </c>
      <c r="G39" s="365" t="s">
        <v>7172</v>
      </c>
      <c r="H39" s="360">
        <v>880.0</v>
      </c>
      <c r="I39" s="366">
        <f t="shared" ref="I39:I40" si="5">H39*0.8</f>
        <v>704</v>
      </c>
      <c r="J39" s="337">
        <f t="shared" si="3"/>
        <v>112.64</v>
      </c>
      <c r="K39" s="361">
        <f t="shared" si="4"/>
        <v>816.64</v>
      </c>
      <c r="L39" s="338"/>
      <c r="M39" s="317"/>
      <c r="N39" s="317"/>
      <c r="O39" s="317"/>
      <c r="P39" s="317"/>
      <c r="Q39" s="317"/>
      <c r="R39" s="317"/>
      <c r="S39" s="317"/>
      <c r="T39" s="317"/>
      <c r="U39" s="317"/>
      <c r="V39" s="317"/>
      <c r="W39" s="317"/>
      <c r="X39" s="317"/>
      <c r="Y39" s="317"/>
      <c r="Z39" s="317"/>
      <c r="AA39" s="317"/>
      <c r="AB39" s="317"/>
      <c r="AC39" s="317"/>
    </row>
    <row r="40">
      <c r="A40" s="362" t="s">
        <v>5239</v>
      </c>
      <c r="B40" s="357" t="s">
        <v>7173</v>
      </c>
      <c r="C40" s="363">
        <v>45113.0</v>
      </c>
      <c r="D40" s="357" t="s">
        <v>7147</v>
      </c>
      <c r="E40" s="357" t="s">
        <v>7174</v>
      </c>
      <c r="F40" s="357" t="s">
        <v>7171</v>
      </c>
      <c r="G40" s="365" t="s">
        <v>7172</v>
      </c>
      <c r="H40" s="360">
        <v>500.0</v>
      </c>
      <c r="I40" s="366">
        <f t="shared" si="5"/>
        <v>400</v>
      </c>
      <c r="J40" s="337">
        <f t="shared" si="3"/>
        <v>64</v>
      </c>
      <c r="K40" s="361">
        <f t="shared" si="4"/>
        <v>464</v>
      </c>
      <c r="L40" s="338"/>
      <c r="M40" s="317"/>
      <c r="N40" s="317"/>
      <c r="O40" s="317"/>
      <c r="P40" s="317"/>
      <c r="Q40" s="317"/>
      <c r="R40" s="317"/>
      <c r="S40" s="317"/>
      <c r="T40" s="317"/>
      <c r="U40" s="317"/>
      <c r="V40" s="317"/>
      <c r="W40" s="317"/>
      <c r="X40" s="317"/>
      <c r="Y40" s="317"/>
      <c r="Z40" s="317"/>
      <c r="AA40" s="317"/>
      <c r="AB40" s="317"/>
      <c r="AC40" s="317"/>
    </row>
    <row r="41">
      <c r="A41" s="362" t="s">
        <v>5239</v>
      </c>
      <c r="B41" s="367" t="s">
        <v>3423</v>
      </c>
      <c r="C41" s="363">
        <v>45176.0</v>
      </c>
      <c r="D41" s="357" t="s">
        <v>7175</v>
      </c>
      <c r="E41" s="357" t="s">
        <v>7175</v>
      </c>
      <c r="F41" s="357" t="s">
        <v>7176</v>
      </c>
      <c r="G41" s="365" t="s">
        <v>7177</v>
      </c>
      <c r="H41" s="360"/>
      <c r="I41" s="360">
        <v>720.0</v>
      </c>
      <c r="J41" s="337">
        <f t="shared" si="3"/>
        <v>115.2</v>
      </c>
      <c r="K41" s="361">
        <f t="shared" si="4"/>
        <v>835.2</v>
      </c>
      <c r="L41" s="338"/>
      <c r="M41" s="317"/>
      <c r="N41" s="317"/>
      <c r="O41" s="317"/>
      <c r="P41" s="317"/>
      <c r="Q41" s="317"/>
      <c r="R41" s="317"/>
      <c r="S41" s="317"/>
      <c r="T41" s="317"/>
      <c r="U41" s="317"/>
      <c r="V41" s="317"/>
      <c r="W41" s="317"/>
      <c r="X41" s="317"/>
      <c r="Y41" s="317"/>
      <c r="Z41" s="317"/>
      <c r="AA41" s="317"/>
      <c r="AB41" s="317"/>
      <c r="AC41" s="317"/>
    </row>
    <row r="42">
      <c r="A42" s="362" t="s">
        <v>703</v>
      </c>
      <c r="B42" s="367" t="s">
        <v>7178</v>
      </c>
      <c r="C42" s="363">
        <v>45216.0</v>
      </c>
      <c r="D42" s="357" t="s">
        <v>7119</v>
      </c>
      <c r="E42" s="357" t="s">
        <v>7136</v>
      </c>
      <c r="F42" s="357" t="s">
        <v>7179</v>
      </c>
      <c r="G42" s="365"/>
      <c r="H42" s="360">
        <v>437.0</v>
      </c>
      <c r="I42" s="360">
        <v>437.0</v>
      </c>
      <c r="J42" s="337">
        <f t="shared" si="3"/>
        <v>69.92</v>
      </c>
      <c r="K42" s="361">
        <f t="shared" si="4"/>
        <v>506.92</v>
      </c>
      <c r="L42" s="338"/>
      <c r="M42" s="317"/>
      <c r="N42" s="317"/>
      <c r="O42" s="317"/>
      <c r="P42" s="317"/>
      <c r="Q42" s="317"/>
      <c r="R42" s="317"/>
      <c r="S42" s="317"/>
      <c r="T42" s="317"/>
      <c r="U42" s="317"/>
      <c r="V42" s="317"/>
      <c r="W42" s="317"/>
      <c r="X42" s="317"/>
      <c r="Y42" s="317"/>
      <c r="Z42" s="317"/>
      <c r="AA42" s="317"/>
      <c r="AB42" s="317"/>
      <c r="AC42" s="317"/>
    </row>
    <row r="43">
      <c r="A43" s="362" t="s">
        <v>7180</v>
      </c>
      <c r="B43" s="367" t="s">
        <v>7181</v>
      </c>
      <c r="C43" s="363">
        <v>45216.0</v>
      </c>
      <c r="D43" s="357" t="s">
        <v>7119</v>
      </c>
      <c r="E43" s="357" t="s">
        <v>7136</v>
      </c>
      <c r="F43" s="357" t="s">
        <v>7179</v>
      </c>
      <c r="G43" s="365"/>
      <c r="H43" s="360">
        <v>66950.0</v>
      </c>
      <c r="I43" s="360">
        <v>66950.0</v>
      </c>
      <c r="J43" s="337">
        <f t="shared" si="3"/>
        <v>10712</v>
      </c>
      <c r="K43" s="361">
        <f t="shared" si="4"/>
        <v>77662</v>
      </c>
      <c r="L43" s="338"/>
      <c r="M43" s="317"/>
      <c r="N43" s="317"/>
      <c r="O43" s="317"/>
      <c r="P43" s="317"/>
      <c r="Q43" s="317"/>
      <c r="R43" s="317"/>
      <c r="S43" s="317"/>
      <c r="T43" s="317"/>
      <c r="U43" s="317"/>
      <c r="V43" s="317"/>
      <c r="W43" s="317"/>
      <c r="X43" s="317"/>
      <c r="Y43" s="317"/>
      <c r="Z43" s="317"/>
      <c r="AA43" s="317"/>
      <c r="AB43" s="317"/>
      <c r="AC43" s="317"/>
    </row>
    <row r="44">
      <c r="A44" s="362" t="s">
        <v>7182</v>
      </c>
      <c r="B44" s="367" t="s">
        <v>7183</v>
      </c>
      <c r="C44" s="363">
        <v>45216.0</v>
      </c>
      <c r="D44" s="357" t="s">
        <v>7119</v>
      </c>
      <c r="E44" s="357" t="s">
        <v>7136</v>
      </c>
      <c r="F44" s="357" t="s">
        <v>7179</v>
      </c>
      <c r="G44" s="365"/>
      <c r="H44" s="360">
        <v>72430.0</v>
      </c>
      <c r="I44" s="360">
        <v>72430.0</v>
      </c>
      <c r="J44" s="337">
        <f t="shared" si="3"/>
        <v>11588.8</v>
      </c>
      <c r="K44" s="361">
        <f t="shared" si="4"/>
        <v>84018.8</v>
      </c>
      <c r="L44" s="338"/>
      <c r="M44" s="317"/>
      <c r="N44" s="317"/>
      <c r="O44" s="317"/>
      <c r="P44" s="317"/>
      <c r="Q44" s="317"/>
      <c r="R44" s="317"/>
      <c r="S44" s="317"/>
      <c r="T44" s="317"/>
      <c r="U44" s="317"/>
      <c r="V44" s="317"/>
      <c r="W44" s="317"/>
      <c r="X44" s="317"/>
      <c r="Y44" s="317"/>
      <c r="Z44" s="317"/>
      <c r="AA44" s="317"/>
      <c r="AB44" s="317"/>
      <c r="AC44" s="317"/>
    </row>
    <row r="45">
      <c r="A45" s="362" t="s">
        <v>7184</v>
      </c>
      <c r="B45" s="367" t="s">
        <v>7185</v>
      </c>
      <c r="C45" s="363">
        <v>45216.0</v>
      </c>
      <c r="D45" s="357" t="s">
        <v>7119</v>
      </c>
      <c r="E45" s="357" t="s">
        <v>7136</v>
      </c>
      <c r="F45" s="357" t="s">
        <v>7179</v>
      </c>
      <c r="G45" s="365"/>
      <c r="H45" s="360">
        <v>119268.99</v>
      </c>
      <c r="I45" s="360">
        <v>72430.0</v>
      </c>
      <c r="J45" s="337">
        <f t="shared" si="3"/>
        <v>11588.8</v>
      </c>
      <c r="K45" s="361">
        <f t="shared" si="4"/>
        <v>84018.8</v>
      </c>
      <c r="L45" s="338"/>
      <c r="M45" s="317"/>
      <c r="N45" s="317"/>
      <c r="O45" s="317"/>
      <c r="P45" s="317"/>
      <c r="Q45" s="317"/>
      <c r="R45" s="317"/>
      <c r="S45" s="317"/>
      <c r="T45" s="317"/>
      <c r="U45" s="317"/>
      <c r="V45" s="317"/>
      <c r="W45" s="317"/>
      <c r="X45" s="317"/>
      <c r="Y45" s="317"/>
      <c r="Z45" s="317"/>
      <c r="AA45" s="317"/>
      <c r="AB45" s="317"/>
      <c r="AC45" s="317"/>
    </row>
    <row r="46">
      <c r="A46" s="362" t="s">
        <v>7186</v>
      </c>
      <c r="B46" s="367" t="s">
        <v>7187</v>
      </c>
      <c r="C46" s="363">
        <v>45216.0</v>
      </c>
      <c r="D46" s="357" t="s">
        <v>7119</v>
      </c>
      <c r="E46" s="357" t="s">
        <v>7136</v>
      </c>
      <c r="F46" s="357" t="s">
        <v>7179</v>
      </c>
      <c r="G46" s="365"/>
      <c r="H46" s="360">
        <v>7450.0</v>
      </c>
      <c r="I46" s="360">
        <v>7450.0</v>
      </c>
      <c r="J46" s="337">
        <f t="shared" si="3"/>
        <v>1192</v>
      </c>
      <c r="K46" s="361">
        <f t="shared" si="4"/>
        <v>8642</v>
      </c>
      <c r="L46" s="338"/>
      <c r="M46" s="317"/>
      <c r="N46" s="317"/>
      <c r="O46" s="317"/>
      <c r="P46" s="317"/>
      <c r="Q46" s="317"/>
      <c r="R46" s="317"/>
      <c r="S46" s="317"/>
      <c r="T46" s="317"/>
      <c r="U46" s="317"/>
      <c r="V46" s="317"/>
      <c r="W46" s="317"/>
      <c r="X46" s="317"/>
      <c r="Y46" s="317"/>
      <c r="Z46" s="317"/>
      <c r="AA46" s="317"/>
      <c r="AB46" s="317"/>
      <c r="AC46" s="317"/>
    </row>
    <row r="47">
      <c r="A47" s="362" t="s">
        <v>5239</v>
      </c>
      <c r="B47" s="367" t="s">
        <v>7188</v>
      </c>
      <c r="C47" s="363">
        <v>45226.0</v>
      </c>
      <c r="D47" s="357" t="s">
        <v>7175</v>
      </c>
      <c r="E47" s="357" t="s">
        <v>7175</v>
      </c>
      <c r="F47" s="357" t="s">
        <v>7189</v>
      </c>
      <c r="G47" s="365"/>
      <c r="H47" s="360"/>
      <c r="I47" s="360">
        <v>16650.0</v>
      </c>
      <c r="J47" s="337">
        <f t="shared" si="3"/>
        <v>2664</v>
      </c>
      <c r="K47" s="361">
        <f t="shared" si="4"/>
        <v>19314</v>
      </c>
      <c r="L47" s="338"/>
      <c r="M47" s="317"/>
      <c r="N47" s="317"/>
      <c r="O47" s="317"/>
      <c r="P47" s="317"/>
      <c r="Q47" s="317"/>
      <c r="R47" s="317"/>
      <c r="S47" s="317"/>
      <c r="T47" s="317"/>
      <c r="U47" s="317"/>
      <c r="V47" s="317"/>
      <c r="W47" s="317"/>
      <c r="X47" s="317"/>
      <c r="Y47" s="317"/>
      <c r="Z47" s="317"/>
      <c r="AA47" s="317"/>
      <c r="AB47" s="317"/>
      <c r="AC47" s="317"/>
    </row>
    <row r="48">
      <c r="A48" s="368" t="s">
        <v>5239</v>
      </c>
      <c r="B48" s="369" t="s">
        <v>7190</v>
      </c>
      <c r="C48" s="363">
        <v>45226.0</v>
      </c>
      <c r="D48" s="370" t="s">
        <v>7175</v>
      </c>
      <c r="E48" s="370" t="s">
        <v>7175</v>
      </c>
      <c r="F48" s="357" t="s">
        <v>7189</v>
      </c>
      <c r="G48" s="371"/>
      <c r="H48" s="372"/>
      <c r="I48" s="373">
        <v>2380.0</v>
      </c>
      <c r="J48" s="374">
        <f t="shared" si="3"/>
        <v>380.8</v>
      </c>
      <c r="K48" s="375">
        <f t="shared" si="4"/>
        <v>2760.8</v>
      </c>
      <c r="L48" s="376"/>
      <c r="M48" s="317"/>
      <c r="N48" s="317"/>
      <c r="O48" s="317"/>
      <c r="P48" s="317"/>
      <c r="Q48" s="317"/>
      <c r="R48" s="317"/>
      <c r="S48" s="317"/>
      <c r="T48" s="317"/>
      <c r="U48" s="317"/>
      <c r="V48" s="317"/>
      <c r="W48" s="317"/>
      <c r="X48" s="317"/>
      <c r="Y48" s="317"/>
      <c r="Z48" s="317"/>
      <c r="AA48" s="317"/>
      <c r="AB48" s="317"/>
      <c r="AC48" s="317"/>
    </row>
    <row r="49">
      <c r="A49" s="362" t="s">
        <v>5239</v>
      </c>
      <c r="B49" s="369" t="s">
        <v>7130</v>
      </c>
      <c r="C49" s="363">
        <v>45239.0</v>
      </c>
      <c r="D49" s="357" t="s">
        <v>7191</v>
      </c>
      <c r="E49" s="357" t="s">
        <v>7192</v>
      </c>
      <c r="F49" s="357" t="s">
        <v>7193</v>
      </c>
      <c r="G49" s="338"/>
      <c r="H49" s="360">
        <v>1210.0</v>
      </c>
      <c r="I49" s="338"/>
      <c r="J49" s="338"/>
      <c r="K49" s="338"/>
      <c r="L49" s="338"/>
      <c r="M49" s="317"/>
      <c r="N49" s="317"/>
      <c r="O49" s="317"/>
      <c r="P49" s="317"/>
      <c r="Q49" s="317"/>
      <c r="R49" s="317"/>
      <c r="S49" s="317"/>
      <c r="T49" s="317"/>
      <c r="U49" s="317"/>
      <c r="V49" s="317"/>
      <c r="W49" s="317"/>
      <c r="X49" s="317"/>
      <c r="Y49" s="317"/>
      <c r="Z49" s="317"/>
      <c r="AA49" s="317"/>
      <c r="AB49" s="317"/>
      <c r="AC49" s="317"/>
    </row>
    <row r="50">
      <c r="A50" s="362" t="s">
        <v>701</v>
      </c>
      <c r="B50" s="369" t="s">
        <v>7194</v>
      </c>
      <c r="C50" s="363">
        <v>45321.0</v>
      </c>
      <c r="D50" s="357" t="s">
        <v>7195</v>
      </c>
      <c r="E50" s="357" t="s">
        <v>7174</v>
      </c>
      <c r="F50" s="357" t="s">
        <v>7196</v>
      </c>
      <c r="G50" s="338"/>
      <c r="H50" s="360">
        <v>5580.0</v>
      </c>
      <c r="I50" s="366">
        <v>4464.0</v>
      </c>
      <c r="J50" s="366">
        <f t="shared" ref="J50:J57" si="6">I50*0.16</f>
        <v>714.24</v>
      </c>
      <c r="K50" s="366">
        <f t="shared" ref="K50:K57" si="7">I50+J50</f>
        <v>5178.24</v>
      </c>
      <c r="L50" s="338"/>
      <c r="M50" s="317"/>
      <c r="N50" s="317"/>
      <c r="O50" s="317"/>
      <c r="P50" s="317"/>
      <c r="Q50" s="317"/>
      <c r="R50" s="317"/>
      <c r="S50" s="317"/>
      <c r="T50" s="317"/>
      <c r="U50" s="317"/>
      <c r="V50" s="317"/>
      <c r="W50" s="317"/>
      <c r="X50" s="317"/>
      <c r="Y50" s="317"/>
      <c r="Z50" s="317"/>
      <c r="AA50" s="317"/>
      <c r="AB50" s="317"/>
      <c r="AC50" s="317"/>
    </row>
    <row r="51">
      <c r="A51" s="362" t="s">
        <v>5239</v>
      </c>
      <c r="B51" s="369" t="s">
        <v>7197</v>
      </c>
      <c r="C51" s="363">
        <v>45358.0</v>
      </c>
      <c r="D51" s="357" t="s">
        <v>7198</v>
      </c>
      <c r="E51" s="357" t="s">
        <v>7174</v>
      </c>
      <c r="F51" s="357" t="s">
        <v>7199</v>
      </c>
      <c r="G51" s="338"/>
      <c r="H51" s="360">
        <v>2280.0</v>
      </c>
      <c r="I51" s="366">
        <v>2280.0</v>
      </c>
      <c r="J51" s="366">
        <f t="shared" si="6"/>
        <v>364.8</v>
      </c>
      <c r="K51" s="366">
        <f t="shared" si="7"/>
        <v>2644.8</v>
      </c>
      <c r="L51" s="338"/>
      <c r="M51" s="317"/>
      <c r="N51" s="317"/>
      <c r="O51" s="317"/>
      <c r="P51" s="317"/>
      <c r="Q51" s="317"/>
      <c r="R51" s="317"/>
      <c r="S51" s="317"/>
      <c r="T51" s="317"/>
      <c r="U51" s="317"/>
      <c r="V51" s="317"/>
      <c r="W51" s="317"/>
      <c r="X51" s="317"/>
      <c r="Y51" s="317"/>
      <c r="Z51" s="317"/>
      <c r="AA51" s="317"/>
      <c r="AB51" s="317"/>
      <c r="AC51" s="317"/>
    </row>
    <row r="52">
      <c r="A52" s="362" t="s">
        <v>5239</v>
      </c>
      <c r="B52" s="369" t="s">
        <v>7200</v>
      </c>
      <c r="C52" s="363">
        <v>45358.0</v>
      </c>
      <c r="D52" s="357" t="s">
        <v>7198</v>
      </c>
      <c r="E52" s="357" t="s">
        <v>7201</v>
      </c>
      <c r="F52" s="357" t="s">
        <v>7199</v>
      </c>
      <c r="G52" s="338"/>
      <c r="H52" s="360">
        <v>36800.0</v>
      </c>
      <c r="I52" s="366">
        <v>36800.0</v>
      </c>
      <c r="J52" s="366">
        <f t="shared" si="6"/>
        <v>5888</v>
      </c>
      <c r="K52" s="366">
        <f t="shared" si="7"/>
        <v>42688</v>
      </c>
      <c r="L52" s="338"/>
      <c r="M52" s="317"/>
      <c r="N52" s="317"/>
      <c r="O52" s="317"/>
      <c r="P52" s="317"/>
      <c r="Q52" s="317"/>
      <c r="R52" s="317"/>
      <c r="S52" s="317"/>
      <c r="T52" s="317"/>
      <c r="U52" s="317"/>
      <c r="V52" s="317"/>
      <c r="W52" s="317"/>
      <c r="X52" s="317"/>
      <c r="Y52" s="317"/>
      <c r="Z52" s="317"/>
      <c r="AA52" s="317"/>
      <c r="AB52" s="317"/>
      <c r="AC52" s="317"/>
    </row>
    <row r="53">
      <c r="A53" s="362" t="s">
        <v>5239</v>
      </c>
      <c r="B53" s="369" t="s">
        <v>7202</v>
      </c>
      <c r="C53" s="363">
        <v>45358.0</v>
      </c>
      <c r="D53" s="357" t="s">
        <v>7198</v>
      </c>
      <c r="E53" s="357" t="s">
        <v>7201</v>
      </c>
      <c r="F53" s="357" t="s">
        <v>7199</v>
      </c>
      <c r="G53" s="338"/>
      <c r="H53" s="360">
        <v>36800.0</v>
      </c>
      <c r="I53" s="366">
        <v>36900.0</v>
      </c>
      <c r="J53" s="366">
        <f t="shared" si="6"/>
        <v>5904</v>
      </c>
      <c r="K53" s="366">
        <f t="shared" si="7"/>
        <v>42804</v>
      </c>
      <c r="L53" s="338"/>
      <c r="M53" s="317"/>
      <c r="N53" s="317"/>
      <c r="O53" s="317"/>
      <c r="P53" s="317"/>
      <c r="Q53" s="317"/>
      <c r="R53" s="317"/>
      <c r="S53" s="317"/>
      <c r="T53" s="317"/>
      <c r="U53" s="317"/>
      <c r="V53" s="317"/>
      <c r="W53" s="317"/>
      <c r="X53" s="317"/>
      <c r="Y53" s="317"/>
      <c r="Z53" s="317"/>
      <c r="AA53" s="317"/>
      <c r="AB53" s="317"/>
      <c r="AC53" s="317"/>
    </row>
    <row r="54">
      <c r="A54" s="362" t="s">
        <v>5239</v>
      </c>
      <c r="B54" s="369" t="s">
        <v>7203</v>
      </c>
      <c r="C54" s="363">
        <v>45358.0</v>
      </c>
      <c r="D54" s="357" t="s">
        <v>7198</v>
      </c>
      <c r="E54" s="357" t="s">
        <v>7201</v>
      </c>
      <c r="F54" s="357" t="s">
        <v>7199</v>
      </c>
      <c r="G54" s="338"/>
      <c r="H54" s="360">
        <v>46160.0</v>
      </c>
      <c r="I54" s="366">
        <v>46160.0</v>
      </c>
      <c r="J54" s="366">
        <f t="shared" si="6"/>
        <v>7385.6</v>
      </c>
      <c r="K54" s="366">
        <f t="shared" si="7"/>
        <v>53545.6</v>
      </c>
      <c r="L54" s="338"/>
      <c r="M54" s="317"/>
      <c r="N54" s="317"/>
      <c r="O54" s="317"/>
      <c r="P54" s="317"/>
      <c r="Q54" s="317"/>
      <c r="R54" s="317"/>
      <c r="S54" s="317"/>
      <c r="T54" s="317"/>
      <c r="U54" s="317"/>
      <c r="V54" s="317"/>
      <c r="W54" s="317"/>
      <c r="X54" s="317"/>
      <c r="Y54" s="317"/>
      <c r="Z54" s="317"/>
      <c r="AA54" s="317"/>
      <c r="AB54" s="317"/>
      <c r="AC54" s="317"/>
    </row>
    <row r="55">
      <c r="A55" s="362" t="s">
        <v>5239</v>
      </c>
      <c r="B55" s="369" t="s">
        <v>7204</v>
      </c>
      <c r="C55" s="363">
        <v>45358.0</v>
      </c>
      <c r="D55" s="357" t="s">
        <v>7198</v>
      </c>
      <c r="E55" s="357" t="s">
        <v>7119</v>
      </c>
      <c r="F55" s="357" t="s">
        <v>7199</v>
      </c>
      <c r="G55" s="338"/>
      <c r="H55" s="360">
        <v>38550.0</v>
      </c>
      <c r="I55" s="366">
        <v>38550.0</v>
      </c>
      <c r="J55" s="366">
        <f t="shared" si="6"/>
        <v>6168</v>
      </c>
      <c r="K55" s="366">
        <f t="shared" si="7"/>
        <v>44718</v>
      </c>
      <c r="L55" s="338"/>
      <c r="M55" s="317"/>
      <c r="N55" s="317"/>
      <c r="O55" s="317"/>
      <c r="P55" s="317"/>
      <c r="Q55" s="317"/>
      <c r="R55" s="317"/>
      <c r="S55" s="317"/>
      <c r="T55" s="317"/>
      <c r="U55" s="317"/>
      <c r="V55" s="317"/>
      <c r="W55" s="317"/>
      <c r="X55" s="317"/>
      <c r="Y55" s="317"/>
      <c r="Z55" s="317"/>
      <c r="AA55" s="317"/>
      <c r="AB55" s="317"/>
      <c r="AC55" s="317"/>
    </row>
    <row r="56">
      <c r="A56" s="362" t="s">
        <v>5239</v>
      </c>
      <c r="B56" s="369" t="s">
        <v>7205</v>
      </c>
      <c r="C56" s="363">
        <v>45825.0</v>
      </c>
      <c r="D56" s="357" t="s">
        <v>7158</v>
      </c>
      <c r="E56" s="357" t="s">
        <v>7201</v>
      </c>
      <c r="F56" s="357" t="s">
        <v>7206</v>
      </c>
      <c r="G56" s="338"/>
      <c r="H56" s="360">
        <v>5850.0</v>
      </c>
      <c r="I56" s="360">
        <v>5850.0</v>
      </c>
      <c r="J56" s="366">
        <f t="shared" si="6"/>
        <v>936</v>
      </c>
      <c r="K56" s="366">
        <f t="shared" si="7"/>
        <v>6786</v>
      </c>
      <c r="L56" s="338"/>
      <c r="M56" s="317"/>
      <c r="N56" s="317"/>
      <c r="O56" s="317"/>
      <c r="P56" s="317"/>
      <c r="Q56" s="317"/>
      <c r="R56" s="317"/>
      <c r="S56" s="317"/>
      <c r="T56" s="317"/>
      <c r="U56" s="317"/>
      <c r="V56" s="317"/>
      <c r="W56" s="317"/>
      <c r="X56" s="317"/>
      <c r="Y56" s="317"/>
      <c r="Z56" s="317"/>
      <c r="AA56" s="317"/>
      <c r="AB56" s="317"/>
      <c r="AC56" s="317"/>
    </row>
    <row r="57">
      <c r="A57" s="362" t="s">
        <v>5239</v>
      </c>
      <c r="B57" s="369" t="s">
        <v>7207</v>
      </c>
      <c r="C57" s="363">
        <v>46190.0</v>
      </c>
      <c r="D57" s="357" t="s">
        <v>7158</v>
      </c>
      <c r="E57" s="357" t="s">
        <v>7201</v>
      </c>
      <c r="F57" s="357" t="s">
        <v>7206</v>
      </c>
      <c r="G57" s="338"/>
      <c r="H57" s="360">
        <v>3245.0</v>
      </c>
      <c r="I57" s="360">
        <v>3245.0</v>
      </c>
      <c r="J57" s="366">
        <f t="shared" si="6"/>
        <v>519.2</v>
      </c>
      <c r="K57" s="366">
        <f t="shared" si="7"/>
        <v>3764.2</v>
      </c>
      <c r="L57" s="338"/>
      <c r="M57" s="317"/>
      <c r="N57" s="317"/>
      <c r="O57" s="317"/>
      <c r="P57" s="317"/>
      <c r="Q57" s="317"/>
      <c r="R57" s="317"/>
      <c r="S57" s="317"/>
      <c r="T57" s="317"/>
      <c r="U57" s="317"/>
      <c r="V57" s="317"/>
      <c r="W57" s="317"/>
      <c r="X57" s="317"/>
      <c r="Y57" s="317"/>
      <c r="Z57" s="317"/>
      <c r="AA57" s="317"/>
      <c r="AB57" s="317"/>
      <c r="AC57" s="317"/>
    </row>
    <row r="58">
      <c r="A58" s="362" t="s">
        <v>5239</v>
      </c>
      <c r="B58" s="369" t="s">
        <v>7208</v>
      </c>
      <c r="C58" s="356">
        <v>45874.0</v>
      </c>
      <c r="D58" s="357" t="s">
        <v>7158</v>
      </c>
      <c r="E58" s="357" t="s">
        <v>7170</v>
      </c>
      <c r="F58" s="357" t="s">
        <v>7209</v>
      </c>
      <c r="G58" s="338"/>
      <c r="H58" s="360">
        <v>150.0</v>
      </c>
      <c r="I58" s="360">
        <v>150.0</v>
      </c>
      <c r="J58" s="360">
        <v>24.0</v>
      </c>
      <c r="K58" s="360">
        <v>174.0</v>
      </c>
      <c r="L58" s="338"/>
      <c r="M58" s="317"/>
      <c r="N58" s="317"/>
      <c r="O58" s="317"/>
      <c r="P58" s="317"/>
      <c r="Q58" s="317"/>
      <c r="R58" s="317"/>
      <c r="S58" s="317"/>
      <c r="T58" s="317"/>
      <c r="U58" s="317"/>
      <c r="V58" s="317"/>
      <c r="W58" s="317"/>
      <c r="X58" s="317"/>
      <c r="Y58" s="317"/>
      <c r="Z58" s="317"/>
      <c r="AA58" s="317"/>
      <c r="AB58" s="317"/>
      <c r="AC58" s="317"/>
    </row>
    <row r="59">
      <c r="A59" s="377" t="s">
        <v>5239</v>
      </c>
      <c r="B59" s="378" t="s">
        <v>7210</v>
      </c>
      <c r="C59" s="379">
        <v>45953.0</v>
      </c>
      <c r="D59" s="378" t="s">
        <v>7211</v>
      </c>
      <c r="E59" s="378" t="s">
        <v>7201</v>
      </c>
      <c r="F59" s="378" t="s">
        <v>7212</v>
      </c>
      <c r="G59" s="317"/>
      <c r="H59" s="380">
        <v>5885.0</v>
      </c>
      <c r="I59" s="317"/>
      <c r="J59" s="317"/>
      <c r="K59" s="317"/>
      <c r="L59" s="317"/>
      <c r="M59" s="317"/>
      <c r="N59" s="317"/>
      <c r="O59" s="317"/>
      <c r="P59" s="317"/>
      <c r="Q59" s="317"/>
      <c r="R59" s="317"/>
      <c r="S59" s="317"/>
      <c r="T59" s="317"/>
      <c r="U59" s="317"/>
      <c r="V59" s="317"/>
      <c r="W59" s="317"/>
      <c r="X59" s="317"/>
      <c r="Y59" s="317"/>
      <c r="Z59" s="317"/>
      <c r="AA59" s="317"/>
      <c r="AB59" s="317"/>
      <c r="AC59" s="317"/>
    </row>
    <row r="60">
      <c r="A60" s="317"/>
      <c r="B60" s="381"/>
      <c r="C60" s="317"/>
      <c r="D60" s="381"/>
      <c r="E60" s="381"/>
      <c r="F60" s="381"/>
      <c r="G60" s="317"/>
      <c r="H60" s="317"/>
      <c r="I60" s="317"/>
      <c r="J60" s="317"/>
      <c r="K60" s="317"/>
      <c r="L60" s="317"/>
      <c r="M60" s="317"/>
      <c r="N60" s="317"/>
      <c r="O60" s="317"/>
      <c r="P60" s="317"/>
      <c r="Q60" s="317"/>
      <c r="R60" s="317"/>
      <c r="S60" s="317"/>
      <c r="T60" s="317"/>
      <c r="U60" s="317"/>
      <c r="V60" s="317"/>
      <c r="W60" s="317"/>
      <c r="X60" s="317"/>
      <c r="Y60" s="317"/>
      <c r="Z60" s="317"/>
      <c r="AA60" s="317"/>
      <c r="AB60" s="317"/>
      <c r="AC60" s="317"/>
    </row>
    <row r="61">
      <c r="A61" s="317"/>
      <c r="B61" s="381"/>
      <c r="C61" s="317"/>
      <c r="D61" s="381"/>
      <c r="E61" s="381"/>
      <c r="F61" s="381"/>
      <c r="G61" s="317"/>
      <c r="H61" s="317"/>
      <c r="I61" s="317"/>
      <c r="J61" s="317"/>
      <c r="K61" s="317"/>
      <c r="L61" s="317"/>
      <c r="M61" s="317"/>
      <c r="N61" s="317"/>
      <c r="O61" s="317"/>
      <c r="P61" s="317"/>
      <c r="Q61" s="317"/>
      <c r="R61" s="317"/>
      <c r="S61" s="317"/>
      <c r="T61" s="317"/>
      <c r="U61" s="317"/>
      <c r="V61" s="317"/>
      <c r="W61" s="317"/>
      <c r="X61" s="317"/>
      <c r="Y61" s="317"/>
      <c r="Z61" s="317"/>
      <c r="AA61" s="317"/>
      <c r="AB61" s="317"/>
      <c r="AC61" s="317"/>
    </row>
    <row r="62">
      <c r="A62" s="317"/>
      <c r="B62" s="381"/>
      <c r="C62" s="317"/>
      <c r="D62" s="381"/>
      <c r="E62" s="381"/>
      <c r="F62" s="381"/>
      <c r="G62" s="317"/>
      <c r="H62" s="317"/>
      <c r="I62" s="317"/>
      <c r="J62" s="317"/>
      <c r="K62" s="317"/>
      <c r="L62" s="317"/>
      <c r="M62" s="317"/>
      <c r="N62" s="317"/>
      <c r="O62" s="317"/>
      <c r="P62" s="317"/>
      <c r="Q62" s="317"/>
      <c r="R62" s="317"/>
      <c r="S62" s="317"/>
      <c r="T62" s="317"/>
      <c r="U62" s="317"/>
      <c r="V62" s="317"/>
      <c r="W62" s="317"/>
      <c r="X62" s="317"/>
      <c r="Y62" s="317"/>
      <c r="Z62" s="317"/>
      <c r="AA62" s="317"/>
      <c r="AB62" s="317"/>
      <c r="AC62" s="317"/>
    </row>
    <row r="63">
      <c r="A63" s="317"/>
      <c r="B63" s="381"/>
      <c r="C63" s="317"/>
      <c r="D63" s="381"/>
      <c r="E63" s="381"/>
      <c r="F63" s="381"/>
      <c r="G63" s="317"/>
      <c r="H63" s="317"/>
      <c r="I63" s="317"/>
      <c r="J63" s="317"/>
      <c r="K63" s="317"/>
      <c r="L63" s="317"/>
      <c r="M63" s="317"/>
      <c r="N63" s="317"/>
      <c r="O63" s="317"/>
      <c r="P63" s="317"/>
      <c r="Q63" s="317"/>
      <c r="R63" s="317"/>
      <c r="S63" s="317"/>
      <c r="T63" s="317"/>
      <c r="U63" s="317"/>
      <c r="V63" s="317"/>
      <c r="W63" s="317"/>
      <c r="X63" s="317"/>
      <c r="Y63" s="317"/>
      <c r="Z63" s="317"/>
      <c r="AA63" s="317"/>
      <c r="AB63" s="317"/>
      <c r="AC63" s="317"/>
    </row>
    <row r="64">
      <c r="A64" s="317"/>
      <c r="B64" s="381"/>
      <c r="C64" s="317"/>
      <c r="D64" s="381"/>
      <c r="E64" s="381"/>
      <c r="F64" s="381"/>
      <c r="G64" s="317"/>
      <c r="H64" s="317"/>
      <c r="I64" s="317"/>
      <c r="J64" s="317"/>
      <c r="K64" s="317"/>
      <c r="L64" s="317"/>
      <c r="M64" s="317"/>
      <c r="N64" s="317"/>
      <c r="O64" s="317"/>
      <c r="P64" s="317"/>
      <c r="Q64" s="317"/>
      <c r="R64" s="317"/>
      <c r="S64" s="317"/>
      <c r="T64" s="317"/>
      <c r="U64" s="317"/>
      <c r="V64" s="317"/>
      <c r="W64" s="317"/>
      <c r="X64" s="317"/>
      <c r="Y64" s="317"/>
      <c r="Z64" s="317"/>
      <c r="AA64" s="317"/>
      <c r="AB64" s="317"/>
      <c r="AC64" s="317"/>
    </row>
    <row r="65">
      <c r="A65" s="317"/>
      <c r="B65" s="381"/>
      <c r="C65" s="317"/>
      <c r="D65" s="381"/>
      <c r="E65" s="381"/>
      <c r="F65" s="381"/>
      <c r="G65" s="317"/>
      <c r="H65" s="317"/>
      <c r="I65" s="317"/>
      <c r="J65" s="317"/>
      <c r="K65" s="317"/>
      <c r="L65" s="317"/>
      <c r="M65" s="317"/>
      <c r="N65" s="317"/>
      <c r="O65" s="317"/>
      <c r="P65" s="317"/>
      <c r="Q65" s="317"/>
      <c r="R65" s="317"/>
      <c r="S65" s="317"/>
      <c r="T65" s="317"/>
      <c r="U65" s="317"/>
      <c r="V65" s="317"/>
      <c r="W65" s="317"/>
      <c r="X65" s="317"/>
      <c r="Y65" s="317"/>
      <c r="Z65" s="317"/>
      <c r="AA65" s="317"/>
      <c r="AB65" s="317"/>
      <c r="AC65" s="317"/>
    </row>
    <row r="66">
      <c r="A66" s="317"/>
      <c r="B66" s="381"/>
      <c r="C66" s="317"/>
      <c r="D66" s="381"/>
      <c r="E66" s="381"/>
      <c r="F66" s="381"/>
      <c r="G66" s="317"/>
      <c r="H66" s="317"/>
      <c r="I66" s="317"/>
      <c r="J66" s="317"/>
      <c r="K66" s="317"/>
      <c r="L66" s="317"/>
      <c r="M66" s="317"/>
      <c r="N66" s="317"/>
      <c r="O66" s="317"/>
      <c r="P66" s="317"/>
      <c r="Q66" s="317"/>
      <c r="R66" s="317"/>
      <c r="S66" s="317"/>
      <c r="T66" s="317"/>
      <c r="U66" s="317"/>
      <c r="V66" s="317"/>
      <c r="W66" s="317"/>
      <c r="X66" s="317"/>
      <c r="Y66" s="317"/>
      <c r="Z66" s="317"/>
      <c r="AA66" s="317"/>
      <c r="AB66" s="317"/>
      <c r="AC66" s="317"/>
    </row>
    <row r="67">
      <c r="A67" s="317"/>
      <c r="B67" s="381"/>
      <c r="C67" s="317"/>
      <c r="D67" s="381"/>
      <c r="E67" s="381"/>
      <c r="F67" s="381"/>
      <c r="G67" s="317"/>
      <c r="H67" s="317"/>
      <c r="I67" s="317"/>
      <c r="J67" s="317"/>
      <c r="K67" s="317"/>
      <c r="L67" s="317"/>
      <c r="M67" s="317"/>
      <c r="N67" s="317"/>
      <c r="O67" s="317"/>
      <c r="P67" s="317"/>
      <c r="Q67" s="317"/>
      <c r="R67" s="317"/>
      <c r="S67" s="317"/>
      <c r="T67" s="317"/>
      <c r="U67" s="317"/>
      <c r="V67" s="317"/>
      <c r="W67" s="317"/>
      <c r="X67" s="317"/>
      <c r="Y67" s="317"/>
      <c r="Z67" s="317"/>
      <c r="AA67" s="317"/>
      <c r="AB67" s="317"/>
      <c r="AC67" s="317"/>
    </row>
    <row r="68">
      <c r="A68" s="317"/>
      <c r="B68" s="381"/>
      <c r="C68" s="317"/>
      <c r="D68" s="381"/>
      <c r="E68" s="381"/>
      <c r="F68" s="381"/>
      <c r="G68" s="317"/>
      <c r="H68" s="317"/>
      <c r="I68" s="317"/>
      <c r="J68" s="317"/>
      <c r="K68" s="317"/>
      <c r="L68" s="317"/>
      <c r="M68" s="317"/>
      <c r="N68" s="317"/>
      <c r="O68" s="317"/>
      <c r="P68" s="317"/>
      <c r="Q68" s="317"/>
      <c r="R68" s="317"/>
      <c r="S68" s="317"/>
      <c r="T68" s="317"/>
      <c r="U68" s="317"/>
      <c r="V68" s="317"/>
      <c r="W68" s="317"/>
      <c r="X68" s="317"/>
      <c r="Y68" s="317"/>
      <c r="Z68" s="317"/>
      <c r="AA68" s="317"/>
      <c r="AB68" s="317"/>
      <c r="AC68" s="317"/>
    </row>
    <row r="69">
      <c r="A69" s="317"/>
      <c r="B69" s="381"/>
      <c r="C69" s="317"/>
      <c r="D69" s="381"/>
      <c r="E69" s="381"/>
      <c r="F69" s="381"/>
      <c r="G69" s="317"/>
      <c r="H69" s="317"/>
      <c r="I69" s="317"/>
      <c r="J69" s="317"/>
      <c r="K69" s="317"/>
      <c r="L69" s="317"/>
      <c r="M69" s="317"/>
      <c r="N69" s="317"/>
      <c r="O69" s="317"/>
      <c r="P69" s="317"/>
      <c r="Q69" s="317"/>
      <c r="R69" s="317"/>
      <c r="S69" s="317"/>
      <c r="T69" s="317"/>
      <c r="U69" s="317"/>
      <c r="V69" s="317"/>
      <c r="W69" s="317"/>
      <c r="X69" s="317"/>
      <c r="Y69" s="317"/>
      <c r="Z69" s="317"/>
      <c r="AA69" s="317"/>
      <c r="AB69" s="317"/>
      <c r="AC69" s="317"/>
    </row>
    <row r="70">
      <c r="A70" s="317"/>
      <c r="B70" s="381"/>
      <c r="C70" s="317"/>
      <c r="D70" s="381"/>
      <c r="E70" s="381"/>
      <c r="F70" s="381"/>
      <c r="G70" s="317"/>
      <c r="H70" s="317"/>
      <c r="I70" s="317"/>
      <c r="J70" s="317"/>
      <c r="K70" s="317"/>
      <c r="L70" s="317"/>
      <c r="M70" s="317"/>
      <c r="N70" s="317"/>
      <c r="O70" s="317"/>
      <c r="P70" s="317"/>
      <c r="Q70" s="317"/>
      <c r="R70" s="317"/>
      <c r="S70" s="317"/>
      <c r="T70" s="317"/>
      <c r="U70" s="317"/>
      <c r="V70" s="317"/>
      <c r="W70" s="317"/>
      <c r="X70" s="317"/>
      <c r="Y70" s="317"/>
      <c r="Z70" s="317"/>
      <c r="AA70" s="317"/>
      <c r="AB70" s="317"/>
      <c r="AC70" s="317"/>
    </row>
    <row r="71">
      <c r="A71" s="317"/>
      <c r="B71" s="381"/>
      <c r="C71" s="317"/>
      <c r="D71" s="381"/>
      <c r="E71" s="381"/>
      <c r="F71" s="381"/>
      <c r="G71" s="317"/>
      <c r="H71" s="317"/>
      <c r="I71" s="317"/>
      <c r="J71" s="317"/>
      <c r="K71" s="317"/>
      <c r="L71" s="317"/>
      <c r="M71" s="317"/>
      <c r="N71" s="317"/>
      <c r="O71" s="317"/>
      <c r="P71" s="317"/>
      <c r="Q71" s="317"/>
      <c r="R71" s="317"/>
      <c r="S71" s="317"/>
      <c r="T71" s="317"/>
      <c r="U71" s="317"/>
      <c r="V71" s="317"/>
      <c r="W71" s="317"/>
      <c r="X71" s="317"/>
      <c r="Y71" s="317"/>
      <c r="Z71" s="317"/>
      <c r="AA71" s="317"/>
      <c r="AB71" s="317"/>
      <c r="AC71" s="317"/>
    </row>
    <row r="72">
      <c r="A72" s="317"/>
      <c r="B72" s="381"/>
      <c r="C72" s="317"/>
      <c r="D72" s="381"/>
      <c r="E72" s="381"/>
      <c r="F72" s="381"/>
      <c r="G72" s="317"/>
      <c r="H72" s="317"/>
      <c r="I72" s="317"/>
      <c r="J72" s="317"/>
      <c r="K72" s="317"/>
      <c r="L72" s="317"/>
      <c r="M72" s="317"/>
      <c r="N72" s="317"/>
      <c r="O72" s="317"/>
      <c r="P72" s="317"/>
      <c r="Q72" s="317"/>
      <c r="R72" s="317"/>
      <c r="S72" s="317"/>
      <c r="T72" s="317"/>
      <c r="U72" s="317"/>
      <c r="V72" s="317"/>
      <c r="W72" s="317"/>
      <c r="X72" s="317"/>
      <c r="Y72" s="317"/>
      <c r="Z72" s="317"/>
      <c r="AA72" s="317"/>
      <c r="AB72" s="317"/>
      <c r="AC72" s="317"/>
    </row>
    <row r="73">
      <c r="A73" s="317"/>
      <c r="B73" s="381"/>
      <c r="C73" s="317"/>
      <c r="D73" s="381"/>
      <c r="E73" s="381"/>
      <c r="F73" s="381"/>
      <c r="G73" s="317"/>
      <c r="H73" s="317"/>
      <c r="I73" s="317"/>
      <c r="J73" s="317"/>
      <c r="K73" s="317"/>
      <c r="L73" s="317"/>
      <c r="M73" s="317"/>
      <c r="N73" s="317"/>
      <c r="O73" s="317"/>
      <c r="P73" s="317"/>
      <c r="Q73" s="317"/>
      <c r="R73" s="317"/>
      <c r="S73" s="317"/>
      <c r="T73" s="317"/>
      <c r="U73" s="317"/>
      <c r="V73" s="317"/>
      <c r="W73" s="317"/>
      <c r="X73" s="317"/>
      <c r="Y73" s="317"/>
      <c r="Z73" s="317"/>
      <c r="AA73" s="317"/>
      <c r="AB73" s="317"/>
      <c r="AC73" s="317"/>
    </row>
    <row r="74">
      <c r="A74" s="317"/>
      <c r="B74" s="381"/>
      <c r="C74" s="317"/>
      <c r="D74" s="381"/>
      <c r="E74" s="381"/>
      <c r="F74" s="381"/>
      <c r="G74" s="317"/>
      <c r="H74" s="317"/>
      <c r="I74" s="317"/>
      <c r="J74" s="317"/>
      <c r="K74" s="317"/>
      <c r="L74" s="317"/>
      <c r="M74" s="317"/>
      <c r="N74" s="317"/>
      <c r="O74" s="317"/>
      <c r="P74" s="317"/>
      <c r="Q74" s="317"/>
      <c r="R74" s="317"/>
      <c r="S74" s="317"/>
      <c r="T74" s="317"/>
      <c r="U74" s="317"/>
      <c r="V74" s="317"/>
      <c r="W74" s="317"/>
      <c r="X74" s="317"/>
      <c r="Y74" s="317"/>
      <c r="Z74" s="317"/>
      <c r="AA74" s="317"/>
      <c r="AB74" s="317"/>
      <c r="AC74" s="317"/>
    </row>
    <row r="75">
      <c r="A75" s="317"/>
      <c r="B75" s="381"/>
      <c r="C75" s="317"/>
      <c r="D75" s="381"/>
      <c r="E75" s="381"/>
      <c r="F75" s="381"/>
      <c r="G75" s="317"/>
      <c r="H75" s="317"/>
      <c r="I75" s="317"/>
      <c r="J75" s="317"/>
      <c r="K75" s="317"/>
      <c r="L75" s="317"/>
      <c r="M75" s="317"/>
      <c r="N75" s="317"/>
      <c r="O75" s="317"/>
      <c r="P75" s="317"/>
      <c r="Q75" s="317"/>
      <c r="R75" s="317"/>
      <c r="S75" s="317"/>
      <c r="T75" s="317"/>
      <c r="U75" s="317"/>
      <c r="V75" s="317"/>
      <c r="W75" s="317"/>
      <c r="X75" s="317"/>
      <c r="Y75" s="317"/>
      <c r="Z75" s="317"/>
      <c r="AA75" s="317"/>
      <c r="AB75" s="317"/>
      <c r="AC75" s="317"/>
    </row>
    <row r="76">
      <c r="A76" s="317"/>
      <c r="B76" s="381"/>
      <c r="C76" s="317"/>
      <c r="D76" s="381"/>
      <c r="E76" s="381"/>
      <c r="F76" s="381"/>
      <c r="G76" s="317"/>
      <c r="H76" s="317"/>
      <c r="I76" s="317"/>
      <c r="J76" s="317"/>
      <c r="K76" s="317"/>
      <c r="L76" s="317"/>
      <c r="M76" s="317"/>
      <c r="N76" s="317"/>
      <c r="O76" s="317"/>
      <c r="P76" s="317"/>
      <c r="Q76" s="317"/>
      <c r="R76" s="317"/>
      <c r="S76" s="317"/>
      <c r="T76" s="317"/>
      <c r="U76" s="317"/>
      <c r="V76" s="317"/>
      <c r="W76" s="317"/>
      <c r="X76" s="317"/>
      <c r="Y76" s="317"/>
      <c r="Z76" s="317"/>
      <c r="AA76" s="317"/>
      <c r="AB76" s="317"/>
      <c r="AC76" s="317"/>
    </row>
    <row r="77">
      <c r="A77" s="317"/>
      <c r="B77" s="381"/>
      <c r="C77" s="317"/>
      <c r="D77" s="381"/>
      <c r="E77" s="381"/>
      <c r="F77" s="381"/>
      <c r="G77" s="317"/>
      <c r="H77" s="317"/>
      <c r="I77" s="317"/>
      <c r="J77" s="317"/>
      <c r="K77" s="317"/>
      <c r="L77" s="317"/>
      <c r="M77" s="317"/>
      <c r="N77" s="317"/>
      <c r="O77" s="317"/>
      <c r="P77" s="317"/>
      <c r="Q77" s="317"/>
      <c r="R77" s="317"/>
      <c r="S77" s="317"/>
      <c r="T77" s="317"/>
      <c r="U77" s="317"/>
      <c r="V77" s="317"/>
      <c r="W77" s="317"/>
      <c r="X77" s="317"/>
      <c r="Y77" s="317"/>
      <c r="Z77" s="317"/>
      <c r="AA77" s="317"/>
      <c r="AB77" s="317"/>
      <c r="AC77" s="317"/>
    </row>
    <row r="78">
      <c r="A78" s="317"/>
      <c r="B78" s="381"/>
      <c r="C78" s="317"/>
      <c r="D78" s="381"/>
      <c r="E78" s="381"/>
      <c r="F78" s="381"/>
      <c r="G78" s="317"/>
      <c r="H78" s="317"/>
      <c r="I78" s="317"/>
      <c r="J78" s="317"/>
      <c r="K78" s="317"/>
      <c r="L78" s="317"/>
      <c r="M78" s="317"/>
      <c r="N78" s="317"/>
      <c r="O78" s="317"/>
      <c r="P78" s="317"/>
      <c r="Q78" s="317"/>
      <c r="R78" s="317"/>
      <c r="S78" s="317"/>
      <c r="T78" s="317"/>
      <c r="U78" s="317"/>
      <c r="V78" s="317"/>
      <c r="W78" s="317"/>
      <c r="X78" s="317"/>
      <c r="Y78" s="317"/>
      <c r="Z78" s="317"/>
      <c r="AA78" s="317"/>
      <c r="AB78" s="317"/>
      <c r="AC78" s="317"/>
    </row>
    <row r="79">
      <c r="A79" s="317"/>
      <c r="B79" s="381"/>
      <c r="C79" s="317"/>
      <c r="D79" s="381"/>
      <c r="E79" s="381"/>
      <c r="F79" s="381"/>
      <c r="G79" s="317"/>
      <c r="H79" s="317"/>
      <c r="I79" s="317"/>
      <c r="J79" s="317"/>
      <c r="K79" s="317"/>
      <c r="L79" s="317"/>
      <c r="M79" s="317"/>
      <c r="N79" s="317"/>
      <c r="O79" s="317"/>
      <c r="P79" s="317"/>
      <c r="Q79" s="317"/>
      <c r="R79" s="317"/>
      <c r="S79" s="317"/>
      <c r="T79" s="317"/>
      <c r="U79" s="317"/>
      <c r="V79" s="317"/>
      <c r="W79" s="317"/>
      <c r="X79" s="317"/>
      <c r="Y79" s="317"/>
      <c r="Z79" s="317"/>
      <c r="AA79" s="317"/>
      <c r="AB79" s="317"/>
      <c r="AC79" s="317"/>
    </row>
    <row r="80">
      <c r="A80" s="317"/>
      <c r="B80" s="381"/>
      <c r="C80" s="317"/>
      <c r="D80" s="381"/>
      <c r="E80" s="381"/>
      <c r="F80" s="381"/>
      <c r="G80" s="317"/>
      <c r="H80" s="317"/>
      <c r="I80" s="317"/>
      <c r="J80" s="317"/>
      <c r="K80" s="317"/>
      <c r="L80" s="317"/>
      <c r="M80" s="317"/>
      <c r="N80" s="317"/>
      <c r="O80" s="317"/>
      <c r="P80" s="317"/>
      <c r="Q80" s="317"/>
      <c r="R80" s="317"/>
      <c r="S80" s="317"/>
      <c r="T80" s="317"/>
      <c r="U80" s="317"/>
      <c r="V80" s="317"/>
      <c r="W80" s="317"/>
      <c r="X80" s="317"/>
      <c r="Y80" s="317"/>
      <c r="Z80" s="317"/>
      <c r="AA80" s="317"/>
      <c r="AB80" s="317"/>
      <c r="AC80" s="317"/>
    </row>
    <row r="81">
      <c r="A81" s="317"/>
      <c r="B81" s="381"/>
      <c r="C81" s="317"/>
      <c r="D81" s="381"/>
      <c r="E81" s="381"/>
      <c r="F81" s="381"/>
      <c r="G81" s="317"/>
      <c r="H81" s="317"/>
      <c r="I81" s="317"/>
      <c r="J81" s="317"/>
      <c r="K81" s="317"/>
      <c r="L81" s="317"/>
      <c r="M81" s="317"/>
      <c r="N81" s="317"/>
      <c r="O81" s="317"/>
      <c r="P81" s="317"/>
      <c r="Q81" s="317"/>
      <c r="R81" s="317"/>
      <c r="S81" s="317"/>
      <c r="T81" s="317"/>
      <c r="U81" s="317"/>
      <c r="V81" s="317"/>
      <c r="W81" s="317"/>
      <c r="X81" s="317"/>
      <c r="Y81" s="317"/>
      <c r="Z81" s="317"/>
      <c r="AA81" s="317"/>
      <c r="AB81" s="317"/>
      <c r="AC81" s="317"/>
    </row>
    <row r="82">
      <c r="A82" s="317"/>
      <c r="B82" s="381"/>
      <c r="C82" s="317"/>
      <c r="D82" s="381"/>
      <c r="E82" s="381"/>
      <c r="F82" s="381"/>
      <c r="G82" s="317"/>
      <c r="H82" s="317"/>
      <c r="I82" s="317"/>
      <c r="J82" s="317"/>
      <c r="K82" s="317"/>
      <c r="L82" s="317"/>
      <c r="M82" s="317"/>
      <c r="N82" s="317"/>
      <c r="O82" s="317"/>
      <c r="P82" s="317"/>
      <c r="Q82" s="317"/>
      <c r="R82" s="317"/>
      <c r="S82" s="317"/>
      <c r="T82" s="317"/>
      <c r="U82" s="317"/>
      <c r="V82" s="317"/>
      <c r="W82" s="317"/>
      <c r="X82" s="317"/>
      <c r="Y82" s="317"/>
      <c r="Z82" s="317"/>
      <c r="AA82" s="317"/>
      <c r="AB82" s="317"/>
      <c r="AC82" s="317"/>
    </row>
    <row r="83">
      <c r="A83" s="317"/>
      <c r="B83" s="381"/>
      <c r="C83" s="317"/>
      <c r="D83" s="381"/>
      <c r="E83" s="381"/>
      <c r="F83" s="381"/>
      <c r="G83" s="317"/>
      <c r="H83" s="317"/>
      <c r="I83" s="317"/>
      <c r="J83" s="317"/>
      <c r="K83" s="317"/>
      <c r="L83" s="317"/>
      <c r="M83" s="317"/>
      <c r="N83" s="317"/>
      <c r="O83" s="317"/>
      <c r="P83" s="317"/>
      <c r="Q83" s="317"/>
      <c r="R83" s="317"/>
      <c r="S83" s="317"/>
      <c r="T83" s="317"/>
      <c r="U83" s="317"/>
      <c r="V83" s="317"/>
      <c r="W83" s="317"/>
      <c r="X83" s="317"/>
      <c r="Y83" s="317"/>
      <c r="Z83" s="317"/>
      <c r="AA83" s="317"/>
      <c r="AB83" s="317"/>
      <c r="AC83" s="317"/>
    </row>
    <row r="84">
      <c r="A84" s="317"/>
      <c r="B84" s="381"/>
      <c r="C84" s="317"/>
      <c r="D84" s="381"/>
      <c r="E84" s="381"/>
      <c r="F84" s="381"/>
      <c r="G84" s="317"/>
      <c r="H84" s="317"/>
      <c r="I84" s="317"/>
      <c r="J84" s="317"/>
      <c r="K84" s="317"/>
      <c r="L84" s="317"/>
      <c r="M84" s="317"/>
      <c r="N84" s="317"/>
      <c r="O84" s="317"/>
      <c r="P84" s="317"/>
      <c r="Q84" s="317"/>
      <c r="R84" s="317"/>
      <c r="S84" s="317"/>
      <c r="T84" s="317"/>
      <c r="U84" s="317"/>
      <c r="V84" s="317"/>
      <c r="W84" s="317"/>
      <c r="X84" s="317"/>
      <c r="Y84" s="317"/>
      <c r="Z84" s="317"/>
      <c r="AA84" s="317"/>
      <c r="AB84" s="317"/>
      <c r="AC84" s="317"/>
    </row>
    <row r="85">
      <c r="A85" s="317"/>
      <c r="B85" s="381"/>
      <c r="C85" s="317"/>
      <c r="D85" s="381"/>
      <c r="E85" s="381"/>
      <c r="F85" s="381"/>
      <c r="G85" s="317"/>
      <c r="H85" s="317"/>
      <c r="I85" s="317"/>
      <c r="J85" s="317"/>
      <c r="K85" s="317"/>
      <c r="L85" s="317"/>
      <c r="M85" s="317"/>
      <c r="N85" s="317"/>
      <c r="O85" s="317"/>
      <c r="P85" s="317"/>
      <c r="Q85" s="317"/>
      <c r="R85" s="317"/>
      <c r="S85" s="317"/>
      <c r="T85" s="317"/>
      <c r="U85" s="317"/>
      <c r="V85" s="317"/>
      <c r="W85" s="317"/>
      <c r="X85" s="317"/>
      <c r="Y85" s="317"/>
      <c r="Z85" s="317"/>
      <c r="AA85" s="317"/>
      <c r="AB85" s="317"/>
      <c r="AC85" s="317"/>
    </row>
    <row r="86">
      <c r="A86" s="317"/>
      <c r="B86" s="381"/>
      <c r="C86" s="317"/>
      <c r="D86" s="381"/>
      <c r="E86" s="381"/>
      <c r="F86" s="381"/>
      <c r="G86" s="317"/>
      <c r="H86" s="317"/>
      <c r="I86" s="317"/>
      <c r="J86" s="317"/>
      <c r="K86" s="317"/>
      <c r="L86" s="317"/>
      <c r="M86" s="317"/>
      <c r="N86" s="317"/>
      <c r="O86" s="317"/>
      <c r="P86" s="317"/>
      <c r="Q86" s="317"/>
      <c r="R86" s="317"/>
      <c r="S86" s="317"/>
      <c r="T86" s="317"/>
      <c r="U86" s="317"/>
      <c r="V86" s="317"/>
      <c r="W86" s="317"/>
      <c r="X86" s="317"/>
      <c r="Y86" s="317"/>
      <c r="Z86" s="317"/>
      <c r="AA86" s="317"/>
      <c r="AB86" s="317"/>
      <c r="AC86" s="317"/>
    </row>
    <row r="87">
      <c r="A87" s="317"/>
      <c r="B87" s="381"/>
      <c r="C87" s="317"/>
      <c r="D87" s="381"/>
      <c r="E87" s="381"/>
      <c r="F87" s="381"/>
      <c r="G87" s="317"/>
      <c r="H87" s="317"/>
      <c r="I87" s="317"/>
      <c r="J87" s="317"/>
      <c r="K87" s="317"/>
      <c r="L87" s="317"/>
      <c r="M87" s="317"/>
      <c r="N87" s="317"/>
      <c r="O87" s="317"/>
      <c r="P87" s="317"/>
      <c r="Q87" s="317"/>
      <c r="R87" s="317"/>
      <c r="S87" s="317"/>
      <c r="T87" s="317"/>
      <c r="U87" s="317"/>
      <c r="V87" s="317"/>
      <c r="W87" s="317"/>
      <c r="X87" s="317"/>
      <c r="Y87" s="317"/>
      <c r="Z87" s="317"/>
      <c r="AA87" s="317"/>
      <c r="AB87" s="317"/>
      <c r="AC87" s="317"/>
    </row>
    <row r="88">
      <c r="A88" s="317"/>
      <c r="B88" s="381"/>
      <c r="C88" s="317"/>
      <c r="D88" s="381"/>
      <c r="E88" s="381"/>
      <c r="F88" s="381"/>
      <c r="G88" s="317"/>
      <c r="H88" s="317"/>
      <c r="I88" s="317"/>
      <c r="J88" s="317"/>
      <c r="K88" s="317"/>
      <c r="L88" s="317"/>
      <c r="M88" s="317"/>
      <c r="N88" s="317"/>
      <c r="O88" s="317"/>
      <c r="P88" s="317"/>
      <c r="Q88" s="317"/>
      <c r="R88" s="317"/>
      <c r="S88" s="317"/>
      <c r="T88" s="317"/>
      <c r="U88" s="317"/>
      <c r="V88" s="317"/>
      <c r="W88" s="317"/>
      <c r="X88" s="317"/>
      <c r="Y88" s="317"/>
      <c r="Z88" s="317"/>
      <c r="AA88" s="317"/>
      <c r="AB88" s="317"/>
      <c r="AC88" s="317"/>
    </row>
    <row r="89">
      <c r="A89" s="317"/>
      <c r="B89" s="381"/>
      <c r="C89" s="317"/>
      <c r="D89" s="381"/>
      <c r="E89" s="381"/>
      <c r="F89" s="381"/>
      <c r="G89" s="317"/>
      <c r="H89" s="317"/>
      <c r="I89" s="317"/>
      <c r="J89" s="317"/>
      <c r="K89" s="317"/>
      <c r="L89" s="317"/>
      <c r="M89" s="317"/>
      <c r="N89" s="317"/>
      <c r="O89" s="317"/>
      <c r="P89" s="317"/>
      <c r="Q89" s="317"/>
      <c r="R89" s="317"/>
      <c r="S89" s="317"/>
      <c r="T89" s="317"/>
      <c r="U89" s="317"/>
      <c r="V89" s="317"/>
      <c r="W89" s="317"/>
      <c r="X89" s="317"/>
      <c r="Y89" s="317"/>
      <c r="Z89" s="317"/>
      <c r="AA89" s="317"/>
      <c r="AB89" s="317"/>
      <c r="AC89" s="317"/>
    </row>
    <row r="90">
      <c r="A90" s="317"/>
      <c r="B90" s="381"/>
      <c r="C90" s="317"/>
      <c r="D90" s="381"/>
      <c r="E90" s="381"/>
      <c r="F90" s="381"/>
      <c r="G90" s="317"/>
      <c r="H90" s="317"/>
      <c r="I90" s="317"/>
      <c r="J90" s="317"/>
      <c r="K90" s="317"/>
      <c r="L90" s="317"/>
      <c r="M90" s="317"/>
      <c r="N90" s="317"/>
      <c r="O90" s="317"/>
      <c r="P90" s="317"/>
      <c r="Q90" s="317"/>
      <c r="R90" s="317"/>
      <c r="S90" s="317"/>
      <c r="T90" s="317"/>
      <c r="U90" s="317"/>
      <c r="V90" s="317"/>
      <c r="W90" s="317"/>
      <c r="X90" s="317"/>
      <c r="Y90" s="317"/>
      <c r="Z90" s="317"/>
      <c r="AA90" s="317"/>
      <c r="AB90" s="317"/>
      <c r="AC90" s="317"/>
    </row>
    <row r="91">
      <c r="A91" s="317"/>
      <c r="B91" s="381"/>
      <c r="C91" s="317"/>
      <c r="D91" s="381"/>
      <c r="E91" s="381"/>
      <c r="F91" s="381"/>
      <c r="G91" s="317"/>
      <c r="H91" s="317"/>
      <c r="I91" s="317"/>
      <c r="J91" s="317"/>
      <c r="K91" s="317"/>
      <c r="L91" s="317"/>
      <c r="M91" s="317"/>
      <c r="N91" s="317"/>
      <c r="O91" s="317"/>
      <c r="P91" s="317"/>
      <c r="Q91" s="317"/>
      <c r="R91" s="317"/>
      <c r="S91" s="317"/>
      <c r="T91" s="317"/>
      <c r="U91" s="317"/>
      <c r="V91" s="317"/>
      <c r="W91" s="317"/>
      <c r="X91" s="317"/>
      <c r="Y91" s="317"/>
      <c r="Z91" s="317"/>
      <c r="AA91" s="317"/>
      <c r="AB91" s="317"/>
      <c r="AC91" s="317"/>
    </row>
    <row r="92">
      <c r="A92" s="317"/>
      <c r="B92" s="381"/>
      <c r="C92" s="317"/>
      <c r="D92" s="381"/>
      <c r="E92" s="381"/>
      <c r="F92" s="381"/>
      <c r="G92" s="317"/>
      <c r="H92" s="317"/>
      <c r="I92" s="317"/>
      <c r="J92" s="317"/>
      <c r="K92" s="317"/>
      <c r="L92" s="317"/>
      <c r="M92" s="317"/>
      <c r="N92" s="317"/>
      <c r="O92" s="317"/>
      <c r="P92" s="317"/>
      <c r="Q92" s="317"/>
      <c r="R92" s="317"/>
      <c r="S92" s="317"/>
      <c r="T92" s="317"/>
      <c r="U92" s="317"/>
      <c r="V92" s="317"/>
      <c r="W92" s="317"/>
      <c r="X92" s="317"/>
      <c r="Y92" s="317"/>
      <c r="Z92" s="317"/>
      <c r="AA92" s="317"/>
      <c r="AB92" s="317"/>
      <c r="AC92" s="317"/>
    </row>
    <row r="93">
      <c r="A93" s="317"/>
      <c r="B93" s="381"/>
      <c r="C93" s="317"/>
      <c r="D93" s="381"/>
      <c r="E93" s="381"/>
      <c r="F93" s="381"/>
      <c r="G93" s="317"/>
      <c r="H93" s="317"/>
      <c r="I93" s="317"/>
      <c r="J93" s="317"/>
      <c r="K93" s="317"/>
      <c r="L93" s="317"/>
      <c r="M93" s="317"/>
      <c r="N93" s="317"/>
      <c r="O93" s="317"/>
      <c r="P93" s="317"/>
      <c r="Q93" s="317"/>
      <c r="R93" s="317"/>
      <c r="S93" s="317"/>
      <c r="T93" s="317"/>
      <c r="U93" s="317"/>
      <c r="V93" s="317"/>
      <c r="W93" s="317"/>
      <c r="X93" s="317"/>
      <c r="Y93" s="317"/>
      <c r="Z93" s="317"/>
      <c r="AA93" s="317"/>
      <c r="AB93" s="317"/>
      <c r="AC93" s="317"/>
    </row>
    <row r="94">
      <c r="A94" s="317"/>
      <c r="B94" s="381"/>
      <c r="C94" s="317"/>
      <c r="D94" s="381"/>
      <c r="E94" s="381"/>
      <c r="F94" s="381"/>
      <c r="G94" s="317"/>
      <c r="H94" s="317"/>
      <c r="I94" s="317"/>
      <c r="J94" s="317"/>
      <c r="K94" s="317"/>
      <c r="L94" s="317"/>
      <c r="M94" s="317"/>
      <c r="N94" s="317"/>
      <c r="O94" s="317"/>
      <c r="P94" s="317"/>
      <c r="Q94" s="317"/>
      <c r="R94" s="317"/>
      <c r="S94" s="317"/>
      <c r="T94" s="317"/>
      <c r="U94" s="317"/>
      <c r="V94" s="317"/>
      <c r="W94" s="317"/>
      <c r="X94" s="317"/>
      <c r="Y94" s="317"/>
      <c r="Z94" s="317"/>
      <c r="AA94" s="317"/>
      <c r="AB94" s="317"/>
      <c r="AC94" s="317"/>
    </row>
    <row r="95">
      <c r="A95" s="317"/>
      <c r="B95" s="381"/>
      <c r="C95" s="317"/>
      <c r="D95" s="381"/>
      <c r="E95" s="381"/>
      <c r="F95" s="381"/>
      <c r="G95" s="317"/>
      <c r="H95" s="317"/>
      <c r="I95" s="317"/>
      <c r="J95" s="317"/>
      <c r="K95" s="317"/>
      <c r="L95" s="317"/>
      <c r="M95" s="317"/>
      <c r="N95" s="317"/>
      <c r="O95" s="317"/>
      <c r="P95" s="317"/>
      <c r="Q95" s="317"/>
      <c r="R95" s="317"/>
      <c r="S95" s="317"/>
      <c r="T95" s="317"/>
      <c r="U95" s="317"/>
      <c r="V95" s="317"/>
      <c r="W95" s="317"/>
      <c r="X95" s="317"/>
      <c r="Y95" s="317"/>
      <c r="Z95" s="317"/>
      <c r="AA95" s="317"/>
      <c r="AB95" s="317"/>
      <c r="AC95" s="317"/>
    </row>
    <row r="96">
      <c r="A96" s="317"/>
      <c r="B96" s="381"/>
      <c r="C96" s="317"/>
      <c r="D96" s="381"/>
      <c r="E96" s="381"/>
      <c r="F96" s="381"/>
      <c r="G96" s="317"/>
      <c r="H96" s="317"/>
      <c r="I96" s="317"/>
      <c r="J96" s="317"/>
      <c r="K96" s="317"/>
      <c r="L96" s="317"/>
      <c r="M96" s="317"/>
      <c r="N96" s="317"/>
      <c r="O96" s="317"/>
      <c r="P96" s="317"/>
      <c r="Q96" s="317"/>
      <c r="R96" s="317"/>
      <c r="S96" s="317"/>
      <c r="T96" s="317"/>
      <c r="U96" s="317"/>
      <c r="V96" s="317"/>
      <c r="W96" s="317"/>
      <c r="X96" s="317"/>
      <c r="Y96" s="317"/>
      <c r="Z96" s="317"/>
      <c r="AA96" s="317"/>
      <c r="AB96" s="317"/>
      <c r="AC96" s="317"/>
    </row>
    <row r="97">
      <c r="A97" s="317"/>
      <c r="B97" s="381"/>
      <c r="C97" s="317"/>
      <c r="D97" s="381"/>
      <c r="E97" s="381"/>
      <c r="F97" s="381"/>
      <c r="G97" s="317"/>
      <c r="H97" s="317"/>
      <c r="I97" s="317"/>
      <c r="J97" s="317"/>
      <c r="K97" s="317"/>
      <c r="L97" s="317"/>
      <c r="M97" s="317"/>
      <c r="N97" s="317"/>
      <c r="O97" s="317"/>
      <c r="P97" s="317"/>
      <c r="Q97" s="317"/>
      <c r="R97" s="317"/>
      <c r="S97" s="317"/>
      <c r="T97" s="317"/>
      <c r="U97" s="317"/>
      <c r="V97" s="317"/>
      <c r="W97" s="317"/>
      <c r="X97" s="317"/>
      <c r="Y97" s="317"/>
      <c r="Z97" s="317"/>
      <c r="AA97" s="317"/>
      <c r="AB97" s="317"/>
      <c r="AC97" s="317"/>
    </row>
    <row r="98">
      <c r="A98" s="317"/>
      <c r="B98" s="381"/>
      <c r="C98" s="317"/>
      <c r="D98" s="381"/>
      <c r="E98" s="381"/>
      <c r="F98" s="381"/>
      <c r="G98" s="317"/>
      <c r="H98" s="317"/>
      <c r="I98" s="317"/>
      <c r="J98" s="317"/>
      <c r="K98" s="317"/>
      <c r="L98" s="317"/>
      <c r="M98" s="317"/>
      <c r="N98" s="317"/>
      <c r="O98" s="317"/>
      <c r="P98" s="317"/>
      <c r="Q98" s="317"/>
      <c r="R98" s="317"/>
      <c r="S98" s="317"/>
      <c r="T98" s="317"/>
      <c r="U98" s="317"/>
      <c r="V98" s="317"/>
      <c r="W98" s="317"/>
      <c r="X98" s="317"/>
      <c r="Y98" s="317"/>
      <c r="Z98" s="317"/>
      <c r="AA98" s="317"/>
      <c r="AB98" s="317"/>
      <c r="AC98" s="317"/>
    </row>
    <row r="99">
      <c r="A99" s="317"/>
      <c r="B99" s="381"/>
      <c r="C99" s="317"/>
      <c r="D99" s="381"/>
      <c r="E99" s="381"/>
      <c r="F99" s="381"/>
      <c r="G99" s="317"/>
      <c r="H99" s="317"/>
      <c r="I99" s="317"/>
      <c r="J99" s="317"/>
      <c r="K99" s="317"/>
      <c r="L99" s="317"/>
      <c r="M99" s="317"/>
      <c r="N99" s="317"/>
      <c r="O99" s="317"/>
      <c r="P99" s="317"/>
      <c r="Q99" s="317"/>
      <c r="R99" s="317"/>
      <c r="S99" s="317"/>
      <c r="T99" s="317"/>
      <c r="U99" s="317"/>
      <c r="V99" s="317"/>
      <c r="W99" s="317"/>
      <c r="X99" s="317"/>
      <c r="Y99" s="317"/>
      <c r="Z99" s="317"/>
      <c r="AA99" s="317"/>
      <c r="AB99" s="317"/>
      <c r="AC99" s="317"/>
    </row>
    <row r="100">
      <c r="A100" s="317"/>
      <c r="B100" s="381"/>
      <c r="C100" s="317"/>
      <c r="D100" s="381"/>
      <c r="E100" s="381"/>
      <c r="F100" s="381"/>
      <c r="G100" s="317"/>
      <c r="H100" s="317"/>
      <c r="I100" s="317"/>
      <c r="J100" s="317"/>
      <c r="K100" s="317"/>
      <c r="L100" s="317"/>
      <c r="M100" s="317"/>
      <c r="N100" s="317"/>
      <c r="O100" s="317"/>
      <c r="P100" s="317"/>
      <c r="Q100" s="317"/>
      <c r="R100" s="317"/>
      <c r="S100" s="317"/>
      <c r="T100" s="317"/>
      <c r="U100" s="317"/>
      <c r="V100" s="317"/>
      <c r="W100" s="317"/>
      <c r="X100" s="317"/>
      <c r="Y100" s="317"/>
      <c r="Z100" s="317"/>
      <c r="AA100" s="317"/>
      <c r="AB100" s="317"/>
      <c r="AC100" s="317"/>
    </row>
    <row r="101">
      <c r="A101" s="317"/>
      <c r="B101" s="381"/>
      <c r="C101" s="317"/>
      <c r="D101" s="381"/>
      <c r="E101" s="381"/>
      <c r="F101" s="381"/>
      <c r="G101" s="317"/>
      <c r="H101" s="317"/>
      <c r="I101" s="317"/>
      <c r="J101" s="317"/>
      <c r="K101" s="317"/>
      <c r="L101" s="317"/>
      <c r="M101" s="317"/>
      <c r="N101" s="317"/>
      <c r="O101" s="317"/>
      <c r="P101" s="317"/>
      <c r="Q101" s="317"/>
      <c r="R101" s="317"/>
      <c r="S101" s="317"/>
      <c r="T101" s="317"/>
      <c r="U101" s="317"/>
      <c r="V101" s="317"/>
      <c r="W101" s="317"/>
      <c r="X101" s="317"/>
      <c r="Y101" s="317"/>
      <c r="Z101" s="317"/>
      <c r="AA101" s="317"/>
      <c r="AB101" s="317"/>
      <c r="AC101" s="317"/>
    </row>
    <row r="102">
      <c r="A102" s="317"/>
      <c r="B102" s="381"/>
      <c r="C102" s="317"/>
      <c r="D102" s="381"/>
      <c r="E102" s="381"/>
      <c r="F102" s="381"/>
      <c r="G102" s="317"/>
      <c r="H102" s="317"/>
      <c r="I102" s="317"/>
      <c r="J102" s="317"/>
      <c r="K102" s="317"/>
      <c r="L102" s="317"/>
      <c r="M102" s="317"/>
      <c r="N102" s="317"/>
      <c r="O102" s="317"/>
      <c r="P102" s="317"/>
      <c r="Q102" s="317"/>
      <c r="R102" s="317"/>
      <c r="S102" s="317"/>
      <c r="T102" s="317"/>
      <c r="U102" s="317"/>
      <c r="V102" s="317"/>
      <c r="W102" s="317"/>
      <c r="X102" s="317"/>
      <c r="Y102" s="317"/>
      <c r="Z102" s="317"/>
      <c r="AA102" s="317"/>
      <c r="AB102" s="317"/>
      <c r="AC102" s="317"/>
    </row>
    <row r="103">
      <c r="A103" s="317"/>
      <c r="B103" s="381"/>
      <c r="C103" s="317"/>
      <c r="D103" s="381"/>
      <c r="E103" s="381"/>
      <c r="F103" s="381"/>
      <c r="G103" s="317"/>
      <c r="H103" s="317"/>
      <c r="I103" s="317"/>
      <c r="J103" s="317"/>
      <c r="K103" s="317"/>
      <c r="L103" s="317"/>
      <c r="M103" s="317"/>
      <c r="N103" s="317"/>
      <c r="O103" s="317"/>
      <c r="P103" s="317"/>
      <c r="Q103" s="317"/>
      <c r="R103" s="317"/>
      <c r="S103" s="317"/>
      <c r="T103" s="317"/>
      <c r="U103" s="317"/>
      <c r="V103" s="317"/>
      <c r="W103" s="317"/>
      <c r="X103" s="317"/>
      <c r="Y103" s="317"/>
      <c r="Z103" s="317"/>
      <c r="AA103" s="317"/>
      <c r="AB103" s="317"/>
      <c r="AC103" s="317"/>
    </row>
    <row r="104">
      <c r="A104" s="317"/>
      <c r="B104" s="381"/>
      <c r="C104" s="317"/>
      <c r="D104" s="381"/>
      <c r="E104" s="381"/>
      <c r="F104" s="381"/>
      <c r="G104" s="317"/>
      <c r="H104" s="317"/>
      <c r="I104" s="317"/>
      <c r="J104" s="317"/>
      <c r="K104" s="317"/>
      <c r="L104" s="317"/>
      <c r="M104" s="317"/>
      <c r="N104" s="317"/>
      <c r="O104" s="317"/>
      <c r="P104" s="317"/>
      <c r="Q104" s="317"/>
      <c r="R104" s="317"/>
      <c r="S104" s="317"/>
      <c r="T104" s="317"/>
      <c r="U104" s="317"/>
      <c r="V104" s="317"/>
      <c r="W104" s="317"/>
      <c r="X104" s="317"/>
      <c r="Y104" s="317"/>
      <c r="Z104" s="317"/>
      <c r="AA104" s="317"/>
      <c r="AB104" s="317"/>
      <c r="AC104" s="317"/>
    </row>
    <row r="105">
      <c r="A105" s="317"/>
      <c r="B105" s="381"/>
      <c r="C105" s="317"/>
      <c r="D105" s="381"/>
      <c r="E105" s="381"/>
      <c r="F105" s="381"/>
      <c r="G105" s="317"/>
      <c r="H105" s="317"/>
      <c r="I105" s="317"/>
      <c r="J105" s="317"/>
      <c r="K105" s="317"/>
      <c r="L105" s="317"/>
      <c r="M105" s="317"/>
      <c r="N105" s="317"/>
      <c r="O105" s="317"/>
      <c r="P105" s="317"/>
      <c r="Q105" s="317"/>
      <c r="R105" s="317"/>
      <c r="S105" s="317"/>
      <c r="T105" s="317"/>
      <c r="U105" s="317"/>
      <c r="V105" s="317"/>
      <c r="W105" s="317"/>
      <c r="X105" s="317"/>
      <c r="Y105" s="317"/>
      <c r="Z105" s="317"/>
      <c r="AA105" s="317"/>
      <c r="AB105" s="317"/>
      <c r="AC105" s="317"/>
    </row>
    <row r="106">
      <c r="A106" s="317"/>
      <c r="B106" s="381"/>
      <c r="C106" s="317"/>
      <c r="D106" s="381"/>
      <c r="E106" s="381"/>
      <c r="F106" s="381"/>
      <c r="G106" s="317"/>
      <c r="H106" s="317"/>
      <c r="I106" s="317"/>
      <c r="J106" s="317"/>
      <c r="K106" s="317"/>
      <c r="L106" s="317"/>
      <c r="M106" s="317"/>
      <c r="N106" s="317"/>
      <c r="O106" s="317"/>
      <c r="P106" s="317"/>
      <c r="Q106" s="317"/>
      <c r="R106" s="317"/>
      <c r="S106" s="317"/>
      <c r="T106" s="317"/>
      <c r="U106" s="317"/>
      <c r="V106" s="317"/>
      <c r="W106" s="317"/>
      <c r="X106" s="317"/>
      <c r="Y106" s="317"/>
      <c r="Z106" s="317"/>
      <c r="AA106" s="317"/>
      <c r="AB106" s="317"/>
      <c r="AC106" s="317"/>
    </row>
    <row r="107">
      <c r="A107" s="317"/>
      <c r="B107" s="381"/>
      <c r="C107" s="317"/>
      <c r="D107" s="381"/>
      <c r="E107" s="381"/>
      <c r="F107" s="381"/>
      <c r="G107" s="317"/>
      <c r="H107" s="317"/>
      <c r="I107" s="317"/>
      <c r="J107" s="317"/>
      <c r="K107" s="317"/>
      <c r="L107" s="317"/>
      <c r="M107" s="317"/>
      <c r="N107" s="317"/>
      <c r="O107" s="317"/>
      <c r="P107" s="317"/>
      <c r="Q107" s="317"/>
      <c r="R107" s="317"/>
      <c r="S107" s="317"/>
      <c r="T107" s="317"/>
      <c r="U107" s="317"/>
      <c r="V107" s="317"/>
      <c r="W107" s="317"/>
      <c r="X107" s="317"/>
      <c r="Y107" s="317"/>
      <c r="Z107" s="317"/>
      <c r="AA107" s="317"/>
      <c r="AB107" s="317"/>
      <c r="AC107" s="317"/>
    </row>
    <row r="108">
      <c r="A108" s="317"/>
      <c r="B108" s="381"/>
      <c r="C108" s="317"/>
      <c r="D108" s="381"/>
      <c r="E108" s="381"/>
      <c r="F108" s="381"/>
      <c r="G108" s="317"/>
      <c r="H108" s="317"/>
      <c r="I108" s="317"/>
      <c r="J108" s="317"/>
      <c r="K108" s="317"/>
      <c r="L108" s="317"/>
      <c r="M108" s="317"/>
      <c r="N108" s="317"/>
      <c r="O108" s="317"/>
      <c r="P108" s="317"/>
      <c r="Q108" s="317"/>
      <c r="R108" s="317"/>
      <c r="S108" s="317"/>
      <c r="T108" s="317"/>
      <c r="U108" s="317"/>
      <c r="V108" s="317"/>
      <c r="W108" s="317"/>
      <c r="X108" s="317"/>
      <c r="Y108" s="317"/>
      <c r="Z108" s="317"/>
      <c r="AA108" s="317"/>
      <c r="AB108" s="317"/>
      <c r="AC108" s="317"/>
    </row>
    <row r="109">
      <c r="A109" s="317"/>
      <c r="B109" s="381"/>
      <c r="C109" s="317"/>
      <c r="D109" s="381"/>
      <c r="E109" s="381"/>
      <c r="F109" s="381"/>
      <c r="G109" s="317"/>
      <c r="H109" s="317"/>
      <c r="I109" s="317"/>
      <c r="J109" s="317"/>
      <c r="K109" s="317"/>
      <c r="L109" s="317"/>
      <c r="M109" s="317"/>
      <c r="N109" s="317"/>
      <c r="O109" s="317"/>
      <c r="P109" s="317"/>
      <c r="Q109" s="317"/>
      <c r="R109" s="317"/>
      <c r="S109" s="317"/>
      <c r="T109" s="317"/>
      <c r="U109" s="317"/>
      <c r="V109" s="317"/>
      <c r="W109" s="317"/>
      <c r="X109" s="317"/>
      <c r="Y109" s="317"/>
      <c r="Z109" s="317"/>
      <c r="AA109" s="317"/>
      <c r="AB109" s="317"/>
      <c r="AC109" s="317"/>
    </row>
    <row r="110">
      <c r="A110" s="317"/>
      <c r="B110" s="381"/>
      <c r="C110" s="317"/>
      <c r="D110" s="381"/>
      <c r="E110" s="381"/>
      <c r="F110" s="381"/>
      <c r="G110" s="317"/>
      <c r="H110" s="317"/>
      <c r="I110" s="317"/>
      <c r="J110" s="317"/>
      <c r="K110" s="317"/>
      <c r="L110" s="317"/>
      <c r="M110" s="317"/>
      <c r="N110" s="317"/>
      <c r="O110" s="317"/>
      <c r="P110" s="317"/>
      <c r="Q110" s="317"/>
      <c r="R110" s="317"/>
      <c r="S110" s="317"/>
      <c r="T110" s="317"/>
      <c r="U110" s="317"/>
      <c r="V110" s="317"/>
      <c r="W110" s="317"/>
      <c r="X110" s="317"/>
      <c r="Y110" s="317"/>
      <c r="Z110" s="317"/>
      <c r="AA110" s="317"/>
      <c r="AB110" s="317"/>
      <c r="AC110" s="317"/>
    </row>
    <row r="111">
      <c r="A111" s="317"/>
      <c r="B111" s="381"/>
      <c r="C111" s="317"/>
      <c r="D111" s="381"/>
      <c r="E111" s="381"/>
      <c r="F111" s="381"/>
      <c r="G111" s="317"/>
      <c r="H111" s="317"/>
      <c r="I111" s="317"/>
      <c r="J111" s="317"/>
      <c r="K111" s="317"/>
      <c r="L111" s="317"/>
      <c r="M111" s="317"/>
      <c r="N111" s="317"/>
      <c r="O111" s="317"/>
      <c r="P111" s="317"/>
      <c r="Q111" s="317"/>
      <c r="R111" s="317"/>
      <c r="S111" s="317"/>
      <c r="T111" s="317"/>
      <c r="U111" s="317"/>
      <c r="V111" s="317"/>
      <c r="W111" s="317"/>
      <c r="X111" s="317"/>
      <c r="Y111" s="317"/>
      <c r="Z111" s="317"/>
      <c r="AA111" s="317"/>
      <c r="AB111" s="317"/>
      <c r="AC111" s="317"/>
    </row>
    <row r="112">
      <c r="A112" s="317"/>
      <c r="B112" s="381"/>
      <c r="C112" s="317"/>
      <c r="D112" s="381"/>
      <c r="E112" s="381"/>
      <c r="F112" s="381"/>
      <c r="G112" s="317"/>
      <c r="H112" s="317"/>
      <c r="I112" s="317"/>
      <c r="J112" s="317"/>
      <c r="K112" s="317"/>
      <c r="L112" s="317"/>
      <c r="M112" s="317"/>
      <c r="N112" s="317"/>
      <c r="O112" s="317"/>
      <c r="P112" s="317"/>
      <c r="Q112" s="317"/>
      <c r="R112" s="317"/>
      <c r="S112" s="317"/>
      <c r="T112" s="317"/>
      <c r="U112" s="317"/>
      <c r="V112" s="317"/>
      <c r="W112" s="317"/>
      <c r="X112" s="317"/>
      <c r="Y112" s="317"/>
      <c r="Z112" s="317"/>
      <c r="AA112" s="317"/>
      <c r="AB112" s="317"/>
      <c r="AC112" s="317"/>
    </row>
    <row r="113">
      <c r="A113" s="317"/>
      <c r="B113" s="381"/>
      <c r="C113" s="317"/>
      <c r="D113" s="381"/>
      <c r="E113" s="381"/>
      <c r="F113" s="381"/>
      <c r="G113" s="317"/>
      <c r="H113" s="317"/>
      <c r="I113" s="317"/>
      <c r="J113" s="317"/>
      <c r="K113" s="317"/>
      <c r="L113" s="317"/>
      <c r="M113" s="317"/>
      <c r="N113" s="317"/>
      <c r="O113" s="317"/>
      <c r="P113" s="317"/>
      <c r="Q113" s="317"/>
      <c r="R113" s="317"/>
      <c r="S113" s="317"/>
      <c r="T113" s="317"/>
      <c r="U113" s="317"/>
      <c r="V113" s="317"/>
      <c r="W113" s="317"/>
      <c r="X113" s="317"/>
      <c r="Y113" s="317"/>
      <c r="Z113" s="317"/>
      <c r="AA113" s="317"/>
      <c r="AB113" s="317"/>
      <c r="AC113" s="317"/>
    </row>
    <row r="114">
      <c r="A114" s="317"/>
      <c r="B114" s="381"/>
      <c r="C114" s="317"/>
      <c r="D114" s="381"/>
      <c r="E114" s="381"/>
      <c r="F114" s="381"/>
      <c r="G114" s="317"/>
      <c r="H114" s="317"/>
      <c r="I114" s="317"/>
      <c r="J114" s="317"/>
      <c r="K114" s="317"/>
      <c r="L114" s="317"/>
      <c r="M114" s="317"/>
      <c r="N114" s="317"/>
      <c r="O114" s="317"/>
      <c r="P114" s="317"/>
      <c r="Q114" s="317"/>
      <c r="R114" s="317"/>
      <c r="S114" s="317"/>
      <c r="T114" s="317"/>
      <c r="U114" s="317"/>
      <c r="V114" s="317"/>
      <c r="W114" s="317"/>
      <c r="X114" s="317"/>
      <c r="Y114" s="317"/>
      <c r="Z114" s="317"/>
      <c r="AA114" s="317"/>
      <c r="AB114" s="317"/>
      <c r="AC114" s="317"/>
    </row>
    <row r="115">
      <c r="A115" s="317"/>
      <c r="B115" s="381"/>
      <c r="C115" s="317"/>
      <c r="D115" s="381"/>
      <c r="E115" s="381"/>
      <c r="F115" s="381"/>
      <c r="G115" s="317"/>
      <c r="H115" s="317"/>
      <c r="I115" s="317"/>
      <c r="J115" s="317"/>
      <c r="K115" s="317"/>
      <c r="L115" s="317"/>
      <c r="M115" s="317"/>
      <c r="N115" s="317"/>
      <c r="O115" s="317"/>
      <c r="P115" s="317"/>
      <c r="Q115" s="317"/>
      <c r="R115" s="317"/>
      <c r="S115" s="317"/>
      <c r="T115" s="317"/>
      <c r="U115" s="317"/>
      <c r="V115" s="317"/>
      <c r="W115" s="317"/>
      <c r="X115" s="317"/>
      <c r="Y115" s="317"/>
      <c r="Z115" s="317"/>
      <c r="AA115" s="317"/>
      <c r="AB115" s="317"/>
      <c r="AC115" s="317"/>
    </row>
    <row r="116">
      <c r="A116" s="317"/>
      <c r="B116" s="381"/>
      <c r="C116" s="317"/>
      <c r="D116" s="381"/>
      <c r="E116" s="381"/>
      <c r="F116" s="381"/>
      <c r="G116" s="317"/>
      <c r="H116" s="317"/>
      <c r="I116" s="317"/>
      <c r="J116" s="317"/>
      <c r="K116" s="317"/>
      <c r="L116" s="317"/>
      <c r="M116" s="317"/>
      <c r="N116" s="317"/>
      <c r="O116" s="317"/>
      <c r="P116" s="317"/>
      <c r="Q116" s="317"/>
      <c r="R116" s="317"/>
      <c r="S116" s="317"/>
      <c r="T116" s="317"/>
      <c r="U116" s="317"/>
      <c r="V116" s="317"/>
      <c r="W116" s="317"/>
      <c r="X116" s="317"/>
      <c r="Y116" s="317"/>
      <c r="Z116" s="317"/>
      <c r="AA116" s="317"/>
      <c r="AB116" s="317"/>
      <c r="AC116" s="317"/>
    </row>
    <row r="117">
      <c r="A117" s="317"/>
      <c r="B117" s="381"/>
      <c r="C117" s="317"/>
      <c r="D117" s="381"/>
      <c r="E117" s="381"/>
      <c r="F117" s="381"/>
      <c r="G117" s="317"/>
      <c r="H117" s="317"/>
      <c r="I117" s="317"/>
      <c r="J117" s="317"/>
      <c r="K117" s="317"/>
      <c r="L117" s="317"/>
      <c r="M117" s="317"/>
      <c r="N117" s="317"/>
      <c r="O117" s="317"/>
      <c r="P117" s="317"/>
      <c r="Q117" s="317"/>
      <c r="R117" s="317"/>
      <c r="S117" s="317"/>
      <c r="T117" s="317"/>
      <c r="U117" s="317"/>
      <c r="V117" s="317"/>
      <c r="W117" s="317"/>
      <c r="X117" s="317"/>
      <c r="Y117" s="317"/>
      <c r="Z117" s="317"/>
      <c r="AA117" s="317"/>
      <c r="AB117" s="317"/>
      <c r="AC117" s="317"/>
    </row>
    <row r="118">
      <c r="A118" s="317"/>
      <c r="B118" s="381"/>
      <c r="C118" s="317"/>
      <c r="D118" s="381"/>
      <c r="E118" s="381"/>
      <c r="F118" s="381"/>
      <c r="G118" s="317"/>
      <c r="H118" s="317"/>
      <c r="I118" s="317"/>
      <c r="J118" s="317"/>
      <c r="K118" s="317"/>
      <c r="L118" s="317"/>
      <c r="M118" s="317"/>
      <c r="N118" s="317"/>
      <c r="O118" s="317"/>
      <c r="P118" s="317"/>
      <c r="Q118" s="317"/>
      <c r="R118" s="317"/>
      <c r="S118" s="317"/>
      <c r="T118" s="317"/>
      <c r="U118" s="317"/>
      <c r="V118" s="317"/>
      <c r="W118" s="317"/>
      <c r="X118" s="317"/>
      <c r="Y118" s="317"/>
      <c r="Z118" s="317"/>
      <c r="AA118" s="317"/>
      <c r="AB118" s="317"/>
      <c r="AC118" s="317"/>
    </row>
    <row r="119">
      <c r="A119" s="317"/>
      <c r="B119" s="381"/>
      <c r="C119" s="317"/>
      <c r="D119" s="381"/>
      <c r="E119" s="381"/>
      <c r="F119" s="381"/>
      <c r="G119" s="317"/>
      <c r="H119" s="317"/>
      <c r="I119" s="317"/>
      <c r="J119" s="317"/>
      <c r="K119" s="317"/>
      <c r="L119" s="317"/>
      <c r="M119" s="317"/>
      <c r="N119" s="317"/>
      <c r="O119" s="317"/>
      <c r="P119" s="317"/>
      <c r="Q119" s="317"/>
      <c r="R119" s="317"/>
      <c r="S119" s="317"/>
      <c r="T119" s="317"/>
      <c r="U119" s="317"/>
      <c r="V119" s="317"/>
      <c r="W119" s="317"/>
      <c r="X119" s="317"/>
      <c r="Y119" s="317"/>
      <c r="Z119" s="317"/>
      <c r="AA119" s="317"/>
      <c r="AB119" s="317"/>
      <c r="AC119" s="317"/>
    </row>
    <row r="120">
      <c r="A120" s="317"/>
      <c r="B120" s="381"/>
      <c r="C120" s="317"/>
      <c r="D120" s="381"/>
      <c r="E120" s="381"/>
      <c r="F120" s="381"/>
      <c r="G120" s="317"/>
      <c r="H120" s="317"/>
      <c r="I120" s="317"/>
      <c r="J120" s="317"/>
      <c r="K120" s="317"/>
      <c r="L120" s="317"/>
      <c r="M120" s="317"/>
      <c r="N120" s="317"/>
      <c r="O120" s="317"/>
      <c r="P120" s="317"/>
      <c r="Q120" s="317"/>
      <c r="R120" s="317"/>
      <c r="S120" s="317"/>
      <c r="T120" s="317"/>
      <c r="U120" s="317"/>
      <c r="V120" s="317"/>
      <c r="W120" s="317"/>
      <c r="X120" s="317"/>
      <c r="Y120" s="317"/>
      <c r="Z120" s="317"/>
      <c r="AA120" s="317"/>
      <c r="AB120" s="317"/>
      <c r="AC120" s="317"/>
    </row>
    <row r="121">
      <c r="A121" s="317"/>
      <c r="B121" s="381"/>
      <c r="C121" s="317"/>
      <c r="D121" s="381"/>
      <c r="E121" s="381"/>
      <c r="F121" s="381"/>
      <c r="G121" s="317"/>
      <c r="H121" s="317"/>
      <c r="I121" s="317"/>
      <c r="J121" s="317"/>
      <c r="K121" s="317"/>
      <c r="L121" s="317"/>
      <c r="M121" s="317"/>
      <c r="N121" s="317"/>
      <c r="O121" s="317"/>
      <c r="P121" s="317"/>
      <c r="Q121" s="317"/>
      <c r="R121" s="317"/>
      <c r="S121" s="317"/>
      <c r="T121" s="317"/>
      <c r="U121" s="317"/>
      <c r="V121" s="317"/>
      <c r="W121" s="317"/>
      <c r="X121" s="317"/>
      <c r="Y121" s="317"/>
      <c r="Z121" s="317"/>
      <c r="AA121" s="317"/>
      <c r="AB121" s="317"/>
      <c r="AC121" s="317"/>
    </row>
    <row r="122">
      <c r="A122" s="317"/>
      <c r="B122" s="381"/>
      <c r="C122" s="317"/>
      <c r="D122" s="381"/>
      <c r="E122" s="381"/>
      <c r="F122" s="381"/>
      <c r="G122" s="317"/>
      <c r="H122" s="317"/>
      <c r="I122" s="317"/>
      <c r="J122" s="317"/>
      <c r="K122" s="317"/>
      <c r="L122" s="317"/>
      <c r="M122" s="317"/>
      <c r="N122" s="317"/>
      <c r="O122" s="317"/>
      <c r="P122" s="317"/>
      <c r="Q122" s="317"/>
      <c r="R122" s="317"/>
      <c r="S122" s="317"/>
      <c r="T122" s="317"/>
      <c r="U122" s="317"/>
      <c r="V122" s="317"/>
      <c r="W122" s="317"/>
      <c r="X122" s="317"/>
      <c r="Y122" s="317"/>
      <c r="Z122" s="317"/>
      <c r="AA122" s="317"/>
      <c r="AB122" s="317"/>
      <c r="AC122" s="317"/>
    </row>
    <row r="123">
      <c r="A123" s="317"/>
      <c r="B123" s="381"/>
      <c r="C123" s="317"/>
      <c r="D123" s="381"/>
      <c r="E123" s="381"/>
      <c r="F123" s="381"/>
      <c r="G123" s="317"/>
      <c r="H123" s="317"/>
      <c r="I123" s="317"/>
      <c r="J123" s="317"/>
      <c r="K123" s="317"/>
      <c r="L123" s="317"/>
      <c r="M123" s="317"/>
      <c r="N123" s="317"/>
      <c r="O123" s="317"/>
      <c r="P123" s="317"/>
      <c r="Q123" s="317"/>
      <c r="R123" s="317"/>
      <c r="S123" s="317"/>
      <c r="T123" s="317"/>
      <c r="U123" s="317"/>
      <c r="V123" s="317"/>
      <c r="W123" s="317"/>
      <c r="X123" s="317"/>
      <c r="Y123" s="317"/>
      <c r="Z123" s="317"/>
      <c r="AA123" s="317"/>
      <c r="AB123" s="317"/>
      <c r="AC123" s="317"/>
    </row>
    <row r="124">
      <c r="A124" s="317"/>
      <c r="B124" s="381"/>
      <c r="C124" s="317"/>
      <c r="D124" s="381"/>
      <c r="E124" s="381"/>
      <c r="F124" s="381"/>
      <c r="G124" s="317"/>
      <c r="H124" s="317"/>
      <c r="I124" s="317"/>
      <c r="J124" s="317"/>
      <c r="K124" s="317"/>
      <c r="L124" s="317"/>
      <c r="M124" s="317"/>
      <c r="N124" s="317"/>
      <c r="O124" s="317"/>
      <c r="P124" s="317"/>
      <c r="Q124" s="317"/>
      <c r="R124" s="317"/>
      <c r="S124" s="317"/>
      <c r="T124" s="317"/>
      <c r="U124" s="317"/>
      <c r="V124" s="317"/>
      <c r="W124" s="317"/>
      <c r="X124" s="317"/>
      <c r="Y124" s="317"/>
      <c r="Z124" s="317"/>
      <c r="AA124" s="317"/>
      <c r="AB124" s="317"/>
      <c r="AC124" s="317"/>
    </row>
    <row r="125">
      <c r="A125" s="317"/>
      <c r="B125" s="381"/>
      <c r="C125" s="317"/>
      <c r="D125" s="381"/>
      <c r="E125" s="381"/>
      <c r="F125" s="381"/>
      <c r="G125" s="317"/>
      <c r="H125" s="317"/>
      <c r="I125" s="317"/>
      <c r="J125" s="317"/>
      <c r="K125" s="317"/>
      <c r="L125" s="317"/>
      <c r="M125" s="317"/>
      <c r="N125" s="317"/>
      <c r="O125" s="317"/>
      <c r="P125" s="317"/>
      <c r="Q125" s="317"/>
      <c r="R125" s="317"/>
      <c r="S125" s="317"/>
      <c r="T125" s="317"/>
      <c r="U125" s="317"/>
      <c r="V125" s="317"/>
      <c r="W125" s="317"/>
      <c r="X125" s="317"/>
      <c r="Y125" s="317"/>
      <c r="Z125" s="317"/>
      <c r="AA125" s="317"/>
      <c r="AB125" s="317"/>
      <c r="AC125" s="317"/>
    </row>
    <row r="126">
      <c r="A126" s="317"/>
      <c r="B126" s="381"/>
      <c r="C126" s="317"/>
      <c r="D126" s="381"/>
      <c r="E126" s="381"/>
      <c r="F126" s="381"/>
      <c r="G126" s="317"/>
      <c r="H126" s="317"/>
      <c r="I126" s="317"/>
      <c r="J126" s="317"/>
      <c r="K126" s="317"/>
      <c r="L126" s="317"/>
      <c r="M126" s="317"/>
      <c r="N126" s="317"/>
      <c r="O126" s="317"/>
      <c r="P126" s="317"/>
      <c r="Q126" s="317"/>
      <c r="R126" s="317"/>
      <c r="S126" s="317"/>
      <c r="T126" s="317"/>
      <c r="U126" s="317"/>
      <c r="V126" s="317"/>
      <c r="W126" s="317"/>
      <c r="X126" s="317"/>
      <c r="Y126" s="317"/>
      <c r="Z126" s="317"/>
      <c r="AA126" s="317"/>
      <c r="AB126" s="317"/>
      <c r="AC126" s="317"/>
    </row>
    <row r="127">
      <c r="A127" s="317"/>
      <c r="B127" s="381"/>
      <c r="C127" s="317"/>
      <c r="D127" s="381"/>
      <c r="E127" s="381"/>
      <c r="F127" s="381"/>
      <c r="G127" s="317"/>
      <c r="H127" s="317"/>
      <c r="I127" s="317"/>
      <c r="J127" s="317"/>
      <c r="K127" s="317"/>
      <c r="L127" s="317"/>
      <c r="M127" s="317"/>
      <c r="N127" s="317"/>
      <c r="O127" s="317"/>
      <c r="P127" s="317"/>
      <c r="Q127" s="317"/>
      <c r="R127" s="317"/>
      <c r="S127" s="317"/>
      <c r="T127" s="317"/>
      <c r="U127" s="317"/>
      <c r="V127" s="317"/>
      <c r="W127" s="317"/>
      <c r="X127" s="317"/>
      <c r="Y127" s="317"/>
      <c r="Z127" s="317"/>
      <c r="AA127" s="317"/>
      <c r="AB127" s="317"/>
      <c r="AC127" s="317"/>
    </row>
    <row r="128">
      <c r="A128" s="317"/>
      <c r="B128" s="381"/>
      <c r="C128" s="317"/>
      <c r="D128" s="381"/>
      <c r="E128" s="381"/>
      <c r="F128" s="381"/>
      <c r="G128" s="317"/>
      <c r="H128" s="317"/>
      <c r="I128" s="317"/>
      <c r="J128" s="317"/>
      <c r="K128" s="317"/>
      <c r="L128" s="317"/>
      <c r="M128" s="317"/>
      <c r="N128" s="317"/>
      <c r="O128" s="317"/>
      <c r="P128" s="317"/>
      <c r="Q128" s="317"/>
      <c r="R128" s="317"/>
      <c r="S128" s="317"/>
      <c r="T128" s="317"/>
      <c r="U128" s="317"/>
      <c r="V128" s="317"/>
      <c r="W128" s="317"/>
      <c r="X128" s="317"/>
      <c r="Y128" s="317"/>
      <c r="Z128" s="317"/>
      <c r="AA128" s="317"/>
      <c r="AB128" s="317"/>
      <c r="AC128" s="317"/>
    </row>
    <row r="129">
      <c r="A129" s="317"/>
      <c r="B129" s="381"/>
      <c r="C129" s="317"/>
      <c r="D129" s="381"/>
      <c r="E129" s="381"/>
      <c r="F129" s="381"/>
      <c r="G129" s="317"/>
      <c r="H129" s="317"/>
      <c r="I129" s="317"/>
      <c r="J129" s="317"/>
      <c r="K129" s="317"/>
      <c r="L129" s="317"/>
      <c r="M129" s="317"/>
      <c r="N129" s="317"/>
      <c r="O129" s="317"/>
      <c r="P129" s="317"/>
      <c r="Q129" s="317"/>
      <c r="R129" s="317"/>
      <c r="S129" s="317"/>
      <c r="T129" s="317"/>
      <c r="U129" s="317"/>
      <c r="V129" s="317"/>
      <c r="W129" s="317"/>
      <c r="X129" s="317"/>
      <c r="Y129" s="317"/>
      <c r="Z129" s="317"/>
      <c r="AA129" s="317"/>
      <c r="AB129" s="317"/>
      <c r="AC129" s="317"/>
    </row>
    <row r="130">
      <c r="A130" s="317"/>
      <c r="B130" s="381"/>
      <c r="C130" s="317"/>
      <c r="D130" s="381"/>
      <c r="E130" s="381"/>
      <c r="F130" s="381"/>
      <c r="G130" s="317"/>
      <c r="H130" s="317"/>
      <c r="I130" s="317"/>
      <c r="J130" s="317"/>
      <c r="K130" s="317"/>
      <c r="L130" s="317"/>
      <c r="M130" s="317"/>
      <c r="N130" s="317"/>
      <c r="O130" s="317"/>
      <c r="P130" s="317"/>
      <c r="Q130" s="317"/>
      <c r="R130" s="317"/>
      <c r="S130" s="317"/>
      <c r="T130" s="317"/>
      <c r="U130" s="317"/>
      <c r="V130" s="317"/>
      <c r="W130" s="317"/>
      <c r="X130" s="317"/>
      <c r="Y130" s="317"/>
      <c r="Z130" s="317"/>
      <c r="AA130" s="317"/>
      <c r="AB130" s="317"/>
      <c r="AC130" s="317"/>
    </row>
    <row r="131">
      <c r="A131" s="317"/>
      <c r="B131" s="381"/>
      <c r="C131" s="317"/>
      <c r="D131" s="381"/>
      <c r="E131" s="381"/>
      <c r="F131" s="381"/>
      <c r="G131" s="317"/>
      <c r="H131" s="317"/>
      <c r="I131" s="317"/>
      <c r="J131" s="317"/>
      <c r="K131" s="317"/>
      <c r="L131" s="317"/>
      <c r="M131" s="317"/>
      <c r="N131" s="317"/>
      <c r="O131" s="317"/>
      <c r="P131" s="317"/>
      <c r="Q131" s="317"/>
      <c r="R131" s="317"/>
      <c r="S131" s="317"/>
      <c r="T131" s="317"/>
      <c r="U131" s="317"/>
      <c r="V131" s="317"/>
      <c r="W131" s="317"/>
      <c r="X131" s="317"/>
      <c r="Y131" s="317"/>
      <c r="Z131" s="317"/>
      <c r="AA131" s="317"/>
      <c r="AB131" s="317"/>
      <c r="AC131" s="317"/>
    </row>
    <row r="132">
      <c r="A132" s="317"/>
      <c r="B132" s="381"/>
      <c r="C132" s="317"/>
      <c r="D132" s="381"/>
      <c r="E132" s="381"/>
      <c r="F132" s="381"/>
      <c r="G132" s="317"/>
      <c r="H132" s="317"/>
      <c r="I132" s="317"/>
      <c r="J132" s="317"/>
      <c r="K132" s="317"/>
      <c r="L132" s="317"/>
      <c r="M132" s="317"/>
      <c r="N132" s="317"/>
      <c r="O132" s="317"/>
      <c r="P132" s="317"/>
      <c r="Q132" s="317"/>
      <c r="R132" s="317"/>
      <c r="S132" s="317"/>
      <c r="T132" s="317"/>
      <c r="U132" s="317"/>
      <c r="V132" s="317"/>
      <c r="W132" s="317"/>
      <c r="X132" s="317"/>
      <c r="Y132" s="317"/>
      <c r="Z132" s="317"/>
      <c r="AA132" s="317"/>
      <c r="AB132" s="317"/>
      <c r="AC132" s="317"/>
    </row>
    <row r="133">
      <c r="A133" s="317"/>
      <c r="B133" s="381"/>
      <c r="C133" s="317"/>
      <c r="D133" s="381"/>
      <c r="E133" s="381"/>
      <c r="F133" s="381"/>
      <c r="G133" s="317"/>
      <c r="H133" s="317"/>
      <c r="I133" s="317"/>
      <c r="J133" s="317"/>
      <c r="K133" s="317"/>
      <c r="L133" s="317"/>
      <c r="M133" s="317"/>
      <c r="N133" s="317"/>
      <c r="O133" s="317"/>
      <c r="P133" s="317"/>
      <c r="Q133" s="317"/>
      <c r="R133" s="317"/>
      <c r="S133" s="317"/>
      <c r="T133" s="317"/>
      <c r="U133" s="317"/>
      <c r="V133" s="317"/>
      <c r="W133" s="317"/>
      <c r="X133" s="317"/>
      <c r="Y133" s="317"/>
      <c r="Z133" s="317"/>
      <c r="AA133" s="317"/>
      <c r="AB133" s="317"/>
      <c r="AC133" s="317"/>
    </row>
    <row r="134">
      <c r="A134" s="317"/>
      <c r="B134" s="381"/>
      <c r="C134" s="317"/>
      <c r="D134" s="381"/>
      <c r="E134" s="381"/>
      <c r="F134" s="381"/>
      <c r="G134" s="317"/>
      <c r="H134" s="317"/>
      <c r="I134" s="317"/>
      <c r="J134" s="317"/>
      <c r="K134" s="317"/>
      <c r="L134" s="317"/>
      <c r="M134" s="317"/>
      <c r="N134" s="317"/>
      <c r="O134" s="317"/>
      <c r="P134" s="317"/>
      <c r="Q134" s="317"/>
      <c r="R134" s="317"/>
      <c r="S134" s="317"/>
      <c r="T134" s="317"/>
      <c r="U134" s="317"/>
      <c r="V134" s="317"/>
      <c r="W134" s="317"/>
      <c r="X134" s="317"/>
      <c r="Y134" s="317"/>
      <c r="Z134" s="317"/>
      <c r="AA134" s="317"/>
      <c r="AB134" s="317"/>
      <c r="AC134" s="317"/>
    </row>
    <row r="135">
      <c r="A135" s="317"/>
      <c r="B135" s="381"/>
      <c r="C135" s="317"/>
      <c r="D135" s="381"/>
      <c r="E135" s="381"/>
      <c r="F135" s="381"/>
      <c r="G135" s="317"/>
      <c r="H135" s="317"/>
      <c r="I135" s="317"/>
      <c r="J135" s="317"/>
      <c r="K135" s="317"/>
      <c r="L135" s="317"/>
      <c r="M135" s="317"/>
      <c r="N135" s="317"/>
      <c r="O135" s="317"/>
      <c r="P135" s="317"/>
      <c r="Q135" s="317"/>
      <c r="R135" s="317"/>
      <c r="S135" s="317"/>
      <c r="T135" s="317"/>
      <c r="U135" s="317"/>
      <c r="V135" s="317"/>
      <c r="W135" s="317"/>
      <c r="X135" s="317"/>
      <c r="Y135" s="317"/>
      <c r="Z135" s="317"/>
      <c r="AA135" s="317"/>
      <c r="AB135" s="317"/>
      <c r="AC135" s="317"/>
    </row>
    <row r="136">
      <c r="A136" s="317"/>
      <c r="B136" s="381"/>
      <c r="C136" s="317"/>
      <c r="D136" s="381"/>
      <c r="E136" s="381"/>
      <c r="F136" s="381"/>
      <c r="G136" s="317"/>
      <c r="H136" s="317"/>
      <c r="I136" s="317"/>
      <c r="J136" s="317"/>
      <c r="K136" s="317"/>
      <c r="L136" s="317"/>
      <c r="M136" s="317"/>
      <c r="N136" s="317"/>
      <c r="O136" s="317"/>
      <c r="P136" s="317"/>
      <c r="Q136" s="317"/>
      <c r="R136" s="317"/>
      <c r="S136" s="317"/>
      <c r="T136" s="317"/>
      <c r="U136" s="317"/>
      <c r="V136" s="317"/>
      <c r="W136" s="317"/>
      <c r="X136" s="317"/>
      <c r="Y136" s="317"/>
      <c r="Z136" s="317"/>
      <c r="AA136" s="317"/>
      <c r="AB136" s="317"/>
      <c r="AC136" s="317"/>
    </row>
    <row r="137">
      <c r="A137" s="317"/>
      <c r="B137" s="381"/>
      <c r="C137" s="317"/>
      <c r="D137" s="381"/>
      <c r="E137" s="381"/>
      <c r="F137" s="381"/>
      <c r="G137" s="317"/>
      <c r="H137" s="317"/>
      <c r="I137" s="317"/>
      <c r="J137" s="317"/>
      <c r="K137" s="317"/>
      <c r="L137" s="317"/>
      <c r="M137" s="317"/>
      <c r="N137" s="317"/>
      <c r="O137" s="317"/>
      <c r="P137" s="317"/>
      <c r="Q137" s="317"/>
      <c r="R137" s="317"/>
      <c r="S137" s="317"/>
      <c r="T137" s="317"/>
      <c r="U137" s="317"/>
      <c r="V137" s="317"/>
      <c r="W137" s="317"/>
      <c r="X137" s="317"/>
      <c r="Y137" s="317"/>
      <c r="Z137" s="317"/>
      <c r="AA137" s="317"/>
      <c r="AB137" s="317"/>
      <c r="AC137" s="317"/>
    </row>
    <row r="138">
      <c r="A138" s="317"/>
      <c r="B138" s="381"/>
      <c r="C138" s="317"/>
      <c r="D138" s="381"/>
      <c r="E138" s="381"/>
      <c r="F138" s="381"/>
      <c r="G138" s="317"/>
      <c r="H138" s="317"/>
      <c r="I138" s="317"/>
      <c r="J138" s="317"/>
      <c r="K138" s="317"/>
      <c r="L138" s="317"/>
      <c r="M138" s="317"/>
      <c r="N138" s="317"/>
      <c r="O138" s="317"/>
      <c r="P138" s="317"/>
      <c r="Q138" s="317"/>
      <c r="R138" s="317"/>
      <c r="S138" s="317"/>
      <c r="T138" s="317"/>
      <c r="U138" s="317"/>
      <c r="V138" s="317"/>
      <c r="W138" s="317"/>
      <c r="X138" s="317"/>
      <c r="Y138" s="317"/>
      <c r="Z138" s="317"/>
      <c r="AA138" s="317"/>
      <c r="AB138" s="317"/>
      <c r="AC138" s="317"/>
    </row>
    <row r="139">
      <c r="A139" s="317"/>
      <c r="B139" s="381"/>
      <c r="C139" s="317"/>
      <c r="D139" s="381"/>
      <c r="E139" s="381"/>
      <c r="F139" s="381"/>
      <c r="G139" s="317"/>
      <c r="H139" s="317"/>
      <c r="I139" s="317"/>
      <c r="J139" s="317"/>
      <c r="K139" s="317"/>
      <c r="L139" s="317"/>
      <c r="M139" s="317"/>
      <c r="N139" s="317"/>
      <c r="O139" s="317"/>
      <c r="P139" s="317"/>
      <c r="Q139" s="317"/>
      <c r="R139" s="317"/>
      <c r="S139" s="317"/>
      <c r="T139" s="317"/>
      <c r="U139" s="317"/>
      <c r="V139" s="317"/>
      <c r="W139" s="317"/>
      <c r="X139" s="317"/>
      <c r="Y139" s="317"/>
      <c r="Z139" s="317"/>
      <c r="AA139" s="317"/>
      <c r="AB139" s="317"/>
      <c r="AC139" s="317"/>
    </row>
    <row r="140">
      <c r="A140" s="317"/>
      <c r="B140" s="381"/>
      <c r="C140" s="317"/>
      <c r="D140" s="381"/>
      <c r="E140" s="381"/>
      <c r="F140" s="381"/>
      <c r="G140" s="317"/>
      <c r="H140" s="317"/>
      <c r="I140" s="317"/>
      <c r="J140" s="317"/>
      <c r="K140" s="317"/>
      <c r="L140" s="317"/>
      <c r="M140" s="317"/>
      <c r="N140" s="317"/>
      <c r="O140" s="317"/>
      <c r="P140" s="317"/>
      <c r="Q140" s="317"/>
      <c r="R140" s="317"/>
      <c r="S140" s="317"/>
      <c r="T140" s="317"/>
      <c r="U140" s="317"/>
      <c r="V140" s="317"/>
      <c r="W140" s="317"/>
      <c r="X140" s="317"/>
      <c r="Y140" s="317"/>
      <c r="Z140" s="317"/>
      <c r="AA140" s="317"/>
      <c r="AB140" s="317"/>
      <c r="AC140" s="317"/>
    </row>
    <row r="141">
      <c r="A141" s="317"/>
      <c r="B141" s="381"/>
      <c r="C141" s="317"/>
      <c r="D141" s="381"/>
      <c r="E141" s="381"/>
      <c r="F141" s="381"/>
      <c r="G141" s="317"/>
      <c r="H141" s="317"/>
      <c r="I141" s="317"/>
      <c r="J141" s="317"/>
      <c r="K141" s="317"/>
      <c r="L141" s="317"/>
      <c r="M141" s="317"/>
      <c r="N141" s="317"/>
      <c r="O141" s="317"/>
      <c r="P141" s="317"/>
      <c r="Q141" s="317"/>
      <c r="R141" s="317"/>
      <c r="S141" s="317"/>
      <c r="T141" s="317"/>
      <c r="U141" s="317"/>
      <c r="V141" s="317"/>
      <c r="W141" s="317"/>
      <c r="X141" s="317"/>
      <c r="Y141" s="317"/>
      <c r="Z141" s="317"/>
      <c r="AA141" s="317"/>
      <c r="AB141" s="317"/>
      <c r="AC141" s="317"/>
    </row>
    <row r="142">
      <c r="A142" s="317"/>
      <c r="B142" s="381"/>
      <c r="C142" s="317"/>
      <c r="D142" s="381"/>
      <c r="E142" s="381"/>
      <c r="F142" s="381"/>
      <c r="G142" s="317"/>
      <c r="H142" s="317"/>
      <c r="I142" s="317"/>
      <c r="J142" s="317"/>
      <c r="K142" s="317"/>
      <c r="L142" s="317"/>
      <c r="M142" s="317"/>
      <c r="N142" s="317"/>
      <c r="O142" s="317"/>
      <c r="P142" s="317"/>
      <c r="Q142" s="317"/>
      <c r="R142" s="317"/>
      <c r="S142" s="317"/>
      <c r="T142" s="317"/>
      <c r="U142" s="317"/>
      <c r="V142" s="317"/>
      <c r="W142" s="317"/>
      <c r="X142" s="317"/>
      <c r="Y142" s="317"/>
      <c r="Z142" s="317"/>
      <c r="AA142" s="317"/>
      <c r="AB142" s="317"/>
      <c r="AC142" s="317"/>
    </row>
    <row r="143">
      <c r="A143" s="317"/>
      <c r="B143" s="381"/>
      <c r="C143" s="317"/>
      <c r="D143" s="381"/>
      <c r="E143" s="381"/>
      <c r="F143" s="381"/>
      <c r="G143" s="317"/>
      <c r="H143" s="317"/>
      <c r="I143" s="317"/>
      <c r="J143" s="317"/>
      <c r="K143" s="317"/>
      <c r="L143" s="317"/>
      <c r="M143" s="317"/>
      <c r="N143" s="317"/>
      <c r="O143" s="317"/>
      <c r="P143" s="317"/>
      <c r="Q143" s="317"/>
      <c r="R143" s="317"/>
      <c r="S143" s="317"/>
      <c r="T143" s="317"/>
      <c r="U143" s="317"/>
      <c r="V143" s="317"/>
      <c r="W143" s="317"/>
      <c r="X143" s="317"/>
      <c r="Y143" s="317"/>
      <c r="Z143" s="317"/>
      <c r="AA143" s="317"/>
      <c r="AB143" s="317"/>
      <c r="AC143" s="317"/>
    </row>
    <row r="144">
      <c r="A144" s="317"/>
      <c r="B144" s="381"/>
      <c r="C144" s="317"/>
      <c r="D144" s="381"/>
      <c r="E144" s="381"/>
      <c r="F144" s="381"/>
      <c r="G144" s="317"/>
      <c r="H144" s="317"/>
      <c r="I144" s="317"/>
      <c r="J144" s="317"/>
      <c r="K144" s="317"/>
      <c r="L144" s="317"/>
      <c r="M144" s="317"/>
      <c r="N144" s="317"/>
      <c r="O144" s="317"/>
      <c r="P144" s="317"/>
      <c r="Q144" s="317"/>
      <c r="R144" s="317"/>
      <c r="S144" s="317"/>
      <c r="T144" s="317"/>
      <c r="U144" s="317"/>
      <c r="V144" s="317"/>
      <c r="W144" s="317"/>
      <c r="X144" s="317"/>
      <c r="Y144" s="317"/>
      <c r="Z144" s="317"/>
      <c r="AA144" s="317"/>
      <c r="AB144" s="317"/>
      <c r="AC144" s="317"/>
    </row>
    <row r="145">
      <c r="A145" s="317"/>
      <c r="B145" s="381"/>
      <c r="C145" s="317"/>
      <c r="D145" s="381"/>
      <c r="E145" s="381"/>
      <c r="F145" s="381"/>
      <c r="G145" s="317"/>
      <c r="H145" s="317"/>
      <c r="I145" s="317"/>
      <c r="J145" s="317"/>
      <c r="K145" s="317"/>
      <c r="L145" s="317"/>
      <c r="M145" s="317"/>
      <c r="N145" s="317"/>
      <c r="O145" s="317"/>
      <c r="P145" s="317"/>
      <c r="Q145" s="317"/>
      <c r="R145" s="317"/>
      <c r="S145" s="317"/>
      <c r="T145" s="317"/>
      <c r="U145" s="317"/>
      <c r="V145" s="317"/>
      <c r="W145" s="317"/>
      <c r="X145" s="317"/>
      <c r="Y145" s="317"/>
      <c r="Z145" s="317"/>
      <c r="AA145" s="317"/>
      <c r="AB145" s="317"/>
      <c r="AC145" s="317"/>
    </row>
    <row r="146">
      <c r="A146" s="317"/>
      <c r="B146" s="381"/>
      <c r="C146" s="317"/>
      <c r="D146" s="381"/>
      <c r="E146" s="381"/>
      <c r="F146" s="381"/>
      <c r="G146" s="317"/>
      <c r="H146" s="317"/>
      <c r="I146" s="317"/>
      <c r="J146" s="317"/>
      <c r="K146" s="317"/>
      <c r="L146" s="317"/>
      <c r="M146" s="317"/>
      <c r="N146" s="317"/>
      <c r="O146" s="317"/>
      <c r="P146" s="317"/>
      <c r="Q146" s="317"/>
      <c r="R146" s="317"/>
      <c r="S146" s="317"/>
      <c r="T146" s="317"/>
      <c r="U146" s="317"/>
      <c r="V146" s="317"/>
      <c r="W146" s="317"/>
      <c r="X146" s="317"/>
      <c r="Y146" s="317"/>
      <c r="Z146" s="317"/>
      <c r="AA146" s="317"/>
      <c r="AB146" s="317"/>
      <c r="AC146" s="317"/>
    </row>
    <row r="147">
      <c r="A147" s="317"/>
      <c r="B147" s="381"/>
      <c r="C147" s="317"/>
      <c r="D147" s="381"/>
      <c r="E147" s="381"/>
      <c r="F147" s="381"/>
      <c r="G147" s="317"/>
      <c r="H147" s="317"/>
      <c r="I147" s="317"/>
      <c r="J147" s="317"/>
      <c r="K147" s="317"/>
      <c r="L147" s="317"/>
      <c r="M147" s="317"/>
      <c r="N147" s="317"/>
      <c r="O147" s="317"/>
      <c r="P147" s="317"/>
      <c r="Q147" s="317"/>
      <c r="R147" s="317"/>
      <c r="S147" s="317"/>
      <c r="T147" s="317"/>
      <c r="U147" s="317"/>
      <c r="V147" s="317"/>
      <c r="W147" s="317"/>
      <c r="X147" s="317"/>
      <c r="Y147" s="317"/>
      <c r="Z147" s="317"/>
      <c r="AA147" s="317"/>
      <c r="AB147" s="317"/>
      <c r="AC147" s="317"/>
    </row>
    <row r="148">
      <c r="A148" s="317"/>
      <c r="B148" s="381"/>
      <c r="C148" s="317"/>
      <c r="D148" s="381"/>
      <c r="E148" s="381"/>
      <c r="F148" s="381"/>
      <c r="G148" s="317"/>
      <c r="H148" s="317"/>
      <c r="I148" s="317"/>
      <c r="J148" s="317"/>
      <c r="K148" s="317"/>
      <c r="L148" s="317"/>
      <c r="M148" s="317"/>
      <c r="N148" s="317"/>
      <c r="O148" s="317"/>
      <c r="P148" s="317"/>
      <c r="Q148" s="317"/>
      <c r="R148" s="317"/>
      <c r="S148" s="317"/>
      <c r="T148" s="317"/>
      <c r="U148" s="317"/>
      <c r="V148" s="317"/>
      <c r="W148" s="317"/>
      <c r="X148" s="317"/>
      <c r="Y148" s="317"/>
      <c r="Z148" s="317"/>
      <c r="AA148" s="317"/>
      <c r="AB148" s="317"/>
      <c r="AC148" s="317"/>
    </row>
    <row r="149">
      <c r="A149" s="317"/>
      <c r="B149" s="381"/>
      <c r="C149" s="317"/>
      <c r="D149" s="381"/>
      <c r="E149" s="381"/>
      <c r="F149" s="381"/>
      <c r="G149" s="317"/>
      <c r="H149" s="317"/>
      <c r="I149" s="317"/>
      <c r="J149" s="317"/>
      <c r="K149" s="317"/>
      <c r="L149" s="317"/>
      <c r="M149" s="317"/>
      <c r="N149" s="317"/>
      <c r="O149" s="317"/>
      <c r="P149" s="317"/>
      <c r="Q149" s="317"/>
      <c r="R149" s="317"/>
      <c r="S149" s="317"/>
      <c r="T149" s="317"/>
      <c r="U149" s="317"/>
      <c r="V149" s="317"/>
      <c r="W149" s="317"/>
      <c r="X149" s="317"/>
      <c r="Y149" s="317"/>
      <c r="Z149" s="317"/>
      <c r="AA149" s="317"/>
      <c r="AB149" s="317"/>
      <c r="AC149" s="317"/>
    </row>
    <row r="150">
      <c r="A150" s="317"/>
      <c r="B150" s="381"/>
      <c r="C150" s="317"/>
      <c r="D150" s="381"/>
      <c r="E150" s="381"/>
      <c r="F150" s="381"/>
      <c r="G150" s="317"/>
      <c r="H150" s="317"/>
      <c r="I150" s="317"/>
      <c r="J150" s="317"/>
      <c r="K150" s="317"/>
      <c r="L150" s="317"/>
      <c r="M150" s="317"/>
      <c r="N150" s="317"/>
      <c r="O150" s="317"/>
      <c r="P150" s="317"/>
      <c r="Q150" s="317"/>
      <c r="R150" s="317"/>
      <c r="S150" s="317"/>
      <c r="T150" s="317"/>
      <c r="U150" s="317"/>
      <c r="V150" s="317"/>
      <c r="W150" s="317"/>
      <c r="X150" s="317"/>
      <c r="Y150" s="317"/>
      <c r="Z150" s="317"/>
      <c r="AA150" s="317"/>
      <c r="AB150" s="317"/>
      <c r="AC150" s="317"/>
    </row>
    <row r="151">
      <c r="A151" s="317"/>
      <c r="B151" s="381"/>
      <c r="C151" s="317"/>
      <c r="D151" s="381"/>
      <c r="E151" s="381"/>
      <c r="F151" s="381"/>
      <c r="G151" s="317"/>
      <c r="H151" s="317"/>
      <c r="I151" s="317"/>
      <c r="J151" s="317"/>
      <c r="K151" s="317"/>
      <c r="L151" s="317"/>
      <c r="M151" s="317"/>
      <c r="N151" s="317"/>
      <c r="O151" s="317"/>
      <c r="P151" s="317"/>
      <c r="Q151" s="317"/>
      <c r="R151" s="317"/>
      <c r="S151" s="317"/>
      <c r="T151" s="317"/>
      <c r="U151" s="317"/>
      <c r="V151" s="317"/>
      <c r="W151" s="317"/>
      <c r="X151" s="317"/>
      <c r="Y151" s="317"/>
      <c r="Z151" s="317"/>
      <c r="AA151" s="317"/>
      <c r="AB151" s="317"/>
      <c r="AC151" s="317"/>
    </row>
    <row r="152">
      <c r="A152" s="317"/>
      <c r="B152" s="381"/>
      <c r="C152" s="317"/>
      <c r="D152" s="381"/>
      <c r="E152" s="381"/>
      <c r="F152" s="381"/>
      <c r="G152" s="317"/>
      <c r="H152" s="317"/>
      <c r="I152" s="317"/>
      <c r="J152" s="317"/>
      <c r="K152" s="317"/>
      <c r="L152" s="317"/>
      <c r="M152" s="317"/>
      <c r="N152" s="317"/>
      <c r="O152" s="317"/>
      <c r="P152" s="317"/>
      <c r="Q152" s="317"/>
      <c r="R152" s="317"/>
      <c r="S152" s="317"/>
      <c r="T152" s="317"/>
      <c r="U152" s="317"/>
      <c r="V152" s="317"/>
      <c r="W152" s="317"/>
      <c r="X152" s="317"/>
      <c r="Y152" s="317"/>
      <c r="Z152" s="317"/>
      <c r="AA152" s="317"/>
      <c r="AB152" s="317"/>
      <c r="AC152" s="317"/>
    </row>
    <row r="153">
      <c r="A153" s="317"/>
      <c r="B153" s="381"/>
      <c r="C153" s="317"/>
      <c r="D153" s="381"/>
      <c r="E153" s="381"/>
      <c r="F153" s="381"/>
      <c r="G153" s="317"/>
      <c r="H153" s="317"/>
      <c r="I153" s="317"/>
      <c r="J153" s="317"/>
      <c r="K153" s="317"/>
      <c r="L153" s="317"/>
      <c r="M153" s="317"/>
      <c r="N153" s="317"/>
      <c r="O153" s="317"/>
      <c r="P153" s="317"/>
      <c r="Q153" s="317"/>
      <c r="R153" s="317"/>
      <c r="S153" s="317"/>
      <c r="T153" s="317"/>
      <c r="U153" s="317"/>
      <c r="V153" s="317"/>
      <c r="W153" s="317"/>
      <c r="X153" s="317"/>
      <c r="Y153" s="317"/>
      <c r="Z153" s="317"/>
      <c r="AA153" s="317"/>
      <c r="AB153" s="317"/>
      <c r="AC153" s="317"/>
    </row>
    <row r="154">
      <c r="A154" s="317"/>
      <c r="B154" s="381"/>
      <c r="C154" s="317"/>
      <c r="D154" s="381"/>
      <c r="E154" s="381"/>
      <c r="F154" s="381"/>
      <c r="G154" s="317"/>
      <c r="H154" s="317"/>
      <c r="I154" s="317"/>
      <c r="J154" s="317"/>
      <c r="K154" s="317"/>
      <c r="L154" s="317"/>
      <c r="M154" s="317"/>
      <c r="N154" s="317"/>
      <c r="O154" s="317"/>
      <c r="P154" s="317"/>
      <c r="Q154" s="317"/>
      <c r="R154" s="317"/>
      <c r="S154" s="317"/>
      <c r="T154" s="317"/>
      <c r="U154" s="317"/>
      <c r="V154" s="317"/>
      <c r="W154" s="317"/>
      <c r="X154" s="317"/>
      <c r="Y154" s="317"/>
      <c r="Z154" s="317"/>
      <c r="AA154" s="317"/>
      <c r="AB154" s="317"/>
      <c r="AC154" s="317"/>
    </row>
    <row r="155">
      <c r="A155" s="317"/>
      <c r="B155" s="381"/>
      <c r="C155" s="317"/>
      <c r="D155" s="381"/>
      <c r="E155" s="381"/>
      <c r="F155" s="381"/>
      <c r="G155" s="317"/>
      <c r="H155" s="317"/>
      <c r="I155" s="317"/>
      <c r="J155" s="317"/>
      <c r="K155" s="317"/>
      <c r="L155" s="317"/>
      <c r="M155" s="317"/>
      <c r="N155" s="317"/>
      <c r="O155" s="317"/>
      <c r="P155" s="317"/>
      <c r="Q155" s="317"/>
      <c r="R155" s="317"/>
      <c r="S155" s="317"/>
      <c r="T155" s="317"/>
      <c r="U155" s="317"/>
      <c r="V155" s="317"/>
      <c r="W155" s="317"/>
      <c r="X155" s="317"/>
      <c r="Y155" s="317"/>
      <c r="Z155" s="317"/>
      <c r="AA155" s="317"/>
      <c r="AB155" s="317"/>
      <c r="AC155" s="317"/>
    </row>
    <row r="156">
      <c r="A156" s="317"/>
      <c r="B156" s="381"/>
      <c r="C156" s="317"/>
      <c r="D156" s="381"/>
      <c r="E156" s="381"/>
      <c r="F156" s="381"/>
      <c r="G156" s="317"/>
      <c r="H156" s="317"/>
      <c r="I156" s="317"/>
      <c r="J156" s="317"/>
      <c r="K156" s="317"/>
      <c r="L156" s="317"/>
      <c r="M156" s="317"/>
      <c r="N156" s="317"/>
      <c r="O156" s="317"/>
      <c r="P156" s="317"/>
      <c r="Q156" s="317"/>
      <c r="R156" s="317"/>
      <c r="S156" s="317"/>
      <c r="T156" s="317"/>
      <c r="U156" s="317"/>
      <c r="V156" s="317"/>
      <c r="W156" s="317"/>
      <c r="X156" s="317"/>
      <c r="Y156" s="317"/>
      <c r="Z156" s="317"/>
      <c r="AA156" s="317"/>
      <c r="AB156" s="317"/>
      <c r="AC156" s="317"/>
    </row>
    <row r="157">
      <c r="A157" s="317"/>
      <c r="B157" s="381"/>
      <c r="C157" s="317"/>
      <c r="D157" s="381"/>
      <c r="E157" s="381"/>
      <c r="F157" s="381"/>
      <c r="G157" s="317"/>
      <c r="H157" s="317"/>
      <c r="I157" s="317"/>
      <c r="J157" s="317"/>
      <c r="K157" s="317"/>
      <c r="L157" s="317"/>
      <c r="M157" s="317"/>
      <c r="N157" s="317"/>
      <c r="O157" s="317"/>
      <c r="P157" s="317"/>
      <c r="Q157" s="317"/>
      <c r="R157" s="317"/>
      <c r="S157" s="317"/>
      <c r="T157" s="317"/>
      <c r="U157" s="317"/>
      <c r="V157" s="317"/>
      <c r="W157" s="317"/>
      <c r="X157" s="317"/>
      <c r="Y157" s="317"/>
      <c r="Z157" s="317"/>
      <c r="AA157" s="317"/>
      <c r="AB157" s="317"/>
      <c r="AC157" s="317"/>
    </row>
    <row r="158">
      <c r="A158" s="317"/>
      <c r="B158" s="381"/>
      <c r="C158" s="317"/>
      <c r="D158" s="381"/>
      <c r="E158" s="381"/>
      <c r="F158" s="381"/>
      <c r="G158" s="317"/>
      <c r="H158" s="317"/>
      <c r="I158" s="317"/>
      <c r="J158" s="317"/>
      <c r="K158" s="317"/>
      <c r="L158" s="317"/>
      <c r="M158" s="317"/>
      <c r="N158" s="317"/>
      <c r="O158" s="317"/>
      <c r="P158" s="317"/>
      <c r="Q158" s="317"/>
      <c r="R158" s="317"/>
      <c r="S158" s="317"/>
      <c r="T158" s="317"/>
      <c r="U158" s="317"/>
      <c r="V158" s="317"/>
      <c r="W158" s="317"/>
      <c r="X158" s="317"/>
      <c r="Y158" s="317"/>
      <c r="Z158" s="317"/>
      <c r="AA158" s="317"/>
      <c r="AB158" s="317"/>
      <c r="AC158" s="317"/>
    </row>
    <row r="159">
      <c r="A159" s="317"/>
      <c r="B159" s="381"/>
      <c r="C159" s="317"/>
      <c r="D159" s="381"/>
      <c r="E159" s="381"/>
      <c r="F159" s="381"/>
      <c r="G159" s="317"/>
      <c r="H159" s="317"/>
      <c r="I159" s="317"/>
      <c r="J159" s="317"/>
      <c r="K159" s="317"/>
      <c r="L159" s="317"/>
      <c r="M159" s="317"/>
      <c r="N159" s="317"/>
      <c r="O159" s="317"/>
      <c r="P159" s="317"/>
      <c r="Q159" s="317"/>
      <c r="R159" s="317"/>
      <c r="S159" s="317"/>
      <c r="T159" s="317"/>
      <c r="U159" s="317"/>
      <c r="V159" s="317"/>
      <c r="W159" s="317"/>
      <c r="X159" s="317"/>
      <c r="Y159" s="317"/>
      <c r="Z159" s="317"/>
      <c r="AA159" s="317"/>
      <c r="AB159" s="317"/>
      <c r="AC159" s="317"/>
    </row>
    <row r="160">
      <c r="A160" s="317"/>
      <c r="B160" s="381"/>
      <c r="C160" s="317"/>
      <c r="D160" s="381"/>
      <c r="E160" s="381"/>
      <c r="F160" s="381"/>
      <c r="G160" s="317"/>
      <c r="H160" s="317"/>
      <c r="I160" s="317"/>
      <c r="J160" s="317"/>
      <c r="K160" s="317"/>
      <c r="L160" s="317"/>
      <c r="M160" s="317"/>
      <c r="N160" s="317"/>
      <c r="O160" s="317"/>
      <c r="P160" s="317"/>
      <c r="Q160" s="317"/>
      <c r="R160" s="317"/>
      <c r="S160" s="317"/>
      <c r="T160" s="317"/>
      <c r="U160" s="317"/>
      <c r="V160" s="317"/>
      <c r="W160" s="317"/>
      <c r="X160" s="317"/>
      <c r="Y160" s="317"/>
      <c r="Z160" s="317"/>
      <c r="AA160" s="317"/>
      <c r="AB160" s="317"/>
      <c r="AC160" s="317"/>
    </row>
    <row r="161">
      <c r="A161" s="317"/>
      <c r="B161" s="381"/>
      <c r="C161" s="317"/>
      <c r="D161" s="381"/>
      <c r="E161" s="381"/>
      <c r="F161" s="381"/>
      <c r="G161" s="317"/>
      <c r="H161" s="317"/>
      <c r="I161" s="317"/>
      <c r="J161" s="317"/>
      <c r="K161" s="317"/>
      <c r="L161" s="317"/>
      <c r="M161" s="317"/>
      <c r="N161" s="317"/>
      <c r="O161" s="317"/>
      <c r="P161" s="317"/>
      <c r="Q161" s="317"/>
      <c r="R161" s="317"/>
      <c r="S161" s="317"/>
      <c r="T161" s="317"/>
      <c r="U161" s="317"/>
      <c r="V161" s="317"/>
      <c r="W161" s="317"/>
      <c r="X161" s="317"/>
      <c r="Y161" s="317"/>
      <c r="Z161" s="317"/>
      <c r="AA161" s="317"/>
      <c r="AB161" s="317"/>
      <c r="AC161" s="317"/>
    </row>
    <row r="162">
      <c r="A162" s="317"/>
      <c r="B162" s="381"/>
      <c r="C162" s="317"/>
      <c r="D162" s="381"/>
      <c r="E162" s="381"/>
      <c r="F162" s="381"/>
      <c r="G162" s="317"/>
      <c r="H162" s="317"/>
      <c r="I162" s="317"/>
      <c r="J162" s="317"/>
      <c r="K162" s="317"/>
      <c r="L162" s="317"/>
      <c r="M162" s="317"/>
      <c r="N162" s="317"/>
      <c r="O162" s="317"/>
      <c r="P162" s="317"/>
      <c r="Q162" s="317"/>
      <c r="R162" s="317"/>
      <c r="S162" s="317"/>
      <c r="T162" s="317"/>
      <c r="U162" s="317"/>
      <c r="V162" s="317"/>
      <c r="W162" s="317"/>
      <c r="X162" s="317"/>
      <c r="Y162" s="317"/>
      <c r="Z162" s="317"/>
      <c r="AA162" s="317"/>
      <c r="AB162" s="317"/>
      <c r="AC162" s="317"/>
    </row>
    <row r="163">
      <c r="A163" s="317"/>
      <c r="B163" s="381"/>
      <c r="C163" s="317"/>
      <c r="D163" s="381"/>
      <c r="E163" s="381"/>
      <c r="F163" s="381"/>
      <c r="G163" s="317"/>
      <c r="H163" s="317"/>
      <c r="I163" s="317"/>
      <c r="J163" s="317"/>
      <c r="K163" s="317"/>
      <c r="L163" s="317"/>
      <c r="M163" s="317"/>
      <c r="N163" s="317"/>
      <c r="O163" s="317"/>
      <c r="P163" s="317"/>
      <c r="Q163" s="317"/>
      <c r="R163" s="317"/>
      <c r="S163" s="317"/>
      <c r="T163" s="317"/>
      <c r="U163" s="317"/>
      <c r="V163" s="317"/>
      <c r="W163" s="317"/>
      <c r="X163" s="317"/>
      <c r="Y163" s="317"/>
      <c r="Z163" s="317"/>
      <c r="AA163" s="317"/>
      <c r="AB163" s="317"/>
      <c r="AC163" s="317"/>
    </row>
    <row r="164">
      <c r="A164" s="317"/>
      <c r="B164" s="381"/>
      <c r="C164" s="317"/>
      <c r="D164" s="381"/>
      <c r="E164" s="381"/>
      <c r="F164" s="381"/>
      <c r="G164" s="317"/>
      <c r="H164" s="317"/>
      <c r="I164" s="317"/>
      <c r="J164" s="317"/>
      <c r="K164" s="317"/>
      <c r="L164" s="317"/>
      <c r="M164" s="317"/>
      <c r="N164" s="317"/>
      <c r="O164" s="317"/>
      <c r="P164" s="317"/>
      <c r="Q164" s="317"/>
      <c r="R164" s="317"/>
      <c r="S164" s="317"/>
      <c r="T164" s="317"/>
      <c r="U164" s="317"/>
      <c r="V164" s="317"/>
      <c r="W164" s="317"/>
      <c r="X164" s="317"/>
      <c r="Y164" s="317"/>
      <c r="Z164" s="317"/>
      <c r="AA164" s="317"/>
      <c r="AB164" s="317"/>
      <c r="AC164" s="317"/>
    </row>
    <row r="165">
      <c r="A165" s="317"/>
      <c r="B165" s="381"/>
      <c r="C165" s="317"/>
      <c r="D165" s="381"/>
      <c r="E165" s="381"/>
      <c r="F165" s="381"/>
      <c r="G165" s="317"/>
      <c r="H165" s="317"/>
      <c r="I165" s="317"/>
      <c r="J165" s="317"/>
      <c r="K165" s="317"/>
      <c r="L165" s="317"/>
      <c r="M165" s="317"/>
      <c r="N165" s="317"/>
      <c r="O165" s="317"/>
      <c r="P165" s="317"/>
      <c r="Q165" s="317"/>
      <c r="R165" s="317"/>
      <c r="S165" s="317"/>
      <c r="T165" s="317"/>
      <c r="U165" s="317"/>
      <c r="V165" s="317"/>
      <c r="W165" s="317"/>
      <c r="X165" s="317"/>
      <c r="Y165" s="317"/>
      <c r="Z165" s="317"/>
      <c r="AA165" s="317"/>
      <c r="AB165" s="317"/>
      <c r="AC165" s="317"/>
    </row>
    <row r="166">
      <c r="A166" s="317"/>
      <c r="B166" s="381"/>
      <c r="C166" s="317"/>
      <c r="D166" s="381"/>
      <c r="E166" s="381"/>
      <c r="F166" s="381"/>
      <c r="G166" s="317"/>
      <c r="H166" s="317"/>
      <c r="I166" s="317"/>
      <c r="J166" s="317"/>
      <c r="K166" s="317"/>
      <c r="L166" s="317"/>
      <c r="M166" s="317"/>
      <c r="N166" s="317"/>
      <c r="O166" s="317"/>
      <c r="P166" s="317"/>
      <c r="Q166" s="317"/>
      <c r="R166" s="317"/>
      <c r="S166" s="317"/>
      <c r="T166" s="317"/>
      <c r="U166" s="317"/>
      <c r="V166" s="317"/>
      <c r="W166" s="317"/>
      <c r="X166" s="317"/>
      <c r="Y166" s="317"/>
      <c r="Z166" s="317"/>
      <c r="AA166" s="317"/>
      <c r="AB166" s="317"/>
      <c r="AC166" s="317"/>
    </row>
    <row r="167">
      <c r="A167" s="317"/>
      <c r="B167" s="381"/>
      <c r="C167" s="317"/>
      <c r="D167" s="381"/>
      <c r="E167" s="381"/>
      <c r="F167" s="381"/>
      <c r="G167" s="317"/>
      <c r="H167" s="317"/>
      <c r="I167" s="317"/>
      <c r="J167" s="317"/>
      <c r="K167" s="317"/>
      <c r="L167" s="317"/>
      <c r="M167" s="317"/>
      <c r="N167" s="317"/>
      <c r="O167" s="317"/>
      <c r="P167" s="317"/>
      <c r="Q167" s="317"/>
      <c r="R167" s="317"/>
      <c r="S167" s="317"/>
      <c r="T167" s="317"/>
      <c r="U167" s="317"/>
      <c r="V167" s="317"/>
      <c r="W167" s="317"/>
      <c r="X167" s="317"/>
      <c r="Y167" s="317"/>
      <c r="Z167" s="317"/>
      <c r="AA167" s="317"/>
      <c r="AB167" s="317"/>
      <c r="AC167" s="317"/>
    </row>
    <row r="168">
      <c r="A168" s="317"/>
      <c r="B168" s="381"/>
      <c r="C168" s="317"/>
      <c r="D168" s="381"/>
      <c r="E168" s="381"/>
      <c r="F168" s="381"/>
      <c r="G168" s="317"/>
      <c r="H168" s="317"/>
      <c r="I168" s="317"/>
      <c r="J168" s="317"/>
      <c r="K168" s="317"/>
      <c r="L168" s="317"/>
      <c r="M168" s="317"/>
      <c r="N168" s="317"/>
      <c r="O168" s="317"/>
      <c r="P168" s="317"/>
      <c r="Q168" s="317"/>
      <c r="R168" s="317"/>
      <c r="S168" s="317"/>
      <c r="T168" s="317"/>
      <c r="U168" s="317"/>
      <c r="V168" s="317"/>
      <c r="W168" s="317"/>
      <c r="X168" s="317"/>
      <c r="Y168" s="317"/>
      <c r="Z168" s="317"/>
      <c r="AA168" s="317"/>
      <c r="AB168" s="317"/>
      <c r="AC168" s="317"/>
    </row>
    <row r="169">
      <c r="A169" s="317"/>
      <c r="B169" s="381"/>
      <c r="C169" s="317"/>
      <c r="D169" s="381"/>
      <c r="E169" s="381"/>
      <c r="F169" s="381"/>
      <c r="G169" s="317"/>
      <c r="H169" s="317"/>
      <c r="I169" s="317"/>
      <c r="J169" s="317"/>
      <c r="K169" s="317"/>
      <c r="L169" s="317"/>
      <c r="M169" s="317"/>
      <c r="N169" s="317"/>
      <c r="O169" s="317"/>
      <c r="P169" s="317"/>
      <c r="Q169" s="317"/>
      <c r="R169" s="317"/>
      <c r="S169" s="317"/>
      <c r="T169" s="317"/>
      <c r="U169" s="317"/>
      <c r="V169" s="317"/>
      <c r="W169" s="317"/>
      <c r="X169" s="317"/>
      <c r="Y169" s="317"/>
      <c r="Z169" s="317"/>
      <c r="AA169" s="317"/>
      <c r="AB169" s="317"/>
      <c r="AC169" s="317"/>
    </row>
    <row r="170">
      <c r="A170" s="317"/>
      <c r="B170" s="381"/>
      <c r="C170" s="317"/>
      <c r="D170" s="381"/>
      <c r="E170" s="381"/>
      <c r="F170" s="381"/>
      <c r="G170" s="317"/>
      <c r="H170" s="317"/>
      <c r="I170" s="317"/>
      <c r="J170" s="317"/>
      <c r="K170" s="317"/>
      <c r="L170" s="317"/>
      <c r="M170" s="317"/>
      <c r="N170" s="317"/>
      <c r="O170" s="317"/>
      <c r="P170" s="317"/>
      <c r="Q170" s="317"/>
      <c r="R170" s="317"/>
      <c r="S170" s="317"/>
      <c r="T170" s="317"/>
      <c r="U170" s="317"/>
      <c r="V170" s="317"/>
      <c r="W170" s="317"/>
      <c r="X170" s="317"/>
      <c r="Y170" s="317"/>
      <c r="Z170" s="317"/>
      <c r="AA170" s="317"/>
      <c r="AB170" s="317"/>
      <c r="AC170" s="317"/>
    </row>
    <row r="171">
      <c r="A171" s="317"/>
      <c r="B171" s="381"/>
      <c r="C171" s="317"/>
      <c r="D171" s="381"/>
      <c r="E171" s="381"/>
      <c r="F171" s="381"/>
      <c r="G171" s="317"/>
      <c r="H171" s="317"/>
      <c r="I171" s="317"/>
      <c r="J171" s="317"/>
      <c r="K171" s="317"/>
      <c r="L171" s="317"/>
      <c r="M171" s="317"/>
      <c r="N171" s="317"/>
      <c r="O171" s="317"/>
      <c r="P171" s="317"/>
      <c r="Q171" s="317"/>
      <c r="R171" s="317"/>
      <c r="S171" s="317"/>
      <c r="T171" s="317"/>
      <c r="U171" s="317"/>
      <c r="V171" s="317"/>
      <c r="W171" s="317"/>
      <c r="X171" s="317"/>
      <c r="Y171" s="317"/>
      <c r="Z171" s="317"/>
      <c r="AA171" s="317"/>
      <c r="AB171" s="317"/>
      <c r="AC171" s="317"/>
    </row>
    <row r="172">
      <c r="A172" s="317"/>
      <c r="B172" s="381"/>
      <c r="C172" s="317"/>
      <c r="D172" s="381"/>
      <c r="E172" s="381"/>
      <c r="F172" s="381"/>
      <c r="G172" s="317"/>
      <c r="H172" s="317"/>
      <c r="I172" s="317"/>
      <c r="J172" s="317"/>
      <c r="K172" s="317"/>
      <c r="L172" s="317"/>
      <c r="M172" s="317"/>
      <c r="N172" s="317"/>
      <c r="O172" s="317"/>
      <c r="P172" s="317"/>
      <c r="Q172" s="317"/>
      <c r="R172" s="317"/>
      <c r="S172" s="317"/>
      <c r="T172" s="317"/>
      <c r="U172" s="317"/>
      <c r="V172" s="317"/>
      <c r="W172" s="317"/>
      <c r="X172" s="317"/>
      <c r="Y172" s="317"/>
      <c r="Z172" s="317"/>
      <c r="AA172" s="317"/>
      <c r="AB172" s="317"/>
      <c r="AC172" s="317"/>
    </row>
    <row r="173">
      <c r="A173" s="317"/>
      <c r="B173" s="381"/>
      <c r="C173" s="317"/>
      <c r="D173" s="381"/>
      <c r="E173" s="381"/>
      <c r="F173" s="381"/>
      <c r="G173" s="317"/>
      <c r="H173" s="317"/>
      <c r="I173" s="317"/>
      <c r="J173" s="317"/>
      <c r="K173" s="317"/>
      <c r="L173" s="317"/>
      <c r="M173" s="317"/>
      <c r="N173" s="317"/>
      <c r="O173" s="317"/>
      <c r="P173" s="317"/>
      <c r="Q173" s="317"/>
      <c r="R173" s="317"/>
      <c r="S173" s="317"/>
      <c r="T173" s="317"/>
      <c r="U173" s="317"/>
      <c r="V173" s="317"/>
      <c r="W173" s="317"/>
      <c r="X173" s="317"/>
      <c r="Y173" s="317"/>
      <c r="Z173" s="317"/>
      <c r="AA173" s="317"/>
      <c r="AB173" s="317"/>
      <c r="AC173" s="317"/>
    </row>
    <row r="174">
      <c r="A174" s="317"/>
      <c r="B174" s="381"/>
      <c r="C174" s="317"/>
      <c r="D174" s="381"/>
      <c r="E174" s="381"/>
      <c r="F174" s="381"/>
      <c r="G174" s="317"/>
      <c r="H174" s="317"/>
      <c r="I174" s="317"/>
      <c r="J174" s="317"/>
      <c r="K174" s="317"/>
      <c r="L174" s="317"/>
      <c r="M174" s="317"/>
      <c r="N174" s="317"/>
      <c r="O174" s="317"/>
      <c r="P174" s="317"/>
      <c r="Q174" s="317"/>
      <c r="R174" s="317"/>
      <c r="S174" s="317"/>
      <c r="T174" s="317"/>
      <c r="U174" s="317"/>
      <c r="V174" s="317"/>
      <c r="W174" s="317"/>
      <c r="X174" s="317"/>
      <c r="Y174" s="317"/>
      <c r="Z174" s="317"/>
      <c r="AA174" s="317"/>
      <c r="AB174" s="317"/>
      <c r="AC174" s="317"/>
    </row>
    <row r="175">
      <c r="A175" s="317"/>
      <c r="B175" s="381"/>
      <c r="C175" s="317"/>
      <c r="D175" s="381"/>
      <c r="E175" s="381"/>
      <c r="F175" s="381"/>
      <c r="G175" s="317"/>
      <c r="H175" s="317"/>
      <c r="I175" s="317"/>
      <c r="J175" s="317"/>
      <c r="K175" s="317"/>
      <c r="L175" s="317"/>
      <c r="M175" s="317"/>
      <c r="N175" s="317"/>
      <c r="O175" s="317"/>
      <c r="P175" s="317"/>
      <c r="Q175" s="317"/>
      <c r="R175" s="317"/>
      <c r="S175" s="317"/>
      <c r="T175" s="317"/>
      <c r="U175" s="317"/>
      <c r="V175" s="317"/>
      <c r="W175" s="317"/>
      <c r="X175" s="317"/>
      <c r="Y175" s="317"/>
      <c r="Z175" s="317"/>
      <c r="AA175" s="317"/>
      <c r="AB175" s="317"/>
      <c r="AC175" s="317"/>
    </row>
    <row r="176">
      <c r="A176" s="317"/>
      <c r="B176" s="381"/>
      <c r="C176" s="317"/>
      <c r="D176" s="381"/>
      <c r="E176" s="381"/>
      <c r="F176" s="381"/>
      <c r="G176" s="317"/>
      <c r="H176" s="317"/>
      <c r="I176" s="317"/>
      <c r="J176" s="317"/>
      <c r="K176" s="317"/>
      <c r="L176" s="317"/>
      <c r="M176" s="317"/>
      <c r="N176" s="317"/>
      <c r="O176" s="317"/>
      <c r="P176" s="317"/>
      <c r="Q176" s="317"/>
      <c r="R176" s="317"/>
      <c r="S176" s="317"/>
      <c r="T176" s="317"/>
      <c r="U176" s="317"/>
      <c r="V176" s="317"/>
      <c r="W176" s="317"/>
      <c r="X176" s="317"/>
      <c r="Y176" s="317"/>
      <c r="Z176" s="317"/>
      <c r="AA176" s="317"/>
      <c r="AB176" s="317"/>
      <c r="AC176" s="317"/>
    </row>
    <row r="177">
      <c r="A177" s="317"/>
      <c r="B177" s="381"/>
      <c r="C177" s="317"/>
      <c r="D177" s="381"/>
      <c r="E177" s="381"/>
      <c r="F177" s="381"/>
      <c r="G177" s="317"/>
      <c r="H177" s="317"/>
      <c r="I177" s="317"/>
      <c r="J177" s="317"/>
      <c r="K177" s="317"/>
      <c r="L177" s="317"/>
      <c r="M177" s="317"/>
      <c r="N177" s="317"/>
      <c r="O177" s="317"/>
      <c r="P177" s="317"/>
      <c r="Q177" s="317"/>
      <c r="R177" s="317"/>
      <c r="S177" s="317"/>
      <c r="T177" s="317"/>
      <c r="U177" s="317"/>
      <c r="V177" s="317"/>
      <c r="W177" s="317"/>
      <c r="X177" s="317"/>
      <c r="Y177" s="317"/>
      <c r="Z177" s="317"/>
      <c r="AA177" s="317"/>
      <c r="AB177" s="317"/>
      <c r="AC177" s="317"/>
    </row>
    <row r="178">
      <c r="A178" s="317"/>
      <c r="B178" s="381"/>
      <c r="C178" s="317"/>
      <c r="D178" s="381"/>
      <c r="E178" s="381"/>
      <c r="F178" s="381"/>
      <c r="G178" s="317"/>
      <c r="H178" s="317"/>
      <c r="I178" s="317"/>
      <c r="J178" s="317"/>
      <c r="K178" s="317"/>
      <c r="L178" s="317"/>
      <c r="M178" s="317"/>
      <c r="N178" s="317"/>
      <c r="O178" s="317"/>
      <c r="P178" s="317"/>
      <c r="Q178" s="317"/>
      <c r="R178" s="317"/>
      <c r="S178" s="317"/>
      <c r="T178" s="317"/>
      <c r="U178" s="317"/>
      <c r="V178" s="317"/>
      <c r="W178" s="317"/>
      <c r="X178" s="317"/>
      <c r="Y178" s="317"/>
      <c r="Z178" s="317"/>
      <c r="AA178" s="317"/>
      <c r="AB178" s="317"/>
      <c r="AC178" s="317"/>
    </row>
    <row r="179">
      <c r="A179" s="317"/>
      <c r="B179" s="381"/>
      <c r="C179" s="317"/>
      <c r="D179" s="381"/>
      <c r="E179" s="381"/>
      <c r="F179" s="381"/>
      <c r="G179" s="317"/>
      <c r="H179" s="317"/>
      <c r="I179" s="317"/>
      <c r="J179" s="317"/>
      <c r="K179" s="317"/>
      <c r="L179" s="317"/>
      <c r="M179" s="317"/>
      <c r="N179" s="317"/>
      <c r="O179" s="317"/>
      <c r="P179" s="317"/>
      <c r="Q179" s="317"/>
      <c r="R179" s="317"/>
      <c r="S179" s="317"/>
      <c r="T179" s="317"/>
      <c r="U179" s="317"/>
      <c r="V179" s="317"/>
      <c r="W179" s="317"/>
      <c r="X179" s="317"/>
      <c r="Y179" s="317"/>
      <c r="Z179" s="317"/>
      <c r="AA179" s="317"/>
      <c r="AB179" s="317"/>
      <c r="AC179" s="317"/>
    </row>
    <row r="180">
      <c r="A180" s="317"/>
      <c r="B180" s="381"/>
      <c r="C180" s="317"/>
      <c r="D180" s="381"/>
      <c r="E180" s="381"/>
      <c r="F180" s="381"/>
      <c r="G180" s="317"/>
      <c r="H180" s="317"/>
      <c r="I180" s="317"/>
      <c r="J180" s="317"/>
      <c r="K180" s="317"/>
      <c r="L180" s="317"/>
      <c r="M180" s="317"/>
      <c r="N180" s="317"/>
      <c r="O180" s="317"/>
      <c r="P180" s="317"/>
      <c r="Q180" s="317"/>
      <c r="R180" s="317"/>
      <c r="S180" s="317"/>
      <c r="T180" s="317"/>
      <c r="U180" s="317"/>
      <c r="V180" s="317"/>
      <c r="W180" s="317"/>
      <c r="X180" s="317"/>
      <c r="Y180" s="317"/>
      <c r="Z180" s="317"/>
      <c r="AA180" s="317"/>
      <c r="AB180" s="317"/>
      <c r="AC180" s="317"/>
    </row>
    <row r="181">
      <c r="A181" s="317"/>
      <c r="B181" s="381"/>
      <c r="C181" s="317"/>
      <c r="D181" s="381"/>
      <c r="E181" s="381"/>
      <c r="F181" s="381"/>
      <c r="G181" s="317"/>
      <c r="H181" s="317"/>
      <c r="I181" s="317"/>
      <c r="J181" s="317"/>
      <c r="K181" s="317"/>
      <c r="L181" s="317"/>
      <c r="M181" s="317"/>
      <c r="N181" s="317"/>
      <c r="O181" s="317"/>
      <c r="P181" s="317"/>
      <c r="Q181" s="317"/>
      <c r="R181" s="317"/>
      <c r="S181" s="317"/>
      <c r="T181" s="317"/>
      <c r="U181" s="317"/>
      <c r="V181" s="317"/>
      <c r="W181" s="317"/>
      <c r="X181" s="317"/>
      <c r="Y181" s="317"/>
      <c r="Z181" s="317"/>
      <c r="AA181" s="317"/>
      <c r="AB181" s="317"/>
      <c r="AC181" s="317"/>
    </row>
    <row r="182">
      <c r="A182" s="317"/>
      <c r="B182" s="381"/>
      <c r="C182" s="317"/>
      <c r="D182" s="381"/>
      <c r="E182" s="381"/>
      <c r="F182" s="381"/>
      <c r="G182" s="317"/>
      <c r="H182" s="317"/>
      <c r="I182" s="317"/>
      <c r="J182" s="317"/>
      <c r="K182" s="317"/>
      <c r="L182" s="317"/>
      <c r="M182" s="317"/>
      <c r="N182" s="317"/>
      <c r="O182" s="317"/>
      <c r="P182" s="317"/>
      <c r="Q182" s="317"/>
      <c r="R182" s="317"/>
      <c r="S182" s="317"/>
      <c r="T182" s="317"/>
      <c r="U182" s="317"/>
      <c r="V182" s="317"/>
      <c r="W182" s="317"/>
      <c r="X182" s="317"/>
      <c r="Y182" s="317"/>
      <c r="Z182" s="317"/>
      <c r="AA182" s="317"/>
      <c r="AB182" s="317"/>
      <c r="AC182" s="317"/>
    </row>
    <row r="183">
      <c r="A183" s="317"/>
      <c r="B183" s="381"/>
      <c r="C183" s="317"/>
      <c r="D183" s="381"/>
      <c r="E183" s="381"/>
      <c r="F183" s="381"/>
      <c r="G183" s="317"/>
      <c r="H183" s="317"/>
      <c r="I183" s="317"/>
      <c r="J183" s="317"/>
      <c r="K183" s="317"/>
      <c r="L183" s="317"/>
      <c r="M183" s="317"/>
      <c r="N183" s="317"/>
      <c r="O183" s="317"/>
      <c r="P183" s="317"/>
      <c r="Q183" s="317"/>
      <c r="R183" s="317"/>
      <c r="S183" s="317"/>
      <c r="T183" s="317"/>
      <c r="U183" s="317"/>
      <c r="V183" s="317"/>
      <c r="W183" s="317"/>
      <c r="X183" s="317"/>
      <c r="Y183" s="317"/>
      <c r="Z183" s="317"/>
      <c r="AA183" s="317"/>
      <c r="AB183" s="317"/>
      <c r="AC183" s="317"/>
    </row>
    <row r="184">
      <c r="A184" s="317"/>
      <c r="B184" s="381"/>
      <c r="C184" s="317"/>
      <c r="D184" s="381"/>
      <c r="E184" s="381"/>
      <c r="F184" s="381"/>
      <c r="G184" s="317"/>
      <c r="H184" s="317"/>
      <c r="I184" s="317"/>
      <c r="J184" s="317"/>
      <c r="K184" s="317"/>
      <c r="L184" s="317"/>
      <c r="M184" s="317"/>
      <c r="N184" s="317"/>
      <c r="O184" s="317"/>
      <c r="P184" s="317"/>
      <c r="Q184" s="317"/>
      <c r="R184" s="317"/>
      <c r="S184" s="317"/>
      <c r="T184" s="317"/>
      <c r="U184" s="317"/>
      <c r="V184" s="317"/>
      <c r="W184" s="317"/>
      <c r="X184" s="317"/>
      <c r="Y184" s="317"/>
      <c r="Z184" s="317"/>
      <c r="AA184" s="317"/>
      <c r="AB184" s="317"/>
      <c r="AC184" s="317"/>
    </row>
    <row r="185">
      <c r="A185" s="317"/>
      <c r="B185" s="381"/>
      <c r="C185" s="317"/>
      <c r="D185" s="381"/>
      <c r="E185" s="381"/>
      <c r="F185" s="381"/>
      <c r="G185" s="317"/>
      <c r="H185" s="317"/>
      <c r="I185" s="317"/>
      <c r="J185" s="317"/>
      <c r="K185" s="317"/>
      <c r="L185" s="317"/>
      <c r="M185" s="317"/>
      <c r="N185" s="317"/>
      <c r="O185" s="317"/>
      <c r="P185" s="317"/>
      <c r="Q185" s="317"/>
      <c r="R185" s="317"/>
      <c r="S185" s="317"/>
      <c r="T185" s="317"/>
      <c r="U185" s="317"/>
      <c r="V185" s="317"/>
      <c r="W185" s="317"/>
      <c r="X185" s="317"/>
      <c r="Y185" s="317"/>
      <c r="Z185" s="317"/>
      <c r="AA185" s="317"/>
      <c r="AB185" s="317"/>
      <c r="AC185" s="317"/>
    </row>
    <row r="186">
      <c r="A186" s="317"/>
      <c r="B186" s="381"/>
      <c r="C186" s="317"/>
      <c r="D186" s="381"/>
      <c r="E186" s="381"/>
      <c r="F186" s="381"/>
      <c r="G186" s="317"/>
      <c r="H186" s="317"/>
      <c r="I186" s="317"/>
      <c r="J186" s="317"/>
      <c r="K186" s="317"/>
      <c r="L186" s="317"/>
      <c r="M186" s="317"/>
      <c r="N186" s="317"/>
      <c r="O186" s="317"/>
      <c r="P186" s="317"/>
      <c r="Q186" s="317"/>
      <c r="R186" s="317"/>
      <c r="S186" s="317"/>
      <c r="T186" s="317"/>
      <c r="U186" s="317"/>
      <c r="V186" s="317"/>
      <c r="W186" s="317"/>
      <c r="X186" s="317"/>
      <c r="Y186" s="317"/>
      <c r="Z186" s="317"/>
      <c r="AA186" s="317"/>
      <c r="AB186" s="317"/>
      <c r="AC186" s="317"/>
    </row>
    <row r="187">
      <c r="A187" s="317"/>
      <c r="B187" s="381"/>
      <c r="C187" s="317"/>
      <c r="D187" s="381"/>
      <c r="E187" s="381"/>
      <c r="F187" s="381"/>
      <c r="G187" s="317"/>
      <c r="H187" s="317"/>
      <c r="I187" s="317"/>
      <c r="J187" s="317"/>
      <c r="K187" s="317"/>
      <c r="L187" s="317"/>
      <c r="M187" s="317"/>
      <c r="N187" s="317"/>
      <c r="O187" s="317"/>
      <c r="P187" s="317"/>
      <c r="Q187" s="317"/>
      <c r="R187" s="317"/>
      <c r="S187" s="317"/>
      <c r="T187" s="317"/>
      <c r="U187" s="317"/>
      <c r="V187" s="317"/>
      <c r="W187" s="317"/>
      <c r="X187" s="317"/>
      <c r="Y187" s="317"/>
      <c r="Z187" s="317"/>
      <c r="AA187" s="317"/>
      <c r="AB187" s="317"/>
      <c r="AC187" s="317"/>
    </row>
    <row r="188">
      <c r="A188" s="317"/>
      <c r="B188" s="381"/>
      <c r="C188" s="317"/>
      <c r="D188" s="381"/>
      <c r="E188" s="381"/>
      <c r="F188" s="381"/>
      <c r="G188" s="317"/>
      <c r="H188" s="317"/>
      <c r="I188" s="317"/>
      <c r="J188" s="317"/>
      <c r="K188" s="317"/>
      <c r="L188" s="317"/>
      <c r="M188" s="317"/>
      <c r="N188" s="317"/>
      <c r="O188" s="317"/>
      <c r="P188" s="317"/>
      <c r="Q188" s="317"/>
      <c r="R188" s="317"/>
      <c r="S188" s="317"/>
      <c r="T188" s="317"/>
      <c r="U188" s="317"/>
      <c r="V188" s="317"/>
      <c r="W188" s="317"/>
      <c r="X188" s="317"/>
      <c r="Y188" s="317"/>
      <c r="Z188" s="317"/>
      <c r="AA188" s="317"/>
      <c r="AB188" s="317"/>
      <c r="AC188" s="317"/>
    </row>
    <row r="189">
      <c r="A189" s="317"/>
      <c r="B189" s="381"/>
      <c r="C189" s="317"/>
      <c r="D189" s="381"/>
      <c r="E189" s="381"/>
      <c r="F189" s="381"/>
      <c r="G189" s="317"/>
      <c r="H189" s="317"/>
      <c r="I189" s="317"/>
      <c r="J189" s="317"/>
      <c r="K189" s="317"/>
      <c r="L189" s="317"/>
      <c r="M189" s="317"/>
      <c r="N189" s="317"/>
      <c r="O189" s="317"/>
      <c r="P189" s="317"/>
      <c r="Q189" s="317"/>
      <c r="R189" s="317"/>
      <c r="S189" s="317"/>
      <c r="T189" s="317"/>
      <c r="U189" s="317"/>
      <c r="V189" s="317"/>
      <c r="W189" s="317"/>
      <c r="X189" s="317"/>
      <c r="Y189" s="317"/>
      <c r="Z189" s="317"/>
      <c r="AA189" s="317"/>
      <c r="AB189" s="317"/>
      <c r="AC189" s="317"/>
    </row>
    <row r="190">
      <c r="A190" s="317"/>
      <c r="B190" s="381"/>
      <c r="C190" s="317"/>
      <c r="D190" s="381"/>
      <c r="E190" s="381"/>
      <c r="F190" s="381"/>
      <c r="G190" s="317"/>
      <c r="H190" s="317"/>
      <c r="I190" s="317"/>
      <c r="J190" s="317"/>
      <c r="K190" s="317"/>
      <c r="L190" s="317"/>
      <c r="M190" s="317"/>
      <c r="N190" s="317"/>
      <c r="O190" s="317"/>
      <c r="P190" s="317"/>
      <c r="Q190" s="317"/>
      <c r="R190" s="317"/>
      <c r="S190" s="317"/>
      <c r="T190" s="317"/>
      <c r="U190" s="317"/>
      <c r="V190" s="317"/>
      <c r="W190" s="317"/>
      <c r="X190" s="317"/>
      <c r="Y190" s="317"/>
      <c r="Z190" s="317"/>
      <c r="AA190" s="317"/>
      <c r="AB190" s="317"/>
      <c r="AC190" s="317"/>
    </row>
    <row r="191">
      <c r="A191" s="317"/>
      <c r="B191" s="381"/>
      <c r="C191" s="317"/>
      <c r="D191" s="381"/>
      <c r="E191" s="381"/>
      <c r="F191" s="381"/>
      <c r="G191" s="317"/>
      <c r="H191" s="317"/>
      <c r="I191" s="317"/>
      <c r="J191" s="317"/>
      <c r="K191" s="317"/>
      <c r="L191" s="317"/>
      <c r="M191" s="317"/>
      <c r="N191" s="317"/>
      <c r="O191" s="317"/>
      <c r="P191" s="317"/>
      <c r="Q191" s="317"/>
      <c r="R191" s="317"/>
      <c r="S191" s="317"/>
      <c r="T191" s="317"/>
      <c r="U191" s="317"/>
      <c r="V191" s="317"/>
      <c r="W191" s="317"/>
      <c r="X191" s="317"/>
      <c r="Y191" s="317"/>
      <c r="Z191" s="317"/>
      <c r="AA191" s="317"/>
      <c r="AB191" s="317"/>
      <c r="AC191" s="317"/>
    </row>
    <row r="192">
      <c r="A192" s="317"/>
      <c r="B192" s="381"/>
      <c r="C192" s="317"/>
      <c r="D192" s="381"/>
      <c r="E192" s="381"/>
      <c r="F192" s="381"/>
      <c r="G192" s="317"/>
      <c r="H192" s="317"/>
      <c r="I192" s="317"/>
      <c r="J192" s="317"/>
      <c r="K192" s="317"/>
      <c r="L192" s="317"/>
      <c r="M192" s="317"/>
      <c r="N192" s="317"/>
      <c r="O192" s="317"/>
      <c r="P192" s="317"/>
      <c r="Q192" s="317"/>
      <c r="R192" s="317"/>
      <c r="S192" s="317"/>
      <c r="T192" s="317"/>
      <c r="U192" s="317"/>
      <c r="V192" s="317"/>
      <c r="W192" s="317"/>
      <c r="X192" s="317"/>
      <c r="Y192" s="317"/>
      <c r="Z192" s="317"/>
      <c r="AA192" s="317"/>
      <c r="AB192" s="317"/>
      <c r="AC192" s="317"/>
    </row>
    <row r="193">
      <c r="A193" s="317"/>
      <c r="B193" s="381"/>
      <c r="C193" s="317"/>
      <c r="D193" s="381"/>
      <c r="E193" s="381"/>
      <c r="F193" s="381"/>
      <c r="G193" s="317"/>
      <c r="H193" s="317"/>
      <c r="I193" s="317"/>
      <c r="J193" s="317"/>
      <c r="K193" s="317"/>
      <c r="L193" s="317"/>
      <c r="M193" s="317"/>
      <c r="N193" s="317"/>
      <c r="O193" s="317"/>
      <c r="P193" s="317"/>
      <c r="Q193" s="317"/>
      <c r="R193" s="317"/>
      <c r="S193" s="317"/>
      <c r="T193" s="317"/>
      <c r="U193" s="317"/>
      <c r="V193" s="317"/>
      <c r="W193" s="317"/>
      <c r="X193" s="317"/>
      <c r="Y193" s="317"/>
      <c r="Z193" s="317"/>
      <c r="AA193" s="317"/>
      <c r="AB193" s="317"/>
      <c r="AC193" s="317"/>
    </row>
    <row r="194">
      <c r="A194" s="317"/>
      <c r="B194" s="381"/>
      <c r="C194" s="317"/>
      <c r="D194" s="381"/>
      <c r="E194" s="381"/>
      <c r="F194" s="381"/>
      <c r="G194" s="317"/>
      <c r="H194" s="317"/>
      <c r="I194" s="317"/>
      <c r="J194" s="317"/>
      <c r="K194" s="317"/>
      <c r="L194" s="317"/>
      <c r="M194" s="317"/>
      <c r="N194" s="317"/>
      <c r="O194" s="317"/>
      <c r="P194" s="317"/>
      <c r="Q194" s="317"/>
      <c r="R194" s="317"/>
      <c r="S194" s="317"/>
      <c r="T194" s="317"/>
      <c r="U194" s="317"/>
      <c r="V194" s="317"/>
      <c r="W194" s="317"/>
      <c r="X194" s="317"/>
      <c r="Y194" s="317"/>
      <c r="Z194" s="317"/>
      <c r="AA194" s="317"/>
      <c r="AB194" s="317"/>
      <c r="AC194" s="317"/>
    </row>
    <row r="195">
      <c r="A195" s="317"/>
      <c r="B195" s="381"/>
      <c r="C195" s="317"/>
      <c r="D195" s="381"/>
      <c r="E195" s="381"/>
      <c r="F195" s="381"/>
      <c r="G195" s="317"/>
      <c r="H195" s="317"/>
      <c r="I195" s="317"/>
      <c r="J195" s="317"/>
      <c r="K195" s="317"/>
      <c r="L195" s="317"/>
      <c r="M195" s="317"/>
      <c r="N195" s="317"/>
      <c r="O195" s="317"/>
      <c r="P195" s="317"/>
      <c r="Q195" s="317"/>
      <c r="R195" s="317"/>
      <c r="S195" s="317"/>
      <c r="T195" s="317"/>
      <c r="U195" s="317"/>
      <c r="V195" s="317"/>
      <c r="W195" s="317"/>
      <c r="X195" s="317"/>
      <c r="Y195" s="317"/>
      <c r="Z195" s="317"/>
      <c r="AA195" s="317"/>
      <c r="AB195" s="317"/>
      <c r="AC195" s="317"/>
    </row>
    <row r="196">
      <c r="A196" s="317"/>
      <c r="B196" s="381"/>
      <c r="C196" s="317"/>
      <c r="D196" s="381"/>
      <c r="E196" s="381"/>
      <c r="F196" s="381"/>
      <c r="G196" s="317"/>
      <c r="H196" s="317"/>
      <c r="I196" s="317"/>
      <c r="J196" s="317"/>
      <c r="K196" s="317"/>
      <c r="L196" s="317"/>
      <c r="M196" s="317"/>
      <c r="N196" s="317"/>
      <c r="O196" s="317"/>
      <c r="P196" s="317"/>
      <c r="Q196" s="317"/>
      <c r="R196" s="317"/>
      <c r="S196" s="317"/>
      <c r="T196" s="317"/>
      <c r="U196" s="317"/>
      <c r="V196" s="317"/>
      <c r="W196" s="317"/>
      <c r="X196" s="317"/>
      <c r="Y196" s="317"/>
      <c r="Z196" s="317"/>
      <c r="AA196" s="317"/>
      <c r="AB196" s="317"/>
      <c r="AC196" s="317"/>
    </row>
    <row r="197">
      <c r="A197" s="317"/>
      <c r="B197" s="381"/>
      <c r="C197" s="317"/>
      <c r="D197" s="381"/>
      <c r="E197" s="381"/>
      <c r="F197" s="381"/>
      <c r="G197" s="317"/>
      <c r="H197" s="317"/>
      <c r="I197" s="317"/>
      <c r="J197" s="317"/>
      <c r="K197" s="317"/>
      <c r="L197" s="317"/>
      <c r="M197" s="317"/>
      <c r="N197" s="317"/>
      <c r="O197" s="317"/>
      <c r="P197" s="317"/>
      <c r="Q197" s="317"/>
      <c r="R197" s="317"/>
      <c r="S197" s="317"/>
      <c r="T197" s="317"/>
      <c r="U197" s="317"/>
      <c r="V197" s="317"/>
      <c r="W197" s="317"/>
      <c r="X197" s="317"/>
      <c r="Y197" s="317"/>
      <c r="Z197" s="317"/>
      <c r="AA197" s="317"/>
      <c r="AB197" s="317"/>
      <c r="AC197" s="317"/>
    </row>
    <row r="198">
      <c r="A198" s="317"/>
      <c r="B198" s="381"/>
      <c r="C198" s="317"/>
      <c r="D198" s="381"/>
      <c r="E198" s="381"/>
      <c r="F198" s="381"/>
      <c r="G198" s="317"/>
      <c r="H198" s="317"/>
      <c r="I198" s="317"/>
      <c r="J198" s="317"/>
      <c r="K198" s="317"/>
      <c r="L198" s="317"/>
      <c r="M198" s="317"/>
      <c r="N198" s="317"/>
      <c r="O198" s="317"/>
      <c r="P198" s="317"/>
      <c r="Q198" s="317"/>
      <c r="R198" s="317"/>
      <c r="S198" s="317"/>
      <c r="T198" s="317"/>
      <c r="U198" s="317"/>
      <c r="V198" s="317"/>
      <c r="W198" s="317"/>
      <c r="X198" s="317"/>
      <c r="Y198" s="317"/>
      <c r="Z198" s="317"/>
      <c r="AA198" s="317"/>
      <c r="AB198" s="317"/>
      <c r="AC198" s="317"/>
    </row>
    <row r="199">
      <c r="A199" s="317"/>
      <c r="B199" s="381"/>
      <c r="C199" s="317"/>
      <c r="D199" s="381"/>
      <c r="E199" s="381"/>
      <c r="F199" s="381"/>
      <c r="G199" s="317"/>
      <c r="H199" s="317"/>
      <c r="I199" s="317"/>
      <c r="J199" s="317"/>
      <c r="K199" s="317"/>
      <c r="L199" s="317"/>
      <c r="M199" s="317"/>
      <c r="N199" s="317"/>
      <c r="O199" s="317"/>
      <c r="P199" s="317"/>
      <c r="Q199" s="317"/>
      <c r="R199" s="317"/>
      <c r="S199" s="317"/>
      <c r="T199" s="317"/>
      <c r="U199" s="317"/>
      <c r="V199" s="317"/>
      <c r="W199" s="317"/>
      <c r="X199" s="317"/>
      <c r="Y199" s="317"/>
      <c r="Z199" s="317"/>
      <c r="AA199" s="317"/>
      <c r="AB199" s="317"/>
      <c r="AC199" s="317"/>
    </row>
    <row r="200">
      <c r="A200" s="317"/>
      <c r="B200" s="381"/>
      <c r="C200" s="317"/>
      <c r="D200" s="381"/>
      <c r="E200" s="381"/>
      <c r="F200" s="381"/>
      <c r="G200" s="317"/>
      <c r="H200" s="317"/>
      <c r="I200" s="317"/>
      <c r="J200" s="317"/>
      <c r="K200" s="317"/>
      <c r="L200" s="317"/>
      <c r="M200" s="317"/>
      <c r="N200" s="317"/>
      <c r="O200" s="317"/>
      <c r="P200" s="317"/>
      <c r="Q200" s="317"/>
      <c r="R200" s="317"/>
      <c r="S200" s="317"/>
      <c r="T200" s="317"/>
      <c r="U200" s="317"/>
      <c r="V200" s="317"/>
      <c r="W200" s="317"/>
      <c r="X200" s="317"/>
      <c r="Y200" s="317"/>
      <c r="Z200" s="317"/>
      <c r="AA200" s="317"/>
      <c r="AB200" s="317"/>
      <c r="AC200" s="317"/>
    </row>
    <row r="201">
      <c r="A201" s="317"/>
      <c r="B201" s="381"/>
      <c r="C201" s="317"/>
      <c r="D201" s="381"/>
      <c r="E201" s="381"/>
      <c r="F201" s="381"/>
      <c r="G201" s="317"/>
      <c r="H201" s="317"/>
      <c r="I201" s="317"/>
      <c r="J201" s="317"/>
      <c r="K201" s="317"/>
      <c r="L201" s="317"/>
      <c r="M201" s="317"/>
      <c r="N201" s="317"/>
      <c r="O201" s="317"/>
      <c r="P201" s="317"/>
      <c r="Q201" s="317"/>
      <c r="R201" s="317"/>
      <c r="S201" s="317"/>
      <c r="T201" s="317"/>
      <c r="U201" s="317"/>
      <c r="V201" s="317"/>
      <c r="W201" s="317"/>
      <c r="X201" s="317"/>
      <c r="Y201" s="317"/>
      <c r="Z201" s="317"/>
      <c r="AA201" s="317"/>
      <c r="AB201" s="317"/>
      <c r="AC201" s="317"/>
    </row>
    <row r="202">
      <c r="A202" s="317"/>
      <c r="B202" s="381"/>
      <c r="C202" s="317"/>
      <c r="D202" s="381"/>
      <c r="E202" s="381"/>
      <c r="F202" s="381"/>
      <c r="G202" s="317"/>
      <c r="H202" s="317"/>
      <c r="I202" s="317"/>
      <c r="J202" s="317"/>
      <c r="K202" s="317"/>
      <c r="L202" s="317"/>
      <c r="M202" s="317"/>
      <c r="N202" s="317"/>
      <c r="O202" s="317"/>
      <c r="P202" s="317"/>
      <c r="Q202" s="317"/>
      <c r="R202" s="317"/>
      <c r="S202" s="317"/>
      <c r="T202" s="317"/>
      <c r="U202" s="317"/>
      <c r="V202" s="317"/>
      <c r="W202" s="317"/>
      <c r="X202" s="317"/>
      <c r="Y202" s="317"/>
      <c r="Z202" s="317"/>
      <c r="AA202" s="317"/>
      <c r="AB202" s="317"/>
      <c r="AC202" s="317"/>
    </row>
    <row r="203">
      <c r="A203" s="317"/>
      <c r="B203" s="381"/>
      <c r="C203" s="317"/>
      <c r="D203" s="381"/>
      <c r="E203" s="381"/>
      <c r="F203" s="381"/>
      <c r="G203" s="317"/>
      <c r="H203" s="317"/>
      <c r="I203" s="317"/>
      <c r="J203" s="317"/>
      <c r="K203" s="317"/>
      <c r="L203" s="317"/>
      <c r="M203" s="317"/>
      <c r="N203" s="317"/>
      <c r="O203" s="317"/>
      <c r="P203" s="317"/>
      <c r="Q203" s="317"/>
      <c r="R203" s="317"/>
      <c r="S203" s="317"/>
      <c r="T203" s="317"/>
      <c r="U203" s="317"/>
      <c r="V203" s="317"/>
      <c r="W203" s="317"/>
      <c r="X203" s="317"/>
      <c r="Y203" s="317"/>
      <c r="Z203" s="317"/>
      <c r="AA203" s="317"/>
      <c r="AB203" s="317"/>
      <c r="AC203" s="317"/>
    </row>
    <row r="204">
      <c r="A204" s="317"/>
      <c r="B204" s="381"/>
      <c r="C204" s="317"/>
      <c r="D204" s="381"/>
      <c r="E204" s="381"/>
      <c r="F204" s="381"/>
      <c r="G204" s="317"/>
      <c r="H204" s="317"/>
      <c r="I204" s="317"/>
      <c r="J204" s="317"/>
      <c r="K204" s="317"/>
      <c r="L204" s="317"/>
      <c r="M204" s="317"/>
      <c r="N204" s="317"/>
      <c r="O204" s="317"/>
      <c r="P204" s="317"/>
      <c r="Q204" s="317"/>
      <c r="R204" s="317"/>
      <c r="S204" s="317"/>
      <c r="T204" s="317"/>
      <c r="U204" s="317"/>
      <c r="V204" s="317"/>
      <c r="W204" s="317"/>
      <c r="X204" s="317"/>
      <c r="Y204" s="317"/>
      <c r="Z204" s="317"/>
      <c r="AA204" s="317"/>
      <c r="AB204" s="317"/>
      <c r="AC204" s="317"/>
    </row>
    <row r="205">
      <c r="A205" s="317"/>
      <c r="B205" s="381"/>
      <c r="C205" s="317"/>
      <c r="D205" s="381"/>
      <c r="E205" s="381"/>
      <c r="F205" s="381"/>
      <c r="G205" s="317"/>
      <c r="H205" s="317"/>
      <c r="I205" s="317"/>
      <c r="J205" s="317"/>
      <c r="K205" s="317"/>
      <c r="L205" s="317"/>
      <c r="M205" s="317"/>
      <c r="N205" s="317"/>
      <c r="O205" s="317"/>
      <c r="P205" s="317"/>
      <c r="Q205" s="317"/>
      <c r="R205" s="317"/>
      <c r="S205" s="317"/>
      <c r="T205" s="317"/>
      <c r="U205" s="317"/>
      <c r="V205" s="317"/>
      <c r="W205" s="317"/>
      <c r="X205" s="317"/>
      <c r="Y205" s="317"/>
      <c r="Z205" s="317"/>
      <c r="AA205" s="317"/>
      <c r="AB205" s="317"/>
      <c r="AC205" s="317"/>
    </row>
    <row r="206">
      <c r="A206" s="317"/>
      <c r="B206" s="381"/>
      <c r="C206" s="317"/>
      <c r="D206" s="381"/>
      <c r="E206" s="381"/>
      <c r="F206" s="381"/>
      <c r="G206" s="317"/>
      <c r="H206" s="317"/>
      <c r="I206" s="317"/>
      <c r="J206" s="317"/>
      <c r="K206" s="317"/>
      <c r="L206" s="317"/>
      <c r="M206" s="317"/>
      <c r="N206" s="317"/>
      <c r="O206" s="317"/>
      <c r="P206" s="317"/>
      <c r="Q206" s="317"/>
      <c r="R206" s="317"/>
      <c r="S206" s="317"/>
      <c r="T206" s="317"/>
      <c r="U206" s="317"/>
      <c r="V206" s="317"/>
      <c r="W206" s="317"/>
      <c r="X206" s="317"/>
      <c r="Y206" s="317"/>
      <c r="Z206" s="317"/>
      <c r="AA206" s="317"/>
      <c r="AB206" s="317"/>
      <c r="AC206" s="317"/>
    </row>
    <row r="207">
      <c r="A207" s="317"/>
      <c r="B207" s="381"/>
      <c r="C207" s="317"/>
      <c r="D207" s="381"/>
      <c r="E207" s="381"/>
      <c r="F207" s="381"/>
      <c r="G207" s="317"/>
      <c r="H207" s="317"/>
      <c r="I207" s="317"/>
      <c r="J207" s="317"/>
      <c r="K207" s="317"/>
      <c r="L207" s="317"/>
      <c r="M207" s="317"/>
      <c r="N207" s="317"/>
      <c r="O207" s="317"/>
      <c r="P207" s="317"/>
      <c r="Q207" s="317"/>
      <c r="R207" s="317"/>
      <c r="S207" s="317"/>
      <c r="T207" s="317"/>
      <c r="U207" s="317"/>
      <c r="V207" s="317"/>
      <c r="W207" s="317"/>
      <c r="X207" s="317"/>
      <c r="Y207" s="317"/>
      <c r="Z207" s="317"/>
      <c r="AA207" s="317"/>
      <c r="AB207" s="317"/>
      <c r="AC207" s="317"/>
    </row>
    <row r="208">
      <c r="A208" s="317"/>
      <c r="B208" s="381"/>
      <c r="C208" s="317"/>
      <c r="D208" s="381"/>
      <c r="E208" s="381"/>
      <c r="F208" s="381"/>
      <c r="G208" s="317"/>
      <c r="H208" s="317"/>
      <c r="I208" s="317"/>
      <c r="J208" s="317"/>
      <c r="K208" s="317"/>
      <c r="L208" s="317"/>
      <c r="M208" s="317"/>
      <c r="N208" s="317"/>
      <c r="O208" s="317"/>
      <c r="P208" s="317"/>
      <c r="Q208" s="317"/>
      <c r="R208" s="317"/>
      <c r="S208" s="317"/>
      <c r="T208" s="317"/>
      <c r="U208" s="317"/>
      <c r="V208" s="317"/>
      <c r="W208" s="317"/>
      <c r="X208" s="317"/>
      <c r="Y208" s="317"/>
      <c r="Z208" s="317"/>
      <c r="AA208" s="317"/>
      <c r="AB208" s="317"/>
      <c r="AC208" s="317"/>
    </row>
    <row r="209">
      <c r="A209" s="317"/>
      <c r="B209" s="381"/>
      <c r="C209" s="317"/>
      <c r="D209" s="381"/>
      <c r="E209" s="381"/>
      <c r="F209" s="381"/>
      <c r="G209" s="317"/>
      <c r="H209" s="317"/>
      <c r="I209" s="317"/>
      <c r="J209" s="317"/>
      <c r="K209" s="317"/>
      <c r="L209" s="317"/>
      <c r="M209" s="317"/>
      <c r="N209" s="317"/>
      <c r="O209" s="317"/>
      <c r="P209" s="317"/>
      <c r="Q209" s="317"/>
      <c r="R209" s="317"/>
      <c r="S209" s="317"/>
      <c r="T209" s="317"/>
      <c r="U209" s="317"/>
      <c r="V209" s="317"/>
      <c r="W209" s="317"/>
      <c r="X209" s="317"/>
      <c r="Y209" s="317"/>
      <c r="Z209" s="317"/>
      <c r="AA209" s="317"/>
      <c r="AB209" s="317"/>
      <c r="AC209" s="317"/>
    </row>
    <row r="210">
      <c r="A210" s="317"/>
      <c r="B210" s="381"/>
      <c r="C210" s="317"/>
      <c r="D210" s="381"/>
      <c r="E210" s="381"/>
      <c r="F210" s="381"/>
      <c r="G210" s="317"/>
      <c r="H210" s="317"/>
      <c r="I210" s="317"/>
      <c r="J210" s="317"/>
      <c r="K210" s="317"/>
      <c r="L210" s="317"/>
      <c r="M210" s="317"/>
      <c r="N210" s="317"/>
      <c r="O210" s="317"/>
      <c r="P210" s="317"/>
      <c r="Q210" s="317"/>
      <c r="R210" s="317"/>
      <c r="S210" s="317"/>
      <c r="T210" s="317"/>
      <c r="U210" s="317"/>
      <c r="V210" s="317"/>
      <c r="W210" s="317"/>
      <c r="X210" s="317"/>
      <c r="Y210" s="317"/>
      <c r="Z210" s="317"/>
      <c r="AA210" s="317"/>
      <c r="AB210" s="317"/>
      <c r="AC210" s="317"/>
    </row>
    <row r="211">
      <c r="A211" s="317"/>
      <c r="B211" s="381"/>
      <c r="C211" s="317"/>
      <c r="D211" s="381"/>
      <c r="E211" s="381"/>
      <c r="F211" s="381"/>
      <c r="G211" s="317"/>
      <c r="H211" s="317"/>
      <c r="I211" s="317"/>
      <c r="J211" s="317"/>
      <c r="K211" s="317"/>
      <c r="L211" s="317"/>
      <c r="M211" s="317"/>
      <c r="N211" s="317"/>
      <c r="O211" s="317"/>
      <c r="P211" s="317"/>
      <c r="Q211" s="317"/>
      <c r="R211" s="317"/>
      <c r="S211" s="317"/>
      <c r="T211" s="317"/>
      <c r="U211" s="317"/>
      <c r="V211" s="317"/>
      <c r="W211" s="317"/>
      <c r="X211" s="317"/>
      <c r="Y211" s="317"/>
      <c r="Z211" s="317"/>
      <c r="AA211" s="317"/>
      <c r="AB211" s="317"/>
      <c r="AC211" s="317"/>
    </row>
    <row r="212">
      <c r="A212" s="317"/>
      <c r="B212" s="381"/>
      <c r="C212" s="317"/>
      <c r="D212" s="381"/>
      <c r="E212" s="381"/>
      <c r="F212" s="381"/>
      <c r="G212" s="317"/>
      <c r="H212" s="317"/>
      <c r="I212" s="317"/>
      <c r="J212" s="317"/>
      <c r="K212" s="317"/>
      <c r="L212" s="317"/>
      <c r="M212" s="317"/>
      <c r="N212" s="317"/>
      <c r="O212" s="317"/>
      <c r="P212" s="317"/>
      <c r="Q212" s="317"/>
      <c r="R212" s="317"/>
      <c r="S212" s="317"/>
      <c r="T212" s="317"/>
      <c r="U212" s="317"/>
      <c r="V212" s="317"/>
      <c r="W212" s="317"/>
      <c r="X212" s="317"/>
      <c r="Y212" s="317"/>
      <c r="Z212" s="317"/>
      <c r="AA212" s="317"/>
      <c r="AB212" s="317"/>
      <c r="AC212" s="317"/>
    </row>
    <row r="213">
      <c r="A213" s="317"/>
      <c r="B213" s="381"/>
      <c r="C213" s="317"/>
      <c r="D213" s="381"/>
      <c r="E213" s="381"/>
      <c r="F213" s="381"/>
      <c r="G213" s="317"/>
      <c r="H213" s="317"/>
      <c r="I213" s="317"/>
      <c r="J213" s="317"/>
      <c r="K213" s="317"/>
      <c r="L213" s="317"/>
      <c r="M213" s="317"/>
      <c r="N213" s="317"/>
      <c r="O213" s="317"/>
      <c r="P213" s="317"/>
      <c r="Q213" s="317"/>
      <c r="R213" s="317"/>
      <c r="S213" s="317"/>
      <c r="T213" s="317"/>
      <c r="U213" s="317"/>
      <c r="V213" s="317"/>
      <c r="W213" s="317"/>
      <c r="X213" s="317"/>
      <c r="Y213" s="317"/>
      <c r="Z213" s="317"/>
      <c r="AA213" s="317"/>
      <c r="AB213" s="317"/>
      <c r="AC213" s="317"/>
    </row>
    <row r="214">
      <c r="A214" s="317"/>
      <c r="B214" s="381"/>
      <c r="C214" s="317"/>
      <c r="D214" s="381"/>
      <c r="E214" s="381"/>
      <c r="F214" s="381"/>
      <c r="G214" s="317"/>
      <c r="H214" s="317"/>
      <c r="I214" s="317"/>
      <c r="J214" s="317"/>
      <c r="K214" s="317"/>
      <c r="L214" s="317"/>
      <c r="M214" s="317"/>
      <c r="N214" s="317"/>
      <c r="O214" s="317"/>
      <c r="P214" s="317"/>
      <c r="Q214" s="317"/>
      <c r="R214" s="317"/>
      <c r="S214" s="317"/>
      <c r="T214" s="317"/>
      <c r="U214" s="317"/>
      <c r="V214" s="317"/>
      <c r="W214" s="317"/>
      <c r="X214" s="317"/>
      <c r="Y214" s="317"/>
      <c r="Z214" s="317"/>
      <c r="AA214" s="317"/>
      <c r="AB214" s="317"/>
      <c r="AC214" s="317"/>
    </row>
    <row r="215">
      <c r="A215" s="317"/>
      <c r="B215" s="381"/>
      <c r="C215" s="317"/>
      <c r="D215" s="381"/>
      <c r="E215" s="381"/>
      <c r="F215" s="381"/>
      <c r="G215" s="317"/>
      <c r="H215" s="317"/>
      <c r="I215" s="317"/>
      <c r="J215" s="317"/>
      <c r="K215" s="317"/>
      <c r="L215" s="317"/>
      <c r="M215" s="317"/>
      <c r="N215" s="317"/>
      <c r="O215" s="317"/>
      <c r="P215" s="317"/>
      <c r="Q215" s="317"/>
      <c r="R215" s="317"/>
      <c r="S215" s="317"/>
      <c r="T215" s="317"/>
      <c r="U215" s="317"/>
      <c r="V215" s="317"/>
      <c r="W215" s="317"/>
      <c r="X215" s="317"/>
      <c r="Y215" s="317"/>
      <c r="Z215" s="317"/>
      <c r="AA215" s="317"/>
      <c r="AB215" s="317"/>
      <c r="AC215" s="317"/>
    </row>
    <row r="216">
      <c r="A216" s="317"/>
      <c r="B216" s="381"/>
      <c r="C216" s="317"/>
      <c r="D216" s="381"/>
      <c r="E216" s="381"/>
      <c r="F216" s="381"/>
      <c r="G216" s="317"/>
      <c r="H216" s="317"/>
      <c r="I216" s="317"/>
      <c r="J216" s="317"/>
      <c r="K216" s="317"/>
      <c r="L216" s="317"/>
      <c r="M216" s="317"/>
      <c r="N216" s="317"/>
      <c r="O216" s="317"/>
      <c r="P216" s="317"/>
      <c r="Q216" s="317"/>
      <c r="R216" s="317"/>
      <c r="S216" s="317"/>
      <c r="T216" s="317"/>
      <c r="U216" s="317"/>
      <c r="V216" s="317"/>
      <c r="W216" s="317"/>
      <c r="X216" s="317"/>
      <c r="Y216" s="317"/>
      <c r="Z216" s="317"/>
      <c r="AA216" s="317"/>
      <c r="AB216" s="317"/>
      <c r="AC216" s="317"/>
    </row>
    <row r="217">
      <c r="A217" s="317"/>
      <c r="B217" s="381"/>
      <c r="C217" s="317"/>
      <c r="D217" s="381"/>
      <c r="E217" s="381"/>
      <c r="F217" s="381"/>
      <c r="G217" s="317"/>
      <c r="H217" s="317"/>
      <c r="I217" s="317"/>
      <c r="J217" s="317"/>
      <c r="K217" s="317"/>
      <c r="L217" s="317"/>
      <c r="M217" s="317"/>
      <c r="N217" s="317"/>
      <c r="O217" s="317"/>
      <c r="P217" s="317"/>
      <c r="Q217" s="317"/>
      <c r="R217" s="317"/>
      <c r="S217" s="317"/>
      <c r="T217" s="317"/>
      <c r="U217" s="317"/>
      <c r="V217" s="317"/>
      <c r="W217" s="317"/>
      <c r="X217" s="317"/>
      <c r="Y217" s="317"/>
      <c r="Z217" s="317"/>
      <c r="AA217" s="317"/>
      <c r="AB217" s="317"/>
      <c r="AC217" s="317"/>
    </row>
    <row r="218">
      <c r="A218" s="317"/>
      <c r="B218" s="381"/>
      <c r="C218" s="317"/>
      <c r="D218" s="381"/>
      <c r="E218" s="381"/>
      <c r="F218" s="381"/>
      <c r="G218" s="317"/>
      <c r="H218" s="317"/>
      <c r="I218" s="317"/>
      <c r="J218" s="317"/>
      <c r="K218" s="317"/>
      <c r="L218" s="317"/>
      <c r="M218" s="317"/>
      <c r="N218" s="317"/>
      <c r="O218" s="317"/>
      <c r="P218" s="317"/>
      <c r="Q218" s="317"/>
      <c r="R218" s="317"/>
      <c r="S218" s="317"/>
      <c r="T218" s="317"/>
      <c r="U218" s="317"/>
      <c r="V218" s="317"/>
      <c r="W218" s="317"/>
      <c r="X218" s="317"/>
      <c r="Y218" s="317"/>
      <c r="Z218" s="317"/>
      <c r="AA218" s="317"/>
      <c r="AB218" s="317"/>
      <c r="AC218" s="317"/>
    </row>
    <row r="219">
      <c r="A219" s="317"/>
      <c r="B219" s="381"/>
      <c r="C219" s="317"/>
      <c r="D219" s="381"/>
      <c r="E219" s="381"/>
      <c r="F219" s="381"/>
      <c r="G219" s="317"/>
      <c r="H219" s="317"/>
      <c r="I219" s="317"/>
      <c r="J219" s="317"/>
      <c r="K219" s="317"/>
      <c r="L219" s="317"/>
      <c r="M219" s="317"/>
      <c r="N219" s="317"/>
      <c r="O219" s="317"/>
      <c r="P219" s="317"/>
      <c r="Q219" s="317"/>
      <c r="R219" s="317"/>
      <c r="S219" s="317"/>
      <c r="T219" s="317"/>
      <c r="U219" s="317"/>
      <c r="V219" s="317"/>
      <c r="W219" s="317"/>
      <c r="X219" s="317"/>
      <c r="Y219" s="317"/>
      <c r="Z219" s="317"/>
      <c r="AA219" s="317"/>
      <c r="AB219" s="317"/>
      <c r="AC219" s="317"/>
    </row>
    <row r="220">
      <c r="A220" s="317"/>
      <c r="B220" s="381"/>
      <c r="C220" s="317"/>
      <c r="D220" s="381"/>
      <c r="E220" s="381"/>
      <c r="F220" s="381"/>
      <c r="G220" s="317"/>
      <c r="H220" s="317"/>
      <c r="I220" s="317"/>
      <c r="J220" s="317"/>
      <c r="K220" s="317"/>
      <c r="L220" s="317"/>
      <c r="M220" s="317"/>
      <c r="N220" s="317"/>
      <c r="O220" s="317"/>
      <c r="P220" s="317"/>
      <c r="Q220" s="317"/>
      <c r="R220" s="317"/>
      <c r="S220" s="317"/>
      <c r="T220" s="317"/>
      <c r="U220" s="317"/>
      <c r="V220" s="317"/>
      <c r="W220" s="317"/>
      <c r="X220" s="317"/>
      <c r="Y220" s="317"/>
      <c r="Z220" s="317"/>
      <c r="AA220" s="317"/>
      <c r="AB220" s="317"/>
      <c r="AC220" s="317"/>
    </row>
    <row r="221">
      <c r="A221" s="317"/>
      <c r="B221" s="381"/>
      <c r="C221" s="317"/>
      <c r="D221" s="381"/>
      <c r="E221" s="381"/>
      <c r="F221" s="381"/>
      <c r="G221" s="317"/>
      <c r="H221" s="317"/>
      <c r="I221" s="317"/>
      <c r="J221" s="317"/>
      <c r="K221" s="317"/>
      <c r="L221" s="317"/>
      <c r="M221" s="317"/>
      <c r="N221" s="317"/>
      <c r="O221" s="317"/>
      <c r="P221" s="317"/>
      <c r="Q221" s="317"/>
      <c r="R221" s="317"/>
      <c r="S221" s="317"/>
      <c r="T221" s="317"/>
      <c r="U221" s="317"/>
      <c r="V221" s="317"/>
      <c r="W221" s="317"/>
      <c r="X221" s="317"/>
      <c r="Y221" s="317"/>
      <c r="Z221" s="317"/>
      <c r="AA221" s="317"/>
      <c r="AB221" s="317"/>
      <c r="AC221" s="317"/>
    </row>
    <row r="222">
      <c r="A222" s="317"/>
      <c r="B222" s="381"/>
      <c r="C222" s="317"/>
      <c r="D222" s="381"/>
      <c r="E222" s="381"/>
      <c r="F222" s="381"/>
      <c r="G222" s="317"/>
      <c r="H222" s="317"/>
      <c r="I222" s="317"/>
      <c r="J222" s="317"/>
      <c r="K222" s="317"/>
      <c r="L222" s="317"/>
      <c r="M222" s="317"/>
      <c r="N222" s="317"/>
      <c r="O222" s="317"/>
      <c r="P222" s="317"/>
      <c r="Q222" s="317"/>
      <c r="R222" s="317"/>
      <c r="S222" s="317"/>
      <c r="T222" s="317"/>
      <c r="U222" s="317"/>
      <c r="V222" s="317"/>
      <c r="W222" s="317"/>
      <c r="X222" s="317"/>
      <c r="Y222" s="317"/>
      <c r="Z222" s="317"/>
      <c r="AA222" s="317"/>
      <c r="AB222" s="317"/>
      <c r="AC222" s="317"/>
    </row>
    <row r="223">
      <c r="A223" s="317"/>
      <c r="B223" s="381"/>
      <c r="C223" s="317"/>
      <c r="D223" s="381"/>
      <c r="E223" s="381"/>
      <c r="F223" s="381"/>
      <c r="G223" s="317"/>
      <c r="H223" s="317"/>
      <c r="I223" s="317"/>
      <c r="J223" s="317"/>
      <c r="K223" s="317"/>
      <c r="L223" s="317"/>
      <c r="M223" s="317"/>
      <c r="N223" s="317"/>
      <c r="O223" s="317"/>
      <c r="P223" s="317"/>
      <c r="Q223" s="317"/>
      <c r="R223" s="317"/>
      <c r="S223" s="317"/>
      <c r="T223" s="317"/>
      <c r="U223" s="317"/>
      <c r="V223" s="317"/>
      <c r="W223" s="317"/>
      <c r="X223" s="317"/>
      <c r="Y223" s="317"/>
      <c r="Z223" s="317"/>
      <c r="AA223" s="317"/>
      <c r="AB223" s="317"/>
      <c r="AC223" s="317"/>
    </row>
    <row r="224">
      <c r="A224" s="317"/>
      <c r="B224" s="381"/>
      <c r="C224" s="317"/>
      <c r="D224" s="381"/>
      <c r="E224" s="381"/>
      <c r="F224" s="381"/>
      <c r="G224" s="317"/>
      <c r="H224" s="317"/>
      <c r="I224" s="317"/>
      <c r="J224" s="317"/>
      <c r="K224" s="317"/>
      <c r="L224" s="317"/>
      <c r="M224" s="317"/>
      <c r="N224" s="317"/>
      <c r="O224" s="317"/>
      <c r="P224" s="317"/>
      <c r="Q224" s="317"/>
      <c r="R224" s="317"/>
      <c r="S224" s="317"/>
      <c r="T224" s="317"/>
      <c r="U224" s="317"/>
      <c r="V224" s="317"/>
      <c r="W224" s="317"/>
      <c r="X224" s="317"/>
      <c r="Y224" s="317"/>
      <c r="Z224" s="317"/>
      <c r="AA224" s="317"/>
      <c r="AB224" s="317"/>
      <c r="AC224" s="317"/>
    </row>
    <row r="225">
      <c r="A225" s="317"/>
      <c r="B225" s="381"/>
      <c r="C225" s="317"/>
      <c r="D225" s="381"/>
      <c r="E225" s="381"/>
      <c r="F225" s="381"/>
      <c r="G225" s="317"/>
      <c r="H225" s="317"/>
      <c r="I225" s="317"/>
      <c r="J225" s="317"/>
      <c r="K225" s="317"/>
      <c r="L225" s="317"/>
      <c r="M225" s="317"/>
      <c r="N225" s="317"/>
      <c r="O225" s="317"/>
      <c r="P225" s="317"/>
      <c r="Q225" s="317"/>
      <c r="R225" s="317"/>
      <c r="S225" s="317"/>
      <c r="T225" s="317"/>
      <c r="U225" s="317"/>
      <c r="V225" s="317"/>
      <c r="W225" s="317"/>
      <c r="X225" s="317"/>
      <c r="Y225" s="317"/>
      <c r="Z225" s="317"/>
      <c r="AA225" s="317"/>
      <c r="AB225" s="317"/>
      <c r="AC225" s="317"/>
    </row>
    <row r="226">
      <c r="A226" s="317"/>
      <c r="B226" s="381"/>
      <c r="C226" s="317"/>
      <c r="D226" s="381"/>
      <c r="E226" s="381"/>
      <c r="F226" s="381"/>
      <c r="G226" s="317"/>
      <c r="H226" s="317"/>
      <c r="I226" s="317"/>
      <c r="J226" s="317"/>
      <c r="K226" s="317"/>
      <c r="L226" s="317"/>
      <c r="M226" s="317"/>
      <c r="N226" s="317"/>
      <c r="O226" s="317"/>
      <c r="P226" s="317"/>
      <c r="Q226" s="317"/>
      <c r="R226" s="317"/>
      <c r="S226" s="317"/>
      <c r="T226" s="317"/>
      <c r="U226" s="317"/>
      <c r="V226" s="317"/>
      <c r="W226" s="317"/>
      <c r="X226" s="317"/>
      <c r="Y226" s="317"/>
      <c r="Z226" s="317"/>
      <c r="AA226" s="317"/>
      <c r="AB226" s="317"/>
      <c r="AC226" s="317"/>
    </row>
    <row r="227">
      <c r="A227" s="317"/>
      <c r="B227" s="381"/>
      <c r="C227" s="317"/>
      <c r="D227" s="381"/>
      <c r="E227" s="381"/>
      <c r="F227" s="381"/>
      <c r="G227" s="317"/>
      <c r="H227" s="317"/>
      <c r="I227" s="317"/>
      <c r="J227" s="317"/>
      <c r="K227" s="317"/>
      <c r="L227" s="317"/>
      <c r="M227" s="317"/>
      <c r="N227" s="317"/>
      <c r="O227" s="317"/>
      <c r="P227" s="317"/>
      <c r="Q227" s="317"/>
      <c r="R227" s="317"/>
      <c r="S227" s="317"/>
      <c r="T227" s="317"/>
      <c r="U227" s="317"/>
      <c r="V227" s="317"/>
      <c r="W227" s="317"/>
      <c r="X227" s="317"/>
      <c r="Y227" s="317"/>
      <c r="Z227" s="317"/>
      <c r="AA227" s="317"/>
      <c r="AB227" s="317"/>
      <c r="AC227" s="317"/>
    </row>
    <row r="228">
      <c r="A228" s="317"/>
      <c r="B228" s="381"/>
      <c r="C228" s="317"/>
      <c r="D228" s="381"/>
      <c r="E228" s="381"/>
      <c r="F228" s="381"/>
      <c r="G228" s="317"/>
      <c r="H228" s="317"/>
      <c r="I228" s="317"/>
      <c r="J228" s="317"/>
      <c r="K228" s="317"/>
      <c r="L228" s="317"/>
      <c r="M228" s="317"/>
      <c r="N228" s="317"/>
      <c r="O228" s="317"/>
      <c r="P228" s="317"/>
      <c r="Q228" s="317"/>
      <c r="R228" s="317"/>
      <c r="S228" s="317"/>
      <c r="T228" s="317"/>
      <c r="U228" s="317"/>
      <c r="V228" s="317"/>
      <c r="W228" s="317"/>
      <c r="X228" s="317"/>
      <c r="Y228" s="317"/>
      <c r="Z228" s="317"/>
      <c r="AA228" s="317"/>
      <c r="AB228" s="317"/>
      <c r="AC228" s="317"/>
    </row>
    <row r="229">
      <c r="A229" s="317"/>
      <c r="B229" s="381"/>
      <c r="C229" s="317"/>
      <c r="D229" s="381"/>
      <c r="E229" s="381"/>
      <c r="F229" s="381"/>
      <c r="G229" s="317"/>
      <c r="H229" s="317"/>
      <c r="I229" s="317"/>
      <c r="J229" s="317"/>
      <c r="K229" s="317"/>
      <c r="L229" s="317"/>
      <c r="M229" s="317"/>
      <c r="N229" s="317"/>
      <c r="O229" s="317"/>
      <c r="P229" s="317"/>
      <c r="Q229" s="317"/>
      <c r="R229" s="317"/>
      <c r="S229" s="317"/>
      <c r="T229" s="317"/>
      <c r="U229" s="317"/>
      <c r="V229" s="317"/>
      <c r="W229" s="317"/>
      <c r="X229" s="317"/>
      <c r="Y229" s="317"/>
      <c r="Z229" s="317"/>
      <c r="AA229" s="317"/>
      <c r="AB229" s="317"/>
      <c r="AC229" s="317"/>
    </row>
    <row r="230">
      <c r="A230" s="317"/>
      <c r="B230" s="381"/>
      <c r="C230" s="317"/>
      <c r="D230" s="381"/>
      <c r="E230" s="381"/>
      <c r="F230" s="381"/>
      <c r="G230" s="317"/>
      <c r="H230" s="317"/>
      <c r="I230" s="317"/>
      <c r="J230" s="317"/>
      <c r="K230" s="317"/>
      <c r="L230" s="317"/>
      <c r="M230" s="317"/>
      <c r="N230" s="317"/>
      <c r="O230" s="317"/>
      <c r="P230" s="317"/>
      <c r="Q230" s="317"/>
      <c r="R230" s="317"/>
      <c r="S230" s="317"/>
      <c r="T230" s="317"/>
      <c r="U230" s="317"/>
      <c r="V230" s="317"/>
      <c r="W230" s="317"/>
      <c r="X230" s="317"/>
      <c r="Y230" s="317"/>
      <c r="Z230" s="317"/>
      <c r="AA230" s="317"/>
      <c r="AB230" s="317"/>
      <c r="AC230" s="317"/>
    </row>
    <row r="231">
      <c r="A231" s="317"/>
      <c r="B231" s="381"/>
      <c r="C231" s="317"/>
      <c r="D231" s="381"/>
      <c r="E231" s="381"/>
      <c r="F231" s="381"/>
      <c r="G231" s="317"/>
      <c r="H231" s="317"/>
      <c r="I231" s="317"/>
      <c r="J231" s="317"/>
      <c r="K231" s="317"/>
      <c r="L231" s="317"/>
      <c r="M231" s="317"/>
      <c r="N231" s="317"/>
      <c r="O231" s="317"/>
      <c r="P231" s="317"/>
      <c r="Q231" s="317"/>
      <c r="R231" s="317"/>
      <c r="S231" s="317"/>
      <c r="T231" s="317"/>
      <c r="U231" s="317"/>
      <c r="V231" s="317"/>
      <c r="W231" s="317"/>
      <c r="X231" s="317"/>
      <c r="Y231" s="317"/>
      <c r="Z231" s="317"/>
      <c r="AA231" s="317"/>
      <c r="AB231" s="317"/>
      <c r="AC231" s="317"/>
    </row>
    <row r="232">
      <c r="A232" s="317"/>
      <c r="B232" s="381"/>
      <c r="C232" s="317"/>
      <c r="D232" s="381"/>
      <c r="E232" s="381"/>
      <c r="F232" s="381"/>
      <c r="G232" s="317"/>
      <c r="H232" s="317"/>
      <c r="I232" s="317"/>
      <c r="J232" s="317"/>
      <c r="K232" s="317"/>
      <c r="L232" s="317"/>
      <c r="M232" s="317"/>
      <c r="N232" s="317"/>
      <c r="O232" s="317"/>
      <c r="P232" s="317"/>
      <c r="Q232" s="317"/>
      <c r="R232" s="317"/>
      <c r="S232" s="317"/>
      <c r="T232" s="317"/>
      <c r="U232" s="317"/>
      <c r="V232" s="317"/>
      <c r="W232" s="317"/>
      <c r="X232" s="317"/>
      <c r="Y232" s="317"/>
      <c r="Z232" s="317"/>
      <c r="AA232" s="317"/>
      <c r="AB232" s="317"/>
      <c r="AC232" s="317"/>
    </row>
    <row r="233">
      <c r="A233" s="317"/>
      <c r="B233" s="381"/>
      <c r="C233" s="317"/>
      <c r="D233" s="381"/>
      <c r="E233" s="381"/>
      <c r="F233" s="381"/>
      <c r="G233" s="317"/>
      <c r="H233" s="317"/>
      <c r="I233" s="317"/>
      <c r="J233" s="317"/>
      <c r="K233" s="317"/>
      <c r="L233" s="317"/>
      <c r="M233" s="317"/>
      <c r="N233" s="317"/>
      <c r="O233" s="317"/>
      <c r="P233" s="317"/>
      <c r="Q233" s="317"/>
      <c r="R233" s="317"/>
      <c r="S233" s="317"/>
      <c r="T233" s="317"/>
      <c r="U233" s="317"/>
      <c r="V233" s="317"/>
      <c r="W233" s="317"/>
      <c r="X233" s="317"/>
      <c r="Y233" s="317"/>
      <c r="Z233" s="317"/>
      <c r="AA233" s="317"/>
      <c r="AB233" s="317"/>
      <c r="AC233" s="317"/>
    </row>
    <row r="234">
      <c r="A234" s="317"/>
      <c r="B234" s="381"/>
      <c r="C234" s="317"/>
      <c r="D234" s="381"/>
      <c r="E234" s="381"/>
      <c r="F234" s="381"/>
      <c r="G234" s="317"/>
      <c r="H234" s="317"/>
      <c r="I234" s="317"/>
      <c r="J234" s="317"/>
      <c r="K234" s="317"/>
      <c r="L234" s="317"/>
      <c r="M234" s="317"/>
      <c r="N234" s="317"/>
      <c r="O234" s="317"/>
      <c r="P234" s="317"/>
      <c r="Q234" s="317"/>
      <c r="R234" s="317"/>
      <c r="S234" s="317"/>
      <c r="T234" s="317"/>
      <c r="U234" s="317"/>
      <c r="V234" s="317"/>
      <c r="W234" s="317"/>
      <c r="X234" s="317"/>
      <c r="Y234" s="317"/>
      <c r="Z234" s="317"/>
      <c r="AA234" s="317"/>
      <c r="AB234" s="317"/>
      <c r="AC234" s="317"/>
    </row>
    <row r="235">
      <c r="A235" s="317"/>
      <c r="B235" s="381"/>
      <c r="C235" s="317"/>
      <c r="D235" s="381"/>
      <c r="E235" s="381"/>
      <c r="F235" s="381"/>
      <c r="G235" s="317"/>
      <c r="H235" s="317"/>
      <c r="I235" s="317"/>
      <c r="J235" s="317"/>
      <c r="K235" s="317"/>
      <c r="L235" s="317"/>
      <c r="M235" s="317"/>
      <c r="N235" s="317"/>
      <c r="O235" s="317"/>
      <c r="P235" s="317"/>
      <c r="Q235" s="317"/>
      <c r="R235" s="317"/>
      <c r="S235" s="317"/>
      <c r="T235" s="317"/>
      <c r="U235" s="317"/>
      <c r="V235" s="317"/>
      <c r="W235" s="317"/>
      <c r="X235" s="317"/>
      <c r="Y235" s="317"/>
      <c r="Z235" s="317"/>
      <c r="AA235" s="317"/>
      <c r="AB235" s="317"/>
      <c r="AC235" s="317"/>
    </row>
    <row r="236">
      <c r="A236" s="317"/>
      <c r="B236" s="381"/>
      <c r="C236" s="317"/>
      <c r="D236" s="381"/>
      <c r="E236" s="381"/>
      <c r="F236" s="381"/>
      <c r="G236" s="317"/>
      <c r="H236" s="317"/>
      <c r="I236" s="317"/>
      <c r="J236" s="317"/>
      <c r="K236" s="317"/>
      <c r="L236" s="317"/>
      <c r="M236" s="317"/>
      <c r="N236" s="317"/>
      <c r="O236" s="317"/>
      <c r="P236" s="317"/>
      <c r="Q236" s="317"/>
      <c r="R236" s="317"/>
      <c r="S236" s="317"/>
      <c r="T236" s="317"/>
      <c r="U236" s="317"/>
      <c r="V236" s="317"/>
      <c r="W236" s="317"/>
      <c r="X236" s="317"/>
      <c r="Y236" s="317"/>
      <c r="Z236" s="317"/>
      <c r="AA236" s="317"/>
      <c r="AB236" s="317"/>
      <c r="AC236" s="317"/>
    </row>
    <row r="237">
      <c r="A237" s="317"/>
      <c r="B237" s="381"/>
      <c r="C237" s="317"/>
      <c r="D237" s="381"/>
      <c r="E237" s="381"/>
      <c r="F237" s="381"/>
      <c r="G237" s="317"/>
      <c r="H237" s="317"/>
      <c r="I237" s="317"/>
      <c r="J237" s="317"/>
      <c r="K237" s="317"/>
      <c r="L237" s="317"/>
      <c r="M237" s="317"/>
      <c r="N237" s="317"/>
      <c r="O237" s="317"/>
      <c r="P237" s="317"/>
      <c r="Q237" s="317"/>
      <c r="R237" s="317"/>
      <c r="S237" s="317"/>
      <c r="T237" s="317"/>
      <c r="U237" s="317"/>
      <c r="V237" s="317"/>
      <c r="W237" s="317"/>
      <c r="X237" s="317"/>
      <c r="Y237" s="317"/>
      <c r="Z237" s="317"/>
      <c r="AA237" s="317"/>
      <c r="AB237" s="317"/>
      <c r="AC237" s="317"/>
    </row>
    <row r="238">
      <c r="A238" s="317"/>
      <c r="B238" s="381"/>
      <c r="C238" s="317"/>
      <c r="D238" s="381"/>
      <c r="E238" s="381"/>
      <c r="F238" s="381"/>
      <c r="G238" s="317"/>
      <c r="H238" s="317"/>
      <c r="I238" s="317"/>
      <c r="J238" s="317"/>
      <c r="K238" s="317"/>
      <c r="L238" s="317"/>
      <c r="M238" s="317"/>
      <c r="N238" s="317"/>
      <c r="O238" s="317"/>
      <c r="P238" s="317"/>
      <c r="Q238" s="317"/>
      <c r="R238" s="317"/>
      <c r="S238" s="317"/>
      <c r="T238" s="317"/>
      <c r="U238" s="317"/>
      <c r="V238" s="317"/>
      <c r="W238" s="317"/>
      <c r="X238" s="317"/>
      <c r="Y238" s="317"/>
      <c r="Z238" s="317"/>
      <c r="AA238" s="317"/>
      <c r="AB238" s="317"/>
      <c r="AC238" s="317"/>
    </row>
    <row r="239">
      <c r="A239" s="317"/>
      <c r="B239" s="381"/>
      <c r="C239" s="317"/>
      <c r="D239" s="381"/>
      <c r="E239" s="381"/>
      <c r="F239" s="381"/>
      <c r="G239" s="317"/>
      <c r="H239" s="317"/>
      <c r="I239" s="317"/>
      <c r="J239" s="317"/>
      <c r="K239" s="317"/>
      <c r="L239" s="317"/>
      <c r="M239" s="317"/>
      <c r="N239" s="317"/>
      <c r="O239" s="317"/>
      <c r="P239" s="317"/>
      <c r="Q239" s="317"/>
      <c r="R239" s="317"/>
      <c r="S239" s="317"/>
      <c r="T239" s="317"/>
      <c r="U239" s="317"/>
      <c r="V239" s="317"/>
      <c r="W239" s="317"/>
      <c r="X239" s="317"/>
      <c r="Y239" s="317"/>
      <c r="Z239" s="317"/>
      <c r="AA239" s="317"/>
      <c r="AB239" s="317"/>
      <c r="AC239" s="317"/>
    </row>
    <row r="240">
      <c r="A240" s="317"/>
      <c r="B240" s="381"/>
      <c r="C240" s="317"/>
      <c r="D240" s="381"/>
      <c r="E240" s="381"/>
      <c r="F240" s="381"/>
      <c r="G240" s="317"/>
      <c r="H240" s="317"/>
      <c r="I240" s="317"/>
      <c r="J240" s="317"/>
      <c r="K240" s="317"/>
      <c r="L240" s="317"/>
      <c r="M240" s="317"/>
      <c r="N240" s="317"/>
      <c r="O240" s="317"/>
      <c r="P240" s="317"/>
      <c r="Q240" s="317"/>
      <c r="R240" s="317"/>
      <c r="S240" s="317"/>
      <c r="T240" s="317"/>
      <c r="U240" s="317"/>
      <c r="V240" s="317"/>
      <c r="W240" s="317"/>
      <c r="X240" s="317"/>
      <c r="Y240" s="317"/>
      <c r="Z240" s="317"/>
      <c r="AA240" s="317"/>
      <c r="AB240" s="317"/>
      <c r="AC240" s="317"/>
    </row>
    <row r="241">
      <c r="A241" s="317"/>
      <c r="B241" s="381"/>
      <c r="C241" s="317"/>
      <c r="D241" s="381"/>
      <c r="E241" s="381"/>
      <c r="F241" s="381"/>
      <c r="G241" s="317"/>
      <c r="H241" s="317"/>
      <c r="I241" s="317"/>
      <c r="J241" s="317"/>
      <c r="K241" s="317"/>
      <c r="L241" s="317"/>
      <c r="M241" s="317"/>
      <c r="N241" s="317"/>
      <c r="O241" s="317"/>
      <c r="P241" s="317"/>
      <c r="Q241" s="317"/>
      <c r="R241" s="317"/>
      <c r="S241" s="317"/>
      <c r="T241" s="317"/>
      <c r="U241" s="317"/>
      <c r="V241" s="317"/>
      <c r="W241" s="317"/>
      <c r="X241" s="317"/>
      <c r="Y241" s="317"/>
      <c r="Z241" s="317"/>
      <c r="AA241" s="317"/>
      <c r="AB241" s="317"/>
      <c r="AC241" s="317"/>
    </row>
    <row r="242">
      <c r="A242" s="317"/>
      <c r="B242" s="381"/>
      <c r="C242" s="317"/>
      <c r="D242" s="381"/>
      <c r="E242" s="381"/>
      <c r="F242" s="381"/>
      <c r="G242" s="317"/>
      <c r="H242" s="317"/>
      <c r="I242" s="317"/>
      <c r="J242" s="317"/>
      <c r="K242" s="317"/>
      <c r="L242" s="317"/>
      <c r="M242" s="317"/>
      <c r="N242" s="317"/>
      <c r="O242" s="317"/>
      <c r="P242" s="317"/>
      <c r="Q242" s="317"/>
      <c r="R242" s="317"/>
      <c r="S242" s="317"/>
      <c r="T242" s="317"/>
      <c r="U242" s="317"/>
      <c r="V242" s="317"/>
      <c r="W242" s="317"/>
      <c r="X242" s="317"/>
      <c r="Y242" s="317"/>
      <c r="Z242" s="317"/>
      <c r="AA242" s="317"/>
      <c r="AB242" s="317"/>
      <c r="AC242" s="317"/>
    </row>
    <row r="243">
      <c r="A243" s="317"/>
      <c r="B243" s="381"/>
      <c r="C243" s="317"/>
      <c r="D243" s="381"/>
      <c r="E243" s="381"/>
      <c r="F243" s="381"/>
      <c r="G243" s="317"/>
      <c r="H243" s="317"/>
      <c r="I243" s="317"/>
      <c r="J243" s="317"/>
      <c r="K243" s="317"/>
      <c r="L243" s="317"/>
      <c r="M243" s="317"/>
      <c r="N243" s="317"/>
      <c r="O243" s="317"/>
      <c r="P243" s="317"/>
      <c r="Q243" s="317"/>
      <c r="R243" s="317"/>
      <c r="S243" s="317"/>
      <c r="T243" s="317"/>
      <c r="U243" s="317"/>
      <c r="V243" s="317"/>
      <c r="W243" s="317"/>
      <c r="X243" s="317"/>
      <c r="Y243" s="317"/>
      <c r="Z243" s="317"/>
      <c r="AA243" s="317"/>
      <c r="AB243" s="317"/>
      <c r="AC243" s="317"/>
    </row>
    <row r="244">
      <c r="A244" s="317"/>
      <c r="B244" s="381"/>
      <c r="C244" s="317"/>
      <c r="D244" s="381"/>
      <c r="E244" s="381"/>
      <c r="F244" s="381"/>
      <c r="G244" s="317"/>
      <c r="H244" s="317"/>
      <c r="I244" s="317"/>
      <c r="J244" s="317"/>
      <c r="K244" s="317"/>
      <c r="L244" s="317"/>
      <c r="M244" s="317"/>
      <c r="N244" s="317"/>
      <c r="O244" s="317"/>
      <c r="P244" s="317"/>
      <c r="Q244" s="317"/>
      <c r="R244" s="317"/>
      <c r="S244" s="317"/>
      <c r="T244" s="317"/>
      <c r="U244" s="317"/>
      <c r="V244" s="317"/>
      <c r="W244" s="317"/>
      <c r="X244" s="317"/>
      <c r="Y244" s="317"/>
      <c r="Z244" s="317"/>
      <c r="AA244" s="317"/>
      <c r="AB244" s="317"/>
      <c r="AC244" s="317"/>
    </row>
    <row r="245">
      <c r="A245" s="317"/>
      <c r="B245" s="381"/>
      <c r="C245" s="317"/>
      <c r="D245" s="381"/>
      <c r="E245" s="381"/>
      <c r="F245" s="381"/>
      <c r="G245" s="317"/>
      <c r="H245" s="317"/>
      <c r="I245" s="317"/>
      <c r="J245" s="317"/>
      <c r="K245" s="317"/>
      <c r="L245" s="317"/>
      <c r="M245" s="317"/>
      <c r="N245" s="317"/>
      <c r="O245" s="317"/>
      <c r="P245" s="317"/>
      <c r="Q245" s="317"/>
      <c r="R245" s="317"/>
      <c r="S245" s="317"/>
      <c r="T245" s="317"/>
      <c r="U245" s="317"/>
      <c r="V245" s="317"/>
      <c r="W245" s="317"/>
      <c r="X245" s="317"/>
      <c r="Y245" s="317"/>
      <c r="Z245" s="317"/>
      <c r="AA245" s="317"/>
      <c r="AB245" s="317"/>
      <c r="AC245" s="317"/>
    </row>
    <row r="246">
      <c r="A246" s="317"/>
      <c r="B246" s="381"/>
      <c r="C246" s="317"/>
      <c r="D246" s="381"/>
      <c r="E246" s="381"/>
      <c r="F246" s="381"/>
      <c r="G246" s="317"/>
      <c r="H246" s="317"/>
      <c r="I246" s="317"/>
      <c r="J246" s="317"/>
      <c r="K246" s="317"/>
      <c r="L246" s="317"/>
      <c r="M246" s="317"/>
      <c r="N246" s="317"/>
      <c r="O246" s="317"/>
      <c r="P246" s="317"/>
      <c r="Q246" s="317"/>
      <c r="R246" s="317"/>
      <c r="S246" s="317"/>
      <c r="T246" s="317"/>
      <c r="U246" s="317"/>
      <c r="V246" s="317"/>
      <c r="W246" s="317"/>
      <c r="X246" s="317"/>
      <c r="Y246" s="317"/>
      <c r="Z246" s="317"/>
      <c r="AA246" s="317"/>
      <c r="AB246" s="317"/>
      <c r="AC246" s="317"/>
    </row>
    <row r="247">
      <c r="A247" s="317"/>
      <c r="B247" s="381"/>
      <c r="C247" s="317"/>
      <c r="D247" s="381"/>
      <c r="E247" s="381"/>
      <c r="F247" s="381"/>
      <c r="G247" s="317"/>
      <c r="H247" s="317"/>
      <c r="I247" s="317"/>
      <c r="J247" s="317"/>
      <c r="K247" s="317"/>
      <c r="L247" s="317"/>
      <c r="M247" s="317"/>
      <c r="N247" s="317"/>
      <c r="O247" s="317"/>
      <c r="P247" s="317"/>
      <c r="Q247" s="317"/>
      <c r="R247" s="317"/>
      <c r="S247" s="317"/>
      <c r="T247" s="317"/>
      <c r="U247" s="317"/>
      <c r="V247" s="317"/>
      <c r="W247" s="317"/>
      <c r="X247" s="317"/>
      <c r="Y247" s="317"/>
      <c r="Z247" s="317"/>
      <c r="AA247" s="317"/>
      <c r="AB247" s="317"/>
      <c r="AC247" s="317"/>
    </row>
    <row r="248">
      <c r="A248" s="317"/>
      <c r="B248" s="381"/>
      <c r="C248" s="317"/>
      <c r="D248" s="381"/>
      <c r="E248" s="381"/>
      <c r="F248" s="381"/>
      <c r="G248" s="317"/>
      <c r="H248" s="317"/>
      <c r="I248" s="317"/>
      <c r="J248" s="317"/>
      <c r="K248" s="317"/>
      <c r="L248" s="317"/>
      <c r="M248" s="317"/>
      <c r="N248" s="317"/>
      <c r="O248" s="317"/>
      <c r="P248" s="317"/>
      <c r="Q248" s="317"/>
      <c r="R248" s="317"/>
      <c r="S248" s="317"/>
      <c r="T248" s="317"/>
      <c r="U248" s="317"/>
      <c r="V248" s="317"/>
      <c r="W248" s="317"/>
      <c r="X248" s="317"/>
      <c r="Y248" s="317"/>
      <c r="Z248" s="317"/>
      <c r="AA248" s="317"/>
      <c r="AB248" s="317"/>
      <c r="AC248" s="317"/>
    </row>
    <row r="249">
      <c r="A249" s="317"/>
      <c r="B249" s="381"/>
      <c r="C249" s="317"/>
      <c r="D249" s="381"/>
      <c r="E249" s="381"/>
      <c r="F249" s="381"/>
      <c r="G249" s="317"/>
      <c r="H249" s="317"/>
      <c r="I249" s="317"/>
      <c r="J249" s="317"/>
      <c r="K249" s="317"/>
      <c r="L249" s="317"/>
      <c r="M249" s="317"/>
      <c r="N249" s="317"/>
      <c r="O249" s="317"/>
      <c r="P249" s="317"/>
      <c r="Q249" s="317"/>
      <c r="R249" s="317"/>
      <c r="S249" s="317"/>
      <c r="T249" s="317"/>
      <c r="U249" s="317"/>
      <c r="V249" s="317"/>
      <c r="W249" s="317"/>
      <c r="X249" s="317"/>
      <c r="Y249" s="317"/>
      <c r="Z249" s="317"/>
      <c r="AA249" s="317"/>
      <c r="AB249" s="317"/>
      <c r="AC249" s="317"/>
    </row>
    <row r="250">
      <c r="A250" s="317"/>
      <c r="B250" s="381"/>
      <c r="C250" s="317"/>
      <c r="D250" s="381"/>
      <c r="E250" s="381"/>
      <c r="F250" s="381"/>
      <c r="G250" s="317"/>
      <c r="H250" s="317"/>
      <c r="I250" s="317"/>
      <c r="J250" s="317"/>
      <c r="K250" s="317"/>
      <c r="L250" s="317"/>
      <c r="M250" s="317"/>
      <c r="N250" s="317"/>
      <c r="O250" s="317"/>
      <c r="P250" s="317"/>
      <c r="Q250" s="317"/>
      <c r="R250" s="317"/>
      <c r="S250" s="317"/>
      <c r="T250" s="317"/>
      <c r="U250" s="317"/>
      <c r="V250" s="317"/>
      <c r="W250" s="317"/>
      <c r="X250" s="317"/>
      <c r="Y250" s="317"/>
      <c r="Z250" s="317"/>
      <c r="AA250" s="317"/>
      <c r="AB250" s="317"/>
      <c r="AC250" s="317"/>
    </row>
    <row r="251">
      <c r="A251" s="317"/>
      <c r="B251" s="381"/>
      <c r="C251" s="317"/>
      <c r="D251" s="381"/>
      <c r="E251" s="381"/>
      <c r="F251" s="381"/>
      <c r="G251" s="317"/>
      <c r="H251" s="317"/>
      <c r="I251" s="317"/>
      <c r="J251" s="317"/>
      <c r="K251" s="317"/>
      <c r="L251" s="317"/>
      <c r="M251" s="317"/>
      <c r="N251" s="317"/>
      <c r="O251" s="317"/>
      <c r="P251" s="317"/>
      <c r="Q251" s="317"/>
      <c r="R251" s="317"/>
      <c r="S251" s="317"/>
      <c r="T251" s="317"/>
      <c r="U251" s="317"/>
      <c r="V251" s="317"/>
      <c r="W251" s="317"/>
      <c r="X251" s="317"/>
      <c r="Y251" s="317"/>
      <c r="Z251" s="317"/>
      <c r="AA251" s="317"/>
      <c r="AB251" s="317"/>
      <c r="AC251" s="317"/>
    </row>
    <row r="252">
      <c r="A252" s="317"/>
      <c r="B252" s="381"/>
      <c r="C252" s="317"/>
      <c r="D252" s="381"/>
      <c r="E252" s="381"/>
      <c r="F252" s="381"/>
      <c r="G252" s="317"/>
      <c r="H252" s="317"/>
      <c r="I252" s="317"/>
      <c r="J252" s="317"/>
      <c r="K252" s="317"/>
      <c r="L252" s="317"/>
      <c r="M252" s="317"/>
      <c r="N252" s="317"/>
      <c r="O252" s="317"/>
      <c r="P252" s="317"/>
      <c r="Q252" s="317"/>
      <c r="R252" s="317"/>
      <c r="S252" s="317"/>
      <c r="T252" s="317"/>
      <c r="U252" s="317"/>
      <c r="V252" s="317"/>
      <c r="W252" s="317"/>
      <c r="X252" s="317"/>
      <c r="Y252" s="317"/>
      <c r="Z252" s="317"/>
      <c r="AA252" s="317"/>
      <c r="AB252" s="317"/>
      <c r="AC252" s="317"/>
    </row>
    <row r="253">
      <c r="A253" s="317"/>
      <c r="B253" s="381"/>
      <c r="C253" s="317"/>
      <c r="D253" s="381"/>
      <c r="E253" s="381"/>
      <c r="F253" s="381"/>
      <c r="G253" s="317"/>
      <c r="H253" s="317"/>
      <c r="I253" s="317"/>
      <c r="J253" s="317"/>
      <c r="K253" s="317"/>
      <c r="L253" s="317"/>
      <c r="M253" s="317"/>
      <c r="N253" s="317"/>
      <c r="O253" s="317"/>
      <c r="P253" s="317"/>
      <c r="Q253" s="317"/>
      <c r="R253" s="317"/>
      <c r="S253" s="317"/>
      <c r="T253" s="317"/>
      <c r="U253" s="317"/>
      <c r="V253" s="317"/>
      <c r="W253" s="317"/>
      <c r="X253" s="317"/>
      <c r="Y253" s="317"/>
      <c r="Z253" s="317"/>
      <c r="AA253" s="317"/>
      <c r="AB253" s="317"/>
      <c r="AC253" s="317"/>
    </row>
    <row r="254">
      <c r="A254" s="317"/>
      <c r="B254" s="381"/>
      <c r="C254" s="317"/>
      <c r="D254" s="381"/>
      <c r="E254" s="381"/>
      <c r="F254" s="381"/>
      <c r="G254" s="317"/>
      <c r="H254" s="317"/>
      <c r="I254" s="317"/>
      <c r="J254" s="317"/>
      <c r="K254" s="317"/>
      <c r="L254" s="317"/>
      <c r="M254" s="317"/>
      <c r="N254" s="317"/>
      <c r="O254" s="317"/>
      <c r="P254" s="317"/>
      <c r="Q254" s="317"/>
      <c r="R254" s="317"/>
      <c r="S254" s="317"/>
      <c r="T254" s="317"/>
      <c r="U254" s="317"/>
      <c r="V254" s="317"/>
      <c r="W254" s="317"/>
      <c r="X254" s="317"/>
      <c r="Y254" s="317"/>
      <c r="Z254" s="317"/>
      <c r="AA254" s="317"/>
      <c r="AB254" s="317"/>
      <c r="AC254" s="317"/>
    </row>
    <row r="255">
      <c r="A255" s="317"/>
      <c r="B255" s="381"/>
      <c r="C255" s="317"/>
      <c r="D255" s="381"/>
      <c r="E255" s="381"/>
      <c r="F255" s="381"/>
      <c r="G255" s="317"/>
      <c r="H255" s="317"/>
      <c r="I255" s="317"/>
      <c r="J255" s="317"/>
      <c r="K255" s="317"/>
      <c r="L255" s="317"/>
      <c r="M255" s="317"/>
      <c r="N255" s="317"/>
      <c r="O255" s="317"/>
      <c r="P255" s="317"/>
      <c r="Q255" s="317"/>
      <c r="R255" s="317"/>
      <c r="S255" s="317"/>
      <c r="T255" s="317"/>
      <c r="U255" s="317"/>
      <c r="V255" s="317"/>
      <c r="W255" s="317"/>
      <c r="X255" s="317"/>
      <c r="Y255" s="317"/>
      <c r="Z255" s="317"/>
      <c r="AA255" s="317"/>
      <c r="AB255" s="317"/>
      <c r="AC255" s="317"/>
    </row>
    <row r="256">
      <c r="A256" s="317"/>
      <c r="B256" s="381"/>
      <c r="C256" s="317"/>
      <c r="D256" s="381"/>
      <c r="E256" s="381"/>
      <c r="F256" s="381"/>
      <c r="G256" s="317"/>
      <c r="H256" s="317"/>
      <c r="I256" s="317"/>
      <c r="J256" s="317"/>
      <c r="K256" s="317"/>
      <c r="L256" s="317"/>
      <c r="M256" s="317"/>
      <c r="N256" s="317"/>
      <c r="O256" s="317"/>
      <c r="P256" s="317"/>
      <c r="Q256" s="317"/>
      <c r="R256" s="317"/>
      <c r="S256" s="317"/>
      <c r="T256" s="317"/>
      <c r="U256" s="317"/>
      <c r="V256" s="317"/>
      <c r="W256" s="317"/>
      <c r="X256" s="317"/>
      <c r="Y256" s="317"/>
      <c r="Z256" s="317"/>
      <c r="AA256" s="317"/>
      <c r="AB256" s="317"/>
      <c r="AC256" s="317"/>
    </row>
    <row r="257">
      <c r="A257" s="317"/>
      <c r="B257" s="381"/>
      <c r="C257" s="317"/>
      <c r="D257" s="381"/>
      <c r="E257" s="381"/>
      <c r="F257" s="381"/>
      <c r="G257" s="317"/>
      <c r="H257" s="317"/>
      <c r="I257" s="317"/>
      <c r="J257" s="317"/>
      <c r="K257" s="317"/>
      <c r="L257" s="317"/>
      <c r="M257" s="317"/>
      <c r="N257" s="317"/>
      <c r="O257" s="317"/>
      <c r="P257" s="317"/>
      <c r="Q257" s="317"/>
      <c r="R257" s="317"/>
      <c r="S257" s="317"/>
      <c r="T257" s="317"/>
      <c r="U257" s="317"/>
      <c r="V257" s="317"/>
      <c r="W257" s="317"/>
      <c r="X257" s="317"/>
      <c r="Y257" s="317"/>
      <c r="Z257" s="317"/>
      <c r="AA257" s="317"/>
      <c r="AB257" s="317"/>
      <c r="AC257" s="317"/>
    </row>
    <row r="258">
      <c r="A258" s="317"/>
      <c r="B258" s="381"/>
      <c r="C258" s="317"/>
      <c r="D258" s="381"/>
      <c r="E258" s="381"/>
      <c r="F258" s="381"/>
      <c r="G258" s="317"/>
      <c r="H258" s="317"/>
      <c r="I258" s="317"/>
      <c r="J258" s="317"/>
      <c r="K258" s="317"/>
      <c r="L258" s="317"/>
      <c r="M258" s="317"/>
      <c r="N258" s="317"/>
      <c r="O258" s="317"/>
      <c r="P258" s="317"/>
      <c r="Q258" s="317"/>
      <c r="R258" s="317"/>
      <c r="S258" s="317"/>
      <c r="T258" s="317"/>
      <c r="U258" s="317"/>
      <c r="V258" s="317"/>
      <c r="W258" s="317"/>
      <c r="X258" s="317"/>
      <c r="Y258" s="317"/>
      <c r="Z258" s="317"/>
      <c r="AA258" s="317"/>
      <c r="AB258" s="317"/>
      <c r="AC258" s="317"/>
    </row>
    <row r="259">
      <c r="A259" s="317"/>
      <c r="B259" s="381"/>
      <c r="C259" s="317"/>
      <c r="D259" s="381"/>
      <c r="E259" s="381"/>
      <c r="F259" s="381"/>
      <c r="G259" s="317"/>
      <c r="H259" s="317"/>
      <c r="I259" s="317"/>
      <c r="J259" s="317"/>
      <c r="K259" s="317"/>
      <c r="L259" s="317"/>
      <c r="M259" s="317"/>
      <c r="N259" s="317"/>
      <c r="O259" s="317"/>
      <c r="P259" s="317"/>
      <c r="Q259" s="317"/>
      <c r="R259" s="317"/>
      <c r="S259" s="317"/>
      <c r="T259" s="317"/>
      <c r="U259" s="317"/>
      <c r="V259" s="317"/>
      <c r="W259" s="317"/>
      <c r="X259" s="317"/>
      <c r="Y259" s="317"/>
      <c r="Z259" s="317"/>
      <c r="AA259" s="317"/>
      <c r="AB259" s="317"/>
      <c r="AC259" s="317"/>
    </row>
    <row r="260">
      <c r="A260" s="317"/>
      <c r="B260" s="381"/>
      <c r="C260" s="317"/>
      <c r="D260" s="381"/>
      <c r="E260" s="381"/>
      <c r="F260" s="381"/>
      <c r="G260" s="317"/>
      <c r="H260" s="317"/>
      <c r="I260" s="317"/>
      <c r="J260" s="317"/>
      <c r="K260" s="317"/>
      <c r="L260" s="317"/>
      <c r="M260" s="317"/>
      <c r="N260" s="317"/>
      <c r="O260" s="317"/>
      <c r="P260" s="317"/>
      <c r="Q260" s="317"/>
      <c r="R260" s="317"/>
      <c r="S260" s="317"/>
      <c r="T260" s="317"/>
      <c r="U260" s="317"/>
      <c r="V260" s="317"/>
      <c r="W260" s="317"/>
      <c r="X260" s="317"/>
      <c r="Y260" s="317"/>
      <c r="Z260" s="317"/>
      <c r="AA260" s="317"/>
      <c r="AB260" s="317"/>
      <c r="AC260" s="317"/>
    </row>
    <row r="261">
      <c r="A261" s="317"/>
      <c r="B261" s="381"/>
      <c r="C261" s="317"/>
      <c r="D261" s="381"/>
      <c r="E261" s="381"/>
      <c r="F261" s="381"/>
      <c r="G261" s="317"/>
      <c r="H261" s="317"/>
      <c r="I261" s="317"/>
      <c r="J261" s="317"/>
      <c r="K261" s="317"/>
      <c r="L261" s="317"/>
      <c r="M261" s="317"/>
      <c r="N261" s="317"/>
      <c r="O261" s="317"/>
      <c r="P261" s="317"/>
      <c r="Q261" s="317"/>
      <c r="R261" s="317"/>
      <c r="S261" s="317"/>
      <c r="T261" s="317"/>
      <c r="U261" s="317"/>
      <c r="V261" s="317"/>
      <c r="W261" s="317"/>
      <c r="X261" s="317"/>
      <c r="Y261" s="317"/>
      <c r="Z261" s="317"/>
      <c r="AA261" s="317"/>
      <c r="AB261" s="317"/>
      <c r="AC261" s="317"/>
    </row>
    <row r="262">
      <c r="A262" s="317"/>
      <c r="B262" s="381"/>
      <c r="C262" s="317"/>
      <c r="D262" s="381"/>
      <c r="E262" s="381"/>
      <c r="F262" s="381"/>
      <c r="G262" s="317"/>
      <c r="H262" s="317"/>
      <c r="I262" s="317"/>
      <c r="J262" s="317"/>
      <c r="K262" s="317"/>
      <c r="L262" s="317"/>
      <c r="M262" s="317"/>
      <c r="N262" s="317"/>
      <c r="O262" s="317"/>
      <c r="P262" s="317"/>
      <c r="Q262" s="317"/>
      <c r="R262" s="317"/>
      <c r="S262" s="317"/>
      <c r="T262" s="317"/>
      <c r="U262" s="317"/>
      <c r="V262" s="317"/>
      <c r="W262" s="317"/>
      <c r="X262" s="317"/>
      <c r="Y262" s="317"/>
      <c r="Z262" s="317"/>
      <c r="AA262" s="317"/>
      <c r="AB262" s="317"/>
      <c r="AC262" s="317"/>
    </row>
    <row r="263">
      <c r="A263" s="317"/>
      <c r="B263" s="381"/>
      <c r="C263" s="317"/>
      <c r="D263" s="381"/>
      <c r="E263" s="381"/>
      <c r="F263" s="381"/>
      <c r="G263" s="317"/>
      <c r="H263" s="317"/>
      <c r="I263" s="317"/>
      <c r="J263" s="317"/>
      <c r="K263" s="317"/>
      <c r="L263" s="317"/>
      <c r="M263" s="317"/>
      <c r="N263" s="317"/>
      <c r="O263" s="317"/>
      <c r="P263" s="317"/>
      <c r="Q263" s="317"/>
      <c r="R263" s="317"/>
      <c r="S263" s="317"/>
      <c r="T263" s="317"/>
      <c r="U263" s="317"/>
      <c r="V263" s="317"/>
      <c r="W263" s="317"/>
      <c r="X263" s="317"/>
      <c r="Y263" s="317"/>
      <c r="Z263" s="317"/>
      <c r="AA263" s="317"/>
      <c r="AB263" s="317"/>
      <c r="AC263" s="317"/>
    </row>
    <row r="264">
      <c r="A264" s="317"/>
      <c r="B264" s="381"/>
      <c r="C264" s="317"/>
      <c r="D264" s="381"/>
      <c r="E264" s="381"/>
      <c r="F264" s="381"/>
      <c r="G264" s="317"/>
      <c r="H264" s="317"/>
      <c r="I264" s="317"/>
      <c r="J264" s="317"/>
      <c r="K264" s="317"/>
      <c r="L264" s="317"/>
      <c r="M264" s="317"/>
      <c r="N264" s="317"/>
      <c r="O264" s="317"/>
      <c r="P264" s="317"/>
      <c r="Q264" s="317"/>
      <c r="R264" s="317"/>
      <c r="S264" s="317"/>
      <c r="T264" s="317"/>
      <c r="U264" s="317"/>
      <c r="V264" s="317"/>
      <c r="W264" s="317"/>
      <c r="X264" s="317"/>
      <c r="Y264" s="317"/>
      <c r="Z264" s="317"/>
      <c r="AA264" s="317"/>
      <c r="AB264" s="317"/>
      <c r="AC264" s="317"/>
    </row>
    <row r="265">
      <c r="A265" s="317"/>
      <c r="B265" s="381"/>
      <c r="C265" s="317"/>
      <c r="D265" s="381"/>
      <c r="E265" s="381"/>
      <c r="F265" s="381"/>
      <c r="G265" s="317"/>
      <c r="H265" s="317"/>
      <c r="I265" s="317"/>
      <c r="J265" s="317"/>
      <c r="K265" s="317"/>
      <c r="L265" s="317"/>
      <c r="M265" s="317"/>
      <c r="N265" s="317"/>
      <c r="O265" s="317"/>
      <c r="P265" s="317"/>
      <c r="Q265" s="317"/>
      <c r="R265" s="317"/>
      <c r="S265" s="317"/>
      <c r="T265" s="317"/>
      <c r="U265" s="317"/>
      <c r="V265" s="317"/>
      <c r="W265" s="317"/>
      <c r="X265" s="317"/>
      <c r="Y265" s="317"/>
      <c r="Z265" s="317"/>
      <c r="AA265" s="317"/>
      <c r="AB265" s="317"/>
      <c r="AC265" s="317"/>
    </row>
    <row r="266">
      <c r="A266" s="317"/>
      <c r="B266" s="381"/>
      <c r="C266" s="317"/>
      <c r="D266" s="381"/>
      <c r="E266" s="381"/>
      <c r="F266" s="381"/>
      <c r="G266" s="317"/>
      <c r="H266" s="317"/>
      <c r="I266" s="317"/>
      <c r="J266" s="317"/>
      <c r="K266" s="317"/>
      <c r="L266" s="317"/>
      <c r="M266" s="317"/>
      <c r="N266" s="317"/>
      <c r="O266" s="317"/>
      <c r="P266" s="317"/>
      <c r="Q266" s="317"/>
      <c r="R266" s="317"/>
      <c r="S266" s="317"/>
      <c r="T266" s="317"/>
      <c r="U266" s="317"/>
      <c r="V266" s="317"/>
      <c r="W266" s="317"/>
      <c r="X266" s="317"/>
      <c r="Y266" s="317"/>
      <c r="Z266" s="317"/>
      <c r="AA266" s="317"/>
      <c r="AB266" s="317"/>
      <c r="AC266" s="317"/>
    </row>
    <row r="267">
      <c r="A267" s="317"/>
      <c r="B267" s="381"/>
      <c r="C267" s="317"/>
      <c r="D267" s="381"/>
      <c r="E267" s="381"/>
      <c r="F267" s="381"/>
      <c r="G267" s="317"/>
      <c r="H267" s="317"/>
      <c r="I267" s="317"/>
      <c r="J267" s="317"/>
      <c r="K267" s="317"/>
      <c r="L267" s="317"/>
      <c r="M267" s="317"/>
      <c r="N267" s="317"/>
      <c r="O267" s="317"/>
      <c r="P267" s="317"/>
      <c r="Q267" s="317"/>
      <c r="R267" s="317"/>
      <c r="S267" s="317"/>
      <c r="T267" s="317"/>
      <c r="U267" s="317"/>
      <c r="V267" s="317"/>
      <c r="W267" s="317"/>
      <c r="X267" s="317"/>
      <c r="Y267" s="317"/>
      <c r="Z267" s="317"/>
      <c r="AA267" s="317"/>
      <c r="AB267" s="317"/>
      <c r="AC267" s="317"/>
    </row>
    <row r="268">
      <c r="A268" s="317"/>
      <c r="B268" s="381"/>
      <c r="C268" s="317"/>
      <c r="D268" s="381"/>
      <c r="E268" s="381"/>
      <c r="F268" s="381"/>
      <c r="G268" s="317"/>
      <c r="H268" s="317"/>
      <c r="I268" s="317"/>
      <c r="J268" s="317"/>
      <c r="K268" s="317"/>
      <c r="L268" s="317"/>
      <c r="M268" s="317"/>
      <c r="N268" s="317"/>
      <c r="O268" s="317"/>
      <c r="P268" s="317"/>
      <c r="Q268" s="317"/>
      <c r="R268" s="317"/>
      <c r="S268" s="317"/>
      <c r="T268" s="317"/>
      <c r="U268" s="317"/>
      <c r="V268" s="317"/>
      <c r="W268" s="317"/>
      <c r="X268" s="317"/>
      <c r="Y268" s="317"/>
      <c r="Z268" s="317"/>
      <c r="AA268" s="317"/>
      <c r="AB268" s="317"/>
      <c r="AC268" s="317"/>
    </row>
    <row r="269">
      <c r="A269" s="317"/>
      <c r="B269" s="381"/>
      <c r="C269" s="317"/>
      <c r="D269" s="381"/>
      <c r="E269" s="381"/>
      <c r="F269" s="381"/>
      <c r="G269" s="317"/>
      <c r="H269" s="317"/>
      <c r="I269" s="317"/>
      <c r="J269" s="317"/>
      <c r="K269" s="317"/>
      <c r="L269" s="317"/>
      <c r="M269" s="317"/>
      <c r="N269" s="317"/>
      <c r="O269" s="317"/>
      <c r="P269" s="317"/>
      <c r="Q269" s="317"/>
      <c r="R269" s="317"/>
      <c r="S269" s="317"/>
      <c r="T269" s="317"/>
      <c r="U269" s="317"/>
      <c r="V269" s="317"/>
      <c r="W269" s="317"/>
      <c r="X269" s="317"/>
      <c r="Y269" s="317"/>
      <c r="Z269" s="317"/>
      <c r="AA269" s="317"/>
      <c r="AB269" s="317"/>
      <c r="AC269" s="317"/>
    </row>
    <row r="270">
      <c r="A270" s="317"/>
      <c r="B270" s="381"/>
      <c r="C270" s="317"/>
      <c r="D270" s="381"/>
      <c r="E270" s="381"/>
      <c r="F270" s="381"/>
      <c r="G270" s="317"/>
      <c r="H270" s="317"/>
      <c r="I270" s="317"/>
      <c r="J270" s="317"/>
      <c r="K270" s="317"/>
      <c r="L270" s="317"/>
      <c r="M270" s="317"/>
      <c r="N270" s="317"/>
      <c r="O270" s="317"/>
      <c r="P270" s="317"/>
      <c r="Q270" s="317"/>
      <c r="R270" s="317"/>
      <c r="S270" s="317"/>
      <c r="T270" s="317"/>
      <c r="U270" s="317"/>
      <c r="V270" s="317"/>
      <c r="W270" s="317"/>
      <c r="X270" s="317"/>
      <c r="Y270" s="317"/>
      <c r="Z270" s="317"/>
      <c r="AA270" s="317"/>
      <c r="AB270" s="317"/>
      <c r="AC270" s="317"/>
    </row>
    <row r="271">
      <c r="A271" s="317"/>
      <c r="B271" s="381"/>
      <c r="C271" s="317"/>
      <c r="D271" s="381"/>
      <c r="E271" s="381"/>
      <c r="F271" s="381"/>
      <c r="G271" s="317"/>
      <c r="H271" s="317"/>
      <c r="I271" s="317"/>
      <c r="J271" s="317"/>
      <c r="K271" s="317"/>
      <c r="L271" s="317"/>
      <c r="M271" s="317"/>
      <c r="N271" s="317"/>
      <c r="O271" s="317"/>
      <c r="P271" s="317"/>
      <c r="Q271" s="317"/>
      <c r="R271" s="317"/>
      <c r="S271" s="317"/>
      <c r="T271" s="317"/>
      <c r="U271" s="317"/>
      <c r="V271" s="317"/>
      <c r="W271" s="317"/>
      <c r="X271" s="317"/>
      <c r="Y271" s="317"/>
      <c r="Z271" s="317"/>
      <c r="AA271" s="317"/>
      <c r="AB271" s="317"/>
      <c r="AC271" s="317"/>
    </row>
    <row r="272">
      <c r="A272" s="317"/>
      <c r="B272" s="381"/>
      <c r="C272" s="317"/>
      <c r="D272" s="381"/>
      <c r="E272" s="381"/>
      <c r="F272" s="381"/>
      <c r="G272" s="317"/>
      <c r="H272" s="317"/>
      <c r="I272" s="317"/>
      <c r="J272" s="317"/>
      <c r="K272" s="317"/>
      <c r="L272" s="317"/>
      <c r="M272" s="317"/>
      <c r="N272" s="317"/>
      <c r="O272" s="317"/>
      <c r="P272" s="317"/>
      <c r="Q272" s="317"/>
      <c r="R272" s="317"/>
      <c r="S272" s="317"/>
      <c r="T272" s="317"/>
      <c r="U272" s="317"/>
      <c r="V272" s="317"/>
      <c r="W272" s="317"/>
      <c r="X272" s="317"/>
      <c r="Y272" s="317"/>
      <c r="Z272" s="317"/>
      <c r="AA272" s="317"/>
      <c r="AB272" s="317"/>
      <c r="AC272" s="317"/>
    </row>
    <row r="273">
      <c r="A273" s="317"/>
      <c r="B273" s="381"/>
      <c r="C273" s="317"/>
      <c r="D273" s="381"/>
      <c r="E273" s="381"/>
      <c r="F273" s="381"/>
      <c r="G273" s="317"/>
      <c r="H273" s="317"/>
      <c r="I273" s="317"/>
      <c r="J273" s="317"/>
      <c r="K273" s="317"/>
      <c r="L273" s="317"/>
      <c r="M273" s="317"/>
      <c r="N273" s="317"/>
      <c r="O273" s="317"/>
      <c r="P273" s="317"/>
      <c r="Q273" s="317"/>
      <c r="R273" s="317"/>
      <c r="S273" s="317"/>
      <c r="T273" s="317"/>
      <c r="U273" s="317"/>
      <c r="V273" s="317"/>
      <c r="W273" s="317"/>
      <c r="X273" s="317"/>
      <c r="Y273" s="317"/>
      <c r="Z273" s="317"/>
      <c r="AA273" s="317"/>
      <c r="AB273" s="317"/>
      <c r="AC273" s="317"/>
    </row>
    <row r="274">
      <c r="A274" s="317"/>
      <c r="B274" s="381"/>
      <c r="C274" s="317"/>
      <c r="D274" s="381"/>
      <c r="E274" s="381"/>
      <c r="F274" s="381"/>
      <c r="G274" s="317"/>
      <c r="H274" s="317"/>
      <c r="I274" s="317"/>
      <c r="J274" s="317"/>
      <c r="K274" s="317"/>
      <c r="L274" s="317"/>
      <c r="M274" s="317"/>
      <c r="N274" s="317"/>
      <c r="O274" s="317"/>
      <c r="P274" s="317"/>
      <c r="Q274" s="317"/>
      <c r="R274" s="317"/>
      <c r="S274" s="317"/>
      <c r="T274" s="317"/>
      <c r="U274" s="317"/>
      <c r="V274" s="317"/>
      <c r="W274" s="317"/>
      <c r="X274" s="317"/>
      <c r="Y274" s="317"/>
      <c r="Z274" s="317"/>
      <c r="AA274" s="317"/>
      <c r="AB274" s="317"/>
      <c r="AC274" s="317"/>
    </row>
    <row r="275">
      <c r="A275" s="317"/>
      <c r="B275" s="381"/>
      <c r="C275" s="317"/>
      <c r="D275" s="381"/>
      <c r="E275" s="381"/>
      <c r="F275" s="381"/>
      <c r="G275" s="317"/>
      <c r="H275" s="317"/>
      <c r="I275" s="317"/>
      <c r="J275" s="317"/>
      <c r="K275" s="317"/>
      <c r="L275" s="317"/>
      <c r="M275" s="317"/>
      <c r="N275" s="317"/>
      <c r="O275" s="317"/>
      <c r="P275" s="317"/>
      <c r="Q275" s="317"/>
      <c r="R275" s="317"/>
      <c r="S275" s="317"/>
      <c r="T275" s="317"/>
      <c r="U275" s="317"/>
      <c r="V275" s="317"/>
      <c r="W275" s="317"/>
      <c r="X275" s="317"/>
      <c r="Y275" s="317"/>
      <c r="Z275" s="317"/>
      <c r="AA275" s="317"/>
      <c r="AB275" s="317"/>
      <c r="AC275" s="317"/>
    </row>
    <row r="276">
      <c r="A276" s="317"/>
      <c r="B276" s="381"/>
      <c r="C276" s="317"/>
      <c r="D276" s="381"/>
      <c r="E276" s="381"/>
      <c r="F276" s="381"/>
      <c r="G276" s="317"/>
      <c r="H276" s="317"/>
      <c r="I276" s="317"/>
      <c r="J276" s="317"/>
      <c r="K276" s="317"/>
      <c r="L276" s="317"/>
      <c r="M276" s="317"/>
      <c r="N276" s="317"/>
      <c r="O276" s="317"/>
      <c r="P276" s="317"/>
      <c r="Q276" s="317"/>
      <c r="R276" s="317"/>
      <c r="S276" s="317"/>
      <c r="T276" s="317"/>
      <c r="U276" s="317"/>
      <c r="V276" s="317"/>
      <c r="W276" s="317"/>
      <c r="X276" s="317"/>
      <c r="Y276" s="317"/>
      <c r="Z276" s="317"/>
      <c r="AA276" s="317"/>
      <c r="AB276" s="317"/>
      <c r="AC276" s="317"/>
    </row>
    <row r="277">
      <c r="A277" s="317"/>
      <c r="B277" s="381"/>
      <c r="C277" s="317"/>
      <c r="D277" s="381"/>
      <c r="E277" s="381"/>
      <c r="F277" s="381"/>
      <c r="G277" s="317"/>
      <c r="H277" s="317"/>
      <c r="I277" s="317"/>
      <c r="J277" s="317"/>
      <c r="K277" s="317"/>
      <c r="L277" s="317"/>
      <c r="M277" s="317"/>
      <c r="N277" s="317"/>
      <c r="O277" s="317"/>
      <c r="P277" s="317"/>
      <c r="Q277" s="317"/>
      <c r="R277" s="317"/>
      <c r="S277" s="317"/>
      <c r="T277" s="317"/>
      <c r="U277" s="317"/>
      <c r="V277" s="317"/>
      <c r="W277" s="317"/>
      <c r="X277" s="317"/>
      <c r="Y277" s="317"/>
      <c r="Z277" s="317"/>
      <c r="AA277" s="317"/>
      <c r="AB277" s="317"/>
      <c r="AC277" s="317"/>
    </row>
    <row r="278">
      <c r="A278" s="317"/>
      <c r="B278" s="381"/>
      <c r="C278" s="317"/>
      <c r="D278" s="381"/>
      <c r="E278" s="381"/>
      <c r="F278" s="381"/>
      <c r="G278" s="317"/>
      <c r="H278" s="317"/>
      <c r="I278" s="317"/>
      <c r="J278" s="317"/>
      <c r="K278" s="317"/>
      <c r="L278" s="317"/>
      <c r="M278" s="317"/>
      <c r="N278" s="317"/>
      <c r="O278" s="317"/>
      <c r="P278" s="317"/>
      <c r="Q278" s="317"/>
      <c r="R278" s="317"/>
      <c r="S278" s="317"/>
      <c r="T278" s="317"/>
      <c r="U278" s="317"/>
      <c r="V278" s="317"/>
      <c r="W278" s="317"/>
      <c r="X278" s="317"/>
      <c r="Y278" s="317"/>
      <c r="Z278" s="317"/>
      <c r="AA278" s="317"/>
      <c r="AB278" s="317"/>
      <c r="AC278" s="317"/>
    </row>
    <row r="279">
      <c r="A279" s="317"/>
      <c r="B279" s="381"/>
      <c r="C279" s="317"/>
      <c r="D279" s="381"/>
      <c r="E279" s="381"/>
      <c r="F279" s="381"/>
      <c r="G279" s="317"/>
      <c r="H279" s="317"/>
      <c r="I279" s="317"/>
      <c r="J279" s="317"/>
      <c r="K279" s="317"/>
      <c r="L279" s="317"/>
      <c r="M279" s="317"/>
      <c r="N279" s="317"/>
      <c r="O279" s="317"/>
      <c r="P279" s="317"/>
      <c r="Q279" s="317"/>
      <c r="R279" s="317"/>
      <c r="S279" s="317"/>
      <c r="T279" s="317"/>
      <c r="U279" s="317"/>
      <c r="V279" s="317"/>
      <c r="W279" s="317"/>
      <c r="X279" s="317"/>
      <c r="Y279" s="317"/>
      <c r="Z279" s="317"/>
      <c r="AA279" s="317"/>
      <c r="AB279" s="317"/>
      <c r="AC279" s="317"/>
    </row>
    <row r="280">
      <c r="A280" s="317"/>
      <c r="B280" s="381"/>
      <c r="C280" s="317"/>
      <c r="D280" s="381"/>
      <c r="E280" s="381"/>
      <c r="F280" s="381"/>
      <c r="G280" s="317"/>
      <c r="H280" s="317"/>
      <c r="I280" s="317"/>
      <c r="J280" s="317"/>
      <c r="K280" s="317"/>
      <c r="L280" s="317"/>
      <c r="M280" s="317"/>
      <c r="N280" s="317"/>
      <c r="O280" s="317"/>
      <c r="P280" s="317"/>
      <c r="Q280" s="317"/>
      <c r="R280" s="317"/>
      <c r="S280" s="317"/>
      <c r="T280" s="317"/>
      <c r="U280" s="317"/>
      <c r="V280" s="317"/>
      <c r="W280" s="317"/>
      <c r="X280" s="317"/>
      <c r="Y280" s="317"/>
      <c r="Z280" s="317"/>
      <c r="AA280" s="317"/>
      <c r="AB280" s="317"/>
      <c r="AC280" s="317"/>
    </row>
    <row r="281">
      <c r="A281" s="317"/>
      <c r="B281" s="381"/>
      <c r="C281" s="317"/>
      <c r="D281" s="381"/>
      <c r="E281" s="381"/>
      <c r="F281" s="381"/>
      <c r="G281" s="317"/>
      <c r="H281" s="317"/>
      <c r="I281" s="317"/>
      <c r="J281" s="317"/>
      <c r="K281" s="317"/>
      <c r="L281" s="317"/>
      <c r="M281" s="317"/>
      <c r="N281" s="317"/>
      <c r="O281" s="317"/>
      <c r="P281" s="317"/>
      <c r="Q281" s="317"/>
      <c r="R281" s="317"/>
      <c r="S281" s="317"/>
      <c r="T281" s="317"/>
      <c r="U281" s="317"/>
      <c r="V281" s="317"/>
      <c r="W281" s="317"/>
      <c r="X281" s="317"/>
      <c r="Y281" s="317"/>
      <c r="Z281" s="317"/>
      <c r="AA281" s="317"/>
      <c r="AB281" s="317"/>
      <c r="AC281" s="317"/>
    </row>
    <row r="282">
      <c r="A282" s="317"/>
      <c r="B282" s="381"/>
      <c r="C282" s="317"/>
      <c r="D282" s="381"/>
      <c r="E282" s="381"/>
      <c r="F282" s="381"/>
      <c r="G282" s="317"/>
      <c r="H282" s="317"/>
      <c r="I282" s="317"/>
      <c r="J282" s="317"/>
      <c r="K282" s="317"/>
      <c r="L282" s="317"/>
      <c r="M282" s="317"/>
      <c r="N282" s="317"/>
      <c r="O282" s="317"/>
      <c r="P282" s="317"/>
      <c r="Q282" s="317"/>
      <c r="R282" s="317"/>
      <c r="S282" s="317"/>
      <c r="T282" s="317"/>
      <c r="U282" s="317"/>
      <c r="V282" s="317"/>
      <c r="W282" s="317"/>
      <c r="X282" s="317"/>
      <c r="Y282" s="317"/>
      <c r="Z282" s="317"/>
      <c r="AA282" s="317"/>
      <c r="AB282" s="317"/>
      <c r="AC282" s="317"/>
    </row>
    <row r="283">
      <c r="A283" s="317"/>
      <c r="B283" s="381"/>
      <c r="C283" s="317"/>
      <c r="D283" s="381"/>
      <c r="E283" s="381"/>
      <c r="F283" s="381"/>
      <c r="G283" s="317"/>
      <c r="H283" s="317"/>
      <c r="I283" s="317"/>
      <c r="J283" s="317"/>
      <c r="K283" s="317"/>
      <c r="L283" s="317"/>
      <c r="M283" s="317"/>
      <c r="N283" s="317"/>
      <c r="O283" s="317"/>
      <c r="P283" s="317"/>
      <c r="Q283" s="317"/>
      <c r="R283" s="317"/>
      <c r="S283" s="317"/>
      <c r="T283" s="317"/>
      <c r="U283" s="317"/>
      <c r="V283" s="317"/>
      <c r="W283" s="317"/>
      <c r="X283" s="317"/>
      <c r="Y283" s="317"/>
      <c r="Z283" s="317"/>
      <c r="AA283" s="317"/>
      <c r="AB283" s="317"/>
      <c r="AC283" s="317"/>
    </row>
    <row r="284">
      <c r="A284" s="317"/>
      <c r="B284" s="381"/>
      <c r="C284" s="317"/>
      <c r="D284" s="381"/>
      <c r="E284" s="381"/>
      <c r="F284" s="381"/>
      <c r="G284" s="317"/>
      <c r="H284" s="317"/>
      <c r="I284" s="317"/>
      <c r="J284" s="317"/>
      <c r="K284" s="317"/>
      <c r="L284" s="317"/>
      <c r="M284" s="317"/>
      <c r="N284" s="317"/>
      <c r="O284" s="317"/>
      <c r="P284" s="317"/>
      <c r="Q284" s="317"/>
      <c r="R284" s="317"/>
      <c r="S284" s="317"/>
      <c r="T284" s="317"/>
      <c r="U284" s="317"/>
      <c r="V284" s="317"/>
      <c r="W284" s="317"/>
      <c r="X284" s="317"/>
      <c r="Y284" s="317"/>
      <c r="Z284" s="317"/>
      <c r="AA284" s="317"/>
      <c r="AB284" s="317"/>
      <c r="AC284" s="317"/>
    </row>
    <row r="285">
      <c r="A285" s="317"/>
      <c r="B285" s="381"/>
      <c r="C285" s="317"/>
      <c r="D285" s="381"/>
      <c r="E285" s="381"/>
      <c r="F285" s="381"/>
      <c r="G285" s="317"/>
      <c r="H285" s="317"/>
      <c r="I285" s="317"/>
      <c r="J285" s="317"/>
      <c r="K285" s="317"/>
      <c r="L285" s="317"/>
      <c r="M285" s="317"/>
      <c r="N285" s="317"/>
      <c r="O285" s="317"/>
      <c r="P285" s="317"/>
      <c r="Q285" s="317"/>
      <c r="R285" s="317"/>
      <c r="S285" s="317"/>
      <c r="T285" s="317"/>
      <c r="U285" s="317"/>
      <c r="V285" s="317"/>
      <c r="W285" s="317"/>
      <c r="X285" s="317"/>
      <c r="Y285" s="317"/>
      <c r="Z285" s="317"/>
      <c r="AA285" s="317"/>
      <c r="AB285" s="317"/>
      <c r="AC285" s="317"/>
    </row>
    <row r="286">
      <c r="A286" s="317"/>
      <c r="B286" s="381"/>
      <c r="C286" s="317"/>
      <c r="D286" s="381"/>
      <c r="E286" s="381"/>
      <c r="F286" s="381"/>
      <c r="G286" s="317"/>
      <c r="H286" s="317"/>
      <c r="I286" s="317"/>
      <c r="J286" s="317"/>
      <c r="K286" s="317"/>
      <c r="L286" s="317"/>
      <c r="M286" s="317"/>
      <c r="N286" s="317"/>
      <c r="O286" s="317"/>
      <c r="P286" s="317"/>
      <c r="Q286" s="317"/>
      <c r="R286" s="317"/>
      <c r="S286" s="317"/>
      <c r="T286" s="317"/>
      <c r="U286" s="317"/>
      <c r="V286" s="317"/>
      <c r="W286" s="317"/>
      <c r="X286" s="317"/>
      <c r="Y286" s="317"/>
      <c r="Z286" s="317"/>
      <c r="AA286" s="317"/>
      <c r="AB286" s="317"/>
      <c r="AC286" s="317"/>
    </row>
    <row r="287">
      <c r="A287" s="317"/>
      <c r="B287" s="381"/>
      <c r="C287" s="317"/>
      <c r="D287" s="381"/>
      <c r="E287" s="381"/>
      <c r="F287" s="381"/>
      <c r="G287" s="317"/>
      <c r="H287" s="317"/>
      <c r="I287" s="317"/>
      <c r="J287" s="317"/>
      <c r="K287" s="317"/>
      <c r="L287" s="317"/>
      <c r="M287" s="317"/>
      <c r="N287" s="317"/>
      <c r="O287" s="317"/>
      <c r="P287" s="317"/>
      <c r="Q287" s="317"/>
      <c r="R287" s="317"/>
      <c r="S287" s="317"/>
      <c r="T287" s="317"/>
      <c r="U287" s="317"/>
      <c r="V287" s="317"/>
      <c r="W287" s="317"/>
      <c r="X287" s="317"/>
      <c r="Y287" s="317"/>
      <c r="Z287" s="317"/>
      <c r="AA287" s="317"/>
      <c r="AB287" s="317"/>
      <c r="AC287" s="317"/>
    </row>
    <row r="288">
      <c r="A288" s="317"/>
      <c r="B288" s="381"/>
      <c r="C288" s="317"/>
      <c r="D288" s="381"/>
      <c r="E288" s="381"/>
      <c r="F288" s="381"/>
      <c r="G288" s="317"/>
      <c r="H288" s="317"/>
      <c r="I288" s="317"/>
      <c r="J288" s="317"/>
      <c r="K288" s="317"/>
      <c r="L288" s="317"/>
      <c r="M288" s="317"/>
      <c r="N288" s="317"/>
      <c r="O288" s="317"/>
      <c r="P288" s="317"/>
      <c r="Q288" s="317"/>
      <c r="R288" s="317"/>
      <c r="S288" s="317"/>
      <c r="T288" s="317"/>
      <c r="U288" s="317"/>
      <c r="V288" s="317"/>
      <c r="W288" s="317"/>
      <c r="X288" s="317"/>
      <c r="Y288" s="317"/>
      <c r="Z288" s="317"/>
      <c r="AA288" s="317"/>
      <c r="AB288" s="317"/>
      <c r="AC288" s="317"/>
    </row>
    <row r="289">
      <c r="A289" s="317"/>
      <c r="B289" s="381"/>
      <c r="C289" s="317"/>
      <c r="D289" s="381"/>
      <c r="E289" s="381"/>
      <c r="F289" s="381"/>
      <c r="G289" s="317"/>
      <c r="H289" s="317"/>
      <c r="I289" s="317"/>
      <c r="J289" s="317"/>
      <c r="K289" s="317"/>
      <c r="L289" s="317"/>
      <c r="M289" s="317"/>
      <c r="N289" s="317"/>
      <c r="O289" s="317"/>
      <c r="P289" s="317"/>
      <c r="Q289" s="317"/>
      <c r="R289" s="317"/>
      <c r="S289" s="317"/>
      <c r="T289" s="317"/>
      <c r="U289" s="317"/>
      <c r="V289" s="317"/>
      <c r="W289" s="317"/>
      <c r="X289" s="317"/>
      <c r="Y289" s="317"/>
      <c r="Z289" s="317"/>
      <c r="AA289" s="317"/>
      <c r="AB289" s="317"/>
      <c r="AC289" s="317"/>
    </row>
    <row r="290">
      <c r="A290" s="317"/>
      <c r="B290" s="381"/>
      <c r="C290" s="317"/>
      <c r="D290" s="381"/>
      <c r="E290" s="381"/>
      <c r="F290" s="381"/>
      <c r="G290" s="317"/>
      <c r="H290" s="317"/>
      <c r="I290" s="317"/>
      <c r="J290" s="317"/>
      <c r="K290" s="317"/>
      <c r="L290" s="317"/>
      <c r="M290" s="317"/>
      <c r="N290" s="317"/>
      <c r="O290" s="317"/>
      <c r="P290" s="317"/>
      <c r="Q290" s="317"/>
      <c r="R290" s="317"/>
      <c r="S290" s="317"/>
      <c r="T290" s="317"/>
      <c r="U290" s="317"/>
      <c r="V290" s="317"/>
      <c r="W290" s="317"/>
      <c r="X290" s="317"/>
      <c r="Y290" s="317"/>
      <c r="Z290" s="317"/>
      <c r="AA290" s="317"/>
      <c r="AB290" s="317"/>
      <c r="AC290" s="317"/>
    </row>
    <row r="291">
      <c r="A291" s="317"/>
      <c r="B291" s="381"/>
      <c r="C291" s="317"/>
      <c r="D291" s="381"/>
      <c r="E291" s="381"/>
      <c r="F291" s="381"/>
      <c r="G291" s="317"/>
      <c r="H291" s="317"/>
      <c r="I291" s="317"/>
      <c r="J291" s="317"/>
      <c r="K291" s="317"/>
      <c r="L291" s="317"/>
      <c r="M291" s="317"/>
      <c r="N291" s="317"/>
      <c r="O291" s="317"/>
      <c r="P291" s="317"/>
      <c r="Q291" s="317"/>
      <c r="R291" s="317"/>
      <c r="S291" s="317"/>
      <c r="T291" s="317"/>
      <c r="U291" s="317"/>
      <c r="V291" s="317"/>
      <c r="W291" s="317"/>
      <c r="X291" s="317"/>
      <c r="Y291" s="317"/>
      <c r="Z291" s="317"/>
      <c r="AA291" s="317"/>
      <c r="AB291" s="317"/>
      <c r="AC291" s="317"/>
    </row>
    <row r="292">
      <c r="A292" s="317"/>
      <c r="B292" s="381"/>
      <c r="C292" s="317"/>
      <c r="D292" s="381"/>
      <c r="E292" s="381"/>
      <c r="F292" s="381"/>
      <c r="G292" s="317"/>
      <c r="H292" s="317"/>
      <c r="I292" s="317"/>
      <c r="J292" s="317"/>
      <c r="K292" s="317"/>
      <c r="L292" s="317"/>
      <c r="M292" s="317"/>
      <c r="N292" s="317"/>
      <c r="O292" s="317"/>
      <c r="P292" s="317"/>
      <c r="Q292" s="317"/>
      <c r="R292" s="317"/>
      <c r="S292" s="317"/>
      <c r="T292" s="317"/>
      <c r="U292" s="317"/>
      <c r="V292" s="317"/>
      <c r="W292" s="317"/>
      <c r="X292" s="317"/>
      <c r="Y292" s="317"/>
      <c r="Z292" s="317"/>
      <c r="AA292" s="317"/>
      <c r="AB292" s="317"/>
      <c r="AC292" s="317"/>
    </row>
    <row r="293">
      <c r="A293" s="317"/>
      <c r="B293" s="381"/>
      <c r="C293" s="317"/>
      <c r="D293" s="381"/>
      <c r="E293" s="381"/>
      <c r="F293" s="381"/>
      <c r="G293" s="317"/>
      <c r="H293" s="317"/>
      <c r="I293" s="317"/>
      <c r="J293" s="317"/>
      <c r="K293" s="317"/>
      <c r="L293" s="317"/>
      <c r="M293" s="317"/>
      <c r="N293" s="317"/>
      <c r="O293" s="317"/>
      <c r="P293" s="317"/>
      <c r="Q293" s="317"/>
      <c r="R293" s="317"/>
      <c r="S293" s="317"/>
      <c r="T293" s="317"/>
      <c r="U293" s="317"/>
      <c r="V293" s="317"/>
      <c r="W293" s="317"/>
      <c r="X293" s="317"/>
      <c r="Y293" s="317"/>
      <c r="Z293" s="317"/>
      <c r="AA293" s="317"/>
      <c r="AB293" s="317"/>
      <c r="AC293" s="317"/>
    </row>
    <row r="294">
      <c r="A294" s="317"/>
      <c r="B294" s="381"/>
      <c r="C294" s="317"/>
      <c r="D294" s="381"/>
      <c r="E294" s="381"/>
      <c r="F294" s="381"/>
      <c r="G294" s="317"/>
      <c r="H294" s="317"/>
      <c r="I294" s="317"/>
      <c r="J294" s="317"/>
      <c r="K294" s="317"/>
      <c r="L294" s="317"/>
      <c r="M294" s="317"/>
      <c r="N294" s="317"/>
      <c r="O294" s="317"/>
      <c r="P294" s="317"/>
      <c r="Q294" s="317"/>
      <c r="R294" s="317"/>
      <c r="S294" s="317"/>
      <c r="T294" s="317"/>
      <c r="U294" s="317"/>
      <c r="V294" s="317"/>
      <c r="W294" s="317"/>
      <c r="X294" s="317"/>
      <c r="Y294" s="317"/>
      <c r="Z294" s="317"/>
      <c r="AA294" s="317"/>
      <c r="AB294" s="317"/>
      <c r="AC294" s="317"/>
    </row>
    <row r="295">
      <c r="A295" s="317"/>
      <c r="B295" s="381"/>
      <c r="C295" s="317"/>
      <c r="D295" s="381"/>
      <c r="E295" s="381"/>
      <c r="F295" s="381"/>
      <c r="G295" s="317"/>
      <c r="H295" s="317"/>
      <c r="I295" s="317"/>
      <c r="J295" s="317"/>
      <c r="K295" s="317"/>
      <c r="L295" s="317"/>
      <c r="M295" s="317"/>
      <c r="N295" s="317"/>
      <c r="O295" s="317"/>
      <c r="P295" s="317"/>
      <c r="Q295" s="317"/>
      <c r="R295" s="317"/>
      <c r="S295" s="317"/>
      <c r="T295" s="317"/>
      <c r="U295" s="317"/>
      <c r="V295" s="317"/>
      <c r="W295" s="317"/>
      <c r="X295" s="317"/>
      <c r="Y295" s="317"/>
      <c r="Z295" s="317"/>
      <c r="AA295" s="317"/>
      <c r="AB295" s="317"/>
      <c r="AC295" s="317"/>
    </row>
    <row r="296">
      <c r="A296" s="317"/>
      <c r="B296" s="381"/>
      <c r="C296" s="317"/>
      <c r="D296" s="381"/>
      <c r="E296" s="381"/>
      <c r="F296" s="381"/>
      <c r="G296" s="317"/>
      <c r="H296" s="317"/>
      <c r="I296" s="317"/>
      <c r="J296" s="317"/>
      <c r="K296" s="317"/>
      <c r="L296" s="317"/>
      <c r="M296" s="317"/>
      <c r="N296" s="317"/>
      <c r="O296" s="317"/>
      <c r="P296" s="317"/>
      <c r="Q296" s="317"/>
      <c r="R296" s="317"/>
      <c r="S296" s="317"/>
      <c r="T296" s="317"/>
      <c r="U296" s="317"/>
      <c r="V296" s="317"/>
      <c r="W296" s="317"/>
      <c r="X296" s="317"/>
      <c r="Y296" s="317"/>
      <c r="Z296" s="317"/>
      <c r="AA296" s="317"/>
      <c r="AB296" s="317"/>
      <c r="AC296" s="317"/>
    </row>
    <row r="297">
      <c r="A297" s="317"/>
      <c r="B297" s="381"/>
      <c r="C297" s="317"/>
      <c r="D297" s="381"/>
      <c r="E297" s="381"/>
      <c r="F297" s="381"/>
      <c r="G297" s="317"/>
      <c r="H297" s="317"/>
      <c r="I297" s="317"/>
      <c r="J297" s="317"/>
      <c r="K297" s="317"/>
      <c r="L297" s="317"/>
      <c r="M297" s="317"/>
      <c r="N297" s="317"/>
      <c r="O297" s="317"/>
      <c r="P297" s="317"/>
      <c r="Q297" s="317"/>
      <c r="R297" s="317"/>
      <c r="S297" s="317"/>
      <c r="T297" s="317"/>
      <c r="U297" s="317"/>
      <c r="V297" s="317"/>
      <c r="W297" s="317"/>
      <c r="X297" s="317"/>
      <c r="Y297" s="317"/>
      <c r="Z297" s="317"/>
      <c r="AA297" s="317"/>
      <c r="AB297" s="317"/>
      <c r="AC297" s="317"/>
    </row>
    <row r="298">
      <c r="A298" s="317"/>
      <c r="B298" s="381"/>
      <c r="C298" s="317"/>
      <c r="D298" s="381"/>
      <c r="E298" s="381"/>
      <c r="F298" s="381"/>
      <c r="G298" s="317"/>
      <c r="H298" s="317"/>
      <c r="I298" s="317"/>
      <c r="J298" s="317"/>
      <c r="K298" s="317"/>
      <c r="L298" s="317"/>
      <c r="M298" s="317"/>
      <c r="N298" s="317"/>
      <c r="O298" s="317"/>
      <c r="P298" s="317"/>
      <c r="Q298" s="317"/>
      <c r="R298" s="317"/>
      <c r="S298" s="317"/>
      <c r="T298" s="317"/>
      <c r="U298" s="317"/>
      <c r="V298" s="317"/>
      <c r="W298" s="317"/>
      <c r="X298" s="317"/>
      <c r="Y298" s="317"/>
      <c r="Z298" s="317"/>
      <c r="AA298" s="317"/>
      <c r="AB298" s="317"/>
      <c r="AC298" s="317"/>
    </row>
    <row r="299">
      <c r="A299" s="317"/>
      <c r="B299" s="381"/>
      <c r="C299" s="317"/>
      <c r="D299" s="381"/>
      <c r="E299" s="381"/>
      <c r="F299" s="381"/>
      <c r="G299" s="317"/>
      <c r="H299" s="317"/>
      <c r="I299" s="317"/>
      <c r="J299" s="317"/>
      <c r="K299" s="317"/>
      <c r="L299" s="317"/>
      <c r="M299" s="317"/>
      <c r="N299" s="317"/>
      <c r="O299" s="317"/>
      <c r="P299" s="317"/>
      <c r="Q299" s="317"/>
      <c r="R299" s="317"/>
      <c r="S299" s="317"/>
      <c r="T299" s="317"/>
      <c r="U299" s="317"/>
      <c r="V299" s="317"/>
      <c r="W299" s="317"/>
      <c r="X299" s="317"/>
      <c r="Y299" s="317"/>
      <c r="Z299" s="317"/>
      <c r="AA299" s="317"/>
      <c r="AB299" s="317"/>
      <c r="AC299" s="317"/>
    </row>
    <row r="300">
      <c r="A300" s="317"/>
      <c r="B300" s="381"/>
      <c r="C300" s="317"/>
      <c r="D300" s="381"/>
      <c r="E300" s="381"/>
      <c r="F300" s="381"/>
      <c r="G300" s="317"/>
      <c r="H300" s="317"/>
      <c r="I300" s="317"/>
      <c r="J300" s="317"/>
      <c r="K300" s="317"/>
      <c r="L300" s="317"/>
      <c r="M300" s="317"/>
      <c r="N300" s="317"/>
      <c r="O300" s="317"/>
      <c r="P300" s="317"/>
      <c r="Q300" s="317"/>
      <c r="R300" s="317"/>
      <c r="S300" s="317"/>
      <c r="T300" s="317"/>
      <c r="U300" s="317"/>
      <c r="V300" s="317"/>
      <c r="W300" s="317"/>
      <c r="X300" s="317"/>
      <c r="Y300" s="317"/>
      <c r="Z300" s="317"/>
      <c r="AA300" s="317"/>
      <c r="AB300" s="317"/>
      <c r="AC300" s="317"/>
    </row>
    <row r="301">
      <c r="A301" s="317"/>
      <c r="B301" s="381"/>
      <c r="C301" s="317"/>
      <c r="D301" s="381"/>
      <c r="E301" s="381"/>
      <c r="F301" s="381"/>
      <c r="G301" s="317"/>
      <c r="H301" s="317"/>
      <c r="I301" s="317"/>
      <c r="J301" s="317"/>
      <c r="K301" s="317"/>
      <c r="L301" s="317"/>
      <c r="M301" s="317"/>
      <c r="N301" s="317"/>
      <c r="O301" s="317"/>
      <c r="P301" s="317"/>
      <c r="Q301" s="317"/>
      <c r="R301" s="317"/>
      <c r="S301" s="317"/>
      <c r="T301" s="317"/>
      <c r="U301" s="317"/>
      <c r="V301" s="317"/>
      <c r="W301" s="317"/>
      <c r="X301" s="317"/>
      <c r="Y301" s="317"/>
      <c r="Z301" s="317"/>
      <c r="AA301" s="317"/>
      <c r="AB301" s="317"/>
      <c r="AC301" s="317"/>
    </row>
    <row r="302">
      <c r="A302" s="317"/>
      <c r="B302" s="381"/>
      <c r="C302" s="317"/>
      <c r="D302" s="381"/>
      <c r="E302" s="381"/>
      <c r="F302" s="381"/>
      <c r="G302" s="317"/>
      <c r="H302" s="317"/>
      <c r="I302" s="317"/>
      <c r="J302" s="317"/>
      <c r="K302" s="317"/>
      <c r="L302" s="317"/>
      <c r="M302" s="317"/>
      <c r="N302" s="317"/>
      <c r="O302" s="317"/>
      <c r="P302" s="317"/>
      <c r="Q302" s="317"/>
      <c r="R302" s="317"/>
      <c r="S302" s="317"/>
      <c r="T302" s="317"/>
      <c r="U302" s="317"/>
      <c r="V302" s="317"/>
      <c r="W302" s="317"/>
      <c r="X302" s="317"/>
      <c r="Y302" s="317"/>
      <c r="Z302" s="317"/>
      <c r="AA302" s="317"/>
      <c r="AB302" s="317"/>
      <c r="AC302" s="317"/>
    </row>
    <row r="303">
      <c r="A303" s="317"/>
      <c r="B303" s="381"/>
      <c r="C303" s="317"/>
      <c r="D303" s="381"/>
      <c r="E303" s="381"/>
      <c r="F303" s="381"/>
      <c r="G303" s="317"/>
      <c r="H303" s="317"/>
      <c r="I303" s="317"/>
      <c r="J303" s="317"/>
      <c r="K303" s="317"/>
      <c r="L303" s="317"/>
      <c r="M303" s="317"/>
      <c r="N303" s="317"/>
      <c r="O303" s="317"/>
      <c r="P303" s="317"/>
      <c r="Q303" s="317"/>
      <c r="R303" s="317"/>
      <c r="S303" s="317"/>
      <c r="T303" s="317"/>
      <c r="U303" s="317"/>
      <c r="V303" s="317"/>
      <c r="W303" s="317"/>
      <c r="X303" s="317"/>
      <c r="Y303" s="317"/>
      <c r="Z303" s="317"/>
      <c r="AA303" s="317"/>
      <c r="AB303" s="317"/>
      <c r="AC303" s="317"/>
    </row>
    <row r="304">
      <c r="A304" s="317"/>
      <c r="B304" s="381"/>
      <c r="C304" s="317"/>
      <c r="D304" s="381"/>
      <c r="E304" s="381"/>
      <c r="F304" s="381"/>
      <c r="G304" s="317"/>
      <c r="H304" s="317"/>
      <c r="I304" s="317"/>
      <c r="J304" s="317"/>
      <c r="K304" s="317"/>
      <c r="L304" s="317"/>
      <c r="M304" s="317"/>
      <c r="N304" s="317"/>
      <c r="O304" s="317"/>
      <c r="P304" s="317"/>
      <c r="Q304" s="317"/>
      <c r="R304" s="317"/>
      <c r="S304" s="317"/>
      <c r="T304" s="317"/>
      <c r="U304" s="317"/>
      <c r="V304" s="317"/>
      <c r="W304" s="317"/>
      <c r="X304" s="317"/>
      <c r="Y304" s="317"/>
      <c r="Z304" s="317"/>
      <c r="AA304" s="317"/>
      <c r="AB304" s="317"/>
      <c r="AC304" s="317"/>
    </row>
    <row r="305">
      <c r="A305" s="317"/>
      <c r="B305" s="381"/>
      <c r="C305" s="317"/>
      <c r="D305" s="381"/>
      <c r="E305" s="381"/>
      <c r="F305" s="381"/>
      <c r="G305" s="317"/>
      <c r="H305" s="317"/>
      <c r="I305" s="317"/>
      <c r="J305" s="317"/>
      <c r="K305" s="317"/>
      <c r="L305" s="317"/>
      <c r="M305" s="317"/>
      <c r="N305" s="317"/>
      <c r="O305" s="317"/>
      <c r="P305" s="317"/>
      <c r="Q305" s="317"/>
      <c r="R305" s="317"/>
      <c r="S305" s="317"/>
      <c r="T305" s="317"/>
      <c r="U305" s="317"/>
      <c r="V305" s="317"/>
      <c r="W305" s="317"/>
      <c r="X305" s="317"/>
      <c r="Y305" s="317"/>
      <c r="Z305" s="317"/>
      <c r="AA305" s="317"/>
      <c r="AB305" s="317"/>
      <c r="AC305" s="317"/>
    </row>
    <row r="306">
      <c r="A306" s="317"/>
      <c r="B306" s="381"/>
      <c r="C306" s="317"/>
      <c r="D306" s="381"/>
      <c r="E306" s="381"/>
      <c r="F306" s="381"/>
      <c r="G306" s="317"/>
      <c r="H306" s="317"/>
      <c r="I306" s="317"/>
      <c r="J306" s="317"/>
      <c r="K306" s="317"/>
      <c r="L306" s="317"/>
      <c r="M306" s="317"/>
      <c r="N306" s="317"/>
      <c r="O306" s="317"/>
      <c r="P306" s="317"/>
      <c r="Q306" s="317"/>
      <c r="R306" s="317"/>
      <c r="S306" s="317"/>
      <c r="T306" s="317"/>
      <c r="U306" s="317"/>
      <c r="V306" s="317"/>
      <c r="W306" s="317"/>
      <c r="X306" s="317"/>
      <c r="Y306" s="317"/>
      <c r="Z306" s="317"/>
      <c r="AA306" s="317"/>
      <c r="AB306" s="317"/>
      <c r="AC306" s="317"/>
    </row>
    <row r="307">
      <c r="A307" s="317"/>
      <c r="B307" s="381"/>
      <c r="C307" s="317"/>
      <c r="D307" s="381"/>
      <c r="E307" s="381"/>
      <c r="F307" s="381"/>
      <c r="G307" s="317"/>
      <c r="H307" s="317"/>
      <c r="I307" s="317"/>
      <c r="J307" s="317"/>
      <c r="K307" s="317"/>
      <c r="L307" s="317"/>
      <c r="M307" s="317"/>
      <c r="N307" s="317"/>
      <c r="O307" s="317"/>
      <c r="P307" s="317"/>
      <c r="Q307" s="317"/>
      <c r="R307" s="317"/>
      <c r="S307" s="317"/>
      <c r="T307" s="317"/>
      <c r="U307" s="317"/>
      <c r="V307" s="317"/>
      <c r="W307" s="317"/>
      <c r="X307" s="317"/>
      <c r="Y307" s="317"/>
      <c r="Z307" s="317"/>
      <c r="AA307" s="317"/>
      <c r="AB307" s="317"/>
      <c r="AC307" s="317"/>
    </row>
    <row r="308">
      <c r="A308" s="317"/>
      <c r="B308" s="381"/>
      <c r="C308" s="317"/>
      <c r="D308" s="381"/>
      <c r="E308" s="381"/>
      <c r="F308" s="381"/>
      <c r="G308" s="317"/>
      <c r="H308" s="317"/>
      <c r="I308" s="317"/>
      <c r="J308" s="317"/>
      <c r="K308" s="317"/>
      <c r="L308" s="317"/>
      <c r="M308" s="317"/>
      <c r="N308" s="317"/>
      <c r="O308" s="317"/>
      <c r="P308" s="317"/>
      <c r="Q308" s="317"/>
      <c r="R308" s="317"/>
      <c r="S308" s="317"/>
      <c r="T308" s="317"/>
      <c r="U308" s="317"/>
      <c r="V308" s="317"/>
      <c r="W308" s="317"/>
      <c r="X308" s="317"/>
      <c r="Y308" s="317"/>
      <c r="Z308" s="317"/>
      <c r="AA308" s="317"/>
      <c r="AB308" s="317"/>
      <c r="AC308" s="317"/>
    </row>
    <row r="309">
      <c r="A309" s="317"/>
      <c r="B309" s="381"/>
      <c r="C309" s="317"/>
      <c r="D309" s="381"/>
      <c r="E309" s="381"/>
      <c r="F309" s="381"/>
      <c r="G309" s="317"/>
      <c r="H309" s="317"/>
      <c r="I309" s="317"/>
      <c r="J309" s="317"/>
      <c r="K309" s="317"/>
      <c r="L309" s="317"/>
      <c r="M309" s="317"/>
      <c r="N309" s="317"/>
      <c r="O309" s="317"/>
      <c r="P309" s="317"/>
      <c r="Q309" s="317"/>
      <c r="R309" s="317"/>
      <c r="S309" s="317"/>
      <c r="T309" s="317"/>
      <c r="U309" s="317"/>
      <c r="V309" s="317"/>
      <c r="W309" s="317"/>
      <c r="X309" s="317"/>
      <c r="Y309" s="317"/>
      <c r="Z309" s="317"/>
      <c r="AA309" s="317"/>
      <c r="AB309" s="317"/>
      <c r="AC309" s="317"/>
    </row>
    <row r="310">
      <c r="A310" s="317"/>
      <c r="B310" s="381"/>
      <c r="C310" s="317"/>
      <c r="D310" s="381"/>
      <c r="E310" s="381"/>
      <c r="F310" s="381"/>
      <c r="G310" s="317"/>
      <c r="H310" s="317"/>
      <c r="I310" s="317"/>
      <c r="J310" s="317"/>
      <c r="K310" s="317"/>
      <c r="L310" s="317"/>
      <c r="M310" s="317"/>
      <c r="N310" s="317"/>
      <c r="O310" s="317"/>
      <c r="P310" s="317"/>
      <c r="Q310" s="317"/>
      <c r="R310" s="317"/>
      <c r="S310" s="317"/>
      <c r="T310" s="317"/>
      <c r="U310" s="317"/>
      <c r="V310" s="317"/>
      <c r="W310" s="317"/>
      <c r="X310" s="317"/>
      <c r="Y310" s="317"/>
      <c r="Z310" s="317"/>
      <c r="AA310" s="317"/>
      <c r="AB310" s="317"/>
      <c r="AC310" s="317"/>
    </row>
    <row r="311">
      <c r="A311" s="317"/>
      <c r="B311" s="381"/>
      <c r="C311" s="317"/>
      <c r="D311" s="381"/>
      <c r="E311" s="381"/>
      <c r="F311" s="381"/>
      <c r="G311" s="317"/>
      <c r="H311" s="317"/>
      <c r="I311" s="317"/>
      <c r="J311" s="317"/>
      <c r="K311" s="317"/>
      <c r="L311" s="317"/>
      <c r="M311" s="317"/>
      <c r="N311" s="317"/>
      <c r="O311" s="317"/>
      <c r="P311" s="317"/>
      <c r="Q311" s="317"/>
      <c r="R311" s="317"/>
      <c r="S311" s="317"/>
      <c r="T311" s="317"/>
      <c r="U311" s="317"/>
      <c r="V311" s="317"/>
      <c r="W311" s="317"/>
      <c r="X311" s="317"/>
      <c r="Y311" s="317"/>
      <c r="Z311" s="317"/>
      <c r="AA311" s="317"/>
      <c r="AB311" s="317"/>
      <c r="AC311" s="317"/>
    </row>
    <row r="312">
      <c r="A312" s="317"/>
      <c r="B312" s="381"/>
      <c r="C312" s="317"/>
      <c r="D312" s="381"/>
      <c r="E312" s="381"/>
      <c r="F312" s="381"/>
      <c r="G312" s="317"/>
      <c r="H312" s="317"/>
      <c r="I312" s="317"/>
      <c r="J312" s="317"/>
      <c r="K312" s="317"/>
      <c r="L312" s="317"/>
      <c r="M312" s="317"/>
      <c r="N312" s="317"/>
      <c r="O312" s="317"/>
      <c r="P312" s="317"/>
      <c r="Q312" s="317"/>
      <c r="R312" s="317"/>
      <c r="S312" s="317"/>
      <c r="T312" s="317"/>
      <c r="U312" s="317"/>
      <c r="V312" s="317"/>
      <c r="W312" s="317"/>
      <c r="X312" s="317"/>
      <c r="Y312" s="317"/>
      <c r="Z312" s="317"/>
      <c r="AA312" s="317"/>
      <c r="AB312" s="317"/>
      <c r="AC312" s="317"/>
    </row>
    <row r="313">
      <c r="A313" s="317"/>
      <c r="B313" s="381"/>
      <c r="C313" s="317"/>
      <c r="D313" s="381"/>
      <c r="E313" s="381"/>
      <c r="F313" s="381"/>
      <c r="G313" s="317"/>
      <c r="H313" s="317"/>
      <c r="I313" s="317"/>
      <c r="J313" s="317"/>
      <c r="K313" s="317"/>
      <c r="L313" s="317"/>
      <c r="M313" s="317"/>
      <c r="N313" s="317"/>
      <c r="O313" s="317"/>
      <c r="P313" s="317"/>
      <c r="Q313" s="317"/>
      <c r="R313" s="317"/>
      <c r="S313" s="317"/>
      <c r="T313" s="317"/>
      <c r="U313" s="317"/>
      <c r="V313" s="317"/>
      <c r="W313" s="317"/>
      <c r="X313" s="317"/>
      <c r="Y313" s="317"/>
      <c r="Z313" s="317"/>
      <c r="AA313" s="317"/>
      <c r="AB313" s="317"/>
      <c r="AC313" s="317"/>
    </row>
    <row r="314">
      <c r="A314" s="317"/>
      <c r="B314" s="381"/>
      <c r="C314" s="317"/>
      <c r="D314" s="381"/>
      <c r="E314" s="381"/>
      <c r="F314" s="381"/>
      <c r="G314" s="317"/>
      <c r="H314" s="317"/>
      <c r="I314" s="317"/>
      <c r="J314" s="317"/>
      <c r="K314" s="317"/>
      <c r="L314" s="317"/>
      <c r="M314" s="317"/>
      <c r="N314" s="317"/>
      <c r="O314" s="317"/>
      <c r="P314" s="317"/>
      <c r="Q314" s="317"/>
      <c r="R314" s="317"/>
      <c r="S314" s="317"/>
      <c r="T314" s="317"/>
      <c r="U314" s="317"/>
      <c r="V314" s="317"/>
      <c r="W314" s="317"/>
      <c r="X314" s="317"/>
      <c r="Y314" s="317"/>
      <c r="Z314" s="317"/>
      <c r="AA314" s="317"/>
      <c r="AB314" s="317"/>
      <c r="AC314" s="317"/>
    </row>
    <row r="315">
      <c r="A315" s="317"/>
      <c r="B315" s="381"/>
      <c r="C315" s="317"/>
      <c r="D315" s="381"/>
      <c r="E315" s="381"/>
      <c r="F315" s="381"/>
      <c r="G315" s="317"/>
      <c r="H315" s="317"/>
      <c r="I315" s="317"/>
      <c r="J315" s="317"/>
      <c r="K315" s="317"/>
      <c r="L315" s="317"/>
      <c r="M315" s="317"/>
      <c r="N315" s="317"/>
      <c r="O315" s="317"/>
      <c r="P315" s="317"/>
      <c r="Q315" s="317"/>
      <c r="R315" s="317"/>
      <c r="S315" s="317"/>
      <c r="T315" s="317"/>
      <c r="U315" s="317"/>
      <c r="V315" s="317"/>
      <c r="W315" s="317"/>
      <c r="X315" s="317"/>
      <c r="Y315" s="317"/>
      <c r="Z315" s="317"/>
      <c r="AA315" s="317"/>
      <c r="AB315" s="317"/>
      <c r="AC315" s="317"/>
    </row>
    <row r="316">
      <c r="A316" s="317"/>
      <c r="B316" s="381"/>
      <c r="C316" s="317"/>
      <c r="D316" s="381"/>
      <c r="E316" s="381"/>
      <c r="F316" s="381"/>
      <c r="G316" s="317"/>
      <c r="H316" s="317"/>
      <c r="I316" s="317"/>
      <c r="J316" s="317"/>
      <c r="K316" s="317"/>
      <c r="L316" s="317"/>
      <c r="M316" s="317"/>
      <c r="N316" s="317"/>
      <c r="O316" s="317"/>
      <c r="P316" s="317"/>
      <c r="Q316" s="317"/>
      <c r="R316" s="317"/>
      <c r="S316" s="317"/>
      <c r="T316" s="317"/>
      <c r="U316" s="317"/>
      <c r="V316" s="317"/>
      <c r="W316" s="317"/>
      <c r="X316" s="317"/>
      <c r="Y316" s="317"/>
      <c r="Z316" s="317"/>
      <c r="AA316" s="317"/>
      <c r="AB316" s="317"/>
      <c r="AC316" s="317"/>
    </row>
    <row r="317">
      <c r="A317" s="317"/>
      <c r="B317" s="381"/>
      <c r="C317" s="317"/>
      <c r="D317" s="381"/>
      <c r="E317" s="381"/>
      <c r="F317" s="381"/>
      <c r="G317" s="317"/>
      <c r="H317" s="317"/>
      <c r="I317" s="317"/>
      <c r="J317" s="317"/>
      <c r="K317" s="317"/>
      <c r="L317" s="317"/>
      <c r="M317" s="317"/>
      <c r="N317" s="317"/>
      <c r="O317" s="317"/>
      <c r="P317" s="317"/>
      <c r="Q317" s="317"/>
      <c r="R317" s="317"/>
      <c r="S317" s="317"/>
      <c r="T317" s="317"/>
      <c r="U317" s="317"/>
      <c r="V317" s="317"/>
      <c r="W317" s="317"/>
      <c r="X317" s="317"/>
      <c r="Y317" s="317"/>
      <c r="Z317" s="317"/>
      <c r="AA317" s="317"/>
      <c r="AB317" s="317"/>
      <c r="AC317" s="317"/>
    </row>
    <row r="318">
      <c r="A318" s="317"/>
      <c r="B318" s="381"/>
      <c r="C318" s="317"/>
      <c r="D318" s="381"/>
      <c r="E318" s="381"/>
      <c r="F318" s="381"/>
      <c r="G318" s="317"/>
      <c r="H318" s="317"/>
      <c r="I318" s="317"/>
      <c r="J318" s="317"/>
      <c r="K318" s="317"/>
      <c r="L318" s="317"/>
      <c r="M318" s="317"/>
      <c r="N318" s="317"/>
      <c r="O318" s="317"/>
      <c r="P318" s="317"/>
      <c r="Q318" s="317"/>
      <c r="R318" s="317"/>
      <c r="S318" s="317"/>
      <c r="T318" s="317"/>
      <c r="U318" s="317"/>
      <c r="V318" s="317"/>
      <c r="W318" s="317"/>
      <c r="X318" s="317"/>
      <c r="Y318" s="317"/>
      <c r="Z318" s="317"/>
      <c r="AA318" s="317"/>
      <c r="AB318" s="317"/>
      <c r="AC318" s="317"/>
    </row>
    <row r="319">
      <c r="A319" s="317"/>
      <c r="B319" s="381"/>
      <c r="C319" s="317"/>
      <c r="D319" s="381"/>
      <c r="E319" s="381"/>
      <c r="F319" s="381"/>
      <c r="G319" s="317"/>
      <c r="H319" s="317"/>
      <c r="I319" s="317"/>
      <c r="J319" s="317"/>
      <c r="K319" s="317"/>
      <c r="L319" s="317"/>
      <c r="M319" s="317"/>
      <c r="N319" s="317"/>
      <c r="O319" s="317"/>
      <c r="P319" s="317"/>
      <c r="Q319" s="317"/>
      <c r="R319" s="317"/>
      <c r="S319" s="317"/>
      <c r="T319" s="317"/>
      <c r="U319" s="317"/>
      <c r="V319" s="317"/>
      <c r="W319" s="317"/>
      <c r="X319" s="317"/>
      <c r="Y319" s="317"/>
      <c r="Z319" s="317"/>
      <c r="AA319" s="317"/>
      <c r="AB319" s="317"/>
      <c r="AC319" s="317"/>
    </row>
    <row r="320">
      <c r="A320" s="317"/>
      <c r="B320" s="381"/>
      <c r="C320" s="317"/>
      <c r="D320" s="381"/>
      <c r="E320" s="381"/>
      <c r="F320" s="381"/>
      <c r="G320" s="317"/>
      <c r="H320" s="317"/>
      <c r="I320" s="317"/>
      <c r="J320" s="317"/>
      <c r="K320" s="317"/>
      <c r="L320" s="317"/>
      <c r="M320" s="317"/>
      <c r="N320" s="317"/>
      <c r="O320" s="317"/>
      <c r="P320" s="317"/>
      <c r="Q320" s="317"/>
      <c r="R320" s="317"/>
      <c r="S320" s="317"/>
      <c r="T320" s="317"/>
      <c r="U320" s="317"/>
      <c r="V320" s="317"/>
      <c r="W320" s="317"/>
      <c r="X320" s="317"/>
      <c r="Y320" s="317"/>
      <c r="Z320" s="317"/>
      <c r="AA320" s="317"/>
      <c r="AB320" s="317"/>
      <c r="AC320" s="317"/>
    </row>
    <row r="321">
      <c r="A321" s="317"/>
      <c r="B321" s="381"/>
      <c r="C321" s="317"/>
      <c r="D321" s="381"/>
      <c r="E321" s="381"/>
      <c r="F321" s="381"/>
      <c r="G321" s="317"/>
      <c r="H321" s="317"/>
      <c r="I321" s="317"/>
      <c r="J321" s="317"/>
      <c r="K321" s="317"/>
      <c r="L321" s="317"/>
      <c r="M321" s="317"/>
      <c r="N321" s="317"/>
      <c r="O321" s="317"/>
      <c r="P321" s="317"/>
      <c r="Q321" s="317"/>
      <c r="R321" s="317"/>
      <c r="S321" s="317"/>
      <c r="T321" s="317"/>
      <c r="U321" s="317"/>
      <c r="V321" s="317"/>
      <c r="W321" s="317"/>
      <c r="X321" s="317"/>
      <c r="Y321" s="317"/>
      <c r="Z321" s="317"/>
      <c r="AA321" s="317"/>
      <c r="AB321" s="317"/>
      <c r="AC321" s="317"/>
    </row>
    <row r="322">
      <c r="A322" s="317"/>
      <c r="B322" s="381"/>
      <c r="C322" s="317"/>
      <c r="D322" s="381"/>
      <c r="E322" s="381"/>
      <c r="F322" s="381"/>
      <c r="G322" s="317"/>
      <c r="H322" s="317"/>
      <c r="I322" s="317"/>
      <c r="J322" s="317"/>
      <c r="K322" s="317"/>
      <c r="L322" s="317"/>
      <c r="M322" s="317"/>
      <c r="N322" s="317"/>
      <c r="O322" s="317"/>
      <c r="P322" s="317"/>
      <c r="Q322" s="317"/>
      <c r="R322" s="317"/>
      <c r="S322" s="317"/>
      <c r="T322" s="317"/>
      <c r="U322" s="317"/>
      <c r="V322" s="317"/>
      <c r="W322" s="317"/>
      <c r="X322" s="317"/>
      <c r="Y322" s="317"/>
      <c r="Z322" s="317"/>
      <c r="AA322" s="317"/>
      <c r="AB322" s="317"/>
      <c r="AC322" s="317"/>
    </row>
    <row r="323">
      <c r="A323" s="317"/>
      <c r="B323" s="381"/>
      <c r="C323" s="317"/>
      <c r="D323" s="381"/>
      <c r="E323" s="381"/>
      <c r="F323" s="381"/>
      <c r="G323" s="317"/>
      <c r="H323" s="317"/>
      <c r="I323" s="317"/>
      <c r="J323" s="317"/>
      <c r="K323" s="317"/>
      <c r="L323" s="317"/>
      <c r="M323" s="317"/>
      <c r="N323" s="317"/>
      <c r="O323" s="317"/>
      <c r="P323" s="317"/>
      <c r="Q323" s="317"/>
      <c r="R323" s="317"/>
      <c r="S323" s="317"/>
      <c r="T323" s="317"/>
      <c r="U323" s="317"/>
      <c r="V323" s="317"/>
      <c r="W323" s="317"/>
      <c r="X323" s="317"/>
      <c r="Y323" s="317"/>
      <c r="Z323" s="317"/>
      <c r="AA323" s="317"/>
      <c r="AB323" s="317"/>
      <c r="AC323" s="317"/>
    </row>
    <row r="324">
      <c r="A324" s="317"/>
      <c r="B324" s="381"/>
      <c r="C324" s="317"/>
      <c r="D324" s="381"/>
      <c r="E324" s="381"/>
      <c r="F324" s="381"/>
      <c r="G324" s="317"/>
      <c r="H324" s="317"/>
      <c r="I324" s="317"/>
      <c r="J324" s="317"/>
      <c r="K324" s="317"/>
      <c r="L324" s="317"/>
      <c r="M324" s="317"/>
      <c r="N324" s="317"/>
      <c r="O324" s="317"/>
      <c r="P324" s="317"/>
      <c r="Q324" s="317"/>
      <c r="R324" s="317"/>
      <c r="S324" s="317"/>
      <c r="T324" s="317"/>
      <c r="U324" s="317"/>
      <c r="V324" s="317"/>
      <c r="W324" s="317"/>
      <c r="X324" s="317"/>
      <c r="Y324" s="317"/>
      <c r="Z324" s="317"/>
      <c r="AA324" s="317"/>
      <c r="AB324" s="317"/>
      <c r="AC324" s="317"/>
    </row>
    <row r="325">
      <c r="A325" s="317"/>
      <c r="B325" s="381"/>
      <c r="C325" s="317"/>
      <c r="D325" s="381"/>
      <c r="E325" s="381"/>
      <c r="F325" s="381"/>
      <c r="G325" s="317"/>
      <c r="H325" s="317"/>
      <c r="I325" s="317"/>
      <c r="J325" s="317"/>
      <c r="K325" s="317"/>
      <c r="L325" s="317"/>
      <c r="M325" s="317"/>
      <c r="N325" s="317"/>
      <c r="O325" s="317"/>
      <c r="P325" s="317"/>
      <c r="Q325" s="317"/>
      <c r="R325" s="317"/>
      <c r="S325" s="317"/>
      <c r="T325" s="317"/>
      <c r="U325" s="317"/>
      <c r="V325" s="317"/>
      <c r="W325" s="317"/>
      <c r="X325" s="317"/>
      <c r="Y325" s="317"/>
      <c r="Z325" s="317"/>
      <c r="AA325" s="317"/>
      <c r="AB325" s="317"/>
      <c r="AC325" s="317"/>
    </row>
    <row r="326">
      <c r="A326" s="317"/>
      <c r="B326" s="381"/>
      <c r="C326" s="317"/>
      <c r="D326" s="381"/>
      <c r="E326" s="381"/>
      <c r="F326" s="381"/>
      <c r="G326" s="317"/>
      <c r="H326" s="317"/>
      <c r="I326" s="317"/>
      <c r="J326" s="317"/>
      <c r="K326" s="317"/>
      <c r="L326" s="317"/>
      <c r="M326" s="317"/>
      <c r="N326" s="317"/>
      <c r="O326" s="317"/>
      <c r="P326" s="317"/>
      <c r="Q326" s="317"/>
      <c r="R326" s="317"/>
      <c r="S326" s="317"/>
      <c r="T326" s="317"/>
      <c r="U326" s="317"/>
      <c r="V326" s="317"/>
      <c r="W326" s="317"/>
      <c r="X326" s="317"/>
      <c r="Y326" s="317"/>
      <c r="Z326" s="317"/>
      <c r="AA326" s="317"/>
      <c r="AB326" s="317"/>
      <c r="AC326" s="317"/>
    </row>
    <row r="327">
      <c r="A327" s="317"/>
      <c r="B327" s="381"/>
      <c r="C327" s="317"/>
      <c r="D327" s="381"/>
      <c r="E327" s="381"/>
      <c r="F327" s="381"/>
      <c r="G327" s="317"/>
      <c r="H327" s="317"/>
      <c r="I327" s="317"/>
      <c r="J327" s="317"/>
      <c r="K327" s="317"/>
      <c r="L327" s="317"/>
      <c r="M327" s="317"/>
      <c r="N327" s="317"/>
      <c r="O327" s="317"/>
      <c r="P327" s="317"/>
      <c r="Q327" s="317"/>
      <c r="R327" s="317"/>
      <c r="S327" s="317"/>
      <c r="T327" s="317"/>
      <c r="U327" s="317"/>
      <c r="V327" s="317"/>
      <c r="W327" s="317"/>
      <c r="X327" s="317"/>
      <c r="Y327" s="317"/>
      <c r="Z327" s="317"/>
      <c r="AA327" s="317"/>
      <c r="AB327" s="317"/>
      <c r="AC327" s="317"/>
    </row>
    <row r="328">
      <c r="A328" s="317"/>
      <c r="B328" s="381"/>
      <c r="C328" s="317"/>
      <c r="D328" s="381"/>
      <c r="E328" s="381"/>
      <c r="F328" s="381"/>
      <c r="G328" s="317"/>
      <c r="H328" s="317"/>
      <c r="I328" s="317"/>
      <c r="J328" s="317"/>
      <c r="K328" s="317"/>
      <c r="L328" s="317"/>
      <c r="M328" s="317"/>
      <c r="N328" s="317"/>
      <c r="O328" s="317"/>
      <c r="P328" s="317"/>
      <c r="Q328" s="317"/>
      <c r="R328" s="317"/>
      <c r="S328" s="317"/>
      <c r="T328" s="317"/>
      <c r="U328" s="317"/>
      <c r="V328" s="317"/>
      <c r="W328" s="317"/>
      <c r="X328" s="317"/>
      <c r="Y328" s="317"/>
      <c r="Z328" s="317"/>
      <c r="AA328" s="317"/>
      <c r="AB328" s="317"/>
      <c r="AC328" s="317"/>
    </row>
    <row r="329">
      <c r="A329" s="317"/>
      <c r="B329" s="381"/>
      <c r="C329" s="317"/>
      <c r="D329" s="381"/>
      <c r="E329" s="381"/>
      <c r="F329" s="381"/>
      <c r="G329" s="317"/>
      <c r="H329" s="317"/>
      <c r="I329" s="317"/>
      <c r="J329" s="317"/>
      <c r="K329" s="317"/>
      <c r="L329" s="317"/>
      <c r="M329" s="317"/>
      <c r="N329" s="317"/>
      <c r="O329" s="317"/>
      <c r="P329" s="317"/>
      <c r="Q329" s="317"/>
      <c r="R329" s="317"/>
      <c r="S329" s="317"/>
      <c r="T329" s="317"/>
      <c r="U329" s="317"/>
      <c r="V329" s="317"/>
      <c r="W329" s="317"/>
      <c r="X329" s="317"/>
      <c r="Y329" s="317"/>
      <c r="Z329" s="317"/>
      <c r="AA329" s="317"/>
      <c r="AB329" s="317"/>
      <c r="AC329" s="317"/>
    </row>
    <row r="330">
      <c r="A330" s="317"/>
      <c r="B330" s="381"/>
      <c r="C330" s="317"/>
      <c r="D330" s="381"/>
      <c r="E330" s="381"/>
      <c r="F330" s="381"/>
      <c r="G330" s="317"/>
      <c r="H330" s="317"/>
      <c r="I330" s="317"/>
      <c r="J330" s="317"/>
      <c r="K330" s="317"/>
      <c r="L330" s="317"/>
      <c r="M330" s="317"/>
      <c r="N330" s="317"/>
      <c r="O330" s="317"/>
      <c r="P330" s="317"/>
      <c r="Q330" s="317"/>
      <c r="R330" s="317"/>
      <c r="S330" s="317"/>
      <c r="T330" s="317"/>
      <c r="U330" s="317"/>
      <c r="V330" s="317"/>
      <c r="W330" s="317"/>
      <c r="X330" s="317"/>
      <c r="Y330" s="317"/>
      <c r="Z330" s="317"/>
      <c r="AA330" s="317"/>
      <c r="AB330" s="317"/>
      <c r="AC330" s="317"/>
    </row>
    <row r="331">
      <c r="A331" s="317"/>
      <c r="B331" s="381"/>
      <c r="C331" s="317"/>
      <c r="D331" s="381"/>
      <c r="E331" s="381"/>
      <c r="F331" s="381"/>
      <c r="G331" s="317"/>
      <c r="H331" s="317"/>
      <c r="I331" s="317"/>
      <c r="J331" s="317"/>
      <c r="K331" s="317"/>
      <c r="L331" s="317"/>
      <c r="M331" s="317"/>
      <c r="N331" s="317"/>
      <c r="O331" s="317"/>
      <c r="P331" s="317"/>
      <c r="Q331" s="317"/>
      <c r="R331" s="317"/>
      <c r="S331" s="317"/>
      <c r="T331" s="317"/>
      <c r="U331" s="317"/>
      <c r="V331" s="317"/>
      <c r="W331" s="317"/>
      <c r="X331" s="317"/>
      <c r="Y331" s="317"/>
      <c r="Z331" s="317"/>
      <c r="AA331" s="317"/>
      <c r="AB331" s="317"/>
      <c r="AC331" s="317"/>
    </row>
    <row r="332">
      <c r="A332" s="317"/>
      <c r="B332" s="381"/>
      <c r="C332" s="317"/>
      <c r="D332" s="381"/>
      <c r="E332" s="381"/>
      <c r="F332" s="381"/>
      <c r="G332" s="317"/>
      <c r="H332" s="317"/>
      <c r="I332" s="317"/>
      <c r="J332" s="317"/>
      <c r="K332" s="317"/>
      <c r="L332" s="317"/>
      <c r="M332" s="317"/>
      <c r="N332" s="317"/>
      <c r="O332" s="317"/>
      <c r="P332" s="317"/>
      <c r="Q332" s="317"/>
      <c r="R332" s="317"/>
      <c r="S332" s="317"/>
      <c r="T332" s="317"/>
      <c r="U332" s="317"/>
      <c r="V332" s="317"/>
      <c r="W332" s="317"/>
      <c r="X332" s="317"/>
      <c r="Y332" s="317"/>
      <c r="Z332" s="317"/>
      <c r="AA332" s="317"/>
      <c r="AB332" s="317"/>
      <c r="AC332" s="317"/>
    </row>
    <row r="333">
      <c r="A333" s="317"/>
      <c r="B333" s="381"/>
      <c r="C333" s="317"/>
      <c r="D333" s="381"/>
      <c r="E333" s="381"/>
      <c r="F333" s="381"/>
      <c r="G333" s="317"/>
      <c r="H333" s="317"/>
      <c r="I333" s="317"/>
      <c r="J333" s="317"/>
      <c r="K333" s="317"/>
      <c r="L333" s="317"/>
      <c r="M333" s="317"/>
      <c r="N333" s="317"/>
      <c r="O333" s="317"/>
      <c r="P333" s="317"/>
      <c r="Q333" s="317"/>
      <c r="R333" s="317"/>
      <c r="S333" s="317"/>
      <c r="T333" s="317"/>
      <c r="U333" s="317"/>
      <c r="V333" s="317"/>
      <c r="W333" s="317"/>
      <c r="X333" s="317"/>
      <c r="Y333" s="317"/>
      <c r="Z333" s="317"/>
      <c r="AA333" s="317"/>
      <c r="AB333" s="317"/>
      <c r="AC333" s="317"/>
    </row>
    <row r="334">
      <c r="A334" s="317"/>
      <c r="B334" s="381"/>
      <c r="C334" s="317"/>
      <c r="D334" s="381"/>
      <c r="E334" s="381"/>
      <c r="F334" s="381"/>
      <c r="G334" s="317"/>
      <c r="H334" s="317"/>
      <c r="I334" s="317"/>
      <c r="J334" s="317"/>
      <c r="K334" s="317"/>
      <c r="L334" s="317"/>
      <c r="M334" s="317"/>
      <c r="N334" s="317"/>
      <c r="O334" s="317"/>
      <c r="P334" s="317"/>
      <c r="Q334" s="317"/>
      <c r="R334" s="317"/>
      <c r="S334" s="317"/>
      <c r="T334" s="317"/>
      <c r="U334" s="317"/>
      <c r="V334" s="317"/>
      <c r="W334" s="317"/>
      <c r="X334" s="317"/>
      <c r="Y334" s="317"/>
      <c r="Z334" s="317"/>
      <c r="AA334" s="317"/>
      <c r="AB334" s="317"/>
      <c r="AC334" s="317"/>
    </row>
    <row r="335">
      <c r="A335" s="317"/>
      <c r="B335" s="381"/>
      <c r="C335" s="317"/>
      <c r="D335" s="381"/>
      <c r="E335" s="381"/>
      <c r="F335" s="381"/>
      <c r="G335" s="317"/>
      <c r="H335" s="317"/>
      <c r="I335" s="317"/>
      <c r="J335" s="317"/>
      <c r="K335" s="317"/>
      <c r="L335" s="317"/>
      <c r="M335" s="317"/>
      <c r="N335" s="317"/>
      <c r="O335" s="317"/>
      <c r="P335" s="317"/>
      <c r="Q335" s="317"/>
      <c r="R335" s="317"/>
      <c r="S335" s="317"/>
      <c r="T335" s="317"/>
      <c r="U335" s="317"/>
      <c r="V335" s="317"/>
      <c r="W335" s="317"/>
      <c r="X335" s="317"/>
      <c r="Y335" s="317"/>
      <c r="Z335" s="317"/>
      <c r="AA335" s="317"/>
      <c r="AB335" s="317"/>
      <c r="AC335" s="317"/>
    </row>
    <row r="336">
      <c r="A336" s="317"/>
      <c r="B336" s="381"/>
      <c r="C336" s="317"/>
      <c r="D336" s="381"/>
      <c r="E336" s="381"/>
      <c r="F336" s="381"/>
      <c r="G336" s="317"/>
      <c r="H336" s="317"/>
      <c r="I336" s="317"/>
      <c r="J336" s="317"/>
      <c r="K336" s="317"/>
      <c r="L336" s="317"/>
      <c r="M336" s="317"/>
      <c r="N336" s="317"/>
      <c r="O336" s="317"/>
      <c r="P336" s="317"/>
      <c r="Q336" s="317"/>
      <c r="R336" s="317"/>
      <c r="S336" s="317"/>
      <c r="T336" s="317"/>
      <c r="U336" s="317"/>
      <c r="V336" s="317"/>
      <c r="W336" s="317"/>
      <c r="X336" s="317"/>
      <c r="Y336" s="317"/>
      <c r="Z336" s="317"/>
      <c r="AA336" s="317"/>
      <c r="AB336" s="317"/>
      <c r="AC336" s="317"/>
    </row>
    <row r="337">
      <c r="A337" s="317"/>
      <c r="B337" s="381"/>
      <c r="C337" s="317"/>
      <c r="D337" s="381"/>
      <c r="E337" s="381"/>
      <c r="F337" s="381"/>
      <c r="G337" s="317"/>
      <c r="H337" s="317"/>
      <c r="I337" s="317"/>
      <c r="J337" s="317"/>
      <c r="K337" s="317"/>
      <c r="L337" s="317"/>
      <c r="M337" s="317"/>
      <c r="N337" s="317"/>
      <c r="O337" s="317"/>
      <c r="P337" s="317"/>
      <c r="Q337" s="317"/>
      <c r="R337" s="317"/>
      <c r="S337" s="317"/>
      <c r="T337" s="317"/>
      <c r="U337" s="317"/>
      <c r="V337" s="317"/>
      <c r="W337" s="317"/>
      <c r="X337" s="317"/>
      <c r="Y337" s="317"/>
      <c r="Z337" s="317"/>
      <c r="AA337" s="317"/>
      <c r="AB337" s="317"/>
      <c r="AC337" s="317"/>
    </row>
    <row r="338">
      <c r="A338" s="317"/>
      <c r="B338" s="381"/>
      <c r="C338" s="317"/>
      <c r="D338" s="381"/>
      <c r="E338" s="381"/>
      <c r="F338" s="381"/>
      <c r="G338" s="317"/>
      <c r="H338" s="317"/>
      <c r="I338" s="317"/>
      <c r="J338" s="317"/>
      <c r="K338" s="317"/>
      <c r="L338" s="317"/>
      <c r="M338" s="317"/>
      <c r="N338" s="317"/>
      <c r="O338" s="317"/>
      <c r="P338" s="317"/>
      <c r="Q338" s="317"/>
      <c r="R338" s="317"/>
      <c r="S338" s="317"/>
      <c r="T338" s="317"/>
      <c r="U338" s="317"/>
      <c r="V338" s="317"/>
      <c r="W338" s="317"/>
      <c r="X338" s="317"/>
      <c r="Y338" s="317"/>
      <c r="Z338" s="317"/>
      <c r="AA338" s="317"/>
      <c r="AB338" s="317"/>
      <c r="AC338" s="317"/>
    </row>
    <row r="339">
      <c r="A339" s="317"/>
      <c r="B339" s="381"/>
      <c r="C339" s="317"/>
      <c r="D339" s="381"/>
      <c r="E339" s="381"/>
      <c r="F339" s="381"/>
      <c r="G339" s="317"/>
      <c r="H339" s="317"/>
      <c r="I339" s="317"/>
      <c r="J339" s="317"/>
      <c r="K339" s="317"/>
      <c r="L339" s="317"/>
      <c r="M339" s="317"/>
      <c r="N339" s="317"/>
      <c r="O339" s="317"/>
      <c r="P339" s="317"/>
      <c r="Q339" s="317"/>
      <c r="R339" s="317"/>
      <c r="S339" s="317"/>
      <c r="T339" s="317"/>
      <c r="U339" s="317"/>
      <c r="V339" s="317"/>
      <c r="W339" s="317"/>
      <c r="X339" s="317"/>
      <c r="Y339" s="317"/>
      <c r="Z339" s="317"/>
      <c r="AA339" s="317"/>
      <c r="AB339" s="317"/>
      <c r="AC339" s="317"/>
    </row>
    <row r="340">
      <c r="A340" s="317"/>
      <c r="B340" s="381"/>
      <c r="C340" s="317"/>
      <c r="D340" s="381"/>
      <c r="E340" s="381"/>
      <c r="F340" s="381"/>
      <c r="G340" s="317"/>
      <c r="H340" s="317"/>
      <c r="I340" s="317"/>
      <c r="J340" s="317"/>
      <c r="K340" s="317"/>
      <c r="L340" s="317"/>
      <c r="M340" s="317"/>
      <c r="N340" s="317"/>
      <c r="O340" s="317"/>
      <c r="P340" s="317"/>
      <c r="Q340" s="317"/>
      <c r="R340" s="317"/>
      <c r="S340" s="317"/>
      <c r="T340" s="317"/>
      <c r="U340" s="317"/>
      <c r="V340" s="317"/>
      <c r="W340" s="317"/>
      <c r="X340" s="317"/>
      <c r="Y340" s="317"/>
      <c r="Z340" s="317"/>
      <c r="AA340" s="317"/>
      <c r="AB340" s="317"/>
      <c r="AC340" s="317"/>
    </row>
    <row r="341">
      <c r="A341" s="317"/>
      <c r="B341" s="381"/>
      <c r="C341" s="317"/>
      <c r="D341" s="381"/>
      <c r="E341" s="381"/>
      <c r="F341" s="381"/>
      <c r="G341" s="317"/>
      <c r="H341" s="317"/>
      <c r="I341" s="317"/>
      <c r="J341" s="317"/>
      <c r="K341" s="317"/>
      <c r="L341" s="317"/>
      <c r="M341" s="317"/>
      <c r="N341" s="317"/>
      <c r="O341" s="317"/>
      <c r="P341" s="317"/>
      <c r="Q341" s="317"/>
      <c r="R341" s="317"/>
      <c r="S341" s="317"/>
      <c r="T341" s="317"/>
      <c r="U341" s="317"/>
      <c r="V341" s="317"/>
      <c r="W341" s="317"/>
      <c r="X341" s="317"/>
      <c r="Y341" s="317"/>
      <c r="Z341" s="317"/>
      <c r="AA341" s="317"/>
      <c r="AB341" s="317"/>
      <c r="AC341" s="317"/>
    </row>
    <row r="342">
      <c r="A342" s="317"/>
      <c r="B342" s="381"/>
      <c r="C342" s="317"/>
      <c r="D342" s="381"/>
      <c r="E342" s="381"/>
      <c r="F342" s="381"/>
      <c r="G342" s="317"/>
      <c r="H342" s="317"/>
      <c r="I342" s="317"/>
      <c r="J342" s="317"/>
      <c r="K342" s="317"/>
      <c r="L342" s="317"/>
      <c r="M342" s="317"/>
      <c r="N342" s="317"/>
      <c r="O342" s="317"/>
      <c r="P342" s="317"/>
      <c r="Q342" s="317"/>
      <c r="R342" s="317"/>
      <c r="S342" s="317"/>
      <c r="T342" s="317"/>
      <c r="U342" s="317"/>
      <c r="V342" s="317"/>
      <c r="W342" s="317"/>
      <c r="X342" s="317"/>
      <c r="Y342" s="317"/>
      <c r="Z342" s="317"/>
      <c r="AA342" s="317"/>
      <c r="AB342" s="317"/>
      <c r="AC342" s="317"/>
    </row>
    <row r="343">
      <c r="A343" s="317"/>
      <c r="B343" s="381"/>
      <c r="C343" s="317"/>
      <c r="D343" s="381"/>
      <c r="E343" s="381"/>
      <c r="F343" s="381"/>
      <c r="G343" s="317"/>
      <c r="H343" s="317"/>
      <c r="I343" s="317"/>
      <c r="J343" s="317"/>
      <c r="K343" s="317"/>
      <c r="L343" s="317"/>
      <c r="M343" s="317"/>
      <c r="N343" s="317"/>
      <c r="O343" s="317"/>
      <c r="P343" s="317"/>
      <c r="Q343" s="317"/>
      <c r="R343" s="317"/>
      <c r="S343" s="317"/>
      <c r="T343" s="317"/>
      <c r="U343" s="317"/>
      <c r="V343" s="317"/>
      <c r="W343" s="317"/>
      <c r="X343" s="317"/>
      <c r="Y343" s="317"/>
      <c r="Z343" s="317"/>
      <c r="AA343" s="317"/>
      <c r="AB343" s="317"/>
      <c r="AC343" s="317"/>
    </row>
    <row r="344">
      <c r="A344" s="317"/>
      <c r="B344" s="381"/>
      <c r="C344" s="317"/>
      <c r="D344" s="381"/>
      <c r="E344" s="381"/>
      <c r="F344" s="381"/>
      <c r="G344" s="317"/>
      <c r="H344" s="317"/>
      <c r="I344" s="317"/>
      <c r="J344" s="317"/>
      <c r="K344" s="317"/>
      <c r="L344" s="317"/>
      <c r="M344" s="317"/>
      <c r="N344" s="317"/>
      <c r="O344" s="317"/>
      <c r="P344" s="317"/>
      <c r="Q344" s="317"/>
      <c r="R344" s="317"/>
      <c r="S344" s="317"/>
      <c r="T344" s="317"/>
      <c r="U344" s="317"/>
      <c r="V344" s="317"/>
      <c r="W344" s="317"/>
      <c r="X344" s="317"/>
      <c r="Y344" s="317"/>
      <c r="Z344" s="317"/>
      <c r="AA344" s="317"/>
      <c r="AB344" s="317"/>
      <c r="AC344" s="317"/>
    </row>
    <row r="345">
      <c r="A345" s="317"/>
      <c r="B345" s="381"/>
      <c r="C345" s="317"/>
      <c r="D345" s="381"/>
      <c r="E345" s="381"/>
      <c r="F345" s="381"/>
      <c r="G345" s="317"/>
      <c r="H345" s="317"/>
      <c r="I345" s="317"/>
      <c r="J345" s="317"/>
      <c r="K345" s="317"/>
      <c r="L345" s="317"/>
      <c r="M345" s="317"/>
      <c r="N345" s="317"/>
      <c r="O345" s="317"/>
      <c r="P345" s="317"/>
      <c r="Q345" s="317"/>
      <c r="R345" s="317"/>
      <c r="S345" s="317"/>
      <c r="T345" s="317"/>
      <c r="U345" s="317"/>
      <c r="V345" s="317"/>
      <c r="W345" s="317"/>
      <c r="X345" s="317"/>
      <c r="Y345" s="317"/>
      <c r="Z345" s="317"/>
      <c r="AA345" s="317"/>
      <c r="AB345" s="317"/>
      <c r="AC345" s="317"/>
    </row>
    <row r="346">
      <c r="A346" s="317"/>
      <c r="B346" s="381"/>
      <c r="C346" s="317"/>
      <c r="D346" s="381"/>
      <c r="E346" s="381"/>
      <c r="F346" s="381"/>
      <c r="G346" s="317"/>
      <c r="H346" s="317"/>
      <c r="I346" s="317"/>
      <c r="J346" s="317"/>
      <c r="K346" s="317"/>
      <c r="L346" s="317"/>
      <c r="M346" s="317"/>
      <c r="N346" s="317"/>
      <c r="O346" s="317"/>
      <c r="P346" s="317"/>
      <c r="Q346" s="317"/>
      <c r="R346" s="317"/>
      <c r="S346" s="317"/>
      <c r="T346" s="317"/>
      <c r="U346" s="317"/>
      <c r="V346" s="317"/>
      <c r="W346" s="317"/>
      <c r="X346" s="317"/>
      <c r="Y346" s="317"/>
      <c r="Z346" s="317"/>
      <c r="AA346" s="317"/>
      <c r="AB346" s="317"/>
      <c r="AC346" s="317"/>
    </row>
    <row r="347">
      <c r="A347" s="317"/>
      <c r="B347" s="381"/>
      <c r="C347" s="317"/>
      <c r="D347" s="381"/>
      <c r="E347" s="381"/>
      <c r="F347" s="381"/>
      <c r="G347" s="317"/>
      <c r="H347" s="317"/>
      <c r="I347" s="317"/>
      <c r="J347" s="317"/>
      <c r="K347" s="317"/>
      <c r="L347" s="317"/>
      <c r="M347" s="317"/>
      <c r="N347" s="317"/>
      <c r="O347" s="317"/>
      <c r="P347" s="317"/>
      <c r="Q347" s="317"/>
      <c r="R347" s="317"/>
      <c r="S347" s="317"/>
      <c r="T347" s="317"/>
      <c r="U347" s="317"/>
      <c r="V347" s="317"/>
      <c r="W347" s="317"/>
      <c r="X347" s="317"/>
      <c r="Y347" s="317"/>
      <c r="Z347" s="317"/>
      <c r="AA347" s="317"/>
      <c r="AB347" s="317"/>
      <c r="AC347" s="317"/>
    </row>
    <row r="348">
      <c r="A348" s="317"/>
      <c r="B348" s="381"/>
      <c r="C348" s="317"/>
      <c r="D348" s="381"/>
      <c r="E348" s="381"/>
      <c r="F348" s="381"/>
      <c r="G348" s="317"/>
      <c r="H348" s="317"/>
      <c r="I348" s="317"/>
      <c r="J348" s="317"/>
      <c r="K348" s="317"/>
      <c r="L348" s="317"/>
      <c r="M348" s="317"/>
      <c r="N348" s="317"/>
      <c r="O348" s="317"/>
      <c r="P348" s="317"/>
      <c r="Q348" s="317"/>
      <c r="R348" s="317"/>
      <c r="S348" s="317"/>
      <c r="T348" s="317"/>
      <c r="U348" s="317"/>
      <c r="V348" s="317"/>
      <c r="W348" s="317"/>
      <c r="X348" s="317"/>
      <c r="Y348" s="317"/>
      <c r="Z348" s="317"/>
      <c r="AA348" s="317"/>
      <c r="AB348" s="317"/>
      <c r="AC348" s="317"/>
    </row>
    <row r="349">
      <c r="A349" s="317"/>
      <c r="B349" s="381"/>
      <c r="C349" s="317"/>
      <c r="D349" s="381"/>
      <c r="E349" s="381"/>
      <c r="F349" s="381"/>
      <c r="G349" s="317"/>
      <c r="H349" s="317"/>
      <c r="I349" s="317"/>
      <c r="J349" s="317"/>
      <c r="K349" s="317"/>
      <c r="L349" s="317"/>
      <c r="M349" s="317"/>
      <c r="N349" s="317"/>
      <c r="O349" s="317"/>
      <c r="P349" s="317"/>
      <c r="Q349" s="317"/>
      <c r="R349" s="317"/>
      <c r="S349" s="317"/>
      <c r="T349" s="317"/>
      <c r="U349" s="317"/>
      <c r="V349" s="317"/>
      <c r="W349" s="317"/>
      <c r="X349" s="317"/>
      <c r="Y349" s="317"/>
      <c r="Z349" s="317"/>
      <c r="AA349" s="317"/>
      <c r="AB349" s="317"/>
      <c r="AC349" s="317"/>
    </row>
    <row r="350">
      <c r="A350" s="317"/>
      <c r="B350" s="381"/>
      <c r="C350" s="317"/>
      <c r="D350" s="381"/>
      <c r="E350" s="381"/>
      <c r="F350" s="381"/>
      <c r="G350" s="317"/>
      <c r="H350" s="317"/>
      <c r="I350" s="317"/>
      <c r="J350" s="317"/>
      <c r="K350" s="317"/>
      <c r="L350" s="317"/>
      <c r="M350" s="317"/>
      <c r="N350" s="317"/>
      <c r="O350" s="317"/>
      <c r="P350" s="317"/>
      <c r="Q350" s="317"/>
      <c r="R350" s="317"/>
      <c r="S350" s="317"/>
      <c r="T350" s="317"/>
      <c r="U350" s="317"/>
      <c r="V350" s="317"/>
      <c r="W350" s="317"/>
      <c r="X350" s="317"/>
      <c r="Y350" s="317"/>
      <c r="Z350" s="317"/>
      <c r="AA350" s="317"/>
      <c r="AB350" s="317"/>
      <c r="AC350" s="317"/>
    </row>
    <row r="351">
      <c r="A351" s="317"/>
      <c r="B351" s="381"/>
      <c r="C351" s="317"/>
      <c r="D351" s="381"/>
      <c r="E351" s="381"/>
      <c r="F351" s="381"/>
      <c r="G351" s="317"/>
      <c r="H351" s="317"/>
      <c r="I351" s="317"/>
      <c r="J351" s="317"/>
      <c r="K351" s="317"/>
      <c r="L351" s="317"/>
      <c r="M351" s="317"/>
      <c r="N351" s="317"/>
      <c r="O351" s="317"/>
      <c r="P351" s="317"/>
      <c r="Q351" s="317"/>
      <c r="R351" s="317"/>
      <c r="S351" s="317"/>
      <c r="T351" s="317"/>
      <c r="U351" s="317"/>
      <c r="V351" s="317"/>
      <c r="W351" s="317"/>
      <c r="X351" s="317"/>
      <c r="Y351" s="317"/>
      <c r="Z351" s="317"/>
      <c r="AA351" s="317"/>
      <c r="AB351" s="317"/>
      <c r="AC351" s="317"/>
    </row>
    <row r="352">
      <c r="A352" s="317"/>
      <c r="B352" s="381"/>
      <c r="C352" s="317"/>
      <c r="D352" s="381"/>
      <c r="E352" s="381"/>
      <c r="F352" s="381"/>
      <c r="G352" s="317"/>
      <c r="H352" s="317"/>
      <c r="I352" s="317"/>
      <c r="J352" s="317"/>
      <c r="K352" s="317"/>
      <c r="L352" s="317"/>
      <c r="M352" s="317"/>
      <c r="N352" s="317"/>
      <c r="O352" s="317"/>
      <c r="P352" s="317"/>
      <c r="Q352" s="317"/>
      <c r="R352" s="317"/>
      <c r="S352" s="317"/>
      <c r="T352" s="317"/>
      <c r="U352" s="317"/>
      <c r="V352" s="317"/>
      <c r="W352" s="317"/>
      <c r="X352" s="317"/>
      <c r="Y352" s="317"/>
      <c r="Z352" s="317"/>
      <c r="AA352" s="317"/>
      <c r="AB352" s="317"/>
      <c r="AC352" s="317"/>
    </row>
    <row r="353">
      <c r="A353" s="317"/>
      <c r="B353" s="381"/>
      <c r="C353" s="317"/>
      <c r="D353" s="381"/>
      <c r="E353" s="381"/>
      <c r="F353" s="381"/>
      <c r="G353" s="317"/>
      <c r="H353" s="317"/>
      <c r="I353" s="317"/>
      <c r="J353" s="317"/>
      <c r="K353" s="317"/>
      <c r="L353" s="317"/>
      <c r="M353" s="317"/>
      <c r="N353" s="317"/>
      <c r="O353" s="317"/>
      <c r="P353" s="317"/>
      <c r="Q353" s="317"/>
      <c r="R353" s="317"/>
      <c r="S353" s="317"/>
      <c r="T353" s="317"/>
      <c r="U353" s="317"/>
      <c r="V353" s="317"/>
      <c r="W353" s="317"/>
      <c r="X353" s="317"/>
      <c r="Y353" s="317"/>
      <c r="Z353" s="317"/>
      <c r="AA353" s="317"/>
      <c r="AB353" s="317"/>
      <c r="AC353" s="317"/>
    </row>
    <row r="354">
      <c r="A354" s="317"/>
      <c r="B354" s="381"/>
      <c r="C354" s="317"/>
      <c r="D354" s="381"/>
      <c r="E354" s="381"/>
      <c r="F354" s="381"/>
      <c r="G354" s="317"/>
      <c r="H354" s="317"/>
      <c r="I354" s="317"/>
      <c r="J354" s="317"/>
      <c r="K354" s="317"/>
      <c r="L354" s="317"/>
      <c r="M354" s="317"/>
      <c r="N354" s="317"/>
      <c r="O354" s="317"/>
      <c r="P354" s="317"/>
      <c r="Q354" s="317"/>
      <c r="R354" s="317"/>
      <c r="S354" s="317"/>
      <c r="T354" s="317"/>
      <c r="U354" s="317"/>
      <c r="V354" s="317"/>
      <c r="W354" s="317"/>
      <c r="X354" s="317"/>
      <c r="Y354" s="317"/>
      <c r="Z354" s="317"/>
      <c r="AA354" s="317"/>
      <c r="AB354" s="317"/>
      <c r="AC354" s="317"/>
    </row>
    <row r="355">
      <c r="A355" s="317"/>
      <c r="B355" s="381"/>
      <c r="C355" s="317"/>
      <c r="D355" s="381"/>
      <c r="E355" s="381"/>
      <c r="F355" s="381"/>
      <c r="G355" s="317"/>
      <c r="H355" s="317"/>
      <c r="I355" s="317"/>
      <c r="J355" s="317"/>
      <c r="K355" s="317"/>
      <c r="L355" s="317"/>
      <c r="M355" s="317"/>
      <c r="N355" s="317"/>
      <c r="O355" s="317"/>
      <c r="P355" s="317"/>
      <c r="Q355" s="317"/>
      <c r="R355" s="317"/>
      <c r="S355" s="317"/>
      <c r="T355" s="317"/>
      <c r="U355" s="317"/>
      <c r="V355" s="317"/>
      <c r="W355" s="317"/>
      <c r="X355" s="317"/>
      <c r="Y355" s="317"/>
      <c r="Z355" s="317"/>
      <c r="AA355" s="317"/>
      <c r="AB355" s="317"/>
      <c r="AC355" s="317"/>
    </row>
    <row r="356">
      <c r="A356" s="317"/>
      <c r="B356" s="381"/>
      <c r="C356" s="317"/>
      <c r="D356" s="381"/>
      <c r="E356" s="381"/>
      <c r="F356" s="381"/>
      <c r="G356" s="317"/>
      <c r="H356" s="317"/>
      <c r="I356" s="317"/>
      <c r="J356" s="317"/>
      <c r="K356" s="317"/>
      <c r="L356" s="317"/>
      <c r="M356" s="317"/>
      <c r="N356" s="317"/>
      <c r="O356" s="317"/>
      <c r="P356" s="317"/>
      <c r="Q356" s="317"/>
      <c r="R356" s="317"/>
      <c r="S356" s="317"/>
      <c r="T356" s="317"/>
      <c r="U356" s="317"/>
      <c r="V356" s="317"/>
      <c r="W356" s="317"/>
      <c r="X356" s="317"/>
      <c r="Y356" s="317"/>
      <c r="Z356" s="317"/>
      <c r="AA356" s="317"/>
      <c r="AB356" s="317"/>
      <c r="AC356" s="317"/>
    </row>
    <row r="357">
      <c r="A357" s="317"/>
      <c r="B357" s="381"/>
      <c r="C357" s="317"/>
      <c r="D357" s="381"/>
      <c r="E357" s="381"/>
      <c r="F357" s="381"/>
      <c r="G357" s="317"/>
      <c r="H357" s="317"/>
      <c r="I357" s="317"/>
      <c r="J357" s="317"/>
      <c r="K357" s="317"/>
      <c r="L357" s="317"/>
      <c r="M357" s="317"/>
      <c r="N357" s="317"/>
      <c r="O357" s="317"/>
      <c r="P357" s="317"/>
      <c r="Q357" s="317"/>
      <c r="R357" s="317"/>
      <c r="S357" s="317"/>
      <c r="T357" s="317"/>
      <c r="U357" s="317"/>
      <c r="V357" s="317"/>
      <c r="W357" s="317"/>
      <c r="X357" s="317"/>
      <c r="Y357" s="317"/>
      <c r="Z357" s="317"/>
      <c r="AA357" s="317"/>
      <c r="AB357" s="317"/>
      <c r="AC357" s="317"/>
    </row>
    <row r="358">
      <c r="A358" s="317"/>
      <c r="B358" s="381"/>
      <c r="C358" s="317"/>
      <c r="D358" s="381"/>
      <c r="E358" s="381"/>
      <c r="F358" s="381"/>
      <c r="G358" s="317"/>
      <c r="H358" s="317"/>
      <c r="I358" s="317"/>
      <c r="J358" s="317"/>
      <c r="K358" s="317"/>
      <c r="L358" s="317"/>
      <c r="M358" s="317"/>
      <c r="N358" s="317"/>
      <c r="O358" s="317"/>
      <c r="P358" s="317"/>
      <c r="Q358" s="317"/>
      <c r="R358" s="317"/>
      <c r="S358" s="317"/>
      <c r="T358" s="317"/>
      <c r="U358" s="317"/>
      <c r="V358" s="317"/>
      <c r="W358" s="317"/>
      <c r="X358" s="317"/>
      <c r="Y358" s="317"/>
      <c r="Z358" s="317"/>
      <c r="AA358" s="317"/>
      <c r="AB358" s="317"/>
      <c r="AC358" s="317"/>
    </row>
    <row r="359">
      <c r="A359" s="317"/>
      <c r="B359" s="381"/>
      <c r="C359" s="317"/>
      <c r="D359" s="381"/>
      <c r="E359" s="381"/>
      <c r="F359" s="381"/>
      <c r="G359" s="317"/>
      <c r="H359" s="317"/>
      <c r="I359" s="317"/>
      <c r="J359" s="317"/>
      <c r="K359" s="317"/>
      <c r="L359" s="317"/>
      <c r="M359" s="317"/>
      <c r="N359" s="317"/>
      <c r="O359" s="317"/>
      <c r="P359" s="317"/>
      <c r="Q359" s="317"/>
      <c r="R359" s="317"/>
      <c r="S359" s="317"/>
      <c r="T359" s="317"/>
      <c r="U359" s="317"/>
      <c r="V359" s="317"/>
      <c r="W359" s="317"/>
      <c r="X359" s="317"/>
      <c r="Y359" s="317"/>
      <c r="Z359" s="317"/>
      <c r="AA359" s="317"/>
      <c r="AB359" s="317"/>
      <c r="AC359" s="317"/>
    </row>
    <row r="360">
      <c r="A360" s="317"/>
      <c r="B360" s="381"/>
      <c r="C360" s="317"/>
      <c r="D360" s="381"/>
      <c r="E360" s="381"/>
      <c r="F360" s="381"/>
      <c r="G360" s="317"/>
      <c r="H360" s="317"/>
      <c r="I360" s="317"/>
      <c r="J360" s="317"/>
      <c r="K360" s="317"/>
      <c r="L360" s="317"/>
      <c r="M360" s="317"/>
      <c r="N360" s="317"/>
      <c r="O360" s="317"/>
      <c r="P360" s="317"/>
      <c r="Q360" s="317"/>
      <c r="R360" s="317"/>
      <c r="S360" s="317"/>
      <c r="T360" s="317"/>
      <c r="U360" s="317"/>
      <c r="V360" s="317"/>
      <c r="W360" s="317"/>
      <c r="X360" s="317"/>
      <c r="Y360" s="317"/>
      <c r="Z360" s="317"/>
      <c r="AA360" s="317"/>
      <c r="AB360" s="317"/>
      <c r="AC360" s="317"/>
    </row>
    <row r="361">
      <c r="A361" s="317"/>
      <c r="B361" s="381"/>
      <c r="C361" s="317"/>
      <c r="D361" s="381"/>
      <c r="E361" s="381"/>
      <c r="F361" s="381"/>
      <c r="G361" s="317"/>
      <c r="H361" s="317"/>
      <c r="I361" s="317"/>
      <c r="J361" s="317"/>
      <c r="K361" s="317"/>
      <c r="L361" s="317"/>
      <c r="M361" s="317"/>
      <c r="N361" s="317"/>
      <c r="O361" s="317"/>
      <c r="P361" s="317"/>
      <c r="Q361" s="317"/>
      <c r="R361" s="317"/>
      <c r="S361" s="317"/>
      <c r="T361" s="317"/>
      <c r="U361" s="317"/>
      <c r="V361" s="317"/>
      <c r="W361" s="317"/>
      <c r="X361" s="317"/>
      <c r="Y361" s="317"/>
      <c r="Z361" s="317"/>
      <c r="AA361" s="317"/>
      <c r="AB361" s="317"/>
      <c r="AC361" s="317"/>
    </row>
    <row r="362">
      <c r="A362" s="317"/>
      <c r="B362" s="381"/>
      <c r="C362" s="317"/>
      <c r="D362" s="381"/>
      <c r="E362" s="381"/>
      <c r="F362" s="381"/>
      <c r="G362" s="317"/>
      <c r="H362" s="317"/>
      <c r="I362" s="317"/>
      <c r="J362" s="317"/>
      <c r="K362" s="317"/>
      <c r="L362" s="317"/>
      <c r="M362" s="317"/>
      <c r="N362" s="317"/>
      <c r="O362" s="317"/>
      <c r="P362" s="317"/>
      <c r="Q362" s="317"/>
      <c r="R362" s="317"/>
      <c r="S362" s="317"/>
      <c r="T362" s="317"/>
      <c r="U362" s="317"/>
      <c r="V362" s="317"/>
      <c r="W362" s="317"/>
      <c r="X362" s="317"/>
      <c r="Y362" s="317"/>
      <c r="Z362" s="317"/>
      <c r="AA362" s="317"/>
      <c r="AB362" s="317"/>
      <c r="AC362" s="317"/>
    </row>
    <row r="363">
      <c r="A363" s="317"/>
      <c r="B363" s="381"/>
      <c r="C363" s="317"/>
      <c r="D363" s="381"/>
      <c r="E363" s="381"/>
      <c r="F363" s="381"/>
      <c r="G363" s="317"/>
      <c r="H363" s="317"/>
      <c r="I363" s="317"/>
      <c r="J363" s="317"/>
      <c r="K363" s="317"/>
      <c r="L363" s="317"/>
      <c r="M363" s="317"/>
      <c r="N363" s="317"/>
      <c r="O363" s="317"/>
      <c r="P363" s="317"/>
      <c r="Q363" s="317"/>
      <c r="R363" s="317"/>
      <c r="S363" s="317"/>
      <c r="T363" s="317"/>
      <c r="U363" s="317"/>
      <c r="V363" s="317"/>
      <c r="W363" s="317"/>
      <c r="X363" s="317"/>
      <c r="Y363" s="317"/>
      <c r="Z363" s="317"/>
      <c r="AA363" s="317"/>
      <c r="AB363" s="317"/>
      <c r="AC363" s="317"/>
    </row>
    <row r="364">
      <c r="A364" s="317"/>
      <c r="B364" s="381"/>
      <c r="C364" s="317"/>
      <c r="D364" s="381"/>
      <c r="E364" s="381"/>
      <c r="F364" s="381"/>
      <c r="G364" s="317"/>
      <c r="H364" s="317"/>
      <c r="I364" s="317"/>
      <c r="J364" s="317"/>
      <c r="K364" s="317"/>
      <c r="L364" s="317"/>
      <c r="M364" s="317"/>
      <c r="N364" s="317"/>
      <c r="O364" s="317"/>
      <c r="P364" s="317"/>
      <c r="Q364" s="317"/>
      <c r="R364" s="317"/>
      <c r="S364" s="317"/>
      <c r="T364" s="317"/>
      <c r="U364" s="317"/>
      <c r="V364" s="317"/>
      <c r="W364" s="317"/>
      <c r="X364" s="317"/>
      <c r="Y364" s="317"/>
      <c r="Z364" s="317"/>
      <c r="AA364" s="317"/>
      <c r="AB364" s="317"/>
      <c r="AC364" s="317"/>
    </row>
    <row r="365">
      <c r="A365" s="317"/>
      <c r="B365" s="381"/>
      <c r="C365" s="317"/>
      <c r="D365" s="381"/>
      <c r="E365" s="381"/>
      <c r="F365" s="381"/>
      <c r="G365" s="317"/>
      <c r="H365" s="317"/>
      <c r="I365" s="317"/>
      <c r="J365" s="317"/>
      <c r="K365" s="317"/>
      <c r="L365" s="317"/>
      <c r="M365" s="317"/>
      <c r="N365" s="317"/>
      <c r="O365" s="317"/>
      <c r="P365" s="317"/>
      <c r="Q365" s="317"/>
      <c r="R365" s="317"/>
      <c r="S365" s="317"/>
      <c r="T365" s="317"/>
      <c r="U365" s="317"/>
      <c r="V365" s="317"/>
      <c r="W365" s="317"/>
      <c r="X365" s="317"/>
      <c r="Y365" s="317"/>
      <c r="Z365" s="317"/>
      <c r="AA365" s="317"/>
      <c r="AB365" s="317"/>
      <c r="AC365" s="317"/>
    </row>
    <row r="366">
      <c r="A366" s="317"/>
      <c r="B366" s="381"/>
      <c r="C366" s="317"/>
      <c r="D366" s="381"/>
      <c r="E366" s="381"/>
      <c r="F366" s="381"/>
      <c r="G366" s="317"/>
      <c r="H366" s="317"/>
      <c r="I366" s="317"/>
      <c r="J366" s="317"/>
      <c r="K366" s="317"/>
      <c r="L366" s="317"/>
      <c r="M366" s="317"/>
      <c r="N366" s="317"/>
      <c r="O366" s="317"/>
      <c r="P366" s="317"/>
      <c r="Q366" s="317"/>
      <c r="R366" s="317"/>
      <c r="S366" s="317"/>
      <c r="T366" s="317"/>
      <c r="U366" s="317"/>
      <c r="V366" s="317"/>
      <c r="W366" s="317"/>
      <c r="X366" s="317"/>
      <c r="Y366" s="317"/>
      <c r="Z366" s="317"/>
      <c r="AA366" s="317"/>
      <c r="AB366" s="317"/>
      <c r="AC366" s="317"/>
    </row>
    <row r="367">
      <c r="A367" s="317"/>
      <c r="B367" s="381"/>
      <c r="C367" s="317"/>
      <c r="D367" s="381"/>
      <c r="E367" s="381"/>
      <c r="F367" s="381"/>
      <c r="G367" s="317"/>
      <c r="H367" s="317"/>
      <c r="I367" s="317"/>
      <c r="J367" s="317"/>
      <c r="K367" s="317"/>
      <c r="L367" s="317"/>
      <c r="M367" s="317"/>
      <c r="N367" s="317"/>
      <c r="O367" s="317"/>
      <c r="P367" s="317"/>
      <c r="Q367" s="317"/>
      <c r="R367" s="317"/>
      <c r="S367" s="317"/>
      <c r="T367" s="317"/>
      <c r="U367" s="317"/>
      <c r="V367" s="317"/>
      <c r="W367" s="317"/>
      <c r="X367" s="317"/>
      <c r="Y367" s="317"/>
      <c r="Z367" s="317"/>
      <c r="AA367" s="317"/>
      <c r="AB367" s="317"/>
      <c r="AC367" s="317"/>
    </row>
    <row r="368">
      <c r="A368" s="317"/>
      <c r="B368" s="381"/>
      <c r="C368" s="317"/>
      <c r="D368" s="381"/>
      <c r="E368" s="381"/>
      <c r="F368" s="381"/>
      <c r="G368" s="317"/>
      <c r="H368" s="317"/>
      <c r="I368" s="317"/>
      <c r="J368" s="317"/>
      <c r="K368" s="317"/>
      <c r="L368" s="317"/>
      <c r="M368" s="317"/>
      <c r="N368" s="317"/>
      <c r="O368" s="317"/>
      <c r="P368" s="317"/>
      <c r="Q368" s="317"/>
      <c r="R368" s="317"/>
      <c r="S368" s="317"/>
      <c r="T368" s="317"/>
      <c r="U368" s="317"/>
      <c r="V368" s="317"/>
      <c r="W368" s="317"/>
      <c r="X368" s="317"/>
      <c r="Y368" s="317"/>
      <c r="Z368" s="317"/>
      <c r="AA368" s="317"/>
      <c r="AB368" s="317"/>
      <c r="AC368" s="317"/>
    </row>
    <row r="369">
      <c r="A369" s="317"/>
      <c r="B369" s="381"/>
      <c r="C369" s="317"/>
      <c r="D369" s="381"/>
      <c r="E369" s="381"/>
      <c r="F369" s="381"/>
      <c r="G369" s="317"/>
      <c r="H369" s="317"/>
      <c r="I369" s="317"/>
      <c r="J369" s="317"/>
      <c r="K369" s="317"/>
      <c r="L369" s="317"/>
      <c r="M369" s="317"/>
      <c r="N369" s="317"/>
      <c r="O369" s="317"/>
      <c r="P369" s="317"/>
      <c r="Q369" s="317"/>
      <c r="R369" s="317"/>
      <c r="S369" s="317"/>
      <c r="T369" s="317"/>
      <c r="U369" s="317"/>
      <c r="V369" s="317"/>
      <c r="W369" s="317"/>
      <c r="X369" s="317"/>
      <c r="Y369" s="317"/>
      <c r="Z369" s="317"/>
      <c r="AA369" s="317"/>
      <c r="AB369" s="317"/>
      <c r="AC369" s="317"/>
    </row>
    <row r="370">
      <c r="A370" s="317"/>
      <c r="B370" s="381"/>
      <c r="C370" s="317"/>
      <c r="D370" s="381"/>
      <c r="E370" s="381"/>
      <c r="F370" s="381"/>
      <c r="G370" s="317"/>
      <c r="H370" s="317"/>
      <c r="I370" s="317"/>
      <c r="J370" s="317"/>
      <c r="K370" s="317"/>
      <c r="L370" s="317"/>
      <c r="M370" s="317"/>
      <c r="N370" s="317"/>
      <c r="O370" s="317"/>
      <c r="P370" s="317"/>
      <c r="Q370" s="317"/>
      <c r="R370" s="317"/>
      <c r="S370" s="317"/>
      <c r="T370" s="317"/>
      <c r="U370" s="317"/>
      <c r="V370" s="317"/>
      <c r="W370" s="317"/>
      <c r="X370" s="317"/>
      <c r="Y370" s="317"/>
      <c r="Z370" s="317"/>
      <c r="AA370" s="317"/>
      <c r="AB370" s="317"/>
      <c r="AC370" s="317"/>
    </row>
    <row r="371">
      <c r="A371" s="317"/>
      <c r="B371" s="381"/>
      <c r="C371" s="317"/>
      <c r="D371" s="381"/>
      <c r="E371" s="381"/>
      <c r="F371" s="381"/>
      <c r="G371" s="317"/>
      <c r="H371" s="317"/>
      <c r="I371" s="317"/>
      <c r="J371" s="317"/>
      <c r="K371" s="317"/>
      <c r="L371" s="317"/>
      <c r="M371" s="317"/>
      <c r="N371" s="317"/>
      <c r="O371" s="317"/>
      <c r="P371" s="317"/>
      <c r="Q371" s="317"/>
      <c r="R371" s="317"/>
      <c r="S371" s="317"/>
      <c r="T371" s="317"/>
      <c r="U371" s="317"/>
      <c r="V371" s="317"/>
      <c r="W371" s="317"/>
      <c r="X371" s="317"/>
      <c r="Y371" s="317"/>
      <c r="Z371" s="317"/>
      <c r="AA371" s="317"/>
      <c r="AB371" s="317"/>
      <c r="AC371" s="317"/>
    </row>
    <row r="372">
      <c r="A372" s="317"/>
      <c r="B372" s="381"/>
      <c r="C372" s="317"/>
      <c r="D372" s="381"/>
      <c r="E372" s="381"/>
      <c r="F372" s="381"/>
      <c r="G372" s="317"/>
      <c r="H372" s="317"/>
      <c r="I372" s="317"/>
      <c r="J372" s="317"/>
      <c r="K372" s="317"/>
      <c r="L372" s="317"/>
      <c r="M372" s="317"/>
      <c r="N372" s="317"/>
      <c r="O372" s="317"/>
      <c r="P372" s="317"/>
      <c r="Q372" s="317"/>
      <c r="R372" s="317"/>
      <c r="S372" s="317"/>
      <c r="T372" s="317"/>
      <c r="U372" s="317"/>
      <c r="V372" s="317"/>
      <c r="W372" s="317"/>
      <c r="X372" s="317"/>
      <c r="Y372" s="317"/>
      <c r="Z372" s="317"/>
      <c r="AA372" s="317"/>
      <c r="AB372" s="317"/>
      <c r="AC372" s="317"/>
    </row>
    <row r="373">
      <c r="A373" s="317"/>
      <c r="B373" s="381"/>
      <c r="C373" s="317"/>
      <c r="D373" s="381"/>
      <c r="E373" s="381"/>
      <c r="F373" s="381"/>
      <c r="G373" s="317"/>
      <c r="H373" s="317"/>
      <c r="I373" s="317"/>
      <c r="J373" s="317"/>
      <c r="K373" s="317"/>
      <c r="L373" s="317"/>
      <c r="M373" s="317"/>
      <c r="N373" s="317"/>
      <c r="O373" s="317"/>
      <c r="P373" s="317"/>
      <c r="Q373" s="317"/>
      <c r="R373" s="317"/>
      <c r="S373" s="317"/>
      <c r="T373" s="317"/>
      <c r="U373" s="317"/>
      <c r="V373" s="317"/>
      <c r="W373" s="317"/>
      <c r="X373" s="317"/>
      <c r="Y373" s="317"/>
      <c r="Z373" s="317"/>
      <c r="AA373" s="317"/>
      <c r="AB373" s="317"/>
      <c r="AC373" s="317"/>
    </row>
    <row r="374">
      <c r="A374" s="317"/>
      <c r="B374" s="381"/>
      <c r="C374" s="317"/>
      <c r="D374" s="381"/>
      <c r="E374" s="381"/>
      <c r="F374" s="381"/>
      <c r="G374" s="317"/>
      <c r="H374" s="317"/>
      <c r="I374" s="317"/>
      <c r="J374" s="317"/>
      <c r="K374" s="317"/>
      <c r="L374" s="317"/>
      <c r="M374" s="317"/>
      <c r="N374" s="317"/>
      <c r="O374" s="317"/>
      <c r="P374" s="317"/>
      <c r="Q374" s="317"/>
      <c r="R374" s="317"/>
      <c r="S374" s="317"/>
      <c r="T374" s="317"/>
      <c r="U374" s="317"/>
      <c r="V374" s="317"/>
      <c r="W374" s="317"/>
      <c r="X374" s="317"/>
      <c r="Y374" s="317"/>
      <c r="Z374" s="317"/>
      <c r="AA374" s="317"/>
      <c r="AB374" s="317"/>
      <c r="AC374" s="317"/>
    </row>
    <row r="375">
      <c r="A375" s="317"/>
      <c r="B375" s="381"/>
      <c r="C375" s="317"/>
      <c r="D375" s="381"/>
      <c r="E375" s="381"/>
      <c r="F375" s="381"/>
      <c r="G375" s="317"/>
      <c r="H375" s="317"/>
      <c r="I375" s="317"/>
      <c r="J375" s="317"/>
      <c r="K375" s="317"/>
      <c r="L375" s="317"/>
      <c r="M375" s="317"/>
      <c r="N375" s="317"/>
      <c r="O375" s="317"/>
      <c r="P375" s="317"/>
      <c r="Q375" s="317"/>
      <c r="R375" s="317"/>
      <c r="S375" s="317"/>
      <c r="T375" s="317"/>
      <c r="U375" s="317"/>
      <c r="V375" s="317"/>
      <c r="W375" s="317"/>
      <c r="X375" s="317"/>
      <c r="Y375" s="317"/>
      <c r="Z375" s="317"/>
      <c r="AA375" s="317"/>
      <c r="AB375" s="317"/>
      <c r="AC375" s="317"/>
    </row>
    <row r="376">
      <c r="A376" s="317"/>
      <c r="B376" s="381"/>
      <c r="C376" s="317"/>
      <c r="D376" s="381"/>
      <c r="E376" s="381"/>
      <c r="F376" s="381"/>
      <c r="G376" s="317"/>
      <c r="H376" s="317"/>
      <c r="I376" s="317"/>
      <c r="J376" s="317"/>
      <c r="K376" s="317"/>
      <c r="L376" s="317"/>
      <c r="M376" s="317"/>
      <c r="N376" s="317"/>
      <c r="O376" s="317"/>
      <c r="P376" s="317"/>
      <c r="Q376" s="317"/>
      <c r="R376" s="317"/>
      <c r="S376" s="317"/>
      <c r="T376" s="317"/>
      <c r="U376" s="317"/>
      <c r="V376" s="317"/>
      <c r="W376" s="317"/>
      <c r="X376" s="317"/>
      <c r="Y376" s="317"/>
      <c r="Z376" s="317"/>
      <c r="AA376" s="317"/>
      <c r="AB376" s="317"/>
      <c r="AC376" s="317"/>
    </row>
    <row r="377">
      <c r="A377" s="317"/>
      <c r="B377" s="381"/>
      <c r="C377" s="317"/>
      <c r="D377" s="381"/>
      <c r="E377" s="381"/>
      <c r="F377" s="381"/>
      <c r="G377" s="317"/>
      <c r="H377" s="317"/>
      <c r="I377" s="317"/>
      <c r="J377" s="317"/>
      <c r="K377" s="317"/>
      <c r="L377" s="317"/>
      <c r="M377" s="317"/>
      <c r="N377" s="317"/>
      <c r="O377" s="317"/>
      <c r="P377" s="317"/>
      <c r="Q377" s="317"/>
      <c r="R377" s="317"/>
      <c r="S377" s="317"/>
      <c r="T377" s="317"/>
      <c r="U377" s="317"/>
      <c r="V377" s="317"/>
      <c r="W377" s="317"/>
      <c r="X377" s="317"/>
      <c r="Y377" s="317"/>
      <c r="Z377" s="317"/>
      <c r="AA377" s="317"/>
      <c r="AB377" s="317"/>
      <c r="AC377" s="317"/>
    </row>
    <row r="378">
      <c r="A378" s="317"/>
      <c r="B378" s="381"/>
      <c r="C378" s="317"/>
      <c r="D378" s="381"/>
      <c r="E378" s="381"/>
      <c r="F378" s="381"/>
      <c r="G378" s="317"/>
      <c r="H378" s="317"/>
      <c r="I378" s="317"/>
      <c r="J378" s="317"/>
      <c r="K378" s="317"/>
      <c r="L378" s="317"/>
      <c r="M378" s="317"/>
      <c r="N378" s="317"/>
      <c r="O378" s="317"/>
      <c r="P378" s="317"/>
      <c r="Q378" s="317"/>
      <c r="R378" s="317"/>
      <c r="S378" s="317"/>
      <c r="T378" s="317"/>
      <c r="U378" s="317"/>
      <c r="V378" s="317"/>
      <c r="W378" s="317"/>
      <c r="X378" s="317"/>
      <c r="Y378" s="317"/>
      <c r="Z378" s="317"/>
      <c r="AA378" s="317"/>
      <c r="AB378" s="317"/>
      <c r="AC378" s="317"/>
    </row>
    <row r="379">
      <c r="A379" s="317"/>
      <c r="B379" s="381"/>
      <c r="C379" s="317"/>
      <c r="D379" s="381"/>
      <c r="E379" s="381"/>
      <c r="F379" s="381"/>
      <c r="G379" s="317"/>
      <c r="H379" s="317"/>
      <c r="I379" s="317"/>
      <c r="J379" s="317"/>
      <c r="K379" s="317"/>
      <c r="L379" s="317"/>
      <c r="M379" s="317"/>
      <c r="N379" s="317"/>
      <c r="O379" s="317"/>
      <c r="P379" s="317"/>
      <c r="Q379" s="317"/>
      <c r="R379" s="317"/>
      <c r="S379" s="317"/>
      <c r="T379" s="317"/>
      <c r="U379" s="317"/>
      <c r="V379" s="317"/>
      <c r="W379" s="317"/>
      <c r="X379" s="317"/>
      <c r="Y379" s="317"/>
      <c r="Z379" s="317"/>
      <c r="AA379" s="317"/>
      <c r="AB379" s="317"/>
      <c r="AC379" s="317"/>
    </row>
    <row r="380">
      <c r="A380" s="317"/>
      <c r="B380" s="381"/>
      <c r="C380" s="317"/>
      <c r="D380" s="381"/>
      <c r="E380" s="381"/>
      <c r="F380" s="381"/>
      <c r="G380" s="317"/>
      <c r="H380" s="317"/>
      <c r="I380" s="317"/>
      <c r="J380" s="317"/>
      <c r="K380" s="317"/>
      <c r="L380" s="317"/>
      <c r="M380" s="317"/>
      <c r="N380" s="317"/>
      <c r="O380" s="317"/>
      <c r="P380" s="317"/>
      <c r="Q380" s="317"/>
      <c r="R380" s="317"/>
      <c r="S380" s="317"/>
      <c r="T380" s="317"/>
      <c r="U380" s="317"/>
      <c r="V380" s="317"/>
      <c r="W380" s="317"/>
      <c r="X380" s="317"/>
      <c r="Y380" s="317"/>
      <c r="Z380" s="317"/>
      <c r="AA380" s="317"/>
      <c r="AB380" s="317"/>
      <c r="AC380" s="317"/>
    </row>
    <row r="381">
      <c r="A381" s="317"/>
      <c r="B381" s="381"/>
      <c r="C381" s="317"/>
      <c r="D381" s="381"/>
      <c r="E381" s="381"/>
      <c r="F381" s="381"/>
      <c r="G381" s="317"/>
      <c r="H381" s="317"/>
      <c r="I381" s="317"/>
      <c r="J381" s="317"/>
      <c r="K381" s="317"/>
      <c r="L381" s="317"/>
      <c r="M381" s="317"/>
      <c r="N381" s="317"/>
      <c r="O381" s="317"/>
      <c r="P381" s="317"/>
      <c r="Q381" s="317"/>
      <c r="R381" s="317"/>
      <c r="S381" s="317"/>
      <c r="T381" s="317"/>
      <c r="U381" s="317"/>
      <c r="V381" s="317"/>
      <c r="W381" s="317"/>
      <c r="X381" s="317"/>
      <c r="Y381" s="317"/>
      <c r="Z381" s="317"/>
      <c r="AA381" s="317"/>
      <c r="AB381" s="317"/>
      <c r="AC381" s="317"/>
    </row>
    <row r="382">
      <c r="A382" s="317"/>
      <c r="B382" s="381"/>
      <c r="C382" s="317"/>
      <c r="D382" s="381"/>
      <c r="E382" s="381"/>
      <c r="F382" s="381"/>
      <c r="G382" s="317"/>
      <c r="H382" s="317"/>
      <c r="I382" s="317"/>
      <c r="J382" s="317"/>
      <c r="K382" s="317"/>
      <c r="L382" s="317"/>
      <c r="M382" s="317"/>
      <c r="N382" s="317"/>
      <c r="O382" s="317"/>
      <c r="P382" s="317"/>
      <c r="Q382" s="317"/>
      <c r="R382" s="317"/>
      <c r="S382" s="317"/>
      <c r="T382" s="317"/>
      <c r="U382" s="317"/>
      <c r="V382" s="317"/>
      <c r="W382" s="317"/>
      <c r="X382" s="317"/>
      <c r="Y382" s="317"/>
      <c r="Z382" s="317"/>
      <c r="AA382" s="317"/>
      <c r="AB382" s="317"/>
      <c r="AC382" s="317"/>
    </row>
    <row r="383">
      <c r="A383" s="317"/>
      <c r="B383" s="381"/>
      <c r="C383" s="317"/>
      <c r="D383" s="381"/>
      <c r="E383" s="381"/>
      <c r="F383" s="381"/>
      <c r="G383" s="317"/>
      <c r="H383" s="317"/>
      <c r="I383" s="317"/>
      <c r="J383" s="317"/>
      <c r="K383" s="317"/>
      <c r="L383" s="317"/>
      <c r="M383" s="317"/>
      <c r="N383" s="317"/>
      <c r="O383" s="317"/>
      <c r="P383" s="317"/>
      <c r="Q383" s="317"/>
      <c r="R383" s="317"/>
      <c r="S383" s="317"/>
      <c r="T383" s="317"/>
      <c r="U383" s="317"/>
      <c r="V383" s="317"/>
      <c r="W383" s="317"/>
      <c r="X383" s="317"/>
      <c r="Y383" s="317"/>
      <c r="Z383" s="317"/>
      <c r="AA383" s="317"/>
      <c r="AB383" s="317"/>
      <c r="AC383" s="317"/>
    </row>
    <row r="384">
      <c r="A384" s="317"/>
      <c r="B384" s="381"/>
      <c r="C384" s="317"/>
      <c r="D384" s="381"/>
      <c r="E384" s="381"/>
      <c r="F384" s="381"/>
      <c r="G384" s="317"/>
      <c r="H384" s="317"/>
      <c r="I384" s="317"/>
      <c r="J384" s="317"/>
      <c r="K384" s="317"/>
      <c r="L384" s="317"/>
      <c r="M384" s="317"/>
      <c r="N384" s="317"/>
      <c r="O384" s="317"/>
      <c r="P384" s="317"/>
      <c r="Q384" s="317"/>
      <c r="R384" s="317"/>
      <c r="S384" s="317"/>
      <c r="T384" s="317"/>
      <c r="U384" s="317"/>
      <c r="V384" s="317"/>
      <c r="W384" s="317"/>
      <c r="X384" s="317"/>
      <c r="Y384" s="317"/>
      <c r="Z384" s="317"/>
      <c r="AA384" s="317"/>
      <c r="AB384" s="317"/>
      <c r="AC384" s="317"/>
    </row>
    <row r="385">
      <c r="A385" s="317"/>
      <c r="B385" s="381"/>
      <c r="C385" s="317"/>
      <c r="D385" s="381"/>
      <c r="E385" s="381"/>
      <c r="F385" s="381"/>
      <c r="G385" s="317"/>
      <c r="H385" s="317"/>
      <c r="I385" s="317"/>
      <c r="J385" s="317"/>
      <c r="K385" s="317"/>
      <c r="L385" s="317"/>
      <c r="M385" s="317"/>
      <c r="N385" s="317"/>
      <c r="O385" s="317"/>
      <c r="P385" s="317"/>
      <c r="Q385" s="317"/>
      <c r="R385" s="317"/>
      <c r="S385" s="317"/>
      <c r="T385" s="317"/>
      <c r="U385" s="317"/>
      <c r="V385" s="317"/>
      <c r="W385" s="317"/>
      <c r="X385" s="317"/>
      <c r="Y385" s="317"/>
      <c r="Z385" s="317"/>
      <c r="AA385" s="317"/>
      <c r="AB385" s="317"/>
      <c r="AC385" s="317"/>
    </row>
    <row r="386">
      <c r="A386" s="317"/>
      <c r="B386" s="381"/>
      <c r="C386" s="317"/>
      <c r="D386" s="381"/>
      <c r="E386" s="381"/>
      <c r="F386" s="381"/>
      <c r="G386" s="317"/>
      <c r="H386" s="317"/>
      <c r="I386" s="317"/>
      <c r="J386" s="317"/>
      <c r="K386" s="317"/>
      <c r="L386" s="317"/>
      <c r="M386" s="317"/>
      <c r="N386" s="317"/>
      <c r="O386" s="317"/>
      <c r="P386" s="317"/>
      <c r="Q386" s="317"/>
      <c r="R386" s="317"/>
      <c r="S386" s="317"/>
      <c r="T386" s="317"/>
      <c r="U386" s="317"/>
      <c r="V386" s="317"/>
      <c r="W386" s="317"/>
      <c r="X386" s="317"/>
      <c r="Y386" s="317"/>
      <c r="Z386" s="317"/>
      <c r="AA386" s="317"/>
      <c r="AB386" s="317"/>
      <c r="AC386" s="317"/>
    </row>
    <row r="387">
      <c r="A387" s="317"/>
      <c r="B387" s="381"/>
      <c r="C387" s="317"/>
      <c r="D387" s="381"/>
      <c r="E387" s="381"/>
      <c r="F387" s="381"/>
      <c r="G387" s="317"/>
      <c r="H387" s="317"/>
      <c r="I387" s="317"/>
      <c r="J387" s="317"/>
      <c r="K387" s="317"/>
      <c r="L387" s="317"/>
      <c r="M387" s="317"/>
      <c r="N387" s="317"/>
      <c r="O387" s="317"/>
      <c r="P387" s="317"/>
      <c r="Q387" s="317"/>
      <c r="R387" s="317"/>
      <c r="S387" s="317"/>
      <c r="T387" s="317"/>
      <c r="U387" s="317"/>
      <c r="V387" s="317"/>
      <c r="W387" s="317"/>
      <c r="X387" s="317"/>
      <c r="Y387" s="317"/>
      <c r="Z387" s="317"/>
      <c r="AA387" s="317"/>
      <c r="AB387" s="317"/>
      <c r="AC387" s="317"/>
    </row>
    <row r="388">
      <c r="A388" s="317"/>
      <c r="B388" s="381"/>
      <c r="C388" s="317"/>
      <c r="D388" s="381"/>
      <c r="E388" s="381"/>
      <c r="F388" s="381"/>
      <c r="G388" s="317"/>
      <c r="H388" s="317"/>
      <c r="I388" s="317"/>
      <c r="J388" s="317"/>
      <c r="K388" s="317"/>
      <c r="L388" s="317"/>
      <c r="M388" s="317"/>
      <c r="N388" s="317"/>
      <c r="O388" s="317"/>
      <c r="P388" s="317"/>
      <c r="Q388" s="317"/>
      <c r="R388" s="317"/>
      <c r="S388" s="317"/>
      <c r="T388" s="317"/>
      <c r="U388" s="317"/>
      <c r="V388" s="317"/>
      <c r="W388" s="317"/>
      <c r="X388" s="317"/>
      <c r="Y388" s="317"/>
      <c r="Z388" s="317"/>
      <c r="AA388" s="317"/>
      <c r="AB388" s="317"/>
      <c r="AC388" s="317"/>
    </row>
    <row r="389">
      <c r="A389" s="317"/>
      <c r="B389" s="381"/>
      <c r="C389" s="317"/>
      <c r="D389" s="381"/>
      <c r="E389" s="381"/>
      <c r="F389" s="381"/>
      <c r="G389" s="317"/>
      <c r="H389" s="317"/>
      <c r="I389" s="317"/>
      <c r="J389" s="317"/>
      <c r="K389" s="317"/>
      <c r="L389" s="317"/>
      <c r="M389" s="317"/>
      <c r="N389" s="317"/>
      <c r="O389" s="317"/>
      <c r="P389" s="317"/>
      <c r="Q389" s="317"/>
      <c r="R389" s="317"/>
      <c r="S389" s="317"/>
      <c r="T389" s="317"/>
      <c r="U389" s="317"/>
      <c r="V389" s="317"/>
      <c r="W389" s="317"/>
      <c r="X389" s="317"/>
      <c r="Y389" s="317"/>
      <c r="Z389" s="317"/>
      <c r="AA389" s="317"/>
      <c r="AB389" s="317"/>
      <c r="AC389" s="317"/>
    </row>
    <row r="390">
      <c r="A390" s="317"/>
      <c r="B390" s="381"/>
      <c r="C390" s="317"/>
      <c r="D390" s="381"/>
      <c r="E390" s="381"/>
      <c r="F390" s="381"/>
      <c r="G390" s="317"/>
      <c r="H390" s="317"/>
      <c r="I390" s="317"/>
      <c r="J390" s="317"/>
      <c r="K390" s="317"/>
      <c r="L390" s="317"/>
      <c r="M390" s="317"/>
      <c r="N390" s="317"/>
      <c r="O390" s="317"/>
      <c r="P390" s="317"/>
      <c r="Q390" s="317"/>
      <c r="R390" s="317"/>
      <c r="S390" s="317"/>
      <c r="T390" s="317"/>
      <c r="U390" s="317"/>
      <c r="V390" s="317"/>
      <c r="W390" s="317"/>
      <c r="X390" s="317"/>
      <c r="Y390" s="317"/>
      <c r="Z390" s="317"/>
      <c r="AA390" s="317"/>
      <c r="AB390" s="317"/>
      <c r="AC390" s="317"/>
    </row>
    <row r="391">
      <c r="A391" s="317"/>
      <c r="B391" s="381"/>
      <c r="C391" s="317"/>
      <c r="D391" s="381"/>
      <c r="E391" s="381"/>
      <c r="F391" s="381"/>
      <c r="G391" s="317"/>
      <c r="H391" s="317"/>
      <c r="I391" s="317"/>
      <c r="J391" s="317"/>
      <c r="K391" s="317"/>
      <c r="L391" s="317"/>
      <c r="M391" s="317"/>
      <c r="N391" s="317"/>
      <c r="O391" s="317"/>
      <c r="P391" s="317"/>
      <c r="Q391" s="317"/>
      <c r="R391" s="317"/>
      <c r="S391" s="317"/>
      <c r="T391" s="317"/>
      <c r="U391" s="317"/>
      <c r="V391" s="317"/>
      <c r="W391" s="317"/>
      <c r="X391" s="317"/>
      <c r="Y391" s="317"/>
      <c r="Z391" s="317"/>
      <c r="AA391" s="317"/>
      <c r="AB391" s="317"/>
      <c r="AC391" s="317"/>
    </row>
    <row r="392">
      <c r="A392" s="317"/>
      <c r="B392" s="381"/>
      <c r="C392" s="317"/>
      <c r="D392" s="381"/>
      <c r="E392" s="381"/>
      <c r="F392" s="381"/>
      <c r="G392" s="317"/>
      <c r="H392" s="317"/>
      <c r="I392" s="317"/>
      <c r="J392" s="317"/>
      <c r="K392" s="317"/>
      <c r="L392" s="317"/>
      <c r="M392" s="317"/>
      <c r="N392" s="317"/>
      <c r="O392" s="317"/>
      <c r="P392" s="317"/>
      <c r="Q392" s="317"/>
      <c r="R392" s="317"/>
      <c r="S392" s="317"/>
      <c r="T392" s="317"/>
      <c r="U392" s="317"/>
      <c r="V392" s="317"/>
      <c r="W392" s="317"/>
      <c r="X392" s="317"/>
      <c r="Y392" s="317"/>
      <c r="Z392" s="317"/>
      <c r="AA392" s="317"/>
      <c r="AB392" s="317"/>
      <c r="AC392" s="317"/>
    </row>
    <row r="393">
      <c r="A393" s="317"/>
      <c r="B393" s="381"/>
      <c r="C393" s="317"/>
      <c r="D393" s="381"/>
      <c r="E393" s="381"/>
      <c r="F393" s="381"/>
      <c r="G393" s="317"/>
      <c r="H393" s="317"/>
      <c r="I393" s="317"/>
      <c r="J393" s="317"/>
      <c r="K393" s="317"/>
      <c r="L393" s="317"/>
      <c r="M393" s="317"/>
      <c r="N393" s="317"/>
      <c r="O393" s="317"/>
      <c r="P393" s="317"/>
      <c r="Q393" s="317"/>
      <c r="R393" s="317"/>
      <c r="S393" s="317"/>
      <c r="T393" s="317"/>
      <c r="U393" s="317"/>
      <c r="V393" s="317"/>
      <c r="W393" s="317"/>
      <c r="X393" s="317"/>
      <c r="Y393" s="317"/>
      <c r="Z393" s="317"/>
      <c r="AA393" s="317"/>
      <c r="AB393" s="317"/>
      <c r="AC393" s="317"/>
    </row>
    <row r="394">
      <c r="A394" s="317"/>
      <c r="B394" s="381"/>
      <c r="C394" s="317"/>
      <c r="D394" s="381"/>
      <c r="E394" s="381"/>
      <c r="F394" s="381"/>
      <c r="G394" s="317"/>
      <c r="H394" s="317"/>
      <c r="I394" s="317"/>
      <c r="J394" s="317"/>
      <c r="K394" s="317"/>
      <c r="L394" s="317"/>
      <c r="M394" s="317"/>
      <c r="N394" s="317"/>
      <c r="O394" s="317"/>
      <c r="P394" s="317"/>
      <c r="Q394" s="317"/>
      <c r="R394" s="317"/>
      <c r="S394" s="317"/>
      <c r="T394" s="317"/>
      <c r="U394" s="317"/>
      <c r="V394" s="317"/>
      <c r="W394" s="317"/>
      <c r="X394" s="317"/>
      <c r="Y394" s="317"/>
      <c r="Z394" s="317"/>
      <c r="AA394" s="317"/>
      <c r="AB394" s="317"/>
      <c r="AC394" s="317"/>
    </row>
    <row r="395">
      <c r="A395" s="317"/>
      <c r="B395" s="381"/>
      <c r="C395" s="317"/>
      <c r="D395" s="381"/>
      <c r="E395" s="381"/>
      <c r="F395" s="381"/>
      <c r="G395" s="317"/>
      <c r="H395" s="317"/>
      <c r="I395" s="317"/>
      <c r="J395" s="317"/>
      <c r="K395" s="317"/>
      <c r="L395" s="317"/>
      <c r="M395" s="317"/>
      <c r="N395" s="317"/>
      <c r="O395" s="317"/>
      <c r="P395" s="317"/>
      <c r="Q395" s="317"/>
      <c r="R395" s="317"/>
      <c r="S395" s="317"/>
      <c r="T395" s="317"/>
      <c r="U395" s="317"/>
      <c r="V395" s="317"/>
      <c r="W395" s="317"/>
      <c r="X395" s="317"/>
      <c r="Y395" s="317"/>
      <c r="Z395" s="317"/>
      <c r="AA395" s="317"/>
      <c r="AB395" s="317"/>
      <c r="AC395" s="317"/>
    </row>
    <row r="396">
      <c r="A396" s="317"/>
      <c r="B396" s="381"/>
      <c r="C396" s="317"/>
      <c r="D396" s="381"/>
      <c r="E396" s="381"/>
      <c r="F396" s="381"/>
      <c r="G396" s="317"/>
      <c r="H396" s="317"/>
      <c r="I396" s="317"/>
      <c r="J396" s="317"/>
      <c r="K396" s="317"/>
      <c r="L396" s="317"/>
      <c r="M396" s="317"/>
      <c r="N396" s="317"/>
      <c r="O396" s="317"/>
      <c r="P396" s="317"/>
      <c r="Q396" s="317"/>
      <c r="R396" s="317"/>
      <c r="S396" s="317"/>
      <c r="T396" s="317"/>
      <c r="U396" s="317"/>
      <c r="V396" s="317"/>
      <c r="W396" s="317"/>
      <c r="X396" s="317"/>
      <c r="Y396" s="317"/>
      <c r="Z396" s="317"/>
      <c r="AA396" s="317"/>
      <c r="AB396" s="317"/>
      <c r="AC396" s="317"/>
    </row>
    <row r="397">
      <c r="A397" s="317"/>
      <c r="B397" s="381"/>
      <c r="C397" s="317"/>
      <c r="D397" s="381"/>
      <c r="E397" s="381"/>
      <c r="F397" s="381"/>
      <c r="G397" s="317"/>
      <c r="H397" s="317"/>
      <c r="I397" s="317"/>
      <c r="J397" s="317"/>
      <c r="K397" s="317"/>
      <c r="L397" s="317"/>
      <c r="M397" s="317"/>
      <c r="N397" s="317"/>
      <c r="O397" s="317"/>
      <c r="P397" s="317"/>
      <c r="Q397" s="317"/>
      <c r="R397" s="317"/>
      <c r="S397" s="317"/>
      <c r="T397" s="317"/>
      <c r="U397" s="317"/>
      <c r="V397" s="317"/>
      <c r="W397" s="317"/>
      <c r="X397" s="317"/>
      <c r="Y397" s="317"/>
      <c r="Z397" s="317"/>
      <c r="AA397" s="317"/>
      <c r="AB397" s="317"/>
      <c r="AC397" s="317"/>
    </row>
    <row r="398">
      <c r="A398" s="317"/>
      <c r="B398" s="381"/>
      <c r="C398" s="317"/>
      <c r="D398" s="381"/>
      <c r="E398" s="381"/>
      <c r="F398" s="381"/>
      <c r="G398" s="317"/>
      <c r="H398" s="317"/>
      <c r="I398" s="317"/>
      <c r="J398" s="317"/>
      <c r="K398" s="317"/>
      <c r="L398" s="317"/>
      <c r="M398" s="317"/>
      <c r="N398" s="317"/>
      <c r="O398" s="317"/>
      <c r="P398" s="317"/>
      <c r="Q398" s="317"/>
      <c r="R398" s="317"/>
      <c r="S398" s="317"/>
      <c r="T398" s="317"/>
      <c r="U398" s="317"/>
      <c r="V398" s="317"/>
      <c r="W398" s="317"/>
      <c r="X398" s="317"/>
      <c r="Y398" s="317"/>
      <c r="Z398" s="317"/>
      <c r="AA398" s="317"/>
      <c r="AB398" s="317"/>
      <c r="AC398" s="317"/>
    </row>
    <row r="399">
      <c r="A399" s="317"/>
      <c r="B399" s="381"/>
      <c r="C399" s="317"/>
      <c r="D399" s="381"/>
      <c r="E399" s="381"/>
      <c r="F399" s="381"/>
      <c r="G399" s="317"/>
      <c r="H399" s="317"/>
      <c r="I399" s="317"/>
      <c r="J399" s="317"/>
      <c r="K399" s="317"/>
      <c r="L399" s="317"/>
      <c r="M399" s="317"/>
      <c r="N399" s="317"/>
      <c r="O399" s="317"/>
      <c r="P399" s="317"/>
      <c r="Q399" s="317"/>
      <c r="R399" s="317"/>
      <c r="S399" s="317"/>
      <c r="T399" s="317"/>
      <c r="U399" s="317"/>
      <c r="V399" s="317"/>
      <c r="W399" s="317"/>
      <c r="X399" s="317"/>
      <c r="Y399" s="317"/>
      <c r="Z399" s="317"/>
      <c r="AA399" s="317"/>
      <c r="AB399" s="317"/>
      <c r="AC399" s="317"/>
    </row>
    <row r="400">
      <c r="A400" s="317"/>
      <c r="B400" s="381"/>
      <c r="C400" s="317"/>
      <c r="D400" s="381"/>
      <c r="E400" s="381"/>
      <c r="F400" s="381"/>
      <c r="G400" s="317"/>
      <c r="H400" s="317"/>
      <c r="I400" s="317"/>
      <c r="J400" s="317"/>
      <c r="K400" s="317"/>
      <c r="L400" s="317"/>
      <c r="M400" s="317"/>
      <c r="N400" s="317"/>
      <c r="O400" s="317"/>
      <c r="P400" s="317"/>
      <c r="Q400" s="317"/>
      <c r="R400" s="317"/>
      <c r="S400" s="317"/>
      <c r="T400" s="317"/>
      <c r="U400" s="317"/>
      <c r="V400" s="317"/>
      <c r="W400" s="317"/>
      <c r="X400" s="317"/>
      <c r="Y400" s="317"/>
      <c r="Z400" s="317"/>
      <c r="AA400" s="317"/>
      <c r="AB400" s="317"/>
      <c r="AC400" s="317"/>
    </row>
    <row r="401">
      <c r="A401" s="317"/>
      <c r="B401" s="381"/>
      <c r="C401" s="317"/>
      <c r="D401" s="381"/>
      <c r="E401" s="381"/>
      <c r="F401" s="381"/>
      <c r="G401" s="317"/>
      <c r="H401" s="317"/>
      <c r="I401" s="317"/>
      <c r="J401" s="317"/>
      <c r="K401" s="317"/>
      <c r="L401" s="317"/>
      <c r="M401" s="317"/>
      <c r="N401" s="317"/>
      <c r="O401" s="317"/>
      <c r="P401" s="317"/>
      <c r="Q401" s="317"/>
      <c r="R401" s="317"/>
      <c r="S401" s="317"/>
      <c r="T401" s="317"/>
      <c r="U401" s="317"/>
      <c r="V401" s="317"/>
      <c r="W401" s="317"/>
      <c r="X401" s="317"/>
      <c r="Y401" s="317"/>
      <c r="Z401" s="317"/>
      <c r="AA401" s="317"/>
      <c r="AB401" s="317"/>
      <c r="AC401" s="317"/>
    </row>
    <row r="402">
      <c r="A402" s="317"/>
      <c r="B402" s="381"/>
      <c r="C402" s="317"/>
      <c r="D402" s="381"/>
      <c r="E402" s="381"/>
      <c r="F402" s="381"/>
      <c r="G402" s="317"/>
      <c r="H402" s="317"/>
      <c r="I402" s="317"/>
      <c r="J402" s="317"/>
      <c r="K402" s="317"/>
      <c r="L402" s="317"/>
      <c r="M402" s="317"/>
      <c r="N402" s="317"/>
      <c r="O402" s="317"/>
      <c r="P402" s="317"/>
      <c r="Q402" s="317"/>
      <c r="R402" s="317"/>
      <c r="S402" s="317"/>
      <c r="T402" s="317"/>
      <c r="U402" s="317"/>
      <c r="V402" s="317"/>
      <c r="W402" s="317"/>
      <c r="X402" s="317"/>
      <c r="Y402" s="317"/>
      <c r="Z402" s="317"/>
      <c r="AA402" s="317"/>
      <c r="AB402" s="317"/>
      <c r="AC402" s="317"/>
    </row>
    <row r="403">
      <c r="A403" s="317"/>
      <c r="B403" s="381"/>
      <c r="C403" s="317"/>
      <c r="D403" s="381"/>
      <c r="E403" s="381"/>
      <c r="F403" s="381"/>
      <c r="G403" s="317"/>
      <c r="H403" s="317"/>
      <c r="I403" s="317"/>
      <c r="J403" s="317"/>
      <c r="K403" s="317"/>
      <c r="L403" s="317"/>
      <c r="M403" s="317"/>
      <c r="N403" s="317"/>
      <c r="O403" s="317"/>
      <c r="P403" s="317"/>
      <c r="Q403" s="317"/>
      <c r="R403" s="317"/>
      <c r="S403" s="317"/>
      <c r="T403" s="317"/>
      <c r="U403" s="317"/>
      <c r="V403" s="317"/>
      <c r="W403" s="317"/>
      <c r="X403" s="317"/>
      <c r="Y403" s="317"/>
      <c r="Z403" s="317"/>
      <c r="AA403" s="317"/>
      <c r="AB403" s="317"/>
      <c r="AC403" s="317"/>
    </row>
    <row r="404">
      <c r="A404" s="317"/>
      <c r="B404" s="381"/>
      <c r="C404" s="317"/>
      <c r="D404" s="381"/>
      <c r="E404" s="381"/>
      <c r="F404" s="381"/>
      <c r="G404" s="317"/>
      <c r="H404" s="317"/>
      <c r="I404" s="317"/>
      <c r="J404" s="317"/>
      <c r="K404" s="317"/>
      <c r="L404" s="317"/>
      <c r="M404" s="317"/>
      <c r="N404" s="317"/>
      <c r="O404" s="317"/>
      <c r="P404" s="317"/>
      <c r="Q404" s="317"/>
      <c r="R404" s="317"/>
      <c r="S404" s="317"/>
      <c r="T404" s="317"/>
      <c r="U404" s="317"/>
      <c r="V404" s="317"/>
      <c r="W404" s="317"/>
      <c r="X404" s="317"/>
      <c r="Y404" s="317"/>
      <c r="Z404" s="317"/>
      <c r="AA404" s="317"/>
      <c r="AB404" s="317"/>
      <c r="AC404" s="317"/>
    </row>
    <row r="405">
      <c r="A405" s="317"/>
      <c r="B405" s="381"/>
      <c r="C405" s="317"/>
      <c r="D405" s="381"/>
      <c r="E405" s="381"/>
      <c r="F405" s="381"/>
      <c r="G405" s="317"/>
      <c r="H405" s="317"/>
      <c r="I405" s="317"/>
      <c r="J405" s="317"/>
      <c r="K405" s="317"/>
      <c r="L405" s="317"/>
      <c r="M405" s="317"/>
      <c r="N405" s="317"/>
      <c r="O405" s="317"/>
      <c r="P405" s="317"/>
      <c r="Q405" s="317"/>
      <c r="R405" s="317"/>
      <c r="S405" s="317"/>
      <c r="T405" s="317"/>
      <c r="U405" s="317"/>
      <c r="V405" s="317"/>
      <c r="W405" s="317"/>
      <c r="X405" s="317"/>
      <c r="Y405" s="317"/>
      <c r="Z405" s="317"/>
      <c r="AA405" s="317"/>
      <c r="AB405" s="317"/>
      <c r="AC405" s="317"/>
    </row>
    <row r="406">
      <c r="A406" s="317"/>
      <c r="B406" s="381"/>
      <c r="C406" s="317"/>
      <c r="D406" s="381"/>
      <c r="E406" s="381"/>
      <c r="F406" s="381"/>
      <c r="G406" s="317"/>
      <c r="H406" s="317"/>
      <c r="I406" s="317"/>
      <c r="J406" s="317"/>
      <c r="K406" s="317"/>
      <c r="L406" s="317"/>
      <c r="M406" s="317"/>
      <c r="N406" s="317"/>
      <c r="O406" s="317"/>
      <c r="P406" s="317"/>
      <c r="Q406" s="317"/>
      <c r="R406" s="317"/>
      <c r="S406" s="317"/>
      <c r="T406" s="317"/>
      <c r="U406" s="317"/>
      <c r="V406" s="317"/>
      <c r="W406" s="317"/>
      <c r="X406" s="317"/>
      <c r="Y406" s="317"/>
      <c r="Z406" s="317"/>
      <c r="AA406" s="317"/>
      <c r="AB406" s="317"/>
      <c r="AC406" s="317"/>
    </row>
    <row r="407">
      <c r="A407" s="317"/>
      <c r="B407" s="381"/>
      <c r="C407" s="317"/>
      <c r="D407" s="381"/>
      <c r="E407" s="381"/>
      <c r="F407" s="381"/>
      <c r="G407" s="317"/>
      <c r="H407" s="317"/>
      <c r="I407" s="317"/>
      <c r="J407" s="317"/>
      <c r="K407" s="317"/>
      <c r="L407" s="317"/>
      <c r="M407" s="317"/>
      <c r="N407" s="317"/>
      <c r="O407" s="317"/>
      <c r="P407" s="317"/>
      <c r="Q407" s="317"/>
      <c r="R407" s="317"/>
      <c r="S407" s="317"/>
      <c r="T407" s="317"/>
      <c r="U407" s="317"/>
      <c r="V407" s="317"/>
      <c r="W407" s="317"/>
      <c r="X407" s="317"/>
      <c r="Y407" s="317"/>
      <c r="Z407" s="317"/>
      <c r="AA407" s="317"/>
      <c r="AB407" s="317"/>
      <c r="AC407" s="317"/>
    </row>
    <row r="408">
      <c r="A408" s="317"/>
      <c r="B408" s="381"/>
      <c r="C408" s="317"/>
      <c r="D408" s="381"/>
      <c r="E408" s="381"/>
      <c r="F408" s="381"/>
      <c r="G408" s="317"/>
      <c r="H408" s="317"/>
      <c r="I408" s="317"/>
      <c r="J408" s="317"/>
      <c r="K408" s="317"/>
      <c r="L408" s="317"/>
      <c r="M408" s="317"/>
      <c r="N408" s="317"/>
      <c r="O408" s="317"/>
      <c r="P408" s="317"/>
      <c r="Q408" s="317"/>
      <c r="R408" s="317"/>
      <c r="S408" s="317"/>
      <c r="T408" s="317"/>
      <c r="U408" s="317"/>
      <c r="V408" s="317"/>
      <c r="W408" s="317"/>
      <c r="X408" s="317"/>
      <c r="Y408" s="317"/>
      <c r="Z408" s="317"/>
      <c r="AA408" s="317"/>
      <c r="AB408" s="317"/>
      <c r="AC408" s="317"/>
    </row>
    <row r="409">
      <c r="A409" s="317"/>
      <c r="B409" s="381"/>
      <c r="C409" s="317"/>
      <c r="D409" s="381"/>
      <c r="E409" s="381"/>
      <c r="F409" s="381"/>
      <c r="G409" s="317"/>
      <c r="H409" s="317"/>
      <c r="I409" s="317"/>
      <c r="J409" s="317"/>
      <c r="K409" s="317"/>
      <c r="L409" s="317"/>
      <c r="M409" s="317"/>
      <c r="N409" s="317"/>
      <c r="O409" s="317"/>
      <c r="P409" s="317"/>
      <c r="Q409" s="317"/>
      <c r="R409" s="317"/>
      <c r="S409" s="317"/>
      <c r="T409" s="317"/>
      <c r="U409" s="317"/>
      <c r="V409" s="317"/>
      <c r="W409" s="317"/>
      <c r="X409" s="317"/>
      <c r="Y409" s="317"/>
      <c r="Z409" s="317"/>
      <c r="AA409" s="317"/>
      <c r="AB409" s="317"/>
      <c r="AC409" s="317"/>
    </row>
    <row r="410">
      <c r="A410" s="317"/>
      <c r="B410" s="381"/>
      <c r="C410" s="317"/>
      <c r="D410" s="381"/>
      <c r="E410" s="381"/>
      <c r="F410" s="381"/>
      <c r="G410" s="317"/>
      <c r="H410" s="317"/>
      <c r="I410" s="317"/>
      <c r="J410" s="317"/>
      <c r="K410" s="317"/>
      <c r="L410" s="317"/>
      <c r="M410" s="317"/>
      <c r="N410" s="317"/>
      <c r="O410" s="317"/>
      <c r="P410" s="317"/>
      <c r="Q410" s="317"/>
      <c r="R410" s="317"/>
      <c r="S410" s="317"/>
      <c r="T410" s="317"/>
      <c r="U410" s="317"/>
      <c r="V410" s="317"/>
      <c r="W410" s="317"/>
      <c r="X410" s="317"/>
      <c r="Y410" s="317"/>
      <c r="Z410" s="317"/>
      <c r="AA410" s="317"/>
      <c r="AB410" s="317"/>
      <c r="AC410" s="317"/>
    </row>
    <row r="411">
      <c r="A411" s="317"/>
      <c r="B411" s="381"/>
      <c r="C411" s="317"/>
      <c r="D411" s="381"/>
      <c r="E411" s="381"/>
      <c r="F411" s="381"/>
      <c r="G411" s="317"/>
      <c r="H411" s="317"/>
      <c r="I411" s="317"/>
      <c r="J411" s="317"/>
      <c r="K411" s="317"/>
      <c r="L411" s="317"/>
      <c r="M411" s="317"/>
      <c r="N411" s="317"/>
      <c r="O411" s="317"/>
      <c r="P411" s="317"/>
      <c r="Q411" s="317"/>
      <c r="R411" s="317"/>
      <c r="S411" s="317"/>
      <c r="T411" s="317"/>
      <c r="U411" s="317"/>
      <c r="V411" s="317"/>
      <c r="W411" s="317"/>
      <c r="X411" s="317"/>
      <c r="Y411" s="317"/>
      <c r="Z411" s="317"/>
      <c r="AA411" s="317"/>
      <c r="AB411" s="317"/>
      <c r="AC411" s="317"/>
    </row>
    <row r="412">
      <c r="A412" s="317"/>
      <c r="B412" s="381"/>
      <c r="C412" s="317"/>
      <c r="D412" s="381"/>
      <c r="E412" s="381"/>
      <c r="F412" s="381"/>
      <c r="G412" s="317"/>
      <c r="H412" s="317"/>
      <c r="I412" s="317"/>
      <c r="J412" s="317"/>
      <c r="K412" s="317"/>
      <c r="L412" s="317"/>
      <c r="M412" s="317"/>
      <c r="N412" s="317"/>
      <c r="O412" s="317"/>
      <c r="P412" s="317"/>
      <c r="Q412" s="317"/>
      <c r="R412" s="317"/>
      <c r="S412" s="317"/>
      <c r="T412" s="317"/>
      <c r="U412" s="317"/>
      <c r="V412" s="317"/>
      <c r="W412" s="317"/>
      <c r="X412" s="317"/>
      <c r="Y412" s="317"/>
      <c r="Z412" s="317"/>
      <c r="AA412" s="317"/>
      <c r="AB412" s="317"/>
      <c r="AC412" s="317"/>
    </row>
    <row r="413">
      <c r="A413" s="317"/>
      <c r="B413" s="381"/>
      <c r="C413" s="317"/>
      <c r="D413" s="381"/>
      <c r="E413" s="381"/>
      <c r="F413" s="381"/>
      <c r="G413" s="317"/>
      <c r="H413" s="317"/>
      <c r="I413" s="317"/>
      <c r="J413" s="317"/>
      <c r="K413" s="317"/>
      <c r="L413" s="317"/>
      <c r="M413" s="317"/>
      <c r="N413" s="317"/>
      <c r="O413" s="317"/>
      <c r="P413" s="317"/>
      <c r="Q413" s="317"/>
      <c r="R413" s="317"/>
      <c r="S413" s="317"/>
      <c r="T413" s="317"/>
      <c r="U413" s="317"/>
      <c r="V413" s="317"/>
      <c r="W413" s="317"/>
      <c r="X413" s="317"/>
      <c r="Y413" s="317"/>
      <c r="Z413" s="317"/>
      <c r="AA413" s="317"/>
      <c r="AB413" s="317"/>
      <c r="AC413" s="317"/>
    </row>
    <row r="414">
      <c r="A414" s="317"/>
      <c r="B414" s="381"/>
      <c r="C414" s="317"/>
      <c r="D414" s="381"/>
      <c r="E414" s="381"/>
      <c r="F414" s="381"/>
      <c r="G414" s="317"/>
      <c r="H414" s="317"/>
      <c r="I414" s="317"/>
      <c r="J414" s="317"/>
      <c r="K414" s="317"/>
      <c r="L414" s="317"/>
      <c r="M414" s="317"/>
      <c r="N414" s="317"/>
      <c r="O414" s="317"/>
      <c r="P414" s="317"/>
      <c r="Q414" s="317"/>
      <c r="R414" s="317"/>
      <c r="S414" s="317"/>
      <c r="T414" s="317"/>
      <c r="U414" s="317"/>
      <c r="V414" s="317"/>
      <c r="W414" s="317"/>
      <c r="X414" s="317"/>
      <c r="Y414" s="317"/>
      <c r="Z414" s="317"/>
      <c r="AA414" s="317"/>
      <c r="AB414" s="317"/>
      <c r="AC414" s="317"/>
    </row>
    <row r="415">
      <c r="A415" s="317"/>
      <c r="B415" s="381"/>
      <c r="C415" s="317"/>
      <c r="D415" s="381"/>
      <c r="E415" s="381"/>
      <c r="F415" s="381"/>
      <c r="G415" s="317"/>
      <c r="H415" s="317"/>
      <c r="I415" s="317"/>
      <c r="J415" s="317"/>
      <c r="K415" s="317"/>
      <c r="L415" s="317"/>
      <c r="M415" s="317"/>
      <c r="N415" s="317"/>
      <c r="O415" s="317"/>
      <c r="P415" s="317"/>
      <c r="Q415" s="317"/>
      <c r="R415" s="317"/>
      <c r="S415" s="317"/>
      <c r="T415" s="317"/>
      <c r="U415" s="317"/>
      <c r="V415" s="317"/>
      <c r="W415" s="317"/>
      <c r="X415" s="317"/>
      <c r="Y415" s="317"/>
      <c r="Z415" s="317"/>
      <c r="AA415" s="317"/>
      <c r="AB415" s="317"/>
      <c r="AC415" s="317"/>
    </row>
    <row r="416">
      <c r="A416" s="317"/>
      <c r="B416" s="381"/>
      <c r="C416" s="317"/>
      <c r="D416" s="381"/>
      <c r="E416" s="381"/>
      <c r="F416" s="381"/>
      <c r="G416" s="317"/>
      <c r="H416" s="317"/>
      <c r="I416" s="317"/>
      <c r="J416" s="317"/>
      <c r="K416" s="317"/>
      <c r="L416" s="317"/>
      <c r="M416" s="317"/>
      <c r="N416" s="317"/>
      <c r="O416" s="317"/>
      <c r="P416" s="317"/>
      <c r="Q416" s="317"/>
      <c r="R416" s="317"/>
      <c r="S416" s="317"/>
      <c r="T416" s="317"/>
      <c r="U416" s="317"/>
      <c r="V416" s="317"/>
      <c r="W416" s="317"/>
      <c r="X416" s="317"/>
      <c r="Y416" s="317"/>
      <c r="Z416" s="317"/>
      <c r="AA416" s="317"/>
      <c r="AB416" s="317"/>
      <c r="AC416" s="317"/>
    </row>
    <row r="417">
      <c r="A417" s="317"/>
      <c r="B417" s="381"/>
      <c r="C417" s="317"/>
      <c r="D417" s="381"/>
      <c r="E417" s="381"/>
      <c r="F417" s="381"/>
      <c r="G417" s="317"/>
      <c r="H417" s="317"/>
      <c r="I417" s="317"/>
      <c r="J417" s="317"/>
      <c r="K417" s="317"/>
      <c r="L417" s="317"/>
      <c r="M417" s="317"/>
      <c r="N417" s="317"/>
      <c r="O417" s="317"/>
      <c r="P417" s="317"/>
      <c r="Q417" s="317"/>
      <c r="R417" s="317"/>
      <c r="S417" s="317"/>
      <c r="T417" s="317"/>
      <c r="U417" s="317"/>
      <c r="V417" s="317"/>
      <c r="W417" s="317"/>
      <c r="X417" s="317"/>
      <c r="Y417" s="317"/>
      <c r="Z417" s="317"/>
      <c r="AA417" s="317"/>
      <c r="AB417" s="317"/>
      <c r="AC417" s="317"/>
    </row>
    <row r="418">
      <c r="A418" s="317"/>
      <c r="B418" s="381"/>
      <c r="C418" s="317"/>
      <c r="D418" s="381"/>
      <c r="E418" s="381"/>
      <c r="F418" s="381"/>
      <c r="G418" s="317"/>
      <c r="H418" s="317"/>
      <c r="I418" s="317"/>
      <c r="J418" s="317"/>
      <c r="K418" s="317"/>
      <c r="L418" s="317"/>
      <c r="M418" s="317"/>
      <c r="N418" s="317"/>
      <c r="O418" s="317"/>
      <c r="P418" s="317"/>
      <c r="Q418" s="317"/>
      <c r="R418" s="317"/>
      <c r="S418" s="317"/>
      <c r="T418" s="317"/>
      <c r="U418" s="317"/>
      <c r="V418" s="317"/>
      <c r="W418" s="317"/>
      <c r="X418" s="317"/>
      <c r="Y418" s="317"/>
      <c r="Z418" s="317"/>
      <c r="AA418" s="317"/>
      <c r="AB418" s="317"/>
      <c r="AC418" s="317"/>
    </row>
    <row r="419">
      <c r="A419" s="317"/>
      <c r="B419" s="381"/>
      <c r="C419" s="317"/>
      <c r="D419" s="381"/>
      <c r="E419" s="381"/>
      <c r="F419" s="381"/>
      <c r="G419" s="317"/>
      <c r="H419" s="317"/>
      <c r="I419" s="317"/>
      <c r="J419" s="317"/>
      <c r="K419" s="317"/>
      <c r="L419" s="317"/>
      <c r="M419" s="317"/>
      <c r="N419" s="317"/>
      <c r="O419" s="317"/>
      <c r="P419" s="317"/>
      <c r="Q419" s="317"/>
      <c r="R419" s="317"/>
      <c r="S419" s="317"/>
      <c r="T419" s="317"/>
      <c r="U419" s="317"/>
      <c r="V419" s="317"/>
      <c r="W419" s="317"/>
      <c r="X419" s="317"/>
      <c r="Y419" s="317"/>
      <c r="Z419" s="317"/>
      <c r="AA419" s="317"/>
      <c r="AB419" s="317"/>
      <c r="AC419" s="317"/>
    </row>
    <row r="420">
      <c r="A420" s="317"/>
      <c r="B420" s="381"/>
      <c r="C420" s="317"/>
      <c r="D420" s="381"/>
      <c r="E420" s="381"/>
      <c r="F420" s="381"/>
      <c r="G420" s="317"/>
      <c r="H420" s="317"/>
      <c r="I420" s="317"/>
      <c r="J420" s="317"/>
      <c r="K420" s="317"/>
      <c r="L420" s="317"/>
      <c r="M420" s="317"/>
      <c r="N420" s="317"/>
      <c r="O420" s="317"/>
      <c r="P420" s="317"/>
      <c r="Q420" s="317"/>
      <c r="R420" s="317"/>
      <c r="S420" s="317"/>
      <c r="T420" s="317"/>
      <c r="U420" s="317"/>
      <c r="V420" s="317"/>
      <c r="W420" s="317"/>
      <c r="X420" s="317"/>
      <c r="Y420" s="317"/>
      <c r="Z420" s="317"/>
      <c r="AA420" s="317"/>
      <c r="AB420" s="317"/>
      <c r="AC420" s="317"/>
    </row>
    <row r="421">
      <c r="A421" s="317"/>
      <c r="B421" s="381"/>
      <c r="C421" s="317"/>
      <c r="D421" s="381"/>
      <c r="E421" s="381"/>
      <c r="F421" s="381"/>
      <c r="G421" s="317"/>
      <c r="H421" s="317"/>
      <c r="I421" s="317"/>
      <c r="J421" s="317"/>
      <c r="K421" s="317"/>
      <c r="L421" s="317"/>
      <c r="M421" s="317"/>
      <c r="N421" s="317"/>
      <c r="O421" s="317"/>
      <c r="P421" s="317"/>
      <c r="Q421" s="317"/>
      <c r="R421" s="317"/>
      <c r="S421" s="317"/>
      <c r="T421" s="317"/>
      <c r="U421" s="317"/>
      <c r="V421" s="317"/>
      <c r="W421" s="317"/>
      <c r="X421" s="317"/>
      <c r="Y421" s="317"/>
      <c r="Z421" s="317"/>
      <c r="AA421" s="317"/>
      <c r="AB421" s="317"/>
      <c r="AC421" s="317"/>
    </row>
    <row r="422">
      <c r="A422" s="317"/>
      <c r="B422" s="381"/>
      <c r="C422" s="317"/>
      <c r="D422" s="381"/>
      <c r="E422" s="381"/>
      <c r="F422" s="381"/>
      <c r="G422" s="317"/>
      <c r="H422" s="317"/>
      <c r="I422" s="317"/>
      <c r="J422" s="317"/>
      <c r="K422" s="317"/>
      <c r="L422" s="317"/>
      <c r="M422" s="317"/>
      <c r="N422" s="317"/>
      <c r="O422" s="317"/>
      <c r="P422" s="317"/>
      <c r="Q422" s="317"/>
      <c r="R422" s="317"/>
      <c r="S422" s="317"/>
      <c r="T422" s="317"/>
      <c r="U422" s="317"/>
      <c r="V422" s="317"/>
      <c r="W422" s="317"/>
      <c r="X422" s="317"/>
      <c r="Y422" s="317"/>
      <c r="Z422" s="317"/>
      <c r="AA422" s="317"/>
      <c r="AB422" s="317"/>
      <c r="AC422" s="317"/>
    </row>
    <row r="423">
      <c r="A423" s="317"/>
      <c r="B423" s="381"/>
      <c r="C423" s="317"/>
      <c r="D423" s="381"/>
      <c r="E423" s="381"/>
      <c r="F423" s="381"/>
      <c r="G423" s="317"/>
      <c r="H423" s="317"/>
      <c r="I423" s="317"/>
      <c r="J423" s="317"/>
      <c r="K423" s="317"/>
      <c r="L423" s="317"/>
      <c r="M423" s="317"/>
      <c r="N423" s="317"/>
      <c r="O423" s="317"/>
      <c r="P423" s="317"/>
      <c r="Q423" s="317"/>
      <c r="R423" s="317"/>
      <c r="S423" s="317"/>
      <c r="T423" s="317"/>
      <c r="U423" s="317"/>
      <c r="V423" s="317"/>
      <c r="W423" s="317"/>
      <c r="X423" s="317"/>
      <c r="Y423" s="317"/>
      <c r="Z423" s="317"/>
      <c r="AA423" s="317"/>
      <c r="AB423" s="317"/>
      <c r="AC423" s="317"/>
    </row>
    <row r="424">
      <c r="A424" s="317"/>
      <c r="B424" s="381"/>
      <c r="C424" s="317"/>
      <c r="D424" s="381"/>
      <c r="E424" s="381"/>
      <c r="F424" s="381"/>
      <c r="G424" s="317"/>
      <c r="H424" s="317"/>
      <c r="I424" s="317"/>
      <c r="J424" s="317"/>
      <c r="K424" s="317"/>
      <c r="L424" s="317"/>
      <c r="M424" s="317"/>
      <c r="N424" s="317"/>
      <c r="O424" s="317"/>
      <c r="P424" s="317"/>
      <c r="Q424" s="317"/>
      <c r="R424" s="317"/>
      <c r="S424" s="317"/>
      <c r="T424" s="317"/>
      <c r="U424" s="317"/>
      <c r="V424" s="317"/>
      <c r="W424" s="317"/>
      <c r="X424" s="317"/>
      <c r="Y424" s="317"/>
      <c r="Z424" s="317"/>
      <c r="AA424" s="317"/>
      <c r="AB424" s="317"/>
      <c r="AC424" s="317"/>
    </row>
    <row r="425">
      <c r="A425" s="317"/>
      <c r="B425" s="381"/>
      <c r="C425" s="317"/>
      <c r="D425" s="381"/>
      <c r="E425" s="381"/>
      <c r="F425" s="381"/>
      <c r="G425" s="317"/>
      <c r="H425" s="317"/>
      <c r="I425" s="317"/>
      <c r="J425" s="317"/>
      <c r="K425" s="317"/>
      <c r="L425" s="317"/>
      <c r="M425" s="317"/>
      <c r="N425" s="317"/>
      <c r="O425" s="317"/>
      <c r="P425" s="317"/>
      <c r="Q425" s="317"/>
      <c r="R425" s="317"/>
      <c r="S425" s="317"/>
      <c r="T425" s="317"/>
      <c r="U425" s="317"/>
      <c r="V425" s="317"/>
      <c r="W425" s="317"/>
      <c r="X425" s="317"/>
      <c r="Y425" s="317"/>
      <c r="Z425" s="317"/>
      <c r="AA425" s="317"/>
      <c r="AB425" s="317"/>
      <c r="AC425" s="317"/>
    </row>
    <row r="426">
      <c r="A426" s="317"/>
      <c r="B426" s="381"/>
      <c r="C426" s="317"/>
      <c r="D426" s="381"/>
      <c r="E426" s="381"/>
      <c r="F426" s="381"/>
      <c r="G426" s="317"/>
      <c r="H426" s="317"/>
      <c r="I426" s="317"/>
      <c r="J426" s="317"/>
      <c r="K426" s="317"/>
      <c r="L426" s="317"/>
      <c r="M426" s="317"/>
      <c r="N426" s="317"/>
      <c r="O426" s="317"/>
      <c r="P426" s="317"/>
      <c r="Q426" s="317"/>
      <c r="R426" s="317"/>
      <c r="S426" s="317"/>
      <c r="T426" s="317"/>
      <c r="U426" s="317"/>
      <c r="V426" s="317"/>
      <c r="W426" s="317"/>
      <c r="X426" s="317"/>
      <c r="Y426" s="317"/>
      <c r="Z426" s="317"/>
      <c r="AA426" s="317"/>
      <c r="AB426" s="317"/>
      <c r="AC426" s="317"/>
    </row>
    <row r="427">
      <c r="A427" s="317"/>
      <c r="B427" s="381"/>
      <c r="C427" s="317"/>
      <c r="D427" s="381"/>
      <c r="E427" s="381"/>
      <c r="F427" s="381"/>
      <c r="G427" s="317"/>
      <c r="H427" s="317"/>
      <c r="I427" s="317"/>
      <c r="J427" s="317"/>
      <c r="K427" s="317"/>
      <c r="L427" s="317"/>
      <c r="M427" s="317"/>
      <c r="N427" s="317"/>
      <c r="O427" s="317"/>
      <c r="P427" s="317"/>
      <c r="Q427" s="317"/>
      <c r="R427" s="317"/>
      <c r="S427" s="317"/>
      <c r="T427" s="317"/>
      <c r="U427" s="317"/>
      <c r="V427" s="317"/>
      <c r="W427" s="317"/>
      <c r="X427" s="317"/>
      <c r="Y427" s="317"/>
      <c r="Z427" s="317"/>
      <c r="AA427" s="317"/>
      <c r="AB427" s="317"/>
      <c r="AC427" s="317"/>
    </row>
    <row r="428">
      <c r="A428" s="317"/>
      <c r="B428" s="381"/>
      <c r="C428" s="317"/>
      <c r="D428" s="381"/>
      <c r="E428" s="381"/>
      <c r="F428" s="381"/>
      <c r="G428" s="317"/>
      <c r="H428" s="317"/>
      <c r="I428" s="317"/>
      <c r="J428" s="317"/>
      <c r="K428" s="317"/>
      <c r="L428" s="317"/>
      <c r="M428" s="317"/>
      <c r="N428" s="317"/>
      <c r="O428" s="317"/>
      <c r="P428" s="317"/>
      <c r="Q428" s="317"/>
      <c r="R428" s="317"/>
      <c r="S428" s="317"/>
      <c r="T428" s="317"/>
      <c r="U428" s="317"/>
      <c r="V428" s="317"/>
      <c r="W428" s="317"/>
      <c r="X428" s="317"/>
      <c r="Y428" s="317"/>
      <c r="Z428" s="317"/>
      <c r="AA428" s="317"/>
      <c r="AB428" s="317"/>
      <c r="AC428" s="317"/>
    </row>
    <row r="429">
      <c r="A429" s="317"/>
      <c r="B429" s="381"/>
      <c r="C429" s="317"/>
      <c r="D429" s="381"/>
      <c r="E429" s="381"/>
      <c r="F429" s="381"/>
      <c r="G429" s="317"/>
      <c r="H429" s="317"/>
      <c r="I429" s="317"/>
      <c r="J429" s="317"/>
      <c r="K429" s="317"/>
      <c r="L429" s="317"/>
      <c r="M429" s="317"/>
      <c r="N429" s="317"/>
      <c r="O429" s="317"/>
      <c r="P429" s="317"/>
      <c r="Q429" s="317"/>
      <c r="R429" s="317"/>
      <c r="S429" s="317"/>
      <c r="T429" s="317"/>
      <c r="U429" s="317"/>
      <c r="V429" s="317"/>
      <c r="W429" s="317"/>
      <c r="X429" s="317"/>
      <c r="Y429" s="317"/>
      <c r="Z429" s="317"/>
      <c r="AA429" s="317"/>
      <c r="AB429" s="317"/>
      <c r="AC429" s="317"/>
    </row>
    <row r="430">
      <c r="A430" s="317"/>
      <c r="B430" s="381"/>
      <c r="C430" s="317"/>
      <c r="D430" s="381"/>
      <c r="E430" s="381"/>
      <c r="F430" s="381"/>
      <c r="G430" s="317"/>
      <c r="H430" s="317"/>
      <c r="I430" s="317"/>
      <c r="J430" s="317"/>
      <c r="K430" s="317"/>
      <c r="L430" s="317"/>
      <c r="M430" s="317"/>
      <c r="N430" s="317"/>
      <c r="O430" s="317"/>
      <c r="P430" s="317"/>
      <c r="Q430" s="317"/>
      <c r="R430" s="317"/>
      <c r="S430" s="317"/>
      <c r="T430" s="317"/>
      <c r="U430" s="317"/>
      <c r="V430" s="317"/>
      <c r="W430" s="317"/>
      <c r="X430" s="317"/>
      <c r="Y430" s="317"/>
      <c r="Z430" s="317"/>
      <c r="AA430" s="317"/>
      <c r="AB430" s="317"/>
      <c r="AC430" s="317"/>
    </row>
    <row r="431">
      <c r="A431" s="317"/>
      <c r="B431" s="381"/>
      <c r="C431" s="317"/>
      <c r="D431" s="381"/>
      <c r="E431" s="381"/>
      <c r="F431" s="381"/>
      <c r="G431" s="317"/>
      <c r="H431" s="317"/>
      <c r="I431" s="317"/>
      <c r="J431" s="317"/>
      <c r="K431" s="317"/>
      <c r="L431" s="317"/>
      <c r="M431" s="317"/>
      <c r="N431" s="317"/>
      <c r="O431" s="317"/>
      <c r="P431" s="317"/>
      <c r="Q431" s="317"/>
      <c r="R431" s="317"/>
      <c r="S431" s="317"/>
      <c r="T431" s="317"/>
      <c r="U431" s="317"/>
      <c r="V431" s="317"/>
      <c r="W431" s="317"/>
      <c r="X431" s="317"/>
      <c r="Y431" s="317"/>
      <c r="Z431" s="317"/>
      <c r="AA431" s="317"/>
      <c r="AB431" s="317"/>
      <c r="AC431" s="317"/>
    </row>
    <row r="432">
      <c r="A432" s="317"/>
      <c r="B432" s="381"/>
      <c r="C432" s="317"/>
      <c r="D432" s="381"/>
      <c r="E432" s="381"/>
      <c r="F432" s="381"/>
      <c r="G432" s="317"/>
      <c r="H432" s="317"/>
      <c r="I432" s="317"/>
      <c r="J432" s="317"/>
      <c r="K432" s="317"/>
      <c r="L432" s="317"/>
      <c r="M432" s="317"/>
      <c r="N432" s="317"/>
      <c r="O432" s="317"/>
      <c r="P432" s="317"/>
      <c r="Q432" s="317"/>
      <c r="R432" s="317"/>
      <c r="S432" s="317"/>
      <c r="T432" s="317"/>
      <c r="U432" s="317"/>
      <c r="V432" s="317"/>
      <c r="W432" s="317"/>
      <c r="X432" s="317"/>
      <c r="Y432" s="317"/>
      <c r="Z432" s="317"/>
      <c r="AA432" s="317"/>
      <c r="AB432" s="317"/>
      <c r="AC432" s="317"/>
    </row>
    <row r="433">
      <c r="A433" s="317"/>
      <c r="B433" s="381"/>
      <c r="C433" s="317"/>
      <c r="D433" s="381"/>
      <c r="E433" s="381"/>
      <c r="F433" s="381"/>
      <c r="G433" s="317"/>
      <c r="H433" s="317"/>
      <c r="I433" s="317"/>
      <c r="J433" s="317"/>
      <c r="K433" s="317"/>
      <c r="L433" s="317"/>
      <c r="M433" s="317"/>
      <c r="N433" s="317"/>
      <c r="O433" s="317"/>
      <c r="P433" s="317"/>
      <c r="Q433" s="317"/>
      <c r="R433" s="317"/>
      <c r="S433" s="317"/>
      <c r="T433" s="317"/>
      <c r="U433" s="317"/>
      <c r="V433" s="317"/>
      <c r="W433" s="317"/>
      <c r="X433" s="317"/>
      <c r="Y433" s="317"/>
      <c r="Z433" s="317"/>
      <c r="AA433" s="317"/>
      <c r="AB433" s="317"/>
      <c r="AC433" s="317"/>
    </row>
    <row r="434">
      <c r="A434" s="317"/>
      <c r="B434" s="381"/>
      <c r="C434" s="317"/>
      <c r="D434" s="381"/>
      <c r="E434" s="381"/>
      <c r="F434" s="381"/>
      <c r="G434" s="317"/>
      <c r="H434" s="317"/>
      <c r="I434" s="317"/>
      <c r="J434" s="317"/>
      <c r="K434" s="317"/>
      <c r="L434" s="317"/>
      <c r="M434" s="317"/>
      <c r="N434" s="317"/>
      <c r="O434" s="317"/>
      <c r="P434" s="317"/>
      <c r="Q434" s="317"/>
      <c r="R434" s="317"/>
      <c r="S434" s="317"/>
      <c r="T434" s="317"/>
      <c r="U434" s="317"/>
      <c r="V434" s="317"/>
      <c r="W434" s="317"/>
      <c r="X434" s="317"/>
      <c r="Y434" s="317"/>
      <c r="Z434" s="317"/>
      <c r="AA434" s="317"/>
      <c r="AB434" s="317"/>
      <c r="AC434" s="317"/>
    </row>
    <row r="435">
      <c r="A435" s="317"/>
      <c r="B435" s="381"/>
      <c r="C435" s="317"/>
      <c r="D435" s="381"/>
      <c r="E435" s="381"/>
      <c r="F435" s="381"/>
      <c r="G435" s="317"/>
      <c r="H435" s="317"/>
      <c r="I435" s="317"/>
      <c r="J435" s="317"/>
      <c r="K435" s="317"/>
      <c r="L435" s="317"/>
      <c r="M435" s="317"/>
      <c r="N435" s="317"/>
      <c r="O435" s="317"/>
      <c r="P435" s="317"/>
      <c r="Q435" s="317"/>
      <c r="R435" s="317"/>
      <c r="S435" s="317"/>
      <c r="T435" s="317"/>
      <c r="U435" s="317"/>
      <c r="V435" s="317"/>
      <c r="W435" s="317"/>
      <c r="X435" s="317"/>
      <c r="Y435" s="317"/>
      <c r="Z435" s="317"/>
      <c r="AA435" s="317"/>
      <c r="AB435" s="317"/>
      <c r="AC435" s="317"/>
    </row>
    <row r="436">
      <c r="A436" s="317"/>
      <c r="B436" s="381"/>
      <c r="C436" s="317"/>
      <c r="D436" s="381"/>
      <c r="E436" s="381"/>
      <c r="F436" s="381"/>
      <c r="G436" s="317"/>
      <c r="H436" s="317"/>
      <c r="I436" s="317"/>
      <c r="J436" s="317"/>
      <c r="K436" s="317"/>
      <c r="L436" s="317"/>
      <c r="M436" s="317"/>
      <c r="N436" s="317"/>
      <c r="O436" s="317"/>
      <c r="P436" s="317"/>
      <c r="Q436" s="317"/>
      <c r="R436" s="317"/>
      <c r="S436" s="317"/>
      <c r="T436" s="317"/>
      <c r="U436" s="317"/>
      <c r="V436" s="317"/>
      <c r="W436" s="317"/>
      <c r="X436" s="317"/>
      <c r="Y436" s="317"/>
      <c r="Z436" s="317"/>
      <c r="AA436" s="317"/>
      <c r="AB436" s="317"/>
      <c r="AC436" s="317"/>
    </row>
    <row r="437">
      <c r="A437" s="317"/>
      <c r="B437" s="381"/>
      <c r="C437" s="317"/>
      <c r="D437" s="381"/>
      <c r="E437" s="381"/>
      <c r="F437" s="381"/>
      <c r="G437" s="317"/>
      <c r="H437" s="317"/>
      <c r="I437" s="317"/>
      <c r="J437" s="317"/>
      <c r="K437" s="317"/>
      <c r="L437" s="317"/>
      <c r="M437" s="317"/>
      <c r="N437" s="317"/>
      <c r="O437" s="317"/>
      <c r="P437" s="317"/>
      <c r="Q437" s="317"/>
      <c r="R437" s="317"/>
      <c r="S437" s="317"/>
      <c r="T437" s="317"/>
      <c r="U437" s="317"/>
      <c r="V437" s="317"/>
      <c r="W437" s="317"/>
      <c r="X437" s="317"/>
      <c r="Y437" s="317"/>
      <c r="Z437" s="317"/>
      <c r="AA437" s="317"/>
      <c r="AB437" s="317"/>
      <c r="AC437" s="317"/>
    </row>
    <row r="438">
      <c r="A438" s="317"/>
      <c r="B438" s="381"/>
      <c r="C438" s="317"/>
      <c r="D438" s="381"/>
      <c r="E438" s="381"/>
      <c r="F438" s="381"/>
      <c r="G438" s="317"/>
      <c r="H438" s="317"/>
      <c r="I438" s="317"/>
      <c r="J438" s="317"/>
      <c r="K438" s="317"/>
      <c r="L438" s="317"/>
      <c r="M438" s="317"/>
      <c r="N438" s="317"/>
      <c r="O438" s="317"/>
      <c r="P438" s="317"/>
      <c r="Q438" s="317"/>
      <c r="R438" s="317"/>
      <c r="S438" s="317"/>
      <c r="T438" s="317"/>
      <c r="U438" s="317"/>
      <c r="V438" s="317"/>
      <c r="W438" s="317"/>
      <c r="X438" s="317"/>
      <c r="Y438" s="317"/>
      <c r="Z438" s="317"/>
      <c r="AA438" s="317"/>
      <c r="AB438" s="317"/>
      <c r="AC438" s="317"/>
    </row>
    <row r="439">
      <c r="A439" s="317"/>
      <c r="B439" s="381"/>
      <c r="C439" s="317"/>
      <c r="D439" s="381"/>
      <c r="E439" s="381"/>
      <c r="F439" s="381"/>
      <c r="G439" s="317"/>
      <c r="H439" s="317"/>
      <c r="I439" s="317"/>
      <c r="J439" s="317"/>
      <c r="K439" s="317"/>
      <c r="L439" s="317"/>
      <c r="M439" s="317"/>
      <c r="N439" s="317"/>
      <c r="O439" s="317"/>
      <c r="P439" s="317"/>
      <c r="Q439" s="317"/>
      <c r="R439" s="317"/>
      <c r="S439" s="317"/>
      <c r="T439" s="317"/>
      <c r="U439" s="317"/>
      <c r="V439" s="317"/>
      <c r="W439" s="317"/>
      <c r="X439" s="317"/>
      <c r="Y439" s="317"/>
      <c r="Z439" s="317"/>
      <c r="AA439" s="317"/>
      <c r="AB439" s="317"/>
      <c r="AC439" s="317"/>
    </row>
    <row r="440">
      <c r="A440" s="317"/>
      <c r="B440" s="381"/>
      <c r="C440" s="317"/>
      <c r="D440" s="381"/>
      <c r="E440" s="381"/>
      <c r="F440" s="381"/>
      <c r="G440" s="317"/>
      <c r="H440" s="317"/>
      <c r="I440" s="317"/>
      <c r="J440" s="317"/>
      <c r="K440" s="317"/>
      <c r="L440" s="317"/>
      <c r="M440" s="317"/>
      <c r="N440" s="317"/>
      <c r="O440" s="317"/>
      <c r="P440" s="317"/>
      <c r="Q440" s="317"/>
      <c r="R440" s="317"/>
      <c r="S440" s="317"/>
      <c r="T440" s="317"/>
      <c r="U440" s="317"/>
      <c r="V440" s="317"/>
      <c r="W440" s="317"/>
      <c r="X440" s="317"/>
      <c r="Y440" s="317"/>
      <c r="Z440" s="317"/>
      <c r="AA440" s="317"/>
      <c r="AB440" s="317"/>
      <c r="AC440" s="317"/>
    </row>
    <row r="441">
      <c r="A441" s="317"/>
      <c r="B441" s="381"/>
      <c r="C441" s="317"/>
      <c r="D441" s="381"/>
      <c r="E441" s="381"/>
      <c r="F441" s="381"/>
      <c r="G441" s="317"/>
      <c r="H441" s="317"/>
      <c r="I441" s="317"/>
      <c r="J441" s="317"/>
      <c r="K441" s="317"/>
      <c r="L441" s="317"/>
      <c r="M441" s="317"/>
      <c r="N441" s="317"/>
      <c r="O441" s="317"/>
      <c r="P441" s="317"/>
      <c r="Q441" s="317"/>
      <c r="R441" s="317"/>
      <c r="S441" s="317"/>
      <c r="T441" s="317"/>
      <c r="U441" s="317"/>
      <c r="V441" s="317"/>
      <c r="W441" s="317"/>
      <c r="X441" s="317"/>
      <c r="Y441" s="317"/>
      <c r="Z441" s="317"/>
      <c r="AA441" s="317"/>
      <c r="AB441" s="317"/>
      <c r="AC441" s="317"/>
    </row>
    <row r="442">
      <c r="A442" s="317"/>
      <c r="B442" s="381"/>
      <c r="C442" s="317"/>
      <c r="D442" s="381"/>
      <c r="E442" s="381"/>
      <c r="F442" s="381"/>
      <c r="G442" s="317"/>
      <c r="H442" s="317"/>
      <c r="I442" s="317"/>
      <c r="J442" s="317"/>
      <c r="K442" s="317"/>
      <c r="L442" s="317"/>
      <c r="M442" s="317"/>
      <c r="N442" s="317"/>
      <c r="O442" s="317"/>
      <c r="P442" s="317"/>
      <c r="Q442" s="317"/>
      <c r="R442" s="317"/>
      <c r="S442" s="317"/>
      <c r="T442" s="317"/>
      <c r="U442" s="317"/>
      <c r="V442" s="317"/>
      <c r="W442" s="317"/>
      <c r="X442" s="317"/>
      <c r="Y442" s="317"/>
      <c r="Z442" s="317"/>
      <c r="AA442" s="317"/>
      <c r="AB442" s="317"/>
      <c r="AC442" s="317"/>
    </row>
    <row r="443">
      <c r="A443" s="317"/>
      <c r="B443" s="381"/>
      <c r="C443" s="317"/>
      <c r="D443" s="381"/>
      <c r="E443" s="381"/>
      <c r="F443" s="381"/>
      <c r="G443" s="317"/>
      <c r="H443" s="317"/>
      <c r="I443" s="317"/>
      <c r="J443" s="317"/>
      <c r="K443" s="317"/>
      <c r="L443" s="317"/>
      <c r="M443" s="317"/>
      <c r="N443" s="317"/>
      <c r="O443" s="317"/>
      <c r="P443" s="317"/>
      <c r="Q443" s="317"/>
      <c r="R443" s="317"/>
      <c r="S443" s="317"/>
      <c r="T443" s="317"/>
      <c r="U443" s="317"/>
      <c r="V443" s="317"/>
      <c r="W443" s="317"/>
      <c r="X443" s="317"/>
      <c r="Y443" s="317"/>
      <c r="Z443" s="317"/>
      <c r="AA443" s="317"/>
      <c r="AB443" s="317"/>
      <c r="AC443" s="317"/>
    </row>
    <row r="444">
      <c r="A444" s="317"/>
      <c r="B444" s="381"/>
      <c r="C444" s="317"/>
      <c r="D444" s="381"/>
      <c r="E444" s="381"/>
      <c r="F444" s="381"/>
      <c r="G444" s="317"/>
      <c r="H444" s="317"/>
      <c r="I444" s="317"/>
      <c r="J444" s="317"/>
      <c r="K444" s="317"/>
      <c r="L444" s="317"/>
      <c r="M444" s="317"/>
      <c r="N444" s="317"/>
      <c r="O444" s="317"/>
      <c r="P444" s="317"/>
      <c r="Q444" s="317"/>
      <c r="R444" s="317"/>
      <c r="S444" s="317"/>
      <c r="T444" s="317"/>
      <c r="U444" s="317"/>
      <c r="V444" s="317"/>
      <c r="W444" s="317"/>
      <c r="X444" s="317"/>
      <c r="Y444" s="317"/>
      <c r="Z444" s="317"/>
      <c r="AA444" s="317"/>
      <c r="AB444" s="317"/>
      <c r="AC444" s="317"/>
    </row>
    <row r="445">
      <c r="A445" s="317"/>
      <c r="B445" s="381"/>
      <c r="C445" s="317"/>
      <c r="D445" s="381"/>
      <c r="E445" s="381"/>
      <c r="F445" s="381"/>
      <c r="G445" s="317"/>
      <c r="H445" s="317"/>
      <c r="I445" s="317"/>
      <c r="J445" s="317"/>
      <c r="K445" s="317"/>
      <c r="L445" s="317"/>
      <c r="M445" s="317"/>
      <c r="N445" s="317"/>
      <c r="O445" s="317"/>
      <c r="P445" s="317"/>
      <c r="Q445" s="317"/>
      <c r="R445" s="317"/>
      <c r="S445" s="317"/>
      <c r="T445" s="317"/>
      <c r="U445" s="317"/>
      <c r="V445" s="317"/>
      <c r="W445" s="317"/>
      <c r="X445" s="317"/>
      <c r="Y445" s="317"/>
      <c r="Z445" s="317"/>
      <c r="AA445" s="317"/>
      <c r="AB445" s="317"/>
      <c r="AC445" s="317"/>
    </row>
    <row r="446">
      <c r="A446" s="317"/>
      <c r="B446" s="381"/>
      <c r="C446" s="317"/>
      <c r="D446" s="381"/>
      <c r="E446" s="381"/>
      <c r="F446" s="381"/>
      <c r="G446" s="317"/>
      <c r="H446" s="317"/>
      <c r="I446" s="317"/>
      <c r="J446" s="317"/>
      <c r="K446" s="317"/>
      <c r="L446" s="317"/>
      <c r="M446" s="317"/>
      <c r="N446" s="317"/>
      <c r="O446" s="317"/>
      <c r="P446" s="317"/>
      <c r="Q446" s="317"/>
      <c r="R446" s="317"/>
      <c r="S446" s="317"/>
      <c r="T446" s="317"/>
      <c r="U446" s="317"/>
      <c r="V446" s="317"/>
      <c r="W446" s="317"/>
      <c r="X446" s="317"/>
      <c r="Y446" s="317"/>
      <c r="Z446" s="317"/>
      <c r="AA446" s="317"/>
      <c r="AB446" s="317"/>
      <c r="AC446" s="317"/>
    </row>
    <row r="447">
      <c r="A447" s="317"/>
      <c r="B447" s="381"/>
      <c r="C447" s="317"/>
      <c r="D447" s="381"/>
      <c r="E447" s="381"/>
      <c r="F447" s="381"/>
      <c r="G447" s="317"/>
      <c r="H447" s="317"/>
      <c r="I447" s="317"/>
      <c r="J447" s="317"/>
      <c r="K447" s="317"/>
      <c r="L447" s="317"/>
      <c r="M447" s="317"/>
      <c r="N447" s="317"/>
      <c r="O447" s="317"/>
      <c r="P447" s="317"/>
      <c r="Q447" s="317"/>
      <c r="R447" s="317"/>
      <c r="S447" s="317"/>
      <c r="T447" s="317"/>
      <c r="U447" s="317"/>
      <c r="V447" s="317"/>
      <c r="W447" s="317"/>
      <c r="X447" s="317"/>
      <c r="Y447" s="317"/>
      <c r="Z447" s="317"/>
      <c r="AA447" s="317"/>
      <c r="AB447" s="317"/>
      <c r="AC447" s="317"/>
    </row>
    <row r="448">
      <c r="A448" s="317"/>
      <c r="B448" s="381"/>
      <c r="C448" s="317"/>
      <c r="D448" s="381"/>
      <c r="E448" s="381"/>
      <c r="F448" s="381"/>
      <c r="G448" s="317"/>
      <c r="H448" s="317"/>
      <c r="I448" s="317"/>
      <c r="J448" s="317"/>
      <c r="K448" s="317"/>
      <c r="L448" s="317"/>
      <c r="M448" s="317"/>
      <c r="N448" s="317"/>
      <c r="O448" s="317"/>
      <c r="P448" s="317"/>
      <c r="Q448" s="317"/>
      <c r="R448" s="317"/>
      <c r="S448" s="317"/>
      <c r="T448" s="317"/>
      <c r="U448" s="317"/>
      <c r="V448" s="317"/>
      <c r="W448" s="317"/>
      <c r="X448" s="317"/>
      <c r="Y448" s="317"/>
      <c r="Z448" s="317"/>
      <c r="AA448" s="317"/>
      <c r="AB448" s="317"/>
      <c r="AC448" s="317"/>
    </row>
    <row r="449">
      <c r="A449" s="317"/>
      <c r="B449" s="381"/>
      <c r="C449" s="317"/>
      <c r="D449" s="381"/>
      <c r="E449" s="381"/>
      <c r="F449" s="381"/>
      <c r="G449" s="317"/>
      <c r="H449" s="317"/>
      <c r="I449" s="317"/>
      <c r="J449" s="317"/>
      <c r="K449" s="317"/>
      <c r="L449" s="317"/>
      <c r="M449" s="317"/>
      <c r="N449" s="317"/>
      <c r="O449" s="317"/>
      <c r="P449" s="317"/>
      <c r="Q449" s="317"/>
      <c r="R449" s="317"/>
      <c r="S449" s="317"/>
      <c r="T449" s="317"/>
      <c r="U449" s="317"/>
      <c r="V449" s="317"/>
      <c r="W449" s="317"/>
      <c r="X449" s="317"/>
      <c r="Y449" s="317"/>
      <c r="Z449" s="317"/>
      <c r="AA449" s="317"/>
      <c r="AB449" s="317"/>
      <c r="AC449" s="317"/>
    </row>
    <row r="450">
      <c r="A450" s="317"/>
      <c r="B450" s="381"/>
      <c r="C450" s="317"/>
      <c r="D450" s="381"/>
      <c r="E450" s="381"/>
      <c r="F450" s="381"/>
      <c r="G450" s="317"/>
      <c r="H450" s="317"/>
      <c r="I450" s="317"/>
      <c r="J450" s="317"/>
      <c r="K450" s="317"/>
      <c r="L450" s="317"/>
      <c r="M450" s="317"/>
      <c r="N450" s="317"/>
      <c r="O450" s="317"/>
      <c r="P450" s="317"/>
      <c r="Q450" s="317"/>
      <c r="R450" s="317"/>
      <c r="S450" s="317"/>
      <c r="T450" s="317"/>
      <c r="U450" s="317"/>
      <c r="V450" s="317"/>
      <c r="W450" s="317"/>
      <c r="X450" s="317"/>
      <c r="Y450" s="317"/>
      <c r="Z450" s="317"/>
      <c r="AA450" s="317"/>
      <c r="AB450" s="317"/>
      <c r="AC450" s="317"/>
    </row>
    <row r="451">
      <c r="A451" s="317"/>
      <c r="B451" s="381"/>
      <c r="C451" s="317"/>
      <c r="D451" s="381"/>
      <c r="E451" s="381"/>
      <c r="F451" s="381"/>
      <c r="G451" s="317"/>
      <c r="H451" s="317"/>
      <c r="I451" s="317"/>
      <c r="J451" s="317"/>
      <c r="K451" s="317"/>
      <c r="L451" s="317"/>
      <c r="M451" s="317"/>
      <c r="N451" s="317"/>
      <c r="O451" s="317"/>
      <c r="P451" s="317"/>
      <c r="Q451" s="317"/>
      <c r="R451" s="317"/>
      <c r="S451" s="317"/>
      <c r="T451" s="317"/>
      <c r="U451" s="317"/>
      <c r="V451" s="317"/>
      <c r="W451" s="317"/>
      <c r="X451" s="317"/>
      <c r="Y451" s="317"/>
      <c r="Z451" s="317"/>
      <c r="AA451" s="317"/>
      <c r="AB451" s="317"/>
      <c r="AC451" s="317"/>
    </row>
    <row r="452">
      <c r="A452" s="317"/>
      <c r="B452" s="381"/>
      <c r="C452" s="317"/>
      <c r="D452" s="381"/>
      <c r="E452" s="381"/>
      <c r="F452" s="381"/>
      <c r="G452" s="317"/>
      <c r="H452" s="317"/>
      <c r="I452" s="317"/>
      <c r="J452" s="317"/>
      <c r="K452" s="317"/>
      <c r="L452" s="317"/>
      <c r="M452" s="317"/>
      <c r="N452" s="317"/>
      <c r="O452" s="317"/>
      <c r="P452" s="317"/>
      <c r="Q452" s="317"/>
      <c r="R452" s="317"/>
      <c r="S452" s="317"/>
      <c r="T452" s="317"/>
      <c r="U452" s="317"/>
      <c r="V452" s="317"/>
      <c r="W452" s="317"/>
      <c r="X452" s="317"/>
      <c r="Y452" s="317"/>
      <c r="Z452" s="317"/>
      <c r="AA452" s="317"/>
      <c r="AB452" s="317"/>
      <c r="AC452" s="317"/>
    </row>
    <row r="453">
      <c r="A453" s="317"/>
      <c r="B453" s="381"/>
      <c r="C453" s="317"/>
      <c r="D453" s="381"/>
      <c r="E453" s="381"/>
      <c r="F453" s="381"/>
      <c r="G453" s="317"/>
      <c r="H453" s="317"/>
      <c r="I453" s="317"/>
      <c r="J453" s="317"/>
      <c r="K453" s="317"/>
      <c r="L453" s="317"/>
      <c r="M453" s="317"/>
      <c r="N453" s="317"/>
      <c r="O453" s="317"/>
      <c r="P453" s="317"/>
      <c r="Q453" s="317"/>
      <c r="R453" s="317"/>
      <c r="S453" s="317"/>
      <c r="T453" s="317"/>
      <c r="U453" s="317"/>
      <c r="V453" s="317"/>
      <c r="W453" s="317"/>
      <c r="X453" s="317"/>
      <c r="Y453" s="317"/>
      <c r="Z453" s="317"/>
      <c r="AA453" s="317"/>
      <c r="AB453" s="317"/>
      <c r="AC453" s="317"/>
    </row>
    <row r="454">
      <c r="A454" s="317"/>
      <c r="B454" s="381"/>
      <c r="C454" s="317"/>
      <c r="D454" s="381"/>
      <c r="E454" s="381"/>
      <c r="F454" s="381"/>
      <c r="G454" s="317"/>
      <c r="H454" s="317"/>
      <c r="I454" s="317"/>
      <c r="J454" s="317"/>
      <c r="K454" s="317"/>
      <c r="L454" s="317"/>
      <c r="M454" s="317"/>
      <c r="N454" s="317"/>
      <c r="O454" s="317"/>
      <c r="P454" s="317"/>
      <c r="Q454" s="317"/>
      <c r="R454" s="317"/>
      <c r="S454" s="317"/>
      <c r="T454" s="317"/>
      <c r="U454" s="317"/>
      <c r="V454" s="317"/>
      <c r="W454" s="317"/>
      <c r="X454" s="317"/>
      <c r="Y454" s="317"/>
      <c r="Z454" s="317"/>
      <c r="AA454" s="317"/>
      <c r="AB454" s="317"/>
      <c r="AC454" s="317"/>
    </row>
    <row r="455">
      <c r="A455" s="317"/>
      <c r="B455" s="381"/>
      <c r="C455" s="317"/>
      <c r="D455" s="381"/>
      <c r="E455" s="381"/>
      <c r="F455" s="381"/>
      <c r="G455" s="317"/>
      <c r="H455" s="317"/>
      <c r="I455" s="317"/>
      <c r="J455" s="317"/>
      <c r="K455" s="317"/>
      <c r="L455" s="317"/>
      <c r="M455" s="317"/>
      <c r="N455" s="317"/>
      <c r="O455" s="317"/>
      <c r="P455" s="317"/>
      <c r="Q455" s="317"/>
      <c r="R455" s="317"/>
      <c r="S455" s="317"/>
      <c r="T455" s="317"/>
      <c r="U455" s="317"/>
      <c r="V455" s="317"/>
      <c r="W455" s="317"/>
      <c r="X455" s="317"/>
      <c r="Y455" s="317"/>
      <c r="Z455" s="317"/>
      <c r="AA455" s="317"/>
      <c r="AB455" s="317"/>
      <c r="AC455" s="317"/>
    </row>
    <row r="456">
      <c r="A456" s="317"/>
      <c r="B456" s="381"/>
      <c r="C456" s="317"/>
      <c r="D456" s="381"/>
      <c r="E456" s="381"/>
      <c r="F456" s="381"/>
      <c r="G456" s="317"/>
      <c r="H456" s="317"/>
      <c r="I456" s="317"/>
      <c r="J456" s="317"/>
      <c r="K456" s="317"/>
      <c r="L456" s="317"/>
      <c r="M456" s="317"/>
      <c r="N456" s="317"/>
      <c r="O456" s="317"/>
      <c r="P456" s="317"/>
      <c r="Q456" s="317"/>
      <c r="R456" s="317"/>
      <c r="S456" s="317"/>
      <c r="T456" s="317"/>
      <c r="U456" s="317"/>
      <c r="V456" s="317"/>
      <c r="W456" s="317"/>
      <c r="X456" s="317"/>
      <c r="Y456" s="317"/>
      <c r="Z456" s="317"/>
      <c r="AA456" s="317"/>
      <c r="AB456" s="317"/>
      <c r="AC456" s="317"/>
    </row>
    <row r="457">
      <c r="A457" s="317"/>
      <c r="B457" s="381"/>
      <c r="C457" s="317"/>
      <c r="D457" s="381"/>
      <c r="E457" s="381"/>
      <c r="F457" s="381"/>
      <c r="G457" s="317"/>
      <c r="H457" s="317"/>
      <c r="I457" s="317"/>
      <c r="J457" s="317"/>
      <c r="K457" s="317"/>
      <c r="L457" s="317"/>
      <c r="M457" s="317"/>
      <c r="N457" s="317"/>
      <c r="O457" s="317"/>
      <c r="P457" s="317"/>
      <c r="Q457" s="317"/>
      <c r="R457" s="317"/>
      <c r="S457" s="317"/>
      <c r="T457" s="317"/>
      <c r="U457" s="317"/>
      <c r="V457" s="317"/>
      <c r="W457" s="317"/>
      <c r="X457" s="317"/>
      <c r="Y457" s="317"/>
      <c r="Z457" s="317"/>
      <c r="AA457" s="317"/>
      <c r="AB457" s="317"/>
      <c r="AC457" s="317"/>
    </row>
    <row r="458">
      <c r="A458" s="317"/>
      <c r="B458" s="381"/>
      <c r="C458" s="317"/>
      <c r="D458" s="381"/>
      <c r="E458" s="381"/>
      <c r="F458" s="381"/>
      <c r="G458" s="317"/>
      <c r="H458" s="317"/>
      <c r="I458" s="317"/>
      <c r="J458" s="317"/>
      <c r="K458" s="317"/>
      <c r="L458" s="317"/>
      <c r="M458" s="317"/>
      <c r="N458" s="317"/>
      <c r="O458" s="317"/>
      <c r="P458" s="317"/>
      <c r="Q458" s="317"/>
      <c r="R458" s="317"/>
      <c r="S458" s="317"/>
      <c r="T458" s="317"/>
      <c r="U458" s="317"/>
      <c r="V458" s="317"/>
      <c r="W458" s="317"/>
      <c r="X458" s="317"/>
      <c r="Y458" s="317"/>
      <c r="Z458" s="317"/>
      <c r="AA458" s="317"/>
      <c r="AB458" s="317"/>
      <c r="AC458" s="317"/>
    </row>
    <row r="459">
      <c r="A459" s="317"/>
      <c r="B459" s="381"/>
      <c r="C459" s="317"/>
      <c r="D459" s="381"/>
      <c r="E459" s="381"/>
      <c r="F459" s="381"/>
      <c r="G459" s="317"/>
      <c r="H459" s="317"/>
      <c r="I459" s="317"/>
      <c r="J459" s="317"/>
      <c r="K459" s="317"/>
      <c r="L459" s="317"/>
      <c r="M459" s="317"/>
      <c r="N459" s="317"/>
      <c r="O459" s="317"/>
      <c r="P459" s="317"/>
      <c r="Q459" s="317"/>
      <c r="R459" s="317"/>
      <c r="S459" s="317"/>
      <c r="T459" s="317"/>
      <c r="U459" s="317"/>
      <c r="V459" s="317"/>
      <c r="W459" s="317"/>
      <c r="X459" s="317"/>
      <c r="Y459" s="317"/>
      <c r="Z459" s="317"/>
      <c r="AA459" s="317"/>
      <c r="AB459" s="317"/>
      <c r="AC459" s="317"/>
    </row>
    <row r="460">
      <c r="A460" s="317"/>
      <c r="B460" s="381"/>
      <c r="C460" s="317"/>
      <c r="D460" s="381"/>
      <c r="E460" s="381"/>
      <c r="F460" s="381"/>
      <c r="G460" s="317"/>
      <c r="H460" s="317"/>
      <c r="I460" s="317"/>
      <c r="J460" s="317"/>
      <c r="K460" s="317"/>
      <c r="L460" s="317"/>
      <c r="M460" s="317"/>
      <c r="N460" s="317"/>
      <c r="O460" s="317"/>
      <c r="P460" s="317"/>
      <c r="Q460" s="317"/>
      <c r="R460" s="317"/>
      <c r="S460" s="317"/>
      <c r="T460" s="317"/>
      <c r="U460" s="317"/>
      <c r="V460" s="317"/>
      <c r="W460" s="317"/>
      <c r="X460" s="317"/>
      <c r="Y460" s="317"/>
      <c r="Z460" s="317"/>
      <c r="AA460" s="317"/>
      <c r="AB460" s="317"/>
      <c r="AC460" s="317"/>
    </row>
    <row r="461">
      <c r="A461" s="317"/>
      <c r="B461" s="381"/>
      <c r="C461" s="317"/>
      <c r="D461" s="381"/>
      <c r="E461" s="381"/>
      <c r="F461" s="381"/>
      <c r="G461" s="317"/>
      <c r="H461" s="317"/>
      <c r="I461" s="317"/>
      <c r="J461" s="317"/>
      <c r="K461" s="317"/>
      <c r="L461" s="317"/>
      <c r="M461" s="317"/>
      <c r="N461" s="317"/>
      <c r="O461" s="317"/>
      <c r="P461" s="317"/>
      <c r="Q461" s="317"/>
      <c r="R461" s="317"/>
      <c r="S461" s="317"/>
      <c r="T461" s="317"/>
      <c r="U461" s="317"/>
      <c r="V461" s="317"/>
      <c r="W461" s="317"/>
      <c r="X461" s="317"/>
      <c r="Y461" s="317"/>
      <c r="Z461" s="317"/>
      <c r="AA461" s="317"/>
      <c r="AB461" s="317"/>
      <c r="AC461" s="317"/>
    </row>
    <row r="462">
      <c r="A462" s="317"/>
      <c r="B462" s="381"/>
      <c r="C462" s="317"/>
      <c r="D462" s="381"/>
      <c r="E462" s="381"/>
      <c r="F462" s="381"/>
      <c r="G462" s="317"/>
      <c r="H462" s="317"/>
      <c r="I462" s="317"/>
      <c r="J462" s="317"/>
      <c r="K462" s="317"/>
      <c r="L462" s="317"/>
      <c r="M462" s="317"/>
      <c r="N462" s="317"/>
      <c r="O462" s="317"/>
      <c r="P462" s="317"/>
      <c r="Q462" s="317"/>
      <c r="R462" s="317"/>
      <c r="S462" s="317"/>
      <c r="T462" s="317"/>
      <c r="U462" s="317"/>
      <c r="V462" s="317"/>
      <c r="W462" s="317"/>
      <c r="X462" s="317"/>
      <c r="Y462" s="317"/>
      <c r="Z462" s="317"/>
      <c r="AA462" s="317"/>
      <c r="AB462" s="317"/>
      <c r="AC462" s="317"/>
    </row>
    <row r="463">
      <c r="A463" s="317"/>
      <c r="B463" s="381"/>
      <c r="C463" s="317"/>
      <c r="D463" s="381"/>
      <c r="E463" s="381"/>
      <c r="F463" s="381"/>
      <c r="G463" s="317"/>
      <c r="H463" s="317"/>
      <c r="I463" s="317"/>
      <c r="J463" s="317"/>
      <c r="K463" s="317"/>
      <c r="L463" s="317"/>
      <c r="M463" s="317"/>
      <c r="N463" s="317"/>
      <c r="O463" s="317"/>
      <c r="P463" s="317"/>
      <c r="Q463" s="317"/>
      <c r="R463" s="317"/>
      <c r="S463" s="317"/>
      <c r="T463" s="317"/>
      <c r="U463" s="317"/>
      <c r="V463" s="317"/>
      <c r="W463" s="317"/>
      <c r="X463" s="317"/>
      <c r="Y463" s="317"/>
      <c r="Z463" s="317"/>
      <c r="AA463" s="317"/>
      <c r="AB463" s="317"/>
      <c r="AC463" s="317"/>
    </row>
    <row r="464">
      <c r="A464" s="317"/>
      <c r="B464" s="381"/>
      <c r="C464" s="317"/>
      <c r="D464" s="381"/>
      <c r="E464" s="381"/>
      <c r="F464" s="381"/>
      <c r="G464" s="317"/>
      <c r="H464" s="317"/>
      <c r="I464" s="317"/>
      <c r="J464" s="317"/>
      <c r="K464" s="317"/>
      <c r="L464" s="317"/>
      <c r="M464" s="317"/>
      <c r="N464" s="317"/>
      <c r="O464" s="317"/>
      <c r="P464" s="317"/>
      <c r="Q464" s="317"/>
      <c r="R464" s="317"/>
      <c r="S464" s="317"/>
      <c r="T464" s="317"/>
      <c r="U464" s="317"/>
      <c r="V464" s="317"/>
      <c r="W464" s="317"/>
      <c r="X464" s="317"/>
      <c r="Y464" s="317"/>
      <c r="Z464" s="317"/>
      <c r="AA464" s="317"/>
      <c r="AB464" s="317"/>
      <c r="AC464" s="317"/>
    </row>
    <row r="465">
      <c r="A465" s="317"/>
      <c r="B465" s="381"/>
      <c r="C465" s="317"/>
      <c r="D465" s="381"/>
      <c r="E465" s="381"/>
      <c r="F465" s="381"/>
      <c r="G465" s="317"/>
      <c r="H465" s="317"/>
      <c r="I465" s="317"/>
      <c r="J465" s="317"/>
      <c r="K465" s="317"/>
      <c r="L465" s="317"/>
      <c r="M465" s="317"/>
      <c r="N465" s="317"/>
      <c r="O465" s="317"/>
      <c r="P465" s="317"/>
      <c r="Q465" s="317"/>
      <c r="R465" s="317"/>
      <c r="S465" s="317"/>
      <c r="T465" s="317"/>
      <c r="U465" s="317"/>
      <c r="V465" s="317"/>
      <c r="W465" s="317"/>
      <c r="X465" s="317"/>
      <c r="Y465" s="317"/>
      <c r="Z465" s="317"/>
      <c r="AA465" s="317"/>
      <c r="AB465" s="317"/>
      <c r="AC465" s="317"/>
    </row>
    <row r="466">
      <c r="A466" s="317"/>
      <c r="B466" s="381"/>
      <c r="C466" s="317"/>
      <c r="D466" s="381"/>
      <c r="E466" s="381"/>
      <c r="F466" s="381"/>
      <c r="G466" s="317"/>
      <c r="H466" s="317"/>
      <c r="I466" s="317"/>
      <c r="J466" s="317"/>
      <c r="K466" s="317"/>
      <c r="L466" s="317"/>
      <c r="M466" s="317"/>
      <c r="N466" s="317"/>
      <c r="O466" s="317"/>
      <c r="P466" s="317"/>
      <c r="Q466" s="317"/>
      <c r="R466" s="317"/>
      <c r="S466" s="317"/>
      <c r="T466" s="317"/>
      <c r="U466" s="317"/>
      <c r="V466" s="317"/>
      <c r="W466" s="317"/>
      <c r="X466" s="317"/>
      <c r="Y466" s="317"/>
      <c r="Z466" s="317"/>
      <c r="AA466" s="317"/>
      <c r="AB466" s="317"/>
      <c r="AC466" s="317"/>
    </row>
    <row r="467">
      <c r="A467" s="317"/>
      <c r="B467" s="381"/>
      <c r="C467" s="317"/>
      <c r="D467" s="381"/>
      <c r="E467" s="381"/>
      <c r="F467" s="381"/>
      <c r="G467" s="317"/>
      <c r="H467" s="317"/>
      <c r="I467" s="317"/>
      <c r="J467" s="317"/>
      <c r="K467" s="317"/>
      <c r="L467" s="317"/>
      <c r="M467" s="317"/>
      <c r="N467" s="317"/>
      <c r="O467" s="317"/>
      <c r="P467" s="317"/>
      <c r="Q467" s="317"/>
      <c r="R467" s="317"/>
      <c r="S467" s="317"/>
      <c r="T467" s="317"/>
      <c r="U467" s="317"/>
      <c r="V467" s="317"/>
      <c r="W467" s="317"/>
      <c r="X467" s="317"/>
      <c r="Y467" s="317"/>
      <c r="Z467" s="317"/>
      <c r="AA467" s="317"/>
      <c r="AB467" s="317"/>
      <c r="AC467" s="317"/>
    </row>
    <row r="468">
      <c r="A468" s="317"/>
      <c r="B468" s="381"/>
      <c r="C468" s="317"/>
      <c r="D468" s="381"/>
      <c r="E468" s="381"/>
      <c r="F468" s="381"/>
      <c r="G468" s="317"/>
      <c r="H468" s="317"/>
      <c r="I468" s="317"/>
      <c r="J468" s="317"/>
      <c r="K468" s="317"/>
      <c r="L468" s="317"/>
      <c r="M468" s="317"/>
      <c r="N468" s="317"/>
      <c r="O468" s="317"/>
      <c r="P468" s="317"/>
      <c r="Q468" s="317"/>
      <c r="R468" s="317"/>
      <c r="S468" s="317"/>
      <c r="T468" s="317"/>
      <c r="U468" s="317"/>
      <c r="V468" s="317"/>
      <c r="W468" s="317"/>
      <c r="X468" s="317"/>
      <c r="Y468" s="317"/>
      <c r="Z468" s="317"/>
      <c r="AA468" s="317"/>
      <c r="AB468" s="317"/>
      <c r="AC468" s="317"/>
    </row>
    <row r="469">
      <c r="A469" s="317"/>
      <c r="B469" s="381"/>
      <c r="C469" s="317"/>
      <c r="D469" s="381"/>
      <c r="E469" s="381"/>
      <c r="F469" s="381"/>
      <c r="G469" s="317"/>
      <c r="H469" s="317"/>
      <c r="I469" s="317"/>
      <c r="J469" s="317"/>
      <c r="K469" s="317"/>
      <c r="L469" s="317"/>
      <c r="M469" s="317"/>
      <c r="N469" s="317"/>
      <c r="O469" s="317"/>
      <c r="P469" s="317"/>
      <c r="Q469" s="317"/>
      <c r="R469" s="317"/>
      <c r="S469" s="317"/>
      <c r="T469" s="317"/>
      <c r="U469" s="317"/>
      <c r="V469" s="317"/>
      <c r="W469" s="317"/>
      <c r="X469" s="317"/>
      <c r="Y469" s="317"/>
      <c r="Z469" s="317"/>
      <c r="AA469" s="317"/>
      <c r="AB469" s="317"/>
      <c r="AC469" s="317"/>
    </row>
    <row r="470">
      <c r="A470" s="317"/>
      <c r="B470" s="381"/>
      <c r="C470" s="317"/>
      <c r="D470" s="381"/>
      <c r="E470" s="381"/>
      <c r="F470" s="381"/>
      <c r="G470" s="317"/>
      <c r="H470" s="317"/>
      <c r="I470" s="317"/>
      <c r="J470" s="317"/>
      <c r="K470" s="317"/>
      <c r="L470" s="317"/>
      <c r="M470" s="317"/>
      <c r="N470" s="317"/>
      <c r="O470" s="317"/>
      <c r="P470" s="317"/>
      <c r="Q470" s="317"/>
      <c r="R470" s="317"/>
      <c r="S470" s="317"/>
      <c r="T470" s="317"/>
      <c r="U470" s="317"/>
      <c r="V470" s="317"/>
      <c r="W470" s="317"/>
      <c r="X470" s="317"/>
      <c r="Y470" s="317"/>
      <c r="Z470" s="317"/>
      <c r="AA470" s="317"/>
      <c r="AB470" s="317"/>
      <c r="AC470" s="317"/>
    </row>
    <row r="471">
      <c r="A471" s="317"/>
      <c r="B471" s="381"/>
      <c r="C471" s="317"/>
      <c r="D471" s="381"/>
      <c r="E471" s="381"/>
      <c r="F471" s="381"/>
      <c r="G471" s="317"/>
      <c r="H471" s="317"/>
      <c r="I471" s="317"/>
      <c r="J471" s="317"/>
      <c r="K471" s="317"/>
      <c r="L471" s="317"/>
      <c r="M471" s="317"/>
      <c r="N471" s="317"/>
      <c r="O471" s="317"/>
      <c r="P471" s="317"/>
      <c r="Q471" s="317"/>
      <c r="R471" s="317"/>
      <c r="S471" s="317"/>
      <c r="T471" s="317"/>
      <c r="U471" s="317"/>
      <c r="V471" s="317"/>
      <c r="W471" s="317"/>
      <c r="X471" s="317"/>
      <c r="Y471" s="317"/>
      <c r="Z471" s="317"/>
      <c r="AA471" s="317"/>
      <c r="AB471" s="317"/>
      <c r="AC471" s="317"/>
    </row>
    <row r="472">
      <c r="A472" s="317"/>
      <c r="B472" s="381"/>
      <c r="C472" s="317"/>
      <c r="D472" s="381"/>
      <c r="E472" s="381"/>
      <c r="F472" s="381"/>
      <c r="G472" s="317"/>
      <c r="H472" s="317"/>
      <c r="I472" s="317"/>
      <c r="J472" s="317"/>
      <c r="K472" s="317"/>
      <c r="L472" s="317"/>
      <c r="M472" s="317"/>
      <c r="N472" s="317"/>
      <c r="O472" s="317"/>
      <c r="P472" s="317"/>
      <c r="Q472" s="317"/>
      <c r="R472" s="317"/>
      <c r="S472" s="317"/>
      <c r="T472" s="317"/>
      <c r="U472" s="317"/>
      <c r="V472" s="317"/>
      <c r="W472" s="317"/>
      <c r="X472" s="317"/>
      <c r="Y472" s="317"/>
      <c r="Z472" s="317"/>
      <c r="AA472" s="317"/>
      <c r="AB472" s="317"/>
      <c r="AC472" s="317"/>
    </row>
    <row r="473">
      <c r="A473" s="317"/>
      <c r="B473" s="381"/>
      <c r="C473" s="317"/>
      <c r="D473" s="381"/>
      <c r="E473" s="381"/>
      <c r="F473" s="381"/>
      <c r="G473" s="317"/>
      <c r="H473" s="317"/>
      <c r="I473" s="317"/>
      <c r="J473" s="317"/>
      <c r="K473" s="317"/>
      <c r="L473" s="317"/>
      <c r="M473" s="317"/>
      <c r="N473" s="317"/>
      <c r="O473" s="317"/>
      <c r="P473" s="317"/>
      <c r="Q473" s="317"/>
      <c r="R473" s="317"/>
      <c r="S473" s="317"/>
      <c r="T473" s="317"/>
      <c r="U473" s="317"/>
      <c r="V473" s="317"/>
      <c r="W473" s="317"/>
      <c r="X473" s="317"/>
      <c r="Y473" s="317"/>
      <c r="Z473" s="317"/>
      <c r="AA473" s="317"/>
      <c r="AB473" s="317"/>
      <c r="AC473" s="317"/>
    </row>
    <row r="474">
      <c r="A474" s="317"/>
      <c r="B474" s="381"/>
      <c r="C474" s="317"/>
      <c r="D474" s="381"/>
      <c r="E474" s="381"/>
      <c r="F474" s="381"/>
      <c r="G474" s="317"/>
      <c r="H474" s="317"/>
      <c r="I474" s="317"/>
      <c r="J474" s="317"/>
      <c r="K474" s="317"/>
      <c r="L474" s="317"/>
      <c r="M474" s="317"/>
      <c r="N474" s="317"/>
      <c r="O474" s="317"/>
      <c r="P474" s="317"/>
      <c r="Q474" s="317"/>
      <c r="R474" s="317"/>
      <c r="S474" s="317"/>
      <c r="T474" s="317"/>
      <c r="U474" s="317"/>
      <c r="V474" s="317"/>
      <c r="W474" s="317"/>
      <c r="X474" s="317"/>
      <c r="Y474" s="317"/>
      <c r="Z474" s="317"/>
      <c r="AA474" s="317"/>
      <c r="AB474" s="317"/>
      <c r="AC474" s="317"/>
    </row>
    <row r="475">
      <c r="A475" s="317"/>
      <c r="B475" s="381"/>
      <c r="C475" s="317"/>
      <c r="D475" s="381"/>
      <c r="E475" s="381"/>
      <c r="F475" s="381"/>
      <c r="G475" s="317"/>
      <c r="H475" s="317"/>
      <c r="I475" s="317"/>
      <c r="J475" s="317"/>
      <c r="K475" s="317"/>
      <c r="L475" s="317"/>
      <c r="M475" s="317"/>
      <c r="N475" s="317"/>
      <c r="O475" s="317"/>
      <c r="P475" s="317"/>
      <c r="Q475" s="317"/>
      <c r="R475" s="317"/>
      <c r="S475" s="317"/>
      <c r="T475" s="317"/>
      <c r="U475" s="317"/>
      <c r="V475" s="317"/>
      <c r="W475" s="317"/>
      <c r="X475" s="317"/>
      <c r="Y475" s="317"/>
      <c r="Z475" s="317"/>
      <c r="AA475" s="317"/>
      <c r="AB475" s="317"/>
      <c r="AC475" s="317"/>
    </row>
    <row r="476">
      <c r="A476" s="317"/>
      <c r="B476" s="381"/>
      <c r="C476" s="317"/>
      <c r="D476" s="381"/>
      <c r="E476" s="381"/>
      <c r="F476" s="381"/>
      <c r="G476" s="317"/>
      <c r="H476" s="317"/>
      <c r="I476" s="317"/>
      <c r="J476" s="317"/>
      <c r="K476" s="317"/>
      <c r="L476" s="317"/>
      <c r="M476" s="317"/>
      <c r="N476" s="317"/>
      <c r="O476" s="317"/>
      <c r="P476" s="317"/>
      <c r="Q476" s="317"/>
      <c r="R476" s="317"/>
      <c r="S476" s="317"/>
      <c r="T476" s="317"/>
      <c r="U476" s="317"/>
      <c r="V476" s="317"/>
      <c r="W476" s="317"/>
      <c r="X476" s="317"/>
      <c r="Y476" s="317"/>
      <c r="Z476" s="317"/>
      <c r="AA476" s="317"/>
      <c r="AB476" s="317"/>
      <c r="AC476" s="317"/>
    </row>
    <row r="477">
      <c r="A477" s="317"/>
      <c r="B477" s="381"/>
      <c r="C477" s="317"/>
      <c r="D477" s="381"/>
      <c r="E477" s="381"/>
      <c r="F477" s="381"/>
      <c r="G477" s="317"/>
      <c r="H477" s="317"/>
      <c r="I477" s="317"/>
      <c r="J477" s="317"/>
      <c r="K477" s="317"/>
      <c r="L477" s="317"/>
      <c r="M477" s="317"/>
      <c r="N477" s="317"/>
      <c r="O477" s="317"/>
      <c r="P477" s="317"/>
      <c r="Q477" s="317"/>
      <c r="R477" s="317"/>
      <c r="S477" s="317"/>
      <c r="T477" s="317"/>
      <c r="U477" s="317"/>
      <c r="V477" s="317"/>
      <c r="W477" s="317"/>
      <c r="X477" s="317"/>
      <c r="Y477" s="317"/>
      <c r="Z477" s="317"/>
      <c r="AA477" s="317"/>
      <c r="AB477" s="317"/>
      <c r="AC477" s="317"/>
    </row>
    <row r="478">
      <c r="A478" s="317"/>
      <c r="B478" s="381"/>
      <c r="C478" s="317"/>
      <c r="D478" s="381"/>
      <c r="E478" s="381"/>
      <c r="F478" s="381"/>
      <c r="G478" s="317"/>
      <c r="H478" s="317"/>
      <c r="I478" s="317"/>
      <c r="J478" s="317"/>
      <c r="K478" s="317"/>
      <c r="L478" s="317"/>
      <c r="M478" s="317"/>
      <c r="N478" s="317"/>
      <c r="O478" s="317"/>
      <c r="P478" s="317"/>
      <c r="Q478" s="317"/>
      <c r="R478" s="317"/>
      <c r="S478" s="317"/>
      <c r="T478" s="317"/>
      <c r="U478" s="317"/>
      <c r="V478" s="317"/>
      <c r="W478" s="317"/>
      <c r="X478" s="317"/>
      <c r="Y478" s="317"/>
      <c r="Z478" s="317"/>
      <c r="AA478" s="317"/>
      <c r="AB478" s="317"/>
      <c r="AC478" s="317"/>
    </row>
    <row r="479">
      <c r="A479" s="317"/>
      <c r="B479" s="381"/>
      <c r="C479" s="317"/>
      <c r="D479" s="381"/>
      <c r="E479" s="381"/>
      <c r="F479" s="381"/>
      <c r="G479" s="317"/>
      <c r="H479" s="317"/>
      <c r="I479" s="317"/>
      <c r="J479" s="317"/>
      <c r="K479" s="317"/>
      <c r="L479" s="317"/>
      <c r="M479" s="317"/>
      <c r="N479" s="317"/>
      <c r="O479" s="317"/>
      <c r="P479" s="317"/>
      <c r="Q479" s="317"/>
      <c r="R479" s="317"/>
      <c r="S479" s="317"/>
      <c r="T479" s="317"/>
      <c r="U479" s="317"/>
      <c r="V479" s="317"/>
      <c r="W479" s="317"/>
      <c r="X479" s="317"/>
      <c r="Y479" s="317"/>
      <c r="Z479" s="317"/>
      <c r="AA479" s="317"/>
      <c r="AB479" s="317"/>
      <c r="AC479" s="317"/>
    </row>
    <row r="480">
      <c r="A480" s="317"/>
      <c r="B480" s="381"/>
      <c r="C480" s="317"/>
      <c r="D480" s="381"/>
      <c r="E480" s="381"/>
      <c r="F480" s="381"/>
      <c r="G480" s="317"/>
      <c r="H480" s="317"/>
      <c r="I480" s="317"/>
      <c r="J480" s="317"/>
      <c r="K480" s="317"/>
      <c r="L480" s="317"/>
      <c r="M480" s="317"/>
      <c r="N480" s="317"/>
      <c r="O480" s="317"/>
      <c r="P480" s="317"/>
      <c r="Q480" s="317"/>
      <c r="R480" s="317"/>
      <c r="S480" s="317"/>
      <c r="T480" s="317"/>
      <c r="U480" s="317"/>
      <c r="V480" s="317"/>
      <c r="W480" s="317"/>
      <c r="X480" s="317"/>
      <c r="Y480" s="317"/>
      <c r="Z480" s="317"/>
      <c r="AA480" s="317"/>
      <c r="AB480" s="317"/>
      <c r="AC480" s="317"/>
    </row>
    <row r="481">
      <c r="A481" s="317"/>
      <c r="B481" s="381"/>
      <c r="C481" s="317"/>
      <c r="D481" s="381"/>
      <c r="E481" s="381"/>
      <c r="F481" s="381"/>
      <c r="G481" s="317"/>
      <c r="H481" s="317"/>
      <c r="I481" s="317"/>
      <c r="J481" s="317"/>
      <c r="K481" s="317"/>
      <c r="L481" s="317"/>
      <c r="M481" s="317"/>
      <c r="N481" s="317"/>
      <c r="O481" s="317"/>
      <c r="P481" s="317"/>
      <c r="Q481" s="317"/>
      <c r="R481" s="317"/>
      <c r="S481" s="317"/>
      <c r="T481" s="317"/>
      <c r="U481" s="317"/>
      <c r="V481" s="317"/>
      <c r="W481" s="317"/>
      <c r="X481" s="317"/>
      <c r="Y481" s="317"/>
      <c r="Z481" s="317"/>
      <c r="AA481" s="317"/>
      <c r="AB481" s="317"/>
      <c r="AC481" s="317"/>
    </row>
    <row r="482">
      <c r="A482" s="317"/>
      <c r="B482" s="381"/>
      <c r="C482" s="317"/>
      <c r="D482" s="381"/>
      <c r="E482" s="381"/>
      <c r="F482" s="381"/>
      <c r="G482" s="317"/>
      <c r="H482" s="317"/>
      <c r="I482" s="317"/>
      <c r="J482" s="317"/>
      <c r="K482" s="317"/>
      <c r="L482" s="317"/>
      <c r="M482" s="317"/>
      <c r="N482" s="317"/>
      <c r="O482" s="317"/>
      <c r="P482" s="317"/>
      <c r="Q482" s="317"/>
      <c r="R482" s="317"/>
      <c r="S482" s="317"/>
      <c r="T482" s="317"/>
      <c r="U482" s="317"/>
      <c r="V482" s="317"/>
      <c r="W482" s="317"/>
      <c r="X482" s="317"/>
      <c r="Y482" s="317"/>
      <c r="Z482" s="317"/>
      <c r="AA482" s="317"/>
      <c r="AB482" s="317"/>
      <c r="AC482" s="317"/>
    </row>
    <row r="483">
      <c r="A483" s="317"/>
      <c r="B483" s="381"/>
      <c r="C483" s="317"/>
      <c r="D483" s="381"/>
      <c r="E483" s="381"/>
      <c r="F483" s="381"/>
      <c r="G483" s="317"/>
      <c r="H483" s="317"/>
      <c r="I483" s="317"/>
      <c r="J483" s="317"/>
      <c r="K483" s="317"/>
      <c r="L483" s="317"/>
      <c r="M483" s="317"/>
      <c r="N483" s="317"/>
      <c r="O483" s="317"/>
      <c r="P483" s="317"/>
      <c r="Q483" s="317"/>
      <c r="R483" s="317"/>
      <c r="S483" s="317"/>
      <c r="T483" s="317"/>
      <c r="U483" s="317"/>
      <c r="V483" s="317"/>
      <c r="W483" s="317"/>
      <c r="X483" s="317"/>
      <c r="Y483" s="317"/>
      <c r="Z483" s="317"/>
      <c r="AA483" s="317"/>
      <c r="AB483" s="317"/>
      <c r="AC483" s="317"/>
    </row>
    <row r="484">
      <c r="A484" s="317"/>
      <c r="B484" s="381"/>
      <c r="C484" s="317"/>
      <c r="D484" s="381"/>
      <c r="E484" s="381"/>
      <c r="F484" s="381"/>
      <c r="G484" s="317"/>
      <c r="H484" s="317"/>
      <c r="I484" s="317"/>
      <c r="J484" s="317"/>
      <c r="K484" s="317"/>
      <c r="L484" s="317"/>
      <c r="M484" s="317"/>
      <c r="N484" s="317"/>
      <c r="O484" s="317"/>
      <c r="P484" s="317"/>
      <c r="Q484" s="317"/>
      <c r="R484" s="317"/>
      <c r="S484" s="317"/>
      <c r="T484" s="317"/>
      <c r="U484" s="317"/>
      <c r="V484" s="317"/>
      <c r="W484" s="317"/>
      <c r="X484" s="317"/>
      <c r="Y484" s="317"/>
      <c r="Z484" s="317"/>
      <c r="AA484" s="317"/>
      <c r="AB484" s="317"/>
      <c r="AC484" s="317"/>
    </row>
    <row r="485">
      <c r="A485" s="317"/>
      <c r="B485" s="381"/>
      <c r="C485" s="317"/>
      <c r="D485" s="381"/>
      <c r="E485" s="381"/>
      <c r="F485" s="381"/>
      <c r="G485" s="317"/>
      <c r="H485" s="317"/>
      <c r="I485" s="317"/>
      <c r="J485" s="317"/>
      <c r="K485" s="317"/>
      <c r="L485" s="317"/>
      <c r="M485" s="317"/>
      <c r="N485" s="317"/>
      <c r="O485" s="317"/>
      <c r="P485" s="317"/>
      <c r="Q485" s="317"/>
      <c r="R485" s="317"/>
      <c r="S485" s="317"/>
      <c r="T485" s="317"/>
      <c r="U485" s="317"/>
      <c r="V485" s="317"/>
      <c r="W485" s="317"/>
      <c r="X485" s="317"/>
      <c r="Y485" s="317"/>
      <c r="Z485" s="317"/>
      <c r="AA485" s="317"/>
      <c r="AB485" s="317"/>
      <c r="AC485" s="317"/>
    </row>
    <row r="486">
      <c r="A486" s="317"/>
      <c r="B486" s="381"/>
      <c r="C486" s="317"/>
      <c r="D486" s="381"/>
      <c r="E486" s="381"/>
      <c r="F486" s="381"/>
      <c r="G486" s="317"/>
      <c r="H486" s="317"/>
      <c r="I486" s="317"/>
      <c r="J486" s="317"/>
      <c r="K486" s="317"/>
      <c r="L486" s="317"/>
      <c r="M486" s="317"/>
      <c r="N486" s="317"/>
      <c r="O486" s="317"/>
      <c r="P486" s="317"/>
      <c r="Q486" s="317"/>
      <c r="R486" s="317"/>
      <c r="S486" s="317"/>
      <c r="T486" s="317"/>
      <c r="U486" s="317"/>
      <c r="V486" s="317"/>
      <c r="W486" s="317"/>
      <c r="X486" s="317"/>
      <c r="Y486" s="317"/>
      <c r="Z486" s="317"/>
      <c r="AA486" s="317"/>
      <c r="AB486" s="317"/>
      <c r="AC486" s="317"/>
    </row>
    <row r="487">
      <c r="A487" s="317"/>
      <c r="B487" s="381"/>
      <c r="C487" s="317"/>
      <c r="D487" s="381"/>
      <c r="E487" s="381"/>
      <c r="F487" s="381"/>
      <c r="G487" s="317"/>
      <c r="H487" s="317"/>
      <c r="I487" s="317"/>
      <c r="J487" s="317"/>
      <c r="K487" s="317"/>
      <c r="L487" s="317"/>
      <c r="M487" s="317"/>
      <c r="N487" s="317"/>
      <c r="O487" s="317"/>
      <c r="P487" s="317"/>
      <c r="Q487" s="317"/>
      <c r="R487" s="317"/>
      <c r="S487" s="317"/>
      <c r="T487" s="317"/>
      <c r="U487" s="317"/>
      <c r="V487" s="317"/>
      <c r="W487" s="317"/>
      <c r="X487" s="317"/>
      <c r="Y487" s="317"/>
      <c r="Z487" s="317"/>
      <c r="AA487" s="317"/>
      <c r="AB487" s="317"/>
      <c r="AC487" s="317"/>
    </row>
    <row r="488">
      <c r="A488" s="317"/>
      <c r="B488" s="381"/>
      <c r="C488" s="317"/>
      <c r="D488" s="381"/>
      <c r="E488" s="381"/>
      <c r="F488" s="381"/>
      <c r="G488" s="317"/>
      <c r="H488" s="317"/>
      <c r="I488" s="317"/>
      <c r="J488" s="317"/>
      <c r="K488" s="317"/>
      <c r="L488" s="317"/>
      <c r="M488" s="317"/>
      <c r="N488" s="317"/>
      <c r="O488" s="317"/>
      <c r="P488" s="317"/>
      <c r="Q488" s="317"/>
      <c r="R488" s="317"/>
      <c r="S488" s="317"/>
      <c r="T488" s="317"/>
      <c r="U488" s="317"/>
      <c r="V488" s="317"/>
      <c r="W488" s="317"/>
      <c r="X488" s="317"/>
      <c r="Y488" s="317"/>
      <c r="Z488" s="317"/>
      <c r="AA488" s="317"/>
      <c r="AB488" s="317"/>
      <c r="AC488" s="317"/>
    </row>
    <row r="489">
      <c r="A489" s="317"/>
      <c r="B489" s="381"/>
      <c r="C489" s="317"/>
      <c r="D489" s="381"/>
      <c r="E489" s="381"/>
      <c r="F489" s="381"/>
      <c r="G489" s="317"/>
      <c r="H489" s="317"/>
      <c r="I489" s="317"/>
      <c r="J489" s="317"/>
      <c r="K489" s="317"/>
      <c r="L489" s="317"/>
      <c r="M489" s="317"/>
      <c r="N489" s="317"/>
      <c r="O489" s="317"/>
      <c r="P489" s="317"/>
      <c r="Q489" s="317"/>
      <c r="R489" s="317"/>
      <c r="S489" s="317"/>
      <c r="T489" s="317"/>
      <c r="U489" s="317"/>
      <c r="V489" s="317"/>
      <c r="W489" s="317"/>
      <c r="X489" s="317"/>
      <c r="Y489" s="317"/>
      <c r="Z489" s="317"/>
      <c r="AA489" s="317"/>
      <c r="AB489" s="317"/>
      <c r="AC489" s="317"/>
    </row>
    <row r="490">
      <c r="A490" s="317"/>
      <c r="B490" s="381"/>
      <c r="C490" s="317"/>
      <c r="D490" s="381"/>
      <c r="E490" s="381"/>
      <c r="F490" s="381"/>
      <c r="G490" s="317"/>
      <c r="H490" s="317"/>
      <c r="I490" s="317"/>
      <c r="J490" s="317"/>
      <c r="K490" s="317"/>
      <c r="L490" s="317"/>
      <c r="M490" s="317"/>
      <c r="N490" s="317"/>
      <c r="O490" s="317"/>
      <c r="P490" s="317"/>
      <c r="Q490" s="317"/>
      <c r="R490" s="317"/>
      <c r="S490" s="317"/>
      <c r="T490" s="317"/>
      <c r="U490" s="317"/>
      <c r="V490" s="317"/>
      <c r="W490" s="317"/>
      <c r="X490" s="317"/>
      <c r="Y490" s="317"/>
      <c r="Z490" s="317"/>
      <c r="AA490" s="317"/>
      <c r="AB490" s="317"/>
      <c r="AC490" s="317"/>
    </row>
    <row r="491">
      <c r="A491" s="317"/>
      <c r="B491" s="381"/>
      <c r="C491" s="317"/>
      <c r="D491" s="381"/>
      <c r="E491" s="381"/>
      <c r="F491" s="381"/>
      <c r="G491" s="317"/>
      <c r="H491" s="317"/>
      <c r="I491" s="317"/>
      <c r="J491" s="317"/>
      <c r="K491" s="317"/>
      <c r="L491" s="317"/>
      <c r="M491" s="317"/>
      <c r="N491" s="317"/>
      <c r="O491" s="317"/>
      <c r="P491" s="317"/>
      <c r="Q491" s="317"/>
      <c r="R491" s="317"/>
      <c r="S491" s="317"/>
      <c r="T491" s="317"/>
      <c r="U491" s="317"/>
      <c r="V491" s="317"/>
      <c r="W491" s="317"/>
      <c r="X491" s="317"/>
      <c r="Y491" s="317"/>
      <c r="Z491" s="317"/>
      <c r="AA491" s="317"/>
      <c r="AB491" s="317"/>
      <c r="AC491" s="317"/>
    </row>
    <row r="492">
      <c r="A492" s="317"/>
      <c r="B492" s="381"/>
      <c r="C492" s="317"/>
      <c r="D492" s="381"/>
      <c r="E492" s="381"/>
      <c r="F492" s="381"/>
      <c r="G492" s="317"/>
      <c r="H492" s="317"/>
      <c r="I492" s="317"/>
      <c r="J492" s="317"/>
      <c r="K492" s="317"/>
      <c r="L492" s="317"/>
      <c r="M492" s="317"/>
      <c r="N492" s="317"/>
      <c r="O492" s="317"/>
      <c r="P492" s="317"/>
      <c r="Q492" s="317"/>
      <c r="R492" s="317"/>
      <c r="S492" s="317"/>
      <c r="T492" s="317"/>
      <c r="U492" s="317"/>
      <c r="V492" s="317"/>
      <c r="W492" s="317"/>
      <c r="X492" s="317"/>
      <c r="Y492" s="317"/>
      <c r="Z492" s="317"/>
      <c r="AA492" s="317"/>
      <c r="AB492" s="317"/>
      <c r="AC492" s="317"/>
    </row>
    <row r="493">
      <c r="A493" s="317"/>
      <c r="B493" s="381"/>
      <c r="C493" s="317"/>
      <c r="D493" s="381"/>
      <c r="E493" s="381"/>
      <c r="F493" s="381"/>
      <c r="G493" s="317"/>
      <c r="H493" s="317"/>
      <c r="I493" s="317"/>
      <c r="J493" s="317"/>
      <c r="K493" s="317"/>
      <c r="L493" s="317"/>
      <c r="M493" s="317"/>
      <c r="N493" s="317"/>
      <c r="O493" s="317"/>
      <c r="P493" s="317"/>
      <c r="Q493" s="317"/>
      <c r="R493" s="317"/>
      <c r="S493" s="317"/>
      <c r="T493" s="317"/>
      <c r="U493" s="317"/>
      <c r="V493" s="317"/>
      <c r="W493" s="317"/>
      <c r="X493" s="317"/>
      <c r="Y493" s="317"/>
      <c r="Z493" s="317"/>
      <c r="AA493" s="317"/>
      <c r="AB493" s="317"/>
      <c r="AC493" s="317"/>
    </row>
    <row r="494">
      <c r="A494" s="317"/>
      <c r="B494" s="381"/>
      <c r="C494" s="317"/>
      <c r="D494" s="381"/>
      <c r="E494" s="381"/>
      <c r="F494" s="381"/>
      <c r="G494" s="317"/>
      <c r="H494" s="317"/>
      <c r="I494" s="317"/>
      <c r="J494" s="317"/>
      <c r="K494" s="317"/>
      <c r="L494" s="317"/>
      <c r="M494" s="317"/>
      <c r="N494" s="317"/>
      <c r="O494" s="317"/>
      <c r="P494" s="317"/>
      <c r="Q494" s="317"/>
      <c r="R494" s="317"/>
      <c r="S494" s="317"/>
      <c r="T494" s="317"/>
      <c r="U494" s="317"/>
      <c r="V494" s="317"/>
      <c r="W494" s="317"/>
      <c r="X494" s="317"/>
      <c r="Y494" s="317"/>
      <c r="Z494" s="317"/>
      <c r="AA494" s="317"/>
      <c r="AB494" s="317"/>
      <c r="AC494" s="317"/>
    </row>
    <row r="495">
      <c r="A495" s="317"/>
      <c r="B495" s="381"/>
      <c r="C495" s="317"/>
      <c r="D495" s="381"/>
      <c r="E495" s="381"/>
      <c r="F495" s="381"/>
      <c r="G495" s="317"/>
      <c r="H495" s="317"/>
      <c r="I495" s="317"/>
      <c r="J495" s="317"/>
      <c r="K495" s="317"/>
      <c r="L495" s="317"/>
      <c r="M495" s="317"/>
      <c r="N495" s="317"/>
      <c r="O495" s="317"/>
      <c r="P495" s="317"/>
      <c r="Q495" s="317"/>
      <c r="R495" s="317"/>
      <c r="S495" s="317"/>
      <c r="T495" s="317"/>
      <c r="U495" s="317"/>
      <c r="V495" s="317"/>
      <c r="W495" s="317"/>
      <c r="X495" s="317"/>
      <c r="Y495" s="317"/>
      <c r="Z495" s="317"/>
      <c r="AA495" s="317"/>
      <c r="AB495" s="317"/>
      <c r="AC495" s="317"/>
    </row>
    <row r="496">
      <c r="A496" s="317"/>
      <c r="B496" s="381"/>
      <c r="C496" s="317"/>
      <c r="D496" s="381"/>
      <c r="E496" s="381"/>
      <c r="F496" s="381"/>
      <c r="G496" s="317"/>
      <c r="H496" s="317"/>
      <c r="I496" s="317"/>
      <c r="J496" s="317"/>
      <c r="K496" s="317"/>
      <c r="L496" s="317"/>
      <c r="M496" s="317"/>
      <c r="N496" s="317"/>
      <c r="O496" s="317"/>
      <c r="P496" s="317"/>
      <c r="Q496" s="317"/>
      <c r="R496" s="317"/>
      <c r="S496" s="317"/>
      <c r="T496" s="317"/>
      <c r="U496" s="317"/>
      <c r="V496" s="317"/>
      <c r="W496" s="317"/>
      <c r="X496" s="317"/>
      <c r="Y496" s="317"/>
      <c r="Z496" s="317"/>
      <c r="AA496" s="317"/>
      <c r="AB496" s="317"/>
      <c r="AC496" s="317"/>
    </row>
    <row r="497">
      <c r="A497" s="317"/>
      <c r="B497" s="381"/>
      <c r="C497" s="317"/>
      <c r="D497" s="381"/>
      <c r="E497" s="381"/>
      <c r="F497" s="381"/>
      <c r="G497" s="317"/>
      <c r="H497" s="317"/>
      <c r="I497" s="317"/>
      <c r="J497" s="317"/>
      <c r="K497" s="317"/>
      <c r="L497" s="317"/>
      <c r="M497" s="317"/>
      <c r="N497" s="317"/>
      <c r="O497" s="317"/>
      <c r="P497" s="317"/>
      <c r="Q497" s="317"/>
      <c r="R497" s="317"/>
      <c r="S497" s="317"/>
      <c r="T497" s="317"/>
      <c r="U497" s="317"/>
      <c r="V497" s="317"/>
      <c r="W497" s="317"/>
      <c r="X497" s="317"/>
      <c r="Y497" s="317"/>
      <c r="Z497" s="317"/>
      <c r="AA497" s="317"/>
      <c r="AB497" s="317"/>
      <c r="AC497" s="317"/>
    </row>
    <row r="498">
      <c r="A498" s="317"/>
      <c r="B498" s="381"/>
      <c r="C498" s="317"/>
      <c r="D498" s="381"/>
      <c r="E498" s="381"/>
      <c r="F498" s="381"/>
      <c r="G498" s="317"/>
      <c r="H498" s="317"/>
      <c r="I498" s="317"/>
      <c r="J498" s="317"/>
      <c r="K498" s="317"/>
      <c r="L498" s="317"/>
      <c r="M498" s="317"/>
      <c r="N498" s="317"/>
      <c r="O498" s="317"/>
      <c r="P498" s="317"/>
      <c r="Q498" s="317"/>
      <c r="R498" s="317"/>
      <c r="S498" s="317"/>
      <c r="T498" s="317"/>
      <c r="U498" s="317"/>
      <c r="V498" s="317"/>
      <c r="W498" s="317"/>
      <c r="X498" s="317"/>
      <c r="Y498" s="317"/>
      <c r="Z498" s="317"/>
      <c r="AA498" s="317"/>
      <c r="AB498" s="317"/>
      <c r="AC498" s="317"/>
    </row>
    <row r="499">
      <c r="A499" s="317"/>
      <c r="B499" s="381"/>
      <c r="C499" s="317"/>
      <c r="D499" s="381"/>
      <c r="E499" s="381"/>
      <c r="F499" s="381"/>
      <c r="G499" s="317"/>
      <c r="H499" s="317"/>
      <c r="I499" s="317"/>
      <c r="J499" s="317"/>
      <c r="K499" s="317"/>
      <c r="L499" s="317"/>
      <c r="M499" s="317"/>
      <c r="N499" s="317"/>
      <c r="O499" s="317"/>
      <c r="P499" s="317"/>
      <c r="Q499" s="317"/>
      <c r="R499" s="317"/>
      <c r="S499" s="317"/>
      <c r="T499" s="317"/>
      <c r="U499" s="317"/>
      <c r="V499" s="317"/>
      <c r="W499" s="317"/>
      <c r="X499" s="317"/>
      <c r="Y499" s="317"/>
      <c r="Z499" s="317"/>
      <c r="AA499" s="317"/>
      <c r="AB499" s="317"/>
      <c r="AC499" s="317"/>
    </row>
    <row r="500">
      <c r="A500" s="317"/>
      <c r="B500" s="381"/>
      <c r="C500" s="317"/>
      <c r="D500" s="381"/>
      <c r="E500" s="381"/>
      <c r="F500" s="381"/>
      <c r="G500" s="317"/>
      <c r="H500" s="317"/>
      <c r="I500" s="317"/>
      <c r="J500" s="317"/>
      <c r="K500" s="317"/>
      <c r="L500" s="317"/>
      <c r="M500" s="317"/>
      <c r="N500" s="317"/>
      <c r="O500" s="317"/>
      <c r="P500" s="317"/>
      <c r="Q500" s="317"/>
      <c r="R500" s="317"/>
      <c r="S500" s="317"/>
      <c r="T500" s="317"/>
      <c r="U500" s="317"/>
      <c r="V500" s="317"/>
      <c r="W500" s="317"/>
      <c r="X500" s="317"/>
      <c r="Y500" s="317"/>
      <c r="Z500" s="317"/>
      <c r="AA500" s="317"/>
      <c r="AB500" s="317"/>
      <c r="AC500" s="317"/>
    </row>
    <row r="501">
      <c r="A501" s="317"/>
      <c r="B501" s="381"/>
      <c r="C501" s="317"/>
      <c r="D501" s="381"/>
      <c r="E501" s="381"/>
      <c r="F501" s="381"/>
      <c r="G501" s="317"/>
      <c r="H501" s="317"/>
      <c r="I501" s="317"/>
      <c r="J501" s="317"/>
      <c r="K501" s="317"/>
      <c r="L501" s="317"/>
      <c r="M501" s="317"/>
      <c r="N501" s="317"/>
      <c r="O501" s="317"/>
      <c r="P501" s="317"/>
      <c r="Q501" s="317"/>
      <c r="R501" s="317"/>
      <c r="S501" s="317"/>
      <c r="T501" s="317"/>
      <c r="U501" s="317"/>
      <c r="V501" s="317"/>
      <c r="W501" s="317"/>
      <c r="X501" s="317"/>
      <c r="Y501" s="317"/>
      <c r="Z501" s="317"/>
      <c r="AA501" s="317"/>
      <c r="AB501" s="317"/>
      <c r="AC501" s="317"/>
    </row>
    <row r="502">
      <c r="A502" s="317"/>
      <c r="B502" s="381"/>
      <c r="C502" s="317"/>
      <c r="D502" s="381"/>
      <c r="E502" s="381"/>
      <c r="F502" s="381"/>
      <c r="G502" s="317"/>
      <c r="H502" s="317"/>
      <c r="I502" s="317"/>
      <c r="J502" s="317"/>
      <c r="K502" s="317"/>
      <c r="L502" s="317"/>
      <c r="M502" s="317"/>
      <c r="N502" s="317"/>
      <c r="O502" s="317"/>
      <c r="P502" s="317"/>
      <c r="Q502" s="317"/>
      <c r="R502" s="317"/>
      <c r="S502" s="317"/>
      <c r="T502" s="317"/>
      <c r="U502" s="317"/>
      <c r="V502" s="317"/>
      <c r="W502" s="317"/>
      <c r="X502" s="317"/>
      <c r="Y502" s="317"/>
      <c r="Z502" s="317"/>
      <c r="AA502" s="317"/>
      <c r="AB502" s="317"/>
      <c r="AC502" s="317"/>
    </row>
    <row r="503">
      <c r="A503" s="317"/>
      <c r="B503" s="381"/>
      <c r="C503" s="317"/>
      <c r="D503" s="381"/>
      <c r="E503" s="381"/>
      <c r="F503" s="381"/>
      <c r="G503" s="317"/>
      <c r="H503" s="317"/>
      <c r="I503" s="317"/>
      <c r="J503" s="317"/>
      <c r="K503" s="317"/>
      <c r="L503" s="317"/>
      <c r="M503" s="317"/>
      <c r="N503" s="317"/>
      <c r="O503" s="317"/>
      <c r="P503" s="317"/>
      <c r="Q503" s="317"/>
      <c r="R503" s="317"/>
      <c r="S503" s="317"/>
      <c r="T503" s="317"/>
      <c r="U503" s="317"/>
      <c r="V503" s="317"/>
      <c r="W503" s="317"/>
      <c r="X503" s="317"/>
      <c r="Y503" s="317"/>
      <c r="Z503" s="317"/>
      <c r="AA503" s="317"/>
      <c r="AB503" s="317"/>
      <c r="AC503" s="317"/>
    </row>
    <row r="504">
      <c r="A504" s="317"/>
      <c r="B504" s="381"/>
      <c r="C504" s="317"/>
      <c r="D504" s="381"/>
      <c r="E504" s="381"/>
      <c r="F504" s="381"/>
      <c r="G504" s="317"/>
      <c r="H504" s="317"/>
      <c r="I504" s="317"/>
      <c r="J504" s="317"/>
      <c r="K504" s="317"/>
      <c r="L504" s="317"/>
      <c r="M504" s="317"/>
      <c r="N504" s="317"/>
      <c r="O504" s="317"/>
      <c r="P504" s="317"/>
      <c r="Q504" s="317"/>
      <c r="R504" s="317"/>
      <c r="S504" s="317"/>
      <c r="T504" s="317"/>
      <c r="U504" s="317"/>
      <c r="V504" s="317"/>
      <c r="W504" s="317"/>
      <c r="X504" s="317"/>
      <c r="Y504" s="317"/>
      <c r="Z504" s="317"/>
      <c r="AA504" s="317"/>
      <c r="AB504" s="317"/>
      <c r="AC504" s="317"/>
    </row>
    <row r="505">
      <c r="A505" s="317"/>
      <c r="B505" s="381"/>
      <c r="C505" s="317"/>
      <c r="D505" s="381"/>
      <c r="E505" s="381"/>
      <c r="F505" s="381"/>
      <c r="G505" s="317"/>
      <c r="H505" s="317"/>
      <c r="I505" s="317"/>
      <c r="J505" s="317"/>
      <c r="K505" s="317"/>
      <c r="L505" s="317"/>
      <c r="M505" s="317"/>
      <c r="N505" s="317"/>
      <c r="O505" s="317"/>
      <c r="P505" s="317"/>
      <c r="Q505" s="317"/>
      <c r="R505" s="317"/>
      <c r="S505" s="317"/>
      <c r="T505" s="317"/>
      <c r="U505" s="317"/>
      <c r="V505" s="317"/>
      <c r="W505" s="317"/>
      <c r="X505" s="317"/>
      <c r="Y505" s="317"/>
      <c r="Z505" s="317"/>
      <c r="AA505" s="317"/>
      <c r="AB505" s="317"/>
      <c r="AC505" s="317"/>
    </row>
    <row r="506">
      <c r="A506" s="317"/>
      <c r="B506" s="381"/>
      <c r="C506" s="317"/>
      <c r="D506" s="381"/>
      <c r="E506" s="381"/>
      <c r="F506" s="381"/>
      <c r="G506" s="317"/>
      <c r="H506" s="317"/>
      <c r="I506" s="317"/>
      <c r="J506" s="317"/>
      <c r="K506" s="317"/>
      <c r="L506" s="317"/>
      <c r="M506" s="317"/>
      <c r="N506" s="317"/>
      <c r="O506" s="317"/>
      <c r="P506" s="317"/>
      <c r="Q506" s="317"/>
      <c r="R506" s="317"/>
      <c r="S506" s="317"/>
      <c r="T506" s="317"/>
      <c r="U506" s="317"/>
      <c r="V506" s="317"/>
      <c r="W506" s="317"/>
      <c r="X506" s="317"/>
      <c r="Y506" s="317"/>
      <c r="Z506" s="317"/>
      <c r="AA506" s="317"/>
      <c r="AB506" s="317"/>
      <c r="AC506" s="317"/>
    </row>
    <row r="507">
      <c r="A507" s="317"/>
      <c r="B507" s="381"/>
      <c r="C507" s="317"/>
      <c r="D507" s="381"/>
      <c r="E507" s="381"/>
      <c r="F507" s="381"/>
      <c r="G507" s="317"/>
      <c r="H507" s="317"/>
      <c r="I507" s="317"/>
      <c r="J507" s="317"/>
      <c r="K507" s="317"/>
      <c r="L507" s="317"/>
      <c r="M507" s="317"/>
      <c r="N507" s="317"/>
      <c r="O507" s="317"/>
      <c r="P507" s="317"/>
      <c r="Q507" s="317"/>
      <c r="R507" s="317"/>
      <c r="S507" s="317"/>
      <c r="T507" s="317"/>
      <c r="U507" s="317"/>
      <c r="V507" s="317"/>
      <c r="W507" s="317"/>
      <c r="X507" s="317"/>
      <c r="Y507" s="317"/>
      <c r="Z507" s="317"/>
      <c r="AA507" s="317"/>
      <c r="AB507" s="317"/>
      <c r="AC507" s="317"/>
    </row>
    <row r="508">
      <c r="A508" s="317"/>
      <c r="B508" s="381"/>
      <c r="C508" s="317"/>
      <c r="D508" s="381"/>
      <c r="E508" s="381"/>
      <c r="F508" s="381"/>
      <c r="G508" s="317"/>
      <c r="H508" s="317"/>
      <c r="I508" s="317"/>
      <c r="J508" s="317"/>
      <c r="K508" s="317"/>
      <c r="L508" s="317"/>
      <c r="M508" s="317"/>
      <c r="N508" s="317"/>
      <c r="O508" s="317"/>
      <c r="P508" s="317"/>
      <c r="Q508" s="317"/>
      <c r="R508" s="317"/>
      <c r="S508" s="317"/>
      <c r="T508" s="317"/>
      <c r="U508" s="317"/>
      <c r="V508" s="317"/>
      <c r="W508" s="317"/>
      <c r="X508" s="317"/>
      <c r="Y508" s="317"/>
      <c r="Z508" s="317"/>
      <c r="AA508" s="317"/>
      <c r="AB508" s="317"/>
      <c r="AC508" s="317"/>
    </row>
    <row r="509">
      <c r="A509" s="317"/>
      <c r="B509" s="381"/>
      <c r="C509" s="317"/>
      <c r="D509" s="381"/>
      <c r="E509" s="381"/>
      <c r="F509" s="381"/>
      <c r="G509" s="317"/>
      <c r="H509" s="317"/>
      <c r="I509" s="317"/>
      <c r="J509" s="317"/>
      <c r="K509" s="317"/>
      <c r="L509" s="317"/>
      <c r="M509" s="317"/>
      <c r="N509" s="317"/>
      <c r="O509" s="317"/>
      <c r="P509" s="317"/>
      <c r="Q509" s="317"/>
      <c r="R509" s="317"/>
      <c r="S509" s="317"/>
      <c r="T509" s="317"/>
      <c r="U509" s="317"/>
      <c r="V509" s="317"/>
      <c r="W509" s="317"/>
      <c r="X509" s="317"/>
      <c r="Y509" s="317"/>
      <c r="Z509" s="317"/>
      <c r="AA509" s="317"/>
      <c r="AB509" s="317"/>
      <c r="AC509" s="317"/>
    </row>
    <row r="510">
      <c r="A510" s="317"/>
      <c r="B510" s="381"/>
      <c r="C510" s="317"/>
      <c r="D510" s="381"/>
      <c r="E510" s="381"/>
      <c r="F510" s="381"/>
      <c r="G510" s="317"/>
      <c r="H510" s="317"/>
      <c r="I510" s="317"/>
      <c r="J510" s="317"/>
      <c r="K510" s="317"/>
      <c r="L510" s="317"/>
      <c r="M510" s="317"/>
      <c r="N510" s="317"/>
      <c r="O510" s="317"/>
      <c r="P510" s="317"/>
      <c r="Q510" s="317"/>
      <c r="R510" s="317"/>
      <c r="S510" s="317"/>
      <c r="T510" s="317"/>
      <c r="U510" s="317"/>
      <c r="V510" s="317"/>
      <c r="W510" s="317"/>
      <c r="X510" s="317"/>
      <c r="Y510" s="317"/>
      <c r="Z510" s="317"/>
      <c r="AA510" s="317"/>
      <c r="AB510" s="317"/>
      <c r="AC510" s="317"/>
    </row>
    <row r="511">
      <c r="A511" s="317"/>
      <c r="B511" s="381"/>
      <c r="C511" s="317"/>
      <c r="D511" s="381"/>
      <c r="E511" s="381"/>
      <c r="F511" s="381"/>
      <c r="G511" s="317"/>
      <c r="H511" s="317"/>
      <c r="I511" s="317"/>
      <c r="J511" s="317"/>
      <c r="K511" s="317"/>
      <c r="L511" s="317"/>
      <c r="M511" s="317"/>
      <c r="N511" s="317"/>
      <c r="O511" s="317"/>
      <c r="P511" s="317"/>
      <c r="Q511" s="317"/>
      <c r="R511" s="317"/>
      <c r="S511" s="317"/>
      <c r="T511" s="317"/>
      <c r="U511" s="317"/>
      <c r="V511" s="317"/>
      <c r="W511" s="317"/>
      <c r="X511" s="317"/>
      <c r="Y511" s="317"/>
      <c r="Z511" s="317"/>
      <c r="AA511" s="317"/>
      <c r="AB511" s="317"/>
      <c r="AC511" s="317"/>
    </row>
    <row r="512">
      <c r="A512" s="317"/>
      <c r="B512" s="381"/>
      <c r="C512" s="317"/>
      <c r="D512" s="381"/>
      <c r="E512" s="381"/>
      <c r="F512" s="381"/>
      <c r="G512" s="317"/>
      <c r="H512" s="317"/>
      <c r="I512" s="317"/>
      <c r="J512" s="317"/>
      <c r="K512" s="317"/>
      <c r="L512" s="317"/>
      <c r="M512" s="317"/>
      <c r="N512" s="317"/>
      <c r="O512" s="317"/>
      <c r="P512" s="317"/>
      <c r="Q512" s="317"/>
      <c r="R512" s="317"/>
      <c r="S512" s="317"/>
      <c r="T512" s="317"/>
      <c r="U512" s="317"/>
      <c r="V512" s="317"/>
      <c r="W512" s="317"/>
      <c r="X512" s="317"/>
      <c r="Y512" s="317"/>
      <c r="Z512" s="317"/>
      <c r="AA512" s="317"/>
      <c r="AB512" s="317"/>
      <c r="AC512" s="317"/>
    </row>
    <row r="513">
      <c r="A513" s="317"/>
      <c r="B513" s="381"/>
      <c r="C513" s="317"/>
      <c r="D513" s="381"/>
      <c r="E513" s="381"/>
      <c r="F513" s="381"/>
      <c r="G513" s="317"/>
      <c r="H513" s="317"/>
      <c r="I513" s="317"/>
      <c r="J513" s="317"/>
      <c r="K513" s="317"/>
      <c r="L513" s="317"/>
      <c r="M513" s="317"/>
      <c r="N513" s="317"/>
      <c r="O513" s="317"/>
      <c r="P513" s="317"/>
      <c r="Q513" s="317"/>
      <c r="R513" s="317"/>
      <c r="S513" s="317"/>
      <c r="T513" s="317"/>
      <c r="U513" s="317"/>
      <c r="V513" s="317"/>
      <c r="W513" s="317"/>
      <c r="X513" s="317"/>
      <c r="Y513" s="317"/>
      <c r="Z513" s="317"/>
      <c r="AA513" s="317"/>
      <c r="AB513" s="317"/>
      <c r="AC513" s="317"/>
    </row>
    <row r="514">
      <c r="A514" s="317"/>
      <c r="B514" s="381"/>
      <c r="C514" s="317"/>
      <c r="D514" s="381"/>
      <c r="E514" s="381"/>
      <c r="F514" s="381"/>
      <c r="G514" s="317"/>
      <c r="H514" s="317"/>
      <c r="I514" s="317"/>
      <c r="J514" s="317"/>
      <c r="K514" s="317"/>
      <c r="L514" s="317"/>
      <c r="M514" s="317"/>
      <c r="N514" s="317"/>
      <c r="O514" s="317"/>
      <c r="P514" s="317"/>
      <c r="Q514" s="317"/>
      <c r="R514" s="317"/>
      <c r="S514" s="317"/>
      <c r="T514" s="317"/>
      <c r="U514" s="317"/>
      <c r="V514" s="317"/>
      <c r="W514" s="317"/>
      <c r="X514" s="317"/>
      <c r="Y514" s="317"/>
      <c r="Z514" s="317"/>
      <c r="AA514" s="317"/>
      <c r="AB514" s="317"/>
      <c r="AC514" s="317"/>
    </row>
    <row r="515">
      <c r="A515" s="317"/>
      <c r="B515" s="381"/>
      <c r="C515" s="317"/>
      <c r="D515" s="381"/>
      <c r="E515" s="381"/>
      <c r="F515" s="381"/>
      <c r="G515" s="317"/>
      <c r="H515" s="317"/>
      <c r="I515" s="317"/>
      <c r="J515" s="317"/>
      <c r="K515" s="317"/>
      <c r="L515" s="317"/>
      <c r="M515" s="317"/>
      <c r="N515" s="317"/>
      <c r="O515" s="317"/>
      <c r="P515" s="317"/>
      <c r="Q515" s="317"/>
      <c r="R515" s="317"/>
      <c r="S515" s="317"/>
      <c r="T515" s="317"/>
      <c r="U515" s="317"/>
      <c r="V515" s="317"/>
      <c r="W515" s="317"/>
      <c r="X515" s="317"/>
      <c r="Y515" s="317"/>
      <c r="Z515" s="317"/>
      <c r="AA515" s="317"/>
      <c r="AB515" s="317"/>
      <c r="AC515" s="317"/>
    </row>
    <row r="516">
      <c r="A516" s="317"/>
      <c r="B516" s="381"/>
      <c r="C516" s="317"/>
      <c r="D516" s="381"/>
      <c r="E516" s="381"/>
      <c r="F516" s="381"/>
      <c r="G516" s="317"/>
      <c r="H516" s="317"/>
      <c r="I516" s="317"/>
      <c r="J516" s="317"/>
      <c r="K516" s="317"/>
      <c r="L516" s="317"/>
      <c r="M516" s="317"/>
      <c r="N516" s="317"/>
      <c r="O516" s="317"/>
      <c r="P516" s="317"/>
      <c r="Q516" s="317"/>
      <c r="R516" s="317"/>
      <c r="S516" s="317"/>
      <c r="T516" s="317"/>
      <c r="U516" s="317"/>
      <c r="V516" s="317"/>
      <c r="W516" s="317"/>
      <c r="X516" s="317"/>
      <c r="Y516" s="317"/>
      <c r="Z516" s="317"/>
      <c r="AA516" s="317"/>
      <c r="AB516" s="317"/>
      <c r="AC516" s="317"/>
    </row>
    <row r="517">
      <c r="A517" s="317"/>
      <c r="B517" s="381"/>
      <c r="C517" s="317"/>
      <c r="D517" s="381"/>
      <c r="E517" s="381"/>
      <c r="F517" s="381"/>
      <c r="G517" s="317"/>
      <c r="H517" s="317"/>
      <c r="I517" s="317"/>
      <c r="J517" s="317"/>
      <c r="K517" s="317"/>
      <c r="L517" s="317"/>
      <c r="M517" s="317"/>
      <c r="N517" s="317"/>
      <c r="O517" s="317"/>
      <c r="P517" s="317"/>
      <c r="Q517" s="317"/>
      <c r="R517" s="317"/>
      <c r="S517" s="317"/>
      <c r="T517" s="317"/>
      <c r="U517" s="317"/>
      <c r="V517" s="317"/>
      <c r="W517" s="317"/>
      <c r="X517" s="317"/>
      <c r="Y517" s="317"/>
      <c r="Z517" s="317"/>
      <c r="AA517" s="317"/>
      <c r="AB517" s="317"/>
      <c r="AC517" s="317"/>
    </row>
    <row r="518">
      <c r="A518" s="317"/>
      <c r="B518" s="381"/>
      <c r="C518" s="317"/>
      <c r="D518" s="381"/>
      <c r="E518" s="381"/>
      <c r="F518" s="381"/>
      <c r="G518" s="317"/>
      <c r="H518" s="317"/>
      <c r="I518" s="317"/>
      <c r="J518" s="317"/>
      <c r="K518" s="317"/>
      <c r="L518" s="317"/>
      <c r="M518" s="317"/>
      <c r="N518" s="317"/>
      <c r="O518" s="317"/>
      <c r="P518" s="317"/>
      <c r="Q518" s="317"/>
      <c r="R518" s="317"/>
      <c r="S518" s="317"/>
      <c r="T518" s="317"/>
      <c r="U518" s="317"/>
      <c r="V518" s="317"/>
      <c r="W518" s="317"/>
      <c r="X518" s="317"/>
      <c r="Y518" s="317"/>
      <c r="Z518" s="317"/>
      <c r="AA518" s="317"/>
      <c r="AB518" s="317"/>
      <c r="AC518" s="317"/>
    </row>
    <row r="519">
      <c r="A519" s="317"/>
      <c r="B519" s="381"/>
      <c r="C519" s="317"/>
      <c r="D519" s="381"/>
      <c r="E519" s="381"/>
      <c r="F519" s="381"/>
      <c r="G519" s="317"/>
      <c r="H519" s="317"/>
      <c r="I519" s="317"/>
      <c r="J519" s="317"/>
      <c r="K519" s="317"/>
      <c r="L519" s="317"/>
      <c r="M519" s="317"/>
      <c r="N519" s="317"/>
      <c r="O519" s="317"/>
      <c r="P519" s="317"/>
      <c r="Q519" s="317"/>
      <c r="R519" s="317"/>
      <c r="S519" s="317"/>
      <c r="T519" s="317"/>
      <c r="U519" s="317"/>
      <c r="V519" s="317"/>
      <c r="W519" s="317"/>
      <c r="X519" s="317"/>
      <c r="Y519" s="317"/>
      <c r="Z519" s="317"/>
      <c r="AA519" s="317"/>
      <c r="AB519" s="317"/>
      <c r="AC519" s="317"/>
    </row>
    <row r="520">
      <c r="A520" s="317"/>
      <c r="B520" s="381"/>
      <c r="C520" s="317"/>
      <c r="D520" s="381"/>
      <c r="E520" s="381"/>
      <c r="F520" s="381"/>
      <c r="G520" s="317"/>
      <c r="H520" s="317"/>
      <c r="I520" s="317"/>
      <c r="J520" s="317"/>
      <c r="K520" s="317"/>
      <c r="L520" s="317"/>
      <c r="M520" s="317"/>
      <c r="N520" s="317"/>
      <c r="O520" s="317"/>
      <c r="P520" s="317"/>
      <c r="Q520" s="317"/>
      <c r="R520" s="317"/>
      <c r="S520" s="317"/>
      <c r="T520" s="317"/>
      <c r="U520" s="317"/>
      <c r="V520" s="317"/>
      <c r="W520" s="317"/>
      <c r="X520" s="317"/>
      <c r="Y520" s="317"/>
      <c r="Z520" s="317"/>
      <c r="AA520" s="317"/>
      <c r="AB520" s="317"/>
      <c r="AC520" s="317"/>
    </row>
    <row r="521">
      <c r="A521" s="317"/>
      <c r="B521" s="381"/>
      <c r="C521" s="317"/>
      <c r="D521" s="381"/>
      <c r="E521" s="381"/>
      <c r="F521" s="381"/>
      <c r="G521" s="317"/>
      <c r="H521" s="317"/>
      <c r="I521" s="317"/>
      <c r="J521" s="317"/>
      <c r="K521" s="317"/>
      <c r="L521" s="317"/>
      <c r="M521" s="317"/>
      <c r="N521" s="317"/>
      <c r="O521" s="317"/>
      <c r="P521" s="317"/>
      <c r="Q521" s="317"/>
      <c r="R521" s="317"/>
      <c r="S521" s="317"/>
      <c r="T521" s="317"/>
      <c r="U521" s="317"/>
      <c r="V521" s="317"/>
      <c r="W521" s="317"/>
      <c r="X521" s="317"/>
      <c r="Y521" s="317"/>
      <c r="Z521" s="317"/>
      <c r="AA521" s="317"/>
      <c r="AB521" s="317"/>
      <c r="AC521" s="317"/>
    </row>
    <row r="522">
      <c r="A522" s="317"/>
      <c r="B522" s="381"/>
      <c r="C522" s="317"/>
      <c r="D522" s="381"/>
      <c r="E522" s="381"/>
      <c r="F522" s="381"/>
      <c r="G522" s="317"/>
      <c r="H522" s="317"/>
      <c r="I522" s="317"/>
      <c r="J522" s="317"/>
      <c r="K522" s="317"/>
      <c r="L522" s="317"/>
      <c r="M522" s="317"/>
      <c r="N522" s="317"/>
      <c r="O522" s="317"/>
      <c r="P522" s="317"/>
      <c r="Q522" s="317"/>
      <c r="R522" s="317"/>
      <c r="S522" s="317"/>
      <c r="T522" s="317"/>
      <c r="U522" s="317"/>
      <c r="V522" s="317"/>
      <c r="W522" s="317"/>
      <c r="X522" s="317"/>
      <c r="Y522" s="317"/>
      <c r="Z522" s="317"/>
      <c r="AA522" s="317"/>
      <c r="AB522" s="317"/>
      <c r="AC522" s="317"/>
    </row>
    <row r="523">
      <c r="A523" s="317"/>
      <c r="B523" s="381"/>
      <c r="C523" s="317"/>
      <c r="D523" s="381"/>
      <c r="E523" s="381"/>
      <c r="F523" s="381"/>
      <c r="G523" s="317"/>
      <c r="H523" s="317"/>
      <c r="I523" s="317"/>
      <c r="J523" s="317"/>
      <c r="K523" s="317"/>
      <c r="L523" s="317"/>
      <c r="M523" s="317"/>
      <c r="N523" s="317"/>
      <c r="O523" s="317"/>
      <c r="P523" s="317"/>
      <c r="Q523" s="317"/>
      <c r="R523" s="317"/>
      <c r="S523" s="317"/>
      <c r="T523" s="317"/>
      <c r="U523" s="317"/>
      <c r="V523" s="317"/>
      <c r="W523" s="317"/>
      <c r="X523" s="317"/>
      <c r="Y523" s="317"/>
      <c r="Z523" s="317"/>
      <c r="AA523" s="317"/>
      <c r="AB523" s="317"/>
      <c r="AC523" s="317"/>
    </row>
    <row r="524">
      <c r="A524" s="317"/>
      <c r="B524" s="381"/>
      <c r="C524" s="317"/>
      <c r="D524" s="381"/>
      <c r="E524" s="381"/>
      <c r="F524" s="381"/>
      <c r="G524" s="317"/>
      <c r="H524" s="317"/>
      <c r="I524" s="317"/>
      <c r="J524" s="317"/>
      <c r="K524" s="317"/>
      <c r="L524" s="317"/>
      <c r="M524" s="317"/>
      <c r="N524" s="317"/>
      <c r="O524" s="317"/>
      <c r="P524" s="317"/>
      <c r="Q524" s="317"/>
      <c r="R524" s="317"/>
      <c r="S524" s="317"/>
      <c r="T524" s="317"/>
      <c r="U524" s="317"/>
      <c r="V524" s="317"/>
      <c r="W524" s="317"/>
      <c r="X524" s="317"/>
      <c r="Y524" s="317"/>
      <c r="Z524" s="317"/>
      <c r="AA524" s="317"/>
      <c r="AB524" s="317"/>
      <c r="AC524" s="317"/>
    </row>
    <row r="525">
      <c r="A525" s="317"/>
      <c r="B525" s="381"/>
      <c r="C525" s="317"/>
      <c r="D525" s="381"/>
      <c r="E525" s="381"/>
      <c r="F525" s="381"/>
      <c r="G525" s="317"/>
      <c r="H525" s="317"/>
      <c r="I525" s="317"/>
      <c r="J525" s="317"/>
      <c r="K525" s="317"/>
      <c r="L525" s="317"/>
      <c r="M525" s="317"/>
      <c r="N525" s="317"/>
      <c r="O525" s="317"/>
      <c r="P525" s="317"/>
      <c r="Q525" s="317"/>
      <c r="R525" s="317"/>
      <c r="S525" s="317"/>
      <c r="T525" s="317"/>
      <c r="U525" s="317"/>
      <c r="V525" s="317"/>
      <c r="W525" s="317"/>
      <c r="X525" s="317"/>
      <c r="Y525" s="317"/>
      <c r="Z525" s="317"/>
      <c r="AA525" s="317"/>
      <c r="AB525" s="317"/>
      <c r="AC525" s="317"/>
    </row>
    <row r="526">
      <c r="A526" s="317"/>
      <c r="B526" s="381"/>
      <c r="C526" s="317"/>
      <c r="D526" s="381"/>
      <c r="E526" s="381"/>
      <c r="F526" s="381"/>
      <c r="G526" s="317"/>
      <c r="H526" s="317"/>
      <c r="I526" s="317"/>
      <c r="J526" s="317"/>
      <c r="K526" s="317"/>
      <c r="L526" s="317"/>
      <c r="M526" s="317"/>
      <c r="N526" s="317"/>
      <c r="O526" s="317"/>
      <c r="P526" s="317"/>
      <c r="Q526" s="317"/>
      <c r="R526" s="317"/>
      <c r="S526" s="317"/>
      <c r="T526" s="317"/>
      <c r="U526" s="317"/>
      <c r="V526" s="317"/>
      <c r="W526" s="317"/>
      <c r="X526" s="317"/>
      <c r="Y526" s="317"/>
      <c r="Z526" s="317"/>
      <c r="AA526" s="317"/>
      <c r="AB526" s="317"/>
      <c r="AC526" s="317"/>
    </row>
    <row r="527">
      <c r="A527" s="317"/>
      <c r="B527" s="381"/>
      <c r="C527" s="317"/>
      <c r="D527" s="381"/>
      <c r="E527" s="381"/>
      <c r="F527" s="381"/>
      <c r="G527" s="317"/>
      <c r="H527" s="317"/>
      <c r="I527" s="317"/>
      <c r="J527" s="317"/>
      <c r="K527" s="317"/>
      <c r="L527" s="317"/>
      <c r="M527" s="317"/>
      <c r="N527" s="317"/>
      <c r="O527" s="317"/>
      <c r="P527" s="317"/>
      <c r="Q527" s="317"/>
      <c r="R527" s="317"/>
      <c r="S527" s="317"/>
      <c r="T527" s="317"/>
      <c r="U527" s="317"/>
      <c r="V527" s="317"/>
      <c r="W527" s="317"/>
      <c r="X527" s="317"/>
      <c r="Y527" s="317"/>
      <c r="Z527" s="317"/>
      <c r="AA527" s="317"/>
      <c r="AB527" s="317"/>
      <c r="AC527" s="317"/>
    </row>
    <row r="528">
      <c r="A528" s="317"/>
      <c r="B528" s="381"/>
      <c r="C528" s="317"/>
      <c r="D528" s="381"/>
      <c r="E528" s="381"/>
      <c r="F528" s="381"/>
      <c r="G528" s="317"/>
      <c r="H528" s="317"/>
      <c r="I528" s="317"/>
      <c r="J528" s="317"/>
      <c r="K528" s="317"/>
      <c r="L528" s="317"/>
      <c r="M528" s="317"/>
      <c r="N528" s="317"/>
      <c r="O528" s="317"/>
      <c r="P528" s="317"/>
      <c r="Q528" s="317"/>
      <c r="R528" s="317"/>
      <c r="S528" s="317"/>
      <c r="T528" s="317"/>
      <c r="U528" s="317"/>
      <c r="V528" s="317"/>
      <c r="W528" s="317"/>
      <c r="X528" s="317"/>
      <c r="Y528" s="317"/>
      <c r="Z528" s="317"/>
      <c r="AA528" s="317"/>
      <c r="AB528" s="317"/>
      <c r="AC528" s="317"/>
    </row>
    <row r="529">
      <c r="A529" s="317"/>
      <c r="B529" s="381"/>
      <c r="C529" s="317"/>
      <c r="D529" s="381"/>
      <c r="E529" s="381"/>
      <c r="F529" s="381"/>
      <c r="G529" s="317"/>
      <c r="H529" s="317"/>
      <c r="I529" s="317"/>
      <c r="J529" s="317"/>
      <c r="K529" s="317"/>
      <c r="L529" s="317"/>
      <c r="M529" s="317"/>
      <c r="N529" s="317"/>
      <c r="O529" s="317"/>
      <c r="P529" s="317"/>
      <c r="Q529" s="317"/>
      <c r="R529" s="317"/>
      <c r="S529" s="317"/>
      <c r="T529" s="317"/>
      <c r="U529" s="317"/>
      <c r="V529" s="317"/>
      <c r="W529" s="317"/>
      <c r="X529" s="317"/>
      <c r="Y529" s="317"/>
      <c r="Z529" s="317"/>
      <c r="AA529" s="317"/>
      <c r="AB529" s="317"/>
      <c r="AC529" s="317"/>
    </row>
    <row r="530">
      <c r="A530" s="317"/>
      <c r="B530" s="381"/>
      <c r="C530" s="317"/>
      <c r="D530" s="381"/>
      <c r="E530" s="381"/>
      <c r="F530" s="381"/>
      <c r="G530" s="317"/>
      <c r="H530" s="317"/>
      <c r="I530" s="317"/>
      <c r="J530" s="317"/>
      <c r="K530" s="317"/>
      <c r="L530" s="317"/>
      <c r="M530" s="317"/>
      <c r="N530" s="317"/>
      <c r="O530" s="317"/>
      <c r="P530" s="317"/>
      <c r="Q530" s="317"/>
      <c r="R530" s="317"/>
      <c r="S530" s="317"/>
      <c r="T530" s="317"/>
      <c r="U530" s="317"/>
      <c r="V530" s="317"/>
      <c r="W530" s="317"/>
      <c r="X530" s="317"/>
      <c r="Y530" s="317"/>
      <c r="Z530" s="317"/>
      <c r="AA530" s="317"/>
      <c r="AB530" s="317"/>
      <c r="AC530" s="317"/>
    </row>
    <row r="531">
      <c r="A531" s="317"/>
      <c r="B531" s="381"/>
      <c r="C531" s="317"/>
      <c r="D531" s="381"/>
      <c r="E531" s="381"/>
      <c r="F531" s="381"/>
      <c r="G531" s="317"/>
      <c r="H531" s="317"/>
      <c r="I531" s="317"/>
      <c r="J531" s="317"/>
      <c r="K531" s="317"/>
      <c r="L531" s="317"/>
      <c r="M531" s="317"/>
      <c r="N531" s="317"/>
      <c r="O531" s="317"/>
      <c r="P531" s="317"/>
      <c r="Q531" s="317"/>
      <c r="R531" s="317"/>
      <c r="S531" s="317"/>
      <c r="T531" s="317"/>
      <c r="U531" s="317"/>
      <c r="V531" s="317"/>
      <c r="W531" s="317"/>
      <c r="X531" s="317"/>
      <c r="Y531" s="317"/>
      <c r="Z531" s="317"/>
      <c r="AA531" s="317"/>
      <c r="AB531" s="317"/>
      <c r="AC531" s="317"/>
    </row>
    <row r="532">
      <c r="A532" s="317"/>
      <c r="B532" s="381"/>
      <c r="C532" s="317"/>
      <c r="D532" s="381"/>
      <c r="E532" s="381"/>
      <c r="F532" s="381"/>
      <c r="G532" s="317"/>
      <c r="H532" s="317"/>
      <c r="I532" s="317"/>
      <c r="J532" s="317"/>
      <c r="K532" s="317"/>
      <c r="L532" s="317"/>
      <c r="M532" s="317"/>
      <c r="N532" s="317"/>
      <c r="O532" s="317"/>
      <c r="P532" s="317"/>
      <c r="Q532" s="317"/>
      <c r="R532" s="317"/>
      <c r="S532" s="317"/>
      <c r="T532" s="317"/>
      <c r="U532" s="317"/>
      <c r="V532" s="317"/>
      <c r="W532" s="317"/>
      <c r="X532" s="317"/>
      <c r="Y532" s="317"/>
      <c r="Z532" s="317"/>
      <c r="AA532" s="317"/>
      <c r="AB532" s="317"/>
      <c r="AC532" s="317"/>
    </row>
    <row r="533">
      <c r="A533" s="317"/>
      <c r="B533" s="381"/>
      <c r="C533" s="317"/>
      <c r="D533" s="381"/>
      <c r="E533" s="381"/>
      <c r="F533" s="381"/>
      <c r="G533" s="317"/>
      <c r="H533" s="317"/>
      <c r="I533" s="317"/>
      <c r="J533" s="317"/>
      <c r="K533" s="317"/>
      <c r="L533" s="317"/>
      <c r="M533" s="317"/>
      <c r="N533" s="317"/>
      <c r="O533" s="317"/>
      <c r="P533" s="317"/>
      <c r="Q533" s="317"/>
      <c r="R533" s="317"/>
      <c r="S533" s="317"/>
      <c r="T533" s="317"/>
      <c r="U533" s="317"/>
      <c r="V533" s="317"/>
      <c r="W533" s="317"/>
      <c r="X533" s="317"/>
      <c r="Y533" s="317"/>
      <c r="Z533" s="317"/>
      <c r="AA533" s="317"/>
      <c r="AB533" s="317"/>
      <c r="AC533" s="317"/>
    </row>
    <row r="534">
      <c r="A534" s="317"/>
      <c r="B534" s="381"/>
      <c r="C534" s="317"/>
      <c r="D534" s="381"/>
      <c r="E534" s="381"/>
      <c r="F534" s="381"/>
      <c r="G534" s="317"/>
      <c r="H534" s="317"/>
      <c r="I534" s="317"/>
      <c r="J534" s="317"/>
      <c r="K534" s="317"/>
      <c r="L534" s="317"/>
      <c r="M534" s="317"/>
      <c r="N534" s="317"/>
      <c r="O534" s="317"/>
      <c r="P534" s="317"/>
      <c r="Q534" s="317"/>
      <c r="R534" s="317"/>
      <c r="S534" s="317"/>
      <c r="T534" s="317"/>
      <c r="U534" s="317"/>
      <c r="V534" s="317"/>
      <c r="W534" s="317"/>
      <c r="X534" s="317"/>
      <c r="Y534" s="317"/>
      <c r="Z534" s="317"/>
      <c r="AA534" s="317"/>
      <c r="AB534" s="317"/>
      <c r="AC534" s="317"/>
    </row>
    <row r="535">
      <c r="A535" s="317"/>
      <c r="B535" s="381"/>
      <c r="C535" s="317"/>
      <c r="D535" s="381"/>
      <c r="E535" s="381"/>
      <c r="F535" s="381"/>
      <c r="G535" s="317"/>
      <c r="H535" s="317"/>
      <c r="I535" s="317"/>
      <c r="J535" s="317"/>
      <c r="K535" s="317"/>
      <c r="L535" s="317"/>
      <c r="M535" s="317"/>
      <c r="N535" s="317"/>
      <c r="O535" s="317"/>
      <c r="P535" s="317"/>
      <c r="Q535" s="317"/>
      <c r="R535" s="317"/>
      <c r="S535" s="317"/>
      <c r="T535" s="317"/>
      <c r="U535" s="317"/>
      <c r="V535" s="317"/>
      <c r="W535" s="317"/>
      <c r="X535" s="317"/>
      <c r="Y535" s="317"/>
      <c r="Z535" s="317"/>
      <c r="AA535" s="317"/>
      <c r="AB535" s="317"/>
      <c r="AC535" s="317"/>
    </row>
    <row r="536">
      <c r="A536" s="317"/>
      <c r="B536" s="381"/>
      <c r="C536" s="317"/>
      <c r="D536" s="381"/>
      <c r="E536" s="381"/>
      <c r="F536" s="381"/>
      <c r="G536" s="317"/>
      <c r="H536" s="317"/>
      <c r="I536" s="317"/>
      <c r="J536" s="317"/>
      <c r="K536" s="317"/>
      <c r="L536" s="317"/>
      <c r="M536" s="317"/>
      <c r="N536" s="317"/>
      <c r="O536" s="317"/>
      <c r="P536" s="317"/>
      <c r="Q536" s="317"/>
      <c r="R536" s="317"/>
      <c r="S536" s="317"/>
      <c r="T536" s="317"/>
      <c r="U536" s="317"/>
      <c r="V536" s="317"/>
      <c r="W536" s="317"/>
      <c r="X536" s="317"/>
      <c r="Y536" s="317"/>
      <c r="Z536" s="317"/>
      <c r="AA536" s="317"/>
      <c r="AB536" s="317"/>
      <c r="AC536" s="317"/>
    </row>
    <row r="537">
      <c r="A537" s="317"/>
      <c r="B537" s="381"/>
      <c r="C537" s="317"/>
      <c r="D537" s="381"/>
      <c r="E537" s="381"/>
      <c r="F537" s="381"/>
      <c r="G537" s="317"/>
      <c r="H537" s="317"/>
      <c r="I537" s="317"/>
      <c r="J537" s="317"/>
      <c r="K537" s="317"/>
      <c r="L537" s="317"/>
      <c r="M537" s="317"/>
      <c r="N537" s="317"/>
      <c r="O537" s="317"/>
      <c r="P537" s="317"/>
      <c r="Q537" s="317"/>
      <c r="R537" s="317"/>
      <c r="S537" s="317"/>
      <c r="T537" s="317"/>
      <c r="U537" s="317"/>
      <c r="V537" s="317"/>
      <c r="W537" s="317"/>
      <c r="X537" s="317"/>
      <c r="Y537" s="317"/>
      <c r="Z537" s="317"/>
      <c r="AA537" s="317"/>
      <c r="AB537" s="317"/>
      <c r="AC537" s="317"/>
    </row>
    <row r="538">
      <c r="A538" s="317"/>
      <c r="B538" s="381"/>
      <c r="C538" s="317"/>
      <c r="D538" s="381"/>
      <c r="E538" s="381"/>
      <c r="F538" s="381"/>
      <c r="G538" s="317"/>
      <c r="H538" s="317"/>
      <c r="I538" s="317"/>
      <c r="J538" s="317"/>
      <c r="K538" s="317"/>
      <c r="L538" s="317"/>
      <c r="M538" s="317"/>
      <c r="N538" s="317"/>
      <c r="O538" s="317"/>
      <c r="P538" s="317"/>
      <c r="Q538" s="317"/>
      <c r="R538" s="317"/>
      <c r="S538" s="317"/>
      <c r="T538" s="317"/>
      <c r="U538" s="317"/>
      <c r="V538" s="317"/>
      <c r="W538" s="317"/>
      <c r="X538" s="317"/>
      <c r="Y538" s="317"/>
      <c r="Z538" s="317"/>
      <c r="AA538" s="317"/>
      <c r="AB538" s="317"/>
      <c r="AC538" s="317"/>
    </row>
    <row r="539">
      <c r="A539" s="317"/>
      <c r="B539" s="381"/>
      <c r="C539" s="317"/>
      <c r="D539" s="381"/>
      <c r="E539" s="381"/>
      <c r="F539" s="381"/>
      <c r="G539" s="317"/>
      <c r="H539" s="317"/>
      <c r="I539" s="317"/>
      <c r="J539" s="317"/>
      <c r="K539" s="317"/>
      <c r="L539" s="317"/>
      <c r="M539" s="317"/>
      <c r="N539" s="317"/>
      <c r="O539" s="317"/>
      <c r="P539" s="317"/>
      <c r="Q539" s="317"/>
      <c r="R539" s="317"/>
      <c r="S539" s="317"/>
      <c r="T539" s="317"/>
      <c r="U539" s="317"/>
      <c r="V539" s="317"/>
      <c r="W539" s="317"/>
      <c r="X539" s="317"/>
      <c r="Y539" s="317"/>
      <c r="Z539" s="317"/>
      <c r="AA539" s="317"/>
      <c r="AB539" s="317"/>
      <c r="AC539" s="317"/>
    </row>
    <row r="540">
      <c r="A540" s="317"/>
      <c r="B540" s="381"/>
      <c r="C540" s="317"/>
      <c r="D540" s="381"/>
      <c r="E540" s="381"/>
      <c r="F540" s="381"/>
      <c r="G540" s="317"/>
      <c r="H540" s="317"/>
      <c r="I540" s="317"/>
      <c r="J540" s="317"/>
      <c r="K540" s="317"/>
      <c r="L540" s="317"/>
      <c r="M540" s="317"/>
      <c r="N540" s="317"/>
      <c r="O540" s="317"/>
      <c r="P540" s="317"/>
      <c r="Q540" s="317"/>
      <c r="R540" s="317"/>
      <c r="S540" s="317"/>
      <c r="T540" s="317"/>
      <c r="U540" s="317"/>
      <c r="V540" s="317"/>
      <c r="W540" s="317"/>
      <c r="X540" s="317"/>
      <c r="Y540" s="317"/>
      <c r="Z540" s="317"/>
      <c r="AA540" s="317"/>
      <c r="AB540" s="317"/>
      <c r="AC540" s="317"/>
    </row>
    <row r="541">
      <c r="A541" s="317"/>
      <c r="B541" s="381"/>
      <c r="C541" s="317"/>
      <c r="D541" s="381"/>
      <c r="E541" s="381"/>
      <c r="F541" s="381"/>
      <c r="G541" s="317"/>
      <c r="H541" s="317"/>
      <c r="I541" s="317"/>
      <c r="J541" s="317"/>
      <c r="K541" s="317"/>
      <c r="L541" s="317"/>
      <c r="M541" s="317"/>
      <c r="N541" s="317"/>
      <c r="O541" s="317"/>
      <c r="P541" s="317"/>
      <c r="Q541" s="317"/>
      <c r="R541" s="317"/>
      <c r="S541" s="317"/>
      <c r="T541" s="317"/>
      <c r="U541" s="317"/>
      <c r="V541" s="317"/>
      <c r="W541" s="317"/>
      <c r="X541" s="317"/>
      <c r="Y541" s="317"/>
      <c r="Z541" s="317"/>
      <c r="AA541" s="317"/>
      <c r="AB541" s="317"/>
      <c r="AC541" s="317"/>
    </row>
    <row r="542">
      <c r="A542" s="317"/>
      <c r="B542" s="381"/>
      <c r="C542" s="317"/>
      <c r="D542" s="381"/>
      <c r="E542" s="381"/>
      <c r="F542" s="381"/>
      <c r="G542" s="317"/>
      <c r="H542" s="317"/>
      <c r="I542" s="317"/>
      <c r="J542" s="317"/>
      <c r="K542" s="317"/>
      <c r="L542" s="317"/>
      <c r="M542" s="317"/>
      <c r="N542" s="317"/>
      <c r="O542" s="317"/>
      <c r="P542" s="317"/>
      <c r="Q542" s="317"/>
      <c r="R542" s="317"/>
      <c r="S542" s="317"/>
      <c r="T542" s="317"/>
      <c r="U542" s="317"/>
      <c r="V542" s="317"/>
      <c r="W542" s="317"/>
      <c r="X542" s="317"/>
      <c r="Y542" s="317"/>
      <c r="Z542" s="317"/>
      <c r="AA542" s="317"/>
      <c r="AB542" s="317"/>
      <c r="AC542" s="317"/>
    </row>
    <row r="543">
      <c r="A543" s="317"/>
      <c r="B543" s="381"/>
      <c r="C543" s="317"/>
      <c r="D543" s="381"/>
      <c r="E543" s="381"/>
      <c r="F543" s="381"/>
      <c r="G543" s="317"/>
      <c r="H543" s="317"/>
      <c r="I543" s="317"/>
      <c r="J543" s="317"/>
      <c r="K543" s="317"/>
      <c r="L543" s="317"/>
      <c r="M543" s="317"/>
      <c r="N543" s="317"/>
      <c r="O543" s="317"/>
      <c r="P543" s="317"/>
      <c r="Q543" s="317"/>
      <c r="R543" s="317"/>
      <c r="S543" s="317"/>
      <c r="T543" s="317"/>
      <c r="U543" s="317"/>
      <c r="V543" s="317"/>
      <c r="W543" s="317"/>
      <c r="X543" s="317"/>
      <c r="Y543" s="317"/>
      <c r="Z543" s="317"/>
      <c r="AA543" s="317"/>
      <c r="AB543" s="317"/>
      <c r="AC543" s="317"/>
    </row>
    <row r="544">
      <c r="A544" s="317"/>
      <c r="B544" s="381"/>
      <c r="C544" s="317"/>
      <c r="D544" s="381"/>
      <c r="E544" s="381"/>
      <c r="F544" s="381"/>
      <c r="G544" s="317"/>
      <c r="H544" s="317"/>
      <c r="I544" s="317"/>
      <c r="J544" s="317"/>
      <c r="K544" s="317"/>
      <c r="L544" s="317"/>
      <c r="M544" s="317"/>
      <c r="N544" s="317"/>
      <c r="O544" s="317"/>
      <c r="P544" s="317"/>
      <c r="Q544" s="317"/>
      <c r="R544" s="317"/>
      <c r="S544" s="317"/>
      <c r="T544" s="317"/>
      <c r="U544" s="317"/>
      <c r="V544" s="317"/>
      <c r="W544" s="317"/>
      <c r="X544" s="317"/>
      <c r="Y544" s="317"/>
      <c r="Z544" s="317"/>
      <c r="AA544" s="317"/>
      <c r="AB544" s="317"/>
      <c r="AC544" s="317"/>
    </row>
    <row r="545">
      <c r="A545" s="317"/>
      <c r="B545" s="381"/>
      <c r="C545" s="317"/>
      <c r="D545" s="381"/>
      <c r="E545" s="381"/>
      <c r="F545" s="381"/>
      <c r="G545" s="317"/>
      <c r="H545" s="317"/>
      <c r="I545" s="317"/>
      <c r="J545" s="317"/>
      <c r="K545" s="317"/>
      <c r="L545" s="317"/>
      <c r="M545" s="317"/>
      <c r="N545" s="317"/>
      <c r="O545" s="317"/>
      <c r="P545" s="317"/>
      <c r="Q545" s="317"/>
      <c r="R545" s="317"/>
      <c r="S545" s="317"/>
      <c r="T545" s="317"/>
      <c r="U545" s="317"/>
      <c r="V545" s="317"/>
      <c r="W545" s="317"/>
      <c r="X545" s="317"/>
      <c r="Y545" s="317"/>
      <c r="Z545" s="317"/>
      <c r="AA545" s="317"/>
      <c r="AB545" s="317"/>
      <c r="AC545" s="317"/>
    </row>
    <row r="546">
      <c r="A546" s="317"/>
      <c r="B546" s="381"/>
      <c r="C546" s="317"/>
      <c r="D546" s="381"/>
      <c r="E546" s="381"/>
      <c r="F546" s="381"/>
      <c r="G546" s="317"/>
      <c r="H546" s="317"/>
      <c r="I546" s="317"/>
      <c r="J546" s="317"/>
      <c r="K546" s="317"/>
      <c r="L546" s="317"/>
      <c r="M546" s="317"/>
      <c r="N546" s="317"/>
      <c r="O546" s="317"/>
      <c r="P546" s="317"/>
      <c r="Q546" s="317"/>
      <c r="R546" s="317"/>
      <c r="S546" s="317"/>
      <c r="T546" s="317"/>
      <c r="U546" s="317"/>
      <c r="V546" s="317"/>
      <c r="W546" s="317"/>
      <c r="X546" s="317"/>
      <c r="Y546" s="317"/>
      <c r="Z546" s="317"/>
      <c r="AA546" s="317"/>
      <c r="AB546" s="317"/>
      <c r="AC546" s="317"/>
    </row>
    <row r="547">
      <c r="A547" s="317"/>
      <c r="B547" s="381"/>
      <c r="C547" s="317"/>
      <c r="D547" s="381"/>
      <c r="E547" s="381"/>
      <c r="F547" s="381"/>
      <c r="G547" s="317"/>
      <c r="H547" s="317"/>
      <c r="I547" s="317"/>
      <c r="J547" s="317"/>
      <c r="K547" s="317"/>
      <c r="L547" s="317"/>
      <c r="M547" s="317"/>
      <c r="N547" s="317"/>
      <c r="O547" s="317"/>
      <c r="P547" s="317"/>
      <c r="Q547" s="317"/>
      <c r="R547" s="317"/>
      <c r="S547" s="317"/>
      <c r="T547" s="317"/>
      <c r="U547" s="317"/>
      <c r="V547" s="317"/>
      <c r="W547" s="317"/>
      <c r="X547" s="317"/>
      <c r="Y547" s="317"/>
      <c r="Z547" s="317"/>
      <c r="AA547" s="317"/>
      <c r="AB547" s="317"/>
      <c r="AC547" s="317"/>
    </row>
    <row r="548">
      <c r="A548" s="317"/>
      <c r="B548" s="381"/>
      <c r="C548" s="317"/>
      <c r="D548" s="381"/>
      <c r="E548" s="381"/>
      <c r="F548" s="381"/>
      <c r="G548" s="317"/>
      <c r="H548" s="317"/>
      <c r="I548" s="317"/>
      <c r="J548" s="317"/>
      <c r="K548" s="317"/>
      <c r="L548" s="317"/>
      <c r="M548" s="317"/>
      <c r="N548" s="317"/>
      <c r="O548" s="317"/>
      <c r="P548" s="317"/>
      <c r="Q548" s="317"/>
      <c r="R548" s="317"/>
      <c r="S548" s="317"/>
      <c r="T548" s="317"/>
      <c r="U548" s="317"/>
      <c r="V548" s="317"/>
      <c r="W548" s="317"/>
      <c r="X548" s="317"/>
      <c r="Y548" s="317"/>
      <c r="Z548" s="317"/>
      <c r="AA548" s="317"/>
      <c r="AB548" s="317"/>
      <c r="AC548" s="317"/>
    </row>
    <row r="549">
      <c r="A549" s="317"/>
      <c r="B549" s="381"/>
      <c r="C549" s="317"/>
      <c r="D549" s="381"/>
      <c r="E549" s="381"/>
      <c r="F549" s="381"/>
      <c r="G549" s="317"/>
      <c r="H549" s="317"/>
      <c r="I549" s="317"/>
      <c r="J549" s="317"/>
      <c r="K549" s="317"/>
      <c r="L549" s="317"/>
      <c r="M549" s="317"/>
      <c r="N549" s="317"/>
      <c r="O549" s="317"/>
      <c r="P549" s="317"/>
      <c r="Q549" s="317"/>
      <c r="R549" s="317"/>
      <c r="S549" s="317"/>
      <c r="T549" s="317"/>
      <c r="U549" s="317"/>
      <c r="V549" s="317"/>
      <c r="W549" s="317"/>
      <c r="X549" s="317"/>
      <c r="Y549" s="317"/>
      <c r="Z549" s="317"/>
      <c r="AA549" s="317"/>
      <c r="AB549" s="317"/>
      <c r="AC549" s="317"/>
    </row>
    <row r="550">
      <c r="A550" s="317"/>
      <c r="B550" s="381"/>
      <c r="C550" s="317"/>
      <c r="D550" s="381"/>
      <c r="E550" s="381"/>
      <c r="F550" s="381"/>
      <c r="G550" s="317"/>
      <c r="H550" s="317"/>
      <c r="I550" s="317"/>
      <c r="J550" s="317"/>
      <c r="K550" s="317"/>
      <c r="L550" s="317"/>
      <c r="M550" s="317"/>
      <c r="N550" s="317"/>
      <c r="O550" s="317"/>
      <c r="P550" s="317"/>
      <c r="Q550" s="317"/>
      <c r="R550" s="317"/>
      <c r="S550" s="317"/>
      <c r="T550" s="317"/>
      <c r="U550" s="317"/>
      <c r="V550" s="317"/>
      <c r="W550" s="317"/>
      <c r="X550" s="317"/>
      <c r="Y550" s="317"/>
      <c r="Z550" s="317"/>
      <c r="AA550" s="317"/>
      <c r="AB550" s="317"/>
      <c r="AC550" s="317"/>
    </row>
    <row r="551">
      <c r="A551" s="317"/>
      <c r="B551" s="381"/>
      <c r="C551" s="317"/>
      <c r="D551" s="381"/>
      <c r="E551" s="381"/>
      <c r="F551" s="381"/>
      <c r="G551" s="317"/>
      <c r="H551" s="317"/>
      <c r="I551" s="317"/>
      <c r="J551" s="317"/>
      <c r="K551" s="317"/>
      <c r="L551" s="317"/>
      <c r="M551" s="317"/>
      <c r="N551" s="317"/>
      <c r="O551" s="317"/>
      <c r="P551" s="317"/>
      <c r="Q551" s="317"/>
      <c r="R551" s="317"/>
      <c r="S551" s="317"/>
      <c r="T551" s="317"/>
      <c r="U551" s="317"/>
      <c r="V551" s="317"/>
      <c r="W551" s="317"/>
      <c r="X551" s="317"/>
      <c r="Y551" s="317"/>
      <c r="Z551" s="317"/>
      <c r="AA551" s="317"/>
      <c r="AB551" s="317"/>
      <c r="AC551" s="317"/>
    </row>
    <row r="552">
      <c r="A552" s="317"/>
      <c r="B552" s="381"/>
      <c r="C552" s="317"/>
      <c r="D552" s="381"/>
      <c r="E552" s="381"/>
      <c r="F552" s="381"/>
      <c r="G552" s="317"/>
      <c r="H552" s="317"/>
      <c r="I552" s="317"/>
      <c r="J552" s="317"/>
      <c r="K552" s="317"/>
      <c r="L552" s="317"/>
      <c r="M552" s="317"/>
      <c r="N552" s="317"/>
      <c r="O552" s="317"/>
      <c r="P552" s="317"/>
      <c r="Q552" s="317"/>
      <c r="R552" s="317"/>
      <c r="S552" s="317"/>
      <c r="T552" s="317"/>
      <c r="U552" s="317"/>
      <c r="V552" s="317"/>
      <c r="W552" s="317"/>
      <c r="X552" s="317"/>
      <c r="Y552" s="317"/>
      <c r="Z552" s="317"/>
      <c r="AA552" s="317"/>
      <c r="AB552" s="317"/>
      <c r="AC552" s="317"/>
    </row>
    <row r="553">
      <c r="A553" s="317"/>
      <c r="B553" s="381"/>
      <c r="C553" s="317"/>
      <c r="D553" s="381"/>
      <c r="E553" s="381"/>
      <c r="F553" s="381"/>
      <c r="G553" s="317"/>
      <c r="H553" s="317"/>
      <c r="I553" s="317"/>
      <c r="J553" s="317"/>
      <c r="K553" s="317"/>
      <c r="L553" s="317"/>
      <c r="M553" s="317"/>
      <c r="N553" s="317"/>
      <c r="O553" s="317"/>
      <c r="P553" s="317"/>
      <c r="Q553" s="317"/>
      <c r="R553" s="317"/>
      <c r="S553" s="317"/>
      <c r="T553" s="317"/>
      <c r="U553" s="317"/>
      <c r="V553" s="317"/>
      <c r="W553" s="317"/>
      <c r="X553" s="317"/>
      <c r="Y553" s="317"/>
      <c r="Z553" s="317"/>
      <c r="AA553" s="317"/>
      <c r="AB553" s="317"/>
      <c r="AC553" s="317"/>
    </row>
    <row r="554">
      <c r="A554" s="317"/>
      <c r="B554" s="381"/>
      <c r="C554" s="317"/>
      <c r="D554" s="381"/>
      <c r="E554" s="381"/>
      <c r="F554" s="381"/>
      <c r="G554" s="317"/>
      <c r="H554" s="317"/>
      <c r="I554" s="317"/>
      <c r="J554" s="317"/>
      <c r="K554" s="317"/>
      <c r="L554" s="317"/>
      <c r="M554" s="317"/>
      <c r="N554" s="317"/>
      <c r="O554" s="317"/>
      <c r="P554" s="317"/>
      <c r="Q554" s="317"/>
      <c r="R554" s="317"/>
      <c r="S554" s="317"/>
      <c r="T554" s="317"/>
      <c r="U554" s="317"/>
      <c r="V554" s="317"/>
      <c r="W554" s="317"/>
      <c r="X554" s="317"/>
      <c r="Y554" s="317"/>
      <c r="Z554" s="317"/>
      <c r="AA554" s="317"/>
      <c r="AB554" s="317"/>
      <c r="AC554" s="317"/>
    </row>
    <row r="555">
      <c r="A555" s="317"/>
      <c r="B555" s="381"/>
      <c r="C555" s="317"/>
      <c r="D555" s="381"/>
      <c r="E555" s="381"/>
      <c r="F555" s="381"/>
      <c r="G555" s="317"/>
      <c r="H555" s="317"/>
      <c r="I555" s="317"/>
      <c r="J555" s="317"/>
      <c r="K555" s="317"/>
      <c r="L555" s="317"/>
      <c r="M555" s="317"/>
      <c r="N555" s="317"/>
      <c r="O555" s="317"/>
      <c r="P555" s="317"/>
      <c r="Q555" s="317"/>
      <c r="R555" s="317"/>
      <c r="S555" s="317"/>
      <c r="T555" s="317"/>
      <c r="U555" s="317"/>
      <c r="V555" s="317"/>
      <c r="W555" s="317"/>
      <c r="X555" s="317"/>
      <c r="Y555" s="317"/>
      <c r="Z555" s="317"/>
      <c r="AA555" s="317"/>
      <c r="AB555" s="317"/>
      <c r="AC555" s="317"/>
    </row>
    <row r="556">
      <c r="A556" s="317"/>
      <c r="B556" s="381"/>
      <c r="C556" s="317"/>
      <c r="D556" s="381"/>
      <c r="E556" s="381"/>
      <c r="F556" s="381"/>
      <c r="G556" s="317"/>
      <c r="H556" s="317"/>
      <c r="I556" s="317"/>
      <c r="J556" s="317"/>
      <c r="K556" s="317"/>
      <c r="L556" s="317"/>
      <c r="M556" s="317"/>
      <c r="N556" s="317"/>
      <c r="O556" s="317"/>
      <c r="P556" s="317"/>
      <c r="Q556" s="317"/>
      <c r="R556" s="317"/>
      <c r="S556" s="317"/>
      <c r="T556" s="317"/>
      <c r="U556" s="317"/>
      <c r="V556" s="317"/>
      <c r="W556" s="317"/>
      <c r="X556" s="317"/>
      <c r="Y556" s="317"/>
      <c r="Z556" s="317"/>
      <c r="AA556" s="317"/>
      <c r="AB556" s="317"/>
      <c r="AC556" s="317"/>
    </row>
    <row r="557">
      <c r="A557" s="317"/>
      <c r="B557" s="381"/>
      <c r="C557" s="317"/>
      <c r="D557" s="381"/>
      <c r="E557" s="381"/>
      <c r="F557" s="381"/>
      <c r="G557" s="317"/>
      <c r="H557" s="317"/>
      <c r="I557" s="317"/>
      <c r="J557" s="317"/>
      <c r="K557" s="317"/>
      <c r="L557" s="317"/>
      <c r="M557" s="317"/>
      <c r="N557" s="317"/>
      <c r="O557" s="317"/>
      <c r="P557" s="317"/>
      <c r="Q557" s="317"/>
      <c r="R557" s="317"/>
      <c r="S557" s="317"/>
      <c r="T557" s="317"/>
      <c r="U557" s="317"/>
      <c r="V557" s="317"/>
      <c r="W557" s="317"/>
      <c r="X557" s="317"/>
      <c r="Y557" s="317"/>
      <c r="Z557" s="317"/>
      <c r="AA557" s="317"/>
      <c r="AB557" s="317"/>
      <c r="AC557" s="317"/>
    </row>
    <row r="558">
      <c r="A558" s="317"/>
      <c r="B558" s="381"/>
      <c r="C558" s="317"/>
      <c r="D558" s="381"/>
      <c r="E558" s="381"/>
      <c r="F558" s="381"/>
      <c r="G558" s="317"/>
      <c r="H558" s="317"/>
      <c r="I558" s="317"/>
      <c r="J558" s="317"/>
      <c r="K558" s="317"/>
      <c r="L558" s="317"/>
      <c r="M558" s="317"/>
      <c r="N558" s="317"/>
      <c r="O558" s="317"/>
      <c r="P558" s="317"/>
      <c r="Q558" s="317"/>
      <c r="R558" s="317"/>
      <c r="S558" s="317"/>
      <c r="T558" s="317"/>
      <c r="U558" s="317"/>
      <c r="V558" s="317"/>
      <c r="W558" s="317"/>
      <c r="X558" s="317"/>
      <c r="Y558" s="317"/>
      <c r="Z558" s="317"/>
      <c r="AA558" s="317"/>
      <c r="AB558" s="317"/>
      <c r="AC558" s="317"/>
    </row>
    <row r="559">
      <c r="A559" s="317"/>
      <c r="B559" s="381"/>
      <c r="C559" s="317"/>
      <c r="D559" s="381"/>
      <c r="E559" s="381"/>
      <c r="F559" s="381"/>
      <c r="G559" s="317"/>
      <c r="H559" s="317"/>
      <c r="I559" s="317"/>
      <c r="J559" s="317"/>
      <c r="K559" s="317"/>
      <c r="L559" s="317"/>
      <c r="M559" s="317"/>
      <c r="N559" s="317"/>
      <c r="O559" s="317"/>
      <c r="P559" s="317"/>
      <c r="Q559" s="317"/>
      <c r="R559" s="317"/>
      <c r="S559" s="317"/>
      <c r="T559" s="317"/>
      <c r="U559" s="317"/>
      <c r="V559" s="317"/>
      <c r="W559" s="317"/>
      <c r="X559" s="317"/>
      <c r="Y559" s="317"/>
      <c r="Z559" s="317"/>
      <c r="AA559" s="317"/>
      <c r="AB559" s="317"/>
      <c r="AC559" s="317"/>
    </row>
    <row r="560">
      <c r="A560" s="317"/>
      <c r="B560" s="381"/>
      <c r="C560" s="317"/>
      <c r="D560" s="381"/>
      <c r="E560" s="381"/>
      <c r="F560" s="381"/>
      <c r="G560" s="317"/>
      <c r="H560" s="317"/>
      <c r="I560" s="317"/>
      <c r="J560" s="317"/>
      <c r="K560" s="317"/>
      <c r="L560" s="317"/>
      <c r="M560" s="317"/>
      <c r="N560" s="317"/>
      <c r="O560" s="317"/>
      <c r="P560" s="317"/>
      <c r="Q560" s="317"/>
      <c r="R560" s="317"/>
      <c r="S560" s="317"/>
      <c r="T560" s="317"/>
      <c r="U560" s="317"/>
      <c r="V560" s="317"/>
      <c r="W560" s="317"/>
      <c r="X560" s="317"/>
      <c r="Y560" s="317"/>
      <c r="Z560" s="317"/>
      <c r="AA560" s="317"/>
      <c r="AB560" s="317"/>
      <c r="AC560" s="317"/>
    </row>
    <row r="561">
      <c r="A561" s="317"/>
      <c r="B561" s="381"/>
      <c r="C561" s="317"/>
      <c r="D561" s="381"/>
      <c r="E561" s="381"/>
      <c r="F561" s="381"/>
      <c r="G561" s="317"/>
      <c r="H561" s="317"/>
      <c r="I561" s="317"/>
      <c r="J561" s="317"/>
      <c r="K561" s="317"/>
      <c r="L561" s="317"/>
      <c r="M561" s="317"/>
      <c r="N561" s="317"/>
      <c r="O561" s="317"/>
      <c r="P561" s="317"/>
      <c r="Q561" s="317"/>
      <c r="R561" s="317"/>
      <c r="S561" s="317"/>
      <c r="T561" s="317"/>
      <c r="U561" s="317"/>
      <c r="V561" s="317"/>
      <c r="W561" s="317"/>
      <c r="X561" s="317"/>
      <c r="Y561" s="317"/>
      <c r="Z561" s="317"/>
      <c r="AA561" s="317"/>
      <c r="AB561" s="317"/>
      <c r="AC561" s="317"/>
    </row>
    <row r="562">
      <c r="A562" s="317"/>
      <c r="B562" s="381"/>
      <c r="C562" s="317"/>
      <c r="D562" s="381"/>
      <c r="E562" s="381"/>
      <c r="F562" s="381"/>
      <c r="G562" s="317"/>
      <c r="H562" s="317"/>
      <c r="I562" s="317"/>
      <c r="J562" s="317"/>
      <c r="K562" s="317"/>
      <c r="L562" s="317"/>
      <c r="M562" s="317"/>
      <c r="N562" s="317"/>
      <c r="O562" s="317"/>
      <c r="P562" s="317"/>
      <c r="Q562" s="317"/>
      <c r="R562" s="317"/>
      <c r="S562" s="317"/>
      <c r="T562" s="317"/>
      <c r="U562" s="317"/>
      <c r="V562" s="317"/>
      <c r="W562" s="317"/>
      <c r="X562" s="317"/>
      <c r="Y562" s="317"/>
      <c r="Z562" s="317"/>
      <c r="AA562" s="317"/>
      <c r="AB562" s="317"/>
      <c r="AC562" s="317"/>
    </row>
    <row r="563">
      <c r="A563" s="317"/>
      <c r="B563" s="381"/>
      <c r="C563" s="317"/>
      <c r="D563" s="381"/>
      <c r="E563" s="381"/>
      <c r="F563" s="381"/>
      <c r="G563" s="317"/>
      <c r="H563" s="317"/>
      <c r="I563" s="317"/>
      <c r="J563" s="317"/>
      <c r="K563" s="317"/>
      <c r="L563" s="317"/>
      <c r="M563" s="317"/>
      <c r="N563" s="317"/>
      <c r="O563" s="317"/>
      <c r="P563" s="317"/>
      <c r="Q563" s="317"/>
      <c r="R563" s="317"/>
      <c r="S563" s="317"/>
      <c r="T563" s="317"/>
      <c r="U563" s="317"/>
      <c r="V563" s="317"/>
      <c r="W563" s="317"/>
      <c r="X563" s="317"/>
      <c r="Y563" s="317"/>
      <c r="Z563" s="317"/>
      <c r="AA563" s="317"/>
      <c r="AB563" s="317"/>
      <c r="AC563" s="317"/>
    </row>
    <row r="564">
      <c r="A564" s="317"/>
      <c r="B564" s="381"/>
      <c r="C564" s="317"/>
      <c r="D564" s="381"/>
      <c r="E564" s="381"/>
      <c r="F564" s="381"/>
      <c r="G564" s="317"/>
      <c r="H564" s="317"/>
      <c r="I564" s="317"/>
      <c r="J564" s="317"/>
      <c r="K564" s="317"/>
      <c r="L564" s="317"/>
      <c r="M564" s="317"/>
      <c r="N564" s="317"/>
      <c r="O564" s="317"/>
      <c r="P564" s="317"/>
      <c r="Q564" s="317"/>
      <c r="R564" s="317"/>
      <c r="S564" s="317"/>
      <c r="T564" s="317"/>
      <c r="U564" s="317"/>
      <c r="V564" s="317"/>
      <c r="W564" s="317"/>
      <c r="X564" s="317"/>
      <c r="Y564" s="317"/>
      <c r="Z564" s="317"/>
      <c r="AA564" s="317"/>
      <c r="AB564" s="317"/>
      <c r="AC564" s="317"/>
    </row>
    <row r="565">
      <c r="A565" s="317"/>
      <c r="B565" s="381"/>
      <c r="C565" s="317"/>
      <c r="D565" s="381"/>
      <c r="E565" s="381"/>
      <c r="F565" s="381"/>
      <c r="G565" s="317"/>
      <c r="H565" s="317"/>
      <c r="I565" s="317"/>
      <c r="J565" s="317"/>
      <c r="K565" s="317"/>
      <c r="L565" s="317"/>
      <c r="M565" s="317"/>
      <c r="N565" s="317"/>
      <c r="O565" s="317"/>
      <c r="P565" s="317"/>
      <c r="Q565" s="317"/>
      <c r="R565" s="317"/>
      <c r="S565" s="317"/>
      <c r="T565" s="317"/>
      <c r="U565" s="317"/>
      <c r="V565" s="317"/>
      <c r="W565" s="317"/>
      <c r="X565" s="317"/>
      <c r="Y565" s="317"/>
      <c r="Z565" s="317"/>
      <c r="AA565" s="317"/>
      <c r="AB565" s="317"/>
      <c r="AC565" s="317"/>
    </row>
    <row r="566">
      <c r="A566" s="317"/>
      <c r="B566" s="381"/>
      <c r="C566" s="317"/>
      <c r="D566" s="381"/>
      <c r="E566" s="381"/>
      <c r="F566" s="381"/>
      <c r="G566" s="317"/>
      <c r="H566" s="317"/>
      <c r="I566" s="317"/>
      <c r="J566" s="317"/>
      <c r="K566" s="317"/>
      <c r="L566" s="317"/>
      <c r="M566" s="317"/>
      <c r="N566" s="317"/>
      <c r="O566" s="317"/>
      <c r="P566" s="317"/>
      <c r="Q566" s="317"/>
      <c r="R566" s="317"/>
      <c r="S566" s="317"/>
      <c r="T566" s="317"/>
      <c r="U566" s="317"/>
      <c r="V566" s="317"/>
      <c r="W566" s="317"/>
      <c r="X566" s="317"/>
      <c r="Y566" s="317"/>
      <c r="Z566" s="317"/>
      <c r="AA566" s="317"/>
      <c r="AB566" s="317"/>
      <c r="AC566" s="317"/>
    </row>
    <row r="567">
      <c r="A567" s="317"/>
      <c r="B567" s="381"/>
      <c r="C567" s="317"/>
      <c r="D567" s="381"/>
      <c r="E567" s="381"/>
      <c r="F567" s="381"/>
      <c r="G567" s="317"/>
      <c r="H567" s="317"/>
      <c r="I567" s="317"/>
      <c r="J567" s="317"/>
      <c r="K567" s="317"/>
      <c r="L567" s="317"/>
      <c r="M567" s="317"/>
      <c r="N567" s="317"/>
      <c r="O567" s="317"/>
      <c r="P567" s="317"/>
      <c r="Q567" s="317"/>
      <c r="R567" s="317"/>
      <c r="S567" s="317"/>
      <c r="T567" s="317"/>
      <c r="U567" s="317"/>
      <c r="V567" s="317"/>
      <c r="W567" s="317"/>
      <c r="X567" s="317"/>
      <c r="Y567" s="317"/>
      <c r="Z567" s="317"/>
      <c r="AA567" s="317"/>
      <c r="AB567" s="317"/>
      <c r="AC567" s="317"/>
    </row>
    <row r="568">
      <c r="A568" s="317"/>
      <c r="B568" s="381"/>
      <c r="C568" s="317"/>
      <c r="D568" s="381"/>
      <c r="E568" s="381"/>
      <c r="F568" s="381"/>
      <c r="G568" s="317"/>
      <c r="H568" s="317"/>
      <c r="I568" s="317"/>
      <c r="J568" s="317"/>
      <c r="K568" s="317"/>
      <c r="L568" s="317"/>
      <c r="M568" s="317"/>
      <c r="N568" s="317"/>
      <c r="O568" s="317"/>
      <c r="P568" s="317"/>
      <c r="Q568" s="317"/>
      <c r="R568" s="317"/>
      <c r="S568" s="317"/>
      <c r="T568" s="317"/>
      <c r="U568" s="317"/>
      <c r="V568" s="317"/>
      <c r="W568" s="317"/>
      <c r="X568" s="317"/>
      <c r="Y568" s="317"/>
      <c r="Z568" s="317"/>
      <c r="AA568" s="317"/>
      <c r="AB568" s="317"/>
      <c r="AC568" s="317"/>
    </row>
    <row r="569">
      <c r="A569" s="317"/>
      <c r="B569" s="381"/>
      <c r="C569" s="317"/>
      <c r="D569" s="381"/>
      <c r="E569" s="381"/>
      <c r="F569" s="381"/>
      <c r="G569" s="317"/>
      <c r="H569" s="317"/>
      <c r="I569" s="317"/>
      <c r="J569" s="317"/>
      <c r="K569" s="317"/>
      <c r="L569" s="317"/>
      <c r="M569" s="317"/>
      <c r="N569" s="317"/>
      <c r="O569" s="317"/>
      <c r="P569" s="317"/>
      <c r="Q569" s="317"/>
      <c r="R569" s="317"/>
      <c r="S569" s="317"/>
      <c r="T569" s="317"/>
      <c r="U569" s="317"/>
      <c r="V569" s="317"/>
      <c r="W569" s="317"/>
      <c r="X569" s="317"/>
      <c r="Y569" s="317"/>
      <c r="Z569" s="317"/>
      <c r="AA569" s="317"/>
      <c r="AB569" s="317"/>
      <c r="AC569" s="317"/>
    </row>
    <row r="570">
      <c r="A570" s="317"/>
      <c r="B570" s="381"/>
      <c r="C570" s="317"/>
      <c r="D570" s="381"/>
      <c r="E570" s="381"/>
      <c r="F570" s="381"/>
      <c r="G570" s="317"/>
      <c r="H570" s="317"/>
      <c r="I570" s="317"/>
      <c r="J570" s="317"/>
      <c r="K570" s="317"/>
      <c r="L570" s="317"/>
      <c r="M570" s="317"/>
      <c r="N570" s="317"/>
      <c r="O570" s="317"/>
      <c r="P570" s="317"/>
      <c r="Q570" s="317"/>
      <c r="R570" s="317"/>
      <c r="S570" s="317"/>
      <c r="T570" s="317"/>
      <c r="U570" s="317"/>
      <c r="V570" s="317"/>
      <c r="W570" s="317"/>
      <c r="X570" s="317"/>
      <c r="Y570" s="317"/>
      <c r="Z570" s="317"/>
      <c r="AA570" s="317"/>
      <c r="AB570" s="317"/>
      <c r="AC570" s="317"/>
    </row>
    <row r="571">
      <c r="A571" s="317"/>
      <c r="B571" s="381"/>
      <c r="C571" s="317"/>
      <c r="D571" s="381"/>
      <c r="E571" s="381"/>
      <c r="F571" s="381"/>
      <c r="G571" s="317"/>
      <c r="H571" s="317"/>
      <c r="I571" s="317"/>
      <c r="J571" s="317"/>
      <c r="K571" s="317"/>
      <c r="L571" s="317"/>
      <c r="M571" s="317"/>
      <c r="N571" s="317"/>
      <c r="O571" s="317"/>
      <c r="P571" s="317"/>
      <c r="Q571" s="317"/>
      <c r="R571" s="317"/>
      <c r="S571" s="317"/>
      <c r="T571" s="317"/>
      <c r="U571" s="317"/>
      <c r="V571" s="317"/>
      <c r="W571" s="317"/>
      <c r="X571" s="317"/>
      <c r="Y571" s="317"/>
      <c r="Z571" s="317"/>
      <c r="AA571" s="317"/>
      <c r="AB571" s="317"/>
      <c r="AC571" s="317"/>
    </row>
    <row r="572">
      <c r="A572" s="317"/>
      <c r="B572" s="381"/>
      <c r="C572" s="317"/>
      <c r="D572" s="381"/>
      <c r="E572" s="381"/>
      <c r="F572" s="381"/>
      <c r="G572" s="317"/>
      <c r="H572" s="317"/>
      <c r="I572" s="317"/>
      <c r="J572" s="317"/>
      <c r="K572" s="317"/>
      <c r="L572" s="317"/>
      <c r="M572" s="317"/>
      <c r="N572" s="317"/>
      <c r="O572" s="317"/>
      <c r="P572" s="317"/>
      <c r="Q572" s="317"/>
      <c r="R572" s="317"/>
      <c r="S572" s="317"/>
      <c r="T572" s="317"/>
      <c r="U572" s="317"/>
      <c r="V572" s="317"/>
      <c r="W572" s="317"/>
      <c r="X572" s="317"/>
      <c r="Y572" s="317"/>
      <c r="Z572" s="317"/>
      <c r="AA572" s="317"/>
      <c r="AB572" s="317"/>
      <c r="AC572" s="317"/>
    </row>
    <row r="573">
      <c r="A573" s="317"/>
      <c r="B573" s="381"/>
      <c r="C573" s="317"/>
      <c r="D573" s="381"/>
      <c r="E573" s="381"/>
      <c r="F573" s="381"/>
      <c r="G573" s="317"/>
      <c r="H573" s="317"/>
      <c r="I573" s="317"/>
      <c r="J573" s="317"/>
      <c r="K573" s="317"/>
      <c r="L573" s="317"/>
      <c r="M573" s="317"/>
      <c r="N573" s="317"/>
      <c r="O573" s="317"/>
      <c r="P573" s="317"/>
      <c r="Q573" s="317"/>
      <c r="R573" s="317"/>
      <c r="S573" s="317"/>
      <c r="T573" s="317"/>
      <c r="U573" s="317"/>
      <c r="V573" s="317"/>
      <c r="W573" s="317"/>
      <c r="X573" s="317"/>
      <c r="Y573" s="317"/>
      <c r="Z573" s="317"/>
      <c r="AA573" s="317"/>
      <c r="AB573" s="317"/>
      <c r="AC573" s="317"/>
    </row>
    <row r="574">
      <c r="A574" s="317"/>
      <c r="B574" s="381"/>
      <c r="C574" s="317"/>
      <c r="D574" s="381"/>
      <c r="E574" s="381"/>
      <c r="F574" s="381"/>
      <c r="G574" s="317"/>
      <c r="H574" s="317"/>
      <c r="I574" s="317"/>
      <c r="J574" s="317"/>
      <c r="K574" s="317"/>
      <c r="L574" s="317"/>
      <c r="M574" s="317"/>
      <c r="N574" s="317"/>
      <c r="O574" s="317"/>
      <c r="P574" s="317"/>
      <c r="Q574" s="317"/>
      <c r="R574" s="317"/>
      <c r="S574" s="317"/>
      <c r="T574" s="317"/>
      <c r="U574" s="317"/>
      <c r="V574" s="317"/>
      <c r="W574" s="317"/>
      <c r="X574" s="317"/>
      <c r="Y574" s="317"/>
      <c r="Z574" s="317"/>
      <c r="AA574" s="317"/>
      <c r="AB574" s="317"/>
      <c r="AC574" s="317"/>
    </row>
    <row r="575">
      <c r="A575" s="317"/>
      <c r="B575" s="381"/>
      <c r="C575" s="317"/>
      <c r="D575" s="381"/>
      <c r="E575" s="381"/>
      <c r="F575" s="381"/>
      <c r="G575" s="317"/>
      <c r="H575" s="317"/>
      <c r="I575" s="317"/>
      <c r="J575" s="317"/>
      <c r="K575" s="317"/>
      <c r="L575" s="317"/>
      <c r="M575" s="317"/>
      <c r="N575" s="317"/>
      <c r="O575" s="317"/>
      <c r="P575" s="317"/>
      <c r="Q575" s="317"/>
      <c r="R575" s="317"/>
      <c r="S575" s="317"/>
      <c r="T575" s="317"/>
      <c r="U575" s="317"/>
      <c r="V575" s="317"/>
      <c r="W575" s="317"/>
      <c r="X575" s="317"/>
      <c r="Y575" s="317"/>
      <c r="Z575" s="317"/>
      <c r="AA575" s="317"/>
      <c r="AB575" s="317"/>
      <c r="AC575" s="317"/>
    </row>
    <row r="576">
      <c r="A576" s="317"/>
      <c r="B576" s="381"/>
      <c r="C576" s="317"/>
      <c r="D576" s="381"/>
      <c r="E576" s="381"/>
      <c r="F576" s="381"/>
      <c r="G576" s="317"/>
      <c r="H576" s="317"/>
      <c r="I576" s="317"/>
      <c r="J576" s="317"/>
      <c r="K576" s="317"/>
      <c r="L576" s="317"/>
      <c r="M576" s="317"/>
      <c r="N576" s="317"/>
      <c r="O576" s="317"/>
      <c r="P576" s="317"/>
      <c r="Q576" s="317"/>
      <c r="R576" s="317"/>
      <c r="S576" s="317"/>
      <c r="T576" s="317"/>
      <c r="U576" s="317"/>
      <c r="V576" s="317"/>
      <c r="W576" s="317"/>
      <c r="X576" s="317"/>
      <c r="Y576" s="317"/>
      <c r="Z576" s="317"/>
      <c r="AA576" s="317"/>
      <c r="AB576" s="317"/>
      <c r="AC576" s="317"/>
    </row>
    <row r="577">
      <c r="A577" s="317"/>
      <c r="B577" s="381"/>
      <c r="C577" s="317"/>
      <c r="D577" s="381"/>
      <c r="E577" s="381"/>
      <c r="F577" s="381"/>
      <c r="G577" s="317"/>
      <c r="H577" s="317"/>
      <c r="I577" s="317"/>
      <c r="J577" s="317"/>
      <c r="K577" s="317"/>
      <c r="L577" s="317"/>
      <c r="M577" s="317"/>
      <c r="N577" s="317"/>
      <c r="O577" s="317"/>
      <c r="P577" s="317"/>
      <c r="Q577" s="317"/>
      <c r="R577" s="317"/>
      <c r="S577" s="317"/>
      <c r="T577" s="317"/>
      <c r="U577" s="317"/>
      <c r="V577" s="317"/>
      <c r="W577" s="317"/>
      <c r="X577" s="317"/>
      <c r="Y577" s="317"/>
      <c r="Z577" s="317"/>
      <c r="AA577" s="317"/>
      <c r="AB577" s="317"/>
      <c r="AC577" s="317"/>
    </row>
    <row r="578">
      <c r="A578" s="317"/>
      <c r="B578" s="381"/>
      <c r="C578" s="317"/>
      <c r="D578" s="381"/>
      <c r="E578" s="381"/>
      <c r="F578" s="381"/>
      <c r="G578" s="317"/>
      <c r="H578" s="317"/>
      <c r="I578" s="317"/>
      <c r="J578" s="317"/>
      <c r="K578" s="317"/>
      <c r="L578" s="317"/>
      <c r="M578" s="317"/>
      <c r="N578" s="317"/>
      <c r="O578" s="317"/>
      <c r="P578" s="317"/>
      <c r="Q578" s="317"/>
      <c r="R578" s="317"/>
      <c r="S578" s="317"/>
      <c r="T578" s="317"/>
      <c r="U578" s="317"/>
      <c r="V578" s="317"/>
      <c r="W578" s="317"/>
      <c r="X578" s="317"/>
      <c r="Y578" s="317"/>
      <c r="Z578" s="317"/>
      <c r="AA578" s="317"/>
      <c r="AB578" s="317"/>
      <c r="AC578" s="317"/>
    </row>
    <row r="579">
      <c r="A579" s="317"/>
      <c r="B579" s="381"/>
      <c r="C579" s="317"/>
      <c r="D579" s="381"/>
      <c r="E579" s="381"/>
      <c r="F579" s="381"/>
      <c r="G579" s="317"/>
      <c r="H579" s="317"/>
      <c r="I579" s="317"/>
      <c r="J579" s="317"/>
      <c r="K579" s="317"/>
      <c r="L579" s="317"/>
      <c r="M579" s="317"/>
      <c r="N579" s="317"/>
      <c r="O579" s="317"/>
      <c r="P579" s="317"/>
      <c r="Q579" s="317"/>
      <c r="R579" s="317"/>
      <c r="S579" s="317"/>
      <c r="T579" s="317"/>
      <c r="U579" s="317"/>
      <c r="V579" s="317"/>
      <c r="W579" s="317"/>
      <c r="X579" s="317"/>
      <c r="Y579" s="317"/>
      <c r="Z579" s="317"/>
      <c r="AA579" s="317"/>
      <c r="AB579" s="317"/>
      <c r="AC579" s="317"/>
    </row>
    <row r="580">
      <c r="A580" s="317"/>
      <c r="B580" s="381"/>
      <c r="C580" s="317"/>
      <c r="D580" s="381"/>
      <c r="E580" s="381"/>
      <c r="F580" s="381"/>
      <c r="G580" s="317"/>
      <c r="H580" s="317"/>
      <c r="I580" s="317"/>
      <c r="J580" s="317"/>
      <c r="K580" s="317"/>
      <c r="L580" s="317"/>
      <c r="M580" s="317"/>
      <c r="N580" s="317"/>
      <c r="O580" s="317"/>
      <c r="P580" s="317"/>
      <c r="Q580" s="317"/>
      <c r="R580" s="317"/>
      <c r="S580" s="317"/>
      <c r="T580" s="317"/>
      <c r="U580" s="317"/>
      <c r="V580" s="317"/>
      <c r="W580" s="317"/>
      <c r="X580" s="317"/>
      <c r="Y580" s="317"/>
      <c r="Z580" s="317"/>
      <c r="AA580" s="317"/>
      <c r="AB580" s="317"/>
      <c r="AC580" s="317"/>
    </row>
    <row r="581">
      <c r="A581" s="317"/>
      <c r="B581" s="381"/>
      <c r="C581" s="317"/>
      <c r="D581" s="381"/>
      <c r="E581" s="381"/>
      <c r="F581" s="381"/>
      <c r="G581" s="317"/>
      <c r="H581" s="317"/>
      <c r="I581" s="317"/>
      <c r="J581" s="317"/>
      <c r="K581" s="317"/>
      <c r="L581" s="317"/>
      <c r="M581" s="317"/>
      <c r="N581" s="317"/>
      <c r="O581" s="317"/>
      <c r="P581" s="317"/>
      <c r="Q581" s="317"/>
      <c r="R581" s="317"/>
      <c r="S581" s="317"/>
      <c r="T581" s="317"/>
      <c r="U581" s="317"/>
      <c r="V581" s="317"/>
      <c r="W581" s="317"/>
      <c r="X581" s="317"/>
      <c r="Y581" s="317"/>
      <c r="Z581" s="317"/>
      <c r="AA581" s="317"/>
      <c r="AB581" s="317"/>
      <c r="AC581" s="317"/>
    </row>
    <row r="582">
      <c r="A582" s="317"/>
      <c r="B582" s="381"/>
      <c r="C582" s="317"/>
      <c r="D582" s="381"/>
      <c r="E582" s="381"/>
      <c r="F582" s="381"/>
      <c r="G582" s="317"/>
      <c r="H582" s="317"/>
      <c r="I582" s="317"/>
      <c r="J582" s="317"/>
      <c r="K582" s="317"/>
      <c r="L582" s="317"/>
      <c r="M582" s="317"/>
      <c r="N582" s="317"/>
      <c r="O582" s="317"/>
      <c r="P582" s="317"/>
      <c r="Q582" s="317"/>
      <c r="R582" s="317"/>
      <c r="S582" s="317"/>
      <c r="T582" s="317"/>
      <c r="U582" s="317"/>
      <c r="V582" s="317"/>
      <c r="W582" s="317"/>
      <c r="X582" s="317"/>
      <c r="Y582" s="317"/>
      <c r="Z582" s="317"/>
      <c r="AA582" s="317"/>
      <c r="AB582" s="317"/>
      <c r="AC582" s="317"/>
    </row>
    <row r="583">
      <c r="A583" s="317"/>
      <c r="B583" s="381"/>
      <c r="C583" s="317"/>
      <c r="D583" s="381"/>
      <c r="E583" s="381"/>
      <c r="F583" s="381"/>
      <c r="G583" s="317"/>
      <c r="H583" s="317"/>
      <c r="I583" s="317"/>
      <c r="J583" s="317"/>
      <c r="K583" s="317"/>
      <c r="L583" s="317"/>
      <c r="M583" s="317"/>
      <c r="N583" s="317"/>
      <c r="O583" s="317"/>
      <c r="P583" s="317"/>
      <c r="Q583" s="317"/>
      <c r="R583" s="317"/>
      <c r="S583" s="317"/>
      <c r="T583" s="317"/>
      <c r="U583" s="317"/>
      <c r="V583" s="317"/>
      <c r="W583" s="317"/>
      <c r="X583" s="317"/>
      <c r="Y583" s="317"/>
      <c r="Z583" s="317"/>
      <c r="AA583" s="317"/>
      <c r="AB583" s="317"/>
      <c r="AC583" s="317"/>
    </row>
    <row r="584">
      <c r="A584" s="317"/>
      <c r="B584" s="381"/>
      <c r="C584" s="317"/>
      <c r="D584" s="381"/>
      <c r="E584" s="381"/>
      <c r="F584" s="381"/>
      <c r="G584" s="317"/>
      <c r="H584" s="317"/>
      <c r="I584" s="317"/>
      <c r="J584" s="317"/>
      <c r="K584" s="317"/>
      <c r="L584" s="317"/>
      <c r="M584" s="317"/>
      <c r="N584" s="317"/>
      <c r="O584" s="317"/>
      <c r="P584" s="317"/>
      <c r="Q584" s="317"/>
      <c r="R584" s="317"/>
      <c r="S584" s="317"/>
      <c r="T584" s="317"/>
      <c r="U584" s="317"/>
      <c r="V584" s="317"/>
      <c r="W584" s="317"/>
      <c r="X584" s="317"/>
      <c r="Y584" s="317"/>
      <c r="Z584" s="317"/>
      <c r="AA584" s="317"/>
      <c r="AB584" s="317"/>
      <c r="AC584" s="317"/>
    </row>
    <row r="585">
      <c r="A585" s="317"/>
      <c r="B585" s="381"/>
      <c r="C585" s="317"/>
      <c r="D585" s="381"/>
      <c r="E585" s="381"/>
      <c r="F585" s="381"/>
      <c r="G585" s="317"/>
      <c r="H585" s="317"/>
      <c r="I585" s="317"/>
      <c r="J585" s="317"/>
      <c r="K585" s="317"/>
      <c r="L585" s="317"/>
      <c r="M585" s="317"/>
      <c r="N585" s="317"/>
      <c r="O585" s="317"/>
      <c r="P585" s="317"/>
      <c r="Q585" s="317"/>
      <c r="R585" s="317"/>
      <c r="S585" s="317"/>
      <c r="T585" s="317"/>
      <c r="U585" s="317"/>
      <c r="V585" s="317"/>
      <c r="W585" s="317"/>
      <c r="X585" s="317"/>
      <c r="Y585" s="317"/>
      <c r="Z585" s="317"/>
      <c r="AA585" s="317"/>
      <c r="AB585" s="317"/>
      <c r="AC585" s="317"/>
    </row>
    <row r="586">
      <c r="A586" s="317"/>
      <c r="B586" s="381"/>
      <c r="C586" s="317"/>
      <c r="D586" s="381"/>
      <c r="E586" s="381"/>
      <c r="F586" s="381"/>
      <c r="G586" s="317"/>
      <c r="H586" s="317"/>
      <c r="I586" s="317"/>
      <c r="J586" s="317"/>
      <c r="K586" s="317"/>
      <c r="L586" s="317"/>
      <c r="M586" s="317"/>
      <c r="N586" s="317"/>
      <c r="O586" s="317"/>
      <c r="P586" s="317"/>
      <c r="Q586" s="317"/>
      <c r="R586" s="317"/>
      <c r="S586" s="317"/>
      <c r="T586" s="317"/>
      <c r="U586" s="317"/>
      <c r="V586" s="317"/>
      <c r="W586" s="317"/>
      <c r="X586" s="317"/>
      <c r="Y586" s="317"/>
      <c r="Z586" s="317"/>
      <c r="AA586" s="317"/>
      <c r="AB586" s="317"/>
      <c r="AC586" s="317"/>
    </row>
    <row r="587">
      <c r="A587" s="317"/>
      <c r="B587" s="381"/>
      <c r="C587" s="317"/>
      <c r="D587" s="381"/>
      <c r="E587" s="381"/>
      <c r="F587" s="381"/>
      <c r="G587" s="317"/>
      <c r="H587" s="317"/>
      <c r="I587" s="317"/>
      <c r="J587" s="317"/>
      <c r="K587" s="317"/>
      <c r="L587" s="317"/>
      <c r="M587" s="317"/>
      <c r="N587" s="317"/>
      <c r="O587" s="317"/>
      <c r="P587" s="317"/>
      <c r="Q587" s="317"/>
      <c r="R587" s="317"/>
      <c r="S587" s="317"/>
      <c r="T587" s="317"/>
      <c r="U587" s="317"/>
      <c r="V587" s="317"/>
      <c r="W587" s="317"/>
      <c r="X587" s="317"/>
      <c r="Y587" s="317"/>
      <c r="Z587" s="317"/>
      <c r="AA587" s="317"/>
      <c r="AB587" s="317"/>
      <c r="AC587" s="317"/>
    </row>
    <row r="588">
      <c r="A588" s="317"/>
      <c r="B588" s="381"/>
      <c r="C588" s="317"/>
      <c r="D588" s="381"/>
      <c r="E588" s="381"/>
      <c r="F588" s="381"/>
      <c r="G588" s="317"/>
      <c r="H588" s="317"/>
      <c r="I588" s="317"/>
      <c r="J588" s="317"/>
      <c r="K588" s="317"/>
      <c r="L588" s="317"/>
      <c r="M588" s="317"/>
      <c r="N588" s="317"/>
      <c r="O588" s="317"/>
      <c r="P588" s="317"/>
      <c r="Q588" s="317"/>
      <c r="R588" s="317"/>
      <c r="S588" s="317"/>
      <c r="T588" s="317"/>
      <c r="U588" s="317"/>
      <c r="V588" s="317"/>
      <c r="W588" s="317"/>
      <c r="X588" s="317"/>
      <c r="Y588" s="317"/>
      <c r="Z588" s="317"/>
      <c r="AA588" s="317"/>
      <c r="AB588" s="317"/>
      <c r="AC588" s="317"/>
    </row>
    <row r="589">
      <c r="A589" s="317"/>
      <c r="B589" s="381"/>
      <c r="C589" s="317"/>
      <c r="D589" s="381"/>
      <c r="E589" s="381"/>
      <c r="F589" s="381"/>
      <c r="G589" s="317"/>
      <c r="H589" s="317"/>
      <c r="I589" s="317"/>
      <c r="J589" s="317"/>
      <c r="K589" s="317"/>
      <c r="L589" s="317"/>
      <c r="M589" s="317"/>
      <c r="N589" s="317"/>
      <c r="O589" s="317"/>
      <c r="P589" s="317"/>
      <c r="Q589" s="317"/>
      <c r="R589" s="317"/>
      <c r="S589" s="317"/>
      <c r="T589" s="317"/>
      <c r="U589" s="317"/>
      <c r="V589" s="317"/>
      <c r="W589" s="317"/>
      <c r="X589" s="317"/>
      <c r="Y589" s="317"/>
      <c r="Z589" s="317"/>
      <c r="AA589" s="317"/>
      <c r="AB589" s="317"/>
      <c r="AC589" s="317"/>
    </row>
    <row r="590">
      <c r="A590" s="317"/>
      <c r="B590" s="381"/>
      <c r="C590" s="317"/>
      <c r="D590" s="381"/>
      <c r="E590" s="381"/>
      <c r="F590" s="381"/>
      <c r="G590" s="317"/>
      <c r="H590" s="317"/>
      <c r="I590" s="317"/>
      <c r="J590" s="317"/>
      <c r="K590" s="317"/>
      <c r="L590" s="317"/>
      <c r="M590" s="317"/>
      <c r="N590" s="317"/>
      <c r="O590" s="317"/>
      <c r="P590" s="317"/>
      <c r="Q590" s="317"/>
      <c r="R590" s="317"/>
      <c r="S590" s="317"/>
      <c r="T590" s="317"/>
      <c r="U590" s="317"/>
      <c r="V590" s="317"/>
      <c r="W590" s="317"/>
      <c r="X590" s="317"/>
      <c r="Y590" s="317"/>
      <c r="Z590" s="317"/>
      <c r="AA590" s="317"/>
      <c r="AB590" s="317"/>
      <c r="AC590" s="317"/>
    </row>
    <row r="591">
      <c r="A591" s="317"/>
      <c r="B591" s="381"/>
      <c r="C591" s="317"/>
      <c r="D591" s="381"/>
      <c r="E591" s="381"/>
      <c r="F591" s="381"/>
      <c r="G591" s="317"/>
      <c r="H591" s="317"/>
      <c r="I591" s="317"/>
      <c r="J591" s="317"/>
      <c r="K591" s="317"/>
      <c r="L591" s="317"/>
      <c r="M591" s="317"/>
      <c r="N591" s="317"/>
      <c r="O591" s="317"/>
      <c r="P591" s="317"/>
      <c r="Q591" s="317"/>
      <c r="R591" s="317"/>
      <c r="S591" s="317"/>
      <c r="T591" s="317"/>
      <c r="U591" s="317"/>
      <c r="V591" s="317"/>
      <c r="W591" s="317"/>
      <c r="X591" s="317"/>
      <c r="Y591" s="317"/>
      <c r="Z591" s="317"/>
      <c r="AA591" s="317"/>
      <c r="AB591" s="317"/>
      <c r="AC591" s="317"/>
    </row>
    <row r="592">
      <c r="A592" s="317"/>
      <c r="B592" s="381"/>
      <c r="C592" s="317"/>
      <c r="D592" s="381"/>
      <c r="E592" s="381"/>
      <c r="F592" s="381"/>
      <c r="G592" s="317"/>
      <c r="H592" s="317"/>
      <c r="I592" s="317"/>
      <c r="J592" s="317"/>
      <c r="K592" s="317"/>
      <c r="L592" s="317"/>
      <c r="M592" s="317"/>
      <c r="N592" s="317"/>
      <c r="O592" s="317"/>
      <c r="P592" s="317"/>
      <c r="Q592" s="317"/>
      <c r="R592" s="317"/>
      <c r="S592" s="317"/>
      <c r="T592" s="317"/>
      <c r="U592" s="317"/>
      <c r="V592" s="317"/>
      <c r="W592" s="317"/>
      <c r="X592" s="317"/>
      <c r="Y592" s="317"/>
      <c r="Z592" s="317"/>
      <c r="AA592" s="317"/>
      <c r="AB592" s="317"/>
      <c r="AC592" s="317"/>
    </row>
    <row r="593">
      <c r="A593" s="317"/>
      <c r="B593" s="381"/>
      <c r="C593" s="317"/>
      <c r="D593" s="381"/>
      <c r="E593" s="381"/>
      <c r="F593" s="381"/>
      <c r="G593" s="317"/>
      <c r="H593" s="317"/>
      <c r="I593" s="317"/>
      <c r="J593" s="317"/>
      <c r="K593" s="317"/>
      <c r="L593" s="317"/>
      <c r="M593" s="317"/>
      <c r="N593" s="317"/>
      <c r="O593" s="317"/>
      <c r="P593" s="317"/>
      <c r="Q593" s="317"/>
      <c r="R593" s="317"/>
      <c r="S593" s="317"/>
      <c r="T593" s="317"/>
      <c r="U593" s="317"/>
      <c r="V593" s="317"/>
      <c r="W593" s="317"/>
      <c r="X593" s="317"/>
      <c r="Y593" s="317"/>
      <c r="Z593" s="317"/>
      <c r="AA593" s="317"/>
      <c r="AB593" s="317"/>
      <c r="AC593" s="317"/>
    </row>
    <row r="594">
      <c r="A594" s="317"/>
      <c r="B594" s="381"/>
      <c r="C594" s="317"/>
      <c r="D594" s="381"/>
      <c r="E594" s="381"/>
      <c r="F594" s="381"/>
      <c r="G594" s="317"/>
      <c r="H594" s="317"/>
      <c r="I594" s="317"/>
      <c r="J594" s="317"/>
      <c r="K594" s="317"/>
      <c r="L594" s="317"/>
      <c r="M594" s="317"/>
      <c r="N594" s="317"/>
      <c r="O594" s="317"/>
      <c r="P594" s="317"/>
      <c r="Q594" s="317"/>
      <c r="R594" s="317"/>
      <c r="S594" s="317"/>
      <c r="T594" s="317"/>
      <c r="U594" s="317"/>
      <c r="V594" s="317"/>
      <c r="W594" s="317"/>
      <c r="X594" s="317"/>
      <c r="Y594" s="317"/>
      <c r="Z594" s="317"/>
      <c r="AA594" s="317"/>
      <c r="AB594" s="317"/>
      <c r="AC594" s="317"/>
    </row>
    <row r="595">
      <c r="A595" s="317"/>
      <c r="B595" s="381"/>
      <c r="C595" s="317"/>
      <c r="D595" s="381"/>
      <c r="E595" s="381"/>
      <c r="F595" s="381"/>
      <c r="G595" s="317"/>
      <c r="H595" s="317"/>
      <c r="I595" s="317"/>
      <c r="J595" s="317"/>
      <c r="K595" s="317"/>
      <c r="L595" s="317"/>
      <c r="M595" s="317"/>
      <c r="N595" s="317"/>
      <c r="O595" s="317"/>
      <c r="P595" s="317"/>
      <c r="Q595" s="317"/>
      <c r="R595" s="317"/>
      <c r="S595" s="317"/>
      <c r="T595" s="317"/>
      <c r="U595" s="317"/>
      <c r="V595" s="317"/>
      <c r="W595" s="317"/>
      <c r="X595" s="317"/>
      <c r="Y595" s="317"/>
      <c r="Z595" s="317"/>
      <c r="AA595" s="317"/>
      <c r="AB595" s="317"/>
      <c r="AC595" s="317"/>
    </row>
    <row r="596">
      <c r="A596" s="317"/>
      <c r="B596" s="381"/>
      <c r="C596" s="317"/>
      <c r="D596" s="381"/>
      <c r="E596" s="381"/>
      <c r="F596" s="381"/>
      <c r="G596" s="317"/>
      <c r="H596" s="317"/>
      <c r="I596" s="317"/>
      <c r="J596" s="317"/>
      <c r="K596" s="317"/>
      <c r="L596" s="317"/>
      <c r="M596" s="317"/>
      <c r="N596" s="317"/>
      <c r="O596" s="317"/>
      <c r="P596" s="317"/>
      <c r="Q596" s="317"/>
      <c r="R596" s="317"/>
      <c r="S596" s="317"/>
      <c r="T596" s="317"/>
      <c r="U596" s="317"/>
      <c r="V596" s="317"/>
      <c r="W596" s="317"/>
      <c r="X596" s="317"/>
      <c r="Y596" s="317"/>
      <c r="Z596" s="317"/>
      <c r="AA596" s="317"/>
      <c r="AB596" s="317"/>
      <c r="AC596" s="317"/>
    </row>
    <row r="597">
      <c r="A597" s="317"/>
      <c r="B597" s="381"/>
      <c r="C597" s="317"/>
      <c r="D597" s="381"/>
      <c r="E597" s="381"/>
      <c r="F597" s="381"/>
      <c r="G597" s="317"/>
      <c r="H597" s="317"/>
      <c r="I597" s="317"/>
      <c r="J597" s="317"/>
      <c r="K597" s="317"/>
      <c r="L597" s="317"/>
      <c r="M597" s="317"/>
      <c r="N597" s="317"/>
      <c r="O597" s="317"/>
      <c r="P597" s="317"/>
      <c r="Q597" s="317"/>
      <c r="R597" s="317"/>
      <c r="S597" s="317"/>
      <c r="T597" s="317"/>
      <c r="U597" s="317"/>
      <c r="V597" s="317"/>
      <c r="W597" s="317"/>
      <c r="X597" s="317"/>
      <c r="Y597" s="317"/>
      <c r="Z597" s="317"/>
      <c r="AA597" s="317"/>
      <c r="AB597" s="317"/>
      <c r="AC597" s="317"/>
    </row>
    <row r="598">
      <c r="A598" s="317"/>
      <c r="B598" s="381"/>
      <c r="C598" s="317"/>
      <c r="D598" s="381"/>
      <c r="E598" s="381"/>
      <c r="F598" s="381"/>
      <c r="G598" s="317"/>
      <c r="H598" s="317"/>
      <c r="I598" s="317"/>
      <c r="J598" s="317"/>
      <c r="K598" s="317"/>
      <c r="L598" s="317"/>
      <c r="M598" s="317"/>
      <c r="N598" s="317"/>
      <c r="O598" s="317"/>
      <c r="P598" s="317"/>
      <c r="Q598" s="317"/>
      <c r="R598" s="317"/>
      <c r="S598" s="317"/>
      <c r="T598" s="317"/>
      <c r="U598" s="317"/>
      <c r="V598" s="317"/>
      <c r="W598" s="317"/>
      <c r="X598" s="317"/>
      <c r="Y598" s="317"/>
      <c r="Z598" s="317"/>
      <c r="AA598" s="317"/>
      <c r="AB598" s="317"/>
      <c r="AC598" s="317"/>
    </row>
    <row r="599">
      <c r="A599" s="317"/>
      <c r="B599" s="381"/>
      <c r="C599" s="317"/>
      <c r="D599" s="381"/>
      <c r="E599" s="381"/>
      <c r="F599" s="381"/>
      <c r="G599" s="317"/>
      <c r="H599" s="317"/>
      <c r="I599" s="317"/>
      <c r="J599" s="317"/>
      <c r="K599" s="317"/>
      <c r="L599" s="317"/>
      <c r="M599" s="317"/>
      <c r="N599" s="317"/>
      <c r="O599" s="317"/>
      <c r="P599" s="317"/>
      <c r="Q599" s="317"/>
      <c r="R599" s="317"/>
      <c r="S599" s="317"/>
      <c r="T599" s="317"/>
      <c r="U599" s="317"/>
      <c r="V599" s="317"/>
      <c r="W599" s="317"/>
      <c r="X599" s="317"/>
      <c r="Y599" s="317"/>
      <c r="Z599" s="317"/>
      <c r="AA599" s="317"/>
      <c r="AB599" s="317"/>
      <c r="AC599" s="317"/>
    </row>
    <row r="600">
      <c r="A600" s="317"/>
      <c r="B600" s="381"/>
      <c r="C600" s="317"/>
      <c r="D600" s="381"/>
      <c r="E600" s="381"/>
      <c r="F600" s="381"/>
      <c r="G600" s="317"/>
      <c r="H600" s="317"/>
      <c r="I600" s="317"/>
      <c r="J600" s="317"/>
      <c r="K600" s="317"/>
      <c r="L600" s="317"/>
      <c r="M600" s="317"/>
      <c r="N600" s="317"/>
      <c r="O600" s="317"/>
      <c r="P600" s="317"/>
      <c r="Q600" s="317"/>
      <c r="R600" s="317"/>
      <c r="S600" s="317"/>
      <c r="T600" s="317"/>
      <c r="U600" s="317"/>
      <c r="V600" s="317"/>
      <c r="W600" s="317"/>
      <c r="X600" s="317"/>
      <c r="Y600" s="317"/>
      <c r="Z600" s="317"/>
      <c r="AA600" s="317"/>
      <c r="AB600" s="317"/>
      <c r="AC600" s="317"/>
    </row>
    <row r="601">
      <c r="A601" s="317"/>
      <c r="B601" s="381"/>
      <c r="C601" s="317"/>
      <c r="D601" s="381"/>
      <c r="E601" s="381"/>
      <c r="F601" s="381"/>
      <c r="G601" s="317"/>
      <c r="H601" s="317"/>
      <c r="I601" s="317"/>
      <c r="J601" s="317"/>
      <c r="K601" s="317"/>
      <c r="L601" s="317"/>
      <c r="M601" s="317"/>
      <c r="N601" s="317"/>
      <c r="O601" s="317"/>
      <c r="P601" s="317"/>
      <c r="Q601" s="317"/>
      <c r="R601" s="317"/>
      <c r="S601" s="317"/>
      <c r="T601" s="317"/>
      <c r="U601" s="317"/>
      <c r="V601" s="317"/>
      <c r="W601" s="317"/>
      <c r="X601" s="317"/>
      <c r="Y601" s="317"/>
      <c r="Z601" s="317"/>
      <c r="AA601" s="317"/>
      <c r="AB601" s="317"/>
      <c r="AC601" s="317"/>
    </row>
    <row r="602">
      <c r="A602" s="317"/>
      <c r="B602" s="381"/>
      <c r="C602" s="317"/>
      <c r="D602" s="381"/>
      <c r="E602" s="381"/>
      <c r="F602" s="381"/>
      <c r="G602" s="317"/>
      <c r="H602" s="317"/>
      <c r="I602" s="317"/>
      <c r="J602" s="317"/>
      <c r="K602" s="317"/>
      <c r="L602" s="317"/>
      <c r="M602" s="317"/>
      <c r="N602" s="317"/>
      <c r="O602" s="317"/>
      <c r="P602" s="317"/>
      <c r="Q602" s="317"/>
      <c r="R602" s="317"/>
      <c r="S602" s="317"/>
      <c r="T602" s="317"/>
      <c r="U602" s="317"/>
      <c r="V602" s="317"/>
      <c r="W602" s="317"/>
      <c r="X602" s="317"/>
      <c r="Y602" s="317"/>
      <c r="Z602" s="317"/>
      <c r="AA602" s="317"/>
      <c r="AB602" s="317"/>
      <c r="AC602" s="317"/>
    </row>
    <row r="603">
      <c r="A603" s="317"/>
      <c r="B603" s="381"/>
      <c r="C603" s="317"/>
      <c r="D603" s="381"/>
      <c r="E603" s="381"/>
      <c r="F603" s="381"/>
      <c r="G603" s="317"/>
      <c r="H603" s="317"/>
      <c r="I603" s="317"/>
      <c r="J603" s="317"/>
      <c r="K603" s="317"/>
      <c r="L603" s="317"/>
      <c r="M603" s="317"/>
      <c r="N603" s="317"/>
      <c r="O603" s="317"/>
      <c r="P603" s="317"/>
      <c r="Q603" s="317"/>
      <c r="R603" s="317"/>
      <c r="S603" s="317"/>
      <c r="T603" s="317"/>
      <c r="U603" s="317"/>
      <c r="V603" s="317"/>
      <c r="W603" s="317"/>
      <c r="X603" s="317"/>
      <c r="Y603" s="317"/>
      <c r="Z603" s="317"/>
      <c r="AA603" s="317"/>
      <c r="AB603" s="317"/>
      <c r="AC603" s="317"/>
    </row>
    <row r="604">
      <c r="A604" s="317"/>
      <c r="B604" s="381"/>
      <c r="C604" s="317"/>
      <c r="D604" s="381"/>
      <c r="E604" s="381"/>
      <c r="F604" s="381"/>
      <c r="G604" s="317"/>
      <c r="H604" s="317"/>
      <c r="I604" s="317"/>
      <c r="J604" s="317"/>
      <c r="K604" s="317"/>
      <c r="L604" s="317"/>
      <c r="M604" s="317"/>
      <c r="N604" s="317"/>
      <c r="O604" s="317"/>
      <c r="P604" s="317"/>
      <c r="Q604" s="317"/>
      <c r="R604" s="317"/>
      <c r="S604" s="317"/>
      <c r="T604" s="317"/>
      <c r="U604" s="317"/>
      <c r="V604" s="317"/>
      <c r="W604" s="317"/>
      <c r="X604" s="317"/>
      <c r="Y604" s="317"/>
      <c r="Z604" s="317"/>
      <c r="AA604" s="317"/>
      <c r="AB604" s="317"/>
      <c r="AC604" s="317"/>
    </row>
    <row r="605">
      <c r="A605" s="317"/>
      <c r="B605" s="381"/>
      <c r="C605" s="317"/>
      <c r="D605" s="381"/>
      <c r="E605" s="381"/>
      <c r="F605" s="381"/>
      <c r="G605" s="317"/>
      <c r="H605" s="317"/>
      <c r="I605" s="317"/>
      <c r="J605" s="317"/>
      <c r="K605" s="317"/>
      <c r="L605" s="317"/>
      <c r="M605" s="317"/>
      <c r="N605" s="317"/>
      <c r="O605" s="317"/>
      <c r="P605" s="317"/>
      <c r="Q605" s="317"/>
      <c r="R605" s="317"/>
      <c r="S605" s="317"/>
      <c r="T605" s="317"/>
      <c r="U605" s="317"/>
      <c r="V605" s="317"/>
      <c r="W605" s="317"/>
      <c r="X605" s="317"/>
      <c r="Y605" s="317"/>
      <c r="Z605" s="317"/>
      <c r="AA605" s="317"/>
      <c r="AB605" s="317"/>
      <c r="AC605" s="317"/>
    </row>
    <row r="606">
      <c r="A606" s="317"/>
      <c r="B606" s="381"/>
      <c r="C606" s="317"/>
      <c r="D606" s="381"/>
      <c r="E606" s="381"/>
      <c r="F606" s="381"/>
      <c r="G606" s="317"/>
      <c r="H606" s="317"/>
      <c r="I606" s="317"/>
      <c r="J606" s="317"/>
      <c r="K606" s="317"/>
      <c r="L606" s="317"/>
      <c r="M606" s="317"/>
      <c r="N606" s="317"/>
      <c r="O606" s="317"/>
      <c r="P606" s="317"/>
      <c r="Q606" s="317"/>
      <c r="R606" s="317"/>
      <c r="S606" s="317"/>
      <c r="T606" s="317"/>
      <c r="U606" s="317"/>
      <c r="V606" s="317"/>
      <c r="W606" s="317"/>
      <c r="X606" s="317"/>
      <c r="Y606" s="317"/>
      <c r="Z606" s="317"/>
      <c r="AA606" s="317"/>
      <c r="AB606" s="317"/>
      <c r="AC606" s="317"/>
    </row>
    <row r="607">
      <c r="A607" s="317"/>
      <c r="B607" s="381"/>
      <c r="C607" s="317"/>
      <c r="D607" s="381"/>
      <c r="E607" s="381"/>
      <c r="F607" s="381"/>
      <c r="G607" s="317"/>
      <c r="H607" s="317"/>
      <c r="I607" s="317"/>
      <c r="J607" s="317"/>
      <c r="K607" s="317"/>
      <c r="L607" s="317"/>
      <c r="M607" s="317"/>
      <c r="N607" s="317"/>
      <c r="O607" s="317"/>
      <c r="P607" s="317"/>
      <c r="Q607" s="317"/>
      <c r="R607" s="317"/>
      <c r="S607" s="317"/>
      <c r="T607" s="317"/>
      <c r="U607" s="317"/>
      <c r="V607" s="317"/>
      <c r="W607" s="317"/>
      <c r="X607" s="317"/>
      <c r="Y607" s="317"/>
      <c r="Z607" s="317"/>
      <c r="AA607" s="317"/>
      <c r="AB607" s="317"/>
      <c r="AC607" s="317"/>
    </row>
    <row r="608">
      <c r="A608" s="317"/>
      <c r="B608" s="381"/>
      <c r="C608" s="317"/>
      <c r="D608" s="381"/>
      <c r="E608" s="381"/>
      <c r="F608" s="381"/>
      <c r="G608" s="317"/>
      <c r="H608" s="317"/>
      <c r="I608" s="317"/>
      <c r="J608" s="317"/>
      <c r="K608" s="317"/>
      <c r="L608" s="317"/>
      <c r="M608" s="317"/>
      <c r="N608" s="317"/>
      <c r="O608" s="317"/>
      <c r="P608" s="317"/>
      <c r="Q608" s="317"/>
      <c r="R608" s="317"/>
      <c r="S608" s="317"/>
      <c r="T608" s="317"/>
      <c r="U608" s="317"/>
      <c r="V608" s="317"/>
      <c r="W608" s="317"/>
      <c r="X608" s="317"/>
      <c r="Y608" s="317"/>
      <c r="Z608" s="317"/>
      <c r="AA608" s="317"/>
      <c r="AB608" s="317"/>
      <c r="AC608" s="317"/>
    </row>
    <row r="609">
      <c r="A609" s="317"/>
      <c r="B609" s="381"/>
      <c r="C609" s="317"/>
      <c r="D609" s="381"/>
      <c r="E609" s="381"/>
      <c r="F609" s="381"/>
      <c r="G609" s="317"/>
      <c r="H609" s="317"/>
      <c r="I609" s="317"/>
      <c r="J609" s="317"/>
      <c r="K609" s="317"/>
      <c r="L609" s="317"/>
      <c r="M609" s="317"/>
      <c r="N609" s="317"/>
      <c r="O609" s="317"/>
      <c r="P609" s="317"/>
      <c r="Q609" s="317"/>
      <c r="R609" s="317"/>
      <c r="S609" s="317"/>
      <c r="T609" s="317"/>
      <c r="U609" s="317"/>
      <c r="V609" s="317"/>
      <c r="W609" s="317"/>
      <c r="X609" s="317"/>
      <c r="Y609" s="317"/>
      <c r="Z609" s="317"/>
      <c r="AA609" s="317"/>
      <c r="AB609" s="317"/>
      <c r="AC609" s="317"/>
    </row>
    <row r="610">
      <c r="A610" s="317"/>
      <c r="B610" s="381"/>
      <c r="C610" s="317"/>
      <c r="D610" s="381"/>
      <c r="E610" s="381"/>
      <c r="F610" s="381"/>
      <c r="G610" s="317"/>
      <c r="H610" s="317"/>
      <c r="I610" s="317"/>
      <c r="J610" s="317"/>
      <c r="K610" s="317"/>
      <c r="L610" s="317"/>
      <c r="M610" s="317"/>
      <c r="N610" s="317"/>
      <c r="O610" s="317"/>
      <c r="P610" s="317"/>
      <c r="Q610" s="317"/>
      <c r="R610" s="317"/>
      <c r="S610" s="317"/>
      <c r="T610" s="317"/>
      <c r="U610" s="317"/>
      <c r="V610" s="317"/>
      <c r="W610" s="317"/>
      <c r="X610" s="317"/>
      <c r="Y610" s="317"/>
      <c r="Z610" s="317"/>
      <c r="AA610" s="317"/>
      <c r="AB610" s="317"/>
      <c r="AC610" s="317"/>
    </row>
    <row r="611">
      <c r="A611" s="317"/>
      <c r="B611" s="381"/>
      <c r="C611" s="317"/>
      <c r="D611" s="381"/>
      <c r="E611" s="381"/>
      <c r="F611" s="381"/>
      <c r="G611" s="317"/>
      <c r="H611" s="317"/>
      <c r="I611" s="317"/>
      <c r="J611" s="317"/>
      <c r="K611" s="317"/>
      <c r="L611" s="317"/>
      <c r="M611" s="317"/>
      <c r="N611" s="317"/>
      <c r="O611" s="317"/>
      <c r="P611" s="317"/>
      <c r="Q611" s="317"/>
      <c r="R611" s="317"/>
      <c r="S611" s="317"/>
      <c r="T611" s="317"/>
      <c r="U611" s="317"/>
      <c r="V611" s="317"/>
      <c r="W611" s="317"/>
      <c r="X611" s="317"/>
      <c r="Y611" s="317"/>
      <c r="Z611" s="317"/>
      <c r="AA611" s="317"/>
      <c r="AB611" s="317"/>
      <c r="AC611" s="317"/>
    </row>
    <row r="612">
      <c r="A612" s="317"/>
      <c r="B612" s="381"/>
      <c r="C612" s="317"/>
      <c r="D612" s="381"/>
      <c r="E612" s="381"/>
      <c r="F612" s="381"/>
      <c r="G612" s="317"/>
      <c r="H612" s="317"/>
      <c r="I612" s="317"/>
      <c r="J612" s="317"/>
      <c r="K612" s="317"/>
      <c r="L612" s="317"/>
      <c r="M612" s="317"/>
      <c r="N612" s="317"/>
      <c r="O612" s="317"/>
      <c r="P612" s="317"/>
      <c r="Q612" s="317"/>
      <c r="R612" s="317"/>
      <c r="S612" s="317"/>
      <c r="T612" s="317"/>
      <c r="U612" s="317"/>
      <c r="V612" s="317"/>
      <c r="W612" s="317"/>
      <c r="X612" s="317"/>
      <c r="Y612" s="317"/>
      <c r="Z612" s="317"/>
      <c r="AA612" s="317"/>
      <c r="AB612" s="317"/>
      <c r="AC612" s="317"/>
    </row>
    <row r="613">
      <c r="A613" s="317"/>
      <c r="B613" s="381"/>
      <c r="C613" s="317"/>
      <c r="D613" s="381"/>
      <c r="E613" s="381"/>
      <c r="F613" s="381"/>
      <c r="G613" s="317"/>
      <c r="H613" s="317"/>
      <c r="I613" s="317"/>
      <c r="J613" s="317"/>
      <c r="K613" s="317"/>
      <c r="L613" s="317"/>
      <c r="M613" s="317"/>
      <c r="N613" s="317"/>
      <c r="O613" s="317"/>
      <c r="P613" s="317"/>
      <c r="Q613" s="317"/>
      <c r="R613" s="317"/>
      <c r="S613" s="317"/>
      <c r="T613" s="317"/>
      <c r="U613" s="317"/>
      <c r="V613" s="317"/>
      <c r="W613" s="317"/>
      <c r="X613" s="317"/>
      <c r="Y613" s="317"/>
      <c r="Z613" s="317"/>
      <c r="AA613" s="317"/>
      <c r="AB613" s="317"/>
      <c r="AC613" s="317"/>
    </row>
    <row r="614">
      <c r="A614" s="317"/>
      <c r="B614" s="381"/>
      <c r="C614" s="317"/>
      <c r="D614" s="381"/>
      <c r="E614" s="381"/>
      <c r="F614" s="381"/>
      <c r="G614" s="317"/>
      <c r="H614" s="317"/>
      <c r="I614" s="317"/>
      <c r="J614" s="317"/>
      <c r="K614" s="317"/>
      <c r="L614" s="317"/>
      <c r="M614" s="317"/>
      <c r="N614" s="317"/>
      <c r="O614" s="317"/>
      <c r="P614" s="317"/>
      <c r="Q614" s="317"/>
      <c r="R614" s="317"/>
      <c r="S614" s="317"/>
      <c r="T614" s="317"/>
      <c r="U614" s="317"/>
      <c r="V614" s="317"/>
      <c r="W614" s="317"/>
      <c r="X614" s="317"/>
      <c r="Y614" s="317"/>
      <c r="Z614" s="317"/>
      <c r="AA614" s="317"/>
      <c r="AB614" s="317"/>
      <c r="AC614" s="317"/>
    </row>
    <row r="615">
      <c r="A615" s="317"/>
      <c r="B615" s="381"/>
      <c r="C615" s="317"/>
      <c r="D615" s="381"/>
      <c r="E615" s="381"/>
      <c r="F615" s="381"/>
      <c r="G615" s="317"/>
      <c r="H615" s="317"/>
      <c r="I615" s="317"/>
      <c r="J615" s="317"/>
      <c r="K615" s="317"/>
      <c r="L615" s="317"/>
      <c r="M615" s="317"/>
      <c r="N615" s="317"/>
      <c r="O615" s="317"/>
      <c r="P615" s="317"/>
      <c r="Q615" s="317"/>
      <c r="R615" s="317"/>
      <c r="S615" s="317"/>
      <c r="T615" s="317"/>
      <c r="U615" s="317"/>
      <c r="V615" s="317"/>
      <c r="W615" s="317"/>
      <c r="X615" s="317"/>
      <c r="Y615" s="317"/>
      <c r="Z615" s="317"/>
      <c r="AA615" s="317"/>
      <c r="AB615" s="317"/>
      <c r="AC615" s="317"/>
    </row>
    <row r="616">
      <c r="A616" s="317"/>
      <c r="B616" s="381"/>
      <c r="C616" s="317"/>
      <c r="D616" s="381"/>
      <c r="E616" s="381"/>
      <c r="F616" s="381"/>
      <c r="G616" s="317"/>
      <c r="H616" s="317"/>
      <c r="I616" s="317"/>
      <c r="J616" s="317"/>
      <c r="K616" s="317"/>
      <c r="L616" s="317"/>
      <c r="M616" s="317"/>
      <c r="N616" s="317"/>
      <c r="O616" s="317"/>
      <c r="P616" s="317"/>
      <c r="Q616" s="317"/>
      <c r="R616" s="317"/>
      <c r="S616" s="317"/>
      <c r="T616" s="317"/>
      <c r="U616" s="317"/>
      <c r="V616" s="317"/>
      <c r="W616" s="317"/>
      <c r="X616" s="317"/>
      <c r="Y616" s="317"/>
      <c r="Z616" s="317"/>
      <c r="AA616" s="317"/>
      <c r="AB616" s="317"/>
      <c r="AC616" s="317"/>
    </row>
    <row r="617">
      <c r="A617" s="317"/>
      <c r="B617" s="381"/>
      <c r="C617" s="317"/>
      <c r="D617" s="381"/>
      <c r="E617" s="381"/>
      <c r="F617" s="381"/>
      <c r="G617" s="317"/>
      <c r="H617" s="317"/>
      <c r="I617" s="317"/>
      <c r="J617" s="317"/>
      <c r="K617" s="317"/>
      <c r="L617" s="317"/>
      <c r="M617" s="317"/>
      <c r="N617" s="317"/>
      <c r="O617" s="317"/>
      <c r="P617" s="317"/>
      <c r="Q617" s="317"/>
      <c r="R617" s="317"/>
      <c r="S617" s="317"/>
      <c r="T617" s="317"/>
      <c r="U617" s="317"/>
      <c r="V617" s="317"/>
      <c r="W617" s="317"/>
      <c r="X617" s="317"/>
      <c r="Y617" s="317"/>
      <c r="Z617" s="317"/>
      <c r="AA617" s="317"/>
      <c r="AB617" s="317"/>
      <c r="AC617" s="317"/>
    </row>
    <row r="618">
      <c r="A618" s="317"/>
      <c r="B618" s="381"/>
      <c r="C618" s="317"/>
      <c r="D618" s="381"/>
      <c r="E618" s="381"/>
      <c r="F618" s="381"/>
      <c r="G618" s="317"/>
      <c r="H618" s="317"/>
      <c r="I618" s="317"/>
      <c r="J618" s="317"/>
      <c r="K618" s="317"/>
      <c r="L618" s="317"/>
      <c r="M618" s="317"/>
      <c r="N618" s="317"/>
      <c r="O618" s="317"/>
      <c r="P618" s="317"/>
      <c r="Q618" s="317"/>
      <c r="R618" s="317"/>
      <c r="S618" s="317"/>
      <c r="T618" s="317"/>
      <c r="U618" s="317"/>
      <c r="V618" s="317"/>
      <c r="W618" s="317"/>
      <c r="X618" s="317"/>
      <c r="Y618" s="317"/>
      <c r="Z618" s="317"/>
      <c r="AA618" s="317"/>
      <c r="AB618" s="317"/>
      <c r="AC618" s="317"/>
    </row>
    <row r="619">
      <c r="A619" s="317"/>
      <c r="B619" s="381"/>
      <c r="C619" s="317"/>
      <c r="D619" s="381"/>
      <c r="E619" s="381"/>
      <c r="F619" s="381"/>
      <c r="G619" s="317"/>
      <c r="H619" s="317"/>
      <c r="I619" s="317"/>
      <c r="J619" s="317"/>
      <c r="K619" s="317"/>
      <c r="L619" s="317"/>
      <c r="M619" s="317"/>
      <c r="N619" s="317"/>
      <c r="O619" s="317"/>
      <c r="P619" s="317"/>
      <c r="Q619" s="317"/>
      <c r="R619" s="317"/>
      <c r="S619" s="317"/>
      <c r="T619" s="317"/>
      <c r="U619" s="317"/>
      <c r="V619" s="317"/>
      <c r="W619" s="317"/>
      <c r="X619" s="317"/>
      <c r="Y619" s="317"/>
      <c r="Z619" s="317"/>
      <c r="AA619" s="317"/>
      <c r="AB619" s="317"/>
      <c r="AC619" s="317"/>
    </row>
    <row r="620">
      <c r="A620" s="317"/>
      <c r="B620" s="381"/>
      <c r="C620" s="317"/>
      <c r="D620" s="381"/>
      <c r="E620" s="381"/>
      <c r="F620" s="381"/>
      <c r="G620" s="317"/>
      <c r="H620" s="317"/>
      <c r="I620" s="317"/>
      <c r="J620" s="317"/>
      <c r="K620" s="317"/>
      <c r="L620" s="317"/>
      <c r="M620" s="317"/>
      <c r="N620" s="317"/>
      <c r="O620" s="317"/>
      <c r="P620" s="317"/>
      <c r="Q620" s="317"/>
      <c r="R620" s="317"/>
      <c r="S620" s="317"/>
      <c r="T620" s="317"/>
      <c r="U620" s="317"/>
      <c r="V620" s="317"/>
      <c r="W620" s="317"/>
      <c r="X620" s="317"/>
      <c r="Y620" s="317"/>
      <c r="Z620" s="317"/>
      <c r="AA620" s="317"/>
      <c r="AB620" s="317"/>
      <c r="AC620" s="317"/>
    </row>
    <row r="621">
      <c r="A621" s="317"/>
      <c r="B621" s="381"/>
      <c r="C621" s="317"/>
      <c r="D621" s="381"/>
      <c r="E621" s="381"/>
      <c r="F621" s="381"/>
      <c r="G621" s="317"/>
      <c r="H621" s="317"/>
      <c r="I621" s="317"/>
      <c r="J621" s="317"/>
      <c r="K621" s="317"/>
      <c r="L621" s="317"/>
      <c r="M621" s="317"/>
      <c r="N621" s="317"/>
      <c r="O621" s="317"/>
      <c r="P621" s="317"/>
      <c r="Q621" s="317"/>
      <c r="R621" s="317"/>
      <c r="S621" s="317"/>
      <c r="T621" s="317"/>
      <c r="U621" s="317"/>
      <c r="V621" s="317"/>
      <c r="W621" s="317"/>
      <c r="X621" s="317"/>
      <c r="Y621" s="317"/>
      <c r="Z621" s="317"/>
      <c r="AA621" s="317"/>
      <c r="AB621" s="317"/>
      <c r="AC621" s="317"/>
    </row>
    <row r="622">
      <c r="A622" s="317"/>
      <c r="B622" s="381"/>
      <c r="C622" s="317"/>
      <c r="D622" s="381"/>
      <c r="E622" s="381"/>
      <c r="F622" s="381"/>
      <c r="G622" s="317"/>
      <c r="H622" s="317"/>
      <c r="I622" s="317"/>
      <c r="J622" s="317"/>
      <c r="K622" s="317"/>
      <c r="L622" s="317"/>
      <c r="M622" s="317"/>
      <c r="N622" s="317"/>
      <c r="O622" s="317"/>
      <c r="P622" s="317"/>
      <c r="Q622" s="317"/>
      <c r="R622" s="317"/>
      <c r="S622" s="317"/>
      <c r="T622" s="317"/>
      <c r="U622" s="317"/>
      <c r="V622" s="317"/>
      <c r="W622" s="317"/>
      <c r="X622" s="317"/>
      <c r="Y622" s="317"/>
      <c r="Z622" s="317"/>
      <c r="AA622" s="317"/>
      <c r="AB622" s="317"/>
      <c r="AC622" s="317"/>
    </row>
    <row r="623">
      <c r="A623" s="317"/>
      <c r="B623" s="381"/>
      <c r="C623" s="317"/>
      <c r="D623" s="381"/>
      <c r="E623" s="381"/>
      <c r="F623" s="381"/>
      <c r="G623" s="317"/>
      <c r="H623" s="317"/>
      <c r="I623" s="317"/>
      <c r="J623" s="317"/>
      <c r="K623" s="317"/>
      <c r="L623" s="317"/>
      <c r="M623" s="317"/>
      <c r="N623" s="317"/>
      <c r="O623" s="317"/>
      <c r="P623" s="317"/>
      <c r="Q623" s="317"/>
      <c r="R623" s="317"/>
      <c r="S623" s="317"/>
      <c r="T623" s="317"/>
      <c r="U623" s="317"/>
      <c r="V623" s="317"/>
      <c r="W623" s="317"/>
      <c r="X623" s="317"/>
      <c r="Y623" s="317"/>
      <c r="Z623" s="317"/>
      <c r="AA623" s="317"/>
      <c r="AB623" s="317"/>
      <c r="AC623" s="317"/>
    </row>
    <row r="624">
      <c r="A624" s="317"/>
      <c r="B624" s="381"/>
      <c r="C624" s="317"/>
      <c r="D624" s="381"/>
      <c r="E624" s="381"/>
      <c r="F624" s="381"/>
      <c r="G624" s="317"/>
      <c r="H624" s="317"/>
      <c r="I624" s="317"/>
      <c r="J624" s="317"/>
      <c r="K624" s="317"/>
      <c r="L624" s="317"/>
      <c r="M624" s="317"/>
      <c r="N624" s="317"/>
      <c r="O624" s="317"/>
      <c r="P624" s="317"/>
      <c r="Q624" s="317"/>
      <c r="R624" s="317"/>
      <c r="S624" s="317"/>
      <c r="T624" s="317"/>
      <c r="U624" s="317"/>
      <c r="V624" s="317"/>
      <c r="W624" s="317"/>
      <c r="X624" s="317"/>
      <c r="Y624" s="317"/>
      <c r="Z624" s="317"/>
      <c r="AA624" s="317"/>
      <c r="AB624" s="317"/>
      <c r="AC624" s="317"/>
    </row>
    <row r="625">
      <c r="A625" s="317"/>
      <c r="B625" s="381"/>
      <c r="C625" s="317"/>
      <c r="D625" s="381"/>
      <c r="E625" s="381"/>
      <c r="F625" s="381"/>
      <c r="G625" s="317"/>
      <c r="H625" s="317"/>
      <c r="I625" s="317"/>
      <c r="J625" s="317"/>
      <c r="K625" s="317"/>
      <c r="L625" s="317"/>
      <c r="M625" s="317"/>
      <c r="N625" s="317"/>
      <c r="O625" s="317"/>
      <c r="P625" s="317"/>
      <c r="Q625" s="317"/>
      <c r="R625" s="317"/>
      <c r="S625" s="317"/>
      <c r="T625" s="317"/>
      <c r="U625" s="317"/>
      <c r="V625" s="317"/>
      <c r="W625" s="317"/>
      <c r="X625" s="317"/>
      <c r="Y625" s="317"/>
      <c r="Z625" s="317"/>
      <c r="AA625" s="317"/>
      <c r="AB625" s="317"/>
      <c r="AC625" s="317"/>
    </row>
    <row r="626">
      <c r="A626" s="317"/>
      <c r="B626" s="381"/>
      <c r="C626" s="317"/>
      <c r="D626" s="381"/>
      <c r="E626" s="381"/>
      <c r="F626" s="381"/>
      <c r="G626" s="317"/>
      <c r="H626" s="317"/>
      <c r="I626" s="317"/>
      <c r="J626" s="317"/>
      <c r="K626" s="317"/>
      <c r="L626" s="317"/>
      <c r="M626" s="317"/>
      <c r="N626" s="317"/>
      <c r="O626" s="317"/>
      <c r="P626" s="317"/>
      <c r="Q626" s="317"/>
      <c r="R626" s="317"/>
      <c r="S626" s="317"/>
      <c r="T626" s="317"/>
      <c r="U626" s="317"/>
      <c r="V626" s="317"/>
      <c r="W626" s="317"/>
      <c r="X626" s="317"/>
      <c r="Y626" s="317"/>
      <c r="Z626" s="317"/>
      <c r="AA626" s="317"/>
      <c r="AB626" s="317"/>
      <c r="AC626" s="317"/>
    </row>
    <row r="627">
      <c r="A627" s="317"/>
      <c r="B627" s="381"/>
      <c r="C627" s="317"/>
      <c r="D627" s="381"/>
      <c r="E627" s="381"/>
      <c r="F627" s="381"/>
      <c r="G627" s="317"/>
      <c r="H627" s="317"/>
      <c r="I627" s="317"/>
      <c r="J627" s="317"/>
      <c r="K627" s="317"/>
      <c r="L627" s="317"/>
      <c r="M627" s="317"/>
      <c r="N627" s="317"/>
      <c r="O627" s="317"/>
      <c r="P627" s="317"/>
      <c r="Q627" s="317"/>
      <c r="R627" s="317"/>
      <c r="S627" s="317"/>
      <c r="T627" s="317"/>
      <c r="U627" s="317"/>
      <c r="V627" s="317"/>
      <c r="W627" s="317"/>
      <c r="X627" s="317"/>
      <c r="Y627" s="317"/>
      <c r="Z627" s="317"/>
      <c r="AA627" s="317"/>
      <c r="AB627" s="317"/>
      <c r="AC627" s="317"/>
    </row>
    <row r="628">
      <c r="A628" s="317"/>
      <c r="B628" s="381"/>
      <c r="C628" s="317"/>
      <c r="D628" s="381"/>
      <c r="E628" s="381"/>
      <c r="F628" s="381"/>
      <c r="G628" s="317"/>
      <c r="H628" s="317"/>
      <c r="I628" s="317"/>
      <c r="J628" s="317"/>
      <c r="K628" s="317"/>
      <c r="L628" s="317"/>
      <c r="M628" s="317"/>
      <c r="N628" s="317"/>
      <c r="O628" s="317"/>
      <c r="P628" s="317"/>
      <c r="Q628" s="317"/>
      <c r="R628" s="317"/>
      <c r="S628" s="317"/>
      <c r="T628" s="317"/>
      <c r="U628" s="317"/>
      <c r="V628" s="317"/>
      <c r="W628" s="317"/>
      <c r="X628" s="317"/>
      <c r="Y628" s="317"/>
      <c r="Z628" s="317"/>
      <c r="AA628" s="317"/>
      <c r="AB628" s="317"/>
      <c r="AC628" s="317"/>
    </row>
    <row r="629">
      <c r="A629" s="317"/>
      <c r="B629" s="381"/>
      <c r="C629" s="317"/>
      <c r="D629" s="381"/>
      <c r="E629" s="381"/>
      <c r="F629" s="381"/>
      <c r="G629" s="317"/>
      <c r="H629" s="317"/>
      <c r="I629" s="317"/>
      <c r="J629" s="317"/>
      <c r="K629" s="317"/>
      <c r="L629" s="317"/>
      <c r="M629" s="317"/>
      <c r="N629" s="317"/>
      <c r="O629" s="317"/>
      <c r="P629" s="317"/>
      <c r="Q629" s="317"/>
      <c r="R629" s="317"/>
      <c r="S629" s="317"/>
      <c r="T629" s="317"/>
      <c r="U629" s="317"/>
      <c r="V629" s="317"/>
      <c r="W629" s="317"/>
      <c r="X629" s="317"/>
      <c r="Y629" s="317"/>
      <c r="Z629" s="317"/>
      <c r="AA629" s="317"/>
      <c r="AB629" s="317"/>
      <c r="AC629" s="317"/>
    </row>
    <row r="630">
      <c r="A630" s="317"/>
      <c r="B630" s="381"/>
      <c r="C630" s="317"/>
      <c r="D630" s="381"/>
      <c r="E630" s="381"/>
      <c r="F630" s="381"/>
      <c r="G630" s="317"/>
      <c r="H630" s="317"/>
      <c r="I630" s="317"/>
      <c r="J630" s="317"/>
      <c r="K630" s="317"/>
      <c r="L630" s="317"/>
      <c r="M630" s="317"/>
      <c r="N630" s="317"/>
      <c r="O630" s="317"/>
      <c r="P630" s="317"/>
      <c r="Q630" s="317"/>
      <c r="R630" s="317"/>
      <c r="S630" s="317"/>
      <c r="T630" s="317"/>
      <c r="U630" s="317"/>
      <c r="V630" s="317"/>
      <c r="W630" s="317"/>
      <c r="X630" s="317"/>
      <c r="Y630" s="317"/>
      <c r="Z630" s="317"/>
      <c r="AA630" s="317"/>
      <c r="AB630" s="317"/>
      <c r="AC630" s="317"/>
    </row>
    <row r="631">
      <c r="A631" s="317"/>
      <c r="B631" s="381"/>
      <c r="C631" s="317"/>
      <c r="D631" s="381"/>
      <c r="E631" s="381"/>
      <c r="F631" s="381"/>
      <c r="G631" s="317"/>
      <c r="H631" s="317"/>
      <c r="I631" s="317"/>
      <c r="J631" s="317"/>
      <c r="K631" s="317"/>
      <c r="L631" s="317"/>
      <c r="M631" s="317"/>
      <c r="N631" s="317"/>
      <c r="O631" s="317"/>
      <c r="P631" s="317"/>
      <c r="Q631" s="317"/>
      <c r="R631" s="317"/>
      <c r="S631" s="317"/>
      <c r="T631" s="317"/>
      <c r="U631" s="317"/>
      <c r="V631" s="317"/>
      <c r="W631" s="317"/>
      <c r="X631" s="317"/>
      <c r="Y631" s="317"/>
      <c r="Z631" s="317"/>
      <c r="AA631" s="317"/>
      <c r="AB631" s="317"/>
      <c r="AC631" s="317"/>
    </row>
    <row r="632">
      <c r="A632" s="317"/>
      <c r="B632" s="381"/>
      <c r="C632" s="317"/>
      <c r="D632" s="381"/>
      <c r="E632" s="381"/>
      <c r="F632" s="381"/>
      <c r="G632" s="317"/>
      <c r="H632" s="317"/>
      <c r="I632" s="317"/>
      <c r="J632" s="317"/>
      <c r="K632" s="317"/>
      <c r="L632" s="317"/>
      <c r="M632" s="317"/>
      <c r="N632" s="317"/>
      <c r="O632" s="317"/>
      <c r="P632" s="317"/>
      <c r="Q632" s="317"/>
      <c r="R632" s="317"/>
      <c r="S632" s="317"/>
      <c r="T632" s="317"/>
      <c r="U632" s="317"/>
      <c r="V632" s="317"/>
      <c r="W632" s="317"/>
      <c r="X632" s="317"/>
      <c r="Y632" s="317"/>
      <c r="Z632" s="317"/>
      <c r="AA632" s="317"/>
      <c r="AB632" s="317"/>
      <c r="AC632" s="317"/>
    </row>
    <row r="633">
      <c r="A633" s="317"/>
      <c r="B633" s="381"/>
      <c r="C633" s="317"/>
      <c r="D633" s="381"/>
      <c r="E633" s="381"/>
      <c r="F633" s="381"/>
      <c r="G633" s="317"/>
      <c r="H633" s="317"/>
      <c r="I633" s="317"/>
      <c r="J633" s="317"/>
      <c r="K633" s="317"/>
      <c r="L633" s="317"/>
      <c r="M633" s="317"/>
      <c r="N633" s="317"/>
      <c r="O633" s="317"/>
      <c r="P633" s="317"/>
      <c r="Q633" s="317"/>
      <c r="R633" s="317"/>
      <c r="S633" s="317"/>
      <c r="T633" s="317"/>
      <c r="U633" s="317"/>
      <c r="V633" s="317"/>
      <c r="W633" s="317"/>
      <c r="X633" s="317"/>
      <c r="Y633" s="317"/>
      <c r="Z633" s="317"/>
      <c r="AA633" s="317"/>
      <c r="AB633" s="317"/>
      <c r="AC633" s="317"/>
    </row>
    <row r="634">
      <c r="A634" s="317"/>
      <c r="B634" s="381"/>
      <c r="C634" s="317"/>
      <c r="D634" s="381"/>
      <c r="E634" s="381"/>
      <c r="F634" s="381"/>
      <c r="G634" s="317"/>
      <c r="H634" s="317"/>
      <c r="I634" s="317"/>
      <c r="J634" s="317"/>
      <c r="K634" s="317"/>
      <c r="L634" s="317"/>
      <c r="M634" s="317"/>
      <c r="N634" s="317"/>
      <c r="O634" s="317"/>
      <c r="P634" s="317"/>
      <c r="Q634" s="317"/>
      <c r="R634" s="317"/>
      <c r="S634" s="317"/>
      <c r="T634" s="317"/>
      <c r="U634" s="317"/>
      <c r="V634" s="317"/>
      <c r="W634" s="317"/>
      <c r="X634" s="317"/>
      <c r="Y634" s="317"/>
      <c r="Z634" s="317"/>
      <c r="AA634" s="317"/>
      <c r="AB634" s="317"/>
      <c r="AC634" s="317"/>
    </row>
    <row r="635">
      <c r="A635" s="317"/>
      <c r="B635" s="381"/>
      <c r="C635" s="317"/>
      <c r="D635" s="381"/>
      <c r="E635" s="381"/>
      <c r="F635" s="381"/>
      <c r="G635" s="317"/>
      <c r="H635" s="317"/>
      <c r="I635" s="317"/>
      <c r="J635" s="317"/>
      <c r="K635" s="317"/>
      <c r="L635" s="317"/>
      <c r="M635" s="317"/>
      <c r="N635" s="317"/>
      <c r="O635" s="317"/>
      <c r="P635" s="317"/>
      <c r="Q635" s="317"/>
      <c r="R635" s="317"/>
      <c r="S635" s="317"/>
      <c r="T635" s="317"/>
      <c r="U635" s="317"/>
      <c r="V635" s="317"/>
      <c r="W635" s="317"/>
      <c r="X635" s="317"/>
      <c r="Y635" s="317"/>
      <c r="Z635" s="317"/>
      <c r="AA635" s="317"/>
      <c r="AB635" s="317"/>
      <c r="AC635" s="317"/>
    </row>
    <row r="636">
      <c r="A636" s="317"/>
      <c r="B636" s="381"/>
      <c r="C636" s="317"/>
      <c r="D636" s="381"/>
      <c r="E636" s="381"/>
      <c r="F636" s="381"/>
      <c r="G636" s="317"/>
      <c r="H636" s="317"/>
      <c r="I636" s="317"/>
      <c r="J636" s="317"/>
      <c r="K636" s="317"/>
      <c r="L636" s="317"/>
      <c r="M636" s="317"/>
      <c r="N636" s="317"/>
      <c r="O636" s="317"/>
      <c r="P636" s="317"/>
      <c r="Q636" s="317"/>
      <c r="R636" s="317"/>
      <c r="S636" s="317"/>
      <c r="T636" s="317"/>
      <c r="U636" s="317"/>
      <c r="V636" s="317"/>
      <c r="W636" s="317"/>
      <c r="X636" s="317"/>
      <c r="Y636" s="317"/>
      <c r="Z636" s="317"/>
      <c r="AA636" s="317"/>
      <c r="AB636" s="317"/>
      <c r="AC636" s="317"/>
    </row>
    <row r="637">
      <c r="A637" s="317"/>
      <c r="B637" s="381"/>
      <c r="C637" s="317"/>
      <c r="D637" s="381"/>
      <c r="E637" s="381"/>
      <c r="F637" s="381"/>
      <c r="G637" s="317"/>
      <c r="H637" s="317"/>
      <c r="I637" s="317"/>
      <c r="J637" s="317"/>
      <c r="K637" s="317"/>
      <c r="L637" s="317"/>
      <c r="M637" s="317"/>
      <c r="N637" s="317"/>
      <c r="O637" s="317"/>
      <c r="P637" s="317"/>
      <c r="Q637" s="317"/>
      <c r="R637" s="317"/>
      <c r="S637" s="317"/>
      <c r="T637" s="317"/>
      <c r="U637" s="317"/>
      <c r="V637" s="317"/>
      <c r="W637" s="317"/>
      <c r="X637" s="317"/>
      <c r="Y637" s="317"/>
      <c r="Z637" s="317"/>
      <c r="AA637" s="317"/>
      <c r="AB637" s="317"/>
      <c r="AC637" s="317"/>
    </row>
    <row r="638">
      <c r="A638" s="317"/>
      <c r="B638" s="381"/>
      <c r="C638" s="317"/>
      <c r="D638" s="381"/>
      <c r="E638" s="381"/>
      <c r="F638" s="381"/>
      <c r="G638" s="317"/>
      <c r="H638" s="317"/>
      <c r="I638" s="317"/>
      <c r="J638" s="317"/>
      <c r="K638" s="317"/>
      <c r="L638" s="317"/>
      <c r="M638" s="317"/>
      <c r="N638" s="317"/>
      <c r="O638" s="317"/>
      <c r="P638" s="317"/>
      <c r="Q638" s="317"/>
      <c r="R638" s="317"/>
      <c r="S638" s="317"/>
      <c r="T638" s="317"/>
      <c r="U638" s="317"/>
      <c r="V638" s="317"/>
      <c r="W638" s="317"/>
      <c r="X638" s="317"/>
      <c r="Y638" s="317"/>
      <c r="Z638" s="317"/>
      <c r="AA638" s="317"/>
      <c r="AB638" s="317"/>
      <c r="AC638" s="317"/>
    </row>
    <row r="639">
      <c r="A639" s="317"/>
      <c r="B639" s="381"/>
      <c r="C639" s="317"/>
      <c r="D639" s="381"/>
      <c r="E639" s="381"/>
      <c r="F639" s="381"/>
      <c r="G639" s="317"/>
      <c r="H639" s="317"/>
      <c r="I639" s="317"/>
      <c r="J639" s="317"/>
      <c r="K639" s="317"/>
      <c r="L639" s="317"/>
      <c r="M639" s="317"/>
      <c r="N639" s="317"/>
      <c r="O639" s="317"/>
      <c r="P639" s="317"/>
      <c r="Q639" s="317"/>
      <c r="R639" s="317"/>
      <c r="S639" s="317"/>
      <c r="T639" s="317"/>
      <c r="U639" s="317"/>
      <c r="V639" s="317"/>
      <c r="W639" s="317"/>
      <c r="X639" s="317"/>
      <c r="Y639" s="317"/>
      <c r="Z639" s="317"/>
      <c r="AA639" s="317"/>
      <c r="AB639" s="317"/>
      <c r="AC639" s="317"/>
    </row>
    <row r="640">
      <c r="A640" s="317"/>
      <c r="B640" s="381"/>
      <c r="C640" s="317"/>
      <c r="D640" s="381"/>
      <c r="E640" s="381"/>
      <c r="F640" s="381"/>
      <c r="G640" s="317"/>
      <c r="H640" s="317"/>
      <c r="I640" s="317"/>
      <c r="J640" s="317"/>
      <c r="K640" s="317"/>
      <c r="L640" s="317"/>
      <c r="M640" s="317"/>
      <c r="N640" s="317"/>
      <c r="O640" s="317"/>
      <c r="P640" s="317"/>
      <c r="Q640" s="317"/>
      <c r="R640" s="317"/>
      <c r="S640" s="317"/>
      <c r="T640" s="317"/>
      <c r="U640" s="317"/>
      <c r="V640" s="317"/>
      <c r="W640" s="317"/>
      <c r="X640" s="317"/>
      <c r="Y640" s="317"/>
      <c r="Z640" s="317"/>
      <c r="AA640" s="317"/>
      <c r="AB640" s="317"/>
      <c r="AC640" s="317"/>
    </row>
    <row r="641">
      <c r="A641" s="317"/>
      <c r="B641" s="381"/>
      <c r="C641" s="317"/>
      <c r="D641" s="381"/>
      <c r="E641" s="381"/>
      <c r="F641" s="381"/>
      <c r="G641" s="317"/>
      <c r="H641" s="317"/>
      <c r="I641" s="317"/>
      <c r="J641" s="317"/>
      <c r="K641" s="317"/>
      <c r="L641" s="317"/>
      <c r="M641" s="317"/>
      <c r="N641" s="317"/>
      <c r="O641" s="317"/>
      <c r="P641" s="317"/>
      <c r="Q641" s="317"/>
      <c r="R641" s="317"/>
      <c r="S641" s="317"/>
      <c r="T641" s="317"/>
      <c r="U641" s="317"/>
      <c r="V641" s="317"/>
      <c r="W641" s="317"/>
      <c r="X641" s="317"/>
      <c r="Y641" s="317"/>
      <c r="Z641" s="317"/>
      <c r="AA641" s="317"/>
      <c r="AB641" s="317"/>
      <c r="AC641" s="317"/>
    </row>
    <row r="642">
      <c r="A642" s="317"/>
      <c r="B642" s="381"/>
      <c r="C642" s="317"/>
      <c r="D642" s="381"/>
      <c r="E642" s="381"/>
      <c r="F642" s="381"/>
      <c r="G642" s="317"/>
      <c r="H642" s="317"/>
      <c r="I642" s="317"/>
      <c r="J642" s="317"/>
      <c r="K642" s="317"/>
      <c r="L642" s="317"/>
      <c r="M642" s="317"/>
      <c r="N642" s="317"/>
      <c r="O642" s="317"/>
      <c r="P642" s="317"/>
      <c r="Q642" s="317"/>
      <c r="R642" s="317"/>
      <c r="S642" s="317"/>
      <c r="T642" s="317"/>
      <c r="U642" s="317"/>
      <c r="V642" s="317"/>
      <c r="W642" s="317"/>
      <c r="X642" s="317"/>
      <c r="Y642" s="317"/>
      <c r="Z642" s="317"/>
      <c r="AA642" s="317"/>
      <c r="AB642" s="317"/>
      <c r="AC642" s="317"/>
    </row>
    <row r="643">
      <c r="A643" s="317"/>
      <c r="B643" s="381"/>
      <c r="C643" s="317"/>
      <c r="D643" s="381"/>
      <c r="E643" s="381"/>
      <c r="F643" s="381"/>
      <c r="G643" s="317"/>
      <c r="H643" s="317"/>
      <c r="I643" s="317"/>
      <c r="J643" s="317"/>
      <c r="K643" s="317"/>
      <c r="L643" s="317"/>
      <c r="M643" s="317"/>
      <c r="N643" s="317"/>
      <c r="O643" s="317"/>
      <c r="P643" s="317"/>
      <c r="Q643" s="317"/>
      <c r="R643" s="317"/>
      <c r="S643" s="317"/>
      <c r="T643" s="317"/>
      <c r="U643" s="317"/>
      <c r="V643" s="317"/>
      <c r="W643" s="317"/>
      <c r="X643" s="317"/>
      <c r="Y643" s="317"/>
      <c r="Z643" s="317"/>
      <c r="AA643" s="317"/>
      <c r="AB643" s="317"/>
      <c r="AC643" s="317"/>
    </row>
    <row r="644">
      <c r="A644" s="317"/>
      <c r="B644" s="381"/>
      <c r="C644" s="317"/>
      <c r="D644" s="381"/>
      <c r="E644" s="381"/>
      <c r="F644" s="381"/>
      <c r="G644" s="317"/>
      <c r="H644" s="317"/>
      <c r="I644" s="317"/>
      <c r="J644" s="317"/>
      <c r="K644" s="317"/>
      <c r="L644" s="317"/>
      <c r="M644" s="317"/>
      <c r="N644" s="317"/>
      <c r="O644" s="317"/>
      <c r="P644" s="317"/>
      <c r="Q644" s="317"/>
      <c r="R644" s="317"/>
      <c r="S644" s="317"/>
      <c r="T644" s="317"/>
      <c r="U644" s="317"/>
      <c r="V644" s="317"/>
      <c r="W644" s="317"/>
      <c r="X644" s="317"/>
      <c r="Y644" s="317"/>
      <c r="Z644" s="317"/>
      <c r="AA644" s="317"/>
      <c r="AB644" s="317"/>
      <c r="AC644" s="317"/>
    </row>
    <row r="645">
      <c r="A645" s="317"/>
      <c r="B645" s="381"/>
      <c r="C645" s="317"/>
      <c r="D645" s="381"/>
      <c r="E645" s="381"/>
      <c r="F645" s="381"/>
      <c r="G645" s="317"/>
      <c r="H645" s="317"/>
      <c r="I645" s="317"/>
      <c r="J645" s="317"/>
      <c r="K645" s="317"/>
      <c r="L645" s="317"/>
      <c r="M645" s="317"/>
      <c r="N645" s="317"/>
      <c r="O645" s="317"/>
      <c r="P645" s="317"/>
      <c r="Q645" s="317"/>
      <c r="R645" s="317"/>
      <c r="S645" s="317"/>
      <c r="T645" s="317"/>
      <c r="U645" s="317"/>
      <c r="V645" s="317"/>
      <c r="W645" s="317"/>
      <c r="X645" s="317"/>
      <c r="Y645" s="317"/>
      <c r="Z645" s="317"/>
      <c r="AA645" s="317"/>
      <c r="AB645" s="317"/>
      <c r="AC645" s="317"/>
    </row>
    <row r="646">
      <c r="A646" s="317"/>
      <c r="B646" s="381"/>
      <c r="C646" s="317"/>
      <c r="D646" s="381"/>
      <c r="E646" s="381"/>
      <c r="F646" s="381"/>
      <c r="G646" s="317"/>
      <c r="H646" s="317"/>
      <c r="I646" s="317"/>
      <c r="J646" s="317"/>
      <c r="K646" s="317"/>
      <c r="L646" s="317"/>
      <c r="M646" s="317"/>
      <c r="N646" s="317"/>
      <c r="O646" s="317"/>
      <c r="P646" s="317"/>
      <c r="Q646" s="317"/>
      <c r="R646" s="317"/>
      <c r="S646" s="317"/>
      <c r="T646" s="317"/>
      <c r="U646" s="317"/>
      <c r="V646" s="317"/>
      <c r="W646" s="317"/>
      <c r="X646" s="317"/>
      <c r="Y646" s="317"/>
      <c r="Z646" s="317"/>
      <c r="AA646" s="317"/>
      <c r="AB646" s="317"/>
      <c r="AC646" s="317"/>
    </row>
    <row r="647">
      <c r="A647" s="317"/>
      <c r="B647" s="381"/>
      <c r="C647" s="317"/>
      <c r="D647" s="381"/>
      <c r="E647" s="381"/>
      <c r="F647" s="381"/>
      <c r="G647" s="317"/>
      <c r="H647" s="317"/>
      <c r="I647" s="317"/>
      <c r="J647" s="317"/>
      <c r="K647" s="317"/>
      <c r="L647" s="317"/>
      <c r="M647" s="317"/>
      <c r="N647" s="317"/>
      <c r="O647" s="317"/>
      <c r="P647" s="317"/>
      <c r="Q647" s="317"/>
      <c r="R647" s="317"/>
      <c r="S647" s="317"/>
      <c r="T647" s="317"/>
      <c r="U647" s="317"/>
      <c r="V647" s="317"/>
      <c r="W647" s="317"/>
      <c r="X647" s="317"/>
      <c r="Y647" s="317"/>
      <c r="Z647" s="317"/>
      <c r="AA647" s="317"/>
      <c r="AB647" s="317"/>
      <c r="AC647" s="317"/>
    </row>
    <row r="648">
      <c r="A648" s="317"/>
      <c r="B648" s="381"/>
      <c r="C648" s="317"/>
      <c r="D648" s="381"/>
      <c r="E648" s="381"/>
      <c r="F648" s="381"/>
      <c r="G648" s="317"/>
      <c r="H648" s="317"/>
      <c r="I648" s="317"/>
      <c r="J648" s="317"/>
      <c r="K648" s="317"/>
      <c r="L648" s="317"/>
      <c r="M648" s="317"/>
      <c r="N648" s="317"/>
      <c r="O648" s="317"/>
      <c r="P648" s="317"/>
      <c r="Q648" s="317"/>
      <c r="R648" s="317"/>
      <c r="S648" s="317"/>
      <c r="T648" s="317"/>
      <c r="U648" s="317"/>
      <c r="V648" s="317"/>
      <c r="W648" s="317"/>
      <c r="X648" s="317"/>
      <c r="Y648" s="317"/>
      <c r="Z648" s="317"/>
      <c r="AA648" s="317"/>
      <c r="AB648" s="317"/>
      <c r="AC648" s="317"/>
    </row>
    <row r="649">
      <c r="A649" s="317"/>
      <c r="B649" s="381"/>
      <c r="C649" s="317"/>
      <c r="D649" s="381"/>
      <c r="E649" s="381"/>
      <c r="F649" s="381"/>
      <c r="G649" s="317"/>
      <c r="H649" s="317"/>
      <c r="I649" s="317"/>
      <c r="J649" s="317"/>
      <c r="K649" s="317"/>
      <c r="L649" s="317"/>
      <c r="M649" s="317"/>
      <c r="N649" s="317"/>
      <c r="O649" s="317"/>
      <c r="P649" s="317"/>
      <c r="Q649" s="317"/>
      <c r="R649" s="317"/>
      <c r="S649" s="317"/>
      <c r="T649" s="317"/>
      <c r="U649" s="317"/>
      <c r="V649" s="317"/>
      <c r="W649" s="317"/>
      <c r="X649" s="317"/>
      <c r="Y649" s="317"/>
      <c r="Z649" s="317"/>
      <c r="AA649" s="317"/>
      <c r="AB649" s="317"/>
      <c r="AC649" s="317"/>
    </row>
    <row r="650">
      <c r="A650" s="317"/>
      <c r="B650" s="381"/>
      <c r="C650" s="317"/>
      <c r="D650" s="381"/>
      <c r="E650" s="381"/>
      <c r="F650" s="381"/>
      <c r="G650" s="317"/>
      <c r="H650" s="317"/>
      <c r="I650" s="317"/>
      <c r="J650" s="317"/>
      <c r="K650" s="317"/>
      <c r="L650" s="317"/>
      <c r="M650" s="317"/>
      <c r="N650" s="317"/>
      <c r="O650" s="317"/>
      <c r="P650" s="317"/>
      <c r="Q650" s="317"/>
      <c r="R650" s="317"/>
      <c r="S650" s="317"/>
      <c r="T650" s="317"/>
      <c r="U650" s="317"/>
      <c r="V650" s="317"/>
      <c r="W650" s="317"/>
      <c r="X650" s="317"/>
      <c r="Y650" s="317"/>
      <c r="Z650" s="317"/>
      <c r="AA650" s="317"/>
      <c r="AB650" s="317"/>
      <c r="AC650" s="317"/>
    </row>
    <row r="651">
      <c r="A651" s="317"/>
      <c r="B651" s="381"/>
      <c r="C651" s="317"/>
      <c r="D651" s="381"/>
      <c r="E651" s="381"/>
      <c r="F651" s="381"/>
      <c r="G651" s="317"/>
      <c r="H651" s="317"/>
      <c r="I651" s="317"/>
      <c r="J651" s="317"/>
      <c r="K651" s="317"/>
      <c r="L651" s="317"/>
      <c r="M651" s="317"/>
      <c r="N651" s="317"/>
      <c r="O651" s="317"/>
      <c r="P651" s="317"/>
      <c r="Q651" s="317"/>
      <c r="R651" s="317"/>
      <c r="S651" s="317"/>
      <c r="T651" s="317"/>
      <c r="U651" s="317"/>
      <c r="V651" s="317"/>
      <c r="W651" s="317"/>
      <c r="X651" s="317"/>
      <c r="Y651" s="317"/>
      <c r="Z651" s="317"/>
      <c r="AA651" s="317"/>
      <c r="AB651" s="317"/>
      <c r="AC651" s="317"/>
    </row>
    <row r="652">
      <c r="A652" s="317"/>
      <c r="B652" s="381"/>
      <c r="C652" s="317"/>
      <c r="D652" s="381"/>
      <c r="E652" s="381"/>
      <c r="F652" s="381"/>
      <c r="G652" s="317"/>
      <c r="H652" s="317"/>
      <c r="I652" s="317"/>
      <c r="J652" s="317"/>
      <c r="K652" s="317"/>
      <c r="L652" s="317"/>
      <c r="M652" s="317"/>
      <c r="N652" s="317"/>
      <c r="O652" s="317"/>
      <c r="P652" s="317"/>
      <c r="Q652" s="317"/>
      <c r="R652" s="317"/>
      <c r="S652" s="317"/>
      <c r="T652" s="317"/>
      <c r="U652" s="317"/>
      <c r="V652" s="317"/>
      <c r="W652" s="317"/>
      <c r="X652" s="317"/>
      <c r="Y652" s="317"/>
      <c r="Z652" s="317"/>
      <c r="AA652" s="317"/>
      <c r="AB652" s="317"/>
      <c r="AC652" s="317"/>
    </row>
    <row r="653">
      <c r="A653" s="317"/>
      <c r="B653" s="381"/>
      <c r="C653" s="317"/>
      <c r="D653" s="381"/>
      <c r="E653" s="381"/>
      <c r="F653" s="381"/>
      <c r="G653" s="317"/>
      <c r="H653" s="317"/>
      <c r="I653" s="317"/>
      <c r="J653" s="317"/>
      <c r="K653" s="317"/>
      <c r="L653" s="317"/>
      <c r="M653" s="317"/>
      <c r="N653" s="317"/>
      <c r="O653" s="317"/>
      <c r="P653" s="317"/>
      <c r="Q653" s="317"/>
      <c r="R653" s="317"/>
      <c r="S653" s="317"/>
      <c r="T653" s="317"/>
      <c r="U653" s="317"/>
      <c r="V653" s="317"/>
      <c r="W653" s="317"/>
      <c r="X653" s="317"/>
      <c r="Y653" s="317"/>
      <c r="Z653" s="317"/>
      <c r="AA653" s="317"/>
      <c r="AB653" s="317"/>
      <c r="AC653" s="317"/>
    </row>
    <row r="654">
      <c r="A654" s="317"/>
      <c r="B654" s="381"/>
      <c r="C654" s="317"/>
      <c r="D654" s="381"/>
      <c r="E654" s="381"/>
      <c r="F654" s="381"/>
      <c r="G654" s="317"/>
      <c r="H654" s="317"/>
      <c r="I654" s="317"/>
      <c r="J654" s="317"/>
      <c r="K654" s="317"/>
      <c r="L654" s="317"/>
      <c r="M654" s="317"/>
      <c r="N654" s="317"/>
      <c r="O654" s="317"/>
      <c r="P654" s="317"/>
      <c r="Q654" s="317"/>
      <c r="R654" s="317"/>
      <c r="S654" s="317"/>
      <c r="T654" s="317"/>
      <c r="U654" s="317"/>
      <c r="V654" s="317"/>
      <c r="W654" s="317"/>
      <c r="X654" s="317"/>
      <c r="Y654" s="317"/>
      <c r="Z654" s="317"/>
      <c r="AA654" s="317"/>
      <c r="AB654" s="317"/>
      <c r="AC654" s="317"/>
    </row>
    <row r="655">
      <c r="A655" s="317"/>
      <c r="B655" s="381"/>
      <c r="C655" s="317"/>
      <c r="D655" s="381"/>
      <c r="E655" s="381"/>
      <c r="F655" s="381"/>
      <c r="G655" s="317"/>
      <c r="H655" s="317"/>
      <c r="I655" s="317"/>
      <c r="J655" s="317"/>
      <c r="K655" s="317"/>
      <c r="L655" s="317"/>
      <c r="M655" s="317"/>
      <c r="N655" s="317"/>
      <c r="O655" s="317"/>
      <c r="P655" s="317"/>
      <c r="Q655" s="317"/>
      <c r="R655" s="317"/>
      <c r="S655" s="317"/>
      <c r="T655" s="317"/>
      <c r="U655" s="317"/>
      <c r="V655" s="317"/>
      <c r="W655" s="317"/>
      <c r="X655" s="317"/>
      <c r="Y655" s="317"/>
      <c r="Z655" s="317"/>
      <c r="AA655" s="317"/>
      <c r="AB655" s="317"/>
      <c r="AC655" s="317"/>
    </row>
    <row r="656">
      <c r="A656" s="317"/>
      <c r="B656" s="381"/>
      <c r="C656" s="317"/>
      <c r="D656" s="381"/>
      <c r="E656" s="381"/>
      <c r="F656" s="381"/>
      <c r="G656" s="317"/>
      <c r="H656" s="317"/>
      <c r="I656" s="317"/>
      <c r="J656" s="317"/>
      <c r="K656" s="317"/>
      <c r="L656" s="317"/>
      <c r="M656" s="317"/>
      <c r="N656" s="317"/>
      <c r="O656" s="317"/>
      <c r="P656" s="317"/>
      <c r="Q656" s="317"/>
      <c r="R656" s="317"/>
      <c r="S656" s="317"/>
      <c r="T656" s="317"/>
      <c r="U656" s="317"/>
      <c r="V656" s="317"/>
      <c r="W656" s="317"/>
      <c r="X656" s="317"/>
      <c r="Y656" s="317"/>
      <c r="Z656" s="317"/>
      <c r="AA656" s="317"/>
      <c r="AB656" s="317"/>
      <c r="AC656" s="317"/>
    </row>
    <row r="657">
      <c r="A657" s="317"/>
      <c r="B657" s="381"/>
      <c r="C657" s="317"/>
      <c r="D657" s="381"/>
      <c r="E657" s="381"/>
      <c r="F657" s="381"/>
      <c r="G657" s="317"/>
      <c r="H657" s="317"/>
      <c r="I657" s="317"/>
      <c r="J657" s="317"/>
      <c r="K657" s="317"/>
      <c r="L657" s="317"/>
      <c r="M657" s="317"/>
      <c r="N657" s="317"/>
      <c r="O657" s="317"/>
      <c r="P657" s="317"/>
      <c r="Q657" s="317"/>
      <c r="R657" s="317"/>
      <c r="S657" s="317"/>
      <c r="T657" s="317"/>
      <c r="U657" s="317"/>
      <c r="V657" s="317"/>
      <c r="W657" s="317"/>
      <c r="X657" s="317"/>
      <c r="Y657" s="317"/>
      <c r="Z657" s="317"/>
      <c r="AA657" s="317"/>
      <c r="AB657" s="317"/>
      <c r="AC657" s="317"/>
    </row>
    <row r="658">
      <c r="A658" s="317"/>
      <c r="B658" s="381"/>
      <c r="C658" s="317"/>
      <c r="D658" s="381"/>
      <c r="E658" s="381"/>
      <c r="F658" s="381"/>
      <c r="G658" s="317"/>
      <c r="H658" s="317"/>
      <c r="I658" s="317"/>
      <c r="J658" s="317"/>
      <c r="K658" s="317"/>
      <c r="L658" s="317"/>
      <c r="M658" s="317"/>
      <c r="N658" s="317"/>
      <c r="O658" s="317"/>
      <c r="P658" s="317"/>
      <c r="Q658" s="317"/>
      <c r="R658" s="317"/>
      <c r="S658" s="317"/>
      <c r="T658" s="317"/>
      <c r="U658" s="317"/>
      <c r="V658" s="317"/>
      <c r="W658" s="317"/>
      <c r="X658" s="317"/>
      <c r="Y658" s="317"/>
      <c r="Z658" s="317"/>
      <c r="AA658" s="317"/>
      <c r="AB658" s="317"/>
      <c r="AC658" s="317"/>
    </row>
    <row r="659">
      <c r="A659" s="317"/>
      <c r="B659" s="381"/>
      <c r="C659" s="317"/>
      <c r="D659" s="381"/>
      <c r="E659" s="381"/>
      <c r="F659" s="381"/>
      <c r="G659" s="317"/>
      <c r="H659" s="317"/>
      <c r="I659" s="317"/>
      <c r="J659" s="317"/>
      <c r="K659" s="317"/>
      <c r="L659" s="317"/>
      <c r="M659" s="317"/>
      <c r="N659" s="317"/>
      <c r="O659" s="317"/>
      <c r="P659" s="317"/>
      <c r="Q659" s="317"/>
      <c r="R659" s="317"/>
      <c r="S659" s="317"/>
      <c r="T659" s="317"/>
      <c r="U659" s="317"/>
      <c r="V659" s="317"/>
      <c r="W659" s="317"/>
      <c r="X659" s="317"/>
      <c r="Y659" s="317"/>
      <c r="Z659" s="317"/>
      <c r="AA659" s="317"/>
      <c r="AB659" s="317"/>
      <c r="AC659" s="317"/>
    </row>
    <row r="660">
      <c r="A660" s="317"/>
      <c r="B660" s="381"/>
      <c r="C660" s="317"/>
      <c r="D660" s="381"/>
      <c r="E660" s="381"/>
      <c r="F660" s="381"/>
      <c r="G660" s="317"/>
      <c r="H660" s="317"/>
      <c r="I660" s="317"/>
      <c r="J660" s="317"/>
      <c r="K660" s="317"/>
      <c r="L660" s="317"/>
      <c r="M660" s="317"/>
      <c r="N660" s="317"/>
      <c r="O660" s="317"/>
      <c r="P660" s="317"/>
      <c r="Q660" s="317"/>
      <c r="R660" s="317"/>
      <c r="S660" s="317"/>
      <c r="T660" s="317"/>
      <c r="U660" s="317"/>
      <c r="V660" s="317"/>
      <c r="W660" s="317"/>
      <c r="X660" s="317"/>
      <c r="Y660" s="317"/>
      <c r="Z660" s="317"/>
      <c r="AA660" s="317"/>
      <c r="AB660" s="317"/>
      <c r="AC660" s="317"/>
    </row>
    <row r="661">
      <c r="A661" s="317"/>
      <c r="B661" s="381"/>
      <c r="C661" s="317"/>
      <c r="D661" s="381"/>
      <c r="E661" s="381"/>
      <c r="F661" s="381"/>
      <c r="G661" s="317"/>
      <c r="H661" s="317"/>
      <c r="I661" s="317"/>
      <c r="J661" s="317"/>
      <c r="K661" s="317"/>
      <c r="L661" s="317"/>
      <c r="M661" s="317"/>
      <c r="N661" s="317"/>
      <c r="O661" s="317"/>
      <c r="P661" s="317"/>
      <c r="Q661" s="317"/>
      <c r="R661" s="317"/>
      <c r="S661" s="317"/>
      <c r="T661" s="317"/>
      <c r="U661" s="317"/>
      <c r="V661" s="317"/>
      <c r="W661" s="317"/>
      <c r="X661" s="317"/>
      <c r="Y661" s="317"/>
      <c r="Z661" s="317"/>
      <c r="AA661" s="317"/>
      <c r="AB661" s="317"/>
      <c r="AC661" s="317"/>
    </row>
    <row r="662">
      <c r="A662" s="317"/>
      <c r="B662" s="381"/>
      <c r="C662" s="317"/>
      <c r="D662" s="381"/>
      <c r="E662" s="381"/>
      <c r="F662" s="381"/>
      <c r="G662" s="317"/>
      <c r="H662" s="317"/>
      <c r="I662" s="317"/>
      <c r="J662" s="317"/>
      <c r="K662" s="317"/>
      <c r="L662" s="317"/>
      <c r="M662" s="317"/>
      <c r="N662" s="317"/>
      <c r="O662" s="317"/>
      <c r="P662" s="317"/>
      <c r="Q662" s="317"/>
      <c r="R662" s="317"/>
      <c r="S662" s="317"/>
      <c r="T662" s="317"/>
      <c r="U662" s="317"/>
      <c r="V662" s="317"/>
      <c r="W662" s="317"/>
      <c r="X662" s="317"/>
      <c r="Y662" s="317"/>
      <c r="Z662" s="317"/>
      <c r="AA662" s="317"/>
      <c r="AB662" s="317"/>
      <c r="AC662" s="317"/>
    </row>
    <row r="663">
      <c r="A663" s="317"/>
      <c r="B663" s="381"/>
      <c r="C663" s="317"/>
      <c r="D663" s="381"/>
      <c r="E663" s="381"/>
      <c r="F663" s="381"/>
      <c r="G663" s="317"/>
      <c r="H663" s="317"/>
      <c r="I663" s="317"/>
      <c r="J663" s="317"/>
      <c r="K663" s="317"/>
      <c r="L663" s="317"/>
      <c r="M663" s="317"/>
      <c r="N663" s="317"/>
      <c r="O663" s="317"/>
      <c r="P663" s="317"/>
      <c r="Q663" s="317"/>
      <c r="R663" s="317"/>
      <c r="S663" s="317"/>
      <c r="T663" s="317"/>
      <c r="U663" s="317"/>
      <c r="V663" s="317"/>
      <c r="W663" s="317"/>
      <c r="X663" s="317"/>
      <c r="Y663" s="317"/>
      <c r="Z663" s="317"/>
      <c r="AA663" s="317"/>
      <c r="AB663" s="317"/>
      <c r="AC663" s="317"/>
    </row>
    <row r="664">
      <c r="A664" s="317"/>
      <c r="B664" s="381"/>
      <c r="C664" s="317"/>
      <c r="D664" s="381"/>
      <c r="E664" s="381"/>
      <c r="F664" s="381"/>
      <c r="G664" s="317"/>
      <c r="H664" s="317"/>
      <c r="I664" s="317"/>
      <c r="J664" s="317"/>
      <c r="K664" s="317"/>
      <c r="L664" s="317"/>
      <c r="M664" s="317"/>
      <c r="N664" s="317"/>
      <c r="O664" s="317"/>
      <c r="P664" s="317"/>
      <c r="Q664" s="317"/>
      <c r="R664" s="317"/>
      <c r="S664" s="317"/>
      <c r="T664" s="317"/>
      <c r="U664" s="317"/>
      <c r="V664" s="317"/>
      <c r="W664" s="317"/>
      <c r="X664" s="317"/>
      <c r="Y664" s="317"/>
      <c r="Z664" s="317"/>
      <c r="AA664" s="317"/>
      <c r="AB664" s="317"/>
      <c r="AC664" s="317"/>
    </row>
    <row r="665">
      <c r="A665" s="317"/>
      <c r="B665" s="381"/>
      <c r="C665" s="317"/>
      <c r="D665" s="381"/>
      <c r="E665" s="381"/>
      <c r="F665" s="381"/>
      <c r="G665" s="317"/>
      <c r="H665" s="317"/>
      <c r="I665" s="317"/>
      <c r="J665" s="317"/>
      <c r="K665" s="317"/>
      <c r="L665" s="317"/>
      <c r="M665" s="317"/>
      <c r="N665" s="317"/>
      <c r="O665" s="317"/>
      <c r="P665" s="317"/>
      <c r="Q665" s="317"/>
      <c r="R665" s="317"/>
      <c r="S665" s="317"/>
      <c r="T665" s="317"/>
      <c r="U665" s="317"/>
      <c r="V665" s="317"/>
      <c r="W665" s="317"/>
      <c r="X665" s="317"/>
      <c r="Y665" s="317"/>
      <c r="Z665" s="317"/>
      <c r="AA665" s="317"/>
      <c r="AB665" s="317"/>
      <c r="AC665" s="317"/>
    </row>
    <row r="666">
      <c r="A666" s="317"/>
      <c r="B666" s="381"/>
      <c r="C666" s="317"/>
      <c r="D666" s="381"/>
      <c r="E666" s="381"/>
      <c r="F666" s="381"/>
      <c r="G666" s="317"/>
      <c r="H666" s="317"/>
      <c r="I666" s="317"/>
      <c r="J666" s="317"/>
      <c r="K666" s="317"/>
      <c r="L666" s="317"/>
      <c r="M666" s="317"/>
      <c r="N666" s="317"/>
      <c r="O666" s="317"/>
      <c r="P666" s="317"/>
      <c r="Q666" s="317"/>
      <c r="R666" s="317"/>
      <c r="S666" s="317"/>
      <c r="T666" s="317"/>
      <c r="U666" s="317"/>
      <c r="V666" s="317"/>
      <c r="W666" s="317"/>
      <c r="X666" s="317"/>
      <c r="Y666" s="317"/>
      <c r="Z666" s="317"/>
      <c r="AA666" s="317"/>
      <c r="AB666" s="317"/>
      <c r="AC666" s="317"/>
    </row>
    <row r="667">
      <c r="A667" s="317"/>
      <c r="B667" s="381"/>
      <c r="C667" s="317"/>
      <c r="D667" s="381"/>
      <c r="E667" s="381"/>
      <c r="F667" s="381"/>
      <c r="G667" s="317"/>
      <c r="H667" s="317"/>
      <c r="I667" s="317"/>
      <c r="J667" s="317"/>
      <c r="K667" s="317"/>
      <c r="L667" s="317"/>
      <c r="M667" s="317"/>
      <c r="N667" s="317"/>
      <c r="O667" s="317"/>
      <c r="P667" s="317"/>
      <c r="Q667" s="317"/>
      <c r="R667" s="317"/>
      <c r="S667" s="317"/>
      <c r="T667" s="317"/>
      <c r="U667" s="317"/>
      <c r="V667" s="317"/>
      <c r="W667" s="317"/>
      <c r="X667" s="317"/>
      <c r="Y667" s="317"/>
      <c r="Z667" s="317"/>
      <c r="AA667" s="317"/>
      <c r="AB667" s="317"/>
      <c r="AC667" s="317"/>
    </row>
    <row r="668">
      <c r="A668" s="317"/>
      <c r="B668" s="381"/>
      <c r="C668" s="317"/>
      <c r="D668" s="381"/>
      <c r="E668" s="381"/>
      <c r="F668" s="381"/>
      <c r="G668" s="317"/>
      <c r="H668" s="317"/>
      <c r="I668" s="317"/>
      <c r="J668" s="317"/>
      <c r="K668" s="317"/>
      <c r="L668" s="317"/>
      <c r="M668" s="317"/>
      <c r="N668" s="317"/>
      <c r="O668" s="317"/>
      <c r="P668" s="317"/>
      <c r="Q668" s="317"/>
      <c r="R668" s="317"/>
      <c r="S668" s="317"/>
      <c r="T668" s="317"/>
      <c r="U668" s="317"/>
      <c r="V668" s="317"/>
      <c r="W668" s="317"/>
      <c r="X668" s="317"/>
      <c r="Y668" s="317"/>
      <c r="Z668" s="317"/>
      <c r="AA668" s="317"/>
      <c r="AB668" s="317"/>
      <c r="AC668" s="317"/>
    </row>
    <row r="669">
      <c r="A669" s="317"/>
      <c r="B669" s="381"/>
      <c r="C669" s="317"/>
      <c r="D669" s="381"/>
      <c r="E669" s="381"/>
      <c r="F669" s="381"/>
      <c r="G669" s="317"/>
      <c r="H669" s="317"/>
      <c r="I669" s="317"/>
      <c r="J669" s="317"/>
      <c r="K669" s="317"/>
      <c r="L669" s="317"/>
      <c r="M669" s="317"/>
      <c r="N669" s="317"/>
      <c r="O669" s="317"/>
      <c r="P669" s="317"/>
      <c r="Q669" s="317"/>
      <c r="R669" s="317"/>
      <c r="S669" s="317"/>
      <c r="T669" s="317"/>
      <c r="U669" s="317"/>
      <c r="V669" s="317"/>
      <c r="W669" s="317"/>
      <c r="X669" s="317"/>
      <c r="Y669" s="317"/>
      <c r="Z669" s="317"/>
      <c r="AA669" s="317"/>
      <c r="AB669" s="317"/>
      <c r="AC669" s="317"/>
    </row>
    <row r="670">
      <c r="A670" s="317"/>
      <c r="B670" s="381"/>
      <c r="C670" s="317"/>
      <c r="D670" s="381"/>
      <c r="E670" s="381"/>
      <c r="F670" s="381"/>
      <c r="G670" s="317"/>
      <c r="H670" s="317"/>
      <c r="I670" s="317"/>
      <c r="J670" s="317"/>
      <c r="K670" s="317"/>
      <c r="L670" s="317"/>
      <c r="M670" s="317"/>
      <c r="N670" s="317"/>
      <c r="O670" s="317"/>
      <c r="P670" s="317"/>
      <c r="Q670" s="317"/>
      <c r="R670" s="317"/>
      <c r="S670" s="317"/>
      <c r="T670" s="317"/>
      <c r="U670" s="317"/>
      <c r="V670" s="317"/>
      <c r="W670" s="317"/>
      <c r="X670" s="317"/>
      <c r="Y670" s="317"/>
      <c r="Z670" s="317"/>
      <c r="AA670" s="317"/>
      <c r="AB670" s="317"/>
      <c r="AC670" s="317"/>
    </row>
    <row r="671">
      <c r="A671" s="317"/>
      <c r="B671" s="381"/>
      <c r="C671" s="317"/>
      <c r="D671" s="381"/>
      <c r="E671" s="381"/>
      <c r="F671" s="381"/>
      <c r="G671" s="317"/>
      <c r="H671" s="317"/>
      <c r="I671" s="317"/>
      <c r="J671" s="317"/>
      <c r="K671" s="317"/>
      <c r="L671" s="317"/>
      <c r="M671" s="317"/>
      <c r="N671" s="317"/>
      <c r="O671" s="317"/>
      <c r="P671" s="317"/>
      <c r="Q671" s="317"/>
      <c r="R671" s="317"/>
      <c r="S671" s="317"/>
      <c r="T671" s="317"/>
      <c r="U671" s="317"/>
      <c r="V671" s="317"/>
      <c r="W671" s="317"/>
      <c r="X671" s="317"/>
      <c r="Y671" s="317"/>
      <c r="Z671" s="317"/>
      <c r="AA671" s="317"/>
      <c r="AB671" s="317"/>
      <c r="AC671" s="317"/>
    </row>
    <row r="672">
      <c r="A672" s="317"/>
      <c r="B672" s="381"/>
      <c r="C672" s="317"/>
      <c r="D672" s="381"/>
      <c r="E672" s="381"/>
      <c r="F672" s="381"/>
      <c r="G672" s="317"/>
      <c r="H672" s="317"/>
      <c r="I672" s="317"/>
      <c r="J672" s="317"/>
      <c r="K672" s="317"/>
      <c r="L672" s="317"/>
      <c r="M672" s="317"/>
      <c r="N672" s="317"/>
      <c r="O672" s="317"/>
      <c r="P672" s="317"/>
      <c r="Q672" s="317"/>
      <c r="R672" s="317"/>
      <c r="S672" s="317"/>
      <c r="T672" s="317"/>
      <c r="U672" s="317"/>
      <c r="V672" s="317"/>
      <c r="W672" s="317"/>
      <c r="X672" s="317"/>
      <c r="Y672" s="317"/>
      <c r="Z672" s="317"/>
      <c r="AA672" s="317"/>
      <c r="AB672" s="317"/>
      <c r="AC672" s="317"/>
    </row>
    <row r="673">
      <c r="A673" s="317"/>
      <c r="B673" s="381"/>
      <c r="C673" s="317"/>
      <c r="D673" s="381"/>
      <c r="E673" s="381"/>
      <c r="F673" s="381"/>
      <c r="G673" s="317"/>
      <c r="H673" s="317"/>
      <c r="I673" s="317"/>
      <c r="J673" s="317"/>
      <c r="K673" s="317"/>
      <c r="L673" s="317"/>
      <c r="M673" s="317"/>
      <c r="N673" s="317"/>
      <c r="O673" s="317"/>
      <c r="P673" s="317"/>
      <c r="Q673" s="317"/>
      <c r="R673" s="317"/>
      <c r="S673" s="317"/>
      <c r="T673" s="317"/>
      <c r="U673" s="317"/>
      <c r="V673" s="317"/>
      <c r="W673" s="317"/>
      <c r="X673" s="317"/>
      <c r="Y673" s="317"/>
      <c r="Z673" s="317"/>
      <c r="AA673" s="317"/>
      <c r="AB673" s="317"/>
      <c r="AC673" s="317"/>
    </row>
    <row r="674">
      <c r="A674" s="317"/>
      <c r="B674" s="381"/>
      <c r="C674" s="317"/>
      <c r="D674" s="381"/>
      <c r="E674" s="381"/>
      <c r="F674" s="381"/>
      <c r="G674" s="317"/>
      <c r="H674" s="317"/>
      <c r="I674" s="317"/>
      <c r="J674" s="317"/>
      <c r="K674" s="317"/>
      <c r="L674" s="317"/>
      <c r="M674" s="317"/>
      <c r="N674" s="317"/>
      <c r="O674" s="317"/>
      <c r="P674" s="317"/>
      <c r="Q674" s="317"/>
      <c r="R674" s="317"/>
      <c r="S674" s="317"/>
      <c r="T674" s="317"/>
      <c r="U674" s="317"/>
      <c r="V674" s="317"/>
      <c r="W674" s="317"/>
      <c r="X674" s="317"/>
      <c r="Y674" s="317"/>
      <c r="Z674" s="317"/>
      <c r="AA674" s="317"/>
      <c r="AB674" s="317"/>
      <c r="AC674" s="317"/>
    </row>
    <row r="675">
      <c r="A675" s="317"/>
      <c r="B675" s="381"/>
      <c r="C675" s="317"/>
      <c r="D675" s="381"/>
      <c r="E675" s="381"/>
      <c r="F675" s="381"/>
      <c r="G675" s="317"/>
      <c r="H675" s="317"/>
      <c r="I675" s="317"/>
      <c r="J675" s="317"/>
      <c r="K675" s="317"/>
      <c r="L675" s="317"/>
      <c r="M675" s="317"/>
      <c r="N675" s="317"/>
      <c r="O675" s="317"/>
      <c r="P675" s="317"/>
      <c r="Q675" s="317"/>
      <c r="R675" s="317"/>
      <c r="S675" s="317"/>
      <c r="T675" s="317"/>
      <c r="U675" s="317"/>
      <c r="V675" s="317"/>
      <c r="W675" s="317"/>
      <c r="X675" s="317"/>
      <c r="Y675" s="317"/>
      <c r="Z675" s="317"/>
      <c r="AA675" s="317"/>
      <c r="AB675" s="317"/>
      <c r="AC675" s="317"/>
    </row>
    <row r="676">
      <c r="A676" s="317"/>
      <c r="B676" s="381"/>
      <c r="C676" s="317"/>
      <c r="D676" s="381"/>
      <c r="E676" s="381"/>
      <c r="F676" s="381"/>
      <c r="G676" s="317"/>
      <c r="H676" s="317"/>
      <c r="I676" s="317"/>
      <c r="J676" s="317"/>
      <c r="K676" s="317"/>
      <c r="L676" s="317"/>
      <c r="M676" s="317"/>
      <c r="N676" s="317"/>
      <c r="O676" s="317"/>
      <c r="P676" s="317"/>
      <c r="Q676" s="317"/>
      <c r="R676" s="317"/>
      <c r="S676" s="317"/>
      <c r="T676" s="317"/>
      <c r="U676" s="317"/>
      <c r="V676" s="317"/>
      <c r="W676" s="317"/>
      <c r="X676" s="317"/>
      <c r="Y676" s="317"/>
      <c r="Z676" s="317"/>
      <c r="AA676" s="317"/>
      <c r="AB676" s="317"/>
      <c r="AC676" s="317"/>
    </row>
    <row r="677">
      <c r="A677" s="317"/>
      <c r="B677" s="381"/>
      <c r="C677" s="317"/>
      <c r="D677" s="381"/>
      <c r="E677" s="381"/>
      <c r="F677" s="381"/>
      <c r="G677" s="317"/>
      <c r="H677" s="317"/>
      <c r="I677" s="317"/>
      <c r="J677" s="317"/>
      <c r="K677" s="317"/>
      <c r="L677" s="317"/>
      <c r="M677" s="317"/>
      <c r="N677" s="317"/>
      <c r="O677" s="317"/>
      <c r="P677" s="317"/>
      <c r="Q677" s="317"/>
      <c r="R677" s="317"/>
      <c r="S677" s="317"/>
      <c r="T677" s="317"/>
      <c r="U677" s="317"/>
      <c r="V677" s="317"/>
      <c r="W677" s="317"/>
      <c r="X677" s="317"/>
      <c r="Y677" s="317"/>
      <c r="Z677" s="317"/>
      <c r="AA677" s="317"/>
      <c r="AB677" s="317"/>
      <c r="AC677" s="317"/>
    </row>
    <row r="678">
      <c r="A678" s="317"/>
      <c r="B678" s="381"/>
      <c r="C678" s="317"/>
      <c r="D678" s="381"/>
      <c r="E678" s="381"/>
      <c r="F678" s="381"/>
      <c r="G678" s="317"/>
      <c r="H678" s="317"/>
      <c r="I678" s="317"/>
      <c r="J678" s="317"/>
      <c r="K678" s="317"/>
      <c r="L678" s="317"/>
      <c r="M678" s="317"/>
      <c r="N678" s="317"/>
      <c r="O678" s="317"/>
      <c r="P678" s="317"/>
      <c r="Q678" s="317"/>
      <c r="R678" s="317"/>
      <c r="S678" s="317"/>
      <c r="T678" s="317"/>
      <c r="U678" s="317"/>
      <c r="V678" s="317"/>
      <c r="W678" s="317"/>
      <c r="X678" s="317"/>
      <c r="Y678" s="317"/>
      <c r="Z678" s="317"/>
      <c r="AA678" s="317"/>
      <c r="AB678" s="317"/>
      <c r="AC678" s="317"/>
    </row>
    <row r="679">
      <c r="A679" s="317"/>
      <c r="B679" s="381"/>
      <c r="C679" s="317"/>
      <c r="D679" s="381"/>
      <c r="E679" s="381"/>
      <c r="F679" s="381"/>
      <c r="G679" s="317"/>
      <c r="H679" s="317"/>
      <c r="I679" s="317"/>
      <c r="J679" s="317"/>
      <c r="K679" s="317"/>
      <c r="L679" s="317"/>
      <c r="M679" s="317"/>
      <c r="N679" s="317"/>
      <c r="O679" s="317"/>
      <c r="P679" s="317"/>
      <c r="Q679" s="317"/>
      <c r="R679" s="317"/>
      <c r="S679" s="317"/>
      <c r="T679" s="317"/>
      <c r="U679" s="317"/>
      <c r="V679" s="317"/>
      <c r="W679" s="317"/>
      <c r="X679" s="317"/>
      <c r="Y679" s="317"/>
      <c r="Z679" s="317"/>
      <c r="AA679" s="317"/>
      <c r="AB679" s="317"/>
      <c r="AC679" s="317"/>
    </row>
    <row r="680">
      <c r="A680" s="317"/>
      <c r="B680" s="381"/>
      <c r="C680" s="317"/>
      <c r="D680" s="381"/>
      <c r="E680" s="381"/>
      <c r="F680" s="381"/>
      <c r="G680" s="317"/>
      <c r="H680" s="317"/>
      <c r="I680" s="317"/>
      <c r="J680" s="317"/>
      <c r="K680" s="317"/>
      <c r="L680" s="317"/>
      <c r="M680" s="317"/>
      <c r="N680" s="317"/>
      <c r="O680" s="317"/>
      <c r="P680" s="317"/>
      <c r="Q680" s="317"/>
      <c r="R680" s="317"/>
      <c r="S680" s="317"/>
      <c r="T680" s="317"/>
      <c r="U680" s="317"/>
      <c r="V680" s="317"/>
      <c r="W680" s="317"/>
      <c r="X680" s="317"/>
      <c r="Y680" s="317"/>
      <c r="Z680" s="317"/>
      <c r="AA680" s="317"/>
      <c r="AB680" s="317"/>
      <c r="AC680" s="317"/>
    </row>
    <row r="681">
      <c r="A681" s="317"/>
      <c r="B681" s="381"/>
      <c r="C681" s="317"/>
      <c r="D681" s="381"/>
      <c r="E681" s="381"/>
      <c r="F681" s="381"/>
      <c r="G681" s="317"/>
      <c r="H681" s="317"/>
      <c r="I681" s="317"/>
      <c r="J681" s="317"/>
      <c r="K681" s="317"/>
      <c r="L681" s="317"/>
      <c r="M681" s="317"/>
      <c r="N681" s="317"/>
      <c r="O681" s="317"/>
      <c r="P681" s="317"/>
      <c r="Q681" s="317"/>
      <c r="R681" s="317"/>
      <c r="S681" s="317"/>
      <c r="T681" s="317"/>
      <c r="U681" s="317"/>
      <c r="V681" s="317"/>
      <c r="W681" s="317"/>
      <c r="X681" s="317"/>
      <c r="Y681" s="317"/>
      <c r="Z681" s="317"/>
      <c r="AA681" s="317"/>
      <c r="AB681" s="317"/>
      <c r="AC681" s="317"/>
    </row>
    <row r="682">
      <c r="A682" s="317"/>
      <c r="B682" s="381"/>
      <c r="C682" s="317"/>
      <c r="D682" s="381"/>
      <c r="E682" s="381"/>
      <c r="F682" s="381"/>
      <c r="G682" s="317"/>
      <c r="H682" s="317"/>
      <c r="I682" s="317"/>
      <c r="J682" s="317"/>
      <c r="K682" s="317"/>
      <c r="L682" s="317"/>
      <c r="M682" s="317"/>
      <c r="N682" s="317"/>
      <c r="O682" s="317"/>
      <c r="P682" s="317"/>
      <c r="Q682" s="317"/>
      <c r="R682" s="317"/>
      <c r="S682" s="317"/>
      <c r="T682" s="317"/>
      <c r="U682" s="317"/>
      <c r="V682" s="317"/>
      <c r="W682" s="317"/>
      <c r="X682" s="317"/>
      <c r="Y682" s="317"/>
      <c r="Z682" s="317"/>
      <c r="AA682" s="317"/>
      <c r="AB682" s="317"/>
      <c r="AC682" s="317"/>
    </row>
    <row r="683">
      <c r="A683" s="317"/>
      <c r="B683" s="381"/>
      <c r="C683" s="317"/>
      <c r="D683" s="381"/>
      <c r="E683" s="381"/>
      <c r="F683" s="381"/>
      <c r="G683" s="317"/>
      <c r="H683" s="317"/>
      <c r="I683" s="317"/>
      <c r="J683" s="317"/>
      <c r="K683" s="317"/>
      <c r="L683" s="317"/>
      <c r="M683" s="317"/>
      <c r="N683" s="317"/>
      <c r="O683" s="317"/>
      <c r="P683" s="317"/>
      <c r="Q683" s="317"/>
      <c r="R683" s="317"/>
      <c r="S683" s="317"/>
      <c r="T683" s="317"/>
      <c r="U683" s="317"/>
      <c r="V683" s="317"/>
      <c r="W683" s="317"/>
      <c r="X683" s="317"/>
      <c r="Y683" s="317"/>
      <c r="Z683" s="317"/>
      <c r="AA683" s="317"/>
      <c r="AB683" s="317"/>
      <c r="AC683" s="317"/>
    </row>
    <row r="684">
      <c r="A684" s="317"/>
      <c r="B684" s="381"/>
      <c r="C684" s="317"/>
      <c r="D684" s="381"/>
      <c r="E684" s="381"/>
      <c r="F684" s="381"/>
      <c r="G684" s="317"/>
      <c r="H684" s="317"/>
      <c r="I684" s="317"/>
      <c r="J684" s="317"/>
      <c r="K684" s="317"/>
      <c r="L684" s="317"/>
      <c r="M684" s="317"/>
      <c r="N684" s="317"/>
      <c r="O684" s="317"/>
      <c r="P684" s="317"/>
      <c r="Q684" s="317"/>
      <c r="R684" s="317"/>
      <c r="S684" s="317"/>
      <c r="T684" s="317"/>
      <c r="U684" s="317"/>
      <c r="V684" s="317"/>
      <c r="W684" s="317"/>
      <c r="X684" s="317"/>
      <c r="Y684" s="317"/>
      <c r="Z684" s="317"/>
      <c r="AA684" s="317"/>
      <c r="AB684" s="317"/>
      <c r="AC684" s="317"/>
    </row>
    <row r="685">
      <c r="A685" s="317"/>
      <c r="B685" s="381"/>
      <c r="C685" s="317"/>
      <c r="D685" s="381"/>
      <c r="E685" s="381"/>
      <c r="F685" s="381"/>
      <c r="G685" s="317"/>
      <c r="H685" s="317"/>
      <c r="I685" s="317"/>
      <c r="J685" s="317"/>
      <c r="K685" s="317"/>
      <c r="L685" s="317"/>
      <c r="M685" s="317"/>
      <c r="N685" s="317"/>
      <c r="O685" s="317"/>
      <c r="P685" s="317"/>
      <c r="Q685" s="317"/>
      <c r="R685" s="317"/>
      <c r="S685" s="317"/>
      <c r="T685" s="317"/>
      <c r="U685" s="317"/>
      <c r="V685" s="317"/>
      <c r="W685" s="317"/>
      <c r="X685" s="317"/>
      <c r="Y685" s="317"/>
      <c r="Z685" s="317"/>
      <c r="AA685" s="317"/>
      <c r="AB685" s="317"/>
      <c r="AC685" s="317"/>
    </row>
    <row r="686">
      <c r="A686" s="317"/>
      <c r="B686" s="381"/>
      <c r="C686" s="317"/>
      <c r="D686" s="381"/>
      <c r="E686" s="381"/>
      <c r="F686" s="381"/>
      <c r="G686" s="317"/>
      <c r="H686" s="317"/>
      <c r="I686" s="317"/>
      <c r="J686" s="317"/>
      <c r="K686" s="317"/>
      <c r="L686" s="317"/>
      <c r="M686" s="317"/>
      <c r="N686" s="317"/>
      <c r="O686" s="317"/>
      <c r="P686" s="317"/>
      <c r="Q686" s="317"/>
      <c r="R686" s="317"/>
      <c r="S686" s="317"/>
      <c r="T686" s="317"/>
      <c r="U686" s="317"/>
      <c r="V686" s="317"/>
      <c r="W686" s="317"/>
      <c r="X686" s="317"/>
      <c r="Y686" s="317"/>
      <c r="Z686" s="317"/>
      <c r="AA686" s="317"/>
      <c r="AB686" s="317"/>
      <c r="AC686" s="317"/>
    </row>
    <row r="687">
      <c r="A687" s="317"/>
      <c r="B687" s="381"/>
      <c r="C687" s="317"/>
      <c r="D687" s="381"/>
      <c r="E687" s="381"/>
      <c r="F687" s="381"/>
      <c r="G687" s="317"/>
      <c r="H687" s="317"/>
      <c r="I687" s="317"/>
      <c r="J687" s="317"/>
      <c r="K687" s="317"/>
      <c r="L687" s="317"/>
      <c r="M687" s="317"/>
      <c r="N687" s="317"/>
      <c r="O687" s="317"/>
      <c r="P687" s="317"/>
      <c r="Q687" s="317"/>
      <c r="R687" s="317"/>
      <c r="S687" s="317"/>
      <c r="T687" s="317"/>
      <c r="U687" s="317"/>
      <c r="V687" s="317"/>
      <c r="W687" s="317"/>
      <c r="X687" s="317"/>
      <c r="Y687" s="317"/>
      <c r="Z687" s="317"/>
      <c r="AA687" s="317"/>
      <c r="AB687" s="317"/>
      <c r="AC687" s="317"/>
    </row>
    <row r="688">
      <c r="A688" s="317"/>
      <c r="B688" s="381"/>
      <c r="C688" s="317"/>
      <c r="D688" s="381"/>
      <c r="E688" s="381"/>
      <c r="F688" s="381"/>
      <c r="G688" s="317"/>
      <c r="H688" s="317"/>
      <c r="I688" s="317"/>
      <c r="J688" s="317"/>
      <c r="K688" s="317"/>
      <c r="L688" s="317"/>
      <c r="M688" s="317"/>
      <c r="N688" s="317"/>
      <c r="O688" s="317"/>
      <c r="P688" s="317"/>
      <c r="Q688" s="317"/>
      <c r="R688" s="317"/>
      <c r="S688" s="317"/>
      <c r="T688" s="317"/>
      <c r="U688" s="317"/>
      <c r="V688" s="317"/>
      <c r="W688" s="317"/>
      <c r="X688" s="317"/>
      <c r="Y688" s="317"/>
      <c r="Z688" s="317"/>
      <c r="AA688" s="317"/>
      <c r="AB688" s="317"/>
      <c r="AC688" s="317"/>
    </row>
    <row r="689">
      <c r="A689" s="317"/>
      <c r="B689" s="381"/>
      <c r="C689" s="317"/>
      <c r="D689" s="381"/>
      <c r="E689" s="381"/>
      <c r="F689" s="381"/>
      <c r="G689" s="317"/>
      <c r="H689" s="317"/>
      <c r="I689" s="317"/>
      <c r="J689" s="317"/>
      <c r="K689" s="317"/>
      <c r="L689" s="317"/>
      <c r="M689" s="317"/>
      <c r="N689" s="317"/>
      <c r="O689" s="317"/>
      <c r="P689" s="317"/>
      <c r="Q689" s="317"/>
      <c r="R689" s="317"/>
      <c r="S689" s="317"/>
      <c r="T689" s="317"/>
      <c r="U689" s="317"/>
      <c r="V689" s="317"/>
      <c r="W689" s="317"/>
      <c r="X689" s="317"/>
      <c r="Y689" s="317"/>
      <c r="Z689" s="317"/>
      <c r="AA689" s="317"/>
      <c r="AB689" s="317"/>
      <c r="AC689" s="317"/>
    </row>
    <row r="690">
      <c r="A690" s="317"/>
      <c r="B690" s="381"/>
      <c r="C690" s="317"/>
      <c r="D690" s="381"/>
      <c r="E690" s="381"/>
      <c r="F690" s="381"/>
      <c r="G690" s="317"/>
      <c r="H690" s="317"/>
      <c r="I690" s="317"/>
      <c r="J690" s="317"/>
      <c r="K690" s="317"/>
      <c r="L690" s="317"/>
      <c r="M690" s="317"/>
      <c r="N690" s="317"/>
      <c r="O690" s="317"/>
      <c r="P690" s="317"/>
      <c r="Q690" s="317"/>
      <c r="R690" s="317"/>
      <c r="S690" s="317"/>
      <c r="T690" s="317"/>
      <c r="U690" s="317"/>
      <c r="V690" s="317"/>
      <c r="W690" s="317"/>
      <c r="X690" s="317"/>
      <c r="Y690" s="317"/>
      <c r="Z690" s="317"/>
      <c r="AA690" s="317"/>
      <c r="AB690" s="317"/>
      <c r="AC690" s="317"/>
    </row>
    <row r="691">
      <c r="A691" s="317"/>
      <c r="B691" s="381"/>
      <c r="C691" s="317"/>
      <c r="D691" s="381"/>
      <c r="E691" s="381"/>
      <c r="F691" s="381"/>
      <c r="G691" s="317"/>
      <c r="H691" s="317"/>
      <c r="I691" s="317"/>
      <c r="J691" s="317"/>
      <c r="K691" s="317"/>
      <c r="L691" s="317"/>
      <c r="M691" s="317"/>
      <c r="N691" s="317"/>
      <c r="O691" s="317"/>
      <c r="P691" s="317"/>
      <c r="Q691" s="317"/>
      <c r="R691" s="317"/>
      <c r="S691" s="317"/>
      <c r="T691" s="317"/>
      <c r="U691" s="317"/>
      <c r="V691" s="317"/>
      <c r="W691" s="317"/>
      <c r="X691" s="317"/>
      <c r="Y691" s="317"/>
      <c r="Z691" s="317"/>
      <c r="AA691" s="317"/>
      <c r="AB691" s="317"/>
      <c r="AC691" s="317"/>
    </row>
    <row r="692">
      <c r="A692" s="317"/>
      <c r="B692" s="381"/>
      <c r="C692" s="317"/>
      <c r="D692" s="381"/>
      <c r="E692" s="381"/>
      <c r="F692" s="381"/>
      <c r="G692" s="317"/>
      <c r="H692" s="317"/>
      <c r="I692" s="317"/>
      <c r="J692" s="317"/>
      <c r="K692" s="317"/>
      <c r="L692" s="317"/>
      <c r="M692" s="317"/>
      <c r="N692" s="317"/>
      <c r="O692" s="317"/>
      <c r="P692" s="317"/>
      <c r="Q692" s="317"/>
      <c r="R692" s="317"/>
      <c r="S692" s="317"/>
      <c r="T692" s="317"/>
      <c r="U692" s="317"/>
      <c r="V692" s="317"/>
      <c r="W692" s="317"/>
      <c r="X692" s="317"/>
      <c r="Y692" s="317"/>
      <c r="Z692" s="317"/>
      <c r="AA692" s="317"/>
      <c r="AB692" s="317"/>
      <c r="AC692" s="317"/>
    </row>
    <row r="693">
      <c r="A693" s="317"/>
      <c r="B693" s="381"/>
      <c r="C693" s="317"/>
      <c r="D693" s="381"/>
      <c r="E693" s="381"/>
      <c r="F693" s="381"/>
      <c r="G693" s="317"/>
      <c r="H693" s="317"/>
      <c r="I693" s="317"/>
      <c r="J693" s="317"/>
      <c r="K693" s="317"/>
      <c r="L693" s="317"/>
      <c r="M693" s="317"/>
      <c r="N693" s="317"/>
      <c r="O693" s="317"/>
      <c r="P693" s="317"/>
      <c r="Q693" s="317"/>
      <c r="R693" s="317"/>
      <c r="S693" s="317"/>
      <c r="T693" s="317"/>
      <c r="U693" s="317"/>
      <c r="V693" s="317"/>
      <c r="W693" s="317"/>
      <c r="X693" s="317"/>
      <c r="Y693" s="317"/>
      <c r="Z693" s="317"/>
      <c r="AA693" s="317"/>
      <c r="AB693" s="317"/>
      <c r="AC693" s="317"/>
    </row>
    <row r="694">
      <c r="A694" s="317"/>
      <c r="B694" s="381"/>
      <c r="C694" s="317"/>
      <c r="D694" s="381"/>
      <c r="E694" s="381"/>
      <c r="F694" s="381"/>
      <c r="G694" s="317"/>
      <c r="H694" s="317"/>
      <c r="I694" s="317"/>
      <c r="J694" s="317"/>
      <c r="K694" s="317"/>
      <c r="L694" s="317"/>
      <c r="M694" s="317"/>
      <c r="N694" s="317"/>
      <c r="O694" s="317"/>
      <c r="P694" s="317"/>
      <c r="Q694" s="317"/>
      <c r="R694" s="317"/>
      <c r="S694" s="317"/>
      <c r="T694" s="317"/>
      <c r="U694" s="317"/>
      <c r="V694" s="317"/>
      <c r="W694" s="317"/>
      <c r="X694" s="317"/>
      <c r="Y694" s="317"/>
      <c r="Z694" s="317"/>
      <c r="AA694" s="317"/>
      <c r="AB694" s="317"/>
      <c r="AC694" s="317"/>
    </row>
    <row r="695">
      <c r="A695" s="317"/>
      <c r="B695" s="381"/>
      <c r="C695" s="317"/>
      <c r="D695" s="381"/>
      <c r="E695" s="381"/>
      <c r="F695" s="381"/>
      <c r="G695" s="317"/>
      <c r="H695" s="317"/>
      <c r="I695" s="317"/>
      <c r="J695" s="317"/>
      <c r="K695" s="317"/>
      <c r="L695" s="317"/>
      <c r="M695" s="317"/>
      <c r="N695" s="317"/>
      <c r="O695" s="317"/>
      <c r="P695" s="317"/>
      <c r="Q695" s="317"/>
      <c r="R695" s="317"/>
      <c r="S695" s="317"/>
      <c r="T695" s="317"/>
      <c r="U695" s="317"/>
      <c r="V695" s="317"/>
      <c r="W695" s="317"/>
      <c r="X695" s="317"/>
      <c r="Y695" s="317"/>
      <c r="Z695" s="317"/>
      <c r="AA695" s="317"/>
      <c r="AB695" s="317"/>
      <c r="AC695" s="317"/>
    </row>
    <row r="696">
      <c r="A696" s="317"/>
      <c r="B696" s="381"/>
      <c r="C696" s="317"/>
      <c r="D696" s="381"/>
      <c r="E696" s="381"/>
      <c r="F696" s="381"/>
      <c r="G696" s="317"/>
      <c r="H696" s="317"/>
      <c r="I696" s="317"/>
      <c r="J696" s="317"/>
      <c r="K696" s="317"/>
      <c r="L696" s="317"/>
      <c r="M696" s="317"/>
      <c r="N696" s="317"/>
      <c r="O696" s="317"/>
      <c r="P696" s="317"/>
      <c r="Q696" s="317"/>
      <c r="R696" s="317"/>
      <c r="S696" s="317"/>
      <c r="T696" s="317"/>
      <c r="U696" s="317"/>
      <c r="V696" s="317"/>
      <c r="W696" s="317"/>
      <c r="X696" s="317"/>
      <c r="Y696" s="317"/>
      <c r="Z696" s="317"/>
      <c r="AA696" s="317"/>
      <c r="AB696" s="317"/>
      <c r="AC696" s="317"/>
    </row>
    <row r="697">
      <c r="A697" s="317"/>
      <c r="B697" s="381"/>
      <c r="C697" s="317"/>
      <c r="D697" s="381"/>
      <c r="E697" s="381"/>
      <c r="F697" s="381"/>
      <c r="G697" s="317"/>
      <c r="H697" s="317"/>
      <c r="I697" s="317"/>
      <c r="J697" s="317"/>
      <c r="K697" s="317"/>
      <c r="L697" s="317"/>
      <c r="M697" s="317"/>
      <c r="N697" s="317"/>
      <c r="O697" s="317"/>
      <c r="P697" s="317"/>
      <c r="Q697" s="317"/>
      <c r="R697" s="317"/>
      <c r="S697" s="317"/>
      <c r="T697" s="317"/>
      <c r="U697" s="317"/>
      <c r="V697" s="317"/>
      <c r="W697" s="317"/>
      <c r="X697" s="317"/>
      <c r="Y697" s="317"/>
      <c r="Z697" s="317"/>
      <c r="AA697" s="317"/>
      <c r="AB697" s="317"/>
      <c r="AC697" s="317"/>
    </row>
    <row r="698">
      <c r="A698" s="317"/>
      <c r="B698" s="381"/>
      <c r="C698" s="317"/>
      <c r="D698" s="381"/>
      <c r="E698" s="381"/>
      <c r="F698" s="381"/>
      <c r="G698" s="317"/>
      <c r="H698" s="317"/>
      <c r="I698" s="317"/>
      <c r="J698" s="317"/>
      <c r="K698" s="317"/>
      <c r="L698" s="317"/>
      <c r="M698" s="317"/>
      <c r="N698" s="317"/>
      <c r="O698" s="317"/>
      <c r="P698" s="317"/>
      <c r="Q698" s="317"/>
      <c r="R698" s="317"/>
      <c r="S698" s="317"/>
      <c r="T698" s="317"/>
      <c r="U698" s="317"/>
      <c r="V698" s="317"/>
      <c r="W698" s="317"/>
      <c r="X698" s="317"/>
      <c r="Y698" s="317"/>
      <c r="Z698" s="317"/>
      <c r="AA698" s="317"/>
      <c r="AB698" s="317"/>
      <c r="AC698" s="317"/>
    </row>
    <row r="699">
      <c r="A699" s="317"/>
      <c r="B699" s="381"/>
      <c r="C699" s="317"/>
      <c r="D699" s="381"/>
      <c r="E699" s="381"/>
      <c r="F699" s="381"/>
      <c r="G699" s="317"/>
      <c r="H699" s="317"/>
      <c r="I699" s="317"/>
      <c r="J699" s="317"/>
      <c r="K699" s="317"/>
      <c r="L699" s="317"/>
      <c r="M699" s="317"/>
      <c r="N699" s="317"/>
      <c r="O699" s="317"/>
      <c r="P699" s="317"/>
      <c r="Q699" s="317"/>
      <c r="R699" s="317"/>
      <c r="S699" s="317"/>
      <c r="T699" s="317"/>
      <c r="U699" s="317"/>
      <c r="V699" s="317"/>
      <c r="W699" s="317"/>
      <c r="X699" s="317"/>
      <c r="Y699" s="317"/>
      <c r="Z699" s="317"/>
      <c r="AA699" s="317"/>
      <c r="AB699" s="317"/>
      <c r="AC699" s="317"/>
    </row>
    <row r="700">
      <c r="A700" s="317"/>
      <c r="B700" s="381"/>
      <c r="C700" s="317"/>
      <c r="D700" s="381"/>
      <c r="E700" s="381"/>
      <c r="F700" s="381"/>
      <c r="G700" s="317"/>
      <c r="H700" s="317"/>
      <c r="I700" s="317"/>
      <c r="J700" s="317"/>
      <c r="K700" s="317"/>
      <c r="L700" s="317"/>
      <c r="M700" s="317"/>
      <c r="N700" s="317"/>
      <c r="O700" s="317"/>
      <c r="P700" s="317"/>
      <c r="Q700" s="317"/>
      <c r="R700" s="317"/>
      <c r="S700" s="317"/>
      <c r="T700" s="317"/>
      <c r="U700" s="317"/>
      <c r="V700" s="317"/>
      <c r="W700" s="317"/>
      <c r="X700" s="317"/>
      <c r="Y700" s="317"/>
      <c r="Z700" s="317"/>
      <c r="AA700" s="317"/>
      <c r="AB700" s="317"/>
      <c r="AC700" s="317"/>
    </row>
    <row r="701">
      <c r="A701" s="317"/>
      <c r="B701" s="381"/>
      <c r="C701" s="317"/>
      <c r="D701" s="381"/>
      <c r="E701" s="381"/>
      <c r="F701" s="381"/>
      <c r="G701" s="317"/>
      <c r="H701" s="317"/>
      <c r="I701" s="317"/>
      <c r="J701" s="317"/>
      <c r="K701" s="317"/>
      <c r="L701" s="317"/>
      <c r="M701" s="317"/>
      <c r="N701" s="317"/>
      <c r="O701" s="317"/>
      <c r="P701" s="317"/>
      <c r="Q701" s="317"/>
      <c r="R701" s="317"/>
      <c r="S701" s="317"/>
      <c r="T701" s="317"/>
      <c r="U701" s="317"/>
      <c r="V701" s="317"/>
      <c r="W701" s="317"/>
      <c r="X701" s="317"/>
      <c r="Y701" s="317"/>
      <c r="Z701" s="317"/>
      <c r="AA701" s="317"/>
      <c r="AB701" s="317"/>
      <c r="AC701" s="317"/>
    </row>
    <row r="702">
      <c r="A702" s="317"/>
      <c r="B702" s="381"/>
      <c r="C702" s="317"/>
      <c r="D702" s="381"/>
      <c r="E702" s="381"/>
      <c r="F702" s="381"/>
      <c r="G702" s="317"/>
      <c r="H702" s="317"/>
      <c r="I702" s="317"/>
      <c r="J702" s="317"/>
      <c r="K702" s="317"/>
      <c r="L702" s="317"/>
      <c r="M702" s="317"/>
      <c r="N702" s="317"/>
      <c r="O702" s="317"/>
      <c r="P702" s="317"/>
      <c r="Q702" s="317"/>
      <c r="R702" s="317"/>
      <c r="S702" s="317"/>
      <c r="T702" s="317"/>
      <c r="U702" s="317"/>
      <c r="V702" s="317"/>
      <c r="W702" s="317"/>
      <c r="X702" s="317"/>
      <c r="Y702" s="317"/>
      <c r="Z702" s="317"/>
      <c r="AA702" s="317"/>
      <c r="AB702" s="317"/>
      <c r="AC702" s="317"/>
    </row>
    <row r="703">
      <c r="A703" s="317"/>
      <c r="B703" s="381"/>
      <c r="C703" s="317"/>
      <c r="D703" s="381"/>
      <c r="E703" s="381"/>
      <c r="F703" s="381"/>
      <c r="G703" s="317"/>
      <c r="H703" s="317"/>
      <c r="I703" s="317"/>
      <c r="J703" s="317"/>
      <c r="K703" s="317"/>
      <c r="L703" s="317"/>
      <c r="M703" s="317"/>
      <c r="N703" s="317"/>
      <c r="O703" s="317"/>
      <c r="P703" s="317"/>
      <c r="Q703" s="317"/>
      <c r="R703" s="317"/>
      <c r="S703" s="317"/>
      <c r="T703" s="317"/>
      <c r="U703" s="317"/>
      <c r="V703" s="317"/>
      <c r="W703" s="317"/>
      <c r="X703" s="317"/>
      <c r="Y703" s="317"/>
      <c r="Z703" s="317"/>
      <c r="AA703" s="317"/>
      <c r="AB703" s="317"/>
      <c r="AC703" s="317"/>
    </row>
    <row r="704">
      <c r="A704" s="317"/>
      <c r="B704" s="381"/>
      <c r="C704" s="317"/>
      <c r="D704" s="381"/>
      <c r="E704" s="381"/>
      <c r="F704" s="381"/>
      <c r="G704" s="317"/>
      <c r="H704" s="317"/>
      <c r="I704" s="317"/>
      <c r="J704" s="317"/>
      <c r="K704" s="317"/>
      <c r="L704" s="317"/>
      <c r="M704" s="317"/>
      <c r="N704" s="317"/>
      <c r="O704" s="317"/>
      <c r="P704" s="317"/>
      <c r="Q704" s="317"/>
      <c r="R704" s="317"/>
      <c r="S704" s="317"/>
      <c r="T704" s="317"/>
      <c r="U704" s="317"/>
      <c r="V704" s="317"/>
      <c r="W704" s="317"/>
      <c r="X704" s="317"/>
      <c r="Y704" s="317"/>
      <c r="Z704" s="317"/>
      <c r="AA704" s="317"/>
      <c r="AB704" s="317"/>
      <c r="AC704" s="317"/>
    </row>
    <row r="705">
      <c r="A705" s="317"/>
      <c r="B705" s="381"/>
      <c r="C705" s="317"/>
      <c r="D705" s="381"/>
      <c r="E705" s="381"/>
      <c r="F705" s="381"/>
      <c r="G705" s="317"/>
      <c r="H705" s="317"/>
      <c r="I705" s="317"/>
      <c r="J705" s="317"/>
      <c r="K705" s="317"/>
      <c r="L705" s="317"/>
      <c r="M705" s="317"/>
      <c r="N705" s="317"/>
      <c r="O705" s="317"/>
      <c r="P705" s="317"/>
      <c r="Q705" s="317"/>
      <c r="R705" s="317"/>
      <c r="S705" s="317"/>
      <c r="T705" s="317"/>
      <c r="U705" s="317"/>
      <c r="V705" s="317"/>
      <c r="W705" s="317"/>
      <c r="X705" s="317"/>
      <c r="Y705" s="317"/>
      <c r="Z705" s="317"/>
      <c r="AA705" s="317"/>
      <c r="AB705" s="317"/>
      <c r="AC705" s="317"/>
    </row>
    <row r="706">
      <c r="A706" s="317"/>
      <c r="B706" s="381"/>
      <c r="C706" s="317"/>
      <c r="D706" s="381"/>
      <c r="E706" s="381"/>
      <c r="F706" s="381"/>
      <c r="G706" s="317"/>
      <c r="H706" s="317"/>
      <c r="I706" s="317"/>
      <c r="J706" s="317"/>
      <c r="K706" s="317"/>
      <c r="L706" s="317"/>
      <c r="M706" s="317"/>
      <c r="N706" s="317"/>
      <c r="O706" s="317"/>
      <c r="P706" s="317"/>
      <c r="Q706" s="317"/>
      <c r="R706" s="317"/>
      <c r="S706" s="317"/>
      <c r="T706" s="317"/>
      <c r="U706" s="317"/>
      <c r="V706" s="317"/>
      <c r="W706" s="317"/>
      <c r="X706" s="317"/>
      <c r="Y706" s="317"/>
      <c r="Z706" s="317"/>
      <c r="AA706" s="317"/>
      <c r="AB706" s="317"/>
      <c r="AC706" s="317"/>
    </row>
    <row r="707">
      <c r="A707" s="317"/>
      <c r="B707" s="381"/>
      <c r="C707" s="317"/>
      <c r="D707" s="381"/>
      <c r="E707" s="381"/>
      <c r="F707" s="381"/>
      <c r="G707" s="317"/>
      <c r="H707" s="317"/>
      <c r="I707" s="317"/>
      <c r="J707" s="317"/>
      <c r="K707" s="317"/>
      <c r="L707" s="317"/>
      <c r="M707" s="317"/>
      <c r="N707" s="317"/>
      <c r="O707" s="317"/>
      <c r="P707" s="317"/>
      <c r="Q707" s="317"/>
      <c r="R707" s="317"/>
      <c r="S707" s="317"/>
      <c r="T707" s="317"/>
      <c r="U707" s="317"/>
      <c r="V707" s="317"/>
      <c r="W707" s="317"/>
      <c r="X707" s="317"/>
      <c r="Y707" s="317"/>
      <c r="Z707" s="317"/>
      <c r="AA707" s="317"/>
      <c r="AB707" s="317"/>
      <c r="AC707" s="317"/>
    </row>
    <row r="708">
      <c r="A708" s="317"/>
      <c r="B708" s="381"/>
      <c r="C708" s="317"/>
      <c r="D708" s="381"/>
      <c r="E708" s="381"/>
      <c r="F708" s="381"/>
      <c r="G708" s="317"/>
      <c r="H708" s="317"/>
      <c r="I708" s="317"/>
      <c r="J708" s="317"/>
      <c r="K708" s="317"/>
      <c r="L708" s="317"/>
      <c r="M708" s="317"/>
      <c r="N708" s="317"/>
      <c r="O708" s="317"/>
      <c r="P708" s="317"/>
      <c r="Q708" s="317"/>
      <c r="R708" s="317"/>
      <c r="S708" s="317"/>
      <c r="T708" s="317"/>
      <c r="U708" s="317"/>
      <c r="V708" s="317"/>
      <c r="W708" s="317"/>
      <c r="X708" s="317"/>
      <c r="Y708" s="317"/>
      <c r="Z708" s="317"/>
      <c r="AA708" s="317"/>
      <c r="AB708" s="317"/>
      <c r="AC708" s="317"/>
    </row>
    <row r="709">
      <c r="A709" s="317"/>
      <c r="B709" s="381"/>
      <c r="C709" s="317"/>
      <c r="D709" s="381"/>
      <c r="E709" s="381"/>
      <c r="F709" s="381"/>
      <c r="G709" s="317"/>
      <c r="H709" s="317"/>
      <c r="I709" s="317"/>
      <c r="J709" s="317"/>
      <c r="K709" s="317"/>
      <c r="L709" s="317"/>
      <c r="M709" s="317"/>
      <c r="N709" s="317"/>
      <c r="O709" s="317"/>
      <c r="P709" s="317"/>
      <c r="Q709" s="317"/>
      <c r="R709" s="317"/>
      <c r="S709" s="317"/>
      <c r="T709" s="317"/>
      <c r="U709" s="317"/>
      <c r="V709" s="317"/>
      <c r="W709" s="317"/>
      <c r="X709" s="317"/>
      <c r="Y709" s="317"/>
      <c r="Z709" s="317"/>
      <c r="AA709" s="317"/>
      <c r="AB709" s="317"/>
      <c r="AC709" s="317"/>
    </row>
    <row r="710">
      <c r="A710" s="317"/>
      <c r="B710" s="381"/>
      <c r="C710" s="317"/>
      <c r="D710" s="381"/>
      <c r="E710" s="381"/>
      <c r="F710" s="381"/>
      <c r="G710" s="317"/>
      <c r="H710" s="317"/>
      <c r="I710" s="317"/>
      <c r="J710" s="317"/>
      <c r="K710" s="317"/>
      <c r="L710" s="317"/>
      <c r="M710" s="317"/>
      <c r="N710" s="317"/>
      <c r="O710" s="317"/>
      <c r="P710" s="317"/>
      <c r="Q710" s="317"/>
      <c r="R710" s="317"/>
      <c r="S710" s="317"/>
      <c r="T710" s="317"/>
      <c r="U710" s="317"/>
      <c r="V710" s="317"/>
      <c r="W710" s="317"/>
      <c r="X710" s="317"/>
      <c r="Y710" s="317"/>
      <c r="Z710" s="317"/>
      <c r="AA710" s="317"/>
      <c r="AB710" s="317"/>
      <c r="AC710" s="317"/>
    </row>
    <row r="711">
      <c r="A711" s="317"/>
      <c r="B711" s="381"/>
      <c r="C711" s="317"/>
      <c r="D711" s="381"/>
      <c r="E711" s="381"/>
      <c r="F711" s="381"/>
      <c r="G711" s="317"/>
      <c r="H711" s="317"/>
      <c r="I711" s="317"/>
      <c r="J711" s="317"/>
      <c r="K711" s="317"/>
      <c r="L711" s="317"/>
      <c r="M711" s="317"/>
      <c r="N711" s="317"/>
      <c r="O711" s="317"/>
      <c r="P711" s="317"/>
      <c r="Q711" s="317"/>
      <c r="R711" s="317"/>
      <c r="S711" s="317"/>
      <c r="T711" s="317"/>
      <c r="U711" s="317"/>
      <c r="V711" s="317"/>
      <c r="W711" s="317"/>
      <c r="X711" s="317"/>
      <c r="Y711" s="317"/>
      <c r="Z711" s="317"/>
      <c r="AA711" s="317"/>
      <c r="AB711" s="317"/>
      <c r="AC711" s="317"/>
    </row>
    <row r="712">
      <c r="A712" s="317"/>
      <c r="B712" s="381"/>
      <c r="C712" s="317"/>
      <c r="D712" s="381"/>
      <c r="E712" s="381"/>
      <c r="F712" s="381"/>
      <c r="G712" s="317"/>
      <c r="H712" s="317"/>
      <c r="I712" s="317"/>
      <c r="J712" s="317"/>
      <c r="K712" s="317"/>
      <c r="L712" s="317"/>
      <c r="M712" s="317"/>
      <c r="N712" s="317"/>
      <c r="O712" s="317"/>
      <c r="P712" s="317"/>
      <c r="Q712" s="317"/>
      <c r="R712" s="317"/>
      <c r="S712" s="317"/>
      <c r="T712" s="317"/>
      <c r="U712" s="317"/>
      <c r="V712" s="317"/>
      <c r="W712" s="317"/>
      <c r="X712" s="317"/>
      <c r="Y712" s="317"/>
      <c r="Z712" s="317"/>
      <c r="AA712" s="317"/>
      <c r="AB712" s="317"/>
      <c r="AC712" s="317"/>
    </row>
    <row r="713">
      <c r="A713" s="317"/>
      <c r="B713" s="381"/>
      <c r="C713" s="317"/>
      <c r="D713" s="381"/>
      <c r="E713" s="381"/>
      <c r="F713" s="381"/>
      <c r="G713" s="317"/>
      <c r="H713" s="317"/>
      <c r="I713" s="317"/>
      <c r="J713" s="317"/>
      <c r="K713" s="317"/>
      <c r="L713" s="317"/>
      <c r="M713" s="317"/>
      <c r="N713" s="317"/>
      <c r="O713" s="317"/>
      <c r="P713" s="317"/>
      <c r="Q713" s="317"/>
      <c r="R713" s="317"/>
      <c r="S713" s="317"/>
      <c r="T713" s="317"/>
      <c r="U713" s="317"/>
      <c r="V713" s="317"/>
      <c r="W713" s="317"/>
      <c r="X713" s="317"/>
      <c r="Y713" s="317"/>
      <c r="Z713" s="317"/>
      <c r="AA713" s="317"/>
      <c r="AB713" s="317"/>
      <c r="AC713" s="317"/>
    </row>
    <row r="714">
      <c r="A714" s="317"/>
      <c r="B714" s="381"/>
      <c r="C714" s="317"/>
      <c r="D714" s="381"/>
      <c r="E714" s="381"/>
      <c r="F714" s="381"/>
      <c r="G714" s="317"/>
      <c r="H714" s="317"/>
      <c r="I714" s="317"/>
      <c r="J714" s="317"/>
      <c r="K714" s="317"/>
      <c r="L714" s="317"/>
      <c r="M714" s="317"/>
      <c r="N714" s="317"/>
      <c r="O714" s="317"/>
      <c r="P714" s="317"/>
      <c r="Q714" s="317"/>
      <c r="R714" s="317"/>
      <c r="S714" s="317"/>
      <c r="T714" s="317"/>
      <c r="U714" s="317"/>
      <c r="V714" s="317"/>
      <c r="W714" s="317"/>
      <c r="X714" s="317"/>
      <c r="Y714" s="317"/>
      <c r="Z714" s="317"/>
      <c r="AA714" s="317"/>
      <c r="AB714" s="317"/>
      <c r="AC714" s="317"/>
    </row>
    <row r="715">
      <c r="A715" s="317"/>
      <c r="B715" s="381"/>
      <c r="C715" s="317"/>
      <c r="D715" s="381"/>
      <c r="E715" s="381"/>
      <c r="F715" s="381"/>
      <c r="G715" s="317"/>
      <c r="H715" s="317"/>
      <c r="I715" s="317"/>
      <c r="J715" s="317"/>
      <c r="K715" s="317"/>
      <c r="L715" s="317"/>
      <c r="M715" s="317"/>
      <c r="N715" s="317"/>
      <c r="O715" s="317"/>
      <c r="P715" s="317"/>
      <c r="Q715" s="317"/>
      <c r="R715" s="317"/>
      <c r="S715" s="317"/>
      <c r="T715" s="317"/>
      <c r="U715" s="317"/>
      <c r="V715" s="317"/>
      <c r="W715" s="317"/>
      <c r="X715" s="317"/>
      <c r="Y715" s="317"/>
      <c r="Z715" s="317"/>
      <c r="AA715" s="317"/>
      <c r="AB715" s="317"/>
      <c r="AC715" s="317"/>
    </row>
    <row r="716">
      <c r="A716" s="317"/>
      <c r="B716" s="381"/>
      <c r="C716" s="317"/>
      <c r="D716" s="381"/>
      <c r="E716" s="381"/>
      <c r="F716" s="381"/>
      <c r="G716" s="317"/>
      <c r="H716" s="317"/>
      <c r="I716" s="317"/>
      <c r="J716" s="317"/>
      <c r="K716" s="317"/>
      <c r="L716" s="317"/>
      <c r="M716" s="317"/>
      <c r="N716" s="317"/>
      <c r="O716" s="317"/>
      <c r="P716" s="317"/>
      <c r="Q716" s="317"/>
      <c r="R716" s="317"/>
      <c r="S716" s="317"/>
      <c r="T716" s="317"/>
      <c r="U716" s="317"/>
      <c r="V716" s="317"/>
      <c r="W716" s="317"/>
      <c r="X716" s="317"/>
      <c r="Y716" s="317"/>
      <c r="Z716" s="317"/>
      <c r="AA716" s="317"/>
      <c r="AB716" s="317"/>
      <c r="AC716" s="317"/>
    </row>
    <row r="717">
      <c r="A717" s="317"/>
      <c r="B717" s="381"/>
      <c r="C717" s="317"/>
      <c r="D717" s="381"/>
      <c r="E717" s="381"/>
      <c r="F717" s="381"/>
      <c r="G717" s="317"/>
      <c r="H717" s="317"/>
      <c r="I717" s="317"/>
      <c r="J717" s="317"/>
      <c r="K717" s="317"/>
      <c r="L717" s="317"/>
      <c r="M717" s="317"/>
      <c r="N717" s="317"/>
      <c r="O717" s="317"/>
      <c r="P717" s="317"/>
      <c r="Q717" s="317"/>
      <c r="R717" s="317"/>
      <c r="S717" s="317"/>
      <c r="T717" s="317"/>
      <c r="U717" s="317"/>
      <c r="V717" s="317"/>
      <c r="W717" s="317"/>
      <c r="X717" s="317"/>
      <c r="Y717" s="317"/>
      <c r="Z717" s="317"/>
      <c r="AA717" s="317"/>
      <c r="AB717" s="317"/>
      <c r="AC717" s="317"/>
    </row>
    <row r="718">
      <c r="A718" s="317"/>
      <c r="B718" s="381"/>
      <c r="C718" s="317"/>
      <c r="D718" s="381"/>
      <c r="E718" s="381"/>
      <c r="F718" s="381"/>
      <c r="G718" s="317"/>
      <c r="H718" s="317"/>
      <c r="I718" s="317"/>
      <c r="J718" s="317"/>
      <c r="K718" s="317"/>
      <c r="L718" s="317"/>
      <c r="M718" s="317"/>
      <c r="N718" s="317"/>
      <c r="O718" s="317"/>
      <c r="P718" s="317"/>
      <c r="Q718" s="317"/>
      <c r="R718" s="317"/>
      <c r="S718" s="317"/>
      <c r="T718" s="317"/>
      <c r="U718" s="317"/>
      <c r="V718" s="317"/>
      <c r="W718" s="317"/>
      <c r="X718" s="317"/>
      <c r="Y718" s="317"/>
      <c r="Z718" s="317"/>
      <c r="AA718" s="317"/>
      <c r="AB718" s="317"/>
      <c r="AC718" s="317"/>
    </row>
    <row r="719">
      <c r="A719" s="317"/>
      <c r="B719" s="381"/>
      <c r="C719" s="317"/>
      <c r="D719" s="381"/>
      <c r="E719" s="381"/>
      <c r="F719" s="381"/>
      <c r="G719" s="317"/>
      <c r="H719" s="317"/>
      <c r="I719" s="317"/>
      <c r="J719" s="317"/>
      <c r="K719" s="317"/>
      <c r="L719" s="317"/>
      <c r="M719" s="317"/>
      <c r="N719" s="317"/>
      <c r="O719" s="317"/>
      <c r="P719" s="317"/>
      <c r="Q719" s="317"/>
      <c r="R719" s="317"/>
      <c r="S719" s="317"/>
      <c r="T719" s="317"/>
      <c r="U719" s="317"/>
      <c r="V719" s="317"/>
      <c r="W719" s="317"/>
      <c r="X719" s="317"/>
      <c r="Y719" s="317"/>
      <c r="Z719" s="317"/>
      <c r="AA719" s="317"/>
      <c r="AB719" s="317"/>
      <c r="AC719" s="317"/>
    </row>
    <row r="720">
      <c r="A720" s="317"/>
      <c r="B720" s="381"/>
      <c r="C720" s="317"/>
      <c r="D720" s="381"/>
      <c r="E720" s="381"/>
      <c r="F720" s="381"/>
      <c r="G720" s="317"/>
      <c r="H720" s="317"/>
      <c r="I720" s="317"/>
      <c r="J720" s="317"/>
      <c r="K720" s="317"/>
      <c r="L720" s="317"/>
      <c r="M720" s="317"/>
      <c r="N720" s="317"/>
      <c r="O720" s="317"/>
      <c r="P720" s="317"/>
      <c r="Q720" s="317"/>
      <c r="R720" s="317"/>
      <c r="S720" s="317"/>
      <c r="T720" s="317"/>
      <c r="U720" s="317"/>
      <c r="V720" s="317"/>
      <c r="W720" s="317"/>
      <c r="X720" s="317"/>
      <c r="Y720" s="317"/>
      <c r="Z720" s="317"/>
      <c r="AA720" s="317"/>
      <c r="AB720" s="317"/>
      <c r="AC720" s="317"/>
    </row>
    <row r="721">
      <c r="A721" s="317"/>
      <c r="B721" s="381"/>
      <c r="C721" s="317"/>
      <c r="D721" s="381"/>
      <c r="E721" s="381"/>
      <c r="F721" s="381"/>
      <c r="G721" s="317"/>
      <c r="H721" s="317"/>
      <c r="I721" s="317"/>
      <c r="J721" s="317"/>
      <c r="K721" s="317"/>
      <c r="L721" s="317"/>
      <c r="M721" s="317"/>
      <c r="N721" s="317"/>
      <c r="O721" s="317"/>
      <c r="P721" s="317"/>
      <c r="Q721" s="317"/>
      <c r="R721" s="317"/>
      <c r="S721" s="317"/>
      <c r="T721" s="317"/>
      <c r="U721" s="317"/>
      <c r="V721" s="317"/>
      <c r="W721" s="317"/>
      <c r="X721" s="317"/>
      <c r="Y721" s="317"/>
      <c r="Z721" s="317"/>
      <c r="AA721" s="317"/>
      <c r="AB721" s="317"/>
      <c r="AC721" s="317"/>
    </row>
    <row r="722">
      <c r="A722" s="317"/>
      <c r="B722" s="381"/>
      <c r="C722" s="317"/>
      <c r="D722" s="381"/>
      <c r="E722" s="381"/>
      <c r="F722" s="381"/>
      <c r="G722" s="317"/>
      <c r="H722" s="317"/>
      <c r="I722" s="317"/>
      <c r="J722" s="317"/>
      <c r="K722" s="317"/>
      <c r="L722" s="317"/>
      <c r="M722" s="317"/>
      <c r="N722" s="317"/>
      <c r="O722" s="317"/>
      <c r="P722" s="317"/>
      <c r="Q722" s="317"/>
      <c r="R722" s="317"/>
      <c r="S722" s="317"/>
      <c r="T722" s="317"/>
      <c r="U722" s="317"/>
      <c r="V722" s="317"/>
      <c r="W722" s="317"/>
      <c r="X722" s="317"/>
      <c r="Y722" s="317"/>
      <c r="Z722" s="317"/>
      <c r="AA722" s="317"/>
      <c r="AB722" s="317"/>
      <c r="AC722" s="317"/>
    </row>
    <row r="723">
      <c r="A723" s="317"/>
      <c r="B723" s="381"/>
      <c r="C723" s="317"/>
      <c r="D723" s="381"/>
      <c r="E723" s="381"/>
      <c r="F723" s="381"/>
      <c r="G723" s="317"/>
      <c r="H723" s="317"/>
      <c r="I723" s="317"/>
      <c r="J723" s="317"/>
      <c r="K723" s="317"/>
      <c r="L723" s="317"/>
      <c r="M723" s="317"/>
      <c r="N723" s="317"/>
      <c r="O723" s="317"/>
      <c r="P723" s="317"/>
      <c r="Q723" s="317"/>
      <c r="R723" s="317"/>
      <c r="S723" s="317"/>
      <c r="T723" s="317"/>
      <c r="U723" s="317"/>
      <c r="V723" s="317"/>
      <c r="W723" s="317"/>
      <c r="X723" s="317"/>
      <c r="Y723" s="317"/>
      <c r="Z723" s="317"/>
      <c r="AA723" s="317"/>
      <c r="AB723" s="317"/>
      <c r="AC723" s="317"/>
    </row>
    <row r="724">
      <c r="A724" s="317"/>
      <c r="B724" s="381"/>
      <c r="C724" s="317"/>
      <c r="D724" s="381"/>
      <c r="E724" s="381"/>
      <c r="F724" s="381"/>
      <c r="G724" s="317"/>
      <c r="H724" s="317"/>
      <c r="I724" s="317"/>
      <c r="J724" s="317"/>
      <c r="K724" s="317"/>
      <c r="L724" s="317"/>
      <c r="M724" s="317"/>
      <c r="N724" s="317"/>
      <c r="O724" s="317"/>
      <c r="P724" s="317"/>
      <c r="Q724" s="317"/>
      <c r="R724" s="317"/>
      <c r="S724" s="317"/>
      <c r="T724" s="317"/>
      <c r="U724" s="317"/>
      <c r="V724" s="317"/>
      <c r="W724" s="317"/>
      <c r="X724" s="317"/>
      <c r="Y724" s="317"/>
      <c r="Z724" s="317"/>
      <c r="AA724" s="317"/>
      <c r="AB724" s="317"/>
      <c r="AC724" s="317"/>
    </row>
    <row r="725">
      <c r="A725" s="317"/>
      <c r="B725" s="381"/>
      <c r="C725" s="317"/>
      <c r="D725" s="381"/>
      <c r="E725" s="381"/>
      <c r="F725" s="381"/>
      <c r="G725" s="317"/>
      <c r="H725" s="317"/>
      <c r="I725" s="317"/>
      <c r="J725" s="317"/>
      <c r="K725" s="317"/>
      <c r="L725" s="317"/>
      <c r="M725" s="317"/>
      <c r="N725" s="317"/>
      <c r="O725" s="317"/>
      <c r="P725" s="317"/>
      <c r="Q725" s="317"/>
      <c r="R725" s="317"/>
      <c r="S725" s="317"/>
      <c r="T725" s="317"/>
      <c r="U725" s="317"/>
      <c r="V725" s="317"/>
      <c r="W725" s="317"/>
      <c r="X725" s="317"/>
      <c r="Y725" s="317"/>
      <c r="Z725" s="317"/>
      <c r="AA725" s="317"/>
      <c r="AB725" s="317"/>
      <c r="AC725" s="317"/>
    </row>
    <row r="726">
      <c r="A726" s="317"/>
      <c r="B726" s="381"/>
      <c r="C726" s="317"/>
      <c r="D726" s="381"/>
      <c r="E726" s="381"/>
      <c r="F726" s="381"/>
      <c r="G726" s="317"/>
      <c r="H726" s="317"/>
      <c r="I726" s="317"/>
      <c r="J726" s="317"/>
      <c r="K726" s="317"/>
      <c r="L726" s="317"/>
      <c r="M726" s="317"/>
      <c r="N726" s="317"/>
      <c r="O726" s="317"/>
      <c r="P726" s="317"/>
      <c r="Q726" s="317"/>
      <c r="R726" s="317"/>
      <c r="S726" s="317"/>
      <c r="T726" s="317"/>
      <c r="U726" s="317"/>
      <c r="V726" s="317"/>
      <c r="W726" s="317"/>
      <c r="X726" s="317"/>
      <c r="Y726" s="317"/>
      <c r="Z726" s="317"/>
      <c r="AA726" s="317"/>
      <c r="AB726" s="317"/>
      <c r="AC726" s="317"/>
    </row>
    <row r="727">
      <c r="A727" s="317"/>
      <c r="B727" s="381"/>
      <c r="C727" s="317"/>
      <c r="D727" s="381"/>
      <c r="E727" s="381"/>
      <c r="F727" s="381"/>
      <c r="G727" s="317"/>
      <c r="H727" s="317"/>
      <c r="I727" s="317"/>
      <c r="J727" s="317"/>
      <c r="K727" s="317"/>
      <c r="L727" s="317"/>
      <c r="M727" s="317"/>
      <c r="N727" s="317"/>
      <c r="O727" s="317"/>
      <c r="P727" s="317"/>
      <c r="Q727" s="317"/>
      <c r="R727" s="317"/>
      <c r="S727" s="317"/>
      <c r="T727" s="317"/>
      <c r="U727" s="317"/>
      <c r="V727" s="317"/>
      <c r="W727" s="317"/>
      <c r="X727" s="317"/>
      <c r="Y727" s="317"/>
      <c r="Z727" s="317"/>
      <c r="AA727" s="317"/>
      <c r="AB727" s="317"/>
      <c r="AC727" s="317"/>
    </row>
    <row r="728">
      <c r="A728" s="317"/>
      <c r="B728" s="381"/>
      <c r="C728" s="317"/>
      <c r="D728" s="381"/>
      <c r="E728" s="381"/>
      <c r="F728" s="381"/>
      <c r="G728" s="317"/>
      <c r="H728" s="317"/>
      <c r="I728" s="317"/>
      <c r="J728" s="317"/>
      <c r="K728" s="317"/>
      <c r="L728" s="317"/>
      <c r="M728" s="317"/>
      <c r="N728" s="317"/>
      <c r="O728" s="317"/>
      <c r="P728" s="317"/>
      <c r="Q728" s="317"/>
      <c r="R728" s="317"/>
      <c r="S728" s="317"/>
      <c r="T728" s="317"/>
      <c r="U728" s="317"/>
      <c r="V728" s="317"/>
      <c r="W728" s="317"/>
      <c r="X728" s="317"/>
      <c r="Y728" s="317"/>
      <c r="Z728" s="317"/>
      <c r="AA728" s="317"/>
      <c r="AB728" s="317"/>
      <c r="AC728" s="317"/>
    </row>
    <row r="729">
      <c r="A729" s="317"/>
      <c r="B729" s="381"/>
      <c r="C729" s="317"/>
      <c r="D729" s="381"/>
      <c r="E729" s="381"/>
      <c r="F729" s="381"/>
      <c r="G729" s="317"/>
      <c r="H729" s="317"/>
      <c r="I729" s="317"/>
      <c r="J729" s="317"/>
      <c r="K729" s="317"/>
      <c r="L729" s="317"/>
      <c r="M729" s="317"/>
      <c r="N729" s="317"/>
      <c r="O729" s="317"/>
      <c r="P729" s="317"/>
      <c r="Q729" s="317"/>
      <c r="R729" s="317"/>
      <c r="S729" s="317"/>
      <c r="T729" s="317"/>
      <c r="U729" s="317"/>
      <c r="V729" s="317"/>
      <c r="W729" s="317"/>
      <c r="X729" s="317"/>
      <c r="Y729" s="317"/>
      <c r="Z729" s="317"/>
      <c r="AA729" s="317"/>
      <c r="AB729" s="317"/>
      <c r="AC729" s="317"/>
    </row>
    <row r="730">
      <c r="A730" s="317"/>
      <c r="B730" s="381"/>
      <c r="C730" s="317"/>
      <c r="D730" s="381"/>
      <c r="E730" s="381"/>
      <c r="F730" s="381"/>
      <c r="G730" s="317"/>
      <c r="H730" s="317"/>
      <c r="I730" s="317"/>
      <c r="J730" s="317"/>
      <c r="K730" s="317"/>
      <c r="L730" s="317"/>
      <c r="M730" s="317"/>
      <c r="N730" s="317"/>
      <c r="O730" s="317"/>
      <c r="P730" s="317"/>
      <c r="Q730" s="317"/>
      <c r="R730" s="317"/>
      <c r="S730" s="317"/>
      <c r="T730" s="317"/>
      <c r="U730" s="317"/>
      <c r="V730" s="317"/>
      <c r="W730" s="317"/>
      <c r="X730" s="317"/>
      <c r="Y730" s="317"/>
      <c r="Z730" s="317"/>
      <c r="AA730" s="317"/>
      <c r="AB730" s="317"/>
      <c r="AC730" s="317"/>
    </row>
    <row r="731">
      <c r="A731" s="317"/>
      <c r="B731" s="381"/>
      <c r="C731" s="317"/>
      <c r="D731" s="381"/>
      <c r="E731" s="381"/>
      <c r="F731" s="381"/>
      <c r="G731" s="317"/>
      <c r="H731" s="317"/>
      <c r="I731" s="317"/>
      <c r="J731" s="317"/>
      <c r="K731" s="317"/>
      <c r="L731" s="317"/>
      <c r="M731" s="317"/>
      <c r="N731" s="317"/>
      <c r="O731" s="317"/>
      <c r="P731" s="317"/>
      <c r="Q731" s="317"/>
      <c r="R731" s="317"/>
      <c r="S731" s="317"/>
      <c r="T731" s="317"/>
      <c r="U731" s="317"/>
      <c r="V731" s="317"/>
      <c r="W731" s="317"/>
      <c r="X731" s="317"/>
      <c r="Y731" s="317"/>
      <c r="Z731" s="317"/>
      <c r="AA731" s="317"/>
      <c r="AB731" s="317"/>
      <c r="AC731" s="317"/>
    </row>
    <row r="732">
      <c r="A732" s="317"/>
      <c r="B732" s="381"/>
      <c r="C732" s="317"/>
      <c r="D732" s="381"/>
      <c r="E732" s="381"/>
      <c r="F732" s="381"/>
      <c r="G732" s="317"/>
      <c r="H732" s="317"/>
      <c r="I732" s="317"/>
      <c r="J732" s="317"/>
      <c r="K732" s="317"/>
      <c r="L732" s="317"/>
      <c r="M732" s="317"/>
      <c r="N732" s="317"/>
      <c r="O732" s="317"/>
      <c r="P732" s="317"/>
      <c r="Q732" s="317"/>
      <c r="R732" s="317"/>
      <c r="S732" s="317"/>
      <c r="T732" s="317"/>
      <c r="U732" s="317"/>
      <c r="V732" s="317"/>
      <c r="W732" s="317"/>
      <c r="X732" s="317"/>
      <c r="Y732" s="317"/>
      <c r="Z732" s="317"/>
      <c r="AA732" s="317"/>
      <c r="AB732" s="317"/>
      <c r="AC732" s="317"/>
    </row>
    <row r="733">
      <c r="A733" s="317"/>
      <c r="B733" s="381"/>
      <c r="C733" s="317"/>
      <c r="D733" s="381"/>
      <c r="E733" s="381"/>
      <c r="F733" s="381"/>
      <c r="G733" s="317"/>
      <c r="H733" s="317"/>
      <c r="I733" s="317"/>
      <c r="J733" s="317"/>
      <c r="K733" s="317"/>
      <c r="L733" s="317"/>
      <c r="M733" s="317"/>
      <c r="N733" s="317"/>
      <c r="O733" s="317"/>
      <c r="P733" s="317"/>
      <c r="Q733" s="317"/>
      <c r="R733" s="317"/>
      <c r="S733" s="317"/>
      <c r="T733" s="317"/>
      <c r="U733" s="317"/>
      <c r="V733" s="317"/>
      <c r="W733" s="317"/>
      <c r="X733" s="317"/>
      <c r="Y733" s="317"/>
      <c r="Z733" s="317"/>
      <c r="AA733" s="317"/>
      <c r="AB733" s="317"/>
      <c r="AC733" s="317"/>
    </row>
    <row r="734">
      <c r="A734" s="317"/>
      <c r="B734" s="381"/>
      <c r="C734" s="317"/>
      <c r="D734" s="381"/>
      <c r="E734" s="381"/>
      <c r="F734" s="381"/>
      <c r="G734" s="317"/>
      <c r="H734" s="317"/>
      <c r="I734" s="317"/>
      <c r="J734" s="317"/>
      <c r="K734" s="317"/>
      <c r="L734" s="317"/>
      <c r="M734" s="317"/>
      <c r="N734" s="317"/>
      <c r="O734" s="317"/>
      <c r="P734" s="317"/>
      <c r="Q734" s="317"/>
      <c r="R734" s="317"/>
      <c r="S734" s="317"/>
      <c r="T734" s="317"/>
      <c r="U734" s="317"/>
      <c r="V734" s="317"/>
      <c r="W734" s="317"/>
      <c r="X734" s="317"/>
      <c r="Y734" s="317"/>
      <c r="Z734" s="317"/>
      <c r="AA734" s="317"/>
      <c r="AB734" s="317"/>
      <c r="AC734" s="317"/>
    </row>
    <row r="735">
      <c r="A735" s="317"/>
      <c r="B735" s="381"/>
      <c r="C735" s="317"/>
      <c r="D735" s="381"/>
      <c r="E735" s="381"/>
      <c r="F735" s="381"/>
      <c r="G735" s="317"/>
      <c r="H735" s="317"/>
      <c r="I735" s="317"/>
      <c r="J735" s="317"/>
      <c r="K735" s="317"/>
      <c r="L735" s="317"/>
      <c r="M735" s="317"/>
      <c r="N735" s="317"/>
      <c r="O735" s="317"/>
      <c r="P735" s="317"/>
      <c r="Q735" s="317"/>
      <c r="R735" s="317"/>
      <c r="S735" s="317"/>
      <c r="T735" s="317"/>
      <c r="U735" s="317"/>
      <c r="V735" s="317"/>
      <c r="W735" s="317"/>
      <c r="X735" s="317"/>
      <c r="Y735" s="317"/>
      <c r="Z735" s="317"/>
      <c r="AA735" s="317"/>
      <c r="AB735" s="317"/>
      <c r="AC735" s="317"/>
    </row>
    <row r="736">
      <c r="A736" s="317"/>
      <c r="B736" s="381"/>
      <c r="C736" s="317"/>
      <c r="D736" s="381"/>
      <c r="E736" s="381"/>
      <c r="F736" s="381"/>
      <c r="G736" s="317"/>
      <c r="H736" s="317"/>
      <c r="I736" s="317"/>
      <c r="J736" s="317"/>
      <c r="K736" s="317"/>
      <c r="L736" s="317"/>
      <c r="M736" s="317"/>
      <c r="N736" s="317"/>
      <c r="O736" s="317"/>
      <c r="P736" s="317"/>
      <c r="Q736" s="317"/>
      <c r="R736" s="317"/>
      <c r="S736" s="317"/>
      <c r="T736" s="317"/>
      <c r="U736" s="317"/>
      <c r="V736" s="317"/>
      <c r="W736" s="317"/>
      <c r="X736" s="317"/>
      <c r="Y736" s="317"/>
      <c r="Z736" s="317"/>
      <c r="AA736" s="317"/>
      <c r="AB736" s="317"/>
      <c r="AC736" s="317"/>
    </row>
    <row r="737">
      <c r="A737" s="317"/>
      <c r="B737" s="381"/>
      <c r="C737" s="317"/>
      <c r="D737" s="381"/>
      <c r="E737" s="381"/>
      <c r="F737" s="381"/>
      <c r="G737" s="317"/>
      <c r="H737" s="317"/>
      <c r="I737" s="317"/>
      <c r="J737" s="317"/>
      <c r="K737" s="317"/>
      <c r="L737" s="317"/>
      <c r="M737" s="317"/>
      <c r="N737" s="317"/>
      <c r="O737" s="317"/>
      <c r="P737" s="317"/>
      <c r="Q737" s="317"/>
      <c r="R737" s="317"/>
      <c r="S737" s="317"/>
      <c r="T737" s="317"/>
      <c r="U737" s="317"/>
      <c r="V737" s="317"/>
      <c r="W737" s="317"/>
      <c r="X737" s="317"/>
      <c r="Y737" s="317"/>
      <c r="Z737" s="317"/>
      <c r="AA737" s="317"/>
      <c r="AB737" s="317"/>
      <c r="AC737" s="317"/>
    </row>
    <row r="738">
      <c r="A738" s="317"/>
      <c r="B738" s="381"/>
      <c r="C738" s="317"/>
      <c r="D738" s="381"/>
      <c r="E738" s="381"/>
      <c r="F738" s="381"/>
      <c r="G738" s="317"/>
      <c r="H738" s="317"/>
      <c r="I738" s="317"/>
      <c r="J738" s="317"/>
      <c r="K738" s="317"/>
      <c r="L738" s="317"/>
      <c r="M738" s="317"/>
      <c r="N738" s="317"/>
      <c r="O738" s="317"/>
      <c r="P738" s="317"/>
      <c r="Q738" s="317"/>
      <c r="R738" s="317"/>
      <c r="S738" s="317"/>
      <c r="T738" s="317"/>
      <c r="U738" s="317"/>
      <c r="V738" s="317"/>
      <c r="W738" s="317"/>
      <c r="X738" s="317"/>
      <c r="Y738" s="317"/>
      <c r="Z738" s="317"/>
      <c r="AA738" s="317"/>
      <c r="AB738" s="317"/>
      <c r="AC738" s="317"/>
    </row>
    <row r="739">
      <c r="A739" s="317"/>
      <c r="B739" s="381"/>
      <c r="C739" s="317"/>
      <c r="D739" s="381"/>
      <c r="E739" s="381"/>
      <c r="F739" s="381"/>
      <c r="G739" s="317"/>
      <c r="H739" s="317"/>
      <c r="I739" s="317"/>
      <c r="J739" s="317"/>
      <c r="K739" s="317"/>
      <c r="L739" s="317"/>
      <c r="M739" s="317"/>
      <c r="N739" s="317"/>
      <c r="O739" s="317"/>
      <c r="P739" s="317"/>
      <c r="Q739" s="317"/>
      <c r="R739" s="317"/>
      <c r="S739" s="317"/>
      <c r="T739" s="317"/>
      <c r="U739" s="317"/>
      <c r="V739" s="317"/>
      <c r="W739" s="317"/>
      <c r="X739" s="317"/>
      <c r="Y739" s="317"/>
      <c r="Z739" s="317"/>
      <c r="AA739" s="317"/>
      <c r="AB739" s="317"/>
      <c r="AC739" s="317"/>
    </row>
    <row r="740">
      <c r="A740" s="317"/>
      <c r="B740" s="381"/>
      <c r="C740" s="317"/>
      <c r="D740" s="381"/>
      <c r="E740" s="381"/>
      <c r="F740" s="381"/>
      <c r="G740" s="317"/>
      <c r="H740" s="317"/>
      <c r="I740" s="317"/>
      <c r="J740" s="317"/>
      <c r="K740" s="317"/>
      <c r="L740" s="317"/>
      <c r="M740" s="317"/>
      <c r="N740" s="317"/>
      <c r="O740" s="317"/>
      <c r="P740" s="317"/>
      <c r="Q740" s="317"/>
      <c r="R740" s="317"/>
      <c r="S740" s="317"/>
      <c r="T740" s="317"/>
      <c r="U740" s="317"/>
      <c r="V740" s="317"/>
      <c r="W740" s="317"/>
      <c r="X740" s="317"/>
      <c r="Y740" s="317"/>
      <c r="Z740" s="317"/>
      <c r="AA740" s="317"/>
      <c r="AB740" s="317"/>
      <c r="AC740" s="317"/>
    </row>
    <row r="741">
      <c r="A741" s="317"/>
      <c r="B741" s="381"/>
      <c r="C741" s="317"/>
      <c r="D741" s="381"/>
      <c r="E741" s="381"/>
      <c r="F741" s="381"/>
      <c r="G741" s="317"/>
      <c r="H741" s="317"/>
      <c r="I741" s="317"/>
      <c r="J741" s="317"/>
      <c r="K741" s="317"/>
      <c r="L741" s="317"/>
      <c r="M741" s="317"/>
      <c r="N741" s="317"/>
      <c r="O741" s="317"/>
      <c r="P741" s="317"/>
      <c r="Q741" s="317"/>
      <c r="R741" s="317"/>
      <c r="S741" s="317"/>
      <c r="T741" s="317"/>
      <c r="U741" s="317"/>
      <c r="V741" s="317"/>
      <c r="W741" s="317"/>
      <c r="X741" s="317"/>
      <c r="Y741" s="317"/>
      <c r="Z741" s="317"/>
      <c r="AA741" s="317"/>
      <c r="AB741" s="317"/>
      <c r="AC741" s="317"/>
    </row>
    <row r="742">
      <c r="A742" s="317"/>
      <c r="B742" s="381"/>
      <c r="C742" s="317"/>
      <c r="D742" s="381"/>
      <c r="E742" s="381"/>
      <c r="F742" s="381"/>
      <c r="G742" s="317"/>
      <c r="H742" s="317"/>
      <c r="I742" s="317"/>
      <c r="J742" s="317"/>
      <c r="K742" s="317"/>
      <c r="L742" s="317"/>
      <c r="M742" s="317"/>
      <c r="N742" s="317"/>
      <c r="O742" s="317"/>
      <c r="P742" s="317"/>
      <c r="Q742" s="317"/>
      <c r="R742" s="317"/>
      <c r="S742" s="317"/>
      <c r="T742" s="317"/>
      <c r="U742" s="317"/>
      <c r="V742" s="317"/>
      <c r="W742" s="317"/>
      <c r="X742" s="317"/>
      <c r="Y742" s="317"/>
      <c r="Z742" s="317"/>
      <c r="AA742" s="317"/>
      <c r="AB742" s="317"/>
      <c r="AC742" s="317"/>
    </row>
    <row r="743">
      <c r="A743" s="317"/>
      <c r="B743" s="381"/>
      <c r="C743" s="317"/>
      <c r="D743" s="381"/>
      <c r="E743" s="381"/>
      <c r="F743" s="381"/>
      <c r="G743" s="317"/>
      <c r="H743" s="317"/>
      <c r="I743" s="317"/>
      <c r="J743" s="317"/>
      <c r="K743" s="317"/>
      <c r="L743" s="317"/>
      <c r="M743" s="317"/>
      <c r="N743" s="317"/>
      <c r="O743" s="317"/>
      <c r="P743" s="317"/>
      <c r="Q743" s="317"/>
      <c r="R743" s="317"/>
      <c r="S743" s="317"/>
      <c r="T743" s="317"/>
      <c r="U743" s="317"/>
      <c r="V743" s="317"/>
      <c r="W743" s="317"/>
      <c r="X743" s="317"/>
      <c r="Y743" s="317"/>
      <c r="Z743" s="317"/>
      <c r="AA743" s="317"/>
      <c r="AB743" s="317"/>
      <c r="AC743" s="317"/>
    </row>
    <row r="744">
      <c r="A744" s="317"/>
      <c r="B744" s="381"/>
      <c r="C744" s="317"/>
      <c r="D744" s="381"/>
      <c r="E744" s="381"/>
      <c r="F744" s="381"/>
      <c r="G744" s="317"/>
      <c r="H744" s="317"/>
      <c r="I744" s="317"/>
      <c r="J744" s="317"/>
      <c r="K744" s="317"/>
      <c r="L744" s="317"/>
      <c r="M744" s="317"/>
      <c r="N744" s="317"/>
      <c r="O744" s="317"/>
      <c r="P744" s="317"/>
      <c r="Q744" s="317"/>
      <c r="R744" s="317"/>
      <c r="S744" s="317"/>
      <c r="T744" s="317"/>
      <c r="U744" s="317"/>
      <c r="V744" s="317"/>
      <c r="W744" s="317"/>
      <c r="X744" s="317"/>
      <c r="Y744" s="317"/>
      <c r="Z744" s="317"/>
      <c r="AA744" s="317"/>
      <c r="AB744" s="317"/>
      <c r="AC744" s="317"/>
    </row>
    <row r="745">
      <c r="A745" s="317"/>
      <c r="B745" s="381"/>
      <c r="C745" s="317"/>
      <c r="D745" s="381"/>
      <c r="E745" s="381"/>
      <c r="F745" s="381"/>
      <c r="G745" s="317"/>
      <c r="H745" s="317"/>
      <c r="I745" s="317"/>
      <c r="J745" s="317"/>
      <c r="K745" s="317"/>
      <c r="L745" s="317"/>
      <c r="M745" s="317"/>
      <c r="N745" s="317"/>
      <c r="O745" s="317"/>
      <c r="P745" s="317"/>
      <c r="Q745" s="317"/>
      <c r="R745" s="317"/>
      <c r="S745" s="317"/>
      <c r="T745" s="317"/>
      <c r="U745" s="317"/>
      <c r="V745" s="317"/>
      <c r="W745" s="317"/>
      <c r="X745" s="317"/>
      <c r="Y745" s="317"/>
      <c r="Z745" s="317"/>
      <c r="AA745" s="317"/>
      <c r="AB745" s="317"/>
      <c r="AC745" s="317"/>
    </row>
    <row r="746">
      <c r="A746" s="317"/>
      <c r="B746" s="381"/>
      <c r="C746" s="317"/>
      <c r="D746" s="381"/>
      <c r="E746" s="381"/>
      <c r="F746" s="381"/>
      <c r="G746" s="317"/>
      <c r="H746" s="317"/>
      <c r="I746" s="317"/>
      <c r="J746" s="317"/>
      <c r="K746" s="317"/>
      <c r="L746" s="317"/>
      <c r="M746" s="317"/>
      <c r="N746" s="317"/>
      <c r="O746" s="317"/>
      <c r="P746" s="317"/>
      <c r="Q746" s="317"/>
      <c r="R746" s="317"/>
      <c r="S746" s="317"/>
      <c r="T746" s="317"/>
      <c r="U746" s="317"/>
      <c r="V746" s="317"/>
      <c r="W746" s="317"/>
      <c r="X746" s="317"/>
      <c r="Y746" s="317"/>
      <c r="Z746" s="317"/>
      <c r="AA746" s="317"/>
      <c r="AB746" s="317"/>
      <c r="AC746" s="317"/>
    </row>
    <row r="747">
      <c r="A747" s="317"/>
      <c r="B747" s="381"/>
      <c r="C747" s="317"/>
      <c r="D747" s="381"/>
      <c r="E747" s="381"/>
      <c r="F747" s="381"/>
      <c r="G747" s="317"/>
      <c r="H747" s="317"/>
      <c r="I747" s="317"/>
      <c r="J747" s="317"/>
      <c r="K747" s="317"/>
      <c r="L747" s="317"/>
      <c r="M747" s="317"/>
      <c r="N747" s="317"/>
      <c r="O747" s="317"/>
      <c r="P747" s="317"/>
      <c r="Q747" s="317"/>
      <c r="R747" s="317"/>
      <c r="S747" s="317"/>
      <c r="T747" s="317"/>
      <c r="U747" s="317"/>
      <c r="V747" s="317"/>
      <c r="W747" s="317"/>
      <c r="X747" s="317"/>
      <c r="Y747" s="317"/>
      <c r="Z747" s="317"/>
      <c r="AA747" s="317"/>
      <c r="AB747" s="317"/>
      <c r="AC747" s="317"/>
    </row>
    <row r="748">
      <c r="A748" s="317"/>
      <c r="B748" s="381"/>
      <c r="C748" s="317"/>
      <c r="D748" s="381"/>
      <c r="E748" s="381"/>
      <c r="F748" s="381"/>
      <c r="G748" s="317"/>
      <c r="H748" s="317"/>
      <c r="I748" s="317"/>
      <c r="J748" s="317"/>
      <c r="K748" s="317"/>
      <c r="L748" s="317"/>
      <c r="M748" s="317"/>
      <c r="N748" s="317"/>
      <c r="O748" s="317"/>
      <c r="P748" s="317"/>
      <c r="Q748" s="317"/>
      <c r="R748" s="317"/>
      <c r="S748" s="317"/>
      <c r="T748" s="317"/>
      <c r="U748" s="317"/>
      <c r="V748" s="317"/>
      <c r="W748" s="317"/>
      <c r="X748" s="317"/>
      <c r="Y748" s="317"/>
      <c r="Z748" s="317"/>
      <c r="AA748" s="317"/>
      <c r="AB748" s="317"/>
      <c r="AC748" s="317"/>
    </row>
    <row r="749">
      <c r="A749" s="317"/>
      <c r="B749" s="381"/>
      <c r="C749" s="317"/>
      <c r="D749" s="381"/>
      <c r="E749" s="381"/>
      <c r="F749" s="381"/>
      <c r="G749" s="317"/>
      <c r="H749" s="317"/>
      <c r="I749" s="317"/>
      <c r="J749" s="317"/>
      <c r="K749" s="317"/>
      <c r="L749" s="317"/>
      <c r="M749" s="317"/>
      <c r="N749" s="317"/>
      <c r="O749" s="317"/>
      <c r="P749" s="317"/>
      <c r="Q749" s="317"/>
      <c r="R749" s="317"/>
      <c r="S749" s="317"/>
      <c r="T749" s="317"/>
      <c r="U749" s="317"/>
      <c r="V749" s="317"/>
      <c r="W749" s="317"/>
      <c r="X749" s="317"/>
      <c r="Y749" s="317"/>
      <c r="Z749" s="317"/>
      <c r="AA749" s="317"/>
      <c r="AB749" s="317"/>
      <c r="AC749" s="317"/>
    </row>
    <row r="750">
      <c r="A750" s="317"/>
      <c r="B750" s="381"/>
      <c r="C750" s="317"/>
      <c r="D750" s="381"/>
      <c r="E750" s="381"/>
      <c r="F750" s="381"/>
      <c r="G750" s="317"/>
      <c r="H750" s="317"/>
      <c r="I750" s="317"/>
      <c r="J750" s="317"/>
      <c r="K750" s="317"/>
      <c r="L750" s="317"/>
      <c r="M750" s="317"/>
      <c r="N750" s="317"/>
      <c r="O750" s="317"/>
      <c r="P750" s="317"/>
      <c r="Q750" s="317"/>
      <c r="R750" s="317"/>
      <c r="S750" s="317"/>
      <c r="T750" s="317"/>
      <c r="U750" s="317"/>
      <c r="V750" s="317"/>
      <c r="W750" s="317"/>
      <c r="X750" s="317"/>
      <c r="Y750" s="317"/>
      <c r="Z750" s="317"/>
      <c r="AA750" s="317"/>
      <c r="AB750" s="317"/>
      <c r="AC750" s="317"/>
    </row>
    <row r="751">
      <c r="A751" s="317"/>
      <c r="B751" s="381"/>
      <c r="C751" s="317"/>
      <c r="D751" s="381"/>
      <c r="E751" s="381"/>
      <c r="F751" s="381"/>
      <c r="G751" s="317"/>
      <c r="H751" s="317"/>
      <c r="I751" s="317"/>
      <c r="J751" s="317"/>
      <c r="K751" s="317"/>
      <c r="L751" s="317"/>
      <c r="M751" s="317"/>
      <c r="N751" s="317"/>
      <c r="O751" s="317"/>
      <c r="P751" s="317"/>
      <c r="Q751" s="317"/>
      <c r="R751" s="317"/>
      <c r="S751" s="317"/>
      <c r="T751" s="317"/>
      <c r="U751" s="317"/>
      <c r="V751" s="317"/>
      <c r="W751" s="317"/>
      <c r="X751" s="317"/>
      <c r="Y751" s="317"/>
      <c r="Z751" s="317"/>
      <c r="AA751" s="317"/>
      <c r="AB751" s="317"/>
      <c r="AC751" s="317"/>
    </row>
    <row r="752">
      <c r="A752" s="317"/>
      <c r="B752" s="381"/>
      <c r="C752" s="317"/>
      <c r="D752" s="381"/>
      <c r="E752" s="381"/>
      <c r="F752" s="381"/>
      <c r="G752" s="317"/>
      <c r="H752" s="317"/>
      <c r="I752" s="317"/>
      <c r="J752" s="317"/>
      <c r="K752" s="317"/>
      <c r="L752" s="317"/>
      <c r="M752" s="317"/>
      <c r="N752" s="317"/>
      <c r="O752" s="317"/>
      <c r="P752" s="317"/>
      <c r="Q752" s="317"/>
      <c r="R752" s="317"/>
      <c r="S752" s="317"/>
      <c r="T752" s="317"/>
      <c r="U752" s="317"/>
      <c r="V752" s="317"/>
      <c r="W752" s="317"/>
      <c r="X752" s="317"/>
      <c r="Y752" s="317"/>
      <c r="Z752" s="317"/>
      <c r="AA752" s="317"/>
      <c r="AB752" s="317"/>
      <c r="AC752" s="317"/>
    </row>
    <row r="753">
      <c r="A753" s="317"/>
      <c r="B753" s="381"/>
      <c r="C753" s="317"/>
      <c r="D753" s="381"/>
      <c r="E753" s="381"/>
      <c r="F753" s="381"/>
      <c r="G753" s="317"/>
      <c r="H753" s="317"/>
      <c r="I753" s="317"/>
      <c r="J753" s="317"/>
      <c r="K753" s="317"/>
      <c r="L753" s="317"/>
      <c r="M753" s="317"/>
      <c r="N753" s="317"/>
      <c r="O753" s="317"/>
      <c r="P753" s="317"/>
      <c r="Q753" s="317"/>
      <c r="R753" s="317"/>
      <c r="S753" s="317"/>
      <c r="T753" s="317"/>
      <c r="U753" s="317"/>
      <c r="V753" s="317"/>
      <c r="W753" s="317"/>
      <c r="X753" s="317"/>
      <c r="Y753" s="317"/>
      <c r="Z753" s="317"/>
      <c r="AA753" s="317"/>
      <c r="AB753" s="317"/>
      <c r="AC753" s="317"/>
    </row>
    <row r="754">
      <c r="A754" s="317"/>
      <c r="B754" s="381"/>
      <c r="C754" s="317"/>
      <c r="D754" s="381"/>
      <c r="E754" s="381"/>
      <c r="F754" s="381"/>
      <c r="G754" s="317"/>
      <c r="H754" s="317"/>
      <c r="I754" s="317"/>
      <c r="J754" s="317"/>
      <c r="K754" s="317"/>
      <c r="L754" s="317"/>
      <c r="M754" s="317"/>
      <c r="N754" s="317"/>
      <c r="O754" s="317"/>
      <c r="P754" s="317"/>
      <c r="Q754" s="317"/>
      <c r="R754" s="317"/>
      <c r="S754" s="317"/>
      <c r="T754" s="317"/>
      <c r="U754" s="317"/>
      <c r="V754" s="317"/>
      <c r="W754" s="317"/>
      <c r="X754" s="317"/>
      <c r="Y754" s="317"/>
      <c r="Z754" s="317"/>
      <c r="AA754" s="317"/>
      <c r="AB754" s="317"/>
      <c r="AC754" s="317"/>
    </row>
    <row r="755">
      <c r="A755" s="317"/>
      <c r="B755" s="381"/>
      <c r="C755" s="317"/>
      <c r="D755" s="381"/>
      <c r="E755" s="381"/>
      <c r="F755" s="381"/>
      <c r="G755" s="317"/>
      <c r="H755" s="317"/>
      <c r="I755" s="317"/>
      <c r="J755" s="317"/>
      <c r="K755" s="317"/>
      <c r="L755" s="317"/>
      <c r="M755" s="317"/>
      <c r="N755" s="317"/>
      <c r="O755" s="317"/>
      <c r="P755" s="317"/>
      <c r="Q755" s="317"/>
      <c r="R755" s="317"/>
      <c r="S755" s="317"/>
      <c r="T755" s="317"/>
      <c r="U755" s="317"/>
      <c r="V755" s="317"/>
      <c r="W755" s="317"/>
      <c r="X755" s="317"/>
      <c r="Y755" s="317"/>
      <c r="Z755" s="317"/>
      <c r="AA755" s="317"/>
      <c r="AB755" s="317"/>
      <c r="AC755" s="317"/>
    </row>
    <row r="756">
      <c r="A756" s="317"/>
      <c r="B756" s="381"/>
      <c r="C756" s="317"/>
      <c r="D756" s="381"/>
      <c r="E756" s="381"/>
      <c r="F756" s="381"/>
      <c r="G756" s="317"/>
      <c r="H756" s="317"/>
      <c r="I756" s="317"/>
      <c r="J756" s="317"/>
      <c r="K756" s="317"/>
      <c r="L756" s="317"/>
      <c r="M756" s="317"/>
      <c r="N756" s="317"/>
      <c r="O756" s="317"/>
      <c r="P756" s="317"/>
      <c r="Q756" s="317"/>
      <c r="R756" s="317"/>
      <c r="S756" s="317"/>
      <c r="T756" s="317"/>
      <c r="U756" s="317"/>
      <c r="V756" s="317"/>
      <c r="W756" s="317"/>
      <c r="X756" s="317"/>
      <c r="Y756" s="317"/>
      <c r="Z756" s="317"/>
      <c r="AA756" s="317"/>
      <c r="AB756" s="317"/>
      <c r="AC756" s="317"/>
    </row>
    <row r="757">
      <c r="A757" s="317"/>
      <c r="B757" s="381"/>
      <c r="C757" s="317"/>
      <c r="D757" s="381"/>
      <c r="E757" s="381"/>
      <c r="F757" s="381"/>
      <c r="G757" s="317"/>
      <c r="H757" s="317"/>
      <c r="I757" s="317"/>
      <c r="J757" s="317"/>
      <c r="K757" s="317"/>
      <c r="L757" s="317"/>
      <c r="M757" s="317"/>
      <c r="N757" s="317"/>
      <c r="O757" s="317"/>
      <c r="P757" s="317"/>
      <c r="Q757" s="317"/>
      <c r="R757" s="317"/>
      <c r="S757" s="317"/>
      <c r="T757" s="317"/>
      <c r="U757" s="317"/>
      <c r="V757" s="317"/>
      <c r="W757" s="317"/>
      <c r="X757" s="317"/>
      <c r="Y757" s="317"/>
      <c r="Z757" s="317"/>
      <c r="AA757" s="317"/>
      <c r="AB757" s="317"/>
      <c r="AC757" s="317"/>
    </row>
    <row r="758">
      <c r="A758" s="317"/>
      <c r="B758" s="381"/>
      <c r="C758" s="317"/>
      <c r="D758" s="381"/>
      <c r="E758" s="381"/>
      <c r="F758" s="381"/>
      <c r="G758" s="317"/>
      <c r="H758" s="317"/>
      <c r="I758" s="317"/>
      <c r="J758" s="317"/>
      <c r="K758" s="317"/>
      <c r="L758" s="317"/>
      <c r="M758" s="317"/>
      <c r="N758" s="317"/>
      <c r="O758" s="317"/>
      <c r="P758" s="317"/>
      <c r="Q758" s="317"/>
      <c r="R758" s="317"/>
      <c r="S758" s="317"/>
      <c r="T758" s="317"/>
      <c r="U758" s="317"/>
      <c r="V758" s="317"/>
      <c r="W758" s="317"/>
      <c r="X758" s="317"/>
      <c r="Y758" s="317"/>
      <c r="Z758" s="317"/>
      <c r="AA758" s="317"/>
      <c r="AB758" s="317"/>
      <c r="AC758" s="317"/>
    </row>
    <row r="759">
      <c r="A759" s="317"/>
      <c r="B759" s="381"/>
      <c r="C759" s="317"/>
      <c r="D759" s="381"/>
      <c r="E759" s="381"/>
      <c r="F759" s="381"/>
      <c r="G759" s="317"/>
      <c r="H759" s="317"/>
      <c r="I759" s="317"/>
      <c r="J759" s="317"/>
      <c r="K759" s="317"/>
      <c r="L759" s="317"/>
      <c r="M759" s="317"/>
      <c r="N759" s="317"/>
      <c r="O759" s="317"/>
      <c r="P759" s="317"/>
      <c r="Q759" s="317"/>
      <c r="R759" s="317"/>
      <c r="S759" s="317"/>
      <c r="T759" s="317"/>
      <c r="U759" s="317"/>
      <c r="V759" s="317"/>
      <c r="W759" s="317"/>
      <c r="X759" s="317"/>
      <c r="Y759" s="317"/>
      <c r="Z759" s="317"/>
      <c r="AA759" s="317"/>
      <c r="AB759" s="317"/>
      <c r="AC759" s="317"/>
    </row>
    <row r="760">
      <c r="A760" s="317"/>
      <c r="B760" s="381"/>
      <c r="C760" s="317"/>
      <c r="D760" s="381"/>
      <c r="E760" s="381"/>
      <c r="F760" s="381"/>
      <c r="G760" s="317"/>
      <c r="H760" s="317"/>
      <c r="I760" s="317"/>
      <c r="J760" s="317"/>
      <c r="K760" s="317"/>
      <c r="L760" s="317"/>
      <c r="M760" s="317"/>
      <c r="N760" s="317"/>
      <c r="O760" s="317"/>
      <c r="P760" s="317"/>
      <c r="Q760" s="317"/>
      <c r="R760" s="317"/>
      <c r="S760" s="317"/>
      <c r="T760" s="317"/>
      <c r="U760" s="317"/>
      <c r="V760" s="317"/>
      <c r="W760" s="317"/>
      <c r="X760" s="317"/>
      <c r="Y760" s="317"/>
      <c r="Z760" s="317"/>
      <c r="AA760" s="317"/>
      <c r="AB760" s="317"/>
      <c r="AC760" s="317"/>
    </row>
    <row r="761">
      <c r="A761" s="317"/>
      <c r="B761" s="381"/>
      <c r="C761" s="317"/>
      <c r="D761" s="381"/>
      <c r="E761" s="381"/>
      <c r="F761" s="381"/>
      <c r="G761" s="317"/>
      <c r="H761" s="317"/>
      <c r="I761" s="317"/>
      <c r="J761" s="317"/>
      <c r="K761" s="317"/>
      <c r="L761" s="317"/>
      <c r="M761" s="317"/>
      <c r="N761" s="317"/>
      <c r="O761" s="317"/>
      <c r="P761" s="317"/>
      <c r="Q761" s="317"/>
      <c r="R761" s="317"/>
      <c r="S761" s="317"/>
      <c r="T761" s="317"/>
      <c r="U761" s="317"/>
      <c r="V761" s="317"/>
      <c r="W761" s="317"/>
      <c r="X761" s="317"/>
      <c r="Y761" s="317"/>
      <c r="Z761" s="317"/>
      <c r="AA761" s="317"/>
      <c r="AB761" s="317"/>
      <c r="AC761" s="317"/>
    </row>
    <row r="762">
      <c r="A762" s="317"/>
      <c r="B762" s="381"/>
      <c r="C762" s="317"/>
      <c r="D762" s="381"/>
      <c r="E762" s="381"/>
      <c r="F762" s="381"/>
      <c r="G762" s="317"/>
      <c r="H762" s="317"/>
      <c r="I762" s="317"/>
      <c r="J762" s="317"/>
      <c r="K762" s="317"/>
      <c r="L762" s="317"/>
      <c r="M762" s="317"/>
      <c r="N762" s="317"/>
      <c r="O762" s="317"/>
      <c r="P762" s="317"/>
      <c r="Q762" s="317"/>
      <c r="R762" s="317"/>
      <c r="S762" s="317"/>
      <c r="T762" s="317"/>
      <c r="U762" s="317"/>
      <c r="V762" s="317"/>
      <c r="W762" s="317"/>
      <c r="X762" s="317"/>
      <c r="Y762" s="317"/>
      <c r="Z762" s="317"/>
      <c r="AA762" s="317"/>
      <c r="AB762" s="317"/>
      <c r="AC762" s="317"/>
    </row>
    <row r="763">
      <c r="A763" s="317"/>
      <c r="B763" s="381"/>
      <c r="C763" s="317"/>
      <c r="D763" s="381"/>
      <c r="E763" s="381"/>
      <c r="F763" s="381"/>
      <c r="G763" s="317"/>
      <c r="H763" s="317"/>
      <c r="I763" s="317"/>
      <c r="J763" s="317"/>
      <c r="K763" s="317"/>
      <c r="L763" s="317"/>
      <c r="M763" s="317"/>
      <c r="N763" s="317"/>
      <c r="O763" s="317"/>
      <c r="P763" s="317"/>
      <c r="Q763" s="317"/>
      <c r="R763" s="317"/>
      <c r="S763" s="317"/>
      <c r="T763" s="317"/>
      <c r="U763" s="317"/>
      <c r="V763" s="317"/>
      <c r="W763" s="317"/>
      <c r="X763" s="317"/>
      <c r="Y763" s="317"/>
      <c r="Z763" s="317"/>
      <c r="AA763" s="317"/>
      <c r="AB763" s="317"/>
      <c r="AC763" s="317"/>
    </row>
    <row r="764">
      <c r="A764" s="317"/>
      <c r="B764" s="381"/>
      <c r="C764" s="317"/>
      <c r="D764" s="381"/>
      <c r="E764" s="381"/>
      <c r="F764" s="381"/>
      <c r="G764" s="317"/>
      <c r="H764" s="317"/>
      <c r="I764" s="317"/>
      <c r="J764" s="317"/>
      <c r="K764" s="317"/>
      <c r="L764" s="317"/>
      <c r="M764" s="317"/>
      <c r="N764" s="317"/>
      <c r="O764" s="317"/>
      <c r="P764" s="317"/>
      <c r="Q764" s="317"/>
      <c r="R764" s="317"/>
      <c r="S764" s="317"/>
      <c r="T764" s="317"/>
      <c r="U764" s="317"/>
      <c r="V764" s="317"/>
      <c r="W764" s="317"/>
      <c r="X764" s="317"/>
      <c r="Y764" s="317"/>
      <c r="Z764" s="317"/>
      <c r="AA764" s="317"/>
      <c r="AB764" s="317"/>
      <c r="AC764" s="317"/>
    </row>
    <row r="765">
      <c r="A765" s="317"/>
      <c r="B765" s="381"/>
      <c r="C765" s="317"/>
      <c r="D765" s="381"/>
      <c r="E765" s="381"/>
      <c r="F765" s="381"/>
      <c r="G765" s="317"/>
      <c r="H765" s="317"/>
      <c r="I765" s="317"/>
      <c r="J765" s="317"/>
      <c r="K765" s="317"/>
      <c r="L765" s="317"/>
      <c r="M765" s="317"/>
      <c r="N765" s="317"/>
      <c r="O765" s="317"/>
      <c r="P765" s="317"/>
      <c r="Q765" s="317"/>
      <c r="R765" s="317"/>
      <c r="S765" s="317"/>
      <c r="T765" s="317"/>
      <c r="U765" s="317"/>
      <c r="V765" s="317"/>
      <c r="W765" s="317"/>
      <c r="X765" s="317"/>
      <c r="Y765" s="317"/>
      <c r="Z765" s="317"/>
      <c r="AA765" s="317"/>
      <c r="AB765" s="317"/>
      <c r="AC765" s="317"/>
    </row>
    <row r="766">
      <c r="A766" s="317"/>
      <c r="B766" s="381"/>
      <c r="C766" s="317"/>
      <c r="D766" s="381"/>
      <c r="E766" s="381"/>
      <c r="F766" s="381"/>
      <c r="G766" s="317"/>
      <c r="H766" s="317"/>
      <c r="I766" s="317"/>
      <c r="J766" s="317"/>
      <c r="K766" s="317"/>
      <c r="L766" s="317"/>
      <c r="M766" s="317"/>
      <c r="N766" s="317"/>
      <c r="O766" s="317"/>
      <c r="P766" s="317"/>
      <c r="Q766" s="317"/>
      <c r="R766" s="317"/>
      <c r="S766" s="317"/>
      <c r="T766" s="317"/>
      <c r="U766" s="317"/>
      <c r="V766" s="317"/>
      <c r="W766" s="317"/>
      <c r="X766" s="317"/>
      <c r="Y766" s="317"/>
      <c r="Z766" s="317"/>
      <c r="AA766" s="317"/>
      <c r="AB766" s="317"/>
      <c r="AC766" s="317"/>
    </row>
    <row r="767">
      <c r="A767" s="317"/>
      <c r="B767" s="381"/>
      <c r="C767" s="317"/>
      <c r="D767" s="381"/>
      <c r="E767" s="381"/>
      <c r="F767" s="381"/>
      <c r="G767" s="317"/>
      <c r="H767" s="317"/>
      <c r="I767" s="317"/>
      <c r="J767" s="317"/>
      <c r="K767" s="317"/>
      <c r="L767" s="317"/>
      <c r="M767" s="317"/>
      <c r="N767" s="317"/>
      <c r="O767" s="317"/>
      <c r="P767" s="317"/>
      <c r="Q767" s="317"/>
      <c r="R767" s="317"/>
      <c r="S767" s="317"/>
      <c r="T767" s="317"/>
      <c r="U767" s="317"/>
      <c r="V767" s="317"/>
      <c r="W767" s="317"/>
      <c r="X767" s="317"/>
      <c r="Y767" s="317"/>
      <c r="Z767" s="317"/>
      <c r="AA767" s="317"/>
      <c r="AB767" s="317"/>
      <c r="AC767" s="317"/>
    </row>
    <row r="768">
      <c r="A768" s="317"/>
      <c r="B768" s="381"/>
      <c r="C768" s="317"/>
      <c r="D768" s="381"/>
      <c r="E768" s="381"/>
      <c r="F768" s="381"/>
      <c r="G768" s="317"/>
      <c r="H768" s="317"/>
      <c r="I768" s="317"/>
      <c r="J768" s="317"/>
      <c r="K768" s="317"/>
      <c r="L768" s="317"/>
      <c r="M768" s="317"/>
      <c r="N768" s="317"/>
      <c r="O768" s="317"/>
      <c r="P768" s="317"/>
      <c r="Q768" s="317"/>
      <c r="R768" s="317"/>
      <c r="S768" s="317"/>
      <c r="T768" s="317"/>
      <c r="U768" s="317"/>
      <c r="V768" s="317"/>
      <c r="W768" s="317"/>
      <c r="X768" s="317"/>
      <c r="Y768" s="317"/>
      <c r="Z768" s="317"/>
      <c r="AA768" s="317"/>
      <c r="AB768" s="317"/>
      <c r="AC768" s="317"/>
    </row>
    <row r="769">
      <c r="A769" s="317"/>
      <c r="B769" s="381"/>
      <c r="C769" s="317"/>
      <c r="D769" s="381"/>
      <c r="E769" s="381"/>
      <c r="F769" s="381"/>
      <c r="G769" s="317"/>
      <c r="H769" s="317"/>
      <c r="I769" s="317"/>
      <c r="J769" s="317"/>
      <c r="K769" s="317"/>
      <c r="L769" s="317"/>
      <c r="M769" s="317"/>
      <c r="N769" s="317"/>
      <c r="O769" s="317"/>
      <c r="P769" s="317"/>
      <c r="Q769" s="317"/>
      <c r="R769" s="317"/>
      <c r="S769" s="317"/>
      <c r="T769" s="317"/>
      <c r="U769" s="317"/>
      <c r="V769" s="317"/>
      <c r="W769" s="317"/>
      <c r="X769" s="317"/>
      <c r="Y769" s="317"/>
      <c r="Z769" s="317"/>
      <c r="AA769" s="317"/>
      <c r="AB769" s="317"/>
      <c r="AC769" s="317"/>
    </row>
    <row r="770">
      <c r="A770" s="317"/>
      <c r="B770" s="381"/>
      <c r="C770" s="317"/>
      <c r="D770" s="381"/>
      <c r="E770" s="381"/>
      <c r="F770" s="381"/>
      <c r="G770" s="317"/>
      <c r="H770" s="317"/>
      <c r="I770" s="317"/>
      <c r="J770" s="317"/>
      <c r="K770" s="317"/>
      <c r="L770" s="317"/>
      <c r="M770" s="317"/>
      <c r="N770" s="317"/>
      <c r="O770" s="317"/>
      <c r="P770" s="317"/>
      <c r="Q770" s="317"/>
      <c r="R770" s="317"/>
      <c r="S770" s="317"/>
      <c r="T770" s="317"/>
      <c r="U770" s="317"/>
      <c r="V770" s="317"/>
      <c r="W770" s="317"/>
      <c r="X770" s="317"/>
      <c r="Y770" s="317"/>
      <c r="Z770" s="317"/>
      <c r="AA770" s="317"/>
      <c r="AB770" s="317"/>
      <c r="AC770" s="317"/>
    </row>
    <row r="771">
      <c r="A771" s="317"/>
      <c r="B771" s="381"/>
      <c r="C771" s="317"/>
      <c r="D771" s="381"/>
      <c r="E771" s="381"/>
      <c r="F771" s="381"/>
      <c r="G771" s="317"/>
      <c r="H771" s="317"/>
      <c r="I771" s="317"/>
      <c r="J771" s="317"/>
      <c r="K771" s="317"/>
      <c r="L771" s="317"/>
      <c r="M771" s="317"/>
      <c r="N771" s="317"/>
      <c r="O771" s="317"/>
      <c r="P771" s="317"/>
      <c r="Q771" s="317"/>
      <c r="R771" s="317"/>
      <c r="S771" s="317"/>
      <c r="T771" s="317"/>
      <c r="U771" s="317"/>
      <c r="V771" s="317"/>
      <c r="W771" s="317"/>
      <c r="X771" s="317"/>
      <c r="Y771" s="317"/>
      <c r="Z771" s="317"/>
      <c r="AA771" s="317"/>
      <c r="AB771" s="317"/>
      <c r="AC771" s="317"/>
    </row>
    <row r="772">
      <c r="A772" s="317"/>
      <c r="B772" s="381"/>
      <c r="C772" s="317"/>
      <c r="D772" s="381"/>
      <c r="E772" s="381"/>
      <c r="F772" s="381"/>
      <c r="G772" s="317"/>
      <c r="H772" s="317"/>
      <c r="I772" s="317"/>
      <c r="J772" s="317"/>
      <c r="K772" s="317"/>
      <c r="L772" s="317"/>
      <c r="M772" s="317"/>
      <c r="N772" s="317"/>
      <c r="O772" s="317"/>
      <c r="P772" s="317"/>
      <c r="Q772" s="317"/>
      <c r="R772" s="317"/>
      <c r="S772" s="317"/>
      <c r="T772" s="317"/>
      <c r="U772" s="317"/>
      <c r="V772" s="317"/>
      <c r="W772" s="317"/>
      <c r="X772" s="317"/>
      <c r="Y772" s="317"/>
      <c r="Z772" s="317"/>
      <c r="AA772" s="317"/>
      <c r="AB772" s="317"/>
      <c r="AC772" s="317"/>
    </row>
    <row r="773">
      <c r="A773" s="317"/>
      <c r="B773" s="381"/>
      <c r="C773" s="317"/>
      <c r="D773" s="381"/>
      <c r="E773" s="381"/>
      <c r="F773" s="381"/>
      <c r="G773" s="317"/>
      <c r="H773" s="317"/>
      <c r="I773" s="317"/>
      <c r="J773" s="317"/>
      <c r="K773" s="317"/>
      <c r="L773" s="317"/>
      <c r="M773" s="317"/>
      <c r="N773" s="317"/>
      <c r="O773" s="317"/>
      <c r="P773" s="317"/>
      <c r="Q773" s="317"/>
      <c r="R773" s="317"/>
      <c r="S773" s="317"/>
      <c r="T773" s="317"/>
      <c r="U773" s="317"/>
      <c r="V773" s="317"/>
      <c r="W773" s="317"/>
      <c r="X773" s="317"/>
      <c r="Y773" s="317"/>
      <c r="Z773" s="317"/>
      <c r="AA773" s="317"/>
      <c r="AB773" s="317"/>
      <c r="AC773" s="317"/>
    </row>
    <row r="774">
      <c r="A774" s="317"/>
      <c r="B774" s="381"/>
      <c r="C774" s="317"/>
      <c r="D774" s="381"/>
      <c r="E774" s="381"/>
      <c r="F774" s="381"/>
      <c r="G774" s="317"/>
      <c r="H774" s="317"/>
      <c r="I774" s="317"/>
      <c r="J774" s="317"/>
      <c r="K774" s="317"/>
      <c r="L774" s="317"/>
      <c r="M774" s="317"/>
      <c r="N774" s="317"/>
      <c r="O774" s="317"/>
      <c r="P774" s="317"/>
      <c r="Q774" s="317"/>
      <c r="R774" s="317"/>
      <c r="S774" s="317"/>
      <c r="T774" s="317"/>
      <c r="U774" s="317"/>
      <c r="V774" s="317"/>
      <c r="W774" s="317"/>
      <c r="X774" s="317"/>
      <c r="Y774" s="317"/>
      <c r="Z774" s="317"/>
      <c r="AA774" s="317"/>
      <c r="AB774" s="317"/>
      <c r="AC774" s="317"/>
    </row>
    <row r="775">
      <c r="A775" s="317"/>
      <c r="B775" s="381"/>
      <c r="C775" s="317"/>
      <c r="D775" s="381"/>
      <c r="E775" s="381"/>
      <c r="F775" s="381"/>
      <c r="G775" s="317"/>
      <c r="H775" s="317"/>
      <c r="I775" s="317"/>
      <c r="J775" s="317"/>
      <c r="K775" s="317"/>
      <c r="L775" s="317"/>
      <c r="M775" s="317"/>
      <c r="N775" s="317"/>
      <c r="O775" s="317"/>
      <c r="P775" s="317"/>
      <c r="Q775" s="317"/>
      <c r="R775" s="317"/>
      <c r="S775" s="317"/>
      <c r="T775" s="317"/>
      <c r="U775" s="317"/>
      <c r="V775" s="317"/>
      <c r="W775" s="317"/>
      <c r="X775" s="317"/>
      <c r="Y775" s="317"/>
      <c r="Z775" s="317"/>
      <c r="AA775" s="317"/>
      <c r="AB775" s="317"/>
      <c r="AC775" s="317"/>
    </row>
    <row r="776">
      <c r="A776" s="317"/>
      <c r="B776" s="381"/>
      <c r="C776" s="317"/>
      <c r="D776" s="381"/>
      <c r="E776" s="381"/>
      <c r="F776" s="381"/>
      <c r="G776" s="317"/>
      <c r="H776" s="317"/>
      <c r="I776" s="317"/>
      <c r="J776" s="317"/>
      <c r="K776" s="317"/>
      <c r="L776" s="317"/>
      <c r="M776" s="317"/>
      <c r="N776" s="317"/>
      <c r="O776" s="317"/>
      <c r="P776" s="317"/>
      <c r="Q776" s="317"/>
      <c r="R776" s="317"/>
      <c r="S776" s="317"/>
      <c r="T776" s="317"/>
      <c r="U776" s="317"/>
      <c r="V776" s="317"/>
      <c r="W776" s="317"/>
      <c r="X776" s="317"/>
      <c r="Y776" s="317"/>
      <c r="Z776" s="317"/>
      <c r="AA776" s="317"/>
      <c r="AB776" s="317"/>
      <c r="AC776" s="317"/>
    </row>
    <row r="777">
      <c r="A777" s="317"/>
      <c r="B777" s="381"/>
      <c r="C777" s="317"/>
      <c r="D777" s="381"/>
      <c r="E777" s="381"/>
      <c r="F777" s="381"/>
      <c r="G777" s="317"/>
      <c r="H777" s="317"/>
      <c r="I777" s="317"/>
      <c r="J777" s="317"/>
      <c r="K777" s="317"/>
      <c r="L777" s="317"/>
      <c r="M777" s="317"/>
      <c r="N777" s="317"/>
      <c r="O777" s="317"/>
      <c r="P777" s="317"/>
      <c r="Q777" s="317"/>
      <c r="R777" s="317"/>
      <c r="S777" s="317"/>
      <c r="T777" s="317"/>
      <c r="U777" s="317"/>
      <c r="V777" s="317"/>
      <c r="W777" s="317"/>
      <c r="X777" s="317"/>
      <c r="Y777" s="317"/>
      <c r="Z777" s="317"/>
      <c r="AA777" s="317"/>
      <c r="AB777" s="317"/>
      <c r="AC777" s="317"/>
    </row>
    <row r="778">
      <c r="A778" s="317"/>
      <c r="B778" s="381"/>
      <c r="C778" s="317"/>
      <c r="D778" s="381"/>
      <c r="E778" s="381"/>
      <c r="F778" s="381"/>
      <c r="G778" s="317"/>
      <c r="H778" s="317"/>
      <c r="I778" s="317"/>
      <c r="J778" s="317"/>
      <c r="K778" s="317"/>
      <c r="L778" s="317"/>
      <c r="M778" s="317"/>
      <c r="N778" s="317"/>
      <c r="O778" s="317"/>
      <c r="P778" s="317"/>
      <c r="Q778" s="317"/>
      <c r="R778" s="317"/>
      <c r="S778" s="317"/>
      <c r="T778" s="317"/>
      <c r="U778" s="317"/>
      <c r="V778" s="317"/>
      <c r="W778" s="317"/>
      <c r="X778" s="317"/>
      <c r="Y778" s="317"/>
      <c r="Z778" s="317"/>
      <c r="AA778" s="317"/>
      <c r="AB778" s="317"/>
      <c r="AC778" s="317"/>
    </row>
    <row r="779">
      <c r="A779" s="317"/>
      <c r="B779" s="381"/>
      <c r="C779" s="317"/>
      <c r="D779" s="381"/>
      <c r="E779" s="381"/>
      <c r="F779" s="381"/>
      <c r="G779" s="317"/>
      <c r="H779" s="317"/>
      <c r="I779" s="317"/>
      <c r="J779" s="317"/>
      <c r="K779" s="317"/>
      <c r="L779" s="317"/>
      <c r="M779" s="317"/>
      <c r="N779" s="317"/>
      <c r="O779" s="317"/>
      <c r="P779" s="317"/>
      <c r="Q779" s="317"/>
      <c r="R779" s="317"/>
      <c r="S779" s="317"/>
      <c r="T779" s="317"/>
      <c r="U779" s="317"/>
      <c r="V779" s="317"/>
      <c r="W779" s="317"/>
      <c r="X779" s="317"/>
      <c r="Y779" s="317"/>
      <c r="Z779" s="317"/>
      <c r="AA779" s="317"/>
      <c r="AB779" s="317"/>
      <c r="AC779" s="317"/>
    </row>
    <row r="780">
      <c r="A780" s="317"/>
      <c r="B780" s="381"/>
      <c r="C780" s="317"/>
      <c r="D780" s="381"/>
      <c r="E780" s="381"/>
      <c r="F780" s="381"/>
      <c r="G780" s="317"/>
      <c r="H780" s="317"/>
      <c r="I780" s="317"/>
      <c r="J780" s="317"/>
      <c r="K780" s="317"/>
      <c r="L780" s="317"/>
      <c r="M780" s="317"/>
      <c r="N780" s="317"/>
      <c r="O780" s="317"/>
      <c r="P780" s="317"/>
      <c r="Q780" s="317"/>
      <c r="R780" s="317"/>
      <c r="S780" s="317"/>
      <c r="T780" s="317"/>
      <c r="U780" s="317"/>
      <c r="V780" s="317"/>
      <c r="W780" s="317"/>
      <c r="X780" s="317"/>
      <c r="Y780" s="317"/>
      <c r="Z780" s="317"/>
      <c r="AA780" s="317"/>
      <c r="AB780" s="317"/>
      <c r="AC780" s="317"/>
    </row>
    <row r="781">
      <c r="A781" s="317"/>
      <c r="B781" s="381"/>
      <c r="C781" s="317"/>
      <c r="D781" s="381"/>
      <c r="E781" s="381"/>
      <c r="F781" s="381"/>
      <c r="G781" s="317"/>
      <c r="H781" s="317"/>
      <c r="I781" s="317"/>
      <c r="J781" s="317"/>
      <c r="K781" s="317"/>
      <c r="L781" s="317"/>
      <c r="M781" s="317"/>
      <c r="N781" s="317"/>
      <c r="O781" s="317"/>
      <c r="P781" s="317"/>
      <c r="Q781" s="317"/>
      <c r="R781" s="317"/>
      <c r="S781" s="317"/>
      <c r="T781" s="317"/>
      <c r="U781" s="317"/>
      <c r="V781" s="317"/>
      <c r="W781" s="317"/>
      <c r="X781" s="317"/>
      <c r="Y781" s="317"/>
      <c r="Z781" s="317"/>
      <c r="AA781" s="317"/>
      <c r="AB781" s="317"/>
      <c r="AC781" s="317"/>
    </row>
    <row r="782">
      <c r="A782" s="317"/>
      <c r="B782" s="381"/>
      <c r="C782" s="317"/>
      <c r="D782" s="381"/>
      <c r="E782" s="381"/>
      <c r="F782" s="381"/>
      <c r="G782" s="317"/>
      <c r="H782" s="317"/>
      <c r="I782" s="317"/>
      <c r="J782" s="317"/>
      <c r="K782" s="317"/>
      <c r="L782" s="317"/>
      <c r="M782" s="317"/>
      <c r="N782" s="317"/>
      <c r="O782" s="317"/>
      <c r="P782" s="317"/>
      <c r="Q782" s="317"/>
      <c r="R782" s="317"/>
      <c r="S782" s="317"/>
      <c r="T782" s="317"/>
      <c r="U782" s="317"/>
      <c r="V782" s="317"/>
      <c r="W782" s="317"/>
      <c r="X782" s="317"/>
      <c r="Y782" s="317"/>
      <c r="Z782" s="317"/>
      <c r="AA782" s="317"/>
      <c r="AB782" s="317"/>
      <c r="AC782" s="317"/>
    </row>
    <row r="783">
      <c r="A783" s="317"/>
      <c r="B783" s="381"/>
      <c r="C783" s="317"/>
      <c r="D783" s="381"/>
      <c r="E783" s="381"/>
      <c r="F783" s="381"/>
      <c r="G783" s="317"/>
      <c r="H783" s="317"/>
      <c r="I783" s="317"/>
      <c r="J783" s="317"/>
      <c r="K783" s="317"/>
      <c r="L783" s="317"/>
      <c r="M783" s="317"/>
      <c r="N783" s="317"/>
      <c r="O783" s="317"/>
      <c r="P783" s="317"/>
      <c r="Q783" s="317"/>
      <c r="R783" s="317"/>
      <c r="S783" s="317"/>
      <c r="T783" s="317"/>
      <c r="U783" s="317"/>
      <c r="V783" s="317"/>
      <c r="W783" s="317"/>
      <c r="X783" s="317"/>
      <c r="Y783" s="317"/>
      <c r="Z783" s="317"/>
      <c r="AA783" s="317"/>
      <c r="AB783" s="317"/>
      <c r="AC783" s="317"/>
    </row>
    <row r="784">
      <c r="A784" s="317"/>
      <c r="B784" s="381"/>
      <c r="C784" s="317"/>
      <c r="D784" s="381"/>
      <c r="E784" s="381"/>
      <c r="F784" s="381"/>
      <c r="G784" s="317"/>
      <c r="H784" s="317"/>
      <c r="I784" s="317"/>
      <c r="J784" s="317"/>
      <c r="K784" s="317"/>
      <c r="L784" s="317"/>
      <c r="M784" s="317"/>
      <c r="N784" s="317"/>
      <c r="O784" s="317"/>
      <c r="P784" s="317"/>
      <c r="Q784" s="317"/>
      <c r="R784" s="317"/>
      <c r="S784" s="317"/>
      <c r="T784" s="317"/>
      <c r="U784" s="317"/>
      <c r="V784" s="317"/>
      <c r="W784" s="317"/>
      <c r="X784" s="317"/>
      <c r="Y784" s="317"/>
      <c r="Z784" s="317"/>
      <c r="AA784" s="317"/>
      <c r="AB784" s="317"/>
      <c r="AC784" s="317"/>
    </row>
    <row r="785">
      <c r="A785" s="317"/>
      <c r="B785" s="381"/>
      <c r="C785" s="317"/>
      <c r="D785" s="381"/>
      <c r="E785" s="381"/>
      <c r="F785" s="381"/>
      <c r="G785" s="317"/>
      <c r="H785" s="317"/>
      <c r="I785" s="317"/>
      <c r="J785" s="317"/>
      <c r="K785" s="317"/>
      <c r="L785" s="317"/>
      <c r="M785" s="317"/>
      <c r="N785" s="317"/>
      <c r="O785" s="317"/>
      <c r="P785" s="317"/>
      <c r="Q785" s="317"/>
      <c r="R785" s="317"/>
      <c r="S785" s="317"/>
      <c r="T785" s="317"/>
      <c r="U785" s="317"/>
      <c r="V785" s="317"/>
      <c r="W785" s="317"/>
      <c r="X785" s="317"/>
      <c r="Y785" s="317"/>
      <c r="Z785" s="317"/>
      <c r="AA785" s="317"/>
      <c r="AB785" s="317"/>
      <c r="AC785" s="317"/>
    </row>
    <row r="786">
      <c r="A786" s="317"/>
      <c r="B786" s="381"/>
      <c r="C786" s="317"/>
      <c r="D786" s="381"/>
      <c r="E786" s="381"/>
      <c r="F786" s="381"/>
      <c r="G786" s="317"/>
      <c r="H786" s="317"/>
      <c r="I786" s="317"/>
      <c r="J786" s="317"/>
      <c r="K786" s="317"/>
      <c r="L786" s="317"/>
      <c r="M786" s="317"/>
      <c r="N786" s="317"/>
      <c r="O786" s="317"/>
      <c r="P786" s="317"/>
      <c r="Q786" s="317"/>
      <c r="R786" s="317"/>
      <c r="S786" s="317"/>
      <c r="T786" s="317"/>
      <c r="U786" s="317"/>
      <c r="V786" s="317"/>
      <c r="W786" s="317"/>
      <c r="X786" s="317"/>
      <c r="Y786" s="317"/>
      <c r="Z786" s="317"/>
      <c r="AA786" s="317"/>
      <c r="AB786" s="317"/>
      <c r="AC786" s="317"/>
    </row>
    <row r="787">
      <c r="A787" s="317"/>
      <c r="B787" s="381"/>
      <c r="C787" s="317"/>
      <c r="D787" s="381"/>
      <c r="E787" s="381"/>
      <c r="F787" s="381"/>
      <c r="G787" s="317"/>
      <c r="H787" s="317"/>
      <c r="I787" s="317"/>
      <c r="J787" s="317"/>
      <c r="K787" s="317"/>
      <c r="L787" s="317"/>
      <c r="M787" s="317"/>
      <c r="N787" s="317"/>
      <c r="O787" s="317"/>
      <c r="P787" s="317"/>
      <c r="Q787" s="317"/>
      <c r="R787" s="317"/>
      <c r="S787" s="317"/>
      <c r="T787" s="317"/>
      <c r="U787" s="317"/>
      <c r="V787" s="317"/>
      <c r="W787" s="317"/>
      <c r="X787" s="317"/>
      <c r="Y787" s="317"/>
      <c r="Z787" s="317"/>
      <c r="AA787" s="317"/>
      <c r="AB787" s="317"/>
      <c r="AC787" s="317"/>
    </row>
    <row r="788">
      <c r="A788" s="317"/>
      <c r="B788" s="381"/>
      <c r="C788" s="317"/>
      <c r="D788" s="381"/>
      <c r="E788" s="381"/>
      <c r="F788" s="381"/>
      <c r="G788" s="317"/>
      <c r="H788" s="317"/>
      <c r="I788" s="317"/>
      <c r="J788" s="317"/>
      <c r="K788" s="317"/>
      <c r="L788" s="317"/>
      <c r="M788" s="317"/>
      <c r="N788" s="317"/>
      <c r="O788" s="317"/>
      <c r="P788" s="317"/>
      <c r="Q788" s="317"/>
      <c r="R788" s="317"/>
      <c r="S788" s="317"/>
      <c r="T788" s="317"/>
      <c r="U788" s="317"/>
      <c r="V788" s="317"/>
      <c r="W788" s="317"/>
      <c r="X788" s="317"/>
      <c r="Y788" s="317"/>
      <c r="Z788" s="317"/>
      <c r="AA788" s="317"/>
      <c r="AB788" s="317"/>
      <c r="AC788" s="317"/>
    </row>
    <row r="789">
      <c r="A789" s="317"/>
      <c r="B789" s="381"/>
      <c r="C789" s="317"/>
      <c r="D789" s="381"/>
      <c r="E789" s="381"/>
      <c r="F789" s="381"/>
      <c r="G789" s="317"/>
      <c r="H789" s="317"/>
      <c r="I789" s="317"/>
      <c r="J789" s="317"/>
      <c r="K789" s="317"/>
      <c r="L789" s="317"/>
      <c r="M789" s="317"/>
      <c r="N789" s="317"/>
      <c r="O789" s="317"/>
      <c r="P789" s="317"/>
      <c r="Q789" s="317"/>
      <c r="R789" s="317"/>
      <c r="S789" s="317"/>
      <c r="T789" s="317"/>
      <c r="U789" s="317"/>
      <c r="V789" s="317"/>
      <c r="W789" s="317"/>
      <c r="X789" s="317"/>
      <c r="Y789" s="317"/>
      <c r="Z789" s="317"/>
      <c r="AA789" s="317"/>
      <c r="AB789" s="317"/>
      <c r="AC789" s="317"/>
    </row>
    <row r="790">
      <c r="A790" s="317"/>
      <c r="B790" s="381"/>
      <c r="C790" s="317"/>
      <c r="D790" s="381"/>
      <c r="E790" s="381"/>
      <c r="F790" s="381"/>
      <c r="G790" s="317"/>
      <c r="H790" s="317"/>
      <c r="I790" s="317"/>
      <c r="J790" s="317"/>
      <c r="K790" s="317"/>
      <c r="L790" s="317"/>
      <c r="M790" s="317"/>
      <c r="N790" s="317"/>
      <c r="O790" s="317"/>
      <c r="P790" s="317"/>
      <c r="Q790" s="317"/>
      <c r="R790" s="317"/>
      <c r="S790" s="317"/>
      <c r="T790" s="317"/>
      <c r="U790" s="317"/>
      <c r="V790" s="317"/>
      <c r="W790" s="317"/>
      <c r="X790" s="317"/>
      <c r="Y790" s="317"/>
      <c r="Z790" s="317"/>
      <c r="AA790" s="317"/>
      <c r="AB790" s="317"/>
      <c r="AC790" s="317"/>
    </row>
    <row r="791">
      <c r="A791" s="317"/>
      <c r="B791" s="381"/>
      <c r="C791" s="317"/>
      <c r="D791" s="381"/>
      <c r="E791" s="381"/>
      <c r="F791" s="381"/>
      <c r="G791" s="317"/>
      <c r="H791" s="317"/>
      <c r="I791" s="317"/>
      <c r="J791" s="317"/>
      <c r="K791" s="317"/>
      <c r="L791" s="317"/>
      <c r="M791" s="317"/>
      <c r="N791" s="317"/>
      <c r="O791" s="317"/>
      <c r="P791" s="317"/>
      <c r="Q791" s="317"/>
      <c r="R791" s="317"/>
      <c r="S791" s="317"/>
      <c r="T791" s="317"/>
      <c r="U791" s="317"/>
      <c r="V791" s="317"/>
      <c r="W791" s="317"/>
      <c r="X791" s="317"/>
      <c r="Y791" s="317"/>
      <c r="Z791" s="317"/>
      <c r="AA791" s="317"/>
      <c r="AB791" s="317"/>
      <c r="AC791" s="317"/>
    </row>
    <row r="792">
      <c r="A792" s="317"/>
      <c r="B792" s="381"/>
      <c r="C792" s="317"/>
      <c r="D792" s="381"/>
      <c r="E792" s="381"/>
      <c r="F792" s="381"/>
      <c r="G792" s="317"/>
      <c r="H792" s="317"/>
      <c r="I792" s="317"/>
      <c r="J792" s="317"/>
      <c r="K792" s="317"/>
      <c r="L792" s="317"/>
      <c r="M792" s="317"/>
      <c r="N792" s="317"/>
      <c r="O792" s="317"/>
      <c r="P792" s="317"/>
      <c r="Q792" s="317"/>
      <c r="R792" s="317"/>
      <c r="S792" s="317"/>
      <c r="T792" s="317"/>
      <c r="U792" s="317"/>
      <c r="V792" s="317"/>
      <c r="W792" s="317"/>
      <c r="X792" s="317"/>
      <c r="Y792" s="317"/>
      <c r="Z792" s="317"/>
      <c r="AA792" s="317"/>
      <c r="AB792" s="317"/>
      <c r="AC792" s="317"/>
    </row>
    <row r="793">
      <c r="A793" s="317"/>
      <c r="B793" s="381"/>
      <c r="C793" s="317"/>
      <c r="D793" s="381"/>
      <c r="E793" s="381"/>
      <c r="F793" s="381"/>
      <c r="G793" s="317"/>
      <c r="H793" s="317"/>
      <c r="I793" s="317"/>
      <c r="J793" s="317"/>
      <c r="K793" s="317"/>
      <c r="L793" s="317"/>
      <c r="M793" s="317"/>
      <c r="N793" s="317"/>
      <c r="O793" s="317"/>
      <c r="P793" s="317"/>
      <c r="Q793" s="317"/>
      <c r="R793" s="317"/>
      <c r="S793" s="317"/>
      <c r="T793" s="317"/>
      <c r="U793" s="317"/>
      <c r="V793" s="317"/>
      <c r="W793" s="317"/>
      <c r="X793" s="317"/>
      <c r="Y793" s="317"/>
      <c r="Z793" s="317"/>
      <c r="AA793" s="317"/>
      <c r="AB793" s="317"/>
      <c r="AC793" s="317"/>
    </row>
    <row r="794">
      <c r="A794" s="317"/>
      <c r="B794" s="381"/>
      <c r="C794" s="317"/>
      <c r="D794" s="381"/>
      <c r="E794" s="381"/>
      <c r="F794" s="381"/>
      <c r="G794" s="317"/>
      <c r="H794" s="317"/>
      <c r="I794" s="317"/>
      <c r="J794" s="317"/>
      <c r="K794" s="317"/>
      <c r="L794" s="317"/>
      <c r="M794" s="317"/>
      <c r="N794" s="317"/>
      <c r="O794" s="317"/>
      <c r="P794" s="317"/>
      <c r="Q794" s="317"/>
      <c r="R794" s="317"/>
      <c r="S794" s="317"/>
      <c r="T794" s="317"/>
      <c r="U794" s="317"/>
      <c r="V794" s="317"/>
      <c r="W794" s="317"/>
      <c r="X794" s="317"/>
      <c r="Y794" s="317"/>
      <c r="Z794" s="317"/>
      <c r="AA794" s="317"/>
      <c r="AB794" s="317"/>
      <c r="AC794" s="317"/>
    </row>
    <row r="795">
      <c r="A795" s="317"/>
      <c r="B795" s="381"/>
      <c r="C795" s="317"/>
      <c r="D795" s="381"/>
      <c r="E795" s="381"/>
      <c r="F795" s="381"/>
      <c r="G795" s="317"/>
      <c r="H795" s="317"/>
      <c r="I795" s="317"/>
      <c r="J795" s="317"/>
      <c r="K795" s="317"/>
      <c r="L795" s="317"/>
      <c r="M795" s="317"/>
      <c r="N795" s="317"/>
      <c r="O795" s="317"/>
      <c r="P795" s="317"/>
      <c r="Q795" s="317"/>
      <c r="R795" s="317"/>
      <c r="S795" s="317"/>
      <c r="T795" s="317"/>
      <c r="U795" s="317"/>
      <c r="V795" s="317"/>
      <c r="W795" s="317"/>
      <c r="X795" s="317"/>
      <c r="Y795" s="317"/>
      <c r="Z795" s="317"/>
      <c r="AA795" s="317"/>
      <c r="AB795" s="317"/>
      <c r="AC795" s="317"/>
    </row>
    <row r="796">
      <c r="A796" s="317"/>
      <c r="B796" s="381"/>
      <c r="C796" s="317"/>
      <c r="D796" s="381"/>
      <c r="E796" s="381"/>
      <c r="F796" s="381"/>
      <c r="G796" s="317"/>
      <c r="H796" s="317"/>
      <c r="I796" s="317"/>
      <c r="J796" s="317"/>
      <c r="K796" s="317"/>
      <c r="L796" s="317"/>
      <c r="M796" s="317"/>
      <c r="N796" s="317"/>
      <c r="O796" s="317"/>
      <c r="P796" s="317"/>
      <c r="Q796" s="317"/>
      <c r="R796" s="317"/>
      <c r="S796" s="317"/>
      <c r="T796" s="317"/>
      <c r="U796" s="317"/>
      <c r="V796" s="317"/>
      <c r="W796" s="317"/>
      <c r="X796" s="317"/>
      <c r="Y796" s="317"/>
      <c r="Z796" s="317"/>
      <c r="AA796" s="317"/>
      <c r="AB796" s="317"/>
      <c r="AC796" s="317"/>
    </row>
    <row r="797">
      <c r="A797" s="317"/>
      <c r="B797" s="381"/>
      <c r="C797" s="317"/>
      <c r="D797" s="381"/>
      <c r="E797" s="381"/>
      <c r="F797" s="381"/>
      <c r="G797" s="317"/>
      <c r="H797" s="317"/>
      <c r="I797" s="317"/>
      <c r="J797" s="317"/>
      <c r="K797" s="317"/>
      <c r="L797" s="317"/>
      <c r="M797" s="317"/>
      <c r="N797" s="317"/>
      <c r="O797" s="317"/>
      <c r="P797" s="317"/>
      <c r="Q797" s="317"/>
      <c r="R797" s="317"/>
      <c r="S797" s="317"/>
      <c r="T797" s="317"/>
      <c r="U797" s="317"/>
      <c r="V797" s="317"/>
      <c r="W797" s="317"/>
      <c r="X797" s="317"/>
      <c r="Y797" s="317"/>
      <c r="Z797" s="317"/>
      <c r="AA797" s="317"/>
      <c r="AB797" s="317"/>
      <c r="AC797" s="317"/>
    </row>
    <row r="798">
      <c r="A798" s="317"/>
      <c r="B798" s="381"/>
      <c r="C798" s="317"/>
      <c r="D798" s="381"/>
      <c r="E798" s="381"/>
      <c r="F798" s="381"/>
      <c r="G798" s="317"/>
      <c r="H798" s="317"/>
      <c r="I798" s="317"/>
      <c r="J798" s="317"/>
      <c r="K798" s="317"/>
      <c r="L798" s="317"/>
      <c r="M798" s="317"/>
      <c r="N798" s="317"/>
      <c r="O798" s="317"/>
      <c r="P798" s="317"/>
      <c r="Q798" s="317"/>
      <c r="R798" s="317"/>
      <c r="S798" s="317"/>
      <c r="T798" s="317"/>
      <c r="U798" s="317"/>
      <c r="V798" s="317"/>
      <c r="W798" s="317"/>
      <c r="X798" s="317"/>
      <c r="Y798" s="317"/>
      <c r="Z798" s="317"/>
      <c r="AA798" s="317"/>
      <c r="AB798" s="317"/>
      <c r="AC798" s="317"/>
    </row>
    <row r="799">
      <c r="A799" s="317"/>
      <c r="B799" s="381"/>
      <c r="C799" s="317"/>
      <c r="D799" s="381"/>
      <c r="E799" s="381"/>
      <c r="F799" s="381"/>
      <c r="G799" s="317"/>
      <c r="H799" s="317"/>
      <c r="I799" s="317"/>
      <c r="J799" s="317"/>
      <c r="K799" s="317"/>
      <c r="L799" s="317"/>
      <c r="M799" s="317"/>
      <c r="N799" s="317"/>
      <c r="O799" s="317"/>
      <c r="P799" s="317"/>
      <c r="Q799" s="317"/>
      <c r="R799" s="317"/>
      <c r="S799" s="317"/>
      <c r="T799" s="317"/>
      <c r="U799" s="317"/>
      <c r="V799" s="317"/>
      <c r="W799" s="317"/>
      <c r="X799" s="317"/>
      <c r="Y799" s="317"/>
      <c r="Z799" s="317"/>
      <c r="AA799" s="317"/>
      <c r="AB799" s="317"/>
      <c r="AC799" s="317"/>
    </row>
    <row r="800">
      <c r="A800" s="317"/>
      <c r="B800" s="381"/>
      <c r="C800" s="317"/>
      <c r="D800" s="381"/>
      <c r="E800" s="381"/>
      <c r="F800" s="381"/>
      <c r="G800" s="317"/>
      <c r="H800" s="317"/>
      <c r="I800" s="317"/>
      <c r="J800" s="317"/>
      <c r="K800" s="317"/>
      <c r="L800" s="317"/>
      <c r="M800" s="317"/>
      <c r="N800" s="317"/>
      <c r="O800" s="317"/>
      <c r="P800" s="317"/>
      <c r="Q800" s="317"/>
      <c r="R800" s="317"/>
      <c r="S800" s="317"/>
      <c r="T800" s="317"/>
      <c r="U800" s="317"/>
      <c r="V800" s="317"/>
      <c r="W800" s="317"/>
      <c r="X800" s="317"/>
      <c r="Y800" s="317"/>
      <c r="Z800" s="317"/>
      <c r="AA800" s="317"/>
      <c r="AB800" s="317"/>
      <c r="AC800" s="317"/>
    </row>
    <row r="801">
      <c r="A801" s="317"/>
      <c r="B801" s="381"/>
      <c r="C801" s="317"/>
      <c r="D801" s="381"/>
      <c r="E801" s="381"/>
      <c r="F801" s="381"/>
      <c r="G801" s="317"/>
      <c r="H801" s="317"/>
      <c r="I801" s="317"/>
      <c r="J801" s="317"/>
      <c r="K801" s="317"/>
      <c r="L801" s="317"/>
      <c r="M801" s="317"/>
      <c r="N801" s="317"/>
      <c r="O801" s="317"/>
      <c r="P801" s="317"/>
      <c r="Q801" s="317"/>
      <c r="R801" s="317"/>
      <c r="S801" s="317"/>
      <c r="T801" s="317"/>
      <c r="U801" s="317"/>
      <c r="V801" s="317"/>
      <c r="W801" s="317"/>
      <c r="X801" s="317"/>
      <c r="Y801" s="317"/>
      <c r="Z801" s="317"/>
      <c r="AA801" s="317"/>
      <c r="AB801" s="317"/>
      <c r="AC801" s="317"/>
    </row>
    <row r="802">
      <c r="A802" s="317"/>
      <c r="B802" s="381"/>
      <c r="C802" s="317"/>
      <c r="D802" s="381"/>
      <c r="E802" s="381"/>
      <c r="F802" s="381"/>
      <c r="G802" s="317"/>
      <c r="H802" s="317"/>
      <c r="I802" s="317"/>
      <c r="J802" s="317"/>
      <c r="K802" s="317"/>
      <c r="L802" s="317"/>
      <c r="M802" s="317"/>
      <c r="N802" s="317"/>
      <c r="O802" s="317"/>
      <c r="P802" s="317"/>
      <c r="Q802" s="317"/>
      <c r="R802" s="317"/>
      <c r="S802" s="317"/>
      <c r="T802" s="317"/>
      <c r="U802" s="317"/>
      <c r="V802" s="317"/>
      <c r="W802" s="317"/>
      <c r="X802" s="317"/>
      <c r="Y802" s="317"/>
      <c r="Z802" s="317"/>
      <c r="AA802" s="317"/>
      <c r="AB802" s="317"/>
      <c r="AC802" s="317"/>
    </row>
    <row r="803">
      <c r="A803" s="317"/>
      <c r="B803" s="381"/>
      <c r="C803" s="317"/>
      <c r="D803" s="381"/>
      <c r="E803" s="381"/>
      <c r="F803" s="381"/>
      <c r="G803" s="317"/>
      <c r="H803" s="317"/>
      <c r="I803" s="317"/>
      <c r="J803" s="317"/>
      <c r="K803" s="317"/>
      <c r="L803" s="317"/>
      <c r="M803" s="317"/>
      <c r="N803" s="317"/>
      <c r="O803" s="317"/>
      <c r="P803" s="317"/>
      <c r="Q803" s="317"/>
      <c r="R803" s="317"/>
      <c r="S803" s="317"/>
      <c r="T803" s="317"/>
      <c r="U803" s="317"/>
      <c r="V803" s="317"/>
      <c r="W803" s="317"/>
      <c r="X803" s="317"/>
      <c r="Y803" s="317"/>
      <c r="Z803" s="317"/>
      <c r="AA803" s="317"/>
      <c r="AB803" s="317"/>
      <c r="AC803" s="317"/>
    </row>
    <row r="804">
      <c r="A804" s="317"/>
      <c r="B804" s="381"/>
      <c r="C804" s="317"/>
      <c r="D804" s="381"/>
      <c r="E804" s="381"/>
      <c r="F804" s="381"/>
      <c r="G804" s="317"/>
      <c r="H804" s="317"/>
      <c r="I804" s="317"/>
      <c r="J804" s="317"/>
      <c r="K804" s="317"/>
      <c r="L804" s="317"/>
      <c r="M804" s="317"/>
      <c r="N804" s="317"/>
      <c r="O804" s="317"/>
      <c r="P804" s="317"/>
      <c r="Q804" s="317"/>
      <c r="R804" s="317"/>
      <c r="S804" s="317"/>
      <c r="T804" s="317"/>
      <c r="U804" s="317"/>
      <c r="V804" s="317"/>
      <c r="W804" s="317"/>
      <c r="X804" s="317"/>
      <c r="Y804" s="317"/>
      <c r="Z804" s="317"/>
      <c r="AA804" s="317"/>
      <c r="AB804" s="317"/>
      <c r="AC804" s="317"/>
    </row>
    <row r="805">
      <c r="A805" s="317"/>
      <c r="B805" s="381"/>
      <c r="C805" s="317"/>
      <c r="D805" s="381"/>
      <c r="E805" s="381"/>
      <c r="F805" s="381"/>
      <c r="G805" s="317"/>
      <c r="H805" s="317"/>
      <c r="I805" s="317"/>
      <c r="J805" s="317"/>
      <c r="K805" s="317"/>
      <c r="L805" s="317"/>
      <c r="M805" s="317"/>
      <c r="N805" s="317"/>
      <c r="O805" s="317"/>
      <c r="P805" s="317"/>
      <c r="Q805" s="317"/>
      <c r="R805" s="317"/>
      <c r="S805" s="317"/>
      <c r="T805" s="317"/>
      <c r="U805" s="317"/>
      <c r="V805" s="317"/>
      <c r="W805" s="317"/>
      <c r="X805" s="317"/>
      <c r="Y805" s="317"/>
      <c r="Z805" s="317"/>
      <c r="AA805" s="317"/>
      <c r="AB805" s="317"/>
      <c r="AC805" s="317"/>
    </row>
    <row r="806">
      <c r="A806" s="317"/>
      <c r="B806" s="381"/>
      <c r="C806" s="317"/>
      <c r="D806" s="381"/>
      <c r="E806" s="381"/>
      <c r="F806" s="381"/>
      <c r="G806" s="317"/>
      <c r="H806" s="317"/>
      <c r="I806" s="317"/>
      <c r="J806" s="317"/>
      <c r="K806" s="317"/>
      <c r="L806" s="317"/>
      <c r="M806" s="317"/>
      <c r="N806" s="317"/>
      <c r="O806" s="317"/>
      <c r="P806" s="317"/>
      <c r="Q806" s="317"/>
      <c r="R806" s="317"/>
      <c r="S806" s="317"/>
      <c r="T806" s="317"/>
      <c r="U806" s="317"/>
      <c r="V806" s="317"/>
      <c r="W806" s="317"/>
      <c r="X806" s="317"/>
      <c r="Y806" s="317"/>
      <c r="Z806" s="317"/>
      <c r="AA806" s="317"/>
      <c r="AB806" s="317"/>
      <c r="AC806" s="317"/>
    </row>
    <row r="807">
      <c r="A807" s="317"/>
      <c r="B807" s="381"/>
      <c r="C807" s="317"/>
      <c r="D807" s="381"/>
      <c r="E807" s="381"/>
      <c r="F807" s="381"/>
      <c r="G807" s="317"/>
      <c r="H807" s="317"/>
      <c r="I807" s="317"/>
      <c r="J807" s="317"/>
      <c r="K807" s="317"/>
      <c r="L807" s="317"/>
      <c r="M807" s="317"/>
      <c r="N807" s="317"/>
      <c r="O807" s="317"/>
      <c r="P807" s="317"/>
      <c r="Q807" s="317"/>
      <c r="R807" s="317"/>
      <c r="S807" s="317"/>
      <c r="T807" s="317"/>
      <c r="U807" s="317"/>
      <c r="V807" s="317"/>
      <c r="W807" s="317"/>
      <c r="X807" s="317"/>
      <c r="Y807" s="317"/>
      <c r="Z807" s="317"/>
      <c r="AA807" s="317"/>
      <c r="AB807" s="317"/>
      <c r="AC807" s="317"/>
    </row>
    <row r="808">
      <c r="A808" s="317"/>
      <c r="B808" s="381"/>
      <c r="C808" s="317"/>
      <c r="D808" s="381"/>
      <c r="E808" s="381"/>
      <c r="F808" s="381"/>
      <c r="G808" s="317"/>
      <c r="H808" s="317"/>
      <c r="I808" s="317"/>
      <c r="J808" s="317"/>
      <c r="K808" s="317"/>
      <c r="L808" s="317"/>
      <c r="M808" s="317"/>
      <c r="N808" s="317"/>
      <c r="O808" s="317"/>
      <c r="P808" s="317"/>
      <c r="Q808" s="317"/>
      <c r="R808" s="317"/>
      <c r="S808" s="317"/>
      <c r="T808" s="317"/>
      <c r="U808" s="317"/>
      <c r="V808" s="317"/>
      <c r="W808" s="317"/>
      <c r="X808" s="317"/>
      <c r="Y808" s="317"/>
      <c r="Z808" s="317"/>
      <c r="AA808" s="317"/>
      <c r="AB808" s="317"/>
      <c r="AC808" s="317"/>
    </row>
    <row r="809">
      <c r="A809" s="317"/>
      <c r="B809" s="381"/>
      <c r="C809" s="317"/>
      <c r="D809" s="381"/>
      <c r="E809" s="381"/>
      <c r="F809" s="381"/>
      <c r="G809" s="317"/>
      <c r="H809" s="317"/>
      <c r="I809" s="317"/>
      <c r="J809" s="317"/>
      <c r="K809" s="317"/>
      <c r="L809" s="317"/>
      <c r="M809" s="317"/>
      <c r="N809" s="317"/>
      <c r="O809" s="317"/>
      <c r="P809" s="317"/>
      <c r="Q809" s="317"/>
      <c r="R809" s="317"/>
      <c r="S809" s="317"/>
      <c r="T809" s="317"/>
      <c r="U809" s="317"/>
      <c r="V809" s="317"/>
      <c r="W809" s="317"/>
      <c r="X809" s="317"/>
      <c r="Y809" s="317"/>
      <c r="Z809" s="317"/>
      <c r="AA809" s="317"/>
      <c r="AB809" s="317"/>
      <c r="AC809" s="317"/>
    </row>
    <row r="810">
      <c r="A810" s="317"/>
      <c r="B810" s="381"/>
      <c r="C810" s="317"/>
      <c r="D810" s="381"/>
      <c r="E810" s="381"/>
      <c r="F810" s="381"/>
      <c r="G810" s="317"/>
      <c r="H810" s="317"/>
      <c r="I810" s="317"/>
      <c r="J810" s="317"/>
      <c r="K810" s="317"/>
      <c r="L810" s="317"/>
      <c r="M810" s="317"/>
      <c r="N810" s="317"/>
      <c r="O810" s="317"/>
      <c r="P810" s="317"/>
      <c r="Q810" s="317"/>
      <c r="R810" s="317"/>
      <c r="S810" s="317"/>
      <c r="T810" s="317"/>
      <c r="U810" s="317"/>
      <c r="V810" s="317"/>
      <c r="W810" s="317"/>
      <c r="X810" s="317"/>
      <c r="Y810" s="317"/>
      <c r="Z810" s="317"/>
      <c r="AA810" s="317"/>
      <c r="AB810" s="317"/>
      <c r="AC810" s="317"/>
    </row>
    <row r="811">
      <c r="A811" s="317"/>
      <c r="B811" s="381"/>
      <c r="C811" s="317"/>
      <c r="D811" s="381"/>
      <c r="E811" s="381"/>
      <c r="F811" s="381"/>
      <c r="G811" s="317"/>
      <c r="H811" s="317"/>
      <c r="I811" s="317"/>
      <c r="J811" s="317"/>
      <c r="K811" s="317"/>
      <c r="L811" s="317"/>
      <c r="M811" s="317"/>
      <c r="N811" s="317"/>
      <c r="O811" s="317"/>
      <c r="P811" s="317"/>
      <c r="Q811" s="317"/>
      <c r="R811" s="317"/>
      <c r="S811" s="317"/>
      <c r="T811" s="317"/>
      <c r="U811" s="317"/>
      <c r="V811" s="317"/>
      <c r="W811" s="317"/>
      <c r="X811" s="317"/>
      <c r="Y811" s="317"/>
      <c r="Z811" s="317"/>
      <c r="AA811" s="317"/>
      <c r="AB811" s="317"/>
      <c r="AC811" s="317"/>
    </row>
    <row r="812">
      <c r="A812" s="317"/>
      <c r="B812" s="381"/>
      <c r="C812" s="317"/>
      <c r="D812" s="381"/>
      <c r="E812" s="381"/>
      <c r="F812" s="381"/>
      <c r="G812" s="317"/>
      <c r="H812" s="317"/>
      <c r="I812" s="317"/>
      <c r="J812" s="317"/>
      <c r="K812" s="317"/>
      <c r="L812" s="317"/>
      <c r="M812" s="317"/>
      <c r="N812" s="317"/>
      <c r="O812" s="317"/>
      <c r="P812" s="317"/>
      <c r="Q812" s="317"/>
      <c r="R812" s="317"/>
      <c r="S812" s="317"/>
      <c r="T812" s="317"/>
      <c r="U812" s="317"/>
      <c r="V812" s="317"/>
      <c r="W812" s="317"/>
      <c r="X812" s="317"/>
      <c r="Y812" s="317"/>
      <c r="Z812" s="317"/>
      <c r="AA812" s="317"/>
      <c r="AB812" s="317"/>
      <c r="AC812" s="317"/>
    </row>
    <row r="813">
      <c r="A813" s="317"/>
      <c r="B813" s="381"/>
      <c r="C813" s="317"/>
      <c r="D813" s="381"/>
      <c r="E813" s="381"/>
      <c r="F813" s="381"/>
      <c r="G813" s="317"/>
      <c r="H813" s="317"/>
      <c r="I813" s="317"/>
      <c r="J813" s="317"/>
      <c r="K813" s="317"/>
      <c r="L813" s="317"/>
      <c r="M813" s="317"/>
      <c r="N813" s="317"/>
      <c r="O813" s="317"/>
      <c r="P813" s="317"/>
      <c r="Q813" s="317"/>
      <c r="R813" s="317"/>
      <c r="S813" s="317"/>
      <c r="T813" s="317"/>
      <c r="U813" s="317"/>
      <c r="V813" s="317"/>
      <c r="W813" s="317"/>
      <c r="X813" s="317"/>
      <c r="Y813" s="317"/>
      <c r="Z813" s="317"/>
      <c r="AA813" s="317"/>
      <c r="AB813" s="317"/>
      <c r="AC813" s="317"/>
    </row>
    <row r="814">
      <c r="A814" s="317"/>
      <c r="B814" s="381"/>
      <c r="C814" s="317"/>
      <c r="D814" s="381"/>
      <c r="E814" s="381"/>
      <c r="F814" s="381"/>
      <c r="G814" s="317"/>
      <c r="H814" s="317"/>
      <c r="I814" s="317"/>
      <c r="J814" s="317"/>
      <c r="K814" s="317"/>
      <c r="L814" s="317"/>
      <c r="M814" s="317"/>
      <c r="N814" s="317"/>
      <c r="O814" s="317"/>
      <c r="P814" s="317"/>
      <c r="Q814" s="317"/>
      <c r="R814" s="317"/>
      <c r="S814" s="317"/>
      <c r="T814" s="317"/>
      <c r="U814" s="317"/>
      <c r="V814" s="317"/>
      <c r="W814" s="317"/>
      <c r="X814" s="317"/>
      <c r="Y814" s="317"/>
      <c r="Z814" s="317"/>
      <c r="AA814" s="317"/>
      <c r="AB814" s="317"/>
      <c r="AC814" s="317"/>
    </row>
    <row r="815">
      <c r="A815" s="317"/>
      <c r="B815" s="381"/>
      <c r="C815" s="317"/>
      <c r="D815" s="381"/>
      <c r="E815" s="381"/>
      <c r="F815" s="381"/>
      <c r="G815" s="317"/>
      <c r="H815" s="317"/>
      <c r="I815" s="317"/>
      <c r="J815" s="317"/>
      <c r="K815" s="317"/>
      <c r="L815" s="317"/>
      <c r="M815" s="317"/>
      <c r="N815" s="317"/>
      <c r="O815" s="317"/>
      <c r="P815" s="317"/>
      <c r="Q815" s="317"/>
      <c r="R815" s="317"/>
      <c r="S815" s="317"/>
      <c r="T815" s="317"/>
      <c r="U815" s="317"/>
      <c r="V815" s="317"/>
      <c r="W815" s="317"/>
      <c r="X815" s="317"/>
      <c r="Y815" s="317"/>
      <c r="Z815" s="317"/>
      <c r="AA815" s="317"/>
      <c r="AB815" s="317"/>
      <c r="AC815" s="317"/>
    </row>
    <row r="816">
      <c r="A816" s="317"/>
      <c r="B816" s="381"/>
      <c r="C816" s="317"/>
      <c r="D816" s="381"/>
      <c r="E816" s="381"/>
      <c r="F816" s="381"/>
      <c r="G816" s="317"/>
      <c r="H816" s="317"/>
      <c r="I816" s="317"/>
      <c r="J816" s="317"/>
      <c r="K816" s="317"/>
      <c r="L816" s="317"/>
      <c r="M816" s="317"/>
      <c r="N816" s="317"/>
      <c r="O816" s="317"/>
      <c r="P816" s="317"/>
      <c r="Q816" s="317"/>
      <c r="R816" s="317"/>
      <c r="S816" s="317"/>
      <c r="T816" s="317"/>
      <c r="U816" s="317"/>
      <c r="V816" s="317"/>
      <c r="W816" s="317"/>
      <c r="X816" s="317"/>
      <c r="Y816" s="317"/>
      <c r="Z816" s="317"/>
      <c r="AA816" s="317"/>
      <c r="AB816" s="317"/>
      <c r="AC816" s="317"/>
    </row>
    <row r="817">
      <c r="A817" s="317"/>
      <c r="B817" s="381"/>
      <c r="C817" s="317"/>
      <c r="D817" s="381"/>
      <c r="E817" s="381"/>
      <c r="F817" s="381"/>
      <c r="G817" s="317"/>
      <c r="H817" s="317"/>
      <c r="I817" s="317"/>
      <c r="J817" s="317"/>
      <c r="K817" s="317"/>
      <c r="L817" s="317"/>
      <c r="M817" s="317"/>
      <c r="N817" s="317"/>
      <c r="O817" s="317"/>
      <c r="P817" s="317"/>
      <c r="Q817" s="317"/>
      <c r="R817" s="317"/>
      <c r="S817" s="317"/>
      <c r="T817" s="317"/>
      <c r="U817" s="317"/>
      <c r="V817" s="317"/>
      <c r="W817" s="317"/>
      <c r="X817" s="317"/>
      <c r="Y817" s="317"/>
      <c r="Z817" s="317"/>
      <c r="AA817" s="317"/>
      <c r="AB817" s="317"/>
      <c r="AC817" s="317"/>
    </row>
    <row r="818">
      <c r="A818" s="317"/>
      <c r="B818" s="381"/>
      <c r="C818" s="317"/>
      <c r="D818" s="381"/>
      <c r="E818" s="381"/>
      <c r="F818" s="381"/>
      <c r="G818" s="317"/>
      <c r="H818" s="317"/>
      <c r="I818" s="317"/>
      <c r="J818" s="317"/>
      <c r="K818" s="317"/>
      <c r="L818" s="317"/>
      <c r="M818" s="317"/>
      <c r="N818" s="317"/>
      <c r="O818" s="317"/>
      <c r="P818" s="317"/>
      <c r="Q818" s="317"/>
      <c r="R818" s="317"/>
      <c r="S818" s="317"/>
      <c r="T818" s="317"/>
      <c r="U818" s="317"/>
      <c r="V818" s="317"/>
      <c r="W818" s="317"/>
      <c r="X818" s="317"/>
      <c r="Y818" s="317"/>
      <c r="Z818" s="317"/>
      <c r="AA818" s="317"/>
      <c r="AB818" s="317"/>
      <c r="AC818" s="317"/>
    </row>
    <row r="819">
      <c r="A819" s="317"/>
      <c r="B819" s="381"/>
      <c r="C819" s="317"/>
      <c r="D819" s="381"/>
      <c r="E819" s="381"/>
      <c r="F819" s="381"/>
      <c r="G819" s="317"/>
      <c r="H819" s="317"/>
      <c r="I819" s="317"/>
      <c r="J819" s="317"/>
      <c r="K819" s="317"/>
      <c r="L819" s="317"/>
      <c r="M819" s="317"/>
      <c r="N819" s="317"/>
      <c r="O819" s="317"/>
      <c r="P819" s="317"/>
      <c r="Q819" s="317"/>
      <c r="R819" s="317"/>
      <c r="S819" s="317"/>
      <c r="T819" s="317"/>
      <c r="U819" s="317"/>
      <c r="V819" s="317"/>
      <c r="W819" s="317"/>
      <c r="X819" s="317"/>
      <c r="Y819" s="317"/>
      <c r="Z819" s="317"/>
      <c r="AA819" s="317"/>
      <c r="AB819" s="317"/>
      <c r="AC819" s="317"/>
    </row>
    <row r="820">
      <c r="A820" s="317"/>
      <c r="B820" s="381"/>
      <c r="C820" s="317"/>
      <c r="D820" s="381"/>
      <c r="E820" s="381"/>
      <c r="F820" s="381"/>
      <c r="G820" s="317"/>
      <c r="H820" s="317"/>
      <c r="I820" s="317"/>
      <c r="J820" s="317"/>
      <c r="K820" s="317"/>
      <c r="L820" s="317"/>
      <c r="M820" s="317"/>
      <c r="N820" s="317"/>
      <c r="O820" s="317"/>
      <c r="P820" s="317"/>
      <c r="Q820" s="317"/>
      <c r="R820" s="317"/>
      <c r="S820" s="317"/>
      <c r="T820" s="317"/>
      <c r="U820" s="317"/>
      <c r="V820" s="317"/>
      <c r="W820" s="317"/>
      <c r="X820" s="317"/>
      <c r="Y820" s="317"/>
      <c r="Z820" s="317"/>
      <c r="AA820" s="317"/>
      <c r="AB820" s="317"/>
      <c r="AC820" s="317"/>
    </row>
    <row r="821">
      <c r="A821" s="317"/>
      <c r="B821" s="381"/>
      <c r="C821" s="317"/>
      <c r="D821" s="381"/>
      <c r="E821" s="381"/>
      <c r="F821" s="381"/>
      <c r="G821" s="317"/>
      <c r="H821" s="317"/>
      <c r="I821" s="317"/>
      <c r="J821" s="317"/>
      <c r="K821" s="317"/>
      <c r="L821" s="317"/>
      <c r="M821" s="317"/>
      <c r="N821" s="317"/>
      <c r="O821" s="317"/>
      <c r="P821" s="317"/>
      <c r="Q821" s="317"/>
      <c r="R821" s="317"/>
      <c r="S821" s="317"/>
      <c r="T821" s="317"/>
      <c r="U821" s="317"/>
      <c r="V821" s="317"/>
      <c r="W821" s="317"/>
      <c r="X821" s="317"/>
      <c r="Y821" s="317"/>
      <c r="Z821" s="317"/>
      <c r="AA821" s="317"/>
      <c r="AB821" s="317"/>
      <c r="AC821" s="317"/>
    </row>
    <row r="822">
      <c r="A822" s="317"/>
      <c r="B822" s="381"/>
      <c r="C822" s="317"/>
      <c r="D822" s="381"/>
      <c r="E822" s="381"/>
      <c r="F822" s="381"/>
      <c r="G822" s="317"/>
      <c r="H822" s="317"/>
      <c r="I822" s="317"/>
      <c r="J822" s="317"/>
      <c r="K822" s="317"/>
      <c r="L822" s="317"/>
      <c r="M822" s="317"/>
      <c r="N822" s="317"/>
      <c r="O822" s="317"/>
      <c r="P822" s="317"/>
      <c r="Q822" s="317"/>
      <c r="R822" s="317"/>
      <c r="S822" s="317"/>
      <c r="T822" s="317"/>
      <c r="U822" s="317"/>
      <c r="V822" s="317"/>
      <c r="W822" s="317"/>
      <c r="X822" s="317"/>
      <c r="Y822" s="317"/>
      <c r="Z822" s="317"/>
      <c r="AA822" s="317"/>
      <c r="AB822" s="317"/>
      <c r="AC822" s="317"/>
    </row>
    <row r="823">
      <c r="A823" s="317"/>
      <c r="B823" s="381"/>
      <c r="C823" s="317"/>
      <c r="D823" s="381"/>
      <c r="E823" s="381"/>
      <c r="F823" s="381"/>
      <c r="G823" s="317"/>
      <c r="H823" s="317"/>
      <c r="I823" s="317"/>
      <c r="J823" s="317"/>
      <c r="K823" s="317"/>
      <c r="L823" s="317"/>
      <c r="M823" s="317"/>
      <c r="N823" s="317"/>
      <c r="O823" s="317"/>
      <c r="P823" s="317"/>
      <c r="Q823" s="317"/>
      <c r="R823" s="317"/>
      <c r="S823" s="317"/>
      <c r="T823" s="317"/>
      <c r="U823" s="317"/>
      <c r="V823" s="317"/>
      <c r="W823" s="317"/>
      <c r="X823" s="317"/>
      <c r="Y823" s="317"/>
      <c r="Z823" s="317"/>
      <c r="AA823" s="317"/>
      <c r="AB823" s="317"/>
      <c r="AC823" s="317"/>
    </row>
    <row r="824">
      <c r="A824" s="317"/>
      <c r="B824" s="381"/>
      <c r="C824" s="317"/>
      <c r="D824" s="381"/>
      <c r="E824" s="381"/>
      <c r="F824" s="381"/>
      <c r="G824" s="317"/>
      <c r="H824" s="317"/>
      <c r="I824" s="317"/>
      <c r="J824" s="317"/>
      <c r="K824" s="317"/>
      <c r="L824" s="317"/>
      <c r="M824" s="317"/>
      <c r="N824" s="317"/>
      <c r="O824" s="317"/>
      <c r="P824" s="317"/>
      <c r="Q824" s="317"/>
      <c r="R824" s="317"/>
      <c r="S824" s="317"/>
      <c r="T824" s="317"/>
      <c r="U824" s="317"/>
      <c r="V824" s="317"/>
      <c r="W824" s="317"/>
      <c r="X824" s="317"/>
      <c r="Y824" s="317"/>
      <c r="Z824" s="317"/>
      <c r="AA824" s="317"/>
      <c r="AB824" s="317"/>
      <c r="AC824" s="317"/>
    </row>
    <row r="825">
      <c r="A825" s="317"/>
      <c r="B825" s="381"/>
      <c r="C825" s="317"/>
      <c r="D825" s="381"/>
      <c r="E825" s="381"/>
      <c r="F825" s="381"/>
      <c r="G825" s="317"/>
      <c r="H825" s="317"/>
      <c r="I825" s="317"/>
      <c r="J825" s="317"/>
      <c r="K825" s="317"/>
      <c r="L825" s="317"/>
      <c r="M825" s="317"/>
      <c r="N825" s="317"/>
      <c r="O825" s="317"/>
      <c r="P825" s="317"/>
      <c r="Q825" s="317"/>
      <c r="R825" s="317"/>
      <c r="S825" s="317"/>
      <c r="T825" s="317"/>
      <c r="U825" s="317"/>
      <c r="V825" s="317"/>
      <c r="W825" s="317"/>
      <c r="X825" s="317"/>
      <c r="Y825" s="317"/>
      <c r="Z825" s="317"/>
      <c r="AA825" s="317"/>
      <c r="AB825" s="317"/>
      <c r="AC825" s="317"/>
    </row>
    <row r="826">
      <c r="A826" s="317"/>
      <c r="B826" s="381"/>
      <c r="C826" s="317"/>
      <c r="D826" s="381"/>
      <c r="E826" s="381"/>
      <c r="F826" s="381"/>
      <c r="G826" s="317"/>
      <c r="H826" s="317"/>
      <c r="I826" s="317"/>
      <c r="J826" s="317"/>
      <c r="K826" s="317"/>
      <c r="L826" s="317"/>
      <c r="M826" s="317"/>
      <c r="N826" s="317"/>
      <c r="O826" s="317"/>
      <c r="P826" s="317"/>
      <c r="Q826" s="317"/>
      <c r="R826" s="317"/>
      <c r="S826" s="317"/>
      <c r="T826" s="317"/>
      <c r="U826" s="317"/>
      <c r="V826" s="317"/>
      <c r="W826" s="317"/>
      <c r="X826" s="317"/>
      <c r="Y826" s="317"/>
      <c r="Z826" s="317"/>
      <c r="AA826" s="317"/>
      <c r="AB826" s="317"/>
      <c r="AC826" s="317"/>
    </row>
    <row r="827">
      <c r="A827" s="317"/>
      <c r="B827" s="381"/>
      <c r="C827" s="317"/>
      <c r="D827" s="381"/>
      <c r="E827" s="381"/>
      <c r="F827" s="381"/>
      <c r="G827" s="317"/>
      <c r="H827" s="317"/>
      <c r="I827" s="317"/>
      <c r="J827" s="317"/>
      <c r="K827" s="317"/>
      <c r="L827" s="317"/>
      <c r="M827" s="317"/>
      <c r="N827" s="317"/>
      <c r="O827" s="317"/>
      <c r="P827" s="317"/>
      <c r="Q827" s="317"/>
      <c r="R827" s="317"/>
      <c r="S827" s="317"/>
      <c r="T827" s="317"/>
      <c r="U827" s="317"/>
      <c r="V827" s="317"/>
      <c r="W827" s="317"/>
      <c r="X827" s="317"/>
      <c r="Y827" s="317"/>
      <c r="Z827" s="317"/>
      <c r="AA827" s="317"/>
      <c r="AB827" s="317"/>
      <c r="AC827" s="317"/>
    </row>
    <row r="828">
      <c r="A828" s="317"/>
      <c r="B828" s="381"/>
      <c r="C828" s="317"/>
      <c r="D828" s="381"/>
      <c r="E828" s="381"/>
      <c r="F828" s="381"/>
      <c r="G828" s="317"/>
      <c r="H828" s="317"/>
      <c r="I828" s="317"/>
      <c r="J828" s="317"/>
      <c r="K828" s="317"/>
      <c r="L828" s="317"/>
      <c r="M828" s="317"/>
      <c r="N828" s="317"/>
      <c r="O828" s="317"/>
      <c r="P828" s="317"/>
      <c r="Q828" s="317"/>
      <c r="R828" s="317"/>
      <c r="S828" s="317"/>
      <c r="T828" s="317"/>
      <c r="U828" s="317"/>
      <c r="V828" s="317"/>
      <c r="W828" s="317"/>
      <c r="X828" s="317"/>
      <c r="Y828" s="317"/>
      <c r="Z828" s="317"/>
      <c r="AA828" s="317"/>
      <c r="AB828" s="317"/>
      <c r="AC828" s="317"/>
    </row>
    <row r="829">
      <c r="A829" s="317"/>
      <c r="B829" s="381"/>
      <c r="C829" s="317"/>
      <c r="D829" s="381"/>
      <c r="E829" s="381"/>
      <c r="F829" s="381"/>
      <c r="G829" s="317"/>
      <c r="H829" s="317"/>
      <c r="I829" s="317"/>
      <c r="J829" s="317"/>
      <c r="K829" s="317"/>
      <c r="L829" s="317"/>
      <c r="M829" s="317"/>
      <c r="N829" s="317"/>
      <c r="O829" s="317"/>
      <c r="P829" s="317"/>
      <c r="Q829" s="317"/>
      <c r="R829" s="317"/>
      <c r="S829" s="317"/>
      <c r="T829" s="317"/>
      <c r="U829" s="317"/>
      <c r="V829" s="317"/>
      <c r="W829" s="317"/>
      <c r="X829" s="317"/>
      <c r="Y829" s="317"/>
      <c r="Z829" s="317"/>
      <c r="AA829" s="317"/>
      <c r="AB829" s="317"/>
      <c r="AC829" s="317"/>
    </row>
    <row r="830">
      <c r="A830" s="317"/>
      <c r="B830" s="381"/>
      <c r="C830" s="317"/>
      <c r="D830" s="381"/>
      <c r="E830" s="381"/>
      <c r="F830" s="381"/>
      <c r="G830" s="317"/>
      <c r="H830" s="317"/>
      <c r="I830" s="317"/>
      <c r="J830" s="317"/>
      <c r="K830" s="317"/>
      <c r="L830" s="317"/>
      <c r="M830" s="317"/>
      <c r="N830" s="317"/>
      <c r="O830" s="317"/>
      <c r="P830" s="317"/>
      <c r="Q830" s="317"/>
      <c r="R830" s="317"/>
      <c r="S830" s="317"/>
      <c r="T830" s="317"/>
      <c r="U830" s="317"/>
      <c r="V830" s="317"/>
      <c r="W830" s="317"/>
      <c r="X830" s="317"/>
      <c r="Y830" s="317"/>
      <c r="Z830" s="317"/>
      <c r="AA830" s="317"/>
      <c r="AB830" s="317"/>
      <c r="AC830" s="317"/>
    </row>
    <row r="831">
      <c r="A831" s="317"/>
      <c r="B831" s="381"/>
      <c r="C831" s="317"/>
      <c r="D831" s="381"/>
      <c r="E831" s="381"/>
      <c r="F831" s="381"/>
      <c r="G831" s="317"/>
      <c r="H831" s="317"/>
      <c r="I831" s="317"/>
      <c r="J831" s="317"/>
      <c r="K831" s="317"/>
      <c r="L831" s="317"/>
      <c r="M831" s="317"/>
      <c r="N831" s="317"/>
      <c r="O831" s="317"/>
      <c r="P831" s="317"/>
      <c r="Q831" s="317"/>
      <c r="R831" s="317"/>
      <c r="S831" s="317"/>
      <c r="T831" s="317"/>
      <c r="U831" s="317"/>
      <c r="V831" s="317"/>
      <c r="W831" s="317"/>
      <c r="X831" s="317"/>
      <c r="Y831" s="317"/>
      <c r="Z831" s="317"/>
      <c r="AA831" s="317"/>
      <c r="AB831" s="317"/>
      <c r="AC831" s="317"/>
    </row>
    <row r="832">
      <c r="A832" s="317"/>
      <c r="B832" s="381"/>
      <c r="C832" s="317"/>
      <c r="D832" s="381"/>
      <c r="E832" s="381"/>
      <c r="F832" s="381"/>
      <c r="G832" s="317"/>
      <c r="H832" s="317"/>
      <c r="I832" s="317"/>
      <c r="J832" s="317"/>
      <c r="K832" s="317"/>
      <c r="L832" s="317"/>
      <c r="M832" s="317"/>
      <c r="N832" s="317"/>
      <c r="O832" s="317"/>
      <c r="P832" s="317"/>
      <c r="Q832" s="317"/>
      <c r="R832" s="317"/>
      <c r="S832" s="317"/>
      <c r="T832" s="317"/>
      <c r="U832" s="317"/>
      <c r="V832" s="317"/>
      <c r="W832" s="317"/>
      <c r="X832" s="317"/>
      <c r="Y832" s="317"/>
      <c r="Z832" s="317"/>
      <c r="AA832" s="317"/>
      <c r="AB832" s="317"/>
      <c r="AC832" s="317"/>
    </row>
    <row r="833">
      <c r="A833" s="317"/>
      <c r="B833" s="381"/>
      <c r="C833" s="317"/>
      <c r="D833" s="381"/>
      <c r="E833" s="381"/>
      <c r="F833" s="381"/>
      <c r="G833" s="317"/>
      <c r="H833" s="317"/>
      <c r="I833" s="317"/>
      <c r="J833" s="317"/>
      <c r="K833" s="317"/>
      <c r="L833" s="317"/>
      <c r="M833" s="317"/>
      <c r="N833" s="317"/>
      <c r="O833" s="317"/>
      <c r="P833" s="317"/>
      <c r="Q833" s="317"/>
      <c r="R833" s="317"/>
      <c r="S833" s="317"/>
      <c r="T833" s="317"/>
      <c r="U833" s="317"/>
      <c r="V833" s="317"/>
      <c r="W833" s="317"/>
      <c r="X833" s="317"/>
      <c r="Y833" s="317"/>
      <c r="Z833" s="317"/>
      <c r="AA833" s="317"/>
      <c r="AB833" s="317"/>
      <c r="AC833" s="317"/>
    </row>
    <row r="834">
      <c r="A834" s="317"/>
      <c r="B834" s="381"/>
      <c r="C834" s="317"/>
      <c r="D834" s="381"/>
      <c r="E834" s="381"/>
      <c r="F834" s="381"/>
      <c r="G834" s="317"/>
      <c r="H834" s="317"/>
      <c r="I834" s="317"/>
      <c r="J834" s="317"/>
      <c r="K834" s="317"/>
      <c r="L834" s="317"/>
      <c r="M834" s="317"/>
      <c r="N834" s="317"/>
      <c r="O834" s="317"/>
      <c r="P834" s="317"/>
      <c r="Q834" s="317"/>
      <c r="R834" s="317"/>
      <c r="S834" s="317"/>
      <c r="T834" s="317"/>
      <c r="U834" s="317"/>
      <c r="V834" s="317"/>
      <c r="W834" s="317"/>
      <c r="X834" s="317"/>
      <c r="Y834" s="317"/>
      <c r="Z834" s="317"/>
      <c r="AA834" s="317"/>
      <c r="AB834" s="317"/>
      <c r="AC834" s="317"/>
    </row>
    <row r="835">
      <c r="A835" s="317"/>
      <c r="B835" s="381"/>
      <c r="C835" s="317"/>
      <c r="D835" s="381"/>
      <c r="E835" s="381"/>
      <c r="F835" s="381"/>
      <c r="G835" s="317"/>
      <c r="H835" s="317"/>
      <c r="I835" s="317"/>
      <c r="J835" s="317"/>
      <c r="K835" s="317"/>
      <c r="L835" s="317"/>
      <c r="M835" s="317"/>
      <c r="N835" s="317"/>
      <c r="O835" s="317"/>
      <c r="P835" s="317"/>
      <c r="Q835" s="317"/>
      <c r="R835" s="317"/>
      <c r="S835" s="317"/>
      <c r="T835" s="317"/>
      <c r="U835" s="317"/>
      <c r="V835" s="317"/>
      <c r="W835" s="317"/>
      <c r="X835" s="317"/>
      <c r="Y835" s="317"/>
      <c r="Z835" s="317"/>
      <c r="AA835" s="317"/>
      <c r="AB835" s="317"/>
      <c r="AC835" s="317"/>
    </row>
    <row r="836">
      <c r="A836" s="317"/>
      <c r="B836" s="381"/>
      <c r="C836" s="317"/>
      <c r="D836" s="381"/>
      <c r="E836" s="381"/>
      <c r="F836" s="381"/>
      <c r="G836" s="317"/>
      <c r="H836" s="317"/>
      <c r="I836" s="317"/>
      <c r="J836" s="317"/>
      <c r="K836" s="317"/>
      <c r="L836" s="317"/>
      <c r="M836" s="317"/>
      <c r="N836" s="317"/>
      <c r="O836" s="317"/>
      <c r="P836" s="317"/>
      <c r="Q836" s="317"/>
      <c r="R836" s="317"/>
      <c r="S836" s="317"/>
      <c r="T836" s="317"/>
      <c r="U836" s="317"/>
      <c r="V836" s="317"/>
      <c r="W836" s="317"/>
      <c r="X836" s="317"/>
      <c r="Y836" s="317"/>
      <c r="Z836" s="317"/>
      <c r="AA836" s="317"/>
      <c r="AB836" s="317"/>
      <c r="AC836" s="317"/>
    </row>
    <row r="837">
      <c r="A837" s="317"/>
      <c r="B837" s="381"/>
      <c r="C837" s="317"/>
      <c r="D837" s="381"/>
      <c r="E837" s="381"/>
      <c r="F837" s="381"/>
      <c r="G837" s="317"/>
      <c r="H837" s="317"/>
      <c r="I837" s="317"/>
      <c r="J837" s="317"/>
      <c r="K837" s="317"/>
      <c r="L837" s="317"/>
      <c r="M837" s="317"/>
      <c r="N837" s="317"/>
      <c r="O837" s="317"/>
      <c r="P837" s="317"/>
      <c r="Q837" s="317"/>
      <c r="R837" s="317"/>
      <c r="S837" s="317"/>
      <c r="T837" s="317"/>
      <c r="U837" s="317"/>
      <c r="V837" s="317"/>
      <c r="W837" s="317"/>
      <c r="X837" s="317"/>
      <c r="Y837" s="317"/>
      <c r="Z837" s="317"/>
      <c r="AA837" s="317"/>
      <c r="AB837" s="317"/>
      <c r="AC837" s="317"/>
    </row>
    <row r="838">
      <c r="A838" s="317"/>
      <c r="B838" s="381"/>
      <c r="C838" s="317"/>
      <c r="D838" s="381"/>
      <c r="E838" s="381"/>
      <c r="F838" s="381"/>
      <c r="G838" s="317"/>
      <c r="H838" s="317"/>
      <c r="I838" s="317"/>
      <c r="J838" s="317"/>
      <c r="K838" s="317"/>
      <c r="L838" s="317"/>
      <c r="M838" s="317"/>
      <c r="N838" s="317"/>
      <c r="O838" s="317"/>
      <c r="P838" s="317"/>
      <c r="Q838" s="317"/>
      <c r="R838" s="317"/>
      <c r="S838" s="317"/>
      <c r="T838" s="317"/>
      <c r="U838" s="317"/>
      <c r="V838" s="317"/>
      <c r="W838" s="317"/>
      <c r="X838" s="317"/>
      <c r="Y838" s="317"/>
      <c r="Z838" s="317"/>
      <c r="AA838" s="317"/>
      <c r="AB838" s="317"/>
      <c r="AC838" s="317"/>
    </row>
    <row r="839">
      <c r="A839" s="317"/>
      <c r="B839" s="381"/>
      <c r="C839" s="317"/>
      <c r="D839" s="381"/>
      <c r="E839" s="381"/>
      <c r="F839" s="381"/>
      <c r="G839" s="317"/>
      <c r="H839" s="317"/>
      <c r="I839" s="317"/>
      <c r="J839" s="317"/>
      <c r="K839" s="317"/>
      <c r="L839" s="317"/>
      <c r="M839" s="317"/>
      <c r="N839" s="317"/>
      <c r="O839" s="317"/>
      <c r="P839" s="317"/>
      <c r="Q839" s="317"/>
      <c r="R839" s="317"/>
      <c r="S839" s="317"/>
      <c r="T839" s="317"/>
      <c r="U839" s="317"/>
      <c r="V839" s="317"/>
      <c r="W839" s="317"/>
      <c r="X839" s="317"/>
      <c r="Y839" s="317"/>
      <c r="Z839" s="317"/>
      <c r="AA839" s="317"/>
      <c r="AB839" s="317"/>
      <c r="AC839" s="317"/>
    </row>
    <row r="840">
      <c r="A840" s="317"/>
      <c r="B840" s="381"/>
      <c r="C840" s="317"/>
      <c r="D840" s="381"/>
      <c r="E840" s="381"/>
      <c r="F840" s="381"/>
      <c r="G840" s="317"/>
      <c r="H840" s="317"/>
      <c r="I840" s="317"/>
      <c r="J840" s="317"/>
      <c r="K840" s="317"/>
      <c r="L840" s="317"/>
      <c r="M840" s="317"/>
      <c r="N840" s="317"/>
      <c r="O840" s="317"/>
      <c r="P840" s="317"/>
      <c r="Q840" s="317"/>
      <c r="R840" s="317"/>
      <c r="S840" s="317"/>
      <c r="T840" s="317"/>
      <c r="U840" s="317"/>
      <c r="V840" s="317"/>
      <c r="W840" s="317"/>
      <c r="X840" s="317"/>
      <c r="Y840" s="317"/>
      <c r="Z840" s="317"/>
      <c r="AA840" s="317"/>
      <c r="AB840" s="317"/>
      <c r="AC840" s="317"/>
    </row>
    <row r="841">
      <c r="A841" s="317"/>
      <c r="B841" s="381"/>
      <c r="C841" s="317"/>
      <c r="D841" s="381"/>
      <c r="E841" s="381"/>
      <c r="F841" s="381"/>
      <c r="G841" s="317"/>
      <c r="H841" s="317"/>
      <c r="I841" s="317"/>
      <c r="J841" s="317"/>
      <c r="K841" s="317"/>
      <c r="L841" s="317"/>
      <c r="M841" s="317"/>
      <c r="N841" s="317"/>
      <c r="O841" s="317"/>
      <c r="P841" s="317"/>
      <c r="Q841" s="317"/>
      <c r="R841" s="317"/>
      <c r="S841" s="317"/>
      <c r="T841" s="317"/>
      <c r="U841" s="317"/>
      <c r="V841" s="317"/>
      <c r="W841" s="317"/>
      <c r="X841" s="317"/>
      <c r="Y841" s="317"/>
      <c r="Z841" s="317"/>
      <c r="AA841" s="317"/>
      <c r="AB841" s="317"/>
      <c r="AC841" s="317"/>
    </row>
    <row r="842">
      <c r="A842" s="317"/>
      <c r="B842" s="381"/>
      <c r="C842" s="317"/>
      <c r="D842" s="381"/>
      <c r="E842" s="381"/>
      <c r="F842" s="381"/>
      <c r="G842" s="317"/>
      <c r="H842" s="317"/>
      <c r="I842" s="317"/>
      <c r="J842" s="317"/>
      <c r="K842" s="317"/>
      <c r="L842" s="317"/>
      <c r="M842" s="317"/>
      <c r="N842" s="317"/>
      <c r="O842" s="317"/>
      <c r="P842" s="317"/>
      <c r="Q842" s="317"/>
      <c r="R842" s="317"/>
      <c r="S842" s="317"/>
      <c r="T842" s="317"/>
      <c r="U842" s="317"/>
      <c r="V842" s="317"/>
      <c r="W842" s="317"/>
      <c r="X842" s="317"/>
      <c r="Y842" s="317"/>
      <c r="Z842" s="317"/>
      <c r="AA842" s="317"/>
      <c r="AB842" s="317"/>
      <c r="AC842" s="317"/>
    </row>
    <row r="843">
      <c r="A843" s="317"/>
      <c r="B843" s="381"/>
      <c r="C843" s="317"/>
      <c r="D843" s="381"/>
      <c r="E843" s="381"/>
      <c r="F843" s="381"/>
      <c r="G843" s="317"/>
      <c r="H843" s="317"/>
      <c r="I843" s="317"/>
      <c r="J843" s="317"/>
      <c r="K843" s="317"/>
      <c r="L843" s="317"/>
      <c r="M843" s="317"/>
      <c r="N843" s="317"/>
      <c r="O843" s="317"/>
      <c r="P843" s="317"/>
      <c r="Q843" s="317"/>
      <c r="R843" s="317"/>
      <c r="S843" s="317"/>
      <c r="T843" s="317"/>
      <c r="U843" s="317"/>
      <c r="V843" s="317"/>
      <c r="W843" s="317"/>
      <c r="X843" s="317"/>
      <c r="Y843" s="317"/>
      <c r="Z843" s="317"/>
      <c r="AA843" s="317"/>
      <c r="AB843" s="317"/>
      <c r="AC843" s="317"/>
    </row>
    <row r="844">
      <c r="A844" s="317"/>
      <c r="B844" s="381"/>
      <c r="C844" s="317"/>
      <c r="D844" s="381"/>
      <c r="E844" s="381"/>
      <c r="F844" s="381"/>
      <c r="G844" s="317"/>
      <c r="H844" s="317"/>
      <c r="I844" s="317"/>
      <c r="J844" s="317"/>
      <c r="K844" s="317"/>
      <c r="L844" s="317"/>
      <c r="M844" s="317"/>
      <c r="N844" s="317"/>
      <c r="O844" s="317"/>
      <c r="P844" s="317"/>
      <c r="Q844" s="317"/>
      <c r="R844" s="317"/>
      <c r="S844" s="317"/>
      <c r="T844" s="317"/>
      <c r="U844" s="317"/>
      <c r="V844" s="317"/>
      <c r="W844" s="317"/>
      <c r="X844" s="317"/>
      <c r="Y844" s="317"/>
      <c r="Z844" s="317"/>
      <c r="AA844" s="317"/>
      <c r="AB844" s="317"/>
      <c r="AC844" s="317"/>
    </row>
    <row r="845">
      <c r="A845" s="317"/>
      <c r="B845" s="381"/>
      <c r="C845" s="317"/>
      <c r="D845" s="381"/>
      <c r="E845" s="381"/>
      <c r="F845" s="381"/>
      <c r="G845" s="317"/>
      <c r="H845" s="317"/>
      <c r="I845" s="317"/>
      <c r="J845" s="317"/>
      <c r="K845" s="317"/>
      <c r="L845" s="317"/>
      <c r="M845" s="317"/>
      <c r="N845" s="317"/>
      <c r="O845" s="317"/>
      <c r="P845" s="317"/>
      <c r="Q845" s="317"/>
      <c r="R845" s="317"/>
      <c r="S845" s="317"/>
      <c r="T845" s="317"/>
      <c r="U845" s="317"/>
      <c r="V845" s="317"/>
      <c r="W845" s="317"/>
      <c r="X845" s="317"/>
      <c r="Y845" s="317"/>
      <c r="Z845" s="317"/>
      <c r="AA845" s="317"/>
      <c r="AB845" s="317"/>
      <c r="AC845" s="317"/>
    </row>
    <row r="846">
      <c r="A846" s="317"/>
      <c r="B846" s="381"/>
      <c r="C846" s="317"/>
      <c r="D846" s="381"/>
      <c r="E846" s="381"/>
      <c r="F846" s="381"/>
      <c r="G846" s="317"/>
      <c r="H846" s="317"/>
      <c r="I846" s="317"/>
      <c r="J846" s="317"/>
      <c r="K846" s="317"/>
      <c r="L846" s="317"/>
      <c r="M846" s="317"/>
      <c r="N846" s="317"/>
      <c r="O846" s="317"/>
      <c r="P846" s="317"/>
      <c r="Q846" s="317"/>
      <c r="R846" s="317"/>
      <c r="S846" s="317"/>
      <c r="T846" s="317"/>
      <c r="U846" s="317"/>
      <c r="V846" s="317"/>
      <c r="W846" s="317"/>
      <c r="X846" s="317"/>
      <c r="Y846" s="317"/>
      <c r="Z846" s="317"/>
      <c r="AA846" s="317"/>
      <c r="AB846" s="317"/>
      <c r="AC846" s="317"/>
    </row>
    <row r="847">
      <c r="A847" s="317"/>
      <c r="B847" s="381"/>
      <c r="C847" s="317"/>
      <c r="D847" s="381"/>
      <c r="E847" s="381"/>
      <c r="F847" s="381"/>
      <c r="G847" s="317"/>
      <c r="H847" s="317"/>
      <c r="I847" s="317"/>
      <c r="J847" s="317"/>
      <c r="K847" s="317"/>
      <c r="L847" s="317"/>
      <c r="M847" s="317"/>
      <c r="N847" s="317"/>
      <c r="O847" s="317"/>
      <c r="P847" s="317"/>
      <c r="Q847" s="317"/>
      <c r="R847" s="317"/>
      <c r="S847" s="317"/>
      <c r="T847" s="317"/>
      <c r="U847" s="317"/>
      <c r="V847" s="317"/>
      <c r="W847" s="317"/>
      <c r="X847" s="317"/>
      <c r="Y847" s="317"/>
      <c r="Z847" s="317"/>
      <c r="AA847" s="317"/>
      <c r="AB847" s="317"/>
      <c r="AC847" s="317"/>
    </row>
    <row r="848">
      <c r="A848" s="317"/>
      <c r="B848" s="381"/>
      <c r="C848" s="317"/>
      <c r="D848" s="381"/>
      <c r="E848" s="381"/>
      <c r="F848" s="381"/>
      <c r="G848" s="317"/>
      <c r="H848" s="317"/>
      <c r="I848" s="317"/>
      <c r="J848" s="317"/>
      <c r="K848" s="317"/>
      <c r="L848" s="317"/>
      <c r="M848" s="317"/>
      <c r="N848" s="317"/>
      <c r="O848" s="317"/>
      <c r="P848" s="317"/>
      <c r="Q848" s="317"/>
      <c r="R848" s="317"/>
      <c r="S848" s="317"/>
      <c r="T848" s="317"/>
      <c r="U848" s="317"/>
      <c r="V848" s="317"/>
      <c r="W848" s="317"/>
      <c r="X848" s="317"/>
      <c r="Y848" s="317"/>
      <c r="Z848" s="317"/>
      <c r="AA848" s="317"/>
      <c r="AB848" s="317"/>
      <c r="AC848" s="317"/>
    </row>
    <row r="849">
      <c r="A849" s="317"/>
      <c r="B849" s="381"/>
      <c r="C849" s="317"/>
      <c r="D849" s="381"/>
      <c r="E849" s="381"/>
      <c r="F849" s="381"/>
      <c r="G849" s="317"/>
      <c r="H849" s="317"/>
      <c r="I849" s="317"/>
      <c r="J849" s="317"/>
      <c r="K849" s="317"/>
      <c r="L849" s="317"/>
      <c r="M849" s="317"/>
      <c r="N849" s="317"/>
      <c r="O849" s="317"/>
      <c r="P849" s="317"/>
      <c r="Q849" s="317"/>
      <c r="R849" s="317"/>
      <c r="S849" s="317"/>
      <c r="T849" s="317"/>
      <c r="U849" s="317"/>
      <c r="V849" s="317"/>
      <c r="W849" s="317"/>
      <c r="X849" s="317"/>
      <c r="Y849" s="317"/>
      <c r="Z849" s="317"/>
      <c r="AA849" s="317"/>
      <c r="AB849" s="317"/>
      <c r="AC849" s="317"/>
    </row>
    <row r="850">
      <c r="A850" s="317"/>
      <c r="B850" s="381"/>
      <c r="C850" s="317"/>
      <c r="D850" s="381"/>
      <c r="E850" s="381"/>
      <c r="F850" s="381"/>
      <c r="G850" s="317"/>
      <c r="H850" s="317"/>
      <c r="I850" s="317"/>
      <c r="J850" s="317"/>
      <c r="K850" s="317"/>
      <c r="L850" s="317"/>
      <c r="M850" s="317"/>
      <c r="N850" s="317"/>
      <c r="O850" s="317"/>
      <c r="P850" s="317"/>
      <c r="Q850" s="317"/>
      <c r="R850" s="317"/>
      <c r="S850" s="317"/>
      <c r="T850" s="317"/>
      <c r="U850" s="317"/>
      <c r="V850" s="317"/>
      <c r="W850" s="317"/>
      <c r="X850" s="317"/>
      <c r="Y850" s="317"/>
      <c r="Z850" s="317"/>
      <c r="AA850" s="317"/>
      <c r="AB850" s="317"/>
      <c r="AC850" s="317"/>
    </row>
    <row r="851">
      <c r="A851" s="317"/>
      <c r="B851" s="381"/>
      <c r="C851" s="317"/>
      <c r="D851" s="381"/>
      <c r="E851" s="381"/>
      <c r="F851" s="381"/>
      <c r="G851" s="317"/>
      <c r="H851" s="317"/>
      <c r="I851" s="317"/>
      <c r="J851" s="317"/>
      <c r="K851" s="317"/>
      <c r="L851" s="317"/>
      <c r="M851" s="317"/>
      <c r="N851" s="317"/>
      <c r="O851" s="317"/>
      <c r="P851" s="317"/>
      <c r="Q851" s="317"/>
      <c r="R851" s="317"/>
      <c r="S851" s="317"/>
      <c r="T851" s="317"/>
      <c r="U851" s="317"/>
      <c r="V851" s="317"/>
      <c r="W851" s="317"/>
      <c r="X851" s="317"/>
      <c r="Y851" s="317"/>
      <c r="Z851" s="317"/>
      <c r="AA851" s="317"/>
      <c r="AB851" s="317"/>
      <c r="AC851" s="317"/>
    </row>
    <row r="852">
      <c r="A852" s="317"/>
      <c r="B852" s="381"/>
      <c r="C852" s="317"/>
      <c r="D852" s="381"/>
      <c r="E852" s="381"/>
      <c r="F852" s="381"/>
      <c r="G852" s="317"/>
      <c r="H852" s="317"/>
      <c r="I852" s="317"/>
      <c r="J852" s="317"/>
      <c r="K852" s="317"/>
      <c r="L852" s="317"/>
      <c r="M852" s="317"/>
      <c r="N852" s="317"/>
      <c r="O852" s="317"/>
      <c r="P852" s="317"/>
      <c r="Q852" s="317"/>
      <c r="R852" s="317"/>
      <c r="S852" s="317"/>
      <c r="T852" s="317"/>
      <c r="U852" s="317"/>
      <c r="V852" s="317"/>
      <c r="W852" s="317"/>
      <c r="X852" s="317"/>
      <c r="Y852" s="317"/>
      <c r="Z852" s="317"/>
      <c r="AA852" s="317"/>
      <c r="AB852" s="317"/>
      <c r="AC852" s="317"/>
    </row>
    <row r="853">
      <c r="A853" s="317"/>
      <c r="B853" s="381"/>
      <c r="C853" s="317"/>
      <c r="D853" s="381"/>
      <c r="E853" s="381"/>
      <c r="F853" s="381"/>
      <c r="G853" s="317"/>
      <c r="H853" s="317"/>
      <c r="I853" s="317"/>
      <c r="J853" s="317"/>
      <c r="K853" s="317"/>
      <c r="L853" s="317"/>
      <c r="M853" s="317"/>
      <c r="N853" s="317"/>
      <c r="O853" s="317"/>
      <c r="P853" s="317"/>
      <c r="Q853" s="317"/>
      <c r="R853" s="317"/>
      <c r="S853" s="317"/>
      <c r="T853" s="317"/>
      <c r="U853" s="317"/>
      <c r="V853" s="317"/>
      <c r="W853" s="317"/>
      <c r="X853" s="317"/>
      <c r="Y853" s="317"/>
      <c r="Z853" s="317"/>
      <c r="AA853" s="317"/>
      <c r="AB853" s="317"/>
      <c r="AC853" s="317"/>
    </row>
    <row r="854">
      <c r="A854" s="317"/>
      <c r="B854" s="381"/>
      <c r="C854" s="317"/>
      <c r="D854" s="381"/>
      <c r="E854" s="381"/>
      <c r="F854" s="381"/>
      <c r="G854" s="317"/>
      <c r="H854" s="317"/>
      <c r="I854" s="317"/>
      <c r="J854" s="317"/>
      <c r="K854" s="317"/>
      <c r="L854" s="317"/>
      <c r="M854" s="317"/>
      <c r="N854" s="317"/>
      <c r="O854" s="317"/>
      <c r="P854" s="317"/>
      <c r="Q854" s="317"/>
      <c r="R854" s="317"/>
      <c r="S854" s="317"/>
      <c r="T854" s="317"/>
      <c r="U854" s="317"/>
      <c r="V854" s="317"/>
      <c r="W854" s="317"/>
      <c r="X854" s="317"/>
      <c r="Y854" s="317"/>
      <c r="Z854" s="317"/>
      <c r="AA854" s="317"/>
      <c r="AB854" s="317"/>
      <c r="AC854" s="317"/>
    </row>
    <row r="855">
      <c r="A855" s="317"/>
      <c r="B855" s="381"/>
      <c r="C855" s="317"/>
      <c r="D855" s="381"/>
      <c r="E855" s="381"/>
      <c r="F855" s="381"/>
      <c r="G855" s="317"/>
      <c r="H855" s="317"/>
      <c r="I855" s="317"/>
      <c r="J855" s="317"/>
      <c r="K855" s="317"/>
      <c r="L855" s="317"/>
      <c r="M855" s="317"/>
      <c r="N855" s="317"/>
      <c r="O855" s="317"/>
      <c r="P855" s="317"/>
      <c r="Q855" s="317"/>
      <c r="R855" s="317"/>
      <c r="S855" s="317"/>
      <c r="T855" s="317"/>
      <c r="U855" s="317"/>
      <c r="V855" s="317"/>
      <c r="W855" s="317"/>
      <c r="X855" s="317"/>
      <c r="Y855" s="317"/>
      <c r="Z855" s="317"/>
      <c r="AA855" s="317"/>
      <c r="AB855" s="317"/>
      <c r="AC855" s="317"/>
    </row>
    <row r="856">
      <c r="A856" s="317"/>
      <c r="B856" s="381"/>
      <c r="C856" s="317"/>
      <c r="D856" s="381"/>
      <c r="E856" s="381"/>
      <c r="F856" s="381"/>
      <c r="G856" s="317"/>
      <c r="H856" s="317"/>
      <c r="I856" s="317"/>
      <c r="J856" s="317"/>
      <c r="K856" s="317"/>
      <c r="L856" s="317"/>
      <c r="M856" s="317"/>
      <c r="N856" s="317"/>
      <c r="O856" s="317"/>
      <c r="P856" s="317"/>
      <c r="Q856" s="317"/>
      <c r="R856" s="317"/>
      <c r="S856" s="317"/>
      <c r="T856" s="317"/>
      <c r="U856" s="317"/>
      <c r="V856" s="317"/>
      <c r="W856" s="317"/>
      <c r="X856" s="317"/>
      <c r="Y856" s="317"/>
      <c r="Z856" s="317"/>
      <c r="AA856" s="317"/>
      <c r="AB856" s="317"/>
      <c r="AC856" s="317"/>
    </row>
    <row r="857">
      <c r="A857" s="317"/>
      <c r="B857" s="381"/>
      <c r="C857" s="317"/>
      <c r="D857" s="381"/>
      <c r="E857" s="381"/>
      <c r="F857" s="381"/>
      <c r="G857" s="317"/>
      <c r="H857" s="317"/>
      <c r="I857" s="317"/>
      <c r="J857" s="317"/>
      <c r="K857" s="317"/>
      <c r="L857" s="317"/>
      <c r="M857" s="317"/>
      <c r="N857" s="317"/>
      <c r="O857" s="317"/>
      <c r="P857" s="317"/>
      <c r="Q857" s="317"/>
      <c r="R857" s="317"/>
      <c r="S857" s="317"/>
      <c r="T857" s="317"/>
      <c r="U857" s="317"/>
      <c r="V857" s="317"/>
      <c r="W857" s="317"/>
      <c r="X857" s="317"/>
      <c r="Y857" s="317"/>
      <c r="Z857" s="317"/>
      <c r="AA857" s="317"/>
      <c r="AB857" s="317"/>
      <c r="AC857" s="317"/>
    </row>
    <row r="858">
      <c r="A858" s="317"/>
      <c r="B858" s="381"/>
      <c r="C858" s="317"/>
      <c r="D858" s="381"/>
      <c r="E858" s="381"/>
      <c r="F858" s="381"/>
      <c r="G858" s="317"/>
      <c r="H858" s="317"/>
      <c r="I858" s="317"/>
      <c r="J858" s="317"/>
      <c r="K858" s="317"/>
      <c r="L858" s="317"/>
      <c r="M858" s="317"/>
      <c r="N858" s="317"/>
      <c r="O858" s="317"/>
      <c r="P858" s="317"/>
      <c r="Q858" s="317"/>
      <c r="R858" s="317"/>
      <c r="S858" s="317"/>
      <c r="T858" s="317"/>
      <c r="U858" s="317"/>
      <c r="V858" s="317"/>
      <c r="W858" s="317"/>
      <c r="X858" s="317"/>
      <c r="Y858" s="317"/>
      <c r="Z858" s="317"/>
      <c r="AA858" s="317"/>
      <c r="AB858" s="317"/>
      <c r="AC858" s="317"/>
    </row>
    <row r="859">
      <c r="A859" s="317"/>
      <c r="B859" s="381"/>
      <c r="C859" s="317"/>
      <c r="D859" s="381"/>
      <c r="E859" s="381"/>
      <c r="F859" s="381"/>
      <c r="G859" s="317"/>
      <c r="H859" s="317"/>
      <c r="I859" s="317"/>
      <c r="J859" s="317"/>
      <c r="K859" s="317"/>
      <c r="L859" s="317"/>
      <c r="M859" s="317"/>
      <c r="N859" s="317"/>
      <c r="O859" s="317"/>
      <c r="P859" s="317"/>
      <c r="Q859" s="317"/>
      <c r="R859" s="317"/>
      <c r="S859" s="317"/>
      <c r="T859" s="317"/>
      <c r="U859" s="317"/>
      <c r="V859" s="317"/>
      <c r="W859" s="317"/>
      <c r="X859" s="317"/>
      <c r="Y859" s="317"/>
      <c r="Z859" s="317"/>
      <c r="AA859" s="317"/>
      <c r="AB859" s="317"/>
      <c r="AC859" s="317"/>
    </row>
    <row r="860">
      <c r="A860" s="317"/>
      <c r="B860" s="381"/>
      <c r="C860" s="317"/>
      <c r="D860" s="381"/>
      <c r="E860" s="381"/>
      <c r="F860" s="381"/>
      <c r="G860" s="317"/>
      <c r="H860" s="317"/>
      <c r="I860" s="317"/>
      <c r="J860" s="317"/>
      <c r="K860" s="317"/>
      <c r="L860" s="317"/>
      <c r="M860" s="317"/>
      <c r="N860" s="317"/>
      <c r="O860" s="317"/>
      <c r="P860" s="317"/>
      <c r="Q860" s="317"/>
      <c r="R860" s="317"/>
      <c r="S860" s="317"/>
      <c r="T860" s="317"/>
      <c r="U860" s="317"/>
      <c r="V860" s="317"/>
      <c r="W860" s="317"/>
      <c r="X860" s="317"/>
      <c r="Y860" s="317"/>
      <c r="Z860" s="317"/>
      <c r="AA860" s="317"/>
      <c r="AB860" s="317"/>
      <c r="AC860" s="317"/>
    </row>
    <row r="861">
      <c r="A861" s="317"/>
      <c r="B861" s="381"/>
      <c r="C861" s="317"/>
      <c r="D861" s="381"/>
      <c r="E861" s="381"/>
      <c r="F861" s="381"/>
      <c r="G861" s="317"/>
      <c r="H861" s="317"/>
      <c r="I861" s="317"/>
      <c r="J861" s="317"/>
      <c r="K861" s="317"/>
      <c r="L861" s="317"/>
      <c r="M861" s="317"/>
      <c r="N861" s="317"/>
      <c r="O861" s="317"/>
      <c r="P861" s="317"/>
      <c r="Q861" s="317"/>
      <c r="R861" s="317"/>
      <c r="S861" s="317"/>
      <c r="T861" s="317"/>
      <c r="U861" s="317"/>
      <c r="V861" s="317"/>
      <c r="W861" s="317"/>
      <c r="X861" s="317"/>
      <c r="Y861" s="317"/>
      <c r="Z861" s="317"/>
      <c r="AA861" s="317"/>
      <c r="AB861" s="317"/>
      <c r="AC861" s="317"/>
    </row>
    <row r="862">
      <c r="A862" s="317"/>
      <c r="B862" s="381"/>
      <c r="C862" s="317"/>
      <c r="D862" s="381"/>
      <c r="E862" s="381"/>
      <c r="F862" s="381"/>
      <c r="G862" s="317"/>
      <c r="H862" s="317"/>
      <c r="I862" s="317"/>
      <c r="J862" s="317"/>
      <c r="K862" s="317"/>
      <c r="L862" s="317"/>
      <c r="M862" s="317"/>
      <c r="N862" s="317"/>
      <c r="O862" s="317"/>
      <c r="P862" s="317"/>
      <c r="Q862" s="317"/>
      <c r="R862" s="317"/>
      <c r="S862" s="317"/>
      <c r="T862" s="317"/>
      <c r="U862" s="317"/>
      <c r="V862" s="317"/>
      <c r="W862" s="317"/>
      <c r="X862" s="317"/>
      <c r="Y862" s="317"/>
      <c r="Z862" s="317"/>
      <c r="AA862" s="317"/>
      <c r="AB862" s="317"/>
      <c r="AC862" s="317"/>
    </row>
    <row r="863">
      <c r="A863" s="317"/>
      <c r="B863" s="381"/>
      <c r="C863" s="317"/>
      <c r="D863" s="381"/>
      <c r="E863" s="381"/>
      <c r="F863" s="381"/>
      <c r="G863" s="317"/>
      <c r="H863" s="317"/>
      <c r="I863" s="317"/>
      <c r="J863" s="317"/>
      <c r="K863" s="317"/>
      <c r="L863" s="317"/>
      <c r="M863" s="317"/>
      <c r="N863" s="317"/>
      <c r="O863" s="317"/>
      <c r="P863" s="317"/>
      <c r="Q863" s="317"/>
      <c r="R863" s="317"/>
      <c r="S863" s="317"/>
      <c r="T863" s="317"/>
      <c r="U863" s="317"/>
      <c r="V863" s="317"/>
      <c r="W863" s="317"/>
      <c r="X863" s="317"/>
      <c r="Y863" s="317"/>
      <c r="Z863" s="317"/>
      <c r="AA863" s="317"/>
      <c r="AB863" s="317"/>
      <c r="AC863" s="317"/>
    </row>
    <row r="864">
      <c r="A864" s="317"/>
      <c r="B864" s="381"/>
      <c r="C864" s="317"/>
      <c r="D864" s="381"/>
      <c r="E864" s="381"/>
      <c r="F864" s="381"/>
      <c r="G864" s="317"/>
      <c r="H864" s="317"/>
      <c r="I864" s="317"/>
      <c r="J864" s="317"/>
      <c r="K864" s="317"/>
      <c r="L864" s="317"/>
      <c r="M864" s="317"/>
      <c r="N864" s="317"/>
      <c r="O864" s="317"/>
      <c r="P864" s="317"/>
      <c r="Q864" s="317"/>
      <c r="R864" s="317"/>
      <c r="S864" s="317"/>
      <c r="T864" s="317"/>
      <c r="U864" s="317"/>
      <c r="V864" s="317"/>
      <c r="W864" s="317"/>
      <c r="X864" s="317"/>
      <c r="Y864" s="317"/>
      <c r="Z864" s="317"/>
      <c r="AA864" s="317"/>
      <c r="AB864" s="317"/>
      <c r="AC864" s="317"/>
    </row>
    <row r="865">
      <c r="A865" s="317"/>
      <c r="B865" s="381"/>
      <c r="C865" s="317"/>
      <c r="D865" s="381"/>
      <c r="E865" s="381"/>
      <c r="F865" s="381"/>
      <c r="G865" s="317"/>
      <c r="H865" s="317"/>
      <c r="I865" s="317"/>
      <c r="J865" s="317"/>
      <c r="K865" s="317"/>
      <c r="L865" s="317"/>
      <c r="M865" s="317"/>
      <c r="N865" s="317"/>
      <c r="O865" s="317"/>
      <c r="P865" s="317"/>
      <c r="Q865" s="317"/>
      <c r="R865" s="317"/>
      <c r="S865" s="317"/>
      <c r="T865" s="317"/>
      <c r="U865" s="317"/>
      <c r="V865" s="317"/>
      <c r="W865" s="317"/>
      <c r="X865" s="317"/>
      <c r="Y865" s="317"/>
      <c r="Z865" s="317"/>
      <c r="AA865" s="317"/>
      <c r="AB865" s="317"/>
      <c r="AC865" s="317"/>
    </row>
    <row r="866">
      <c r="A866" s="317"/>
      <c r="B866" s="381"/>
      <c r="C866" s="317"/>
      <c r="D866" s="381"/>
      <c r="E866" s="381"/>
      <c r="F866" s="381"/>
      <c r="G866" s="317"/>
      <c r="H866" s="317"/>
      <c r="I866" s="317"/>
      <c r="J866" s="317"/>
      <c r="K866" s="317"/>
      <c r="L866" s="317"/>
      <c r="M866" s="317"/>
      <c r="N866" s="317"/>
      <c r="O866" s="317"/>
      <c r="P866" s="317"/>
      <c r="Q866" s="317"/>
      <c r="R866" s="317"/>
      <c r="S866" s="317"/>
      <c r="T866" s="317"/>
      <c r="U866" s="317"/>
      <c r="V866" s="317"/>
      <c r="W866" s="317"/>
      <c r="X866" s="317"/>
      <c r="Y866" s="317"/>
      <c r="Z866" s="317"/>
      <c r="AA866" s="317"/>
      <c r="AB866" s="317"/>
      <c r="AC866" s="317"/>
    </row>
    <row r="867">
      <c r="A867" s="317"/>
      <c r="B867" s="381"/>
      <c r="C867" s="317"/>
      <c r="D867" s="381"/>
      <c r="E867" s="381"/>
      <c r="F867" s="381"/>
      <c r="G867" s="317"/>
      <c r="H867" s="317"/>
      <c r="I867" s="317"/>
      <c r="J867" s="317"/>
      <c r="K867" s="317"/>
      <c r="L867" s="317"/>
      <c r="M867" s="317"/>
      <c r="N867" s="317"/>
      <c r="O867" s="317"/>
      <c r="P867" s="317"/>
      <c r="Q867" s="317"/>
      <c r="R867" s="317"/>
      <c r="S867" s="317"/>
      <c r="T867" s="317"/>
      <c r="U867" s="317"/>
      <c r="V867" s="317"/>
      <c r="W867" s="317"/>
      <c r="X867" s="317"/>
      <c r="Y867" s="317"/>
      <c r="Z867" s="317"/>
      <c r="AA867" s="317"/>
      <c r="AB867" s="317"/>
      <c r="AC867" s="317"/>
    </row>
    <row r="868">
      <c r="A868" s="317"/>
      <c r="B868" s="381"/>
      <c r="C868" s="317"/>
      <c r="D868" s="381"/>
      <c r="E868" s="381"/>
      <c r="F868" s="381"/>
      <c r="G868" s="317"/>
      <c r="H868" s="317"/>
      <c r="I868" s="317"/>
      <c r="J868" s="317"/>
      <c r="K868" s="317"/>
      <c r="L868" s="317"/>
      <c r="M868" s="317"/>
      <c r="N868" s="317"/>
      <c r="O868" s="317"/>
      <c r="P868" s="317"/>
      <c r="Q868" s="317"/>
      <c r="R868" s="317"/>
      <c r="S868" s="317"/>
      <c r="T868" s="317"/>
      <c r="U868" s="317"/>
      <c r="V868" s="317"/>
      <c r="W868" s="317"/>
      <c r="X868" s="317"/>
      <c r="Y868" s="317"/>
      <c r="Z868" s="317"/>
      <c r="AA868" s="317"/>
      <c r="AB868" s="317"/>
      <c r="AC868" s="317"/>
    </row>
    <row r="869">
      <c r="A869" s="317"/>
      <c r="B869" s="381"/>
      <c r="C869" s="317"/>
      <c r="D869" s="381"/>
      <c r="E869" s="381"/>
      <c r="F869" s="381"/>
      <c r="G869" s="317"/>
      <c r="H869" s="317"/>
      <c r="I869" s="317"/>
      <c r="J869" s="317"/>
      <c r="K869" s="317"/>
      <c r="L869" s="317"/>
      <c r="M869" s="317"/>
      <c r="N869" s="317"/>
      <c r="O869" s="317"/>
      <c r="P869" s="317"/>
      <c r="Q869" s="317"/>
      <c r="R869" s="317"/>
      <c r="S869" s="317"/>
      <c r="T869" s="317"/>
      <c r="U869" s="317"/>
      <c r="V869" s="317"/>
      <c r="W869" s="317"/>
      <c r="X869" s="317"/>
      <c r="Y869" s="317"/>
      <c r="Z869" s="317"/>
      <c r="AA869" s="317"/>
      <c r="AB869" s="317"/>
      <c r="AC869" s="317"/>
    </row>
    <row r="870">
      <c r="A870" s="317"/>
      <c r="B870" s="381"/>
      <c r="C870" s="317"/>
      <c r="D870" s="381"/>
      <c r="E870" s="381"/>
      <c r="F870" s="381"/>
      <c r="G870" s="317"/>
      <c r="H870" s="317"/>
      <c r="I870" s="317"/>
      <c r="J870" s="317"/>
      <c r="K870" s="317"/>
      <c r="L870" s="317"/>
      <c r="M870" s="317"/>
      <c r="N870" s="317"/>
      <c r="O870" s="317"/>
      <c r="P870" s="317"/>
      <c r="Q870" s="317"/>
      <c r="R870" s="317"/>
      <c r="S870" s="317"/>
      <c r="T870" s="317"/>
      <c r="U870" s="317"/>
      <c r="V870" s="317"/>
      <c r="W870" s="317"/>
      <c r="X870" s="317"/>
      <c r="Y870" s="317"/>
      <c r="Z870" s="317"/>
      <c r="AA870" s="317"/>
      <c r="AB870" s="317"/>
      <c r="AC870" s="317"/>
    </row>
    <row r="871">
      <c r="A871" s="317"/>
      <c r="B871" s="381"/>
      <c r="C871" s="317"/>
      <c r="D871" s="381"/>
      <c r="E871" s="381"/>
      <c r="F871" s="381"/>
      <c r="G871" s="317"/>
      <c r="H871" s="317"/>
      <c r="I871" s="317"/>
      <c r="J871" s="317"/>
      <c r="K871" s="317"/>
      <c r="L871" s="317"/>
      <c r="M871" s="317"/>
      <c r="N871" s="317"/>
      <c r="O871" s="317"/>
      <c r="P871" s="317"/>
      <c r="Q871" s="317"/>
      <c r="R871" s="317"/>
      <c r="S871" s="317"/>
      <c r="T871" s="317"/>
      <c r="U871" s="317"/>
      <c r="V871" s="317"/>
      <c r="W871" s="317"/>
      <c r="X871" s="317"/>
      <c r="Y871" s="317"/>
      <c r="Z871" s="317"/>
      <c r="AA871" s="317"/>
      <c r="AB871" s="317"/>
      <c r="AC871" s="317"/>
    </row>
    <row r="872">
      <c r="A872" s="317"/>
      <c r="B872" s="381"/>
      <c r="C872" s="317"/>
      <c r="D872" s="381"/>
      <c r="E872" s="381"/>
      <c r="F872" s="381"/>
      <c r="G872" s="317"/>
      <c r="H872" s="317"/>
      <c r="I872" s="317"/>
      <c r="J872" s="317"/>
      <c r="K872" s="317"/>
      <c r="L872" s="317"/>
      <c r="M872" s="317"/>
      <c r="N872" s="317"/>
      <c r="O872" s="317"/>
      <c r="P872" s="317"/>
      <c r="Q872" s="317"/>
      <c r="R872" s="317"/>
      <c r="S872" s="317"/>
      <c r="T872" s="317"/>
      <c r="U872" s="317"/>
      <c r="V872" s="317"/>
      <c r="W872" s="317"/>
      <c r="X872" s="317"/>
      <c r="Y872" s="317"/>
      <c r="Z872" s="317"/>
      <c r="AA872" s="317"/>
      <c r="AB872" s="317"/>
      <c r="AC872" s="317"/>
    </row>
    <row r="873">
      <c r="A873" s="317"/>
      <c r="B873" s="381"/>
      <c r="C873" s="317"/>
      <c r="D873" s="381"/>
      <c r="E873" s="381"/>
      <c r="F873" s="381"/>
      <c r="G873" s="317"/>
      <c r="H873" s="317"/>
      <c r="I873" s="317"/>
      <c r="J873" s="317"/>
      <c r="K873" s="317"/>
      <c r="L873" s="317"/>
      <c r="M873" s="317"/>
      <c r="N873" s="317"/>
      <c r="O873" s="317"/>
      <c r="P873" s="317"/>
      <c r="Q873" s="317"/>
      <c r="R873" s="317"/>
      <c r="S873" s="317"/>
      <c r="T873" s="317"/>
      <c r="U873" s="317"/>
      <c r="V873" s="317"/>
      <c r="W873" s="317"/>
      <c r="X873" s="317"/>
      <c r="Y873" s="317"/>
      <c r="Z873" s="317"/>
      <c r="AA873" s="317"/>
      <c r="AB873" s="317"/>
      <c r="AC873" s="317"/>
    </row>
    <row r="874">
      <c r="A874" s="317"/>
      <c r="B874" s="381"/>
      <c r="C874" s="317"/>
      <c r="D874" s="381"/>
      <c r="E874" s="381"/>
      <c r="F874" s="381"/>
      <c r="G874" s="317"/>
      <c r="H874" s="317"/>
      <c r="I874" s="317"/>
      <c r="J874" s="317"/>
      <c r="K874" s="317"/>
      <c r="L874" s="317"/>
      <c r="M874" s="317"/>
      <c r="N874" s="317"/>
      <c r="O874" s="317"/>
      <c r="P874" s="317"/>
      <c r="Q874" s="317"/>
      <c r="R874" s="317"/>
      <c r="S874" s="317"/>
      <c r="T874" s="317"/>
      <c r="U874" s="317"/>
      <c r="V874" s="317"/>
      <c r="W874" s="317"/>
      <c r="X874" s="317"/>
      <c r="Y874" s="317"/>
      <c r="Z874" s="317"/>
      <c r="AA874" s="317"/>
      <c r="AB874" s="317"/>
      <c r="AC874" s="317"/>
    </row>
    <row r="875">
      <c r="A875" s="317"/>
      <c r="B875" s="381"/>
      <c r="C875" s="317"/>
      <c r="D875" s="381"/>
      <c r="E875" s="381"/>
      <c r="F875" s="381"/>
      <c r="G875" s="317"/>
      <c r="H875" s="317"/>
      <c r="I875" s="317"/>
      <c r="J875" s="317"/>
      <c r="K875" s="317"/>
      <c r="L875" s="317"/>
      <c r="M875" s="317"/>
      <c r="N875" s="317"/>
      <c r="O875" s="317"/>
      <c r="P875" s="317"/>
      <c r="Q875" s="317"/>
      <c r="R875" s="317"/>
      <c r="S875" s="317"/>
      <c r="T875" s="317"/>
      <c r="U875" s="317"/>
      <c r="V875" s="317"/>
      <c r="W875" s="317"/>
      <c r="X875" s="317"/>
      <c r="Y875" s="317"/>
      <c r="Z875" s="317"/>
      <c r="AA875" s="317"/>
      <c r="AB875" s="317"/>
      <c r="AC875" s="317"/>
    </row>
    <row r="876">
      <c r="A876" s="317"/>
      <c r="B876" s="381"/>
      <c r="C876" s="317"/>
      <c r="D876" s="381"/>
      <c r="E876" s="381"/>
      <c r="F876" s="381"/>
      <c r="G876" s="317"/>
      <c r="H876" s="317"/>
      <c r="I876" s="317"/>
      <c r="J876" s="317"/>
      <c r="K876" s="317"/>
      <c r="L876" s="317"/>
      <c r="M876" s="317"/>
      <c r="N876" s="317"/>
      <c r="O876" s="317"/>
      <c r="P876" s="317"/>
      <c r="Q876" s="317"/>
      <c r="R876" s="317"/>
      <c r="S876" s="317"/>
      <c r="T876" s="317"/>
      <c r="U876" s="317"/>
      <c r="V876" s="317"/>
      <c r="W876" s="317"/>
      <c r="X876" s="317"/>
      <c r="Y876" s="317"/>
      <c r="Z876" s="317"/>
      <c r="AA876" s="317"/>
      <c r="AB876" s="317"/>
      <c r="AC876" s="317"/>
    </row>
    <row r="877">
      <c r="A877" s="317"/>
      <c r="B877" s="381"/>
      <c r="C877" s="317"/>
      <c r="D877" s="381"/>
      <c r="E877" s="381"/>
      <c r="F877" s="381"/>
      <c r="G877" s="317"/>
      <c r="H877" s="317"/>
      <c r="I877" s="317"/>
      <c r="J877" s="317"/>
      <c r="K877" s="317"/>
      <c r="L877" s="317"/>
      <c r="M877" s="317"/>
      <c r="N877" s="317"/>
      <c r="O877" s="317"/>
      <c r="P877" s="317"/>
      <c r="Q877" s="317"/>
      <c r="R877" s="317"/>
      <c r="S877" s="317"/>
      <c r="T877" s="317"/>
      <c r="U877" s="317"/>
      <c r="V877" s="317"/>
      <c r="W877" s="317"/>
      <c r="X877" s="317"/>
      <c r="Y877" s="317"/>
      <c r="Z877" s="317"/>
      <c r="AA877" s="317"/>
      <c r="AB877" s="317"/>
      <c r="AC877" s="317"/>
    </row>
    <row r="878">
      <c r="A878" s="317"/>
      <c r="B878" s="381"/>
      <c r="C878" s="317"/>
      <c r="D878" s="381"/>
      <c r="E878" s="381"/>
      <c r="F878" s="381"/>
      <c r="G878" s="317"/>
      <c r="H878" s="317"/>
      <c r="I878" s="317"/>
      <c r="J878" s="317"/>
      <c r="K878" s="317"/>
      <c r="L878" s="317"/>
      <c r="M878" s="317"/>
      <c r="N878" s="317"/>
      <c r="O878" s="317"/>
      <c r="P878" s="317"/>
      <c r="Q878" s="317"/>
      <c r="R878" s="317"/>
      <c r="S878" s="317"/>
      <c r="T878" s="317"/>
      <c r="U878" s="317"/>
      <c r="V878" s="317"/>
      <c r="W878" s="317"/>
      <c r="X878" s="317"/>
      <c r="Y878" s="317"/>
      <c r="Z878" s="317"/>
      <c r="AA878" s="317"/>
      <c r="AB878" s="317"/>
      <c r="AC878" s="317"/>
    </row>
    <row r="879">
      <c r="A879" s="317"/>
      <c r="B879" s="381"/>
      <c r="C879" s="317"/>
      <c r="D879" s="381"/>
      <c r="E879" s="381"/>
      <c r="F879" s="381"/>
      <c r="G879" s="317"/>
      <c r="H879" s="317"/>
      <c r="I879" s="317"/>
      <c r="J879" s="317"/>
      <c r="K879" s="317"/>
      <c r="L879" s="317"/>
      <c r="M879" s="317"/>
      <c r="N879" s="317"/>
      <c r="O879" s="317"/>
      <c r="P879" s="317"/>
      <c r="Q879" s="317"/>
      <c r="R879" s="317"/>
      <c r="S879" s="317"/>
      <c r="T879" s="317"/>
      <c r="U879" s="317"/>
      <c r="V879" s="317"/>
      <c r="W879" s="317"/>
      <c r="X879" s="317"/>
      <c r="Y879" s="317"/>
      <c r="Z879" s="317"/>
      <c r="AA879" s="317"/>
      <c r="AB879" s="317"/>
      <c r="AC879" s="317"/>
    </row>
  </sheetData>
  <autoFilter ref="$A$6:$AC$59">
    <sortState ref="A6:AC59">
      <sortCondition ref="C6:C59"/>
    </sortState>
  </autoFilter>
  <mergeCells count="4">
    <mergeCell ref="A1:K1"/>
    <mergeCell ref="A3:K3"/>
    <mergeCell ref="I4:J4"/>
    <mergeCell ref="A5:L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5.13" defaultRowHeight="15.0"/>
  <cols>
    <col customWidth="1" min="1" max="1" width="12.63"/>
    <col customWidth="1" min="2" max="2" width="13.0"/>
    <col customWidth="1" min="3" max="9" width="6.38"/>
    <col customWidth="1" min="10" max="16" width="9.25"/>
    <col customWidth="1" min="17" max="19" width="6.38"/>
    <col customWidth="1" min="20" max="21" width="7.38"/>
    <col customWidth="1" min="22" max="23" width="6.38"/>
  </cols>
  <sheetData>
    <row r="1">
      <c r="A1" s="382"/>
      <c r="D1" s="383"/>
      <c r="E1" s="383"/>
      <c r="F1" s="383"/>
      <c r="G1" s="383"/>
      <c r="H1" s="383"/>
      <c r="I1" s="383"/>
      <c r="J1" s="383"/>
      <c r="K1" s="383"/>
      <c r="L1" s="383"/>
      <c r="M1" s="383" t="s">
        <v>7213</v>
      </c>
      <c r="N1" s="383"/>
      <c r="O1" s="383"/>
      <c r="P1" s="383"/>
      <c r="Q1" s="383"/>
      <c r="R1" s="383"/>
      <c r="S1" s="383"/>
      <c r="T1" s="383"/>
      <c r="U1" s="383"/>
      <c r="V1" s="383"/>
      <c r="W1" s="383"/>
    </row>
    <row r="2">
      <c r="A2" s="382"/>
      <c r="B2" s="384"/>
      <c r="C2" s="385" t="s">
        <v>7214</v>
      </c>
      <c r="D2" s="13"/>
      <c r="E2" s="13"/>
      <c r="F2" s="13"/>
      <c r="G2" s="13"/>
      <c r="H2" s="13"/>
      <c r="I2" s="13"/>
      <c r="J2" s="386" t="s">
        <v>7215</v>
      </c>
      <c r="K2" s="13"/>
      <c r="L2" s="13"/>
      <c r="M2" s="13"/>
      <c r="N2" s="13"/>
      <c r="O2" s="13"/>
      <c r="P2" s="14"/>
      <c r="Q2" s="387" t="s">
        <v>7216</v>
      </c>
      <c r="R2" s="13"/>
      <c r="S2" s="13"/>
      <c r="T2" s="13"/>
      <c r="U2" s="13"/>
      <c r="V2" s="13"/>
      <c r="W2" s="14"/>
    </row>
    <row r="3" ht="22.5" customHeight="1">
      <c r="A3" s="388" t="s">
        <v>7217</v>
      </c>
      <c r="B3" s="389" t="s">
        <v>7218</v>
      </c>
      <c r="C3" s="390" t="s">
        <v>7219</v>
      </c>
      <c r="D3" s="390" t="s">
        <v>7220</v>
      </c>
      <c r="E3" s="390" t="s">
        <v>7221</v>
      </c>
      <c r="F3" s="390" t="s">
        <v>7222</v>
      </c>
      <c r="G3" s="390" t="s">
        <v>7223</v>
      </c>
      <c r="H3" s="390" t="s">
        <v>7224</v>
      </c>
      <c r="I3" s="390" t="s">
        <v>7225</v>
      </c>
      <c r="J3" s="391" t="s">
        <v>7219</v>
      </c>
      <c r="K3" s="391" t="s">
        <v>7220</v>
      </c>
      <c r="L3" s="391" t="s">
        <v>7221</v>
      </c>
      <c r="M3" s="391" t="s">
        <v>7222</v>
      </c>
      <c r="N3" s="391" t="s">
        <v>7223</v>
      </c>
      <c r="O3" s="391" t="s">
        <v>7224</v>
      </c>
      <c r="P3" s="391" t="s">
        <v>7225</v>
      </c>
      <c r="Q3" s="392" t="s">
        <v>7219</v>
      </c>
      <c r="R3" s="392" t="s">
        <v>7220</v>
      </c>
      <c r="S3" s="392" t="s">
        <v>7221</v>
      </c>
      <c r="T3" s="392" t="s">
        <v>7222</v>
      </c>
      <c r="U3" s="392" t="s">
        <v>7223</v>
      </c>
      <c r="V3" s="392" t="s">
        <v>7224</v>
      </c>
      <c r="W3" s="392" t="s">
        <v>7225</v>
      </c>
    </row>
    <row r="4">
      <c r="A4" s="393" t="s">
        <v>7226</v>
      </c>
      <c r="B4" s="394" t="s">
        <v>7227</v>
      </c>
      <c r="C4" s="395"/>
      <c r="D4" s="395"/>
      <c r="E4" s="396"/>
      <c r="F4" s="396"/>
      <c r="G4" s="397">
        <v>3.0</v>
      </c>
      <c r="H4" s="396"/>
      <c r="I4" s="396"/>
      <c r="J4" s="396"/>
      <c r="K4" s="396"/>
      <c r="L4" s="396"/>
      <c r="M4" s="396"/>
      <c r="N4" s="397">
        <v>4.0</v>
      </c>
      <c r="O4" s="396"/>
      <c r="P4" s="396"/>
      <c r="Q4" s="396"/>
      <c r="R4" s="396"/>
      <c r="S4" s="396"/>
      <c r="T4" s="396"/>
      <c r="U4" s="397">
        <v>5.0</v>
      </c>
      <c r="V4" s="396"/>
      <c r="W4" s="396"/>
    </row>
    <row r="5">
      <c r="A5" s="269"/>
      <c r="B5" s="398" t="s">
        <v>7228</v>
      </c>
      <c r="C5" s="395"/>
      <c r="D5" s="395"/>
      <c r="E5" s="396"/>
      <c r="F5" s="396"/>
      <c r="G5" s="397">
        <v>3.0</v>
      </c>
      <c r="H5" s="396"/>
      <c r="I5" s="396"/>
      <c r="J5" s="396"/>
      <c r="K5" s="396"/>
      <c r="L5" s="396"/>
      <c r="M5" s="396"/>
      <c r="N5" s="397">
        <v>3.0</v>
      </c>
      <c r="O5" s="396"/>
      <c r="P5" s="396"/>
      <c r="Q5" s="396"/>
      <c r="R5" s="396"/>
      <c r="S5" s="396"/>
      <c r="T5" s="396"/>
      <c r="U5" s="397">
        <v>3.0</v>
      </c>
      <c r="V5" s="396"/>
      <c r="W5" s="396"/>
    </row>
    <row r="6">
      <c r="A6" s="399" t="s">
        <v>7229</v>
      </c>
      <c r="B6" s="400" t="s">
        <v>7227</v>
      </c>
      <c r="C6" s="401"/>
      <c r="D6" s="401"/>
      <c r="E6" s="402"/>
      <c r="F6" s="402"/>
      <c r="G6" s="390">
        <v>2.0</v>
      </c>
      <c r="H6" s="402"/>
      <c r="I6" s="402"/>
      <c r="J6" s="403"/>
      <c r="K6" s="403"/>
      <c r="L6" s="403"/>
      <c r="M6" s="403"/>
      <c r="N6" s="391">
        <v>4.0</v>
      </c>
      <c r="O6" s="403"/>
      <c r="P6" s="403"/>
      <c r="Q6" s="404"/>
      <c r="R6" s="404"/>
      <c r="S6" s="404"/>
      <c r="T6" s="404"/>
      <c r="U6" s="392">
        <v>4.0</v>
      </c>
      <c r="V6" s="404"/>
      <c r="W6" s="404"/>
    </row>
    <row r="7">
      <c r="A7" s="269"/>
      <c r="B7" s="400" t="s">
        <v>7228</v>
      </c>
      <c r="C7" s="401"/>
      <c r="D7" s="401"/>
      <c r="E7" s="402"/>
      <c r="F7" s="402"/>
      <c r="G7" s="390">
        <v>3.0</v>
      </c>
      <c r="H7" s="402"/>
      <c r="I7" s="402"/>
      <c r="J7" s="403"/>
      <c r="K7" s="403"/>
      <c r="L7" s="403"/>
      <c r="M7" s="403"/>
      <c r="N7" s="391">
        <v>3.0</v>
      </c>
      <c r="O7" s="403"/>
      <c r="P7" s="403"/>
      <c r="Q7" s="404"/>
      <c r="R7" s="404"/>
      <c r="S7" s="404"/>
      <c r="T7" s="404"/>
      <c r="U7" s="392">
        <v>3.0</v>
      </c>
      <c r="V7" s="404"/>
      <c r="W7" s="404"/>
    </row>
    <row r="8">
      <c r="A8" s="405">
        <v>8.0</v>
      </c>
      <c r="B8" s="406" t="s">
        <v>7227</v>
      </c>
      <c r="C8" s="407"/>
      <c r="D8" s="407"/>
      <c r="E8" s="408"/>
      <c r="F8" s="408"/>
      <c r="G8" s="409">
        <v>2.0</v>
      </c>
      <c r="H8" s="408"/>
      <c r="I8" s="408"/>
      <c r="J8" s="408"/>
      <c r="K8" s="408"/>
      <c r="L8" s="408"/>
      <c r="M8" s="408"/>
      <c r="N8" s="409">
        <v>3.0</v>
      </c>
      <c r="O8" s="408"/>
      <c r="P8" s="409">
        <v>3.0</v>
      </c>
      <c r="Q8" s="408"/>
      <c r="R8" s="408"/>
      <c r="S8" s="408"/>
      <c r="T8" s="408"/>
      <c r="U8" s="409">
        <v>4.0</v>
      </c>
      <c r="V8" s="408"/>
      <c r="W8" s="408"/>
    </row>
    <row r="9">
      <c r="A9" s="269"/>
      <c r="B9" s="406" t="s">
        <v>7228</v>
      </c>
      <c r="C9" s="407"/>
      <c r="D9" s="407"/>
      <c r="E9" s="408"/>
      <c r="F9" s="408"/>
      <c r="G9" s="409">
        <v>3.0</v>
      </c>
      <c r="H9" s="408"/>
      <c r="I9" s="408"/>
      <c r="J9" s="408"/>
      <c r="K9" s="408"/>
      <c r="L9" s="408"/>
      <c r="M9" s="408"/>
      <c r="N9" s="409">
        <v>3.0</v>
      </c>
      <c r="O9" s="408"/>
      <c r="P9" s="409">
        <v>4.0</v>
      </c>
      <c r="Q9" s="408"/>
      <c r="R9" s="408"/>
      <c r="S9" s="408"/>
      <c r="T9" s="408"/>
      <c r="U9" s="409">
        <v>3.0</v>
      </c>
      <c r="V9" s="408"/>
      <c r="W9" s="408"/>
    </row>
    <row r="10">
      <c r="A10" s="399" t="s">
        <v>7230</v>
      </c>
      <c r="B10" s="400" t="s">
        <v>7227</v>
      </c>
      <c r="C10" s="401"/>
      <c r="D10" s="401"/>
      <c r="E10" s="390">
        <v>1.0</v>
      </c>
      <c r="F10" s="402"/>
      <c r="G10" s="390">
        <v>2.0</v>
      </c>
      <c r="H10" s="402"/>
      <c r="I10" s="390">
        <v>1.0</v>
      </c>
      <c r="J10" s="403"/>
      <c r="K10" s="403"/>
      <c r="L10" s="403"/>
      <c r="M10" s="403"/>
      <c r="N10" s="391">
        <v>2.0</v>
      </c>
      <c r="O10" s="403"/>
      <c r="P10" s="391">
        <v>3.0</v>
      </c>
      <c r="Q10" s="404"/>
      <c r="R10" s="404"/>
      <c r="S10" s="404"/>
      <c r="T10" s="404"/>
      <c r="U10" s="392">
        <v>3.0</v>
      </c>
      <c r="V10" s="404"/>
      <c r="W10" s="392">
        <v>3.0</v>
      </c>
    </row>
    <row r="11">
      <c r="A11" s="269"/>
      <c r="B11" s="400" t="s">
        <v>7228</v>
      </c>
      <c r="C11" s="401"/>
      <c r="D11" s="401"/>
      <c r="E11" s="390">
        <v>2.0</v>
      </c>
      <c r="F11" s="402"/>
      <c r="G11" s="390">
        <v>2.0</v>
      </c>
      <c r="H11" s="402"/>
      <c r="I11" s="390">
        <v>3.0</v>
      </c>
      <c r="J11" s="403"/>
      <c r="K11" s="403"/>
      <c r="L11" s="403"/>
      <c r="M11" s="403"/>
      <c r="N11" s="391">
        <v>2.0</v>
      </c>
      <c r="O11" s="403"/>
      <c r="P11" s="391">
        <v>2.0</v>
      </c>
      <c r="Q11" s="404"/>
      <c r="R11" s="404"/>
      <c r="S11" s="404"/>
      <c r="T11" s="404"/>
      <c r="U11" s="392">
        <v>2.0</v>
      </c>
      <c r="V11" s="404"/>
      <c r="W11" s="392">
        <v>3.0</v>
      </c>
    </row>
    <row r="12">
      <c r="A12" s="405">
        <v>11.0</v>
      </c>
      <c r="B12" s="406" t="s">
        <v>7227</v>
      </c>
      <c r="C12" s="407"/>
      <c r="D12" s="407"/>
      <c r="E12" s="408"/>
      <c r="F12" s="408"/>
      <c r="G12" s="409">
        <v>1.0</v>
      </c>
      <c r="H12" s="408"/>
      <c r="I12" s="409">
        <v>1.0</v>
      </c>
      <c r="J12" s="408"/>
      <c r="K12" s="408"/>
      <c r="L12" s="408"/>
      <c r="M12" s="408"/>
      <c r="N12" s="409">
        <v>2.0</v>
      </c>
      <c r="O12" s="408"/>
      <c r="P12" s="409">
        <v>2.0</v>
      </c>
      <c r="Q12" s="408"/>
      <c r="R12" s="408"/>
      <c r="S12" s="408"/>
      <c r="T12" s="408"/>
      <c r="U12" s="409">
        <v>3.0</v>
      </c>
      <c r="V12" s="408"/>
      <c r="W12" s="409">
        <v>3.0</v>
      </c>
    </row>
    <row r="13">
      <c r="A13" s="269"/>
      <c r="B13" s="406" t="s">
        <v>7228</v>
      </c>
      <c r="C13" s="407"/>
      <c r="D13" s="407"/>
      <c r="E13" s="408"/>
      <c r="F13" s="408"/>
      <c r="G13" s="409">
        <v>2.0</v>
      </c>
      <c r="H13" s="408"/>
      <c r="I13" s="409">
        <v>3.0</v>
      </c>
      <c r="J13" s="408"/>
      <c r="K13" s="408"/>
      <c r="L13" s="408"/>
      <c r="M13" s="408"/>
      <c r="N13" s="409">
        <v>2.0</v>
      </c>
      <c r="O13" s="408"/>
      <c r="P13" s="409">
        <v>3.0</v>
      </c>
      <c r="Q13" s="408"/>
      <c r="R13" s="408"/>
      <c r="S13" s="408"/>
      <c r="T13" s="408"/>
      <c r="U13" s="409">
        <v>2.0</v>
      </c>
      <c r="V13" s="408"/>
      <c r="W13" s="409">
        <v>3.0</v>
      </c>
    </row>
    <row r="14">
      <c r="A14" s="399">
        <v>12.0</v>
      </c>
      <c r="B14" s="400" t="s">
        <v>7227</v>
      </c>
      <c r="C14" s="401"/>
      <c r="D14" s="401"/>
      <c r="E14" s="402"/>
      <c r="F14" s="402"/>
      <c r="G14" s="390">
        <v>1.0</v>
      </c>
      <c r="H14" s="402"/>
      <c r="I14" s="390">
        <v>1.0</v>
      </c>
      <c r="J14" s="403"/>
      <c r="K14" s="403"/>
      <c r="L14" s="403"/>
      <c r="M14" s="403"/>
      <c r="N14" s="391">
        <v>2.0</v>
      </c>
      <c r="O14" s="403"/>
      <c r="P14" s="391">
        <v>2.0</v>
      </c>
      <c r="Q14" s="404"/>
      <c r="R14" s="404"/>
      <c r="S14" s="404"/>
      <c r="T14" s="404"/>
      <c r="U14" s="392">
        <v>2.0</v>
      </c>
      <c r="V14" s="404"/>
      <c r="W14" s="392">
        <v>2.0</v>
      </c>
    </row>
    <row r="15">
      <c r="A15" s="269"/>
      <c r="B15" s="400" t="s">
        <v>7228</v>
      </c>
      <c r="C15" s="401"/>
      <c r="D15" s="401"/>
      <c r="E15" s="402"/>
      <c r="F15" s="402"/>
      <c r="G15" s="390">
        <v>2.0</v>
      </c>
      <c r="H15" s="402"/>
      <c r="I15" s="390">
        <v>3.0</v>
      </c>
      <c r="J15" s="403"/>
      <c r="K15" s="403"/>
      <c r="L15" s="403"/>
      <c r="M15" s="403"/>
      <c r="N15" s="391">
        <v>2.0</v>
      </c>
      <c r="O15" s="403"/>
      <c r="P15" s="391">
        <v>3.0</v>
      </c>
      <c r="Q15" s="404"/>
      <c r="R15" s="404"/>
      <c r="S15" s="404"/>
      <c r="T15" s="404"/>
      <c r="U15" s="392">
        <v>2.0</v>
      </c>
      <c r="V15" s="404"/>
      <c r="W15" s="392">
        <v>3.0</v>
      </c>
    </row>
    <row r="16">
      <c r="A16" s="405">
        <v>13.0</v>
      </c>
      <c r="B16" s="406" t="s">
        <v>7227</v>
      </c>
      <c r="C16" s="407"/>
      <c r="D16" s="407"/>
      <c r="E16" s="409">
        <v>1.0</v>
      </c>
      <c r="F16" s="408"/>
      <c r="G16" s="409">
        <v>1.0</v>
      </c>
      <c r="H16" s="408"/>
      <c r="I16" s="408"/>
      <c r="J16" s="408"/>
      <c r="K16" s="408"/>
      <c r="L16" s="409">
        <v>2.0</v>
      </c>
      <c r="M16" s="408"/>
      <c r="N16" s="409">
        <v>2.0</v>
      </c>
      <c r="O16" s="408"/>
      <c r="P16" s="408"/>
      <c r="Q16" s="408"/>
      <c r="R16" s="408"/>
      <c r="S16" s="409">
        <v>2.0</v>
      </c>
      <c r="T16" s="408"/>
      <c r="U16" s="409">
        <v>2.0</v>
      </c>
      <c r="V16" s="408"/>
      <c r="W16" s="408"/>
    </row>
    <row r="17">
      <c r="A17" s="269"/>
      <c r="B17" s="406" t="s">
        <v>7228</v>
      </c>
      <c r="C17" s="407"/>
      <c r="D17" s="407"/>
      <c r="E17" s="409">
        <v>1.0</v>
      </c>
      <c r="F17" s="408"/>
      <c r="G17" s="409">
        <v>2.0</v>
      </c>
      <c r="H17" s="408"/>
      <c r="I17" s="408"/>
      <c r="J17" s="408"/>
      <c r="K17" s="408"/>
      <c r="L17" s="409">
        <v>1.0</v>
      </c>
      <c r="M17" s="408"/>
      <c r="N17" s="409">
        <v>2.0</v>
      </c>
      <c r="O17" s="408"/>
      <c r="P17" s="408"/>
      <c r="Q17" s="408"/>
      <c r="R17" s="408"/>
      <c r="S17" s="409">
        <v>1.0</v>
      </c>
      <c r="T17" s="408"/>
      <c r="U17" s="409">
        <v>2.0</v>
      </c>
      <c r="V17" s="408"/>
      <c r="W17" s="408"/>
    </row>
    <row r="18">
      <c r="A18" s="399">
        <v>14.0</v>
      </c>
      <c r="B18" s="400" t="s">
        <v>7227</v>
      </c>
      <c r="C18" s="401"/>
      <c r="D18" s="401"/>
      <c r="E18" s="390">
        <v>1.0</v>
      </c>
      <c r="F18" s="402"/>
      <c r="G18" s="390">
        <v>1.0</v>
      </c>
      <c r="H18" s="402"/>
      <c r="I18" s="402"/>
      <c r="J18" s="403"/>
      <c r="K18" s="403"/>
      <c r="L18" s="391">
        <v>1.0</v>
      </c>
      <c r="M18" s="403"/>
      <c r="N18" s="391">
        <v>2.0</v>
      </c>
      <c r="O18" s="403"/>
      <c r="P18" s="391">
        <v>2.0</v>
      </c>
      <c r="Q18" s="404"/>
      <c r="R18" s="404"/>
      <c r="S18" s="392">
        <v>2.0</v>
      </c>
      <c r="T18" s="404"/>
      <c r="U18" s="392">
        <v>2.0</v>
      </c>
      <c r="V18" s="404"/>
      <c r="W18" s="404"/>
    </row>
    <row r="19">
      <c r="A19" s="269"/>
      <c r="B19" s="400" t="s">
        <v>7228</v>
      </c>
      <c r="C19" s="401"/>
      <c r="D19" s="401"/>
      <c r="E19" s="390">
        <v>1.0</v>
      </c>
      <c r="F19" s="402"/>
      <c r="G19" s="390">
        <v>2.0</v>
      </c>
      <c r="H19" s="402"/>
      <c r="I19" s="402"/>
      <c r="J19" s="403"/>
      <c r="K19" s="403"/>
      <c r="L19" s="391">
        <v>2.0</v>
      </c>
      <c r="M19" s="403"/>
      <c r="N19" s="391">
        <v>2.0</v>
      </c>
      <c r="O19" s="403"/>
      <c r="P19" s="391">
        <v>2.0</v>
      </c>
      <c r="Q19" s="404"/>
      <c r="R19" s="404"/>
      <c r="S19" s="392">
        <v>1.0</v>
      </c>
      <c r="T19" s="404"/>
      <c r="U19" s="392">
        <v>2.0</v>
      </c>
      <c r="V19" s="404"/>
      <c r="W19" s="404"/>
    </row>
    <row r="20">
      <c r="A20" s="405">
        <v>15.0</v>
      </c>
      <c r="B20" s="406" t="s">
        <v>7227</v>
      </c>
      <c r="C20" s="407"/>
      <c r="D20" s="407"/>
      <c r="E20" s="408"/>
      <c r="F20" s="408"/>
      <c r="G20" s="409">
        <v>1.0</v>
      </c>
      <c r="H20" s="408"/>
      <c r="I20" s="409">
        <v>1.0</v>
      </c>
      <c r="J20" s="408"/>
      <c r="K20" s="408"/>
      <c r="L20" s="408"/>
      <c r="M20" s="408"/>
      <c r="N20" s="409">
        <v>1.0</v>
      </c>
      <c r="O20" s="408"/>
      <c r="P20" s="409">
        <v>1.0</v>
      </c>
      <c r="Q20" s="408"/>
      <c r="R20" s="408"/>
      <c r="S20" s="408"/>
      <c r="T20" s="408"/>
      <c r="U20" s="409">
        <v>2.0</v>
      </c>
      <c r="V20" s="408"/>
      <c r="W20" s="409">
        <v>2.0</v>
      </c>
    </row>
    <row r="21">
      <c r="A21" s="269"/>
      <c r="B21" s="406" t="s">
        <v>7228</v>
      </c>
      <c r="C21" s="407"/>
      <c r="D21" s="407"/>
      <c r="E21" s="408"/>
      <c r="F21" s="408"/>
      <c r="G21" s="409">
        <v>1.0</v>
      </c>
      <c r="H21" s="408"/>
      <c r="I21" s="409">
        <v>2.0</v>
      </c>
      <c r="J21" s="408"/>
      <c r="K21" s="408"/>
      <c r="L21" s="408"/>
      <c r="M21" s="408"/>
      <c r="N21" s="409">
        <v>1.0</v>
      </c>
      <c r="O21" s="408"/>
      <c r="P21" s="409">
        <v>2.0</v>
      </c>
      <c r="Q21" s="408"/>
      <c r="R21" s="408"/>
      <c r="S21" s="408"/>
      <c r="T21" s="408"/>
      <c r="U21" s="409">
        <v>1.0</v>
      </c>
      <c r="V21" s="408"/>
      <c r="W21" s="409">
        <v>2.0</v>
      </c>
    </row>
    <row r="22">
      <c r="A22" s="399" t="s">
        <v>7231</v>
      </c>
      <c r="B22" s="400" t="s">
        <v>7227</v>
      </c>
      <c r="C22" s="401"/>
      <c r="D22" s="401"/>
      <c r="E22" s="402"/>
      <c r="F22" s="402"/>
      <c r="G22" s="390">
        <v>1.0</v>
      </c>
      <c r="H22" s="402"/>
      <c r="I22" s="390">
        <v>1.0</v>
      </c>
      <c r="J22" s="403"/>
      <c r="K22" s="403"/>
      <c r="L22" s="403"/>
      <c r="M22" s="403"/>
      <c r="N22" s="391">
        <v>1.0</v>
      </c>
      <c r="O22" s="403"/>
      <c r="P22" s="391">
        <v>1.0</v>
      </c>
      <c r="Q22" s="404"/>
      <c r="R22" s="404"/>
      <c r="S22" s="404"/>
      <c r="T22" s="404"/>
      <c r="U22" s="392">
        <v>2.0</v>
      </c>
      <c r="V22" s="404"/>
      <c r="W22" s="392">
        <v>2.0</v>
      </c>
    </row>
    <row r="23">
      <c r="A23" s="269"/>
      <c r="B23" s="400" t="s">
        <v>7228</v>
      </c>
      <c r="C23" s="401"/>
      <c r="D23" s="401"/>
      <c r="E23" s="402"/>
      <c r="F23" s="402"/>
      <c r="G23" s="390">
        <v>1.0</v>
      </c>
      <c r="H23" s="402"/>
      <c r="I23" s="390">
        <v>2.0</v>
      </c>
      <c r="J23" s="403"/>
      <c r="K23" s="403"/>
      <c r="L23" s="403"/>
      <c r="M23" s="403"/>
      <c r="N23" s="391">
        <v>1.0</v>
      </c>
      <c r="O23" s="403"/>
      <c r="P23" s="391">
        <v>2.0</v>
      </c>
      <c r="Q23" s="404"/>
      <c r="R23" s="404"/>
      <c r="S23" s="404"/>
      <c r="T23" s="404"/>
      <c r="U23" s="392">
        <v>1.0</v>
      </c>
      <c r="V23" s="404"/>
      <c r="W23" s="392">
        <v>2.0</v>
      </c>
    </row>
    <row r="24">
      <c r="A24" s="405">
        <v>17.0</v>
      </c>
      <c r="B24" s="406" t="s">
        <v>7227</v>
      </c>
      <c r="C24" s="407"/>
      <c r="D24" s="407"/>
      <c r="E24" s="408"/>
      <c r="F24" s="408"/>
      <c r="G24" s="409">
        <v>1.0</v>
      </c>
      <c r="H24" s="408"/>
      <c r="I24" s="409">
        <v>1.0</v>
      </c>
      <c r="J24" s="408"/>
      <c r="K24" s="408"/>
      <c r="L24" s="408"/>
      <c r="M24" s="408"/>
      <c r="N24" s="409">
        <v>1.0</v>
      </c>
      <c r="O24" s="408"/>
      <c r="P24" s="409">
        <v>1.0</v>
      </c>
      <c r="Q24" s="408"/>
      <c r="R24" s="408"/>
      <c r="S24" s="408"/>
      <c r="T24" s="408"/>
      <c r="U24" s="409">
        <v>2.0</v>
      </c>
      <c r="V24" s="408"/>
      <c r="W24" s="409">
        <v>2.0</v>
      </c>
    </row>
    <row r="25">
      <c r="A25" s="269"/>
      <c r="B25" s="406" t="s">
        <v>7228</v>
      </c>
      <c r="C25" s="407"/>
      <c r="D25" s="407"/>
      <c r="E25" s="408"/>
      <c r="F25" s="408"/>
      <c r="G25" s="409">
        <v>1.0</v>
      </c>
      <c r="H25" s="408"/>
      <c r="I25" s="409">
        <v>2.0</v>
      </c>
      <c r="J25" s="408"/>
      <c r="K25" s="408"/>
      <c r="L25" s="408"/>
      <c r="M25" s="408"/>
      <c r="N25" s="409">
        <v>1.0</v>
      </c>
      <c r="O25" s="408"/>
      <c r="P25" s="409">
        <v>2.0</v>
      </c>
      <c r="Q25" s="408"/>
      <c r="R25" s="408"/>
      <c r="S25" s="408"/>
      <c r="T25" s="408"/>
      <c r="U25" s="409">
        <v>1.0</v>
      </c>
      <c r="V25" s="408"/>
      <c r="W25" s="409">
        <v>2.0</v>
      </c>
    </row>
    <row r="26">
      <c r="A26" s="399">
        <v>18.0</v>
      </c>
      <c r="B26" s="400" t="s">
        <v>7227</v>
      </c>
      <c r="C26" s="401"/>
      <c r="D26" s="401"/>
      <c r="E26" s="402"/>
      <c r="F26" s="402"/>
      <c r="G26" s="390">
        <v>1.0</v>
      </c>
      <c r="H26" s="402"/>
      <c r="I26" s="390">
        <v>1.0</v>
      </c>
      <c r="J26" s="403"/>
      <c r="K26" s="403"/>
      <c r="L26" s="403"/>
      <c r="M26" s="403"/>
      <c r="N26" s="391">
        <v>1.0</v>
      </c>
      <c r="O26" s="403"/>
      <c r="P26" s="391">
        <v>1.0</v>
      </c>
      <c r="Q26" s="404"/>
      <c r="R26" s="404"/>
      <c r="S26" s="404"/>
      <c r="T26" s="404"/>
      <c r="U26" s="392">
        <v>1.0</v>
      </c>
      <c r="V26" s="404"/>
      <c r="W26" s="392">
        <v>1.0</v>
      </c>
    </row>
    <row r="27">
      <c r="A27" s="269"/>
      <c r="B27" s="400" t="s">
        <v>7228</v>
      </c>
      <c r="C27" s="401"/>
      <c r="D27" s="401"/>
      <c r="E27" s="402"/>
      <c r="F27" s="402"/>
      <c r="G27" s="390">
        <v>1.0</v>
      </c>
      <c r="H27" s="402"/>
      <c r="I27" s="390">
        <v>2.0</v>
      </c>
      <c r="J27" s="403"/>
      <c r="K27" s="403"/>
      <c r="L27" s="403"/>
      <c r="M27" s="403"/>
      <c r="N27" s="391">
        <v>1.0</v>
      </c>
      <c r="O27" s="403"/>
      <c r="P27" s="391">
        <v>2.0</v>
      </c>
      <c r="Q27" s="404"/>
      <c r="R27" s="404"/>
      <c r="S27" s="404"/>
      <c r="T27" s="404"/>
      <c r="U27" s="392">
        <v>1.0</v>
      </c>
      <c r="V27" s="404"/>
      <c r="W27" s="392">
        <v>2.0</v>
      </c>
    </row>
    <row r="28">
      <c r="A28" s="405">
        <v>20.0</v>
      </c>
      <c r="B28" s="406" t="s">
        <v>7227</v>
      </c>
      <c r="C28" s="407"/>
      <c r="D28" s="407"/>
      <c r="E28" s="408"/>
      <c r="F28" s="408"/>
      <c r="G28" s="408"/>
      <c r="H28" s="408"/>
      <c r="I28" s="408"/>
      <c r="J28" s="408"/>
      <c r="K28" s="408"/>
      <c r="L28" s="408"/>
      <c r="M28" s="408"/>
      <c r="N28" s="409">
        <v>1.0</v>
      </c>
      <c r="O28" s="408"/>
      <c r="P28" s="408"/>
      <c r="Q28" s="408"/>
      <c r="R28" s="408"/>
      <c r="S28" s="408"/>
      <c r="T28" s="408"/>
      <c r="U28" s="409">
        <v>1.0</v>
      </c>
      <c r="V28" s="408"/>
      <c r="W28" s="408"/>
    </row>
    <row r="29">
      <c r="A29" s="269"/>
      <c r="B29" s="406" t="s">
        <v>7228</v>
      </c>
      <c r="C29" s="407"/>
      <c r="D29" s="407"/>
      <c r="E29" s="408"/>
      <c r="F29" s="408"/>
      <c r="G29" s="408"/>
      <c r="H29" s="408"/>
      <c r="I29" s="408"/>
      <c r="J29" s="408"/>
      <c r="K29" s="408"/>
      <c r="L29" s="408"/>
      <c r="M29" s="408"/>
      <c r="N29" s="409">
        <v>1.0</v>
      </c>
      <c r="O29" s="408"/>
      <c r="P29" s="408"/>
      <c r="Q29" s="408"/>
      <c r="R29" s="408"/>
      <c r="S29" s="408"/>
      <c r="T29" s="408"/>
      <c r="U29" s="409">
        <v>1.0</v>
      </c>
      <c r="V29" s="408"/>
      <c r="W29" s="408"/>
    </row>
    <row r="30">
      <c r="A30" s="399">
        <v>22.0</v>
      </c>
      <c r="B30" s="400" t="s">
        <v>7227</v>
      </c>
      <c r="C30" s="401"/>
      <c r="D30" s="401"/>
      <c r="E30" s="402"/>
      <c r="F30" s="402"/>
      <c r="G30" s="402"/>
      <c r="H30" s="402"/>
      <c r="I30" s="402"/>
      <c r="J30" s="403"/>
      <c r="K30" s="403"/>
      <c r="L30" s="403"/>
      <c r="M30" s="403"/>
      <c r="N30" s="391">
        <v>1.0</v>
      </c>
      <c r="O30" s="403"/>
      <c r="P30" s="403"/>
      <c r="Q30" s="404"/>
      <c r="R30" s="404"/>
      <c r="S30" s="404"/>
      <c r="T30" s="404"/>
      <c r="U30" s="392">
        <v>1.0</v>
      </c>
      <c r="V30" s="404"/>
      <c r="W30" s="404"/>
    </row>
    <row r="31">
      <c r="A31" s="269"/>
      <c r="B31" s="400" t="s">
        <v>7228</v>
      </c>
      <c r="C31" s="401"/>
      <c r="D31" s="401"/>
      <c r="E31" s="402"/>
      <c r="F31" s="402"/>
      <c r="G31" s="402"/>
      <c r="H31" s="402"/>
      <c r="I31" s="402"/>
      <c r="J31" s="403"/>
      <c r="K31" s="403"/>
      <c r="L31" s="403"/>
      <c r="M31" s="403"/>
      <c r="N31" s="391">
        <v>1.0</v>
      </c>
      <c r="O31" s="403"/>
      <c r="P31" s="403"/>
      <c r="Q31" s="404"/>
      <c r="R31" s="404"/>
      <c r="S31" s="404"/>
      <c r="T31" s="404"/>
      <c r="U31" s="392">
        <v>1.0</v>
      </c>
      <c r="V31" s="404"/>
      <c r="W31" s="404"/>
    </row>
    <row r="32">
      <c r="A32" s="405">
        <v>24.0</v>
      </c>
      <c r="B32" s="406" t="s">
        <v>7227</v>
      </c>
      <c r="C32" s="407"/>
      <c r="D32" s="407"/>
      <c r="E32" s="408"/>
      <c r="F32" s="408"/>
      <c r="G32" s="408"/>
      <c r="H32" s="408"/>
      <c r="I32" s="408"/>
      <c r="J32" s="408"/>
      <c r="K32" s="408"/>
      <c r="L32" s="408"/>
      <c r="M32" s="408"/>
      <c r="N32" s="409">
        <v>1.0</v>
      </c>
      <c r="O32" s="408"/>
      <c r="P32" s="408"/>
      <c r="Q32" s="408"/>
      <c r="R32" s="408"/>
      <c r="S32" s="408"/>
      <c r="T32" s="408"/>
      <c r="U32" s="409">
        <v>1.0</v>
      </c>
      <c r="V32" s="408"/>
      <c r="W32" s="408"/>
    </row>
    <row r="33">
      <c r="A33" s="269"/>
      <c r="B33" s="406" t="s">
        <v>7228</v>
      </c>
      <c r="C33" s="407"/>
      <c r="D33" s="407"/>
      <c r="E33" s="408"/>
      <c r="F33" s="408"/>
      <c r="G33" s="408"/>
      <c r="H33" s="408"/>
      <c r="I33" s="408"/>
      <c r="J33" s="408"/>
      <c r="K33" s="408"/>
      <c r="L33" s="408"/>
      <c r="M33" s="408"/>
      <c r="N33" s="409">
        <v>1.0</v>
      </c>
      <c r="O33" s="408"/>
      <c r="P33" s="408"/>
      <c r="Q33" s="408"/>
      <c r="R33" s="408"/>
      <c r="S33" s="408"/>
      <c r="T33" s="408"/>
      <c r="U33" s="409">
        <v>1.0</v>
      </c>
      <c r="V33" s="408"/>
      <c r="W33" s="408"/>
    </row>
    <row r="34">
      <c r="A34" s="399">
        <v>25.0</v>
      </c>
      <c r="B34" s="400" t="s">
        <v>7227</v>
      </c>
      <c r="C34" s="401"/>
      <c r="D34" s="401"/>
      <c r="E34" s="402"/>
      <c r="F34" s="402"/>
      <c r="G34" s="402"/>
      <c r="H34" s="402"/>
      <c r="I34" s="402"/>
      <c r="J34" s="403"/>
      <c r="K34" s="403"/>
      <c r="L34" s="403"/>
      <c r="M34" s="403"/>
      <c r="N34" s="391">
        <v>1.0</v>
      </c>
      <c r="O34" s="403"/>
      <c r="P34" s="403"/>
      <c r="Q34" s="404"/>
      <c r="R34" s="404"/>
      <c r="S34" s="404"/>
      <c r="T34" s="404"/>
      <c r="U34" s="392">
        <v>1.0</v>
      </c>
      <c r="V34" s="404"/>
      <c r="W34" s="404"/>
    </row>
    <row r="35">
      <c r="A35" s="269"/>
      <c r="B35" s="400" t="s">
        <v>7228</v>
      </c>
      <c r="C35" s="401"/>
      <c r="D35" s="401"/>
      <c r="E35" s="402"/>
      <c r="F35" s="402"/>
      <c r="G35" s="402"/>
      <c r="H35" s="402"/>
      <c r="I35" s="402"/>
      <c r="J35" s="403"/>
      <c r="K35" s="403"/>
      <c r="L35" s="403"/>
      <c r="M35" s="403"/>
      <c r="N35" s="391">
        <v>1.0</v>
      </c>
      <c r="O35" s="403"/>
      <c r="P35" s="403"/>
      <c r="Q35" s="404"/>
      <c r="R35" s="404"/>
      <c r="S35" s="404"/>
      <c r="T35" s="404"/>
      <c r="U35" s="392">
        <v>1.0</v>
      </c>
      <c r="V35" s="404"/>
      <c r="W35" s="404"/>
    </row>
    <row r="36">
      <c r="A36" s="405">
        <v>26.0</v>
      </c>
      <c r="B36" s="406" t="s">
        <v>7227</v>
      </c>
      <c r="C36" s="407"/>
      <c r="D36" s="407"/>
      <c r="E36" s="408"/>
      <c r="F36" s="408"/>
      <c r="G36" s="408"/>
      <c r="H36" s="408"/>
      <c r="I36" s="408"/>
      <c r="J36" s="408"/>
      <c r="K36" s="408"/>
      <c r="L36" s="408"/>
      <c r="M36" s="408"/>
      <c r="N36" s="409">
        <v>1.0</v>
      </c>
      <c r="O36" s="408"/>
      <c r="P36" s="408"/>
      <c r="Q36" s="408"/>
      <c r="R36" s="408"/>
      <c r="S36" s="408"/>
      <c r="T36" s="408"/>
      <c r="U36" s="409">
        <v>1.0</v>
      </c>
      <c r="V36" s="408"/>
      <c r="W36" s="408"/>
    </row>
    <row r="37">
      <c r="A37" s="269"/>
      <c r="B37" s="406" t="s">
        <v>7228</v>
      </c>
      <c r="C37" s="407"/>
      <c r="D37" s="407"/>
      <c r="E37" s="408"/>
      <c r="F37" s="408"/>
      <c r="G37" s="408"/>
      <c r="H37" s="408"/>
      <c r="I37" s="408"/>
      <c r="J37" s="408"/>
      <c r="K37" s="408"/>
      <c r="L37" s="408"/>
      <c r="M37" s="408"/>
      <c r="N37" s="409">
        <v>1.0</v>
      </c>
      <c r="O37" s="408"/>
      <c r="P37" s="408"/>
      <c r="Q37" s="408"/>
      <c r="R37" s="408"/>
      <c r="S37" s="408"/>
      <c r="T37" s="408"/>
      <c r="U37" s="409">
        <v>1.0</v>
      </c>
      <c r="V37" s="408"/>
      <c r="W37" s="408"/>
    </row>
    <row r="38">
      <c r="A38" s="399">
        <v>28.0</v>
      </c>
      <c r="B38" s="400" t="s">
        <v>7227</v>
      </c>
      <c r="C38" s="401"/>
      <c r="D38" s="401"/>
      <c r="E38" s="402"/>
      <c r="F38" s="402"/>
      <c r="G38" s="402"/>
      <c r="H38" s="402"/>
      <c r="I38" s="402"/>
      <c r="J38" s="403"/>
      <c r="K38" s="403"/>
      <c r="L38" s="403"/>
      <c r="M38" s="403"/>
      <c r="N38" s="391">
        <v>1.0</v>
      </c>
      <c r="O38" s="403"/>
      <c r="P38" s="403"/>
      <c r="Q38" s="404"/>
      <c r="R38" s="404"/>
      <c r="S38" s="404"/>
      <c r="T38" s="404"/>
      <c r="U38" s="392">
        <v>1.0</v>
      </c>
      <c r="V38" s="404"/>
      <c r="W38" s="404"/>
    </row>
    <row r="39">
      <c r="A39" s="269"/>
      <c r="B39" s="400" t="s">
        <v>7228</v>
      </c>
      <c r="C39" s="401"/>
      <c r="D39" s="401"/>
      <c r="E39" s="402"/>
      <c r="F39" s="402"/>
      <c r="G39" s="402"/>
      <c r="H39" s="402"/>
      <c r="I39" s="402"/>
      <c r="J39" s="403"/>
      <c r="K39" s="403"/>
      <c r="L39" s="403"/>
      <c r="M39" s="403"/>
      <c r="N39" s="391">
        <v>1.0</v>
      </c>
      <c r="O39" s="403"/>
      <c r="P39" s="403"/>
      <c r="Q39" s="404"/>
      <c r="R39" s="404"/>
      <c r="S39" s="404"/>
      <c r="T39" s="404"/>
      <c r="U39" s="392">
        <v>1.0</v>
      </c>
      <c r="V39" s="404"/>
      <c r="W39" s="404"/>
    </row>
    <row r="40">
      <c r="A40" s="405">
        <v>30.0</v>
      </c>
      <c r="B40" s="406" t="s">
        <v>7227</v>
      </c>
      <c r="C40" s="407"/>
      <c r="D40" s="407"/>
      <c r="E40" s="408"/>
      <c r="F40" s="408"/>
      <c r="G40" s="408"/>
      <c r="H40" s="408"/>
      <c r="I40" s="408"/>
      <c r="J40" s="408"/>
      <c r="K40" s="408"/>
      <c r="L40" s="408"/>
      <c r="M40" s="408"/>
      <c r="N40" s="408"/>
      <c r="O40" s="408"/>
      <c r="P40" s="408"/>
      <c r="Q40" s="408"/>
      <c r="R40" s="408"/>
      <c r="S40" s="408"/>
      <c r="T40" s="408"/>
      <c r="U40" s="408"/>
      <c r="V40" s="408"/>
      <c r="W40" s="408"/>
    </row>
    <row r="41">
      <c r="A41" s="269"/>
      <c r="B41" s="406" t="s">
        <v>7228</v>
      </c>
      <c r="C41" s="407"/>
      <c r="D41" s="407"/>
      <c r="E41" s="408"/>
      <c r="F41" s="408"/>
      <c r="G41" s="408"/>
      <c r="H41" s="408"/>
      <c r="I41" s="408"/>
      <c r="J41" s="408"/>
      <c r="K41" s="408"/>
      <c r="L41" s="408"/>
      <c r="M41" s="408"/>
      <c r="N41" s="408"/>
      <c r="O41" s="408"/>
      <c r="P41" s="408"/>
      <c r="Q41" s="408"/>
      <c r="R41" s="408"/>
      <c r="S41" s="408"/>
      <c r="T41" s="408"/>
      <c r="U41" s="408"/>
      <c r="V41" s="408"/>
      <c r="W41" s="408"/>
    </row>
    <row r="42">
      <c r="A42" s="399" t="s">
        <v>7232</v>
      </c>
      <c r="B42" s="400" t="s">
        <v>7227</v>
      </c>
      <c r="C42" s="401"/>
      <c r="D42" s="401"/>
      <c r="E42" s="402"/>
      <c r="F42" s="402"/>
      <c r="G42" s="402"/>
      <c r="H42" s="402"/>
      <c r="I42" s="390">
        <v>1.0</v>
      </c>
      <c r="J42" s="403"/>
      <c r="K42" s="403"/>
      <c r="L42" s="403"/>
      <c r="M42" s="403"/>
      <c r="N42" s="403"/>
      <c r="O42" s="403"/>
      <c r="P42" s="391">
        <v>1.0</v>
      </c>
      <c r="Q42" s="404"/>
      <c r="R42" s="404"/>
      <c r="S42" s="404"/>
      <c r="T42" s="404"/>
      <c r="U42" s="404"/>
      <c r="V42" s="404"/>
      <c r="W42" s="404"/>
    </row>
    <row r="43">
      <c r="A43" s="269"/>
      <c r="B43" s="400" t="s">
        <v>7228</v>
      </c>
      <c r="C43" s="401"/>
      <c r="D43" s="401"/>
      <c r="E43" s="402"/>
      <c r="F43" s="402"/>
      <c r="G43" s="402"/>
      <c r="H43" s="402"/>
      <c r="I43" s="390">
        <v>2.0</v>
      </c>
      <c r="J43" s="403"/>
      <c r="K43" s="403"/>
      <c r="L43" s="403"/>
      <c r="M43" s="403"/>
      <c r="N43" s="403"/>
      <c r="O43" s="403"/>
      <c r="P43" s="391">
        <v>2.0</v>
      </c>
      <c r="Q43" s="404"/>
      <c r="R43" s="404"/>
      <c r="S43" s="404"/>
      <c r="T43" s="404"/>
      <c r="U43" s="404"/>
      <c r="V43" s="404"/>
      <c r="W43" s="404"/>
    </row>
    <row r="44">
      <c r="A44" s="405" t="s">
        <v>7233</v>
      </c>
      <c r="B44" s="406" t="s">
        <v>7227</v>
      </c>
      <c r="C44" s="407"/>
      <c r="D44" s="407"/>
      <c r="E44" s="408"/>
      <c r="F44" s="408"/>
      <c r="G44" s="408"/>
      <c r="H44" s="408"/>
      <c r="I44" s="409">
        <v>1.0</v>
      </c>
      <c r="J44" s="408"/>
      <c r="K44" s="408"/>
      <c r="L44" s="408"/>
      <c r="M44" s="408"/>
      <c r="N44" s="408"/>
      <c r="O44" s="408"/>
      <c r="P44" s="409">
        <v>1.0</v>
      </c>
      <c r="Q44" s="408"/>
      <c r="R44" s="408"/>
      <c r="S44" s="408"/>
      <c r="T44" s="408"/>
      <c r="U44" s="408"/>
      <c r="V44" s="408"/>
      <c r="W44" s="408"/>
    </row>
    <row r="45">
      <c r="A45" s="269"/>
      <c r="B45" s="406" t="s">
        <v>7228</v>
      </c>
      <c r="C45" s="407"/>
      <c r="D45" s="407"/>
      <c r="E45" s="408"/>
      <c r="F45" s="408"/>
      <c r="G45" s="408"/>
      <c r="H45" s="408"/>
      <c r="I45" s="409">
        <v>2.0</v>
      </c>
      <c r="J45" s="408"/>
      <c r="K45" s="408"/>
      <c r="L45" s="408"/>
      <c r="M45" s="408"/>
      <c r="N45" s="408"/>
      <c r="O45" s="408"/>
      <c r="P45" s="409">
        <v>2.0</v>
      </c>
      <c r="Q45" s="408"/>
      <c r="R45" s="408"/>
      <c r="S45" s="408"/>
      <c r="T45" s="408"/>
      <c r="U45" s="408"/>
      <c r="V45" s="408"/>
      <c r="W45" s="408"/>
    </row>
    <row r="46">
      <c r="A46" s="399" t="s">
        <v>7234</v>
      </c>
      <c r="B46" s="400" t="s">
        <v>7227</v>
      </c>
      <c r="C46" s="401"/>
      <c r="D46" s="401"/>
      <c r="E46" s="402"/>
      <c r="F46" s="402"/>
      <c r="G46" s="402"/>
      <c r="H46" s="402"/>
      <c r="I46" s="390">
        <v>1.0</v>
      </c>
      <c r="J46" s="403"/>
      <c r="K46" s="403"/>
      <c r="L46" s="403"/>
      <c r="M46" s="403"/>
      <c r="N46" s="403"/>
      <c r="O46" s="403"/>
      <c r="P46" s="391">
        <v>1.0</v>
      </c>
      <c r="Q46" s="404"/>
      <c r="R46" s="404"/>
      <c r="S46" s="404"/>
      <c r="T46" s="404"/>
      <c r="U46" s="404"/>
      <c r="V46" s="404"/>
      <c r="W46" s="404"/>
    </row>
    <row r="47">
      <c r="A47" s="269"/>
      <c r="B47" s="400" t="s">
        <v>7228</v>
      </c>
      <c r="C47" s="401"/>
      <c r="D47" s="401"/>
      <c r="E47" s="402"/>
      <c r="F47" s="402"/>
      <c r="G47" s="402"/>
      <c r="H47" s="402"/>
      <c r="I47" s="390">
        <v>2.0</v>
      </c>
      <c r="J47" s="403"/>
      <c r="K47" s="403"/>
      <c r="L47" s="403"/>
      <c r="M47" s="403"/>
      <c r="N47" s="403"/>
      <c r="O47" s="403"/>
      <c r="P47" s="391">
        <v>2.0</v>
      </c>
      <c r="Q47" s="404"/>
      <c r="R47" s="404"/>
      <c r="S47" s="404"/>
      <c r="T47" s="404"/>
      <c r="U47" s="404"/>
      <c r="V47" s="404"/>
      <c r="W47" s="404"/>
    </row>
    <row r="48">
      <c r="A48" s="405" t="s">
        <v>7235</v>
      </c>
      <c r="B48" s="406" t="s">
        <v>7227</v>
      </c>
      <c r="C48" s="407"/>
      <c r="D48" s="407"/>
      <c r="E48" s="408"/>
      <c r="F48" s="408"/>
      <c r="G48" s="408"/>
      <c r="H48" s="408"/>
      <c r="I48" s="409">
        <v>2.0</v>
      </c>
      <c r="J48" s="408"/>
      <c r="K48" s="408"/>
      <c r="L48" s="408"/>
      <c r="M48" s="408"/>
      <c r="N48" s="408"/>
      <c r="O48" s="408"/>
      <c r="P48" s="409">
        <v>3.0</v>
      </c>
      <c r="Q48" s="408"/>
      <c r="R48" s="408"/>
      <c r="S48" s="408"/>
      <c r="T48" s="408"/>
      <c r="U48" s="408"/>
      <c r="V48" s="408"/>
      <c r="W48" s="408"/>
    </row>
    <row r="49">
      <c r="A49" s="269"/>
      <c r="B49" s="406" t="s">
        <v>7228</v>
      </c>
      <c r="C49" s="407"/>
      <c r="D49" s="407"/>
      <c r="E49" s="408"/>
      <c r="F49" s="408"/>
      <c r="G49" s="408"/>
      <c r="H49" s="408"/>
      <c r="I49" s="409">
        <v>6.0</v>
      </c>
      <c r="J49" s="408"/>
      <c r="K49" s="408"/>
      <c r="L49" s="408"/>
      <c r="M49" s="408"/>
      <c r="N49" s="408"/>
      <c r="O49" s="408"/>
      <c r="P49" s="409">
        <v>6.0</v>
      </c>
      <c r="Q49" s="408"/>
      <c r="R49" s="408"/>
      <c r="S49" s="408"/>
      <c r="T49" s="408"/>
      <c r="U49" s="408"/>
      <c r="V49" s="408"/>
      <c r="W49" s="408"/>
    </row>
    <row r="50">
      <c r="A50" s="410"/>
      <c r="B50" s="411" t="s">
        <v>7236</v>
      </c>
      <c r="C50" s="412">
        <v>3974.0</v>
      </c>
      <c r="D50" s="412">
        <v>4455.0</v>
      </c>
      <c r="E50" s="412">
        <v>5048.0</v>
      </c>
      <c r="F50" s="412">
        <v>5580.0</v>
      </c>
      <c r="G50" s="412">
        <v>6112.0</v>
      </c>
      <c r="H50" s="412">
        <v>6879.0</v>
      </c>
      <c r="I50" s="412">
        <v>7704.0</v>
      </c>
      <c r="J50" s="412">
        <v>6242.0</v>
      </c>
      <c r="K50" s="412">
        <v>6997.0</v>
      </c>
      <c r="L50" s="412">
        <v>7924.0</v>
      </c>
      <c r="M50" s="412">
        <v>8758.0</v>
      </c>
      <c r="N50" s="412">
        <v>9593.0</v>
      </c>
      <c r="O50" s="412">
        <v>10799.0</v>
      </c>
      <c r="P50" s="412">
        <v>12091.0</v>
      </c>
      <c r="Q50" s="412">
        <v>7750.0</v>
      </c>
      <c r="R50" s="412">
        <v>8690.0</v>
      </c>
      <c r="S50" s="412">
        <v>9840.0</v>
      </c>
      <c r="T50" s="412">
        <v>10875.0</v>
      </c>
      <c r="U50" s="412">
        <v>11913.0</v>
      </c>
      <c r="V50" s="412">
        <v>13411.0</v>
      </c>
      <c r="W50" s="412">
        <v>15019.0</v>
      </c>
    </row>
    <row r="51">
      <c r="A51" s="413"/>
      <c r="B51" s="414" t="s">
        <v>23</v>
      </c>
      <c r="C51" s="412">
        <f t="shared" ref="C51:W51" si="1">C50*0.16</f>
        <v>635.84</v>
      </c>
      <c r="D51" s="412">
        <f t="shared" si="1"/>
        <v>712.8</v>
      </c>
      <c r="E51" s="412">
        <f t="shared" si="1"/>
        <v>807.68</v>
      </c>
      <c r="F51" s="412">
        <f t="shared" si="1"/>
        <v>892.8</v>
      </c>
      <c r="G51" s="412">
        <f t="shared" si="1"/>
        <v>977.92</v>
      </c>
      <c r="H51" s="412">
        <f t="shared" si="1"/>
        <v>1100.64</v>
      </c>
      <c r="I51" s="412">
        <f t="shared" si="1"/>
        <v>1232.64</v>
      </c>
      <c r="J51" s="412">
        <f t="shared" si="1"/>
        <v>998.72</v>
      </c>
      <c r="K51" s="412">
        <f t="shared" si="1"/>
        <v>1119.52</v>
      </c>
      <c r="L51" s="412">
        <f t="shared" si="1"/>
        <v>1267.84</v>
      </c>
      <c r="M51" s="412">
        <f t="shared" si="1"/>
        <v>1401.28</v>
      </c>
      <c r="N51" s="412">
        <f t="shared" si="1"/>
        <v>1534.88</v>
      </c>
      <c r="O51" s="412">
        <f t="shared" si="1"/>
        <v>1727.84</v>
      </c>
      <c r="P51" s="412">
        <f t="shared" si="1"/>
        <v>1934.56</v>
      </c>
      <c r="Q51" s="412">
        <f t="shared" si="1"/>
        <v>1240</v>
      </c>
      <c r="R51" s="412">
        <f t="shared" si="1"/>
        <v>1390.4</v>
      </c>
      <c r="S51" s="412">
        <f t="shared" si="1"/>
        <v>1574.4</v>
      </c>
      <c r="T51" s="412">
        <f t="shared" si="1"/>
        <v>1740</v>
      </c>
      <c r="U51" s="412">
        <f t="shared" si="1"/>
        <v>1906.08</v>
      </c>
      <c r="V51" s="412">
        <f t="shared" si="1"/>
        <v>2145.76</v>
      </c>
      <c r="W51" s="412">
        <f t="shared" si="1"/>
        <v>2403.04</v>
      </c>
    </row>
    <row r="52">
      <c r="A52" s="382"/>
      <c r="B52" s="415" t="s">
        <v>24</v>
      </c>
      <c r="C52" s="416">
        <f t="shared" ref="C52:W52" si="2">C50+C51</f>
        <v>4609.84</v>
      </c>
      <c r="D52" s="416">
        <f t="shared" si="2"/>
        <v>5167.8</v>
      </c>
      <c r="E52" s="416">
        <f t="shared" si="2"/>
        <v>5855.68</v>
      </c>
      <c r="F52" s="416">
        <f t="shared" si="2"/>
        <v>6472.8</v>
      </c>
      <c r="G52" s="416">
        <f t="shared" si="2"/>
        <v>7089.92</v>
      </c>
      <c r="H52" s="416">
        <f t="shared" si="2"/>
        <v>7979.64</v>
      </c>
      <c r="I52" s="416">
        <f t="shared" si="2"/>
        <v>8936.64</v>
      </c>
      <c r="J52" s="416">
        <f t="shared" si="2"/>
        <v>7240.72</v>
      </c>
      <c r="K52" s="416">
        <f t="shared" si="2"/>
        <v>8116.52</v>
      </c>
      <c r="L52" s="416">
        <f t="shared" si="2"/>
        <v>9191.84</v>
      </c>
      <c r="M52" s="416">
        <f t="shared" si="2"/>
        <v>10159.28</v>
      </c>
      <c r="N52" s="416">
        <f t="shared" si="2"/>
        <v>11127.88</v>
      </c>
      <c r="O52" s="416">
        <f t="shared" si="2"/>
        <v>12526.84</v>
      </c>
      <c r="P52" s="416">
        <f t="shared" si="2"/>
        <v>14025.56</v>
      </c>
      <c r="Q52" s="416">
        <f t="shared" si="2"/>
        <v>8990</v>
      </c>
      <c r="R52" s="416">
        <f t="shared" si="2"/>
        <v>10080.4</v>
      </c>
      <c r="S52" s="416">
        <f t="shared" si="2"/>
        <v>11414.4</v>
      </c>
      <c r="T52" s="416">
        <f t="shared" si="2"/>
        <v>12615</v>
      </c>
      <c r="U52" s="416">
        <f t="shared" si="2"/>
        <v>13819.08</v>
      </c>
      <c r="V52" s="416">
        <f t="shared" si="2"/>
        <v>15556.76</v>
      </c>
      <c r="W52" s="416">
        <f t="shared" si="2"/>
        <v>17422.04</v>
      </c>
    </row>
    <row r="53">
      <c r="A53" s="382"/>
      <c r="B53" s="384"/>
      <c r="C53" s="384"/>
      <c r="D53" s="384"/>
      <c r="E53" s="384"/>
      <c r="F53" s="384"/>
      <c r="G53" s="384"/>
      <c r="H53" s="384"/>
      <c r="I53" s="384"/>
      <c r="J53" s="384"/>
      <c r="K53" s="384"/>
      <c r="L53" s="384"/>
      <c r="M53" s="384"/>
      <c r="N53" s="384"/>
      <c r="O53" s="384"/>
      <c r="P53" s="384"/>
      <c r="Q53" s="384"/>
      <c r="R53" s="384"/>
      <c r="S53" s="384"/>
      <c r="T53" s="384"/>
      <c r="U53" s="384"/>
      <c r="V53" s="384"/>
      <c r="W53" s="384"/>
    </row>
    <row r="54">
      <c r="A54" s="382"/>
      <c r="B54" s="417" t="s">
        <v>7237</v>
      </c>
      <c r="C54" s="418" t="s">
        <v>7238</v>
      </c>
      <c r="D54" s="419"/>
      <c r="E54" s="419"/>
      <c r="F54" s="419"/>
      <c r="G54" s="419"/>
      <c r="H54" s="419"/>
      <c r="I54" s="419"/>
      <c r="J54" s="419"/>
      <c r="K54" s="419"/>
      <c r="L54" s="419"/>
      <c r="M54" s="419"/>
      <c r="N54" s="419"/>
      <c r="O54" s="419"/>
      <c r="P54" s="419"/>
      <c r="Q54" s="419"/>
      <c r="R54" s="419"/>
      <c r="S54" s="419"/>
      <c r="T54" s="419"/>
      <c r="U54" s="419"/>
      <c r="V54" s="419"/>
      <c r="W54" s="420"/>
    </row>
    <row r="55">
      <c r="A55" s="382"/>
      <c r="B55" s="421"/>
      <c r="C55" s="422" t="s">
        <v>7239</v>
      </c>
      <c r="W55" s="423"/>
    </row>
    <row r="56">
      <c r="A56" s="382"/>
      <c r="B56" s="424"/>
      <c r="C56" s="422" t="s">
        <v>7240</v>
      </c>
      <c r="W56" s="423"/>
    </row>
    <row r="57">
      <c r="A57" s="382"/>
      <c r="B57" s="421"/>
      <c r="C57" s="400" t="s">
        <v>7241</v>
      </c>
      <c r="D57" s="252"/>
      <c r="E57" s="252"/>
      <c r="F57" s="252"/>
      <c r="G57" s="252"/>
      <c r="H57" s="252"/>
      <c r="I57" s="252"/>
      <c r="J57" s="252"/>
      <c r="K57" s="252"/>
      <c r="L57" s="252"/>
      <c r="M57" s="252"/>
      <c r="N57" s="252"/>
      <c r="O57" s="252"/>
      <c r="P57" s="252"/>
      <c r="Q57" s="252"/>
      <c r="R57" s="252"/>
      <c r="S57" s="252"/>
      <c r="T57" s="252"/>
      <c r="U57" s="252"/>
      <c r="V57" s="252"/>
      <c r="W57" s="425"/>
    </row>
    <row r="58">
      <c r="A58" s="382"/>
      <c r="B58" s="424"/>
      <c r="C58" s="424"/>
      <c r="D58" s="424"/>
      <c r="E58" s="424"/>
      <c r="F58" s="424"/>
      <c r="G58" s="424"/>
      <c r="H58" s="424"/>
      <c r="I58" s="424"/>
      <c r="J58" s="424"/>
      <c r="K58" s="424"/>
      <c r="L58" s="424"/>
      <c r="M58" s="424"/>
      <c r="N58" s="424"/>
      <c r="O58" s="424"/>
      <c r="P58" s="424"/>
      <c r="Q58" s="424"/>
      <c r="R58" s="424"/>
      <c r="S58" s="424"/>
      <c r="T58" s="424"/>
      <c r="U58" s="424"/>
      <c r="V58" s="424"/>
      <c r="W58" s="424"/>
    </row>
    <row r="59">
      <c r="A59" s="382"/>
      <c r="B59" s="426" t="s">
        <v>7242</v>
      </c>
      <c r="C59" s="427" t="s">
        <v>7243</v>
      </c>
      <c r="D59" s="419"/>
      <c r="E59" s="419"/>
      <c r="F59" s="419"/>
      <c r="G59" s="419"/>
      <c r="H59" s="419"/>
      <c r="I59" s="419"/>
      <c r="J59" s="419"/>
      <c r="K59" s="419"/>
      <c r="L59" s="419"/>
      <c r="M59" s="419"/>
      <c r="N59" s="419"/>
      <c r="O59" s="419"/>
      <c r="P59" s="419"/>
      <c r="Q59" s="419"/>
      <c r="R59" s="419"/>
      <c r="S59" s="419"/>
      <c r="T59" s="419"/>
      <c r="U59" s="419"/>
      <c r="V59" s="419"/>
      <c r="W59" s="420"/>
    </row>
    <row r="60">
      <c r="A60" s="382"/>
      <c r="B60" s="421"/>
      <c r="C60" s="422" t="s">
        <v>7244</v>
      </c>
      <c r="W60" s="423"/>
    </row>
    <row r="61">
      <c r="A61" s="382"/>
      <c r="B61" s="424"/>
      <c r="C61" s="422" t="s">
        <v>7245</v>
      </c>
      <c r="W61" s="423"/>
    </row>
    <row r="62">
      <c r="A62" s="382"/>
      <c r="B62" s="421"/>
      <c r="C62" s="428" t="s">
        <v>7246</v>
      </c>
      <c r="W62" s="423"/>
    </row>
    <row r="63">
      <c r="A63" s="382"/>
      <c r="B63" s="384"/>
      <c r="C63" s="428" t="s">
        <v>7247</v>
      </c>
      <c r="W63" s="423"/>
    </row>
    <row r="64">
      <c r="A64" s="382"/>
      <c r="B64" s="384"/>
      <c r="C64" s="428" t="s">
        <v>7248</v>
      </c>
      <c r="W64" s="423"/>
    </row>
    <row r="65">
      <c r="A65" s="382"/>
      <c r="B65" s="429"/>
      <c r="C65" s="430" t="s">
        <v>7249</v>
      </c>
      <c r="D65" s="252"/>
      <c r="E65" s="252"/>
      <c r="F65" s="252"/>
      <c r="G65" s="252"/>
      <c r="H65" s="252"/>
      <c r="I65" s="252"/>
      <c r="J65" s="252"/>
      <c r="K65" s="252"/>
      <c r="L65" s="252"/>
      <c r="M65" s="252"/>
      <c r="N65" s="252"/>
      <c r="O65" s="252"/>
      <c r="P65" s="252"/>
      <c r="Q65" s="252"/>
      <c r="R65" s="252"/>
      <c r="S65" s="252"/>
      <c r="T65" s="252"/>
      <c r="U65" s="252"/>
      <c r="V65" s="252"/>
      <c r="W65" s="425"/>
    </row>
    <row r="66" ht="24.75" customHeight="1">
      <c r="A66" s="382"/>
      <c r="B66" s="429"/>
      <c r="C66" s="431" t="s">
        <v>7250</v>
      </c>
    </row>
  </sheetData>
  <mergeCells count="38">
    <mergeCell ref="C2:I2"/>
    <mergeCell ref="J2:P2"/>
    <mergeCell ref="Q2:W2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C54:W54"/>
    <mergeCell ref="C55:W55"/>
    <mergeCell ref="C64:W64"/>
    <mergeCell ref="C65:W65"/>
    <mergeCell ref="C66:W66"/>
    <mergeCell ref="C56:W56"/>
    <mergeCell ref="C57:W57"/>
    <mergeCell ref="C59:W59"/>
    <mergeCell ref="C60:W60"/>
    <mergeCell ref="C61:W61"/>
    <mergeCell ref="C62:W62"/>
    <mergeCell ref="C63:W6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5.13" defaultRowHeight="15.0"/>
  <cols>
    <col customWidth="1" min="1" max="2" width="10.13"/>
    <col customWidth="1" min="3" max="3" width="49.5"/>
    <col customWidth="1" min="4" max="9" width="12.63"/>
  </cols>
  <sheetData>
    <row r="1">
      <c r="A1" s="432" t="s">
        <v>6975</v>
      </c>
    </row>
    <row r="2">
      <c r="A2" s="433"/>
      <c r="B2" s="434"/>
      <c r="C2" s="434"/>
      <c r="D2" s="435"/>
      <c r="E2" s="435"/>
      <c r="F2" s="435"/>
      <c r="G2" s="435"/>
      <c r="H2" s="435"/>
      <c r="I2" s="436"/>
    </row>
    <row r="3">
      <c r="A3" s="437" t="s">
        <v>7251</v>
      </c>
    </row>
    <row r="4">
      <c r="A4" s="437"/>
      <c r="B4" s="437"/>
      <c r="C4" s="437"/>
      <c r="D4" s="437"/>
      <c r="E4" s="437"/>
      <c r="F4" s="437"/>
      <c r="G4" s="437"/>
      <c r="H4" s="437"/>
      <c r="I4" s="437"/>
    </row>
    <row r="5">
      <c r="A5" s="438" t="s">
        <v>7252</v>
      </c>
      <c r="B5" s="13"/>
      <c r="C5" s="13"/>
      <c r="D5" s="13"/>
      <c r="E5" s="13"/>
      <c r="F5" s="13"/>
      <c r="G5" s="13"/>
      <c r="H5" s="13"/>
      <c r="I5" s="13"/>
    </row>
    <row r="6">
      <c r="A6" s="439" t="s">
        <v>13</v>
      </c>
      <c r="B6" s="440" t="s">
        <v>20</v>
      </c>
      <c r="C6" s="441" t="s">
        <v>7095</v>
      </c>
      <c r="D6" s="442" t="s">
        <v>7096</v>
      </c>
      <c r="E6" s="442" t="s">
        <v>7097</v>
      </c>
      <c r="F6" s="442" t="s">
        <v>7099</v>
      </c>
      <c r="G6" s="443" t="s">
        <v>7236</v>
      </c>
      <c r="H6" s="444" t="s">
        <v>23</v>
      </c>
      <c r="I6" s="445" t="s">
        <v>24</v>
      </c>
    </row>
    <row r="7">
      <c r="A7" s="446" t="s">
        <v>104</v>
      </c>
      <c r="B7" s="283"/>
      <c r="C7" s="283" t="s">
        <v>105</v>
      </c>
      <c r="D7" s="447"/>
      <c r="E7" s="447"/>
      <c r="F7" s="447"/>
      <c r="G7" s="447">
        <v>43134.0</v>
      </c>
      <c r="H7" s="448">
        <f t="shared" ref="H7:H34" si="1">G7*0.16</f>
        <v>6901.44</v>
      </c>
      <c r="I7" s="448">
        <f t="shared" ref="I7:I8" si="2">G7+H7</f>
        <v>50035.44</v>
      </c>
    </row>
    <row r="8">
      <c r="A8" s="449" t="s">
        <v>80</v>
      </c>
      <c r="B8" s="367"/>
      <c r="C8" s="367" t="s">
        <v>7253</v>
      </c>
      <c r="D8" s="450"/>
      <c r="E8" s="450"/>
      <c r="F8" s="450"/>
      <c r="G8" s="450">
        <v>7624.0</v>
      </c>
      <c r="H8" s="448">
        <f t="shared" si="1"/>
        <v>1219.84</v>
      </c>
      <c r="I8" s="448">
        <f t="shared" si="2"/>
        <v>8843.84</v>
      </c>
    </row>
    <row r="9">
      <c r="A9" s="449" t="s">
        <v>82</v>
      </c>
      <c r="B9" s="367"/>
      <c r="C9" s="367" t="s">
        <v>7254</v>
      </c>
      <c r="D9" s="450"/>
      <c r="E9" s="450"/>
      <c r="F9" s="450"/>
      <c r="G9" s="450">
        <v>8331.0</v>
      </c>
      <c r="H9" s="448">
        <f t="shared" si="1"/>
        <v>1332.96</v>
      </c>
      <c r="I9" s="447" t="s">
        <v>7255</v>
      </c>
    </row>
    <row r="10">
      <c r="A10" s="449" t="s">
        <v>703</v>
      </c>
      <c r="B10" s="367"/>
      <c r="C10" s="367" t="s">
        <v>7256</v>
      </c>
      <c r="D10" s="451">
        <v>44950.0</v>
      </c>
      <c r="E10" s="450" t="s">
        <v>7257</v>
      </c>
      <c r="F10" s="450" t="s">
        <v>7258</v>
      </c>
      <c r="G10" s="450">
        <v>24500.0</v>
      </c>
      <c r="H10" s="448">
        <f t="shared" si="1"/>
        <v>3920</v>
      </c>
      <c r="I10" s="448">
        <f t="shared" ref="I10:I34" si="3">G10+H10</f>
        <v>28420</v>
      </c>
    </row>
    <row r="11">
      <c r="A11" s="449" t="s">
        <v>112</v>
      </c>
      <c r="B11" s="367"/>
      <c r="C11" s="367" t="s">
        <v>7259</v>
      </c>
      <c r="D11" s="450"/>
      <c r="E11" s="450"/>
      <c r="F11" s="450"/>
      <c r="G11" s="450">
        <v>21867.0</v>
      </c>
      <c r="H11" s="448">
        <f t="shared" si="1"/>
        <v>3498.72</v>
      </c>
      <c r="I11" s="448">
        <f t="shared" si="3"/>
        <v>25365.72</v>
      </c>
    </row>
    <row r="12">
      <c r="A12" s="449" t="s">
        <v>114</v>
      </c>
      <c r="B12" s="367"/>
      <c r="C12" s="367" t="s">
        <v>7260</v>
      </c>
      <c r="D12" s="450"/>
      <c r="E12" s="450"/>
      <c r="F12" s="450"/>
      <c r="G12" s="450">
        <v>17619.0</v>
      </c>
      <c r="H12" s="448">
        <f t="shared" si="1"/>
        <v>2819.04</v>
      </c>
      <c r="I12" s="448">
        <f t="shared" si="3"/>
        <v>20438.04</v>
      </c>
    </row>
    <row r="13">
      <c r="A13" s="449" t="s">
        <v>7180</v>
      </c>
      <c r="B13" s="367"/>
      <c r="C13" s="367" t="s">
        <v>7261</v>
      </c>
      <c r="D13" s="451">
        <v>45008.0</v>
      </c>
      <c r="E13" s="450" t="s">
        <v>7262</v>
      </c>
      <c r="F13" s="450" t="s">
        <v>7263</v>
      </c>
      <c r="G13" s="450">
        <v>41693.0</v>
      </c>
      <c r="H13" s="448">
        <f t="shared" si="1"/>
        <v>6670.88</v>
      </c>
      <c r="I13" s="448">
        <f t="shared" si="3"/>
        <v>48363.88</v>
      </c>
    </row>
    <row r="14">
      <c r="A14" s="449" t="s">
        <v>110</v>
      </c>
      <c r="B14" s="367"/>
      <c r="C14" s="367" t="s">
        <v>7264</v>
      </c>
      <c r="D14" s="450"/>
      <c r="E14" s="450"/>
      <c r="F14" s="450"/>
      <c r="G14" s="450">
        <v>62257.0</v>
      </c>
      <c r="H14" s="448">
        <f t="shared" si="1"/>
        <v>9961.12</v>
      </c>
      <c r="I14" s="448">
        <f t="shared" si="3"/>
        <v>72218.12</v>
      </c>
    </row>
    <row r="15">
      <c r="A15" s="449" t="s">
        <v>1109</v>
      </c>
      <c r="B15" s="367"/>
      <c r="C15" s="367" t="s">
        <v>7265</v>
      </c>
      <c r="D15" s="450"/>
      <c r="E15" s="450"/>
      <c r="F15" s="450"/>
      <c r="G15" s="450">
        <v>401024.0</v>
      </c>
      <c r="H15" s="448">
        <f t="shared" si="1"/>
        <v>64163.84</v>
      </c>
      <c r="I15" s="448">
        <f t="shared" si="3"/>
        <v>465187.84</v>
      </c>
    </row>
    <row r="16" ht="53.25" customHeight="1">
      <c r="A16" s="449" t="s">
        <v>1126</v>
      </c>
      <c r="B16" s="367"/>
      <c r="C16" s="367" t="s">
        <v>7266</v>
      </c>
      <c r="D16" s="452"/>
      <c r="E16" s="452"/>
      <c r="F16" s="452"/>
      <c r="G16" s="452">
        <v>28254.0</v>
      </c>
      <c r="H16" s="448">
        <f t="shared" si="1"/>
        <v>4520.64</v>
      </c>
      <c r="I16" s="448">
        <f t="shared" si="3"/>
        <v>32774.64</v>
      </c>
    </row>
    <row r="17" ht="55.5" customHeight="1">
      <c r="A17" s="449" t="s">
        <v>1128</v>
      </c>
      <c r="B17" s="367"/>
      <c r="C17" s="367" t="s">
        <v>7267</v>
      </c>
      <c r="D17" s="452"/>
      <c r="E17" s="452"/>
      <c r="F17" s="452"/>
      <c r="G17" s="452">
        <v>33858.0</v>
      </c>
      <c r="H17" s="448">
        <f t="shared" si="1"/>
        <v>5417.28</v>
      </c>
      <c r="I17" s="448">
        <f t="shared" si="3"/>
        <v>39275.28</v>
      </c>
    </row>
    <row r="18" ht="27.75" customHeight="1">
      <c r="A18" s="449" t="s">
        <v>1227</v>
      </c>
      <c r="B18" s="367"/>
      <c r="C18" s="367" t="s">
        <v>7268</v>
      </c>
      <c r="D18" s="450"/>
      <c r="E18" s="450"/>
      <c r="F18" s="450"/>
      <c r="G18" s="450">
        <v>14472.0</v>
      </c>
      <c r="H18" s="448">
        <f t="shared" si="1"/>
        <v>2315.52</v>
      </c>
      <c r="I18" s="448">
        <f t="shared" si="3"/>
        <v>16787.52</v>
      </c>
    </row>
    <row r="19" ht="36.75" customHeight="1">
      <c r="A19" s="449" t="s">
        <v>1629</v>
      </c>
      <c r="B19" s="367"/>
      <c r="C19" s="367" t="s">
        <v>7269</v>
      </c>
      <c r="D19" s="450"/>
      <c r="E19" s="450"/>
      <c r="F19" s="450"/>
      <c r="G19" s="450">
        <v>37900.0</v>
      </c>
      <c r="H19" s="448">
        <f t="shared" si="1"/>
        <v>6064</v>
      </c>
      <c r="I19" s="448">
        <f t="shared" si="3"/>
        <v>43964</v>
      </c>
    </row>
    <row r="20">
      <c r="A20" s="449" t="s">
        <v>1686</v>
      </c>
      <c r="B20" s="367"/>
      <c r="C20" s="367" t="s">
        <v>7270</v>
      </c>
      <c r="D20" s="450"/>
      <c r="E20" s="450"/>
      <c r="F20" s="450"/>
      <c r="G20" s="450">
        <v>19980.0</v>
      </c>
      <c r="H20" s="448">
        <f t="shared" si="1"/>
        <v>3196.8</v>
      </c>
      <c r="I20" s="448">
        <f t="shared" si="3"/>
        <v>23176.8</v>
      </c>
    </row>
    <row r="21">
      <c r="A21" s="449" t="s">
        <v>2273</v>
      </c>
      <c r="B21" s="453"/>
      <c r="C21" s="453" t="s">
        <v>7271</v>
      </c>
      <c r="D21" s="454"/>
      <c r="E21" s="454"/>
      <c r="F21" s="454"/>
      <c r="G21" s="448">
        <v>383896.0</v>
      </c>
      <c r="H21" s="448">
        <f t="shared" si="1"/>
        <v>61423.36</v>
      </c>
      <c r="I21" s="448">
        <f t="shared" si="3"/>
        <v>445319.36</v>
      </c>
    </row>
    <row r="22">
      <c r="A22" s="449" t="s">
        <v>2660</v>
      </c>
      <c r="B22" s="367"/>
      <c r="C22" s="367" t="s">
        <v>2661</v>
      </c>
      <c r="D22" s="450"/>
      <c r="E22" s="450"/>
      <c r="F22" s="450"/>
      <c r="G22" s="450">
        <v>22197.0</v>
      </c>
      <c r="H22" s="448">
        <f t="shared" si="1"/>
        <v>3551.52</v>
      </c>
      <c r="I22" s="448">
        <f t="shared" si="3"/>
        <v>25748.52</v>
      </c>
    </row>
    <row r="23">
      <c r="A23" s="449" t="s">
        <v>3925</v>
      </c>
      <c r="B23" s="367"/>
      <c r="C23" s="367" t="s">
        <v>7272</v>
      </c>
      <c r="D23" s="452"/>
      <c r="E23" s="452"/>
      <c r="F23" s="452"/>
      <c r="G23" s="452">
        <v>432450.0</v>
      </c>
      <c r="H23" s="448">
        <f t="shared" si="1"/>
        <v>69192</v>
      </c>
      <c r="I23" s="448">
        <f t="shared" si="3"/>
        <v>501642</v>
      </c>
    </row>
    <row r="24">
      <c r="A24" s="449" t="s">
        <v>4009</v>
      </c>
      <c r="B24" s="367"/>
      <c r="C24" s="367" t="s">
        <v>7273</v>
      </c>
      <c r="D24" s="452"/>
      <c r="E24" s="452"/>
      <c r="F24" s="452"/>
      <c r="G24" s="452">
        <v>137323.0</v>
      </c>
      <c r="H24" s="448">
        <f t="shared" si="1"/>
        <v>21971.68</v>
      </c>
      <c r="I24" s="448">
        <f t="shared" si="3"/>
        <v>159294.68</v>
      </c>
    </row>
    <row r="25">
      <c r="A25" s="449" t="s">
        <v>3941</v>
      </c>
      <c r="B25" s="367"/>
      <c r="C25" s="367" t="s">
        <v>7274</v>
      </c>
      <c r="D25" s="452"/>
      <c r="E25" s="452"/>
      <c r="F25" s="452"/>
      <c r="G25" s="452">
        <v>184331.0</v>
      </c>
      <c r="H25" s="448">
        <f t="shared" si="1"/>
        <v>29492.96</v>
      </c>
      <c r="I25" s="448">
        <f t="shared" si="3"/>
        <v>213823.96</v>
      </c>
    </row>
    <row r="26">
      <c r="A26" s="449" t="s">
        <v>4192</v>
      </c>
      <c r="B26" s="367"/>
      <c r="C26" s="367" t="s">
        <v>7275</v>
      </c>
      <c r="D26" s="452"/>
      <c r="E26" s="452"/>
      <c r="F26" s="452"/>
      <c r="G26" s="452">
        <v>54302.0</v>
      </c>
      <c r="H26" s="448">
        <f t="shared" si="1"/>
        <v>8688.32</v>
      </c>
      <c r="I26" s="448">
        <f t="shared" si="3"/>
        <v>62990.32</v>
      </c>
    </row>
    <row r="27">
      <c r="A27" s="449" t="s">
        <v>4303</v>
      </c>
      <c r="B27" s="367"/>
      <c r="C27" s="367" t="s">
        <v>7276</v>
      </c>
      <c r="D27" s="452"/>
      <c r="E27" s="452"/>
      <c r="F27" s="452"/>
      <c r="G27" s="452">
        <v>55633.0</v>
      </c>
      <c r="H27" s="448">
        <f t="shared" si="1"/>
        <v>8901.28</v>
      </c>
      <c r="I27" s="448">
        <f t="shared" si="3"/>
        <v>64534.28</v>
      </c>
    </row>
    <row r="28">
      <c r="A28" s="449" t="s">
        <v>4305</v>
      </c>
      <c r="B28" s="367"/>
      <c r="C28" s="367" t="s">
        <v>7277</v>
      </c>
      <c r="D28" s="452"/>
      <c r="E28" s="452"/>
      <c r="F28" s="452"/>
      <c r="G28" s="452">
        <v>106048.0</v>
      </c>
      <c r="H28" s="448">
        <f t="shared" si="1"/>
        <v>16967.68</v>
      </c>
      <c r="I28" s="448">
        <f t="shared" si="3"/>
        <v>123015.68</v>
      </c>
    </row>
    <row r="29">
      <c r="A29" s="449" t="s">
        <v>4492</v>
      </c>
      <c r="B29" s="367"/>
      <c r="C29" s="367" t="s">
        <v>7278</v>
      </c>
      <c r="D29" s="452"/>
      <c r="E29" s="452"/>
      <c r="F29" s="452"/>
      <c r="G29" s="452">
        <v>451467.0</v>
      </c>
      <c r="H29" s="448">
        <f t="shared" si="1"/>
        <v>72234.72</v>
      </c>
      <c r="I29" s="448">
        <f t="shared" si="3"/>
        <v>523701.72</v>
      </c>
    </row>
    <row r="30">
      <c r="A30" s="446" t="s">
        <v>4536</v>
      </c>
      <c r="B30" s="283"/>
      <c r="C30" s="283" t="s">
        <v>7279</v>
      </c>
      <c r="D30" s="447"/>
      <c r="E30" s="447"/>
      <c r="F30" s="447"/>
      <c r="G30" s="447">
        <v>34282.0</v>
      </c>
      <c r="H30" s="448">
        <f t="shared" si="1"/>
        <v>5485.12</v>
      </c>
      <c r="I30" s="448">
        <f t="shared" si="3"/>
        <v>39767.12</v>
      </c>
    </row>
    <row r="31">
      <c r="A31" s="455" t="s">
        <v>6637</v>
      </c>
      <c r="B31" s="283"/>
      <c r="C31" s="283" t="s">
        <v>7280</v>
      </c>
      <c r="D31" s="447"/>
      <c r="E31" s="447"/>
      <c r="F31" s="447"/>
      <c r="G31" s="447">
        <v>25100.0</v>
      </c>
      <c r="H31" s="448">
        <f t="shared" si="1"/>
        <v>4016</v>
      </c>
      <c r="I31" s="448">
        <f t="shared" si="3"/>
        <v>29116</v>
      </c>
    </row>
    <row r="32">
      <c r="A32" s="446" t="s">
        <v>6631</v>
      </c>
      <c r="B32" s="283"/>
      <c r="C32" s="283" t="s">
        <v>7281</v>
      </c>
      <c r="D32" s="447"/>
      <c r="E32" s="447"/>
      <c r="F32" s="447"/>
      <c r="G32" s="447">
        <v>25640.0</v>
      </c>
      <c r="H32" s="448">
        <f t="shared" si="1"/>
        <v>4102.4</v>
      </c>
      <c r="I32" s="448">
        <f t="shared" si="3"/>
        <v>29742.4</v>
      </c>
    </row>
    <row r="33">
      <c r="A33" s="446" t="s">
        <v>6627</v>
      </c>
      <c r="B33" s="283"/>
      <c r="C33" s="283" t="s">
        <v>7282</v>
      </c>
      <c r="D33" s="447"/>
      <c r="E33" s="447"/>
      <c r="F33" s="447"/>
      <c r="G33" s="447">
        <v>15380.0</v>
      </c>
      <c r="H33" s="448">
        <f t="shared" si="1"/>
        <v>2460.8</v>
      </c>
      <c r="I33" s="448">
        <f t="shared" si="3"/>
        <v>17840.8</v>
      </c>
    </row>
    <row r="34">
      <c r="A34" s="446" t="s">
        <v>6633</v>
      </c>
      <c r="B34" s="283"/>
      <c r="C34" s="283" t="s">
        <v>7283</v>
      </c>
      <c r="D34" s="447"/>
      <c r="E34" s="447"/>
      <c r="F34" s="447"/>
      <c r="G34" s="447">
        <v>15380.0</v>
      </c>
      <c r="H34" s="448">
        <f t="shared" si="1"/>
        <v>2460.8</v>
      </c>
      <c r="I34" s="448">
        <f t="shared" si="3"/>
        <v>17840.8</v>
      </c>
    </row>
    <row r="35">
      <c r="A35" s="456"/>
      <c r="B35" s="457"/>
      <c r="C35" s="457"/>
      <c r="D35" s="458"/>
      <c r="E35" s="458"/>
      <c r="F35" s="458"/>
      <c r="G35" s="458"/>
      <c r="H35" s="458"/>
      <c r="I35" s="458"/>
    </row>
    <row r="36">
      <c r="A36" s="459"/>
      <c r="B36" s="460"/>
      <c r="C36" s="460"/>
      <c r="D36" s="454"/>
      <c r="E36" s="454"/>
      <c r="F36" s="454"/>
      <c r="G36" s="454"/>
      <c r="H36" s="454"/>
      <c r="I36" s="454"/>
    </row>
    <row r="37">
      <c r="A37" s="461" t="s">
        <v>7284</v>
      </c>
      <c r="B37" s="462"/>
      <c r="C37" s="462"/>
      <c r="D37" s="463"/>
      <c r="E37" s="463"/>
      <c r="F37" s="463"/>
      <c r="G37" s="463"/>
      <c r="H37" s="463"/>
      <c r="I37" s="464"/>
    </row>
    <row r="38">
      <c r="A38" s="465" t="s">
        <v>2369</v>
      </c>
      <c r="B38" s="466"/>
      <c r="C38" s="466" t="s">
        <v>7285</v>
      </c>
      <c r="D38" s="467"/>
      <c r="E38" s="467"/>
      <c r="F38" s="467"/>
      <c r="G38" s="467">
        <v>55780.0</v>
      </c>
      <c r="H38" s="448">
        <f t="shared" ref="H38:H63" si="4">G38*0.16</f>
        <v>8924.8</v>
      </c>
      <c r="I38" s="448">
        <f t="shared" ref="I38:I63" si="5">G38+H38</f>
        <v>64704.8</v>
      </c>
    </row>
    <row r="39">
      <c r="A39" s="446" t="s">
        <v>782</v>
      </c>
      <c r="B39" s="283"/>
      <c r="C39" s="283" t="s">
        <v>7286</v>
      </c>
      <c r="D39" s="448"/>
      <c r="E39" s="448"/>
      <c r="F39" s="448"/>
      <c r="G39" s="448">
        <v>46960.0</v>
      </c>
      <c r="H39" s="448">
        <f t="shared" si="4"/>
        <v>7513.6</v>
      </c>
      <c r="I39" s="448">
        <f t="shared" si="5"/>
        <v>54473.6</v>
      </c>
    </row>
    <row r="40">
      <c r="A40" s="446" t="s">
        <v>4538</v>
      </c>
      <c r="B40" s="283"/>
      <c r="C40" s="283" t="s">
        <v>7287</v>
      </c>
      <c r="D40" s="448"/>
      <c r="E40" s="448"/>
      <c r="F40" s="448"/>
      <c r="G40" s="448">
        <v>463200.0</v>
      </c>
      <c r="H40" s="448">
        <f t="shared" si="4"/>
        <v>74112</v>
      </c>
      <c r="I40" s="448">
        <f t="shared" si="5"/>
        <v>537312</v>
      </c>
    </row>
    <row r="41">
      <c r="A41" s="446" t="s">
        <v>4140</v>
      </c>
      <c r="B41" s="283"/>
      <c r="C41" s="283" t="s">
        <v>7288</v>
      </c>
      <c r="D41" s="448"/>
      <c r="E41" s="448"/>
      <c r="F41" s="448"/>
      <c r="G41" s="448">
        <v>205936.0</v>
      </c>
      <c r="H41" s="448">
        <f t="shared" si="4"/>
        <v>32949.76</v>
      </c>
      <c r="I41" s="448">
        <f t="shared" si="5"/>
        <v>238885.76</v>
      </c>
    </row>
    <row r="42">
      <c r="A42" s="446" t="s">
        <v>106</v>
      </c>
      <c r="B42" s="283"/>
      <c r="C42" s="283" t="s">
        <v>107</v>
      </c>
      <c r="D42" s="448"/>
      <c r="E42" s="448"/>
      <c r="F42" s="448"/>
      <c r="G42" s="448">
        <v>280426.0</v>
      </c>
      <c r="H42" s="448">
        <f t="shared" si="4"/>
        <v>44868.16</v>
      </c>
      <c r="I42" s="448">
        <f t="shared" si="5"/>
        <v>325294.16</v>
      </c>
    </row>
    <row r="43">
      <c r="A43" s="446" t="s">
        <v>3933</v>
      </c>
      <c r="B43" s="283"/>
      <c r="C43" s="283" t="s">
        <v>7289</v>
      </c>
      <c r="D43" s="448"/>
      <c r="E43" s="448"/>
      <c r="F43" s="448"/>
      <c r="G43" s="448">
        <v>1066820.0</v>
      </c>
      <c r="H43" s="448">
        <f t="shared" si="4"/>
        <v>170691.2</v>
      </c>
      <c r="I43" s="448">
        <f t="shared" si="5"/>
        <v>1237511.2</v>
      </c>
    </row>
    <row r="44">
      <c r="A44" s="446" t="s">
        <v>6625</v>
      </c>
      <c r="B44" s="283"/>
      <c r="C44" s="283" t="s">
        <v>7290</v>
      </c>
      <c r="D44" s="448"/>
      <c r="E44" s="448"/>
      <c r="F44" s="448"/>
      <c r="G44" s="448">
        <v>63220.0</v>
      </c>
      <c r="H44" s="448">
        <f t="shared" si="4"/>
        <v>10115.2</v>
      </c>
      <c r="I44" s="448">
        <f t="shared" si="5"/>
        <v>73335.2</v>
      </c>
    </row>
    <row r="45">
      <c r="A45" s="446" t="s">
        <v>2269</v>
      </c>
      <c r="B45" s="283"/>
      <c r="C45" s="283" t="s">
        <v>2270</v>
      </c>
      <c r="D45" s="448"/>
      <c r="E45" s="448"/>
      <c r="F45" s="448"/>
      <c r="G45" s="448">
        <v>997870.0</v>
      </c>
      <c r="H45" s="448">
        <f t="shared" si="4"/>
        <v>159659.2</v>
      </c>
      <c r="I45" s="448">
        <f t="shared" si="5"/>
        <v>1157529.2</v>
      </c>
    </row>
    <row r="46">
      <c r="A46" s="446" t="s">
        <v>6639</v>
      </c>
      <c r="B46" s="283"/>
      <c r="C46" s="283" t="s">
        <v>7291</v>
      </c>
      <c r="D46" s="448"/>
      <c r="E46" s="448"/>
      <c r="F46" s="448"/>
      <c r="G46" s="448">
        <v>52660.0</v>
      </c>
      <c r="H46" s="448">
        <f t="shared" si="4"/>
        <v>8425.6</v>
      </c>
      <c r="I46" s="448">
        <f t="shared" si="5"/>
        <v>61085.6</v>
      </c>
    </row>
    <row r="47">
      <c r="A47" s="446" t="s">
        <v>2432</v>
      </c>
      <c r="B47" s="283"/>
      <c r="C47" s="283" t="s">
        <v>7292</v>
      </c>
      <c r="D47" s="448"/>
      <c r="E47" s="448"/>
      <c r="F47" s="448"/>
      <c r="G47" s="448">
        <v>254040.0</v>
      </c>
      <c r="H47" s="448">
        <f t="shared" si="4"/>
        <v>40646.4</v>
      </c>
      <c r="I47" s="448">
        <f t="shared" si="5"/>
        <v>294686.4</v>
      </c>
    </row>
    <row r="48">
      <c r="A48" s="446" t="s">
        <v>6629</v>
      </c>
      <c r="B48" s="283"/>
      <c r="C48" s="283" t="s">
        <v>7293</v>
      </c>
      <c r="D48" s="448"/>
      <c r="E48" s="448"/>
      <c r="F48" s="448"/>
      <c r="G48" s="448">
        <v>52660.0</v>
      </c>
      <c r="H48" s="448">
        <f t="shared" si="4"/>
        <v>8425.6</v>
      </c>
      <c r="I48" s="448">
        <f t="shared" si="5"/>
        <v>61085.6</v>
      </c>
    </row>
    <row r="49">
      <c r="A49" s="446" t="s">
        <v>6635</v>
      </c>
      <c r="B49" s="283"/>
      <c r="C49" s="283" t="s">
        <v>7294</v>
      </c>
      <c r="D49" s="448"/>
      <c r="E49" s="448"/>
      <c r="F49" s="448"/>
      <c r="G49" s="448">
        <v>67120.0</v>
      </c>
      <c r="H49" s="448">
        <f t="shared" si="4"/>
        <v>10739.2</v>
      </c>
      <c r="I49" s="448">
        <f t="shared" si="5"/>
        <v>77859.2</v>
      </c>
    </row>
    <row r="50">
      <c r="A50" s="446" t="s">
        <v>2909</v>
      </c>
      <c r="B50" s="283"/>
      <c r="C50" s="283" t="s">
        <v>2910</v>
      </c>
      <c r="D50" s="448"/>
      <c r="E50" s="448"/>
      <c r="F50" s="448"/>
      <c r="G50" s="448">
        <v>499350.0</v>
      </c>
      <c r="H50" s="448">
        <f t="shared" si="4"/>
        <v>79896</v>
      </c>
      <c r="I50" s="448">
        <f t="shared" si="5"/>
        <v>579246</v>
      </c>
    </row>
    <row r="51">
      <c r="A51" s="446" t="s">
        <v>2626</v>
      </c>
      <c r="B51" s="283"/>
      <c r="C51" s="283" t="s">
        <v>7295</v>
      </c>
      <c r="D51" s="448"/>
      <c r="E51" s="448"/>
      <c r="F51" s="448"/>
      <c r="G51" s="448">
        <v>195200.0</v>
      </c>
      <c r="H51" s="448">
        <f t="shared" si="4"/>
        <v>31232</v>
      </c>
      <c r="I51" s="448">
        <f t="shared" si="5"/>
        <v>226432</v>
      </c>
    </row>
    <row r="52">
      <c r="A52" s="446" t="s">
        <v>5940</v>
      </c>
      <c r="B52" s="283"/>
      <c r="C52" s="283" t="s">
        <v>5941</v>
      </c>
      <c r="D52" s="448"/>
      <c r="E52" s="448"/>
      <c r="F52" s="448"/>
      <c r="G52" s="448">
        <v>110880.0</v>
      </c>
      <c r="H52" s="448">
        <f t="shared" si="4"/>
        <v>17740.8</v>
      </c>
      <c r="I52" s="448">
        <f t="shared" si="5"/>
        <v>128620.8</v>
      </c>
    </row>
    <row r="53">
      <c r="A53" s="446" t="s">
        <v>2363</v>
      </c>
      <c r="B53" s="283"/>
      <c r="C53" s="283" t="s">
        <v>7296</v>
      </c>
      <c r="D53" s="448"/>
      <c r="E53" s="448"/>
      <c r="F53" s="448"/>
      <c r="G53" s="448">
        <v>215390.0</v>
      </c>
      <c r="H53" s="448">
        <f t="shared" si="4"/>
        <v>34462.4</v>
      </c>
      <c r="I53" s="448">
        <f t="shared" si="5"/>
        <v>249852.4</v>
      </c>
    </row>
    <row r="54">
      <c r="A54" s="446" t="s">
        <v>2463</v>
      </c>
      <c r="B54" s="283"/>
      <c r="C54" s="283" t="s">
        <v>7297</v>
      </c>
      <c r="D54" s="448"/>
      <c r="E54" s="448"/>
      <c r="F54" s="448"/>
      <c r="G54" s="448">
        <v>398900.0</v>
      </c>
      <c r="H54" s="448">
        <f t="shared" si="4"/>
        <v>63824</v>
      </c>
      <c r="I54" s="448">
        <f t="shared" si="5"/>
        <v>462724</v>
      </c>
    </row>
    <row r="55">
      <c r="A55" s="446" t="s">
        <v>104</v>
      </c>
      <c r="B55" s="283"/>
      <c r="C55" s="283" t="s">
        <v>7298</v>
      </c>
      <c r="D55" s="448"/>
      <c r="E55" s="448"/>
      <c r="F55" s="448"/>
      <c r="G55" s="448">
        <v>71780.0</v>
      </c>
      <c r="H55" s="448">
        <f t="shared" si="4"/>
        <v>11484.8</v>
      </c>
      <c r="I55" s="448">
        <f t="shared" si="5"/>
        <v>83264.8</v>
      </c>
    </row>
    <row r="56">
      <c r="A56" s="446" t="s">
        <v>2911</v>
      </c>
      <c r="B56" s="283"/>
      <c r="C56" s="283" t="s">
        <v>7299</v>
      </c>
      <c r="D56" s="448"/>
      <c r="E56" s="448"/>
      <c r="F56" s="448"/>
      <c r="G56" s="448">
        <v>381300.0</v>
      </c>
      <c r="H56" s="448">
        <f t="shared" si="4"/>
        <v>61008</v>
      </c>
      <c r="I56" s="448">
        <f t="shared" si="5"/>
        <v>442308</v>
      </c>
    </row>
    <row r="57">
      <c r="A57" s="446" t="s">
        <v>2436</v>
      </c>
      <c r="B57" s="283"/>
      <c r="C57" s="283" t="s">
        <v>7300</v>
      </c>
      <c r="D57" s="448"/>
      <c r="E57" s="448"/>
      <c r="F57" s="448"/>
      <c r="G57" s="448">
        <v>287560.0</v>
      </c>
      <c r="H57" s="448">
        <f t="shared" si="4"/>
        <v>46009.6</v>
      </c>
      <c r="I57" s="448">
        <f t="shared" si="5"/>
        <v>333569.6</v>
      </c>
    </row>
    <row r="58">
      <c r="A58" s="446" t="s">
        <v>2438</v>
      </c>
      <c r="B58" s="283"/>
      <c r="C58" s="283" t="s">
        <v>7301</v>
      </c>
      <c r="D58" s="448"/>
      <c r="E58" s="448"/>
      <c r="F58" s="448"/>
      <c r="G58" s="448">
        <v>259600.0</v>
      </c>
      <c r="H58" s="448">
        <f t="shared" si="4"/>
        <v>41536</v>
      </c>
      <c r="I58" s="448">
        <f t="shared" si="5"/>
        <v>301136</v>
      </c>
    </row>
    <row r="59">
      <c r="A59" s="446" t="s">
        <v>3931</v>
      </c>
      <c r="B59" s="283"/>
      <c r="C59" s="283" t="s">
        <v>7302</v>
      </c>
      <c r="D59" s="448"/>
      <c r="E59" s="448"/>
      <c r="F59" s="448"/>
      <c r="G59" s="448">
        <f>19941*19.5</f>
        <v>388849.5</v>
      </c>
      <c r="H59" s="448">
        <f t="shared" si="4"/>
        <v>62215.92</v>
      </c>
      <c r="I59" s="448">
        <f t="shared" si="5"/>
        <v>451065.42</v>
      </c>
    </row>
    <row r="60">
      <c r="A60" s="446" t="s">
        <v>2146</v>
      </c>
      <c r="B60" s="283"/>
      <c r="C60" s="283" t="s">
        <v>7303</v>
      </c>
      <c r="D60" s="448"/>
      <c r="E60" s="448"/>
      <c r="F60" s="448"/>
      <c r="G60" s="448">
        <f>6854*19.5</f>
        <v>133653</v>
      </c>
      <c r="H60" s="448">
        <f t="shared" si="4"/>
        <v>21384.48</v>
      </c>
      <c r="I60" s="448">
        <f t="shared" si="5"/>
        <v>155037.48</v>
      </c>
    </row>
    <row r="61">
      <c r="A61" s="446" t="s">
        <v>180</v>
      </c>
      <c r="B61" s="283"/>
      <c r="C61" s="283" t="s">
        <v>7304</v>
      </c>
      <c r="D61" s="448"/>
      <c r="E61" s="448"/>
      <c r="F61" s="448"/>
      <c r="G61" s="448">
        <f>2188*19.5</f>
        <v>42666</v>
      </c>
      <c r="H61" s="448">
        <f t="shared" si="4"/>
        <v>6826.56</v>
      </c>
      <c r="I61" s="448">
        <f t="shared" si="5"/>
        <v>49492.56</v>
      </c>
    </row>
    <row r="62">
      <c r="A62" s="446" t="s">
        <v>2461</v>
      </c>
      <c r="B62" s="283"/>
      <c r="C62" s="283" t="s">
        <v>7305</v>
      </c>
      <c r="D62" s="448"/>
      <c r="E62" s="448"/>
      <c r="F62" s="448"/>
      <c r="G62" s="448">
        <f>7190*19.5</f>
        <v>140205</v>
      </c>
      <c r="H62" s="448">
        <f t="shared" si="4"/>
        <v>22432.8</v>
      </c>
      <c r="I62" s="448">
        <f t="shared" si="5"/>
        <v>162637.8</v>
      </c>
    </row>
    <row r="63">
      <c r="A63" s="446" t="s">
        <v>601</v>
      </c>
      <c r="B63" s="283"/>
      <c r="C63" s="283" t="s">
        <v>602</v>
      </c>
      <c r="D63" s="448"/>
      <c r="E63" s="448"/>
      <c r="F63" s="448"/>
      <c r="G63" s="448">
        <f>268.85*19.5</f>
        <v>5242.575</v>
      </c>
      <c r="H63" s="448">
        <f t="shared" si="4"/>
        <v>838.812</v>
      </c>
      <c r="I63" s="448">
        <f t="shared" si="5"/>
        <v>6081.387</v>
      </c>
    </row>
    <row r="64">
      <c r="A64" s="446"/>
      <c r="B64" s="283"/>
      <c r="C64" s="283"/>
      <c r="D64" s="448"/>
      <c r="E64" s="448"/>
      <c r="F64" s="448"/>
      <c r="G64" s="448"/>
      <c r="H64" s="448"/>
      <c r="I64" s="448"/>
    </row>
    <row r="65">
      <c r="A65" s="446"/>
      <c r="B65" s="283"/>
      <c r="C65" s="283"/>
      <c r="D65" s="448"/>
      <c r="E65" s="448"/>
      <c r="F65" s="448"/>
      <c r="G65" s="448"/>
      <c r="H65" s="448"/>
      <c r="I65" s="448"/>
    </row>
    <row r="66">
      <c r="A66" s="459"/>
      <c r="B66" s="460"/>
      <c r="C66" s="460"/>
      <c r="D66" s="454"/>
      <c r="E66" s="454"/>
      <c r="F66" s="454"/>
      <c r="G66" s="454"/>
      <c r="H66" s="454"/>
      <c r="I66" s="454"/>
    </row>
    <row r="67">
      <c r="A67" s="461" t="s">
        <v>7306</v>
      </c>
      <c r="B67" s="462"/>
      <c r="C67" s="462"/>
      <c r="D67" s="463"/>
      <c r="E67" s="463"/>
      <c r="F67" s="463"/>
      <c r="G67" s="463"/>
      <c r="H67" s="463"/>
      <c r="I67" s="464"/>
    </row>
    <row r="68">
      <c r="A68" s="465" t="s">
        <v>3923</v>
      </c>
      <c r="B68" s="466"/>
      <c r="C68" s="466" t="s">
        <v>7307</v>
      </c>
      <c r="D68" s="467"/>
      <c r="E68" s="467"/>
      <c r="F68" s="467"/>
      <c r="G68" s="467">
        <f>15802.5*20</f>
        <v>316050</v>
      </c>
      <c r="H68" s="448">
        <f>G68*0.16</f>
        <v>50568</v>
      </c>
      <c r="I68" s="448">
        <f>G68+H68</f>
        <v>366618</v>
      </c>
    </row>
    <row r="69">
      <c r="A69" s="459"/>
      <c r="B69" s="460"/>
      <c r="C69" s="460"/>
      <c r="D69" s="454"/>
      <c r="E69" s="454"/>
      <c r="F69" s="454"/>
      <c r="G69" s="454"/>
      <c r="H69" s="454"/>
      <c r="I69" s="454"/>
    </row>
    <row r="70">
      <c r="A70" s="461" t="s">
        <v>7308</v>
      </c>
      <c r="B70" s="462"/>
      <c r="C70" s="462"/>
      <c r="D70" s="463"/>
      <c r="E70" s="463"/>
      <c r="F70" s="463"/>
      <c r="G70" s="463"/>
      <c r="H70" s="463"/>
      <c r="I70" s="464"/>
    </row>
    <row r="71">
      <c r="A71" s="465" t="s">
        <v>3943</v>
      </c>
      <c r="B71" s="466"/>
      <c r="C71" s="466" t="s">
        <v>7309</v>
      </c>
      <c r="D71" s="467"/>
      <c r="E71" s="467"/>
      <c r="F71" s="467"/>
      <c r="G71" s="467">
        <f>15802.5*20</f>
        <v>316050</v>
      </c>
      <c r="H71" s="448">
        <f>G71*0.16</f>
        <v>50568</v>
      </c>
      <c r="I71" s="448">
        <f>G71+H71</f>
        <v>366618</v>
      </c>
    </row>
    <row r="72">
      <c r="A72" s="459"/>
      <c r="B72" s="460"/>
      <c r="C72" s="460"/>
      <c r="D72" s="454"/>
      <c r="E72" s="454"/>
      <c r="F72" s="454"/>
      <c r="G72" s="454"/>
      <c r="H72" s="454"/>
      <c r="I72" s="454"/>
    </row>
    <row r="73">
      <c r="A73" s="461" t="s">
        <v>7310</v>
      </c>
      <c r="B73" s="462"/>
      <c r="C73" s="462"/>
      <c r="D73" s="463"/>
      <c r="E73" s="463"/>
      <c r="F73" s="463"/>
      <c r="G73" s="463"/>
      <c r="H73" s="463"/>
      <c r="I73" s="464"/>
    </row>
    <row r="74">
      <c r="A74" s="465" t="s">
        <v>3939</v>
      </c>
      <c r="B74" s="466"/>
      <c r="C74" s="466" t="s">
        <v>7311</v>
      </c>
      <c r="D74" s="468"/>
      <c r="E74" s="468"/>
      <c r="F74" s="468"/>
      <c r="G74" s="468">
        <v>447440.0</v>
      </c>
      <c r="H74" s="448">
        <f>G74*0.16</f>
        <v>71590.4</v>
      </c>
      <c r="I74" s="448">
        <f>G74+H74</f>
        <v>519030.4</v>
      </c>
    </row>
    <row r="75">
      <c r="A75" s="459"/>
      <c r="B75" s="460"/>
      <c r="C75" s="460"/>
      <c r="D75" s="454"/>
      <c r="E75" s="454"/>
      <c r="F75" s="454"/>
      <c r="G75" s="454"/>
      <c r="H75" s="454"/>
      <c r="I75" s="454"/>
    </row>
    <row r="76">
      <c r="A76" s="461" t="s">
        <v>7312</v>
      </c>
      <c r="B76" s="462"/>
      <c r="C76" s="462"/>
      <c r="D76" s="463"/>
      <c r="E76" s="463"/>
      <c r="F76" s="463"/>
      <c r="G76" s="463"/>
      <c r="H76" s="463"/>
      <c r="I76" s="464"/>
    </row>
    <row r="77">
      <c r="A77" s="465" t="s">
        <v>2434</v>
      </c>
      <c r="B77" s="466"/>
      <c r="C77" s="466" t="s">
        <v>7313</v>
      </c>
      <c r="D77" s="468"/>
      <c r="E77" s="468"/>
      <c r="F77" s="468"/>
      <c r="G77" s="468">
        <v>82073.0</v>
      </c>
      <c r="H77" s="448">
        <f>G77*0.16</f>
        <v>13131.68</v>
      </c>
      <c r="I77" s="448">
        <f>G77+H77</f>
        <v>95204.68</v>
      </c>
    </row>
    <row r="78">
      <c r="A78" s="469"/>
      <c r="B78" s="469"/>
      <c r="C78" s="469"/>
      <c r="D78" s="469"/>
      <c r="E78" s="469"/>
      <c r="F78" s="469"/>
      <c r="G78" s="469"/>
      <c r="H78" s="469"/>
      <c r="I78" s="469"/>
    </row>
    <row r="79">
      <c r="A79" s="461" t="s">
        <v>7314</v>
      </c>
      <c r="B79" s="462"/>
      <c r="C79" s="462"/>
      <c r="D79" s="463"/>
      <c r="E79" s="463"/>
      <c r="F79" s="463"/>
      <c r="G79" s="463"/>
      <c r="H79" s="463"/>
      <c r="I79" s="464"/>
    </row>
    <row r="80">
      <c r="A80" s="465" t="s">
        <v>5207</v>
      </c>
      <c r="B80" s="466"/>
      <c r="C80" s="466" t="s">
        <v>7315</v>
      </c>
      <c r="D80" s="468"/>
      <c r="E80" s="468"/>
      <c r="F80" s="468"/>
      <c r="G80" s="468">
        <v>18650.0</v>
      </c>
      <c r="H80" s="448">
        <f>G80*0.16</f>
        <v>2984</v>
      </c>
      <c r="I80" s="448">
        <f>G80+H80</f>
        <v>21634</v>
      </c>
    </row>
    <row r="81">
      <c r="A81" s="469"/>
      <c r="B81" s="469"/>
      <c r="C81" s="469"/>
      <c r="D81" s="469"/>
      <c r="E81" s="469"/>
      <c r="F81" s="469"/>
      <c r="G81" s="469"/>
      <c r="H81" s="469"/>
      <c r="I81" s="469"/>
    </row>
    <row r="82">
      <c r="A82" s="461" t="s">
        <v>7316</v>
      </c>
      <c r="B82" s="462"/>
      <c r="C82" s="462"/>
      <c r="D82" s="463"/>
      <c r="E82" s="463"/>
      <c r="F82" s="463"/>
      <c r="G82" s="463"/>
      <c r="H82" s="463"/>
      <c r="I82" s="464"/>
    </row>
    <row r="83">
      <c r="A83" s="470" t="s">
        <v>4011</v>
      </c>
      <c r="B83" s="466"/>
      <c r="C83" s="466" t="s">
        <v>7317</v>
      </c>
      <c r="D83" s="468"/>
      <c r="E83" s="468"/>
      <c r="F83" s="468"/>
      <c r="G83" s="471" t="s">
        <v>7318</v>
      </c>
      <c r="H83" s="448" t="str">
        <f t="shared" ref="H83:H84" si="6">G83*0.16</f>
        <v>#VALUE!</v>
      </c>
      <c r="I83" s="448" t="str">
        <f t="shared" ref="I83:I84" si="7">G83+H83</f>
        <v>#VALUE!</v>
      </c>
    </row>
    <row r="84">
      <c r="A84" s="470" t="s">
        <v>108</v>
      </c>
      <c r="B84" s="466"/>
      <c r="C84" s="466" t="s">
        <v>7319</v>
      </c>
      <c r="D84" s="468"/>
      <c r="E84" s="468"/>
      <c r="F84" s="468"/>
      <c r="G84" s="468">
        <f>1134*19.5</f>
        <v>22113</v>
      </c>
      <c r="H84" s="448">
        <f t="shared" si="6"/>
        <v>3538.08</v>
      </c>
      <c r="I84" s="448">
        <f t="shared" si="7"/>
        <v>25651.08</v>
      </c>
    </row>
    <row r="85">
      <c r="A85" s="469"/>
      <c r="B85" s="469"/>
      <c r="C85" s="469"/>
      <c r="D85" s="469"/>
      <c r="E85" s="469"/>
      <c r="F85" s="469"/>
      <c r="G85" s="469"/>
      <c r="H85" s="469"/>
      <c r="I85" s="469"/>
    </row>
    <row r="86">
      <c r="A86" s="461" t="s">
        <v>7320</v>
      </c>
      <c r="B86" s="462"/>
      <c r="C86" s="462"/>
      <c r="D86" s="463"/>
      <c r="E86" s="463"/>
      <c r="F86" s="463"/>
      <c r="G86" s="463"/>
      <c r="H86" s="463"/>
      <c r="I86" s="464"/>
    </row>
    <row r="87">
      <c r="A87" s="470" t="s">
        <v>1130</v>
      </c>
      <c r="B87" s="466"/>
      <c r="C87" s="466" t="s">
        <v>7321</v>
      </c>
      <c r="D87" s="468"/>
      <c r="E87" s="468"/>
      <c r="F87" s="468"/>
      <c r="G87" s="468">
        <v>96850.0</v>
      </c>
      <c r="H87" s="448">
        <f>G87*0.16</f>
        <v>15496</v>
      </c>
      <c r="I87" s="448">
        <f>G87+H87</f>
        <v>112346</v>
      </c>
    </row>
    <row r="88">
      <c r="A88" s="469"/>
      <c r="B88" s="469"/>
      <c r="C88" s="469"/>
      <c r="D88" s="469"/>
      <c r="E88" s="469"/>
      <c r="F88" s="469"/>
      <c r="G88" s="469"/>
      <c r="H88" s="469"/>
      <c r="I88" s="469"/>
    </row>
    <row r="89">
      <c r="A89" s="461" t="s">
        <v>7322</v>
      </c>
      <c r="B89" s="462"/>
      <c r="C89" s="462"/>
      <c r="D89" s="463"/>
      <c r="E89" s="463"/>
      <c r="F89" s="463"/>
      <c r="G89" s="463"/>
      <c r="H89" s="463"/>
      <c r="I89" s="464"/>
    </row>
    <row r="90">
      <c r="A90" s="470" t="s">
        <v>7323</v>
      </c>
      <c r="B90" s="466"/>
      <c r="C90" s="466" t="s">
        <v>7324</v>
      </c>
      <c r="D90" s="472">
        <v>45216.0</v>
      </c>
      <c r="E90" s="468" t="s">
        <v>7325</v>
      </c>
      <c r="F90" s="468" t="s">
        <v>7179</v>
      </c>
      <c r="G90" s="468">
        <f>42860.01*17</f>
        <v>728620.17</v>
      </c>
      <c r="H90" s="448">
        <f t="shared" ref="H90:H91" si="8">G90*0.16</f>
        <v>116579.2272</v>
      </c>
      <c r="I90" s="448">
        <f t="shared" ref="I90:I91" si="9">G90+H90</f>
        <v>845199.3972</v>
      </c>
    </row>
    <row r="91">
      <c r="A91" s="470" t="s">
        <v>7326</v>
      </c>
      <c r="B91" s="466"/>
      <c r="C91" s="466" t="s">
        <v>7327</v>
      </c>
      <c r="D91" s="472">
        <v>45216.0</v>
      </c>
      <c r="E91" s="468" t="s">
        <v>7325</v>
      </c>
      <c r="F91" s="468" t="s">
        <v>7179</v>
      </c>
      <c r="G91" s="468">
        <f>3271.24*17</f>
        <v>55611.08</v>
      </c>
      <c r="H91" s="448">
        <f t="shared" si="8"/>
        <v>8897.7728</v>
      </c>
      <c r="I91" s="448">
        <f t="shared" si="9"/>
        <v>64508.8528</v>
      </c>
    </row>
    <row r="92">
      <c r="A92" s="469"/>
      <c r="B92" s="469"/>
      <c r="C92" s="469"/>
      <c r="D92" s="469"/>
      <c r="E92" s="469"/>
      <c r="F92" s="469"/>
      <c r="G92" s="469"/>
      <c r="H92" s="469"/>
      <c r="I92" s="469"/>
    </row>
    <row r="93">
      <c r="A93" s="469"/>
      <c r="B93" s="469"/>
      <c r="C93" s="469"/>
      <c r="D93" s="469"/>
      <c r="E93" s="469"/>
      <c r="F93" s="469"/>
      <c r="G93" s="469"/>
      <c r="H93" s="469"/>
      <c r="I93" s="469"/>
    </row>
    <row r="94">
      <c r="A94" s="469"/>
      <c r="B94" s="469"/>
      <c r="C94" s="469"/>
      <c r="D94" s="469"/>
      <c r="E94" s="469"/>
      <c r="F94" s="469"/>
      <c r="G94" s="469"/>
      <c r="H94" s="469"/>
      <c r="I94" s="469"/>
    </row>
    <row r="95">
      <c r="A95" s="469"/>
      <c r="B95" s="469"/>
      <c r="C95" s="469"/>
      <c r="D95" s="469"/>
      <c r="E95" s="469"/>
      <c r="F95" s="469"/>
      <c r="G95" s="469"/>
      <c r="H95" s="469"/>
      <c r="I95" s="469"/>
    </row>
    <row r="96">
      <c r="A96" s="469"/>
      <c r="B96" s="469"/>
      <c r="C96" s="469"/>
      <c r="D96" s="469"/>
      <c r="E96" s="469"/>
      <c r="F96" s="469"/>
      <c r="G96" s="469"/>
      <c r="H96" s="469"/>
      <c r="I96" s="469"/>
    </row>
    <row r="97">
      <c r="A97" s="469"/>
      <c r="B97" s="469"/>
      <c r="C97" s="469"/>
      <c r="D97" s="469"/>
      <c r="E97" s="469"/>
      <c r="F97" s="469"/>
      <c r="G97" s="469"/>
      <c r="H97" s="469"/>
      <c r="I97" s="469"/>
    </row>
    <row r="98">
      <c r="A98" s="469"/>
      <c r="B98" s="469"/>
      <c r="C98" s="469"/>
      <c r="D98" s="469"/>
      <c r="E98" s="469"/>
      <c r="F98" s="469"/>
      <c r="G98" s="469"/>
      <c r="H98" s="469"/>
      <c r="I98" s="469"/>
    </row>
    <row r="99">
      <c r="A99" s="469"/>
      <c r="B99" s="469"/>
      <c r="C99" s="469"/>
      <c r="D99" s="469"/>
      <c r="E99" s="469"/>
      <c r="F99" s="469"/>
      <c r="G99" s="469"/>
      <c r="H99" s="469"/>
      <c r="I99" s="469"/>
    </row>
    <row r="100">
      <c r="A100" s="469"/>
      <c r="B100" s="469"/>
      <c r="C100" s="469"/>
      <c r="D100" s="469"/>
      <c r="E100" s="469"/>
      <c r="F100" s="469"/>
      <c r="G100" s="469"/>
      <c r="H100" s="469"/>
      <c r="I100" s="469"/>
    </row>
    <row r="101">
      <c r="A101" s="469"/>
      <c r="B101" s="469"/>
      <c r="C101" s="469"/>
      <c r="D101" s="469"/>
      <c r="E101" s="469"/>
      <c r="F101" s="469"/>
      <c r="G101" s="469"/>
      <c r="H101" s="469"/>
      <c r="I101" s="469"/>
    </row>
    <row r="102">
      <c r="A102" s="469"/>
      <c r="B102" s="469"/>
      <c r="C102" s="469"/>
      <c r="D102" s="469"/>
      <c r="E102" s="469"/>
      <c r="F102" s="469"/>
      <c r="G102" s="469"/>
      <c r="H102" s="469"/>
      <c r="I102" s="469"/>
    </row>
    <row r="103">
      <c r="A103" s="469"/>
      <c r="B103" s="469"/>
      <c r="C103" s="469"/>
      <c r="D103" s="469"/>
      <c r="E103" s="469"/>
      <c r="F103" s="469"/>
      <c r="G103" s="469"/>
      <c r="H103" s="469"/>
      <c r="I103" s="469"/>
    </row>
    <row r="104">
      <c r="A104" s="469"/>
      <c r="B104" s="469"/>
      <c r="C104" s="469"/>
      <c r="D104" s="469"/>
      <c r="E104" s="469"/>
      <c r="F104" s="469"/>
      <c r="G104" s="469"/>
      <c r="H104" s="469"/>
      <c r="I104" s="469"/>
    </row>
    <row r="105">
      <c r="A105" s="469"/>
      <c r="B105" s="469"/>
      <c r="C105" s="469"/>
      <c r="D105" s="469"/>
      <c r="E105" s="469"/>
      <c r="F105" s="469"/>
      <c r="G105" s="469"/>
      <c r="H105" s="469"/>
      <c r="I105" s="469"/>
    </row>
    <row r="106">
      <c r="A106" s="469"/>
      <c r="B106" s="469"/>
      <c r="C106" s="469"/>
      <c r="D106" s="469"/>
      <c r="E106" s="469"/>
      <c r="F106" s="469"/>
      <c r="G106" s="469"/>
      <c r="H106" s="469"/>
      <c r="I106" s="469"/>
    </row>
    <row r="107">
      <c r="A107" s="469"/>
      <c r="B107" s="469"/>
      <c r="C107" s="469"/>
      <c r="D107" s="469"/>
      <c r="E107" s="469"/>
      <c r="F107" s="469"/>
      <c r="G107" s="469"/>
      <c r="H107" s="469"/>
      <c r="I107" s="469"/>
    </row>
    <row r="108">
      <c r="A108" s="469"/>
      <c r="B108" s="469"/>
      <c r="C108" s="469"/>
      <c r="D108" s="469"/>
      <c r="E108" s="469"/>
      <c r="F108" s="469"/>
      <c r="G108" s="469"/>
      <c r="H108" s="469"/>
      <c r="I108" s="469"/>
    </row>
    <row r="109">
      <c r="A109" s="469"/>
      <c r="B109" s="469"/>
      <c r="C109" s="469"/>
      <c r="D109" s="469"/>
      <c r="E109" s="469"/>
      <c r="F109" s="469"/>
      <c r="G109" s="469"/>
      <c r="H109" s="469"/>
      <c r="I109" s="469"/>
    </row>
    <row r="110">
      <c r="A110" s="469"/>
      <c r="B110" s="469"/>
      <c r="C110" s="469"/>
      <c r="D110" s="469"/>
      <c r="E110" s="469"/>
      <c r="F110" s="469"/>
      <c r="G110" s="469"/>
      <c r="H110" s="469"/>
      <c r="I110" s="469"/>
    </row>
    <row r="111">
      <c r="A111" s="469"/>
      <c r="B111" s="469"/>
      <c r="C111" s="469"/>
      <c r="D111" s="469"/>
      <c r="E111" s="469"/>
      <c r="F111" s="469"/>
      <c r="G111" s="469"/>
      <c r="H111" s="469"/>
      <c r="I111" s="469"/>
    </row>
    <row r="112">
      <c r="A112" s="469"/>
      <c r="B112" s="469"/>
      <c r="C112" s="469"/>
      <c r="D112" s="469"/>
      <c r="E112" s="469"/>
      <c r="F112" s="469"/>
      <c r="G112" s="469"/>
      <c r="H112" s="469"/>
      <c r="I112" s="469"/>
    </row>
    <row r="113">
      <c r="A113" s="469"/>
      <c r="B113" s="469"/>
      <c r="C113" s="469"/>
      <c r="D113" s="469"/>
      <c r="E113" s="469"/>
      <c r="F113" s="469"/>
      <c r="G113" s="469"/>
      <c r="H113" s="469"/>
      <c r="I113" s="469"/>
    </row>
    <row r="114">
      <c r="A114" s="469"/>
      <c r="B114" s="469"/>
      <c r="C114" s="469"/>
      <c r="D114" s="469"/>
      <c r="E114" s="469"/>
      <c r="F114" s="469"/>
      <c r="G114" s="469"/>
      <c r="H114" s="469"/>
      <c r="I114" s="469"/>
    </row>
    <row r="115">
      <c r="A115" s="469"/>
      <c r="B115" s="469"/>
      <c r="C115" s="469"/>
      <c r="D115" s="469"/>
      <c r="E115" s="469"/>
      <c r="F115" s="469"/>
      <c r="G115" s="469"/>
      <c r="H115" s="469"/>
      <c r="I115" s="469"/>
    </row>
    <row r="116">
      <c r="A116" s="469"/>
      <c r="B116" s="469"/>
      <c r="C116" s="469"/>
      <c r="D116" s="469"/>
      <c r="E116" s="469"/>
      <c r="F116" s="469"/>
      <c r="G116" s="469"/>
      <c r="H116" s="469"/>
      <c r="I116" s="469"/>
    </row>
    <row r="117">
      <c r="A117" s="469"/>
      <c r="B117" s="469"/>
      <c r="C117" s="469"/>
      <c r="D117" s="469"/>
      <c r="E117" s="469"/>
      <c r="F117" s="469"/>
      <c r="G117" s="469"/>
      <c r="H117" s="469"/>
      <c r="I117" s="469"/>
    </row>
    <row r="118">
      <c r="A118" s="469"/>
      <c r="B118" s="469"/>
      <c r="C118" s="469"/>
      <c r="D118" s="469"/>
      <c r="E118" s="469"/>
      <c r="F118" s="469"/>
      <c r="G118" s="469"/>
      <c r="H118" s="469"/>
      <c r="I118" s="469"/>
    </row>
    <row r="119">
      <c r="A119" s="469"/>
      <c r="B119" s="469"/>
      <c r="C119" s="469"/>
      <c r="D119" s="469"/>
      <c r="E119" s="469"/>
      <c r="F119" s="469"/>
      <c r="G119" s="469"/>
      <c r="H119" s="469"/>
      <c r="I119" s="469"/>
    </row>
    <row r="120">
      <c r="A120" s="469"/>
      <c r="B120" s="469"/>
      <c r="C120" s="469"/>
      <c r="D120" s="469"/>
      <c r="E120" s="469"/>
      <c r="F120" s="469"/>
      <c r="G120" s="469"/>
      <c r="H120" s="469"/>
      <c r="I120" s="469"/>
    </row>
    <row r="121">
      <c r="A121" s="469"/>
      <c r="B121" s="469"/>
      <c r="C121" s="469"/>
      <c r="D121" s="469"/>
      <c r="E121" s="469"/>
      <c r="F121" s="469"/>
      <c r="G121" s="469"/>
      <c r="H121" s="469"/>
      <c r="I121" s="469"/>
    </row>
    <row r="122">
      <c r="A122" s="469"/>
      <c r="B122" s="469"/>
      <c r="C122" s="469"/>
      <c r="D122" s="469"/>
      <c r="E122" s="469"/>
      <c r="F122" s="469"/>
      <c r="G122" s="469"/>
      <c r="H122" s="469"/>
      <c r="I122" s="469"/>
    </row>
    <row r="123">
      <c r="A123" s="469"/>
      <c r="B123" s="469"/>
      <c r="C123" s="469"/>
      <c r="D123" s="469"/>
      <c r="E123" s="469"/>
      <c r="F123" s="469"/>
      <c r="G123" s="469"/>
      <c r="H123" s="469"/>
      <c r="I123" s="469"/>
    </row>
    <row r="124">
      <c r="A124" s="469"/>
      <c r="B124" s="469"/>
      <c r="C124" s="469"/>
      <c r="D124" s="469"/>
      <c r="E124" s="469"/>
      <c r="F124" s="469"/>
      <c r="G124" s="469"/>
      <c r="H124" s="469"/>
      <c r="I124" s="469"/>
    </row>
    <row r="125">
      <c r="A125" s="469"/>
      <c r="B125" s="469"/>
      <c r="C125" s="469"/>
      <c r="D125" s="469"/>
      <c r="E125" s="469"/>
      <c r="F125" s="469"/>
      <c r="G125" s="469"/>
      <c r="H125" s="469"/>
      <c r="I125" s="469"/>
    </row>
    <row r="126">
      <c r="A126" s="469"/>
      <c r="B126" s="469"/>
      <c r="C126" s="469"/>
      <c r="D126" s="469"/>
      <c r="E126" s="469"/>
      <c r="F126" s="469"/>
      <c r="G126" s="469"/>
      <c r="H126" s="469"/>
      <c r="I126" s="469"/>
    </row>
    <row r="127">
      <c r="A127" s="469"/>
      <c r="B127" s="469"/>
      <c r="C127" s="469"/>
      <c r="D127" s="469"/>
      <c r="E127" s="469"/>
      <c r="F127" s="469"/>
      <c r="G127" s="469"/>
      <c r="H127" s="469"/>
      <c r="I127" s="469"/>
    </row>
    <row r="128">
      <c r="A128" s="469"/>
      <c r="B128" s="469"/>
      <c r="C128" s="469"/>
      <c r="D128" s="469"/>
      <c r="E128" s="469"/>
      <c r="F128" s="469"/>
      <c r="G128" s="469"/>
      <c r="H128" s="469"/>
      <c r="I128" s="469"/>
    </row>
    <row r="129">
      <c r="A129" s="469"/>
      <c r="B129" s="469"/>
      <c r="C129" s="469"/>
      <c r="D129" s="469"/>
      <c r="E129" s="469"/>
      <c r="F129" s="469"/>
      <c r="G129" s="469"/>
      <c r="H129" s="469"/>
      <c r="I129" s="469"/>
    </row>
    <row r="130">
      <c r="A130" s="469"/>
      <c r="B130" s="469"/>
      <c r="C130" s="469"/>
      <c r="D130" s="469"/>
      <c r="E130" s="469"/>
      <c r="F130" s="469"/>
      <c r="G130" s="469"/>
      <c r="H130" s="469"/>
      <c r="I130" s="469"/>
    </row>
    <row r="131">
      <c r="A131" s="469"/>
      <c r="B131" s="469"/>
      <c r="C131" s="469"/>
      <c r="D131" s="469"/>
      <c r="E131" s="469"/>
      <c r="F131" s="469"/>
      <c r="G131" s="469"/>
      <c r="H131" s="469"/>
      <c r="I131" s="469"/>
    </row>
    <row r="132">
      <c r="A132" s="469"/>
      <c r="B132" s="469"/>
      <c r="C132" s="469"/>
      <c r="D132" s="469"/>
      <c r="E132" s="469"/>
      <c r="F132" s="469"/>
      <c r="G132" s="469"/>
      <c r="H132" s="469"/>
      <c r="I132" s="469"/>
    </row>
    <row r="133">
      <c r="A133" s="469"/>
      <c r="B133" s="469"/>
      <c r="C133" s="469"/>
      <c r="D133" s="469"/>
      <c r="E133" s="469"/>
      <c r="F133" s="469"/>
      <c r="G133" s="469"/>
      <c r="H133" s="469"/>
      <c r="I133" s="469"/>
    </row>
    <row r="134">
      <c r="A134" s="469"/>
      <c r="B134" s="469"/>
      <c r="C134" s="469"/>
      <c r="D134" s="469"/>
      <c r="E134" s="469"/>
      <c r="F134" s="469"/>
      <c r="G134" s="469"/>
      <c r="H134" s="469"/>
      <c r="I134" s="469"/>
    </row>
    <row r="135">
      <c r="A135" s="469"/>
      <c r="B135" s="469"/>
      <c r="C135" s="469"/>
      <c r="D135" s="469"/>
      <c r="E135" s="469"/>
      <c r="F135" s="469"/>
      <c r="G135" s="469"/>
      <c r="H135" s="469"/>
      <c r="I135" s="469"/>
    </row>
    <row r="136">
      <c r="A136" s="469"/>
      <c r="B136" s="469"/>
      <c r="C136" s="469"/>
      <c r="D136" s="469"/>
      <c r="E136" s="469"/>
      <c r="F136" s="469"/>
      <c r="G136" s="469"/>
      <c r="H136" s="469"/>
      <c r="I136" s="469"/>
    </row>
    <row r="137">
      <c r="A137" s="469"/>
      <c r="B137" s="469"/>
      <c r="C137" s="469"/>
      <c r="D137" s="469"/>
      <c r="E137" s="469"/>
      <c r="F137" s="469"/>
      <c r="G137" s="469"/>
      <c r="H137" s="469"/>
      <c r="I137" s="469"/>
    </row>
    <row r="138">
      <c r="A138" s="469"/>
      <c r="B138" s="469"/>
      <c r="C138" s="469"/>
      <c r="D138" s="469"/>
      <c r="E138" s="469"/>
      <c r="F138" s="469"/>
      <c r="G138" s="469"/>
      <c r="H138" s="469"/>
      <c r="I138" s="469"/>
    </row>
    <row r="139">
      <c r="A139" s="469"/>
      <c r="B139" s="469"/>
      <c r="C139" s="469"/>
      <c r="D139" s="469"/>
      <c r="E139" s="469"/>
      <c r="F139" s="469"/>
      <c r="G139" s="469"/>
      <c r="H139" s="469"/>
      <c r="I139" s="469"/>
    </row>
    <row r="140">
      <c r="A140" s="469"/>
      <c r="B140" s="469"/>
      <c r="C140" s="469"/>
      <c r="D140" s="469"/>
      <c r="E140" s="469"/>
      <c r="F140" s="469"/>
      <c r="G140" s="469"/>
      <c r="H140" s="469"/>
      <c r="I140" s="469"/>
    </row>
    <row r="141">
      <c r="A141" s="469"/>
      <c r="B141" s="469"/>
      <c r="C141" s="469"/>
      <c r="D141" s="469"/>
      <c r="E141" s="469"/>
      <c r="F141" s="469"/>
      <c r="G141" s="469"/>
      <c r="H141" s="469"/>
      <c r="I141" s="469"/>
    </row>
    <row r="142">
      <c r="A142" s="469"/>
      <c r="B142" s="469"/>
      <c r="C142" s="469"/>
      <c r="D142" s="469"/>
      <c r="E142" s="469"/>
      <c r="F142" s="469"/>
      <c r="G142" s="469"/>
      <c r="H142" s="469"/>
      <c r="I142" s="469"/>
    </row>
    <row r="143">
      <c r="A143" s="469"/>
      <c r="B143" s="469"/>
      <c r="C143" s="469"/>
      <c r="D143" s="469"/>
      <c r="E143" s="469"/>
      <c r="F143" s="469"/>
      <c r="G143" s="469"/>
      <c r="H143" s="469"/>
      <c r="I143" s="469"/>
    </row>
    <row r="144">
      <c r="A144" s="469"/>
      <c r="B144" s="469"/>
      <c r="C144" s="469"/>
      <c r="D144" s="469"/>
      <c r="E144" s="469"/>
      <c r="F144" s="469"/>
      <c r="G144" s="469"/>
      <c r="H144" s="469"/>
      <c r="I144" s="469"/>
    </row>
    <row r="145">
      <c r="A145" s="469"/>
      <c r="B145" s="469"/>
      <c r="C145" s="469"/>
      <c r="D145" s="469"/>
      <c r="E145" s="469"/>
      <c r="F145" s="469"/>
      <c r="G145" s="469"/>
      <c r="H145" s="469"/>
      <c r="I145" s="469"/>
    </row>
    <row r="146">
      <c r="A146" s="469"/>
      <c r="B146" s="469"/>
      <c r="C146" s="469"/>
      <c r="D146" s="469"/>
      <c r="E146" s="469"/>
      <c r="F146" s="469"/>
      <c r="G146" s="469"/>
      <c r="H146" s="469"/>
      <c r="I146" s="469"/>
    </row>
    <row r="147">
      <c r="A147" s="469"/>
      <c r="B147" s="469"/>
      <c r="C147" s="469"/>
      <c r="D147" s="469"/>
      <c r="E147" s="469"/>
      <c r="F147" s="469"/>
      <c r="G147" s="469"/>
      <c r="H147" s="469"/>
      <c r="I147" s="469"/>
    </row>
    <row r="148">
      <c r="A148" s="469"/>
      <c r="B148" s="469"/>
      <c r="C148" s="469"/>
      <c r="D148" s="469"/>
      <c r="E148" s="469"/>
      <c r="F148" s="469"/>
      <c r="G148" s="469"/>
      <c r="H148" s="469"/>
      <c r="I148" s="469"/>
    </row>
    <row r="149">
      <c r="A149" s="469"/>
      <c r="B149" s="469"/>
      <c r="C149" s="469"/>
      <c r="D149" s="469"/>
      <c r="E149" s="469"/>
      <c r="F149" s="469"/>
      <c r="G149" s="469"/>
      <c r="H149" s="469"/>
      <c r="I149" s="469"/>
    </row>
    <row r="150">
      <c r="A150" s="469"/>
      <c r="B150" s="469"/>
      <c r="C150" s="469"/>
      <c r="D150" s="469"/>
      <c r="E150" s="469"/>
      <c r="F150" s="469"/>
      <c r="G150" s="469"/>
      <c r="H150" s="469"/>
      <c r="I150" s="469"/>
    </row>
    <row r="151">
      <c r="A151" s="469"/>
      <c r="B151" s="469"/>
      <c r="C151" s="469"/>
      <c r="D151" s="469"/>
      <c r="E151" s="469"/>
      <c r="F151" s="469"/>
      <c r="G151" s="469"/>
      <c r="H151" s="469"/>
      <c r="I151" s="469"/>
    </row>
    <row r="152">
      <c r="A152" s="469"/>
      <c r="B152" s="469"/>
      <c r="C152" s="469"/>
      <c r="D152" s="469"/>
      <c r="E152" s="469"/>
      <c r="F152" s="469"/>
      <c r="G152" s="469"/>
      <c r="H152" s="469"/>
      <c r="I152" s="469"/>
    </row>
    <row r="153">
      <c r="A153" s="469"/>
      <c r="B153" s="469"/>
      <c r="C153" s="469"/>
      <c r="D153" s="469"/>
      <c r="E153" s="469"/>
      <c r="F153" s="469"/>
      <c r="G153" s="469"/>
      <c r="H153" s="469"/>
      <c r="I153" s="469"/>
    </row>
    <row r="154">
      <c r="A154" s="469"/>
      <c r="B154" s="469"/>
      <c r="C154" s="469"/>
      <c r="D154" s="469"/>
      <c r="E154" s="469"/>
      <c r="F154" s="469"/>
      <c r="G154" s="469"/>
      <c r="H154" s="469"/>
      <c r="I154" s="469"/>
    </row>
    <row r="155">
      <c r="A155" s="469"/>
      <c r="B155" s="469"/>
      <c r="C155" s="469"/>
      <c r="D155" s="469"/>
      <c r="E155" s="469"/>
      <c r="F155" s="469"/>
      <c r="G155" s="469"/>
      <c r="H155" s="469"/>
      <c r="I155" s="469"/>
    </row>
    <row r="156">
      <c r="A156" s="469"/>
      <c r="B156" s="469"/>
      <c r="C156" s="469"/>
      <c r="D156" s="469"/>
      <c r="E156" s="469"/>
      <c r="F156" s="469"/>
      <c r="G156" s="469"/>
      <c r="H156" s="469"/>
      <c r="I156" s="469"/>
    </row>
    <row r="157">
      <c r="A157" s="469"/>
      <c r="B157" s="469"/>
      <c r="C157" s="469"/>
      <c r="D157" s="469"/>
      <c r="E157" s="469"/>
      <c r="F157" s="469"/>
      <c r="G157" s="469"/>
      <c r="H157" s="469"/>
      <c r="I157" s="469"/>
    </row>
    <row r="158">
      <c r="A158" s="469"/>
      <c r="B158" s="469"/>
      <c r="C158" s="469"/>
      <c r="D158" s="469"/>
      <c r="E158" s="469"/>
      <c r="F158" s="469"/>
      <c r="G158" s="469"/>
      <c r="H158" s="469"/>
      <c r="I158" s="469"/>
    </row>
    <row r="159">
      <c r="A159" s="469"/>
      <c r="B159" s="469"/>
      <c r="C159" s="469"/>
      <c r="D159" s="469"/>
      <c r="E159" s="469"/>
      <c r="F159" s="469"/>
      <c r="G159" s="469"/>
      <c r="H159" s="469"/>
      <c r="I159" s="469"/>
    </row>
    <row r="160">
      <c r="A160" s="469"/>
      <c r="B160" s="469"/>
      <c r="C160" s="469"/>
      <c r="D160" s="469"/>
      <c r="E160" s="469"/>
      <c r="F160" s="469"/>
      <c r="G160" s="469"/>
      <c r="H160" s="469"/>
      <c r="I160" s="469"/>
    </row>
    <row r="161">
      <c r="A161" s="469"/>
      <c r="B161" s="469"/>
      <c r="C161" s="469"/>
      <c r="D161" s="469"/>
      <c r="E161" s="469"/>
      <c r="F161" s="469"/>
      <c r="G161" s="469"/>
      <c r="H161" s="469"/>
      <c r="I161" s="469"/>
    </row>
    <row r="162">
      <c r="A162" s="469"/>
      <c r="B162" s="469"/>
      <c r="C162" s="469"/>
      <c r="D162" s="469"/>
      <c r="E162" s="469"/>
      <c r="F162" s="469"/>
      <c r="G162" s="469"/>
      <c r="H162" s="469"/>
      <c r="I162" s="469"/>
    </row>
    <row r="163">
      <c r="A163" s="469"/>
      <c r="B163" s="469"/>
      <c r="C163" s="469"/>
      <c r="D163" s="469"/>
      <c r="E163" s="469"/>
      <c r="F163" s="469"/>
      <c r="G163" s="469"/>
      <c r="H163" s="469"/>
      <c r="I163" s="469"/>
    </row>
    <row r="164">
      <c r="A164" s="469"/>
      <c r="B164" s="469"/>
      <c r="C164" s="469"/>
      <c r="D164" s="469"/>
      <c r="E164" s="469"/>
      <c r="F164" s="469"/>
      <c r="G164" s="469"/>
      <c r="H164" s="469"/>
      <c r="I164" s="469"/>
    </row>
    <row r="165">
      <c r="A165" s="469"/>
      <c r="B165" s="469"/>
      <c r="C165" s="469"/>
      <c r="D165" s="469"/>
      <c r="E165" s="469"/>
      <c r="F165" s="469"/>
      <c r="G165" s="469"/>
      <c r="H165" s="469"/>
      <c r="I165" s="469"/>
    </row>
    <row r="166">
      <c r="A166" s="469"/>
      <c r="B166" s="469"/>
      <c r="C166" s="469"/>
      <c r="D166" s="469"/>
      <c r="E166" s="469"/>
      <c r="F166" s="469"/>
      <c r="G166" s="469"/>
      <c r="H166" s="469"/>
      <c r="I166" s="469"/>
    </row>
    <row r="167">
      <c r="A167" s="469"/>
      <c r="B167" s="469"/>
      <c r="C167" s="469"/>
      <c r="D167" s="469"/>
      <c r="E167" s="469"/>
      <c r="F167" s="469"/>
      <c r="G167" s="469"/>
      <c r="H167" s="469"/>
      <c r="I167" s="469"/>
    </row>
    <row r="168">
      <c r="A168" s="469"/>
      <c r="B168" s="469"/>
      <c r="C168" s="469"/>
      <c r="D168" s="469"/>
      <c r="E168" s="469"/>
      <c r="F168" s="469"/>
      <c r="G168" s="469"/>
      <c r="H168" s="469"/>
      <c r="I168" s="469"/>
    </row>
    <row r="169">
      <c r="A169" s="469"/>
      <c r="B169" s="469"/>
      <c r="C169" s="469"/>
      <c r="D169" s="469"/>
      <c r="E169" s="469"/>
      <c r="F169" s="469"/>
      <c r="G169" s="469"/>
      <c r="H169" s="469"/>
      <c r="I169" s="469"/>
    </row>
    <row r="170">
      <c r="A170" s="469"/>
      <c r="B170" s="469"/>
      <c r="C170" s="469"/>
      <c r="D170" s="469"/>
      <c r="E170" s="469"/>
      <c r="F170" s="469"/>
      <c r="G170" s="469"/>
      <c r="H170" s="469"/>
      <c r="I170" s="469"/>
    </row>
    <row r="171">
      <c r="A171" s="469"/>
      <c r="B171" s="469"/>
      <c r="C171" s="469"/>
      <c r="D171" s="469"/>
      <c r="E171" s="469"/>
      <c r="F171" s="469"/>
      <c r="G171" s="469"/>
      <c r="H171" s="469"/>
      <c r="I171" s="469"/>
    </row>
    <row r="172">
      <c r="A172" s="469"/>
      <c r="B172" s="469"/>
      <c r="C172" s="469"/>
      <c r="D172" s="469"/>
      <c r="E172" s="469"/>
      <c r="F172" s="469"/>
      <c r="G172" s="469"/>
      <c r="H172" s="469"/>
      <c r="I172" s="469"/>
    </row>
    <row r="173">
      <c r="A173" s="469"/>
      <c r="B173" s="469"/>
      <c r="C173" s="469"/>
      <c r="D173" s="469"/>
      <c r="E173" s="469"/>
      <c r="F173" s="469"/>
      <c r="G173" s="469"/>
      <c r="H173" s="469"/>
      <c r="I173" s="469"/>
    </row>
    <row r="174">
      <c r="A174" s="469"/>
      <c r="B174" s="469"/>
      <c r="C174" s="469"/>
      <c r="D174" s="469"/>
      <c r="E174" s="469"/>
      <c r="F174" s="469"/>
      <c r="G174" s="469"/>
      <c r="H174" s="469"/>
      <c r="I174" s="469"/>
    </row>
    <row r="175">
      <c r="A175" s="469"/>
      <c r="B175" s="469"/>
      <c r="C175" s="469"/>
      <c r="D175" s="469"/>
      <c r="E175" s="469"/>
      <c r="F175" s="469"/>
      <c r="G175" s="469"/>
      <c r="H175" s="469"/>
      <c r="I175" s="469"/>
    </row>
    <row r="176">
      <c r="A176" s="469"/>
      <c r="B176" s="469"/>
      <c r="C176" s="469"/>
      <c r="D176" s="469"/>
      <c r="E176" s="469"/>
      <c r="F176" s="469"/>
      <c r="G176" s="469"/>
      <c r="H176" s="469"/>
      <c r="I176" s="469"/>
    </row>
    <row r="177">
      <c r="A177" s="469"/>
      <c r="B177" s="469"/>
      <c r="C177" s="469"/>
      <c r="D177" s="469"/>
      <c r="E177" s="469"/>
      <c r="F177" s="469"/>
      <c r="G177" s="469"/>
      <c r="H177" s="469"/>
      <c r="I177" s="469"/>
    </row>
    <row r="178">
      <c r="A178" s="469"/>
      <c r="B178" s="469"/>
      <c r="C178" s="469"/>
      <c r="D178" s="469"/>
      <c r="E178" s="469"/>
      <c r="F178" s="469"/>
      <c r="G178" s="469"/>
      <c r="H178" s="469"/>
      <c r="I178" s="469"/>
    </row>
    <row r="179">
      <c r="A179" s="469"/>
      <c r="B179" s="469"/>
      <c r="C179" s="469"/>
      <c r="D179" s="469"/>
      <c r="E179" s="469"/>
      <c r="F179" s="469"/>
      <c r="G179" s="469"/>
      <c r="H179" s="469"/>
      <c r="I179" s="469"/>
    </row>
    <row r="180">
      <c r="A180" s="469"/>
      <c r="B180" s="469"/>
      <c r="C180" s="469"/>
      <c r="D180" s="469"/>
      <c r="E180" s="469"/>
      <c r="F180" s="469"/>
      <c r="G180" s="469"/>
      <c r="H180" s="469"/>
      <c r="I180" s="469"/>
    </row>
    <row r="181">
      <c r="A181" s="469"/>
      <c r="B181" s="469"/>
      <c r="C181" s="469"/>
      <c r="D181" s="469"/>
      <c r="E181" s="469"/>
      <c r="F181" s="469"/>
      <c r="G181" s="469"/>
      <c r="H181" s="469"/>
      <c r="I181" s="469"/>
    </row>
    <row r="182">
      <c r="A182" s="469"/>
      <c r="B182" s="469"/>
      <c r="C182" s="469"/>
      <c r="D182" s="469"/>
      <c r="E182" s="469"/>
      <c r="F182" s="469"/>
      <c r="G182" s="469"/>
      <c r="H182" s="469"/>
      <c r="I182" s="469"/>
    </row>
    <row r="183">
      <c r="A183" s="469"/>
      <c r="B183" s="469"/>
      <c r="C183" s="469"/>
      <c r="D183" s="469"/>
      <c r="E183" s="469"/>
      <c r="F183" s="469"/>
      <c r="G183" s="469"/>
      <c r="H183" s="469"/>
      <c r="I183" s="469"/>
    </row>
    <row r="184">
      <c r="A184" s="469"/>
      <c r="B184" s="469"/>
      <c r="C184" s="469"/>
      <c r="D184" s="469"/>
      <c r="E184" s="469"/>
      <c r="F184" s="469"/>
      <c r="G184" s="469"/>
      <c r="H184" s="469"/>
      <c r="I184" s="469"/>
    </row>
    <row r="185">
      <c r="A185" s="469"/>
      <c r="B185" s="469"/>
      <c r="C185" s="469"/>
      <c r="D185" s="469"/>
      <c r="E185" s="469"/>
      <c r="F185" s="469"/>
      <c r="G185" s="469"/>
      <c r="H185" s="469"/>
      <c r="I185" s="469"/>
    </row>
    <row r="186">
      <c r="A186" s="469"/>
      <c r="B186" s="469"/>
      <c r="C186" s="469"/>
      <c r="D186" s="469"/>
      <c r="E186" s="469"/>
      <c r="F186" s="469"/>
      <c r="G186" s="469"/>
      <c r="H186" s="469"/>
      <c r="I186" s="469"/>
    </row>
    <row r="187">
      <c r="A187" s="469"/>
      <c r="B187" s="469"/>
      <c r="C187" s="469"/>
      <c r="D187" s="469"/>
      <c r="E187" s="469"/>
      <c r="F187" s="469"/>
      <c r="G187" s="469"/>
      <c r="H187" s="469"/>
      <c r="I187" s="469"/>
    </row>
    <row r="188">
      <c r="A188" s="469"/>
      <c r="B188" s="469"/>
      <c r="C188" s="469"/>
      <c r="D188" s="469"/>
      <c r="E188" s="469"/>
      <c r="F188" s="469"/>
      <c r="G188" s="469"/>
      <c r="H188" s="469"/>
      <c r="I188" s="469"/>
    </row>
    <row r="189">
      <c r="A189" s="469"/>
      <c r="B189" s="469"/>
      <c r="C189" s="469"/>
      <c r="D189" s="469"/>
      <c r="E189" s="469"/>
      <c r="F189" s="469"/>
      <c r="G189" s="469"/>
      <c r="H189" s="469"/>
      <c r="I189" s="469"/>
    </row>
    <row r="190">
      <c r="A190" s="469"/>
      <c r="B190" s="469"/>
      <c r="C190" s="469"/>
      <c r="D190" s="469"/>
      <c r="E190" s="469"/>
      <c r="F190" s="469"/>
      <c r="G190" s="469"/>
      <c r="H190" s="469"/>
      <c r="I190" s="469"/>
    </row>
    <row r="191">
      <c r="A191" s="469"/>
      <c r="B191" s="469"/>
      <c r="C191" s="469"/>
      <c r="D191" s="469"/>
      <c r="E191" s="469"/>
      <c r="F191" s="469"/>
      <c r="G191" s="469"/>
      <c r="H191" s="469"/>
      <c r="I191" s="469"/>
    </row>
    <row r="192">
      <c r="A192" s="469"/>
      <c r="B192" s="469"/>
      <c r="C192" s="469"/>
      <c r="D192" s="469"/>
      <c r="E192" s="469"/>
      <c r="F192" s="469"/>
      <c r="G192" s="469"/>
      <c r="H192" s="469"/>
      <c r="I192" s="469"/>
    </row>
    <row r="193">
      <c r="A193" s="469"/>
      <c r="B193" s="469"/>
      <c r="C193" s="469"/>
      <c r="D193" s="469"/>
      <c r="E193" s="469"/>
      <c r="F193" s="469"/>
      <c r="G193" s="469"/>
      <c r="H193" s="469"/>
      <c r="I193" s="469"/>
    </row>
    <row r="194">
      <c r="A194" s="469"/>
      <c r="B194" s="469"/>
      <c r="C194" s="469"/>
      <c r="D194" s="469"/>
      <c r="E194" s="469"/>
      <c r="F194" s="469"/>
      <c r="G194" s="469"/>
      <c r="H194" s="469"/>
      <c r="I194" s="469"/>
    </row>
    <row r="195">
      <c r="A195" s="469"/>
      <c r="B195" s="469"/>
      <c r="C195" s="469"/>
      <c r="D195" s="469"/>
      <c r="E195" s="469"/>
      <c r="F195" s="469"/>
      <c r="G195" s="469"/>
      <c r="H195" s="469"/>
      <c r="I195" s="469"/>
    </row>
    <row r="196">
      <c r="A196" s="469"/>
      <c r="B196" s="469"/>
      <c r="C196" s="469"/>
      <c r="D196" s="469"/>
      <c r="E196" s="469"/>
      <c r="F196" s="469"/>
      <c r="G196" s="469"/>
      <c r="H196" s="469"/>
      <c r="I196" s="469"/>
    </row>
    <row r="197">
      <c r="A197" s="469"/>
      <c r="B197" s="469"/>
      <c r="C197" s="469"/>
      <c r="D197" s="469"/>
      <c r="E197" s="469"/>
      <c r="F197" s="469"/>
      <c r="G197" s="469"/>
      <c r="H197" s="469"/>
      <c r="I197" s="469"/>
    </row>
    <row r="198">
      <c r="A198" s="469"/>
      <c r="B198" s="469"/>
      <c r="C198" s="469"/>
      <c r="D198" s="469"/>
      <c r="E198" s="469"/>
      <c r="F198" s="469"/>
      <c r="G198" s="469"/>
      <c r="H198" s="469"/>
      <c r="I198" s="469"/>
    </row>
    <row r="199">
      <c r="A199" s="469"/>
      <c r="B199" s="469"/>
      <c r="C199" s="469"/>
      <c r="D199" s="469"/>
      <c r="E199" s="469"/>
      <c r="F199" s="469"/>
      <c r="G199" s="469"/>
      <c r="H199" s="469"/>
      <c r="I199" s="469"/>
    </row>
    <row r="200">
      <c r="A200" s="469"/>
      <c r="B200" s="469"/>
      <c r="C200" s="469"/>
      <c r="D200" s="469"/>
      <c r="E200" s="469"/>
      <c r="F200" s="469"/>
      <c r="G200" s="469"/>
      <c r="H200" s="469"/>
      <c r="I200" s="469"/>
    </row>
    <row r="201">
      <c r="A201" s="469"/>
      <c r="B201" s="469"/>
      <c r="C201" s="469"/>
      <c r="D201" s="469"/>
      <c r="E201" s="469"/>
      <c r="F201" s="469"/>
      <c r="G201" s="469"/>
      <c r="H201" s="469"/>
      <c r="I201" s="469"/>
    </row>
    <row r="202">
      <c r="A202" s="469"/>
      <c r="B202" s="469"/>
      <c r="C202" s="469"/>
      <c r="D202" s="469"/>
      <c r="E202" s="469"/>
      <c r="F202" s="469"/>
      <c r="G202" s="469"/>
      <c r="H202" s="469"/>
      <c r="I202" s="469"/>
    </row>
    <row r="203">
      <c r="A203" s="469"/>
      <c r="B203" s="469"/>
      <c r="C203" s="469"/>
      <c r="D203" s="469"/>
      <c r="E203" s="469"/>
      <c r="F203" s="469"/>
      <c r="G203" s="469"/>
      <c r="H203" s="469"/>
      <c r="I203" s="469"/>
    </row>
    <row r="204">
      <c r="A204" s="469"/>
      <c r="B204" s="469"/>
      <c r="C204" s="469"/>
      <c r="D204" s="469"/>
      <c r="E204" s="469"/>
      <c r="F204" s="469"/>
      <c r="G204" s="469"/>
      <c r="H204" s="469"/>
      <c r="I204" s="469"/>
    </row>
    <row r="205">
      <c r="A205" s="469"/>
      <c r="B205" s="469"/>
      <c r="C205" s="469"/>
      <c r="D205" s="469"/>
      <c r="E205" s="469"/>
      <c r="F205" s="469"/>
      <c r="G205" s="469"/>
      <c r="H205" s="469"/>
      <c r="I205" s="469"/>
    </row>
    <row r="206">
      <c r="A206" s="469"/>
      <c r="B206" s="469"/>
      <c r="C206" s="469"/>
      <c r="D206" s="469"/>
      <c r="E206" s="469"/>
      <c r="F206" s="469"/>
      <c r="G206" s="469"/>
      <c r="H206" s="469"/>
      <c r="I206" s="469"/>
    </row>
    <row r="207">
      <c r="A207" s="469"/>
      <c r="B207" s="469"/>
      <c r="C207" s="469"/>
      <c r="D207" s="469"/>
      <c r="E207" s="469"/>
      <c r="F207" s="469"/>
      <c r="G207" s="469"/>
      <c r="H207" s="469"/>
      <c r="I207" s="469"/>
    </row>
    <row r="208">
      <c r="A208" s="469"/>
      <c r="B208" s="469"/>
      <c r="C208" s="469"/>
      <c r="D208" s="469"/>
      <c r="E208" s="469"/>
      <c r="F208" s="469"/>
      <c r="G208" s="469"/>
      <c r="H208" s="469"/>
      <c r="I208" s="469"/>
    </row>
    <row r="209">
      <c r="A209" s="469"/>
      <c r="B209" s="469"/>
      <c r="C209" s="469"/>
      <c r="D209" s="469"/>
      <c r="E209" s="469"/>
      <c r="F209" s="469"/>
      <c r="G209" s="469"/>
      <c r="H209" s="469"/>
      <c r="I209" s="469"/>
    </row>
    <row r="210">
      <c r="A210" s="469"/>
      <c r="B210" s="469"/>
      <c r="C210" s="469"/>
      <c r="D210" s="469"/>
      <c r="E210" s="469"/>
      <c r="F210" s="469"/>
      <c r="G210" s="469"/>
      <c r="H210" s="469"/>
      <c r="I210" s="469"/>
    </row>
    <row r="211">
      <c r="A211" s="469"/>
      <c r="B211" s="469"/>
      <c r="C211" s="469"/>
      <c r="D211" s="469"/>
      <c r="E211" s="469"/>
      <c r="F211" s="469"/>
      <c r="G211" s="469"/>
      <c r="H211" s="469"/>
      <c r="I211" s="469"/>
    </row>
    <row r="212">
      <c r="A212" s="469"/>
      <c r="B212" s="469"/>
      <c r="C212" s="469"/>
      <c r="D212" s="469"/>
      <c r="E212" s="469"/>
      <c r="F212" s="469"/>
      <c r="G212" s="469"/>
      <c r="H212" s="469"/>
      <c r="I212" s="469"/>
    </row>
    <row r="213">
      <c r="A213" s="469"/>
      <c r="B213" s="469"/>
      <c r="C213" s="469"/>
      <c r="D213" s="469"/>
      <c r="E213" s="469"/>
      <c r="F213" s="469"/>
      <c r="G213" s="469"/>
      <c r="H213" s="469"/>
      <c r="I213" s="469"/>
    </row>
    <row r="214">
      <c r="A214" s="469"/>
      <c r="B214" s="469"/>
      <c r="C214" s="469"/>
      <c r="D214" s="469"/>
      <c r="E214" s="469"/>
      <c r="F214" s="469"/>
      <c r="G214" s="469"/>
      <c r="H214" s="469"/>
      <c r="I214" s="469"/>
    </row>
    <row r="215">
      <c r="A215" s="469"/>
      <c r="B215" s="469"/>
      <c r="C215" s="469"/>
      <c r="D215" s="469"/>
      <c r="E215" s="469"/>
      <c r="F215" s="469"/>
      <c r="G215" s="469"/>
      <c r="H215" s="469"/>
      <c r="I215" s="469"/>
    </row>
    <row r="216">
      <c r="A216" s="469"/>
      <c r="B216" s="469"/>
      <c r="C216" s="469"/>
      <c r="D216" s="469"/>
      <c r="E216" s="469"/>
      <c r="F216" s="469"/>
      <c r="G216" s="469"/>
      <c r="H216" s="469"/>
      <c r="I216" s="469"/>
    </row>
    <row r="217">
      <c r="A217" s="469"/>
      <c r="B217" s="469"/>
      <c r="C217" s="469"/>
      <c r="D217" s="469"/>
      <c r="E217" s="469"/>
      <c r="F217" s="469"/>
      <c r="G217" s="469"/>
      <c r="H217" s="469"/>
      <c r="I217" s="469"/>
    </row>
    <row r="218">
      <c r="A218" s="469"/>
      <c r="B218" s="469"/>
      <c r="C218" s="469"/>
      <c r="D218" s="469"/>
      <c r="E218" s="469"/>
      <c r="F218" s="469"/>
      <c r="G218" s="469"/>
      <c r="H218" s="469"/>
      <c r="I218" s="469"/>
    </row>
    <row r="219">
      <c r="A219" s="469"/>
      <c r="B219" s="469"/>
      <c r="C219" s="469"/>
      <c r="D219" s="469"/>
      <c r="E219" s="469"/>
      <c r="F219" s="469"/>
      <c r="G219" s="469"/>
      <c r="H219" s="469"/>
      <c r="I219" s="469"/>
    </row>
    <row r="220">
      <c r="A220" s="469"/>
      <c r="B220" s="469"/>
      <c r="C220" s="469"/>
      <c r="D220" s="469"/>
      <c r="E220" s="469"/>
      <c r="F220" s="469"/>
      <c r="G220" s="469"/>
      <c r="H220" s="469"/>
      <c r="I220" s="469"/>
    </row>
    <row r="221">
      <c r="A221" s="469"/>
      <c r="B221" s="469"/>
      <c r="C221" s="469"/>
      <c r="D221" s="469"/>
      <c r="E221" s="469"/>
      <c r="F221" s="469"/>
      <c r="G221" s="469"/>
      <c r="H221" s="469"/>
      <c r="I221" s="469"/>
    </row>
    <row r="222">
      <c r="A222" s="469"/>
      <c r="B222" s="469"/>
      <c r="C222" s="469"/>
      <c r="D222" s="469"/>
      <c r="E222" s="469"/>
      <c r="F222" s="469"/>
      <c r="G222" s="469"/>
      <c r="H222" s="469"/>
      <c r="I222" s="469"/>
    </row>
    <row r="223">
      <c r="A223" s="469"/>
      <c r="B223" s="469"/>
      <c r="C223" s="469"/>
      <c r="D223" s="469"/>
      <c r="E223" s="469"/>
      <c r="F223" s="469"/>
      <c r="G223" s="469"/>
      <c r="H223" s="469"/>
      <c r="I223" s="469"/>
    </row>
    <row r="224">
      <c r="A224" s="469"/>
      <c r="B224" s="469"/>
      <c r="C224" s="469"/>
      <c r="D224" s="469"/>
      <c r="E224" s="469"/>
      <c r="F224" s="469"/>
      <c r="G224" s="469"/>
      <c r="H224" s="469"/>
      <c r="I224" s="469"/>
    </row>
    <row r="225">
      <c r="A225" s="469"/>
      <c r="B225" s="469"/>
      <c r="C225" s="469"/>
      <c r="D225" s="469"/>
      <c r="E225" s="469"/>
      <c r="F225" s="469"/>
      <c r="G225" s="469"/>
      <c r="H225" s="469"/>
      <c r="I225" s="469"/>
    </row>
    <row r="226">
      <c r="A226" s="469"/>
      <c r="B226" s="469"/>
      <c r="C226" s="469"/>
      <c r="D226" s="469"/>
      <c r="E226" s="469"/>
      <c r="F226" s="469"/>
      <c r="G226" s="469"/>
      <c r="H226" s="469"/>
      <c r="I226" s="469"/>
    </row>
    <row r="227">
      <c r="A227" s="469"/>
      <c r="B227" s="469"/>
      <c r="C227" s="469"/>
      <c r="D227" s="469"/>
      <c r="E227" s="469"/>
      <c r="F227" s="469"/>
      <c r="G227" s="469"/>
      <c r="H227" s="469"/>
      <c r="I227" s="469"/>
    </row>
    <row r="228">
      <c r="A228" s="469"/>
      <c r="B228" s="469"/>
      <c r="C228" s="469"/>
      <c r="D228" s="469"/>
      <c r="E228" s="469"/>
      <c r="F228" s="469"/>
      <c r="G228" s="469"/>
      <c r="H228" s="469"/>
      <c r="I228" s="469"/>
    </row>
    <row r="229">
      <c r="A229" s="469"/>
      <c r="B229" s="469"/>
      <c r="C229" s="469"/>
      <c r="D229" s="469"/>
      <c r="E229" s="469"/>
      <c r="F229" s="469"/>
      <c r="G229" s="469"/>
      <c r="H229" s="469"/>
      <c r="I229" s="469"/>
    </row>
    <row r="230">
      <c r="A230" s="469"/>
      <c r="B230" s="469"/>
      <c r="C230" s="469"/>
      <c r="D230" s="469"/>
      <c r="E230" s="469"/>
      <c r="F230" s="469"/>
      <c r="G230" s="469"/>
      <c r="H230" s="469"/>
      <c r="I230" s="469"/>
    </row>
    <row r="231">
      <c r="A231" s="469"/>
      <c r="B231" s="469"/>
      <c r="C231" s="469"/>
      <c r="D231" s="469"/>
      <c r="E231" s="469"/>
      <c r="F231" s="469"/>
      <c r="G231" s="469"/>
      <c r="H231" s="469"/>
      <c r="I231" s="469"/>
    </row>
    <row r="232">
      <c r="A232" s="469"/>
      <c r="B232" s="469"/>
      <c r="C232" s="469"/>
      <c r="D232" s="469"/>
      <c r="E232" s="469"/>
      <c r="F232" s="469"/>
      <c r="G232" s="469"/>
      <c r="H232" s="469"/>
      <c r="I232" s="469"/>
    </row>
    <row r="233">
      <c r="A233" s="469"/>
      <c r="B233" s="469"/>
      <c r="C233" s="469"/>
      <c r="D233" s="469"/>
      <c r="E233" s="469"/>
      <c r="F233" s="469"/>
      <c r="G233" s="469"/>
      <c r="H233" s="469"/>
      <c r="I233" s="469"/>
    </row>
    <row r="234">
      <c r="A234" s="469"/>
      <c r="B234" s="469"/>
      <c r="C234" s="469"/>
      <c r="D234" s="469"/>
      <c r="E234" s="469"/>
      <c r="F234" s="469"/>
      <c r="G234" s="469"/>
      <c r="H234" s="469"/>
      <c r="I234" s="469"/>
    </row>
    <row r="235">
      <c r="A235" s="469"/>
      <c r="B235" s="469"/>
      <c r="C235" s="469"/>
      <c r="D235" s="469"/>
      <c r="E235" s="469"/>
      <c r="F235" s="469"/>
      <c r="G235" s="469"/>
      <c r="H235" s="469"/>
      <c r="I235" s="469"/>
    </row>
    <row r="236">
      <c r="A236" s="469"/>
      <c r="B236" s="469"/>
      <c r="C236" s="469"/>
      <c r="D236" s="469"/>
      <c r="E236" s="469"/>
      <c r="F236" s="469"/>
      <c r="G236" s="469"/>
      <c r="H236" s="469"/>
      <c r="I236" s="469"/>
    </row>
    <row r="237">
      <c r="A237" s="469"/>
      <c r="B237" s="469"/>
      <c r="C237" s="469"/>
      <c r="D237" s="469"/>
      <c r="E237" s="469"/>
      <c r="F237" s="469"/>
      <c r="G237" s="469"/>
      <c r="H237" s="469"/>
      <c r="I237" s="469"/>
    </row>
    <row r="238">
      <c r="A238" s="469"/>
      <c r="B238" s="469"/>
      <c r="C238" s="469"/>
      <c r="D238" s="469"/>
      <c r="E238" s="469"/>
      <c r="F238" s="469"/>
      <c r="G238" s="469"/>
      <c r="H238" s="469"/>
      <c r="I238" s="469"/>
    </row>
    <row r="239">
      <c r="A239" s="469"/>
      <c r="B239" s="469"/>
      <c r="C239" s="469"/>
      <c r="D239" s="469"/>
      <c r="E239" s="469"/>
      <c r="F239" s="469"/>
      <c r="G239" s="469"/>
      <c r="H239" s="469"/>
      <c r="I239" s="469"/>
    </row>
    <row r="240">
      <c r="A240" s="469"/>
      <c r="B240" s="469"/>
      <c r="C240" s="469"/>
      <c r="D240" s="469"/>
      <c r="E240" s="469"/>
      <c r="F240" s="469"/>
      <c r="G240" s="469"/>
      <c r="H240" s="469"/>
      <c r="I240" s="469"/>
    </row>
    <row r="241">
      <c r="A241" s="469"/>
      <c r="B241" s="469"/>
      <c r="C241" s="469"/>
      <c r="D241" s="469"/>
      <c r="E241" s="469"/>
      <c r="F241" s="469"/>
      <c r="G241" s="469"/>
      <c r="H241" s="469"/>
      <c r="I241" s="469"/>
    </row>
    <row r="242">
      <c r="A242" s="469"/>
      <c r="B242" s="469"/>
      <c r="C242" s="469"/>
      <c r="D242" s="469"/>
      <c r="E242" s="469"/>
      <c r="F242" s="469"/>
      <c r="G242" s="469"/>
      <c r="H242" s="469"/>
      <c r="I242" s="469"/>
    </row>
    <row r="243">
      <c r="A243" s="469"/>
      <c r="B243" s="469"/>
      <c r="C243" s="469"/>
      <c r="D243" s="469"/>
      <c r="E243" s="469"/>
      <c r="F243" s="469"/>
      <c r="G243" s="469"/>
      <c r="H243" s="469"/>
      <c r="I243" s="469"/>
    </row>
    <row r="244">
      <c r="A244" s="469"/>
      <c r="B244" s="469"/>
      <c r="C244" s="469"/>
      <c r="D244" s="469"/>
      <c r="E244" s="469"/>
      <c r="F244" s="469"/>
      <c r="G244" s="469"/>
      <c r="H244" s="469"/>
      <c r="I244" s="469"/>
    </row>
    <row r="245">
      <c r="A245" s="469"/>
      <c r="B245" s="469"/>
      <c r="C245" s="469"/>
      <c r="D245" s="469"/>
      <c r="E245" s="469"/>
      <c r="F245" s="469"/>
      <c r="G245" s="469"/>
      <c r="H245" s="469"/>
      <c r="I245" s="469"/>
    </row>
    <row r="246">
      <c r="A246" s="469"/>
      <c r="B246" s="469"/>
      <c r="C246" s="469"/>
      <c r="D246" s="469"/>
      <c r="E246" s="469"/>
      <c r="F246" s="469"/>
      <c r="G246" s="469"/>
      <c r="H246" s="469"/>
      <c r="I246" s="469"/>
    </row>
    <row r="247">
      <c r="A247" s="469"/>
      <c r="B247" s="469"/>
      <c r="C247" s="469"/>
      <c r="D247" s="469"/>
      <c r="E247" s="469"/>
      <c r="F247" s="469"/>
      <c r="G247" s="469"/>
      <c r="H247" s="469"/>
      <c r="I247" s="469"/>
    </row>
    <row r="248">
      <c r="A248" s="469"/>
      <c r="B248" s="469"/>
      <c r="C248" s="469"/>
      <c r="D248" s="469"/>
      <c r="E248" s="469"/>
      <c r="F248" s="469"/>
      <c r="G248" s="469"/>
      <c r="H248" s="469"/>
      <c r="I248" s="469"/>
    </row>
    <row r="249">
      <c r="A249" s="469"/>
      <c r="B249" s="469"/>
      <c r="C249" s="469"/>
      <c r="D249" s="469"/>
      <c r="E249" s="469"/>
      <c r="F249" s="469"/>
      <c r="G249" s="469"/>
      <c r="H249" s="469"/>
      <c r="I249" s="469"/>
    </row>
    <row r="250">
      <c r="A250" s="469"/>
      <c r="B250" s="469"/>
      <c r="C250" s="469"/>
      <c r="D250" s="469"/>
      <c r="E250" s="469"/>
      <c r="F250" s="469"/>
      <c r="G250" s="469"/>
      <c r="H250" s="469"/>
      <c r="I250" s="469"/>
    </row>
    <row r="251">
      <c r="A251" s="469"/>
      <c r="B251" s="469"/>
      <c r="C251" s="469"/>
      <c r="D251" s="469"/>
      <c r="E251" s="469"/>
      <c r="F251" s="469"/>
      <c r="G251" s="469"/>
      <c r="H251" s="469"/>
      <c r="I251" s="469"/>
    </row>
    <row r="252">
      <c r="A252" s="469"/>
      <c r="B252" s="469"/>
      <c r="C252" s="469"/>
      <c r="D252" s="469"/>
      <c r="E252" s="469"/>
      <c r="F252" s="469"/>
      <c r="G252" s="469"/>
      <c r="H252" s="469"/>
      <c r="I252" s="469"/>
    </row>
    <row r="253">
      <c r="A253" s="469"/>
      <c r="B253" s="469"/>
      <c r="C253" s="469"/>
      <c r="D253" s="469"/>
      <c r="E253" s="469"/>
      <c r="F253" s="469"/>
      <c r="G253" s="469"/>
      <c r="H253" s="469"/>
      <c r="I253" s="469"/>
    </row>
    <row r="254">
      <c r="A254" s="469"/>
      <c r="B254" s="469"/>
      <c r="C254" s="469"/>
      <c r="D254" s="469"/>
      <c r="E254" s="469"/>
      <c r="F254" s="469"/>
      <c r="G254" s="469"/>
      <c r="H254" s="469"/>
      <c r="I254" s="469"/>
    </row>
    <row r="255">
      <c r="A255" s="469"/>
      <c r="B255" s="469"/>
      <c r="C255" s="469"/>
      <c r="D255" s="469"/>
      <c r="E255" s="469"/>
      <c r="F255" s="469"/>
      <c r="G255" s="469"/>
      <c r="H255" s="469"/>
      <c r="I255" s="469"/>
    </row>
    <row r="256">
      <c r="A256" s="469"/>
      <c r="B256" s="469"/>
      <c r="C256" s="469"/>
      <c r="D256" s="469"/>
      <c r="E256" s="469"/>
      <c r="F256" s="469"/>
      <c r="G256" s="469"/>
      <c r="H256" s="469"/>
      <c r="I256" s="469"/>
    </row>
    <row r="257">
      <c r="A257" s="469"/>
      <c r="B257" s="469"/>
      <c r="C257" s="469"/>
      <c r="D257" s="469"/>
      <c r="E257" s="469"/>
      <c r="F257" s="469"/>
      <c r="G257" s="469"/>
      <c r="H257" s="469"/>
      <c r="I257" s="469"/>
    </row>
    <row r="258">
      <c r="A258" s="469"/>
      <c r="B258" s="469"/>
      <c r="C258" s="469"/>
      <c r="D258" s="469"/>
      <c r="E258" s="469"/>
      <c r="F258" s="469"/>
      <c r="G258" s="469"/>
      <c r="H258" s="469"/>
      <c r="I258" s="469"/>
    </row>
    <row r="259">
      <c r="A259" s="469"/>
      <c r="B259" s="469"/>
      <c r="C259" s="469"/>
      <c r="D259" s="469"/>
      <c r="E259" s="469"/>
      <c r="F259" s="469"/>
      <c r="G259" s="469"/>
      <c r="H259" s="469"/>
      <c r="I259" s="469"/>
    </row>
    <row r="260">
      <c r="A260" s="469"/>
      <c r="B260" s="469"/>
      <c r="C260" s="469"/>
      <c r="D260" s="469"/>
      <c r="E260" s="469"/>
      <c r="F260" s="469"/>
      <c r="G260" s="469"/>
      <c r="H260" s="469"/>
      <c r="I260" s="469"/>
    </row>
    <row r="261">
      <c r="A261" s="469"/>
      <c r="B261" s="469"/>
      <c r="C261" s="469"/>
      <c r="D261" s="469"/>
      <c r="E261" s="469"/>
      <c r="F261" s="469"/>
      <c r="G261" s="469"/>
      <c r="H261" s="469"/>
      <c r="I261" s="469"/>
    </row>
    <row r="262">
      <c r="A262" s="469"/>
      <c r="B262" s="469"/>
      <c r="C262" s="469"/>
      <c r="D262" s="469"/>
      <c r="E262" s="469"/>
      <c r="F262" s="469"/>
      <c r="G262" s="469"/>
      <c r="H262" s="469"/>
      <c r="I262" s="469"/>
    </row>
    <row r="263">
      <c r="A263" s="469"/>
      <c r="B263" s="469"/>
      <c r="C263" s="469"/>
      <c r="D263" s="469"/>
      <c r="E263" s="469"/>
      <c r="F263" s="469"/>
      <c r="G263" s="469"/>
      <c r="H263" s="469"/>
      <c r="I263" s="469"/>
    </row>
    <row r="264">
      <c r="A264" s="469"/>
      <c r="B264" s="469"/>
      <c r="C264" s="469"/>
      <c r="D264" s="469"/>
      <c r="E264" s="469"/>
      <c r="F264" s="469"/>
      <c r="G264" s="469"/>
      <c r="H264" s="469"/>
      <c r="I264" s="469"/>
    </row>
    <row r="265">
      <c r="A265" s="469"/>
      <c r="B265" s="469"/>
      <c r="C265" s="469"/>
      <c r="D265" s="469"/>
      <c r="E265" s="469"/>
      <c r="F265" s="469"/>
      <c r="G265" s="469"/>
      <c r="H265" s="469"/>
      <c r="I265" s="469"/>
    </row>
    <row r="266">
      <c r="A266" s="469"/>
      <c r="B266" s="469"/>
      <c r="C266" s="469"/>
      <c r="D266" s="469"/>
      <c r="E266" s="469"/>
      <c r="F266" s="469"/>
      <c r="G266" s="469"/>
      <c r="H266" s="469"/>
      <c r="I266" s="469"/>
    </row>
    <row r="267">
      <c r="A267" s="469"/>
      <c r="B267" s="469"/>
      <c r="C267" s="469"/>
      <c r="D267" s="469"/>
      <c r="E267" s="469"/>
      <c r="F267" s="469"/>
      <c r="G267" s="469"/>
      <c r="H267" s="469"/>
      <c r="I267" s="469"/>
    </row>
    <row r="268">
      <c r="A268" s="469"/>
      <c r="B268" s="469"/>
      <c r="C268" s="469"/>
      <c r="D268" s="469"/>
      <c r="E268" s="469"/>
      <c r="F268" s="469"/>
      <c r="G268" s="469"/>
      <c r="H268" s="469"/>
      <c r="I268" s="469"/>
    </row>
    <row r="269">
      <c r="A269" s="469"/>
      <c r="B269" s="469"/>
      <c r="C269" s="469"/>
      <c r="D269" s="469"/>
      <c r="E269" s="469"/>
      <c r="F269" s="469"/>
      <c r="G269" s="469"/>
      <c r="H269" s="469"/>
      <c r="I269" s="469"/>
    </row>
    <row r="270">
      <c r="A270" s="469"/>
      <c r="B270" s="469"/>
      <c r="C270" s="469"/>
      <c r="D270" s="469"/>
      <c r="E270" s="469"/>
      <c r="F270" s="469"/>
      <c r="G270" s="469"/>
      <c r="H270" s="469"/>
      <c r="I270" s="469"/>
    </row>
    <row r="271">
      <c r="A271" s="469"/>
      <c r="B271" s="469"/>
      <c r="C271" s="469"/>
      <c r="D271" s="469"/>
      <c r="E271" s="469"/>
      <c r="F271" s="469"/>
      <c r="G271" s="469"/>
      <c r="H271" s="469"/>
      <c r="I271" s="469"/>
    </row>
    <row r="272">
      <c r="A272" s="469"/>
      <c r="B272" s="469"/>
      <c r="C272" s="469"/>
      <c r="D272" s="469"/>
      <c r="E272" s="469"/>
      <c r="F272" s="469"/>
      <c r="G272" s="469"/>
      <c r="H272" s="469"/>
      <c r="I272" s="469"/>
    </row>
    <row r="273">
      <c r="A273" s="469"/>
      <c r="B273" s="469"/>
      <c r="C273" s="469"/>
      <c r="D273" s="469"/>
      <c r="E273" s="469"/>
      <c r="F273" s="469"/>
      <c r="G273" s="469"/>
      <c r="H273" s="469"/>
      <c r="I273" s="469"/>
    </row>
    <row r="274">
      <c r="A274" s="469"/>
      <c r="B274" s="469"/>
      <c r="C274" s="469"/>
      <c r="D274" s="469"/>
      <c r="E274" s="469"/>
      <c r="F274" s="469"/>
      <c r="G274" s="469"/>
      <c r="H274" s="469"/>
      <c r="I274" s="469"/>
    </row>
    <row r="275">
      <c r="A275" s="469"/>
      <c r="B275" s="469"/>
      <c r="C275" s="469"/>
      <c r="D275" s="469"/>
      <c r="E275" s="469"/>
      <c r="F275" s="469"/>
      <c r="G275" s="469"/>
      <c r="H275" s="469"/>
      <c r="I275" s="469"/>
    </row>
    <row r="276">
      <c r="A276" s="469"/>
      <c r="B276" s="469"/>
      <c r="C276" s="469"/>
      <c r="D276" s="469"/>
      <c r="E276" s="469"/>
      <c r="F276" s="469"/>
      <c r="G276" s="469"/>
      <c r="H276" s="469"/>
      <c r="I276" s="469"/>
    </row>
    <row r="277">
      <c r="A277" s="469"/>
      <c r="B277" s="469"/>
      <c r="C277" s="469"/>
      <c r="D277" s="469"/>
      <c r="E277" s="469"/>
      <c r="F277" s="469"/>
      <c r="G277" s="469"/>
      <c r="H277" s="469"/>
      <c r="I277" s="469"/>
    </row>
    <row r="278">
      <c r="A278" s="469"/>
      <c r="B278" s="469"/>
      <c r="C278" s="469"/>
      <c r="D278" s="469"/>
      <c r="E278" s="469"/>
      <c r="F278" s="469"/>
      <c r="G278" s="469"/>
      <c r="H278" s="469"/>
      <c r="I278" s="469"/>
    </row>
    <row r="279">
      <c r="A279" s="469"/>
      <c r="B279" s="469"/>
      <c r="C279" s="469"/>
      <c r="D279" s="469"/>
      <c r="E279" s="469"/>
      <c r="F279" s="469"/>
      <c r="G279" s="469"/>
      <c r="H279" s="469"/>
      <c r="I279" s="469"/>
    </row>
    <row r="280">
      <c r="A280" s="469"/>
      <c r="B280" s="469"/>
      <c r="C280" s="469"/>
      <c r="D280" s="469"/>
      <c r="E280" s="469"/>
      <c r="F280" s="469"/>
      <c r="G280" s="469"/>
      <c r="H280" s="469"/>
      <c r="I280" s="469"/>
    </row>
    <row r="281">
      <c r="A281" s="469"/>
      <c r="B281" s="469"/>
      <c r="C281" s="469"/>
      <c r="D281" s="469"/>
      <c r="E281" s="469"/>
      <c r="F281" s="469"/>
      <c r="G281" s="469"/>
      <c r="H281" s="469"/>
      <c r="I281" s="469"/>
    </row>
    <row r="282">
      <c r="A282" s="469"/>
      <c r="B282" s="469"/>
      <c r="C282" s="469"/>
      <c r="D282" s="469"/>
      <c r="E282" s="469"/>
      <c r="F282" s="469"/>
      <c r="G282" s="469"/>
      <c r="H282" s="469"/>
      <c r="I282" s="469"/>
    </row>
    <row r="283">
      <c r="A283" s="469"/>
      <c r="B283" s="469"/>
      <c r="C283" s="469"/>
      <c r="D283" s="469"/>
      <c r="E283" s="469"/>
      <c r="F283" s="469"/>
      <c r="G283" s="469"/>
      <c r="H283" s="469"/>
      <c r="I283" s="469"/>
    </row>
    <row r="284">
      <c r="A284" s="469"/>
      <c r="B284" s="469"/>
      <c r="C284" s="469"/>
      <c r="D284" s="469"/>
      <c r="E284" s="469"/>
      <c r="F284" s="469"/>
      <c r="G284" s="469"/>
      <c r="H284" s="469"/>
      <c r="I284" s="469"/>
    </row>
    <row r="285">
      <c r="A285" s="469"/>
      <c r="B285" s="469"/>
      <c r="C285" s="469"/>
      <c r="D285" s="469"/>
      <c r="E285" s="469"/>
      <c r="F285" s="469"/>
      <c r="G285" s="469"/>
      <c r="H285" s="469"/>
      <c r="I285" s="469"/>
    </row>
    <row r="286">
      <c r="A286" s="469"/>
      <c r="B286" s="469"/>
      <c r="C286" s="469"/>
      <c r="D286" s="469"/>
      <c r="E286" s="469"/>
      <c r="F286" s="469"/>
      <c r="G286" s="469"/>
      <c r="H286" s="469"/>
      <c r="I286" s="469"/>
    </row>
    <row r="287">
      <c r="A287" s="469"/>
      <c r="B287" s="469"/>
      <c r="C287" s="469"/>
      <c r="D287" s="469"/>
      <c r="E287" s="469"/>
      <c r="F287" s="469"/>
      <c r="G287" s="469"/>
      <c r="H287" s="469"/>
      <c r="I287" s="469"/>
    </row>
    <row r="288">
      <c r="A288" s="469"/>
      <c r="B288" s="469"/>
      <c r="C288" s="469"/>
      <c r="D288" s="469"/>
      <c r="E288" s="469"/>
      <c r="F288" s="469"/>
      <c r="G288" s="469"/>
      <c r="H288" s="469"/>
      <c r="I288" s="469"/>
    </row>
    <row r="289">
      <c r="A289" s="469"/>
      <c r="B289" s="469"/>
      <c r="C289" s="469"/>
      <c r="D289" s="469"/>
      <c r="E289" s="469"/>
      <c r="F289" s="469"/>
      <c r="G289" s="469"/>
      <c r="H289" s="469"/>
      <c r="I289" s="469"/>
    </row>
    <row r="290">
      <c r="A290" s="469"/>
      <c r="B290" s="469"/>
      <c r="C290" s="469"/>
      <c r="D290" s="469"/>
      <c r="E290" s="469"/>
      <c r="F290" s="469"/>
      <c r="G290" s="469"/>
      <c r="H290" s="469"/>
      <c r="I290" s="469"/>
    </row>
    <row r="291">
      <c r="A291" s="469"/>
      <c r="B291" s="469"/>
      <c r="C291" s="469"/>
      <c r="D291" s="469"/>
      <c r="E291" s="469"/>
      <c r="F291" s="469"/>
      <c r="G291" s="469"/>
      <c r="H291" s="469"/>
      <c r="I291" s="469"/>
    </row>
    <row r="292">
      <c r="A292" s="469"/>
      <c r="B292" s="469"/>
      <c r="C292" s="469"/>
      <c r="D292" s="469"/>
      <c r="E292" s="469"/>
      <c r="F292" s="469"/>
      <c r="G292" s="469"/>
      <c r="H292" s="469"/>
      <c r="I292" s="469"/>
    </row>
    <row r="293">
      <c r="A293" s="469"/>
      <c r="B293" s="469"/>
      <c r="C293" s="469"/>
      <c r="D293" s="469"/>
      <c r="E293" s="469"/>
      <c r="F293" s="469"/>
      <c r="G293" s="469"/>
      <c r="H293" s="469"/>
      <c r="I293" s="469"/>
    </row>
    <row r="294">
      <c r="A294" s="469"/>
      <c r="B294" s="469"/>
      <c r="C294" s="469"/>
      <c r="D294" s="469"/>
      <c r="E294" s="469"/>
      <c r="F294" s="469"/>
      <c r="G294" s="469"/>
      <c r="H294" s="469"/>
      <c r="I294" s="469"/>
    </row>
    <row r="295">
      <c r="A295" s="469"/>
      <c r="B295" s="469"/>
      <c r="C295" s="469"/>
      <c r="D295" s="469"/>
      <c r="E295" s="469"/>
      <c r="F295" s="469"/>
      <c r="G295" s="469"/>
      <c r="H295" s="469"/>
      <c r="I295" s="469"/>
    </row>
    <row r="296">
      <c r="A296" s="469"/>
      <c r="B296" s="469"/>
      <c r="C296" s="469"/>
      <c r="D296" s="469"/>
      <c r="E296" s="469"/>
      <c r="F296" s="469"/>
      <c r="G296" s="469"/>
      <c r="H296" s="469"/>
      <c r="I296" s="469"/>
    </row>
    <row r="297">
      <c r="A297" s="469"/>
      <c r="B297" s="469"/>
      <c r="C297" s="469"/>
      <c r="D297" s="469"/>
      <c r="E297" s="469"/>
      <c r="F297" s="469"/>
      <c r="G297" s="469"/>
      <c r="H297" s="469"/>
      <c r="I297" s="469"/>
    </row>
    <row r="298">
      <c r="A298" s="469"/>
      <c r="B298" s="469"/>
      <c r="C298" s="469"/>
      <c r="D298" s="469"/>
      <c r="E298" s="469"/>
      <c r="F298" s="469"/>
      <c r="G298" s="469"/>
      <c r="H298" s="469"/>
      <c r="I298" s="469"/>
    </row>
    <row r="299">
      <c r="A299" s="469"/>
      <c r="B299" s="469"/>
      <c r="C299" s="469"/>
      <c r="D299" s="469"/>
      <c r="E299" s="469"/>
      <c r="F299" s="469"/>
      <c r="G299" s="469"/>
      <c r="H299" s="469"/>
      <c r="I299" s="469"/>
    </row>
    <row r="300">
      <c r="A300" s="469"/>
      <c r="B300" s="469"/>
      <c r="C300" s="469"/>
      <c r="D300" s="469"/>
      <c r="E300" s="469"/>
      <c r="F300" s="469"/>
      <c r="G300" s="469"/>
      <c r="H300" s="469"/>
      <c r="I300" s="469"/>
    </row>
    <row r="301">
      <c r="A301" s="469"/>
      <c r="B301" s="469"/>
      <c r="C301" s="469"/>
      <c r="D301" s="469"/>
      <c r="E301" s="469"/>
      <c r="F301" s="469"/>
      <c r="G301" s="469"/>
      <c r="H301" s="469"/>
      <c r="I301" s="469"/>
    </row>
    <row r="302">
      <c r="A302" s="469"/>
      <c r="B302" s="469"/>
      <c r="C302" s="469"/>
      <c r="D302" s="469"/>
      <c r="E302" s="469"/>
      <c r="F302" s="469"/>
      <c r="G302" s="469"/>
      <c r="H302" s="469"/>
      <c r="I302" s="469"/>
    </row>
    <row r="303">
      <c r="A303" s="469"/>
      <c r="B303" s="469"/>
      <c r="C303" s="469"/>
      <c r="D303" s="469"/>
      <c r="E303" s="469"/>
      <c r="F303" s="469"/>
      <c r="G303" s="469"/>
      <c r="H303" s="469"/>
      <c r="I303" s="469"/>
    </row>
    <row r="304">
      <c r="A304" s="469"/>
      <c r="B304" s="469"/>
      <c r="C304" s="469"/>
      <c r="D304" s="469"/>
      <c r="E304" s="469"/>
      <c r="F304" s="469"/>
      <c r="G304" s="469"/>
      <c r="H304" s="469"/>
      <c r="I304" s="469"/>
    </row>
    <row r="305">
      <c r="A305" s="469"/>
      <c r="B305" s="469"/>
      <c r="C305" s="469"/>
      <c r="D305" s="469"/>
      <c r="E305" s="469"/>
      <c r="F305" s="469"/>
      <c r="G305" s="469"/>
      <c r="H305" s="469"/>
      <c r="I305" s="469"/>
    </row>
    <row r="306">
      <c r="A306" s="469"/>
      <c r="B306" s="469"/>
      <c r="C306" s="469"/>
      <c r="D306" s="469"/>
      <c r="E306" s="469"/>
      <c r="F306" s="469"/>
      <c r="G306" s="469"/>
      <c r="H306" s="469"/>
      <c r="I306" s="469"/>
    </row>
    <row r="307">
      <c r="A307" s="469"/>
      <c r="B307" s="469"/>
      <c r="C307" s="469"/>
      <c r="D307" s="469"/>
      <c r="E307" s="469"/>
      <c r="F307" s="469"/>
      <c r="G307" s="469"/>
      <c r="H307" s="469"/>
      <c r="I307" s="469"/>
    </row>
    <row r="308">
      <c r="A308" s="469"/>
      <c r="B308" s="469"/>
      <c r="C308" s="469"/>
      <c r="D308" s="469"/>
      <c r="E308" s="469"/>
      <c r="F308" s="469"/>
      <c r="G308" s="469"/>
      <c r="H308" s="469"/>
      <c r="I308" s="469"/>
    </row>
    <row r="309">
      <c r="A309" s="469"/>
      <c r="B309" s="469"/>
      <c r="C309" s="469"/>
      <c r="D309" s="469"/>
      <c r="E309" s="469"/>
      <c r="F309" s="469"/>
      <c r="G309" s="469"/>
      <c r="H309" s="469"/>
      <c r="I309" s="469"/>
    </row>
    <row r="310">
      <c r="A310" s="469"/>
      <c r="B310" s="469"/>
      <c r="C310" s="469"/>
      <c r="D310" s="469"/>
      <c r="E310" s="469"/>
      <c r="F310" s="469"/>
      <c r="G310" s="469"/>
      <c r="H310" s="469"/>
      <c r="I310" s="469"/>
    </row>
    <row r="311">
      <c r="A311" s="469"/>
      <c r="B311" s="469"/>
      <c r="C311" s="469"/>
      <c r="D311" s="469"/>
      <c r="E311" s="469"/>
      <c r="F311" s="469"/>
      <c r="G311" s="469"/>
      <c r="H311" s="469"/>
      <c r="I311" s="469"/>
    </row>
    <row r="312">
      <c r="A312" s="469"/>
      <c r="B312" s="469"/>
      <c r="C312" s="469"/>
      <c r="D312" s="469"/>
      <c r="E312" s="469"/>
      <c r="F312" s="469"/>
      <c r="G312" s="469"/>
      <c r="H312" s="469"/>
      <c r="I312" s="469"/>
    </row>
    <row r="313">
      <c r="A313" s="469"/>
      <c r="B313" s="469"/>
      <c r="C313" s="469"/>
      <c r="D313" s="469"/>
      <c r="E313" s="469"/>
      <c r="F313" s="469"/>
      <c r="G313" s="469"/>
      <c r="H313" s="469"/>
      <c r="I313" s="469"/>
    </row>
    <row r="314">
      <c r="A314" s="469"/>
      <c r="B314" s="469"/>
      <c r="C314" s="469"/>
      <c r="D314" s="469"/>
      <c r="E314" s="469"/>
      <c r="F314" s="469"/>
      <c r="G314" s="469"/>
      <c r="H314" s="469"/>
      <c r="I314" s="469"/>
    </row>
    <row r="315">
      <c r="A315" s="469"/>
      <c r="B315" s="469"/>
      <c r="C315" s="469"/>
      <c r="D315" s="469"/>
      <c r="E315" s="469"/>
      <c r="F315" s="469"/>
      <c r="G315" s="469"/>
      <c r="H315" s="469"/>
      <c r="I315" s="469"/>
    </row>
    <row r="316">
      <c r="A316" s="469"/>
      <c r="B316" s="469"/>
      <c r="C316" s="469"/>
      <c r="D316" s="469"/>
      <c r="E316" s="469"/>
      <c r="F316" s="469"/>
      <c r="G316" s="469"/>
      <c r="H316" s="469"/>
      <c r="I316" s="469"/>
    </row>
    <row r="317">
      <c r="A317" s="469"/>
      <c r="B317" s="469"/>
      <c r="C317" s="469"/>
      <c r="D317" s="469"/>
      <c r="E317" s="469"/>
      <c r="F317" s="469"/>
      <c r="G317" s="469"/>
      <c r="H317" s="469"/>
      <c r="I317" s="469"/>
    </row>
    <row r="318">
      <c r="A318" s="469"/>
      <c r="B318" s="469"/>
      <c r="C318" s="469"/>
      <c r="D318" s="469"/>
      <c r="E318" s="469"/>
      <c r="F318" s="469"/>
      <c r="G318" s="469"/>
      <c r="H318" s="469"/>
      <c r="I318" s="469"/>
    </row>
    <row r="319">
      <c r="A319" s="469"/>
      <c r="B319" s="469"/>
      <c r="C319" s="469"/>
      <c r="D319" s="469"/>
      <c r="E319" s="469"/>
      <c r="F319" s="469"/>
      <c r="G319" s="469"/>
      <c r="H319" s="469"/>
      <c r="I319" s="469"/>
    </row>
    <row r="320">
      <c r="A320" s="469"/>
      <c r="B320" s="469"/>
      <c r="C320" s="469"/>
      <c r="D320" s="469"/>
      <c r="E320" s="469"/>
      <c r="F320" s="469"/>
      <c r="G320" s="469"/>
      <c r="H320" s="469"/>
      <c r="I320" s="469"/>
    </row>
    <row r="321">
      <c r="A321" s="469"/>
      <c r="B321" s="469"/>
      <c r="C321" s="469"/>
      <c r="D321" s="469"/>
      <c r="E321" s="469"/>
      <c r="F321" s="469"/>
      <c r="G321" s="469"/>
      <c r="H321" s="469"/>
      <c r="I321" s="469"/>
    </row>
    <row r="322">
      <c r="A322" s="469"/>
      <c r="B322" s="469"/>
      <c r="C322" s="469"/>
      <c r="D322" s="469"/>
      <c r="E322" s="469"/>
      <c r="F322" s="469"/>
      <c r="G322" s="469"/>
      <c r="H322" s="469"/>
      <c r="I322" s="469"/>
    </row>
    <row r="323">
      <c r="A323" s="469"/>
      <c r="B323" s="469"/>
      <c r="C323" s="469"/>
      <c r="D323" s="469"/>
      <c r="E323" s="469"/>
      <c r="F323" s="469"/>
      <c r="G323" s="469"/>
      <c r="H323" s="469"/>
      <c r="I323" s="469"/>
    </row>
    <row r="324">
      <c r="A324" s="469"/>
      <c r="B324" s="469"/>
      <c r="C324" s="469"/>
      <c r="D324" s="469"/>
      <c r="E324" s="469"/>
      <c r="F324" s="469"/>
      <c r="G324" s="469"/>
      <c r="H324" s="469"/>
      <c r="I324" s="469"/>
    </row>
    <row r="325">
      <c r="A325" s="469"/>
      <c r="B325" s="469"/>
      <c r="C325" s="469"/>
      <c r="D325" s="469"/>
      <c r="E325" s="469"/>
      <c r="F325" s="469"/>
      <c r="G325" s="469"/>
      <c r="H325" s="469"/>
      <c r="I325" s="469"/>
    </row>
    <row r="326">
      <c r="A326" s="469"/>
      <c r="B326" s="469"/>
      <c r="C326" s="469"/>
      <c r="D326" s="469"/>
      <c r="E326" s="469"/>
      <c r="F326" s="469"/>
      <c r="G326" s="469"/>
      <c r="H326" s="469"/>
      <c r="I326" s="469"/>
    </row>
    <row r="327">
      <c r="A327" s="469"/>
      <c r="B327" s="469"/>
      <c r="C327" s="469"/>
      <c r="D327" s="469"/>
      <c r="E327" s="469"/>
      <c r="F327" s="469"/>
      <c r="G327" s="469"/>
      <c r="H327" s="469"/>
      <c r="I327" s="469"/>
    </row>
    <row r="328">
      <c r="A328" s="469"/>
      <c r="B328" s="469"/>
      <c r="C328" s="469"/>
      <c r="D328" s="469"/>
      <c r="E328" s="469"/>
      <c r="F328" s="469"/>
      <c r="G328" s="469"/>
      <c r="H328" s="469"/>
      <c r="I328" s="469"/>
    </row>
    <row r="329">
      <c r="A329" s="469"/>
      <c r="B329" s="469"/>
      <c r="C329" s="469"/>
      <c r="D329" s="469"/>
      <c r="E329" s="469"/>
      <c r="F329" s="469"/>
      <c r="G329" s="469"/>
      <c r="H329" s="469"/>
      <c r="I329" s="469"/>
    </row>
    <row r="330">
      <c r="A330" s="469"/>
      <c r="B330" s="469"/>
      <c r="C330" s="469"/>
      <c r="D330" s="469"/>
      <c r="E330" s="469"/>
      <c r="F330" s="469"/>
      <c r="G330" s="469"/>
      <c r="H330" s="469"/>
      <c r="I330" s="469"/>
    </row>
    <row r="331">
      <c r="A331" s="469"/>
      <c r="B331" s="469"/>
      <c r="C331" s="469"/>
      <c r="D331" s="469"/>
      <c r="E331" s="469"/>
      <c r="F331" s="469"/>
      <c r="G331" s="469"/>
      <c r="H331" s="469"/>
      <c r="I331" s="469"/>
    </row>
    <row r="332">
      <c r="A332" s="469"/>
      <c r="B332" s="469"/>
      <c r="C332" s="469"/>
      <c r="D332" s="469"/>
      <c r="E332" s="469"/>
      <c r="F332" s="469"/>
      <c r="G332" s="469"/>
      <c r="H332" s="469"/>
      <c r="I332" s="469"/>
    </row>
    <row r="333">
      <c r="A333" s="469"/>
      <c r="B333" s="469"/>
      <c r="C333" s="469"/>
      <c r="D333" s="469"/>
      <c r="E333" s="469"/>
      <c r="F333" s="469"/>
      <c r="G333" s="469"/>
      <c r="H333" s="469"/>
      <c r="I333" s="469"/>
    </row>
    <row r="334">
      <c r="A334" s="469"/>
      <c r="B334" s="469"/>
      <c r="C334" s="469"/>
      <c r="D334" s="469"/>
      <c r="E334" s="469"/>
      <c r="F334" s="469"/>
      <c r="G334" s="469"/>
      <c r="H334" s="469"/>
      <c r="I334" s="469"/>
    </row>
    <row r="335">
      <c r="A335" s="469"/>
      <c r="B335" s="469"/>
      <c r="C335" s="469"/>
      <c r="D335" s="469"/>
      <c r="E335" s="469"/>
      <c r="F335" s="469"/>
      <c r="G335" s="469"/>
      <c r="H335" s="469"/>
      <c r="I335" s="469"/>
    </row>
    <row r="336">
      <c r="A336" s="469"/>
      <c r="B336" s="469"/>
      <c r="C336" s="469"/>
      <c r="D336" s="469"/>
      <c r="E336" s="469"/>
      <c r="F336" s="469"/>
      <c r="G336" s="469"/>
      <c r="H336" s="469"/>
      <c r="I336" s="469"/>
    </row>
    <row r="337">
      <c r="A337" s="469"/>
      <c r="B337" s="469"/>
      <c r="C337" s="469"/>
      <c r="D337" s="469"/>
      <c r="E337" s="469"/>
      <c r="F337" s="469"/>
      <c r="G337" s="469"/>
      <c r="H337" s="469"/>
      <c r="I337" s="469"/>
    </row>
    <row r="338">
      <c r="A338" s="469"/>
      <c r="B338" s="469"/>
      <c r="C338" s="469"/>
      <c r="D338" s="469"/>
      <c r="E338" s="469"/>
      <c r="F338" s="469"/>
      <c r="G338" s="469"/>
      <c r="H338" s="469"/>
      <c r="I338" s="469"/>
    </row>
    <row r="339">
      <c r="A339" s="469"/>
      <c r="B339" s="469"/>
      <c r="C339" s="469"/>
      <c r="D339" s="469"/>
      <c r="E339" s="469"/>
      <c r="F339" s="469"/>
      <c r="G339" s="469"/>
      <c r="H339" s="469"/>
      <c r="I339" s="469"/>
    </row>
    <row r="340">
      <c r="A340" s="469"/>
      <c r="B340" s="469"/>
      <c r="C340" s="469"/>
      <c r="D340" s="469"/>
      <c r="E340" s="469"/>
      <c r="F340" s="469"/>
      <c r="G340" s="469"/>
      <c r="H340" s="469"/>
      <c r="I340" s="469"/>
    </row>
    <row r="341">
      <c r="A341" s="469"/>
      <c r="B341" s="469"/>
      <c r="C341" s="469"/>
      <c r="D341" s="469"/>
      <c r="E341" s="469"/>
      <c r="F341" s="469"/>
      <c r="G341" s="469"/>
      <c r="H341" s="469"/>
      <c r="I341" s="469"/>
    </row>
    <row r="342">
      <c r="A342" s="469"/>
      <c r="B342" s="469"/>
      <c r="C342" s="469"/>
      <c r="D342" s="469"/>
      <c r="E342" s="469"/>
      <c r="F342" s="469"/>
      <c r="G342" s="469"/>
      <c r="H342" s="469"/>
      <c r="I342" s="469"/>
    </row>
    <row r="343">
      <c r="A343" s="469"/>
      <c r="B343" s="469"/>
      <c r="C343" s="469"/>
      <c r="D343" s="469"/>
      <c r="E343" s="469"/>
      <c r="F343" s="469"/>
      <c r="G343" s="469"/>
      <c r="H343" s="469"/>
      <c r="I343" s="469"/>
    </row>
    <row r="344">
      <c r="A344" s="469"/>
      <c r="B344" s="469"/>
      <c r="C344" s="469"/>
      <c r="D344" s="469"/>
      <c r="E344" s="469"/>
      <c r="F344" s="469"/>
      <c r="G344" s="469"/>
      <c r="H344" s="469"/>
      <c r="I344" s="469"/>
    </row>
    <row r="345">
      <c r="A345" s="469"/>
      <c r="B345" s="469"/>
      <c r="C345" s="469"/>
      <c r="D345" s="469"/>
      <c r="E345" s="469"/>
      <c r="F345" s="469"/>
      <c r="G345" s="469"/>
      <c r="H345" s="469"/>
      <c r="I345" s="469"/>
    </row>
    <row r="346">
      <c r="A346" s="469"/>
      <c r="B346" s="469"/>
      <c r="C346" s="469"/>
      <c r="D346" s="469"/>
      <c r="E346" s="469"/>
      <c r="F346" s="469"/>
      <c r="G346" s="469"/>
      <c r="H346" s="469"/>
      <c r="I346" s="469"/>
    </row>
    <row r="347">
      <c r="A347" s="469"/>
      <c r="B347" s="469"/>
      <c r="C347" s="469"/>
      <c r="D347" s="469"/>
      <c r="E347" s="469"/>
      <c r="F347" s="469"/>
      <c r="G347" s="469"/>
      <c r="H347" s="469"/>
      <c r="I347" s="469"/>
    </row>
    <row r="348">
      <c r="A348" s="469"/>
      <c r="B348" s="469"/>
      <c r="C348" s="469"/>
      <c r="D348" s="469"/>
      <c r="E348" s="469"/>
      <c r="F348" s="469"/>
      <c r="G348" s="469"/>
      <c r="H348" s="469"/>
      <c r="I348" s="469"/>
    </row>
    <row r="349">
      <c r="A349" s="469"/>
      <c r="B349" s="469"/>
      <c r="C349" s="469"/>
      <c r="D349" s="469"/>
      <c r="E349" s="469"/>
      <c r="F349" s="469"/>
      <c r="G349" s="469"/>
      <c r="H349" s="469"/>
      <c r="I349" s="469"/>
    </row>
    <row r="350">
      <c r="A350" s="469"/>
      <c r="B350" s="469"/>
      <c r="C350" s="469"/>
      <c r="D350" s="469"/>
      <c r="E350" s="469"/>
      <c r="F350" s="469"/>
      <c r="G350" s="469"/>
      <c r="H350" s="469"/>
      <c r="I350" s="469"/>
    </row>
    <row r="351">
      <c r="A351" s="469"/>
      <c r="B351" s="469"/>
      <c r="C351" s="469"/>
      <c r="D351" s="469"/>
      <c r="E351" s="469"/>
      <c r="F351" s="469"/>
      <c r="G351" s="469"/>
      <c r="H351" s="469"/>
      <c r="I351" s="469"/>
    </row>
    <row r="352">
      <c r="A352" s="469"/>
      <c r="B352" s="469"/>
      <c r="C352" s="469"/>
      <c r="D352" s="469"/>
      <c r="E352" s="469"/>
      <c r="F352" s="469"/>
      <c r="G352" s="469"/>
      <c r="H352" s="469"/>
      <c r="I352" s="469"/>
    </row>
    <row r="353">
      <c r="A353" s="469"/>
      <c r="B353" s="469"/>
      <c r="C353" s="469"/>
      <c r="D353" s="469"/>
      <c r="E353" s="469"/>
      <c r="F353" s="469"/>
      <c r="G353" s="469"/>
      <c r="H353" s="469"/>
      <c r="I353" s="469"/>
    </row>
    <row r="354">
      <c r="A354" s="469"/>
      <c r="B354" s="469"/>
      <c r="C354" s="469"/>
      <c r="D354" s="469"/>
      <c r="E354" s="469"/>
      <c r="F354" s="469"/>
      <c r="G354" s="469"/>
      <c r="H354" s="469"/>
      <c r="I354" s="469"/>
    </row>
    <row r="355">
      <c r="A355" s="469"/>
      <c r="B355" s="469"/>
      <c r="C355" s="469"/>
      <c r="D355" s="469"/>
      <c r="E355" s="469"/>
      <c r="F355" s="469"/>
      <c r="G355" s="469"/>
      <c r="H355" s="469"/>
      <c r="I355" s="469"/>
    </row>
    <row r="356">
      <c r="A356" s="469"/>
      <c r="B356" s="469"/>
      <c r="C356" s="469"/>
      <c r="D356" s="469"/>
      <c r="E356" s="469"/>
      <c r="F356" s="469"/>
      <c r="G356" s="469"/>
      <c r="H356" s="469"/>
      <c r="I356" s="469"/>
    </row>
    <row r="357">
      <c r="A357" s="469"/>
      <c r="B357" s="469"/>
      <c r="C357" s="469"/>
      <c r="D357" s="469"/>
      <c r="E357" s="469"/>
      <c r="F357" s="469"/>
      <c r="G357" s="469"/>
      <c r="H357" s="469"/>
      <c r="I357" s="469"/>
    </row>
    <row r="358">
      <c r="A358" s="469"/>
      <c r="B358" s="469"/>
      <c r="C358" s="469"/>
      <c r="D358" s="469"/>
      <c r="E358" s="469"/>
      <c r="F358" s="469"/>
      <c r="G358" s="469"/>
      <c r="H358" s="469"/>
      <c r="I358" s="469"/>
    </row>
    <row r="359">
      <c r="A359" s="469"/>
      <c r="B359" s="469"/>
      <c r="C359" s="469"/>
      <c r="D359" s="469"/>
      <c r="E359" s="469"/>
      <c r="F359" s="469"/>
      <c r="G359" s="469"/>
      <c r="H359" s="469"/>
      <c r="I359" s="469"/>
    </row>
    <row r="360">
      <c r="A360" s="469"/>
      <c r="B360" s="469"/>
      <c r="C360" s="469"/>
      <c r="D360" s="469"/>
      <c r="E360" s="469"/>
      <c r="F360" s="469"/>
      <c r="G360" s="469"/>
      <c r="H360" s="469"/>
      <c r="I360" s="469"/>
    </row>
    <row r="361">
      <c r="A361" s="469"/>
      <c r="B361" s="469"/>
      <c r="C361" s="469"/>
      <c r="D361" s="469"/>
      <c r="E361" s="469"/>
      <c r="F361" s="469"/>
      <c r="G361" s="469"/>
      <c r="H361" s="469"/>
      <c r="I361" s="469"/>
    </row>
    <row r="362">
      <c r="A362" s="469"/>
      <c r="B362" s="469"/>
      <c r="C362" s="469"/>
      <c r="D362" s="469"/>
      <c r="E362" s="469"/>
      <c r="F362" s="469"/>
      <c r="G362" s="469"/>
      <c r="H362" s="469"/>
      <c r="I362" s="469"/>
    </row>
    <row r="363">
      <c r="A363" s="469"/>
      <c r="B363" s="469"/>
      <c r="C363" s="469"/>
      <c r="D363" s="469"/>
      <c r="E363" s="469"/>
      <c r="F363" s="469"/>
      <c r="G363" s="469"/>
      <c r="H363" s="469"/>
      <c r="I363" s="469"/>
    </row>
    <row r="364">
      <c r="A364" s="469"/>
      <c r="B364" s="469"/>
      <c r="C364" s="469"/>
      <c r="D364" s="469"/>
      <c r="E364" s="469"/>
      <c r="F364" s="469"/>
      <c r="G364" s="469"/>
      <c r="H364" s="469"/>
      <c r="I364" s="469"/>
    </row>
    <row r="365">
      <c r="A365" s="469"/>
      <c r="B365" s="469"/>
      <c r="C365" s="469"/>
      <c r="D365" s="469"/>
      <c r="E365" s="469"/>
      <c r="F365" s="469"/>
      <c r="G365" s="469"/>
      <c r="H365" s="469"/>
      <c r="I365" s="469"/>
    </row>
    <row r="366">
      <c r="A366" s="469"/>
      <c r="B366" s="469"/>
      <c r="C366" s="469"/>
      <c r="D366" s="469"/>
      <c r="E366" s="469"/>
      <c r="F366" s="469"/>
      <c r="G366" s="469"/>
      <c r="H366" s="469"/>
      <c r="I366" s="469"/>
    </row>
    <row r="367">
      <c r="A367" s="469"/>
      <c r="B367" s="469"/>
      <c r="C367" s="469"/>
      <c r="D367" s="469"/>
      <c r="E367" s="469"/>
      <c r="F367" s="469"/>
      <c r="G367" s="469"/>
      <c r="H367" s="469"/>
      <c r="I367" s="469"/>
    </row>
    <row r="368">
      <c r="A368" s="469"/>
      <c r="B368" s="469"/>
      <c r="C368" s="469"/>
      <c r="D368" s="469"/>
      <c r="E368" s="469"/>
      <c r="F368" s="469"/>
      <c r="G368" s="469"/>
      <c r="H368" s="469"/>
      <c r="I368" s="469"/>
    </row>
    <row r="369">
      <c r="A369" s="469"/>
      <c r="B369" s="469"/>
      <c r="C369" s="469"/>
      <c r="D369" s="469"/>
      <c r="E369" s="469"/>
      <c r="F369" s="469"/>
      <c r="G369" s="469"/>
      <c r="H369" s="469"/>
      <c r="I369" s="469"/>
    </row>
    <row r="370">
      <c r="A370" s="469"/>
      <c r="B370" s="469"/>
      <c r="C370" s="469"/>
      <c r="D370" s="469"/>
      <c r="E370" s="469"/>
      <c r="F370" s="469"/>
      <c r="G370" s="469"/>
      <c r="H370" s="469"/>
      <c r="I370" s="469"/>
    </row>
    <row r="371">
      <c r="A371" s="469"/>
      <c r="B371" s="469"/>
      <c r="C371" s="469"/>
      <c r="D371" s="469"/>
      <c r="E371" s="469"/>
      <c r="F371" s="469"/>
      <c r="G371" s="469"/>
      <c r="H371" s="469"/>
      <c r="I371" s="469"/>
    </row>
    <row r="372">
      <c r="A372" s="469"/>
      <c r="B372" s="469"/>
      <c r="C372" s="469"/>
      <c r="D372" s="469"/>
      <c r="E372" s="469"/>
      <c r="F372" s="469"/>
      <c r="G372" s="469"/>
      <c r="H372" s="469"/>
      <c r="I372" s="469"/>
    </row>
    <row r="373">
      <c r="A373" s="469"/>
      <c r="B373" s="469"/>
      <c r="C373" s="469"/>
      <c r="D373" s="469"/>
      <c r="E373" s="469"/>
      <c r="F373" s="469"/>
      <c r="G373" s="469"/>
      <c r="H373" s="469"/>
      <c r="I373" s="469"/>
    </row>
    <row r="374">
      <c r="A374" s="469"/>
      <c r="B374" s="469"/>
      <c r="C374" s="469"/>
      <c r="D374" s="469"/>
      <c r="E374" s="469"/>
      <c r="F374" s="469"/>
      <c r="G374" s="469"/>
      <c r="H374" s="469"/>
      <c r="I374" s="469"/>
    </row>
    <row r="375">
      <c r="A375" s="469"/>
      <c r="B375" s="469"/>
      <c r="C375" s="469"/>
      <c r="D375" s="469"/>
      <c r="E375" s="469"/>
      <c r="F375" s="469"/>
      <c r="G375" s="469"/>
      <c r="H375" s="469"/>
      <c r="I375" s="469"/>
    </row>
    <row r="376">
      <c r="A376" s="469"/>
      <c r="B376" s="469"/>
      <c r="C376" s="469"/>
      <c r="D376" s="469"/>
      <c r="E376" s="469"/>
      <c r="F376" s="469"/>
      <c r="G376" s="469"/>
      <c r="H376" s="469"/>
      <c r="I376" s="469"/>
    </row>
    <row r="377">
      <c r="A377" s="469"/>
      <c r="B377" s="469"/>
      <c r="C377" s="469"/>
      <c r="D377" s="469"/>
      <c r="E377" s="469"/>
      <c r="F377" s="469"/>
      <c r="G377" s="469"/>
      <c r="H377" s="469"/>
      <c r="I377" s="469"/>
    </row>
    <row r="378">
      <c r="A378" s="469"/>
      <c r="B378" s="469"/>
      <c r="C378" s="469"/>
      <c r="D378" s="469"/>
      <c r="E378" s="469"/>
      <c r="F378" s="469"/>
      <c r="G378" s="469"/>
      <c r="H378" s="469"/>
      <c r="I378" s="469"/>
    </row>
    <row r="379">
      <c r="A379" s="469"/>
      <c r="B379" s="469"/>
      <c r="C379" s="469"/>
      <c r="D379" s="469"/>
      <c r="E379" s="469"/>
      <c r="F379" s="469"/>
      <c r="G379" s="469"/>
      <c r="H379" s="469"/>
      <c r="I379" s="469"/>
    </row>
    <row r="380">
      <c r="A380" s="469"/>
      <c r="B380" s="469"/>
      <c r="C380" s="469"/>
      <c r="D380" s="469"/>
      <c r="E380" s="469"/>
      <c r="F380" s="469"/>
      <c r="G380" s="469"/>
      <c r="H380" s="469"/>
      <c r="I380" s="469"/>
    </row>
    <row r="381">
      <c r="A381" s="469"/>
      <c r="B381" s="469"/>
      <c r="C381" s="469"/>
      <c r="D381" s="469"/>
      <c r="E381" s="469"/>
      <c r="F381" s="469"/>
      <c r="G381" s="469"/>
      <c r="H381" s="469"/>
      <c r="I381" s="469"/>
    </row>
    <row r="382">
      <c r="A382" s="469"/>
      <c r="B382" s="469"/>
      <c r="C382" s="469"/>
      <c r="D382" s="469"/>
      <c r="E382" s="469"/>
      <c r="F382" s="469"/>
      <c r="G382" s="469"/>
      <c r="H382" s="469"/>
      <c r="I382" s="469"/>
    </row>
    <row r="383">
      <c r="A383" s="469"/>
      <c r="B383" s="469"/>
      <c r="C383" s="469"/>
      <c r="D383" s="469"/>
      <c r="E383" s="469"/>
      <c r="F383" s="469"/>
      <c r="G383" s="469"/>
      <c r="H383" s="469"/>
      <c r="I383" s="469"/>
    </row>
    <row r="384">
      <c r="A384" s="469"/>
      <c r="B384" s="469"/>
      <c r="C384" s="469"/>
      <c r="D384" s="469"/>
      <c r="E384" s="469"/>
      <c r="F384" s="469"/>
      <c r="G384" s="469"/>
      <c r="H384" s="469"/>
      <c r="I384" s="469"/>
    </row>
    <row r="385">
      <c r="A385" s="469"/>
      <c r="B385" s="469"/>
      <c r="C385" s="469"/>
      <c r="D385" s="469"/>
      <c r="E385" s="469"/>
      <c r="F385" s="469"/>
      <c r="G385" s="469"/>
      <c r="H385" s="469"/>
      <c r="I385" s="469"/>
    </row>
    <row r="386">
      <c r="A386" s="469"/>
      <c r="B386" s="469"/>
      <c r="C386" s="469"/>
      <c r="D386" s="469"/>
      <c r="E386" s="469"/>
      <c r="F386" s="469"/>
      <c r="G386" s="469"/>
      <c r="H386" s="469"/>
      <c r="I386" s="469"/>
    </row>
    <row r="387">
      <c r="A387" s="469"/>
      <c r="B387" s="469"/>
      <c r="C387" s="469"/>
      <c r="D387" s="469"/>
      <c r="E387" s="469"/>
      <c r="F387" s="469"/>
      <c r="G387" s="469"/>
      <c r="H387" s="469"/>
      <c r="I387" s="469"/>
    </row>
    <row r="388">
      <c r="A388" s="469"/>
      <c r="B388" s="469"/>
      <c r="C388" s="469"/>
      <c r="D388" s="469"/>
      <c r="E388" s="469"/>
      <c r="F388" s="469"/>
      <c r="G388" s="469"/>
      <c r="H388" s="469"/>
      <c r="I388" s="469"/>
    </row>
    <row r="389">
      <c r="A389" s="469"/>
      <c r="B389" s="469"/>
      <c r="C389" s="469"/>
      <c r="D389" s="469"/>
      <c r="E389" s="469"/>
      <c r="F389" s="469"/>
      <c r="G389" s="469"/>
      <c r="H389" s="469"/>
      <c r="I389" s="469"/>
    </row>
    <row r="390">
      <c r="A390" s="469"/>
      <c r="B390" s="469"/>
      <c r="C390" s="469"/>
      <c r="D390" s="469"/>
      <c r="E390" s="469"/>
      <c r="F390" s="469"/>
      <c r="G390" s="469"/>
      <c r="H390" s="469"/>
      <c r="I390" s="469"/>
    </row>
    <row r="391">
      <c r="A391" s="469"/>
      <c r="B391" s="469"/>
      <c r="C391" s="469"/>
      <c r="D391" s="469"/>
      <c r="E391" s="469"/>
      <c r="F391" s="469"/>
      <c r="G391" s="469"/>
      <c r="H391" s="469"/>
      <c r="I391" s="469"/>
    </row>
    <row r="392">
      <c r="A392" s="469"/>
      <c r="B392" s="469"/>
      <c r="C392" s="469"/>
      <c r="D392" s="469"/>
      <c r="E392" s="469"/>
      <c r="F392" s="469"/>
      <c r="G392" s="469"/>
      <c r="H392" s="469"/>
      <c r="I392" s="469"/>
    </row>
    <row r="393">
      <c r="A393" s="469"/>
      <c r="B393" s="469"/>
      <c r="C393" s="469"/>
      <c r="D393" s="469"/>
      <c r="E393" s="469"/>
      <c r="F393" s="469"/>
      <c r="G393" s="469"/>
      <c r="H393" s="469"/>
      <c r="I393" s="469"/>
    </row>
    <row r="394">
      <c r="A394" s="469"/>
      <c r="B394" s="469"/>
      <c r="C394" s="469"/>
      <c r="D394" s="469"/>
      <c r="E394" s="469"/>
      <c r="F394" s="469"/>
      <c r="G394" s="469"/>
      <c r="H394" s="469"/>
      <c r="I394" s="469"/>
    </row>
    <row r="395">
      <c r="A395" s="469"/>
      <c r="B395" s="469"/>
      <c r="C395" s="469"/>
      <c r="D395" s="469"/>
      <c r="E395" s="469"/>
      <c r="F395" s="469"/>
      <c r="G395" s="469"/>
      <c r="H395" s="469"/>
      <c r="I395" s="469"/>
    </row>
    <row r="396">
      <c r="A396" s="469"/>
      <c r="B396" s="469"/>
      <c r="C396" s="469"/>
      <c r="D396" s="469"/>
      <c r="E396" s="469"/>
      <c r="F396" s="469"/>
      <c r="G396" s="469"/>
      <c r="H396" s="469"/>
      <c r="I396" s="469"/>
    </row>
    <row r="397">
      <c r="A397" s="469"/>
      <c r="B397" s="469"/>
      <c r="C397" s="469"/>
      <c r="D397" s="469"/>
      <c r="E397" s="469"/>
      <c r="F397" s="469"/>
      <c r="G397" s="469"/>
      <c r="H397" s="469"/>
      <c r="I397" s="469"/>
    </row>
    <row r="398">
      <c r="A398" s="469"/>
      <c r="B398" s="469"/>
      <c r="C398" s="469"/>
      <c r="D398" s="469"/>
      <c r="E398" s="469"/>
      <c r="F398" s="469"/>
      <c r="G398" s="469"/>
      <c r="H398" s="469"/>
      <c r="I398" s="469"/>
    </row>
    <row r="399">
      <c r="A399" s="469"/>
      <c r="B399" s="469"/>
      <c r="C399" s="469"/>
      <c r="D399" s="469"/>
      <c r="E399" s="469"/>
      <c r="F399" s="469"/>
      <c r="G399" s="469"/>
      <c r="H399" s="469"/>
      <c r="I399" s="469"/>
    </row>
    <row r="400">
      <c r="A400" s="469"/>
      <c r="B400" s="469"/>
      <c r="C400" s="469"/>
      <c r="D400" s="469"/>
      <c r="E400" s="469"/>
      <c r="F400" s="469"/>
      <c r="G400" s="469"/>
      <c r="H400" s="469"/>
      <c r="I400" s="469"/>
    </row>
    <row r="401">
      <c r="A401" s="469"/>
      <c r="B401" s="469"/>
      <c r="C401" s="469"/>
      <c r="D401" s="469"/>
      <c r="E401" s="469"/>
      <c r="F401" s="469"/>
      <c r="G401" s="469"/>
      <c r="H401" s="469"/>
      <c r="I401" s="469"/>
    </row>
    <row r="402">
      <c r="A402" s="469"/>
      <c r="B402" s="469"/>
      <c r="C402" s="469"/>
      <c r="D402" s="469"/>
      <c r="E402" s="469"/>
      <c r="F402" s="469"/>
      <c r="G402" s="469"/>
      <c r="H402" s="469"/>
      <c r="I402" s="469"/>
    </row>
    <row r="403">
      <c r="A403" s="469"/>
      <c r="B403" s="469"/>
      <c r="C403" s="469"/>
      <c r="D403" s="469"/>
      <c r="E403" s="469"/>
      <c r="F403" s="469"/>
      <c r="G403" s="469"/>
      <c r="H403" s="469"/>
      <c r="I403" s="469"/>
    </row>
    <row r="404">
      <c r="A404" s="469"/>
      <c r="B404" s="469"/>
      <c r="C404" s="469"/>
      <c r="D404" s="469"/>
      <c r="E404" s="469"/>
      <c r="F404" s="469"/>
      <c r="G404" s="469"/>
      <c r="H404" s="469"/>
      <c r="I404" s="469"/>
    </row>
    <row r="405">
      <c r="A405" s="469"/>
      <c r="B405" s="469"/>
      <c r="C405" s="469"/>
      <c r="D405" s="469"/>
      <c r="E405" s="469"/>
      <c r="F405" s="469"/>
      <c r="G405" s="469"/>
      <c r="H405" s="469"/>
      <c r="I405" s="469"/>
    </row>
    <row r="406">
      <c r="A406" s="469"/>
      <c r="B406" s="469"/>
      <c r="C406" s="469"/>
      <c r="D406" s="469"/>
      <c r="E406" s="469"/>
      <c r="F406" s="469"/>
      <c r="G406" s="469"/>
      <c r="H406" s="469"/>
      <c r="I406" s="469"/>
    </row>
    <row r="407">
      <c r="A407" s="469"/>
      <c r="B407" s="469"/>
      <c r="C407" s="469"/>
      <c r="D407" s="469"/>
      <c r="E407" s="469"/>
      <c r="F407" s="469"/>
      <c r="G407" s="469"/>
      <c r="H407" s="469"/>
      <c r="I407" s="469"/>
    </row>
    <row r="408">
      <c r="A408" s="469"/>
      <c r="B408" s="469"/>
      <c r="C408" s="469"/>
      <c r="D408" s="469"/>
      <c r="E408" s="469"/>
      <c r="F408" s="469"/>
      <c r="G408" s="469"/>
      <c r="H408" s="469"/>
      <c r="I408" s="469"/>
    </row>
    <row r="409">
      <c r="A409" s="469"/>
      <c r="B409" s="469"/>
      <c r="C409" s="469"/>
      <c r="D409" s="469"/>
      <c r="E409" s="469"/>
      <c r="F409" s="469"/>
      <c r="G409" s="469"/>
      <c r="H409" s="469"/>
      <c r="I409" s="469"/>
    </row>
    <row r="410">
      <c r="A410" s="469"/>
      <c r="B410" s="469"/>
      <c r="C410" s="469"/>
      <c r="D410" s="469"/>
      <c r="E410" s="469"/>
      <c r="F410" s="469"/>
      <c r="G410" s="469"/>
      <c r="H410" s="469"/>
      <c r="I410" s="469"/>
    </row>
    <row r="411">
      <c r="A411" s="469"/>
      <c r="B411" s="469"/>
      <c r="C411" s="469"/>
      <c r="D411" s="469"/>
      <c r="E411" s="469"/>
      <c r="F411" s="469"/>
      <c r="G411" s="469"/>
      <c r="H411" s="469"/>
      <c r="I411" s="469"/>
    </row>
    <row r="412">
      <c r="A412" s="469"/>
      <c r="B412" s="469"/>
      <c r="C412" s="469"/>
      <c r="D412" s="469"/>
      <c r="E412" s="469"/>
      <c r="F412" s="469"/>
      <c r="G412" s="469"/>
      <c r="H412" s="469"/>
      <c r="I412" s="469"/>
    </row>
    <row r="413">
      <c r="A413" s="469"/>
      <c r="B413" s="469"/>
      <c r="C413" s="469"/>
      <c r="D413" s="469"/>
      <c r="E413" s="469"/>
      <c r="F413" s="469"/>
      <c r="G413" s="469"/>
      <c r="H413" s="469"/>
      <c r="I413" s="469"/>
    </row>
    <row r="414">
      <c r="A414" s="469"/>
      <c r="B414" s="469"/>
      <c r="C414" s="469"/>
      <c r="D414" s="469"/>
      <c r="E414" s="469"/>
      <c r="F414" s="469"/>
      <c r="G414" s="469"/>
      <c r="H414" s="469"/>
      <c r="I414" s="469"/>
    </row>
    <row r="415">
      <c r="A415" s="469"/>
      <c r="B415" s="469"/>
      <c r="C415" s="469"/>
      <c r="D415" s="469"/>
      <c r="E415" s="469"/>
      <c r="F415" s="469"/>
      <c r="G415" s="469"/>
      <c r="H415" s="469"/>
      <c r="I415" s="469"/>
    </row>
    <row r="416">
      <c r="A416" s="469"/>
      <c r="B416" s="469"/>
      <c r="C416" s="469"/>
      <c r="D416" s="469"/>
      <c r="E416" s="469"/>
      <c r="F416" s="469"/>
      <c r="G416" s="469"/>
      <c r="H416" s="469"/>
      <c r="I416" s="469"/>
    </row>
    <row r="417">
      <c r="A417" s="469"/>
      <c r="B417" s="469"/>
      <c r="C417" s="469"/>
      <c r="D417" s="469"/>
      <c r="E417" s="469"/>
      <c r="F417" s="469"/>
      <c r="G417" s="469"/>
      <c r="H417" s="469"/>
      <c r="I417" s="469"/>
    </row>
    <row r="418">
      <c r="A418" s="469"/>
      <c r="B418" s="469"/>
      <c r="C418" s="469"/>
      <c r="D418" s="469"/>
      <c r="E418" s="469"/>
      <c r="F418" s="469"/>
      <c r="G418" s="469"/>
      <c r="H418" s="469"/>
      <c r="I418" s="469"/>
    </row>
    <row r="419">
      <c r="A419" s="469"/>
      <c r="B419" s="469"/>
      <c r="C419" s="469"/>
      <c r="D419" s="469"/>
      <c r="E419" s="469"/>
      <c r="F419" s="469"/>
      <c r="G419" s="469"/>
      <c r="H419" s="469"/>
      <c r="I419" s="469"/>
    </row>
    <row r="420">
      <c r="A420" s="469"/>
      <c r="B420" s="469"/>
      <c r="C420" s="469"/>
      <c r="D420" s="469"/>
      <c r="E420" s="469"/>
      <c r="F420" s="469"/>
      <c r="G420" s="469"/>
      <c r="H420" s="469"/>
      <c r="I420" s="469"/>
    </row>
    <row r="421">
      <c r="A421" s="469"/>
      <c r="B421" s="469"/>
      <c r="C421" s="469"/>
      <c r="D421" s="469"/>
      <c r="E421" s="469"/>
      <c r="F421" s="469"/>
      <c r="G421" s="469"/>
      <c r="H421" s="469"/>
      <c r="I421" s="469"/>
    </row>
    <row r="422">
      <c r="A422" s="469"/>
      <c r="B422" s="469"/>
      <c r="C422" s="469"/>
      <c r="D422" s="469"/>
      <c r="E422" s="469"/>
      <c r="F422" s="469"/>
      <c r="G422" s="469"/>
      <c r="H422" s="469"/>
      <c r="I422" s="469"/>
    </row>
    <row r="423">
      <c r="A423" s="469"/>
      <c r="B423" s="469"/>
      <c r="C423" s="469"/>
      <c r="D423" s="469"/>
      <c r="E423" s="469"/>
      <c r="F423" s="469"/>
      <c r="G423" s="469"/>
      <c r="H423" s="469"/>
      <c r="I423" s="469"/>
    </row>
    <row r="424">
      <c r="A424" s="469"/>
      <c r="B424" s="469"/>
      <c r="C424" s="469"/>
      <c r="D424" s="469"/>
      <c r="E424" s="469"/>
      <c r="F424" s="469"/>
      <c r="G424" s="469"/>
      <c r="H424" s="469"/>
      <c r="I424" s="469"/>
    </row>
    <row r="425">
      <c r="A425" s="469"/>
      <c r="B425" s="469"/>
      <c r="C425" s="469"/>
      <c r="D425" s="469"/>
      <c r="E425" s="469"/>
      <c r="F425" s="469"/>
      <c r="G425" s="469"/>
      <c r="H425" s="469"/>
      <c r="I425" s="469"/>
    </row>
    <row r="426">
      <c r="A426" s="469"/>
      <c r="B426" s="469"/>
      <c r="C426" s="469"/>
      <c r="D426" s="469"/>
      <c r="E426" s="469"/>
      <c r="F426" s="469"/>
      <c r="G426" s="469"/>
      <c r="H426" s="469"/>
      <c r="I426" s="469"/>
    </row>
    <row r="427">
      <c r="A427" s="469"/>
      <c r="B427" s="469"/>
      <c r="C427" s="469"/>
      <c r="D427" s="469"/>
      <c r="E427" s="469"/>
      <c r="F427" s="469"/>
      <c r="G427" s="469"/>
      <c r="H427" s="469"/>
      <c r="I427" s="469"/>
    </row>
    <row r="428">
      <c r="A428" s="469"/>
      <c r="B428" s="469"/>
      <c r="C428" s="469"/>
      <c r="D428" s="469"/>
      <c r="E428" s="469"/>
      <c r="F428" s="469"/>
      <c r="G428" s="469"/>
      <c r="H428" s="469"/>
      <c r="I428" s="469"/>
    </row>
    <row r="429">
      <c r="A429" s="469"/>
      <c r="B429" s="469"/>
      <c r="C429" s="469"/>
      <c r="D429" s="469"/>
      <c r="E429" s="469"/>
      <c r="F429" s="469"/>
      <c r="G429" s="469"/>
      <c r="H429" s="469"/>
      <c r="I429" s="469"/>
    </row>
    <row r="430">
      <c r="A430" s="469"/>
      <c r="B430" s="469"/>
      <c r="C430" s="469"/>
      <c r="D430" s="469"/>
      <c r="E430" s="469"/>
      <c r="F430" s="469"/>
      <c r="G430" s="469"/>
      <c r="H430" s="469"/>
      <c r="I430" s="469"/>
    </row>
    <row r="431">
      <c r="A431" s="469"/>
      <c r="B431" s="469"/>
      <c r="C431" s="469"/>
      <c r="D431" s="469"/>
      <c r="E431" s="469"/>
      <c r="F431" s="469"/>
      <c r="G431" s="469"/>
      <c r="H431" s="469"/>
      <c r="I431" s="469"/>
    </row>
    <row r="432">
      <c r="A432" s="469"/>
      <c r="B432" s="469"/>
      <c r="C432" s="469"/>
      <c r="D432" s="469"/>
      <c r="E432" s="469"/>
      <c r="F432" s="469"/>
      <c r="G432" s="469"/>
      <c r="H432" s="469"/>
      <c r="I432" s="469"/>
    </row>
    <row r="433">
      <c r="A433" s="469"/>
      <c r="B433" s="469"/>
      <c r="C433" s="469"/>
      <c r="D433" s="469"/>
      <c r="E433" s="469"/>
      <c r="F433" s="469"/>
      <c r="G433" s="469"/>
      <c r="H433" s="469"/>
      <c r="I433" s="469"/>
    </row>
    <row r="434">
      <c r="A434" s="469"/>
      <c r="B434" s="469"/>
      <c r="C434" s="469"/>
      <c r="D434" s="469"/>
      <c r="E434" s="469"/>
      <c r="F434" s="469"/>
      <c r="G434" s="469"/>
      <c r="H434" s="469"/>
      <c r="I434" s="469"/>
    </row>
    <row r="435">
      <c r="A435" s="469"/>
      <c r="B435" s="469"/>
      <c r="C435" s="469"/>
      <c r="D435" s="469"/>
      <c r="E435" s="469"/>
      <c r="F435" s="469"/>
      <c r="G435" s="469"/>
      <c r="H435" s="469"/>
      <c r="I435" s="469"/>
    </row>
    <row r="436">
      <c r="A436" s="469"/>
      <c r="B436" s="469"/>
      <c r="C436" s="469"/>
      <c r="D436" s="469"/>
      <c r="E436" s="469"/>
      <c r="F436" s="469"/>
      <c r="G436" s="469"/>
      <c r="H436" s="469"/>
      <c r="I436" s="469"/>
    </row>
    <row r="437">
      <c r="A437" s="469"/>
      <c r="B437" s="469"/>
      <c r="C437" s="469"/>
      <c r="D437" s="469"/>
      <c r="E437" s="469"/>
      <c r="F437" s="469"/>
      <c r="G437" s="469"/>
      <c r="H437" s="469"/>
      <c r="I437" s="469"/>
    </row>
    <row r="438">
      <c r="A438" s="469"/>
      <c r="B438" s="469"/>
      <c r="C438" s="469"/>
      <c r="D438" s="469"/>
      <c r="E438" s="469"/>
      <c r="F438" s="469"/>
      <c r="G438" s="469"/>
      <c r="H438" s="469"/>
      <c r="I438" s="469"/>
    </row>
    <row r="439">
      <c r="A439" s="469"/>
      <c r="B439" s="469"/>
      <c r="C439" s="469"/>
      <c r="D439" s="469"/>
      <c r="E439" s="469"/>
      <c r="F439" s="469"/>
      <c r="G439" s="469"/>
      <c r="H439" s="469"/>
      <c r="I439" s="469"/>
    </row>
    <row r="440">
      <c r="A440" s="469"/>
      <c r="B440" s="469"/>
      <c r="C440" s="469"/>
      <c r="D440" s="469"/>
      <c r="E440" s="469"/>
      <c r="F440" s="469"/>
      <c r="G440" s="469"/>
      <c r="H440" s="469"/>
      <c r="I440" s="469"/>
    </row>
    <row r="441">
      <c r="A441" s="469"/>
      <c r="B441" s="469"/>
      <c r="C441" s="469"/>
      <c r="D441" s="469"/>
      <c r="E441" s="469"/>
      <c r="F441" s="469"/>
      <c r="G441" s="469"/>
      <c r="H441" s="469"/>
      <c r="I441" s="469"/>
    </row>
    <row r="442">
      <c r="A442" s="469"/>
      <c r="B442" s="469"/>
      <c r="C442" s="469"/>
      <c r="D442" s="469"/>
      <c r="E442" s="469"/>
      <c r="F442" s="469"/>
      <c r="G442" s="469"/>
      <c r="H442" s="469"/>
      <c r="I442" s="469"/>
    </row>
    <row r="443">
      <c r="A443" s="469"/>
      <c r="B443" s="469"/>
      <c r="C443" s="469"/>
      <c r="D443" s="469"/>
      <c r="E443" s="469"/>
      <c r="F443" s="469"/>
      <c r="G443" s="469"/>
      <c r="H443" s="469"/>
      <c r="I443" s="469"/>
    </row>
    <row r="444">
      <c r="A444" s="469"/>
      <c r="B444" s="469"/>
      <c r="C444" s="469"/>
      <c r="D444" s="469"/>
      <c r="E444" s="469"/>
      <c r="F444" s="469"/>
      <c r="G444" s="469"/>
      <c r="H444" s="469"/>
      <c r="I444" s="469"/>
    </row>
    <row r="445">
      <c r="A445" s="469"/>
      <c r="B445" s="469"/>
      <c r="C445" s="469"/>
      <c r="D445" s="469"/>
      <c r="E445" s="469"/>
      <c r="F445" s="469"/>
      <c r="G445" s="469"/>
      <c r="H445" s="469"/>
      <c r="I445" s="469"/>
    </row>
    <row r="446">
      <c r="A446" s="469"/>
      <c r="B446" s="469"/>
      <c r="C446" s="469"/>
      <c r="D446" s="469"/>
      <c r="E446" s="469"/>
      <c r="F446" s="469"/>
      <c r="G446" s="469"/>
      <c r="H446" s="469"/>
      <c r="I446" s="469"/>
    </row>
    <row r="447">
      <c r="A447" s="469"/>
      <c r="B447" s="469"/>
      <c r="C447" s="469"/>
      <c r="D447" s="469"/>
      <c r="E447" s="469"/>
      <c r="F447" s="469"/>
      <c r="G447" s="469"/>
      <c r="H447" s="469"/>
      <c r="I447" s="469"/>
    </row>
    <row r="448">
      <c r="A448" s="469"/>
      <c r="B448" s="469"/>
      <c r="C448" s="469"/>
      <c r="D448" s="469"/>
      <c r="E448" s="469"/>
      <c r="F448" s="469"/>
      <c r="G448" s="469"/>
      <c r="H448" s="469"/>
      <c r="I448" s="469"/>
    </row>
    <row r="449">
      <c r="A449" s="469"/>
      <c r="B449" s="469"/>
      <c r="C449" s="469"/>
      <c r="D449" s="469"/>
      <c r="E449" s="469"/>
      <c r="F449" s="469"/>
      <c r="G449" s="469"/>
      <c r="H449" s="469"/>
      <c r="I449" s="469"/>
    </row>
    <row r="450">
      <c r="A450" s="469"/>
      <c r="B450" s="469"/>
      <c r="C450" s="469"/>
      <c r="D450" s="469"/>
      <c r="E450" s="469"/>
      <c r="F450" s="469"/>
      <c r="G450" s="469"/>
      <c r="H450" s="469"/>
      <c r="I450" s="469"/>
    </row>
    <row r="451">
      <c r="A451" s="469"/>
      <c r="B451" s="469"/>
      <c r="C451" s="469"/>
      <c r="D451" s="469"/>
      <c r="E451" s="469"/>
      <c r="F451" s="469"/>
      <c r="G451" s="469"/>
      <c r="H451" s="469"/>
      <c r="I451" s="469"/>
    </row>
    <row r="452">
      <c r="A452" s="469"/>
      <c r="B452" s="469"/>
      <c r="C452" s="469"/>
      <c r="D452" s="469"/>
      <c r="E452" s="469"/>
      <c r="F452" s="469"/>
      <c r="G452" s="469"/>
      <c r="H452" s="469"/>
      <c r="I452" s="469"/>
    </row>
    <row r="453">
      <c r="A453" s="469"/>
      <c r="B453" s="469"/>
      <c r="C453" s="469"/>
      <c r="D453" s="469"/>
      <c r="E453" s="469"/>
      <c r="F453" s="469"/>
      <c r="G453" s="469"/>
      <c r="H453" s="469"/>
      <c r="I453" s="469"/>
    </row>
    <row r="454">
      <c r="A454" s="469"/>
      <c r="B454" s="469"/>
      <c r="C454" s="469"/>
      <c r="D454" s="469"/>
      <c r="E454" s="469"/>
      <c r="F454" s="469"/>
      <c r="G454" s="469"/>
      <c r="H454" s="469"/>
      <c r="I454" s="469"/>
    </row>
    <row r="455">
      <c r="A455" s="469"/>
      <c r="B455" s="469"/>
      <c r="C455" s="469"/>
      <c r="D455" s="469"/>
      <c r="E455" s="469"/>
      <c r="F455" s="469"/>
      <c r="G455" s="469"/>
      <c r="H455" s="469"/>
      <c r="I455" s="469"/>
    </row>
    <row r="456">
      <c r="A456" s="469"/>
      <c r="B456" s="469"/>
      <c r="C456" s="469"/>
      <c r="D456" s="469"/>
      <c r="E456" s="469"/>
      <c r="F456" s="469"/>
      <c r="G456" s="469"/>
      <c r="H456" s="469"/>
      <c r="I456" s="469"/>
    </row>
    <row r="457">
      <c r="A457" s="469"/>
      <c r="B457" s="469"/>
      <c r="C457" s="469"/>
      <c r="D457" s="469"/>
      <c r="E457" s="469"/>
      <c r="F457" s="469"/>
      <c r="G457" s="469"/>
      <c r="H457" s="469"/>
      <c r="I457" s="469"/>
    </row>
    <row r="458">
      <c r="A458" s="469"/>
      <c r="B458" s="469"/>
      <c r="C458" s="469"/>
      <c r="D458" s="469"/>
      <c r="E458" s="469"/>
      <c r="F458" s="469"/>
      <c r="G458" s="469"/>
      <c r="H458" s="469"/>
      <c r="I458" s="469"/>
    </row>
    <row r="459">
      <c r="A459" s="469"/>
      <c r="B459" s="469"/>
      <c r="C459" s="469"/>
      <c r="D459" s="469"/>
      <c r="E459" s="469"/>
      <c r="F459" s="469"/>
      <c r="G459" s="469"/>
      <c r="H459" s="469"/>
      <c r="I459" s="469"/>
    </row>
    <row r="460">
      <c r="A460" s="469"/>
      <c r="B460" s="469"/>
      <c r="C460" s="469"/>
      <c r="D460" s="469"/>
      <c r="E460" s="469"/>
      <c r="F460" s="469"/>
      <c r="G460" s="469"/>
      <c r="H460" s="469"/>
      <c r="I460" s="469"/>
    </row>
    <row r="461">
      <c r="A461" s="469"/>
      <c r="B461" s="469"/>
      <c r="C461" s="469"/>
      <c r="D461" s="469"/>
      <c r="E461" s="469"/>
      <c r="F461" s="469"/>
      <c r="G461" s="469"/>
      <c r="H461" s="469"/>
      <c r="I461" s="469"/>
    </row>
    <row r="462">
      <c r="A462" s="469"/>
      <c r="B462" s="469"/>
      <c r="C462" s="469"/>
      <c r="D462" s="469"/>
      <c r="E462" s="469"/>
      <c r="F462" s="469"/>
      <c r="G462" s="469"/>
      <c r="H462" s="469"/>
      <c r="I462" s="469"/>
    </row>
    <row r="463">
      <c r="A463" s="469"/>
      <c r="B463" s="469"/>
      <c r="C463" s="469"/>
      <c r="D463" s="469"/>
      <c r="E463" s="469"/>
      <c r="F463" s="469"/>
      <c r="G463" s="469"/>
      <c r="H463" s="469"/>
      <c r="I463" s="469"/>
    </row>
    <row r="464">
      <c r="A464" s="469"/>
      <c r="B464" s="469"/>
      <c r="C464" s="469"/>
      <c r="D464" s="469"/>
      <c r="E464" s="469"/>
      <c r="F464" s="469"/>
      <c r="G464" s="469"/>
      <c r="H464" s="469"/>
      <c r="I464" s="469"/>
    </row>
    <row r="465">
      <c r="A465" s="469"/>
      <c r="B465" s="469"/>
      <c r="C465" s="469"/>
      <c r="D465" s="469"/>
      <c r="E465" s="469"/>
      <c r="F465" s="469"/>
      <c r="G465" s="469"/>
      <c r="H465" s="469"/>
      <c r="I465" s="469"/>
    </row>
    <row r="466">
      <c r="A466" s="469"/>
      <c r="B466" s="469"/>
      <c r="C466" s="469"/>
      <c r="D466" s="469"/>
      <c r="E466" s="469"/>
      <c r="F466" s="469"/>
      <c r="G466" s="469"/>
      <c r="H466" s="469"/>
      <c r="I466" s="469"/>
    </row>
    <row r="467">
      <c r="A467" s="469"/>
      <c r="B467" s="469"/>
      <c r="C467" s="469"/>
      <c r="D467" s="469"/>
      <c r="E467" s="469"/>
      <c r="F467" s="469"/>
      <c r="G467" s="469"/>
      <c r="H467" s="469"/>
      <c r="I467" s="469"/>
    </row>
    <row r="468">
      <c r="A468" s="469"/>
      <c r="B468" s="469"/>
      <c r="C468" s="469"/>
      <c r="D468" s="469"/>
      <c r="E468" s="469"/>
      <c r="F468" s="469"/>
      <c r="G468" s="469"/>
      <c r="H468" s="469"/>
      <c r="I468" s="469"/>
    </row>
    <row r="469">
      <c r="A469" s="469"/>
      <c r="B469" s="469"/>
      <c r="C469" s="469"/>
      <c r="D469" s="469"/>
      <c r="E469" s="469"/>
      <c r="F469" s="469"/>
      <c r="G469" s="469"/>
      <c r="H469" s="469"/>
      <c r="I469" s="469"/>
    </row>
    <row r="470">
      <c r="A470" s="469"/>
      <c r="B470" s="469"/>
      <c r="C470" s="469"/>
      <c r="D470" s="469"/>
      <c r="E470" s="469"/>
      <c r="F470" s="469"/>
      <c r="G470" s="469"/>
      <c r="H470" s="469"/>
      <c r="I470" s="469"/>
    </row>
    <row r="471">
      <c r="A471" s="469"/>
      <c r="B471" s="469"/>
      <c r="C471" s="469"/>
      <c r="D471" s="469"/>
      <c r="E471" s="469"/>
      <c r="F471" s="469"/>
      <c r="G471" s="469"/>
      <c r="H471" s="469"/>
      <c r="I471" s="469"/>
    </row>
    <row r="472">
      <c r="A472" s="469"/>
      <c r="B472" s="469"/>
      <c r="C472" s="469"/>
      <c r="D472" s="469"/>
      <c r="E472" s="469"/>
      <c r="F472" s="469"/>
      <c r="G472" s="469"/>
      <c r="H472" s="469"/>
      <c r="I472" s="469"/>
    </row>
    <row r="473">
      <c r="A473" s="469"/>
      <c r="B473" s="469"/>
      <c r="C473" s="469"/>
      <c r="D473" s="469"/>
      <c r="E473" s="469"/>
      <c r="F473" s="469"/>
      <c r="G473" s="469"/>
      <c r="H473" s="469"/>
      <c r="I473" s="469"/>
    </row>
    <row r="474">
      <c r="A474" s="469"/>
      <c r="B474" s="469"/>
      <c r="C474" s="469"/>
      <c r="D474" s="469"/>
      <c r="E474" s="469"/>
      <c r="F474" s="469"/>
      <c r="G474" s="469"/>
      <c r="H474" s="469"/>
      <c r="I474" s="469"/>
    </row>
    <row r="475">
      <c r="A475" s="469"/>
      <c r="B475" s="469"/>
      <c r="C475" s="469"/>
      <c r="D475" s="469"/>
      <c r="E475" s="469"/>
      <c r="F475" s="469"/>
      <c r="G475" s="469"/>
      <c r="H475" s="469"/>
      <c r="I475" s="469"/>
    </row>
    <row r="476">
      <c r="A476" s="469"/>
      <c r="B476" s="469"/>
      <c r="C476" s="469"/>
      <c r="D476" s="469"/>
      <c r="E476" s="469"/>
      <c r="F476" s="469"/>
      <c r="G476" s="469"/>
      <c r="H476" s="469"/>
      <c r="I476" s="469"/>
    </row>
    <row r="477">
      <c r="A477" s="469"/>
      <c r="B477" s="469"/>
      <c r="C477" s="469"/>
      <c r="D477" s="469"/>
      <c r="E477" s="469"/>
      <c r="F477" s="469"/>
      <c r="G477" s="469"/>
      <c r="H477" s="469"/>
      <c r="I477" s="469"/>
    </row>
    <row r="478">
      <c r="A478" s="469"/>
      <c r="B478" s="469"/>
      <c r="C478" s="469"/>
      <c r="D478" s="469"/>
      <c r="E478" s="469"/>
      <c r="F478" s="469"/>
      <c r="G478" s="469"/>
      <c r="H478" s="469"/>
      <c r="I478" s="469"/>
    </row>
    <row r="479">
      <c r="A479" s="469"/>
      <c r="B479" s="469"/>
      <c r="C479" s="469"/>
      <c r="D479" s="469"/>
      <c r="E479" s="469"/>
      <c r="F479" s="469"/>
      <c r="G479" s="469"/>
      <c r="H479" s="469"/>
      <c r="I479" s="469"/>
    </row>
    <row r="480">
      <c r="A480" s="469"/>
      <c r="B480" s="469"/>
      <c r="C480" s="469"/>
      <c r="D480" s="469"/>
      <c r="E480" s="469"/>
      <c r="F480" s="469"/>
      <c r="G480" s="469"/>
      <c r="H480" s="469"/>
      <c r="I480" s="469"/>
    </row>
    <row r="481">
      <c r="A481" s="469"/>
      <c r="B481" s="469"/>
      <c r="C481" s="469"/>
      <c r="D481" s="469"/>
      <c r="E481" s="469"/>
      <c r="F481" s="469"/>
      <c r="G481" s="469"/>
      <c r="H481" s="469"/>
      <c r="I481" s="469"/>
    </row>
    <row r="482">
      <c r="A482" s="469"/>
      <c r="B482" s="469"/>
      <c r="C482" s="469"/>
      <c r="D482" s="469"/>
      <c r="E482" s="469"/>
      <c r="F482" s="469"/>
      <c r="G482" s="469"/>
      <c r="H482" s="469"/>
      <c r="I482" s="469"/>
    </row>
    <row r="483">
      <c r="A483" s="469"/>
      <c r="B483" s="469"/>
      <c r="C483" s="469"/>
      <c r="D483" s="469"/>
      <c r="E483" s="469"/>
      <c r="F483" s="469"/>
      <c r="G483" s="469"/>
      <c r="H483" s="469"/>
      <c r="I483" s="469"/>
    </row>
    <row r="484">
      <c r="A484" s="469"/>
      <c r="B484" s="469"/>
      <c r="C484" s="469"/>
      <c r="D484" s="469"/>
      <c r="E484" s="469"/>
      <c r="F484" s="469"/>
      <c r="G484" s="469"/>
      <c r="H484" s="469"/>
      <c r="I484" s="469"/>
    </row>
    <row r="485">
      <c r="A485" s="469"/>
      <c r="B485" s="469"/>
      <c r="C485" s="469"/>
      <c r="D485" s="469"/>
      <c r="E485" s="469"/>
      <c r="F485" s="469"/>
      <c r="G485" s="469"/>
      <c r="H485" s="469"/>
      <c r="I485" s="469"/>
    </row>
    <row r="486">
      <c r="A486" s="469"/>
      <c r="B486" s="469"/>
      <c r="C486" s="469"/>
      <c r="D486" s="469"/>
      <c r="E486" s="469"/>
      <c r="F486" s="469"/>
      <c r="G486" s="469"/>
      <c r="H486" s="469"/>
      <c r="I486" s="469"/>
    </row>
    <row r="487">
      <c r="A487" s="469"/>
      <c r="B487" s="469"/>
      <c r="C487" s="469"/>
      <c r="D487" s="469"/>
      <c r="E487" s="469"/>
      <c r="F487" s="469"/>
      <c r="G487" s="469"/>
      <c r="H487" s="469"/>
      <c r="I487" s="469"/>
    </row>
    <row r="488">
      <c r="A488" s="469"/>
      <c r="B488" s="469"/>
      <c r="C488" s="469"/>
      <c r="D488" s="469"/>
      <c r="E488" s="469"/>
      <c r="F488" s="469"/>
      <c r="G488" s="469"/>
      <c r="H488" s="469"/>
      <c r="I488" s="469"/>
    </row>
    <row r="489">
      <c r="A489" s="469"/>
      <c r="B489" s="469"/>
      <c r="C489" s="469"/>
      <c r="D489" s="469"/>
      <c r="E489" s="469"/>
      <c r="F489" s="469"/>
      <c r="G489" s="469"/>
      <c r="H489" s="469"/>
      <c r="I489" s="469"/>
    </row>
    <row r="490">
      <c r="A490" s="469"/>
      <c r="B490" s="469"/>
      <c r="C490" s="469"/>
      <c r="D490" s="469"/>
      <c r="E490" s="469"/>
      <c r="F490" s="469"/>
      <c r="G490" s="469"/>
      <c r="H490" s="469"/>
      <c r="I490" s="469"/>
    </row>
    <row r="491">
      <c r="A491" s="469"/>
      <c r="B491" s="469"/>
      <c r="C491" s="469"/>
      <c r="D491" s="469"/>
      <c r="E491" s="469"/>
      <c r="F491" s="469"/>
      <c r="G491" s="469"/>
      <c r="H491" s="469"/>
      <c r="I491" s="469"/>
    </row>
    <row r="492">
      <c r="A492" s="469"/>
      <c r="B492" s="469"/>
      <c r="C492" s="469"/>
      <c r="D492" s="469"/>
      <c r="E492" s="469"/>
      <c r="F492" s="469"/>
      <c r="G492" s="469"/>
      <c r="H492" s="469"/>
      <c r="I492" s="469"/>
    </row>
    <row r="493">
      <c r="A493" s="469"/>
      <c r="B493" s="469"/>
      <c r="C493" s="469"/>
      <c r="D493" s="469"/>
      <c r="E493" s="469"/>
      <c r="F493" s="469"/>
      <c r="G493" s="469"/>
      <c r="H493" s="469"/>
      <c r="I493" s="469"/>
    </row>
    <row r="494">
      <c r="A494" s="469"/>
      <c r="B494" s="469"/>
      <c r="C494" s="469"/>
      <c r="D494" s="469"/>
      <c r="E494" s="469"/>
      <c r="F494" s="469"/>
      <c r="G494" s="469"/>
      <c r="H494" s="469"/>
      <c r="I494" s="469"/>
    </row>
    <row r="495">
      <c r="A495" s="469"/>
      <c r="B495" s="469"/>
      <c r="C495" s="469"/>
      <c r="D495" s="469"/>
      <c r="E495" s="469"/>
      <c r="F495" s="469"/>
      <c r="G495" s="469"/>
      <c r="H495" s="469"/>
      <c r="I495" s="469"/>
    </row>
    <row r="496">
      <c r="A496" s="469"/>
      <c r="B496" s="469"/>
      <c r="C496" s="469"/>
      <c r="D496" s="469"/>
      <c r="E496" s="469"/>
      <c r="F496" s="469"/>
      <c r="G496" s="469"/>
      <c r="H496" s="469"/>
      <c r="I496" s="469"/>
    </row>
    <row r="497">
      <c r="A497" s="469"/>
      <c r="B497" s="469"/>
      <c r="C497" s="469"/>
      <c r="D497" s="469"/>
      <c r="E497" s="469"/>
      <c r="F497" s="469"/>
      <c r="G497" s="469"/>
      <c r="H497" s="469"/>
      <c r="I497" s="469"/>
    </row>
    <row r="498">
      <c r="A498" s="469"/>
      <c r="B498" s="469"/>
      <c r="C498" s="469"/>
      <c r="D498" s="469"/>
      <c r="E498" s="469"/>
      <c r="F498" s="469"/>
      <c r="G498" s="469"/>
      <c r="H498" s="469"/>
      <c r="I498" s="469"/>
    </row>
    <row r="499">
      <c r="A499" s="469"/>
      <c r="B499" s="469"/>
      <c r="C499" s="469"/>
      <c r="D499" s="469"/>
      <c r="E499" s="469"/>
      <c r="F499" s="469"/>
      <c r="G499" s="469"/>
      <c r="H499" s="469"/>
      <c r="I499" s="469"/>
    </row>
    <row r="500">
      <c r="A500" s="469"/>
      <c r="B500" s="469"/>
      <c r="C500" s="469"/>
      <c r="D500" s="469"/>
      <c r="E500" s="469"/>
      <c r="F500" s="469"/>
      <c r="G500" s="469"/>
      <c r="H500" s="469"/>
      <c r="I500" s="469"/>
    </row>
    <row r="501">
      <c r="A501" s="469"/>
      <c r="B501" s="469"/>
      <c r="C501" s="469"/>
      <c r="D501" s="469"/>
      <c r="E501" s="469"/>
      <c r="F501" s="469"/>
      <c r="G501" s="469"/>
      <c r="H501" s="469"/>
      <c r="I501" s="469"/>
    </row>
    <row r="502">
      <c r="A502" s="469"/>
      <c r="B502" s="469"/>
      <c r="C502" s="469"/>
      <c r="D502" s="469"/>
      <c r="E502" s="469"/>
      <c r="F502" s="469"/>
      <c r="G502" s="469"/>
      <c r="H502" s="469"/>
      <c r="I502" s="469"/>
    </row>
    <row r="503">
      <c r="A503" s="469"/>
      <c r="B503" s="469"/>
      <c r="C503" s="469"/>
      <c r="D503" s="469"/>
      <c r="E503" s="469"/>
      <c r="F503" s="469"/>
      <c r="G503" s="469"/>
      <c r="H503" s="469"/>
      <c r="I503" s="469"/>
    </row>
    <row r="504">
      <c r="A504" s="469"/>
      <c r="B504" s="469"/>
      <c r="C504" s="469"/>
      <c r="D504" s="469"/>
      <c r="E504" s="469"/>
      <c r="F504" s="469"/>
      <c r="G504" s="469"/>
      <c r="H504" s="469"/>
      <c r="I504" s="469"/>
    </row>
    <row r="505">
      <c r="A505" s="469"/>
      <c r="B505" s="469"/>
      <c r="C505" s="469"/>
      <c r="D505" s="469"/>
      <c r="E505" s="469"/>
      <c r="F505" s="469"/>
      <c r="G505" s="469"/>
      <c r="H505" s="469"/>
      <c r="I505" s="469"/>
    </row>
    <row r="506">
      <c r="A506" s="469"/>
      <c r="B506" s="469"/>
      <c r="C506" s="469"/>
      <c r="D506" s="469"/>
      <c r="E506" s="469"/>
      <c r="F506" s="469"/>
      <c r="G506" s="469"/>
      <c r="H506" s="469"/>
      <c r="I506" s="469"/>
    </row>
    <row r="507">
      <c r="A507" s="469"/>
      <c r="B507" s="469"/>
      <c r="C507" s="469"/>
      <c r="D507" s="469"/>
      <c r="E507" s="469"/>
      <c r="F507" s="469"/>
      <c r="G507" s="469"/>
      <c r="H507" s="469"/>
      <c r="I507" s="469"/>
    </row>
    <row r="508">
      <c r="A508" s="469"/>
      <c r="B508" s="469"/>
      <c r="C508" s="469"/>
      <c r="D508" s="469"/>
      <c r="E508" s="469"/>
      <c r="F508" s="469"/>
      <c r="G508" s="469"/>
      <c r="H508" s="469"/>
      <c r="I508" s="469"/>
    </row>
    <row r="509">
      <c r="A509" s="469"/>
      <c r="B509" s="469"/>
      <c r="C509" s="469"/>
      <c r="D509" s="469"/>
      <c r="E509" s="469"/>
      <c r="F509" s="469"/>
      <c r="G509" s="469"/>
      <c r="H509" s="469"/>
      <c r="I509" s="469"/>
    </row>
    <row r="510">
      <c r="A510" s="469"/>
      <c r="B510" s="469"/>
      <c r="C510" s="469"/>
      <c r="D510" s="469"/>
      <c r="E510" s="469"/>
      <c r="F510" s="469"/>
      <c r="G510" s="469"/>
      <c r="H510" s="469"/>
      <c r="I510" s="469"/>
    </row>
    <row r="511">
      <c r="A511" s="469"/>
      <c r="B511" s="469"/>
      <c r="C511" s="469"/>
      <c r="D511" s="469"/>
      <c r="E511" s="469"/>
      <c r="F511" s="469"/>
      <c r="G511" s="469"/>
      <c r="H511" s="469"/>
      <c r="I511" s="469"/>
    </row>
    <row r="512">
      <c r="A512" s="469"/>
      <c r="B512" s="469"/>
      <c r="C512" s="469"/>
      <c r="D512" s="469"/>
      <c r="E512" s="469"/>
      <c r="F512" s="469"/>
      <c r="G512" s="469"/>
      <c r="H512" s="469"/>
      <c r="I512" s="469"/>
    </row>
    <row r="513">
      <c r="A513" s="469"/>
      <c r="B513" s="469"/>
      <c r="C513" s="469"/>
      <c r="D513" s="469"/>
      <c r="E513" s="469"/>
      <c r="F513" s="469"/>
      <c r="G513" s="469"/>
      <c r="H513" s="469"/>
      <c r="I513" s="469"/>
    </row>
    <row r="514">
      <c r="A514" s="469"/>
      <c r="B514" s="469"/>
      <c r="C514" s="469"/>
      <c r="D514" s="469"/>
      <c r="E514" s="469"/>
      <c r="F514" s="469"/>
      <c r="G514" s="469"/>
      <c r="H514" s="469"/>
      <c r="I514" s="469"/>
    </row>
    <row r="515">
      <c r="A515" s="469"/>
      <c r="B515" s="469"/>
      <c r="C515" s="469"/>
      <c r="D515" s="469"/>
      <c r="E515" s="469"/>
      <c r="F515" s="469"/>
      <c r="G515" s="469"/>
      <c r="H515" s="469"/>
      <c r="I515" s="469"/>
    </row>
    <row r="516">
      <c r="A516" s="469"/>
      <c r="B516" s="469"/>
      <c r="C516" s="469"/>
      <c r="D516" s="469"/>
      <c r="E516" s="469"/>
      <c r="F516" s="469"/>
      <c r="G516" s="469"/>
      <c r="H516" s="469"/>
      <c r="I516" s="469"/>
    </row>
    <row r="517">
      <c r="A517" s="469"/>
      <c r="B517" s="469"/>
      <c r="C517" s="469"/>
      <c r="D517" s="469"/>
      <c r="E517" s="469"/>
      <c r="F517" s="469"/>
      <c r="G517" s="469"/>
      <c r="H517" s="469"/>
      <c r="I517" s="469"/>
    </row>
    <row r="518">
      <c r="A518" s="469"/>
      <c r="B518" s="469"/>
      <c r="C518" s="469"/>
      <c r="D518" s="469"/>
      <c r="E518" s="469"/>
      <c r="F518" s="469"/>
      <c r="G518" s="469"/>
      <c r="H518" s="469"/>
      <c r="I518" s="469"/>
    </row>
    <row r="519">
      <c r="A519" s="469"/>
      <c r="B519" s="469"/>
      <c r="C519" s="469"/>
      <c r="D519" s="469"/>
      <c r="E519" s="469"/>
      <c r="F519" s="469"/>
      <c r="G519" s="469"/>
      <c r="H519" s="469"/>
      <c r="I519" s="469"/>
    </row>
    <row r="520">
      <c r="A520" s="469"/>
      <c r="B520" s="469"/>
      <c r="C520" s="469"/>
      <c r="D520" s="469"/>
      <c r="E520" s="469"/>
      <c r="F520" s="469"/>
      <c r="G520" s="469"/>
      <c r="H520" s="469"/>
      <c r="I520" s="469"/>
    </row>
    <row r="521">
      <c r="A521" s="469"/>
      <c r="B521" s="469"/>
      <c r="C521" s="469"/>
      <c r="D521" s="469"/>
      <c r="E521" s="469"/>
      <c r="F521" s="469"/>
      <c r="G521" s="469"/>
      <c r="H521" s="469"/>
      <c r="I521" s="469"/>
    </row>
    <row r="522">
      <c r="A522" s="469"/>
      <c r="B522" s="469"/>
      <c r="C522" s="469"/>
      <c r="D522" s="469"/>
      <c r="E522" s="469"/>
      <c r="F522" s="469"/>
      <c r="G522" s="469"/>
      <c r="H522" s="469"/>
      <c r="I522" s="469"/>
    </row>
    <row r="523">
      <c r="A523" s="469"/>
      <c r="B523" s="469"/>
      <c r="C523" s="469"/>
      <c r="D523" s="469"/>
      <c r="E523" s="469"/>
      <c r="F523" s="469"/>
      <c r="G523" s="469"/>
      <c r="H523" s="469"/>
      <c r="I523" s="469"/>
    </row>
    <row r="524">
      <c r="A524" s="469"/>
      <c r="B524" s="469"/>
      <c r="C524" s="469"/>
      <c r="D524" s="469"/>
      <c r="E524" s="469"/>
      <c r="F524" s="469"/>
      <c r="G524" s="469"/>
      <c r="H524" s="469"/>
      <c r="I524" s="469"/>
    </row>
    <row r="525">
      <c r="A525" s="469"/>
      <c r="B525" s="469"/>
      <c r="C525" s="469"/>
      <c r="D525" s="469"/>
      <c r="E525" s="469"/>
      <c r="F525" s="469"/>
      <c r="G525" s="469"/>
      <c r="H525" s="469"/>
      <c r="I525" s="469"/>
    </row>
    <row r="526">
      <c r="A526" s="469"/>
      <c r="B526" s="469"/>
      <c r="C526" s="469"/>
      <c r="D526" s="469"/>
      <c r="E526" s="469"/>
      <c r="F526" s="469"/>
      <c r="G526" s="469"/>
      <c r="H526" s="469"/>
      <c r="I526" s="469"/>
    </row>
    <row r="527">
      <c r="A527" s="469"/>
      <c r="B527" s="469"/>
      <c r="C527" s="469"/>
      <c r="D527" s="469"/>
      <c r="E527" s="469"/>
      <c r="F527" s="469"/>
      <c r="G527" s="469"/>
      <c r="H527" s="469"/>
      <c r="I527" s="469"/>
    </row>
    <row r="528">
      <c r="A528" s="469"/>
      <c r="B528" s="469"/>
      <c r="C528" s="469"/>
      <c r="D528" s="469"/>
      <c r="E528" s="469"/>
      <c r="F528" s="469"/>
      <c r="G528" s="469"/>
      <c r="H528" s="469"/>
      <c r="I528" s="469"/>
    </row>
    <row r="529">
      <c r="A529" s="469"/>
      <c r="B529" s="469"/>
      <c r="C529" s="469"/>
      <c r="D529" s="469"/>
      <c r="E529" s="469"/>
      <c r="F529" s="469"/>
      <c r="G529" s="469"/>
      <c r="H529" s="469"/>
      <c r="I529" s="469"/>
    </row>
    <row r="530">
      <c r="A530" s="469"/>
      <c r="B530" s="469"/>
      <c r="C530" s="469"/>
      <c r="D530" s="469"/>
      <c r="E530" s="469"/>
      <c r="F530" s="469"/>
      <c r="G530" s="469"/>
      <c r="H530" s="469"/>
      <c r="I530" s="469"/>
    </row>
    <row r="531">
      <c r="A531" s="469"/>
      <c r="B531" s="469"/>
      <c r="C531" s="469"/>
      <c r="D531" s="469"/>
      <c r="E531" s="469"/>
      <c r="F531" s="469"/>
      <c r="G531" s="469"/>
      <c r="H531" s="469"/>
      <c r="I531" s="469"/>
    </row>
    <row r="532">
      <c r="A532" s="469"/>
      <c r="B532" s="469"/>
      <c r="C532" s="469"/>
      <c r="D532" s="469"/>
      <c r="E532" s="469"/>
      <c r="F532" s="469"/>
      <c r="G532" s="469"/>
      <c r="H532" s="469"/>
      <c r="I532" s="469"/>
    </row>
    <row r="533">
      <c r="A533" s="469"/>
      <c r="B533" s="469"/>
      <c r="C533" s="469"/>
      <c r="D533" s="469"/>
      <c r="E533" s="469"/>
      <c r="F533" s="469"/>
      <c r="G533" s="469"/>
      <c r="H533" s="469"/>
      <c r="I533" s="469"/>
    </row>
    <row r="534">
      <c r="A534" s="469"/>
      <c r="B534" s="469"/>
      <c r="C534" s="469"/>
      <c r="D534" s="469"/>
      <c r="E534" s="469"/>
      <c r="F534" s="469"/>
      <c r="G534" s="469"/>
      <c r="H534" s="469"/>
      <c r="I534" s="469"/>
    </row>
    <row r="535">
      <c r="A535" s="469"/>
      <c r="B535" s="469"/>
      <c r="C535" s="469"/>
      <c r="D535" s="469"/>
      <c r="E535" s="469"/>
      <c r="F535" s="469"/>
      <c r="G535" s="469"/>
      <c r="H535" s="469"/>
      <c r="I535" s="469"/>
    </row>
    <row r="536">
      <c r="A536" s="469"/>
      <c r="B536" s="469"/>
      <c r="C536" s="469"/>
      <c r="D536" s="469"/>
      <c r="E536" s="469"/>
      <c r="F536" s="469"/>
      <c r="G536" s="469"/>
      <c r="H536" s="469"/>
      <c r="I536" s="469"/>
    </row>
    <row r="537">
      <c r="A537" s="469"/>
      <c r="B537" s="469"/>
      <c r="C537" s="469"/>
      <c r="D537" s="469"/>
      <c r="E537" s="469"/>
      <c r="F537" s="469"/>
      <c r="G537" s="469"/>
      <c r="H537" s="469"/>
      <c r="I537" s="469"/>
    </row>
    <row r="538">
      <c r="A538" s="469"/>
      <c r="B538" s="469"/>
      <c r="C538" s="469"/>
      <c r="D538" s="469"/>
      <c r="E538" s="469"/>
      <c r="F538" s="469"/>
      <c r="G538" s="469"/>
      <c r="H538" s="469"/>
      <c r="I538" s="469"/>
    </row>
    <row r="539">
      <c r="A539" s="469"/>
      <c r="B539" s="469"/>
      <c r="C539" s="469"/>
      <c r="D539" s="469"/>
      <c r="E539" s="469"/>
      <c r="F539" s="469"/>
      <c r="G539" s="469"/>
      <c r="H539" s="469"/>
      <c r="I539" s="469"/>
    </row>
    <row r="540">
      <c r="A540" s="469"/>
      <c r="B540" s="469"/>
      <c r="C540" s="469"/>
      <c r="D540" s="469"/>
      <c r="E540" s="469"/>
      <c r="F540" s="469"/>
      <c r="G540" s="469"/>
      <c r="H540" s="469"/>
      <c r="I540" s="469"/>
    </row>
    <row r="541">
      <c r="A541" s="469"/>
      <c r="B541" s="469"/>
      <c r="C541" s="469"/>
      <c r="D541" s="469"/>
      <c r="E541" s="469"/>
      <c r="F541" s="469"/>
      <c r="G541" s="469"/>
      <c r="H541" s="469"/>
      <c r="I541" s="469"/>
    </row>
    <row r="542">
      <c r="A542" s="469"/>
      <c r="B542" s="469"/>
      <c r="C542" s="469"/>
      <c r="D542" s="469"/>
      <c r="E542" s="469"/>
      <c r="F542" s="469"/>
      <c r="G542" s="469"/>
      <c r="H542" s="469"/>
      <c r="I542" s="469"/>
    </row>
    <row r="543">
      <c r="A543" s="469"/>
      <c r="B543" s="469"/>
      <c r="C543" s="469"/>
      <c r="D543" s="469"/>
      <c r="E543" s="469"/>
      <c r="F543" s="469"/>
      <c r="G543" s="469"/>
      <c r="H543" s="469"/>
      <c r="I543" s="469"/>
    </row>
    <row r="544">
      <c r="A544" s="469"/>
      <c r="B544" s="469"/>
      <c r="C544" s="469"/>
      <c r="D544" s="469"/>
      <c r="E544" s="469"/>
      <c r="F544" s="469"/>
      <c r="G544" s="469"/>
      <c r="H544" s="469"/>
      <c r="I544" s="469"/>
    </row>
    <row r="545">
      <c r="A545" s="469"/>
      <c r="B545" s="469"/>
      <c r="C545" s="469"/>
      <c r="D545" s="469"/>
      <c r="E545" s="469"/>
      <c r="F545" s="469"/>
      <c r="G545" s="469"/>
      <c r="H545" s="469"/>
      <c r="I545" s="469"/>
    </row>
    <row r="546">
      <c r="A546" s="469"/>
      <c r="B546" s="469"/>
      <c r="C546" s="469"/>
      <c r="D546" s="469"/>
      <c r="E546" s="469"/>
      <c r="F546" s="469"/>
      <c r="G546" s="469"/>
      <c r="H546" s="469"/>
      <c r="I546" s="469"/>
    </row>
    <row r="547">
      <c r="A547" s="469"/>
      <c r="B547" s="469"/>
      <c r="C547" s="469"/>
      <c r="D547" s="469"/>
      <c r="E547" s="469"/>
      <c r="F547" s="469"/>
      <c r="G547" s="469"/>
      <c r="H547" s="469"/>
      <c r="I547" s="469"/>
    </row>
    <row r="548">
      <c r="A548" s="469"/>
      <c r="B548" s="469"/>
      <c r="C548" s="469"/>
      <c r="D548" s="469"/>
      <c r="E548" s="469"/>
      <c r="F548" s="469"/>
      <c r="G548" s="469"/>
      <c r="H548" s="469"/>
      <c r="I548" s="469"/>
    </row>
    <row r="549">
      <c r="A549" s="469"/>
      <c r="B549" s="469"/>
      <c r="C549" s="469"/>
      <c r="D549" s="469"/>
      <c r="E549" s="469"/>
      <c r="F549" s="469"/>
      <c r="G549" s="469"/>
      <c r="H549" s="469"/>
      <c r="I549" s="469"/>
    </row>
    <row r="550">
      <c r="A550" s="469"/>
      <c r="B550" s="469"/>
      <c r="C550" s="469"/>
      <c r="D550" s="469"/>
      <c r="E550" s="469"/>
      <c r="F550" s="469"/>
      <c r="G550" s="469"/>
      <c r="H550" s="469"/>
      <c r="I550" s="469"/>
    </row>
    <row r="551">
      <c r="A551" s="469"/>
      <c r="B551" s="469"/>
      <c r="C551" s="469"/>
      <c r="D551" s="469"/>
      <c r="E551" s="469"/>
      <c r="F551" s="469"/>
      <c r="G551" s="469"/>
      <c r="H551" s="469"/>
      <c r="I551" s="469"/>
    </row>
    <row r="552">
      <c r="A552" s="469"/>
      <c r="B552" s="469"/>
      <c r="C552" s="469"/>
      <c r="D552" s="469"/>
      <c r="E552" s="469"/>
      <c r="F552" s="469"/>
      <c r="G552" s="469"/>
      <c r="H552" s="469"/>
      <c r="I552" s="469"/>
    </row>
    <row r="553">
      <c r="A553" s="469"/>
      <c r="B553" s="469"/>
      <c r="C553" s="469"/>
      <c r="D553" s="469"/>
      <c r="E553" s="469"/>
      <c r="F553" s="469"/>
      <c r="G553" s="469"/>
      <c r="H553" s="469"/>
      <c r="I553" s="469"/>
    </row>
    <row r="554">
      <c r="A554" s="469"/>
      <c r="B554" s="469"/>
      <c r="C554" s="469"/>
      <c r="D554" s="469"/>
      <c r="E554" s="469"/>
      <c r="F554" s="469"/>
      <c r="G554" s="469"/>
      <c r="H554" s="469"/>
      <c r="I554" s="469"/>
    </row>
    <row r="555">
      <c r="A555" s="469"/>
      <c r="B555" s="469"/>
      <c r="C555" s="469"/>
      <c r="D555" s="469"/>
      <c r="E555" s="469"/>
      <c r="F555" s="469"/>
      <c r="G555" s="469"/>
      <c r="H555" s="469"/>
      <c r="I555" s="469"/>
    </row>
    <row r="556">
      <c r="A556" s="469"/>
      <c r="B556" s="469"/>
      <c r="C556" s="469"/>
      <c r="D556" s="469"/>
      <c r="E556" s="469"/>
      <c r="F556" s="469"/>
      <c r="G556" s="469"/>
      <c r="H556" s="469"/>
      <c r="I556" s="469"/>
    </row>
    <row r="557">
      <c r="A557" s="469"/>
      <c r="B557" s="469"/>
      <c r="C557" s="469"/>
      <c r="D557" s="469"/>
      <c r="E557" s="469"/>
      <c r="F557" s="469"/>
      <c r="G557" s="469"/>
      <c r="H557" s="469"/>
      <c r="I557" s="469"/>
    </row>
    <row r="558">
      <c r="A558" s="469"/>
      <c r="B558" s="469"/>
      <c r="C558" s="469"/>
      <c r="D558" s="469"/>
      <c r="E558" s="469"/>
      <c r="F558" s="469"/>
      <c r="G558" s="469"/>
      <c r="H558" s="469"/>
      <c r="I558" s="469"/>
    </row>
    <row r="559">
      <c r="A559" s="469"/>
      <c r="B559" s="469"/>
      <c r="C559" s="469"/>
      <c r="D559" s="469"/>
      <c r="E559" s="469"/>
      <c r="F559" s="469"/>
      <c r="G559" s="469"/>
      <c r="H559" s="469"/>
      <c r="I559" s="469"/>
    </row>
    <row r="560">
      <c r="A560" s="469"/>
      <c r="B560" s="469"/>
      <c r="C560" s="469"/>
      <c r="D560" s="469"/>
      <c r="E560" s="469"/>
      <c r="F560" s="469"/>
      <c r="G560" s="469"/>
      <c r="H560" s="469"/>
      <c r="I560" s="469"/>
    </row>
    <row r="561">
      <c r="A561" s="469"/>
      <c r="B561" s="469"/>
      <c r="C561" s="469"/>
      <c r="D561" s="469"/>
      <c r="E561" s="469"/>
      <c r="F561" s="469"/>
      <c r="G561" s="469"/>
      <c r="H561" s="469"/>
      <c r="I561" s="469"/>
    </row>
    <row r="562">
      <c r="A562" s="469"/>
      <c r="B562" s="469"/>
      <c r="C562" s="469"/>
      <c r="D562" s="469"/>
      <c r="E562" s="469"/>
      <c r="F562" s="469"/>
      <c r="G562" s="469"/>
      <c r="H562" s="469"/>
      <c r="I562" s="469"/>
    </row>
    <row r="563">
      <c r="A563" s="469"/>
      <c r="B563" s="469"/>
      <c r="C563" s="469"/>
      <c r="D563" s="469"/>
      <c r="E563" s="469"/>
      <c r="F563" s="469"/>
      <c r="G563" s="469"/>
      <c r="H563" s="469"/>
      <c r="I563" s="469"/>
    </row>
    <row r="564">
      <c r="A564" s="469"/>
      <c r="B564" s="469"/>
      <c r="C564" s="469"/>
      <c r="D564" s="469"/>
      <c r="E564" s="469"/>
      <c r="F564" s="469"/>
      <c r="G564" s="469"/>
      <c r="H564" s="469"/>
      <c r="I564" s="469"/>
    </row>
    <row r="565">
      <c r="A565" s="469"/>
      <c r="B565" s="469"/>
      <c r="C565" s="469"/>
      <c r="D565" s="469"/>
      <c r="E565" s="469"/>
      <c r="F565" s="469"/>
      <c r="G565" s="469"/>
      <c r="H565" s="469"/>
      <c r="I565" s="469"/>
    </row>
    <row r="566">
      <c r="A566" s="469"/>
      <c r="B566" s="469"/>
      <c r="C566" s="469"/>
      <c r="D566" s="469"/>
      <c r="E566" s="469"/>
      <c r="F566" s="469"/>
      <c r="G566" s="469"/>
      <c r="H566" s="469"/>
      <c r="I566" s="469"/>
    </row>
    <row r="567">
      <c r="A567" s="469"/>
      <c r="B567" s="469"/>
      <c r="C567" s="469"/>
      <c r="D567" s="469"/>
      <c r="E567" s="469"/>
      <c r="F567" s="469"/>
      <c r="G567" s="469"/>
      <c r="H567" s="469"/>
      <c r="I567" s="469"/>
    </row>
    <row r="568">
      <c r="A568" s="469"/>
      <c r="B568" s="469"/>
      <c r="C568" s="469"/>
      <c r="D568" s="469"/>
      <c r="E568" s="469"/>
      <c r="F568" s="469"/>
      <c r="G568" s="469"/>
      <c r="H568" s="469"/>
      <c r="I568" s="469"/>
    </row>
    <row r="569">
      <c r="A569" s="469"/>
      <c r="B569" s="469"/>
      <c r="C569" s="469"/>
      <c r="D569" s="469"/>
      <c r="E569" s="469"/>
      <c r="F569" s="469"/>
      <c r="G569" s="469"/>
      <c r="H569" s="469"/>
      <c r="I569" s="469"/>
    </row>
    <row r="570">
      <c r="A570" s="469"/>
      <c r="B570" s="469"/>
      <c r="C570" s="469"/>
      <c r="D570" s="469"/>
      <c r="E570" s="469"/>
      <c r="F570" s="469"/>
      <c r="G570" s="469"/>
      <c r="H570" s="469"/>
      <c r="I570" s="469"/>
    </row>
    <row r="571">
      <c r="A571" s="469"/>
      <c r="B571" s="469"/>
      <c r="C571" s="469"/>
      <c r="D571" s="469"/>
      <c r="E571" s="469"/>
      <c r="F571" s="469"/>
      <c r="G571" s="469"/>
      <c r="H571" s="469"/>
      <c r="I571" s="469"/>
    </row>
    <row r="572">
      <c r="A572" s="469"/>
      <c r="B572" s="469"/>
      <c r="C572" s="469"/>
      <c r="D572" s="469"/>
      <c r="E572" s="469"/>
      <c r="F572" s="469"/>
      <c r="G572" s="469"/>
      <c r="H572" s="469"/>
      <c r="I572" s="469"/>
    </row>
    <row r="573">
      <c r="A573" s="469"/>
      <c r="B573" s="469"/>
      <c r="C573" s="469"/>
      <c r="D573" s="469"/>
      <c r="E573" s="469"/>
      <c r="F573" s="469"/>
      <c r="G573" s="469"/>
      <c r="H573" s="469"/>
      <c r="I573" s="469"/>
    </row>
    <row r="574">
      <c r="A574" s="469"/>
      <c r="B574" s="469"/>
      <c r="C574" s="469"/>
      <c r="D574" s="469"/>
      <c r="E574" s="469"/>
      <c r="F574" s="469"/>
      <c r="G574" s="469"/>
      <c r="H574" s="469"/>
      <c r="I574" s="469"/>
    </row>
    <row r="575">
      <c r="A575" s="469"/>
      <c r="B575" s="469"/>
      <c r="C575" s="469"/>
      <c r="D575" s="469"/>
      <c r="E575" s="469"/>
      <c r="F575" s="469"/>
      <c r="G575" s="469"/>
      <c r="H575" s="469"/>
      <c r="I575" s="469"/>
    </row>
    <row r="576">
      <c r="A576" s="469"/>
      <c r="B576" s="469"/>
      <c r="C576" s="469"/>
      <c r="D576" s="469"/>
      <c r="E576" s="469"/>
      <c r="F576" s="469"/>
      <c r="G576" s="469"/>
      <c r="H576" s="469"/>
      <c r="I576" s="469"/>
    </row>
    <row r="577">
      <c r="A577" s="469"/>
      <c r="B577" s="469"/>
      <c r="C577" s="469"/>
      <c r="D577" s="469"/>
      <c r="E577" s="469"/>
      <c r="F577" s="469"/>
      <c r="G577" s="469"/>
      <c r="H577" s="469"/>
      <c r="I577" s="469"/>
    </row>
    <row r="578">
      <c r="A578" s="469"/>
      <c r="B578" s="469"/>
      <c r="C578" s="469"/>
      <c r="D578" s="469"/>
      <c r="E578" s="469"/>
      <c r="F578" s="469"/>
      <c r="G578" s="469"/>
      <c r="H578" s="469"/>
      <c r="I578" s="469"/>
    </row>
    <row r="579">
      <c r="A579" s="469"/>
      <c r="B579" s="469"/>
      <c r="C579" s="469"/>
      <c r="D579" s="469"/>
      <c r="E579" s="469"/>
      <c r="F579" s="469"/>
      <c r="G579" s="469"/>
      <c r="H579" s="469"/>
      <c r="I579" s="469"/>
    </row>
    <row r="580">
      <c r="A580" s="469"/>
      <c r="B580" s="469"/>
      <c r="C580" s="469"/>
      <c r="D580" s="469"/>
      <c r="E580" s="469"/>
      <c r="F580" s="469"/>
      <c r="G580" s="469"/>
      <c r="H580" s="469"/>
      <c r="I580" s="469"/>
    </row>
    <row r="581">
      <c r="A581" s="469"/>
      <c r="B581" s="469"/>
      <c r="C581" s="469"/>
      <c r="D581" s="469"/>
      <c r="E581" s="469"/>
      <c r="F581" s="469"/>
      <c r="G581" s="469"/>
      <c r="H581" s="469"/>
      <c r="I581" s="469"/>
    </row>
    <row r="582">
      <c r="A582" s="469"/>
      <c r="B582" s="469"/>
      <c r="C582" s="469"/>
      <c r="D582" s="469"/>
      <c r="E582" s="469"/>
      <c r="F582" s="469"/>
      <c r="G582" s="469"/>
      <c r="H582" s="469"/>
      <c r="I582" s="469"/>
    </row>
    <row r="583">
      <c r="A583" s="469"/>
      <c r="B583" s="469"/>
      <c r="C583" s="469"/>
      <c r="D583" s="469"/>
      <c r="E583" s="469"/>
      <c r="F583" s="469"/>
      <c r="G583" s="469"/>
      <c r="H583" s="469"/>
      <c r="I583" s="469"/>
    </row>
    <row r="584">
      <c r="A584" s="469"/>
      <c r="B584" s="469"/>
      <c r="C584" s="469"/>
      <c r="D584" s="469"/>
      <c r="E584" s="469"/>
      <c r="F584" s="469"/>
      <c r="G584" s="469"/>
      <c r="H584" s="469"/>
      <c r="I584" s="469"/>
    </row>
    <row r="585">
      <c r="A585" s="469"/>
      <c r="B585" s="469"/>
      <c r="C585" s="469"/>
      <c r="D585" s="469"/>
      <c r="E585" s="469"/>
      <c r="F585" s="469"/>
      <c r="G585" s="469"/>
      <c r="H585" s="469"/>
      <c r="I585" s="469"/>
    </row>
    <row r="586">
      <c r="A586" s="469"/>
      <c r="B586" s="469"/>
      <c r="C586" s="469"/>
      <c r="D586" s="469"/>
      <c r="E586" s="469"/>
      <c r="F586" s="469"/>
      <c r="G586" s="469"/>
      <c r="H586" s="469"/>
      <c r="I586" s="469"/>
    </row>
    <row r="587">
      <c r="A587" s="469"/>
      <c r="B587" s="469"/>
      <c r="C587" s="469"/>
      <c r="D587" s="469"/>
      <c r="E587" s="469"/>
      <c r="F587" s="469"/>
      <c r="G587" s="469"/>
      <c r="H587" s="469"/>
      <c r="I587" s="469"/>
    </row>
    <row r="588">
      <c r="A588" s="469"/>
      <c r="B588" s="469"/>
      <c r="C588" s="469"/>
      <c r="D588" s="469"/>
      <c r="E588" s="469"/>
      <c r="F588" s="469"/>
      <c r="G588" s="469"/>
      <c r="H588" s="469"/>
      <c r="I588" s="469"/>
    </row>
    <row r="589">
      <c r="A589" s="469"/>
      <c r="B589" s="469"/>
      <c r="C589" s="469"/>
      <c r="D589" s="469"/>
      <c r="E589" s="469"/>
      <c r="F589" s="469"/>
      <c r="G589" s="469"/>
      <c r="H589" s="469"/>
      <c r="I589" s="469"/>
    </row>
    <row r="590">
      <c r="A590" s="469"/>
      <c r="B590" s="469"/>
      <c r="C590" s="469"/>
      <c r="D590" s="469"/>
      <c r="E590" s="469"/>
      <c r="F590" s="469"/>
      <c r="G590" s="469"/>
      <c r="H590" s="469"/>
      <c r="I590" s="469"/>
    </row>
    <row r="591">
      <c r="A591" s="469"/>
      <c r="B591" s="469"/>
      <c r="C591" s="469"/>
      <c r="D591" s="469"/>
      <c r="E591" s="469"/>
      <c r="F591" s="469"/>
      <c r="G591" s="469"/>
      <c r="H591" s="469"/>
      <c r="I591" s="469"/>
    </row>
    <row r="592">
      <c r="A592" s="469"/>
      <c r="B592" s="469"/>
      <c r="C592" s="469"/>
      <c r="D592" s="469"/>
      <c r="E592" s="469"/>
      <c r="F592" s="469"/>
      <c r="G592" s="469"/>
      <c r="H592" s="469"/>
      <c r="I592" s="469"/>
    </row>
    <row r="593">
      <c r="A593" s="469"/>
      <c r="B593" s="469"/>
      <c r="C593" s="469"/>
      <c r="D593" s="469"/>
      <c r="E593" s="469"/>
      <c r="F593" s="469"/>
      <c r="G593" s="469"/>
      <c r="H593" s="469"/>
      <c r="I593" s="469"/>
    </row>
    <row r="594">
      <c r="A594" s="469"/>
      <c r="B594" s="469"/>
      <c r="C594" s="469"/>
      <c r="D594" s="469"/>
      <c r="E594" s="469"/>
      <c r="F594" s="469"/>
      <c r="G594" s="469"/>
      <c r="H594" s="469"/>
      <c r="I594" s="469"/>
    </row>
    <row r="595">
      <c r="A595" s="469"/>
      <c r="B595" s="469"/>
      <c r="C595" s="469"/>
      <c r="D595" s="469"/>
      <c r="E595" s="469"/>
      <c r="F595" s="469"/>
      <c r="G595" s="469"/>
      <c r="H595" s="469"/>
      <c r="I595" s="469"/>
    </row>
    <row r="596">
      <c r="A596" s="469"/>
      <c r="B596" s="469"/>
      <c r="C596" s="469"/>
      <c r="D596" s="469"/>
      <c r="E596" s="469"/>
      <c r="F596" s="469"/>
      <c r="G596" s="469"/>
      <c r="H596" s="469"/>
      <c r="I596" s="469"/>
    </row>
    <row r="597">
      <c r="A597" s="469"/>
      <c r="B597" s="469"/>
      <c r="C597" s="469"/>
      <c r="D597" s="469"/>
      <c r="E597" s="469"/>
      <c r="F597" s="469"/>
      <c r="G597" s="469"/>
      <c r="H597" s="469"/>
      <c r="I597" s="469"/>
    </row>
    <row r="598">
      <c r="A598" s="469"/>
      <c r="B598" s="469"/>
      <c r="C598" s="469"/>
      <c r="D598" s="469"/>
      <c r="E598" s="469"/>
      <c r="F598" s="469"/>
      <c r="G598" s="469"/>
      <c r="H598" s="469"/>
      <c r="I598" s="469"/>
    </row>
    <row r="599">
      <c r="A599" s="469"/>
      <c r="B599" s="469"/>
      <c r="C599" s="469"/>
      <c r="D599" s="469"/>
      <c r="E599" s="469"/>
      <c r="F599" s="469"/>
      <c r="G599" s="469"/>
      <c r="H599" s="469"/>
      <c r="I599" s="469"/>
    </row>
    <row r="600">
      <c r="A600" s="469"/>
      <c r="B600" s="469"/>
      <c r="C600" s="469"/>
      <c r="D600" s="469"/>
      <c r="E600" s="469"/>
      <c r="F600" s="469"/>
      <c r="G600" s="469"/>
      <c r="H600" s="469"/>
      <c r="I600" s="469"/>
    </row>
    <row r="601">
      <c r="A601" s="469"/>
      <c r="B601" s="469"/>
      <c r="C601" s="469"/>
      <c r="D601" s="469"/>
      <c r="E601" s="469"/>
      <c r="F601" s="469"/>
      <c r="G601" s="469"/>
      <c r="H601" s="469"/>
      <c r="I601" s="469"/>
    </row>
    <row r="602">
      <c r="A602" s="469"/>
      <c r="B602" s="469"/>
      <c r="C602" s="469"/>
      <c r="D602" s="469"/>
      <c r="E602" s="469"/>
      <c r="F602" s="469"/>
      <c r="G602" s="469"/>
      <c r="H602" s="469"/>
      <c r="I602" s="469"/>
    </row>
    <row r="603">
      <c r="A603" s="469"/>
      <c r="B603" s="469"/>
      <c r="C603" s="469"/>
      <c r="D603" s="469"/>
      <c r="E603" s="469"/>
      <c r="F603" s="469"/>
      <c r="G603" s="469"/>
      <c r="H603" s="469"/>
      <c r="I603" s="469"/>
    </row>
    <row r="604">
      <c r="A604" s="469"/>
      <c r="B604" s="469"/>
      <c r="C604" s="469"/>
      <c r="D604" s="469"/>
      <c r="E604" s="469"/>
      <c r="F604" s="469"/>
      <c r="G604" s="469"/>
      <c r="H604" s="469"/>
      <c r="I604" s="469"/>
    </row>
    <row r="605">
      <c r="A605" s="469"/>
      <c r="B605" s="469"/>
      <c r="C605" s="469"/>
      <c r="D605" s="469"/>
      <c r="E605" s="469"/>
      <c r="F605" s="469"/>
      <c r="G605" s="469"/>
      <c r="H605" s="469"/>
      <c r="I605" s="469"/>
    </row>
    <row r="606">
      <c r="A606" s="469"/>
      <c r="B606" s="469"/>
      <c r="C606" s="469"/>
      <c r="D606" s="469"/>
      <c r="E606" s="469"/>
      <c r="F606" s="469"/>
      <c r="G606" s="469"/>
      <c r="H606" s="469"/>
      <c r="I606" s="469"/>
    </row>
    <row r="607">
      <c r="A607" s="469"/>
      <c r="B607" s="469"/>
      <c r="C607" s="469"/>
      <c r="D607" s="469"/>
      <c r="E607" s="469"/>
      <c r="F607" s="469"/>
      <c r="G607" s="469"/>
      <c r="H607" s="469"/>
      <c r="I607" s="469"/>
    </row>
    <row r="608">
      <c r="A608" s="469"/>
      <c r="B608" s="469"/>
      <c r="C608" s="469"/>
      <c r="D608" s="469"/>
      <c r="E608" s="469"/>
      <c r="F608" s="469"/>
      <c r="G608" s="469"/>
      <c r="H608" s="469"/>
      <c r="I608" s="469"/>
    </row>
    <row r="609">
      <c r="A609" s="469"/>
      <c r="B609" s="469"/>
      <c r="C609" s="469"/>
      <c r="D609" s="469"/>
      <c r="E609" s="469"/>
      <c r="F609" s="469"/>
      <c r="G609" s="469"/>
      <c r="H609" s="469"/>
      <c r="I609" s="469"/>
    </row>
    <row r="610">
      <c r="A610" s="469"/>
      <c r="B610" s="469"/>
      <c r="C610" s="469"/>
      <c r="D610" s="469"/>
      <c r="E610" s="469"/>
      <c r="F610" s="469"/>
      <c r="G610" s="469"/>
      <c r="H610" s="469"/>
      <c r="I610" s="469"/>
    </row>
    <row r="611">
      <c r="A611" s="469"/>
      <c r="B611" s="469"/>
      <c r="C611" s="469"/>
      <c r="D611" s="469"/>
      <c r="E611" s="469"/>
      <c r="F611" s="469"/>
      <c r="G611" s="469"/>
      <c r="H611" s="469"/>
      <c r="I611" s="469"/>
    </row>
    <row r="612">
      <c r="A612" s="469"/>
      <c r="B612" s="469"/>
      <c r="C612" s="469"/>
      <c r="D612" s="469"/>
      <c r="E612" s="469"/>
      <c r="F612" s="469"/>
      <c r="G612" s="469"/>
      <c r="H612" s="469"/>
      <c r="I612" s="469"/>
    </row>
    <row r="613">
      <c r="A613" s="469"/>
      <c r="B613" s="469"/>
      <c r="C613" s="469"/>
      <c r="D613" s="469"/>
      <c r="E613" s="469"/>
      <c r="F613" s="469"/>
      <c r="G613" s="469"/>
      <c r="H613" s="469"/>
      <c r="I613" s="469"/>
    </row>
    <row r="614">
      <c r="A614" s="469"/>
      <c r="B614" s="469"/>
      <c r="C614" s="469"/>
      <c r="D614" s="469"/>
      <c r="E614" s="469"/>
      <c r="F614" s="469"/>
      <c r="G614" s="469"/>
      <c r="H614" s="469"/>
      <c r="I614" s="469"/>
    </row>
    <row r="615">
      <c r="A615" s="469"/>
      <c r="B615" s="469"/>
      <c r="C615" s="469"/>
      <c r="D615" s="469"/>
      <c r="E615" s="469"/>
      <c r="F615" s="469"/>
      <c r="G615" s="469"/>
      <c r="H615" s="469"/>
      <c r="I615" s="469"/>
    </row>
    <row r="616">
      <c r="A616" s="469"/>
      <c r="B616" s="469"/>
      <c r="C616" s="469"/>
      <c r="D616" s="469"/>
      <c r="E616" s="469"/>
      <c r="F616" s="469"/>
      <c r="G616" s="469"/>
      <c r="H616" s="469"/>
      <c r="I616" s="469"/>
    </row>
    <row r="617">
      <c r="A617" s="469"/>
      <c r="B617" s="469"/>
      <c r="C617" s="469"/>
      <c r="D617" s="469"/>
      <c r="E617" s="469"/>
      <c r="F617" s="469"/>
      <c r="G617" s="469"/>
      <c r="H617" s="469"/>
      <c r="I617" s="469"/>
    </row>
    <row r="618">
      <c r="A618" s="469"/>
      <c r="B618" s="469"/>
      <c r="C618" s="469"/>
      <c r="D618" s="469"/>
      <c r="E618" s="469"/>
      <c r="F618" s="469"/>
      <c r="G618" s="469"/>
      <c r="H618" s="469"/>
      <c r="I618" s="469"/>
    </row>
    <row r="619">
      <c r="A619" s="469"/>
      <c r="B619" s="469"/>
      <c r="C619" s="469"/>
      <c r="D619" s="469"/>
      <c r="E619" s="469"/>
      <c r="F619" s="469"/>
      <c r="G619" s="469"/>
      <c r="H619" s="469"/>
      <c r="I619" s="469"/>
    </row>
    <row r="620">
      <c r="A620" s="469"/>
      <c r="B620" s="469"/>
      <c r="C620" s="469"/>
      <c r="D620" s="469"/>
      <c r="E620" s="469"/>
      <c r="F620" s="469"/>
      <c r="G620" s="469"/>
      <c r="H620" s="469"/>
      <c r="I620" s="469"/>
    </row>
    <row r="621">
      <c r="A621" s="469"/>
      <c r="B621" s="469"/>
      <c r="C621" s="469"/>
      <c r="D621" s="469"/>
      <c r="E621" s="469"/>
      <c r="F621" s="469"/>
      <c r="G621" s="469"/>
      <c r="H621" s="469"/>
      <c r="I621" s="469"/>
    </row>
    <row r="622">
      <c r="A622" s="469"/>
      <c r="B622" s="469"/>
      <c r="C622" s="469"/>
      <c r="D622" s="469"/>
      <c r="E622" s="469"/>
      <c r="F622" s="469"/>
      <c r="G622" s="469"/>
      <c r="H622" s="469"/>
      <c r="I622" s="469"/>
    </row>
    <row r="623">
      <c r="A623" s="469"/>
      <c r="B623" s="469"/>
      <c r="C623" s="469"/>
      <c r="D623" s="469"/>
      <c r="E623" s="469"/>
      <c r="F623" s="469"/>
      <c r="G623" s="469"/>
      <c r="H623" s="469"/>
      <c r="I623" s="469"/>
    </row>
    <row r="624">
      <c r="A624" s="469"/>
      <c r="B624" s="469"/>
      <c r="C624" s="469"/>
      <c r="D624" s="469"/>
      <c r="E624" s="469"/>
      <c r="F624" s="469"/>
      <c r="G624" s="469"/>
      <c r="H624" s="469"/>
      <c r="I624" s="469"/>
    </row>
    <row r="625">
      <c r="A625" s="469"/>
      <c r="B625" s="469"/>
      <c r="C625" s="469"/>
      <c r="D625" s="469"/>
      <c r="E625" s="469"/>
      <c r="F625" s="469"/>
      <c r="G625" s="469"/>
      <c r="H625" s="469"/>
      <c r="I625" s="469"/>
    </row>
    <row r="626">
      <c r="A626" s="469"/>
      <c r="B626" s="469"/>
      <c r="C626" s="469"/>
      <c r="D626" s="469"/>
      <c r="E626" s="469"/>
      <c r="F626" s="469"/>
      <c r="G626" s="469"/>
      <c r="H626" s="469"/>
      <c r="I626" s="469"/>
    </row>
    <row r="627">
      <c r="A627" s="469"/>
      <c r="B627" s="469"/>
      <c r="C627" s="469"/>
      <c r="D627" s="469"/>
      <c r="E627" s="469"/>
      <c r="F627" s="469"/>
      <c r="G627" s="469"/>
      <c r="H627" s="469"/>
      <c r="I627" s="469"/>
    </row>
    <row r="628">
      <c r="A628" s="469"/>
      <c r="B628" s="469"/>
      <c r="C628" s="469"/>
      <c r="D628" s="469"/>
      <c r="E628" s="469"/>
      <c r="F628" s="469"/>
      <c r="G628" s="469"/>
      <c r="H628" s="469"/>
      <c r="I628" s="469"/>
    </row>
    <row r="629">
      <c r="A629" s="469"/>
      <c r="B629" s="469"/>
      <c r="C629" s="469"/>
      <c r="D629" s="469"/>
      <c r="E629" s="469"/>
      <c r="F629" s="469"/>
      <c r="G629" s="469"/>
      <c r="H629" s="469"/>
      <c r="I629" s="469"/>
    </row>
    <row r="630">
      <c r="A630" s="469"/>
      <c r="B630" s="469"/>
      <c r="C630" s="469"/>
      <c r="D630" s="469"/>
      <c r="E630" s="469"/>
      <c r="F630" s="469"/>
      <c r="G630" s="469"/>
      <c r="H630" s="469"/>
      <c r="I630" s="469"/>
    </row>
    <row r="631">
      <c r="A631" s="469"/>
      <c r="B631" s="469"/>
      <c r="C631" s="469"/>
      <c r="D631" s="469"/>
      <c r="E631" s="469"/>
      <c r="F631" s="469"/>
      <c r="G631" s="469"/>
      <c r="H631" s="469"/>
      <c r="I631" s="469"/>
    </row>
    <row r="632">
      <c r="A632" s="469"/>
      <c r="B632" s="469"/>
      <c r="C632" s="469"/>
      <c r="D632" s="469"/>
      <c r="E632" s="469"/>
      <c r="F632" s="469"/>
      <c r="G632" s="469"/>
      <c r="H632" s="469"/>
      <c r="I632" s="469"/>
    </row>
    <row r="633">
      <c r="A633" s="469"/>
      <c r="B633" s="469"/>
      <c r="C633" s="469"/>
      <c r="D633" s="469"/>
      <c r="E633" s="469"/>
      <c r="F633" s="469"/>
      <c r="G633" s="469"/>
      <c r="H633" s="469"/>
      <c r="I633" s="469"/>
    </row>
    <row r="634">
      <c r="A634" s="469"/>
      <c r="B634" s="469"/>
      <c r="C634" s="469"/>
      <c r="D634" s="469"/>
      <c r="E634" s="469"/>
      <c r="F634" s="469"/>
      <c r="G634" s="469"/>
      <c r="H634" s="469"/>
      <c r="I634" s="469"/>
    </row>
    <row r="635">
      <c r="A635" s="469"/>
      <c r="B635" s="469"/>
      <c r="C635" s="469"/>
      <c r="D635" s="469"/>
      <c r="E635" s="469"/>
      <c r="F635" s="469"/>
      <c r="G635" s="469"/>
      <c r="H635" s="469"/>
      <c r="I635" s="469"/>
    </row>
    <row r="636">
      <c r="A636" s="469"/>
      <c r="B636" s="469"/>
      <c r="C636" s="469"/>
      <c r="D636" s="469"/>
      <c r="E636" s="469"/>
      <c r="F636" s="469"/>
      <c r="G636" s="469"/>
      <c r="H636" s="469"/>
      <c r="I636" s="469"/>
    </row>
    <row r="637">
      <c r="A637" s="469"/>
      <c r="B637" s="469"/>
      <c r="C637" s="469"/>
      <c r="D637" s="469"/>
      <c r="E637" s="469"/>
      <c r="F637" s="469"/>
      <c r="G637" s="469"/>
      <c r="H637" s="469"/>
      <c r="I637" s="469"/>
    </row>
    <row r="638">
      <c r="A638" s="469"/>
      <c r="B638" s="469"/>
      <c r="C638" s="469"/>
      <c r="D638" s="469"/>
      <c r="E638" s="469"/>
      <c r="F638" s="469"/>
      <c r="G638" s="469"/>
      <c r="H638" s="469"/>
      <c r="I638" s="469"/>
    </row>
    <row r="639">
      <c r="A639" s="469"/>
      <c r="B639" s="469"/>
      <c r="C639" s="469"/>
      <c r="D639" s="469"/>
      <c r="E639" s="469"/>
      <c r="F639" s="469"/>
      <c r="G639" s="469"/>
      <c r="H639" s="469"/>
      <c r="I639" s="469"/>
    </row>
    <row r="640">
      <c r="A640" s="469"/>
      <c r="B640" s="469"/>
      <c r="C640" s="469"/>
      <c r="D640" s="469"/>
      <c r="E640" s="469"/>
      <c r="F640" s="469"/>
      <c r="G640" s="469"/>
      <c r="H640" s="469"/>
      <c r="I640" s="469"/>
    </row>
    <row r="641">
      <c r="A641" s="469"/>
      <c r="B641" s="469"/>
      <c r="C641" s="469"/>
      <c r="D641" s="469"/>
      <c r="E641" s="469"/>
      <c r="F641" s="469"/>
      <c r="G641" s="469"/>
      <c r="H641" s="469"/>
      <c r="I641" s="469"/>
    </row>
    <row r="642">
      <c r="A642" s="469"/>
      <c r="B642" s="469"/>
      <c r="C642" s="469"/>
      <c r="D642" s="469"/>
      <c r="E642" s="469"/>
      <c r="F642" s="469"/>
      <c r="G642" s="469"/>
      <c r="H642" s="469"/>
      <c r="I642" s="469"/>
    </row>
    <row r="643">
      <c r="A643" s="469"/>
      <c r="B643" s="469"/>
      <c r="C643" s="469"/>
      <c r="D643" s="469"/>
      <c r="E643" s="469"/>
      <c r="F643" s="469"/>
      <c r="G643" s="469"/>
      <c r="H643" s="469"/>
      <c r="I643" s="469"/>
    </row>
    <row r="644">
      <c r="A644" s="469"/>
      <c r="B644" s="469"/>
      <c r="C644" s="469"/>
      <c r="D644" s="469"/>
      <c r="E644" s="469"/>
      <c r="F644" s="469"/>
      <c r="G644" s="469"/>
      <c r="H644" s="469"/>
      <c r="I644" s="469"/>
    </row>
    <row r="645">
      <c r="A645" s="469"/>
      <c r="B645" s="469"/>
      <c r="C645" s="469"/>
      <c r="D645" s="469"/>
      <c r="E645" s="469"/>
      <c r="F645" s="469"/>
      <c r="G645" s="469"/>
      <c r="H645" s="469"/>
      <c r="I645" s="469"/>
    </row>
    <row r="646">
      <c r="A646" s="469"/>
      <c r="B646" s="469"/>
      <c r="C646" s="469"/>
      <c r="D646" s="469"/>
      <c r="E646" s="469"/>
      <c r="F646" s="469"/>
      <c r="G646" s="469"/>
      <c r="H646" s="469"/>
      <c r="I646" s="469"/>
    </row>
    <row r="647">
      <c r="A647" s="469"/>
      <c r="B647" s="469"/>
      <c r="C647" s="469"/>
      <c r="D647" s="469"/>
      <c r="E647" s="469"/>
      <c r="F647" s="469"/>
      <c r="G647" s="469"/>
      <c r="H647" s="469"/>
      <c r="I647" s="469"/>
    </row>
    <row r="648">
      <c r="A648" s="469"/>
      <c r="B648" s="469"/>
      <c r="C648" s="469"/>
      <c r="D648" s="469"/>
      <c r="E648" s="469"/>
      <c r="F648" s="469"/>
      <c r="G648" s="469"/>
      <c r="H648" s="469"/>
      <c r="I648" s="469"/>
    </row>
    <row r="649">
      <c r="A649" s="469"/>
      <c r="B649" s="469"/>
      <c r="C649" s="469"/>
      <c r="D649" s="469"/>
      <c r="E649" s="469"/>
      <c r="F649" s="469"/>
      <c r="G649" s="469"/>
      <c r="H649" s="469"/>
      <c r="I649" s="469"/>
    </row>
    <row r="650">
      <c r="A650" s="469"/>
      <c r="B650" s="469"/>
      <c r="C650" s="469"/>
      <c r="D650" s="469"/>
      <c r="E650" s="469"/>
      <c r="F650" s="469"/>
      <c r="G650" s="469"/>
      <c r="H650" s="469"/>
      <c r="I650" s="469"/>
    </row>
    <row r="651">
      <c r="A651" s="469"/>
      <c r="B651" s="469"/>
      <c r="C651" s="469"/>
      <c r="D651" s="469"/>
      <c r="E651" s="469"/>
      <c r="F651" s="469"/>
      <c r="G651" s="469"/>
      <c r="H651" s="469"/>
      <c r="I651" s="469"/>
    </row>
    <row r="652">
      <c r="A652" s="469"/>
      <c r="B652" s="469"/>
      <c r="C652" s="469"/>
      <c r="D652" s="469"/>
      <c r="E652" s="469"/>
      <c r="F652" s="469"/>
      <c r="G652" s="469"/>
      <c r="H652" s="469"/>
      <c r="I652" s="469"/>
    </row>
    <row r="653">
      <c r="A653" s="469"/>
      <c r="B653" s="469"/>
      <c r="C653" s="469"/>
      <c r="D653" s="469"/>
      <c r="E653" s="469"/>
      <c r="F653" s="469"/>
      <c r="G653" s="469"/>
      <c r="H653" s="469"/>
      <c r="I653" s="469"/>
    </row>
    <row r="654">
      <c r="A654" s="469"/>
      <c r="B654" s="469"/>
      <c r="C654" s="469"/>
      <c r="D654" s="469"/>
      <c r="E654" s="469"/>
      <c r="F654" s="469"/>
      <c r="G654" s="469"/>
      <c r="H654" s="469"/>
      <c r="I654" s="469"/>
    </row>
    <row r="655">
      <c r="A655" s="469"/>
      <c r="B655" s="469"/>
      <c r="C655" s="469"/>
      <c r="D655" s="469"/>
      <c r="E655" s="469"/>
      <c r="F655" s="469"/>
      <c r="G655" s="469"/>
      <c r="H655" s="469"/>
      <c r="I655" s="469"/>
    </row>
    <row r="656">
      <c r="A656" s="469"/>
      <c r="B656" s="469"/>
      <c r="C656" s="469"/>
      <c r="D656" s="469"/>
      <c r="E656" s="469"/>
      <c r="F656" s="469"/>
      <c r="G656" s="469"/>
      <c r="H656" s="469"/>
      <c r="I656" s="469"/>
    </row>
    <row r="657">
      <c r="A657" s="469"/>
      <c r="B657" s="469"/>
      <c r="C657" s="469"/>
      <c r="D657" s="469"/>
      <c r="E657" s="469"/>
      <c r="F657" s="469"/>
      <c r="G657" s="469"/>
      <c r="H657" s="469"/>
      <c r="I657" s="469"/>
    </row>
    <row r="658">
      <c r="A658" s="469"/>
      <c r="B658" s="469"/>
      <c r="C658" s="469"/>
      <c r="D658" s="469"/>
      <c r="E658" s="469"/>
      <c r="F658" s="469"/>
      <c r="G658" s="469"/>
      <c r="H658" s="469"/>
      <c r="I658" s="469"/>
    </row>
    <row r="659">
      <c r="A659" s="469"/>
      <c r="B659" s="469"/>
      <c r="C659" s="469"/>
      <c r="D659" s="469"/>
      <c r="E659" s="469"/>
      <c r="F659" s="469"/>
      <c r="G659" s="469"/>
      <c r="H659" s="469"/>
      <c r="I659" s="469"/>
    </row>
    <row r="660">
      <c r="A660" s="469"/>
      <c r="B660" s="469"/>
      <c r="C660" s="469"/>
      <c r="D660" s="469"/>
      <c r="E660" s="469"/>
      <c r="F660" s="469"/>
      <c r="G660" s="469"/>
      <c r="H660" s="469"/>
      <c r="I660" s="469"/>
    </row>
    <row r="661">
      <c r="A661" s="469"/>
      <c r="B661" s="469"/>
      <c r="C661" s="469"/>
      <c r="D661" s="469"/>
      <c r="E661" s="469"/>
      <c r="F661" s="469"/>
      <c r="G661" s="469"/>
      <c r="H661" s="469"/>
      <c r="I661" s="469"/>
    </row>
    <row r="662">
      <c r="A662" s="469"/>
      <c r="B662" s="469"/>
      <c r="C662" s="469"/>
      <c r="D662" s="469"/>
      <c r="E662" s="469"/>
      <c r="F662" s="469"/>
      <c r="G662" s="469"/>
      <c r="H662" s="469"/>
      <c r="I662" s="469"/>
    </row>
    <row r="663">
      <c r="A663" s="469"/>
      <c r="B663" s="469"/>
      <c r="C663" s="469"/>
      <c r="D663" s="469"/>
      <c r="E663" s="469"/>
      <c r="F663" s="469"/>
      <c r="G663" s="469"/>
      <c r="H663" s="469"/>
      <c r="I663" s="469"/>
    </row>
    <row r="664">
      <c r="A664" s="469"/>
      <c r="B664" s="469"/>
      <c r="C664" s="469"/>
      <c r="D664" s="469"/>
      <c r="E664" s="469"/>
      <c r="F664" s="469"/>
      <c r="G664" s="469"/>
      <c r="H664" s="469"/>
      <c r="I664" s="469"/>
    </row>
    <row r="665">
      <c r="A665" s="469"/>
      <c r="B665" s="469"/>
      <c r="C665" s="469"/>
      <c r="D665" s="469"/>
      <c r="E665" s="469"/>
      <c r="F665" s="469"/>
      <c r="G665" s="469"/>
      <c r="H665" s="469"/>
      <c r="I665" s="469"/>
    </row>
    <row r="666">
      <c r="A666" s="469"/>
      <c r="B666" s="469"/>
      <c r="C666" s="469"/>
      <c r="D666" s="469"/>
      <c r="E666" s="469"/>
      <c r="F666" s="469"/>
      <c r="G666" s="469"/>
      <c r="H666" s="469"/>
      <c r="I666" s="469"/>
    </row>
    <row r="667">
      <c r="A667" s="469"/>
      <c r="B667" s="469"/>
      <c r="C667" s="469"/>
      <c r="D667" s="469"/>
      <c r="E667" s="469"/>
      <c r="F667" s="469"/>
      <c r="G667" s="469"/>
      <c r="H667" s="469"/>
      <c r="I667" s="469"/>
    </row>
    <row r="668">
      <c r="A668" s="469"/>
      <c r="B668" s="469"/>
      <c r="C668" s="469"/>
      <c r="D668" s="469"/>
      <c r="E668" s="469"/>
      <c r="F668" s="469"/>
      <c r="G668" s="469"/>
      <c r="H668" s="469"/>
      <c r="I668" s="469"/>
    </row>
    <row r="669">
      <c r="A669" s="469"/>
      <c r="B669" s="469"/>
      <c r="C669" s="469"/>
      <c r="D669" s="469"/>
      <c r="E669" s="469"/>
      <c r="F669" s="469"/>
      <c r="G669" s="469"/>
      <c r="H669" s="469"/>
      <c r="I669" s="469"/>
    </row>
    <row r="670">
      <c r="A670" s="469"/>
      <c r="B670" s="469"/>
      <c r="C670" s="469"/>
      <c r="D670" s="469"/>
      <c r="E670" s="469"/>
      <c r="F670" s="469"/>
      <c r="G670" s="469"/>
      <c r="H670" s="469"/>
      <c r="I670" s="469"/>
    </row>
    <row r="671">
      <c r="A671" s="469"/>
      <c r="B671" s="469"/>
      <c r="C671" s="469"/>
      <c r="D671" s="469"/>
      <c r="E671" s="469"/>
      <c r="F671" s="469"/>
      <c r="G671" s="469"/>
      <c r="H671" s="469"/>
      <c r="I671" s="469"/>
    </row>
    <row r="672">
      <c r="A672" s="469"/>
      <c r="B672" s="469"/>
      <c r="C672" s="469"/>
      <c r="D672" s="469"/>
      <c r="E672" s="469"/>
      <c r="F672" s="469"/>
      <c r="G672" s="469"/>
      <c r="H672" s="469"/>
      <c r="I672" s="469"/>
    </row>
    <row r="673">
      <c r="A673" s="469"/>
      <c r="B673" s="469"/>
      <c r="C673" s="469"/>
      <c r="D673" s="469"/>
      <c r="E673" s="469"/>
      <c r="F673" s="469"/>
      <c r="G673" s="469"/>
      <c r="H673" s="469"/>
      <c r="I673" s="469"/>
    </row>
    <row r="674">
      <c r="A674" s="469"/>
      <c r="B674" s="469"/>
      <c r="C674" s="469"/>
      <c r="D674" s="469"/>
      <c r="E674" s="469"/>
      <c r="F674" s="469"/>
      <c r="G674" s="469"/>
      <c r="H674" s="469"/>
      <c r="I674" s="469"/>
    </row>
    <row r="675">
      <c r="A675" s="469"/>
      <c r="B675" s="469"/>
      <c r="C675" s="469"/>
      <c r="D675" s="469"/>
      <c r="E675" s="469"/>
      <c r="F675" s="469"/>
      <c r="G675" s="469"/>
      <c r="H675" s="469"/>
      <c r="I675" s="469"/>
    </row>
    <row r="676">
      <c r="A676" s="469"/>
      <c r="B676" s="469"/>
      <c r="C676" s="469"/>
      <c r="D676" s="469"/>
      <c r="E676" s="469"/>
      <c r="F676" s="469"/>
      <c r="G676" s="469"/>
      <c r="H676" s="469"/>
      <c r="I676" s="469"/>
    </row>
    <row r="677">
      <c r="A677" s="469"/>
      <c r="B677" s="469"/>
      <c r="C677" s="469"/>
      <c r="D677" s="469"/>
      <c r="E677" s="469"/>
      <c r="F677" s="469"/>
      <c r="G677" s="469"/>
      <c r="H677" s="469"/>
      <c r="I677" s="469"/>
    </row>
    <row r="678">
      <c r="A678" s="469"/>
      <c r="B678" s="469"/>
      <c r="C678" s="469"/>
      <c r="D678" s="469"/>
      <c r="E678" s="469"/>
      <c r="F678" s="469"/>
      <c r="G678" s="469"/>
      <c r="H678" s="469"/>
      <c r="I678" s="469"/>
    </row>
    <row r="679">
      <c r="A679" s="469"/>
      <c r="B679" s="469"/>
      <c r="C679" s="469"/>
      <c r="D679" s="469"/>
      <c r="E679" s="469"/>
      <c r="F679" s="469"/>
      <c r="G679" s="469"/>
      <c r="H679" s="469"/>
      <c r="I679" s="469"/>
    </row>
    <row r="680">
      <c r="A680" s="469"/>
      <c r="B680" s="469"/>
      <c r="C680" s="469"/>
      <c r="D680" s="469"/>
      <c r="E680" s="469"/>
      <c r="F680" s="469"/>
      <c r="G680" s="469"/>
      <c r="H680" s="469"/>
      <c r="I680" s="469"/>
    </row>
    <row r="681">
      <c r="A681" s="469"/>
      <c r="B681" s="469"/>
      <c r="C681" s="469"/>
      <c r="D681" s="469"/>
      <c r="E681" s="469"/>
      <c r="F681" s="469"/>
      <c r="G681" s="469"/>
      <c r="H681" s="469"/>
      <c r="I681" s="469"/>
    </row>
    <row r="682">
      <c r="A682" s="469"/>
      <c r="B682" s="469"/>
      <c r="C682" s="469"/>
      <c r="D682" s="469"/>
      <c r="E682" s="469"/>
      <c r="F682" s="469"/>
      <c r="G682" s="469"/>
      <c r="H682" s="469"/>
      <c r="I682" s="469"/>
    </row>
    <row r="683">
      <c r="A683" s="469"/>
      <c r="B683" s="469"/>
      <c r="C683" s="469"/>
      <c r="D683" s="469"/>
      <c r="E683" s="469"/>
      <c r="F683" s="469"/>
      <c r="G683" s="469"/>
      <c r="H683" s="469"/>
      <c r="I683" s="469"/>
    </row>
    <row r="684">
      <c r="A684" s="469"/>
      <c r="B684" s="469"/>
      <c r="C684" s="469"/>
      <c r="D684" s="469"/>
      <c r="E684" s="469"/>
      <c r="F684" s="469"/>
      <c r="G684" s="469"/>
      <c r="H684" s="469"/>
      <c r="I684" s="469"/>
    </row>
    <row r="685">
      <c r="A685" s="469"/>
      <c r="B685" s="469"/>
      <c r="C685" s="469"/>
      <c r="D685" s="469"/>
      <c r="E685" s="469"/>
      <c r="F685" s="469"/>
      <c r="G685" s="469"/>
      <c r="H685" s="469"/>
      <c r="I685" s="469"/>
    </row>
    <row r="686">
      <c r="A686" s="469"/>
      <c r="B686" s="469"/>
      <c r="C686" s="469"/>
      <c r="D686" s="469"/>
      <c r="E686" s="469"/>
      <c r="F686" s="469"/>
      <c r="G686" s="469"/>
      <c r="H686" s="469"/>
      <c r="I686" s="469"/>
    </row>
    <row r="687">
      <c r="A687" s="469"/>
      <c r="B687" s="469"/>
      <c r="C687" s="469"/>
      <c r="D687" s="469"/>
      <c r="E687" s="469"/>
      <c r="F687" s="469"/>
      <c r="G687" s="469"/>
      <c r="H687" s="469"/>
      <c r="I687" s="469"/>
    </row>
    <row r="688">
      <c r="A688" s="469"/>
      <c r="B688" s="469"/>
      <c r="C688" s="469"/>
      <c r="D688" s="469"/>
      <c r="E688" s="469"/>
      <c r="F688" s="469"/>
      <c r="G688" s="469"/>
      <c r="H688" s="469"/>
      <c r="I688" s="469"/>
    </row>
    <row r="689">
      <c r="A689" s="469"/>
      <c r="B689" s="469"/>
      <c r="C689" s="469"/>
      <c r="D689" s="469"/>
      <c r="E689" s="469"/>
      <c r="F689" s="469"/>
      <c r="G689" s="469"/>
      <c r="H689" s="469"/>
      <c r="I689" s="469"/>
    </row>
    <row r="690">
      <c r="A690" s="469"/>
      <c r="B690" s="469"/>
      <c r="C690" s="469"/>
      <c r="D690" s="469"/>
      <c r="E690" s="469"/>
      <c r="F690" s="469"/>
      <c r="G690" s="469"/>
      <c r="H690" s="469"/>
      <c r="I690" s="469"/>
    </row>
    <row r="691">
      <c r="A691" s="469"/>
      <c r="B691" s="469"/>
      <c r="C691" s="469"/>
      <c r="D691" s="469"/>
      <c r="E691" s="469"/>
      <c r="F691" s="469"/>
      <c r="G691" s="469"/>
      <c r="H691" s="469"/>
      <c r="I691" s="469"/>
    </row>
    <row r="692">
      <c r="A692" s="469"/>
      <c r="B692" s="469"/>
      <c r="C692" s="469"/>
      <c r="D692" s="469"/>
      <c r="E692" s="469"/>
      <c r="F692" s="469"/>
      <c r="G692" s="469"/>
      <c r="H692" s="469"/>
      <c r="I692" s="469"/>
    </row>
    <row r="693">
      <c r="A693" s="469"/>
      <c r="B693" s="469"/>
      <c r="C693" s="469"/>
      <c r="D693" s="469"/>
      <c r="E693" s="469"/>
      <c r="F693" s="469"/>
      <c r="G693" s="469"/>
      <c r="H693" s="469"/>
      <c r="I693" s="469"/>
    </row>
    <row r="694">
      <c r="A694" s="469"/>
      <c r="B694" s="469"/>
      <c r="C694" s="469"/>
      <c r="D694" s="469"/>
      <c r="E694" s="469"/>
      <c r="F694" s="469"/>
      <c r="G694" s="469"/>
      <c r="H694" s="469"/>
      <c r="I694" s="469"/>
    </row>
    <row r="695">
      <c r="A695" s="469"/>
      <c r="B695" s="469"/>
      <c r="C695" s="469"/>
      <c r="D695" s="469"/>
      <c r="E695" s="469"/>
      <c r="F695" s="469"/>
      <c r="G695" s="469"/>
      <c r="H695" s="469"/>
      <c r="I695" s="469"/>
    </row>
    <row r="696">
      <c r="A696" s="469"/>
      <c r="B696" s="469"/>
      <c r="C696" s="469"/>
      <c r="D696" s="469"/>
      <c r="E696" s="469"/>
      <c r="F696" s="469"/>
      <c r="G696" s="469"/>
      <c r="H696" s="469"/>
      <c r="I696" s="469"/>
    </row>
    <row r="697">
      <c r="A697" s="469"/>
      <c r="B697" s="469"/>
      <c r="C697" s="469"/>
      <c r="D697" s="469"/>
      <c r="E697" s="469"/>
      <c r="F697" s="469"/>
      <c r="G697" s="469"/>
      <c r="H697" s="469"/>
      <c r="I697" s="469"/>
    </row>
    <row r="698">
      <c r="A698" s="469"/>
      <c r="B698" s="469"/>
      <c r="C698" s="469"/>
      <c r="D698" s="469"/>
      <c r="E698" s="469"/>
      <c r="F698" s="469"/>
      <c r="G698" s="469"/>
      <c r="H698" s="469"/>
      <c r="I698" s="469"/>
    </row>
    <row r="699">
      <c r="A699" s="469"/>
      <c r="B699" s="469"/>
      <c r="C699" s="469"/>
      <c r="D699" s="469"/>
      <c r="E699" s="469"/>
      <c r="F699" s="469"/>
      <c r="G699" s="469"/>
      <c r="H699" s="469"/>
      <c r="I699" s="469"/>
    </row>
    <row r="700">
      <c r="A700" s="469"/>
      <c r="B700" s="469"/>
      <c r="C700" s="469"/>
      <c r="D700" s="469"/>
      <c r="E700" s="469"/>
      <c r="F700" s="469"/>
      <c r="G700" s="469"/>
      <c r="H700" s="469"/>
      <c r="I700" s="469"/>
    </row>
    <row r="701">
      <c r="A701" s="469"/>
      <c r="B701" s="469"/>
      <c r="C701" s="469"/>
      <c r="D701" s="469"/>
      <c r="E701" s="469"/>
      <c r="F701" s="469"/>
      <c r="G701" s="469"/>
      <c r="H701" s="469"/>
      <c r="I701" s="469"/>
    </row>
    <row r="702">
      <c r="A702" s="469"/>
      <c r="B702" s="469"/>
      <c r="C702" s="469"/>
      <c r="D702" s="469"/>
      <c r="E702" s="469"/>
      <c r="F702" s="469"/>
      <c r="G702" s="469"/>
      <c r="H702" s="469"/>
      <c r="I702" s="469"/>
    </row>
    <row r="703">
      <c r="A703" s="469"/>
      <c r="B703" s="469"/>
      <c r="C703" s="469"/>
      <c r="D703" s="469"/>
      <c r="E703" s="469"/>
      <c r="F703" s="469"/>
      <c r="G703" s="469"/>
      <c r="H703" s="469"/>
      <c r="I703" s="469"/>
    </row>
    <row r="704">
      <c r="A704" s="469"/>
      <c r="B704" s="469"/>
      <c r="C704" s="469"/>
      <c r="D704" s="469"/>
      <c r="E704" s="469"/>
      <c r="F704" s="469"/>
      <c r="G704" s="469"/>
      <c r="H704" s="469"/>
      <c r="I704" s="469"/>
    </row>
    <row r="705">
      <c r="A705" s="469"/>
      <c r="B705" s="469"/>
      <c r="C705" s="469"/>
      <c r="D705" s="469"/>
      <c r="E705" s="469"/>
      <c r="F705" s="469"/>
      <c r="G705" s="469"/>
      <c r="H705" s="469"/>
      <c r="I705" s="469"/>
    </row>
    <row r="706">
      <c r="A706" s="469"/>
      <c r="B706" s="469"/>
      <c r="C706" s="469"/>
      <c r="D706" s="469"/>
      <c r="E706" s="469"/>
      <c r="F706" s="469"/>
      <c r="G706" s="469"/>
      <c r="H706" s="469"/>
      <c r="I706" s="469"/>
    </row>
    <row r="707">
      <c r="A707" s="469"/>
      <c r="B707" s="469"/>
      <c r="C707" s="469"/>
      <c r="D707" s="469"/>
      <c r="E707" s="469"/>
      <c r="F707" s="469"/>
      <c r="G707" s="469"/>
      <c r="H707" s="469"/>
      <c r="I707" s="469"/>
    </row>
    <row r="708">
      <c r="A708" s="469"/>
      <c r="B708" s="469"/>
      <c r="C708" s="469"/>
      <c r="D708" s="469"/>
      <c r="E708" s="469"/>
      <c r="F708" s="469"/>
      <c r="G708" s="469"/>
      <c r="H708" s="469"/>
      <c r="I708" s="469"/>
    </row>
    <row r="709">
      <c r="A709" s="469"/>
      <c r="B709" s="469"/>
      <c r="C709" s="469"/>
      <c r="D709" s="469"/>
      <c r="E709" s="469"/>
      <c r="F709" s="469"/>
      <c r="G709" s="469"/>
      <c r="H709" s="469"/>
      <c r="I709" s="469"/>
    </row>
    <row r="710">
      <c r="A710" s="469"/>
      <c r="B710" s="469"/>
      <c r="C710" s="469"/>
      <c r="D710" s="469"/>
      <c r="E710" s="469"/>
      <c r="F710" s="469"/>
      <c r="G710" s="469"/>
      <c r="H710" s="469"/>
      <c r="I710" s="469"/>
    </row>
    <row r="711">
      <c r="A711" s="469"/>
      <c r="B711" s="469"/>
      <c r="C711" s="469"/>
      <c r="D711" s="469"/>
      <c r="E711" s="469"/>
      <c r="F711" s="469"/>
      <c r="G711" s="469"/>
      <c r="H711" s="469"/>
      <c r="I711" s="469"/>
    </row>
    <row r="712">
      <c r="A712" s="469"/>
      <c r="B712" s="469"/>
      <c r="C712" s="469"/>
      <c r="D712" s="469"/>
      <c r="E712" s="469"/>
      <c r="F712" s="469"/>
      <c r="G712" s="469"/>
      <c r="H712" s="469"/>
      <c r="I712" s="469"/>
    </row>
    <row r="713">
      <c r="A713" s="469"/>
      <c r="B713" s="469"/>
      <c r="C713" s="469"/>
      <c r="D713" s="469"/>
      <c r="E713" s="469"/>
      <c r="F713" s="469"/>
      <c r="G713" s="469"/>
      <c r="H713" s="469"/>
      <c r="I713" s="469"/>
    </row>
    <row r="714">
      <c r="A714" s="469"/>
      <c r="B714" s="469"/>
      <c r="C714" s="469"/>
      <c r="D714" s="469"/>
      <c r="E714" s="469"/>
      <c r="F714" s="469"/>
      <c r="G714" s="469"/>
      <c r="H714" s="469"/>
      <c r="I714" s="469"/>
    </row>
    <row r="715">
      <c r="A715" s="469"/>
      <c r="B715" s="469"/>
      <c r="C715" s="469"/>
      <c r="D715" s="469"/>
      <c r="E715" s="469"/>
      <c r="F715" s="469"/>
      <c r="G715" s="469"/>
      <c r="H715" s="469"/>
      <c r="I715" s="469"/>
    </row>
    <row r="716">
      <c r="A716" s="469"/>
      <c r="B716" s="469"/>
      <c r="C716" s="469"/>
      <c r="D716" s="469"/>
      <c r="E716" s="469"/>
      <c r="F716" s="469"/>
      <c r="G716" s="469"/>
      <c r="H716" s="469"/>
      <c r="I716" s="469"/>
    </row>
    <row r="717">
      <c r="A717" s="469"/>
      <c r="B717" s="469"/>
      <c r="C717" s="469"/>
      <c r="D717" s="469"/>
      <c r="E717" s="469"/>
      <c r="F717" s="469"/>
      <c r="G717" s="469"/>
      <c r="H717" s="469"/>
      <c r="I717" s="469"/>
    </row>
    <row r="718">
      <c r="A718" s="469"/>
      <c r="B718" s="469"/>
      <c r="C718" s="469"/>
      <c r="D718" s="469"/>
      <c r="E718" s="469"/>
      <c r="F718" s="469"/>
      <c r="G718" s="469"/>
      <c r="H718" s="469"/>
      <c r="I718" s="469"/>
    </row>
    <row r="719">
      <c r="A719" s="469"/>
      <c r="B719" s="469"/>
      <c r="C719" s="469"/>
      <c r="D719" s="469"/>
      <c r="E719" s="469"/>
      <c r="F719" s="469"/>
      <c r="G719" s="469"/>
      <c r="H719" s="469"/>
      <c r="I719" s="469"/>
    </row>
    <row r="720">
      <c r="A720" s="469"/>
      <c r="B720" s="469"/>
      <c r="C720" s="469"/>
      <c r="D720" s="469"/>
      <c r="E720" s="469"/>
      <c r="F720" s="469"/>
      <c r="G720" s="469"/>
      <c r="H720" s="469"/>
      <c r="I720" s="469"/>
    </row>
    <row r="721">
      <c r="A721" s="469"/>
      <c r="B721" s="469"/>
      <c r="C721" s="469"/>
      <c r="D721" s="469"/>
      <c r="E721" s="469"/>
      <c r="F721" s="469"/>
      <c r="G721" s="469"/>
      <c r="H721" s="469"/>
      <c r="I721" s="469"/>
    </row>
    <row r="722">
      <c r="A722" s="469"/>
      <c r="B722" s="469"/>
      <c r="C722" s="469"/>
      <c r="D722" s="469"/>
      <c r="E722" s="469"/>
      <c r="F722" s="469"/>
      <c r="G722" s="469"/>
      <c r="H722" s="469"/>
      <c r="I722" s="469"/>
    </row>
    <row r="723">
      <c r="A723" s="469"/>
      <c r="B723" s="469"/>
      <c r="C723" s="469"/>
      <c r="D723" s="469"/>
      <c r="E723" s="469"/>
      <c r="F723" s="469"/>
      <c r="G723" s="469"/>
      <c r="H723" s="469"/>
      <c r="I723" s="469"/>
    </row>
    <row r="724">
      <c r="A724" s="469"/>
      <c r="B724" s="469"/>
      <c r="C724" s="469"/>
      <c r="D724" s="469"/>
      <c r="E724" s="469"/>
      <c r="F724" s="469"/>
      <c r="G724" s="469"/>
      <c r="H724" s="469"/>
      <c r="I724" s="469"/>
    </row>
    <row r="725">
      <c r="A725" s="469"/>
      <c r="B725" s="469"/>
      <c r="C725" s="469"/>
      <c r="D725" s="469"/>
      <c r="E725" s="469"/>
      <c r="F725" s="469"/>
      <c r="G725" s="469"/>
      <c r="H725" s="469"/>
      <c r="I725" s="469"/>
    </row>
    <row r="726">
      <c r="A726" s="469"/>
      <c r="B726" s="469"/>
      <c r="C726" s="469"/>
      <c r="D726" s="469"/>
      <c r="E726" s="469"/>
      <c r="F726" s="469"/>
      <c r="G726" s="469"/>
      <c r="H726" s="469"/>
      <c r="I726" s="469"/>
    </row>
    <row r="727">
      <c r="A727" s="469"/>
      <c r="B727" s="469"/>
      <c r="C727" s="469"/>
      <c r="D727" s="469"/>
      <c r="E727" s="469"/>
      <c r="F727" s="469"/>
      <c r="G727" s="469"/>
      <c r="H727" s="469"/>
      <c r="I727" s="469"/>
    </row>
    <row r="728">
      <c r="A728" s="469"/>
      <c r="B728" s="469"/>
      <c r="C728" s="469"/>
      <c r="D728" s="469"/>
      <c r="E728" s="469"/>
      <c r="F728" s="469"/>
      <c r="G728" s="469"/>
      <c r="H728" s="469"/>
      <c r="I728" s="469"/>
    </row>
    <row r="729">
      <c r="A729" s="469"/>
      <c r="B729" s="469"/>
      <c r="C729" s="469"/>
      <c r="D729" s="469"/>
      <c r="E729" s="469"/>
      <c r="F729" s="469"/>
      <c r="G729" s="469"/>
      <c r="H729" s="469"/>
      <c r="I729" s="469"/>
    </row>
    <row r="730">
      <c r="A730" s="469"/>
      <c r="B730" s="469"/>
      <c r="C730" s="469"/>
      <c r="D730" s="469"/>
      <c r="E730" s="469"/>
      <c r="F730" s="469"/>
      <c r="G730" s="469"/>
      <c r="H730" s="469"/>
      <c r="I730" s="469"/>
    </row>
    <row r="731">
      <c r="A731" s="469"/>
      <c r="B731" s="469"/>
      <c r="C731" s="469"/>
      <c r="D731" s="469"/>
      <c r="E731" s="469"/>
      <c r="F731" s="469"/>
      <c r="G731" s="469"/>
      <c r="H731" s="469"/>
      <c r="I731" s="469"/>
    </row>
    <row r="732">
      <c r="A732" s="469"/>
      <c r="B732" s="469"/>
      <c r="C732" s="469"/>
      <c r="D732" s="469"/>
      <c r="E732" s="469"/>
      <c r="F732" s="469"/>
      <c r="G732" s="469"/>
      <c r="H732" s="469"/>
      <c r="I732" s="469"/>
    </row>
    <row r="733">
      <c r="A733" s="469"/>
      <c r="B733" s="469"/>
      <c r="C733" s="469"/>
      <c r="D733" s="469"/>
      <c r="E733" s="469"/>
      <c r="F733" s="469"/>
      <c r="G733" s="469"/>
      <c r="H733" s="469"/>
      <c r="I733" s="469"/>
    </row>
    <row r="734">
      <c r="A734" s="469"/>
      <c r="B734" s="469"/>
      <c r="C734" s="469"/>
      <c r="D734" s="469"/>
      <c r="E734" s="469"/>
      <c r="F734" s="469"/>
      <c r="G734" s="469"/>
      <c r="H734" s="469"/>
      <c r="I734" s="469"/>
    </row>
    <row r="735">
      <c r="A735" s="469"/>
      <c r="B735" s="469"/>
      <c r="C735" s="469"/>
      <c r="D735" s="469"/>
      <c r="E735" s="469"/>
      <c r="F735" s="469"/>
      <c r="G735" s="469"/>
      <c r="H735" s="469"/>
      <c r="I735" s="469"/>
    </row>
    <row r="736">
      <c r="A736" s="469"/>
      <c r="B736" s="469"/>
      <c r="C736" s="469"/>
      <c r="D736" s="469"/>
      <c r="E736" s="469"/>
      <c r="F736" s="469"/>
      <c r="G736" s="469"/>
      <c r="H736" s="469"/>
      <c r="I736" s="469"/>
    </row>
    <row r="737">
      <c r="A737" s="469"/>
      <c r="B737" s="469"/>
      <c r="C737" s="469"/>
      <c r="D737" s="469"/>
      <c r="E737" s="469"/>
      <c r="F737" s="469"/>
      <c r="G737" s="469"/>
      <c r="H737" s="469"/>
      <c r="I737" s="469"/>
    </row>
    <row r="738">
      <c r="A738" s="469"/>
      <c r="B738" s="469"/>
      <c r="C738" s="469"/>
      <c r="D738" s="469"/>
      <c r="E738" s="469"/>
      <c r="F738" s="469"/>
      <c r="G738" s="469"/>
      <c r="H738" s="469"/>
      <c r="I738" s="469"/>
    </row>
    <row r="739">
      <c r="A739" s="469"/>
      <c r="B739" s="469"/>
      <c r="C739" s="469"/>
      <c r="D739" s="469"/>
      <c r="E739" s="469"/>
      <c r="F739" s="469"/>
      <c r="G739" s="469"/>
      <c r="H739" s="469"/>
      <c r="I739" s="469"/>
    </row>
    <row r="740">
      <c r="A740" s="469"/>
      <c r="B740" s="469"/>
      <c r="C740" s="469"/>
      <c r="D740" s="469"/>
      <c r="E740" s="469"/>
      <c r="F740" s="469"/>
      <c r="G740" s="469"/>
      <c r="H740" s="469"/>
      <c r="I740" s="469"/>
    </row>
    <row r="741">
      <c r="A741" s="469"/>
      <c r="B741" s="469"/>
      <c r="C741" s="469"/>
      <c r="D741" s="469"/>
      <c r="E741" s="469"/>
      <c r="F741" s="469"/>
      <c r="G741" s="469"/>
      <c r="H741" s="469"/>
      <c r="I741" s="469"/>
    </row>
    <row r="742">
      <c r="A742" s="469"/>
      <c r="B742" s="469"/>
      <c r="C742" s="469"/>
      <c r="D742" s="469"/>
      <c r="E742" s="469"/>
      <c r="F742" s="469"/>
      <c r="G742" s="469"/>
      <c r="H742" s="469"/>
      <c r="I742" s="469"/>
    </row>
    <row r="743">
      <c r="A743" s="469"/>
      <c r="B743" s="469"/>
      <c r="C743" s="469"/>
      <c r="D743" s="469"/>
      <c r="E743" s="469"/>
      <c r="F743" s="469"/>
      <c r="G743" s="469"/>
      <c r="H743" s="469"/>
      <c r="I743" s="469"/>
    </row>
    <row r="744">
      <c r="A744" s="469"/>
      <c r="B744" s="469"/>
      <c r="C744" s="469"/>
      <c r="D744" s="469"/>
      <c r="E744" s="469"/>
      <c r="F744" s="469"/>
      <c r="G744" s="469"/>
      <c r="H744" s="469"/>
      <c r="I744" s="469"/>
    </row>
    <row r="745">
      <c r="A745" s="469"/>
      <c r="B745" s="469"/>
      <c r="C745" s="469"/>
      <c r="D745" s="469"/>
      <c r="E745" s="469"/>
      <c r="F745" s="469"/>
      <c r="G745" s="469"/>
      <c r="H745" s="469"/>
      <c r="I745" s="469"/>
    </row>
    <row r="746">
      <c r="A746" s="469"/>
      <c r="B746" s="469"/>
      <c r="C746" s="469"/>
      <c r="D746" s="469"/>
      <c r="E746" s="469"/>
      <c r="F746" s="469"/>
      <c r="G746" s="469"/>
      <c r="H746" s="469"/>
      <c r="I746" s="469"/>
    </row>
    <row r="747">
      <c r="A747" s="469"/>
      <c r="B747" s="469"/>
      <c r="C747" s="469"/>
      <c r="D747" s="469"/>
      <c r="E747" s="469"/>
      <c r="F747" s="469"/>
      <c r="G747" s="469"/>
      <c r="H747" s="469"/>
      <c r="I747" s="469"/>
    </row>
    <row r="748">
      <c r="A748" s="469"/>
      <c r="B748" s="469"/>
      <c r="C748" s="469"/>
      <c r="D748" s="469"/>
      <c r="E748" s="469"/>
      <c r="F748" s="469"/>
      <c r="G748" s="469"/>
      <c r="H748" s="469"/>
      <c r="I748" s="469"/>
    </row>
    <row r="749">
      <c r="A749" s="469"/>
      <c r="B749" s="469"/>
      <c r="C749" s="469"/>
      <c r="D749" s="469"/>
      <c r="E749" s="469"/>
      <c r="F749" s="469"/>
      <c r="G749" s="469"/>
      <c r="H749" s="469"/>
      <c r="I749" s="469"/>
    </row>
    <row r="750">
      <c r="A750" s="469"/>
      <c r="B750" s="469"/>
      <c r="C750" s="469"/>
      <c r="D750" s="469"/>
      <c r="E750" s="469"/>
      <c r="F750" s="469"/>
      <c r="G750" s="469"/>
      <c r="H750" s="469"/>
      <c r="I750" s="469"/>
    </row>
    <row r="751">
      <c r="A751" s="469"/>
      <c r="B751" s="469"/>
      <c r="C751" s="469"/>
      <c r="D751" s="469"/>
      <c r="E751" s="469"/>
      <c r="F751" s="469"/>
      <c r="G751" s="469"/>
      <c r="H751" s="469"/>
      <c r="I751" s="469"/>
    </row>
    <row r="752">
      <c r="A752" s="469"/>
      <c r="B752" s="469"/>
      <c r="C752" s="469"/>
      <c r="D752" s="469"/>
      <c r="E752" s="469"/>
      <c r="F752" s="469"/>
      <c r="G752" s="469"/>
      <c r="H752" s="469"/>
      <c r="I752" s="469"/>
    </row>
    <row r="753">
      <c r="A753" s="469"/>
      <c r="B753" s="469"/>
      <c r="C753" s="469"/>
      <c r="D753" s="469"/>
      <c r="E753" s="469"/>
      <c r="F753" s="469"/>
      <c r="G753" s="469"/>
      <c r="H753" s="469"/>
      <c r="I753" s="469"/>
    </row>
    <row r="754">
      <c r="A754" s="469"/>
      <c r="B754" s="469"/>
      <c r="C754" s="469"/>
      <c r="D754" s="469"/>
      <c r="E754" s="469"/>
      <c r="F754" s="469"/>
      <c r="G754" s="469"/>
      <c r="H754" s="469"/>
      <c r="I754" s="469"/>
    </row>
    <row r="755">
      <c r="A755" s="469"/>
      <c r="B755" s="469"/>
      <c r="C755" s="469"/>
      <c r="D755" s="469"/>
      <c r="E755" s="469"/>
      <c r="F755" s="469"/>
      <c r="G755" s="469"/>
      <c r="H755" s="469"/>
      <c r="I755" s="469"/>
    </row>
    <row r="756">
      <c r="A756" s="469"/>
      <c r="B756" s="469"/>
      <c r="C756" s="469"/>
      <c r="D756" s="469"/>
      <c r="E756" s="469"/>
      <c r="F756" s="469"/>
      <c r="G756" s="469"/>
      <c r="H756" s="469"/>
      <c r="I756" s="469"/>
    </row>
    <row r="757">
      <c r="A757" s="469"/>
      <c r="B757" s="469"/>
      <c r="C757" s="469"/>
      <c r="D757" s="469"/>
      <c r="E757" s="469"/>
      <c r="F757" s="469"/>
      <c r="G757" s="469"/>
      <c r="H757" s="469"/>
      <c r="I757" s="469"/>
    </row>
    <row r="758">
      <c r="A758" s="469"/>
      <c r="B758" s="469"/>
      <c r="C758" s="469"/>
      <c r="D758" s="469"/>
      <c r="E758" s="469"/>
      <c r="F758" s="469"/>
      <c r="G758" s="469"/>
      <c r="H758" s="469"/>
      <c r="I758" s="469"/>
    </row>
    <row r="759">
      <c r="A759" s="469"/>
      <c r="B759" s="469"/>
      <c r="C759" s="469"/>
      <c r="D759" s="469"/>
      <c r="E759" s="469"/>
      <c r="F759" s="469"/>
      <c r="G759" s="469"/>
      <c r="H759" s="469"/>
      <c r="I759" s="469"/>
    </row>
    <row r="760">
      <c r="A760" s="469"/>
      <c r="B760" s="469"/>
      <c r="C760" s="469"/>
      <c r="D760" s="469"/>
      <c r="E760" s="469"/>
      <c r="F760" s="469"/>
      <c r="G760" s="469"/>
      <c r="H760" s="469"/>
      <c r="I760" s="469"/>
    </row>
    <row r="761">
      <c r="A761" s="469"/>
      <c r="B761" s="469"/>
      <c r="C761" s="469"/>
      <c r="D761" s="469"/>
      <c r="E761" s="469"/>
      <c r="F761" s="469"/>
      <c r="G761" s="469"/>
      <c r="H761" s="469"/>
      <c r="I761" s="469"/>
    </row>
    <row r="762">
      <c r="A762" s="469"/>
      <c r="B762" s="469"/>
      <c r="C762" s="469"/>
      <c r="D762" s="469"/>
      <c r="E762" s="469"/>
      <c r="F762" s="469"/>
      <c r="G762" s="469"/>
      <c r="H762" s="469"/>
      <c r="I762" s="469"/>
    </row>
    <row r="763">
      <c r="A763" s="469"/>
      <c r="B763" s="469"/>
      <c r="C763" s="469"/>
      <c r="D763" s="469"/>
      <c r="E763" s="469"/>
      <c r="F763" s="469"/>
      <c r="G763" s="469"/>
      <c r="H763" s="469"/>
      <c r="I763" s="469"/>
    </row>
    <row r="764">
      <c r="A764" s="469"/>
      <c r="B764" s="469"/>
      <c r="C764" s="469"/>
      <c r="D764" s="469"/>
      <c r="E764" s="469"/>
      <c r="F764" s="469"/>
      <c r="G764" s="469"/>
      <c r="H764" s="469"/>
      <c r="I764" s="469"/>
    </row>
    <row r="765">
      <c r="A765" s="469"/>
      <c r="B765" s="469"/>
      <c r="C765" s="469"/>
      <c r="D765" s="469"/>
      <c r="E765" s="469"/>
      <c r="F765" s="469"/>
      <c r="G765" s="469"/>
      <c r="H765" s="469"/>
      <c r="I765" s="469"/>
    </row>
    <row r="766">
      <c r="A766" s="469"/>
      <c r="B766" s="469"/>
      <c r="C766" s="469"/>
      <c r="D766" s="469"/>
      <c r="E766" s="469"/>
      <c r="F766" s="469"/>
      <c r="G766" s="469"/>
      <c r="H766" s="469"/>
      <c r="I766" s="469"/>
    </row>
    <row r="767">
      <c r="A767" s="469"/>
      <c r="B767" s="469"/>
      <c r="C767" s="469"/>
      <c r="D767" s="469"/>
      <c r="E767" s="469"/>
      <c r="F767" s="469"/>
      <c r="G767" s="469"/>
      <c r="H767" s="469"/>
      <c r="I767" s="469"/>
    </row>
    <row r="768">
      <c r="A768" s="469"/>
      <c r="B768" s="469"/>
      <c r="C768" s="469"/>
      <c r="D768" s="469"/>
      <c r="E768" s="469"/>
      <c r="F768" s="469"/>
      <c r="G768" s="469"/>
      <c r="H768" s="469"/>
      <c r="I768" s="469"/>
    </row>
    <row r="769">
      <c r="A769" s="469"/>
      <c r="B769" s="469"/>
      <c r="C769" s="469"/>
      <c r="D769" s="469"/>
      <c r="E769" s="469"/>
      <c r="F769" s="469"/>
      <c r="G769" s="469"/>
      <c r="H769" s="469"/>
      <c r="I769" s="469"/>
    </row>
    <row r="770">
      <c r="A770" s="469"/>
      <c r="B770" s="469"/>
      <c r="C770" s="469"/>
      <c r="D770" s="469"/>
      <c r="E770" s="469"/>
      <c r="F770" s="469"/>
      <c r="G770" s="469"/>
      <c r="H770" s="469"/>
      <c r="I770" s="469"/>
    </row>
    <row r="771">
      <c r="A771" s="469"/>
      <c r="B771" s="469"/>
      <c r="C771" s="469"/>
      <c r="D771" s="469"/>
      <c r="E771" s="469"/>
      <c r="F771" s="469"/>
      <c r="G771" s="469"/>
      <c r="H771" s="469"/>
      <c r="I771" s="469"/>
    </row>
    <row r="772">
      <c r="A772" s="469"/>
      <c r="B772" s="469"/>
      <c r="C772" s="469"/>
      <c r="D772" s="469"/>
      <c r="E772" s="469"/>
      <c r="F772" s="469"/>
      <c r="G772" s="469"/>
      <c r="H772" s="469"/>
      <c r="I772" s="469"/>
    </row>
    <row r="773">
      <c r="A773" s="469"/>
      <c r="B773" s="469"/>
      <c r="C773" s="469"/>
      <c r="D773" s="469"/>
      <c r="E773" s="469"/>
      <c r="F773" s="469"/>
      <c r="G773" s="469"/>
      <c r="H773" s="469"/>
      <c r="I773" s="469"/>
    </row>
    <row r="774">
      <c r="A774" s="469"/>
      <c r="B774" s="469"/>
      <c r="C774" s="469"/>
      <c r="D774" s="469"/>
      <c r="E774" s="469"/>
      <c r="F774" s="469"/>
      <c r="G774" s="469"/>
      <c r="H774" s="469"/>
      <c r="I774" s="469"/>
    </row>
    <row r="775">
      <c r="A775" s="469"/>
      <c r="B775" s="469"/>
      <c r="C775" s="469"/>
      <c r="D775" s="469"/>
      <c r="E775" s="469"/>
      <c r="F775" s="469"/>
      <c r="G775" s="469"/>
      <c r="H775" s="469"/>
      <c r="I775" s="469"/>
    </row>
    <row r="776">
      <c r="A776" s="469"/>
      <c r="B776" s="469"/>
      <c r="C776" s="469"/>
      <c r="D776" s="469"/>
      <c r="E776" s="469"/>
      <c r="F776" s="469"/>
      <c r="G776" s="469"/>
      <c r="H776" s="469"/>
      <c r="I776" s="469"/>
    </row>
    <row r="777">
      <c r="A777" s="469"/>
      <c r="B777" s="469"/>
      <c r="C777" s="469"/>
      <c r="D777" s="469"/>
      <c r="E777" s="469"/>
      <c r="F777" s="469"/>
      <c r="G777" s="469"/>
      <c r="H777" s="469"/>
      <c r="I777" s="469"/>
    </row>
    <row r="778">
      <c r="A778" s="469"/>
      <c r="B778" s="469"/>
      <c r="C778" s="469"/>
      <c r="D778" s="469"/>
      <c r="E778" s="469"/>
      <c r="F778" s="469"/>
      <c r="G778" s="469"/>
      <c r="H778" s="469"/>
      <c r="I778" s="469"/>
    </row>
    <row r="779">
      <c r="A779" s="469"/>
      <c r="B779" s="469"/>
      <c r="C779" s="469"/>
      <c r="D779" s="469"/>
      <c r="E779" s="469"/>
      <c r="F779" s="469"/>
      <c r="G779" s="469"/>
      <c r="H779" s="469"/>
      <c r="I779" s="469"/>
    </row>
    <row r="780">
      <c r="A780" s="469"/>
      <c r="B780" s="469"/>
      <c r="C780" s="469"/>
      <c r="D780" s="469"/>
      <c r="E780" s="469"/>
      <c r="F780" s="469"/>
      <c r="G780" s="469"/>
      <c r="H780" s="469"/>
      <c r="I780" s="469"/>
    </row>
    <row r="781">
      <c r="A781" s="469"/>
      <c r="B781" s="469"/>
      <c r="C781" s="469"/>
      <c r="D781" s="469"/>
      <c r="E781" s="469"/>
      <c r="F781" s="469"/>
      <c r="G781" s="469"/>
      <c r="H781" s="469"/>
      <c r="I781" s="469"/>
    </row>
    <row r="782">
      <c r="A782" s="469"/>
      <c r="B782" s="469"/>
      <c r="C782" s="469"/>
      <c r="D782" s="469"/>
      <c r="E782" s="469"/>
      <c r="F782" s="469"/>
      <c r="G782" s="469"/>
      <c r="H782" s="469"/>
      <c r="I782" s="469"/>
    </row>
    <row r="783">
      <c r="A783" s="469"/>
      <c r="B783" s="469"/>
      <c r="C783" s="469"/>
      <c r="D783" s="469"/>
      <c r="E783" s="469"/>
      <c r="F783" s="469"/>
      <c r="G783" s="469"/>
      <c r="H783" s="469"/>
      <c r="I783" s="469"/>
    </row>
    <row r="784">
      <c r="A784" s="469"/>
      <c r="B784" s="469"/>
      <c r="C784" s="469"/>
      <c r="D784" s="469"/>
      <c r="E784" s="469"/>
      <c r="F784" s="469"/>
      <c r="G784" s="469"/>
      <c r="H784" s="469"/>
      <c r="I784" s="469"/>
    </row>
    <row r="785">
      <c r="A785" s="469"/>
      <c r="B785" s="469"/>
      <c r="C785" s="469"/>
      <c r="D785" s="469"/>
      <c r="E785" s="469"/>
      <c r="F785" s="469"/>
      <c r="G785" s="469"/>
      <c r="H785" s="469"/>
      <c r="I785" s="469"/>
    </row>
    <row r="786">
      <c r="A786" s="469"/>
      <c r="B786" s="469"/>
      <c r="C786" s="469"/>
      <c r="D786" s="469"/>
      <c r="E786" s="469"/>
      <c r="F786" s="469"/>
      <c r="G786" s="469"/>
      <c r="H786" s="469"/>
      <c r="I786" s="469"/>
    </row>
    <row r="787">
      <c r="A787" s="469"/>
      <c r="B787" s="469"/>
      <c r="C787" s="469"/>
      <c r="D787" s="469"/>
      <c r="E787" s="469"/>
      <c r="F787" s="469"/>
      <c r="G787" s="469"/>
      <c r="H787" s="469"/>
      <c r="I787" s="469"/>
    </row>
    <row r="788">
      <c r="A788" s="469"/>
      <c r="B788" s="469"/>
      <c r="C788" s="469"/>
      <c r="D788" s="469"/>
      <c r="E788" s="469"/>
      <c r="F788" s="469"/>
      <c r="G788" s="469"/>
      <c r="H788" s="469"/>
      <c r="I788" s="469"/>
    </row>
    <row r="789">
      <c r="A789" s="469"/>
      <c r="B789" s="469"/>
      <c r="C789" s="469"/>
      <c r="D789" s="469"/>
      <c r="E789" s="469"/>
      <c r="F789" s="469"/>
      <c r="G789" s="469"/>
      <c r="H789" s="469"/>
      <c r="I789" s="469"/>
    </row>
    <row r="790">
      <c r="A790" s="469"/>
      <c r="B790" s="469"/>
      <c r="C790" s="469"/>
      <c r="D790" s="469"/>
      <c r="E790" s="469"/>
      <c r="F790" s="469"/>
      <c r="G790" s="469"/>
      <c r="H790" s="469"/>
      <c r="I790" s="469"/>
    </row>
    <row r="791">
      <c r="A791" s="469"/>
      <c r="B791" s="469"/>
      <c r="C791" s="469"/>
      <c r="D791" s="469"/>
      <c r="E791" s="469"/>
      <c r="F791" s="469"/>
      <c r="G791" s="469"/>
      <c r="H791" s="469"/>
      <c r="I791" s="469"/>
    </row>
    <row r="792">
      <c r="A792" s="469"/>
      <c r="B792" s="469"/>
      <c r="C792" s="469"/>
      <c r="D792" s="469"/>
      <c r="E792" s="469"/>
      <c r="F792" s="469"/>
      <c r="G792" s="469"/>
      <c r="H792" s="469"/>
      <c r="I792" s="469"/>
    </row>
    <row r="793">
      <c r="A793" s="469"/>
      <c r="B793" s="469"/>
      <c r="C793" s="469"/>
      <c r="D793" s="469"/>
      <c r="E793" s="469"/>
      <c r="F793" s="469"/>
      <c r="G793" s="469"/>
      <c r="H793" s="469"/>
      <c r="I793" s="469"/>
    </row>
    <row r="794">
      <c r="A794" s="469"/>
      <c r="B794" s="469"/>
      <c r="C794" s="469"/>
      <c r="D794" s="469"/>
      <c r="E794" s="469"/>
      <c r="F794" s="469"/>
      <c r="G794" s="469"/>
      <c r="H794" s="469"/>
      <c r="I794" s="469"/>
    </row>
    <row r="795">
      <c r="A795" s="469"/>
      <c r="B795" s="469"/>
      <c r="C795" s="469"/>
      <c r="D795" s="469"/>
      <c r="E795" s="469"/>
      <c r="F795" s="469"/>
      <c r="G795" s="469"/>
      <c r="H795" s="469"/>
      <c r="I795" s="469"/>
    </row>
    <row r="796">
      <c r="A796" s="469"/>
      <c r="B796" s="469"/>
      <c r="C796" s="469"/>
      <c r="D796" s="469"/>
      <c r="E796" s="469"/>
      <c r="F796" s="469"/>
      <c r="G796" s="469"/>
      <c r="H796" s="469"/>
      <c r="I796" s="469"/>
    </row>
    <row r="797">
      <c r="A797" s="469"/>
      <c r="B797" s="469"/>
      <c r="C797" s="469"/>
      <c r="D797" s="469"/>
      <c r="E797" s="469"/>
      <c r="F797" s="469"/>
      <c r="G797" s="469"/>
      <c r="H797" s="469"/>
      <c r="I797" s="469"/>
    </row>
    <row r="798">
      <c r="A798" s="469"/>
      <c r="B798" s="469"/>
      <c r="C798" s="469"/>
      <c r="D798" s="469"/>
      <c r="E798" s="469"/>
      <c r="F798" s="469"/>
      <c r="G798" s="469"/>
      <c r="H798" s="469"/>
      <c r="I798" s="469"/>
    </row>
    <row r="799">
      <c r="A799" s="469"/>
      <c r="B799" s="469"/>
      <c r="C799" s="469"/>
      <c r="D799" s="469"/>
      <c r="E799" s="469"/>
      <c r="F799" s="469"/>
      <c r="G799" s="469"/>
      <c r="H799" s="469"/>
      <c r="I799" s="469"/>
    </row>
    <row r="800">
      <c r="A800" s="469"/>
      <c r="B800" s="469"/>
      <c r="C800" s="469"/>
      <c r="D800" s="469"/>
      <c r="E800" s="469"/>
      <c r="F800" s="469"/>
      <c r="G800" s="469"/>
      <c r="H800" s="469"/>
      <c r="I800" s="469"/>
    </row>
    <row r="801">
      <c r="A801" s="469"/>
      <c r="B801" s="469"/>
      <c r="C801" s="469"/>
      <c r="D801" s="469"/>
      <c r="E801" s="469"/>
      <c r="F801" s="469"/>
      <c r="G801" s="469"/>
      <c r="H801" s="469"/>
      <c r="I801" s="469"/>
    </row>
    <row r="802">
      <c r="A802" s="469"/>
      <c r="B802" s="469"/>
      <c r="C802" s="469"/>
      <c r="D802" s="469"/>
      <c r="E802" s="469"/>
      <c r="F802" s="469"/>
      <c r="G802" s="469"/>
      <c r="H802" s="469"/>
      <c r="I802" s="469"/>
    </row>
    <row r="803">
      <c r="A803" s="469"/>
      <c r="B803" s="469"/>
      <c r="C803" s="469"/>
      <c r="D803" s="469"/>
      <c r="E803" s="469"/>
      <c r="F803" s="469"/>
      <c r="G803" s="469"/>
      <c r="H803" s="469"/>
      <c r="I803" s="469"/>
    </row>
    <row r="804">
      <c r="A804" s="469"/>
      <c r="B804" s="469"/>
      <c r="C804" s="469"/>
      <c r="D804" s="469"/>
      <c r="E804" s="469"/>
      <c r="F804" s="469"/>
      <c r="G804" s="469"/>
      <c r="H804" s="469"/>
      <c r="I804" s="469"/>
    </row>
    <row r="805">
      <c r="A805" s="469"/>
      <c r="B805" s="469"/>
      <c r="C805" s="469"/>
      <c r="D805" s="469"/>
      <c r="E805" s="469"/>
      <c r="F805" s="469"/>
      <c r="G805" s="469"/>
      <c r="H805" s="469"/>
      <c r="I805" s="469"/>
    </row>
    <row r="806">
      <c r="A806" s="469"/>
      <c r="B806" s="469"/>
      <c r="C806" s="469"/>
      <c r="D806" s="469"/>
      <c r="E806" s="469"/>
      <c r="F806" s="469"/>
      <c r="G806" s="469"/>
      <c r="H806" s="469"/>
      <c r="I806" s="469"/>
    </row>
    <row r="807">
      <c r="A807" s="469"/>
      <c r="B807" s="469"/>
      <c r="C807" s="469"/>
      <c r="D807" s="469"/>
      <c r="E807" s="469"/>
      <c r="F807" s="469"/>
      <c r="G807" s="469"/>
      <c r="H807" s="469"/>
      <c r="I807" s="469"/>
    </row>
    <row r="808">
      <c r="A808" s="469"/>
      <c r="B808" s="469"/>
      <c r="C808" s="469"/>
      <c r="D808" s="469"/>
      <c r="E808" s="469"/>
      <c r="F808" s="469"/>
      <c r="G808" s="469"/>
      <c r="H808" s="469"/>
      <c r="I808" s="469"/>
    </row>
    <row r="809">
      <c r="A809" s="469"/>
      <c r="B809" s="469"/>
      <c r="C809" s="469"/>
      <c r="D809" s="469"/>
      <c r="E809" s="469"/>
      <c r="F809" s="469"/>
      <c r="G809" s="469"/>
      <c r="H809" s="469"/>
      <c r="I809" s="469"/>
    </row>
    <row r="810">
      <c r="A810" s="469"/>
      <c r="B810" s="469"/>
      <c r="C810" s="469"/>
      <c r="D810" s="469"/>
      <c r="E810" s="469"/>
      <c r="F810" s="469"/>
      <c r="G810" s="469"/>
      <c r="H810" s="469"/>
      <c r="I810" s="469"/>
    </row>
    <row r="811">
      <c r="A811" s="469"/>
      <c r="B811" s="469"/>
      <c r="C811" s="469"/>
      <c r="D811" s="469"/>
      <c r="E811" s="469"/>
      <c r="F811" s="469"/>
      <c r="G811" s="469"/>
      <c r="H811" s="469"/>
      <c r="I811" s="469"/>
    </row>
    <row r="812">
      <c r="A812" s="469"/>
      <c r="B812" s="469"/>
      <c r="C812" s="469"/>
      <c r="D812" s="469"/>
      <c r="E812" s="469"/>
      <c r="F812" s="469"/>
      <c r="G812" s="469"/>
      <c r="H812" s="469"/>
      <c r="I812" s="469"/>
    </row>
    <row r="813">
      <c r="A813" s="469"/>
      <c r="B813" s="469"/>
      <c r="C813" s="469"/>
      <c r="D813" s="469"/>
      <c r="E813" s="469"/>
      <c r="F813" s="469"/>
      <c r="G813" s="469"/>
      <c r="H813" s="469"/>
      <c r="I813" s="469"/>
    </row>
    <row r="814">
      <c r="A814" s="469"/>
      <c r="B814" s="469"/>
      <c r="C814" s="469"/>
      <c r="D814" s="469"/>
      <c r="E814" s="469"/>
      <c r="F814" s="469"/>
      <c r="G814" s="469"/>
      <c r="H814" s="469"/>
      <c r="I814" s="469"/>
    </row>
    <row r="815">
      <c r="A815" s="469"/>
      <c r="B815" s="469"/>
      <c r="C815" s="469"/>
      <c r="D815" s="469"/>
      <c r="E815" s="469"/>
      <c r="F815" s="469"/>
      <c r="G815" s="469"/>
      <c r="H815" s="469"/>
      <c r="I815" s="469"/>
    </row>
    <row r="816">
      <c r="A816" s="469"/>
      <c r="B816" s="469"/>
      <c r="C816" s="469"/>
      <c r="D816" s="469"/>
      <c r="E816" s="469"/>
      <c r="F816" s="469"/>
      <c r="G816" s="469"/>
      <c r="H816" s="469"/>
      <c r="I816" s="469"/>
    </row>
    <row r="817">
      <c r="A817" s="469"/>
      <c r="B817" s="469"/>
      <c r="C817" s="469"/>
      <c r="D817" s="469"/>
      <c r="E817" s="469"/>
      <c r="F817" s="469"/>
      <c r="G817" s="469"/>
      <c r="H817" s="469"/>
      <c r="I817" s="469"/>
    </row>
    <row r="818">
      <c r="A818" s="469"/>
      <c r="B818" s="469"/>
      <c r="C818" s="469"/>
      <c r="D818" s="469"/>
      <c r="E818" s="469"/>
      <c r="F818" s="469"/>
      <c r="G818" s="469"/>
      <c r="H818" s="469"/>
      <c r="I818" s="469"/>
    </row>
    <row r="819">
      <c r="A819" s="469"/>
      <c r="B819" s="469"/>
      <c r="C819" s="469"/>
      <c r="D819" s="469"/>
      <c r="E819" s="469"/>
      <c r="F819" s="469"/>
      <c r="G819" s="469"/>
      <c r="H819" s="469"/>
      <c r="I819" s="469"/>
    </row>
    <row r="820">
      <c r="A820" s="469"/>
      <c r="B820" s="469"/>
      <c r="C820" s="469"/>
      <c r="D820" s="469"/>
      <c r="E820" s="469"/>
      <c r="F820" s="469"/>
      <c r="G820" s="469"/>
      <c r="H820" s="469"/>
      <c r="I820" s="469"/>
    </row>
    <row r="821">
      <c r="A821" s="469"/>
      <c r="B821" s="469"/>
      <c r="C821" s="469"/>
      <c r="D821" s="469"/>
      <c r="E821" s="469"/>
      <c r="F821" s="469"/>
      <c r="G821" s="469"/>
      <c r="H821" s="469"/>
      <c r="I821" s="469"/>
    </row>
    <row r="822">
      <c r="A822" s="469"/>
      <c r="B822" s="469"/>
      <c r="C822" s="469"/>
      <c r="D822" s="469"/>
      <c r="E822" s="469"/>
      <c r="F822" s="469"/>
      <c r="G822" s="469"/>
      <c r="H822" s="469"/>
      <c r="I822" s="469"/>
    </row>
    <row r="823">
      <c r="A823" s="469"/>
      <c r="B823" s="469"/>
      <c r="C823" s="469"/>
      <c r="D823" s="469"/>
      <c r="E823" s="469"/>
      <c r="F823" s="469"/>
      <c r="G823" s="469"/>
      <c r="H823" s="469"/>
      <c r="I823" s="469"/>
    </row>
    <row r="824">
      <c r="A824" s="469"/>
      <c r="B824" s="469"/>
      <c r="C824" s="469"/>
      <c r="D824" s="469"/>
      <c r="E824" s="469"/>
      <c r="F824" s="469"/>
      <c r="G824" s="469"/>
      <c r="H824" s="469"/>
      <c r="I824" s="469"/>
    </row>
    <row r="825">
      <c r="A825" s="469"/>
      <c r="B825" s="469"/>
      <c r="C825" s="469"/>
      <c r="D825" s="469"/>
      <c r="E825" s="469"/>
      <c r="F825" s="469"/>
      <c r="G825" s="469"/>
      <c r="H825" s="469"/>
      <c r="I825" s="469"/>
    </row>
    <row r="826">
      <c r="A826" s="469"/>
      <c r="B826" s="469"/>
      <c r="C826" s="469"/>
      <c r="D826" s="469"/>
      <c r="E826" s="469"/>
      <c r="F826" s="469"/>
      <c r="G826" s="469"/>
      <c r="H826" s="469"/>
      <c r="I826" s="469"/>
    </row>
    <row r="827">
      <c r="A827" s="469"/>
      <c r="B827" s="469"/>
      <c r="C827" s="469"/>
      <c r="D827" s="469"/>
      <c r="E827" s="469"/>
      <c r="F827" s="469"/>
      <c r="G827" s="469"/>
      <c r="H827" s="469"/>
      <c r="I827" s="469"/>
    </row>
    <row r="828">
      <c r="A828" s="469"/>
      <c r="B828" s="469"/>
      <c r="C828" s="469"/>
      <c r="D828" s="469"/>
      <c r="E828" s="469"/>
      <c r="F828" s="469"/>
      <c r="G828" s="469"/>
      <c r="H828" s="469"/>
      <c r="I828" s="469"/>
    </row>
    <row r="829">
      <c r="A829" s="469"/>
      <c r="B829" s="469"/>
      <c r="C829" s="469"/>
      <c r="D829" s="469"/>
      <c r="E829" s="469"/>
      <c r="F829" s="469"/>
      <c r="G829" s="469"/>
      <c r="H829" s="469"/>
      <c r="I829" s="469"/>
    </row>
    <row r="830">
      <c r="A830" s="469"/>
      <c r="B830" s="469"/>
      <c r="C830" s="469"/>
      <c r="D830" s="469"/>
      <c r="E830" s="469"/>
      <c r="F830" s="469"/>
      <c r="G830" s="469"/>
      <c r="H830" s="469"/>
      <c r="I830" s="469"/>
    </row>
    <row r="831">
      <c r="A831" s="469"/>
      <c r="B831" s="469"/>
      <c r="C831" s="469"/>
      <c r="D831" s="469"/>
      <c r="E831" s="469"/>
      <c r="F831" s="469"/>
      <c r="G831" s="469"/>
      <c r="H831" s="469"/>
      <c r="I831" s="469"/>
    </row>
    <row r="832">
      <c r="A832" s="469"/>
      <c r="B832" s="469"/>
      <c r="C832" s="469"/>
      <c r="D832" s="469"/>
      <c r="E832" s="469"/>
      <c r="F832" s="469"/>
      <c r="G832" s="469"/>
      <c r="H832" s="469"/>
      <c r="I832" s="469"/>
    </row>
    <row r="833">
      <c r="A833" s="469"/>
      <c r="B833" s="469"/>
      <c r="C833" s="469"/>
      <c r="D833" s="469"/>
      <c r="E833" s="469"/>
      <c r="F833" s="469"/>
      <c r="G833" s="469"/>
      <c r="H833" s="469"/>
      <c r="I833" s="469"/>
    </row>
    <row r="834">
      <c r="A834" s="469"/>
      <c r="B834" s="469"/>
      <c r="C834" s="469"/>
      <c r="D834" s="469"/>
      <c r="E834" s="469"/>
      <c r="F834" s="469"/>
      <c r="G834" s="469"/>
      <c r="H834" s="469"/>
      <c r="I834" s="469"/>
    </row>
    <row r="835">
      <c r="A835" s="469"/>
      <c r="B835" s="469"/>
      <c r="C835" s="469"/>
      <c r="D835" s="469"/>
      <c r="E835" s="469"/>
      <c r="F835" s="469"/>
      <c r="G835" s="469"/>
      <c r="H835" s="469"/>
      <c r="I835" s="469"/>
    </row>
    <row r="836">
      <c r="A836" s="469"/>
      <c r="B836" s="469"/>
      <c r="C836" s="469"/>
      <c r="D836" s="469"/>
      <c r="E836" s="469"/>
      <c r="F836" s="469"/>
      <c r="G836" s="469"/>
      <c r="H836" s="469"/>
      <c r="I836" s="469"/>
    </row>
    <row r="837">
      <c r="A837" s="469"/>
      <c r="B837" s="469"/>
      <c r="C837" s="469"/>
      <c r="D837" s="469"/>
      <c r="E837" s="469"/>
      <c r="F837" s="469"/>
      <c r="G837" s="469"/>
      <c r="H837" s="469"/>
      <c r="I837" s="469"/>
    </row>
    <row r="838">
      <c r="A838" s="469"/>
      <c r="B838" s="469"/>
      <c r="C838" s="469"/>
      <c r="D838" s="469"/>
      <c r="E838" s="469"/>
      <c r="F838" s="469"/>
      <c r="G838" s="469"/>
      <c r="H838" s="469"/>
      <c r="I838" s="469"/>
    </row>
    <row r="839">
      <c r="A839" s="469"/>
      <c r="B839" s="469"/>
      <c r="C839" s="469"/>
      <c r="D839" s="469"/>
      <c r="E839" s="469"/>
      <c r="F839" s="469"/>
      <c r="G839" s="469"/>
      <c r="H839" s="469"/>
      <c r="I839" s="469"/>
    </row>
    <row r="840">
      <c r="A840" s="469"/>
      <c r="B840" s="469"/>
      <c r="C840" s="469"/>
      <c r="D840" s="469"/>
      <c r="E840" s="469"/>
      <c r="F840" s="469"/>
      <c r="G840" s="469"/>
      <c r="H840" s="469"/>
      <c r="I840" s="469"/>
    </row>
    <row r="841">
      <c r="A841" s="469"/>
      <c r="B841" s="469"/>
      <c r="C841" s="469"/>
      <c r="D841" s="469"/>
      <c r="E841" s="469"/>
      <c r="F841" s="469"/>
      <c r="G841" s="469"/>
      <c r="H841" s="469"/>
      <c r="I841" s="469"/>
    </row>
    <row r="842">
      <c r="A842" s="469"/>
      <c r="B842" s="469"/>
      <c r="C842" s="469"/>
      <c r="D842" s="469"/>
      <c r="E842" s="469"/>
      <c r="F842" s="469"/>
      <c r="G842" s="469"/>
      <c r="H842" s="469"/>
      <c r="I842" s="469"/>
    </row>
    <row r="843">
      <c r="A843" s="469"/>
      <c r="B843" s="469"/>
      <c r="C843" s="469"/>
      <c r="D843" s="469"/>
      <c r="E843" s="469"/>
      <c r="F843" s="469"/>
      <c r="G843" s="469"/>
      <c r="H843" s="469"/>
      <c r="I843" s="469"/>
    </row>
    <row r="844">
      <c r="A844" s="469"/>
      <c r="B844" s="469"/>
      <c r="C844" s="469"/>
      <c r="D844" s="469"/>
      <c r="E844" s="469"/>
      <c r="F844" s="469"/>
      <c r="G844" s="469"/>
      <c r="H844" s="469"/>
      <c r="I844" s="469"/>
    </row>
    <row r="845">
      <c r="A845" s="469"/>
      <c r="B845" s="469"/>
      <c r="C845" s="469"/>
      <c r="D845" s="469"/>
      <c r="E845" s="469"/>
      <c r="F845" s="469"/>
      <c r="G845" s="469"/>
      <c r="H845" s="469"/>
      <c r="I845" s="469"/>
    </row>
    <row r="846">
      <c r="A846" s="469"/>
      <c r="B846" s="469"/>
      <c r="C846" s="469"/>
      <c r="D846" s="469"/>
      <c r="E846" s="469"/>
      <c r="F846" s="469"/>
      <c r="G846" s="469"/>
      <c r="H846" s="469"/>
      <c r="I846" s="469"/>
    </row>
    <row r="847">
      <c r="A847" s="469"/>
      <c r="B847" s="469"/>
      <c r="C847" s="469"/>
      <c r="D847" s="469"/>
      <c r="E847" s="469"/>
      <c r="F847" s="469"/>
      <c r="G847" s="469"/>
      <c r="H847" s="469"/>
      <c r="I847" s="469"/>
    </row>
    <row r="848">
      <c r="A848" s="469"/>
      <c r="B848" s="469"/>
      <c r="C848" s="469"/>
      <c r="D848" s="469"/>
      <c r="E848" s="469"/>
      <c r="F848" s="469"/>
      <c r="G848" s="469"/>
      <c r="H848" s="469"/>
      <c r="I848" s="469"/>
    </row>
    <row r="849">
      <c r="A849" s="469"/>
      <c r="B849" s="469"/>
      <c r="C849" s="469"/>
      <c r="D849" s="469"/>
      <c r="E849" s="469"/>
      <c r="F849" s="469"/>
      <c r="G849" s="469"/>
      <c r="H849" s="469"/>
      <c r="I849" s="469"/>
    </row>
    <row r="850">
      <c r="A850" s="469"/>
      <c r="B850" s="469"/>
      <c r="C850" s="469"/>
      <c r="D850" s="469"/>
      <c r="E850" s="469"/>
      <c r="F850" s="469"/>
      <c r="G850" s="469"/>
      <c r="H850" s="469"/>
      <c r="I850" s="469"/>
    </row>
    <row r="851">
      <c r="A851" s="469"/>
      <c r="B851" s="469"/>
      <c r="C851" s="469"/>
      <c r="D851" s="469"/>
      <c r="E851" s="469"/>
      <c r="F851" s="469"/>
      <c r="G851" s="469"/>
      <c r="H851" s="469"/>
      <c r="I851" s="469"/>
    </row>
    <row r="852">
      <c r="A852" s="469"/>
      <c r="B852" s="469"/>
      <c r="C852" s="469"/>
      <c r="D852" s="469"/>
      <c r="E852" s="469"/>
      <c r="F852" s="469"/>
      <c r="G852" s="469"/>
      <c r="H852" s="469"/>
      <c r="I852" s="469"/>
    </row>
    <row r="853">
      <c r="A853" s="469"/>
      <c r="B853" s="469"/>
      <c r="C853" s="469"/>
      <c r="D853" s="469"/>
      <c r="E853" s="469"/>
      <c r="F853" s="469"/>
      <c r="G853" s="469"/>
      <c r="H853" s="469"/>
      <c r="I853" s="469"/>
    </row>
    <row r="854">
      <c r="A854" s="469"/>
      <c r="B854" s="469"/>
      <c r="C854" s="469"/>
      <c r="D854" s="469"/>
      <c r="E854" s="469"/>
      <c r="F854" s="469"/>
      <c r="G854" s="469"/>
      <c r="H854" s="469"/>
      <c r="I854" s="469"/>
    </row>
    <row r="855">
      <c r="A855" s="469"/>
      <c r="B855" s="469"/>
      <c r="C855" s="469"/>
      <c r="D855" s="469"/>
      <c r="E855" s="469"/>
      <c r="F855" s="469"/>
      <c r="G855" s="469"/>
      <c r="H855" s="469"/>
      <c r="I855" s="469"/>
    </row>
    <row r="856">
      <c r="A856" s="469"/>
      <c r="B856" s="469"/>
      <c r="C856" s="469"/>
      <c r="D856" s="469"/>
      <c r="E856" s="469"/>
      <c r="F856" s="469"/>
      <c r="G856" s="469"/>
      <c r="H856" s="469"/>
      <c r="I856" s="469"/>
    </row>
    <row r="857">
      <c r="A857" s="469"/>
      <c r="B857" s="469"/>
      <c r="C857" s="469"/>
      <c r="D857" s="469"/>
      <c r="E857" s="469"/>
      <c r="F857" s="469"/>
      <c r="G857" s="469"/>
      <c r="H857" s="469"/>
      <c r="I857" s="469"/>
    </row>
    <row r="858">
      <c r="A858" s="469"/>
      <c r="B858" s="469"/>
      <c r="C858" s="469"/>
      <c r="D858" s="469"/>
      <c r="E858" s="469"/>
      <c r="F858" s="469"/>
      <c r="G858" s="469"/>
      <c r="H858" s="469"/>
      <c r="I858" s="469"/>
    </row>
    <row r="859">
      <c r="A859" s="469"/>
      <c r="B859" s="469"/>
      <c r="C859" s="469"/>
      <c r="D859" s="469"/>
      <c r="E859" s="469"/>
      <c r="F859" s="469"/>
      <c r="G859" s="469"/>
      <c r="H859" s="469"/>
      <c r="I859" s="469"/>
    </row>
    <row r="860">
      <c r="A860" s="469"/>
      <c r="B860" s="469"/>
      <c r="C860" s="469"/>
      <c r="D860" s="469"/>
      <c r="E860" s="469"/>
      <c r="F860" s="469"/>
      <c r="G860" s="469"/>
      <c r="H860" s="469"/>
      <c r="I860" s="469"/>
    </row>
    <row r="861">
      <c r="A861" s="469"/>
      <c r="B861" s="469"/>
      <c r="C861" s="469"/>
      <c r="D861" s="469"/>
      <c r="E861" s="469"/>
      <c r="F861" s="469"/>
      <c r="G861" s="469"/>
      <c r="H861" s="469"/>
      <c r="I861" s="469"/>
    </row>
    <row r="862">
      <c r="A862" s="469"/>
      <c r="B862" s="469"/>
      <c r="C862" s="469"/>
      <c r="D862" s="469"/>
      <c r="E862" s="469"/>
      <c r="F862" s="469"/>
      <c r="G862" s="469"/>
      <c r="H862" s="469"/>
      <c r="I862" s="469"/>
    </row>
    <row r="863">
      <c r="A863" s="469"/>
      <c r="B863" s="469"/>
      <c r="C863" s="469"/>
      <c r="D863" s="469"/>
      <c r="E863" s="469"/>
      <c r="F863" s="469"/>
      <c r="G863" s="469"/>
      <c r="H863" s="469"/>
      <c r="I863" s="469"/>
    </row>
    <row r="864">
      <c r="A864" s="469"/>
      <c r="B864" s="469"/>
      <c r="C864" s="469"/>
      <c r="D864" s="469"/>
      <c r="E864" s="469"/>
      <c r="F864" s="469"/>
      <c r="G864" s="469"/>
      <c r="H864" s="469"/>
      <c r="I864" s="469"/>
    </row>
    <row r="865">
      <c r="A865" s="469"/>
      <c r="B865" s="469"/>
      <c r="C865" s="469"/>
      <c r="D865" s="469"/>
      <c r="E865" s="469"/>
      <c r="F865" s="469"/>
      <c r="G865" s="469"/>
      <c r="H865" s="469"/>
      <c r="I865" s="469"/>
    </row>
    <row r="866">
      <c r="A866" s="469"/>
      <c r="B866" s="469"/>
      <c r="C866" s="469"/>
      <c r="D866" s="469"/>
      <c r="E866" s="469"/>
      <c r="F866" s="469"/>
      <c r="G866" s="469"/>
      <c r="H866" s="469"/>
      <c r="I866" s="469"/>
    </row>
    <row r="867">
      <c r="A867" s="469"/>
      <c r="B867" s="469"/>
      <c r="C867" s="469"/>
      <c r="D867" s="469"/>
      <c r="E867" s="469"/>
      <c r="F867" s="469"/>
      <c r="G867" s="469"/>
      <c r="H867" s="469"/>
      <c r="I867" s="469"/>
    </row>
    <row r="868">
      <c r="A868" s="469"/>
      <c r="B868" s="469"/>
      <c r="C868" s="469"/>
      <c r="D868" s="469"/>
      <c r="E868" s="469"/>
      <c r="F868" s="469"/>
      <c r="G868" s="469"/>
      <c r="H868" s="469"/>
      <c r="I868" s="469"/>
    </row>
    <row r="869">
      <c r="A869" s="469"/>
      <c r="B869" s="469"/>
      <c r="C869" s="469"/>
      <c r="D869" s="469"/>
      <c r="E869" s="469"/>
      <c r="F869" s="469"/>
      <c r="G869" s="469"/>
      <c r="H869" s="469"/>
      <c r="I869" s="469"/>
    </row>
    <row r="870">
      <c r="A870" s="469"/>
      <c r="B870" s="469"/>
      <c r="C870" s="469"/>
      <c r="D870" s="469"/>
      <c r="E870" s="469"/>
      <c r="F870" s="469"/>
      <c r="G870" s="469"/>
      <c r="H870" s="469"/>
      <c r="I870" s="469"/>
    </row>
    <row r="871">
      <c r="A871" s="469"/>
      <c r="B871" s="469"/>
      <c r="C871" s="469"/>
      <c r="D871" s="469"/>
      <c r="E871" s="469"/>
      <c r="F871" s="469"/>
      <c r="G871" s="469"/>
      <c r="H871" s="469"/>
      <c r="I871" s="469"/>
    </row>
    <row r="872">
      <c r="A872" s="469"/>
      <c r="B872" s="469"/>
      <c r="C872" s="469"/>
      <c r="D872" s="469"/>
      <c r="E872" s="469"/>
      <c r="F872" s="469"/>
      <c r="G872" s="469"/>
      <c r="H872" s="469"/>
      <c r="I872" s="469"/>
    </row>
    <row r="873">
      <c r="A873" s="469"/>
      <c r="B873" s="469"/>
      <c r="C873" s="469"/>
      <c r="D873" s="469"/>
      <c r="E873" s="469"/>
      <c r="F873" s="469"/>
      <c r="G873" s="469"/>
      <c r="H873" s="469"/>
      <c r="I873" s="469"/>
    </row>
    <row r="874">
      <c r="A874" s="469"/>
      <c r="B874" s="469"/>
      <c r="C874" s="469"/>
      <c r="D874" s="469"/>
      <c r="E874" s="469"/>
      <c r="F874" s="469"/>
      <c r="G874" s="469"/>
      <c r="H874" s="469"/>
      <c r="I874" s="469"/>
    </row>
    <row r="875">
      <c r="A875" s="469"/>
      <c r="B875" s="469"/>
      <c r="C875" s="469"/>
      <c r="D875" s="469"/>
      <c r="E875" s="469"/>
      <c r="F875" s="469"/>
      <c r="G875" s="469"/>
      <c r="H875" s="469"/>
      <c r="I875" s="469"/>
    </row>
    <row r="876">
      <c r="A876" s="469"/>
      <c r="B876" s="469"/>
      <c r="C876" s="469"/>
      <c r="D876" s="469"/>
      <c r="E876" s="469"/>
      <c r="F876" s="469"/>
      <c r="G876" s="469"/>
      <c r="H876" s="469"/>
      <c r="I876" s="469"/>
    </row>
    <row r="877">
      <c r="A877" s="469"/>
      <c r="B877" s="469"/>
      <c r="C877" s="469"/>
      <c r="D877" s="469"/>
      <c r="E877" s="469"/>
      <c r="F877" s="469"/>
      <c r="G877" s="469"/>
      <c r="H877" s="469"/>
      <c r="I877" s="469"/>
    </row>
    <row r="878">
      <c r="A878" s="469"/>
      <c r="B878" s="469"/>
      <c r="C878" s="469"/>
      <c r="D878" s="469"/>
      <c r="E878" s="469"/>
      <c r="F878" s="469"/>
      <c r="G878" s="469"/>
      <c r="H878" s="469"/>
      <c r="I878" s="469"/>
    </row>
    <row r="879">
      <c r="A879" s="469"/>
      <c r="B879" s="469"/>
      <c r="C879" s="469"/>
      <c r="D879" s="469"/>
      <c r="E879" s="469"/>
      <c r="F879" s="469"/>
      <c r="G879" s="469"/>
      <c r="H879" s="469"/>
      <c r="I879" s="469"/>
    </row>
    <row r="880">
      <c r="A880" s="469"/>
      <c r="B880" s="469"/>
      <c r="C880" s="469"/>
      <c r="D880" s="469"/>
      <c r="E880" s="469"/>
      <c r="F880" s="469"/>
      <c r="G880" s="469"/>
      <c r="H880" s="469"/>
      <c r="I880" s="469"/>
    </row>
    <row r="881">
      <c r="A881" s="469"/>
      <c r="B881" s="469"/>
      <c r="C881" s="469"/>
      <c r="D881" s="469"/>
      <c r="E881" s="469"/>
      <c r="F881" s="469"/>
      <c r="G881" s="469"/>
      <c r="H881" s="469"/>
      <c r="I881" s="469"/>
    </row>
    <row r="882">
      <c r="A882" s="469"/>
      <c r="B882" s="469"/>
      <c r="C882" s="469"/>
      <c r="D882" s="469"/>
      <c r="E882" s="469"/>
      <c r="F882" s="469"/>
      <c r="G882" s="469"/>
      <c r="H882" s="469"/>
      <c r="I882" s="469"/>
    </row>
    <row r="883">
      <c r="A883" s="469"/>
      <c r="B883" s="469"/>
      <c r="C883" s="469"/>
      <c r="D883" s="469"/>
      <c r="E883" s="469"/>
      <c r="F883" s="469"/>
      <c r="G883" s="469"/>
      <c r="H883" s="469"/>
      <c r="I883" s="469"/>
    </row>
    <row r="884">
      <c r="A884" s="469"/>
      <c r="B884" s="469"/>
      <c r="C884" s="469"/>
      <c r="D884" s="469"/>
      <c r="E884" s="469"/>
      <c r="F884" s="469"/>
      <c r="G884" s="469"/>
      <c r="H884" s="469"/>
      <c r="I884" s="469"/>
    </row>
    <row r="885">
      <c r="A885" s="469"/>
      <c r="B885" s="469"/>
      <c r="C885" s="469"/>
      <c r="D885" s="469"/>
      <c r="E885" s="469"/>
      <c r="F885" s="469"/>
      <c r="G885" s="469"/>
      <c r="H885" s="469"/>
      <c r="I885" s="469"/>
    </row>
    <row r="886">
      <c r="A886" s="469"/>
      <c r="B886" s="469"/>
      <c r="C886" s="469"/>
      <c r="D886" s="469"/>
      <c r="E886" s="469"/>
      <c r="F886" s="469"/>
      <c r="G886" s="469"/>
      <c r="H886" s="469"/>
      <c r="I886" s="469"/>
    </row>
    <row r="887">
      <c r="A887" s="469"/>
      <c r="B887" s="469"/>
      <c r="C887" s="469"/>
      <c r="D887" s="469"/>
      <c r="E887" s="469"/>
      <c r="F887" s="469"/>
      <c r="G887" s="469"/>
      <c r="H887" s="469"/>
      <c r="I887" s="469"/>
    </row>
    <row r="888">
      <c r="A888" s="469"/>
      <c r="B888" s="469"/>
      <c r="C888" s="469"/>
      <c r="D888" s="469"/>
      <c r="E888" s="469"/>
      <c r="F888" s="469"/>
      <c r="G888" s="469"/>
      <c r="H888" s="469"/>
      <c r="I888" s="469"/>
    </row>
    <row r="889">
      <c r="A889" s="469"/>
      <c r="B889" s="469"/>
      <c r="C889" s="469"/>
      <c r="D889" s="469"/>
      <c r="E889" s="469"/>
      <c r="F889" s="469"/>
      <c r="G889" s="469"/>
      <c r="H889" s="469"/>
      <c r="I889" s="469"/>
    </row>
    <row r="890">
      <c r="A890" s="469"/>
      <c r="B890" s="469"/>
      <c r="C890" s="469"/>
      <c r="D890" s="469"/>
      <c r="E890" s="469"/>
      <c r="F890" s="469"/>
      <c r="G890" s="469"/>
      <c r="H890" s="469"/>
      <c r="I890" s="469"/>
    </row>
    <row r="891">
      <c r="A891" s="469"/>
      <c r="B891" s="469"/>
      <c r="C891" s="469"/>
      <c r="D891" s="469"/>
      <c r="E891" s="469"/>
      <c r="F891" s="469"/>
      <c r="G891" s="469"/>
      <c r="H891" s="469"/>
      <c r="I891" s="469"/>
    </row>
    <row r="892">
      <c r="A892" s="469"/>
      <c r="B892" s="469"/>
      <c r="C892" s="469"/>
      <c r="D892" s="469"/>
      <c r="E892" s="469"/>
      <c r="F892" s="469"/>
      <c r="G892" s="469"/>
      <c r="H892" s="469"/>
      <c r="I892" s="469"/>
    </row>
    <row r="893">
      <c r="A893" s="469"/>
      <c r="B893" s="469"/>
      <c r="C893" s="469"/>
      <c r="D893" s="469"/>
      <c r="E893" s="469"/>
      <c r="F893" s="469"/>
      <c r="G893" s="469"/>
      <c r="H893" s="469"/>
      <c r="I893" s="469"/>
    </row>
    <row r="894">
      <c r="A894" s="469"/>
      <c r="B894" s="469"/>
      <c r="C894" s="469"/>
      <c r="D894" s="469"/>
      <c r="E894" s="469"/>
      <c r="F894" s="469"/>
      <c r="G894" s="469"/>
      <c r="H894" s="469"/>
      <c r="I894" s="469"/>
    </row>
    <row r="895">
      <c r="A895" s="469"/>
      <c r="B895" s="469"/>
      <c r="C895" s="469"/>
      <c r="D895" s="469"/>
      <c r="E895" s="469"/>
      <c r="F895" s="469"/>
      <c r="G895" s="469"/>
      <c r="H895" s="469"/>
      <c r="I895" s="469"/>
    </row>
    <row r="896">
      <c r="A896" s="469"/>
      <c r="B896" s="469"/>
      <c r="C896" s="469"/>
      <c r="D896" s="469"/>
      <c r="E896" s="469"/>
      <c r="F896" s="469"/>
      <c r="G896" s="469"/>
      <c r="H896" s="469"/>
      <c r="I896" s="469"/>
    </row>
    <row r="897">
      <c r="A897" s="469"/>
      <c r="B897" s="469"/>
      <c r="C897" s="469"/>
      <c r="D897" s="469"/>
      <c r="E897" s="469"/>
      <c r="F897" s="469"/>
      <c r="G897" s="469"/>
      <c r="H897" s="469"/>
      <c r="I897" s="469"/>
    </row>
    <row r="898">
      <c r="A898" s="469"/>
      <c r="B898" s="469"/>
      <c r="C898" s="469"/>
      <c r="D898" s="469"/>
      <c r="E898" s="469"/>
      <c r="F898" s="469"/>
      <c r="G898" s="469"/>
      <c r="H898" s="469"/>
      <c r="I898" s="469"/>
    </row>
    <row r="899">
      <c r="A899" s="469"/>
      <c r="B899" s="469"/>
      <c r="C899" s="469"/>
      <c r="D899" s="469"/>
      <c r="E899" s="469"/>
      <c r="F899" s="469"/>
      <c r="G899" s="469"/>
      <c r="H899" s="469"/>
      <c r="I899" s="469"/>
    </row>
    <row r="900">
      <c r="A900" s="469"/>
      <c r="B900" s="469"/>
      <c r="C900" s="469"/>
      <c r="D900" s="469"/>
      <c r="E900" s="469"/>
      <c r="F900" s="469"/>
      <c r="G900" s="469"/>
      <c r="H900" s="469"/>
      <c r="I900" s="469"/>
    </row>
    <row r="901">
      <c r="A901" s="469"/>
      <c r="B901" s="469"/>
      <c r="C901" s="469"/>
      <c r="D901" s="469"/>
      <c r="E901" s="469"/>
      <c r="F901" s="469"/>
      <c r="G901" s="469"/>
      <c r="H901" s="469"/>
      <c r="I901" s="469"/>
    </row>
    <row r="902">
      <c r="A902" s="469"/>
      <c r="B902" s="469"/>
      <c r="C902" s="469"/>
      <c r="D902" s="469"/>
      <c r="E902" s="469"/>
      <c r="F902" s="469"/>
      <c r="G902" s="469"/>
      <c r="H902" s="469"/>
      <c r="I902" s="469"/>
    </row>
    <row r="903">
      <c r="A903" s="469"/>
      <c r="B903" s="469"/>
      <c r="C903" s="469"/>
      <c r="D903" s="469"/>
      <c r="E903" s="469"/>
      <c r="F903" s="469"/>
      <c r="G903" s="469"/>
      <c r="H903" s="469"/>
      <c r="I903" s="469"/>
    </row>
    <row r="904">
      <c r="A904" s="469"/>
      <c r="B904" s="469"/>
      <c r="C904" s="469"/>
      <c r="D904" s="469"/>
      <c r="E904" s="469"/>
      <c r="F904" s="469"/>
      <c r="G904" s="469"/>
      <c r="H904" s="469"/>
      <c r="I904" s="469"/>
    </row>
    <row r="905">
      <c r="A905" s="469"/>
      <c r="B905" s="469"/>
      <c r="C905" s="469"/>
      <c r="D905" s="469"/>
      <c r="E905" s="469"/>
      <c r="F905" s="469"/>
      <c r="G905" s="469"/>
      <c r="H905" s="469"/>
      <c r="I905" s="469"/>
    </row>
    <row r="906">
      <c r="A906" s="469"/>
      <c r="B906" s="469"/>
      <c r="C906" s="469"/>
      <c r="D906" s="469"/>
      <c r="E906" s="469"/>
      <c r="F906" s="469"/>
      <c r="G906" s="469"/>
      <c r="H906" s="469"/>
      <c r="I906" s="469"/>
    </row>
    <row r="907">
      <c r="A907" s="469"/>
      <c r="B907" s="469"/>
      <c r="C907" s="469"/>
      <c r="D907" s="469"/>
      <c r="E907" s="469"/>
      <c r="F907" s="469"/>
      <c r="G907" s="469"/>
      <c r="H907" s="469"/>
      <c r="I907" s="469"/>
    </row>
    <row r="908">
      <c r="A908" s="469"/>
      <c r="B908" s="469"/>
      <c r="C908" s="469"/>
      <c r="D908" s="469"/>
      <c r="E908" s="469"/>
      <c r="F908" s="469"/>
      <c r="G908" s="469"/>
      <c r="H908" s="469"/>
      <c r="I908" s="469"/>
    </row>
    <row r="909">
      <c r="A909" s="469"/>
      <c r="B909" s="469"/>
      <c r="C909" s="469"/>
      <c r="D909" s="469"/>
      <c r="E909" s="469"/>
      <c r="F909" s="469"/>
      <c r="G909" s="469"/>
      <c r="H909" s="469"/>
      <c r="I909" s="469"/>
    </row>
    <row r="910">
      <c r="A910" s="469"/>
      <c r="B910" s="469"/>
      <c r="C910" s="469"/>
      <c r="D910" s="469"/>
      <c r="E910" s="469"/>
      <c r="F910" s="469"/>
      <c r="G910" s="469"/>
      <c r="H910" s="469"/>
      <c r="I910" s="469"/>
    </row>
    <row r="911">
      <c r="A911" s="469"/>
      <c r="B911" s="469"/>
      <c r="C911" s="469"/>
      <c r="D911" s="469"/>
      <c r="E911" s="469"/>
      <c r="F911" s="469"/>
      <c r="G911" s="469"/>
      <c r="H911" s="469"/>
      <c r="I911" s="469"/>
    </row>
    <row r="912">
      <c r="A912" s="469"/>
      <c r="B912" s="469"/>
      <c r="C912" s="469"/>
      <c r="D912" s="469"/>
      <c r="E912" s="469"/>
      <c r="F912" s="469"/>
      <c r="G912" s="469"/>
      <c r="H912" s="469"/>
      <c r="I912" s="469"/>
    </row>
    <row r="913">
      <c r="A913" s="469"/>
      <c r="B913" s="469"/>
      <c r="C913" s="469"/>
      <c r="D913" s="469"/>
      <c r="E913" s="469"/>
      <c r="F913" s="469"/>
      <c r="G913" s="469"/>
      <c r="H913" s="469"/>
      <c r="I913" s="469"/>
    </row>
    <row r="914">
      <c r="A914" s="469"/>
      <c r="B914" s="469"/>
      <c r="C914" s="469"/>
      <c r="D914" s="469"/>
      <c r="E914" s="469"/>
      <c r="F914" s="469"/>
      <c r="G914" s="469"/>
      <c r="H914" s="469"/>
      <c r="I914" s="469"/>
    </row>
    <row r="915">
      <c r="A915" s="469"/>
      <c r="B915" s="469"/>
      <c r="C915" s="469"/>
      <c r="D915" s="469"/>
      <c r="E915" s="469"/>
      <c r="F915" s="469"/>
      <c r="G915" s="469"/>
      <c r="H915" s="469"/>
      <c r="I915" s="469"/>
    </row>
    <row r="916">
      <c r="A916" s="469"/>
      <c r="B916" s="469"/>
      <c r="C916" s="469"/>
      <c r="D916" s="469"/>
      <c r="E916" s="469"/>
      <c r="F916" s="469"/>
      <c r="G916" s="469"/>
      <c r="H916" s="469"/>
      <c r="I916" s="469"/>
    </row>
    <row r="917">
      <c r="A917" s="469"/>
      <c r="B917" s="469"/>
      <c r="C917" s="469"/>
      <c r="D917" s="469"/>
      <c r="E917" s="469"/>
      <c r="F917" s="469"/>
      <c r="G917" s="469"/>
      <c r="H917" s="469"/>
      <c r="I917" s="469"/>
    </row>
    <row r="918">
      <c r="A918" s="469"/>
      <c r="B918" s="469"/>
      <c r="C918" s="469"/>
      <c r="D918" s="469"/>
      <c r="E918" s="469"/>
      <c r="F918" s="469"/>
      <c r="G918" s="469"/>
      <c r="H918" s="469"/>
      <c r="I918" s="469"/>
    </row>
    <row r="919">
      <c r="A919" s="469"/>
      <c r="B919" s="469"/>
      <c r="C919" s="469"/>
      <c r="D919" s="469"/>
      <c r="E919" s="469"/>
      <c r="F919" s="469"/>
      <c r="G919" s="469"/>
      <c r="H919" s="469"/>
      <c r="I919" s="469"/>
    </row>
    <row r="920">
      <c r="A920" s="469"/>
      <c r="B920" s="469"/>
      <c r="C920" s="469"/>
      <c r="D920" s="469"/>
      <c r="E920" s="469"/>
      <c r="F920" s="469"/>
      <c r="G920" s="469"/>
      <c r="H920" s="469"/>
      <c r="I920" s="469"/>
    </row>
    <row r="921">
      <c r="A921" s="469"/>
      <c r="B921" s="469"/>
      <c r="C921" s="469"/>
      <c r="D921" s="469"/>
      <c r="E921" s="469"/>
      <c r="F921" s="469"/>
      <c r="G921" s="469"/>
      <c r="H921" s="469"/>
      <c r="I921" s="469"/>
    </row>
    <row r="922">
      <c r="A922" s="469"/>
      <c r="B922" s="469"/>
      <c r="C922" s="469"/>
      <c r="D922" s="469"/>
      <c r="E922" s="469"/>
      <c r="F922" s="469"/>
      <c r="G922" s="469"/>
      <c r="H922" s="469"/>
      <c r="I922" s="469"/>
    </row>
    <row r="923">
      <c r="A923" s="469"/>
      <c r="B923" s="469"/>
      <c r="C923" s="469"/>
      <c r="D923" s="469"/>
      <c r="E923" s="469"/>
      <c r="F923" s="469"/>
      <c r="G923" s="469"/>
      <c r="H923" s="469"/>
      <c r="I923" s="469"/>
    </row>
    <row r="924">
      <c r="A924" s="469"/>
      <c r="B924" s="469"/>
      <c r="C924" s="469"/>
      <c r="D924" s="469"/>
      <c r="E924" s="469"/>
      <c r="F924" s="469"/>
      <c r="G924" s="469"/>
      <c r="H924" s="469"/>
      <c r="I924" s="469"/>
    </row>
    <row r="925">
      <c r="A925" s="469"/>
      <c r="B925" s="469"/>
      <c r="C925" s="469"/>
      <c r="D925" s="469"/>
      <c r="E925" s="469"/>
      <c r="F925" s="469"/>
      <c r="G925" s="469"/>
      <c r="H925" s="469"/>
      <c r="I925" s="469"/>
    </row>
    <row r="926">
      <c r="A926" s="469"/>
      <c r="B926" s="469"/>
      <c r="C926" s="469"/>
      <c r="D926" s="469"/>
      <c r="E926" s="469"/>
      <c r="F926" s="469"/>
      <c r="G926" s="469"/>
      <c r="H926" s="469"/>
      <c r="I926" s="469"/>
    </row>
    <row r="927">
      <c r="A927" s="469"/>
      <c r="B927" s="469"/>
      <c r="C927" s="469"/>
      <c r="D927" s="469"/>
      <c r="E927" s="469"/>
      <c r="F927" s="469"/>
      <c r="G927" s="469"/>
      <c r="H927" s="469"/>
      <c r="I927" s="469"/>
    </row>
    <row r="928">
      <c r="A928" s="469"/>
      <c r="B928" s="469"/>
      <c r="C928" s="469"/>
      <c r="D928" s="469"/>
      <c r="E928" s="469"/>
      <c r="F928" s="469"/>
      <c r="G928" s="469"/>
      <c r="H928" s="469"/>
      <c r="I928" s="469"/>
    </row>
    <row r="929">
      <c r="A929" s="469"/>
      <c r="B929" s="469"/>
      <c r="C929" s="469"/>
      <c r="D929" s="469"/>
      <c r="E929" s="469"/>
      <c r="F929" s="469"/>
      <c r="G929" s="469"/>
      <c r="H929" s="469"/>
      <c r="I929" s="469"/>
    </row>
    <row r="930">
      <c r="A930" s="469"/>
      <c r="B930" s="469"/>
      <c r="C930" s="469"/>
      <c r="D930" s="469"/>
      <c r="E930" s="469"/>
      <c r="F930" s="469"/>
      <c r="G930" s="469"/>
      <c r="H930" s="469"/>
      <c r="I930" s="469"/>
    </row>
    <row r="931">
      <c r="A931" s="469"/>
      <c r="B931" s="469"/>
      <c r="C931" s="469"/>
      <c r="D931" s="469"/>
      <c r="E931" s="469"/>
      <c r="F931" s="469"/>
      <c r="G931" s="469"/>
      <c r="H931" s="469"/>
      <c r="I931" s="469"/>
    </row>
    <row r="932">
      <c r="A932" s="469"/>
      <c r="B932" s="469"/>
      <c r="C932" s="469"/>
      <c r="D932" s="469"/>
      <c r="E932" s="469"/>
      <c r="F932" s="469"/>
      <c r="G932" s="469"/>
      <c r="H932" s="469"/>
      <c r="I932" s="469"/>
    </row>
    <row r="933">
      <c r="A933" s="469"/>
      <c r="B933" s="469"/>
      <c r="C933" s="469"/>
      <c r="D933" s="469"/>
      <c r="E933" s="469"/>
      <c r="F933" s="469"/>
      <c r="G933" s="469"/>
      <c r="H933" s="469"/>
      <c r="I933" s="469"/>
    </row>
    <row r="934">
      <c r="A934" s="469"/>
      <c r="B934" s="469"/>
      <c r="C934" s="469"/>
      <c r="D934" s="469"/>
      <c r="E934" s="469"/>
      <c r="F934" s="469"/>
      <c r="G934" s="469"/>
      <c r="H934" s="469"/>
      <c r="I934" s="469"/>
    </row>
    <row r="935">
      <c r="A935" s="469"/>
      <c r="B935" s="469"/>
      <c r="C935" s="469"/>
      <c r="D935" s="469"/>
      <c r="E935" s="469"/>
      <c r="F935" s="469"/>
      <c r="G935" s="469"/>
      <c r="H935" s="469"/>
      <c r="I935" s="469"/>
    </row>
    <row r="936">
      <c r="A936" s="469"/>
      <c r="B936" s="469"/>
      <c r="C936" s="469"/>
      <c r="D936" s="469"/>
      <c r="E936" s="469"/>
      <c r="F936" s="469"/>
      <c r="G936" s="469"/>
      <c r="H936" s="469"/>
      <c r="I936" s="469"/>
    </row>
    <row r="937">
      <c r="A937" s="469"/>
      <c r="B937" s="469"/>
      <c r="C937" s="469"/>
      <c r="D937" s="469"/>
      <c r="E937" s="469"/>
      <c r="F937" s="469"/>
      <c r="G937" s="469"/>
      <c r="H937" s="469"/>
      <c r="I937" s="469"/>
    </row>
    <row r="938">
      <c r="A938" s="469"/>
      <c r="B938" s="469"/>
      <c r="C938" s="469"/>
      <c r="D938" s="469"/>
      <c r="E938" s="469"/>
      <c r="F938" s="469"/>
      <c r="G938" s="469"/>
      <c r="H938" s="469"/>
      <c r="I938" s="469"/>
    </row>
    <row r="939">
      <c r="A939" s="469"/>
      <c r="B939" s="469"/>
      <c r="C939" s="469"/>
      <c r="D939" s="469"/>
      <c r="E939" s="469"/>
      <c r="F939" s="469"/>
      <c r="G939" s="469"/>
      <c r="H939" s="469"/>
      <c r="I939" s="469"/>
    </row>
    <row r="940">
      <c r="A940" s="469"/>
      <c r="B940" s="469"/>
      <c r="C940" s="469"/>
      <c r="D940" s="469"/>
      <c r="E940" s="469"/>
      <c r="F940" s="469"/>
      <c r="G940" s="469"/>
      <c r="H940" s="469"/>
      <c r="I940" s="469"/>
    </row>
    <row r="941">
      <c r="A941" s="469"/>
      <c r="B941" s="469"/>
      <c r="C941" s="469"/>
      <c r="D941" s="469"/>
      <c r="E941" s="469"/>
      <c r="F941" s="469"/>
      <c r="G941" s="469"/>
      <c r="H941" s="469"/>
      <c r="I941" s="469"/>
    </row>
    <row r="942">
      <c r="A942" s="469"/>
      <c r="B942" s="469"/>
      <c r="C942" s="469"/>
      <c r="D942" s="469"/>
      <c r="E942" s="469"/>
      <c r="F942" s="469"/>
      <c r="G942" s="469"/>
      <c r="H942" s="469"/>
      <c r="I942" s="469"/>
    </row>
    <row r="943">
      <c r="A943" s="469"/>
      <c r="B943" s="469"/>
      <c r="C943" s="469"/>
      <c r="D943" s="469"/>
      <c r="E943" s="469"/>
      <c r="F943" s="469"/>
      <c r="G943" s="469"/>
      <c r="H943" s="469"/>
      <c r="I943" s="469"/>
    </row>
    <row r="944">
      <c r="A944" s="469"/>
      <c r="B944" s="469"/>
      <c r="C944" s="469"/>
      <c r="D944" s="469"/>
      <c r="E944" s="469"/>
      <c r="F944" s="469"/>
      <c r="G944" s="469"/>
      <c r="H944" s="469"/>
      <c r="I944" s="469"/>
    </row>
    <row r="945">
      <c r="A945" s="469"/>
      <c r="B945" s="469"/>
      <c r="C945" s="469"/>
      <c r="D945" s="469"/>
      <c r="E945" s="469"/>
      <c r="F945" s="469"/>
      <c r="G945" s="469"/>
      <c r="H945" s="469"/>
      <c r="I945" s="469"/>
    </row>
    <row r="946">
      <c r="A946" s="469"/>
      <c r="B946" s="469"/>
      <c r="C946" s="469"/>
      <c r="D946" s="469"/>
      <c r="E946" s="469"/>
      <c r="F946" s="469"/>
      <c r="G946" s="469"/>
      <c r="H946" s="469"/>
      <c r="I946" s="469"/>
    </row>
    <row r="947">
      <c r="A947" s="469"/>
      <c r="B947" s="469"/>
      <c r="C947" s="469"/>
      <c r="D947" s="469"/>
      <c r="E947" s="469"/>
      <c r="F947" s="469"/>
      <c r="G947" s="469"/>
      <c r="H947" s="469"/>
      <c r="I947" s="469"/>
    </row>
    <row r="948">
      <c r="A948" s="469"/>
      <c r="B948" s="469"/>
      <c r="C948" s="469"/>
      <c r="D948" s="469"/>
      <c r="E948" s="469"/>
      <c r="F948" s="469"/>
      <c r="G948" s="469"/>
      <c r="H948" s="469"/>
      <c r="I948" s="469"/>
    </row>
    <row r="949">
      <c r="A949" s="469"/>
      <c r="B949" s="469"/>
      <c r="C949" s="469"/>
      <c r="D949" s="469"/>
      <c r="E949" s="469"/>
      <c r="F949" s="469"/>
      <c r="G949" s="469"/>
      <c r="H949" s="469"/>
      <c r="I949" s="469"/>
    </row>
    <row r="950">
      <c r="A950" s="469"/>
      <c r="B950" s="469"/>
      <c r="C950" s="469"/>
      <c r="D950" s="469"/>
      <c r="E950" s="469"/>
      <c r="F950" s="469"/>
      <c r="G950" s="469"/>
      <c r="H950" s="469"/>
      <c r="I950" s="469"/>
    </row>
    <row r="951">
      <c r="A951" s="469"/>
      <c r="B951" s="469"/>
      <c r="C951" s="469"/>
      <c r="D951" s="469"/>
      <c r="E951" s="469"/>
      <c r="F951" s="469"/>
      <c r="G951" s="469"/>
      <c r="H951" s="469"/>
      <c r="I951" s="469"/>
    </row>
    <row r="952">
      <c r="A952" s="469"/>
      <c r="B952" s="469"/>
      <c r="C952" s="469"/>
      <c r="D952" s="469"/>
      <c r="E952" s="469"/>
      <c r="F952" s="469"/>
      <c r="G952" s="469"/>
      <c r="H952" s="469"/>
      <c r="I952" s="469"/>
    </row>
    <row r="953">
      <c r="A953" s="469"/>
      <c r="B953" s="469"/>
      <c r="C953" s="469"/>
      <c r="D953" s="469"/>
      <c r="E953" s="469"/>
      <c r="F953" s="469"/>
      <c r="G953" s="469"/>
      <c r="H953" s="469"/>
      <c r="I953" s="469"/>
    </row>
    <row r="954">
      <c r="A954" s="469"/>
      <c r="B954" s="469"/>
      <c r="C954" s="469"/>
      <c r="D954" s="469"/>
      <c r="E954" s="469"/>
      <c r="F954" s="469"/>
      <c r="G954" s="469"/>
      <c r="H954" s="469"/>
      <c r="I954" s="469"/>
    </row>
    <row r="955">
      <c r="A955" s="469"/>
      <c r="B955" s="469"/>
      <c r="C955" s="469"/>
      <c r="D955" s="469"/>
      <c r="E955" s="469"/>
      <c r="F955" s="469"/>
      <c r="G955" s="469"/>
      <c r="H955" s="469"/>
      <c r="I955" s="469"/>
    </row>
    <row r="956">
      <c r="A956" s="469"/>
      <c r="B956" s="469"/>
      <c r="C956" s="469"/>
      <c r="D956" s="469"/>
      <c r="E956" s="469"/>
      <c r="F956" s="469"/>
      <c r="G956" s="469"/>
      <c r="H956" s="469"/>
      <c r="I956" s="469"/>
    </row>
    <row r="957">
      <c r="A957" s="469"/>
      <c r="B957" s="469"/>
      <c r="C957" s="469"/>
      <c r="D957" s="469"/>
      <c r="E957" s="469"/>
      <c r="F957" s="469"/>
      <c r="G957" s="469"/>
      <c r="H957" s="469"/>
      <c r="I957" s="469"/>
    </row>
    <row r="958">
      <c r="A958" s="469"/>
      <c r="B958" s="469"/>
      <c r="C958" s="469"/>
      <c r="D958" s="469"/>
      <c r="E958" s="469"/>
      <c r="F958" s="469"/>
      <c r="G958" s="469"/>
      <c r="H958" s="469"/>
      <c r="I958" s="469"/>
    </row>
    <row r="959">
      <c r="A959" s="469"/>
      <c r="B959" s="469"/>
      <c r="C959" s="469"/>
      <c r="D959" s="469"/>
      <c r="E959" s="469"/>
      <c r="F959" s="469"/>
      <c r="G959" s="469"/>
      <c r="H959" s="469"/>
      <c r="I959" s="469"/>
    </row>
    <row r="960">
      <c r="A960" s="469"/>
      <c r="B960" s="469"/>
      <c r="C960" s="469"/>
      <c r="D960" s="469"/>
      <c r="E960" s="469"/>
      <c r="F960" s="469"/>
      <c r="G960" s="469"/>
      <c r="H960" s="469"/>
      <c r="I960" s="469"/>
    </row>
    <row r="961">
      <c r="A961" s="469"/>
      <c r="B961" s="469"/>
      <c r="C961" s="469"/>
      <c r="D961" s="469"/>
      <c r="E961" s="469"/>
      <c r="F961" s="469"/>
      <c r="G961" s="469"/>
      <c r="H961" s="469"/>
      <c r="I961" s="469"/>
    </row>
    <row r="962">
      <c r="A962" s="469"/>
      <c r="B962" s="469"/>
      <c r="C962" s="469"/>
      <c r="D962" s="469"/>
      <c r="E962" s="469"/>
      <c r="F962" s="469"/>
      <c r="G962" s="469"/>
      <c r="H962" s="469"/>
      <c r="I962" s="469"/>
    </row>
    <row r="963">
      <c r="A963" s="469"/>
      <c r="B963" s="469"/>
      <c r="C963" s="469"/>
      <c r="D963" s="469"/>
      <c r="E963" s="469"/>
      <c r="F963" s="469"/>
      <c r="G963" s="469"/>
      <c r="H963" s="469"/>
      <c r="I963" s="469"/>
    </row>
    <row r="964">
      <c r="A964" s="469"/>
      <c r="B964" s="469"/>
      <c r="C964" s="469"/>
      <c r="D964" s="469"/>
      <c r="E964" s="469"/>
      <c r="F964" s="469"/>
      <c r="G964" s="469"/>
      <c r="H964" s="469"/>
      <c r="I964" s="469"/>
    </row>
    <row r="965">
      <c r="A965" s="469"/>
      <c r="B965" s="469"/>
      <c r="C965" s="469"/>
      <c r="D965" s="469"/>
      <c r="E965" s="469"/>
      <c r="F965" s="469"/>
      <c r="G965" s="469"/>
      <c r="H965" s="469"/>
      <c r="I965" s="469"/>
    </row>
    <row r="966">
      <c r="A966" s="469"/>
      <c r="B966" s="469"/>
      <c r="C966" s="469"/>
      <c r="D966" s="469"/>
      <c r="E966" s="469"/>
      <c r="F966" s="469"/>
      <c r="G966" s="469"/>
      <c r="H966" s="469"/>
      <c r="I966" s="469"/>
    </row>
    <row r="967">
      <c r="A967" s="469"/>
      <c r="B967" s="469"/>
      <c r="C967" s="469"/>
      <c r="D967" s="469"/>
      <c r="E967" s="469"/>
      <c r="F967" s="469"/>
      <c r="G967" s="469"/>
      <c r="H967" s="469"/>
      <c r="I967" s="469"/>
    </row>
    <row r="968">
      <c r="A968" s="469"/>
      <c r="B968" s="469"/>
      <c r="C968" s="469"/>
      <c r="D968" s="469"/>
      <c r="E968" s="469"/>
      <c r="F968" s="469"/>
      <c r="G968" s="469"/>
      <c r="H968" s="469"/>
      <c r="I968" s="469"/>
    </row>
    <row r="969">
      <c r="A969" s="469"/>
      <c r="B969" s="469"/>
      <c r="C969" s="469"/>
      <c r="D969" s="469"/>
      <c r="E969" s="469"/>
      <c r="F969" s="469"/>
      <c r="G969" s="469"/>
      <c r="H969" s="469"/>
      <c r="I969" s="469"/>
    </row>
    <row r="970">
      <c r="A970" s="469"/>
      <c r="B970" s="469"/>
      <c r="C970" s="469"/>
      <c r="D970" s="469"/>
      <c r="E970" s="469"/>
      <c r="F970" s="469"/>
      <c r="G970" s="469"/>
      <c r="H970" s="469"/>
      <c r="I970" s="469"/>
    </row>
    <row r="971">
      <c r="A971" s="469"/>
      <c r="B971" s="469"/>
      <c r="C971" s="469"/>
      <c r="D971" s="469"/>
      <c r="E971" s="469"/>
      <c r="F971" s="469"/>
      <c r="G971" s="469"/>
      <c r="H971" s="469"/>
      <c r="I971" s="469"/>
    </row>
    <row r="972">
      <c r="A972" s="469"/>
      <c r="B972" s="469"/>
      <c r="C972" s="469"/>
      <c r="D972" s="469"/>
      <c r="E972" s="469"/>
      <c r="F972" s="469"/>
      <c r="G972" s="469"/>
      <c r="H972" s="469"/>
      <c r="I972" s="469"/>
    </row>
    <row r="973">
      <c r="A973" s="469"/>
      <c r="B973" s="469"/>
      <c r="C973" s="469"/>
      <c r="D973" s="469"/>
      <c r="E973" s="469"/>
      <c r="F973" s="469"/>
      <c r="G973" s="469"/>
      <c r="H973" s="469"/>
      <c r="I973" s="469"/>
    </row>
    <row r="974">
      <c r="A974" s="469"/>
      <c r="B974" s="469"/>
      <c r="C974" s="469"/>
      <c r="D974" s="469"/>
      <c r="E974" s="469"/>
      <c r="F974" s="469"/>
      <c r="G974" s="469"/>
      <c r="H974" s="469"/>
      <c r="I974" s="469"/>
    </row>
    <row r="975">
      <c r="A975" s="469"/>
      <c r="B975" s="469"/>
      <c r="C975" s="469"/>
      <c r="D975" s="469"/>
      <c r="E975" s="469"/>
      <c r="F975" s="469"/>
      <c r="G975" s="469"/>
      <c r="H975" s="469"/>
      <c r="I975" s="469"/>
    </row>
    <row r="976">
      <c r="A976" s="469"/>
      <c r="B976" s="469"/>
      <c r="C976" s="469"/>
      <c r="D976" s="469"/>
      <c r="E976" s="469"/>
      <c r="F976" s="469"/>
      <c r="G976" s="469"/>
      <c r="H976" s="469"/>
      <c r="I976" s="469"/>
    </row>
    <row r="977">
      <c r="A977" s="469"/>
      <c r="B977" s="469"/>
      <c r="C977" s="469"/>
      <c r="D977" s="469"/>
      <c r="E977" s="469"/>
      <c r="F977" s="469"/>
      <c r="G977" s="469"/>
      <c r="H977" s="469"/>
      <c r="I977" s="469"/>
    </row>
    <row r="978">
      <c r="A978" s="469"/>
      <c r="B978" s="469"/>
      <c r="C978" s="469"/>
      <c r="D978" s="469"/>
      <c r="E978" s="469"/>
      <c r="F978" s="469"/>
      <c r="G978" s="469"/>
      <c r="H978" s="469"/>
      <c r="I978" s="469"/>
    </row>
    <row r="979">
      <c r="A979" s="469"/>
      <c r="B979" s="469"/>
      <c r="C979" s="469"/>
      <c r="D979" s="469"/>
      <c r="E979" s="469"/>
      <c r="F979" s="469"/>
      <c r="G979" s="469"/>
      <c r="H979" s="469"/>
      <c r="I979" s="469"/>
    </row>
    <row r="980">
      <c r="A980" s="469"/>
      <c r="B980" s="469"/>
      <c r="C980" s="469"/>
      <c r="D980" s="469"/>
      <c r="E980" s="469"/>
      <c r="F980" s="469"/>
      <c r="G980" s="469"/>
      <c r="H980" s="469"/>
      <c r="I980" s="469"/>
    </row>
    <row r="981">
      <c r="A981" s="469"/>
      <c r="B981" s="469"/>
      <c r="C981" s="469"/>
      <c r="D981" s="469"/>
      <c r="E981" s="469"/>
      <c r="F981" s="469"/>
      <c r="G981" s="469"/>
      <c r="H981" s="469"/>
      <c r="I981" s="469"/>
    </row>
    <row r="982">
      <c r="A982" s="469"/>
      <c r="B982" s="469"/>
      <c r="C982" s="469"/>
      <c r="D982" s="469"/>
      <c r="E982" s="469"/>
      <c r="F982" s="469"/>
      <c r="G982" s="469"/>
      <c r="H982" s="469"/>
      <c r="I982" s="469"/>
    </row>
    <row r="983">
      <c r="A983" s="469"/>
      <c r="B983" s="469"/>
      <c r="C983" s="469"/>
      <c r="D983" s="469"/>
      <c r="E983" s="469"/>
      <c r="F983" s="469"/>
      <c r="G983" s="469"/>
      <c r="H983" s="469"/>
      <c r="I983" s="469"/>
    </row>
    <row r="984">
      <c r="A984" s="469"/>
      <c r="B984" s="469"/>
      <c r="C984" s="469"/>
      <c r="D984" s="469"/>
      <c r="E984" s="469"/>
      <c r="F984" s="469"/>
      <c r="G984" s="469"/>
      <c r="H984" s="469"/>
      <c r="I984" s="469"/>
    </row>
    <row r="985">
      <c r="A985" s="469"/>
      <c r="B985" s="469"/>
      <c r="C985" s="469"/>
      <c r="D985" s="469"/>
      <c r="E985" s="469"/>
      <c r="F985" s="469"/>
      <c r="G985" s="469"/>
      <c r="H985" s="469"/>
      <c r="I985" s="469"/>
    </row>
    <row r="986">
      <c r="A986" s="469"/>
      <c r="B986" s="469"/>
      <c r="C986" s="469"/>
      <c r="D986" s="469"/>
      <c r="E986" s="469"/>
      <c r="F986" s="469"/>
      <c r="G986" s="469"/>
      <c r="H986" s="469"/>
      <c r="I986" s="469"/>
    </row>
    <row r="987">
      <c r="A987" s="469"/>
      <c r="B987" s="469"/>
      <c r="C987" s="469"/>
      <c r="D987" s="469"/>
      <c r="E987" s="469"/>
      <c r="F987" s="469"/>
      <c r="G987" s="469"/>
      <c r="H987" s="469"/>
      <c r="I987" s="469"/>
    </row>
    <row r="988">
      <c r="A988" s="469"/>
      <c r="B988" s="469"/>
      <c r="C988" s="469"/>
      <c r="D988" s="469"/>
      <c r="E988" s="469"/>
      <c r="F988" s="469"/>
      <c r="G988" s="469"/>
      <c r="H988" s="469"/>
      <c r="I988" s="469"/>
    </row>
    <row r="989">
      <c r="A989" s="469"/>
      <c r="B989" s="469"/>
      <c r="C989" s="469"/>
      <c r="D989" s="469"/>
      <c r="E989" s="469"/>
      <c r="F989" s="469"/>
      <c r="G989" s="469"/>
      <c r="H989" s="469"/>
      <c r="I989" s="469"/>
    </row>
    <row r="990">
      <c r="A990" s="469"/>
      <c r="B990" s="469"/>
      <c r="C990" s="469"/>
      <c r="D990" s="469"/>
      <c r="E990" s="469"/>
      <c r="F990" s="469"/>
      <c r="G990" s="469"/>
      <c r="H990" s="469"/>
      <c r="I990" s="469"/>
    </row>
    <row r="991">
      <c r="A991" s="469"/>
      <c r="B991" s="469"/>
      <c r="C991" s="469"/>
      <c r="D991" s="469"/>
      <c r="E991" s="469"/>
      <c r="F991" s="469"/>
      <c r="G991" s="469"/>
      <c r="H991" s="469"/>
      <c r="I991" s="469"/>
    </row>
    <row r="992">
      <c r="A992" s="469"/>
      <c r="B992" s="469"/>
      <c r="C992" s="469"/>
      <c r="D992" s="469"/>
      <c r="E992" s="469"/>
      <c r="F992" s="469"/>
      <c r="G992" s="469"/>
      <c r="H992" s="469"/>
      <c r="I992" s="469"/>
    </row>
    <row r="993">
      <c r="A993" s="469"/>
      <c r="B993" s="469"/>
      <c r="C993" s="469"/>
      <c r="D993" s="469"/>
      <c r="E993" s="469"/>
      <c r="F993" s="469"/>
      <c r="G993" s="469"/>
      <c r="H993" s="469"/>
      <c r="I993" s="469"/>
    </row>
    <row r="994">
      <c r="A994" s="469"/>
      <c r="B994" s="469"/>
      <c r="C994" s="469"/>
      <c r="D994" s="469"/>
      <c r="E994" s="469"/>
      <c r="F994" s="469"/>
      <c r="G994" s="469"/>
      <c r="H994" s="469"/>
      <c r="I994" s="469"/>
    </row>
    <row r="995">
      <c r="A995" s="469"/>
      <c r="B995" s="469"/>
      <c r="C995" s="469"/>
      <c r="D995" s="469"/>
      <c r="E995" s="469"/>
      <c r="F995" s="469"/>
      <c r="G995" s="469"/>
      <c r="H995" s="469"/>
      <c r="I995" s="469"/>
    </row>
    <row r="996">
      <c r="A996" s="469"/>
      <c r="B996" s="469"/>
      <c r="C996" s="469"/>
      <c r="D996" s="469"/>
      <c r="E996" s="469"/>
      <c r="F996" s="469"/>
      <c r="G996" s="469"/>
      <c r="H996" s="469"/>
      <c r="I996" s="469"/>
    </row>
    <row r="997">
      <c r="A997" s="469"/>
      <c r="B997" s="469"/>
      <c r="C997" s="469"/>
      <c r="D997" s="469"/>
      <c r="E997" s="469"/>
      <c r="F997" s="469"/>
      <c r="G997" s="469"/>
      <c r="H997" s="469"/>
      <c r="I997" s="469"/>
    </row>
    <row r="998">
      <c r="A998" s="469"/>
      <c r="B998" s="469"/>
      <c r="C998" s="469"/>
      <c r="D998" s="469"/>
      <c r="E998" s="469"/>
      <c r="F998" s="469"/>
      <c r="G998" s="469"/>
      <c r="H998" s="469"/>
      <c r="I998" s="469"/>
    </row>
    <row r="999">
      <c r="A999" s="469"/>
      <c r="B999" s="469"/>
      <c r="C999" s="469"/>
      <c r="D999" s="469"/>
      <c r="E999" s="469"/>
      <c r="F999" s="469"/>
      <c r="G999" s="469"/>
      <c r="H999" s="469"/>
      <c r="I999" s="469"/>
    </row>
    <row r="1000">
      <c r="A1000" s="469"/>
      <c r="B1000" s="469"/>
      <c r="C1000" s="469"/>
      <c r="D1000" s="469"/>
      <c r="E1000" s="469"/>
      <c r="F1000" s="469"/>
      <c r="G1000" s="469"/>
      <c r="H1000" s="469"/>
      <c r="I1000" s="469"/>
    </row>
    <row r="1001">
      <c r="A1001" s="469"/>
      <c r="B1001" s="469"/>
      <c r="C1001" s="469"/>
      <c r="D1001" s="469"/>
      <c r="E1001" s="469"/>
      <c r="F1001" s="469"/>
      <c r="G1001" s="469"/>
      <c r="H1001" s="469"/>
      <c r="I1001" s="469"/>
    </row>
    <row r="1002">
      <c r="A1002" s="469"/>
      <c r="B1002" s="469"/>
      <c r="C1002" s="469"/>
      <c r="D1002" s="469"/>
      <c r="E1002" s="469"/>
      <c r="F1002" s="469"/>
      <c r="G1002" s="469"/>
      <c r="H1002" s="469"/>
      <c r="I1002" s="469"/>
    </row>
    <row r="1003">
      <c r="A1003" s="469"/>
      <c r="B1003" s="469"/>
      <c r="C1003" s="469"/>
      <c r="D1003" s="469"/>
      <c r="E1003" s="469"/>
      <c r="F1003" s="469"/>
      <c r="G1003" s="469"/>
      <c r="H1003" s="469"/>
      <c r="I1003" s="469"/>
    </row>
    <row r="1004">
      <c r="A1004" s="469"/>
      <c r="B1004" s="469"/>
      <c r="C1004" s="469"/>
      <c r="D1004" s="469"/>
      <c r="E1004" s="469"/>
      <c r="F1004" s="469"/>
      <c r="G1004" s="469"/>
      <c r="H1004" s="469"/>
      <c r="I1004" s="469"/>
    </row>
    <row r="1005">
      <c r="A1005" s="469"/>
      <c r="B1005" s="469"/>
      <c r="C1005" s="469"/>
      <c r="D1005" s="469"/>
      <c r="E1005" s="469"/>
      <c r="F1005" s="469"/>
      <c r="G1005" s="469"/>
      <c r="H1005" s="469"/>
      <c r="I1005" s="469"/>
    </row>
    <row r="1006">
      <c r="A1006" s="469"/>
      <c r="B1006" s="469"/>
      <c r="C1006" s="469"/>
      <c r="D1006" s="469"/>
      <c r="E1006" s="469"/>
      <c r="F1006" s="469"/>
      <c r="G1006" s="469"/>
      <c r="H1006" s="469"/>
      <c r="I1006" s="469"/>
    </row>
    <row r="1007">
      <c r="A1007" s="469"/>
      <c r="B1007" s="469"/>
      <c r="C1007" s="469"/>
      <c r="D1007" s="469"/>
      <c r="E1007" s="469"/>
      <c r="F1007" s="469"/>
      <c r="G1007" s="469"/>
      <c r="H1007" s="469"/>
      <c r="I1007" s="469"/>
    </row>
    <row r="1008">
      <c r="A1008" s="469"/>
      <c r="B1008" s="469"/>
      <c r="C1008" s="469"/>
      <c r="D1008" s="469"/>
      <c r="E1008" s="469"/>
      <c r="F1008" s="469"/>
      <c r="G1008" s="469"/>
      <c r="H1008" s="469"/>
      <c r="I1008" s="469"/>
    </row>
    <row r="1009">
      <c r="A1009" s="469"/>
      <c r="B1009" s="469"/>
      <c r="C1009" s="469"/>
      <c r="D1009" s="469"/>
      <c r="E1009" s="469"/>
      <c r="F1009" s="469"/>
      <c r="G1009" s="469"/>
      <c r="H1009" s="469"/>
      <c r="I1009" s="469"/>
    </row>
    <row r="1010">
      <c r="A1010" s="469"/>
      <c r="B1010" s="469"/>
      <c r="C1010" s="469"/>
      <c r="D1010" s="469"/>
      <c r="E1010" s="469"/>
      <c r="F1010" s="469"/>
      <c r="G1010" s="469"/>
      <c r="H1010" s="469"/>
      <c r="I1010" s="469"/>
    </row>
    <row r="1011">
      <c r="A1011" s="469"/>
      <c r="B1011" s="469"/>
      <c r="C1011" s="469"/>
      <c r="D1011" s="469"/>
      <c r="E1011" s="469"/>
      <c r="F1011" s="469"/>
      <c r="G1011" s="469"/>
      <c r="H1011" s="469"/>
      <c r="I1011" s="469"/>
    </row>
    <row r="1012">
      <c r="A1012" s="469"/>
      <c r="B1012" s="469"/>
      <c r="C1012" s="469"/>
      <c r="D1012" s="469"/>
      <c r="E1012" s="469"/>
      <c r="F1012" s="469"/>
      <c r="G1012" s="469"/>
      <c r="H1012" s="469"/>
      <c r="I1012" s="469"/>
    </row>
    <row r="1013">
      <c r="A1013" s="469"/>
      <c r="B1013" s="469"/>
      <c r="C1013" s="469"/>
      <c r="D1013" s="469"/>
      <c r="E1013" s="469"/>
      <c r="F1013" s="469"/>
      <c r="G1013" s="469"/>
      <c r="H1013" s="469"/>
      <c r="I1013" s="469"/>
    </row>
  </sheetData>
  <mergeCells count="3">
    <mergeCell ref="A1:I1"/>
    <mergeCell ref="A3:I3"/>
    <mergeCell ref="A5:I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5.13" defaultRowHeight="15.0"/>
  <cols>
    <col customWidth="1" min="2" max="2" width="94.25"/>
    <col customWidth="1" min="3" max="3" width="19.25"/>
    <col customWidth="1" min="4" max="4" width="5.63"/>
    <col customWidth="1" min="5" max="5" width="5.25"/>
    <col customWidth="1" min="6" max="6" width="11.13"/>
    <col customWidth="1" min="7" max="7" width="12.75"/>
    <col customWidth="1" min="8" max="8" width="42.88"/>
  </cols>
  <sheetData>
    <row r="1">
      <c r="A1" s="437" t="s">
        <v>6975</v>
      </c>
      <c r="I1" s="469"/>
      <c r="J1" s="469"/>
      <c r="K1" s="469"/>
      <c r="L1" s="469"/>
      <c r="M1" s="469"/>
      <c r="N1" s="469"/>
      <c r="O1" s="469"/>
      <c r="P1" s="469"/>
      <c r="Q1" s="469"/>
      <c r="R1" s="469"/>
      <c r="S1" s="469"/>
      <c r="T1" s="469"/>
      <c r="U1" s="469"/>
      <c r="V1" s="469"/>
      <c r="W1" s="469"/>
    </row>
    <row r="2">
      <c r="A2" s="433"/>
      <c r="B2" s="473" t="s">
        <v>6976</v>
      </c>
      <c r="C2" s="474">
        <f>TODAY()</f>
        <v>46070</v>
      </c>
      <c r="E2" s="436"/>
      <c r="F2" s="469"/>
      <c r="G2" s="469"/>
      <c r="H2" s="469"/>
      <c r="I2" s="469"/>
      <c r="J2" s="469"/>
      <c r="K2" s="469"/>
      <c r="L2" s="469"/>
      <c r="M2" s="469"/>
      <c r="N2" s="469"/>
      <c r="O2" s="469"/>
      <c r="P2" s="469"/>
      <c r="Q2" s="469"/>
      <c r="R2" s="469"/>
      <c r="S2" s="469"/>
      <c r="T2" s="469"/>
      <c r="U2" s="469"/>
      <c r="V2" s="469"/>
      <c r="W2" s="469"/>
    </row>
    <row r="3">
      <c r="A3" s="439" t="s">
        <v>7328</v>
      </c>
      <c r="B3" s="13"/>
      <c r="C3" s="13"/>
      <c r="D3" s="13"/>
      <c r="E3" s="13"/>
      <c r="F3" s="13"/>
      <c r="G3" s="13"/>
      <c r="H3" s="14"/>
      <c r="I3" s="469"/>
      <c r="J3" s="469"/>
      <c r="K3" s="469"/>
      <c r="L3" s="469"/>
      <c r="M3" s="469"/>
      <c r="N3" s="469"/>
      <c r="O3" s="469"/>
      <c r="P3" s="469"/>
      <c r="Q3" s="469"/>
      <c r="R3" s="469"/>
      <c r="S3" s="469"/>
      <c r="T3" s="469"/>
      <c r="U3" s="469"/>
      <c r="V3" s="469"/>
      <c r="W3" s="469"/>
    </row>
    <row r="4">
      <c r="A4" s="475" t="s">
        <v>7329</v>
      </c>
      <c r="B4" s="475" t="s">
        <v>7095</v>
      </c>
      <c r="C4" s="475" t="s">
        <v>7330</v>
      </c>
      <c r="D4" s="476" t="s">
        <v>14</v>
      </c>
      <c r="E4" s="476" t="s">
        <v>7331</v>
      </c>
      <c r="F4" s="477" t="s">
        <v>7332</v>
      </c>
      <c r="G4" s="477" t="s">
        <v>7333</v>
      </c>
      <c r="H4" s="476" t="s">
        <v>7334</v>
      </c>
      <c r="I4" s="478"/>
      <c r="J4" s="478"/>
      <c r="K4" s="478"/>
      <c r="L4" s="478"/>
      <c r="M4" s="478"/>
      <c r="N4" s="478"/>
      <c r="O4" s="478"/>
      <c r="P4" s="478"/>
      <c r="Q4" s="478"/>
      <c r="R4" s="478"/>
      <c r="S4" s="478"/>
      <c r="T4" s="478"/>
      <c r="U4" s="478"/>
      <c r="V4" s="478"/>
      <c r="W4" s="478"/>
    </row>
    <row r="5">
      <c r="A5" s="449" t="s">
        <v>3953</v>
      </c>
      <c r="B5" s="479" t="s">
        <v>3954</v>
      </c>
      <c r="C5" s="480"/>
      <c r="D5" s="481"/>
      <c r="E5" s="481"/>
      <c r="F5" s="447">
        <v>263982.63</v>
      </c>
      <c r="G5" s="448">
        <f>VLOOKUP(A5,Productos!$D$3:$AK811,16,FALSE())</f>
        <v>307644</v>
      </c>
      <c r="H5" s="447"/>
      <c r="I5" s="482">
        <v>0.1</v>
      </c>
      <c r="J5" s="469"/>
      <c r="K5" s="469"/>
      <c r="L5" s="469"/>
      <c r="M5" s="469"/>
      <c r="N5" s="469"/>
      <c r="O5" s="469"/>
      <c r="P5" s="469"/>
      <c r="Q5" s="469"/>
      <c r="R5" s="469"/>
      <c r="S5" s="469"/>
      <c r="T5" s="469"/>
      <c r="U5" s="469"/>
      <c r="V5" s="469"/>
      <c r="W5" s="469"/>
    </row>
    <row r="6">
      <c r="A6" s="449" t="s">
        <v>3955</v>
      </c>
      <c r="B6" s="479" t="s">
        <v>3956</v>
      </c>
      <c r="C6" s="480"/>
      <c r="D6" s="481"/>
      <c r="E6" s="481"/>
      <c r="F6" s="447">
        <v>223463.99</v>
      </c>
      <c r="G6" s="448">
        <f>VLOOKUP(A6,Productos!$D$3:$AK811,16,FALSE())</f>
        <v>241434</v>
      </c>
      <c r="H6" s="483"/>
      <c r="I6" s="469"/>
      <c r="J6" s="469"/>
      <c r="K6" s="469"/>
      <c r="L6" s="469"/>
      <c r="M6" s="469"/>
      <c r="N6" s="469"/>
      <c r="O6" s="469"/>
      <c r="P6" s="469"/>
      <c r="Q6" s="469"/>
      <c r="R6" s="469"/>
      <c r="S6" s="469"/>
      <c r="T6" s="469"/>
      <c r="U6" s="469"/>
      <c r="V6" s="469"/>
      <c r="W6" s="469"/>
    </row>
    <row r="7">
      <c r="A7" s="449" t="s">
        <v>182</v>
      </c>
      <c r="B7" s="479" t="s">
        <v>183</v>
      </c>
      <c r="C7" s="480"/>
      <c r="D7" s="481"/>
      <c r="E7" s="481"/>
      <c r="F7" s="447">
        <v>35399.77</v>
      </c>
      <c r="G7" s="448">
        <f>VLOOKUP(A7,Productos!$D$3:$AK811,16,FALSE())</f>
        <v>40570</v>
      </c>
      <c r="H7" s="447"/>
      <c r="I7" s="469"/>
      <c r="J7" s="469"/>
      <c r="K7" s="469"/>
      <c r="L7" s="469"/>
      <c r="M7" s="469"/>
      <c r="N7" s="469"/>
      <c r="O7" s="469"/>
      <c r="P7" s="469"/>
      <c r="Q7" s="469"/>
      <c r="R7" s="469"/>
      <c r="S7" s="469"/>
      <c r="T7" s="469"/>
      <c r="U7" s="469"/>
      <c r="V7" s="469"/>
      <c r="W7" s="469"/>
    </row>
    <row r="8">
      <c r="A8" s="449" t="s">
        <v>184</v>
      </c>
      <c r="B8" s="479" t="s">
        <v>185</v>
      </c>
      <c r="C8" s="480"/>
      <c r="D8" s="481"/>
      <c r="E8" s="481"/>
      <c r="F8" s="447">
        <v>38934.0</v>
      </c>
      <c r="G8" s="448">
        <f>VLOOKUP(A8,Productos!$D$3:$AK811,16,FALSE())</f>
        <v>42926</v>
      </c>
      <c r="H8" s="447"/>
      <c r="I8" s="469"/>
      <c r="J8" s="469"/>
      <c r="K8" s="469"/>
      <c r="L8" s="469"/>
      <c r="M8" s="469"/>
      <c r="N8" s="469"/>
      <c r="O8" s="469"/>
      <c r="P8" s="469"/>
      <c r="Q8" s="469"/>
      <c r="R8" s="469"/>
      <c r="S8" s="469"/>
      <c r="T8" s="469"/>
      <c r="U8" s="469"/>
      <c r="V8" s="469"/>
      <c r="W8" s="469"/>
    </row>
    <row r="9">
      <c r="A9" s="484" t="s">
        <v>37</v>
      </c>
      <c r="B9" s="484" t="s">
        <v>40</v>
      </c>
      <c r="C9" s="484" t="s">
        <v>7335</v>
      </c>
      <c r="D9" s="484"/>
      <c r="E9" s="485"/>
      <c r="F9" s="486">
        <v>1506.4</v>
      </c>
      <c r="G9" s="448">
        <f>VLOOKUP(A9,Productos!$D$3:$AK811,16,FALSE())</f>
        <v>1345</v>
      </c>
      <c r="H9" s="448"/>
      <c r="I9" s="469"/>
      <c r="J9" s="469"/>
      <c r="K9" s="469"/>
      <c r="L9" s="469"/>
      <c r="M9" s="469"/>
      <c r="N9" s="469"/>
      <c r="O9" s="469"/>
      <c r="P9" s="469"/>
      <c r="Q9" s="469"/>
      <c r="R9" s="469"/>
      <c r="S9" s="469"/>
      <c r="T9" s="469"/>
      <c r="U9" s="469"/>
      <c r="V9" s="469"/>
      <c r="W9" s="469"/>
    </row>
    <row r="10">
      <c r="A10" s="487" t="s">
        <v>41</v>
      </c>
      <c r="B10" s="487" t="s">
        <v>43</v>
      </c>
      <c r="C10" s="487" t="s">
        <v>7336</v>
      </c>
      <c r="D10" s="484"/>
      <c r="E10" s="485"/>
      <c r="F10" s="488">
        <v>169.12</v>
      </c>
      <c r="G10" s="448">
        <f>VLOOKUP(A10,Productos!$D$3:$AK811,16,FALSE())</f>
        <v>151</v>
      </c>
      <c r="H10" s="448"/>
      <c r="I10" s="469"/>
      <c r="J10" s="469"/>
      <c r="K10" s="469"/>
      <c r="L10" s="469"/>
      <c r="M10" s="469"/>
      <c r="N10" s="469"/>
      <c r="O10" s="469"/>
      <c r="P10" s="469"/>
      <c r="Q10" s="469"/>
      <c r="R10" s="469"/>
      <c r="S10" s="469"/>
      <c r="T10" s="469"/>
      <c r="U10" s="469"/>
      <c r="V10" s="469"/>
      <c r="W10" s="469"/>
    </row>
    <row r="11">
      <c r="A11" s="487" t="s">
        <v>67</v>
      </c>
      <c r="B11" s="489" t="s">
        <v>68</v>
      </c>
      <c r="C11" s="489" t="s">
        <v>7337</v>
      </c>
      <c r="D11" s="484"/>
      <c r="E11" s="485"/>
      <c r="F11" s="488">
        <v>2119.04</v>
      </c>
      <c r="G11" s="448">
        <f>VLOOKUP(A11,Productos!$D$3:$AK811,16,FALSE())</f>
        <v>1857</v>
      </c>
      <c r="H11" s="448"/>
      <c r="I11" s="469"/>
      <c r="J11" s="469"/>
      <c r="K11" s="469"/>
      <c r="L11" s="469"/>
      <c r="M11" s="469"/>
      <c r="N11" s="469"/>
      <c r="O11" s="469"/>
      <c r="P11" s="469"/>
      <c r="Q11" s="469"/>
      <c r="R11" s="469"/>
      <c r="S11" s="469"/>
      <c r="T11" s="469"/>
      <c r="U11" s="469"/>
      <c r="V11" s="469"/>
      <c r="W11" s="469"/>
    </row>
    <row r="12">
      <c r="A12" s="487" t="s">
        <v>239</v>
      </c>
      <c r="B12" s="489" t="s">
        <v>240</v>
      </c>
      <c r="C12" s="489" t="s">
        <v>7338</v>
      </c>
      <c r="D12" s="484"/>
      <c r="E12" s="485"/>
      <c r="F12" s="488">
        <v>817.6</v>
      </c>
      <c r="G12" s="448">
        <f>VLOOKUP(A12,Productos!$D$3:$AK811,16,FALSE())</f>
        <v>716</v>
      </c>
      <c r="H12" s="448"/>
      <c r="I12" s="469"/>
      <c r="J12" s="469"/>
      <c r="K12" s="469"/>
      <c r="L12" s="469"/>
      <c r="M12" s="469"/>
      <c r="N12" s="469"/>
      <c r="O12" s="469"/>
      <c r="P12" s="469"/>
      <c r="Q12" s="469"/>
      <c r="R12" s="469"/>
      <c r="S12" s="469"/>
      <c r="T12" s="469"/>
      <c r="U12" s="469"/>
      <c r="V12" s="469"/>
      <c r="W12" s="469"/>
    </row>
    <row r="13">
      <c r="A13" s="487" t="s">
        <v>213</v>
      </c>
      <c r="B13" s="487" t="s">
        <v>7339</v>
      </c>
      <c r="C13" s="487" t="s">
        <v>7340</v>
      </c>
      <c r="D13" s="484"/>
      <c r="E13" s="485"/>
      <c r="F13" s="488">
        <v>313.6</v>
      </c>
      <c r="G13" s="448">
        <f>VLOOKUP(A13,Productos!$D$3:$AK811,16,FALSE())</f>
        <v>275</v>
      </c>
      <c r="H13" s="448"/>
      <c r="I13" s="469"/>
      <c r="J13" s="469"/>
      <c r="K13" s="469"/>
      <c r="L13" s="469"/>
      <c r="M13" s="469"/>
      <c r="N13" s="469"/>
      <c r="O13" s="469"/>
      <c r="P13" s="469"/>
      <c r="Q13" s="469"/>
      <c r="R13" s="469"/>
      <c r="S13" s="469"/>
      <c r="T13" s="469"/>
      <c r="U13" s="469"/>
      <c r="V13" s="469"/>
      <c r="W13" s="469"/>
    </row>
    <row r="14">
      <c r="A14" s="487" t="s">
        <v>838</v>
      </c>
      <c r="B14" s="487" t="s">
        <v>7341</v>
      </c>
      <c r="C14" s="487" t="s">
        <v>7342</v>
      </c>
      <c r="D14" s="484"/>
      <c r="E14" s="485"/>
      <c r="F14" s="488">
        <v>627.2</v>
      </c>
      <c r="G14" s="448">
        <f>VLOOKUP(A14,Productos!$D$3:$AK811,16,FALSE())</f>
        <v>549</v>
      </c>
      <c r="H14" s="448"/>
      <c r="I14" s="469"/>
      <c r="J14" s="469"/>
      <c r="K14" s="469"/>
      <c r="L14" s="469"/>
      <c r="M14" s="469"/>
      <c r="N14" s="469"/>
      <c r="O14" s="469"/>
      <c r="P14" s="469"/>
      <c r="Q14" s="469"/>
      <c r="R14" s="469"/>
      <c r="S14" s="469"/>
      <c r="T14" s="469"/>
      <c r="U14" s="469"/>
      <c r="V14" s="469"/>
      <c r="W14" s="469"/>
    </row>
    <row r="15">
      <c r="A15" s="487" t="s">
        <v>965</v>
      </c>
      <c r="B15" s="487" t="s">
        <v>7343</v>
      </c>
      <c r="C15" s="487" t="s">
        <v>7344</v>
      </c>
      <c r="D15" s="484"/>
      <c r="E15" s="485"/>
      <c r="F15" s="488">
        <v>176.96</v>
      </c>
      <c r="G15" s="448">
        <f>VLOOKUP(A15,Productos!$D$3:$AK811,16,FALSE())</f>
        <v>154</v>
      </c>
      <c r="H15" s="448"/>
      <c r="I15" s="469"/>
      <c r="J15" s="469"/>
      <c r="K15" s="469"/>
      <c r="L15" s="469"/>
      <c r="M15" s="469"/>
      <c r="N15" s="469"/>
      <c r="O15" s="469"/>
      <c r="P15" s="469"/>
      <c r="Q15" s="469"/>
      <c r="R15" s="469"/>
      <c r="S15" s="469"/>
      <c r="T15" s="469"/>
      <c r="U15" s="469"/>
      <c r="V15" s="469"/>
      <c r="W15" s="469"/>
    </row>
    <row r="16">
      <c r="A16" s="487" t="s">
        <v>571</v>
      </c>
      <c r="B16" s="487" t="s">
        <v>7345</v>
      </c>
      <c r="C16" s="487" t="s">
        <v>7346</v>
      </c>
      <c r="D16" s="484"/>
      <c r="E16" s="485"/>
      <c r="F16" s="488">
        <v>224.0</v>
      </c>
      <c r="G16" s="448">
        <f>VLOOKUP(A16,Productos!$D$3:$AK811,16,FALSE())</f>
        <v>195</v>
      </c>
      <c r="H16" s="448"/>
      <c r="I16" s="469"/>
      <c r="J16" s="469"/>
      <c r="K16" s="469"/>
      <c r="L16" s="469"/>
      <c r="M16" s="469"/>
      <c r="N16" s="469"/>
      <c r="O16" s="469"/>
      <c r="P16" s="469"/>
      <c r="Q16" s="469"/>
      <c r="R16" s="469"/>
      <c r="S16" s="469"/>
      <c r="T16" s="469"/>
      <c r="U16" s="469"/>
      <c r="V16" s="469"/>
      <c r="W16" s="469"/>
    </row>
    <row r="17">
      <c r="A17" s="487" t="s">
        <v>475</v>
      </c>
      <c r="B17" s="487" t="s">
        <v>7347</v>
      </c>
      <c r="C17" s="487" t="s">
        <v>7348</v>
      </c>
      <c r="D17" s="484"/>
      <c r="E17" s="485"/>
      <c r="F17" s="488">
        <v>156.8</v>
      </c>
      <c r="G17" s="448">
        <f>VLOOKUP(A17,Productos!$D$3:$AK811,16,FALSE())</f>
        <v>138</v>
      </c>
      <c r="H17" s="448"/>
      <c r="I17" s="469"/>
      <c r="J17" s="469"/>
      <c r="K17" s="469"/>
      <c r="L17" s="469"/>
      <c r="M17" s="469"/>
      <c r="N17" s="469"/>
      <c r="O17" s="469"/>
      <c r="P17" s="469"/>
      <c r="Q17" s="469"/>
      <c r="R17" s="469"/>
      <c r="S17" s="469"/>
      <c r="T17" s="469"/>
      <c r="U17" s="469"/>
      <c r="V17" s="469"/>
      <c r="W17" s="469"/>
    </row>
    <row r="18">
      <c r="A18" s="487" t="s">
        <v>483</v>
      </c>
      <c r="B18" s="487" t="s">
        <v>7349</v>
      </c>
      <c r="C18" s="487" t="s">
        <v>7350</v>
      </c>
      <c r="D18" s="484"/>
      <c r="E18" s="485"/>
      <c r="F18" s="488">
        <v>147.84</v>
      </c>
      <c r="G18" s="448">
        <f>VLOOKUP(A18,Productos!$D$3:$AK811,16,FALSE())</f>
        <v>129</v>
      </c>
      <c r="H18" s="448"/>
      <c r="I18" s="469"/>
      <c r="J18" s="469"/>
      <c r="K18" s="469"/>
      <c r="L18" s="469"/>
      <c r="M18" s="469"/>
      <c r="N18" s="469"/>
      <c r="O18" s="469"/>
      <c r="P18" s="469"/>
      <c r="Q18" s="469"/>
      <c r="R18" s="469"/>
      <c r="S18" s="469"/>
      <c r="T18" s="469"/>
      <c r="U18" s="469"/>
      <c r="V18" s="469"/>
      <c r="W18" s="469"/>
    </row>
    <row r="19">
      <c r="A19" s="487" t="s">
        <v>5125</v>
      </c>
      <c r="B19" s="487" t="s">
        <v>7351</v>
      </c>
      <c r="C19" s="487" t="s">
        <v>7352</v>
      </c>
      <c r="D19" s="484"/>
      <c r="E19" s="485"/>
      <c r="F19" s="488">
        <v>183.68</v>
      </c>
      <c r="G19" s="448">
        <f>VLOOKUP(A19,Productos!$D$3:$AK811,16,FALSE())</f>
        <v>161</v>
      </c>
      <c r="H19" s="448"/>
      <c r="I19" s="469"/>
      <c r="J19" s="469"/>
      <c r="K19" s="469"/>
      <c r="L19" s="469"/>
      <c r="M19" s="469"/>
      <c r="N19" s="469"/>
      <c r="O19" s="469"/>
      <c r="P19" s="469"/>
      <c r="Q19" s="469"/>
      <c r="R19" s="469"/>
      <c r="S19" s="469"/>
      <c r="T19" s="469"/>
      <c r="U19" s="469"/>
      <c r="V19" s="469"/>
      <c r="W19" s="469"/>
    </row>
    <row r="20">
      <c r="A20" s="487" t="s">
        <v>1078</v>
      </c>
      <c r="B20" s="487" t="s">
        <v>7353</v>
      </c>
      <c r="C20" s="487" t="s">
        <v>7354</v>
      </c>
      <c r="D20" s="484"/>
      <c r="E20" s="485"/>
      <c r="F20" s="488">
        <v>496.16</v>
      </c>
      <c r="G20" s="448">
        <f>VLOOKUP(A20,Productos!$D$3:$AK811,16,FALSE())</f>
        <v>435</v>
      </c>
      <c r="H20" s="448"/>
      <c r="I20" s="469"/>
      <c r="J20" s="469"/>
      <c r="K20" s="469"/>
      <c r="L20" s="469"/>
      <c r="M20" s="469"/>
      <c r="N20" s="469"/>
      <c r="O20" s="469"/>
      <c r="P20" s="469"/>
      <c r="Q20" s="469"/>
      <c r="R20" s="469"/>
      <c r="S20" s="469"/>
      <c r="T20" s="469"/>
      <c r="U20" s="469"/>
      <c r="V20" s="469"/>
      <c r="W20" s="469"/>
    </row>
    <row r="21">
      <c r="A21" s="487" t="s">
        <v>1085</v>
      </c>
      <c r="B21" s="487" t="s">
        <v>7355</v>
      </c>
      <c r="C21" s="487" t="s">
        <v>7356</v>
      </c>
      <c r="D21" s="484"/>
      <c r="E21" s="485"/>
      <c r="F21" s="488">
        <v>2474.08</v>
      </c>
      <c r="G21" s="448">
        <f>VLOOKUP(A21,Productos!$D$3:$AK811,16,FALSE())</f>
        <v>1823</v>
      </c>
      <c r="H21" s="448"/>
      <c r="I21" s="469"/>
      <c r="J21" s="469"/>
      <c r="K21" s="469"/>
      <c r="L21" s="469"/>
      <c r="M21" s="469"/>
      <c r="N21" s="469"/>
      <c r="O21" s="469"/>
      <c r="P21" s="469"/>
      <c r="Q21" s="469"/>
      <c r="R21" s="469"/>
      <c r="S21" s="469"/>
      <c r="T21" s="469"/>
      <c r="U21" s="469"/>
      <c r="V21" s="469"/>
      <c r="W21" s="469"/>
    </row>
    <row r="22">
      <c r="A22" s="487" t="s">
        <v>1028</v>
      </c>
      <c r="B22" s="487" t="s">
        <v>7357</v>
      </c>
      <c r="C22" s="487" t="s">
        <v>7358</v>
      </c>
      <c r="D22" s="484"/>
      <c r="E22" s="485"/>
      <c r="F22" s="488">
        <v>252.0</v>
      </c>
      <c r="G22" s="448">
        <f>VLOOKUP(A22,Productos!$D$3:$AK811,16,FALSE())</f>
        <v>221</v>
      </c>
      <c r="H22" s="448"/>
      <c r="I22" s="469"/>
      <c r="J22" s="469"/>
      <c r="K22" s="469"/>
      <c r="L22" s="469"/>
      <c r="M22" s="469"/>
      <c r="N22" s="469"/>
      <c r="O22" s="469"/>
      <c r="P22" s="469"/>
      <c r="Q22" s="469"/>
      <c r="R22" s="469"/>
      <c r="S22" s="469"/>
      <c r="T22" s="469"/>
      <c r="U22" s="469"/>
      <c r="V22" s="469"/>
      <c r="W22" s="469"/>
    </row>
    <row r="23">
      <c r="A23" s="487" t="s">
        <v>1972</v>
      </c>
      <c r="B23" s="487" t="s">
        <v>7359</v>
      </c>
      <c r="C23" s="487" t="s">
        <v>7360</v>
      </c>
      <c r="D23" s="484"/>
      <c r="E23" s="485"/>
      <c r="F23" s="488">
        <v>23797.76</v>
      </c>
      <c r="G23" s="448">
        <f>VLOOKUP(A23,Productos!$D$3:$AK811,16,FALSE())</f>
        <v>20850</v>
      </c>
      <c r="H23" s="448"/>
      <c r="I23" s="469"/>
      <c r="J23" s="469"/>
      <c r="K23" s="469"/>
      <c r="L23" s="469"/>
      <c r="M23" s="469"/>
      <c r="N23" s="469"/>
      <c r="O23" s="469"/>
      <c r="P23" s="469"/>
      <c r="Q23" s="469"/>
      <c r="R23" s="469"/>
      <c r="S23" s="469"/>
      <c r="T23" s="469"/>
      <c r="U23" s="469"/>
      <c r="V23" s="469"/>
      <c r="W23" s="469"/>
    </row>
    <row r="24">
      <c r="A24" s="487" t="s">
        <v>439</v>
      </c>
      <c r="B24" s="487" t="s">
        <v>7361</v>
      </c>
      <c r="C24" s="487" t="s">
        <v>7362</v>
      </c>
      <c r="D24" s="484"/>
      <c r="E24" s="485"/>
      <c r="F24" s="490"/>
      <c r="G24" s="448">
        <f>VLOOKUP(A24,Productos!$D$3:$AK811,16,FALSE())</f>
        <v>10746</v>
      </c>
      <c r="H24" s="448"/>
      <c r="I24" s="469"/>
      <c r="J24" s="469"/>
      <c r="K24" s="469"/>
      <c r="L24" s="469"/>
      <c r="M24" s="469"/>
      <c r="N24" s="469"/>
      <c r="O24" s="469"/>
      <c r="P24" s="469"/>
      <c r="Q24" s="469"/>
      <c r="R24" s="469"/>
      <c r="S24" s="469"/>
      <c r="T24" s="469"/>
      <c r="U24" s="469"/>
      <c r="V24" s="469"/>
      <c r="W24" s="469"/>
    </row>
    <row r="25">
      <c r="A25" s="487" t="s">
        <v>450</v>
      </c>
      <c r="B25" s="487" t="s">
        <v>7363</v>
      </c>
      <c r="C25" s="487" t="s">
        <v>7364</v>
      </c>
      <c r="D25" s="484"/>
      <c r="E25" s="485"/>
      <c r="F25" s="488">
        <v>10438.4</v>
      </c>
      <c r="G25" s="448">
        <f>VLOOKUP(A25,Productos!$D$3:$AK811,16,FALSE())</f>
        <v>9144</v>
      </c>
      <c r="H25" s="448"/>
      <c r="I25" s="469"/>
      <c r="J25" s="469"/>
      <c r="K25" s="469"/>
      <c r="L25" s="469"/>
      <c r="M25" s="469"/>
      <c r="N25" s="469"/>
      <c r="O25" s="469"/>
      <c r="P25" s="469"/>
      <c r="Q25" s="469"/>
      <c r="R25" s="469"/>
      <c r="S25" s="469"/>
      <c r="T25" s="469"/>
      <c r="U25" s="469"/>
      <c r="V25" s="469"/>
      <c r="W25" s="469"/>
    </row>
    <row r="26">
      <c r="A26" s="487" t="s">
        <v>1001</v>
      </c>
      <c r="B26" s="487" t="s">
        <v>7365</v>
      </c>
      <c r="C26" s="487" t="s">
        <v>7366</v>
      </c>
      <c r="D26" s="484"/>
      <c r="E26" s="485"/>
      <c r="F26" s="488">
        <v>3861.76</v>
      </c>
      <c r="G26" s="448">
        <f>VLOOKUP(A26,Productos!$D$3:$AK811,16,FALSE())</f>
        <v>3384</v>
      </c>
      <c r="H26" s="448"/>
      <c r="I26" s="469"/>
      <c r="J26" s="469"/>
      <c r="K26" s="469"/>
      <c r="L26" s="469"/>
      <c r="M26" s="469"/>
      <c r="N26" s="469"/>
      <c r="O26" s="469"/>
      <c r="P26" s="469"/>
      <c r="Q26" s="469"/>
      <c r="R26" s="469"/>
      <c r="S26" s="469"/>
      <c r="T26" s="469"/>
      <c r="U26" s="469"/>
      <c r="V26" s="469"/>
      <c r="W26" s="469"/>
    </row>
    <row r="27">
      <c r="A27" s="487" t="s">
        <v>987</v>
      </c>
      <c r="B27" s="487" t="s">
        <v>7367</v>
      </c>
      <c r="C27" s="487" t="s">
        <v>7368</v>
      </c>
      <c r="D27" s="484"/>
      <c r="E27" s="485"/>
      <c r="F27" s="488">
        <v>188.16</v>
      </c>
      <c r="G27" s="448">
        <f>VLOOKUP(A27,Productos!$D$3:$AK811,16,FALSE())</f>
        <v>169</v>
      </c>
      <c r="H27" s="448"/>
      <c r="I27" s="469"/>
      <c r="J27" s="469"/>
      <c r="K27" s="469"/>
      <c r="L27" s="469"/>
      <c r="M27" s="469"/>
      <c r="N27" s="469"/>
      <c r="O27" s="469"/>
      <c r="P27" s="469"/>
      <c r="Q27" s="469"/>
      <c r="R27" s="469"/>
      <c r="S27" s="469"/>
      <c r="T27" s="469"/>
      <c r="U27" s="469"/>
      <c r="V27" s="469"/>
      <c r="W27" s="469"/>
    </row>
    <row r="28">
      <c r="A28" s="487" t="s">
        <v>780</v>
      </c>
      <c r="B28" s="487" t="s">
        <v>7369</v>
      </c>
      <c r="C28" s="487" t="s">
        <v>7370</v>
      </c>
      <c r="D28" s="484"/>
      <c r="E28" s="485"/>
      <c r="F28" s="488">
        <v>888.16</v>
      </c>
      <c r="G28" s="448">
        <f>VLOOKUP(A28,Productos!$D$3:$AK811,16,FALSE())</f>
        <v>778</v>
      </c>
      <c r="H28" s="448"/>
      <c r="I28" s="469"/>
      <c r="J28" s="469"/>
      <c r="K28" s="469"/>
      <c r="L28" s="469"/>
      <c r="M28" s="469"/>
      <c r="N28" s="469"/>
      <c r="O28" s="469"/>
      <c r="P28" s="469"/>
      <c r="Q28" s="469"/>
      <c r="R28" s="469"/>
      <c r="S28" s="469"/>
      <c r="T28" s="469"/>
      <c r="U28" s="469"/>
      <c r="V28" s="469"/>
      <c r="W28" s="469"/>
    </row>
    <row r="29">
      <c r="A29" s="487" t="s">
        <v>824</v>
      </c>
      <c r="B29" s="487" t="s">
        <v>825</v>
      </c>
      <c r="C29" s="487" t="s">
        <v>7371</v>
      </c>
      <c r="D29" s="484"/>
      <c r="E29" s="485"/>
      <c r="F29" s="488">
        <v>145.6</v>
      </c>
      <c r="G29" s="448">
        <f>VLOOKUP(A29,Productos!$D$3:$AK811,16,FALSE())</f>
        <v>190</v>
      </c>
      <c r="H29" s="448"/>
      <c r="I29" s="469"/>
      <c r="J29" s="469"/>
      <c r="K29" s="469"/>
      <c r="L29" s="469"/>
      <c r="M29" s="469"/>
      <c r="N29" s="469"/>
      <c r="O29" s="469"/>
      <c r="P29" s="469"/>
      <c r="Q29" s="469"/>
      <c r="R29" s="469"/>
      <c r="S29" s="469"/>
      <c r="T29" s="469"/>
      <c r="U29" s="469"/>
      <c r="V29" s="469"/>
      <c r="W29" s="469"/>
    </row>
    <row r="30">
      <c r="A30" s="487" t="s">
        <v>840</v>
      </c>
      <c r="B30" s="487" t="s">
        <v>7372</v>
      </c>
      <c r="C30" s="487" t="s">
        <v>7373</v>
      </c>
      <c r="D30" s="484"/>
      <c r="E30" s="485"/>
      <c r="F30" s="488">
        <v>1226.4</v>
      </c>
      <c r="G30" s="448">
        <f>VLOOKUP(A30,Productos!$D$3:$AK811,16,FALSE())</f>
        <v>420</v>
      </c>
      <c r="H30" s="448"/>
      <c r="I30" s="469"/>
      <c r="J30" s="469"/>
      <c r="K30" s="469"/>
      <c r="L30" s="469"/>
      <c r="M30" s="469"/>
      <c r="N30" s="469"/>
      <c r="O30" s="469"/>
      <c r="P30" s="469"/>
      <c r="Q30" s="469"/>
      <c r="R30" s="469"/>
      <c r="S30" s="469"/>
      <c r="T30" s="469"/>
      <c r="U30" s="469"/>
      <c r="V30" s="469"/>
      <c r="W30" s="469"/>
    </row>
    <row r="31">
      <c r="A31" s="487" t="s">
        <v>860</v>
      </c>
      <c r="B31" s="487" t="s">
        <v>7374</v>
      </c>
      <c r="C31" s="487" t="s">
        <v>7375</v>
      </c>
      <c r="D31" s="484"/>
      <c r="E31" s="485"/>
      <c r="F31" s="488">
        <v>2583.84</v>
      </c>
      <c r="G31" s="448">
        <f>VLOOKUP(A31,Productos!$D$3:$AK811,16,FALSE())</f>
        <v>2264</v>
      </c>
      <c r="H31" s="448"/>
      <c r="I31" s="469"/>
      <c r="J31" s="469"/>
      <c r="K31" s="469"/>
      <c r="L31" s="469"/>
      <c r="M31" s="469"/>
      <c r="N31" s="469"/>
      <c r="O31" s="469"/>
      <c r="P31" s="469"/>
      <c r="Q31" s="469"/>
      <c r="R31" s="469"/>
      <c r="S31" s="469"/>
      <c r="T31" s="469"/>
      <c r="U31" s="469"/>
      <c r="V31" s="469"/>
      <c r="W31" s="469"/>
    </row>
    <row r="32">
      <c r="A32" s="487" t="s">
        <v>816</v>
      </c>
      <c r="B32" s="487" t="s">
        <v>7376</v>
      </c>
      <c r="C32" s="487" t="s">
        <v>7377</v>
      </c>
      <c r="D32" s="484"/>
      <c r="E32" s="485"/>
      <c r="F32" s="488">
        <v>992.32</v>
      </c>
      <c r="G32" s="448">
        <f>VLOOKUP(A32,Productos!$D$3:$AK811,16,FALSE())</f>
        <v>869</v>
      </c>
      <c r="H32" s="448"/>
      <c r="I32" s="469"/>
      <c r="J32" s="469"/>
      <c r="K32" s="469"/>
      <c r="L32" s="469"/>
      <c r="M32" s="469"/>
      <c r="N32" s="469"/>
      <c r="O32" s="469"/>
      <c r="P32" s="469"/>
      <c r="Q32" s="469"/>
      <c r="R32" s="469"/>
      <c r="S32" s="469"/>
      <c r="T32" s="469"/>
      <c r="U32" s="469"/>
      <c r="V32" s="469"/>
      <c r="W32" s="469"/>
    </row>
    <row r="33">
      <c r="A33" s="487" t="s">
        <v>1018</v>
      </c>
      <c r="B33" s="487" t="s">
        <v>7378</v>
      </c>
      <c r="C33" s="487" t="s">
        <v>7379</v>
      </c>
      <c r="D33" s="484"/>
      <c r="E33" s="485"/>
      <c r="F33" s="488">
        <v>172.48</v>
      </c>
      <c r="G33" s="448">
        <f>VLOOKUP(A33,Productos!$D$3:$AK811,16,FALSE())</f>
        <v>151</v>
      </c>
      <c r="H33" s="448"/>
      <c r="I33" s="469"/>
      <c r="J33" s="469"/>
      <c r="K33" s="469"/>
      <c r="L33" s="469"/>
      <c r="M33" s="469"/>
      <c r="N33" s="469"/>
      <c r="O33" s="469"/>
      <c r="P33" s="469"/>
      <c r="Q33" s="469"/>
      <c r="R33" s="469"/>
      <c r="S33" s="469"/>
      <c r="T33" s="469"/>
      <c r="U33" s="469"/>
      <c r="V33" s="469"/>
      <c r="W33" s="469"/>
    </row>
    <row r="34">
      <c r="A34" s="487" t="s">
        <v>1012</v>
      </c>
      <c r="B34" s="487" t="s">
        <v>7380</v>
      </c>
      <c r="C34" s="487" t="s">
        <v>7381</v>
      </c>
      <c r="D34" s="484"/>
      <c r="E34" s="485"/>
      <c r="F34" s="488">
        <v>168.0</v>
      </c>
      <c r="G34" s="448">
        <f>VLOOKUP(A34,Productos!$D$3:$AK811,16,FALSE())</f>
        <v>147</v>
      </c>
      <c r="H34" s="448"/>
      <c r="I34" s="469"/>
      <c r="J34" s="469"/>
      <c r="K34" s="469"/>
      <c r="L34" s="469"/>
      <c r="M34" s="469"/>
      <c r="N34" s="469"/>
      <c r="O34" s="469"/>
      <c r="P34" s="469"/>
      <c r="Q34" s="469"/>
      <c r="R34" s="469"/>
      <c r="S34" s="469"/>
      <c r="T34" s="469"/>
      <c r="U34" s="469"/>
      <c r="V34" s="469"/>
      <c r="W34" s="469"/>
    </row>
    <row r="35">
      <c r="A35" s="487" t="s">
        <v>1015</v>
      </c>
      <c r="B35" s="487" t="s">
        <v>7382</v>
      </c>
      <c r="C35" s="487" t="s">
        <v>7383</v>
      </c>
      <c r="D35" s="484"/>
      <c r="E35" s="485"/>
      <c r="F35" s="488">
        <v>189.28</v>
      </c>
      <c r="G35" s="448">
        <f>VLOOKUP(A35,Productos!$D$3:$AK811,16,FALSE())</f>
        <v>166</v>
      </c>
      <c r="H35" s="448"/>
      <c r="I35" s="469"/>
      <c r="J35" s="469"/>
      <c r="K35" s="469"/>
      <c r="L35" s="469"/>
      <c r="M35" s="469"/>
      <c r="N35" s="469"/>
      <c r="O35" s="469"/>
      <c r="P35" s="469"/>
      <c r="Q35" s="469"/>
      <c r="R35" s="469"/>
      <c r="S35" s="469"/>
      <c r="T35" s="469"/>
      <c r="U35" s="469"/>
      <c r="V35" s="469"/>
      <c r="W35" s="469"/>
    </row>
    <row r="36">
      <c r="A36" s="487" t="s">
        <v>4095</v>
      </c>
      <c r="B36" s="487" t="s">
        <v>7384</v>
      </c>
      <c r="C36" s="487" t="s">
        <v>7385</v>
      </c>
      <c r="D36" s="484"/>
      <c r="E36" s="485"/>
      <c r="F36" s="488">
        <v>655.2</v>
      </c>
      <c r="G36" s="448">
        <f>VLOOKUP(A36,Productos!$D$3:$AK811,16,FALSE())</f>
        <v>573</v>
      </c>
      <c r="H36" s="448"/>
      <c r="I36" s="469"/>
      <c r="J36" s="469"/>
      <c r="K36" s="469"/>
      <c r="L36" s="469"/>
      <c r="M36" s="469"/>
      <c r="N36" s="469"/>
      <c r="O36" s="469"/>
      <c r="P36" s="469"/>
      <c r="Q36" s="469"/>
      <c r="R36" s="469"/>
      <c r="S36" s="469"/>
      <c r="T36" s="469"/>
      <c r="U36" s="469"/>
      <c r="V36" s="469"/>
      <c r="W36" s="469"/>
    </row>
    <row r="37">
      <c r="A37" s="487" t="s">
        <v>4097</v>
      </c>
      <c r="B37" s="489" t="s">
        <v>4098</v>
      </c>
      <c r="C37" s="489" t="s">
        <v>7386</v>
      </c>
      <c r="D37" s="484"/>
      <c r="E37" s="485"/>
      <c r="F37" s="488">
        <v>3773.28</v>
      </c>
      <c r="G37" s="448">
        <f>VLOOKUP(A37,Productos!$D$3:$AK811,16,FALSE())</f>
        <v>3306</v>
      </c>
      <c r="H37" s="448"/>
      <c r="I37" s="469"/>
      <c r="J37" s="469"/>
      <c r="K37" s="469"/>
      <c r="L37" s="469"/>
      <c r="M37" s="469"/>
      <c r="N37" s="469"/>
      <c r="O37" s="469"/>
      <c r="P37" s="469"/>
      <c r="Q37" s="469"/>
      <c r="R37" s="469"/>
      <c r="S37" s="469"/>
      <c r="T37" s="469"/>
      <c r="U37" s="469"/>
      <c r="V37" s="469"/>
      <c r="W37" s="469"/>
    </row>
    <row r="38">
      <c r="A38" s="487" t="s">
        <v>947</v>
      </c>
      <c r="B38" s="487" t="s">
        <v>7387</v>
      </c>
      <c r="C38" s="487" t="s">
        <v>7388</v>
      </c>
      <c r="D38" s="484"/>
      <c r="E38" s="485"/>
      <c r="F38" s="488">
        <v>1837.92</v>
      </c>
      <c r="G38" s="448">
        <f>VLOOKUP(A38,Productos!$D$3:$AK811,16,FALSE())</f>
        <v>1610</v>
      </c>
      <c r="H38" s="448"/>
      <c r="I38" s="469"/>
      <c r="J38" s="469"/>
      <c r="K38" s="469"/>
      <c r="L38" s="469"/>
      <c r="M38" s="469"/>
      <c r="N38" s="469"/>
      <c r="O38" s="469"/>
      <c r="P38" s="469"/>
      <c r="Q38" s="469"/>
      <c r="R38" s="469"/>
      <c r="S38" s="469"/>
      <c r="T38" s="469"/>
      <c r="U38" s="469"/>
      <c r="V38" s="469"/>
      <c r="W38" s="469"/>
    </row>
    <row r="39">
      <c r="A39" s="487" t="s">
        <v>1024</v>
      </c>
      <c r="B39" s="487" t="s">
        <v>7389</v>
      </c>
      <c r="C39" s="487" t="s">
        <v>7390</v>
      </c>
      <c r="D39" s="484"/>
      <c r="E39" s="485"/>
      <c r="F39" s="488">
        <v>639.52</v>
      </c>
      <c r="G39" s="448">
        <f>VLOOKUP(A39,Productos!$D$3:$AK811,16,FALSE())</f>
        <v>561</v>
      </c>
      <c r="H39" s="448"/>
      <c r="I39" s="469"/>
      <c r="J39" s="469"/>
      <c r="K39" s="469"/>
      <c r="L39" s="469"/>
      <c r="M39" s="469"/>
      <c r="N39" s="469"/>
      <c r="O39" s="469"/>
      <c r="P39" s="469"/>
      <c r="Q39" s="469"/>
      <c r="R39" s="469"/>
      <c r="S39" s="469"/>
      <c r="T39" s="469"/>
      <c r="U39" s="469"/>
      <c r="V39" s="469"/>
      <c r="W39" s="469"/>
    </row>
    <row r="40">
      <c r="A40" s="487" t="s">
        <v>1597</v>
      </c>
      <c r="B40" s="487" t="s">
        <v>7391</v>
      </c>
      <c r="C40" s="487" t="s">
        <v>7392</v>
      </c>
      <c r="D40" s="484"/>
      <c r="E40" s="485"/>
      <c r="F40" s="488">
        <v>395.36</v>
      </c>
      <c r="G40" s="448">
        <f>VLOOKUP(A40,Productos!$D$3:$AK811,16,FALSE())</f>
        <v>357</v>
      </c>
      <c r="H40" s="448"/>
      <c r="I40" s="469"/>
      <c r="J40" s="469"/>
      <c r="K40" s="469"/>
      <c r="L40" s="469"/>
      <c r="M40" s="469"/>
      <c r="N40" s="469"/>
      <c r="O40" s="469"/>
      <c r="P40" s="469"/>
      <c r="Q40" s="469"/>
      <c r="R40" s="469"/>
      <c r="S40" s="469"/>
      <c r="T40" s="469"/>
      <c r="U40" s="469"/>
      <c r="V40" s="469"/>
      <c r="W40" s="469"/>
    </row>
    <row r="41">
      <c r="A41" s="487" t="s">
        <v>1534</v>
      </c>
      <c r="B41" s="487" t="s">
        <v>7393</v>
      </c>
      <c r="C41" s="487" t="s">
        <v>7394</v>
      </c>
      <c r="D41" s="484"/>
      <c r="E41" s="485"/>
      <c r="F41" s="488">
        <v>120.96</v>
      </c>
      <c r="G41" s="448">
        <f>VLOOKUP(A41,Productos!$D$3:$AK811,16,FALSE())</f>
        <v>109</v>
      </c>
      <c r="H41" s="448"/>
      <c r="I41" s="469"/>
      <c r="J41" s="469"/>
      <c r="K41" s="469"/>
      <c r="L41" s="469"/>
      <c r="M41" s="469"/>
      <c r="N41" s="469"/>
      <c r="O41" s="469"/>
      <c r="P41" s="469"/>
      <c r="Q41" s="469"/>
      <c r="R41" s="469"/>
      <c r="S41" s="469"/>
      <c r="T41" s="469"/>
      <c r="U41" s="469"/>
      <c r="V41" s="469"/>
      <c r="W41" s="469"/>
    </row>
    <row r="42">
      <c r="A42" s="487" t="s">
        <v>1536</v>
      </c>
      <c r="B42" s="487" t="s">
        <v>7395</v>
      </c>
      <c r="C42" s="487" t="s">
        <v>7396</v>
      </c>
      <c r="D42" s="484"/>
      <c r="E42" s="485"/>
      <c r="F42" s="488">
        <v>145.6</v>
      </c>
      <c r="G42" s="448">
        <f>VLOOKUP(A42,Productos!$D$3:$AK811,16,FALSE())</f>
        <v>131</v>
      </c>
      <c r="H42" s="448"/>
      <c r="I42" s="469"/>
      <c r="J42" s="469"/>
      <c r="K42" s="469"/>
      <c r="L42" s="469"/>
      <c r="M42" s="469"/>
      <c r="N42" s="469"/>
      <c r="O42" s="469"/>
      <c r="P42" s="469"/>
      <c r="Q42" s="469"/>
      <c r="R42" s="469"/>
      <c r="S42" s="469"/>
      <c r="T42" s="469"/>
      <c r="U42" s="469"/>
      <c r="V42" s="469"/>
      <c r="W42" s="469"/>
    </row>
    <row r="43">
      <c r="A43" s="487" t="s">
        <v>1460</v>
      </c>
      <c r="B43" s="487" t="s">
        <v>7397</v>
      </c>
      <c r="C43" s="487" t="s">
        <v>7398</v>
      </c>
      <c r="D43" s="484"/>
      <c r="E43" s="485"/>
      <c r="F43" s="488">
        <v>484.96</v>
      </c>
      <c r="G43" s="448">
        <f>VLOOKUP(A43,Productos!$D$3:$AK811,16,FALSE())</f>
        <v>425</v>
      </c>
      <c r="H43" s="448"/>
      <c r="I43" s="469"/>
      <c r="J43" s="469"/>
      <c r="K43" s="469"/>
      <c r="L43" s="469"/>
      <c r="M43" s="469"/>
      <c r="N43" s="469"/>
      <c r="O43" s="469"/>
      <c r="P43" s="469"/>
      <c r="Q43" s="469"/>
      <c r="R43" s="469"/>
      <c r="S43" s="469"/>
      <c r="T43" s="469"/>
      <c r="U43" s="469"/>
      <c r="V43" s="469"/>
      <c r="W43" s="469"/>
    </row>
    <row r="44">
      <c r="A44" s="487" t="s">
        <v>1328</v>
      </c>
      <c r="B44" s="487" t="s">
        <v>7399</v>
      </c>
      <c r="C44" s="487" t="s">
        <v>7400</v>
      </c>
      <c r="D44" s="484"/>
      <c r="E44" s="485"/>
      <c r="F44" s="488">
        <v>76.16</v>
      </c>
      <c r="G44" s="448">
        <f>VLOOKUP(A44,Productos!$D$3:$AK811,16,FALSE())</f>
        <v>66</v>
      </c>
      <c r="H44" s="448"/>
      <c r="I44" s="469"/>
      <c r="J44" s="469"/>
      <c r="K44" s="469"/>
      <c r="L44" s="469"/>
      <c r="M44" s="469"/>
      <c r="N44" s="469"/>
      <c r="O44" s="469"/>
      <c r="P44" s="469"/>
      <c r="Q44" s="469"/>
      <c r="R44" s="469"/>
      <c r="S44" s="469"/>
      <c r="T44" s="469"/>
      <c r="U44" s="469"/>
      <c r="V44" s="469"/>
      <c r="W44" s="469"/>
    </row>
    <row r="45">
      <c r="A45" s="487" t="s">
        <v>1330</v>
      </c>
      <c r="B45" s="487" t="s">
        <v>7401</v>
      </c>
      <c r="C45" s="487" t="s">
        <v>7402</v>
      </c>
      <c r="D45" s="484"/>
      <c r="E45" s="485"/>
      <c r="F45" s="488">
        <v>82.88</v>
      </c>
      <c r="G45" s="448">
        <f>VLOOKUP(A45,Productos!$D$3:$AK811,16,FALSE())</f>
        <v>72</v>
      </c>
      <c r="H45" s="448"/>
      <c r="I45" s="469"/>
      <c r="J45" s="469"/>
      <c r="K45" s="469"/>
      <c r="L45" s="469"/>
      <c r="M45" s="469"/>
      <c r="N45" s="469"/>
      <c r="O45" s="469"/>
      <c r="P45" s="469"/>
      <c r="Q45" s="469"/>
      <c r="R45" s="469"/>
      <c r="S45" s="469"/>
      <c r="T45" s="469"/>
      <c r="U45" s="469"/>
      <c r="V45" s="469"/>
      <c r="W45" s="469"/>
    </row>
    <row r="46">
      <c r="A46" s="487" t="s">
        <v>1607</v>
      </c>
      <c r="B46" s="487" t="s">
        <v>7403</v>
      </c>
      <c r="C46" s="487" t="s">
        <v>7404</v>
      </c>
      <c r="D46" s="484"/>
      <c r="E46" s="485"/>
      <c r="F46" s="488">
        <v>446.88</v>
      </c>
      <c r="G46" s="448">
        <f>VLOOKUP(A46,Productos!$D$3:$AK811,16,FALSE())</f>
        <v>392</v>
      </c>
      <c r="H46" s="448"/>
      <c r="I46" s="469"/>
      <c r="J46" s="469"/>
      <c r="K46" s="469"/>
      <c r="L46" s="469"/>
      <c r="M46" s="469"/>
      <c r="N46" s="469"/>
      <c r="O46" s="469"/>
      <c r="P46" s="469"/>
      <c r="Q46" s="469"/>
      <c r="R46" s="469"/>
      <c r="S46" s="469"/>
      <c r="T46" s="469"/>
      <c r="U46" s="469"/>
      <c r="V46" s="469"/>
      <c r="W46" s="469"/>
    </row>
    <row r="47">
      <c r="A47" s="487" t="s">
        <v>1450</v>
      </c>
      <c r="B47" s="487" t="s">
        <v>7405</v>
      </c>
      <c r="C47" s="487" t="s">
        <v>7406</v>
      </c>
      <c r="D47" s="484"/>
      <c r="E47" s="485"/>
      <c r="F47" s="488">
        <v>258.72</v>
      </c>
      <c r="G47" s="448">
        <f>VLOOKUP(A47,Productos!$D$3:$AK811,16,FALSE())</f>
        <v>233</v>
      </c>
      <c r="H47" s="448"/>
      <c r="I47" s="469"/>
      <c r="J47" s="469"/>
      <c r="K47" s="469"/>
      <c r="L47" s="469"/>
      <c r="M47" s="469"/>
      <c r="N47" s="469"/>
      <c r="O47" s="469"/>
      <c r="P47" s="469"/>
      <c r="Q47" s="469"/>
      <c r="R47" s="469"/>
      <c r="S47" s="469"/>
      <c r="T47" s="469"/>
      <c r="U47" s="469"/>
      <c r="V47" s="469"/>
      <c r="W47" s="469"/>
    </row>
    <row r="48">
      <c r="A48" s="487" t="s">
        <v>7407</v>
      </c>
      <c r="B48" s="487" t="s">
        <v>7408</v>
      </c>
      <c r="C48" s="487" t="s">
        <v>7409</v>
      </c>
      <c r="D48" s="484"/>
      <c r="E48" s="485"/>
      <c r="F48" s="490"/>
      <c r="G48" s="448" t="str">
        <f>VLOOKUP(A48,Productos!$D$3:$AK811,16,FALSE())</f>
        <v>#N/A</v>
      </c>
      <c r="H48" s="448"/>
      <c r="I48" s="469"/>
      <c r="J48" s="469"/>
      <c r="K48" s="469"/>
      <c r="L48" s="469"/>
      <c r="M48" s="469"/>
      <c r="N48" s="469"/>
      <c r="O48" s="469"/>
      <c r="P48" s="469"/>
      <c r="Q48" s="469"/>
      <c r="R48" s="469"/>
      <c r="S48" s="469"/>
      <c r="T48" s="469"/>
      <c r="U48" s="469"/>
      <c r="V48" s="469"/>
      <c r="W48" s="469"/>
    </row>
    <row r="49">
      <c r="A49" s="487" t="s">
        <v>1318</v>
      </c>
      <c r="B49" s="487" t="s">
        <v>7410</v>
      </c>
      <c r="C49" s="487" t="s">
        <v>7411</v>
      </c>
      <c r="D49" s="484"/>
      <c r="E49" s="485"/>
      <c r="F49" s="488">
        <v>1756.16</v>
      </c>
      <c r="G49" s="448">
        <f>VLOOKUP(A49,Productos!$D$3:$AK811,16,FALSE())</f>
        <v>1538</v>
      </c>
      <c r="H49" s="448"/>
      <c r="I49" s="469"/>
      <c r="J49" s="469"/>
      <c r="K49" s="469"/>
      <c r="L49" s="469"/>
      <c r="M49" s="469"/>
      <c r="N49" s="469"/>
      <c r="O49" s="469"/>
      <c r="P49" s="469"/>
      <c r="Q49" s="469"/>
      <c r="R49" s="469"/>
      <c r="S49" s="469"/>
      <c r="T49" s="469"/>
      <c r="U49" s="469"/>
      <c r="V49" s="469"/>
      <c r="W49" s="469"/>
    </row>
    <row r="50">
      <c r="A50" s="487" t="s">
        <v>1426</v>
      </c>
      <c r="B50" s="487" t="s">
        <v>7412</v>
      </c>
      <c r="C50" s="487" t="s">
        <v>7413</v>
      </c>
      <c r="D50" s="484"/>
      <c r="E50" s="485"/>
      <c r="F50" s="488">
        <v>213.92</v>
      </c>
      <c r="G50" s="448">
        <f>VLOOKUP(A50,Productos!$D$3:$AK811,16,FALSE())</f>
        <v>193</v>
      </c>
      <c r="H50" s="448"/>
      <c r="I50" s="469"/>
      <c r="J50" s="469"/>
      <c r="K50" s="469"/>
      <c r="L50" s="469"/>
      <c r="M50" s="469"/>
      <c r="N50" s="469"/>
      <c r="O50" s="469"/>
      <c r="P50" s="469"/>
      <c r="Q50" s="469"/>
      <c r="R50" s="469"/>
      <c r="S50" s="469"/>
      <c r="T50" s="469"/>
      <c r="U50" s="469"/>
      <c r="V50" s="469"/>
      <c r="W50" s="469"/>
    </row>
    <row r="51">
      <c r="A51" s="487" t="s">
        <v>1442</v>
      </c>
      <c r="B51" s="487" t="s">
        <v>7414</v>
      </c>
      <c r="C51" s="487" t="s">
        <v>7415</v>
      </c>
      <c r="D51" s="484"/>
      <c r="E51" s="485"/>
      <c r="F51" s="488">
        <v>213.92</v>
      </c>
      <c r="G51" s="448">
        <f>VLOOKUP(A51,Productos!$D$3:$AK811,16,FALSE())</f>
        <v>193</v>
      </c>
      <c r="H51" s="448"/>
      <c r="I51" s="469"/>
      <c r="J51" s="469"/>
      <c r="K51" s="469"/>
      <c r="L51" s="469"/>
      <c r="M51" s="469"/>
      <c r="N51" s="469"/>
      <c r="O51" s="469"/>
      <c r="P51" s="469"/>
      <c r="Q51" s="469"/>
      <c r="R51" s="469"/>
      <c r="S51" s="469"/>
      <c r="T51" s="469"/>
      <c r="U51" s="469"/>
      <c r="V51" s="469"/>
      <c r="W51" s="469"/>
    </row>
    <row r="52">
      <c r="A52" s="487" t="s">
        <v>1526</v>
      </c>
      <c r="B52" s="487" t="s">
        <v>7416</v>
      </c>
      <c r="C52" s="487" t="s">
        <v>7417</v>
      </c>
      <c r="D52" s="484"/>
      <c r="E52" s="485"/>
      <c r="F52" s="488">
        <v>228.48</v>
      </c>
      <c r="G52" s="448">
        <f>VLOOKUP(A52,Productos!$D$3:$AK811,16,FALSE())</f>
        <v>206</v>
      </c>
      <c r="H52" s="448"/>
      <c r="I52" s="469"/>
      <c r="J52" s="469"/>
      <c r="K52" s="469"/>
      <c r="L52" s="469"/>
      <c r="M52" s="469"/>
      <c r="N52" s="469"/>
      <c r="O52" s="469"/>
      <c r="P52" s="469"/>
      <c r="Q52" s="469"/>
      <c r="R52" s="469"/>
      <c r="S52" s="469"/>
      <c r="T52" s="469"/>
      <c r="U52" s="469"/>
      <c r="V52" s="469"/>
      <c r="W52" s="469"/>
    </row>
    <row r="53">
      <c r="A53" s="487" t="s">
        <v>1586</v>
      </c>
      <c r="B53" s="487" t="s">
        <v>7418</v>
      </c>
      <c r="C53" s="487" t="s">
        <v>7419</v>
      </c>
      <c r="D53" s="484"/>
      <c r="E53" s="485"/>
      <c r="F53" s="488">
        <v>1731.52</v>
      </c>
      <c r="G53" s="448">
        <f>VLOOKUP(A53,Productos!$D$3:$AK811,16,FALSE())</f>
        <v>1559</v>
      </c>
      <c r="H53" s="448"/>
      <c r="I53" s="469"/>
      <c r="J53" s="469"/>
      <c r="K53" s="469"/>
      <c r="L53" s="469"/>
      <c r="M53" s="469"/>
      <c r="N53" s="469"/>
      <c r="O53" s="469"/>
      <c r="P53" s="469"/>
      <c r="Q53" s="469"/>
      <c r="R53" s="469"/>
      <c r="S53" s="469"/>
      <c r="T53" s="469"/>
      <c r="U53" s="469"/>
      <c r="V53" s="469"/>
      <c r="W53" s="469"/>
    </row>
    <row r="54">
      <c r="A54" s="487" t="s">
        <v>1179</v>
      </c>
      <c r="B54" s="487" t="s">
        <v>7420</v>
      </c>
      <c r="C54" s="487" t="s">
        <v>7421</v>
      </c>
      <c r="D54" s="484"/>
      <c r="E54" s="485"/>
      <c r="F54" s="488">
        <v>235.2</v>
      </c>
      <c r="G54" s="448">
        <f>VLOOKUP(A54,Productos!$D$3:$AK811,16,FALSE())</f>
        <v>207</v>
      </c>
      <c r="H54" s="448"/>
      <c r="I54" s="469"/>
      <c r="J54" s="469"/>
      <c r="K54" s="469"/>
      <c r="L54" s="469"/>
      <c r="M54" s="469"/>
      <c r="N54" s="469"/>
      <c r="O54" s="469"/>
      <c r="P54" s="469"/>
      <c r="Q54" s="469"/>
      <c r="R54" s="469"/>
      <c r="S54" s="469"/>
      <c r="T54" s="469"/>
      <c r="U54" s="469"/>
      <c r="V54" s="469"/>
      <c r="W54" s="469"/>
    </row>
    <row r="55">
      <c r="A55" s="487" t="s">
        <v>7422</v>
      </c>
      <c r="B55" s="487" t="s">
        <v>7423</v>
      </c>
      <c r="C55" s="487" t="s">
        <v>7424</v>
      </c>
      <c r="D55" s="484"/>
      <c r="E55" s="485"/>
      <c r="F55" s="490"/>
      <c r="G55" s="448" t="str">
        <f>VLOOKUP(A55,Productos!$D$3:$AK811,16,FALSE())</f>
        <v>#N/A</v>
      </c>
      <c r="H55" s="448"/>
      <c r="I55" s="469"/>
      <c r="J55" s="469"/>
      <c r="K55" s="469"/>
      <c r="L55" s="469"/>
      <c r="M55" s="469"/>
      <c r="N55" s="469"/>
      <c r="O55" s="469"/>
      <c r="P55" s="469"/>
      <c r="Q55" s="469"/>
      <c r="R55" s="469"/>
      <c r="S55" s="469"/>
      <c r="T55" s="469"/>
      <c r="U55" s="469"/>
      <c r="V55" s="469"/>
      <c r="W55" s="469"/>
    </row>
    <row r="56">
      <c r="A56" s="487" t="s">
        <v>1183</v>
      </c>
      <c r="B56" s="487" t="s">
        <v>7425</v>
      </c>
      <c r="C56" s="487" t="s">
        <v>7426</v>
      </c>
      <c r="D56" s="484"/>
      <c r="E56" s="485"/>
      <c r="F56" s="488">
        <v>398.72</v>
      </c>
      <c r="G56" s="448">
        <f>VLOOKUP(A56,Productos!$D$3:$AK811,16,FALSE())</f>
        <v>359</v>
      </c>
      <c r="H56" s="448"/>
      <c r="I56" s="469"/>
      <c r="J56" s="469"/>
      <c r="K56" s="469"/>
      <c r="L56" s="469"/>
      <c r="M56" s="469"/>
      <c r="N56" s="469"/>
      <c r="O56" s="469"/>
      <c r="P56" s="469"/>
      <c r="Q56" s="469"/>
      <c r="R56" s="469"/>
      <c r="S56" s="469"/>
      <c r="T56" s="469"/>
      <c r="U56" s="469"/>
      <c r="V56" s="469"/>
      <c r="W56" s="469"/>
    </row>
    <row r="57">
      <c r="A57" s="487" t="s">
        <v>7427</v>
      </c>
      <c r="B57" s="487" t="s">
        <v>7428</v>
      </c>
      <c r="C57" s="487" t="s">
        <v>7429</v>
      </c>
      <c r="D57" s="484"/>
      <c r="E57" s="485"/>
      <c r="F57" s="490"/>
      <c r="G57" s="448" t="str">
        <f>VLOOKUP(A57,Productos!$D$3:$AK811,16,FALSE())</f>
        <v>#N/A</v>
      </c>
      <c r="H57" s="448"/>
      <c r="I57" s="469"/>
      <c r="J57" s="469"/>
      <c r="K57" s="469"/>
      <c r="L57" s="469"/>
      <c r="M57" s="469"/>
      <c r="N57" s="469"/>
      <c r="O57" s="469"/>
      <c r="P57" s="469"/>
      <c r="Q57" s="469"/>
      <c r="R57" s="469"/>
      <c r="S57" s="469"/>
      <c r="T57" s="469"/>
      <c r="U57" s="469"/>
      <c r="V57" s="469"/>
      <c r="W57" s="469"/>
    </row>
    <row r="58">
      <c r="A58" s="487" t="s">
        <v>1238</v>
      </c>
      <c r="B58" s="487" t="s">
        <v>7430</v>
      </c>
      <c r="C58" s="487" t="s">
        <v>7431</v>
      </c>
      <c r="D58" s="484"/>
      <c r="E58" s="485"/>
      <c r="F58" s="488">
        <v>13.44</v>
      </c>
      <c r="G58" s="448">
        <f>VLOOKUP(A58,Productos!$D$3:$AK811,16,FALSE())</f>
        <v>10.5</v>
      </c>
      <c r="H58" s="448"/>
      <c r="I58" s="469"/>
      <c r="J58" s="469"/>
      <c r="K58" s="469"/>
      <c r="L58" s="469"/>
      <c r="M58" s="469"/>
      <c r="N58" s="469"/>
      <c r="O58" s="469"/>
      <c r="P58" s="469"/>
      <c r="Q58" s="469"/>
      <c r="R58" s="469"/>
      <c r="S58" s="469"/>
      <c r="T58" s="469"/>
      <c r="U58" s="469"/>
      <c r="V58" s="469"/>
      <c r="W58" s="469"/>
    </row>
    <row r="59">
      <c r="A59" s="487" t="s">
        <v>1895</v>
      </c>
      <c r="B59" s="487" t="s">
        <v>7432</v>
      </c>
      <c r="C59" s="487" t="s">
        <v>7433</v>
      </c>
      <c r="D59" s="484"/>
      <c r="E59" s="485"/>
      <c r="F59" s="488">
        <v>324.8</v>
      </c>
      <c r="G59" s="448">
        <f>VLOOKUP(A59,Productos!$D$3:$AK811,16,FALSE())</f>
        <v>285</v>
      </c>
      <c r="H59" s="448"/>
      <c r="I59" s="469"/>
      <c r="J59" s="469"/>
      <c r="K59" s="469"/>
      <c r="L59" s="469"/>
      <c r="M59" s="469"/>
      <c r="N59" s="469"/>
      <c r="O59" s="469"/>
      <c r="P59" s="469"/>
      <c r="Q59" s="469"/>
      <c r="R59" s="469"/>
      <c r="S59" s="469"/>
      <c r="T59" s="469"/>
      <c r="U59" s="469"/>
      <c r="V59" s="469"/>
      <c r="W59" s="469"/>
    </row>
    <row r="60">
      <c r="A60" s="487" t="s">
        <v>1897</v>
      </c>
      <c r="B60" s="487" t="s">
        <v>7434</v>
      </c>
      <c r="C60" s="487" t="s">
        <v>7435</v>
      </c>
      <c r="D60" s="484"/>
      <c r="E60" s="485"/>
      <c r="F60" s="488">
        <v>42.56</v>
      </c>
      <c r="G60" s="448">
        <f>VLOOKUP(A60,Productos!$D$3:$AK811,16,FALSE())</f>
        <v>37</v>
      </c>
      <c r="H60" s="448"/>
      <c r="I60" s="469"/>
      <c r="J60" s="469"/>
      <c r="K60" s="469"/>
      <c r="L60" s="469"/>
      <c r="M60" s="469"/>
      <c r="N60" s="469"/>
      <c r="O60" s="469"/>
      <c r="P60" s="469"/>
      <c r="Q60" s="469"/>
      <c r="R60" s="469"/>
      <c r="S60" s="469"/>
      <c r="T60" s="469"/>
      <c r="U60" s="469"/>
      <c r="V60" s="469"/>
      <c r="W60" s="469"/>
    </row>
    <row r="61">
      <c r="A61" s="487" t="s">
        <v>1692</v>
      </c>
      <c r="B61" s="487" t="s">
        <v>7436</v>
      </c>
      <c r="C61" s="487" t="s">
        <v>7437</v>
      </c>
      <c r="D61" s="484"/>
      <c r="E61" s="485"/>
      <c r="F61" s="488" t="s">
        <v>7438</v>
      </c>
      <c r="G61" s="448">
        <f>VLOOKUP(A61,Productos!$D$3:$AK811,16,FALSE())</f>
        <v>140</v>
      </c>
      <c r="H61" s="448"/>
      <c r="I61" s="469"/>
      <c r="J61" s="469"/>
      <c r="K61" s="469"/>
      <c r="L61" s="469"/>
      <c r="M61" s="469"/>
      <c r="N61" s="469"/>
      <c r="O61" s="469"/>
      <c r="P61" s="469"/>
      <c r="Q61" s="469"/>
      <c r="R61" s="469"/>
      <c r="S61" s="469"/>
      <c r="T61" s="469"/>
      <c r="U61" s="469"/>
      <c r="V61" s="469"/>
      <c r="W61" s="469"/>
    </row>
    <row r="62">
      <c r="A62" s="487" t="s">
        <v>1703</v>
      </c>
      <c r="B62" s="487" t="s">
        <v>7439</v>
      </c>
      <c r="C62" s="487" t="s">
        <v>7440</v>
      </c>
      <c r="D62" s="484"/>
      <c r="E62" s="485"/>
      <c r="F62" s="488">
        <v>542.08</v>
      </c>
      <c r="G62" s="448">
        <f>VLOOKUP(A62,Productos!$D$3:$AK811,16,FALSE())</f>
        <v>372.8</v>
      </c>
      <c r="H62" s="448"/>
      <c r="I62" s="469"/>
      <c r="J62" s="469"/>
      <c r="K62" s="469"/>
      <c r="L62" s="469"/>
      <c r="M62" s="469"/>
      <c r="N62" s="469"/>
      <c r="O62" s="469"/>
      <c r="P62" s="469"/>
      <c r="Q62" s="469"/>
      <c r="R62" s="469"/>
      <c r="S62" s="469"/>
      <c r="T62" s="469"/>
      <c r="U62" s="469"/>
      <c r="V62" s="469"/>
      <c r="W62" s="469"/>
    </row>
    <row r="63">
      <c r="A63" s="487" t="s">
        <v>1790</v>
      </c>
      <c r="B63" s="487" t="s">
        <v>7441</v>
      </c>
      <c r="C63" s="487" t="s">
        <v>7442</v>
      </c>
      <c r="D63" s="484"/>
      <c r="E63" s="485"/>
      <c r="F63" s="488">
        <v>173.6</v>
      </c>
      <c r="G63" s="448">
        <f>VLOOKUP(A63,Productos!$D$3:$AK811,16,FALSE())</f>
        <v>158</v>
      </c>
      <c r="H63" s="448"/>
      <c r="I63" s="469"/>
      <c r="J63" s="469"/>
      <c r="K63" s="469"/>
      <c r="L63" s="469"/>
      <c r="M63" s="469"/>
      <c r="N63" s="469"/>
      <c r="O63" s="469"/>
      <c r="P63" s="469"/>
      <c r="Q63" s="469"/>
      <c r="R63" s="469"/>
      <c r="S63" s="469"/>
      <c r="T63" s="469"/>
      <c r="U63" s="469"/>
      <c r="V63" s="469"/>
      <c r="W63" s="469"/>
    </row>
    <row r="64">
      <c r="A64" s="487" t="s">
        <v>1793</v>
      </c>
      <c r="B64" s="487" t="s">
        <v>7443</v>
      </c>
      <c r="C64" s="487" t="s">
        <v>7444</v>
      </c>
      <c r="D64" s="484"/>
      <c r="E64" s="485"/>
      <c r="F64" s="488">
        <v>296.8</v>
      </c>
      <c r="G64" s="448">
        <f>VLOOKUP(A64,Productos!$D$3:$AK811,16,FALSE())</f>
        <v>267</v>
      </c>
      <c r="H64" s="448"/>
      <c r="I64" s="469"/>
      <c r="J64" s="469"/>
      <c r="K64" s="469"/>
      <c r="L64" s="469"/>
      <c r="M64" s="469"/>
      <c r="N64" s="469"/>
      <c r="O64" s="469"/>
      <c r="P64" s="469"/>
      <c r="Q64" s="469"/>
      <c r="R64" s="469"/>
      <c r="S64" s="469"/>
      <c r="T64" s="469"/>
      <c r="U64" s="469"/>
      <c r="V64" s="469"/>
      <c r="W64" s="469"/>
    </row>
    <row r="65">
      <c r="A65" s="487" t="s">
        <v>1805</v>
      </c>
      <c r="B65" s="487" t="s">
        <v>7445</v>
      </c>
      <c r="C65" s="487" t="s">
        <v>7446</v>
      </c>
      <c r="D65" s="484"/>
      <c r="E65" s="485"/>
      <c r="F65" s="488">
        <v>171.36</v>
      </c>
      <c r="G65" s="448">
        <f>VLOOKUP(A65,Productos!$D$3:$AK811,16,FALSE())</f>
        <v>154</v>
      </c>
      <c r="H65" s="448"/>
      <c r="I65" s="469"/>
      <c r="J65" s="469"/>
      <c r="K65" s="469"/>
      <c r="L65" s="469"/>
      <c r="M65" s="469"/>
      <c r="N65" s="469"/>
      <c r="O65" s="469"/>
      <c r="P65" s="469"/>
      <c r="Q65" s="469"/>
      <c r="R65" s="469"/>
      <c r="S65" s="469"/>
      <c r="T65" s="469"/>
      <c r="U65" s="469"/>
      <c r="V65" s="469"/>
      <c r="W65" s="469"/>
    </row>
    <row r="66">
      <c r="A66" s="487" t="s">
        <v>1799</v>
      </c>
      <c r="B66" s="487" t="s">
        <v>7447</v>
      </c>
      <c r="C66" s="487" t="s">
        <v>7448</v>
      </c>
      <c r="D66" s="484"/>
      <c r="E66" s="485"/>
      <c r="F66" s="488">
        <v>173.6</v>
      </c>
      <c r="G66" s="448">
        <f>VLOOKUP(A66,Productos!$D$3:$AK811,16,FALSE())</f>
        <v>158</v>
      </c>
      <c r="H66" s="448"/>
      <c r="I66" s="469"/>
      <c r="J66" s="469"/>
      <c r="K66" s="469"/>
      <c r="L66" s="469"/>
      <c r="M66" s="469"/>
      <c r="N66" s="469"/>
      <c r="O66" s="469"/>
      <c r="P66" s="469"/>
      <c r="Q66" s="469"/>
      <c r="R66" s="469"/>
      <c r="S66" s="469"/>
      <c r="T66" s="469"/>
      <c r="U66" s="469"/>
      <c r="V66" s="469"/>
      <c r="W66" s="469"/>
    </row>
    <row r="67">
      <c r="A67" s="487" t="s">
        <v>1772</v>
      </c>
      <c r="B67" s="487" t="s">
        <v>7449</v>
      </c>
      <c r="C67" s="487" t="s">
        <v>7450</v>
      </c>
      <c r="D67" s="484"/>
      <c r="E67" s="485"/>
      <c r="F67" s="488">
        <v>163.52</v>
      </c>
      <c r="G67" s="448">
        <f>VLOOKUP(A67,Productos!$D$3:$AK811,16,FALSE())</f>
        <v>148</v>
      </c>
      <c r="H67" s="448"/>
      <c r="I67" s="469"/>
      <c r="J67" s="469"/>
      <c r="K67" s="469"/>
      <c r="L67" s="469"/>
      <c r="M67" s="469"/>
      <c r="N67" s="469"/>
      <c r="O67" s="469"/>
      <c r="P67" s="469"/>
      <c r="Q67" s="469"/>
      <c r="R67" s="469"/>
      <c r="S67" s="469"/>
      <c r="T67" s="469"/>
      <c r="U67" s="469"/>
      <c r="V67" s="469"/>
      <c r="W67" s="469"/>
    </row>
    <row r="68">
      <c r="A68" s="487" t="s">
        <v>1779</v>
      </c>
      <c r="B68" s="487" t="s">
        <v>7451</v>
      </c>
      <c r="C68" s="487" t="s">
        <v>7452</v>
      </c>
      <c r="D68" s="484"/>
      <c r="E68" s="485"/>
      <c r="F68" s="488">
        <v>213.92</v>
      </c>
      <c r="G68" s="448">
        <f>VLOOKUP(A68,Productos!$D$3:$AK811,16,FALSE())</f>
        <v>193</v>
      </c>
      <c r="H68" s="448"/>
      <c r="I68" s="469"/>
      <c r="J68" s="469"/>
      <c r="K68" s="469"/>
      <c r="L68" s="469"/>
      <c r="M68" s="469"/>
      <c r="N68" s="469"/>
      <c r="O68" s="469"/>
      <c r="P68" s="469"/>
      <c r="Q68" s="469"/>
      <c r="R68" s="469"/>
      <c r="S68" s="469"/>
      <c r="T68" s="469"/>
      <c r="U68" s="469"/>
      <c r="V68" s="469"/>
      <c r="W68" s="469"/>
    </row>
    <row r="69">
      <c r="A69" s="487" t="s">
        <v>1843</v>
      </c>
      <c r="B69" s="487" t="s">
        <v>7453</v>
      </c>
      <c r="C69" s="487" t="s">
        <v>7454</v>
      </c>
      <c r="D69" s="484"/>
      <c r="E69" s="485"/>
      <c r="F69" s="488">
        <v>276.64</v>
      </c>
      <c r="G69" s="448">
        <f>VLOOKUP(A69,Productos!$D$3:$AK811,16,FALSE())</f>
        <v>242</v>
      </c>
      <c r="H69" s="448"/>
      <c r="I69" s="469"/>
      <c r="J69" s="469"/>
      <c r="K69" s="469"/>
      <c r="L69" s="469"/>
      <c r="M69" s="469"/>
      <c r="N69" s="469"/>
      <c r="O69" s="469"/>
      <c r="P69" s="469"/>
      <c r="Q69" s="469"/>
      <c r="R69" s="469"/>
      <c r="S69" s="469"/>
      <c r="T69" s="469"/>
      <c r="U69" s="469"/>
      <c r="V69" s="469"/>
      <c r="W69" s="469"/>
    </row>
    <row r="70">
      <c r="A70" s="487" t="s">
        <v>2249</v>
      </c>
      <c r="B70" s="487" t="s">
        <v>7455</v>
      </c>
      <c r="C70" s="487" t="s">
        <v>7456</v>
      </c>
      <c r="D70" s="484"/>
      <c r="E70" s="485"/>
      <c r="F70" s="488">
        <v>13.44</v>
      </c>
      <c r="G70" s="448">
        <f>VLOOKUP(A70,Productos!$D$3:$AK811,16,FALSE())</f>
        <v>10.5</v>
      </c>
      <c r="H70" s="448"/>
      <c r="I70" s="469"/>
      <c r="J70" s="469"/>
      <c r="K70" s="469"/>
      <c r="L70" s="469"/>
      <c r="M70" s="469"/>
      <c r="N70" s="469"/>
      <c r="O70" s="469"/>
      <c r="P70" s="469"/>
      <c r="Q70" s="469"/>
      <c r="R70" s="469"/>
      <c r="S70" s="469"/>
      <c r="T70" s="469"/>
      <c r="U70" s="469"/>
      <c r="V70" s="469"/>
      <c r="W70" s="469"/>
    </row>
    <row r="71">
      <c r="A71" s="487" t="s">
        <v>2252</v>
      </c>
      <c r="B71" s="487" t="s">
        <v>7457</v>
      </c>
      <c r="C71" s="487" t="s">
        <v>7458</v>
      </c>
      <c r="D71" s="484"/>
      <c r="E71" s="485"/>
      <c r="F71" s="488">
        <v>13.44</v>
      </c>
      <c r="G71" s="448">
        <f>VLOOKUP(A71,Productos!$D$3:$AK811,16,FALSE())</f>
        <v>10.5</v>
      </c>
      <c r="H71" s="448"/>
      <c r="I71" s="469"/>
      <c r="J71" s="469"/>
      <c r="K71" s="469"/>
      <c r="L71" s="469"/>
      <c r="M71" s="469"/>
      <c r="N71" s="469"/>
      <c r="O71" s="469"/>
      <c r="P71" s="469"/>
      <c r="Q71" s="469"/>
      <c r="R71" s="469"/>
      <c r="S71" s="469"/>
      <c r="T71" s="469"/>
      <c r="U71" s="469"/>
      <c r="V71" s="469"/>
      <c r="W71" s="469"/>
    </row>
    <row r="72">
      <c r="A72" s="487" t="s">
        <v>2247</v>
      </c>
      <c r="B72" s="487" t="s">
        <v>7459</v>
      </c>
      <c r="C72" s="487" t="s">
        <v>7460</v>
      </c>
      <c r="D72" s="484"/>
      <c r="E72" s="485"/>
      <c r="F72" s="488">
        <v>19.04</v>
      </c>
      <c r="G72" s="448">
        <f>VLOOKUP(A72,Productos!$D$3:$AK811,16,FALSE())</f>
        <v>16.8</v>
      </c>
      <c r="H72" s="448"/>
      <c r="I72" s="469"/>
      <c r="J72" s="469"/>
      <c r="K72" s="469"/>
      <c r="L72" s="469"/>
      <c r="M72" s="469"/>
      <c r="N72" s="469"/>
      <c r="O72" s="469"/>
      <c r="P72" s="469"/>
      <c r="Q72" s="469"/>
      <c r="R72" s="469"/>
      <c r="S72" s="469"/>
      <c r="T72" s="469"/>
      <c r="U72" s="469"/>
      <c r="V72" s="469"/>
      <c r="W72" s="469"/>
    </row>
    <row r="73">
      <c r="A73" s="487" t="s">
        <v>1881</v>
      </c>
      <c r="B73" s="487" t="s">
        <v>1882</v>
      </c>
      <c r="C73" s="487" t="s">
        <v>7461</v>
      </c>
      <c r="D73" s="484"/>
      <c r="E73" s="485"/>
      <c r="F73" s="488">
        <v>188.16</v>
      </c>
      <c r="G73" s="448">
        <f>VLOOKUP(A73,Productos!$D$3:$AK811,16,FALSE())</f>
        <v>165</v>
      </c>
      <c r="H73" s="448"/>
      <c r="I73" s="469"/>
      <c r="J73" s="469"/>
      <c r="K73" s="469"/>
      <c r="L73" s="469"/>
      <c r="M73" s="469"/>
      <c r="N73" s="469"/>
      <c r="O73" s="469"/>
      <c r="P73" s="469"/>
      <c r="Q73" s="469"/>
      <c r="R73" s="469"/>
      <c r="S73" s="469"/>
      <c r="T73" s="469"/>
      <c r="U73" s="469"/>
      <c r="V73" s="469"/>
      <c r="W73" s="469"/>
    </row>
    <row r="74">
      <c r="A74" s="487" t="s">
        <v>1262</v>
      </c>
      <c r="B74" s="487" t="s">
        <v>7462</v>
      </c>
      <c r="C74" s="487" t="s">
        <v>7463</v>
      </c>
      <c r="D74" s="484"/>
      <c r="E74" s="485"/>
      <c r="F74" s="488">
        <v>183.68</v>
      </c>
      <c r="G74" s="448">
        <f>VLOOKUP(A74,Productos!$D$3:$AK811,16,FALSE())</f>
        <v>161</v>
      </c>
      <c r="H74" s="448"/>
      <c r="I74" s="469"/>
      <c r="J74" s="469"/>
      <c r="K74" s="469"/>
      <c r="L74" s="469"/>
      <c r="M74" s="469"/>
      <c r="N74" s="469"/>
      <c r="O74" s="469"/>
      <c r="P74" s="469"/>
      <c r="Q74" s="469"/>
      <c r="R74" s="469"/>
      <c r="S74" s="469"/>
      <c r="T74" s="469"/>
      <c r="U74" s="469"/>
      <c r="V74" s="469"/>
      <c r="W74" s="469"/>
    </row>
    <row r="75">
      <c r="A75" s="487" t="s">
        <v>1948</v>
      </c>
      <c r="B75" s="487" t="s">
        <v>7464</v>
      </c>
      <c r="C75" s="487" t="s">
        <v>7465</v>
      </c>
      <c r="D75" s="484"/>
      <c r="E75" s="485"/>
      <c r="F75" s="488">
        <v>30.24</v>
      </c>
      <c r="G75" s="448">
        <f>VLOOKUP(A75,Productos!$D$3:$AK811,16,FALSE())</f>
        <v>27</v>
      </c>
      <c r="H75" s="448"/>
      <c r="I75" s="469"/>
      <c r="J75" s="469"/>
      <c r="K75" s="469"/>
      <c r="L75" s="469"/>
      <c r="M75" s="469"/>
      <c r="N75" s="469"/>
      <c r="O75" s="469"/>
      <c r="P75" s="469"/>
      <c r="Q75" s="469"/>
      <c r="R75" s="469"/>
      <c r="S75" s="469"/>
      <c r="T75" s="469"/>
      <c r="U75" s="469"/>
      <c r="V75" s="469"/>
      <c r="W75" s="469"/>
    </row>
    <row r="76">
      <c r="A76" s="487" t="s">
        <v>1938</v>
      </c>
      <c r="B76" s="487" t="s">
        <v>7466</v>
      </c>
      <c r="C76" s="487" t="s">
        <v>7467</v>
      </c>
      <c r="D76" s="484"/>
      <c r="E76" s="485"/>
      <c r="F76" s="488">
        <v>151.2</v>
      </c>
      <c r="G76" s="448">
        <f>VLOOKUP(A76,Productos!$D$3:$AK811,16,FALSE())</f>
        <v>132</v>
      </c>
      <c r="H76" s="448"/>
      <c r="I76" s="469"/>
      <c r="J76" s="469"/>
      <c r="K76" s="469"/>
      <c r="L76" s="469"/>
      <c r="M76" s="469"/>
      <c r="N76" s="469"/>
      <c r="O76" s="469"/>
      <c r="P76" s="469"/>
      <c r="Q76" s="469"/>
      <c r="R76" s="469"/>
      <c r="S76" s="469"/>
      <c r="T76" s="469"/>
      <c r="U76" s="469"/>
      <c r="V76" s="469"/>
      <c r="W76" s="469"/>
    </row>
    <row r="77">
      <c r="A77" s="487" t="s">
        <v>1941</v>
      </c>
      <c r="B77" s="487" t="s">
        <v>7468</v>
      </c>
      <c r="C77" s="487" t="s">
        <v>7469</v>
      </c>
      <c r="D77" s="484"/>
      <c r="E77" s="485"/>
      <c r="F77" s="488">
        <v>160.16</v>
      </c>
      <c r="G77" s="448">
        <f>VLOOKUP(A77,Productos!$D$3:$AK811,16,FALSE())</f>
        <v>141</v>
      </c>
      <c r="H77" s="448"/>
      <c r="I77" s="469"/>
      <c r="J77" s="469"/>
      <c r="K77" s="469"/>
      <c r="L77" s="469"/>
      <c r="M77" s="469"/>
      <c r="N77" s="469"/>
      <c r="O77" s="469"/>
      <c r="P77" s="469"/>
      <c r="Q77" s="469"/>
      <c r="R77" s="469"/>
      <c r="S77" s="469"/>
      <c r="T77" s="469"/>
      <c r="U77" s="469"/>
      <c r="V77" s="469"/>
      <c r="W77" s="469"/>
    </row>
    <row r="78">
      <c r="A78" s="487" t="s">
        <v>1982</v>
      </c>
      <c r="B78" s="487" t="s">
        <v>7470</v>
      </c>
      <c r="C78" s="487" t="s">
        <v>7471</v>
      </c>
      <c r="D78" s="484"/>
      <c r="E78" s="485"/>
      <c r="F78" s="488">
        <v>16679.04</v>
      </c>
      <c r="G78" s="448">
        <f>VLOOKUP(A78,Productos!$D$3:$AK811,16,FALSE())</f>
        <v>14613</v>
      </c>
      <c r="H78" s="448"/>
      <c r="I78" s="469"/>
      <c r="J78" s="469"/>
      <c r="K78" s="469"/>
      <c r="L78" s="469"/>
      <c r="M78" s="469"/>
      <c r="N78" s="469"/>
      <c r="O78" s="469"/>
      <c r="P78" s="469"/>
      <c r="Q78" s="469"/>
      <c r="R78" s="469"/>
      <c r="S78" s="469"/>
      <c r="T78" s="469"/>
      <c r="U78" s="469"/>
      <c r="V78" s="469"/>
      <c r="W78" s="469"/>
    </row>
    <row r="79">
      <c r="A79" s="487" t="s">
        <v>1984</v>
      </c>
      <c r="B79" s="487" t="s">
        <v>7472</v>
      </c>
      <c r="C79" s="487" t="s">
        <v>7473</v>
      </c>
      <c r="D79" s="484"/>
      <c r="E79" s="485"/>
      <c r="F79" s="488">
        <v>17169.6</v>
      </c>
      <c r="G79" s="448">
        <f>VLOOKUP(A79,Productos!$D$3:$AK811,16,FALSE())</f>
        <v>15043</v>
      </c>
      <c r="H79" s="448"/>
      <c r="I79" s="469"/>
      <c r="J79" s="469"/>
      <c r="K79" s="469"/>
      <c r="L79" s="469"/>
      <c r="M79" s="469"/>
      <c r="N79" s="469"/>
      <c r="O79" s="469"/>
      <c r="P79" s="469"/>
      <c r="Q79" s="469"/>
      <c r="R79" s="469"/>
      <c r="S79" s="469"/>
      <c r="T79" s="469"/>
      <c r="U79" s="469"/>
      <c r="V79" s="469"/>
      <c r="W79" s="469"/>
    </row>
    <row r="80">
      <c r="A80" s="487" t="s">
        <v>2041</v>
      </c>
      <c r="B80" s="487" t="s">
        <v>7474</v>
      </c>
      <c r="C80" s="487" t="s">
        <v>7475</v>
      </c>
      <c r="D80" s="484"/>
      <c r="E80" s="485"/>
      <c r="F80" s="488">
        <v>1636.32</v>
      </c>
      <c r="G80" s="448">
        <f>VLOOKUP(A80,Productos!$D$3:$AK811,16,FALSE())</f>
        <v>1433</v>
      </c>
      <c r="H80" s="448"/>
      <c r="I80" s="469"/>
      <c r="J80" s="469"/>
      <c r="K80" s="469"/>
      <c r="L80" s="469"/>
      <c r="M80" s="469"/>
      <c r="N80" s="469"/>
      <c r="O80" s="469"/>
      <c r="P80" s="469"/>
      <c r="Q80" s="469"/>
      <c r="R80" s="469"/>
      <c r="S80" s="469"/>
      <c r="T80" s="469"/>
      <c r="U80" s="469"/>
      <c r="V80" s="469"/>
      <c r="W80" s="469"/>
    </row>
    <row r="81">
      <c r="A81" s="487" t="s">
        <v>4099</v>
      </c>
      <c r="B81" s="487" t="s">
        <v>7476</v>
      </c>
      <c r="C81" s="487" t="s">
        <v>7477</v>
      </c>
      <c r="D81" s="484"/>
      <c r="E81" s="485"/>
      <c r="F81" s="488">
        <v>604.8</v>
      </c>
      <c r="G81" s="448">
        <f>VLOOKUP(A81,Productos!$D$3:$AK811,16,FALSE())</f>
        <v>529</v>
      </c>
      <c r="H81" s="448"/>
      <c r="I81" s="469"/>
      <c r="J81" s="469"/>
      <c r="K81" s="469"/>
      <c r="L81" s="469"/>
      <c r="M81" s="469"/>
      <c r="N81" s="469"/>
      <c r="O81" s="469"/>
      <c r="P81" s="469"/>
      <c r="Q81" s="469"/>
      <c r="R81" s="469"/>
      <c r="S81" s="469"/>
      <c r="T81" s="469"/>
      <c r="U81" s="469"/>
      <c r="V81" s="469"/>
      <c r="W81" s="469"/>
    </row>
    <row r="82">
      <c r="A82" s="487" t="s">
        <v>2008</v>
      </c>
      <c r="B82" s="487" t="s">
        <v>7478</v>
      </c>
      <c r="C82" s="487" t="s">
        <v>7479</v>
      </c>
      <c r="D82" s="484"/>
      <c r="E82" s="485"/>
      <c r="F82" s="488">
        <v>94.08</v>
      </c>
      <c r="G82" s="448">
        <f>VLOOKUP(A82,Productos!$D$3:$AK811,16,FALSE())</f>
        <v>83</v>
      </c>
      <c r="H82" s="448"/>
      <c r="I82" s="469"/>
      <c r="J82" s="469"/>
      <c r="K82" s="469"/>
      <c r="L82" s="469"/>
      <c r="M82" s="469"/>
      <c r="N82" s="469"/>
      <c r="O82" s="469"/>
      <c r="P82" s="469"/>
      <c r="Q82" s="469"/>
      <c r="R82" s="469"/>
      <c r="S82" s="469"/>
      <c r="T82" s="469"/>
      <c r="U82" s="469"/>
      <c r="V82" s="469"/>
      <c r="W82" s="469"/>
    </row>
    <row r="83">
      <c r="A83" s="487" t="s">
        <v>2010</v>
      </c>
      <c r="B83" s="487" t="s">
        <v>7480</v>
      </c>
      <c r="C83" s="487" t="s">
        <v>7481</v>
      </c>
      <c r="D83" s="484"/>
      <c r="E83" s="485"/>
      <c r="F83" s="488">
        <v>136.64</v>
      </c>
      <c r="G83" s="448">
        <f>VLOOKUP(A83,Productos!$D$3:$AK811,16,FALSE())</f>
        <v>120</v>
      </c>
      <c r="H83" s="448"/>
      <c r="I83" s="469"/>
      <c r="J83" s="469"/>
      <c r="K83" s="469"/>
      <c r="L83" s="469"/>
      <c r="M83" s="469"/>
      <c r="N83" s="469"/>
      <c r="O83" s="469"/>
      <c r="P83" s="469"/>
      <c r="Q83" s="469"/>
      <c r="R83" s="469"/>
      <c r="S83" s="469"/>
      <c r="T83" s="469"/>
      <c r="U83" s="469"/>
      <c r="V83" s="469"/>
      <c r="W83" s="469"/>
    </row>
    <row r="84">
      <c r="A84" s="487" t="s">
        <v>1264</v>
      </c>
      <c r="B84" s="487" t="s">
        <v>7482</v>
      </c>
      <c r="C84" s="487" t="s">
        <v>7483</v>
      </c>
      <c r="D84" s="484"/>
      <c r="E84" s="485"/>
      <c r="F84" s="488">
        <v>490.56</v>
      </c>
      <c r="G84" s="448">
        <f>VLOOKUP(A84,Productos!$D$3:$AK811,16,FALSE())</f>
        <v>301</v>
      </c>
      <c r="H84" s="448"/>
      <c r="I84" s="469"/>
      <c r="J84" s="469"/>
      <c r="K84" s="469"/>
      <c r="L84" s="469"/>
      <c r="M84" s="469"/>
      <c r="N84" s="469"/>
      <c r="O84" s="469"/>
      <c r="P84" s="469"/>
      <c r="Q84" s="469"/>
      <c r="R84" s="469"/>
      <c r="S84" s="469"/>
      <c r="T84" s="469"/>
      <c r="U84" s="469"/>
      <c r="V84" s="469"/>
      <c r="W84" s="469"/>
    </row>
    <row r="85">
      <c r="A85" s="487" t="s">
        <v>1665</v>
      </c>
      <c r="B85" s="487" t="s">
        <v>7484</v>
      </c>
      <c r="C85" s="487" t="s">
        <v>7485</v>
      </c>
      <c r="D85" s="484"/>
      <c r="E85" s="485"/>
      <c r="F85" s="488">
        <v>18056.64</v>
      </c>
      <c r="G85" s="448">
        <f>VLOOKUP(A85,Productos!$D$3:$AK811,16,FALSE())</f>
        <v>15820</v>
      </c>
      <c r="H85" s="448"/>
      <c r="I85" s="469"/>
      <c r="J85" s="469"/>
      <c r="K85" s="469"/>
      <c r="L85" s="469"/>
      <c r="M85" s="469"/>
      <c r="N85" s="469"/>
      <c r="O85" s="469"/>
      <c r="P85" s="469"/>
      <c r="Q85" s="469"/>
      <c r="R85" s="469"/>
      <c r="S85" s="469"/>
      <c r="T85" s="469"/>
      <c r="U85" s="469"/>
      <c r="V85" s="469"/>
      <c r="W85" s="469"/>
    </row>
    <row r="86">
      <c r="A86" s="487" t="s">
        <v>1194</v>
      </c>
      <c r="B86" s="487" t="s">
        <v>7486</v>
      </c>
      <c r="C86" s="487" t="s">
        <v>7487</v>
      </c>
      <c r="D86" s="484"/>
      <c r="E86" s="485"/>
      <c r="F86" s="488">
        <v>237.44</v>
      </c>
      <c r="G86" s="448">
        <f>VLOOKUP(A86,Productos!$D$3:$AK811,16,FALSE())</f>
        <v>208</v>
      </c>
      <c r="H86" s="448"/>
      <c r="I86" s="469"/>
      <c r="J86" s="469"/>
      <c r="K86" s="469"/>
      <c r="L86" s="469"/>
      <c r="M86" s="469"/>
      <c r="N86" s="469"/>
      <c r="O86" s="469"/>
      <c r="P86" s="469"/>
      <c r="Q86" s="469"/>
      <c r="R86" s="469"/>
      <c r="S86" s="469"/>
      <c r="T86" s="469"/>
      <c r="U86" s="469"/>
      <c r="V86" s="469"/>
      <c r="W86" s="469"/>
    </row>
    <row r="87">
      <c r="A87" s="487" t="s">
        <v>1653</v>
      </c>
      <c r="B87" s="487" t="s">
        <v>7488</v>
      </c>
      <c r="C87" s="487" t="s">
        <v>7489</v>
      </c>
      <c r="D87" s="484"/>
      <c r="E87" s="485"/>
      <c r="F87" s="488">
        <v>2980.32</v>
      </c>
      <c r="G87" s="448">
        <f>VLOOKUP(A87,Productos!$D$3:$AK811,16,FALSE())</f>
        <v>2611</v>
      </c>
      <c r="H87" s="448"/>
      <c r="I87" s="469"/>
      <c r="J87" s="469"/>
      <c r="K87" s="469"/>
      <c r="L87" s="469"/>
      <c r="M87" s="469"/>
      <c r="N87" s="469"/>
      <c r="O87" s="469"/>
      <c r="P87" s="469"/>
      <c r="Q87" s="469"/>
      <c r="R87" s="469"/>
      <c r="S87" s="469"/>
      <c r="T87" s="469"/>
      <c r="U87" s="469"/>
      <c r="V87" s="469"/>
      <c r="W87" s="469"/>
    </row>
    <row r="88">
      <c r="A88" s="487" t="s">
        <v>7490</v>
      </c>
      <c r="B88" s="487" t="s">
        <v>7491</v>
      </c>
      <c r="C88" s="487" t="s">
        <v>7492</v>
      </c>
      <c r="D88" s="484"/>
      <c r="E88" s="485"/>
      <c r="F88" s="490"/>
      <c r="G88" s="448" t="str">
        <f>VLOOKUP(A88,Productos!$D$3:$AK811,16,FALSE())</f>
        <v>#N/A</v>
      </c>
      <c r="H88" s="448"/>
      <c r="I88" s="469"/>
      <c r="J88" s="469"/>
      <c r="K88" s="469"/>
      <c r="L88" s="469"/>
      <c r="M88" s="469"/>
      <c r="N88" s="469"/>
      <c r="O88" s="469"/>
      <c r="P88" s="469"/>
      <c r="Q88" s="469"/>
      <c r="R88" s="469"/>
      <c r="S88" s="469"/>
      <c r="T88" s="469"/>
      <c r="U88" s="469"/>
      <c r="V88" s="469"/>
      <c r="W88" s="469"/>
    </row>
    <row r="89">
      <c r="A89" s="487" t="s">
        <v>7493</v>
      </c>
      <c r="B89" s="487" t="s">
        <v>7494</v>
      </c>
      <c r="C89" s="487" t="s">
        <v>7495</v>
      </c>
      <c r="D89" s="484"/>
      <c r="E89" s="485"/>
      <c r="F89" s="490"/>
      <c r="G89" s="448" t="str">
        <f>VLOOKUP(A89,Productos!$D$3:$AK811,16,FALSE())</f>
        <v>#N/A</v>
      </c>
      <c r="H89" s="448"/>
      <c r="I89" s="469"/>
      <c r="J89" s="469"/>
      <c r="K89" s="469"/>
      <c r="L89" s="469"/>
      <c r="M89" s="469"/>
      <c r="N89" s="469"/>
      <c r="O89" s="469"/>
      <c r="P89" s="469"/>
      <c r="Q89" s="469"/>
      <c r="R89" s="469"/>
      <c r="S89" s="469"/>
      <c r="T89" s="469"/>
      <c r="U89" s="469"/>
      <c r="V89" s="469"/>
      <c r="W89" s="469"/>
    </row>
    <row r="90">
      <c r="A90" s="487" t="s">
        <v>2035</v>
      </c>
      <c r="B90" s="487" t="s">
        <v>2036</v>
      </c>
      <c r="C90" s="487" t="s">
        <v>7496</v>
      </c>
      <c r="D90" s="484"/>
      <c r="E90" s="485"/>
      <c r="F90" s="488">
        <v>1294.72</v>
      </c>
      <c r="G90" s="448">
        <f>VLOOKUP(A90,Productos!$D$3:$AK811,16,FALSE())</f>
        <v>1134</v>
      </c>
      <c r="H90" s="448"/>
      <c r="I90" s="469"/>
      <c r="J90" s="469"/>
      <c r="K90" s="469"/>
      <c r="L90" s="469"/>
      <c r="M90" s="469"/>
      <c r="N90" s="469"/>
      <c r="O90" s="469"/>
      <c r="P90" s="469"/>
      <c r="Q90" s="469"/>
      <c r="R90" s="469"/>
      <c r="S90" s="469"/>
      <c r="T90" s="469"/>
      <c r="U90" s="469"/>
      <c r="V90" s="469"/>
      <c r="W90" s="469"/>
    </row>
    <row r="91">
      <c r="A91" s="487" t="s">
        <v>1953</v>
      </c>
      <c r="B91" s="487" t="s">
        <v>1954</v>
      </c>
      <c r="C91" s="487" t="s">
        <v>7497</v>
      </c>
      <c r="D91" s="484"/>
      <c r="E91" s="485"/>
      <c r="F91" s="488">
        <v>264.32</v>
      </c>
      <c r="G91" s="448">
        <f>VLOOKUP(A91,Productos!$D$3:$AK811,16,FALSE())</f>
        <v>2336</v>
      </c>
      <c r="H91" s="448"/>
      <c r="I91" s="469"/>
      <c r="J91" s="469"/>
      <c r="K91" s="469"/>
      <c r="L91" s="469"/>
      <c r="M91" s="469"/>
      <c r="N91" s="469"/>
      <c r="O91" s="469"/>
      <c r="P91" s="469"/>
      <c r="Q91" s="469"/>
      <c r="R91" s="469"/>
      <c r="S91" s="469"/>
      <c r="T91" s="469"/>
      <c r="U91" s="469"/>
      <c r="V91" s="469"/>
      <c r="W91" s="469"/>
    </row>
    <row r="92">
      <c r="A92" s="487" t="s">
        <v>1623</v>
      </c>
      <c r="B92" s="487" t="s">
        <v>1624</v>
      </c>
      <c r="C92" s="487" t="s">
        <v>7498</v>
      </c>
      <c r="D92" s="484"/>
      <c r="E92" s="485"/>
      <c r="F92" s="488">
        <v>1221.92</v>
      </c>
      <c r="G92" s="448">
        <f>VLOOKUP(A92,Productos!$D$3:$AK811,16,FALSE())</f>
        <v>1094</v>
      </c>
      <c r="H92" s="448"/>
      <c r="I92" s="469"/>
      <c r="J92" s="469"/>
      <c r="K92" s="469"/>
      <c r="L92" s="469"/>
      <c r="M92" s="469"/>
      <c r="N92" s="469"/>
      <c r="O92" s="469"/>
      <c r="P92" s="469"/>
      <c r="Q92" s="469"/>
      <c r="R92" s="469"/>
      <c r="S92" s="469"/>
      <c r="T92" s="469"/>
      <c r="U92" s="469"/>
      <c r="V92" s="469"/>
      <c r="W92" s="469"/>
    </row>
    <row r="93">
      <c r="A93" s="487" t="s">
        <v>2204</v>
      </c>
      <c r="B93" s="487" t="s">
        <v>7499</v>
      </c>
      <c r="C93" s="487" t="s">
        <v>7500</v>
      </c>
      <c r="D93" s="484"/>
      <c r="E93" s="485"/>
      <c r="F93" s="488">
        <v>2854.88</v>
      </c>
      <c r="G93" s="448">
        <f>VLOOKUP(A93,Productos!$D$3:$AK811,16,FALSE())</f>
        <v>2502</v>
      </c>
      <c r="H93" s="448"/>
      <c r="I93" s="469"/>
      <c r="J93" s="469"/>
      <c r="K93" s="469"/>
      <c r="L93" s="469"/>
      <c r="M93" s="469"/>
      <c r="N93" s="469"/>
      <c r="O93" s="469"/>
      <c r="P93" s="469"/>
      <c r="Q93" s="469"/>
      <c r="R93" s="469"/>
      <c r="S93" s="469"/>
      <c r="T93" s="469"/>
      <c r="U93" s="469"/>
      <c r="V93" s="469"/>
      <c r="W93" s="469"/>
    </row>
    <row r="94">
      <c r="A94" s="487" t="s">
        <v>2331</v>
      </c>
      <c r="B94" s="487" t="s">
        <v>2332</v>
      </c>
      <c r="C94" s="487" t="s">
        <v>7501</v>
      </c>
      <c r="D94" s="484"/>
      <c r="E94" s="485"/>
      <c r="F94" s="490"/>
      <c r="G94" s="448">
        <f>VLOOKUP(A94,Productos!$D$3:$AK811,16,FALSE())</f>
        <v>1419</v>
      </c>
      <c r="H94" s="448"/>
      <c r="I94" s="469"/>
      <c r="J94" s="469"/>
      <c r="K94" s="469"/>
      <c r="L94" s="469"/>
      <c r="M94" s="469"/>
      <c r="N94" s="469"/>
      <c r="O94" s="469"/>
      <c r="P94" s="469"/>
      <c r="Q94" s="469"/>
      <c r="R94" s="469"/>
      <c r="S94" s="469"/>
      <c r="T94" s="469"/>
      <c r="U94" s="469"/>
      <c r="V94" s="469"/>
      <c r="W94" s="469"/>
    </row>
    <row r="95">
      <c r="A95" s="487" t="s">
        <v>3132</v>
      </c>
      <c r="B95" s="487" t="s">
        <v>3133</v>
      </c>
      <c r="C95" s="487" t="s">
        <v>7502</v>
      </c>
      <c r="D95" s="484"/>
      <c r="E95" s="485"/>
      <c r="F95" s="488">
        <v>592.48</v>
      </c>
      <c r="G95" s="448">
        <f>VLOOKUP(A95,Productos!$D$3:$AK811,16,FALSE())</f>
        <v>520</v>
      </c>
      <c r="H95" s="448"/>
      <c r="I95" s="469"/>
      <c r="J95" s="469"/>
      <c r="K95" s="469"/>
      <c r="L95" s="469"/>
      <c r="M95" s="469"/>
      <c r="N95" s="469"/>
      <c r="O95" s="469"/>
      <c r="P95" s="469"/>
      <c r="Q95" s="469"/>
      <c r="R95" s="469"/>
      <c r="S95" s="469"/>
      <c r="T95" s="469"/>
      <c r="U95" s="469"/>
      <c r="V95" s="469"/>
      <c r="W95" s="469"/>
    </row>
    <row r="96">
      <c r="A96" s="487" t="s">
        <v>2295</v>
      </c>
      <c r="B96" s="487" t="s">
        <v>7503</v>
      </c>
      <c r="C96" s="487" t="s">
        <v>7504</v>
      </c>
      <c r="D96" s="484"/>
      <c r="E96" s="485"/>
      <c r="F96" s="488">
        <v>1853.6</v>
      </c>
      <c r="G96" s="448">
        <f>VLOOKUP(A96,Productos!$D$3:$AK811,16,FALSE())</f>
        <v>1623</v>
      </c>
      <c r="H96" s="448"/>
      <c r="I96" s="469"/>
      <c r="J96" s="469"/>
      <c r="K96" s="469"/>
      <c r="L96" s="469"/>
      <c r="M96" s="469"/>
      <c r="N96" s="469"/>
      <c r="O96" s="469"/>
      <c r="P96" s="469"/>
      <c r="Q96" s="469"/>
      <c r="R96" s="469"/>
      <c r="S96" s="469"/>
      <c r="T96" s="469"/>
      <c r="U96" s="469"/>
      <c r="V96" s="469"/>
      <c r="W96" s="469"/>
    </row>
    <row r="97">
      <c r="A97" s="487" t="s">
        <v>2297</v>
      </c>
      <c r="B97" s="487" t="s">
        <v>7505</v>
      </c>
      <c r="C97" s="487" t="s">
        <v>7506</v>
      </c>
      <c r="D97" s="484"/>
      <c r="E97" s="485"/>
      <c r="F97" s="490"/>
      <c r="G97" s="448">
        <f>VLOOKUP(A97,Productos!$D$3:$AK811,16,FALSE())</f>
        <v>1852</v>
      </c>
      <c r="H97" s="448"/>
      <c r="I97" s="469"/>
      <c r="J97" s="469"/>
      <c r="K97" s="469"/>
      <c r="L97" s="469"/>
      <c r="M97" s="469"/>
      <c r="N97" s="469"/>
      <c r="O97" s="469"/>
      <c r="P97" s="469"/>
      <c r="Q97" s="469"/>
      <c r="R97" s="469"/>
      <c r="S97" s="469"/>
      <c r="T97" s="469"/>
      <c r="U97" s="469"/>
      <c r="V97" s="469"/>
      <c r="W97" s="469"/>
    </row>
    <row r="98">
      <c r="A98" s="487" t="s">
        <v>2650</v>
      </c>
      <c r="B98" s="487" t="s">
        <v>7507</v>
      </c>
      <c r="C98" s="487" t="s">
        <v>7508</v>
      </c>
      <c r="D98" s="484"/>
      <c r="E98" s="485"/>
      <c r="F98" s="488">
        <v>51.52</v>
      </c>
      <c r="G98" s="448">
        <f>VLOOKUP(A98,Productos!$D$3:$AK811,16,FALSE())</f>
        <v>46</v>
      </c>
      <c r="H98" s="448"/>
      <c r="I98" s="469"/>
      <c r="J98" s="469"/>
      <c r="K98" s="469"/>
      <c r="L98" s="469"/>
      <c r="M98" s="469"/>
      <c r="N98" s="469"/>
      <c r="O98" s="469"/>
      <c r="P98" s="469"/>
      <c r="Q98" s="469"/>
      <c r="R98" s="469"/>
      <c r="S98" s="469"/>
      <c r="T98" s="469"/>
      <c r="U98" s="469"/>
      <c r="V98" s="469"/>
      <c r="W98" s="469"/>
    </row>
    <row r="99">
      <c r="A99" s="487" t="s">
        <v>2418</v>
      </c>
      <c r="B99" s="487" t="s">
        <v>7509</v>
      </c>
      <c r="C99" s="487" t="s">
        <v>7510</v>
      </c>
      <c r="D99" s="484"/>
      <c r="E99" s="485"/>
      <c r="F99" s="488">
        <v>230.72</v>
      </c>
      <c r="G99" s="448">
        <f>VLOOKUP(A99,Productos!$D$3:$AK811,16,FALSE())</f>
        <v>202</v>
      </c>
      <c r="H99" s="448"/>
      <c r="I99" s="469"/>
      <c r="J99" s="469"/>
      <c r="K99" s="469"/>
      <c r="L99" s="469"/>
      <c r="M99" s="469"/>
      <c r="N99" s="469"/>
      <c r="O99" s="469"/>
      <c r="P99" s="469"/>
      <c r="Q99" s="469"/>
      <c r="R99" s="469"/>
      <c r="S99" s="469"/>
      <c r="T99" s="469"/>
      <c r="U99" s="469"/>
      <c r="V99" s="469"/>
      <c r="W99" s="469"/>
    </row>
    <row r="100">
      <c r="A100" s="487" t="s">
        <v>2416</v>
      </c>
      <c r="B100" s="487" t="s">
        <v>2417</v>
      </c>
      <c r="C100" s="487" t="s">
        <v>7511</v>
      </c>
      <c r="D100" s="484"/>
      <c r="E100" s="485"/>
      <c r="F100" s="488">
        <v>239.68</v>
      </c>
      <c r="G100" s="448">
        <f>VLOOKUP(A100,Productos!$D$3:$AK811,16,FALSE())</f>
        <v>210</v>
      </c>
      <c r="H100" s="448"/>
      <c r="I100" s="469"/>
      <c r="J100" s="469"/>
      <c r="K100" s="469"/>
      <c r="L100" s="469"/>
      <c r="M100" s="469"/>
      <c r="N100" s="469"/>
      <c r="O100" s="469"/>
      <c r="P100" s="469"/>
      <c r="Q100" s="469"/>
      <c r="R100" s="469"/>
      <c r="S100" s="469"/>
      <c r="T100" s="469"/>
      <c r="U100" s="469"/>
      <c r="V100" s="469"/>
      <c r="W100" s="469"/>
    </row>
    <row r="101">
      <c r="A101" s="487" t="s">
        <v>2412</v>
      </c>
      <c r="B101" s="487" t="s">
        <v>7512</v>
      </c>
      <c r="C101" s="487" t="s">
        <v>7513</v>
      </c>
      <c r="D101" s="484"/>
      <c r="E101" s="485"/>
      <c r="F101" s="488">
        <v>301.28</v>
      </c>
      <c r="G101" s="448">
        <f>VLOOKUP(A101,Productos!$D$3:$AK811,16,FALSE())</f>
        <v>16.8</v>
      </c>
      <c r="H101" s="448"/>
      <c r="I101" s="469"/>
      <c r="J101" s="469"/>
      <c r="K101" s="469"/>
      <c r="L101" s="469"/>
      <c r="M101" s="469"/>
      <c r="N101" s="469"/>
      <c r="O101" s="469"/>
      <c r="P101" s="469"/>
      <c r="Q101" s="469"/>
      <c r="R101" s="469"/>
      <c r="S101" s="469"/>
      <c r="T101" s="469"/>
      <c r="U101" s="469"/>
      <c r="V101" s="469"/>
      <c r="W101" s="469"/>
    </row>
    <row r="102">
      <c r="A102" s="487" t="s">
        <v>2397</v>
      </c>
      <c r="B102" s="487" t="s">
        <v>7514</v>
      </c>
      <c r="C102" s="487" t="s">
        <v>7515</v>
      </c>
      <c r="D102" s="484"/>
      <c r="E102" s="485"/>
      <c r="F102" s="488">
        <v>454.72</v>
      </c>
      <c r="G102" s="448">
        <f>VLOOKUP(A102,Productos!$D$3:$AK811,16,FALSE())</f>
        <v>399</v>
      </c>
      <c r="H102" s="448"/>
      <c r="I102" s="469"/>
      <c r="J102" s="469"/>
      <c r="K102" s="469"/>
      <c r="L102" s="469"/>
      <c r="M102" s="469"/>
      <c r="N102" s="469"/>
      <c r="O102" s="469"/>
      <c r="P102" s="469"/>
      <c r="Q102" s="469"/>
      <c r="R102" s="469"/>
      <c r="S102" s="469"/>
      <c r="T102" s="469"/>
      <c r="U102" s="469"/>
      <c r="V102" s="469"/>
      <c r="W102" s="469"/>
    </row>
    <row r="103">
      <c r="A103" s="487" t="s">
        <v>2391</v>
      </c>
      <c r="B103" s="487" t="s">
        <v>7516</v>
      </c>
      <c r="C103" s="487" t="s">
        <v>7517</v>
      </c>
      <c r="D103" s="484"/>
      <c r="E103" s="485"/>
      <c r="F103" s="488">
        <v>454.72</v>
      </c>
      <c r="G103" s="448">
        <f>VLOOKUP(A103,Productos!$D$3:$AK811,16,FALSE())</f>
        <v>399</v>
      </c>
      <c r="H103" s="448"/>
      <c r="I103" s="469"/>
      <c r="J103" s="469"/>
      <c r="K103" s="469"/>
      <c r="L103" s="469"/>
      <c r="M103" s="469"/>
      <c r="N103" s="469"/>
      <c r="O103" s="469"/>
      <c r="P103" s="469"/>
      <c r="Q103" s="469"/>
      <c r="R103" s="469"/>
      <c r="S103" s="469"/>
      <c r="T103" s="469"/>
      <c r="U103" s="469"/>
      <c r="V103" s="469"/>
      <c r="W103" s="469"/>
    </row>
    <row r="104">
      <c r="A104" s="487" t="s">
        <v>2420</v>
      </c>
      <c r="B104" s="487" t="s">
        <v>2421</v>
      </c>
      <c r="C104" s="487" t="s">
        <v>7518</v>
      </c>
      <c r="D104" s="484"/>
      <c r="E104" s="485"/>
      <c r="F104" s="488">
        <v>652.96</v>
      </c>
      <c r="G104" s="448">
        <f>VLOOKUP(A104,Productos!$D$3:$AK811,16,FALSE())</f>
        <v>563</v>
      </c>
      <c r="H104" s="448"/>
      <c r="I104" s="469"/>
      <c r="J104" s="469"/>
      <c r="K104" s="469"/>
      <c r="L104" s="469"/>
      <c r="M104" s="469"/>
      <c r="N104" s="469"/>
      <c r="O104" s="469"/>
      <c r="P104" s="469"/>
      <c r="Q104" s="469"/>
      <c r="R104" s="469"/>
      <c r="S104" s="469"/>
      <c r="T104" s="469"/>
      <c r="U104" s="469"/>
      <c r="V104" s="469"/>
      <c r="W104" s="469"/>
    </row>
    <row r="105">
      <c r="A105" s="487" t="s">
        <v>2608</v>
      </c>
      <c r="B105" s="487" t="s">
        <v>7519</v>
      </c>
      <c r="C105" s="487" t="s">
        <v>7520</v>
      </c>
      <c r="D105" s="484"/>
      <c r="E105" s="485"/>
      <c r="F105" s="488">
        <v>1849.12</v>
      </c>
      <c r="G105" s="448">
        <f>VLOOKUP(A105,Productos!$D$3:$AK811,16,FALSE())</f>
        <v>1619</v>
      </c>
      <c r="H105" s="448"/>
      <c r="I105" s="469"/>
      <c r="J105" s="469"/>
      <c r="K105" s="469"/>
      <c r="L105" s="469"/>
      <c r="M105" s="469"/>
      <c r="N105" s="469"/>
      <c r="O105" s="469"/>
      <c r="P105" s="469"/>
      <c r="Q105" s="469"/>
      <c r="R105" s="469"/>
      <c r="S105" s="469"/>
      <c r="T105" s="469"/>
      <c r="U105" s="469"/>
      <c r="V105" s="469"/>
      <c r="W105" s="469"/>
    </row>
    <row r="106">
      <c r="A106" s="487" t="s">
        <v>2612</v>
      </c>
      <c r="B106" s="487" t="s">
        <v>7521</v>
      </c>
      <c r="C106" s="487" t="s">
        <v>7522</v>
      </c>
      <c r="D106" s="484"/>
      <c r="E106" s="485"/>
      <c r="F106" s="488">
        <v>4304.16</v>
      </c>
      <c r="G106" s="448">
        <f>VLOOKUP(A106,Productos!$D$3:$AK811,16,FALSE())</f>
        <v>3771</v>
      </c>
      <c r="H106" s="448"/>
      <c r="I106" s="469"/>
      <c r="J106" s="469"/>
      <c r="K106" s="469"/>
      <c r="L106" s="469"/>
      <c r="M106" s="469"/>
      <c r="N106" s="469"/>
      <c r="O106" s="469"/>
      <c r="P106" s="469"/>
      <c r="Q106" s="469"/>
      <c r="R106" s="469"/>
      <c r="S106" s="469"/>
      <c r="T106" s="469"/>
      <c r="U106" s="469"/>
      <c r="V106" s="469"/>
      <c r="W106" s="469"/>
    </row>
    <row r="107">
      <c r="A107" s="487" t="s">
        <v>2614</v>
      </c>
      <c r="B107" s="487" t="s">
        <v>7523</v>
      </c>
      <c r="C107" s="487" t="s">
        <v>7524</v>
      </c>
      <c r="D107" s="484"/>
      <c r="E107" s="485"/>
      <c r="F107" s="488">
        <v>3171.84</v>
      </c>
      <c r="G107" s="448">
        <f>VLOOKUP(A107,Productos!$D$3:$AK811,16,FALSE())</f>
        <v>2778</v>
      </c>
      <c r="H107" s="448"/>
      <c r="I107" s="469"/>
      <c r="J107" s="469"/>
      <c r="K107" s="469"/>
      <c r="L107" s="469"/>
      <c r="M107" s="469"/>
      <c r="N107" s="469"/>
      <c r="O107" s="469"/>
      <c r="P107" s="469"/>
      <c r="Q107" s="469"/>
      <c r="R107" s="469"/>
      <c r="S107" s="469"/>
      <c r="T107" s="469"/>
      <c r="U107" s="469"/>
      <c r="V107" s="469"/>
      <c r="W107" s="469"/>
    </row>
    <row r="108">
      <c r="A108" s="487" t="s">
        <v>2428</v>
      </c>
      <c r="B108" s="487" t="s">
        <v>7525</v>
      </c>
      <c r="C108" s="487" t="s">
        <v>7526</v>
      </c>
      <c r="D108" s="484"/>
      <c r="E108" s="485"/>
      <c r="F108" s="488">
        <v>297.92</v>
      </c>
      <c r="G108" s="448">
        <f>VLOOKUP(A108,Productos!$D$3:$AK811,16,FALSE())</f>
        <v>260</v>
      </c>
      <c r="H108" s="448"/>
      <c r="I108" s="469"/>
      <c r="J108" s="469"/>
      <c r="K108" s="469"/>
      <c r="L108" s="469"/>
      <c r="M108" s="469"/>
      <c r="N108" s="469"/>
      <c r="O108" s="469"/>
      <c r="P108" s="469"/>
      <c r="Q108" s="469"/>
      <c r="R108" s="469"/>
      <c r="S108" s="469"/>
      <c r="T108" s="469"/>
      <c r="U108" s="469"/>
      <c r="V108" s="469"/>
      <c r="W108" s="469"/>
    </row>
    <row r="109">
      <c r="A109" s="487" t="s">
        <v>2638</v>
      </c>
      <c r="B109" s="487" t="s">
        <v>7527</v>
      </c>
      <c r="C109" s="487" t="s">
        <v>7528</v>
      </c>
      <c r="D109" s="484"/>
      <c r="E109" s="485"/>
      <c r="F109" s="488">
        <v>196.0</v>
      </c>
      <c r="G109" s="448">
        <f>VLOOKUP(A109,Productos!$D$3:$AK811,16,FALSE())</f>
        <v>172</v>
      </c>
      <c r="H109" s="448"/>
      <c r="I109" s="469"/>
      <c r="J109" s="469"/>
      <c r="K109" s="469"/>
      <c r="L109" s="469"/>
      <c r="M109" s="469"/>
      <c r="N109" s="469"/>
      <c r="O109" s="469"/>
      <c r="P109" s="469"/>
      <c r="Q109" s="469"/>
      <c r="R109" s="469"/>
      <c r="S109" s="469"/>
      <c r="T109" s="469"/>
      <c r="U109" s="469"/>
      <c r="V109" s="469"/>
      <c r="W109" s="469"/>
    </row>
    <row r="110">
      <c r="A110" s="487" t="s">
        <v>2814</v>
      </c>
      <c r="B110" s="487" t="s">
        <v>7529</v>
      </c>
      <c r="C110" s="487" t="s">
        <v>7530</v>
      </c>
      <c r="D110" s="484"/>
      <c r="E110" s="485"/>
      <c r="F110" s="488">
        <v>1331.68</v>
      </c>
      <c r="G110" s="448">
        <f>VLOOKUP(A110,Productos!$D$3:$AK811,16,FALSE())</f>
        <v>1167</v>
      </c>
      <c r="H110" s="448"/>
      <c r="I110" s="469"/>
      <c r="J110" s="469"/>
      <c r="K110" s="469"/>
      <c r="L110" s="469"/>
      <c r="M110" s="469"/>
      <c r="N110" s="469"/>
      <c r="O110" s="469"/>
      <c r="P110" s="469"/>
      <c r="Q110" s="469"/>
      <c r="R110" s="469"/>
      <c r="S110" s="469"/>
      <c r="T110" s="469"/>
      <c r="U110" s="469"/>
      <c r="V110" s="469"/>
      <c r="W110" s="469"/>
    </row>
    <row r="111">
      <c r="A111" s="487" t="s">
        <v>2898</v>
      </c>
      <c r="B111" s="487" t="s">
        <v>7531</v>
      </c>
      <c r="C111" s="487" t="s">
        <v>7532</v>
      </c>
      <c r="D111" s="484"/>
      <c r="E111" s="485"/>
      <c r="F111" s="488">
        <v>808.64</v>
      </c>
      <c r="G111" s="448">
        <f>VLOOKUP(A111,Productos!$D$3:$AK811,16,FALSE())</f>
        <v>710</v>
      </c>
      <c r="H111" s="448"/>
      <c r="I111" s="469"/>
      <c r="J111" s="469"/>
      <c r="K111" s="469"/>
      <c r="L111" s="469"/>
      <c r="M111" s="469"/>
      <c r="N111" s="469"/>
      <c r="O111" s="469"/>
      <c r="P111" s="469"/>
      <c r="Q111" s="469"/>
      <c r="R111" s="469"/>
      <c r="S111" s="469"/>
      <c r="T111" s="469"/>
      <c r="U111" s="469"/>
      <c r="V111" s="469"/>
      <c r="W111" s="469"/>
    </row>
    <row r="112">
      <c r="A112" s="487" t="s">
        <v>2861</v>
      </c>
      <c r="B112" s="487" t="s">
        <v>7533</v>
      </c>
      <c r="C112" s="487" t="s">
        <v>7534</v>
      </c>
      <c r="D112" s="484"/>
      <c r="E112" s="485"/>
      <c r="F112" s="488">
        <v>1123.36</v>
      </c>
      <c r="G112" s="448">
        <f>VLOOKUP(A112,Productos!$D$3:$AK811,16,FALSE())</f>
        <v>984</v>
      </c>
      <c r="H112" s="448"/>
      <c r="I112" s="469"/>
      <c r="J112" s="469"/>
      <c r="K112" s="469"/>
      <c r="L112" s="469"/>
      <c r="M112" s="469"/>
      <c r="N112" s="469"/>
      <c r="O112" s="469"/>
      <c r="P112" s="469"/>
      <c r="Q112" s="469"/>
      <c r="R112" s="469"/>
      <c r="S112" s="469"/>
      <c r="T112" s="469"/>
      <c r="U112" s="469"/>
      <c r="V112" s="469"/>
      <c r="W112" s="469"/>
    </row>
    <row r="113">
      <c r="A113" s="487" t="s">
        <v>2690</v>
      </c>
      <c r="B113" s="487" t="s">
        <v>7535</v>
      </c>
      <c r="C113" s="487" t="s">
        <v>7536</v>
      </c>
      <c r="D113" s="484"/>
      <c r="E113" s="485"/>
      <c r="F113" s="488">
        <v>2983.68</v>
      </c>
      <c r="G113" s="448">
        <f>VLOOKUP(A113,Productos!$D$3:$AK811,16,FALSE())</f>
        <v>2615</v>
      </c>
      <c r="H113" s="448"/>
      <c r="I113" s="469"/>
      <c r="J113" s="469"/>
      <c r="K113" s="469"/>
      <c r="L113" s="469"/>
      <c r="M113" s="469"/>
      <c r="N113" s="469"/>
      <c r="O113" s="469"/>
      <c r="P113" s="469"/>
      <c r="Q113" s="469"/>
      <c r="R113" s="469"/>
      <c r="S113" s="469"/>
      <c r="T113" s="469"/>
      <c r="U113" s="469"/>
      <c r="V113" s="469"/>
      <c r="W113" s="469"/>
    </row>
    <row r="114">
      <c r="A114" s="487" t="s">
        <v>2803</v>
      </c>
      <c r="B114" s="487" t="s">
        <v>7537</v>
      </c>
      <c r="C114" s="487" t="s">
        <v>7538</v>
      </c>
      <c r="D114" s="484"/>
      <c r="E114" s="485"/>
      <c r="F114" s="488">
        <v>560.0</v>
      </c>
      <c r="G114" s="448">
        <f>VLOOKUP(A114,Productos!$D$3:$AK811,16,FALSE())</f>
        <v>490</v>
      </c>
      <c r="H114" s="448"/>
      <c r="I114" s="469"/>
      <c r="J114" s="469"/>
      <c r="K114" s="469"/>
      <c r="L114" s="469"/>
      <c r="M114" s="469"/>
      <c r="N114" s="469"/>
      <c r="O114" s="469"/>
      <c r="P114" s="469"/>
      <c r="Q114" s="469"/>
      <c r="R114" s="469"/>
      <c r="S114" s="469"/>
      <c r="T114" s="469"/>
      <c r="U114" s="469"/>
      <c r="V114" s="469"/>
      <c r="W114" s="469"/>
    </row>
    <row r="115">
      <c r="A115" s="487" t="s">
        <v>2729</v>
      </c>
      <c r="B115" s="487" t="s">
        <v>2730</v>
      </c>
      <c r="C115" s="487" t="s">
        <v>7539</v>
      </c>
      <c r="D115" s="484"/>
      <c r="E115" s="485"/>
      <c r="F115" s="488">
        <v>495.04</v>
      </c>
      <c r="G115" s="448">
        <f>VLOOKUP(A115,Productos!$D$3:$AK811,16,FALSE())</f>
        <v>801</v>
      </c>
      <c r="H115" s="448"/>
      <c r="I115" s="469"/>
      <c r="J115" s="469"/>
      <c r="K115" s="469"/>
      <c r="L115" s="469"/>
      <c r="M115" s="469"/>
      <c r="N115" s="469"/>
      <c r="O115" s="469"/>
      <c r="P115" s="469"/>
      <c r="Q115" s="469"/>
      <c r="R115" s="469"/>
      <c r="S115" s="469"/>
      <c r="T115" s="469"/>
      <c r="U115" s="469"/>
      <c r="V115" s="469"/>
      <c r="W115" s="469"/>
    </row>
    <row r="116">
      <c r="A116" s="487" t="s">
        <v>2725</v>
      </c>
      <c r="B116" s="487" t="s">
        <v>2726</v>
      </c>
      <c r="C116" s="487" t="s">
        <v>7540</v>
      </c>
      <c r="D116" s="484"/>
      <c r="E116" s="485"/>
      <c r="F116" s="488">
        <v>495.04</v>
      </c>
      <c r="G116" s="448">
        <f>VLOOKUP(A116,Productos!$D$3:$AK811,16,FALSE())</f>
        <v>1029</v>
      </c>
      <c r="H116" s="448"/>
      <c r="I116" s="469"/>
      <c r="J116" s="469"/>
      <c r="K116" s="469"/>
      <c r="L116" s="469"/>
      <c r="M116" s="469"/>
      <c r="N116" s="469"/>
      <c r="O116" s="469"/>
      <c r="P116" s="469"/>
      <c r="Q116" s="469"/>
      <c r="R116" s="469"/>
      <c r="S116" s="469"/>
      <c r="T116" s="469"/>
      <c r="U116" s="469"/>
      <c r="V116" s="469"/>
      <c r="W116" s="469"/>
    </row>
    <row r="117">
      <c r="A117" s="487" t="s">
        <v>2852</v>
      </c>
      <c r="B117" s="487" t="s">
        <v>7541</v>
      </c>
      <c r="C117" s="487" t="s">
        <v>7542</v>
      </c>
      <c r="D117" s="484"/>
      <c r="E117" s="485"/>
      <c r="F117" s="488">
        <v>499.52</v>
      </c>
      <c r="G117" s="448">
        <f>VLOOKUP(A117,Productos!$D$3:$AK811,16,FALSE())</f>
        <v>438</v>
      </c>
      <c r="H117" s="448"/>
      <c r="I117" s="469"/>
      <c r="J117" s="469"/>
      <c r="K117" s="469"/>
      <c r="L117" s="469"/>
      <c r="M117" s="469"/>
      <c r="N117" s="469"/>
      <c r="O117" s="469"/>
      <c r="P117" s="469"/>
      <c r="Q117" s="469"/>
      <c r="R117" s="469"/>
      <c r="S117" s="469"/>
      <c r="T117" s="469"/>
      <c r="U117" s="469"/>
      <c r="V117" s="469"/>
      <c r="W117" s="469"/>
    </row>
    <row r="118">
      <c r="A118" s="487" t="s">
        <v>2745</v>
      </c>
      <c r="B118" s="487" t="s">
        <v>2746</v>
      </c>
      <c r="C118" s="487" t="s">
        <v>7543</v>
      </c>
      <c r="D118" s="484"/>
      <c r="E118" s="485"/>
      <c r="F118" s="488">
        <v>245.28</v>
      </c>
      <c r="G118" s="448">
        <f>VLOOKUP(A118,Productos!$D$3:$AK811,16,FALSE())</f>
        <v>214</v>
      </c>
      <c r="H118" s="448"/>
      <c r="I118" s="469"/>
      <c r="J118" s="469"/>
      <c r="K118" s="469"/>
      <c r="L118" s="469"/>
      <c r="M118" s="469"/>
      <c r="N118" s="469"/>
      <c r="O118" s="469"/>
      <c r="P118" s="469"/>
      <c r="Q118" s="469"/>
      <c r="R118" s="469"/>
      <c r="S118" s="469"/>
      <c r="T118" s="469"/>
      <c r="U118" s="469"/>
      <c r="V118" s="469"/>
      <c r="W118" s="469"/>
    </row>
    <row r="119">
      <c r="A119" s="487" t="s">
        <v>2716</v>
      </c>
      <c r="B119" s="487" t="s">
        <v>7544</v>
      </c>
      <c r="C119" s="487" t="s">
        <v>7545</v>
      </c>
      <c r="D119" s="484"/>
      <c r="E119" s="485"/>
      <c r="F119" s="488">
        <v>1096.48</v>
      </c>
      <c r="G119" s="448">
        <f>VLOOKUP(A119,Productos!$D$3:$AK811,16,FALSE())</f>
        <v>961</v>
      </c>
      <c r="H119" s="448"/>
      <c r="I119" s="469"/>
      <c r="J119" s="469"/>
      <c r="K119" s="469"/>
      <c r="L119" s="469"/>
      <c r="M119" s="469"/>
      <c r="N119" s="469"/>
      <c r="O119" s="469"/>
      <c r="P119" s="469"/>
      <c r="Q119" s="469"/>
      <c r="R119" s="469"/>
      <c r="S119" s="469"/>
      <c r="T119" s="469"/>
      <c r="U119" s="469"/>
      <c r="V119" s="469"/>
      <c r="W119" s="469"/>
    </row>
    <row r="120">
      <c r="A120" s="487" t="s">
        <v>7546</v>
      </c>
      <c r="B120" s="491" t="s">
        <v>6617</v>
      </c>
      <c r="C120" s="489" t="s">
        <v>7547</v>
      </c>
      <c r="D120" s="484"/>
      <c r="E120" s="485"/>
      <c r="F120" s="488">
        <v>339.36</v>
      </c>
      <c r="G120" s="448" t="str">
        <f>VLOOKUP(A120,Productos!$D$3:$AK811,16,FALSE())</f>
        <v>#N/A</v>
      </c>
      <c r="H120" s="448"/>
      <c r="I120" s="469"/>
      <c r="J120" s="469"/>
      <c r="K120" s="469"/>
      <c r="L120" s="469"/>
      <c r="M120" s="469"/>
      <c r="N120" s="469"/>
      <c r="O120" s="469"/>
      <c r="P120" s="469"/>
      <c r="Q120" s="469"/>
      <c r="R120" s="469"/>
      <c r="S120" s="469"/>
      <c r="T120" s="469"/>
      <c r="U120" s="469"/>
      <c r="V120" s="469"/>
      <c r="W120" s="469"/>
    </row>
    <row r="121">
      <c r="A121" s="487" t="s">
        <v>2938</v>
      </c>
      <c r="B121" s="487" t="s">
        <v>7548</v>
      </c>
      <c r="C121" s="487" t="s">
        <v>7549</v>
      </c>
      <c r="D121" s="484"/>
      <c r="E121" s="485"/>
      <c r="F121" s="488">
        <v>1477.28</v>
      </c>
      <c r="G121" s="448">
        <f>VLOOKUP(A121,Productos!$D$3:$AK811,16,FALSE())</f>
        <v>1295</v>
      </c>
      <c r="H121" s="448"/>
      <c r="I121" s="469"/>
      <c r="J121" s="469"/>
      <c r="K121" s="469"/>
      <c r="L121" s="469"/>
      <c r="M121" s="469"/>
      <c r="N121" s="469"/>
      <c r="O121" s="469"/>
      <c r="P121" s="469"/>
      <c r="Q121" s="469"/>
      <c r="R121" s="469"/>
      <c r="S121" s="469"/>
      <c r="T121" s="469"/>
      <c r="U121" s="469"/>
      <c r="V121" s="469"/>
      <c r="W121" s="469"/>
    </row>
    <row r="122">
      <c r="A122" s="487" t="s">
        <v>2936</v>
      </c>
      <c r="B122" s="487" t="s">
        <v>7550</v>
      </c>
      <c r="C122" s="487" t="s">
        <v>7551</v>
      </c>
      <c r="D122" s="484"/>
      <c r="E122" s="485"/>
      <c r="F122" s="488">
        <v>1480.64</v>
      </c>
      <c r="G122" s="448">
        <f>VLOOKUP(A122,Productos!$D$3:$AK811,16,FALSE())</f>
        <v>1297</v>
      </c>
      <c r="H122" s="448"/>
      <c r="I122" s="469"/>
      <c r="J122" s="469"/>
      <c r="K122" s="469"/>
      <c r="L122" s="469"/>
      <c r="M122" s="469"/>
      <c r="N122" s="469"/>
      <c r="O122" s="469"/>
      <c r="P122" s="469"/>
      <c r="Q122" s="469"/>
      <c r="R122" s="469"/>
      <c r="S122" s="469"/>
      <c r="T122" s="469"/>
      <c r="U122" s="469"/>
      <c r="V122" s="469"/>
      <c r="W122" s="469"/>
    </row>
    <row r="123">
      <c r="A123" s="487" t="s">
        <v>2942</v>
      </c>
      <c r="B123" s="487" t="s">
        <v>7552</v>
      </c>
      <c r="C123" s="487" t="s">
        <v>7553</v>
      </c>
      <c r="D123" s="484"/>
      <c r="E123" s="485"/>
      <c r="F123" s="488">
        <v>13456.8</v>
      </c>
      <c r="G123" s="448">
        <f>VLOOKUP(A123,Productos!$D$3:$AK811,16,FALSE())</f>
        <v>12015</v>
      </c>
      <c r="H123" s="447" t="s">
        <v>7554</v>
      </c>
      <c r="I123" s="469"/>
      <c r="J123" s="469"/>
      <c r="K123" s="469"/>
      <c r="L123" s="469"/>
      <c r="M123" s="469"/>
      <c r="N123" s="469"/>
      <c r="O123" s="469"/>
      <c r="P123" s="469"/>
      <c r="Q123" s="469"/>
      <c r="R123" s="469"/>
      <c r="S123" s="469"/>
      <c r="T123" s="469"/>
      <c r="U123" s="469"/>
      <c r="V123" s="469"/>
      <c r="W123" s="469"/>
    </row>
    <row r="124">
      <c r="A124" s="487" t="s">
        <v>2958</v>
      </c>
      <c r="B124" s="487" t="s">
        <v>2959</v>
      </c>
      <c r="C124" s="487" t="s">
        <v>7555</v>
      </c>
      <c r="D124" s="484"/>
      <c r="E124" s="485"/>
      <c r="F124" s="488">
        <v>334.88</v>
      </c>
      <c r="G124" s="448">
        <f>VLOOKUP(A124,Productos!$D$3:$AK811,16,FALSE())</f>
        <v>294</v>
      </c>
      <c r="H124" s="448"/>
      <c r="I124" s="469"/>
      <c r="J124" s="469"/>
      <c r="K124" s="469"/>
      <c r="L124" s="469"/>
      <c r="M124" s="469"/>
      <c r="N124" s="469"/>
      <c r="O124" s="469"/>
      <c r="P124" s="469"/>
      <c r="Q124" s="469"/>
      <c r="R124" s="469"/>
      <c r="S124" s="469"/>
      <c r="T124" s="469"/>
      <c r="U124" s="469"/>
      <c r="V124" s="469"/>
      <c r="W124" s="469"/>
    </row>
    <row r="125">
      <c r="A125" s="487" t="s">
        <v>2969</v>
      </c>
      <c r="B125" s="487" t="s">
        <v>2970</v>
      </c>
      <c r="C125" s="487" t="s">
        <v>7556</v>
      </c>
      <c r="D125" s="484"/>
      <c r="E125" s="485"/>
      <c r="F125" s="488">
        <v>255.36</v>
      </c>
      <c r="G125" s="448">
        <f>VLOOKUP(A125,Productos!$D$3:$AK811,16,FALSE())</f>
        <v>198</v>
      </c>
      <c r="H125" s="448"/>
      <c r="I125" s="469"/>
      <c r="J125" s="469"/>
      <c r="K125" s="469"/>
      <c r="L125" s="469"/>
      <c r="M125" s="469"/>
      <c r="N125" s="469"/>
      <c r="O125" s="469"/>
      <c r="P125" s="469"/>
      <c r="Q125" s="469"/>
      <c r="R125" s="469"/>
      <c r="S125" s="469"/>
      <c r="T125" s="469"/>
      <c r="U125" s="469"/>
      <c r="V125" s="469"/>
      <c r="W125" s="469"/>
    </row>
    <row r="126">
      <c r="A126" s="487" t="s">
        <v>3004</v>
      </c>
      <c r="B126" s="487" t="s">
        <v>7557</v>
      </c>
      <c r="C126" s="487" t="s">
        <v>7558</v>
      </c>
      <c r="D126" s="484"/>
      <c r="E126" s="485"/>
      <c r="F126" s="488">
        <v>378.56</v>
      </c>
      <c r="G126" s="448">
        <f>VLOOKUP(A126,Productos!$D$3:$AK811,16,FALSE())</f>
        <v>333</v>
      </c>
      <c r="H126" s="448"/>
      <c r="I126" s="469"/>
      <c r="J126" s="469"/>
      <c r="K126" s="469"/>
      <c r="L126" s="469"/>
      <c r="M126" s="469"/>
      <c r="N126" s="469"/>
      <c r="O126" s="469"/>
      <c r="P126" s="469"/>
      <c r="Q126" s="469"/>
      <c r="R126" s="469"/>
      <c r="S126" s="469"/>
      <c r="T126" s="469"/>
      <c r="U126" s="469"/>
      <c r="V126" s="469"/>
      <c r="W126" s="469"/>
    </row>
    <row r="127">
      <c r="A127" s="487" t="s">
        <v>2361</v>
      </c>
      <c r="B127" s="487" t="s">
        <v>7559</v>
      </c>
      <c r="C127" s="487" t="s">
        <v>7560</v>
      </c>
      <c r="D127" s="484"/>
      <c r="E127" s="485"/>
      <c r="F127" s="488">
        <v>2124.64</v>
      </c>
      <c r="G127" s="448">
        <f>VLOOKUP(A127,Productos!$D$3:$AK811,16,FALSE())</f>
        <v>1862</v>
      </c>
      <c r="H127" s="448"/>
      <c r="I127" s="469"/>
      <c r="J127" s="469"/>
      <c r="K127" s="469"/>
      <c r="L127" s="469"/>
      <c r="M127" s="469"/>
      <c r="N127" s="469"/>
      <c r="O127" s="469"/>
      <c r="P127" s="469"/>
      <c r="Q127" s="469"/>
      <c r="R127" s="469"/>
      <c r="S127" s="469"/>
      <c r="T127" s="469"/>
      <c r="U127" s="469"/>
      <c r="V127" s="469"/>
      <c r="W127" s="469"/>
    </row>
    <row r="128">
      <c r="A128" s="487" t="s">
        <v>4420</v>
      </c>
      <c r="B128" s="487" t="s">
        <v>7561</v>
      </c>
      <c r="C128" s="487" t="s">
        <v>7562</v>
      </c>
      <c r="D128" s="484"/>
      <c r="E128" s="485"/>
      <c r="F128" s="488">
        <v>334.88</v>
      </c>
      <c r="G128" s="448">
        <f>VLOOKUP(A128,Productos!$D$3:$AK811,16,FALSE())</f>
        <v>293</v>
      </c>
      <c r="H128" s="448"/>
      <c r="I128" s="469"/>
      <c r="J128" s="469"/>
      <c r="K128" s="469"/>
      <c r="L128" s="469"/>
      <c r="M128" s="469"/>
      <c r="N128" s="469"/>
      <c r="O128" s="469"/>
      <c r="P128" s="469"/>
      <c r="Q128" s="469"/>
      <c r="R128" s="469"/>
      <c r="S128" s="469"/>
      <c r="T128" s="469"/>
      <c r="U128" s="469"/>
      <c r="V128" s="469"/>
      <c r="W128" s="469"/>
    </row>
    <row r="129">
      <c r="A129" s="487" t="s">
        <v>3464</v>
      </c>
      <c r="B129" s="487" t="s">
        <v>7563</v>
      </c>
      <c r="C129" s="487" t="s">
        <v>7564</v>
      </c>
      <c r="D129" s="484"/>
      <c r="E129" s="485"/>
      <c r="F129" s="488">
        <v>957.6</v>
      </c>
      <c r="G129" s="448">
        <f>VLOOKUP(A129,Productos!$D$3:$AK811,16,FALSE())</f>
        <v>838</v>
      </c>
      <c r="H129" s="448"/>
      <c r="I129" s="469"/>
      <c r="J129" s="469"/>
      <c r="K129" s="469"/>
      <c r="L129" s="469"/>
      <c r="M129" s="469"/>
      <c r="N129" s="469"/>
      <c r="O129" s="469"/>
      <c r="P129" s="469"/>
      <c r="Q129" s="469"/>
      <c r="R129" s="469"/>
      <c r="S129" s="469"/>
      <c r="T129" s="469"/>
      <c r="U129" s="469"/>
      <c r="V129" s="469"/>
      <c r="W129" s="469"/>
    </row>
    <row r="130">
      <c r="A130" s="487" t="s">
        <v>3173</v>
      </c>
      <c r="B130" s="487" t="s">
        <v>7565</v>
      </c>
      <c r="C130" s="487" t="s">
        <v>7566</v>
      </c>
      <c r="D130" s="484"/>
      <c r="E130" s="485"/>
      <c r="F130" s="488">
        <v>1680.0</v>
      </c>
      <c r="G130" s="448">
        <f>VLOOKUP(A130,Productos!$D$3:$AK811,16,FALSE())</f>
        <v>1472</v>
      </c>
      <c r="H130" s="448"/>
      <c r="I130" s="469"/>
      <c r="J130" s="469"/>
      <c r="K130" s="469"/>
      <c r="L130" s="469"/>
      <c r="M130" s="469"/>
      <c r="N130" s="469"/>
      <c r="O130" s="469"/>
      <c r="P130" s="469"/>
      <c r="Q130" s="469"/>
      <c r="R130" s="469"/>
      <c r="S130" s="469"/>
      <c r="T130" s="469"/>
      <c r="U130" s="469"/>
      <c r="V130" s="469"/>
      <c r="W130" s="469"/>
    </row>
    <row r="131">
      <c r="A131" s="487" t="s">
        <v>3145</v>
      </c>
      <c r="B131" s="487" t="s">
        <v>3146</v>
      </c>
      <c r="C131" s="487" t="s">
        <v>7567</v>
      </c>
      <c r="D131" s="484"/>
      <c r="E131" s="485"/>
      <c r="F131" s="488">
        <v>7909.44</v>
      </c>
      <c r="G131" s="448">
        <f>VLOOKUP(A131,Productos!$D$3:$AK811,16,FALSE())</f>
        <v>6931</v>
      </c>
      <c r="H131" s="448"/>
      <c r="I131" s="469"/>
      <c r="J131" s="469"/>
      <c r="K131" s="469"/>
      <c r="L131" s="469"/>
      <c r="M131" s="469"/>
      <c r="N131" s="469"/>
      <c r="O131" s="469"/>
      <c r="P131" s="469"/>
      <c r="Q131" s="469"/>
      <c r="R131" s="469"/>
      <c r="S131" s="469"/>
      <c r="T131" s="469"/>
      <c r="U131" s="469"/>
      <c r="V131" s="469"/>
      <c r="W131" s="469"/>
    </row>
    <row r="132">
      <c r="A132" s="487" t="s">
        <v>3122</v>
      </c>
      <c r="B132" s="487" t="s">
        <v>3123</v>
      </c>
      <c r="C132" s="487" t="s">
        <v>7568</v>
      </c>
      <c r="D132" s="484"/>
      <c r="E132" s="485"/>
      <c r="F132" s="488">
        <v>796.32</v>
      </c>
      <c r="G132" s="448">
        <f>VLOOKUP(A132,Productos!$D$3:$AK811,16,FALSE())</f>
        <v>697</v>
      </c>
      <c r="H132" s="448"/>
      <c r="I132" s="469"/>
      <c r="J132" s="469"/>
      <c r="K132" s="469"/>
      <c r="L132" s="469"/>
      <c r="M132" s="469"/>
      <c r="N132" s="469"/>
      <c r="O132" s="469"/>
      <c r="P132" s="469"/>
      <c r="Q132" s="469"/>
      <c r="R132" s="469"/>
      <c r="S132" s="469"/>
      <c r="T132" s="469"/>
      <c r="U132" s="469"/>
      <c r="V132" s="469"/>
      <c r="W132" s="469"/>
    </row>
    <row r="133" ht="17.25" customHeight="1">
      <c r="A133" s="487" t="s">
        <v>3143</v>
      </c>
      <c r="B133" s="487" t="s">
        <v>3144</v>
      </c>
      <c r="C133" s="487" t="s">
        <v>7569</v>
      </c>
      <c r="D133" s="484"/>
      <c r="E133" s="485"/>
      <c r="F133" s="488">
        <v>9096.64</v>
      </c>
      <c r="G133" s="448">
        <f>VLOOKUP(A133,Productos!$D$3:$AK811,16,FALSE())</f>
        <v>7970</v>
      </c>
      <c r="H133" s="448"/>
      <c r="I133" s="469"/>
      <c r="J133" s="469"/>
      <c r="K133" s="469"/>
      <c r="L133" s="469"/>
      <c r="M133" s="469"/>
      <c r="N133" s="469"/>
      <c r="O133" s="469"/>
      <c r="P133" s="469"/>
      <c r="Q133" s="469"/>
      <c r="R133" s="469"/>
      <c r="S133" s="469"/>
      <c r="T133" s="469"/>
      <c r="U133" s="469"/>
      <c r="V133" s="469"/>
      <c r="W133" s="469"/>
    </row>
    <row r="134">
      <c r="A134" s="487" t="s">
        <v>3503</v>
      </c>
      <c r="B134" s="487" t="s">
        <v>7570</v>
      </c>
      <c r="C134" s="487" t="s">
        <v>7571</v>
      </c>
      <c r="D134" s="484"/>
      <c r="E134" s="485"/>
      <c r="F134" s="488">
        <v>992.32</v>
      </c>
      <c r="G134" s="448">
        <f>VLOOKUP(A134,Productos!$D$3:$AK811,16,FALSE())</f>
        <v>869</v>
      </c>
      <c r="H134" s="448"/>
      <c r="I134" s="469"/>
      <c r="J134" s="469"/>
      <c r="K134" s="469"/>
      <c r="L134" s="469"/>
      <c r="M134" s="469"/>
      <c r="N134" s="469"/>
      <c r="O134" s="469"/>
      <c r="P134" s="469"/>
      <c r="Q134" s="469"/>
      <c r="R134" s="469"/>
      <c r="S134" s="469"/>
      <c r="T134" s="469"/>
      <c r="U134" s="469"/>
      <c r="V134" s="469"/>
      <c r="W134" s="469"/>
    </row>
    <row r="135">
      <c r="A135" s="487" t="s">
        <v>3462</v>
      </c>
      <c r="B135" s="487" t="s">
        <v>7572</v>
      </c>
      <c r="C135" s="487" t="s">
        <v>7573</v>
      </c>
      <c r="D135" s="484"/>
      <c r="E135" s="485"/>
      <c r="F135" s="488">
        <v>24788.96</v>
      </c>
      <c r="G135" s="448">
        <f>VLOOKUP(A135,Productos!$D$3:$AK811,16,FALSE())</f>
        <v>21718</v>
      </c>
      <c r="H135" s="448"/>
      <c r="I135" s="469"/>
      <c r="J135" s="469"/>
      <c r="K135" s="469"/>
      <c r="L135" s="469"/>
      <c r="M135" s="469"/>
      <c r="N135" s="469"/>
      <c r="O135" s="469"/>
      <c r="P135" s="469"/>
      <c r="Q135" s="469"/>
      <c r="R135" s="469"/>
      <c r="S135" s="469"/>
      <c r="T135" s="469"/>
      <c r="U135" s="469"/>
      <c r="V135" s="469"/>
      <c r="W135" s="469"/>
    </row>
    <row r="136">
      <c r="A136" s="487" t="s">
        <v>3096</v>
      </c>
      <c r="B136" s="487" t="s">
        <v>7574</v>
      </c>
      <c r="C136" s="487" t="s">
        <v>7575</v>
      </c>
      <c r="D136" s="484"/>
      <c r="E136" s="485"/>
      <c r="F136" s="488">
        <v>2179.52</v>
      </c>
      <c r="G136" s="448">
        <f>VLOOKUP(A136,Productos!$D$3:$AK811,16,FALSE())</f>
        <v>1909</v>
      </c>
      <c r="H136" s="448"/>
      <c r="I136" s="469"/>
      <c r="J136" s="469"/>
      <c r="K136" s="469"/>
      <c r="L136" s="469"/>
      <c r="M136" s="469"/>
      <c r="N136" s="469"/>
      <c r="O136" s="469"/>
      <c r="P136" s="469"/>
      <c r="Q136" s="469"/>
      <c r="R136" s="469"/>
      <c r="S136" s="469"/>
      <c r="T136" s="469"/>
      <c r="U136" s="469"/>
      <c r="V136" s="469"/>
      <c r="W136" s="469"/>
    </row>
    <row r="137">
      <c r="A137" s="487" t="s">
        <v>3027</v>
      </c>
      <c r="B137" s="487" t="s">
        <v>7576</v>
      </c>
      <c r="C137" s="487" t="s">
        <v>7577</v>
      </c>
      <c r="D137" s="484"/>
      <c r="E137" s="485"/>
      <c r="F137" s="488">
        <v>2506.56</v>
      </c>
      <c r="G137" s="448">
        <f>VLOOKUP(A137,Productos!$D$3:$AK811,16,FALSE())</f>
        <v>2196</v>
      </c>
      <c r="H137" s="448"/>
      <c r="I137" s="469"/>
      <c r="J137" s="469"/>
      <c r="K137" s="469"/>
      <c r="L137" s="469"/>
      <c r="M137" s="469"/>
      <c r="N137" s="469"/>
      <c r="O137" s="469"/>
      <c r="P137" s="469"/>
      <c r="Q137" s="469"/>
      <c r="R137" s="469"/>
      <c r="S137" s="469"/>
      <c r="T137" s="469"/>
      <c r="U137" s="469"/>
      <c r="V137" s="469"/>
      <c r="W137" s="469"/>
    </row>
    <row r="138">
      <c r="A138" s="487" t="s">
        <v>3578</v>
      </c>
      <c r="B138" s="487" t="s">
        <v>7578</v>
      </c>
      <c r="C138" s="487" t="s">
        <v>7579</v>
      </c>
      <c r="D138" s="484"/>
      <c r="E138" s="485"/>
      <c r="F138" s="488">
        <v>1149.12</v>
      </c>
      <c r="G138" s="448">
        <f>VLOOKUP(A138,Productos!$D$3:$AK811,16,FALSE())</f>
        <v>1006</v>
      </c>
      <c r="H138" s="448"/>
      <c r="I138" s="469"/>
      <c r="J138" s="469"/>
      <c r="K138" s="469"/>
      <c r="L138" s="469"/>
      <c r="M138" s="469"/>
      <c r="N138" s="469"/>
      <c r="O138" s="469"/>
      <c r="P138" s="469"/>
      <c r="Q138" s="469"/>
      <c r="R138" s="469"/>
      <c r="S138" s="469"/>
      <c r="T138" s="469"/>
      <c r="U138" s="469"/>
      <c r="V138" s="469"/>
      <c r="W138" s="469"/>
    </row>
    <row r="139">
      <c r="A139" s="487" t="s">
        <v>3558</v>
      </c>
      <c r="B139" s="487" t="s">
        <v>7580</v>
      </c>
      <c r="C139" s="487" t="s">
        <v>7581</v>
      </c>
      <c r="D139" s="484"/>
      <c r="E139" s="485"/>
      <c r="F139" s="488">
        <v>352.8</v>
      </c>
      <c r="G139" s="448">
        <f>VLOOKUP(A139,Productos!$D$3:$AK811,16,FALSE())</f>
        <v>309</v>
      </c>
      <c r="H139" s="448"/>
      <c r="I139" s="469"/>
      <c r="J139" s="469"/>
      <c r="K139" s="469"/>
      <c r="L139" s="469"/>
      <c r="M139" s="469"/>
      <c r="N139" s="469"/>
      <c r="O139" s="469"/>
      <c r="P139" s="469"/>
      <c r="Q139" s="469"/>
      <c r="R139" s="469"/>
      <c r="S139" s="469"/>
      <c r="T139" s="469"/>
      <c r="U139" s="469"/>
      <c r="V139" s="469"/>
      <c r="W139" s="469"/>
    </row>
    <row r="140">
      <c r="A140" s="487" t="s">
        <v>3556</v>
      </c>
      <c r="B140" s="487" t="s">
        <v>7582</v>
      </c>
      <c r="C140" s="487" t="s">
        <v>7583</v>
      </c>
      <c r="D140" s="484"/>
      <c r="E140" s="485"/>
      <c r="F140" s="488">
        <v>352.8</v>
      </c>
      <c r="G140" s="448">
        <f>VLOOKUP(A140,Productos!$D$3:$AK811,16,FALSE())</f>
        <v>309</v>
      </c>
      <c r="H140" s="448"/>
      <c r="I140" s="469"/>
      <c r="J140" s="469"/>
      <c r="K140" s="469"/>
      <c r="L140" s="469"/>
      <c r="M140" s="469"/>
      <c r="N140" s="469"/>
      <c r="O140" s="469"/>
      <c r="P140" s="469"/>
      <c r="Q140" s="469"/>
      <c r="R140" s="469"/>
      <c r="S140" s="469"/>
      <c r="T140" s="469"/>
      <c r="U140" s="469"/>
      <c r="V140" s="469"/>
      <c r="W140" s="469"/>
    </row>
    <row r="141">
      <c r="A141" s="487" t="s">
        <v>4021</v>
      </c>
      <c r="B141" s="487" t="s">
        <v>7584</v>
      </c>
      <c r="C141" s="487" t="s">
        <v>7585</v>
      </c>
      <c r="D141" s="484"/>
      <c r="E141" s="485"/>
      <c r="F141" s="488">
        <v>28.0</v>
      </c>
      <c r="G141" s="448">
        <f>VLOOKUP(A141,Productos!$D$3:$AK811,16,FALSE())</f>
        <v>25</v>
      </c>
      <c r="H141" s="448"/>
      <c r="I141" s="469"/>
      <c r="J141" s="469"/>
      <c r="K141" s="469"/>
      <c r="L141" s="469"/>
      <c r="M141" s="469"/>
      <c r="N141" s="469"/>
      <c r="O141" s="469"/>
      <c r="P141" s="469"/>
      <c r="Q141" s="469"/>
      <c r="R141" s="469"/>
      <c r="S141" s="469"/>
      <c r="T141" s="469"/>
      <c r="U141" s="469"/>
      <c r="V141" s="469"/>
      <c r="W141" s="469"/>
    </row>
    <row r="142">
      <c r="A142" s="487" t="s">
        <v>4023</v>
      </c>
      <c r="B142" s="487" t="s">
        <v>7586</v>
      </c>
      <c r="C142" s="487" t="s">
        <v>7587</v>
      </c>
      <c r="D142" s="484"/>
      <c r="E142" s="485"/>
      <c r="F142" s="488">
        <v>31.36</v>
      </c>
      <c r="G142" s="448">
        <f>VLOOKUP(A142,Productos!$D$3:$AK811,16,FALSE())</f>
        <v>28</v>
      </c>
      <c r="H142" s="448"/>
      <c r="I142" s="469"/>
      <c r="J142" s="469"/>
      <c r="K142" s="469"/>
      <c r="L142" s="469"/>
      <c r="M142" s="469"/>
      <c r="N142" s="469"/>
      <c r="O142" s="469"/>
      <c r="P142" s="469"/>
      <c r="Q142" s="469"/>
      <c r="R142" s="469"/>
      <c r="S142" s="469"/>
      <c r="T142" s="469"/>
      <c r="U142" s="469"/>
      <c r="V142" s="469"/>
      <c r="W142" s="469"/>
    </row>
    <row r="143">
      <c r="A143" s="487" t="s">
        <v>4019</v>
      </c>
      <c r="B143" s="487" t="s">
        <v>7588</v>
      </c>
      <c r="C143" s="487" t="s">
        <v>7589</v>
      </c>
      <c r="D143" s="484"/>
      <c r="E143" s="485"/>
      <c r="F143" s="488">
        <v>386.4</v>
      </c>
      <c r="G143" s="448">
        <f>VLOOKUP(A143,Productos!$D$3:$AK811,16,FALSE())</f>
        <v>339</v>
      </c>
      <c r="H143" s="448"/>
      <c r="I143" s="469"/>
      <c r="J143" s="469"/>
      <c r="K143" s="469"/>
      <c r="L143" s="469"/>
      <c r="M143" s="469"/>
      <c r="N143" s="469"/>
      <c r="O143" s="469"/>
      <c r="P143" s="469"/>
      <c r="Q143" s="469"/>
      <c r="R143" s="469"/>
      <c r="S143" s="469"/>
      <c r="T143" s="469"/>
      <c r="U143" s="469"/>
      <c r="V143" s="469"/>
      <c r="W143" s="469"/>
    </row>
    <row r="144">
      <c r="A144" s="487" t="s">
        <v>4101</v>
      </c>
      <c r="B144" s="487" t="s">
        <v>7590</v>
      </c>
      <c r="C144" s="487" t="s">
        <v>7591</v>
      </c>
      <c r="D144" s="484"/>
      <c r="E144" s="485"/>
      <c r="F144" s="490"/>
      <c r="G144" s="448">
        <f>VLOOKUP(A144,Productos!$D$3:$AK811,16,FALSE())</f>
        <v>1301</v>
      </c>
      <c r="H144" s="448"/>
      <c r="I144" s="469"/>
      <c r="J144" s="469"/>
      <c r="K144" s="469"/>
      <c r="L144" s="469"/>
      <c r="M144" s="469"/>
      <c r="N144" s="469"/>
      <c r="O144" s="469"/>
      <c r="P144" s="469"/>
      <c r="Q144" s="469"/>
      <c r="R144" s="469"/>
      <c r="S144" s="469"/>
      <c r="T144" s="469"/>
      <c r="U144" s="469"/>
      <c r="V144" s="469"/>
      <c r="W144" s="469"/>
    </row>
    <row r="145">
      <c r="A145" s="487" t="s">
        <v>3662</v>
      </c>
      <c r="B145" s="487" t="s">
        <v>7592</v>
      </c>
      <c r="C145" s="487" t="s">
        <v>7593</v>
      </c>
      <c r="D145" s="484"/>
      <c r="E145" s="485"/>
      <c r="F145" s="488">
        <v>3177.44</v>
      </c>
      <c r="G145" s="448">
        <f>VLOOKUP(A145,Productos!$D$3:$AK811,16,FALSE())</f>
        <v>2785</v>
      </c>
      <c r="H145" s="448"/>
      <c r="I145" s="469"/>
      <c r="J145" s="469"/>
      <c r="K145" s="469"/>
      <c r="L145" s="469"/>
      <c r="M145" s="469"/>
      <c r="N145" s="469"/>
      <c r="O145" s="469"/>
      <c r="P145" s="469"/>
      <c r="Q145" s="469"/>
      <c r="R145" s="469"/>
      <c r="S145" s="469"/>
      <c r="T145" s="469"/>
      <c r="U145" s="469"/>
      <c r="V145" s="469"/>
      <c r="W145" s="469"/>
    </row>
    <row r="146">
      <c r="A146" s="487" t="s">
        <v>3747</v>
      </c>
      <c r="B146" s="489" t="s">
        <v>3748</v>
      </c>
      <c r="C146" s="489" t="s">
        <v>7594</v>
      </c>
      <c r="D146" s="484"/>
      <c r="E146" s="485"/>
      <c r="F146" s="488">
        <v>706.72</v>
      </c>
      <c r="G146" s="448">
        <f>VLOOKUP(A146,Productos!$D$3:$AK811,16,FALSE())</f>
        <v>620</v>
      </c>
      <c r="H146" s="448"/>
      <c r="I146" s="469"/>
      <c r="J146" s="469"/>
      <c r="K146" s="469"/>
      <c r="L146" s="469"/>
      <c r="M146" s="469"/>
      <c r="N146" s="469"/>
      <c r="O146" s="469"/>
      <c r="P146" s="469"/>
      <c r="Q146" s="469"/>
      <c r="R146" s="469"/>
      <c r="S146" s="469"/>
      <c r="T146" s="469"/>
      <c r="U146" s="469"/>
      <c r="V146" s="469"/>
      <c r="W146" s="469"/>
    </row>
    <row r="147">
      <c r="A147" s="487" t="s">
        <v>3659</v>
      </c>
      <c r="B147" s="489" t="s">
        <v>3660</v>
      </c>
      <c r="C147" s="489" t="s">
        <v>7595</v>
      </c>
      <c r="D147" s="484"/>
      <c r="E147" s="485"/>
      <c r="F147" s="488">
        <v>5045.6</v>
      </c>
      <c r="G147" s="448">
        <f>VLOOKUP(A147,Productos!$D$3:$AK811,16,FALSE())</f>
        <v>4421</v>
      </c>
      <c r="H147" s="448"/>
      <c r="I147" s="469"/>
      <c r="J147" s="469"/>
      <c r="K147" s="469"/>
      <c r="L147" s="469"/>
      <c r="M147" s="469"/>
      <c r="N147" s="469"/>
      <c r="O147" s="469"/>
      <c r="P147" s="469"/>
      <c r="Q147" s="469"/>
      <c r="R147" s="469"/>
      <c r="S147" s="469"/>
      <c r="T147" s="469"/>
      <c r="U147" s="469"/>
      <c r="V147" s="469"/>
      <c r="W147" s="469"/>
    </row>
    <row r="148">
      <c r="A148" s="487" t="s">
        <v>3656</v>
      </c>
      <c r="B148" s="489" t="s">
        <v>3657</v>
      </c>
      <c r="C148" s="489" t="s">
        <v>7596</v>
      </c>
      <c r="D148" s="484"/>
      <c r="E148" s="485"/>
      <c r="F148" s="488">
        <v>4063.36</v>
      </c>
      <c r="G148" s="448">
        <f>VLOOKUP(A148,Productos!$D$3:$AK811,16,FALSE())</f>
        <v>3560</v>
      </c>
      <c r="H148" s="448"/>
      <c r="I148" s="469"/>
      <c r="J148" s="469"/>
      <c r="K148" s="469"/>
      <c r="L148" s="469"/>
      <c r="M148" s="469"/>
      <c r="N148" s="469"/>
      <c r="O148" s="469"/>
      <c r="P148" s="469"/>
      <c r="Q148" s="469"/>
      <c r="R148" s="469"/>
      <c r="S148" s="469"/>
      <c r="T148" s="469"/>
      <c r="U148" s="469"/>
      <c r="V148" s="469"/>
      <c r="W148" s="469"/>
    </row>
    <row r="149">
      <c r="A149" s="487" t="s">
        <v>3914</v>
      </c>
      <c r="B149" s="487" t="s">
        <v>7597</v>
      </c>
      <c r="C149" s="487" t="s">
        <v>7598</v>
      </c>
      <c r="D149" s="484"/>
      <c r="E149" s="485"/>
      <c r="F149" s="488">
        <v>66.08</v>
      </c>
      <c r="G149" s="448">
        <f>VLOOKUP(A149,Productos!$D$3:$AK811,16,FALSE())</f>
        <v>58</v>
      </c>
      <c r="H149" s="448"/>
      <c r="I149" s="469"/>
      <c r="J149" s="469"/>
      <c r="K149" s="469"/>
      <c r="L149" s="469"/>
      <c r="M149" s="469"/>
      <c r="N149" s="469"/>
      <c r="O149" s="469"/>
      <c r="P149" s="469"/>
      <c r="Q149" s="469"/>
      <c r="R149" s="469"/>
      <c r="S149" s="469"/>
      <c r="T149" s="469"/>
      <c r="U149" s="469"/>
      <c r="V149" s="469"/>
      <c r="W149" s="469"/>
    </row>
    <row r="150">
      <c r="A150" s="487" t="s">
        <v>4382</v>
      </c>
      <c r="B150" s="487" t="s">
        <v>7599</v>
      </c>
      <c r="C150" s="487" t="s">
        <v>7600</v>
      </c>
      <c r="D150" s="484"/>
      <c r="E150" s="485"/>
      <c r="F150" s="488">
        <v>7859.04</v>
      </c>
      <c r="G150" s="448">
        <f>VLOOKUP(A150,Productos!$D$3:$AK811,16,FALSE())</f>
        <v>6887</v>
      </c>
      <c r="H150" s="448"/>
      <c r="I150" s="469"/>
      <c r="J150" s="469"/>
      <c r="K150" s="469"/>
      <c r="L150" s="469"/>
      <c r="M150" s="469"/>
      <c r="N150" s="469"/>
      <c r="O150" s="469"/>
      <c r="P150" s="469"/>
      <c r="Q150" s="469"/>
      <c r="R150" s="469"/>
      <c r="S150" s="469"/>
      <c r="T150" s="469"/>
      <c r="U150" s="469"/>
      <c r="V150" s="469"/>
      <c r="W150" s="469"/>
    </row>
    <row r="151">
      <c r="A151" s="487" t="s">
        <v>4325</v>
      </c>
      <c r="B151" s="487" t="s">
        <v>4326</v>
      </c>
      <c r="C151" s="487" t="s">
        <v>7601</v>
      </c>
      <c r="D151" s="484"/>
      <c r="E151" s="485"/>
      <c r="F151" s="488">
        <v>8759.52</v>
      </c>
      <c r="G151" s="448">
        <f>VLOOKUP(A151,Productos!$D$3:$AK811,16,FALSE())</f>
        <v>9495</v>
      </c>
      <c r="H151" s="448"/>
      <c r="I151" s="469"/>
      <c r="J151" s="469"/>
      <c r="K151" s="469"/>
      <c r="L151" s="469"/>
      <c r="M151" s="469"/>
      <c r="N151" s="469"/>
      <c r="O151" s="469"/>
      <c r="P151" s="469"/>
      <c r="Q151" s="469"/>
      <c r="R151" s="469"/>
      <c r="S151" s="469"/>
      <c r="T151" s="469"/>
      <c r="U151" s="469"/>
      <c r="V151" s="469"/>
      <c r="W151" s="469"/>
    </row>
    <row r="152">
      <c r="A152" s="487" t="s">
        <v>7602</v>
      </c>
      <c r="B152" s="487" t="s">
        <v>7603</v>
      </c>
      <c r="C152" s="487" t="s">
        <v>7604</v>
      </c>
      <c r="D152" s="484"/>
      <c r="E152" s="485"/>
      <c r="F152" s="490"/>
      <c r="G152" s="448" t="str">
        <f>VLOOKUP(A152,Productos!$D$3:$AK811,16,FALSE())</f>
        <v>#N/A</v>
      </c>
      <c r="H152" s="448"/>
      <c r="I152" s="469"/>
      <c r="J152" s="469"/>
      <c r="K152" s="469"/>
      <c r="L152" s="469"/>
      <c r="M152" s="469"/>
      <c r="N152" s="469"/>
      <c r="O152" s="469"/>
      <c r="P152" s="469"/>
      <c r="Q152" s="469"/>
      <c r="R152" s="469"/>
      <c r="S152" s="469"/>
      <c r="T152" s="469"/>
      <c r="U152" s="469"/>
      <c r="V152" s="469"/>
      <c r="W152" s="469"/>
    </row>
    <row r="153">
      <c r="A153" s="487" t="s">
        <v>4361</v>
      </c>
      <c r="B153" s="489" t="s">
        <v>7605</v>
      </c>
      <c r="C153" s="489" t="s">
        <v>7604</v>
      </c>
      <c r="D153" s="484"/>
      <c r="E153" s="485"/>
      <c r="F153" s="490"/>
      <c r="G153" s="448">
        <f>VLOOKUP(A153,Productos!$D$3:$AK811,16,FALSE())</f>
        <v>8050</v>
      </c>
      <c r="H153" s="448"/>
      <c r="I153" s="469"/>
      <c r="J153" s="469"/>
      <c r="K153" s="469"/>
      <c r="L153" s="469"/>
      <c r="M153" s="469"/>
      <c r="N153" s="469"/>
      <c r="O153" s="469"/>
      <c r="P153" s="469"/>
      <c r="Q153" s="469"/>
      <c r="R153" s="469"/>
      <c r="S153" s="469"/>
      <c r="T153" s="469"/>
      <c r="U153" s="469"/>
      <c r="V153" s="469"/>
      <c r="W153" s="469"/>
    </row>
    <row r="154">
      <c r="A154" s="487" t="s">
        <v>4397</v>
      </c>
      <c r="B154" s="489" t="s">
        <v>7606</v>
      </c>
      <c r="C154" s="489" t="s">
        <v>7607</v>
      </c>
      <c r="D154" s="484"/>
      <c r="E154" s="485"/>
      <c r="F154" s="488">
        <v>26770.24</v>
      </c>
      <c r="G154" s="448">
        <f>VLOOKUP(A154,Productos!$D$3:$AK811,16,FALSE())</f>
        <v>23902</v>
      </c>
      <c r="H154" s="448"/>
      <c r="I154" s="469"/>
      <c r="J154" s="469"/>
      <c r="K154" s="469"/>
      <c r="L154" s="469"/>
      <c r="M154" s="469"/>
      <c r="N154" s="469"/>
      <c r="O154" s="469"/>
      <c r="P154" s="469"/>
      <c r="Q154" s="469"/>
      <c r="R154" s="469"/>
      <c r="S154" s="469"/>
      <c r="T154" s="469"/>
      <c r="U154" s="469"/>
      <c r="V154" s="469"/>
      <c r="W154" s="469"/>
    </row>
    <row r="155">
      <c r="A155" s="487" t="s">
        <v>4400</v>
      </c>
      <c r="B155" s="489" t="s">
        <v>7608</v>
      </c>
      <c r="C155" s="489" t="s">
        <v>7609</v>
      </c>
      <c r="D155" s="484"/>
      <c r="E155" s="485"/>
      <c r="F155" s="492">
        <v>24991.68</v>
      </c>
      <c r="G155" s="448">
        <f>VLOOKUP(A155,Productos!$D$3:$AK811,16,FALSE())</f>
        <v>21896</v>
      </c>
      <c r="H155" s="448"/>
      <c r="I155" s="469"/>
      <c r="J155" s="469"/>
      <c r="K155" s="469"/>
      <c r="L155" s="469"/>
      <c r="M155" s="469"/>
      <c r="N155" s="469"/>
      <c r="O155" s="469"/>
      <c r="P155" s="469"/>
      <c r="Q155" s="469"/>
      <c r="R155" s="469"/>
      <c r="S155" s="469"/>
      <c r="T155" s="469"/>
      <c r="U155" s="469"/>
      <c r="V155" s="469"/>
      <c r="W155" s="469"/>
    </row>
    <row r="156">
      <c r="A156" s="487" t="s">
        <v>7610</v>
      </c>
      <c r="B156" s="489" t="s">
        <v>7611</v>
      </c>
      <c r="C156" s="489" t="s">
        <v>7612</v>
      </c>
      <c r="D156" s="484"/>
      <c r="E156" s="485"/>
      <c r="F156" s="488">
        <v>29696.8</v>
      </c>
      <c r="G156" s="448" t="str">
        <f>VLOOKUP(A156,Productos!$D$3:$AK811,16,FALSE())</f>
        <v>#N/A</v>
      </c>
      <c r="H156" s="448"/>
      <c r="I156" s="469"/>
      <c r="J156" s="469"/>
      <c r="K156" s="469"/>
      <c r="L156" s="469"/>
      <c r="M156" s="469"/>
      <c r="N156" s="469"/>
      <c r="O156" s="469"/>
      <c r="P156" s="469"/>
      <c r="Q156" s="469"/>
      <c r="R156" s="469"/>
      <c r="S156" s="469"/>
      <c r="T156" s="469"/>
      <c r="U156" s="469"/>
      <c r="V156" s="469"/>
      <c r="W156" s="469"/>
    </row>
    <row r="157">
      <c r="A157" s="487" t="s">
        <v>5234</v>
      </c>
      <c r="B157" s="489" t="s">
        <v>7613</v>
      </c>
      <c r="C157" s="489" t="s">
        <v>7614</v>
      </c>
      <c r="D157" s="484"/>
      <c r="E157" s="485"/>
      <c r="F157" s="488">
        <v>17704.96</v>
      </c>
      <c r="G157" s="448">
        <f>VLOOKUP(A157,Productos!$D$3:$AK811,16,FALSE())</f>
        <v>15513</v>
      </c>
      <c r="H157" s="448"/>
      <c r="I157" s="469"/>
      <c r="J157" s="469"/>
      <c r="K157" s="469"/>
      <c r="L157" s="469"/>
      <c r="M157" s="469"/>
      <c r="N157" s="469"/>
      <c r="O157" s="469"/>
      <c r="P157" s="469"/>
      <c r="Q157" s="469"/>
      <c r="R157" s="469"/>
      <c r="S157" s="469"/>
      <c r="T157" s="469"/>
      <c r="U157" s="469"/>
      <c r="V157" s="469"/>
      <c r="W157" s="469"/>
    </row>
    <row r="158">
      <c r="A158" s="487" t="s">
        <v>5232</v>
      </c>
      <c r="B158" s="489" t="s">
        <v>7615</v>
      </c>
      <c r="C158" s="489" t="s">
        <v>7616</v>
      </c>
      <c r="D158" s="484"/>
      <c r="E158" s="485"/>
      <c r="F158" s="488">
        <v>14470.4</v>
      </c>
      <c r="G158" s="448">
        <f>VLOOKUP(A158,Productos!$D$3:$AK811,16,FALSE())</f>
        <v>12679</v>
      </c>
      <c r="H158" s="448"/>
      <c r="I158" s="469"/>
      <c r="J158" s="469"/>
      <c r="K158" s="469"/>
      <c r="L158" s="469"/>
      <c r="M158" s="469"/>
      <c r="N158" s="469"/>
      <c r="O158" s="469"/>
      <c r="P158" s="469"/>
      <c r="Q158" s="469"/>
      <c r="R158" s="469"/>
      <c r="S158" s="469"/>
      <c r="T158" s="469"/>
      <c r="U158" s="469"/>
      <c r="V158" s="469"/>
      <c r="W158" s="469"/>
    </row>
    <row r="159">
      <c r="A159" s="487" t="s">
        <v>7617</v>
      </c>
      <c r="B159" s="489" t="s">
        <v>7618</v>
      </c>
      <c r="C159" s="489" t="s">
        <v>7619</v>
      </c>
      <c r="D159" s="484"/>
      <c r="E159" s="485"/>
      <c r="F159" s="488">
        <v>20310.08</v>
      </c>
      <c r="G159" s="448" t="str">
        <f>VLOOKUP(A159,Productos!$D$3:$AK811,16,FALSE())</f>
        <v>#N/A</v>
      </c>
      <c r="H159" s="448"/>
      <c r="I159" s="469"/>
      <c r="J159" s="469"/>
      <c r="K159" s="469"/>
      <c r="L159" s="469"/>
      <c r="M159" s="469"/>
      <c r="N159" s="469"/>
      <c r="O159" s="469"/>
      <c r="P159" s="469"/>
      <c r="Q159" s="469"/>
      <c r="R159" s="469"/>
      <c r="S159" s="469"/>
      <c r="T159" s="469"/>
      <c r="U159" s="469"/>
      <c r="V159" s="469"/>
      <c r="W159" s="469"/>
    </row>
    <row r="160">
      <c r="A160" s="487" t="s">
        <v>4330</v>
      </c>
      <c r="B160" s="489" t="s">
        <v>7620</v>
      </c>
      <c r="C160" s="489" t="s">
        <v>7621</v>
      </c>
      <c r="D160" s="484"/>
      <c r="E160" s="485"/>
      <c r="F160" s="488">
        <v>9400.16</v>
      </c>
      <c r="G160" s="448">
        <f>VLOOKUP(A160,Productos!$D$3:$AK811,16,FALSE())</f>
        <v>8236</v>
      </c>
      <c r="H160" s="448"/>
      <c r="I160" s="469"/>
      <c r="J160" s="469"/>
      <c r="K160" s="469"/>
      <c r="L160" s="469"/>
      <c r="M160" s="469"/>
      <c r="N160" s="469"/>
      <c r="O160" s="469"/>
      <c r="P160" s="469"/>
      <c r="Q160" s="469"/>
      <c r="R160" s="469"/>
      <c r="S160" s="469"/>
      <c r="T160" s="469"/>
      <c r="U160" s="469"/>
      <c r="V160" s="469"/>
      <c r="W160" s="469"/>
    </row>
    <row r="161">
      <c r="A161" s="487" t="s">
        <v>4328</v>
      </c>
      <c r="B161" s="489" t="s">
        <v>7622</v>
      </c>
      <c r="C161" s="489" t="s">
        <v>7623</v>
      </c>
      <c r="D161" s="484"/>
      <c r="E161" s="485"/>
      <c r="F161" s="488">
        <v>8721.44</v>
      </c>
      <c r="G161" s="448">
        <f>VLOOKUP(A161,Productos!$D$3:$AK811,16,FALSE())</f>
        <v>7641</v>
      </c>
      <c r="H161" s="448"/>
      <c r="I161" s="469"/>
      <c r="J161" s="469"/>
      <c r="K161" s="469"/>
      <c r="L161" s="469"/>
      <c r="M161" s="469"/>
      <c r="N161" s="469"/>
      <c r="O161" s="469"/>
      <c r="P161" s="469"/>
      <c r="Q161" s="469"/>
      <c r="R161" s="469"/>
      <c r="S161" s="469"/>
      <c r="T161" s="469"/>
      <c r="U161" s="469"/>
      <c r="V161" s="469"/>
      <c r="W161" s="469"/>
    </row>
    <row r="162">
      <c r="A162" s="487" t="s">
        <v>4319</v>
      </c>
      <c r="B162" s="487" t="s">
        <v>7624</v>
      </c>
      <c r="C162" s="487" t="s">
        <v>7625</v>
      </c>
      <c r="D162" s="484"/>
      <c r="E162" s="485"/>
      <c r="F162" s="488">
        <v>48846.56</v>
      </c>
      <c r="G162" s="448">
        <f>VLOOKUP(A162,Productos!$D$3:$AK811,16,FALSE())</f>
        <v>42797</v>
      </c>
      <c r="H162" s="448"/>
      <c r="I162" s="469"/>
      <c r="J162" s="469"/>
      <c r="K162" s="469"/>
      <c r="L162" s="469"/>
      <c r="M162" s="469"/>
      <c r="N162" s="469"/>
      <c r="O162" s="469"/>
      <c r="P162" s="469"/>
      <c r="Q162" s="469"/>
      <c r="R162" s="469"/>
      <c r="S162" s="469"/>
      <c r="T162" s="469"/>
      <c r="U162" s="469"/>
      <c r="V162" s="469"/>
      <c r="W162" s="469"/>
    </row>
    <row r="163">
      <c r="A163" s="487" t="s">
        <v>3921</v>
      </c>
      <c r="B163" s="487" t="s">
        <v>7626</v>
      </c>
      <c r="C163" s="487" t="s">
        <v>7627</v>
      </c>
      <c r="D163" s="484"/>
      <c r="E163" s="485"/>
      <c r="F163" s="488">
        <v>1438.08</v>
      </c>
      <c r="G163" s="448">
        <f>VLOOKUP(A163,Productos!$D$3:$AK811,16,FALSE())</f>
        <v>1261</v>
      </c>
      <c r="H163" s="448"/>
      <c r="I163" s="469"/>
      <c r="J163" s="469"/>
      <c r="K163" s="469"/>
      <c r="L163" s="469"/>
      <c r="M163" s="469"/>
      <c r="N163" s="469"/>
      <c r="O163" s="469"/>
      <c r="P163" s="469"/>
      <c r="Q163" s="469"/>
      <c r="R163" s="469"/>
      <c r="S163" s="469"/>
      <c r="T163" s="469"/>
      <c r="U163" s="469"/>
      <c r="V163" s="469"/>
      <c r="W163" s="469"/>
    </row>
    <row r="164">
      <c r="A164" s="487" t="s">
        <v>2662</v>
      </c>
      <c r="B164" s="487" t="s">
        <v>7628</v>
      </c>
      <c r="C164" s="487" t="s">
        <v>7629</v>
      </c>
      <c r="D164" s="484"/>
      <c r="E164" s="485"/>
      <c r="F164" s="488">
        <v>7060.48</v>
      </c>
      <c r="G164" s="448">
        <f>VLOOKUP(A164,Productos!$D$3:$AK811,16,FALSE())</f>
        <v>6972</v>
      </c>
      <c r="H164" s="448"/>
      <c r="I164" s="469"/>
      <c r="J164" s="469"/>
      <c r="K164" s="469"/>
      <c r="L164" s="469"/>
      <c r="M164" s="469"/>
      <c r="N164" s="469"/>
      <c r="O164" s="469"/>
      <c r="P164" s="469"/>
      <c r="Q164" s="469"/>
      <c r="R164" s="469"/>
      <c r="S164" s="469"/>
      <c r="T164" s="469"/>
      <c r="U164" s="469"/>
      <c r="V164" s="469"/>
      <c r="W164" s="469"/>
    </row>
    <row r="165">
      <c r="A165" s="487" t="s">
        <v>4422</v>
      </c>
      <c r="B165" s="487" t="s">
        <v>7630</v>
      </c>
      <c r="C165" s="487" t="s">
        <v>7631</v>
      </c>
      <c r="D165" s="484"/>
      <c r="E165" s="485"/>
      <c r="F165" s="488">
        <v>91.84</v>
      </c>
      <c r="G165" s="448">
        <f>VLOOKUP(A165,Productos!$D$3:$AK811,16,FALSE())</f>
        <v>81</v>
      </c>
      <c r="H165" s="448"/>
      <c r="I165" s="469"/>
      <c r="J165" s="469"/>
      <c r="K165" s="469"/>
      <c r="L165" s="469"/>
      <c r="M165" s="469"/>
      <c r="N165" s="469"/>
      <c r="O165" s="469"/>
      <c r="P165" s="469"/>
      <c r="Q165" s="469"/>
      <c r="R165" s="469"/>
      <c r="S165" s="469"/>
      <c r="T165" s="469"/>
      <c r="U165" s="469"/>
      <c r="V165" s="469"/>
      <c r="W165" s="469"/>
    </row>
    <row r="166">
      <c r="A166" s="487" t="s">
        <v>4422</v>
      </c>
      <c r="B166" s="489" t="s">
        <v>7632</v>
      </c>
      <c r="C166" s="489" t="s">
        <v>7631</v>
      </c>
      <c r="D166" s="484"/>
      <c r="E166" s="485"/>
      <c r="F166" s="488">
        <v>91.84</v>
      </c>
      <c r="G166" s="448">
        <f>VLOOKUP(A166,Productos!$D$3:$AK811,16,FALSE())</f>
        <v>81</v>
      </c>
      <c r="H166" s="448"/>
      <c r="I166" s="469"/>
      <c r="J166" s="469"/>
      <c r="K166" s="469"/>
      <c r="L166" s="469"/>
      <c r="M166" s="469"/>
      <c r="N166" s="469"/>
      <c r="O166" s="469"/>
      <c r="P166" s="469"/>
      <c r="Q166" s="469"/>
      <c r="R166" s="469"/>
      <c r="S166" s="469"/>
      <c r="T166" s="469"/>
      <c r="U166" s="469"/>
      <c r="V166" s="469"/>
      <c r="W166" s="469"/>
    </row>
    <row r="167">
      <c r="A167" s="487" t="s">
        <v>4424</v>
      </c>
      <c r="B167" s="487" t="s">
        <v>7633</v>
      </c>
      <c r="C167" s="487" t="s">
        <v>7634</v>
      </c>
      <c r="D167" s="484"/>
      <c r="E167" s="485"/>
      <c r="F167" s="488">
        <v>61.6</v>
      </c>
      <c r="G167" s="448">
        <f>VLOOKUP(A167,Productos!$D$3:$AK811,16,FALSE())</f>
        <v>54</v>
      </c>
      <c r="H167" s="448"/>
      <c r="I167" s="469"/>
      <c r="J167" s="469"/>
      <c r="K167" s="469"/>
      <c r="L167" s="469"/>
      <c r="M167" s="469"/>
      <c r="N167" s="469"/>
      <c r="O167" s="469"/>
      <c r="P167" s="469"/>
      <c r="Q167" s="469"/>
      <c r="R167" s="469"/>
      <c r="S167" s="469"/>
      <c r="T167" s="469"/>
      <c r="U167" s="469"/>
      <c r="V167" s="469"/>
      <c r="W167" s="469"/>
    </row>
    <row r="168">
      <c r="A168" s="487" t="s">
        <v>4463</v>
      </c>
      <c r="B168" s="487" t="s">
        <v>7635</v>
      </c>
      <c r="C168" s="487" t="s">
        <v>7636</v>
      </c>
      <c r="D168" s="484"/>
      <c r="E168" s="485"/>
      <c r="F168" s="488">
        <v>10.08</v>
      </c>
      <c r="G168" s="448">
        <f>VLOOKUP(A168,Productos!$D$3:$AK811,16,FALSE())</f>
        <v>9.45</v>
      </c>
      <c r="H168" s="448"/>
      <c r="I168" s="469"/>
      <c r="J168" s="469"/>
      <c r="K168" s="469"/>
      <c r="L168" s="469"/>
      <c r="M168" s="469"/>
      <c r="N168" s="469"/>
      <c r="O168" s="469"/>
      <c r="P168" s="469"/>
      <c r="Q168" s="469"/>
      <c r="R168" s="469"/>
      <c r="S168" s="469"/>
      <c r="T168" s="469"/>
      <c r="U168" s="469"/>
      <c r="V168" s="469"/>
      <c r="W168" s="469"/>
    </row>
    <row r="169">
      <c r="A169" s="487" t="s">
        <v>4448</v>
      </c>
      <c r="B169" s="487" t="s">
        <v>7637</v>
      </c>
      <c r="C169" s="487" t="s">
        <v>7638</v>
      </c>
      <c r="D169" s="484"/>
      <c r="E169" s="485"/>
      <c r="F169" s="488">
        <v>7.84</v>
      </c>
      <c r="G169" s="448">
        <f>VLOOKUP(A169,Productos!$D$3:$AK811,16,FALSE())</f>
        <v>6.3</v>
      </c>
      <c r="H169" s="448"/>
      <c r="I169" s="469"/>
      <c r="J169" s="469"/>
      <c r="K169" s="469"/>
      <c r="L169" s="469"/>
      <c r="M169" s="469"/>
      <c r="N169" s="469"/>
      <c r="O169" s="469"/>
      <c r="P169" s="469"/>
      <c r="Q169" s="469"/>
      <c r="R169" s="469"/>
      <c r="S169" s="469"/>
      <c r="T169" s="469"/>
      <c r="U169" s="469"/>
      <c r="V169" s="469"/>
      <c r="W169" s="469"/>
    </row>
    <row r="170">
      <c r="A170" s="487" t="s">
        <v>4459</v>
      </c>
      <c r="B170" s="487" t="s">
        <v>7639</v>
      </c>
      <c r="C170" s="487" t="s">
        <v>7640</v>
      </c>
      <c r="D170" s="484"/>
      <c r="E170" s="485"/>
      <c r="F170" s="488">
        <v>4.48</v>
      </c>
      <c r="G170" s="448">
        <f>VLOOKUP(A170,Productos!$D$3:$AK811,16,FALSE())</f>
        <v>3.15</v>
      </c>
      <c r="H170" s="448"/>
      <c r="I170" s="469"/>
      <c r="J170" s="469"/>
      <c r="K170" s="469"/>
      <c r="L170" s="469"/>
      <c r="M170" s="469"/>
      <c r="N170" s="469"/>
      <c r="O170" s="469"/>
      <c r="P170" s="469"/>
      <c r="Q170" s="469"/>
      <c r="R170" s="469"/>
      <c r="S170" s="469"/>
      <c r="T170" s="469"/>
      <c r="U170" s="469"/>
      <c r="V170" s="469"/>
      <c r="W170" s="469"/>
    </row>
    <row r="171">
      <c r="A171" s="487" t="s">
        <v>4457</v>
      </c>
      <c r="B171" s="487" t="s">
        <v>7641</v>
      </c>
      <c r="C171" s="487" t="s">
        <v>7642</v>
      </c>
      <c r="D171" s="484"/>
      <c r="E171" s="485"/>
      <c r="F171" s="488">
        <v>12.32</v>
      </c>
      <c r="G171" s="448">
        <f>VLOOKUP(A171,Productos!$D$3:$AK811,16,FALSE())</f>
        <v>10.5</v>
      </c>
      <c r="H171" s="448"/>
      <c r="I171" s="469"/>
      <c r="J171" s="469"/>
      <c r="K171" s="469"/>
      <c r="L171" s="469"/>
      <c r="M171" s="469"/>
      <c r="N171" s="469"/>
      <c r="O171" s="469"/>
      <c r="P171" s="469"/>
      <c r="Q171" s="469"/>
      <c r="R171" s="469"/>
      <c r="S171" s="469"/>
      <c r="T171" s="469"/>
      <c r="U171" s="469"/>
      <c r="V171" s="469"/>
      <c r="W171" s="469"/>
    </row>
    <row r="172">
      <c r="A172" s="487" t="s">
        <v>4479</v>
      </c>
      <c r="B172" s="487" t="s">
        <v>7643</v>
      </c>
      <c r="C172" s="487" t="s">
        <v>7644</v>
      </c>
      <c r="D172" s="484"/>
      <c r="E172" s="485"/>
      <c r="F172" s="488">
        <v>14.56</v>
      </c>
      <c r="G172" s="448">
        <f>VLOOKUP(A172,Productos!$D$3:$AK811,16,FALSE())</f>
        <v>10.5</v>
      </c>
      <c r="H172" s="448"/>
      <c r="I172" s="469"/>
      <c r="J172" s="469"/>
      <c r="K172" s="469"/>
      <c r="L172" s="469"/>
      <c r="M172" s="469"/>
      <c r="N172" s="469"/>
      <c r="O172" s="469"/>
      <c r="P172" s="469"/>
      <c r="Q172" s="469"/>
      <c r="R172" s="469"/>
      <c r="S172" s="469"/>
      <c r="T172" s="469"/>
      <c r="U172" s="469"/>
      <c r="V172" s="469"/>
      <c r="W172" s="469"/>
    </row>
    <row r="173">
      <c r="A173" s="487" t="s">
        <v>4473</v>
      </c>
      <c r="B173" s="487" t="s">
        <v>7645</v>
      </c>
      <c r="C173" s="487" t="s">
        <v>7646</v>
      </c>
      <c r="D173" s="484"/>
      <c r="E173" s="485"/>
      <c r="F173" s="488">
        <v>67.2</v>
      </c>
      <c r="G173" s="448">
        <f>VLOOKUP(A173,Productos!$D$3:$AK811,16,FALSE())</f>
        <v>59</v>
      </c>
      <c r="H173" s="448"/>
      <c r="I173" s="469"/>
      <c r="J173" s="469"/>
      <c r="K173" s="469"/>
      <c r="L173" s="469"/>
      <c r="M173" s="469"/>
      <c r="N173" s="469"/>
      <c r="O173" s="469"/>
      <c r="P173" s="469"/>
      <c r="Q173" s="469"/>
      <c r="R173" s="469"/>
      <c r="S173" s="469"/>
      <c r="T173" s="469"/>
      <c r="U173" s="469"/>
      <c r="V173" s="469"/>
      <c r="W173" s="469"/>
    </row>
    <row r="174">
      <c r="A174" s="487" t="s">
        <v>4992</v>
      </c>
      <c r="B174" s="487" t="s">
        <v>7647</v>
      </c>
      <c r="C174" s="487" t="s">
        <v>7648</v>
      </c>
      <c r="D174" s="484"/>
      <c r="E174" s="485"/>
      <c r="F174" s="488">
        <v>705.6</v>
      </c>
      <c r="G174" s="448">
        <f>VLOOKUP(A174,Productos!$D$3:$AK811,16,FALSE())</f>
        <v>617</v>
      </c>
      <c r="H174" s="448"/>
      <c r="I174" s="469"/>
      <c r="J174" s="469"/>
      <c r="K174" s="469"/>
      <c r="L174" s="469"/>
      <c r="M174" s="469"/>
      <c r="N174" s="469"/>
      <c r="O174" s="469"/>
      <c r="P174" s="469"/>
      <c r="Q174" s="469"/>
      <c r="R174" s="469"/>
      <c r="S174" s="469"/>
      <c r="T174" s="469"/>
      <c r="U174" s="469"/>
      <c r="V174" s="469"/>
      <c r="W174" s="469"/>
    </row>
    <row r="175">
      <c r="A175" s="487" t="s">
        <v>4572</v>
      </c>
      <c r="B175" s="487" t="s">
        <v>7649</v>
      </c>
      <c r="C175" s="487" t="s">
        <v>7650</v>
      </c>
      <c r="D175" s="484"/>
      <c r="E175" s="485"/>
      <c r="F175" s="488">
        <v>52.64</v>
      </c>
      <c r="G175" s="448">
        <f>VLOOKUP(A175,Productos!$D$3:$AK811,16,FALSE())</f>
        <v>47</v>
      </c>
      <c r="H175" s="448"/>
      <c r="I175" s="469"/>
      <c r="J175" s="469"/>
      <c r="K175" s="469"/>
      <c r="L175" s="469"/>
      <c r="M175" s="469"/>
      <c r="N175" s="469"/>
      <c r="O175" s="469"/>
      <c r="P175" s="469"/>
      <c r="Q175" s="469"/>
      <c r="R175" s="469"/>
      <c r="S175" s="469"/>
      <c r="T175" s="469"/>
      <c r="U175" s="469"/>
      <c r="V175" s="469"/>
      <c r="W175" s="469"/>
    </row>
    <row r="176">
      <c r="A176" s="487" t="s">
        <v>4913</v>
      </c>
      <c r="B176" s="487" t="s">
        <v>7651</v>
      </c>
      <c r="C176" s="487" t="s">
        <v>7652</v>
      </c>
      <c r="D176" s="484"/>
      <c r="E176" s="485"/>
      <c r="F176" s="488">
        <v>51.52</v>
      </c>
      <c r="G176" s="448">
        <f>VLOOKUP(A176,Productos!$D$3:$AK811,16,FALSE())</f>
        <v>46</v>
      </c>
      <c r="H176" s="448"/>
      <c r="I176" s="469"/>
      <c r="J176" s="469"/>
      <c r="K176" s="469"/>
      <c r="L176" s="469"/>
      <c r="M176" s="469"/>
      <c r="N176" s="469"/>
      <c r="O176" s="469"/>
      <c r="P176" s="469"/>
      <c r="Q176" s="469"/>
      <c r="R176" s="469"/>
      <c r="S176" s="469"/>
      <c r="T176" s="469"/>
      <c r="U176" s="469"/>
      <c r="V176" s="469"/>
      <c r="W176" s="469"/>
    </row>
    <row r="177">
      <c r="A177" s="487" t="s">
        <v>4883</v>
      </c>
      <c r="B177" s="487" t="s">
        <v>7653</v>
      </c>
      <c r="C177" s="487" t="s">
        <v>7654</v>
      </c>
      <c r="D177" s="484"/>
      <c r="E177" s="485"/>
      <c r="F177" s="488">
        <v>78.4</v>
      </c>
      <c r="G177" s="448">
        <f>VLOOKUP(A177,Productos!$D$3:$AK811,16,FALSE())</f>
        <v>69</v>
      </c>
      <c r="H177" s="448"/>
      <c r="I177" s="469"/>
      <c r="J177" s="469"/>
      <c r="K177" s="469"/>
      <c r="L177" s="469"/>
      <c r="M177" s="469"/>
      <c r="N177" s="469"/>
      <c r="O177" s="469"/>
      <c r="P177" s="469"/>
      <c r="Q177" s="469"/>
      <c r="R177" s="469"/>
      <c r="S177" s="469"/>
      <c r="T177" s="469"/>
      <c r="U177" s="469"/>
      <c r="V177" s="469"/>
      <c r="W177" s="469"/>
    </row>
    <row r="178">
      <c r="A178" s="487" t="s">
        <v>4889</v>
      </c>
      <c r="B178" s="487" t="s">
        <v>7655</v>
      </c>
      <c r="C178" s="487" t="s">
        <v>7656</v>
      </c>
      <c r="D178" s="484"/>
      <c r="E178" s="485"/>
      <c r="F178" s="488">
        <v>235.2</v>
      </c>
      <c r="G178" s="448">
        <f>VLOOKUP(A178,Productos!$D$3:$AK811,16,FALSE())</f>
        <v>207</v>
      </c>
      <c r="H178" s="448"/>
      <c r="I178" s="469"/>
      <c r="J178" s="469"/>
      <c r="K178" s="469"/>
      <c r="L178" s="469"/>
      <c r="M178" s="469"/>
      <c r="N178" s="469"/>
      <c r="O178" s="469"/>
      <c r="P178" s="469"/>
      <c r="Q178" s="469"/>
      <c r="R178" s="469"/>
      <c r="S178" s="469"/>
      <c r="T178" s="469"/>
      <c r="U178" s="469"/>
      <c r="V178" s="469"/>
      <c r="W178" s="469"/>
    </row>
    <row r="179">
      <c r="A179" s="487" t="s">
        <v>4885</v>
      </c>
      <c r="B179" s="487" t="s">
        <v>7657</v>
      </c>
      <c r="C179" s="487" t="s">
        <v>7658</v>
      </c>
      <c r="D179" s="484"/>
      <c r="E179" s="485"/>
      <c r="F179" s="488">
        <v>517.44</v>
      </c>
      <c r="G179" s="448">
        <f>VLOOKUP(A179,Productos!$D$3:$AK811,16,FALSE())</f>
        <v>454</v>
      </c>
      <c r="H179" s="448"/>
      <c r="I179" s="469"/>
      <c r="J179" s="469"/>
      <c r="K179" s="469"/>
      <c r="L179" s="469"/>
      <c r="M179" s="469"/>
      <c r="N179" s="469"/>
      <c r="O179" s="469"/>
      <c r="P179" s="469"/>
      <c r="Q179" s="469"/>
      <c r="R179" s="469"/>
      <c r="S179" s="469"/>
      <c r="T179" s="469"/>
      <c r="U179" s="469"/>
      <c r="V179" s="469"/>
      <c r="W179" s="469"/>
    </row>
    <row r="180">
      <c r="A180" s="487" t="s">
        <v>4887</v>
      </c>
      <c r="B180" s="487" t="s">
        <v>7659</v>
      </c>
      <c r="C180" s="487" t="s">
        <v>7660</v>
      </c>
      <c r="D180" s="484"/>
      <c r="E180" s="485"/>
      <c r="F180" s="488">
        <v>189.28</v>
      </c>
      <c r="G180" s="448">
        <f>VLOOKUP(A180,Productos!$D$3:$AK811,16,FALSE())</f>
        <v>166</v>
      </c>
      <c r="H180" s="448"/>
      <c r="I180" s="469"/>
      <c r="J180" s="469"/>
      <c r="K180" s="469"/>
      <c r="L180" s="469"/>
      <c r="M180" s="469"/>
      <c r="N180" s="469"/>
      <c r="O180" s="469"/>
      <c r="P180" s="469"/>
      <c r="Q180" s="469"/>
      <c r="R180" s="469"/>
      <c r="S180" s="469"/>
      <c r="T180" s="469"/>
      <c r="U180" s="469"/>
      <c r="V180" s="469"/>
      <c r="W180" s="469"/>
    </row>
    <row r="181">
      <c r="A181" s="487" t="s">
        <v>5044</v>
      </c>
      <c r="B181" s="487" t="s">
        <v>7661</v>
      </c>
      <c r="C181" s="487" t="s">
        <v>7662</v>
      </c>
      <c r="D181" s="484"/>
      <c r="E181" s="485"/>
      <c r="F181" s="488">
        <v>104.16</v>
      </c>
      <c r="G181" s="448">
        <f>VLOOKUP(A181,Productos!$D$3:$AK811,16,FALSE())</f>
        <v>95</v>
      </c>
      <c r="H181" s="448"/>
      <c r="I181" s="469"/>
      <c r="J181" s="469"/>
      <c r="K181" s="469"/>
      <c r="L181" s="469"/>
      <c r="M181" s="469"/>
      <c r="N181" s="469"/>
      <c r="O181" s="469"/>
      <c r="P181" s="469"/>
      <c r="Q181" s="469"/>
      <c r="R181" s="469"/>
      <c r="S181" s="469"/>
      <c r="T181" s="469"/>
      <c r="U181" s="469"/>
      <c r="V181" s="469"/>
      <c r="W181" s="469"/>
    </row>
    <row r="182">
      <c r="A182" s="487" t="s">
        <v>5030</v>
      </c>
      <c r="B182" s="487" t="s">
        <v>7663</v>
      </c>
      <c r="C182" s="487" t="s">
        <v>7664</v>
      </c>
      <c r="D182" s="484"/>
      <c r="E182" s="485"/>
      <c r="F182" s="488">
        <v>1722.56</v>
      </c>
      <c r="G182" s="448">
        <f>VLOOKUP(A182,Productos!$D$3:$AK811,16,FALSE())</f>
        <v>1553</v>
      </c>
      <c r="H182" s="448"/>
      <c r="I182" s="469"/>
      <c r="J182" s="469"/>
      <c r="K182" s="469"/>
      <c r="L182" s="469"/>
      <c r="M182" s="469"/>
      <c r="N182" s="469"/>
      <c r="O182" s="469"/>
      <c r="P182" s="469"/>
      <c r="Q182" s="469"/>
      <c r="R182" s="469"/>
      <c r="S182" s="469"/>
      <c r="T182" s="469"/>
      <c r="U182" s="469"/>
      <c r="V182" s="469"/>
      <c r="W182" s="469"/>
    </row>
    <row r="183">
      <c r="A183" s="487" t="s">
        <v>4856</v>
      </c>
      <c r="B183" s="487" t="s">
        <v>7665</v>
      </c>
      <c r="C183" s="487" t="s">
        <v>7666</v>
      </c>
      <c r="D183" s="484"/>
      <c r="E183" s="485"/>
      <c r="F183" s="488">
        <v>52.64</v>
      </c>
      <c r="G183" s="448">
        <f>VLOOKUP(A183,Productos!$D$3:$AK811,16,FALSE())</f>
        <v>47</v>
      </c>
      <c r="H183" s="448"/>
      <c r="I183" s="469"/>
      <c r="J183" s="469"/>
      <c r="K183" s="469"/>
      <c r="L183" s="469"/>
      <c r="M183" s="469"/>
      <c r="N183" s="469"/>
      <c r="O183" s="469"/>
      <c r="P183" s="469"/>
      <c r="Q183" s="469"/>
      <c r="R183" s="469"/>
      <c r="S183" s="469"/>
      <c r="T183" s="469"/>
      <c r="U183" s="469"/>
      <c r="V183" s="469"/>
      <c r="W183" s="469"/>
    </row>
    <row r="184">
      <c r="A184" s="487" t="s">
        <v>5156</v>
      </c>
      <c r="B184" s="487" t="s">
        <v>7667</v>
      </c>
      <c r="C184" s="487" t="s">
        <v>7668</v>
      </c>
      <c r="D184" s="484"/>
      <c r="E184" s="485"/>
      <c r="F184" s="488">
        <v>496.16</v>
      </c>
      <c r="G184" s="448">
        <f>VLOOKUP(A184,Productos!$D$3:$AK811,16,FALSE())</f>
        <v>435</v>
      </c>
      <c r="H184" s="448"/>
      <c r="I184" s="469"/>
      <c r="J184" s="469"/>
      <c r="K184" s="469"/>
      <c r="L184" s="469"/>
      <c r="M184" s="469"/>
      <c r="N184" s="469"/>
      <c r="O184" s="469"/>
      <c r="P184" s="469"/>
      <c r="Q184" s="469"/>
      <c r="R184" s="469"/>
      <c r="S184" s="469"/>
      <c r="T184" s="469"/>
      <c r="U184" s="469"/>
      <c r="V184" s="469"/>
      <c r="W184" s="469"/>
    </row>
    <row r="185">
      <c r="A185" s="487" t="s">
        <v>4613</v>
      </c>
      <c r="B185" s="487" t="s">
        <v>7669</v>
      </c>
      <c r="C185" s="487" t="s">
        <v>7670</v>
      </c>
      <c r="D185" s="484"/>
      <c r="E185" s="485"/>
      <c r="F185" s="488">
        <v>1825.6</v>
      </c>
      <c r="G185" s="448">
        <f>VLOOKUP(A185,Productos!$D$3:$AK811,16,FALSE())</f>
        <v>1599</v>
      </c>
      <c r="H185" s="448"/>
      <c r="I185" s="469"/>
      <c r="J185" s="469"/>
      <c r="K185" s="469"/>
      <c r="L185" s="469"/>
      <c r="M185" s="469"/>
      <c r="N185" s="469"/>
      <c r="O185" s="469"/>
      <c r="P185" s="469"/>
      <c r="Q185" s="469"/>
      <c r="R185" s="469"/>
      <c r="S185" s="469"/>
      <c r="T185" s="469"/>
      <c r="U185" s="469"/>
      <c r="V185" s="469"/>
      <c r="W185" s="469"/>
    </row>
    <row r="186">
      <c r="A186" s="487" t="s">
        <v>4617</v>
      </c>
      <c r="B186" s="487" t="s">
        <v>7671</v>
      </c>
      <c r="C186" s="487" t="s">
        <v>7672</v>
      </c>
      <c r="D186" s="484"/>
      <c r="E186" s="485"/>
      <c r="F186" s="488">
        <v>1825.6</v>
      </c>
      <c r="G186" s="448">
        <f>VLOOKUP(A186,Productos!$D$3:$AK811,16,FALSE())</f>
        <v>1599</v>
      </c>
      <c r="H186" s="448"/>
      <c r="I186" s="469"/>
      <c r="J186" s="469"/>
      <c r="K186" s="469"/>
      <c r="L186" s="469"/>
      <c r="M186" s="469"/>
      <c r="N186" s="469"/>
      <c r="O186" s="469"/>
      <c r="P186" s="469"/>
      <c r="Q186" s="469"/>
      <c r="R186" s="469"/>
      <c r="S186" s="469"/>
      <c r="T186" s="469"/>
      <c r="U186" s="469"/>
      <c r="V186" s="469"/>
      <c r="W186" s="469"/>
    </row>
    <row r="187">
      <c r="A187" s="487" t="s">
        <v>4621</v>
      </c>
      <c r="B187" s="487" t="s">
        <v>7673</v>
      </c>
      <c r="C187" s="487" t="s">
        <v>7674</v>
      </c>
      <c r="D187" s="484"/>
      <c r="E187" s="485"/>
      <c r="F187" s="488">
        <v>1825.6</v>
      </c>
      <c r="G187" s="448">
        <f>VLOOKUP(A187,Productos!$D$3:$AK811,16,FALSE())</f>
        <v>1599</v>
      </c>
      <c r="H187" s="448"/>
      <c r="I187" s="469"/>
      <c r="J187" s="469"/>
      <c r="K187" s="469"/>
      <c r="L187" s="469"/>
      <c r="M187" s="469"/>
      <c r="N187" s="469"/>
      <c r="O187" s="469"/>
      <c r="P187" s="469"/>
      <c r="Q187" s="469"/>
      <c r="R187" s="469"/>
      <c r="S187" s="469"/>
      <c r="T187" s="469"/>
      <c r="U187" s="469"/>
      <c r="V187" s="469"/>
      <c r="W187" s="469"/>
    </row>
    <row r="188">
      <c r="A188" s="487" t="s">
        <v>4589</v>
      </c>
      <c r="B188" s="487" t="s">
        <v>7675</v>
      </c>
      <c r="C188" s="487" t="s">
        <v>7676</v>
      </c>
      <c r="D188" s="484"/>
      <c r="E188" s="485"/>
      <c r="F188" s="488">
        <v>2203.04</v>
      </c>
      <c r="G188" s="448">
        <f>VLOOKUP(A188,Productos!$D$3:$AK811,16,FALSE())</f>
        <v>1930</v>
      </c>
      <c r="H188" s="448"/>
      <c r="I188" s="469"/>
      <c r="J188" s="469"/>
      <c r="K188" s="469"/>
      <c r="L188" s="469"/>
      <c r="M188" s="469"/>
      <c r="N188" s="469"/>
      <c r="O188" s="469"/>
      <c r="P188" s="469"/>
      <c r="Q188" s="469"/>
      <c r="R188" s="469"/>
      <c r="S188" s="469"/>
      <c r="T188" s="469"/>
      <c r="U188" s="469"/>
      <c r="V188" s="469"/>
      <c r="W188" s="469"/>
    </row>
    <row r="189">
      <c r="A189" s="487" t="s">
        <v>4593</v>
      </c>
      <c r="B189" s="487" t="s">
        <v>7677</v>
      </c>
      <c r="C189" s="487" t="s">
        <v>7678</v>
      </c>
      <c r="D189" s="484"/>
      <c r="E189" s="485"/>
      <c r="F189" s="488">
        <v>2203.04</v>
      </c>
      <c r="G189" s="448">
        <f>VLOOKUP(A189,Productos!$D$3:$AK811,16,FALSE())</f>
        <v>1930</v>
      </c>
      <c r="H189" s="448"/>
      <c r="I189" s="469"/>
      <c r="J189" s="469"/>
      <c r="K189" s="469"/>
      <c r="L189" s="469"/>
      <c r="M189" s="469"/>
      <c r="N189" s="469"/>
      <c r="O189" s="469"/>
      <c r="P189" s="469"/>
      <c r="Q189" s="469"/>
      <c r="R189" s="469"/>
      <c r="S189" s="469"/>
      <c r="T189" s="469"/>
      <c r="U189" s="469"/>
      <c r="V189" s="469"/>
      <c r="W189" s="469"/>
    </row>
    <row r="190">
      <c r="A190" s="487" t="s">
        <v>4597</v>
      </c>
      <c r="B190" s="487" t="s">
        <v>7679</v>
      </c>
      <c r="C190" s="487" t="s">
        <v>7680</v>
      </c>
      <c r="D190" s="484"/>
      <c r="E190" s="485"/>
      <c r="F190" s="488">
        <v>2203.04</v>
      </c>
      <c r="G190" s="448">
        <f>VLOOKUP(A190,Productos!$D$3:$AK811,16,FALSE())</f>
        <v>1930</v>
      </c>
      <c r="H190" s="448"/>
      <c r="I190" s="469"/>
      <c r="J190" s="469"/>
      <c r="K190" s="469"/>
      <c r="L190" s="469"/>
      <c r="M190" s="469"/>
      <c r="N190" s="469"/>
      <c r="O190" s="469"/>
      <c r="P190" s="469"/>
      <c r="Q190" s="469"/>
      <c r="R190" s="469"/>
      <c r="S190" s="469"/>
      <c r="T190" s="469"/>
      <c r="U190" s="469"/>
      <c r="V190" s="469"/>
      <c r="W190" s="469"/>
    </row>
    <row r="191">
      <c r="A191" s="487" t="s">
        <v>5194</v>
      </c>
      <c r="B191" s="487" t="s">
        <v>7681</v>
      </c>
      <c r="C191" s="487" t="s">
        <v>7682</v>
      </c>
      <c r="D191" s="484"/>
      <c r="E191" s="485"/>
      <c r="F191" s="488">
        <v>290.08</v>
      </c>
      <c r="G191" s="448">
        <f>VLOOKUP(A191,Productos!$D$3:$AK811,16,FALSE())</f>
        <v>254</v>
      </c>
      <c r="H191" s="448"/>
      <c r="I191" s="469"/>
      <c r="J191" s="469"/>
      <c r="K191" s="469"/>
      <c r="L191" s="469"/>
      <c r="M191" s="469"/>
      <c r="N191" s="469"/>
      <c r="O191" s="469"/>
      <c r="P191" s="469"/>
      <c r="Q191" s="469"/>
      <c r="R191" s="469"/>
      <c r="S191" s="469"/>
      <c r="T191" s="469"/>
      <c r="U191" s="469"/>
      <c r="V191" s="469"/>
      <c r="W191" s="469"/>
    </row>
    <row r="192">
      <c r="A192" s="487" t="s">
        <v>5407</v>
      </c>
      <c r="B192" s="487" t="s">
        <v>7683</v>
      </c>
      <c r="C192" s="487" t="s">
        <v>7684</v>
      </c>
      <c r="D192" s="484"/>
      <c r="E192" s="485"/>
      <c r="F192" s="488">
        <v>4850.72</v>
      </c>
      <c r="G192" s="448">
        <f>VLOOKUP(A192,Productos!$D$3:$AK811,16,FALSE())</f>
        <v>9122</v>
      </c>
      <c r="H192" s="448"/>
      <c r="I192" s="469"/>
      <c r="J192" s="469"/>
      <c r="K192" s="469"/>
      <c r="L192" s="469"/>
      <c r="M192" s="469"/>
      <c r="N192" s="469"/>
      <c r="O192" s="469"/>
      <c r="P192" s="469"/>
      <c r="Q192" s="469"/>
      <c r="R192" s="469"/>
      <c r="S192" s="469"/>
      <c r="T192" s="469"/>
      <c r="U192" s="469"/>
      <c r="V192" s="469"/>
      <c r="W192" s="469"/>
    </row>
    <row r="193">
      <c r="A193" s="487" t="s">
        <v>5262</v>
      </c>
      <c r="B193" s="487" t="s">
        <v>7685</v>
      </c>
      <c r="C193" s="487" t="s">
        <v>7686</v>
      </c>
      <c r="D193" s="484"/>
      <c r="E193" s="485"/>
      <c r="F193" s="488">
        <v>1123.36</v>
      </c>
      <c r="G193" s="448">
        <f>VLOOKUP(A193,Productos!$D$3:$AK811,16,FALSE())</f>
        <v>984</v>
      </c>
      <c r="H193" s="448"/>
      <c r="I193" s="469"/>
      <c r="J193" s="469"/>
      <c r="K193" s="469"/>
      <c r="L193" s="469"/>
      <c r="M193" s="469"/>
      <c r="N193" s="469"/>
      <c r="O193" s="469"/>
      <c r="P193" s="469"/>
      <c r="Q193" s="469"/>
      <c r="R193" s="469"/>
      <c r="S193" s="469"/>
      <c r="T193" s="469"/>
      <c r="U193" s="469"/>
      <c r="V193" s="469"/>
      <c r="W193" s="469"/>
    </row>
    <row r="194">
      <c r="A194" s="487" t="s">
        <v>5264</v>
      </c>
      <c r="B194" s="487" t="s">
        <v>7687</v>
      </c>
      <c r="C194" s="487" t="s">
        <v>7688</v>
      </c>
      <c r="D194" s="484"/>
      <c r="E194" s="485"/>
      <c r="F194" s="488">
        <v>1410.08</v>
      </c>
      <c r="G194" s="448">
        <f>VLOOKUP(A194,Productos!$D$3:$AK811,16,FALSE())</f>
        <v>1235</v>
      </c>
      <c r="H194" s="448"/>
      <c r="I194" s="469"/>
      <c r="J194" s="469"/>
      <c r="K194" s="469"/>
      <c r="L194" s="469"/>
      <c r="M194" s="469"/>
      <c r="N194" s="469"/>
      <c r="O194" s="469"/>
      <c r="P194" s="469"/>
      <c r="Q194" s="469"/>
      <c r="R194" s="469"/>
      <c r="S194" s="469"/>
      <c r="T194" s="469"/>
      <c r="U194" s="469"/>
      <c r="V194" s="469"/>
      <c r="W194" s="469"/>
    </row>
    <row r="195">
      <c r="A195" s="487" t="s">
        <v>5260</v>
      </c>
      <c r="B195" s="487" t="s">
        <v>7689</v>
      </c>
      <c r="C195" s="487" t="s">
        <v>7690</v>
      </c>
      <c r="D195" s="484"/>
      <c r="E195" s="485"/>
      <c r="F195" s="488">
        <v>3121.44</v>
      </c>
      <c r="G195" s="448">
        <f>VLOOKUP(A195,Productos!$D$3:$AK811,16,FALSE())</f>
        <v>2734</v>
      </c>
      <c r="H195" s="448"/>
      <c r="I195" s="469"/>
      <c r="J195" s="469"/>
      <c r="K195" s="469"/>
      <c r="L195" s="469"/>
      <c r="M195" s="469"/>
      <c r="N195" s="469"/>
      <c r="O195" s="469"/>
      <c r="P195" s="469"/>
      <c r="Q195" s="469"/>
      <c r="R195" s="469"/>
      <c r="S195" s="469"/>
      <c r="T195" s="469"/>
      <c r="U195" s="469"/>
      <c r="V195" s="469"/>
      <c r="W195" s="469"/>
    </row>
    <row r="196">
      <c r="A196" s="487" t="s">
        <v>5250</v>
      </c>
      <c r="B196" s="487" t="s">
        <v>7691</v>
      </c>
      <c r="C196" s="487" t="s">
        <v>7692</v>
      </c>
      <c r="D196" s="484"/>
      <c r="E196" s="485"/>
      <c r="F196" s="488">
        <v>5480.16</v>
      </c>
      <c r="G196" s="448">
        <f>VLOOKUP(A196,Productos!$D$3:$AK811,16,FALSE())</f>
        <v>4802</v>
      </c>
      <c r="H196" s="448"/>
      <c r="I196" s="469"/>
      <c r="J196" s="469"/>
      <c r="K196" s="469"/>
      <c r="L196" s="469"/>
      <c r="M196" s="469"/>
      <c r="N196" s="469"/>
      <c r="O196" s="469"/>
      <c r="P196" s="469"/>
      <c r="Q196" s="469"/>
      <c r="R196" s="469"/>
      <c r="S196" s="469"/>
      <c r="T196" s="469"/>
      <c r="U196" s="469"/>
      <c r="V196" s="469"/>
      <c r="W196" s="469"/>
    </row>
    <row r="197">
      <c r="A197" s="487">
        <v>262.0</v>
      </c>
      <c r="B197" s="491" t="s">
        <v>7693</v>
      </c>
      <c r="C197" s="489" t="s">
        <v>7694</v>
      </c>
      <c r="D197" s="484"/>
      <c r="E197" s="485"/>
      <c r="F197" s="488">
        <v>252.0</v>
      </c>
      <c r="G197" s="448" t="str">
        <f>VLOOKUP(A197,Productos!$D$3:$AK811,16,FALSE())</f>
        <v>#N/A</v>
      </c>
      <c r="H197" s="448"/>
      <c r="I197" s="469"/>
      <c r="J197" s="469"/>
      <c r="K197" s="469"/>
      <c r="L197" s="469"/>
      <c r="M197" s="469"/>
      <c r="N197" s="469"/>
      <c r="O197" s="469"/>
      <c r="P197" s="469"/>
      <c r="Q197" s="469"/>
      <c r="R197" s="469"/>
      <c r="S197" s="469"/>
      <c r="T197" s="469"/>
      <c r="U197" s="469"/>
      <c r="V197" s="469"/>
      <c r="W197" s="469"/>
    </row>
    <row r="198">
      <c r="A198" s="487" t="s">
        <v>5254</v>
      </c>
      <c r="B198" s="487" t="s">
        <v>7695</v>
      </c>
      <c r="C198" s="487" t="s">
        <v>7696</v>
      </c>
      <c r="D198" s="484"/>
      <c r="E198" s="485"/>
      <c r="F198" s="488">
        <v>1647.52</v>
      </c>
      <c r="G198" s="448">
        <f>VLOOKUP(A198,Productos!$D$3:$AK811,16,FALSE())</f>
        <v>1444</v>
      </c>
      <c r="H198" s="448"/>
      <c r="I198" s="469"/>
      <c r="J198" s="469"/>
      <c r="K198" s="469"/>
      <c r="L198" s="469"/>
      <c r="M198" s="469"/>
      <c r="N198" s="469"/>
      <c r="O198" s="469"/>
      <c r="P198" s="469"/>
      <c r="Q198" s="469"/>
      <c r="R198" s="469"/>
      <c r="S198" s="469"/>
      <c r="T198" s="469"/>
      <c r="U198" s="469"/>
      <c r="V198" s="469"/>
      <c r="W198" s="469"/>
    </row>
    <row r="199">
      <c r="A199" s="487" t="s">
        <v>5256</v>
      </c>
      <c r="B199" s="487" t="s">
        <v>7697</v>
      </c>
      <c r="C199" s="487" t="s">
        <v>7698</v>
      </c>
      <c r="D199" s="484"/>
      <c r="E199" s="485"/>
      <c r="F199" s="488">
        <v>2164.96</v>
      </c>
      <c r="G199" s="448">
        <f>VLOOKUP(A199,Productos!$D$3:$AK811,16,FALSE())</f>
        <v>1896</v>
      </c>
      <c r="H199" s="448"/>
      <c r="I199" s="469"/>
      <c r="J199" s="469"/>
      <c r="K199" s="469"/>
      <c r="L199" s="469"/>
      <c r="M199" s="469"/>
      <c r="N199" s="469"/>
      <c r="O199" s="469"/>
      <c r="P199" s="469"/>
      <c r="Q199" s="469"/>
      <c r="R199" s="469"/>
      <c r="S199" s="469"/>
      <c r="T199" s="469"/>
      <c r="U199" s="469"/>
      <c r="V199" s="469"/>
      <c r="W199" s="469"/>
    </row>
    <row r="200">
      <c r="A200" s="487" t="s">
        <v>5252</v>
      </c>
      <c r="B200" s="487" t="s">
        <v>7699</v>
      </c>
      <c r="C200" s="487" t="s">
        <v>7700</v>
      </c>
      <c r="D200" s="484"/>
      <c r="E200" s="485"/>
      <c r="F200" s="488">
        <v>313.6</v>
      </c>
      <c r="G200" s="448">
        <f>VLOOKUP(A200,Productos!$D$3:$AK811,16,FALSE())</f>
        <v>275</v>
      </c>
      <c r="H200" s="448"/>
      <c r="I200" s="469"/>
      <c r="J200" s="469"/>
      <c r="K200" s="469"/>
      <c r="L200" s="469"/>
      <c r="M200" s="469"/>
      <c r="N200" s="469"/>
      <c r="O200" s="469"/>
      <c r="P200" s="469"/>
      <c r="Q200" s="469"/>
      <c r="R200" s="469"/>
      <c r="S200" s="469"/>
      <c r="T200" s="469"/>
      <c r="U200" s="469"/>
      <c r="V200" s="469"/>
      <c r="W200" s="469"/>
    </row>
    <row r="201">
      <c r="A201" s="487" t="s">
        <v>5258</v>
      </c>
      <c r="B201" s="489" t="s">
        <v>5259</v>
      </c>
      <c r="C201" s="489" t="s">
        <v>7701</v>
      </c>
      <c r="D201" s="484"/>
      <c r="E201" s="485"/>
      <c r="F201" s="488">
        <v>2093.28</v>
      </c>
      <c r="G201" s="448">
        <f>VLOOKUP(A201,Productos!$D$3:$AK811,16,FALSE())</f>
        <v>1834</v>
      </c>
      <c r="H201" s="448"/>
      <c r="I201" s="469"/>
      <c r="J201" s="469"/>
      <c r="K201" s="469"/>
      <c r="L201" s="469"/>
      <c r="M201" s="469"/>
      <c r="N201" s="469"/>
      <c r="O201" s="469"/>
      <c r="P201" s="469"/>
      <c r="Q201" s="469"/>
      <c r="R201" s="469"/>
      <c r="S201" s="469"/>
      <c r="T201" s="469"/>
      <c r="U201" s="469"/>
      <c r="V201" s="469"/>
      <c r="W201" s="469"/>
    </row>
    <row r="202">
      <c r="A202" s="487" t="s">
        <v>5244</v>
      </c>
      <c r="B202" s="487" t="s">
        <v>7702</v>
      </c>
      <c r="C202" s="487" t="s">
        <v>7703</v>
      </c>
      <c r="D202" s="484"/>
      <c r="E202" s="485"/>
      <c r="F202" s="488">
        <v>86.24</v>
      </c>
      <c r="G202" s="448">
        <f>VLOOKUP(A202,Productos!$D$3:$AK811,16,FALSE())</f>
        <v>75</v>
      </c>
      <c r="H202" s="448"/>
      <c r="I202" s="469"/>
      <c r="J202" s="469"/>
      <c r="K202" s="469"/>
      <c r="L202" s="469"/>
      <c r="M202" s="469"/>
      <c r="N202" s="469"/>
      <c r="O202" s="469"/>
      <c r="P202" s="469"/>
      <c r="Q202" s="469"/>
      <c r="R202" s="469"/>
      <c r="S202" s="469"/>
      <c r="T202" s="469"/>
      <c r="U202" s="469"/>
      <c r="V202" s="469"/>
      <c r="W202" s="469"/>
    </row>
    <row r="203">
      <c r="A203" s="487" t="s">
        <v>84</v>
      </c>
      <c r="B203" s="487" t="s">
        <v>7704</v>
      </c>
      <c r="C203" s="487" t="s">
        <v>7705</v>
      </c>
      <c r="D203" s="484"/>
      <c r="E203" s="485"/>
      <c r="F203" s="488">
        <v>629.44</v>
      </c>
      <c r="G203" s="448">
        <f>VLOOKUP(A203,Productos!$D$3:$AK811,16,FALSE())</f>
        <v>551</v>
      </c>
      <c r="H203" s="448"/>
      <c r="I203" s="469"/>
      <c r="J203" s="469"/>
      <c r="K203" s="469"/>
      <c r="L203" s="469"/>
      <c r="M203" s="469"/>
      <c r="N203" s="469"/>
      <c r="O203" s="469"/>
      <c r="P203" s="469"/>
      <c r="Q203" s="469"/>
      <c r="R203" s="469"/>
      <c r="S203" s="469"/>
      <c r="T203" s="469"/>
      <c r="U203" s="469"/>
      <c r="V203" s="469"/>
      <c r="W203" s="469"/>
    </row>
    <row r="204">
      <c r="A204" s="487" t="s">
        <v>5268</v>
      </c>
      <c r="B204" s="487" t="s">
        <v>7706</v>
      </c>
      <c r="C204" s="487" t="s">
        <v>7707</v>
      </c>
      <c r="D204" s="484"/>
      <c r="E204" s="485"/>
      <c r="F204" s="488">
        <v>12.32</v>
      </c>
      <c r="G204" s="448">
        <f>VLOOKUP(A204,Productos!$D$3:$AK811,16,FALSE())</f>
        <v>10.5</v>
      </c>
      <c r="H204" s="448"/>
      <c r="I204" s="469"/>
      <c r="J204" s="469"/>
      <c r="K204" s="469"/>
      <c r="L204" s="469"/>
      <c r="M204" s="469"/>
      <c r="N204" s="469"/>
      <c r="O204" s="469"/>
      <c r="P204" s="469"/>
      <c r="Q204" s="469"/>
      <c r="R204" s="469"/>
      <c r="S204" s="469"/>
      <c r="T204" s="469"/>
      <c r="U204" s="469"/>
      <c r="V204" s="469"/>
      <c r="W204" s="469"/>
    </row>
    <row r="205">
      <c r="A205" s="487" t="s">
        <v>5372</v>
      </c>
      <c r="B205" s="487" t="s">
        <v>7708</v>
      </c>
      <c r="C205" s="487" t="s">
        <v>7709</v>
      </c>
      <c r="D205" s="484"/>
      <c r="E205" s="485"/>
      <c r="F205" s="488">
        <v>2740.64</v>
      </c>
      <c r="G205" s="448">
        <f>VLOOKUP(A205,Productos!$D$3:$AK811,16,FALSE())</f>
        <v>2400</v>
      </c>
      <c r="H205" s="448"/>
      <c r="I205" s="469"/>
      <c r="J205" s="469"/>
      <c r="K205" s="469"/>
      <c r="L205" s="469"/>
      <c r="M205" s="469"/>
      <c r="N205" s="469"/>
      <c r="O205" s="469"/>
      <c r="P205" s="469"/>
      <c r="Q205" s="469"/>
      <c r="R205" s="469"/>
      <c r="S205" s="469"/>
      <c r="T205" s="469"/>
      <c r="U205" s="469"/>
      <c r="V205" s="469"/>
      <c r="W205" s="469"/>
    </row>
    <row r="206">
      <c r="A206" s="487" t="s">
        <v>5295</v>
      </c>
      <c r="B206" s="487" t="s">
        <v>7710</v>
      </c>
      <c r="C206" s="487" t="s">
        <v>7711</v>
      </c>
      <c r="D206" s="484"/>
      <c r="E206" s="485"/>
      <c r="F206" s="488">
        <v>70.56</v>
      </c>
      <c r="G206" s="448">
        <f>VLOOKUP(A206,Productos!$D$3:$AK811,16,FALSE())</f>
        <v>62</v>
      </c>
      <c r="H206" s="448"/>
      <c r="I206" s="469"/>
      <c r="J206" s="469"/>
      <c r="K206" s="469"/>
      <c r="L206" s="469"/>
      <c r="M206" s="469"/>
      <c r="N206" s="469"/>
      <c r="O206" s="469"/>
      <c r="P206" s="469"/>
      <c r="Q206" s="469"/>
      <c r="R206" s="469"/>
      <c r="S206" s="469"/>
      <c r="T206" s="469"/>
      <c r="U206" s="469"/>
      <c r="V206" s="469"/>
      <c r="W206" s="469"/>
    </row>
    <row r="207">
      <c r="A207" s="487" t="s">
        <v>5299</v>
      </c>
      <c r="B207" s="487" t="s">
        <v>7712</v>
      </c>
      <c r="C207" s="487" t="s">
        <v>7713</v>
      </c>
      <c r="D207" s="484"/>
      <c r="E207" s="485"/>
      <c r="F207" s="488">
        <v>416.64</v>
      </c>
      <c r="G207" s="448">
        <f>VLOOKUP(A207,Productos!$D$3:$AK811,16,FALSE())</f>
        <v>364</v>
      </c>
      <c r="H207" s="448"/>
      <c r="I207" s="469"/>
      <c r="J207" s="469"/>
      <c r="K207" s="469"/>
      <c r="L207" s="469"/>
      <c r="M207" s="469"/>
      <c r="N207" s="469"/>
      <c r="O207" s="469"/>
      <c r="P207" s="469"/>
      <c r="Q207" s="469"/>
      <c r="R207" s="469"/>
      <c r="S207" s="469"/>
      <c r="T207" s="469"/>
      <c r="U207" s="469"/>
      <c r="V207" s="469"/>
      <c r="W207" s="469"/>
    </row>
    <row r="208">
      <c r="A208" s="487" t="s">
        <v>5297</v>
      </c>
      <c r="B208" s="487" t="s">
        <v>7714</v>
      </c>
      <c r="C208" s="487" t="s">
        <v>7715</v>
      </c>
      <c r="D208" s="484"/>
      <c r="E208" s="485"/>
      <c r="F208" s="488">
        <v>692.16</v>
      </c>
      <c r="G208" s="448">
        <f>VLOOKUP(A208,Productos!$D$3:$AK811,16,FALSE())</f>
        <v>607</v>
      </c>
      <c r="H208" s="448"/>
      <c r="I208" s="469"/>
      <c r="J208" s="469"/>
      <c r="K208" s="469"/>
      <c r="L208" s="469"/>
      <c r="M208" s="469"/>
      <c r="N208" s="469"/>
      <c r="O208" s="469"/>
      <c r="P208" s="469"/>
      <c r="Q208" s="469"/>
      <c r="R208" s="469"/>
      <c r="S208" s="469"/>
      <c r="T208" s="469"/>
      <c r="U208" s="469"/>
      <c r="V208" s="469"/>
      <c r="W208" s="469"/>
    </row>
    <row r="209">
      <c r="A209" s="487" t="s">
        <v>1024</v>
      </c>
      <c r="B209" s="487" t="s">
        <v>7716</v>
      </c>
      <c r="C209" s="487" t="s">
        <v>7717</v>
      </c>
      <c r="D209" s="484"/>
      <c r="E209" s="485"/>
      <c r="F209" s="488">
        <v>423.36</v>
      </c>
      <c r="G209" s="448">
        <f>VLOOKUP(A209,Productos!$D$3:$AK811,16,FALSE())</f>
        <v>561</v>
      </c>
      <c r="H209" s="448"/>
      <c r="I209" s="469"/>
      <c r="J209" s="469"/>
      <c r="K209" s="469"/>
      <c r="L209" s="469"/>
      <c r="M209" s="469"/>
      <c r="N209" s="469"/>
      <c r="O209" s="469"/>
      <c r="P209" s="469"/>
      <c r="Q209" s="469"/>
      <c r="R209" s="469"/>
      <c r="S209" s="469"/>
      <c r="T209" s="469"/>
      <c r="U209" s="469"/>
      <c r="V209" s="469"/>
      <c r="W209" s="469"/>
    </row>
    <row r="210">
      <c r="A210" s="487" t="s">
        <v>5976</v>
      </c>
      <c r="B210" s="487" t="s">
        <v>5977</v>
      </c>
      <c r="C210" s="487" t="s">
        <v>7718</v>
      </c>
      <c r="D210" s="484"/>
      <c r="E210" s="485"/>
      <c r="F210" s="488">
        <v>23.52</v>
      </c>
      <c r="G210" s="448">
        <f>VLOOKUP(A210,Productos!$D$3:$AK811,16,FALSE())</f>
        <v>207</v>
      </c>
      <c r="H210" s="448"/>
      <c r="I210" s="469"/>
      <c r="J210" s="469"/>
      <c r="K210" s="469"/>
      <c r="L210" s="469"/>
      <c r="M210" s="469"/>
      <c r="N210" s="469"/>
      <c r="O210" s="469"/>
      <c r="P210" s="469"/>
      <c r="Q210" s="469"/>
      <c r="R210" s="469"/>
      <c r="S210" s="469"/>
      <c r="T210" s="469"/>
      <c r="U210" s="469"/>
      <c r="V210" s="469"/>
      <c r="W210" s="469"/>
    </row>
    <row r="211">
      <c r="A211" s="487" t="s">
        <v>5985</v>
      </c>
      <c r="B211" s="487" t="s">
        <v>5989</v>
      </c>
      <c r="C211" s="487" t="s">
        <v>7719</v>
      </c>
      <c r="D211" s="484"/>
      <c r="E211" s="485"/>
      <c r="F211" s="488">
        <v>23.52</v>
      </c>
      <c r="G211" s="448">
        <f>VLOOKUP(A211,Productos!$D$3:$AK811,16,FALSE())</f>
        <v>19.95</v>
      </c>
      <c r="H211" s="448"/>
      <c r="I211" s="469"/>
      <c r="J211" s="469"/>
      <c r="K211" s="469"/>
      <c r="L211" s="469"/>
      <c r="M211" s="469"/>
      <c r="N211" s="469"/>
      <c r="O211" s="469"/>
      <c r="P211" s="469"/>
      <c r="Q211" s="469"/>
      <c r="R211" s="469"/>
      <c r="S211" s="469"/>
      <c r="T211" s="469"/>
      <c r="U211" s="469"/>
      <c r="V211" s="469"/>
      <c r="W211" s="469"/>
    </row>
    <row r="212">
      <c r="A212" s="487" t="s">
        <v>5972</v>
      </c>
      <c r="B212" s="487" t="s">
        <v>7720</v>
      </c>
      <c r="C212" s="487" t="s">
        <v>7721</v>
      </c>
      <c r="D212" s="484"/>
      <c r="E212" s="485"/>
      <c r="F212" s="488">
        <v>1039.36</v>
      </c>
      <c r="G212" s="448">
        <f>VLOOKUP(A212,Productos!$D$3:$AK811,16,FALSE())</f>
        <v>911</v>
      </c>
      <c r="H212" s="448"/>
      <c r="I212" s="469"/>
      <c r="J212" s="469"/>
      <c r="K212" s="469"/>
      <c r="L212" s="469"/>
      <c r="M212" s="469"/>
      <c r="N212" s="469"/>
      <c r="O212" s="469"/>
      <c r="P212" s="469"/>
      <c r="Q212" s="469"/>
      <c r="R212" s="469"/>
      <c r="S212" s="469"/>
      <c r="T212" s="469"/>
      <c r="U212" s="469"/>
      <c r="V212" s="469"/>
      <c r="W212" s="469"/>
    </row>
    <row r="213">
      <c r="A213" s="487" t="s">
        <v>5970</v>
      </c>
      <c r="B213" s="487" t="s">
        <v>7722</v>
      </c>
      <c r="C213" s="487" t="s">
        <v>7723</v>
      </c>
      <c r="D213" s="484"/>
      <c r="E213" s="485"/>
      <c r="F213" s="488">
        <v>836.64</v>
      </c>
      <c r="G213" s="448">
        <f>VLOOKUP(A213,Productos!$D$3:$AK811,16,FALSE())</f>
        <v>733</v>
      </c>
      <c r="H213" s="448"/>
      <c r="I213" s="469"/>
      <c r="J213" s="469"/>
      <c r="K213" s="469"/>
      <c r="L213" s="469"/>
      <c r="M213" s="469"/>
      <c r="N213" s="469"/>
      <c r="O213" s="469"/>
      <c r="P213" s="469"/>
      <c r="Q213" s="469"/>
      <c r="R213" s="469"/>
      <c r="S213" s="469"/>
      <c r="T213" s="469"/>
      <c r="U213" s="469"/>
      <c r="V213" s="469"/>
      <c r="W213" s="469"/>
    </row>
    <row r="214">
      <c r="A214" s="487" t="s">
        <v>5998</v>
      </c>
      <c r="B214" s="487" t="s">
        <v>7724</v>
      </c>
      <c r="C214" s="487" t="s">
        <v>7725</v>
      </c>
      <c r="D214" s="484"/>
      <c r="E214" s="485"/>
      <c r="F214" s="488">
        <v>574.56</v>
      </c>
      <c r="G214" s="448">
        <f>VLOOKUP(A214,Productos!$D$3:$AK811,16,FALSE())</f>
        <v>503</v>
      </c>
      <c r="H214" s="448"/>
      <c r="I214" s="469"/>
      <c r="J214" s="469"/>
      <c r="K214" s="469"/>
      <c r="L214" s="469"/>
      <c r="M214" s="469"/>
      <c r="N214" s="469"/>
      <c r="O214" s="469"/>
      <c r="P214" s="469"/>
      <c r="Q214" s="469"/>
      <c r="R214" s="469"/>
      <c r="S214" s="469"/>
      <c r="T214" s="469"/>
      <c r="U214" s="469"/>
      <c r="V214" s="469"/>
      <c r="W214" s="469"/>
    </row>
    <row r="215">
      <c r="A215" s="487" t="s">
        <v>6015</v>
      </c>
      <c r="B215" s="487" t="s">
        <v>7726</v>
      </c>
      <c r="C215" s="487" t="s">
        <v>7727</v>
      </c>
      <c r="D215" s="484"/>
      <c r="E215" s="485"/>
      <c r="F215" s="488">
        <v>6820.8</v>
      </c>
      <c r="G215" s="448">
        <f>VLOOKUP(A215,Productos!$D$3:$AK811,16,FALSE())</f>
        <v>5976</v>
      </c>
      <c r="H215" s="448"/>
      <c r="I215" s="469"/>
      <c r="J215" s="469"/>
      <c r="K215" s="469"/>
      <c r="L215" s="469"/>
      <c r="M215" s="469"/>
      <c r="N215" s="469"/>
      <c r="O215" s="469"/>
      <c r="P215" s="469"/>
      <c r="Q215" s="469"/>
      <c r="R215" s="469"/>
      <c r="S215" s="469"/>
      <c r="T215" s="469"/>
      <c r="U215" s="469"/>
      <c r="V215" s="469"/>
      <c r="W215" s="469"/>
    </row>
    <row r="216">
      <c r="A216" s="487" t="s">
        <v>6168</v>
      </c>
      <c r="B216" s="487" t="s">
        <v>7728</v>
      </c>
      <c r="C216" s="487" t="s">
        <v>7729</v>
      </c>
      <c r="D216" s="484"/>
      <c r="E216" s="485"/>
      <c r="F216" s="488">
        <v>1305.92</v>
      </c>
      <c r="G216" s="448">
        <f>VLOOKUP(A216,Productos!$D$3:$AK811,16,FALSE())</f>
        <v>1143</v>
      </c>
      <c r="H216" s="448"/>
      <c r="I216" s="469"/>
      <c r="J216" s="469"/>
      <c r="K216" s="469"/>
      <c r="L216" s="469"/>
      <c r="M216" s="469"/>
      <c r="N216" s="469"/>
      <c r="O216" s="469"/>
      <c r="P216" s="469"/>
      <c r="Q216" s="469"/>
      <c r="R216" s="469"/>
      <c r="S216" s="469"/>
      <c r="T216" s="469"/>
      <c r="U216" s="469"/>
      <c r="V216" s="469"/>
      <c r="W216" s="469"/>
    </row>
    <row r="217">
      <c r="A217" s="487" t="s">
        <v>6154</v>
      </c>
      <c r="B217" s="487" t="s">
        <v>7730</v>
      </c>
      <c r="C217" s="487" t="s">
        <v>7731</v>
      </c>
      <c r="D217" s="484"/>
      <c r="E217" s="485"/>
      <c r="F217" s="488">
        <v>1305.92</v>
      </c>
      <c r="G217" s="448">
        <f>VLOOKUP(A217,Productos!$D$3:$AK811,16,FALSE())</f>
        <v>1143</v>
      </c>
      <c r="H217" s="448"/>
      <c r="I217" s="469"/>
      <c r="J217" s="469"/>
      <c r="K217" s="469"/>
      <c r="L217" s="469"/>
      <c r="M217" s="469"/>
      <c r="N217" s="469"/>
      <c r="O217" s="469"/>
      <c r="P217" s="469"/>
      <c r="Q217" s="469"/>
      <c r="R217" s="469"/>
      <c r="S217" s="469"/>
      <c r="T217" s="469"/>
      <c r="U217" s="469"/>
      <c r="V217" s="469"/>
      <c r="W217" s="469"/>
    </row>
    <row r="218">
      <c r="A218" s="487" t="s">
        <v>5968</v>
      </c>
      <c r="B218" s="487" t="s">
        <v>7732</v>
      </c>
      <c r="C218" s="487" t="s">
        <v>7733</v>
      </c>
      <c r="D218" s="484"/>
      <c r="E218" s="485"/>
      <c r="F218" s="488">
        <v>54.88</v>
      </c>
      <c r="G218" s="448">
        <f>VLOOKUP(A218,Productos!$D$3:$AK811,16,FALSE())</f>
        <v>49</v>
      </c>
      <c r="H218" s="448"/>
      <c r="I218" s="469"/>
      <c r="J218" s="469"/>
      <c r="K218" s="469"/>
      <c r="L218" s="469"/>
      <c r="M218" s="469"/>
      <c r="N218" s="469"/>
      <c r="O218" s="469"/>
      <c r="P218" s="469"/>
      <c r="Q218" s="469"/>
      <c r="R218" s="469"/>
      <c r="S218" s="469"/>
      <c r="T218" s="469"/>
      <c r="U218" s="469"/>
      <c r="V218" s="469"/>
      <c r="W218" s="469"/>
    </row>
    <row r="219">
      <c r="A219" s="487" t="s">
        <v>4577</v>
      </c>
      <c r="B219" s="487" t="s">
        <v>7734</v>
      </c>
      <c r="C219" s="487" t="s">
        <v>7735</v>
      </c>
      <c r="D219" s="484"/>
      <c r="E219" s="485"/>
      <c r="F219" s="488">
        <v>574.56</v>
      </c>
      <c r="G219" s="448">
        <f>VLOOKUP(A219,Productos!$D$3:$AK811,16,FALSE())</f>
        <v>503</v>
      </c>
      <c r="H219" s="448"/>
      <c r="I219" s="469"/>
      <c r="J219" s="469"/>
      <c r="K219" s="469"/>
      <c r="L219" s="469"/>
      <c r="M219" s="469"/>
      <c r="N219" s="469"/>
      <c r="O219" s="469"/>
      <c r="P219" s="469"/>
      <c r="Q219" s="469"/>
      <c r="R219" s="469"/>
      <c r="S219" s="469"/>
      <c r="T219" s="469"/>
      <c r="U219" s="469"/>
      <c r="V219" s="469"/>
      <c r="W219" s="469"/>
    </row>
    <row r="220">
      <c r="A220" s="487" t="s">
        <v>6187</v>
      </c>
      <c r="B220" s="487" t="s">
        <v>7736</v>
      </c>
      <c r="C220" s="487" t="s">
        <v>7737</v>
      </c>
      <c r="D220" s="484"/>
      <c r="E220" s="485"/>
      <c r="F220" s="488">
        <v>719.04</v>
      </c>
      <c r="G220" s="448">
        <f>VLOOKUP(A220,Productos!$D$3:$AK811,16,FALSE())</f>
        <v>629</v>
      </c>
      <c r="H220" s="448"/>
      <c r="I220" s="469"/>
      <c r="J220" s="469"/>
      <c r="K220" s="469"/>
      <c r="L220" s="469"/>
      <c r="M220" s="469"/>
      <c r="N220" s="469"/>
      <c r="O220" s="469"/>
      <c r="P220" s="469"/>
      <c r="Q220" s="469"/>
      <c r="R220" s="469"/>
      <c r="S220" s="469"/>
      <c r="T220" s="469"/>
      <c r="U220" s="469"/>
      <c r="V220" s="469"/>
      <c r="W220" s="469"/>
    </row>
    <row r="221">
      <c r="A221" s="487" t="s">
        <v>6201</v>
      </c>
      <c r="B221" s="487" t="s">
        <v>7738</v>
      </c>
      <c r="C221" s="487" t="s">
        <v>7739</v>
      </c>
      <c r="D221" s="484"/>
      <c r="E221" s="485"/>
      <c r="F221" s="488">
        <v>627.2</v>
      </c>
      <c r="G221" s="448">
        <f>VLOOKUP(A221,Productos!$D$3:$AK811,16,FALSE())</f>
        <v>549</v>
      </c>
      <c r="H221" s="448"/>
      <c r="I221" s="469"/>
      <c r="J221" s="469"/>
      <c r="K221" s="469"/>
      <c r="L221" s="469"/>
      <c r="M221" s="469"/>
      <c r="N221" s="469"/>
      <c r="O221" s="469"/>
      <c r="P221" s="469"/>
      <c r="Q221" s="469"/>
      <c r="R221" s="469"/>
      <c r="S221" s="469"/>
      <c r="T221" s="469"/>
      <c r="U221" s="469"/>
      <c r="V221" s="469"/>
      <c r="W221" s="469"/>
    </row>
    <row r="222">
      <c r="A222" s="487" t="s">
        <v>6152</v>
      </c>
      <c r="B222" s="487" t="s">
        <v>7740</v>
      </c>
      <c r="C222" s="487" t="s">
        <v>7741</v>
      </c>
      <c r="D222" s="484"/>
      <c r="E222" s="485"/>
      <c r="F222" s="488">
        <v>1096.48</v>
      </c>
      <c r="G222" s="448">
        <f>VLOOKUP(A222,Productos!$D$3:$AK811,16,FALSE())</f>
        <v>961</v>
      </c>
      <c r="H222" s="448"/>
      <c r="I222" s="469"/>
      <c r="J222" s="469"/>
      <c r="K222" s="469"/>
      <c r="L222" s="469"/>
      <c r="M222" s="469"/>
      <c r="N222" s="469"/>
      <c r="O222" s="469"/>
      <c r="P222" s="469"/>
      <c r="Q222" s="469"/>
      <c r="R222" s="469"/>
      <c r="S222" s="469"/>
      <c r="T222" s="469"/>
      <c r="U222" s="469"/>
      <c r="V222" s="469"/>
      <c r="W222" s="469"/>
    </row>
    <row r="223">
      <c r="A223" s="487" t="s">
        <v>6166</v>
      </c>
      <c r="B223" s="487" t="s">
        <v>7742</v>
      </c>
      <c r="C223" s="487" t="s">
        <v>7743</v>
      </c>
      <c r="D223" s="484"/>
      <c r="E223" s="485"/>
      <c r="F223" s="488">
        <v>313.6</v>
      </c>
      <c r="G223" s="448">
        <f>VLOOKUP(A223,Productos!$D$3:$AK811,16,FALSE())</f>
        <v>275</v>
      </c>
      <c r="H223" s="448"/>
      <c r="I223" s="469"/>
      <c r="J223" s="469"/>
      <c r="K223" s="469"/>
      <c r="L223" s="469"/>
      <c r="M223" s="469"/>
      <c r="N223" s="469"/>
      <c r="O223" s="469"/>
      <c r="P223" s="469"/>
      <c r="Q223" s="469"/>
      <c r="R223" s="469"/>
      <c r="S223" s="469"/>
      <c r="T223" s="469"/>
      <c r="U223" s="469"/>
      <c r="V223" s="469"/>
      <c r="W223" s="469"/>
    </row>
    <row r="224">
      <c r="A224" s="487" t="s">
        <v>6164</v>
      </c>
      <c r="B224" s="487" t="s">
        <v>7744</v>
      </c>
      <c r="C224" s="487" t="s">
        <v>7745</v>
      </c>
      <c r="D224" s="484"/>
      <c r="E224" s="485"/>
      <c r="F224" s="488">
        <v>770.56</v>
      </c>
      <c r="G224" s="448">
        <f>VLOOKUP(A224,Productos!$D$3:$AK811,16,FALSE())</f>
        <v>675</v>
      </c>
      <c r="H224" s="448"/>
      <c r="I224" s="469"/>
      <c r="J224" s="469"/>
      <c r="K224" s="469"/>
      <c r="L224" s="469"/>
      <c r="M224" s="469"/>
      <c r="N224" s="469"/>
      <c r="O224" s="469"/>
      <c r="P224" s="469"/>
      <c r="Q224" s="469"/>
      <c r="R224" s="469"/>
      <c r="S224" s="469"/>
      <c r="T224" s="469"/>
      <c r="U224" s="469"/>
      <c r="V224" s="469"/>
      <c r="W224" s="469"/>
    </row>
    <row r="225">
      <c r="A225" s="487" t="s">
        <v>6661</v>
      </c>
      <c r="B225" s="487" t="s">
        <v>7746</v>
      </c>
      <c r="C225" s="487" t="s">
        <v>7747</v>
      </c>
      <c r="D225" s="484"/>
      <c r="E225" s="485"/>
      <c r="F225" s="488">
        <v>2945.6</v>
      </c>
      <c r="G225" s="448">
        <f>VLOOKUP(A225,Productos!$D$3:$AK811,16,FALSE())</f>
        <v>2580</v>
      </c>
      <c r="H225" s="448"/>
      <c r="I225" s="469"/>
      <c r="J225" s="469"/>
      <c r="K225" s="469"/>
      <c r="L225" s="469"/>
      <c r="M225" s="469"/>
      <c r="N225" s="469"/>
      <c r="O225" s="469"/>
      <c r="P225" s="469"/>
      <c r="Q225" s="469"/>
      <c r="R225" s="469"/>
      <c r="S225" s="469"/>
      <c r="T225" s="469"/>
      <c r="U225" s="469"/>
      <c r="V225" s="469"/>
      <c r="W225" s="469"/>
    </row>
    <row r="226">
      <c r="A226" s="487" t="s">
        <v>6678</v>
      </c>
      <c r="B226" s="487" t="s">
        <v>7748</v>
      </c>
      <c r="C226" s="487" t="s">
        <v>7749</v>
      </c>
      <c r="D226" s="484"/>
      <c r="E226" s="485"/>
      <c r="F226" s="488">
        <v>235.2</v>
      </c>
      <c r="G226" s="448">
        <f>VLOOKUP(A226,Productos!$D$3:$AK811,16,FALSE())</f>
        <v>207</v>
      </c>
      <c r="H226" s="448"/>
      <c r="I226" s="469"/>
      <c r="J226" s="469"/>
      <c r="K226" s="469"/>
      <c r="L226" s="469"/>
      <c r="M226" s="469"/>
      <c r="N226" s="469"/>
      <c r="O226" s="469"/>
      <c r="P226" s="469"/>
      <c r="Q226" s="469"/>
      <c r="R226" s="469"/>
      <c r="S226" s="469"/>
      <c r="T226" s="469"/>
      <c r="U226" s="469"/>
      <c r="V226" s="469"/>
      <c r="W226" s="469"/>
    </row>
    <row r="227">
      <c r="A227" s="487" t="s">
        <v>6711</v>
      </c>
      <c r="B227" s="487" t="s">
        <v>7750</v>
      </c>
      <c r="C227" s="487" t="s">
        <v>7751</v>
      </c>
      <c r="D227" s="484"/>
      <c r="E227" s="485"/>
      <c r="F227" s="488">
        <v>40.32</v>
      </c>
      <c r="G227" s="448">
        <f>VLOOKUP(A227,Productos!$D$3:$AK811,16,FALSE())</f>
        <v>35</v>
      </c>
      <c r="H227" s="448"/>
      <c r="I227" s="469"/>
      <c r="J227" s="469"/>
      <c r="K227" s="469"/>
      <c r="L227" s="469"/>
      <c r="M227" s="469"/>
      <c r="N227" s="469"/>
      <c r="O227" s="469"/>
      <c r="P227" s="469"/>
      <c r="Q227" s="469"/>
      <c r="R227" s="469"/>
      <c r="S227" s="469"/>
      <c r="T227" s="469"/>
      <c r="U227" s="469"/>
      <c r="V227" s="469"/>
      <c r="W227" s="469"/>
    </row>
    <row r="228">
      <c r="A228" s="487" t="s">
        <v>6355</v>
      </c>
      <c r="B228" s="487" t="s">
        <v>7752</v>
      </c>
      <c r="C228" s="487" t="s">
        <v>7753</v>
      </c>
      <c r="D228" s="484"/>
      <c r="E228" s="485"/>
      <c r="F228" s="488">
        <v>267.68</v>
      </c>
      <c r="G228" s="448">
        <f>VLOOKUP(A228,Productos!$D$3:$AK811,16,FALSE())</f>
        <v>235</v>
      </c>
      <c r="H228" s="448"/>
      <c r="I228" s="469"/>
      <c r="J228" s="469"/>
      <c r="K228" s="469"/>
      <c r="L228" s="469"/>
      <c r="M228" s="469"/>
      <c r="N228" s="469"/>
      <c r="O228" s="469"/>
      <c r="P228" s="469"/>
      <c r="Q228" s="469"/>
      <c r="R228" s="469"/>
      <c r="S228" s="469"/>
      <c r="T228" s="469"/>
      <c r="U228" s="469"/>
      <c r="V228" s="469"/>
      <c r="W228" s="469"/>
    </row>
    <row r="229">
      <c r="A229" s="487" t="s">
        <v>6355</v>
      </c>
      <c r="B229" s="489" t="s">
        <v>7754</v>
      </c>
      <c r="C229" s="489" t="s">
        <v>7753</v>
      </c>
      <c r="D229" s="484"/>
      <c r="E229" s="485"/>
      <c r="F229" s="488">
        <v>267.68</v>
      </c>
      <c r="G229" s="448">
        <f>VLOOKUP(A229,Productos!$D$3:$AK811,16,FALSE())</f>
        <v>235</v>
      </c>
      <c r="H229" s="448"/>
      <c r="I229" s="469"/>
      <c r="J229" s="469"/>
      <c r="K229" s="469"/>
      <c r="L229" s="469"/>
      <c r="M229" s="469"/>
      <c r="N229" s="469"/>
      <c r="O229" s="469"/>
      <c r="P229" s="469"/>
      <c r="Q229" s="469"/>
      <c r="R229" s="469"/>
      <c r="S229" s="469"/>
      <c r="T229" s="469"/>
      <c r="U229" s="469"/>
      <c r="V229" s="469"/>
      <c r="W229" s="469"/>
    </row>
    <row r="230">
      <c r="A230" s="487" t="s">
        <v>6367</v>
      </c>
      <c r="B230" s="487" t="s">
        <v>7755</v>
      </c>
      <c r="C230" s="487" t="s">
        <v>7756</v>
      </c>
      <c r="D230" s="484"/>
      <c r="E230" s="485"/>
      <c r="F230" s="488">
        <v>1279.04</v>
      </c>
      <c r="G230" s="448">
        <f>VLOOKUP(A230,Productos!$D$3:$AK811,16,FALSE())</f>
        <v>1120</v>
      </c>
      <c r="H230" s="448"/>
      <c r="I230" s="469"/>
      <c r="J230" s="469"/>
      <c r="K230" s="469"/>
      <c r="L230" s="469"/>
      <c r="M230" s="469"/>
      <c r="N230" s="469"/>
      <c r="O230" s="469"/>
      <c r="P230" s="469"/>
      <c r="Q230" s="469"/>
      <c r="R230" s="469"/>
      <c r="S230" s="469"/>
      <c r="T230" s="469"/>
      <c r="U230" s="469"/>
      <c r="V230" s="469"/>
      <c r="W230" s="469"/>
    </row>
    <row r="231">
      <c r="A231" s="487" t="s">
        <v>6367</v>
      </c>
      <c r="B231" s="489" t="s">
        <v>7757</v>
      </c>
      <c r="C231" s="489" t="s">
        <v>7756</v>
      </c>
      <c r="D231" s="484"/>
      <c r="E231" s="485"/>
      <c r="F231" s="488">
        <v>1279.04</v>
      </c>
      <c r="G231" s="448">
        <f>VLOOKUP(A231,Productos!$D$3:$AK811,16,FALSE())</f>
        <v>1120</v>
      </c>
      <c r="H231" s="448"/>
      <c r="I231" s="469"/>
      <c r="J231" s="469"/>
      <c r="K231" s="469"/>
      <c r="L231" s="469"/>
      <c r="M231" s="469"/>
      <c r="N231" s="469"/>
      <c r="O231" s="469"/>
      <c r="P231" s="469"/>
      <c r="Q231" s="469"/>
      <c r="R231" s="469"/>
      <c r="S231" s="469"/>
      <c r="T231" s="469"/>
      <c r="U231" s="469"/>
      <c r="V231" s="469"/>
      <c r="W231" s="469"/>
    </row>
    <row r="232">
      <c r="A232" s="487" t="s">
        <v>6372</v>
      </c>
      <c r="B232" s="487" t="s">
        <v>7758</v>
      </c>
      <c r="C232" s="487" t="s">
        <v>7759</v>
      </c>
      <c r="D232" s="484"/>
      <c r="E232" s="485"/>
      <c r="F232" s="488">
        <v>1554.56</v>
      </c>
      <c r="G232" s="448">
        <f>VLOOKUP(A232,Productos!$D$3:$AK811,16,FALSE())</f>
        <v>1362</v>
      </c>
      <c r="H232" s="448"/>
      <c r="I232" s="469"/>
      <c r="J232" s="469"/>
      <c r="K232" s="469"/>
      <c r="L232" s="469"/>
      <c r="M232" s="469"/>
      <c r="N232" s="469"/>
      <c r="O232" s="469"/>
      <c r="P232" s="469"/>
      <c r="Q232" s="469"/>
      <c r="R232" s="469"/>
      <c r="S232" s="469"/>
      <c r="T232" s="469"/>
      <c r="U232" s="469"/>
      <c r="V232" s="469"/>
      <c r="W232" s="469"/>
    </row>
    <row r="233">
      <c r="A233" s="487" t="s">
        <v>6465</v>
      </c>
      <c r="B233" s="487" t="s">
        <v>7760</v>
      </c>
      <c r="C233" s="487" t="s">
        <v>7761</v>
      </c>
      <c r="D233" s="484"/>
      <c r="E233" s="485"/>
      <c r="F233" s="488">
        <v>5.6</v>
      </c>
      <c r="G233" s="448">
        <f>VLOOKUP(A233,Productos!$D$3:$AK811,16,FALSE())</f>
        <v>4.2</v>
      </c>
      <c r="H233" s="448"/>
      <c r="I233" s="469"/>
      <c r="J233" s="469"/>
      <c r="K233" s="469"/>
      <c r="L233" s="469"/>
      <c r="M233" s="469"/>
      <c r="N233" s="469"/>
      <c r="O233" s="469"/>
      <c r="P233" s="469"/>
      <c r="Q233" s="469"/>
      <c r="R233" s="469"/>
      <c r="S233" s="469"/>
      <c r="T233" s="469"/>
      <c r="U233" s="469"/>
      <c r="V233" s="469"/>
      <c r="W233" s="469"/>
    </row>
    <row r="234">
      <c r="A234" s="487" t="s">
        <v>6520</v>
      </c>
      <c r="B234" s="491" t="s">
        <v>6521</v>
      </c>
      <c r="C234" s="489" t="s">
        <v>7762</v>
      </c>
      <c r="D234" s="484"/>
      <c r="E234" s="485"/>
      <c r="F234" s="488">
        <v>1256.64</v>
      </c>
      <c r="G234" s="448">
        <f>VLOOKUP(A234,Productos!$D$3:$AK811,16,FALSE())</f>
        <v>1101</v>
      </c>
      <c r="H234" s="448"/>
      <c r="I234" s="469"/>
      <c r="J234" s="469"/>
      <c r="K234" s="469"/>
      <c r="L234" s="469"/>
      <c r="M234" s="469"/>
      <c r="N234" s="469"/>
      <c r="O234" s="469"/>
      <c r="P234" s="469"/>
      <c r="Q234" s="469"/>
      <c r="R234" s="469"/>
      <c r="S234" s="469"/>
      <c r="T234" s="469"/>
      <c r="U234" s="469"/>
      <c r="V234" s="469"/>
      <c r="W234" s="469"/>
    </row>
    <row r="235">
      <c r="A235" s="487" t="s">
        <v>6291</v>
      </c>
      <c r="B235" s="487" t="s">
        <v>6292</v>
      </c>
      <c r="C235" s="487" t="s">
        <v>7763</v>
      </c>
      <c r="D235" s="484"/>
      <c r="E235" s="485"/>
      <c r="F235" s="488">
        <v>3675.84</v>
      </c>
      <c r="G235" s="448">
        <f>VLOOKUP(A235,Productos!$D$3:$AK811,16,FALSE())</f>
        <v>3282</v>
      </c>
      <c r="H235" s="448"/>
      <c r="I235" s="469"/>
      <c r="J235" s="469"/>
      <c r="K235" s="469"/>
      <c r="L235" s="469"/>
      <c r="M235" s="469"/>
      <c r="N235" s="469"/>
      <c r="O235" s="469"/>
      <c r="P235" s="469"/>
      <c r="Q235" s="469"/>
      <c r="R235" s="469"/>
      <c r="S235" s="469"/>
      <c r="T235" s="469"/>
      <c r="U235" s="469"/>
      <c r="V235" s="469"/>
      <c r="W235" s="469"/>
    </row>
    <row r="236">
      <c r="A236" s="484" t="s">
        <v>6340</v>
      </c>
      <c r="B236" s="484" t="s">
        <v>7764</v>
      </c>
      <c r="C236" s="484" t="s">
        <v>7765</v>
      </c>
      <c r="D236" s="484"/>
      <c r="E236" s="485"/>
      <c r="F236" s="486">
        <v>23.52</v>
      </c>
      <c r="G236" s="448">
        <f>VLOOKUP(A236,Productos!$D$3:$AK811,16,FALSE())</f>
        <v>19.95</v>
      </c>
      <c r="H236" s="448"/>
      <c r="I236" s="469"/>
      <c r="J236" s="469"/>
      <c r="K236" s="469"/>
      <c r="L236" s="469"/>
      <c r="M236" s="469"/>
      <c r="N236" s="469"/>
      <c r="O236" s="469"/>
      <c r="P236" s="469"/>
      <c r="Q236" s="469"/>
      <c r="R236" s="469"/>
      <c r="S236" s="469"/>
      <c r="T236" s="469"/>
      <c r="U236" s="469"/>
      <c r="V236" s="469"/>
      <c r="W236" s="469"/>
    </row>
    <row r="237">
      <c r="A237" s="484" t="s">
        <v>6293</v>
      </c>
      <c r="B237" s="484" t="s">
        <v>6294</v>
      </c>
      <c r="C237" s="484" t="s">
        <v>7766</v>
      </c>
      <c r="D237" s="484"/>
      <c r="E237" s="485"/>
      <c r="F237" s="486">
        <v>4164.16</v>
      </c>
      <c r="G237" s="448">
        <f>VLOOKUP(A237,Productos!$D$3:$AK811,16,FALSE())</f>
        <v>3718</v>
      </c>
      <c r="H237" s="448"/>
      <c r="I237" s="469"/>
      <c r="J237" s="469"/>
      <c r="K237" s="469"/>
      <c r="L237" s="469"/>
      <c r="M237" s="469"/>
      <c r="N237" s="469"/>
      <c r="O237" s="469"/>
      <c r="P237" s="469"/>
      <c r="Q237" s="469"/>
      <c r="R237" s="469"/>
      <c r="S237" s="469"/>
      <c r="T237" s="469"/>
      <c r="U237" s="469"/>
      <c r="V237" s="469"/>
      <c r="W237" s="469"/>
    </row>
    <row r="238">
      <c r="A238" s="484" t="s">
        <v>6297</v>
      </c>
      <c r="B238" s="484" t="s">
        <v>6298</v>
      </c>
      <c r="C238" s="484" t="s">
        <v>7767</v>
      </c>
      <c r="D238" s="484"/>
      <c r="E238" s="485"/>
      <c r="F238" s="486">
        <v>3647.84</v>
      </c>
      <c r="G238" s="448">
        <f>VLOOKUP(A238,Productos!$D$3:$AK811,16,FALSE())</f>
        <v>3257</v>
      </c>
      <c r="H238" s="448"/>
      <c r="I238" s="469"/>
      <c r="J238" s="469"/>
      <c r="K238" s="469"/>
      <c r="L238" s="469"/>
      <c r="M238" s="469"/>
      <c r="N238" s="469"/>
      <c r="O238" s="469"/>
      <c r="P238" s="469"/>
      <c r="Q238" s="469"/>
      <c r="R238" s="469"/>
      <c r="S238" s="469"/>
      <c r="T238" s="469"/>
      <c r="U238" s="469"/>
      <c r="V238" s="469"/>
      <c r="W238" s="469"/>
    </row>
    <row r="239">
      <c r="A239" s="484" t="s">
        <v>6299</v>
      </c>
      <c r="B239" s="484" t="s">
        <v>6300</v>
      </c>
      <c r="C239" s="484" t="s">
        <v>7768</v>
      </c>
      <c r="D239" s="484"/>
      <c r="E239" s="485"/>
      <c r="F239" s="486">
        <v>4316.48</v>
      </c>
      <c r="G239" s="448">
        <f>VLOOKUP(A239,Productos!$D$3:$AK811,16,FALSE())</f>
        <v>3854</v>
      </c>
      <c r="H239" s="448"/>
      <c r="I239" s="469"/>
      <c r="J239" s="469"/>
      <c r="K239" s="469"/>
      <c r="L239" s="469"/>
      <c r="M239" s="469"/>
      <c r="N239" s="469"/>
      <c r="O239" s="469"/>
      <c r="P239" s="469"/>
      <c r="Q239" s="469"/>
      <c r="R239" s="469"/>
      <c r="S239" s="469"/>
      <c r="T239" s="469"/>
      <c r="U239" s="469"/>
      <c r="V239" s="469"/>
      <c r="W239" s="469"/>
    </row>
    <row r="240">
      <c r="A240" s="484" t="s">
        <v>6288</v>
      </c>
      <c r="B240" s="484" t="s">
        <v>6289</v>
      </c>
      <c r="C240" s="484" t="s">
        <v>7769</v>
      </c>
      <c r="D240" s="484"/>
      <c r="E240" s="485"/>
      <c r="F240" s="486">
        <v>2657.76</v>
      </c>
      <c r="G240" s="448">
        <f>VLOOKUP(A240,Productos!$D$3:$AK811,16,FALSE())</f>
        <v>3718</v>
      </c>
      <c r="H240" s="448"/>
      <c r="I240" s="469"/>
      <c r="J240" s="469"/>
      <c r="K240" s="469"/>
      <c r="L240" s="469"/>
      <c r="M240" s="469"/>
      <c r="N240" s="469"/>
      <c r="O240" s="469"/>
      <c r="P240" s="469"/>
      <c r="Q240" s="469"/>
      <c r="R240" s="469"/>
      <c r="S240" s="469"/>
      <c r="T240" s="469"/>
      <c r="U240" s="469"/>
      <c r="V240" s="469"/>
      <c r="W240" s="469"/>
    </row>
    <row r="241">
      <c r="A241" s="484" t="s">
        <v>6301</v>
      </c>
      <c r="B241" s="493" t="s">
        <v>7770</v>
      </c>
      <c r="C241" s="493" t="s">
        <v>7769</v>
      </c>
      <c r="D241" s="484"/>
      <c r="E241" s="485"/>
      <c r="F241" s="486">
        <v>2657.76</v>
      </c>
      <c r="G241" s="448">
        <f>VLOOKUP(A241,Productos!$D$3:$AK811,16,FALSE())</f>
        <v>2329</v>
      </c>
      <c r="H241" s="448"/>
      <c r="I241" s="469"/>
      <c r="J241" s="469"/>
      <c r="K241" s="469"/>
      <c r="L241" s="469"/>
      <c r="M241" s="469"/>
      <c r="N241" s="469"/>
      <c r="O241" s="469"/>
      <c r="P241" s="469"/>
      <c r="Q241" s="469"/>
      <c r="R241" s="469"/>
      <c r="S241" s="469"/>
      <c r="T241" s="469"/>
      <c r="U241" s="469"/>
      <c r="V241" s="469"/>
      <c r="W241" s="469"/>
    </row>
    <row r="242">
      <c r="A242" s="484" t="s">
        <v>6330</v>
      </c>
      <c r="B242" s="484" t="s">
        <v>7771</v>
      </c>
      <c r="C242" s="484" t="s">
        <v>7772</v>
      </c>
      <c r="D242" s="484"/>
      <c r="E242" s="485"/>
      <c r="F242" s="486">
        <v>146.72</v>
      </c>
      <c r="G242" s="448">
        <f>VLOOKUP(A242,Productos!$D$3:$AK811,16,FALSE())</f>
        <v>128</v>
      </c>
      <c r="H242" s="448"/>
      <c r="I242" s="469"/>
      <c r="J242" s="469"/>
      <c r="K242" s="469"/>
      <c r="L242" s="469"/>
      <c r="M242" s="469"/>
      <c r="N242" s="469"/>
      <c r="O242" s="469"/>
      <c r="P242" s="469"/>
      <c r="Q242" s="469"/>
      <c r="R242" s="469"/>
      <c r="S242" s="469"/>
      <c r="T242" s="469"/>
      <c r="U242" s="469"/>
      <c r="V242" s="469"/>
      <c r="W242" s="469"/>
    </row>
    <row r="243">
      <c r="A243" s="484" t="s">
        <v>6330</v>
      </c>
      <c r="B243" s="493" t="s">
        <v>7773</v>
      </c>
      <c r="C243" s="493" t="s">
        <v>7772</v>
      </c>
      <c r="D243" s="484"/>
      <c r="E243" s="485"/>
      <c r="F243" s="486">
        <v>146.72</v>
      </c>
      <c r="G243" s="448">
        <f>VLOOKUP(A243,Productos!$D$3:$AK811,16,FALSE())</f>
        <v>128</v>
      </c>
      <c r="H243" s="448"/>
      <c r="I243" s="469"/>
      <c r="J243" s="469"/>
      <c r="K243" s="469"/>
      <c r="L243" s="469"/>
      <c r="M243" s="469"/>
      <c r="N243" s="469"/>
      <c r="O243" s="469"/>
      <c r="P243" s="469"/>
      <c r="Q243" s="469"/>
      <c r="R243" s="469"/>
      <c r="S243" s="469"/>
      <c r="T243" s="469"/>
      <c r="U243" s="469"/>
      <c r="V243" s="469"/>
      <c r="W243" s="469"/>
    </row>
    <row r="244">
      <c r="A244" s="484" t="s">
        <v>6295</v>
      </c>
      <c r="B244" s="484" t="s">
        <v>6296</v>
      </c>
      <c r="C244" s="484" t="s">
        <v>7774</v>
      </c>
      <c r="D244" s="484"/>
      <c r="E244" s="485"/>
      <c r="F244" s="486">
        <v>1732.64</v>
      </c>
      <c r="G244" s="448">
        <f>VLOOKUP(A244,Productos!$D$3:$AK811,16,FALSE())</f>
        <v>1547</v>
      </c>
      <c r="H244" s="448"/>
      <c r="I244" s="469"/>
      <c r="J244" s="469"/>
      <c r="K244" s="469"/>
      <c r="L244" s="469"/>
      <c r="M244" s="469"/>
      <c r="N244" s="469"/>
      <c r="O244" s="469"/>
      <c r="P244" s="469"/>
      <c r="Q244" s="469"/>
      <c r="R244" s="469"/>
      <c r="S244" s="469"/>
      <c r="T244" s="469"/>
      <c r="U244" s="469"/>
      <c r="V244" s="469"/>
      <c r="W244" s="469"/>
    </row>
    <row r="245">
      <c r="A245" s="484" t="s">
        <v>6730</v>
      </c>
      <c r="B245" s="484" t="s">
        <v>7775</v>
      </c>
      <c r="C245" s="484" t="s">
        <v>7776</v>
      </c>
      <c r="D245" s="484"/>
      <c r="E245" s="485"/>
      <c r="F245" s="486">
        <v>8227.52</v>
      </c>
      <c r="G245" s="448">
        <f>VLOOKUP(A245,Productos!$D$3:$AK811,16,FALSE())</f>
        <v>7208</v>
      </c>
      <c r="H245" s="448"/>
      <c r="I245" s="469"/>
      <c r="J245" s="469"/>
      <c r="K245" s="469"/>
      <c r="L245" s="469"/>
      <c r="M245" s="469"/>
      <c r="N245" s="469"/>
      <c r="O245" s="469"/>
      <c r="P245" s="469"/>
      <c r="Q245" s="469"/>
      <c r="R245" s="469"/>
      <c r="S245" s="469"/>
      <c r="T245" s="469"/>
      <c r="U245" s="469"/>
      <c r="V245" s="469"/>
      <c r="W245" s="469"/>
    </row>
    <row r="246">
      <c r="A246" s="484" t="s">
        <v>6745</v>
      </c>
      <c r="B246" s="484" t="s">
        <v>7777</v>
      </c>
      <c r="C246" s="484" t="s">
        <v>7778</v>
      </c>
      <c r="D246" s="484"/>
      <c r="E246" s="485"/>
      <c r="F246" s="486">
        <v>1037.12</v>
      </c>
      <c r="G246" s="448">
        <f>VLOOKUP(A246,Productos!$D$3:$AK811,16,FALSE())</f>
        <v>909</v>
      </c>
      <c r="H246" s="448"/>
      <c r="I246" s="469"/>
      <c r="J246" s="469"/>
      <c r="K246" s="469"/>
      <c r="L246" s="469"/>
      <c r="M246" s="469"/>
      <c r="N246" s="469"/>
      <c r="O246" s="469"/>
      <c r="P246" s="469"/>
      <c r="Q246" s="469"/>
      <c r="R246" s="469"/>
      <c r="S246" s="469"/>
      <c r="T246" s="469"/>
      <c r="U246" s="469"/>
      <c r="V246" s="469"/>
      <c r="W246" s="469"/>
    </row>
    <row r="247">
      <c r="A247" s="484" t="s">
        <v>6742</v>
      </c>
      <c r="B247" s="484" t="s">
        <v>7779</v>
      </c>
      <c r="C247" s="484" t="s">
        <v>7780</v>
      </c>
      <c r="D247" s="484"/>
      <c r="E247" s="485"/>
      <c r="F247" s="486">
        <v>2357.6</v>
      </c>
      <c r="G247" s="448">
        <f>VLOOKUP(A247,Productos!$D$3:$AK811,16,FALSE())</f>
        <v>2065</v>
      </c>
      <c r="H247" s="448"/>
      <c r="I247" s="469"/>
      <c r="J247" s="469"/>
      <c r="K247" s="469"/>
      <c r="L247" s="469"/>
      <c r="M247" s="469"/>
      <c r="N247" s="469"/>
      <c r="O247" s="469"/>
      <c r="P247" s="469"/>
      <c r="Q247" s="469"/>
      <c r="R247" s="469"/>
      <c r="S247" s="469"/>
      <c r="T247" s="469"/>
      <c r="U247" s="469"/>
      <c r="V247" s="469"/>
      <c r="W247" s="469"/>
    </row>
    <row r="248">
      <c r="A248" s="484" t="s">
        <v>6748</v>
      </c>
      <c r="B248" s="493" t="s">
        <v>7781</v>
      </c>
      <c r="C248" s="493" t="s">
        <v>7782</v>
      </c>
      <c r="D248" s="484"/>
      <c r="E248" s="485"/>
      <c r="F248" s="486">
        <v>2736.16</v>
      </c>
      <c r="G248" s="448">
        <f>VLOOKUP(A248,Productos!$D$3:$AK811,16,FALSE())</f>
        <v>2397</v>
      </c>
      <c r="H248" s="448"/>
      <c r="I248" s="469"/>
      <c r="J248" s="469"/>
      <c r="K248" s="469"/>
      <c r="L248" s="469"/>
      <c r="M248" s="469"/>
      <c r="N248" s="469"/>
      <c r="O248" s="469"/>
      <c r="P248" s="469"/>
      <c r="Q248" s="469"/>
      <c r="R248" s="469"/>
      <c r="S248" s="469"/>
      <c r="T248" s="469"/>
      <c r="U248" s="469"/>
      <c r="V248" s="469"/>
      <c r="W248" s="469"/>
    </row>
    <row r="249">
      <c r="A249" s="484" t="s">
        <v>6759</v>
      </c>
      <c r="B249" s="484" t="s">
        <v>7783</v>
      </c>
      <c r="C249" s="484" t="s">
        <v>7784</v>
      </c>
      <c r="D249" s="484"/>
      <c r="E249" s="485"/>
      <c r="F249" s="486">
        <v>757.12</v>
      </c>
      <c r="G249" s="448">
        <f>VLOOKUP(A249,Productos!$D$3:$AK811,16,FALSE())</f>
        <v>664</v>
      </c>
      <c r="H249" s="448"/>
      <c r="I249" s="469"/>
      <c r="J249" s="469"/>
      <c r="K249" s="469"/>
      <c r="L249" s="469"/>
      <c r="M249" s="469"/>
      <c r="N249" s="469"/>
      <c r="O249" s="469"/>
      <c r="P249" s="469"/>
      <c r="Q249" s="469"/>
      <c r="R249" s="469"/>
      <c r="S249" s="469"/>
      <c r="T249" s="469"/>
      <c r="U249" s="469"/>
      <c r="V249" s="469"/>
      <c r="W249" s="469"/>
    </row>
    <row r="250">
      <c r="A250" s="484" t="s">
        <v>6759</v>
      </c>
      <c r="B250" s="493" t="s">
        <v>7785</v>
      </c>
      <c r="C250" s="493" t="s">
        <v>7784</v>
      </c>
      <c r="D250" s="484"/>
      <c r="E250" s="485"/>
      <c r="F250" s="486">
        <v>757.12</v>
      </c>
      <c r="G250" s="448">
        <f>VLOOKUP(A250,Productos!$D$3:$AK811,16,FALSE())</f>
        <v>664</v>
      </c>
      <c r="H250" s="448"/>
      <c r="I250" s="469"/>
      <c r="J250" s="469"/>
      <c r="K250" s="469"/>
      <c r="L250" s="469"/>
      <c r="M250" s="469"/>
      <c r="N250" s="469"/>
      <c r="O250" s="469"/>
      <c r="P250" s="469"/>
      <c r="Q250" s="469"/>
      <c r="R250" s="469"/>
      <c r="S250" s="469"/>
      <c r="T250" s="469"/>
      <c r="U250" s="469"/>
      <c r="V250" s="469"/>
      <c r="W250" s="469"/>
    </row>
    <row r="251">
      <c r="A251" s="484" t="s">
        <v>2322</v>
      </c>
      <c r="B251" s="493" t="s">
        <v>3134</v>
      </c>
      <c r="C251" s="493" t="s">
        <v>7786</v>
      </c>
      <c r="D251" s="484"/>
      <c r="E251" s="485"/>
      <c r="F251" s="486">
        <v>592.48</v>
      </c>
      <c r="G251" s="448">
        <f>VLOOKUP(A251,Productos!$D$3:$AK811,16,FALSE())</f>
        <v>347</v>
      </c>
      <c r="H251" s="448"/>
      <c r="I251" s="469"/>
      <c r="J251" s="469"/>
      <c r="K251" s="469"/>
      <c r="L251" s="469"/>
      <c r="M251" s="469"/>
      <c r="N251" s="469"/>
      <c r="O251" s="469"/>
      <c r="P251" s="469"/>
      <c r="Q251" s="469"/>
      <c r="R251" s="469"/>
      <c r="S251" s="469"/>
      <c r="T251" s="469"/>
      <c r="U251" s="469"/>
      <c r="V251" s="469"/>
      <c r="W251" s="469"/>
    </row>
    <row r="252">
      <c r="A252" s="484" t="s">
        <v>4382</v>
      </c>
      <c r="B252" s="493" t="s">
        <v>7787</v>
      </c>
      <c r="C252" s="493" t="s">
        <v>7788</v>
      </c>
      <c r="D252" s="484"/>
      <c r="E252" s="485"/>
      <c r="F252" s="486">
        <v>8380.96</v>
      </c>
      <c r="G252" s="448">
        <f>VLOOKUP(A252,Productos!$D$3:$AK811,16,FALSE())</f>
        <v>6887</v>
      </c>
      <c r="H252" s="448"/>
      <c r="I252" s="469"/>
      <c r="J252" s="469"/>
      <c r="K252" s="469"/>
      <c r="L252" s="469"/>
      <c r="M252" s="469"/>
      <c r="N252" s="469"/>
      <c r="O252" s="469"/>
      <c r="P252" s="469"/>
      <c r="Q252" s="469"/>
      <c r="R252" s="469"/>
      <c r="S252" s="469"/>
      <c r="T252" s="469"/>
      <c r="U252" s="469"/>
      <c r="V252" s="469"/>
      <c r="W252" s="469"/>
    </row>
    <row r="253">
      <c r="A253" s="484" t="s">
        <v>2932</v>
      </c>
      <c r="B253" s="484" t="s">
        <v>2933</v>
      </c>
      <c r="C253" s="494"/>
      <c r="D253" s="484"/>
      <c r="E253" s="485"/>
      <c r="F253" s="486">
        <v>24016.16</v>
      </c>
      <c r="G253" s="448">
        <f>VLOOKUP(A253,Productos!$D$3:$AK811,16,FALSE())</f>
        <v>21443</v>
      </c>
      <c r="H253" s="448"/>
      <c r="I253" s="469"/>
      <c r="J253" s="469"/>
      <c r="K253" s="469"/>
      <c r="L253" s="469"/>
      <c r="M253" s="469"/>
      <c r="N253" s="469"/>
      <c r="O253" s="469"/>
      <c r="P253" s="469"/>
      <c r="Q253" s="469"/>
      <c r="R253" s="469"/>
      <c r="S253" s="469"/>
      <c r="T253" s="469"/>
      <c r="U253" s="469"/>
      <c r="V253" s="469"/>
      <c r="W253" s="469"/>
    </row>
    <row r="254">
      <c r="A254" s="484" t="s">
        <v>2934</v>
      </c>
      <c r="B254" s="484" t="s">
        <v>7789</v>
      </c>
      <c r="C254" s="495"/>
      <c r="D254" s="484"/>
      <c r="E254" s="485"/>
      <c r="F254" s="486">
        <v>21403.2</v>
      </c>
      <c r="G254" s="448">
        <f>VLOOKUP(A254,Productos!$D$3:$AK811,16,FALSE())</f>
        <v>19110</v>
      </c>
      <c r="H254" s="448"/>
      <c r="I254" s="469"/>
      <c r="J254" s="469"/>
      <c r="K254" s="469"/>
      <c r="L254" s="469"/>
      <c r="M254" s="469"/>
      <c r="N254" s="469"/>
      <c r="O254" s="469"/>
      <c r="P254" s="469"/>
      <c r="Q254" s="469"/>
      <c r="R254" s="469"/>
      <c r="S254" s="469"/>
      <c r="T254" s="469"/>
      <c r="U254" s="469"/>
      <c r="V254" s="469"/>
      <c r="W254" s="469"/>
    </row>
    <row r="255">
      <c r="A255" s="484" t="s">
        <v>3127</v>
      </c>
      <c r="B255" s="484" t="s">
        <v>7790</v>
      </c>
      <c r="C255" s="495"/>
      <c r="D255" s="484"/>
      <c r="E255" s="485"/>
      <c r="F255" s="486">
        <v>582.4</v>
      </c>
      <c r="G255" s="448">
        <f>VLOOKUP(A255,Productos!$D$3:$AK811,16,FALSE())</f>
        <v>520</v>
      </c>
      <c r="H255" s="448"/>
      <c r="I255" s="469"/>
      <c r="J255" s="469"/>
      <c r="K255" s="469"/>
      <c r="L255" s="469"/>
      <c r="M255" s="469"/>
      <c r="N255" s="469"/>
      <c r="O255" s="469"/>
      <c r="P255" s="469"/>
      <c r="Q255" s="469"/>
      <c r="R255" s="469"/>
      <c r="S255" s="469"/>
      <c r="T255" s="469"/>
      <c r="U255" s="469"/>
      <c r="V255" s="469"/>
      <c r="W255" s="469"/>
    </row>
    <row r="256">
      <c r="A256" s="264" t="s">
        <v>4092</v>
      </c>
      <c r="B256" s="484" t="s">
        <v>4094</v>
      </c>
      <c r="C256" s="480"/>
      <c r="D256" s="481"/>
      <c r="E256" s="481"/>
      <c r="F256" s="264"/>
      <c r="G256" s="448">
        <f>VLOOKUP(A256,Productos!$D$3:$AK811,16,FALSE())</f>
        <v>1050</v>
      </c>
      <c r="H256" s="481"/>
      <c r="I256" s="469"/>
      <c r="J256" s="469"/>
      <c r="K256" s="469"/>
      <c r="L256" s="469"/>
      <c r="M256" s="469"/>
      <c r="N256" s="469"/>
      <c r="O256" s="469"/>
      <c r="P256" s="469"/>
      <c r="Q256" s="469"/>
      <c r="R256" s="469"/>
      <c r="S256" s="469"/>
      <c r="T256" s="469"/>
      <c r="U256" s="469"/>
      <c r="V256" s="469"/>
      <c r="W256" s="469"/>
    </row>
    <row r="257">
      <c r="A257" s="469"/>
      <c r="B257" s="496"/>
      <c r="C257" s="497"/>
      <c r="D257" s="469"/>
      <c r="E257" s="469"/>
      <c r="F257" s="469"/>
      <c r="G257" s="469"/>
      <c r="H257" s="469"/>
      <c r="I257" s="469"/>
      <c r="J257" s="469"/>
      <c r="K257" s="469"/>
      <c r="L257" s="469"/>
      <c r="M257" s="469"/>
      <c r="N257" s="469"/>
      <c r="O257" s="469"/>
      <c r="P257" s="469"/>
      <c r="Q257" s="469"/>
      <c r="R257" s="469"/>
      <c r="S257" s="469"/>
      <c r="T257" s="469"/>
      <c r="U257" s="469"/>
      <c r="V257" s="469"/>
      <c r="W257" s="469"/>
    </row>
    <row r="258">
      <c r="A258" s="469"/>
      <c r="B258" s="496"/>
      <c r="C258" s="497"/>
      <c r="D258" s="469"/>
      <c r="E258" s="469"/>
      <c r="F258" s="469"/>
      <c r="G258" s="469"/>
      <c r="H258" s="469"/>
      <c r="I258" s="469"/>
      <c r="J258" s="469"/>
      <c r="K258" s="469"/>
      <c r="L258" s="469"/>
      <c r="M258" s="469"/>
      <c r="N258" s="469"/>
      <c r="O258" s="469"/>
      <c r="P258" s="469"/>
      <c r="Q258" s="469"/>
      <c r="R258" s="469"/>
      <c r="S258" s="469"/>
      <c r="T258" s="469"/>
      <c r="U258" s="469"/>
      <c r="V258" s="469"/>
      <c r="W258" s="469"/>
    </row>
    <row r="259">
      <c r="A259" s="469"/>
      <c r="B259" s="496"/>
      <c r="C259" s="497"/>
      <c r="D259" s="469"/>
      <c r="E259" s="469"/>
      <c r="F259" s="469"/>
      <c r="G259" s="469"/>
      <c r="H259" s="469"/>
      <c r="I259" s="469"/>
      <c r="J259" s="469"/>
      <c r="K259" s="469"/>
      <c r="L259" s="469"/>
      <c r="M259" s="469"/>
      <c r="N259" s="469"/>
      <c r="O259" s="469"/>
      <c r="P259" s="469"/>
      <c r="Q259" s="469"/>
      <c r="R259" s="469"/>
      <c r="S259" s="469"/>
      <c r="T259" s="469"/>
      <c r="U259" s="469"/>
      <c r="V259" s="469"/>
      <c r="W259" s="469"/>
    </row>
    <row r="260">
      <c r="A260" s="469"/>
      <c r="B260" s="496"/>
      <c r="C260" s="497"/>
      <c r="D260" s="469"/>
      <c r="E260" s="469"/>
      <c r="F260" s="469"/>
      <c r="G260" s="469"/>
      <c r="H260" s="469"/>
      <c r="I260" s="469"/>
      <c r="J260" s="469"/>
      <c r="K260" s="469"/>
      <c r="L260" s="469"/>
      <c r="M260" s="469"/>
      <c r="N260" s="469"/>
      <c r="O260" s="469"/>
      <c r="P260" s="469"/>
      <c r="Q260" s="469"/>
      <c r="R260" s="469"/>
      <c r="S260" s="469"/>
      <c r="T260" s="469"/>
      <c r="U260" s="469"/>
      <c r="V260" s="469"/>
      <c r="W260" s="469"/>
    </row>
    <row r="261">
      <c r="A261" s="469"/>
      <c r="B261" s="496"/>
      <c r="C261" s="497"/>
      <c r="D261" s="469"/>
      <c r="E261" s="469"/>
      <c r="F261" s="469"/>
      <c r="G261" s="469"/>
      <c r="H261" s="469"/>
      <c r="I261" s="469"/>
      <c r="J261" s="469"/>
      <c r="K261" s="469"/>
      <c r="L261" s="469"/>
      <c r="M261" s="469"/>
      <c r="N261" s="469"/>
      <c r="O261" s="469"/>
      <c r="P261" s="469"/>
      <c r="Q261" s="469"/>
      <c r="R261" s="469"/>
      <c r="S261" s="469"/>
      <c r="T261" s="469"/>
      <c r="U261" s="469"/>
      <c r="V261" s="469"/>
      <c r="W261" s="469"/>
    </row>
    <row r="262">
      <c r="A262" s="469"/>
      <c r="B262" s="496"/>
      <c r="C262" s="497"/>
      <c r="D262" s="469"/>
      <c r="E262" s="469"/>
      <c r="F262" s="469"/>
      <c r="G262" s="469"/>
      <c r="H262" s="469"/>
      <c r="I262" s="469"/>
      <c r="J262" s="469"/>
      <c r="K262" s="469"/>
      <c r="L262" s="469"/>
      <c r="M262" s="469"/>
      <c r="N262" s="469"/>
      <c r="O262" s="469"/>
      <c r="P262" s="469"/>
      <c r="Q262" s="469"/>
      <c r="R262" s="469"/>
      <c r="S262" s="469"/>
      <c r="T262" s="469"/>
      <c r="U262" s="469"/>
      <c r="V262" s="469"/>
      <c r="W262" s="469"/>
    </row>
    <row r="263">
      <c r="A263" s="469"/>
      <c r="B263" s="496"/>
      <c r="C263" s="497"/>
      <c r="D263" s="469"/>
      <c r="E263" s="469"/>
      <c r="F263" s="469"/>
      <c r="G263" s="469"/>
      <c r="H263" s="469"/>
      <c r="I263" s="469"/>
      <c r="J263" s="469"/>
      <c r="K263" s="469"/>
      <c r="L263" s="469"/>
      <c r="M263" s="469"/>
      <c r="N263" s="469"/>
      <c r="O263" s="469"/>
      <c r="P263" s="469"/>
      <c r="Q263" s="469"/>
      <c r="R263" s="469"/>
      <c r="S263" s="469"/>
      <c r="T263" s="469"/>
      <c r="U263" s="469"/>
      <c r="V263" s="469"/>
      <c r="W263" s="469"/>
    </row>
    <row r="264">
      <c r="A264" s="469"/>
      <c r="B264" s="496"/>
      <c r="C264" s="497"/>
      <c r="D264" s="469"/>
      <c r="E264" s="469"/>
      <c r="F264" s="469"/>
      <c r="G264" s="469"/>
      <c r="H264" s="469"/>
      <c r="I264" s="469"/>
      <c r="J264" s="469"/>
      <c r="K264" s="469"/>
      <c r="L264" s="469"/>
      <c r="M264" s="469"/>
      <c r="N264" s="469"/>
      <c r="O264" s="469"/>
      <c r="P264" s="469"/>
      <c r="Q264" s="469"/>
      <c r="R264" s="469"/>
      <c r="S264" s="469"/>
      <c r="T264" s="469"/>
      <c r="U264" s="469"/>
      <c r="V264" s="469"/>
      <c r="W264" s="469"/>
    </row>
    <row r="265">
      <c r="A265" s="469"/>
      <c r="B265" s="496"/>
      <c r="C265" s="497"/>
      <c r="D265" s="469"/>
      <c r="E265" s="469"/>
      <c r="F265" s="469"/>
      <c r="G265" s="469"/>
      <c r="H265" s="469"/>
      <c r="I265" s="469"/>
      <c r="J265" s="469"/>
      <c r="K265" s="469"/>
      <c r="L265" s="469"/>
      <c r="M265" s="469"/>
      <c r="N265" s="469"/>
      <c r="O265" s="469"/>
      <c r="P265" s="469"/>
      <c r="Q265" s="469"/>
      <c r="R265" s="469"/>
      <c r="S265" s="469"/>
      <c r="T265" s="469"/>
      <c r="U265" s="469"/>
      <c r="V265" s="469"/>
      <c r="W265" s="469"/>
    </row>
    <row r="266">
      <c r="A266" s="469"/>
      <c r="B266" s="496"/>
      <c r="C266" s="497"/>
      <c r="D266" s="469"/>
      <c r="E266" s="469"/>
      <c r="F266" s="469"/>
      <c r="G266" s="469"/>
      <c r="H266" s="469"/>
      <c r="I266" s="469"/>
      <c r="J266" s="469"/>
      <c r="K266" s="469"/>
      <c r="L266" s="469"/>
      <c r="M266" s="469"/>
      <c r="N266" s="469"/>
      <c r="O266" s="469"/>
      <c r="P266" s="469"/>
      <c r="Q266" s="469"/>
      <c r="R266" s="469"/>
      <c r="S266" s="469"/>
      <c r="T266" s="469"/>
      <c r="U266" s="469"/>
      <c r="V266" s="469"/>
      <c r="W266" s="469"/>
    </row>
    <row r="267">
      <c r="A267" s="469"/>
      <c r="B267" s="496"/>
      <c r="C267" s="497"/>
      <c r="D267" s="469"/>
      <c r="E267" s="469"/>
      <c r="F267" s="469"/>
      <c r="G267" s="469"/>
      <c r="H267" s="469"/>
      <c r="I267" s="469"/>
      <c r="J267" s="469"/>
      <c r="K267" s="469"/>
      <c r="L267" s="469"/>
      <c r="M267" s="469"/>
      <c r="N267" s="469"/>
      <c r="O267" s="469"/>
      <c r="P267" s="469"/>
      <c r="Q267" s="469"/>
      <c r="R267" s="469"/>
      <c r="S267" s="469"/>
      <c r="T267" s="469"/>
      <c r="U267" s="469"/>
      <c r="V267" s="469"/>
      <c r="W267" s="469"/>
    </row>
    <row r="268">
      <c r="A268" s="469"/>
      <c r="B268" s="496"/>
      <c r="C268" s="497"/>
      <c r="D268" s="469"/>
      <c r="E268" s="469"/>
      <c r="F268" s="469"/>
      <c r="G268" s="469"/>
      <c r="H268" s="469"/>
      <c r="I268" s="469"/>
      <c r="J268" s="469"/>
      <c r="K268" s="469"/>
      <c r="L268" s="469"/>
      <c r="M268" s="469"/>
      <c r="N268" s="469"/>
      <c r="O268" s="469"/>
      <c r="P268" s="469"/>
      <c r="Q268" s="469"/>
      <c r="R268" s="469"/>
      <c r="S268" s="469"/>
      <c r="T268" s="469"/>
      <c r="U268" s="469"/>
      <c r="V268" s="469"/>
      <c r="W268" s="469"/>
    </row>
    <row r="269">
      <c r="A269" s="469"/>
      <c r="B269" s="496"/>
      <c r="C269" s="497"/>
      <c r="D269" s="469"/>
      <c r="E269" s="469"/>
      <c r="F269" s="469"/>
      <c r="G269" s="469"/>
      <c r="H269" s="469"/>
      <c r="I269" s="469"/>
      <c r="J269" s="469"/>
      <c r="K269" s="469"/>
      <c r="L269" s="469"/>
      <c r="M269" s="469"/>
      <c r="N269" s="469"/>
      <c r="O269" s="469"/>
      <c r="P269" s="469"/>
      <c r="Q269" s="469"/>
      <c r="R269" s="469"/>
      <c r="S269" s="469"/>
      <c r="T269" s="469"/>
      <c r="U269" s="469"/>
      <c r="V269" s="469"/>
      <c r="W269" s="469"/>
    </row>
    <row r="270">
      <c r="A270" s="469"/>
      <c r="B270" s="496"/>
      <c r="C270" s="497"/>
      <c r="D270" s="469"/>
      <c r="E270" s="469"/>
      <c r="F270" s="469"/>
      <c r="G270" s="469"/>
      <c r="H270" s="469"/>
      <c r="I270" s="469"/>
      <c r="J270" s="469"/>
      <c r="K270" s="469"/>
      <c r="L270" s="469"/>
      <c r="M270" s="469"/>
      <c r="N270" s="469"/>
      <c r="O270" s="469"/>
      <c r="P270" s="469"/>
      <c r="Q270" s="469"/>
      <c r="R270" s="469"/>
      <c r="S270" s="469"/>
      <c r="T270" s="469"/>
      <c r="U270" s="469"/>
      <c r="V270" s="469"/>
      <c r="W270" s="469"/>
    </row>
    <row r="271">
      <c r="A271" s="469"/>
      <c r="B271" s="496"/>
      <c r="C271" s="497"/>
      <c r="D271" s="469"/>
      <c r="E271" s="469"/>
      <c r="F271" s="469"/>
      <c r="G271" s="469"/>
      <c r="H271" s="469"/>
      <c r="I271" s="469"/>
      <c r="J271" s="469"/>
      <c r="K271" s="469"/>
      <c r="L271" s="469"/>
      <c r="M271" s="469"/>
      <c r="N271" s="469"/>
      <c r="O271" s="469"/>
      <c r="P271" s="469"/>
      <c r="Q271" s="469"/>
      <c r="R271" s="469"/>
      <c r="S271" s="469"/>
      <c r="T271" s="469"/>
      <c r="U271" s="469"/>
      <c r="V271" s="469"/>
      <c r="W271" s="469"/>
    </row>
    <row r="272">
      <c r="A272" s="469"/>
      <c r="B272" s="496"/>
      <c r="C272" s="497"/>
      <c r="D272" s="469"/>
      <c r="E272" s="469"/>
      <c r="F272" s="469"/>
      <c r="G272" s="469"/>
      <c r="H272" s="469"/>
      <c r="I272" s="469"/>
      <c r="J272" s="469"/>
      <c r="K272" s="469"/>
      <c r="L272" s="469"/>
      <c r="M272" s="469"/>
      <c r="N272" s="469"/>
      <c r="O272" s="469"/>
      <c r="P272" s="469"/>
      <c r="Q272" s="469"/>
      <c r="R272" s="469"/>
      <c r="S272" s="469"/>
      <c r="T272" s="469"/>
      <c r="U272" s="469"/>
      <c r="V272" s="469"/>
      <c r="W272" s="469"/>
    </row>
    <row r="273">
      <c r="A273" s="469"/>
      <c r="B273" s="496"/>
      <c r="C273" s="497"/>
      <c r="D273" s="469"/>
      <c r="E273" s="469"/>
      <c r="F273" s="469"/>
      <c r="G273" s="469"/>
      <c r="H273" s="469"/>
      <c r="I273" s="469"/>
      <c r="J273" s="469"/>
      <c r="K273" s="469"/>
      <c r="L273" s="469"/>
      <c r="M273" s="469"/>
      <c r="N273" s="469"/>
      <c r="O273" s="469"/>
      <c r="P273" s="469"/>
      <c r="Q273" s="469"/>
      <c r="R273" s="469"/>
      <c r="S273" s="469"/>
      <c r="T273" s="469"/>
      <c r="U273" s="469"/>
      <c r="V273" s="469"/>
      <c r="W273" s="469"/>
    </row>
    <row r="274">
      <c r="A274" s="469"/>
      <c r="B274" s="496"/>
      <c r="C274" s="497"/>
      <c r="D274" s="469"/>
      <c r="E274" s="469"/>
      <c r="F274" s="469"/>
      <c r="G274" s="469"/>
      <c r="H274" s="469"/>
      <c r="I274" s="469"/>
      <c r="J274" s="469"/>
      <c r="K274" s="469"/>
      <c r="L274" s="469"/>
      <c r="M274" s="469"/>
      <c r="N274" s="469"/>
      <c r="O274" s="469"/>
      <c r="P274" s="469"/>
      <c r="Q274" s="469"/>
      <c r="R274" s="469"/>
      <c r="S274" s="469"/>
      <c r="T274" s="469"/>
      <c r="U274" s="469"/>
      <c r="V274" s="469"/>
      <c r="W274" s="469"/>
    </row>
    <row r="275">
      <c r="A275" s="469"/>
      <c r="B275" s="496"/>
      <c r="C275" s="497"/>
      <c r="D275" s="469"/>
      <c r="E275" s="469"/>
      <c r="F275" s="469"/>
      <c r="G275" s="469"/>
      <c r="H275" s="469"/>
      <c r="I275" s="469"/>
      <c r="J275" s="469"/>
      <c r="K275" s="469"/>
      <c r="L275" s="469"/>
      <c r="M275" s="469"/>
      <c r="N275" s="469"/>
      <c r="O275" s="469"/>
      <c r="P275" s="469"/>
      <c r="Q275" s="469"/>
      <c r="R275" s="469"/>
      <c r="S275" s="469"/>
      <c r="T275" s="469"/>
      <c r="U275" s="469"/>
      <c r="V275" s="469"/>
      <c r="W275" s="469"/>
    </row>
    <row r="276">
      <c r="A276" s="469"/>
      <c r="B276" s="496"/>
      <c r="C276" s="497"/>
      <c r="D276" s="469"/>
      <c r="E276" s="469"/>
      <c r="F276" s="469"/>
      <c r="G276" s="469"/>
      <c r="H276" s="469"/>
      <c r="I276" s="469"/>
      <c r="J276" s="469"/>
      <c r="K276" s="469"/>
      <c r="L276" s="469"/>
      <c r="M276" s="469"/>
      <c r="N276" s="469"/>
      <c r="O276" s="469"/>
      <c r="P276" s="469"/>
      <c r="Q276" s="469"/>
      <c r="R276" s="469"/>
      <c r="S276" s="469"/>
      <c r="T276" s="469"/>
      <c r="U276" s="469"/>
      <c r="V276" s="469"/>
      <c r="W276" s="469"/>
    </row>
    <row r="277">
      <c r="A277" s="469"/>
      <c r="B277" s="496"/>
      <c r="C277" s="497"/>
      <c r="D277" s="469"/>
      <c r="E277" s="469"/>
      <c r="F277" s="469"/>
      <c r="G277" s="469"/>
      <c r="H277" s="469"/>
      <c r="I277" s="469"/>
      <c r="J277" s="469"/>
      <c r="K277" s="469"/>
      <c r="L277" s="469"/>
      <c r="M277" s="469"/>
      <c r="N277" s="469"/>
      <c r="O277" s="469"/>
      <c r="P277" s="469"/>
      <c r="Q277" s="469"/>
      <c r="R277" s="469"/>
      <c r="S277" s="469"/>
      <c r="T277" s="469"/>
      <c r="U277" s="469"/>
      <c r="V277" s="469"/>
      <c r="W277" s="469"/>
    </row>
    <row r="278">
      <c r="A278" s="469"/>
      <c r="B278" s="496"/>
      <c r="C278" s="497"/>
      <c r="D278" s="469"/>
      <c r="E278" s="469"/>
      <c r="F278" s="469"/>
      <c r="G278" s="469"/>
      <c r="H278" s="469"/>
      <c r="I278" s="469"/>
      <c r="J278" s="469"/>
      <c r="K278" s="469"/>
      <c r="L278" s="469"/>
      <c r="M278" s="469"/>
      <c r="N278" s="469"/>
      <c r="O278" s="469"/>
      <c r="P278" s="469"/>
      <c r="Q278" s="469"/>
      <c r="R278" s="469"/>
      <c r="S278" s="469"/>
      <c r="T278" s="469"/>
      <c r="U278" s="469"/>
      <c r="V278" s="469"/>
      <c r="W278" s="469"/>
    </row>
    <row r="279">
      <c r="A279" s="469"/>
      <c r="B279" s="496"/>
      <c r="C279" s="497"/>
      <c r="D279" s="469"/>
      <c r="E279" s="469"/>
      <c r="F279" s="469"/>
      <c r="G279" s="469"/>
      <c r="H279" s="469"/>
      <c r="I279" s="469"/>
      <c r="J279" s="469"/>
      <c r="K279" s="469"/>
      <c r="L279" s="469"/>
      <c r="M279" s="469"/>
      <c r="N279" s="469"/>
      <c r="O279" s="469"/>
      <c r="P279" s="469"/>
      <c r="Q279" s="469"/>
      <c r="R279" s="469"/>
      <c r="S279" s="469"/>
      <c r="T279" s="469"/>
      <c r="U279" s="469"/>
      <c r="V279" s="469"/>
      <c r="W279" s="469"/>
    </row>
    <row r="280">
      <c r="A280" s="469"/>
      <c r="B280" s="496"/>
      <c r="C280" s="497"/>
      <c r="D280" s="469"/>
      <c r="E280" s="469"/>
      <c r="F280" s="469"/>
      <c r="G280" s="469"/>
      <c r="H280" s="469"/>
      <c r="I280" s="469"/>
      <c r="J280" s="469"/>
      <c r="K280" s="469"/>
      <c r="L280" s="469"/>
      <c r="M280" s="469"/>
      <c r="N280" s="469"/>
      <c r="O280" s="469"/>
      <c r="P280" s="469"/>
      <c r="Q280" s="469"/>
      <c r="R280" s="469"/>
      <c r="S280" s="469"/>
      <c r="T280" s="469"/>
      <c r="U280" s="469"/>
      <c r="V280" s="469"/>
      <c r="W280" s="469"/>
    </row>
    <row r="281">
      <c r="A281" s="469"/>
      <c r="B281" s="496"/>
      <c r="C281" s="497"/>
      <c r="D281" s="469"/>
      <c r="E281" s="469"/>
      <c r="F281" s="469"/>
      <c r="G281" s="469"/>
      <c r="H281" s="469"/>
      <c r="I281" s="469"/>
      <c r="J281" s="469"/>
      <c r="K281" s="469"/>
      <c r="L281" s="469"/>
      <c r="M281" s="469"/>
      <c r="N281" s="469"/>
      <c r="O281" s="469"/>
      <c r="P281" s="469"/>
      <c r="Q281" s="469"/>
      <c r="R281" s="469"/>
      <c r="S281" s="469"/>
      <c r="T281" s="469"/>
      <c r="U281" s="469"/>
      <c r="V281" s="469"/>
      <c r="W281" s="469"/>
    </row>
    <row r="282">
      <c r="A282" s="469"/>
      <c r="B282" s="496"/>
      <c r="C282" s="497"/>
      <c r="D282" s="469"/>
      <c r="E282" s="469"/>
      <c r="F282" s="469"/>
      <c r="G282" s="469"/>
      <c r="H282" s="469"/>
      <c r="I282" s="469"/>
      <c r="J282" s="469"/>
      <c r="K282" s="469"/>
      <c r="L282" s="469"/>
      <c r="M282" s="469"/>
      <c r="N282" s="469"/>
      <c r="O282" s="469"/>
      <c r="P282" s="469"/>
      <c r="Q282" s="469"/>
      <c r="R282" s="469"/>
      <c r="S282" s="469"/>
      <c r="T282" s="469"/>
      <c r="U282" s="469"/>
      <c r="V282" s="469"/>
      <c r="W282" s="469"/>
    </row>
    <row r="283">
      <c r="A283" s="469"/>
      <c r="B283" s="496"/>
      <c r="C283" s="497"/>
      <c r="D283" s="469"/>
      <c r="E283" s="469"/>
      <c r="F283" s="469"/>
      <c r="G283" s="469"/>
      <c r="H283" s="469"/>
      <c r="I283" s="469"/>
      <c r="J283" s="469"/>
      <c r="K283" s="469"/>
      <c r="L283" s="469"/>
      <c r="M283" s="469"/>
      <c r="N283" s="469"/>
      <c r="O283" s="469"/>
      <c r="P283" s="469"/>
      <c r="Q283" s="469"/>
      <c r="R283" s="469"/>
      <c r="S283" s="469"/>
      <c r="T283" s="469"/>
      <c r="U283" s="469"/>
      <c r="V283" s="469"/>
      <c r="W283" s="469"/>
    </row>
    <row r="284">
      <c r="A284" s="469"/>
      <c r="B284" s="496"/>
      <c r="C284" s="497"/>
      <c r="D284" s="469"/>
      <c r="E284" s="469"/>
      <c r="F284" s="469"/>
      <c r="G284" s="469"/>
      <c r="H284" s="469"/>
      <c r="I284" s="469"/>
      <c r="J284" s="469"/>
      <c r="K284" s="469"/>
      <c r="L284" s="469"/>
      <c r="M284" s="469"/>
      <c r="N284" s="469"/>
      <c r="O284" s="469"/>
      <c r="P284" s="469"/>
      <c r="Q284" s="469"/>
      <c r="R284" s="469"/>
      <c r="S284" s="469"/>
      <c r="T284" s="469"/>
      <c r="U284" s="469"/>
      <c r="V284" s="469"/>
      <c r="W284" s="469"/>
    </row>
    <row r="285">
      <c r="A285" s="469"/>
      <c r="B285" s="496"/>
      <c r="C285" s="497"/>
      <c r="D285" s="469"/>
      <c r="E285" s="469"/>
      <c r="F285" s="469"/>
      <c r="G285" s="469"/>
      <c r="H285" s="469"/>
      <c r="I285" s="469"/>
      <c r="J285" s="469"/>
      <c r="K285" s="469"/>
      <c r="L285" s="469"/>
      <c r="M285" s="469"/>
      <c r="N285" s="469"/>
      <c r="O285" s="469"/>
      <c r="P285" s="469"/>
      <c r="Q285" s="469"/>
      <c r="R285" s="469"/>
      <c r="S285" s="469"/>
      <c r="T285" s="469"/>
      <c r="U285" s="469"/>
      <c r="V285" s="469"/>
      <c r="W285" s="469"/>
    </row>
    <row r="286">
      <c r="A286" s="469"/>
      <c r="B286" s="496"/>
      <c r="C286" s="497"/>
      <c r="D286" s="469"/>
      <c r="E286" s="469"/>
      <c r="F286" s="469"/>
      <c r="G286" s="469"/>
      <c r="H286" s="469"/>
      <c r="I286" s="469"/>
      <c r="J286" s="469"/>
      <c r="K286" s="469"/>
      <c r="L286" s="469"/>
      <c r="M286" s="469"/>
      <c r="N286" s="469"/>
      <c r="O286" s="469"/>
      <c r="P286" s="469"/>
      <c r="Q286" s="469"/>
      <c r="R286" s="469"/>
      <c r="S286" s="469"/>
      <c r="T286" s="469"/>
      <c r="U286" s="469"/>
      <c r="V286" s="469"/>
      <c r="W286" s="469"/>
    </row>
    <row r="287">
      <c r="A287" s="469"/>
      <c r="B287" s="496"/>
      <c r="C287" s="497"/>
      <c r="D287" s="469"/>
      <c r="E287" s="469"/>
      <c r="F287" s="469"/>
      <c r="G287" s="469"/>
      <c r="H287" s="469"/>
      <c r="I287" s="469"/>
      <c r="J287" s="469"/>
      <c r="K287" s="469"/>
      <c r="L287" s="469"/>
      <c r="M287" s="469"/>
      <c r="N287" s="469"/>
      <c r="O287" s="469"/>
      <c r="P287" s="469"/>
      <c r="Q287" s="469"/>
      <c r="R287" s="469"/>
      <c r="S287" s="469"/>
      <c r="T287" s="469"/>
      <c r="U287" s="469"/>
      <c r="V287" s="469"/>
      <c r="W287" s="469"/>
    </row>
    <row r="288">
      <c r="A288" s="469"/>
      <c r="B288" s="496"/>
      <c r="C288" s="497"/>
      <c r="D288" s="469"/>
      <c r="E288" s="469"/>
      <c r="F288" s="469"/>
      <c r="G288" s="469"/>
      <c r="H288" s="469"/>
      <c r="I288" s="469"/>
      <c r="J288" s="469"/>
      <c r="K288" s="469"/>
      <c r="L288" s="469"/>
      <c r="M288" s="469"/>
      <c r="N288" s="469"/>
      <c r="O288" s="469"/>
      <c r="P288" s="469"/>
      <c r="Q288" s="469"/>
      <c r="R288" s="469"/>
      <c r="S288" s="469"/>
      <c r="T288" s="469"/>
      <c r="U288" s="469"/>
      <c r="V288" s="469"/>
      <c r="W288" s="469"/>
    </row>
    <row r="289">
      <c r="A289" s="469"/>
      <c r="B289" s="496"/>
      <c r="C289" s="497"/>
      <c r="D289" s="469"/>
      <c r="E289" s="469"/>
      <c r="F289" s="469"/>
      <c r="G289" s="469"/>
      <c r="H289" s="469"/>
      <c r="I289" s="469"/>
      <c r="J289" s="469"/>
      <c r="K289" s="469"/>
      <c r="L289" s="469"/>
      <c r="M289" s="469"/>
      <c r="N289" s="469"/>
      <c r="O289" s="469"/>
      <c r="P289" s="469"/>
      <c r="Q289" s="469"/>
      <c r="R289" s="469"/>
      <c r="S289" s="469"/>
      <c r="T289" s="469"/>
      <c r="U289" s="469"/>
      <c r="V289" s="469"/>
      <c r="W289" s="469"/>
    </row>
    <row r="290">
      <c r="A290" s="469"/>
      <c r="B290" s="496"/>
      <c r="C290" s="497"/>
      <c r="D290" s="469"/>
      <c r="E290" s="469"/>
      <c r="F290" s="469"/>
      <c r="G290" s="469"/>
      <c r="H290" s="469"/>
      <c r="I290" s="469"/>
      <c r="J290" s="469"/>
      <c r="K290" s="469"/>
      <c r="L290" s="469"/>
      <c r="M290" s="469"/>
      <c r="N290" s="469"/>
      <c r="O290" s="469"/>
      <c r="P290" s="469"/>
      <c r="Q290" s="469"/>
      <c r="R290" s="469"/>
      <c r="S290" s="469"/>
      <c r="T290" s="469"/>
      <c r="U290" s="469"/>
      <c r="V290" s="469"/>
      <c r="W290" s="469"/>
    </row>
    <row r="291">
      <c r="A291" s="469"/>
      <c r="B291" s="496"/>
      <c r="C291" s="497"/>
      <c r="D291" s="469"/>
      <c r="E291" s="469"/>
      <c r="F291" s="469"/>
      <c r="G291" s="469"/>
      <c r="H291" s="469"/>
      <c r="I291" s="469"/>
      <c r="J291" s="469"/>
      <c r="K291" s="469"/>
      <c r="L291" s="469"/>
      <c r="M291" s="469"/>
      <c r="N291" s="469"/>
      <c r="O291" s="469"/>
      <c r="P291" s="469"/>
      <c r="Q291" s="469"/>
      <c r="R291" s="469"/>
      <c r="S291" s="469"/>
      <c r="T291" s="469"/>
      <c r="U291" s="469"/>
      <c r="V291" s="469"/>
      <c r="W291" s="469"/>
    </row>
    <row r="292">
      <c r="A292" s="469"/>
      <c r="B292" s="496"/>
      <c r="C292" s="497"/>
      <c r="D292" s="469"/>
      <c r="E292" s="469"/>
      <c r="F292" s="469"/>
      <c r="G292" s="469"/>
      <c r="H292" s="469"/>
      <c r="I292" s="469"/>
      <c r="J292" s="469"/>
      <c r="K292" s="469"/>
      <c r="L292" s="469"/>
      <c r="M292" s="469"/>
      <c r="N292" s="469"/>
      <c r="O292" s="469"/>
      <c r="P292" s="469"/>
      <c r="Q292" s="469"/>
      <c r="R292" s="469"/>
      <c r="S292" s="469"/>
      <c r="T292" s="469"/>
      <c r="U292" s="469"/>
      <c r="V292" s="469"/>
      <c r="W292" s="469"/>
    </row>
    <row r="293">
      <c r="A293" s="469"/>
      <c r="B293" s="496"/>
      <c r="C293" s="497"/>
      <c r="D293" s="469"/>
      <c r="E293" s="469"/>
      <c r="F293" s="469"/>
      <c r="G293" s="469"/>
      <c r="H293" s="469"/>
      <c r="I293" s="469"/>
      <c r="J293" s="469"/>
      <c r="K293" s="469"/>
      <c r="L293" s="469"/>
      <c r="M293" s="469"/>
      <c r="N293" s="469"/>
      <c r="O293" s="469"/>
      <c r="P293" s="469"/>
      <c r="Q293" s="469"/>
      <c r="R293" s="469"/>
      <c r="S293" s="469"/>
      <c r="T293" s="469"/>
      <c r="U293" s="469"/>
      <c r="V293" s="469"/>
      <c r="W293" s="469"/>
    </row>
    <row r="294">
      <c r="A294" s="469"/>
      <c r="B294" s="496"/>
      <c r="C294" s="497"/>
      <c r="D294" s="469"/>
      <c r="E294" s="469"/>
      <c r="F294" s="469"/>
      <c r="G294" s="469"/>
      <c r="H294" s="469"/>
      <c r="I294" s="469"/>
      <c r="J294" s="469"/>
      <c r="K294" s="469"/>
      <c r="L294" s="469"/>
      <c r="M294" s="469"/>
      <c r="N294" s="469"/>
      <c r="O294" s="469"/>
      <c r="P294" s="469"/>
      <c r="Q294" s="469"/>
      <c r="R294" s="469"/>
      <c r="S294" s="469"/>
      <c r="T294" s="469"/>
      <c r="U294" s="469"/>
      <c r="V294" s="469"/>
      <c r="W294" s="469"/>
    </row>
    <row r="295">
      <c r="A295" s="469"/>
      <c r="B295" s="496"/>
      <c r="C295" s="497"/>
      <c r="D295" s="469"/>
      <c r="E295" s="469"/>
      <c r="F295" s="469"/>
      <c r="G295" s="469"/>
      <c r="H295" s="469"/>
      <c r="I295" s="469"/>
      <c r="J295" s="469"/>
      <c r="K295" s="469"/>
      <c r="L295" s="469"/>
      <c r="M295" s="469"/>
      <c r="N295" s="469"/>
      <c r="O295" s="469"/>
      <c r="P295" s="469"/>
      <c r="Q295" s="469"/>
      <c r="R295" s="469"/>
      <c r="S295" s="469"/>
      <c r="T295" s="469"/>
      <c r="U295" s="469"/>
      <c r="V295" s="469"/>
      <c r="W295" s="469"/>
    </row>
    <row r="296">
      <c r="A296" s="469"/>
      <c r="B296" s="496"/>
      <c r="C296" s="497"/>
      <c r="D296" s="469"/>
      <c r="E296" s="469"/>
      <c r="F296" s="469"/>
      <c r="G296" s="469"/>
      <c r="H296" s="469"/>
      <c r="I296" s="469"/>
      <c r="J296" s="469"/>
      <c r="K296" s="469"/>
      <c r="L296" s="469"/>
      <c r="M296" s="469"/>
      <c r="N296" s="469"/>
      <c r="O296" s="469"/>
      <c r="P296" s="469"/>
      <c r="Q296" s="469"/>
      <c r="R296" s="469"/>
      <c r="S296" s="469"/>
      <c r="T296" s="469"/>
      <c r="U296" s="469"/>
      <c r="V296" s="469"/>
      <c r="W296" s="469"/>
    </row>
    <row r="297">
      <c r="A297" s="469"/>
      <c r="B297" s="496"/>
      <c r="C297" s="497"/>
      <c r="D297" s="469"/>
      <c r="E297" s="469"/>
      <c r="F297" s="469"/>
      <c r="G297" s="469"/>
      <c r="H297" s="469"/>
      <c r="I297" s="469"/>
      <c r="J297" s="469"/>
      <c r="K297" s="469"/>
      <c r="L297" s="469"/>
      <c r="M297" s="469"/>
      <c r="N297" s="469"/>
      <c r="O297" s="469"/>
      <c r="P297" s="469"/>
      <c r="Q297" s="469"/>
      <c r="R297" s="469"/>
      <c r="S297" s="469"/>
      <c r="T297" s="469"/>
      <c r="U297" s="469"/>
      <c r="V297" s="469"/>
      <c r="W297" s="469"/>
    </row>
    <row r="298">
      <c r="A298" s="469"/>
      <c r="B298" s="496"/>
      <c r="C298" s="497"/>
      <c r="D298" s="469"/>
      <c r="E298" s="469"/>
      <c r="F298" s="469"/>
      <c r="G298" s="469"/>
      <c r="H298" s="469"/>
      <c r="I298" s="469"/>
      <c r="J298" s="469"/>
      <c r="K298" s="469"/>
      <c r="L298" s="469"/>
      <c r="M298" s="469"/>
      <c r="N298" s="469"/>
      <c r="O298" s="469"/>
      <c r="P298" s="469"/>
      <c r="Q298" s="469"/>
      <c r="R298" s="469"/>
      <c r="S298" s="469"/>
      <c r="T298" s="469"/>
      <c r="U298" s="469"/>
      <c r="V298" s="469"/>
      <c r="W298" s="469"/>
    </row>
    <row r="299">
      <c r="A299" s="469"/>
      <c r="B299" s="496"/>
      <c r="C299" s="497"/>
      <c r="D299" s="469"/>
      <c r="E299" s="469"/>
      <c r="F299" s="469"/>
      <c r="G299" s="469"/>
      <c r="H299" s="469"/>
      <c r="I299" s="469"/>
      <c r="J299" s="469"/>
      <c r="K299" s="469"/>
      <c r="L299" s="469"/>
      <c r="M299" s="469"/>
      <c r="N299" s="469"/>
      <c r="O299" s="469"/>
      <c r="P299" s="469"/>
      <c r="Q299" s="469"/>
      <c r="R299" s="469"/>
      <c r="S299" s="469"/>
      <c r="T299" s="469"/>
      <c r="U299" s="469"/>
      <c r="V299" s="469"/>
      <c r="W299" s="469"/>
    </row>
    <row r="300">
      <c r="A300" s="469"/>
      <c r="B300" s="496"/>
      <c r="C300" s="497"/>
      <c r="D300" s="469"/>
      <c r="E300" s="469"/>
      <c r="F300" s="469"/>
      <c r="G300" s="469"/>
      <c r="H300" s="469"/>
      <c r="I300" s="469"/>
      <c r="J300" s="469"/>
      <c r="K300" s="469"/>
      <c r="L300" s="469"/>
      <c r="M300" s="469"/>
      <c r="N300" s="469"/>
      <c r="O300" s="469"/>
      <c r="P300" s="469"/>
      <c r="Q300" s="469"/>
      <c r="R300" s="469"/>
      <c r="S300" s="469"/>
      <c r="T300" s="469"/>
      <c r="U300" s="469"/>
      <c r="V300" s="469"/>
      <c r="W300" s="469"/>
    </row>
    <row r="301">
      <c r="A301" s="469"/>
      <c r="B301" s="496"/>
      <c r="C301" s="497"/>
      <c r="D301" s="469"/>
      <c r="E301" s="469"/>
      <c r="F301" s="469"/>
      <c r="G301" s="469"/>
      <c r="H301" s="469"/>
      <c r="I301" s="469"/>
      <c r="J301" s="469"/>
      <c r="K301" s="469"/>
      <c r="L301" s="469"/>
      <c r="M301" s="469"/>
      <c r="N301" s="469"/>
      <c r="O301" s="469"/>
      <c r="P301" s="469"/>
      <c r="Q301" s="469"/>
      <c r="R301" s="469"/>
      <c r="S301" s="469"/>
      <c r="T301" s="469"/>
      <c r="U301" s="469"/>
      <c r="V301" s="469"/>
      <c r="W301" s="469"/>
    </row>
    <row r="302">
      <c r="A302" s="469"/>
      <c r="B302" s="496"/>
      <c r="C302" s="497"/>
      <c r="D302" s="469"/>
      <c r="E302" s="469"/>
      <c r="F302" s="469"/>
      <c r="G302" s="469"/>
      <c r="H302" s="469"/>
      <c r="I302" s="469"/>
      <c r="J302" s="469"/>
      <c r="K302" s="469"/>
      <c r="L302" s="469"/>
      <c r="M302" s="469"/>
      <c r="N302" s="469"/>
      <c r="O302" s="469"/>
      <c r="P302" s="469"/>
      <c r="Q302" s="469"/>
      <c r="R302" s="469"/>
      <c r="S302" s="469"/>
      <c r="T302" s="469"/>
      <c r="U302" s="469"/>
      <c r="V302" s="469"/>
      <c r="W302" s="469"/>
    </row>
    <row r="303">
      <c r="A303" s="469"/>
      <c r="B303" s="496"/>
      <c r="C303" s="497"/>
      <c r="D303" s="469"/>
      <c r="E303" s="469"/>
      <c r="F303" s="469"/>
      <c r="G303" s="469"/>
      <c r="H303" s="469"/>
      <c r="I303" s="469"/>
      <c r="J303" s="469"/>
      <c r="K303" s="469"/>
      <c r="L303" s="469"/>
      <c r="M303" s="469"/>
      <c r="N303" s="469"/>
      <c r="O303" s="469"/>
      <c r="P303" s="469"/>
      <c r="Q303" s="469"/>
      <c r="R303" s="469"/>
      <c r="S303" s="469"/>
      <c r="T303" s="469"/>
      <c r="U303" s="469"/>
      <c r="V303" s="469"/>
      <c r="W303" s="469"/>
    </row>
    <row r="304">
      <c r="A304" s="469"/>
      <c r="B304" s="496"/>
      <c r="C304" s="497"/>
      <c r="D304" s="469"/>
      <c r="E304" s="469"/>
      <c r="F304" s="469"/>
      <c r="G304" s="469"/>
      <c r="H304" s="469"/>
      <c r="I304" s="469"/>
      <c r="J304" s="469"/>
      <c r="K304" s="469"/>
      <c r="L304" s="469"/>
      <c r="M304" s="469"/>
      <c r="N304" s="469"/>
      <c r="O304" s="469"/>
      <c r="P304" s="469"/>
      <c r="Q304" s="469"/>
      <c r="R304" s="469"/>
      <c r="S304" s="469"/>
      <c r="T304" s="469"/>
      <c r="U304" s="469"/>
      <c r="V304" s="469"/>
      <c r="W304" s="469"/>
    </row>
    <row r="305">
      <c r="A305" s="469"/>
      <c r="B305" s="496"/>
      <c r="C305" s="497"/>
      <c r="D305" s="469"/>
      <c r="E305" s="469"/>
      <c r="F305" s="469"/>
      <c r="G305" s="469"/>
      <c r="H305" s="469"/>
      <c r="I305" s="469"/>
      <c r="J305" s="469"/>
      <c r="K305" s="469"/>
      <c r="L305" s="469"/>
      <c r="M305" s="469"/>
      <c r="N305" s="469"/>
      <c r="O305" s="469"/>
      <c r="P305" s="469"/>
      <c r="Q305" s="469"/>
      <c r="R305" s="469"/>
      <c r="S305" s="469"/>
      <c r="T305" s="469"/>
      <c r="U305" s="469"/>
      <c r="V305" s="469"/>
      <c r="W305" s="469"/>
    </row>
    <row r="306">
      <c r="A306" s="469"/>
      <c r="B306" s="496"/>
      <c r="C306" s="497"/>
      <c r="D306" s="469"/>
      <c r="E306" s="469"/>
      <c r="F306" s="469"/>
      <c r="G306" s="469"/>
      <c r="H306" s="469"/>
      <c r="I306" s="469"/>
      <c r="J306" s="469"/>
      <c r="K306" s="469"/>
      <c r="L306" s="469"/>
      <c r="M306" s="469"/>
      <c r="N306" s="469"/>
      <c r="O306" s="469"/>
      <c r="P306" s="469"/>
      <c r="Q306" s="469"/>
      <c r="R306" s="469"/>
      <c r="S306" s="469"/>
      <c r="T306" s="469"/>
      <c r="U306" s="469"/>
      <c r="V306" s="469"/>
      <c r="W306" s="469"/>
    </row>
    <row r="307">
      <c r="A307" s="469"/>
      <c r="B307" s="496"/>
      <c r="C307" s="497"/>
      <c r="D307" s="469"/>
      <c r="E307" s="469"/>
      <c r="F307" s="469"/>
      <c r="G307" s="469"/>
      <c r="H307" s="469"/>
      <c r="I307" s="469"/>
      <c r="J307" s="469"/>
      <c r="K307" s="469"/>
      <c r="L307" s="469"/>
      <c r="M307" s="469"/>
      <c r="N307" s="469"/>
      <c r="O307" s="469"/>
      <c r="P307" s="469"/>
      <c r="Q307" s="469"/>
      <c r="R307" s="469"/>
      <c r="S307" s="469"/>
      <c r="T307" s="469"/>
      <c r="U307" s="469"/>
      <c r="V307" s="469"/>
      <c r="W307" s="469"/>
    </row>
    <row r="308">
      <c r="A308" s="469"/>
      <c r="B308" s="496"/>
      <c r="C308" s="497"/>
      <c r="D308" s="469"/>
      <c r="E308" s="469"/>
      <c r="F308" s="469"/>
      <c r="G308" s="469"/>
      <c r="H308" s="469"/>
      <c r="I308" s="469"/>
      <c r="J308" s="469"/>
      <c r="K308" s="469"/>
      <c r="L308" s="469"/>
      <c r="M308" s="469"/>
      <c r="N308" s="469"/>
      <c r="O308" s="469"/>
      <c r="P308" s="469"/>
      <c r="Q308" s="469"/>
      <c r="R308" s="469"/>
      <c r="S308" s="469"/>
      <c r="T308" s="469"/>
      <c r="U308" s="469"/>
      <c r="V308" s="469"/>
      <c r="W308" s="469"/>
    </row>
    <row r="309">
      <c r="A309" s="469"/>
      <c r="B309" s="496"/>
      <c r="C309" s="497"/>
      <c r="D309" s="469"/>
      <c r="E309" s="469"/>
      <c r="F309" s="469"/>
      <c r="G309" s="469"/>
      <c r="H309" s="469"/>
      <c r="I309" s="469"/>
      <c r="J309" s="469"/>
      <c r="K309" s="469"/>
      <c r="L309" s="469"/>
      <c r="M309" s="469"/>
      <c r="N309" s="469"/>
      <c r="O309" s="469"/>
      <c r="P309" s="469"/>
      <c r="Q309" s="469"/>
      <c r="R309" s="469"/>
      <c r="S309" s="469"/>
      <c r="T309" s="469"/>
      <c r="U309" s="469"/>
      <c r="V309" s="469"/>
      <c r="W309" s="469"/>
    </row>
    <row r="310">
      <c r="A310" s="469"/>
      <c r="B310" s="496"/>
      <c r="C310" s="497"/>
      <c r="D310" s="469"/>
      <c r="E310" s="469"/>
      <c r="F310" s="469"/>
      <c r="G310" s="469"/>
      <c r="H310" s="469"/>
      <c r="I310" s="469"/>
      <c r="J310" s="469"/>
      <c r="K310" s="469"/>
      <c r="L310" s="469"/>
      <c r="M310" s="469"/>
      <c r="N310" s="469"/>
      <c r="O310" s="469"/>
      <c r="P310" s="469"/>
      <c r="Q310" s="469"/>
      <c r="R310" s="469"/>
      <c r="S310" s="469"/>
      <c r="T310" s="469"/>
      <c r="U310" s="469"/>
      <c r="V310" s="469"/>
      <c r="W310" s="469"/>
    </row>
    <row r="311">
      <c r="A311" s="469"/>
      <c r="B311" s="496"/>
      <c r="C311" s="497"/>
      <c r="D311" s="469"/>
      <c r="E311" s="469"/>
      <c r="F311" s="469"/>
      <c r="G311" s="469"/>
      <c r="H311" s="469"/>
      <c r="I311" s="469"/>
      <c r="J311" s="469"/>
      <c r="K311" s="469"/>
      <c r="L311" s="469"/>
      <c r="M311" s="469"/>
      <c r="N311" s="469"/>
      <c r="O311" s="469"/>
      <c r="P311" s="469"/>
      <c r="Q311" s="469"/>
      <c r="R311" s="469"/>
      <c r="S311" s="469"/>
      <c r="T311" s="469"/>
      <c r="U311" s="469"/>
      <c r="V311" s="469"/>
      <c r="W311" s="469"/>
    </row>
    <row r="312">
      <c r="A312" s="469"/>
      <c r="B312" s="496"/>
      <c r="C312" s="497"/>
      <c r="D312" s="469"/>
      <c r="E312" s="469"/>
      <c r="F312" s="469"/>
      <c r="G312" s="469"/>
      <c r="H312" s="469"/>
      <c r="I312" s="469"/>
      <c r="J312" s="469"/>
      <c r="K312" s="469"/>
      <c r="L312" s="469"/>
      <c r="M312" s="469"/>
      <c r="N312" s="469"/>
      <c r="O312" s="469"/>
      <c r="P312" s="469"/>
      <c r="Q312" s="469"/>
      <c r="R312" s="469"/>
      <c r="S312" s="469"/>
      <c r="T312" s="469"/>
      <c r="U312" s="469"/>
      <c r="V312" s="469"/>
      <c r="W312" s="469"/>
    </row>
    <row r="313">
      <c r="A313" s="469"/>
      <c r="B313" s="496"/>
      <c r="C313" s="497"/>
      <c r="D313" s="469"/>
      <c r="E313" s="469"/>
      <c r="F313" s="469"/>
      <c r="G313" s="469"/>
      <c r="H313" s="469"/>
      <c r="I313" s="469"/>
      <c r="J313" s="469"/>
      <c r="K313" s="469"/>
      <c r="L313" s="469"/>
      <c r="M313" s="469"/>
      <c r="N313" s="469"/>
      <c r="O313" s="469"/>
      <c r="P313" s="469"/>
      <c r="Q313" s="469"/>
      <c r="R313" s="469"/>
      <c r="S313" s="469"/>
      <c r="T313" s="469"/>
      <c r="U313" s="469"/>
      <c r="V313" s="469"/>
      <c r="W313" s="469"/>
    </row>
    <row r="314">
      <c r="A314" s="469"/>
      <c r="B314" s="496"/>
      <c r="C314" s="497"/>
      <c r="D314" s="469"/>
      <c r="E314" s="469"/>
      <c r="F314" s="469"/>
      <c r="G314" s="469"/>
      <c r="H314" s="469"/>
      <c r="I314" s="469"/>
      <c r="J314" s="469"/>
      <c r="K314" s="469"/>
      <c r="L314" s="469"/>
      <c r="M314" s="469"/>
      <c r="N314" s="469"/>
      <c r="O314" s="469"/>
      <c r="P314" s="469"/>
      <c r="Q314" s="469"/>
      <c r="R314" s="469"/>
      <c r="S314" s="469"/>
      <c r="T314" s="469"/>
      <c r="U314" s="469"/>
      <c r="V314" s="469"/>
      <c r="W314" s="469"/>
    </row>
    <row r="315">
      <c r="A315" s="469"/>
      <c r="B315" s="496"/>
      <c r="C315" s="497"/>
      <c r="D315" s="469"/>
      <c r="E315" s="469"/>
      <c r="F315" s="469"/>
      <c r="G315" s="469"/>
      <c r="H315" s="469"/>
      <c r="I315" s="469"/>
      <c r="J315" s="469"/>
      <c r="K315" s="469"/>
      <c r="L315" s="469"/>
      <c r="M315" s="469"/>
      <c r="N315" s="469"/>
      <c r="O315" s="469"/>
      <c r="P315" s="469"/>
      <c r="Q315" s="469"/>
      <c r="R315" s="469"/>
      <c r="S315" s="469"/>
      <c r="T315" s="469"/>
      <c r="U315" s="469"/>
      <c r="V315" s="469"/>
      <c r="W315" s="469"/>
    </row>
    <row r="316">
      <c r="A316" s="469"/>
      <c r="B316" s="496"/>
      <c r="C316" s="497"/>
      <c r="D316" s="469"/>
      <c r="E316" s="469"/>
      <c r="F316" s="469"/>
      <c r="G316" s="469"/>
      <c r="H316" s="469"/>
      <c r="I316" s="469"/>
      <c r="J316" s="469"/>
      <c r="K316" s="469"/>
      <c r="L316" s="469"/>
      <c r="M316" s="469"/>
      <c r="N316" s="469"/>
      <c r="O316" s="469"/>
      <c r="P316" s="469"/>
      <c r="Q316" s="469"/>
      <c r="R316" s="469"/>
      <c r="S316" s="469"/>
      <c r="T316" s="469"/>
      <c r="U316" s="469"/>
      <c r="V316" s="469"/>
      <c r="W316" s="469"/>
    </row>
    <row r="317">
      <c r="A317" s="469"/>
      <c r="B317" s="496"/>
      <c r="C317" s="497"/>
      <c r="D317" s="469"/>
      <c r="E317" s="469"/>
      <c r="F317" s="469"/>
      <c r="G317" s="469"/>
      <c r="H317" s="469"/>
      <c r="I317" s="469"/>
      <c r="J317" s="469"/>
      <c r="K317" s="469"/>
      <c r="L317" s="469"/>
      <c r="M317" s="469"/>
      <c r="N317" s="469"/>
      <c r="O317" s="469"/>
      <c r="P317" s="469"/>
      <c r="Q317" s="469"/>
      <c r="R317" s="469"/>
      <c r="S317" s="469"/>
      <c r="T317" s="469"/>
      <c r="U317" s="469"/>
      <c r="V317" s="469"/>
      <c r="W317" s="469"/>
    </row>
    <row r="318">
      <c r="A318" s="469"/>
      <c r="B318" s="496"/>
      <c r="C318" s="497"/>
      <c r="D318" s="469"/>
      <c r="E318" s="469"/>
      <c r="F318" s="469"/>
      <c r="G318" s="469"/>
      <c r="H318" s="469"/>
      <c r="I318" s="469"/>
      <c r="J318" s="469"/>
      <c r="K318" s="469"/>
      <c r="L318" s="469"/>
      <c r="M318" s="469"/>
      <c r="N318" s="469"/>
      <c r="O318" s="469"/>
      <c r="P318" s="469"/>
      <c r="Q318" s="469"/>
      <c r="R318" s="469"/>
      <c r="S318" s="469"/>
      <c r="T318" s="469"/>
      <c r="U318" s="469"/>
      <c r="V318" s="469"/>
      <c r="W318" s="469"/>
    </row>
    <row r="319">
      <c r="A319" s="469"/>
      <c r="B319" s="496"/>
      <c r="C319" s="497"/>
      <c r="D319" s="469"/>
      <c r="E319" s="469"/>
      <c r="F319" s="469"/>
      <c r="G319" s="469"/>
      <c r="H319" s="469"/>
      <c r="I319" s="469"/>
      <c r="J319" s="469"/>
      <c r="K319" s="469"/>
      <c r="L319" s="469"/>
      <c r="M319" s="469"/>
      <c r="N319" s="469"/>
      <c r="O319" s="469"/>
      <c r="P319" s="469"/>
      <c r="Q319" s="469"/>
      <c r="R319" s="469"/>
      <c r="S319" s="469"/>
      <c r="T319" s="469"/>
      <c r="U319" s="469"/>
      <c r="V319" s="469"/>
      <c r="W319" s="469"/>
    </row>
    <row r="320">
      <c r="A320" s="469"/>
      <c r="B320" s="496"/>
      <c r="C320" s="497"/>
      <c r="D320" s="469"/>
      <c r="E320" s="469"/>
      <c r="F320" s="469"/>
      <c r="G320" s="469"/>
      <c r="H320" s="469"/>
      <c r="I320" s="469"/>
      <c r="J320" s="469"/>
      <c r="K320" s="469"/>
      <c r="L320" s="469"/>
      <c r="M320" s="469"/>
      <c r="N320" s="469"/>
      <c r="O320" s="469"/>
      <c r="P320" s="469"/>
      <c r="Q320" s="469"/>
      <c r="R320" s="469"/>
      <c r="S320" s="469"/>
      <c r="T320" s="469"/>
      <c r="U320" s="469"/>
      <c r="V320" s="469"/>
      <c r="W320" s="469"/>
    </row>
    <row r="321">
      <c r="A321" s="469"/>
      <c r="B321" s="496"/>
      <c r="C321" s="497"/>
      <c r="D321" s="469"/>
      <c r="E321" s="469"/>
      <c r="F321" s="469"/>
      <c r="G321" s="469"/>
      <c r="H321" s="469"/>
      <c r="I321" s="469"/>
      <c r="J321" s="469"/>
      <c r="K321" s="469"/>
      <c r="L321" s="469"/>
      <c r="M321" s="469"/>
      <c r="N321" s="469"/>
      <c r="O321" s="469"/>
      <c r="P321" s="469"/>
      <c r="Q321" s="469"/>
      <c r="R321" s="469"/>
      <c r="S321" s="469"/>
      <c r="T321" s="469"/>
      <c r="U321" s="469"/>
      <c r="V321" s="469"/>
      <c r="W321" s="469"/>
    </row>
    <row r="322">
      <c r="A322" s="469"/>
      <c r="B322" s="496"/>
      <c r="C322" s="497"/>
      <c r="D322" s="469"/>
      <c r="E322" s="469"/>
      <c r="F322" s="469"/>
      <c r="G322" s="469"/>
      <c r="H322" s="469"/>
      <c r="I322" s="469"/>
      <c r="J322" s="469"/>
      <c r="K322" s="469"/>
      <c r="L322" s="469"/>
      <c r="M322" s="469"/>
      <c r="N322" s="469"/>
      <c r="O322" s="469"/>
      <c r="P322" s="469"/>
      <c r="Q322" s="469"/>
      <c r="R322" s="469"/>
      <c r="S322" s="469"/>
      <c r="T322" s="469"/>
      <c r="U322" s="469"/>
      <c r="V322" s="469"/>
      <c r="W322" s="469"/>
    </row>
    <row r="323">
      <c r="A323" s="469"/>
      <c r="B323" s="496"/>
      <c r="C323" s="497"/>
      <c r="D323" s="469"/>
      <c r="E323" s="469"/>
      <c r="F323" s="469"/>
      <c r="G323" s="469"/>
      <c r="H323" s="469"/>
      <c r="I323" s="469"/>
      <c r="J323" s="469"/>
      <c r="K323" s="469"/>
      <c r="L323" s="469"/>
      <c r="M323" s="469"/>
      <c r="N323" s="469"/>
      <c r="O323" s="469"/>
      <c r="P323" s="469"/>
      <c r="Q323" s="469"/>
      <c r="R323" s="469"/>
      <c r="S323" s="469"/>
      <c r="T323" s="469"/>
      <c r="U323" s="469"/>
      <c r="V323" s="469"/>
      <c r="W323" s="469"/>
    </row>
    <row r="324">
      <c r="A324" s="469"/>
      <c r="B324" s="496"/>
      <c r="C324" s="497"/>
      <c r="D324" s="469"/>
      <c r="E324" s="469"/>
      <c r="F324" s="469"/>
      <c r="G324" s="469"/>
      <c r="H324" s="469"/>
      <c r="I324" s="469"/>
      <c r="J324" s="469"/>
      <c r="K324" s="469"/>
      <c r="L324" s="469"/>
      <c r="M324" s="469"/>
      <c r="N324" s="469"/>
      <c r="O324" s="469"/>
      <c r="P324" s="469"/>
      <c r="Q324" s="469"/>
      <c r="R324" s="469"/>
      <c r="S324" s="469"/>
      <c r="T324" s="469"/>
      <c r="U324" s="469"/>
      <c r="V324" s="469"/>
      <c r="W324" s="469"/>
    </row>
    <row r="325">
      <c r="A325" s="469"/>
      <c r="B325" s="496"/>
      <c r="C325" s="497"/>
      <c r="D325" s="469"/>
      <c r="E325" s="469"/>
      <c r="F325" s="469"/>
      <c r="G325" s="469"/>
      <c r="H325" s="469"/>
      <c r="I325" s="469"/>
      <c r="J325" s="469"/>
      <c r="K325" s="469"/>
      <c r="L325" s="469"/>
      <c r="M325" s="469"/>
      <c r="N325" s="469"/>
      <c r="O325" s="469"/>
      <c r="P325" s="469"/>
      <c r="Q325" s="469"/>
      <c r="R325" s="469"/>
      <c r="S325" s="469"/>
      <c r="T325" s="469"/>
      <c r="U325" s="469"/>
      <c r="V325" s="469"/>
      <c r="W325" s="469"/>
    </row>
    <row r="326">
      <c r="A326" s="469"/>
      <c r="B326" s="496"/>
      <c r="C326" s="497"/>
      <c r="D326" s="469"/>
      <c r="E326" s="469"/>
      <c r="F326" s="469"/>
      <c r="G326" s="469"/>
      <c r="H326" s="469"/>
      <c r="I326" s="469"/>
      <c r="J326" s="469"/>
      <c r="K326" s="469"/>
      <c r="L326" s="469"/>
      <c r="M326" s="469"/>
      <c r="N326" s="469"/>
      <c r="O326" s="469"/>
      <c r="P326" s="469"/>
      <c r="Q326" s="469"/>
      <c r="R326" s="469"/>
      <c r="S326" s="469"/>
      <c r="T326" s="469"/>
      <c r="U326" s="469"/>
      <c r="V326" s="469"/>
      <c r="W326" s="469"/>
    </row>
    <row r="327">
      <c r="A327" s="469"/>
      <c r="B327" s="496"/>
      <c r="C327" s="497"/>
      <c r="D327" s="469"/>
      <c r="E327" s="469"/>
      <c r="F327" s="469"/>
      <c r="G327" s="469"/>
      <c r="H327" s="469"/>
      <c r="I327" s="469"/>
      <c r="J327" s="469"/>
      <c r="K327" s="469"/>
      <c r="L327" s="469"/>
      <c r="M327" s="469"/>
      <c r="N327" s="469"/>
      <c r="O327" s="469"/>
      <c r="P327" s="469"/>
      <c r="Q327" s="469"/>
      <c r="R327" s="469"/>
      <c r="S327" s="469"/>
      <c r="T327" s="469"/>
      <c r="U327" s="469"/>
      <c r="V327" s="469"/>
      <c r="W327" s="469"/>
    </row>
    <row r="328">
      <c r="A328" s="469"/>
      <c r="B328" s="496"/>
      <c r="C328" s="497"/>
      <c r="D328" s="469"/>
      <c r="E328" s="469"/>
      <c r="F328" s="469"/>
      <c r="G328" s="469"/>
      <c r="H328" s="469"/>
      <c r="I328" s="469"/>
      <c r="J328" s="469"/>
      <c r="K328" s="469"/>
      <c r="L328" s="469"/>
      <c r="M328" s="469"/>
      <c r="N328" s="469"/>
      <c r="O328" s="469"/>
      <c r="P328" s="469"/>
      <c r="Q328" s="469"/>
      <c r="R328" s="469"/>
      <c r="S328" s="469"/>
      <c r="T328" s="469"/>
      <c r="U328" s="469"/>
      <c r="V328" s="469"/>
      <c r="W328" s="469"/>
    </row>
    <row r="329">
      <c r="A329" s="469"/>
      <c r="B329" s="496"/>
      <c r="C329" s="497"/>
      <c r="D329" s="469"/>
      <c r="E329" s="469"/>
      <c r="F329" s="469"/>
      <c r="G329" s="469"/>
      <c r="H329" s="469"/>
      <c r="I329" s="469"/>
      <c r="J329" s="469"/>
      <c r="K329" s="469"/>
      <c r="L329" s="469"/>
      <c r="M329" s="469"/>
      <c r="N329" s="469"/>
      <c r="O329" s="469"/>
      <c r="P329" s="469"/>
      <c r="Q329" s="469"/>
      <c r="R329" s="469"/>
      <c r="S329" s="469"/>
      <c r="T329" s="469"/>
      <c r="U329" s="469"/>
      <c r="V329" s="469"/>
      <c r="W329" s="469"/>
    </row>
    <row r="330">
      <c r="A330" s="469"/>
      <c r="B330" s="496"/>
      <c r="C330" s="497"/>
      <c r="D330" s="469"/>
      <c r="E330" s="469"/>
      <c r="F330" s="469"/>
      <c r="G330" s="469"/>
      <c r="H330" s="469"/>
      <c r="I330" s="469"/>
      <c r="J330" s="469"/>
      <c r="K330" s="469"/>
      <c r="L330" s="469"/>
      <c r="M330" s="469"/>
      <c r="N330" s="469"/>
      <c r="O330" s="469"/>
      <c r="P330" s="469"/>
      <c r="Q330" s="469"/>
      <c r="R330" s="469"/>
      <c r="S330" s="469"/>
      <c r="T330" s="469"/>
      <c r="U330" s="469"/>
      <c r="V330" s="469"/>
      <c r="W330" s="469"/>
    </row>
    <row r="331">
      <c r="A331" s="469"/>
      <c r="B331" s="496"/>
      <c r="C331" s="497"/>
      <c r="D331" s="469"/>
      <c r="E331" s="469"/>
      <c r="F331" s="469"/>
      <c r="G331" s="469"/>
      <c r="H331" s="469"/>
      <c r="I331" s="469"/>
      <c r="J331" s="469"/>
      <c r="K331" s="469"/>
      <c r="L331" s="469"/>
      <c r="M331" s="469"/>
      <c r="N331" s="469"/>
      <c r="O331" s="469"/>
      <c r="P331" s="469"/>
      <c r="Q331" s="469"/>
      <c r="R331" s="469"/>
      <c r="S331" s="469"/>
      <c r="T331" s="469"/>
      <c r="U331" s="469"/>
      <c r="V331" s="469"/>
      <c r="W331" s="469"/>
    </row>
    <row r="332">
      <c r="A332" s="469"/>
      <c r="B332" s="496"/>
      <c r="C332" s="497"/>
      <c r="D332" s="469"/>
      <c r="E332" s="469"/>
      <c r="F332" s="469"/>
      <c r="G332" s="469"/>
      <c r="H332" s="469"/>
      <c r="I332" s="469"/>
      <c r="J332" s="469"/>
      <c r="K332" s="469"/>
      <c r="L332" s="469"/>
      <c r="M332" s="469"/>
      <c r="N332" s="469"/>
      <c r="O332" s="469"/>
      <c r="P332" s="469"/>
      <c r="Q332" s="469"/>
      <c r="R332" s="469"/>
      <c r="S332" s="469"/>
      <c r="T332" s="469"/>
      <c r="U332" s="469"/>
      <c r="V332" s="469"/>
      <c r="W332" s="469"/>
    </row>
    <row r="333">
      <c r="A333" s="469"/>
      <c r="B333" s="496"/>
      <c r="C333" s="497"/>
      <c r="D333" s="469"/>
      <c r="E333" s="469"/>
      <c r="F333" s="469"/>
      <c r="G333" s="469"/>
      <c r="H333" s="469"/>
      <c r="I333" s="469"/>
      <c r="J333" s="469"/>
      <c r="K333" s="469"/>
      <c r="L333" s="469"/>
      <c r="M333" s="469"/>
      <c r="N333" s="469"/>
      <c r="O333" s="469"/>
      <c r="P333" s="469"/>
      <c r="Q333" s="469"/>
      <c r="R333" s="469"/>
      <c r="S333" s="469"/>
      <c r="T333" s="469"/>
      <c r="U333" s="469"/>
      <c r="V333" s="469"/>
      <c r="W333" s="469"/>
    </row>
    <row r="334">
      <c r="A334" s="469"/>
      <c r="B334" s="496"/>
      <c r="C334" s="497"/>
      <c r="D334" s="469"/>
      <c r="E334" s="469"/>
      <c r="F334" s="469"/>
      <c r="G334" s="469"/>
      <c r="H334" s="469"/>
      <c r="I334" s="469"/>
      <c r="J334" s="469"/>
      <c r="K334" s="469"/>
      <c r="L334" s="469"/>
      <c r="M334" s="469"/>
      <c r="N334" s="469"/>
      <c r="O334" s="469"/>
      <c r="P334" s="469"/>
      <c r="Q334" s="469"/>
      <c r="R334" s="469"/>
      <c r="S334" s="469"/>
      <c r="T334" s="469"/>
      <c r="U334" s="469"/>
      <c r="V334" s="469"/>
      <c r="W334" s="469"/>
    </row>
    <row r="335">
      <c r="A335" s="469"/>
      <c r="B335" s="496"/>
      <c r="C335" s="497"/>
      <c r="D335" s="469"/>
      <c r="E335" s="469"/>
      <c r="F335" s="469"/>
      <c r="G335" s="469"/>
      <c r="H335" s="469"/>
      <c r="I335" s="469"/>
      <c r="J335" s="469"/>
      <c r="K335" s="469"/>
      <c r="L335" s="469"/>
      <c r="M335" s="469"/>
      <c r="N335" s="469"/>
      <c r="O335" s="469"/>
      <c r="P335" s="469"/>
      <c r="Q335" s="469"/>
      <c r="R335" s="469"/>
      <c r="S335" s="469"/>
      <c r="T335" s="469"/>
      <c r="U335" s="469"/>
      <c r="V335" s="469"/>
      <c r="W335" s="469"/>
    </row>
    <row r="336">
      <c r="A336" s="469"/>
      <c r="B336" s="496"/>
      <c r="C336" s="497"/>
      <c r="D336" s="469"/>
      <c r="E336" s="469"/>
      <c r="F336" s="469"/>
      <c r="G336" s="469"/>
      <c r="H336" s="469"/>
      <c r="I336" s="469"/>
      <c r="J336" s="469"/>
      <c r="K336" s="469"/>
      <c r="L336" s="469"/>
      <c r="M336" s="469"/>
      <c r="N336" s="469"/>
      <c r="O336" s="469"/>
      <c r="P336" s="469"/>
      <c r="Q336" s="469"/>
      <c r="R336" s="469"/>
      <c r="S336" s="469"/>
      <c r="T336" s="469"/>
      <c r="U336" s="469"/>
      <c r="V336" s="469"/>
      <c r="W336" s="469"/>
    </row>
    <row r="337">
      <c r="A337" s="469"/>
      <c r="B337" s="496"/>
      <c r="C337" s="497"/>
      <c r="D337" s="469"/>
      <c r="E337" s="469"/>
      <c r="F337" s="469"/>
      <c r="G337" s="469"/>
      <c r="H337" s="469"/>
      <c r="I337" s="469"/>
      <c r="J337" s="469"/>
      <c r="K337" s="469"/>
      <c r="L337" s="469"/>
      <c r="M337" s="469"/>
      <c r="N337" s="469"/>
      <c r="O337" s="469"/>
      <c r="P337" s="469"/>
      <c r="Q337" s="469"/>
      <c r="R337" s="469"/>
      <c r="S337" s="469"/>
      <c r="T337" s="469"/>
      <c r="U337" s="469"/>
      <c r="V337" s="469"/>
      <c r="W337" s="469"/>
    </row>
    <row r="338">
      <c r="A338" s="469"/>
      <c r="B338" s="496"/>
      <c r="C338" s="497"/>
      <c r="D338" s="469"/>
      <c r="E338" s="469"/>
      <c r="F338" s="469"/>
      <c r="G338" s="469"/>
      <c r="H338" s="469"/>
      <c r="I338" s="469"/>
      <c r="J338" s="469"/>
      <c r="K338" s="469"/>
      <c r="L338" s="469"/>
      <c r="M338" s="469"/>
      <c r="N338" s="469"/>
      <c r="O338" s="469"/>
      <c r="P338" s="469"/>
      <c r="Q338" s="469"/>
      <c r="R338" s="469"/>
      <c r="S338" s="469"/>
      <c r="T338" s="469"/>
      <c r="U338" s="469"/>
      <c r="V338" s="469"/>
      <c r="W338" s="469"/>
    </row>
    <row r="339">
      <c r="A339" s="469"/>
      <c r="B339" s="496"/>
      <c r="C339" s="497"/>
      <c r="D339" s="469"/>
      <c r="E339" s="469"/>
      <c r="F339" s="469"/>
      <c r="G339" s="469"/>
      <c r="H339" s="469"/>
      <c r="I339" s="469"/>
      <c r="J339" s="469"/>
      <c r="K339" s="469"/>
      <c r="L339" s="469"/>
      <c r="M339" s="469"/>
      <c r="N339" s="469"/>
      <c r="O339" s="469"/>
      <c r="P339" s="469"/>
      <c r="Q339" s="469"/>
      <c r="R339" s="469"/>
      <c r="S339" s="469"/>
      <c r="T339" s="469"/>
      <c r="U339" s="469"/>
      <c r="V339" s="469"/>
      <c r="W339" s="469"/>
    </row>
    <row r="340">
      <c r="A340" s="469"/>
      <c r="B340" s="496"/>
      <c r="C340" s="497"/>
      <c r="D340" s="469"/>
      <c r="E340" s="469"/>
      <c r="F340" s="469"/>
      <c r="G340" s="469"/>
      <c r="H340" s="469"/>
      <c r="I340" s="469"/>
      <c r="J340" s="469"/>
      <c r="K340" s="469"/>
      <c r="L340" s="469"/>
      <c r="M340" s="469"/>
      <c r="N340" s="469"/>
      <c r="O340" s="469"/>
      <c r="P340" s="469"/>
      <c r="Q340" s="469"/>
      <c r="R340" s="469"/>
      <c r="S340" s="469"/>
      <c r="T340" s="469"/>
      <c r="U340" s="469"/>
      <c r="V340" s="469"/>
      <c r="W340" s="469"/>
    </row>
    <row r="341">
      <c r="A341" s="469"/>
      <c r="B341" s="496"/>
      <c r="C341" s="497"/>
      <c r="D341" s="469"/>
      <c r="E341" s="469"/>
      <c r="F341" s="469"/>
      <c r="G341" s="469"/>
      <c r="H341" s="469"/>
      <c r="I341" s="469"/>
      <c r="J341" s="469"/>
      <c r="K341" s="469"/>
      <c r="L341" s="469"/>
      <c r="M341" s="469"/>
      <c r="N341" s="469"/>
      <c r="O341" s="469"/>
      <c r="P341" s="469"/>
      <c r="Q341" s="469"/>
      <c r="R341" s="469"/>
      <c r="S341" s="469"/>
      <c r="T341" s="469"/>
      <c r="U341" s="469"/>
      <c r="V341" s="469"/>
      <c r="W341" s="469"/>
    </row>
    <row r="342">
      <c r="A342" s="469"/>
      <c r="B342" s="496"/>
      <c r="C342" s="497"/>
      <c r="D342" s="469"/>
      <c r="E342" s="469"/>
      <c r="F342" s="469"/>
      <c r="G342" s="469"/>
      <c r="H342" s="469"/>
      <c r="I342" s="469"/>
      <c r="J342" s="469"/>
      <c r="K342" s="469"/>
      <c r="L342" s="469"/>
      <c r="M342" s="469"/>
      <c r="N342" s="469"/>
      <c r="O342" s="469"/>
      <c r="P342" s="469"/>
      <c r="Q342" s="469"/>
      <c r="R342" s="469"/>
      <c r="S342" s="469"/>
      <c r="T342" s="469"/>
      <c r="U342" s="469"/>
      <c r="V342" s="469"/>
      <c r="W342" s="469"/>
    </row>
    <row r="343">
      <c r="A343" s="469"/>
      <c r="B343" s="496"/>
      <c r="C343" s="497"/>
      <c r="D343" s="469"/>
      <c r="E343" s="469"/>
      <c r="F343" s="469"/>
      <c r="G343" s="469"/>
      <c r="H343" s="469"/>
      <c r="I343" s="469"/>
      <c r="J343" s="469"/>
      <c r="K343" s="469"/>
      <c r="L343" s="469"/>
      <c r="M343" s="469"/>
      <c r="N343" s="469"/>
      <c r="O343" s="469"/>
      <c r="P343" s="469"/>
      <c r="Q343" s="469"/>
      <c r="R343" s="469"/>
      <c r="S343" s="469"/>
      <c r="T343" s="469"/>
      <c r="U343" s="469"/>
      <c r="V343" s="469"/>
      <c r="W343" s="469"/>
    </row>
    <row r="344">
      <c r="A344" s="469"/>
      <c r="B344" s="496"/>
      <c r="C344" s="497"/>
      <c r="D344" s="469"/>
      <c r="E344" s="469"/>
      <c r="F344" s="469"/>
      <c r="G344" s="469"/>
      <c r="H344" s="469"/>
      <c r="I344" s="469"/>
      <c r="J344" s="469"/>
      <c r="K344" s="469"/>
      <c r="L344" s="469"/>
      <c r="M344" s="469"/>
      <c r="N344" s="469"/>
      <c r="O344" s="469"/>
      <c r="P344" s="469"/>
      <c r="Q344" s="469"/>
      <c r="R344" s="469"/>
      <c r="S344" s="469"/>
      <c r="T344" s="469"/>
      <c r="U344" s="469"/>
      <c r="V344" s="469"/>
      <c r="W344" s="469"/>
    </row>
    <row r="345">
      <c r="A345" s="469"/>
      <c r="B345" s="496"/>
      <c r="C345" s="497"/>
      <c r="D345" s="469"/>
      <c r="E345" s="469"/>
      <c r="F345" s="469"/>
      <c r="G345" s="469"/>
      <c r="H345" s="469"/>
      <c r="I345" s="469"/>
      <c r="J345" s="469"/>
      <c r="K345" s="469"/>
      <c r="L345" s="469"/>
      <c r="M345" s="469"/>
      <c r="N345" s="469"/>
      <c r="O345" s="469"/>
      <c r="P345" s="469"/>
      <c r="Q345" s="469"/>
      <c r="R345" s="469"/>
      <c r="S345" s="469"/>
      <c r="T345" s="469"/>
      <c r="U345" s="469"/>
      <c r="V345" s="469"/>
      <c r="W345" s="469"/>
    </row>
    <row r="346">
      <c r="A346" s="469"/>
      <c r="B346" s="496"/>
      <c r="C346" s="497"/>
      <c r="D346" s="469"/>
      <c r="E346" s="469"/>
      <c r="F346" s="469"/>
      <c r="G346" s="469"/>
      <c r="H346" s="469"/>
      <c r="I346" s="469"/>
      <c r="J346" s="469"/>
      <c r="K346" s="469"/>
      <c r="L346" s="469"/>
      <c r="M346" s="469"/>
      <c r="N346" s="469"/>
      <c r="O346" s="469"/>
      <c r="P346" s="469"/>
      <c r="Q346" s="469"/>
      <c r="R346" s="469"/>
      <c r="S346" s="469"/>
      <c r="T346" s="469"/>
      <c r="U346" s="469"/>
      <c r="V346" s="469"/>
      <c r="W346" s="469"/>
    </row>
    <row r="347">
      <c r="A347" s="469"/>
      <c r="B347" s="496"/>
      <c r="C347" s="497"/>
      <c r="D347" s="469"/>
      <c r="E347" s="469"/>
      <c r="F347" s="469"/>
      <c r="G347" s="469"/>
      <c r="H347" s="469"/>
      <c r="I347" s="469"/>
      <c r="J347" s="469"/>
      <c r="K347" s="469"/>
      <c r="L347" s="469"/>
      <c r="M347" s="469"/>
      <c r="N347" s="469"/>
      <c r="O347" s="469"/>
      <c r="P347" s="469"/>
      <c r="Q347" s="469"/>
      <c r="R347" s="469"/>
      <c r="S347" s="469"/>
      <c r="T347" s="469"/>
      <c r="U347" s="469"/>
      <c r="V347" s="469"/>
      <c r="W347" s="469"/>
    </row>
    <row r="348">
      <c r="A348" s="469"/>
      <c r="B348" s="496"/>
      <c r="C348" s="497"/>
      <c r="D348" s="469"/>
      <c r="E348" s="469"/>
      <c r="F348" s="469"/>
      <c r="G348" s="469"/>
      <c r="H348" s="469"/>
      <c r="I348" s="469"/>
      <c r="J348" s="469"/>
      <c r="K348" s="469"/>
      <c r="L348" s="469"/>
      <c r="M348" s="469"/>
      <c r="N348" s="469"/>
      <c r="O348" s="469"/>
      <c r="P348" s="469"/>
      <c r="Q348" s="469"/>
      <c r="R348" s="469"/>
      <c r="S348" s="469"/>
      <c r="T348" s="469"/>
      <c r="U348" s="469"/>
      <c r="V348" s="469"/>
      <c r="W348" s="469"/>
    </row>
    <row r="349">
      <c r="A349" s="469"/>
      <c r="B349" s="496"/>
      <c r="C349" s="497"/>
      <c r="D349" s="469"/>
      <c r="E349" s="469"/>
      <c r="F349" s="469"/>
      <c r="G349" s="469"/>
      <c r="H349" s="469"/>
      <c r="I349" s="469"/>
      <c r="J349" s="469"/>
      <c r="K349" s="469"/>
      <c r="L349" s="469"/>
      <c r="M349" s="469"/>
      <c r="N349" s="469"/>
      <c r="O349" s="469"/>
      <c r="P349" s="469"/>
      <c r="Q349" s="469"/>
      <c r="R349" s="469"/>
      <c r="S349" s="469"/>
      <c r="T349" s="469"/>
      <c r="U349" s="469"/>
      <c r="V349" s="469"/>
      <c r="W349" s="469"/>
    </row>
    <row r="350">
      <c r="A350" s="469"/>
      <c r="B350" s="496"/>
      <c r="C350" s="497"/>
      <c r="D350" s="469"/>
      <c r="E350" s="469"/>
      <c r="F350" s="469"/>
      <c r="G350" s="469"/>
      <c r="H350" s="469"/>
      <c r="I350" s="469"/>
      <c r="J350" s="469"/>
      <c r="K350" s="469"/>
      <c r="L350" s="469"/>
      <c r="M350" s="469"/>
      <c r="N350" s="469"/>
      <c r="O350" s="469"/>
      <c r="P350" s="469"/>
      <c r="Q350" s="469"/>
      <c r="R350" s="469"/>
      <c r="S350" s="469"/>
      <c r="T350" s="469"/>
      <c r="U350" s="469"/>
      <c r="V350" s="469"/>
      <c r="W350" s="469"/>
    </row>
    <row r="351">
      <c r="A351" s="469"/>
      <c r="B351" s="496"/>
      <c r="C351" s="497"/>
      <c r="D351" s="469"/>
      <c r="E351" s="469"/>
      <c r="F351" s="469"/>
      <c r="G351" s="469"/>
      <c r="H351" s="469"/>
      <c r="I351" s="469"/>
      <c r="J351" s="469"/>
      <c r="K351" s="469"/>
      <c r="L351" s="469"/>
      <c r="M351" s="469"/>
      <c r="N351" s="469"/>
      <c r="O351" s="469"/>
      <c r="P351" s="469"/>
      <c r="Q351" s="469"/>
      <c r="R351" s="469"/>
      <c r="S351" s="469"/>
      <c r="T351" s="469"/>
      <c r="U351" s="469"/>
      <c r="V351" s="469"/>
      <c r="W351" s="469"/>
    </row>
    <row r="352">
      <c r="A352" s="469"/>
      <c r="B352" s="496"/>
      <c r="C352" s="497"/>
      <c r="D352" s="469"/>
      <c r="E352" s="469"/>
      <c r="F352" s="469"/>
      <c r="G352" s="469"/>
      <c r="H352" s="469"/>
      <c r="I352" s="469"/>
      <c r="J352" s="469"/>
      <c r="K352" s="469"/>
      <c r="L352" s="469"/>
      <c r="M352" s="469"/>
      <c r="N352" s="469"/>
      <c r="O352" s="469"/>
      <c r="P352" s="469"/>
      <c r="Q352" s="469"/>
      <c r="R352" s="469"/>
      <c r="S352" s="469"/>
      <c r="T352" s="469"/>
      <c r="U352" s="469"/>
      <c r="V352" s="469"/>
      <c r="W352" s="469"/>
    </row>
    <row r="353">
      <c r="A353" s="469"/>
      <c r="B353" s="496"/>
      <c r="C353" s="497"/>
      <c r="D353" s="469"/>
      <c r="E353" s="469"/>
      <c r="F353" s="469"/>
      <c r="G353" s="469"/>
      <c r="H353" s="469"/>
      <c r="I353" s="469"/>
      <c r="J353" s="469"/>
      <c r="K353" s="469"/>
      <c r="L353" s="469"/>
      <c r="M353" s="469"/>
      <c r="N353" s="469"/>
      <c r="O353" s="469"/>
      <c r="P353" s="469"/>
      <c r="Q353" s="469"/>
      <c r="R353" s="469"/>
      <c r="S353" s="469"/>
      <c r="T353" s="469"/>
      <c r="U353" s="469"/>
      <c r="V353" s="469"/>
      <c r="W353" s="469"/>
    </row>
    <row r="354">
      <c r="A354" s="469"/>
      <c r="B354" s="496"/>
      <c r="C354" s="497"/>
      <c r="D354" s="469"/>
      <c r="E354" s="469"/>
      <c r="F354" s="469"/>
      <c r="G354" s="469"/>
      <c r="H354" s="469"/>
      <c r="I354" s="469"/>
      <c r="J354" s="469"/>
      <c r="K354" s="469"/>
      <c r="L354" s="469"/>
      <c r="M354" s="469"/>
      <c r="N354" s="469"/>
      <c r="O354" s="469"/>
      <c r="P354" s="469"/>
      <c r="Q354" s="469"/>
      <c r="R354" s="469"/>
      <c r="S354" s="469"/>
      <c r="T354" s="469"/>
      <c r="U354" s="469"/>
      <c r="V354" s="469"/>
      <c r="W354" s="469"/>
    </row>
    <row r="355">
      <c r="A355" s="469"/>
      <c r="B355" s="496"/>
      <c r="C355" s="497"/>
      <c r="D355" s="469"/>
      <c r="E355" s="469"/>
      <c r="F355" s="469"/>
      <c r="G355" s="469"/>
      <c r="H355" s="469"/>
      <c r="I355" s="469"/>
      <c r="J355" s="469"/>
      <c r="K355" s="469"/>
      <c r="L355" s="469"/>
      <c r="M355" s="469"/>
      <c r="N355" s="469"/>
      <c r="O355" s="469"/>
      <c r="P355" s="469"/>
      <c r="Q355" s="469"/>
      <c r="R355" s="469"/>
      <c r="S355" s="469"/>
      <c r="T355" s="469"/>
      <c r="U355" s="469"/>
      <c r="V355" s="469"/>
      <c r="W355" s="469"/>
    </row>
    <row r="356">
      <c r="A356" s="469"/>
      <c r="B356" s="496"/>
      <c r="C356" s="497"/>
      <c r="D356" s="469"/>
      <c r="E356" s="469"/>
      <c r="F356" s="469"/>
      <c r="G356" s="469"/>
      <c r="H356" s="469"/>
      <c r="I356" s="469"/>
      <c r="J356" s="469"/>
      <c r="K356" s="469"/>
      <c r="L356" s="469"/>
      <c r="M356" s="469"/>
      <c r="N356" s="469"/>
      <c r="O356" s="469"/>
      <c r="P356" s="469"/>
      <c r="Q356" s="469"/>
      <c r="R356" s="469"/>
      <c r="S356" s="469"/>
      <c r="T356" s="469"/>
      <c r="U356" s="469"/>
      <c r="V356" s="469"/>
      <c r="W356" s="469"/>
    </row>
    <row r="357">
      <c r="A357" s="469"/>
      <c r="B357" s="496"/>
      <c r="C357" s="497"/>
      <c r="D357" s="469"/>
      <c r="E357" s="469"/>
      <c r="F357" s="469"/>
      <c r="G357" s="469"/>
      <c r="H357" s="469"/>
      <c r="I357" s="469"/>
      <c r="J357" s="469"/>
      <c r="K357" s="469"/>
      <c r="L357" s="469"/>
      <c r="M357" s="469"/>
      <c r="N357" s="469"/>
      <c r="O357" s="469"/>
      <c r="P357" s="469"/>
      <c r="Q357" s="469"/>
      <c r="R357" s="469"/>
      <c r="S357" s="469"/>
      <c r="T357" s="469"/>
      <c r="U357" s="469"/>
      <c r="V357" s="469"/>
      <c r="W357" s="469"/>
    </row>
    <row r="358">
      <c r="A358" s="469"/>
      <c r="B358" s="496"/>
      <c r="C358" s="497"/>
      <c r="D358" s="469"/>
      <c r="E358" s="469"/>
      <c r="F358" s="469"/>
      <c r="G358" s="469"/>
      <c r="H358" s="469"/>
      <c r="I358" s="469"/>
      <c r="J358" s="469"/>
      <c r="K358" s="469"/>
      <c r="L358" s="469"/>
      <c r="M358" s="469"/>
      <c r="N358" s="469"/>
      <c r="O358" s="469"/>
      <c r="P358" s="469"/>
      <c r="Q358" s="469"/>
      <c r="R358" s="469"/>
      <c r="S358" s="469"/>
      <c r="T358" s="469"/>
      <c r="U358" s="469"/>
      <c r="V358" s="469"/>
      <c r="W358" s="469"/>
    </row>
    <row r="359">
      <c r="A359" s="469"/>
      <c r="B359" s="496"/>
      <c r="C359" s="497"/>
      <c r="D359" s="469"/>
      <c r="E359" s="469"/>
      <c r="F359" s="469"/>
      <c r="G359" s="469"/>
      <c r="H359" s="469"/>
      <c r="I359" s="469"/>
      <c r="J359" s="469"/>
      <c r="K359" s="469"/>
      <c r="L359" s="469"/>
      <c r="M359" s="469"/>
      <c r="N359" s="469"/>
      <c r="O359" s="469"/>
      <c r="P359" s="469"/>
      <c r="Q359" s="469"/>
      <c r="R359" s="469"/>
      <c r="S359" s="469"/>
      <c r="T359" s="469"/>
      <c r="U359" s="469"/>
      <c r="V359" s="469"/>
      <c r="W359" s="469"/>
    </row>
    <row r="360">
      <c r="A360" s="469"/>
      <c r="B360" s="496"/>
      <c r="C360" s="497"/>
      <c r="D360" s="469"/>
      <c r="E360" s="469"/>
      <c r="F360" s="469"/>
      <c r="G360" s="469"/>
      <c r="H360" s="469"/>
      <c r="I360" s="469"/>
      <c r="J360" s="469"/>
      <c r="K360" s="469"/>
      <c r="L360" s="469"/>
      <c r="M360" s="469"/>
      <c r="N360" s="469"/>
      <c r="O360" s="469"/>
      <c r="P360" s="469"/>
      <c r="Q360" s="469"/>
      <c r="R360" s="469"/>
      <c r="S360" s="469"/>
      <c r="T360" s="469"/>
      <c r="U360" s="469"/>
      <c r="V360" s="469"/>
      <c r="W360" s="469"/>
    </row>
    <row r="361">
      <c r="A361" s="469"/>
      <c r="B361" s="496"/>
      <c r="C361" s="497"/>
      <c r="D361" s="469"/>
      <c r="E361" s="469"/>
      <c r="F361" s="469"/>
      <c r="G361" s="469"/>
      <c r="H361" s="469"/>
      <c r="I361" s="469"/>
      <c r="J361" s="469"/>
      <c r="K361" s="469"/>
      <c r="L361" s="469"/>
      <c r="M361" s="469"/>
      <c r="N361" s="469"/>
      <c r="O361" s="469"/>
      <c r="P361" s="469"/>
      <c r="Q361" s="469"/>
      <c r="R361" s="469"/>
      <c r="S361" s="469"/>
      <c r="T361" s="469"/>
      <c r="U361" s="469"/>
      <c r="V361" s="469"/>
      <c r="W361" s="469"/>
    </row>
    <row r="362">
      <c r="A362" s="469"/>
      <c r="B362" s="496"/>
      <c r="C362" s="497"/>
      <c r="D362" s="469"/>
      <c r="E362" s="469"/>
      <c r="F362" s="469"/>
      <c r="G362" s="469"/>
      <c r="H362" s="469"/>
      <c r="I362" s="469"/>
      <c r="J362" s="469"/>
      <c r="K362" s="469"/>
      <c r="L362" s="469"/>
      <c r="M362" s="469"/>
      <c r="N362" s="469"/>
      <c r="O362" s="469"/>
      <c r="P362" s="469"/>
      <c r="Q362" s="469"/>
      <c r="R362" s="469"/>
      <c r="S362" s="469"/>
      <c r="T362" s="469"/>
      <c r="U362" s="469"/>
      <c r="V362" s="469"/>
      <c r="W362" s="469"/>
    </row>
    <row r="363">
      <c r="A363" s="469"/>
      <c r="B363" s="496"/>
      <c r="C363" s="497"/>
      <c r="D363" s="469"/>
      <c r="E363" s="469"/>
      <c r="F363" s="469"/>
      <c r="G363" s="469"/>
      <c r="H363" s="469"/>
      <c r="I363" s="469"/>
      <c r="J363" s="469"/>
      <c r="K363" s="469"/>
      <c r="L363" s="469"/>
      <c r="M363" s="469"/>
      <c r="N363" s="469"/>
      <c r="O363" s="469"/>
      <c r="P363" s="469"/>
      <c r="Q363" s="469"/>
      <c r="R363" s="469"/>
      <c r="S363" s="469"/>
      <c r="T363" s="469"/>
      <c r="U363" s="469"/>
      <c r="V363" s="469"/>
      <c r="W363" s="469"/>
    </row>
    <row r="364">
      <c r="A364" s="469"/>
      <c r="B364" s="496"/>
      <c r="C364" s="497"/>
      <c r="D364" s="469"/>
      <c r="E364" s="469"/>
      <c r="F364" s="469"/>
      <c r="G364" s="469"/>
      <c r="H364" s="469"/>
      <c r="I364" s="469"/>
      <c r="J364" s="469"/>
      <c r="K364" s="469"/>
      <c r="L364" s="469"/>
      <c r="M364" s="469"/>
      <c r="N364" s="469"/>
      <c r="O364" s="469"/>
      <c r="P364" s="469"/>
      <c r="Q364" s="469"/>
      <c r="R364" s="469"/>
      <c r="S364" s="469"/>
      <c r="T364" s="469"/>
      <c r="U364" s="469"/>
      <c r="V364" s="469"/>
      <c r="W364" s="469"/>
    </row>
    <row r="365">
      <c r="A365" s="469"/>
      <c r="B365" s="496"/>
      <c r="C365" s="497"/>
      <c r="D365" s="469"/>
      <c r="E365" s="469"/>
      <c r="F365" s="469"/>
      <c r="G365" s="469"/>
      <c r="H365" s="469"/>
      <c r="I365" s="469"/>
      <c r="J365" s="469"/>
      <c r="K365" s="469"/>
      <c r="L365" s="469"/>
      <c r="M365" s="469"/>
      <c r="N365" s="469"/>
      <c r="O365" s="469"/>
      <c r="P365" s="469"/>
      <c r="Q365" s="469"/>
      <c r="R365" s="469"/>
      <c r="S365" s="469"/>
      <c r="T365" s="469"/>
      <c r="U365" s="469"/>
      <c r="V365" s="469"/>
      <c r="W365" s="469"/>
    </row>
    <row r="366">
      <c r="A366" s="469"/>
      <c r="B366" s="496"/>
      <c r="C366" s="497"/>
      <c r="D366" s="469"/>
      <c r="E366" s="469"/>
      <c r="F366" s="469"/>
      <c r="G366" s="469"/>
      <c r="H366" s="469"/>
      <c r="I366" s="469"/>
      <c r="J366" s="469"/>
      <c r="K366" s="469"/>
      <c r="L366" s="469"/>
      <c r="M366" s="469"/>
      <c r="N366" s="469"/>
      <c r="O366" s="469"/>
      <c r="P366" s="469"/>
      <c r="Q366" s="469"/>
      <c r="R366" s="469"/>
      <c r="S366" s="469"/>
      <c r="T366" s="469"/>
      <c r="U366" s="469"/>
      <c r="V366" s="469"/>
      <c r="W366" s="469"/>
    </row>
    <row r="367">
      <c r="A367" s="469"/>
      <c r="B367" s="496"/>
      <c r="C367" s="497"/>
      <c r="D367" s="469"/>
      <c r="E367" s="469"/>
      <c r="F367" s="469"/>
      <c r="G367" s="469"/>
      <c r="H367" s="469"/>
      <c r="I367" s="469"/>
      <c r="J367" s="469"/>
      <c r="K367" s="469"/>
      <c r="L367" s="469"/>
      <c r="M367" s="469"/>
      <c r="N367" s="469"/>
      <c r="O367" s="469"/>
      <c r="P367" s="469"/>
      <c r="Q367" s="469"/>
      <c r="R367" s="469"/>
      <c r="S367" s="469"/>
      <c r="T367" s="469"/>
      <c r="U367" s="469"/>
      <c r="V367" s="469"/>
      <c r="W367" s="469"/>
    </row>
    <row r="368">
      <c r="A368" s="469"/>
      <c r="B368" s="496"/>
      <c r="C368" s="497"/>
      <c r="D368" s="469"/>
      <c r="E368" s="469"/>
      <c r="F368" s="469"/>
      <c r="G368" s="469"/>
      <c r="H368" s="469"/>
      <c r="I368" s="469"/>
      <c r="J368" s="469"/>
      <c r="K368" s="469"/>
      <c r="L368" s="469"/>
      <c r="M368" s="469"/>
      <c r="N368" s="469"/>
      <c r="O368" s="469"/>
      <c r="P368" s="469"/>
      <c r="Q368" s="469"/>
      <c r="R368" s="469"/>
      <c r="S368" s="469"/>
      <c r="T368" s="469"/>
      <c r="U368" s="469"/>
      <c r="V368" s="469"/>
      <c r="W368" s="469"/>
    </row>
    <row r="369">
      <c r="A369" s="469"/>
      <c r="B369" s="496"/>
      <c r="C369" s="497"/>
      <c r="D369" s="469"/>
      <c r="E369" s="469"/>
      <c r="F369" s="469"/>
      <c r="G369" s="469"/>
      <c r="H369" s="469"/>
      <c r="I369" s="469"/>
      <c r="J369" s="469"/>
      <c r="K369" s="469"/>
      <c r="L369" s="469"/>
      <c r="M369" s="469"/>
      <c r="N369" s="469"/>
      <c r="O369" s="469"/>
      <c r="P369" s="469"/>
      <c r="Q369" s="469"/>
      <c r="R369" s="469"/>
      <c r="S369" s="469"/>
      <c r="T369" s="469"/>
      <c r="U369" s="469"/>
      <c r="V369" s="469"/>
      <c r="W369" s="469"/>
    </row>
    <row r="370">
      <c r="A370" s="469"/>
      <c r="B370" s="496"/>
      <c r="C370" s="497"/>
      <c r="D370" s="469"/>
      <c r="E370" s="469"/>
      <c r="F370" s="469"/>
      <c r="G370" s="469"/>
      <c r="H370" s="469"/>
      <c r="I370" s="469"/>
      <c r="J370" s="469"/>
      <c r="K370" s="469"/>
      <c r="L370" s="469"/>
      <c r="M370" s="469"/>
      <c r="N370" s="469"/>
      <c r="O370" s="469"/>
      <c r="P370" s="469"/>
      <c r="Q370" s="469"/>
      <c r="R370" s="469"/>
      <c r="S370" s="469"/>
      <c r="T370" s="469"/>
      <c r="U370" s="469"/>
      <c r="V370" s="469"/>
      <c r="W370" s="469"/>
    </row>
    <row r="371">
      <c r="A371" s="469"/>
      <c r="B371" s="496"/>
      <c r="C371" s="497"/>
      <c r="D371" s="469"/>
      <c r="E371" s="469"/>
      <c r="F371" s="469"/>
      <c r="G371" s="469"/>
      <c r="H371" s="469"/>
      <c r="I371" s="469"/>
      <c r="J371" s="469"/>
      <c r="K371" s="469"/>
      <c r="L371" s="469"/>
      <c r="M371" s="469"/>
      <c r="N371" s="469"/>
      <c r="O371" s="469"/>
      <c r="P371" s="469"/>
      <c r="Q371" s="469"/>
      <c r="R371" s="469"/>
      <c r="S371" s="469"/>
      <c r="T371" s="469"/>
      <c r="U371" s="469"/>
      <c r="V371" s="469"/>
      <c r="W371" s="469"/>
    </row>
    <row r="372">
      <c r="A372" s="469"/>
      <c r="B372" s="496"/>
      <c r="C372" s="497"/>
      <c r="D372" s="469"/>
      <c r="E372" s="469"/>
      <c r="F372" s="469"/>
      <c r="G372" s="469"/>
      <c r="H372" s="469"/>
      <c r="I372" s="469"/>
      <c r="J372" s="469"/>
      <c r="K372" s="469"/>
      <c r="L372" s="469"/>
      <c r="M372" s="469"/>
      <c r="N372" s="469"/>
      <c r="O372" s="469"/>
      <c r="P372" s="469"/>
      <c r="Q372" s="469"/>
      <c r="R372" s="469"/>
      <c r="S372" s="469"/>
      <c r="T372" s="469"/>
      <c r="U372" s="469"/>
      <c r="V372" s="469"/>
      <c r="W372" s="469"/>
    </row>
    <row r="373">
      <c r="A373" s="469"/>
      <c r="B373" s="496"/>
      <c r="C373" s="497"/>
      <c r="D373" s="469"/>
      <c r="E373" s="469"/>
      <c r="F373" s="469"/>
      <c r="G373" s="469"/>
      <c r="H373" s="469"/>
      <c r="I373" s="469"/>
      <c r="J373" s="469"/>
      <c r="K373" s="469"/>
      <c r="L373" s="469"/>
      <c r="M373" s="469"/>
      <c r="N373" s="469"/>
      <c r="O373" s="469"/>
      <c r="P373" s="469"/>
      <c r="Q373" s="469"/>
      <c r="R373" s="469"/>
      <c r="S373" s="469"/>
      <c r="T373" s="469"/>
      <c r="U373" s="469"/>
      <c r="V373" s="469"/>
      <c r="W373" s="469"/>
    </row>
    <row r="374">
      <c r="A374" s="469"/>
      <c r="B374" s="496"/>
      <c r="C374" s="497"/>
      <c r="D374" s="469"/>
      <c r="E374" s="469"/>
      <c r="F374" s="469"/>
      <c r="G374" s="469"/>
      <c r="H374" s="469"/>
      <c r="I374" s="469"/>
      <c r="J374" s="469"/>
      <c r="K374" s="469"/>
      <c r="L374" s="469"/>
      <c r="M374" s="469"/>
      <c r="N374" s="469"/>
      <c r="O374" s="469"/>
      <c r="P374" s="469"/>
      <c r="Q374" s="469"/>
      <c r="R374" s="469"/>
      <c r="S374" s="469"/>
      <c r="T374" s="469"/>
      <c r="U374" s="469"/>
      <c r="V374" s="469"/>
      <c r="W374" s="469"/>
    </row>
    <row r="375">
      <c r="A375" s="469"/>
      <c r="B375" s="496"/>
      <c r="C375" s="497"/>
      <c r="D375" s="469"/>
      <c r="E375" s="469"/>
      <c r="F375" s="469"/>
      <c r="G375" s="469"/>
      <c r="H375" s="469"/>
      <c r="I375" s="469"/>
      <c r="J375" s="469"/>
      <c r="K375" s="469"/>
      <c r="L375" s="469"/>
      <c r="M375" s="469"/>
      <c r="N375" s="469"/>
      <c r="O375" s="469"/>
      <c r="P375" s="469"/>
      <c r="Q375" s="469"/>
      <c r="R375" s="469"/>
      <c r="S375" s="469"/>
      <c r="T375" s="469"/>
      <c r="U375" s="469"/>
      <c r="V375" s="469"/>
      <c r="W375" s="469"/>
    </row>
    <row r="376">
      <c r="A376" s="469"/>
      <c r="B376" s="496"/>
      <c r="C376" s="497"/>
      <c r="D376" s="469"/>
      <c r="E376" s="469"/>
      <c r="F376" s="469"/>
      <c r="G376" s="469"/>
      <c r="H376" s="469"/>
      <c r="I376" s="469"/>
      <c r="J376" s="469"/>
      <c r="K376" s="469"/>
      <c r="L376" s="469"/>
      <c r="M376" s="469"/>
      <c r="N376" s="469"/>
      <c r="O376" s="469"/>
      <c r="P376" s="469"/>
      <c r="Q376" s="469"/>
      <c r="R376" s="469"/>
      <c r="S376" s="469"/>
      <c r="T376" s="469"/>
      <c r="U376" s="469"/>
      <c r="V376" s="469"/>
      <c r="W376" s="469"/>
    </row>
    <row r="377">
      <c r="A377" s="469"/>
      <c r="B377" s="496"/>
      <c r="C377" s="497"/>
      <c r="D377" s="469"/>
      <c r="E377" s="469"/>
      <c r="F377" s="469"/>
      <c r="G377" s="469"/>
      <c r="H377" s="469"/>
      <c r="I377" s="469"/>
      <c r="J377" s="469"/>
      <c r="K377" s="469"/>
      <c r="L377" s="469"/>
      <c r="M377" s="469"/>
      <c r="N377" s="469"/>
      <c r="O377" s="469"/>
      <c r="P377" s="469"/>
      <c r="Q377" s="469"/>
      <c r="R377" s="469"/>
      <c r="S377" s="469"/>
      <c r="T377" s="469"/>
      <c r="U377" s="469"/>
      <c r="V377" s="469"/>
      <c r="W377" s="469"/>
    </row>
    <row r="378">
      <c r="A378" s="469"/>
      <c r="B378" s="496"/>
      <c r="C378" s="497"/>
      <c r="D378" s="469"/>
      <c r="E378" s="469"/>
      <c r="F378" s="469"/>
      <c r="G378" s="469"/>
      <c r="H378" s="469"/>
      <c r="I378" s="469"/>
      <c r="J378" s="469"/>
      <c r="K378" s="469"/>
      <c r="L378" s="469"/>
      <c r="M378" s="469"/>
      <c r="N378" s="469"/>
      <c r="O378" s="469"/>
      <c r="P378" s="469"/>
      <c r="Q378" s="469"/>
      <c r="R378" s="469"/>
      <c r="S378" s="469"/>
      <c r="T378" s="469"/>
      <c r="U378" s="469"/>
      <c r="V378" s="469"/>
      <c r="W378" s="469"/>
    </row>
    <row r="379">
      <c r="A379" s="469"/>
      <c r="B379" s="496"/>
      <c r="C379" s="497"/>
      <c r="D379" s="469"/>
      <c r="E379" s="469"/>
      <c r="F379" s="469"/>
      <c r="G379" s="469"/>
      <c r="H379" s="469"/>
      <c r="I379" s="469"/>
      <c r="J379" s="469"/>
      <c r="K379" s="469"/>
      <c r="L379" s="469"/>
      <c r="M379" s="469"/>
      <c r="N379" s="469"/>
      <c r="O379" s="469"/>
      <c r="P379" s="469"/>
      <c r="Q379" s="469"/>
      <c r="R379" s="469"/>
      <c r="S379" s="469"/>
      <c r="T379" s="469"/>
      <c r="U379" s="469"/>
      <c r="V379" s="469"/>
      <c r="W379" s="469"/>
    </row>
    <row r="380">
      <c r="A380" s="469"/>
      <c r="B380" s="496"/>
      <c r="C380" s="497"/>
      <c r="D380" s="469"/>
      <c r="E380" s="469"/>
      <c r="F380" s="469"/>
      <c r="G380" s="469"/>
      <c r="H380" s="469"/>
      <c r="I380" s="469"/>
      <c r="J380" s="469"/>
      <c r="K380" s="469"/>
      <c r="L380" s="469"/>
      <c r="M380" s="469"/>
      <c r="N380" s="469"/>
      <c r="O380" s="469"/>
      <c r="P380" s="469"/>
      <c r="Q380" s="469"/>
      <c r="R380" s="469"/>
      <c r="S380" s="469"/>
      <c r="T380" s="469"/>
      <c r="U380" s="469"/>
      <c r="V380" s="469"/>
      <c r="W380" s="469"/>
    </row>
    <row r="381">
      <c r="A381" s="469"/>
      <c r="B381" s="496"/>
      <c r="C381" s="497"/>
      <c r="D381" s="469"/>
      <c r="E381" s="469"/>
      <c r="F381" s="469"/>
      <c r="G381" s="469"/>
      <c r="H381" s="469"/>
      <c r="I381" s="469"/>
      <c r="J381" s="469"/>
      <c r="K381" s="469"/>
      <c r="L381" s="469"/>
      <c r="M381" s="469"/>
      <c r="N381" s="469"/>
      <c r="O381" s="469"/>
      <c r="P381" s="469"/>
      <c r="Q381" s="469"/>
      <c r="R381" s="469"/>
      <c r="S381" s="469"/>
      <c r="T381" s="469"/>
      <c r="U381" s="469"/>
      <c r="V381" s="469"/>
      <c r="W381" s="469"/>
    </row>
    <row r="382">
      <c r="A382" s="469"/>
      <c r="B382" s="496"/>
      <c r="C382" s="497"/>
      <c r="D382" s="469"/>
      <c r="E382" s="469"/>
      <c r="F382" s="469"/>
      <c r="G382" s="469"/>
      <c r="H382" s="469"/>
      <c r="I382" s="469"/>
      <c r="J382" s="469"/>
      <c r="K382" s="469"/>
      <c r="L382" s="469"/>
      <c r="M382" s="469"/>
      <c r="N382" s="469"/>
      <c r="O382" s="469"/>
      <c r="P382" s="469"/>
      <c r="Q382" s="469"/>
      <c r="R382" s="469"/>
      <c r="S382" s="469"/>
      <c r="T382" s="469"/>
      <c r="U382" s="469"/>
      <c r="V382" s="469"/>
      <c r="W382" s="469"/>
    </row>
    <row r="383">
      <c r="A383" s="469"/>
      <c r="B383" s="496"/>
      <c r="C383" s="497"/>
      <c r="D383" s="469"/>
      <c r="E383" s="469"/>
      <c r="F383" s="469"/>
      <c r="G383" s="469"/>
      <c r="H383" s="469"/>
      <c r="I383" s="469"/>
      <c r="J383" s="469"/>
      <c r="K383" s="469"/>
      <c r="L383" s="469"/>
      <c r="M383" s="469"/>
      <c r="N383" s="469"/>
      <c r="O383" s="469"/>
      <c r="P383" s="469"/>
      <c r="Q383" s="469"/>
      <c r="R383" s="469"/>
      <c r="S383" s="469"/>
      <c r="T383" s="469"/>
      <c r="U383" s="469"/>
      <c r="V383" s="469"/>
      <c r="W383" s="469"/>
    </row>
    <row r="384">
      <c r="A384" s="469"/>
      <c r="B384" s="496"/>
      <c r="C384" s="497"/>
      <c r="D384" s="469"/>
      <c r="E384" s="469"/>
      <c r="F384" s="469"/>
      <c r="G384" s="469"/>
      <c r="H384" s="469"/>
      <c r="I384" s="469"/>
      <c r="J384" s="469"/>
      <c r="K384" s="469"/>
      <c r="L384" s="469"/>
      <c r="M384" s="469"/>
      <c r="N384" s="469"/>
      <c r="O384" s="469"/>
      <c r="P384" s="469"/>
      <c r="Q384" s="469"/>
      <c r="R384" s="469"/>
      <c r="S384" s="469"/>
      <c r="T384" s="469"/>
      <c r="U384" s="469"/>
      <c r="V384" s="469"/>
      <c r="W384" s="469"/>
    </row>
    <row r="385">
      <c r="A385" s="469"/>
      <c r="B385" s="496"/>
      <c r="C385" s="497"/>
      <c r="D385" s="469"/>
      <c r="E385" s="469"/>
      <c r="F385" s="469"/>
      <c r="G385" s="469"/>
      <c r="H385" s="469"/>
      <c r="I385" s="469"/>
      <c r="J385" s="469"/>
      <c r="K385" s="469"/>
      <c r="L385" s="469"/>
      <c r="M385" s="469"/>
      <c r="N385" s="469"/>
      <c r="O385" s="469"/>
      <c r="P385" s="469"/>
      <c r="Q385" s="469"/>
      <c r="R385" s="469"/>
      <c r="S385" s="469"/>
      <c r="T385" s="469"/>
      <c r="U385" s="469"/>
      <c r="V385" s="469"/>
      <c r="W385" s="469"/>
    </row>
    <row r="386">
      <c r="A386" s="469"/>
      <c r="B386" s="496"/>
      <c r="C386" s="497"/>
      <c r="D386" s="469"/>
      <c r="E386" s="469"/>
      <c r="F386" s="469"/>
      <c r="G386" s="469"/>
      <c r="H386" s="469"/>
      <c r="I386" s="469"/>
      <c r="J386" s="469"/>
      <c r="K386" s="469"/>
      <c r="L386" s="469"/>
      <c r="M386" s="469"/>
      <c r="N386" s="469"/>
      <c r="O386" s="469"/>
      <c r="P386" s="469"/>
      <c r="Q386" s="469"/>
      <c r="R386" s="469"/>
      <c r="S386" s="469"/>
      <c r="T386" s="469"/>
      <c r="U386" s="469"/>
      <c r="V386" s="469"/>
      <c r="W386" s="469"/>
    </row>
    <row r="387">
      <c r="A387" s="469"/>
      <c r="B387" s="496"/>
      <c r="C387" s="497"/>
      <c r="D387" s="469"/>
      <c r="E387" s="469"/>
      <c r="F387" s="469"/>
      <c r="G387" s="469"/>
      <c r="H387" s="469"/>
      <c r="I387" s="469"/>
      <c r="J387" s="469"/>
      <c r="K387" s="469"/>
      <c r="L387" s="469"/>
      <c r="M387" s="469"/>
      <c r="N387" s="469"/>
      <c r="O387" s="469"/>
      <c r="P387" s="469"/>
      <c r="Q387" s="469"/>
      <c r="R387" s="469"/>
      <c r="S387" s="469"/>
      <c r="T387" s="469"/>
      <c r="U387" s="469"/>
      <c r="V387" s="469"/>
      <c r="W387" s="469"/>
    </row>
    <row r="388">
      <c r="A388" s="469"/>
      <c r="B388" s="496"/>
      <c r="C388" s="497"/>
      <c r="D388" s="469"/>
      <c r="E388" s="469"/>
      <c r="F388" s="469"/>
      <c r="G388" s="469"/>
      <c r="H388" s="469"/>
      <c r="I388" s="469"/>
      <c r="J388" s="469"/>
      <c r="K388" s="469"/>
      <c r="L388" s="469"/>
      <c r="M388" s="469"/>
      <c r="N388" s="469"/>
      <c r="O388" s="469"/>
      <c r="P388" s="469"/>
      <c r="Q388" s="469"/>
      <c r="R388" s="469"/>
      <c r="S388" s="469"/>
      <c r="T388" s="469"/>
      <c r="U388" s="469"/>
      <c r="V388" s="469"/>
      <c r="W388" s="469"/>
    </row>
    <row r="389">
      <c r="A389" s="469"/>
      <c r="B389" s="496"/>
      <c r="C389" s="497"/>
      <c r="D389" s="469"/>
      <c r="E389" s="469"/>
      <c r="F389" s="469"/>
      <c r="G389" s="469"/>
      <c r="H389" s="469"/>
      <c r="I389" s="469"/>
      <c r="J389" s="469"/>
      <c r="K389" s="469"/>
      <c r="L389" s="469"/>
      <c r="M389" s="469"/>
      <c r="N389" s="469"/>
      <c r="O389" s="469"/>
      <c r="P389" s="469"/>
      <c r="Q389" s="469"/>
      <c r="R389" s="469"/>
      <c r="S389" s="469"/>
      <c r="T389" s="469"/>
      <c r="U389" s="469"/>
      <c r="V389" s="469"/>
      <c r="W389" s="469"/>
    </row>
    <row r="390">
      <c r="A390" s="469"/>
      <c r="B390" s="496"/>
      <c r="C390" s="497"/>
      <c r="D390" s="469"/>
      <c r="E390" s="469"/>
      <c r="F390" s="469"/>
      <c r="G390" s="469"/>
      <c r="H390" s="469"/>
      <c r="I390" s="469"/>
      <c r="J390" s="469"/>
      <c r="K390" s="469"/>
      <c r="L390" s="469"/>
      <c r="M390" s="469"/>
      <c r="N390" s="469"/>
      <c r="O390" s="469"/>
      <c r="P390" s="469"/>
      <c r="Q390" s="469"/>
      <c r="R390" s="469"/>
      <c r="S390" s="469"/>
      <c r="T390" s="469"/>
      <c r="U390" s="469"/>
      <c r="V390" s="469"/>
      <c r="W390" s="469"/>
    </row>
    <row r="391">
      <c r="A391" s="469"/>
      <c r="B391" s="496"/>
      <c r="C391" s="497"/>
      <c r="D391" s="469"/>
      <c r="E391" s="469"/>
      <c r="F391" s="469"/>
      <c r="G391" s="469"/>
      <c r="H391" s="469"/>
      <c r="I391" s="469"/>
      <c r="J391" s="469"/>
      <c r="K391" s="469"/>
      <c r="L391" s="469"/>
      <c r="M391" s="469"/>
      <c r="N391" s="469"/>
      <c r="O391" s="469"/>
      <c r="P391" s="469"/>
      <c r="Q391" s="469"/>
      <c r="R391" s="469"/>
      <c r="S391" s="469"/>
      <c r="T391" s="469"/>
      <c r="U391" s="469"/>
      <c r="V391" s="469"/>
      <c r="W391" s="469"/>
    </row>
    <row r="392">
      <c r="A392" s="469"/>
      <c r="B392" s="496"/>
      <c r="C392" s="497"/>
      <c r="D392" s="469"/>
      <c r="E392" s="469"/>
      <c r="F392" s="469"/>
      <c r="G392" s="469"/>
      <c r="H392" s="469"/>
      <c r="I392" s="469"/>
      <c r="J392" s="469"/>
      <c r="K392" s="469"/>
      <c r="L392" s="469"/>
      <c r="M392" s="469"/>
      <c r="N392" s="469"/>
      <c r="O392" s="469"/>
      <c r="P392" s="469"/>
      <c r="Q392" s="469"/>
      <c r="R392" s="469"/>
      <c r="S392" s="469"/>
      <c r="T392" s="469"/>
      <c r="U392" s="469"/>
      <c r="V392" s="469"/>
      <c r="W392" s="469"/>
    </row>
    <row r="393">
      <c r="A393" s="469"/>
      <c r="B393" s="496"/>
      <c r="C393" s="497"/>
      <c r="D393" s="469"/>
      <c r="E393" s="469"/>
      <c r="F393" s="469"/>
      <c r="G393" s="469"/>
      <c r="H393" s="469"/>
      <c r="I393" s="469"/>
      <c r="J393" s="469"/>
      <c r="K393" s="469"/>
      <c r="L393" s="469"/>
      <c r="M393" s="469"/>
      <c r="N393" s="469"/>
      <c r="O393" s="469"/>
      <c r="P393" s="469"/>
      <c r="Q393" s="469"/>
      <c r="R393" s="469"/>
      <c r="S393" s="469"/>
      <c r="T393" s="469"/>
      <c r="U393" s="469"/>
      <c r="V393" s="469"/>
      <c r="W393" s="469"/>
    </row>
    <row r="394">
      <c r="A394" s="469"/>
      <c r="B394" s="496"/>
      <c r="C394" s="497"/>
      <c r="D394" s="469"/>
      <c r="E394" s="469"/>
      <c r="F394" s="469"/>
      <c r="G394" s="469"/>
      <c r="H394" s="469"/>
      <c r="I394" s="469"/>
      <c r="J394" s="469"/>
      <c r="K394" s="469"/>
      <c r="L394" s="469"/>
      <c r="M394" s="469"/>
      <c r="N394" s="469"/>
      <c r="O394" s="469"/>
      <c r="P394" s="469"/>
      <c r="Q394" s="469"/>
      <c r="R394" s="469"/>
      <c r="S394" s="469"/>
      <c r="T394" s="469"/>
      <c r="U394" s="469"/>
      <c r="V394" s="469"/>
      <c r="W394" s="469"/>
    </row>
    <row r="395">
      <c r="A395" s="469"/>
      <c r="B395" s="496"/>
      <c r="C395" s="497"/>
      <c r="D395" s="469"/>
      <c r="E395" s="469"/>
      <c r="F395" s="469"/>
      <c r="G395" s="469"/>
      <c r="H395" s="469"/>
      <c r="I395" s="469"/>
      <c r="J395" s="469"/>
      <c r="K395" s="469"/>
      <c r="L395" s="469"/>
      <c r="M395" s="469"/>
      <c r="N395" s="469"/>
      <c r="O395" s="469"/>
      <c r="P395" s="469"/>
      <c r="Q395" s="469"/>
      <c r="R395" s="469"/>
      <c r="S395" s="469"/>
      <c r="T395" s="469"/>
      <c r="U395" s="469"/>
      <c r="V395" s="469"/>
      <c r="W395" s="469"/>
    </row>
    <row r="396">
      <c r="A396" s="469"/>
      <c r="B396" s="496"/>
      <c r="C396" s="497"/>
      <c r="D396" s="469"/>
      <c r="E396" s="469"/>
      <c r="F396" s="469"/>
      <c r="G396" s="469"/>
      <c r="H396" s="469"/>
      <c r="I396" s="469"/>
      <c r="J396" s="469"/>
      <c r="K396" s="469"/>
      <c r="L396" s="469"/>
      <c r="M396" s="469"/>
      <c r="N396" s="469"/>
      <c r="O396" s="469"/>
      <c r="P396" s="469"/>
      <c r="Q396" s="469"/>
      <c r="R396" s="469"/>
      <c r="S396" s="469"/>
      <c r="T396" s="469"/>
      <c r="U396" s="469"/>
      <c r="V396" s="469"/>
      <c r="W396" s="469"/>
    </row>
    <row r="397">
      <c r="A397" s="469"/>
      <c r="B397" s="496"/>
      <c r="C397" s="497"/>
      <c r="D397" s="469"/>
      <c r="E397" s="469"/>
      <c r="F397" s="469"/>
      <c r="G397" s="469"/>
      <c r="H397" s="469"/>
      <c r="I397" s="469"/>
      <c r="J397" s="469"/>
      <c r="K397" s="469"/>
      <c r="L397" s="469"/>
      <c r="M397" s="469"/>
      <c r="N397" s="469"/>
      <c r="O397" s="469"/>
      <c r="P397" s="469"/>
      <c r="Q397" s="469"/>
      <c r="R397" s="469"/>
      <c r="S397" s="469"/>
      <c r="T397" s="469"/>
      <c r="U397" s="469"/>
      <c r="V397" s="469"/>
      <c r="W397" s="469"/>
    </row>
    <row r="398">
      <c r="A398" s="469"/>
      <c r="B398" s="496"/>
      <c r="C398" s="497"/>
      <c r="D398" s="469"/>
      <c r="E398" s="469"/>
      <c r="F398" s="469"/>
      <c r="G398" s="469"/>
      <c r="H398" s="469"/>
      <c r="I398" s="469"/>
      <c r="J398" s="469"/>
      <c r="K398" s="469"/>
      <c r="L398" s="469"/>
      <c r="M398" s="469"/>
      <c r="N398" s="469"/>
      <c r="O398" s="469"/>
      <c r="P398" s="469"/>
      <c r="Q398" s="469"/>
      <c r="R398" s="469"/>
      <c r="S398" s="469"/>
      <c r="T398" s="469"/>
      <c r="U398" s="469"/>
      <c r="V398" s="469"/>
      <c r="W398" s="469"/>
    </row>
    <row r="399">
      <c r="A399" s="469"/>
      <c r="B399" s="496"/>
      <c r="C399" s="497"/>
      <c r="D399" s="469"/>
      <c r="E399" s="469"/>
      <c r="F399" s="469"/>
      <c r="G399" s="469"/>
      <c r="H399" s="469"/>
      <c r="I399" s="469"/>
      <c r="J399" s="469"/>
      <c r="K399" s="469"/>
      <c r="L399" s="469"/>
      <c r="M399" s="469"/>
      <c r="N399" s="469"/>
      <c r="O399" s="469"/>
      <c r="P399" s="469"/>
      <c r="Q399" s="469"/>
      <c r="R399" s="469"/>
      <c r="S399" s="469"/>
      <c r="T399" s="469"/>
      <c r="U399" s="469"/>
      <c r="V399" s="469"/>
      <c r="W399" s="469"/>
    </row>
    <row r="400">
      <c r="A400" s="469"/>
      <c r="B400" s="496"/>
      <c r="C400" s="497"/>
      <c r="D400" s="469"/>
      <c r="E400" s="469"/>
      <c r="F400" s="469"/>
      <c r="G400" s="469"/>
      <c r="H400" s="469"/>
      <c r="I400" s="469"/>
      <c r="J400" s="469"/>
      <c r="K400" s="469"/>
      <c r="L400" s="469"/>
      <c r="M400" s="469"/>
      <c r="N400" s="469"/>
      <c r="O400" s="469"/>
      <c r="P400" s="469"/>
      <c r="Q400" s="469"/>
      <c r="R400" s="469"/>
      <c r="S400" s="469"/>
      <c r="T400" s="469"/>
      <c r="U400" s="469"/>
      <c r="V400" s="469"/>
      <c r="W400" s="469"/>
    </row>
    <row r="401">
      <c r="A401" s="469"/>
      <c r="B401" s="496"/>
      <c r="C401" s="497"/>
      <c r="D401" s="469"/>
      <c r="E401" s="469"/>
      <c r="F401" s="469"/>
      <c r="G401" s="469"/>
      <c r="H401" s="469"/>
      <c r="I401" s="469"/>
      <c r="J401" s="469"/>
      <c r="K401" s="469"/>
      <c r="L401" s="469"/>
      <c r="M401" s="469"/>
      <c r="N401" s="469"/>
      <c r="O401" s="469"/>
      <c r="P401" s="469"/>
      <c r="Q401" s="469"/>
      <c r="R401" s="469"/>
      <c r="S401" s="469"/>
      <c r="T401" s="469"/>
      <c r="U401" s="469"/>
      <c r="V401" s="469"/>
      <c r="W401" s="469"/>
    </row>
    <row r="402">
      <c r="A402" s="469"/>
      <c r="B402" s="496"/>
      <c r="C402" s="497"/>
      <c r="D402" s="469"/>
      <c r="E402" s="469"/>
      <c r="F402" s="469"/>
      <c r="G402" s="469"/>
      <c r="H402" s="469"/>
      <c r="I402" s="469"/>
      <c r="J402" s="469"/>
      <c r="K402" s="469"/>
      <c r="L402" s="469"/>
      <c r="M402" s="469"/>
      <c r="N402" s="469"/>
      <c r="O402" s="469"/>
      <c r="P402" s="469"/>
      <c r="Q402" s="469"/>
      <c r="R402" s="469"/>
      <c r="S402" s="469"/>
      <c r="T402" s="469"/>
      <c r="U402" s="469"/>
      <c r="V402" s="469"/>
      <c r="W402" s="469"/>
    </row>
    <row r="403">
      <c r="A403" s="469"/>
      <c r="B403" s="496"/>
      <c r="C403" s="497"/>
      <c r="D403" s="469"/>
      <c r="E403" s="469"/>
      <c r="F403" s="469"/>
      <c r="G403" s="469"/>
      <c r="H403" s="469"/>
      <c r="I403" s="469"/>
      <c r="J403" s="469"/>
      <c r="K403" s="469"/>
      <c r="L403" s="469"/>
      <c r="M403" s="469"/>
      <c r="N403" s="469"/>
      <c r="O403" s="469"/>
      <c r="P403" s="469"/>
      <c r="Q403" s="469"/>
      <c r="R403" s="469"/>
      <c r="S403" s="469"/>
      <c r="T403" s="469"/>
      <c r="U403" s="469"/>
      <c r="V403" s="469"/>
      <c r="W403" s="469"/>
    </row>
    <row r="404">
      <c r="A404" s="469"/>
      <c r="B404" s="496"/>
      <c r="C404" s="497"/>
      <c r="D404" s="469"/>
      <c r="E404" s="469"/>
      <c r="F404" s="469"/>
      <c r="G404" s="469"/>
      <c r="H404" s="469"/>
      <c r="I404" s="469"/>
      <c r="J404" s="469"/>
      <c r="K404" s="469"/>
      <c r="L404" s="469"/>
      <c r="M404" s="469"/>
      <c r="N404" s="469"/>
      <c r="O404" s="469"/>
      <c r="P404" s="469"/>
      <c r="Q404" s="469"/>
      <c r="R404" s="469"/>
      <c r="S404" s="469"/>
      <c r="T404" s="469"/>
      <c r="U404" s="469"/>
      <c r="V404" s="469"/>
      <c r="W404" s="469"/>
    </row>
    <row r="405">
      <c r="A405" s="469"/>
      <c r="B405" s="496"/>
      <c r="C405" s="497"/>
      <c r="D405" s="469"/>
      <c r="E405" s="469"/>
      <c r="F405" s="469"/>
      <c r="G405" s="469"/>
      <c r="H405" s="469"/>
      <c r="I405" s="469"/>
      <c r="J405" s="469"/>
      <c r="K405" s="469"/>
      <c r="L405" s="469"/>
      <c r="M405" s="469"/>
      <c r="N405" s="469"/>
      <c r="O405" s="469"/>
      <c r="P405" s="469"/>
      <c r="Q405" s="469"/>
      <c r="R405" s="469"/>
      <c r="S405" s="469"/>
      <c r="T405" s="469"/>
      <c r="U405" s="469"/>
      <c r="V405" s="469"/>
      <c r="W405" s="469"/>
    </row>
    <row r="406">
      <c r="A406" s="469"/>
      <c r="B406" s="496"/>
      <c r="C406" s="497"/>
      <c r="D406" s="469"/>
      <c r="E406" s="469"/>
      <c r="F406" s="469"/>
      <c r="G406" s="469"/>
      <c r="H406" s="469"/>
      <c r="I406" s="469"/>
      <c r="J406" s="469"/>
      <c r="K406" s="469"/>
      <c r="L406" s="469"/>
      <c r="M406" s="469"/>
      <c r="N406" s="469"/>
      <c r="O406" s="469"/>
      <c r="P406" s="469"/>
      <c r="Q406" s="469"/>
      <c r="R406" s="469"/>
      <c r="S406" s="469"/>
      <c r="T406" s="469"/>
      <c r="U406" s="469"/>
      <c r="V406" s="469"/>
      <c r="W406" s="469"/>
    </row>
    <row r="407">
      <c r="A407" s="469"/>
      <c r="B407" s="496"/>
      <c r="C407" s="497"/>
      <c r="D407" s="469"/>
      <c r="E407" s="469"/>
      <c r="F407" s="469"/>
      <c r="G407" s="469"/>
      <c r="H407" s="469"/>
      <c r="I407" s="469"/>
      <c r="J407" s="469"/>
      <c r="K407" s="469"/>
      <c r="L407" s="469"/>
      <c r="M407" s="469"/>
      <c r="N407" s="469"/>
      <c r="O407" s="469"/>
      <c r="P407" s="469"/>
      <c r="Q407" s="469"/>
      <c r="R407" s="469"/>
      <c r="S407" s="469"/>
      <c r="T407" s="469"/>
      <c r="U407" s="469"/>
      <c r="V407" s="469"/>
      <c r="W407" s="469"/>
    </row>
    <row r="408">
      <c r="A408" s="469"/>
      <c r="B408" s="496"/>
      <c r="C408" s="497"/>
      <c r="D408" s="469"/>
      <c r="E408" s="469"/>
      <c r="F408" s="469"/>
      <c r="G408" s="469"/>
      <c r="H408" s="469"/>
      <c r="I408" s="469"/>
      <c r="J408" s="469"/>
      <c r="K408" s="469"/>
      <c r="L408" s="469"/>
      <c r="M408" s="469"/>
      <c r="N408" s="469"/>
      <c r="O408" s="469"/>
      <c r="P408" s="469"/>
      <c r="Q408" s="469"/>
      <c r="R408" s="469"/>
      <c r="S408" s="469"/>
      <c r="T408" s="469"/>
      <c r="U408" s="469"/>
      <c r="V408" s="469"/>
      <c r="W408" s="469"/>
    </row>
    <row r="409">
      <c r="A409" s="469"/>
      <c r="B409" s="496"/>
      <c r="C409" s="497"/>
      <c r="D409" s="469"/>
      <c r="E409" s="469"/>
      <c r="F409" s="469"/>
      <c r="G409" s="469"/>
      <c r="H409" s="469"/>
      <c r="I409" s="469"/>
      <c r="J409" s="469"/>
      <c r="K409" s="469"/>
      <c r="L409" s="469"/>
      <c r="M409" s="469"/>
      <c r="N409" s="469"/>
      <c r="O409" s="469"/>
      <c r="P409" s="469"/>
      <c r="Q409" s="469"/>
      <c r="R409" s="469"/>
      <c r="S409" s="469"/>
      <c r="T409" s="469"/>
      <c r="U409" s="469"/>
      <c r="V409" s="469"/>
      <c r="W409" s="469"/>
    </row>
    <row r="410">
      <c r="A410" s="469"/>
      <c r="B410" s="496"/>
      <c r="C410" s="497"/>
      <c r="D410" s="469"/>
      <c r="E410" s="469"/>
      <c r="F410" s="469"/>
      <c r="G410" s="469"/>
      <c r="H410" s="469"/>
      <c r="I410" s="469"/>
      <c r="J410" s="469"/>
      <c r="K410" s="469"/>
      <c r="L410" s="469"/>
      <c r="M410" s="469"/>
      <c r="N410" s="469"/>
      <c r="O410" s="469"/>
      <c r="P410" s="469"/>
      <c r="Q410" s="469"/>
      <c r="R410" s="469"/>
      <c r="S410" s="469"/>
      <c r="T410" s="469"/>
      <c r="U410" s="469"/>
      <c r="V410" s="469"/>
      <c r="W410" s="469"/>
    </row>
    <row r="411">
      <c r="A411" s="469"/>
      <c r="B411" s="496"/>
      <c r="C411" s="497"/>
      <c r="D411" s="469"/>
      <c r="E411" s="469"/>
      <c r="F411" s="469"/>
      <c r="G411" s="469"/>
      <c r="H411" s="469"/>
      <c r="I411" s="469"/>
      <c r="J411" s="469"/>
      <c r="K411" s="469"/>
      <c r="L411" s="469"/>
      <c r="M411" s="469"/>
      <c r="N411" s="469"/>
      <c r="O411" s="469"/>
      <c r="P411" s="469"/>
      <c r="Q411" s="469"/>
      <c r="R411" s="469"/>
      <c r="S411" s="469"/>
      <c r="T411" s="469"/>
      <c r="U411" s="469"/>
      <c r="V411" s="469"/>
      <c r="W411" s="469"/>
    </row>
    <row r="412">
      <c r="A412" s="469"/>
      <c r="B412" s="496"/>
      <c r="C412" s="497"/>
      <c r="D412" s="469"/>
      <c r="E412" s="469"/>
      <c r="F412" s="469"/>
      <c r="G412" s="469"/>
      <c r="H412" s="469"/>
      <c r="I412" s="469"/>
      <c r="J412" s="469"/>
      <c r="K412" s="469"/>
      <c r="L412" s="469"/>
      <c r="M412" s="469"/>
      <c r="N412" s="469"/>
      <c r="O412" s="469"/>
      <c r="P412" s="469"/>
      <c r="Q412" s="469"/>
      <c r="R412" s="469"/>
      <c r="S412" s="469"/>
      <c r="T412" s="469"/>
      <c r="U412" s="469"/>
      <c r="V412" s="469"/>
      <c r="W412" s="469"/>
    </row>
    <row r="413">
      <c r="A413" s="469"/>
      <c r="B413" s="496"/>
      <c r="C413" s="497"/>
      <c r="D413" s="469"/>
      <c r="E413" s="469"/>
      <c r="F413" s="469"/>
      <c r="G413" s="469"/>
      <c r="H413" s="469"/>
      <c r="I413" s="469"/>
      <c r="J413" s="469"/>
      <c r="K413" s="469"/>
      <c r="L413" s="469"/>
      <c r="M413" s="469"/>
      <c r="N413" s="469"/>
      <c r="O413" s="469"/>
      <c r="P413" s="469"/>
      <c r="Q413" s="469"/>
      <c r="R413" s="469"/>
      <c r="S413" s="469"/>
      <c r="T413" s="469"/>
      <c r="U413" s="469"/>
      <c r="V413" s="469"/>
      <c r="W413" s="469"/>
    </row>
    <row r="414">
      <c r="A414" s="469"/>
      <c r="B414" s="496"/>
      <c r="C414" s="497"/>
      <c r="D414" s="469"/>
      <c r="E414" s="469"/>
      <c r="F414" s="469"/>
      <c r="G414" s="469"/>
      <c r="H414" s="469"/>
      <c r="I414" s="469"/>
      <c r="J414" s="469"/>
      <c r="K414" s="469"/>
      <c r="L414" s="469"/>
      <c r="M414" s="469"/>
      <c r="N414" s="469"/>
      <c r="O414" s="469"/>
      <c r="P414" s="469"/>
      <c r="Q414" s="469"/>
      <c r="R414" s="469"/>
      <c r="S414" s="469"/>
      <c r="T414" s="469"/>
      <c r="U414" s="469"/>
      <c r="V414" s="469"/>
      <c r="W414" s="469"/>
    </row>
    <row r="415">
      <c r="A415" s="469"/>
      <c r="B415" s="496"/>
      <c r="C415" s="497"/>
      <c r="D415" s="469"/>
      <c r="E415" s="469"/>
      <c r="F415" s="469"/>
      <c r="G415" s="469"/>
      <c r="H415" s="469"/>
      <c r="I415" s="469"/>
      <c r="J415" s="469"/>
      <c r="K415" s="469"/>
      <c r="L415" s="469"/>
      <c r="M415" s="469"/>
      <c r="N415" s="469"/>
      <c r="O415" s="469"/>
      <c r="P415" s="469"/>
      <c r="Q415" s="469"/>
      <c r="R415" s="469"/>
      <c r="S415" s="469"/>
      <c r="T415" s="469"/>
      <c r="U415" s="469"/>
      <c r="V415" s="469"/>
      <c r="W415" s="469"/>
    </row>
    <row r="416">
      <c r="A416" s="469"/>
      <c r="B416" s="496"/>
      <c r="C416" s="497"/>
      <c r="D416" s="469"/>
      <c r="E416" s="469"/>
      <c r="F416" s="469"/>
      <c r="G416" s="469"/>
      <c r="H416" s="469"/>
      <c r="I416" s="469"/>
      <c r="J416" s="469"/>
      <c r="K416" s="469"/>
      <c r="L416" s="469"/>
      <c r="M416" s="469"/>
      <c r="N416" s="469"/>
      <c r="O416" s="469"/>
      <c r="P416" s="469"/>
      <c r="Q416" s="469"/>
      <c r="R416" s="469"/>
      <c r="S416" s="469"/>
      <c r="T416" s="469"/>
      <c r="U416" s="469"/>
      <c r="V416" s="469"/>
      <c r="W416" s="469"/>
    </row>
    <row r="417">
      <c r="A417" s="469"/>
      <c r="B417" s="496"/>
      <c r="C417" s="497"/>
      <c r="D417" s="469"/>
      <c r="E417" s="469"/>
      <c r="F417" s="469"/>
      <c r="G417" s="469"/>
      <c r="H417" s="469"/>
      <c r="I417" s="469"/>
      <c r="J417" s="469"/>
      <c r="K417" s="469"/>
      <c r="L417" s="469"/>
      <c r="M417" s="469"/>
      <c r="N417" s="469"/>
      <c r="O417" s="469"/>
      <c r="P417" s="469"/>
      <c r="Q417" s="469"/>
      <c r="R417" s="469"/>
      <c r="S417" s="469"/>
      <c r="T417" s="469"/>
      <c r="U417" s="469"/>
      <c r="V417" s="469"/>
      <c r="W417" s="469"/>
    </row>
    <row r="418">
      <c r="A418" s="469"/>
      <c r="B418" s="496"/>
      <c r="C418" s="497"/>
      <c r="D418" s="469"/>
      <c r="E418" s="469"/>
      <c r="F418" s="469"/>
      <c r="G418" s="469"/>
      <c r="H418" s="469"/>
      <c r="I418" s="469"/>
      <c r="J418" s="469"/>
      <c r="K418" s="469"/>
      <c r="L418" s="469"/>
      <c r="M418" s="469"/>
      <c r="N418" s="469"/>
      <c r="O418" s="469"/>
      <c r="P418" s="469"/>
      <c r="Q418" s="469"/>
      <c r="R418" s="469"/>
      <c r="S418" s="469"/>
      <c r="T418" s="469"/>
      <c r="U418" s="469"/>
      <c r="V418" s="469"/>
      <c r="W418" s="469"/>
    </row>
    <row r="419">
      <c r="A419" s="469"/>
      <c r="B419" s="496"/>
      <c r="C419" s="497"/>
      <c r="D419" s="469"/>
      <c r="E419" s="469"/>
      <c r="F419" s="469"/>
      <c r="G419" s="469"/>
      <c r="H419" s="469"/>
      <c r="I419" s="469"/>
      <c r="J419" s="469"/>
      <c r="K419" s="469"/>
      <c r="L419" s="469"/>
      <c r="M419" s="469"/>
      <c r="N419" s="469"/>
      <c r="O419" s="469"/>
      <c r="P419" s="469"/>
      <c r="Q419" s="469"/>
      <c r="R419" s="469"/>
      <c r="S419" s="469"/>
      <c r="T419" s="469"/>
      <c r="U419" s="469"/>
      <c r="V419" s="469"/>
      <c r="W419" s="469"/>
    </row>
    <row r="420">
      <c r="A420" s="469"/>
      <c r="B420" s="496"/>
      <c r="C420" s="497"/>
      <c r="D420" s="469"/>
      <c r="E420" s="469"/>
      <c r="F420" s="469"/>
      <c r="G420" s="469"/>
      <c r="H420" s="469"/>
      <c r="I420" s="469"/>
      <c r="J420" s="469"/>
      <c r="K420" s="469"/>
      <c r="L420" s="469"/>
      <c r="M420" s="469"/>
      <c r="N420" s="469"/>
      <c r="O420" s="469"/>
      <c r="P420" s="469"/>
      <c r="Q420" s="469"/>
      <c r="R420" s="469"/>
      <c r="S420" s="469"/>
      <c r="T420" s="469"/>
      <c r="U420" s="469"/>
      <c r="V420" s="469"/>
      <c r="W420" s="469"/>
    </row>
    <row r="421">
      <c r="A421" s="469"/>
      <c r="B421" s="496"/>
      <c r="C421" s="497"/>
      <c r="D421" s="469"/>
      <c r="E421" s="469"/>
      <c r="F421" s="469"/>
      <c r="G421" s="469"/>
      <c r="H421" s="469"/>
      <c r="I421" s="469"/>
      <c r="J421" s="469"/>
      <c r="K421" s="469"/>
      <c r="L421" s="469"/>
      <c r="M421" s="469"/>
      <c r="N421" s="469"/>
      <c r="O421" s="469"/>
      <c r="P421" s="469"/>
      <c r="Q421" s="469"/>
      <c r="R421" s="469"/>
      <c r="S421" s="469"/>
      <c r="T421" s="469"/>
      <c r="U421" s="469"/>
      <c r="V421" s="469"/>
      <c r="W421" s="469"/>
    </row>
    <row r="422">
      <c r="A422" s="469"/>
      <c r="B422" s="496"/>
      <c r="C422" s="497"/>
      <c r="D422" s="469"/>
      <c r="E422" s="469"/>
      <c r="F422" s="469"/>
      <c r="G422" s="469"/>
      <c r="H422" s="469"/>
      <c r="I422" s="469"/>
      <c r="J422" s="469"/>
      <c r="K422" s="469"/>
      <c r="L422" s="469"/>
      <c r="M422" s="469"/>
      <c r="N422" s="469"/>
      <c r="O422" s="469"/>
      <c r="P422" s="469"/>
      <c r="Q422" s="469"/>
      <c r="R422" s="469"/>
      <c r="S422" s="469"/>
      <c r="T422" s="469"/>
      <c r="U422" s="469"/>
      <c r="V422" s="469"/>
      <c r="W422" s="469"/>
    </row>
    <row r="423">
      <c r="A423" s="469"/>
      <c r="B423" s="496"/>
      <c r="C423" s="497"/>
      <c r="D423" s="469"/>
      <c r="E423" s="469"/>
      <c r="F423" s="469"/>
      <c r="G423" s="469"/>
      <c r="H423" s="469"/>
      <c r="I423" s="469"/>
      <c r="J423" s="469"/>
      <c r="K423" s="469"/>
      <c r="L423" s="469"/>
      <c r="M423" s="469"/>
      <c r="N423" s="469"/>
      <c r="O423" s="469"/>
      <c r="P423" s="469"/>
      <c r="Q423" s="469"/>
      <c r="R423" s="469"/>
      <c r="S423" s="469"/>
      <c r="T423" s="469"/>
      <c r="U423" s="469"/>
      <c r="V423" s="469"/>
      <c r="W423" s="469"/>
    </row>
    <row r="424">
      <c r="A424" s="469"/>
      <c r="B424" s="496"/>
      <c r="C424" s="497"/>
      <c r="D424" s="469"/>
      <c r="E424" s="469"/>
      <c r="F424" s="469"/>
      <c r="G424" s="469"/>
      <c r="H424" s="469"/>
      <c r="I424" s="469"/>
      <c r="J424" s="469"/>
      <c r="K424" s="469"/>
      <c r="L424" s="469"/>
      <c r="M424" s="469"/>
      <c r="N424" s="469"/>
      <c r="O424" s="469"/>
      <c r="P424" s="469"/>
      <c r="Q424" s="469"/>
      <c r="R424" s="469"/>
      <c r="S424" s="469"/>
      <c r="T424" s="469"/>
      <c r="U424" s="469"/>
      <c r="V424" s="469"/>
      <c r="W424" s="469"/>
    </row>
    <row r="425">
      <c r="A425" s="469"/>
      <c r="B425" s="496"/>
      <c r="C425" s="497"/>
      <c r="D425" s="469"/>
      <c r="E425" s="469"/>
      <c r="F425" s="469"/>
      <c r="G425" s="469"/>
      <c r="H425" s="469"/>
      <c r="I425" s="469"/>
      <c r="J425" s="469"/>
      <c r="K425" s="469"/>
      <c r="L425" s="469"/>
      <c r="M425" s="469"/>
      <c r="N425" s="469"/>
      <c r="O425" s="469"/>
      <c r="P425" s="469"/>
      <c r="Q425" s="469"/>
      <c r="R425" s="469"/>
      <c r="S425" s="469"/>
      <c r="T425" s="469"/>
      <c r="U425" s="469"/>
      <c r="V425" s="469"/>
      <c r="W425" s="469"/>
    </row>
    <row r="426">
      <c r="A426" s="469"/>
      <c r="B426" s="496"/>
      <c r="C426" s="497"/>
      <c r="D426" s="469"/>
      <c r="E426" s="469"/>
      <c r="F426" s="469"/>
      <c r="G426" s="469"/>
      <c r="H426" s="469"/>
      <c r="I426" s="469"/>
      <c r="J426" s="469"/>
      <c r="K426" s="469"/>
      <c r="L426" s="469"/>
      <c r="M426" s="469"/>
      <c r="N426" s="469"/>
      <c r="O426" s="469"/>
      <c r="P426" s="469"/>
      <c r="Q426" s="469"/>
      <c r="R426" s="469"/>
      <c r="S426" s="469"/>
      <c r="T426" s="469"/>
      <c r="U426" s="469"/>
      <c r="V426" s="469"/>
      <c r="W426" s="469"/>
    </row>
    <row r="427">
      <c r="A427" s="469"/>
      <c r="B427" s="496"/>
      <c r="C427" s="497"/>
      <c r="D427" s="469"/>
      <c r="E427" s="469"/>
      <c r="F427" s="469"/>
      <c r="G427" s="469"/>
      <c r="H427" s="469"/>
      <c r="I427" s="469"/>
      <c r="J427" s="469"/>
      <c r="K427" s="469"/>
      <c r="L427" s="469"/>
      <c r="M427" s="469"/>
      <c r="N427" s="469"/>
      <c r="O427" s="469"/>
      <c r="P427" s="469"/>
      <c r="Q427" s="469"/>
      <c r="R427" s="469"/>
      <c r="S427" s="469"/>
      <c r="T427" s="469"/>
      <c r="U427" s="469"/>
      <c r="V427" s="469"/>
      <c r="W427" s="469"/>
    </row>
    <row r="428">
      <c r="A428" s="469"/>
      <c r="B428" s="496"/>
      <c r="C428" s="497"/>
      <c r="D428" s="469"/>
      <c r="E428" s="469"/>
      <c r="F428" s="469"/>
      <c r="G428" s="469"/>
      <c r="H428" s="469"/>
      <c r="I428" s="469"/>
      <c r="J428" s="469"/>
      <c r="K428" s="469"/>
      <c r="L428" s="469"/>
      <c r="M428" s="469"/>
      <c r="N428" s="469"/>
      <c r="O428" s="469"/>
      <c r="P428" s="469"/>
      <c r="Q428" s="469"/>
      <c r="R428" s="469"/>
      <c r="S428" s="469"/>
      <c r="T428" s="469"/>
      <c r="U428" s="469"/>
      <c r="V428" s="469"/>
      <c r="W428" s="469"/>
    </row>
    <row r="429">
      <c r="A429" s="469"/>
      <c r="B429" s="496"/>
      <c r="C429" s="497"/>
      <c r="D429" s="469"/>
      <c r="E429" s="469"/>
      <c r="F429" s="469"/>
      <c r="G429" s="469"/>
      <c r="H429" s="469"/>
      <c r="I429" s="469"/>
      <c r="J429" s="469"/>
      <c r="K429" s="469"/>
      <c r="L429" s="469"/>
      <c r="M429" s="469"/>
      <c r="N429" s="469"/>
      <c r="O429" s="469"/>
      <c r="P429" s="469"/>
      <c r="Q429" s="469"/>
      <c r="R429" s="469"/>
      <c r="S429" s="469"/>
      <c r="T429" s="469"/>
      <c r="U429" s="469"/>
      <c r="V429" s="469"/>
      <c r="W429" s="469"/>
    </row>
    <row r="430">
      <c r="A430" s="469"/>
      <c r="B430" s="496"/>
      <c r="C430" s="497"/>
      <c r="D430" s="469"/>
      <c r="E430" s="469"/>
      <c r="F430" s="469"/>
      <c r="G430" s="469"/>
      <c r="H430" s="469"/>
      <c r="I430" s="469"/>
      <c r="J430" s="469"/>
      <c r="K430" s="469"/>
      <c r="L430" s="469"/>
      <c r="M430" s="469"/>
      <c r="N430" s="469"/>
      <c r="O430" s="469"/>
      <c r="P430" s="469"/>
      <c r="Q430" s="469"/>
      <c r="R430" s="469"/>
      <c r="S430" s="469"/>
      <c r="T430" s="469"/>
      <c r="U430" s="469"/>
      <c r="V430" s="469"/>
      <c r="W430" s="469"/>
    </row>
    <row r="431">
      <c r="A431" s="469"/>
      <c r="B431" s="496"/>
      <c r="C431" s="497"/>
      <c r="D431" s="469"/>
      <c r="E431" s="469"/>
      <c r="F431" s="469"/>
      <c r="G431" s="469"/>
      <c r="H431" s="469"/>
      <c r="I431" s="469"/>
      <c r="J431" s="469"/>
      <c r="K431" s="469"/>
      <c r="L431" s="469"/>
      <c r="M431" s="469"/>
      <c r="N431" s="469"/>
      <c r="O431" s="469"/>
      <c r="P431" s="469"/>
      <c r="Q431" s="469"/>
      <c r="R431" s="469"/>
      <c r="S431" s="469"/>
      <c r="T431" s="469"/>
      <c r="U431" s="469"/>
      <c r="V431" s="469"/>
      <c r="W431" s="469"/>
    </row>
    <row r="432">
      <c r="A432" s="469"/>
      <c r="B432" s="496"/>
      <c r="C432" s="497"/>
      <c r="D432" s="469"/>
      <c r="E432" s="469"/>
      <c r="F432" s="469"/>
      <c r="G432" s="469"/>
      <c r="H432" s="469"/>
      <c r="I432" s="469"/>
      <c r="J432" s="469"/>
      <c r="K432" s="469"/>
      <c r="L432" s="469"/>
      <c r="M432" s="469"/>
      <c r="N432" s="469"/>
      <c r="O432" s="469"/>
      <c r="P432" s="469"/>
      <c r="Q432" s="469"/>
      <c r="R432" s="469"/>
      <c r="S432" s="469"/>
      <c r="T432" s="469"/>
      <c r="U432" s="469"/>
      <c r="V432" s="469"/>
      <c r="W432" s="469"/>
    </row>
    <row r="433">
      <c r="A433" s="469"/>
      <c r="B433" s="496"/>
      <c r="C433" s="497"/>
      <c r="D433" s="469"/>
      <c r="E433" s="469"/>
      <c r="F433" s="469"/>
      <c r="G433" s="469"/>
      <c r="H433" s="469"/>
      <c r="I433" s="469"/>
      <c r="J433" s="469"/>
      <c r="K433" s="469"/>
      <c r="L433" s="469"/>
      <c r="M433" s="469"/>
      <c r="N433" s="469"/>
      <c r="O433" s="469"/>
      <c r="P433" s="469"/>
      <c r="Q433" s="469"/>
      <c r="R433" s="469"/>
      <c r="S433" s="469"/>
      <c r="T433" s="469"/>
      <c r="U433" s="469"/>
      <c r="V433" s="469"/>
      <c r="W433" s="469"/>
    </row>
    <row r="434">
      <c r="A434" s="469"/>
      <c r="B434" s="496"/>
      <c r="C434" s="497"/>
      <c r="D434" s="469"/>
      <c r="E434" s="469"/>
      <c r="F434" s="469"/>
      <c r="G434" s="469"/>
      <c r="H434" s="469"/>
      <c r="I434" s="469"/>
      <c r="J434" s="469"/>
      <c r="K434" s="469"/>
      <c r="L434" s="469"/>
      <c r="M434" s="469"/>
      <c r="N434" s="469"/>
      <c r="O434" s="469"/>
      <c r="P434" s="469"/>
      <c r="Q434" s="469"/>
      <c r="R434" s="469"/>
      <c r="S434" s="469"/>
      <c r="T434" s="469"/>
      <c r="U434" s="469"/>
      <c r="V434" s="469"/>
      <c r="W434" s="469"/>
    </row>
    <row r="435">
      <c r="A435" s="469"/>
      <c r="B435" s="496"/>
      <c r="C435" s="497"/>
      <c r="D435" s="469"/>
      <c r="E435" s="469"/>
      <c r="F435" s="469"/>
      <c r="G435" s="469"/>
      <c r="H435" s="469"/>
      <c r="I435" s="469"/>
      <c r="J435" s="469"/>
      <c r="K435" s="469"/>
      <c r="L435" s="469"/>
      <c r="M435" s="469"/>
      <c r="N435" s="469"/>
      <c r="O435" s="469"/>
      <c r="P435" s="469"/>
      <c r="Q435" s="469"/>
      <c r="R435" s="469"/>
      <c r="S435" s="469"/>
      <c r="T435" s="469"/>
      <c r="U435" s="469"/>
      <c r="V435" s="469"/>
      <c r="W435" s="469"/>
    </row>
    <row r="436">
      <c r="A436" s="469"/>
      <c r="B436" s="496"/>
      <c r="C436" s="497"/>
      <c r="D436" s="469"/>
      <c r="E436" s="469"/>
      <c r="F436" s="469"/>
      <c r="G436" s="469"/>
      <c r="H436" s="469"/>
      <c r="I436" s="469"/>
      <c r="J436" s="469"/>
      <c r="K436" s="469"/>
      <c r="L436" s="469"/>
      <c r="M436" s="469"/>
      <c r="N436" s="469"/>
      <c r="O436" s="469"/>
      <c r="P436" s="469"/>
      <c r="Q436" s="469"/>
      <c r="R436" s="469"/>
      <c r="S436" s="469"/>
      <c r="T436" s="469"/>
      <c r="U436" s="469"/>
      <c r="V436" s="469"/>
      <c r="W436" s="469"/>
    </row>
    <row r="437">
      <c r="A437" s="469"/>
      <c r="B437" s="496"/>
      <c r="C437" s="497"/>
      <c r="D437" s="469"/>
      <c r="E437" s="469"/>
      <c r="F437" s="469"/>
      <c r="G437" s="469"/>
      <c r="H437" s="469"/>
      <c r="I437" s="469"/>
      <c r="J437" s="469"/>
      <c r="K437" s="469"/>
      <c r="L437" s="469"/>
      <c r="M437" s="469"/>
      <c r="N437" s="469"/>
      <c r="O437" s="469"/>
      <c r="P437" s="469"/>
      <c r="Q437" s="469"/>
      <c r="R437" s="469"/>
      <c r="S437" s="469"/>
      <c r="T437" s="469"/>
      <c r="U437" s="469"/>
      <c r="V437" s="469"/>
      <c r="W437" s="469"/>
    </row>
    <row r="438">
      <c r="A438" s="469"/>
      <c r="B438" s="496"/>
      <c r="C438" s="497"/>
      <c r="D438" s="469"/>
      <c r="E438" s="469"/>
      <c r="F438" s="469"/>
      <c r="G438" s="469"/>
      <c r="H438" s="469"/>
      <c r="I438" s="469"/>
      <c r="J438" s="469"/>
      <c r="K438" s="469"/>
      <c r="L438" s="469"/>
      <c r="M438" s="469"/>
      <c r="N438" s="469"/>
      <c r="O438" s="469"/>
      <c r="P438" s="469"/>
      <c r="Q438" s="469"/>
      <c r="R438" s="469"/>
      <c r="S438" s="469"/>
      <c r="T438" s="469"/>
      <c r="U438" s="469"/>
      <c r="V438" s="469"/>
      <c r="W438" s="469"/>
    </row>
    <row r="439">
      <c r="A439" s="469"/>
      <c r="B439" s="496"/>
      <c r="C439" s="497"/>
      <c r="D439" s="469"/>
      <c r="E439" s="469"/>
      <c r="F439" s="469"/>
      <c r="G439" s="469"/>
      <c r="H439" s="469"/>
      <c r="I439" s="469"/>
      <c r="J439" s="469"/>
      <c r="K439" s="469"/>
      <c r="L439" s="469"/>
      <c r="M439" s="469"/>
      <c r="N439" s="469"/>
      <c r="O439" s="469"/>
      <c r="P439" s="469"/>
      <c r="Q439" s="469"/>
      <c r="R439" s="469"/>
      <c r="S439" s="469"/>
      <c r="T439" s="469"/>
      <c r="U439" s="469"/>
      <c r="V439" s="469"/>
      <c r="W439" s="469"/>
    </row>
    <row r="440">
      <c r="A440" s="469"/>
      <c r="B440" s="496"/>
      <c r="C440" s="497"/>
      <c r="D440" s="469"/>
      <c r="E440" s="469"/>
      <c r="F440" s="469"/>
      <c r="G440" s="469"/>
      <c r="H440" s="469"/>
      <c r="I440" s="469"/>
      <c r="J440" s="469"/>
      <c r="K440" s="469"/>
      <c r="L440" s="469"/>
      <c r="M440" s="469"/>
      <c r="N440" s="469"/>
      <c r="O440" s="469"/>
      <c r="P440" s="469"/>
      <c r="Q440" s="469"/>
      <c r="R440" s="469"/>
      <c r="S440" s="469"/>
      <c r="T440" s="469"/>
      <c r="U440" s="469"/>
      <c r="V440" s="469"/>
      <c r="W440" s="469"/>
    </row>
    <row r="441">
      <c r="A441" s="469"/>
      <c r="B441" s="496"/>
      <c r="C441" s="497"/>
      <c r="D441" s="469"/>
      <c r="E441" s="469"/>
      <c r="F441" s="469"/>
      <c r="G441" s="469"/>
      <c r="H441" s="469"/>
      <c r="I441" s="469"/>
      <c r="J441" s="469"/>
      <c r="K441" s="469"/>
      <c r="L441" s="469"/>
      <c r="M441" s="469"/>
      <c r="N441" s="469"/>
      <c r="O441" s="469"/>
      <c r="P441" s="469"/>
      <c r="Q441" s="469"/>
      <c r="R441" s="469"/>
      <c r="S441" s="469"/>
      <c r="T441" s="469"/>
      <c r="U441" s="469"/>
      <c r="V441" s="469"/>
      <c r="W441" s="469"/>
    </row>
    <row r="442">
      <c r="A442" s="469"/>
      <c r="B442" s="496"/>
      <c r="C442" s="497"/>
      <c r="D442" s="469"/>
      <c r="E442" s="469"/>
      <c r="F442" s="469"/>
      <c r="G442" s="469"/>
      <c r="H442" s="469"/>
      <c r="I442" s="469"/>
      <c r="J442" s="469"/>
      <c r="K442" s="469"/>
      <c r="L442" s="469"/>
      <c r="M442" s="469"/>
      <c r="N442" s="469"/>
      <c r="O442" s="469"/>
      <c r="P442" s="469"/>
      <c r="Q442" s="469"/>
      <c r="R442" s="469"/>
      <c r="S442" s="469"/>
      <c r="T442" s="469"/>
      <c r="U442" s="469"/>
      <c r="V442" s="469"/>
      <c r="W442" s="469"/>
    </row>
    <row r="443">
      <c r="A443" s="469"/>
      <c r="B443" s="496"/>
      <c r="C443" s="497"/>
      <c r="D443" s="469"/>
      <c r="E443" s="469"/>
      <c r="F443" s="469"/>
      <c r="G443" s="469"/>
      <c r="H443" s="469"/>
      <c r="I443" s="469"/>
      <c r="J443" s="469"/>
      <c r="K443" s="469"/>
      <c r="L443" s="469"/>
      <c r="M443" s="469"/>
      <c r="N443" s="469"/>
      <c r="O443" s="469"/>
      <c r="P443" s="469"/>
      <c r="Q443" s="469"/>
      <c r="R443" s="469"/>
      <c r="S443" s="469"/>
      <c r="T443" s="469"/>
      <c r="U443" s="469"/>
      <c r="V443" s="469"/>
      <c r="W443" s="469"/>
    </row>
    <row r="444">
      <c r="A444" s="469"/>
      <c r="B444" s="496"/>
      <c r="C444" s="497"/>
      <c r="D444" s="469"/>
      <c r="E444" s="469"/>
      <c r="F444" s="469"/>
      <c r="G444" s="469"/>
      <c r="H444" s="469"/>
      <c r="I444" s="469"/>
      <c r="J444" s="469"/>
      <c r="K444" s="469"/>
      <c r="L444" s="469"/>
      <c r="M444" s="469"/>
      <c r="N444" s="469"/>
      <c r="O444" s="469"/>
      <c r="P444" s="469"/>
      <c r="Q444" s="469"/>
      <c r="R444" s="469"/>
      <c r="S444" s="469"/>
      <c r="T444" s="469"/>
      <c r="U444" s="469"/>
      <c r="V444" s="469"/>
      <c r="W444" s="469"/>
    </row>
    <row r="445">
      <c r="A445" s="469"/>
      <c r="B445" s="496"/>
      <c r="C445" s="497"/>
      <c r="D445" s="469"/>
      <c r="E445" s="469"/>
      <c r="F445" s="469"/>
      <c r="G445" s="469"/>
      <c r="H445" s="469"/>
      <c r="I445" s="469"/>
      <c r="J445" s="469"/>
      <c r="K445" s="469"/>
      <c r="L445" s="469"/>
      <c r="M445" s="469"/>
      <c r="N445" s="469"/>
      <c r="O445" s="469"/>
      <c r="P445" s="469"/>
      <c r="Q445" s="469"/>
      <c r="R445" s="469"/>
      <c r="S445" s="469"/>
      <c r="T445" s="469"/>
      <c r="U445" s="469"/>
      <c r="V445" s="469"/>
      <c r="W445" s="469"/>
    </row>
    <row r="446">
      <c r="A446" s="469"/>
      <c r="B446" s="496"/>
      <c r="C446" s="497"/>
      <c r="D446" s="469"/>
      <c r="E446" s="469"/>
      <c r="F446" s="469"/>
      <c r="G446" s="469"/>
      <c r="H446" s="469"/>
      <c r="I446" s="469"/>
      <c r="J446" s="469"/>
      <c r="K446" s="469"/>
      <c r="L446" s="469"/>
      <c r="M446" s="469"/>
      <c r="N446" s="469"/>
      <c r="O446" s="469"/>
      <c r="P446" s="469"/>
      <c r="Q446" s="469"/>
      <c r="R446" s="469"/>
      <c r="S446" s="469"/>
      <c r="T446" s="469"/>
      <c r="U446" s="469"/>
      <c r="V446" s="469"/>
      <c r="W446" s="469"/>
    </row>
    <row r="447">
      <c r="A447" s="469"/>
      <c r="B447" s="496"/>
      <c r="C447" s="497"/>
      <c r="D447" s="469"/>
      <c r="E447" s="469"/>
      <c r="F447" s="469"/>
      <c r="G447" s="469"/>
      <c r="H447" s="469"/>
      <c r="I447" s="469"/>
      <c r="J447" s="469"/>
      <c r="K447" s="469"/>
      <c r="L447" s="469"/>
      <c r="M447" s="469"/>
      <c r="N447" s="469"/>
      <c r="O447" s="469"/>
      <c r="P447" s="469"/>
      <c r="Q447" s="469"/>
      <c r="R447" s="469"/>
      <c r="S447" s="469"/>
      <c r="T447" s="469"/>
      <c r="U447" s="469"/>
      <c r="V447" s="469"/>
      <c r="W447" s="469"/>
    </row>
    <row r="448">
      <c r="A448" s="469"/>
      <c r="B448" s="496"/>
      <c r="C448" s="497"/>
      <c r="D448" s="469"/>
      <c r="E448" s="469"/>
      <c r="F448" s="469"/>
      <c r="G448" s="469"/>
      <c r="H448" s="469"/>
      <c r="I448" s="469"/>
      <c r="J448" s="469"/>
      <c r="K448" s="469"/>
      <c r="L448" s="469"/>
      <c r="M448" s="469"/>
      <c r="N448" s="469"/>
      <c r="O448" s="469"/>
      <c r="P448" s="469"/>
      <c r="Q448" s="469"/>
      <c r="R448" s="469"/>
      <c r="S448" s="469"/>
      <c r="T448" s="469"/>
      <c r="U448" s="469"/>
      <c r="V448" s="469"/>
      <c r="W448" s="469"/>
    </row>
    <row r="449">
      <c r="A449" s="469"/>
      <c r="B449" s="496"/>
      <c r="C449" s="497"/>
      <c r="D449" s="469"/>
      <c r="E449" s="469"/>
      <c r="F449" s="469"/>
      <c r="G449" s="469"/>
      <c r="H449" s="469"/>
      <c r="I449" s="469"/>
      <c r="J449" s="469"/>
      <c r="K449" s="469"/>
      <c r="L449" s="469"/>
      <c r="M449" s="469"/>
      <c r="N449" s="469"/>
      <c r="O449" s="469"/>
      <c r="P449" s="469"/>
      <c r="Q449" s="469"/>
      <c r="R449" s="469"/>
      <c r="S449" s="469"/>
      <c r="T449" s="469"/>
      <c r="U449" s="469"/>
      <c r="V449" s="469"/>
      <c r="W449" s="469"/>
    </row>
    <row r="450">
      <c r="A450" s="469"/>
      <c r="B450" s="496"/>
      <c r="C450" s="497"/>
      <c r="D450" s="469"/>
      <c r="E450" s="469"/>
      <c r="F450" s="469"/>
      <c r="G450" s="469"/>
      <c r="H450" s="469"/>
      <c r="I450" s="469"/>
      <c r="J450" s="469"/>
      <c r="K450" s="469"/>
      <c r="L450" s="469"/>
      <c r="M450" s="469"/>
      <c r="N450" s="469"/>
      <c r="O450" s="469"/>
      <c r="P450" s="469"/>
      <c r="Q450" s="469"/>
      <c r="R450" s="469"/>
      <c r="S450" s="469"/>
      <c r="T450" s="469"/>
      <c r="U450" s="469"/>
      <c r="V450" s="469"/>
      <c r="W450" s="469"/>
    </row>
    <row r="451">
      <c r="A451" s="469"/>
      <c r="B451" s="496"/>
      <c r="C451" s="497"/>
      <c r="D451" s="469"/>
      <c r="E451" s="469"/>
      <c r="F451" s="469"/>
      <c r="G451" s="469"/>
      <c r="H451" s="469"/>
      <c r="I451" s="469"/>
      <c r="J451" s="469"/>
      <c r="K451" s="469"/>
      <c r="L451" s="469"/>
      <c r="M451" s="469"/>
      <c r="N451" s="469"/>
      <c r="O451" s="469"/>
      <c r="P451" s="469"/>
      <c r="Q451" s="469"/>
      <c r="R451" s="469"/>
      <c r="S451" s="469"/>
      <c r="T451" s="469"/>
      <c r="U451" s="469"/>
      <c r="V451" s="469"/>
      <c r="W451" s="469"/>
    </row>
    <row r="452">
      <c r="A452" s="469"/>
      <c r="B452" s="496"/>
      <c r="C452" s="497"/>
      <c r="D452" s="469"/>
      <c r="E452" s="469"/>
      <c r="F452" s="469"/>
      <c r="G452" s="469"/>
      <c r="H452" s="469"/>
      <c r="I452" s="469"/>
      <c r="J452" s="469"/>
      <c r="K452" s="469"/>
      <c r="L452" s="469"/>
      <c r="M452" s="469"/>
      <c r="N452" s="469"/>
      <c r="O452" s="469"/>
      <c r="P452" s="469"/>
      <c r="Q452" s="469"/>
      <c r="R452" s="469"/>
      <c r="S452" s="469"/>
      <c r="T452" s="469"/>
      <c r="U452" s="469"/>
      <c r="V452" s="469"/>
      <c r="W452" s="469"/>
    </row>
    <row r="453">
      <c r="A453" s="469"/>
      <c r="B453" s="496"/>
      <c r="C453" s="497"/>
      <c r="D453" s="469"/>
      <c r="E453" s="469"/>
      <c r="F453" s="469"/>
      <c r="G453" s="469"/>
      <c r="H453" s="469"/>
      <c r="I453" s="469"/>
      <c r="J453" s="469"/>
      <c r="K453" s="469"/>
      <c r="L453" s="469"/>
      <c r="M453" s="469"/>
      <c r="N453" s="469"/>
      <c r="O453" s="469"/>
      <c r="P453" s="469"/>
      <c r="Q453" s="469"/>
      <c r="R453" s="469"/>
      <c r="S453" s="469"/>
      <c r="T453" s="469"/>
      <c r="U453" s="469"/>
      <c r="V453" s="469"/>
      <c r="W453" s="469"/>
    </row>
    <row r="454">
      <c r="A454" s="469"/>
      <c r="B454" s="496"/>
      <c r="C454" s="497"/>
      <c r="D454" s="469"/>
      <c r="E454" s="469"/>
      <c r="F454" s="469"/>
      <c r="G454" s="469"/>
      <c r="H454" s="469"/>
      <c r="I454" s="469"/>
      <c r="J454" s="469"/>
      <c r="K454" s="469"/>
      <c r="L454" s="469"/>
      <c r="M454" s="469"/>
      <c r="N454" s="469"/>
      <c r="O454" s="469"/>
      <c r="P454" s="469"/>
      <c r="Q454" s="469"/>
      <c r="R454" s="469"/>
      <c r="S454" s="469"/>
      <c r="T454" s="469"/>
      <c r="U454" s="469"/>
      <c r="V454" s="469"/>
      <c r="W454" s="469"/>
    </row>
    <row r="455">
      <c r="A455" s="469"/>
      <c r="B455" s="496"/>
      <c r="C455" s="497"/>
      <c r="D455" s="469"/>
      <c r="E455" s="469"/>
      <c r="F455" s="469"/>
      <c r="G455" s="469"/>
      <c r="H455" s="469"/>
      <c r="I455" s="469"/>
      <c r="J455" s="469"/>
      <c r="K455" s="469"/>
      <c r="L455" s="469"/>
      <c r="M455" s="469"/>
      <c r="N455" s="469"/>
      <c r="O455" s="469"/>
      <c r="P455" s="469"/>
      <c r="Q455" s="469"/>
      <c r="R455" s="469"/>
      <c r="S455" s="469"/>
      <c r="T455" s="469"/>
      <c r="U455" s="469"/>
      <c r="V455" s="469"/>
      <c r="W455" s="469"/>
    </row>
    <row r="456">
      <c r="A456" s="469"/>
      <c r="B456" s="496"/>
      <c r="C456" s="497"/>
      <c r="D456" s="469"/>
      <c r="E456" s="469"/>
      <c r="F456" s="469"/>
      <c r="G456" s="469"/>
      <c r="H456" s="469"/>
      <c r="I456" s="469"/>
      <c r="J456" s="469"/>
      <c r="K456" s="469"/>
      <c r="L456" s="469"/>
      <c r="M456" s="469"/>
      <c r="N456" s="469"/>
      <c r="O456" s="469"/>
      <c r="P456" s="469"/>
      <c r="Q456" s="469"/>
      <c r="R456" s="469"/>
      <c r="S456" s="469"/>
      <c r="T456" s="469"/>
      <c r="U456" s="469"/>
      <c r="V456" s="469"/>
      <c r="W456" s="469"/>
    </row>
    <row r="457">
      <c r="A457" s="469"/>
      <c r="B457" s="496"/>
      <c r="C457" s="497"/>
      <c r="D457" s="469"/>
      <c r="E457" s="469"/>
      <c r="F457" s="469"/>
      <c r="G457" s="469"/>
      <c r="H457" s="469"/>
      <c r="I457" s="469"/>
      <c r="J457" s="469"/>
      <c r="K457" s="469"/>
      <c r="L457" s="469"/>
      <c r="M457" s="469"/>
      <c r="N457" s="469"/>
      <c r="O457" s="469"/>
      <c r="P457" s="469"/>
      <c r="Q457" s="469"/>
      <c r="R457" s="469"/>
      <c r="S457" s="469"/>
      <c r="T457" s="469"/>
      <c r="U457" s="469"/>
      <c r="V457" s="469"/>
      <c r="W457" s="469"/>
    </row>
    <row r="458">
      <c r="A458" s="469"/>
      <c r="B458" s="496"/>
      <c r="C458" s="497"/>
      <c r="D458" s="469"/>
      <c r="E458" s="469"/>
      <c r="F458" s="469"/>
      <c r="G458" s="469"/>
      <c r="H458" s="469"/>
      <c r="I458" s="469"/>
      <c r="J458" s="469"/>
      <c r="K458" s="469"/>
      <c r="L458" s="469"/>
      <c r="M458" s="469"/>
      <c r="N458" s="469"/>
      <c r="O458" s="469"/>
      <c r="P458" s="469"/>
      <c r="Q458" s="469"/>
      <c r="R458" s="469"/>
      <c r="S458" s="469"/>
      <c r="T458" s="469"/>
      <c r="U458" s="469"/>
      <c r="V458" s="469"/>
      <c r="W458" s="469"/>
    </row>
    <row r="459">
      <c r="A459" s="469"/>
      <c r="B459" s="496"/>
      <c r="C459" s="497"/>
      <c r="D459" s="469"/>
      <c r="E459" s="469"/>
      <c r="F459" s="469"/>
      <c r="G459" s="469"/>
      <c r="H459" s="469"/>
      <c r="I459" s="469"/>
      <c r="J459" s="469"/>
      <c r="K459" s="469"/>
      <c r="L459" s="469"/>
      <c r="M459" s="469"/>
      <c r="N459" s="469"/>
      <c r="O459" s="469"/>
      <c r="P459" s="469"/>
      <c r="Q459" s="469"/>
      <c r="R459" s="469"/>
      <c r="S459" s="469"/>
      <c r="T459" s="469"/>
      <c r="U459" s="469"/>
      <c r="V459" s="469"/>
      <c r="W459" s="469"/>
    </row>
    <row r="460">
      <c r="A460" s="469"/>
      <c r="B460" s="496"/>
      <c r="C460" s="497"/>
      <c r="D460" s="469"/>
      <c r="E460" s="469"/>
      <c r="F460" s="469"/>
      <c r="G460" s="469"/>
      <c r="H460" s="469"/>
      <c r="I460" s="469"/>
      <c r="J460" s="469"/>
      <c r="K460" s="469"/>
      <c r="L460" s="469"/>
      <c r="M460" s="469"/>
      <c r="N460" s="469"/>
      <c r="O460" s="469"/>
      <c r="P460" s="469"/>
      <c r="Q460" s="469"/>
      <c r="R460" s="469"/>
      <c r="S460" s="469"/>
      <c r="T460" s="469"/>
      <c r="U460" s="469"/>
      <c r="V460" s="469"/>
      <c r="W460" s="469"/>
    </row>
    <row r="461">
      <c r="A461" s="469"/>
      <c r="B461" s="496"/>
      <c r="C461" s="497"/>
      <c r="D461" s="469"/>
      <c r="E461" s="469"/>
      <c r="F461" s="469"/>
      <c r="G461" s="469"/>
      <c r="H461" s="469"/>
      <c r="I461" s="469"/>
      <c r="J461" s="469"/>
      <c r="K461" s="469"/>
      <c r="L461" s="469"/>
      <c r="M461" s="469"/>
      <c r="N461" s="469"/>
      <c r="O461" s="469"/>
      <c r="P461" s="469"/>
      <c r="Q461" s="469"/>
      <c r="R461" s="469"/>
      <c r="S461" s="469"/>
      <c r="T461" s="469"/>
      <c r="U461" s="469"/>
      <c r="V461" s="469"/>
      <c r="W461" s="469"/>
    </row>
    <row r="462">
      <c r="A462" s="469"/>
      <c r="B462" s="496"/>
      <c r="C462" s="497"/>
      <c r="D462" s="469"/>
      <c r="E462" s="469"/>
      <c r="F462" s="469"/>
      <c r="G462" s="469"/>
      <c r="H462" s="469"/>
      <c r="I462" s="469"/>
      <c r="J462" s="469"/>
      <c r="K462" s="469"/>
      <c r="L462" s="469"/>
      <c r="M462" s="469"/>
      <c r="N462" s="469"/>
      <c r="O462" s="469"/>
      <c r="P462" s="469"/>
      <c r="Q462" s="469"/>
      <c r="R462" s="469"/>
      <c r="S462" s="469"/>
      <c r="T462" s="469"/>
      <c r="U462" s="469"/>
      <c r="V462" s="469"/>
      <c r="W462" s="469"/>
    </row>
    <row r="463">
      <c r="A463" s="469"/>
      <c r="B463" s="496"/>
      <c r="C463" s="497"/>
      <c r="D463" s="469"/>
      <c r="E463" s="469"/>
      <c r="F463" s="469"/>
      <c r="G463" s="469"/>
      <c r="H463" s="469"/>
      <c r="I463" s="469"/>
      <c r="J463" s="469"/>
      <c r="K463" s="469"/>
      <c r="L463" s="469"/>
      <c r="M463" s="469"/>
      <c r="N463" s="469"/>
      <c r="O463" s="469"/>
      <c r="P463" s="469"/>
      <c r="Q463" s="469"/>
      <c r="R463" s="469"/>
      <c r="S463" s="469"/>
      <c r="T463" s="469"/>
      <c r="U463" s="469"/>
      <c r="V463" s="469"/>
      <c r="W463" s="469"/>
    </row>
    <row r="464">
      <c r="A464" s="469"/>
      <c r="B464" s="496"/>
      <c r="C464" s="497"/>
      <c r="D464" s="469"/>
      <c r="E464" s="469"/>
      <c r="F464" s="469"/>
      <c r="G464" s="469"/>
      <c r="H464" s="469"/>
      <c r="I464" s="469"/>
      <c r="J464" s="469"/>
      <c r="K464" s="469"/>
      <c r="L464" s="469"/>
      <c r="M464" s="469"/>
      <c r="N464" s="469"/>
      <c r="O464" s="469"/>
      <c r="P464" s="469"/>
      <c r="Q464" s="469"/>
      <c r="R464" s="469"/>
      <c r="S464" s="469"/>
      <c r="T464" s="469"/>
      <c r="U464" s="469"/>
      <c r="V464" s="469"/>
      <c r="W464" s="469"/>
    </row>
    <row r="465">
      <c r="A465" s="469"/>
      <c r="B465" s="496"/>
      <c r="C465" s="497"/>
      <c r="D465" s="469"/>
      <c r="E465" s="469"/>
      <c r="F465" s="469"/>
      <c r="G465" s="469"/>
      <c r="H465" s="469"/>
      <c r="I465" s="469"/>
      <c r="J465" s="469"/>
      <c r="K465" s="469"/>
      <c r="L465" s="469"/>
      <c r="M465" s="469"/>
      <c r="N465" s="469"/>
      <c r="O465" s="469"/>
      <c r="P465" s="469"/>
      <c r="Q465" s="469"/>
      <c r="R465" s="469"/>
      <c r="S465" s="469"/>
      <c r="T465" s="469"/>
      <c r="U465" s="469"/>
      <c r="V465" s="469"/>
      <c r="W465" s="469"/>
    </row>
    <row r="466">
      <c r="A466" s="469"/>
      <c r="B466" s="496"/>
      <c r="C466" s="497"/>
      <c r="D466" s="469"/>
      <c r="E466" s="469"/>
      <c r="F466" s="469"/>
      <c r="G466" s="469"/>
      <c r="H466" s="469"/>
      <c r="I466" s="469"/>
      <c r="J466" s="469"/>
      <c r="K466" s="469"/>
      <c r="L466" s="469"/>
      <c r="M466" s="469"/>
      <c r="N466" s="469"/>
      <c r="O466" s="469"/>
      <c r="P466" s="469"/>
      <c r="Q466" s="469"/>
      <c r="R466" s="469"/>
      <c r="S466" s="469"/>
      <c r="T466" s="469"/>
      <c r="U466" s="469"/>
      <c r="V466" s="469"/>
      <c r="W466" s="469"/>
    </row>
    <row r="467">
      <c r="A467" s="469"/>
      <c r="B467" s="496"/>
      <c r="C467" s="497"/>
      <c r="D467" s="469"/>
      <c r="E467" s="469"/>
      <c r="F467" s="469"/>
      <c r="G467" s="469"/>
      <c r="H467" s="469"/>
      <c r="I467" s="469"/>
      <c r="J467" s="469"/>
      <c r="K467" s="469"/>
      <c r="L467" s="469"/>
      <c r="M467" s="469"/>
      <c r="N467" s="469"/>
      <c r="O467" s="469"/>
      <c r="P467" s="469"/>
      <c r="Q467" s="469"/>
      <c r="R467" s="469"/>
      <c r="S467" s="469"/>
      <c r="T467" s="469"/>
      <c r="U467" s="469"/>
      <c r="V467" s="469"/>
      <c r="W467" s="469"/>
    </row>
    <row r="468">
      <c r="A468" s="469"/>
      <c r="B468" s="496"/>
      <c r="C468" s="497"/>
      <c r="D468" s="469"/>
      <c r="E468" s="469"/>
      <c r="F468" s="469"/>
      <c r="G468" s="469"/>
      <c r="H468" s="469"/>
      <c r="I468" s="469"/>
      <c r="J468" s="469"/>
      <c r="K468" s="469"/>
      <c r="L468" s="469"/>
      <c r="M468" s="469"/>
      <c r="N468" s="469"/>
      <c r="O468" s="469"/>
      <c r="P468" s="469"/>
      <c r="Q468" s="469"/>
      <c r="R468" s="469"/>
      <c r="S468" s="469"/>
      <c r="T468" s="469"/>
      <c r="U468" s="469"/>
      <c r="V468" s="469"/>
      <c r="W468" s="469"/>
    </row>
    <row r="469">
      <c r="A469" s="469"/>
      <c r="B469" s="496"/>
      <c r="C469" s="497"/>
      <c r="D469" s="469"/>
      <c r="E469" s="469"/>
      <c r="F469" s="469"/>
      <c r="G469" s="469"/>
      <c r="H469" s="469"/>
      <c r="I469" s="469"/>
      <c r="J469" s="469"/>
      <c r="K469" s="469"/>
      <c r="L469" s="469"/>
      <c r="M469" s="469"/>
      <c r="N469" s="469"/>
      <c r="O469" s="469"/>
      <c r="P469" s="469"/>
      <c r="Q469" s="469"/>
      <c r="R469" s="469"/>
      <c r="S469" s="469"/>
      <c r="T469" s="469"/>
      <c r="U469" s="469"/>
      <c r="V469" s="469"/>
      <c r="W469" s="469"/>
    </row>
    <row r="470">
      <c r="A470" s="469"/>
      <c r="B470" s="496"/>
      <c r="C470" s="497"/>
      <c r="D470" s="469"/>
      <c r="E470" s="469"/>
      <c r="F470" s="469"/>
      <c r="G470" s="469"/>
      <c r="H470" s="469"/>
      <c r="I470" s="469"/>
      <c r="J470" s="469"/>
      <c r="K470" s="469"/>
      <c r="L470" s="469"/>
      <c r="M470" s="469"/>
      <c r="N470" s="469"/>
      <c r="O470" s="469"/>
      <c r="P470" s="469"/>
      <c r="Q470" s="469"/>
      <c r="R470" s="469"/>
      <c r="S470" s="469"/>
      <c r="T470" s="469"/>
      <c r="U470" s="469"/>
      <c r="V470" s="469"/>
      <c r="W470" s="469"/>
    </row>
    <row r="471">
      <c r="A471" s="469"/>
      <c r="B471" s="496"/>
      <c r="C471" s="497"/>
      <c r="D471" s="469"/>
      <c r="E471" s="469"/>
      <c r="F471" s="469"/>
      <c r="G471" s="469"/>
      <c r="H471" s="469"/>
      <c r="I471" s="469"/>
      <c r="J471" s="469"/>
      <c r="K471" s="469"/>
      <c r="L471" s="469"/>
      <c r="M471" s="469"/>
      <c r="N471" s="469"/>
      <c r="O471" s="469"/>
      <c r="P471" s="469"/>
      <c r="Q471" s="469"/>
      <c r="R471" s="469"/>
      <c r="S471" s="469"/>
      <c r="T471" s="469"/>
      <c r="U471" s="469"/>
      <c r="V471" s="469"/>
      <c r="W471" s="469"/>
    </row>
    <row r="472">
      <c r="A472" s="469"/>
      <c r="B472" s="496"/>
      <c r="C472" s="497"/>
      <c r="D472" s="469"/>
      <c r="E472" s="469"/>
      <c r="F472" s="469"/>
      <c r="G472" s="469"/>
      <c r="H472" s="469"/>
      <c r="I472" s="469"/>
      <c r="J472" s="469"/>
      <c r="K472" s="469"/>
      <c r="L472" s="469"/>
      <c r="M472" s="469"/>
      <c r="N472" s="469"/>
      <c r="O472" s="469"/>
      <c r="P472" s="469"/>
      <c r="Q472" s="469"/>
      <c r="R472" s="469"/>
      <c r="S472" s="469"/>
      <c r="T472" s="469"/>
      <c r="U472" s="469"/>
      <c r="V472" s="469"/>
      <c r="W472" s="469"/>
    </row>
    <row r="473">
      <c r="A473" s="469"/>
      <c r="B473" s="496"/>
      <c r="C473" s="497"/>
      <c r="D473" s="469"/>
      <c r="E473" s="469"/>
      <c r="F473" s="469"/>
      <c r="G473" s="469"/>
      <c r="H473" s="469"/>
      <c r="I473" s="469"/>
      <c r="J473" s="469"/>
      <c r="K473" s="469"/>
      <c r="L473" s="469"/>
      <c r="M473" s="469"/>
      <c r="N473" s="469"/>
      <c r="O473" s="469"/>
      <c r="P473" s="469"/>
      <c r="Q473" s="469"/>
      <c r="R473" s="469"/>
      <c r="S473" s="469"/>
      <c r="T473" s="469"/>
      <c r="U473" s="469"/>
      <c r="V473" s="469"/>
      <c r="W473" s="469"/>
    </row>
    <row r="474">
      <c r="A474" s="469"/>
      <c r="B474" s="496"/>
      <c r="C474" s="497"/>
      <c r="D474" s="469"/>
      <c r="E474" s="469"/>
      <c r="F474" s="469"/>
      <c r="G474" s="469"/>
      <c r="H474" s="469"/>
      <c r="I474" s="469"/>
      <c r="J474" s="469"/>
      <c r="K474" s="469"/>
      <c r="L474" s="469"/>
      <c r="M474" s="469"/>
      <c r="N474" s="469"/>
      <c r="O474" s="469"/>
      <c r="P474" s="469"/>
      <c r="Q474" s="469"/>
      <c r="R474" s="469"/>
      <c r="S474" s="469"/>
      <c r="T474" s="469"/>
      <c r="U474" s="469"/>
      <c r="V474" s="469"/>
      <c r="W474" s="469"/>
    </row>
    <row r="475">
      <c r="A475" s="469"/>
      <c r="B475" s="496"/>
      <c r="C475" s="497"/>
      <c r="D475" s="469"/>
      <c r="E475" s="469"/>
      <c r="F475" s="469"/>
      <c r="G475" s="469"/>
      <c r="H475" s="469"/>
      <c r="I475" s="469"/>
      <c r="J475" s="469"/>
      <c r="K475" s="469"/>
      <c r="L475" s="469"/>
      <c r="M475" s="469"/>
      <c r="N475" s="469"/>
      <c r="O475" s="469"/>
      <c r="P475" s="469"/>
      <c r="Q475" s="469"/>
      <c r="R475" s="469"/>
      <c r="S475" s="469"/>
      <c r="T475" s="469"/>
      <c r="U475" s="469"/>
      <c r="V475" s="469"/>
      <c r="W475" s="469"/>
    </row>
    <row r="476">
      <c r="A476" s="469"/>
      <c r="B476" s="496"/>
      <c r="C476" s="497"/>
      <c r="D476" s="469"/>
      <c r="E476" s="469"/>
      <c r="F476" s="469"/>
      <c r="G476" s="469"/>
      <c r="H476" s="469"/>
      <c r="I476" s="469"/>
      <c r="J476" s="469"/>
      <c r="K476" s="469"/>
      <c r="L476" s="469"/>
      <c r="M476" s="469"/>
      <c r="N476" s="469"/>
      <c r="O476" s="469"/>
      <c r="P476" s="469"/>
      <c r="Q476" s="469"/>
      <c r="R476" s="469"/>
      <c r="S476" s="469"/>
      <c r="T476" s="469"/>
      <c r="U476" s="469"/>
      <c r="V476" s="469"/>
      <c r="W476" s="469"/>
    </row>
    <row r="477">
      <c r="A477" s="469"/>
      <c r="B477" s="496"/>
      <c r="C477" s="497"/>
      <c r="D477" s="469"/>
      <c r="E477" s="469"/>
      <c r="F477" s="469"/>
      <c r="G477" s="469"/>
      <c r="H477" s="469"/>
      <c r="I477" s="469"/>
      <c r="J477" s="469"/>
      <c r="K477" s="469"/>
      <c r="L477" s="469"/>
      <c r="M477" s="469"/>
      <c r="N477" s="469"/>
      <c r="O477" s="469"/>
      <c r="P477" s="469"/>
      <c r="Q477" s="469"/>
      <c r="R477" s="469"/>
      <c r="S477" s="469"/>
      <c r="T477" s="469"/>
      <c r="U477" s="469"/>
      <c r="V477" s="469"/>
      <c r="W477" s="469"/>
    </row>
    <row r="478">
      <c r="A478" s="469"/>
      <c r="B478" s="496"/>
      <c r="C478" s="497"/>
      <c r="D478" s="469"/>
      <c r="E478" s="469"/>
      <c r="F478" s="469"/>
      <c r="G478" s="469"/>
      <c r="H478" s="469"/>
      <c r="I478" s="469"/>
      <c r="J478" s="469"/>
      <c r="K478" s="469"/>
      <c r="L478" s="469"/>
      <c r="M478" s="469"/>
      <c r="N478" s="469"/>
      <c r="O478" s="469"/>
      <c r="P478" s="469"/>
      <c r="Q478" s="469"/>
      <c r="R478" s="469"/>
      <c r="S478" s="469"/>
      <c r="T478" s="469"/>
      <c r="U478" s="469"/>
      <c r="V478" s="469"/>
      <c r="W478" s="469"/>
    </row>
    <row r="479">
      <c r="A479" s="469"/>
      <c r="B479" s="496"/>
      <c r="C479" s="497"/>
      <c r="D479" s="469"/>
      <c r="E479" s="469"/>
      <c r="F479" s="469"/>
      <c r="G479" s="469"/>
      <c r="H479" s="469"/>
      <c r="I479" s="469"/>
      <c r="J479" s="469"/>
      <c r="K479" s="469"/>
      <c r="L479" s="469"/>
      <c r="M479" s="469"/>
      <c r="N479" s="469"/>
      <c r="O479" s="469"/>
      <c r="P479" s="469"/>
      <c r="Q479" s="469"/>
      <c r="R479" s="469"/>
      <c r="S479" s="469"/>
      <c r="T479" s="469"/>
      <c r="U479" s="469"/>
      <c r="V479" s="469"/>
      <c r="W479" s="469"/>
    </row>
    <row r="480">
      <c r="A480" s="469"/>
      <c r="B480" s="496"/>
      <c r="C480" s="497"/>
      <c r="D480" s="469"/>
      <c r="E480" s="469"/>
      <c r="F480" s="469"/>
      <c r="G480" s="469"/>
      <c r="H480" s="469"/>
      <c r="I480" s="469"/>
      <c r="J480" s="469"/>
      <c r="K480" s="469"/>
      <c r="L480" s="469"/>
      <c r="M480" s="469"/>
      <c r="N480" s="469"/>
      <c r="O480" s="469"/>
      <c r="P480" s="469"/>
      <c r="Q480" s="469"/>
      <c r="R480" s="469"/>
      <c r="S480" s="469"/>
      <c r="T480" s="469"/>
      <c r="U480" s="469"/>
      <c r="V480" s="469"/>
      <c r="W480" s="469"/>
    </row>
    <row r="481">
      <c r="A481" s="469"/>
      <c r="B481" s="496"/>
      <c r="C481" s="497"/>
      <c r="D481" s="469"/>
      <c r="E481" s="469"/>
      <c r="F481" s="469"/>
      <c r="G481" s="469"/>
      <c r="H481" s="469"/>
      <c r="I481" s="469"/>
      <c r="J481" s="469"/>
      <c r="K481" s="469"/>
      <c r="L481" s="469"/>
      <c r="M481" s="469"/>
      <c r="N481" s="469"/>
      <c r="O481" s="469"/>
      <c r="P481" s="469"/>
      <c r="Q481" s="469"/>
      <c r="R481" s="469"/>
      <c r="S481" s="469"/>
      <c r="T481" s="469"/>
      <c r="U481" s="469"/>
      <c r="V481" s="469"/>
      <c r="W481" s="469"/>
    </row>
    <row r="482">
      <c r="A482" s="469"/>
      <c r="B482" s="496"/>
      <c r="C482" s="497"/>
      <c r="D482" s="469"/>
      <c r="E482" s="469"/>
      <c r="F482" s="469"/>
      <c r="G482" s="469"/>
      <c r="H482" s="469"/>
      <c r="I482" s="469"/>
      <c r="J482" s="469"/>
      <c r="K482" s="469"/>
      <c r="L482" s="469"/>
      <c r="M482" s="469"/>
      <c r="N482" s="469"/>
      <c r="O482" s="469"/>
      <c r="P482" s="469"/>
      <c r="Q482" s="469"/>
      <c r="R482" s="469"/>
      <c r="S482" s="469"/>
      <c r="T482" s="469"/>
      <c r="U482" s="469"/>
      <c r="V482" s="469"/>
      <c r="W482" s="469"/>
    </row>
    <row r="483">
      <c r="A483" s="469"/>
      <c r="B483" s="496"/>
      <c r="C483" s="497"/>
      <c r="D483" s="469"/>
      <c r="E483" s="469"/>
      <c r="F483" s="469"/>
      <c r="G483" s="469"/>
      <c r="H483" s="469"/>
      <c r="I483" s="469"/>
      <c r="J483" s="469"/>
      <c r="K483" s="469"/>
      <c r="L483" s="469"/>
      <c r="M483" s="469"/>
      <c r="N483" s="469"/>
      <c r="O483" s="469"/>
      <c r="P483" s="469"/>
      <c r="Q483" s="469"/>
      <c r="R483" s="469"/>
      <c r="S483" s="469"/>
      <c r="T483" s="469"/>
      <c r="U483" s="469"/>
      <c r="V483" s="469"/>
      <c r="W483" s="469"/>
    </row>
    <row r="484">
      <c r="A484" s="469"/>
      <c r="B484" s="496"/>
      <c r="C484" s="497"/>
      <c r="D484" s="469"/>
      <c r="E484" s="469"/>
      <c r="F484" s="469"/>
      <c r="G484" s="469"/>
      <c r="H484" s="469"/>
      <c r="I484" s="469"/>
      <c r="J484" s="469"/>
      <c r="K484" s="469"/>
      <c r="L484" s="469"/>
      <c r="M484" s="469"/>
      <c r="N484" s="469"/>
      <c r="O484" s="469"/>
      <c r="P484" s="469"/>
      <c r="Q484" s="469"/>
      <c r="R484" s="469"/>
      <c r="S484" s="469"/>
      <c r="T484" s="469"/>
      <c r="U484" s="469"/>
      <c r="V484" s="469"/>
      <c r="W484" s="469"/>
    </row>
    <row r="485">
      <c r="A485" s="469"/>
      <c r="B485" s="496"/>
      <c r="C485" s="497"/>
      <c r="D485" s="469"/>
      <c r="E485" s="469"/>
      <c r="F485" s="469"/>
      <c r="G485" s="469"/>
      <c r="H485" s="469"/>
      <c r="I485" s="469"/>
      <c r="J485" s="469"/>
      <c r="K485" s="469"/>
      <c r="L485" s="469"/>
      <c r="M485" s="469"/>
      <c r="N485" s="469"/>
      <c r="O485" s="469"/>
      <c r="P485" s="469"/>
      <c r="Q485" s="469"/>
      <c r="R485" s="469"/>
      <c r="S485" s="469"/>
      <c r="T485" s="469"/>
      <c r="U485" s="469"/>
      <c r="V485" s="469"/>
      <c r="W485" s="469"/>
    </row>
    <row r="486">
      <c r="A486" s="469"/>
      <c r="B486" s="496"/>
      <c r="C486" s="497"/>
      <c r="D486" s="469"/>
      <c r="E486" s="469"/>
      <c r="F486" s="469"/>
      <c r="G486" s="469"/>
      <c r="H486" s="469"/>
      <c r="I486" s="469"/>
      <c r="J486" s="469"/>
      <c r="K486" s="469"/>
      <c r="L486" s="469"/>
      <c r="M486" s="469"/>
      <c r="N486" s="469"/>
      <c r="O486" s="469"/>
      <c r="P486" s="469"/>
      <c r="Q486" s="469"/>
      <c r="R486" s="469"/>
      <c r="S486" s="469"/>
      <c r="T486" s="469"/>
      <c r="U486" s="469"/>
      <c r="V486" s="469"/>
      <c r="W486" s="469"/>
    </row>
    <row r="487">
      <c r="A487" s="469"/>
      <c r="B487" s="496"/>
      <c r="C487" s="497"/>
      <c r="D487" s="469"/>
      <c r="E487" s="469"/>
      <c r="F487" s="469"/>
      <c r="G487" s="469"/>
      <c r="H487" s="469"/>
      <c r="I487" s="469"/>
      <c r="J487" s="469"/>
      <c r="K487" s="469"/>
      <c r="L487" s="469"/>
      <c r="M487" s="469"/>
      <c r="N487" s="469"/>
      <c r="O487" s="469"/>
      <c r="P487" s="469"/>
      <c r="Q487" s="469"/>
      <c r="R487" s="469"/>
      <c r="S487" s="469"/>
      <c r="T487" s="469"/>
      <c r="U487" s="469"/>
      <c r="V487" s="469"/>
      <c r="W487" s="469"/>
    </row>
    <row r="488">
      <c r="A488" s="469"/>
      <c r="B488" s="496"/>
      <c r="C488" s="497"/>
      <c r="D488" s="469"/>
      <c r="E488" s="469"/>
      <c r="F488" s="469"/>
      <c r="G488" s="469"/>
      <c r="H488" s="469"/>
      <c r="I488" s="469"/>
      <c r="J488" s="469"/>
      <c r="K488" s="469"/>
      <c r="L488" s="469"/>
      <c r="M488" s="469"/>
      <c r="N488" s="469"/>
      <c r="O488" s="469"/>
      <c r="P488" s="469"/>
      <c r="Q488" s="469"/>
      <c r="R488" s="469"/>
      <c r="S488" s="469"/>
      <c r="T488" s="469"/>
      <c r="U488" s="469"/>
      <c r="V488" s="469"/>
      <c r="W488" s="469"/>
    </row>
    <row r="489">
      <c r="A489" s="469"/>
      <c r="B489" s="496"/>
      <c r="C489" s="497"/>
      <c r="D489" s="469"/>
      <c r="E489" s="469"/>
      <c r="F489" s="469"/>
      <c r="G489" s="469"/>
      <c r="H489" s="469"/>
      <c r="I489" s="469"/>
      <c r="J489" s="469"/>
      <c r="K489" s="469"/>
      <c r="L489" s="469"/>
      <c r="M489" s="469"/>
      <c r="N489" s="469"/>
      <c r="O489" s="469"/>
      <c r="P489" s="469"/>
      <c r="Q489" s="469"/>
      <c r="R489" s="469"/>
      <c r="S489" s="469"/>
      <c r="T489" s="469"/>
      <c r="U489" s="469"/>
      <c r="V489" s="469"/>
      <c r="W489" s="469"/>
    </row>
    <row r="490">
      <c r="A490" s="469"/>
      <c r="B490" s="496"/>
      <c r="C490" s="497"/>
      <c r="D490" s="469"/>
      <c r="E490" s="469"/>
      <c r="F490" s="469"/>
      <c r="G490" s="469"/>
      <c r="H490" s="469"/>
      <c r="I490" s="469"/>
      <c r="J490" s="469"/>
      <c r="K490" s="469"/>
      <c r="L490" s="469"/>
      <c r="M490" s="469"/>
      <c r="N490" s="469"/>
      <c r="O490" s="469"/>
      <c r="P490" s="469"/>
      <c r="Q490" s="469"/>
      <c r="R490" s="469"/>
      <c r="S490" s="469"/>
      <c r="T490" s="469"/>
      <c r="U490" s="469"/>
      <c r="V490" s="469"/>
      <c r="W490" s="469"/>
    </row>
    <row r="491">
      <c r="A491" s="469"/>
      <c r="B491" s="496"/>
      <c r="C491" s="497"/>
      <c r="D491" s="469"/>
      <c r="E491" s="469"/>
      <c r="F491" s="469"/>
      <c r="G491" s="469"/>
      <c r="H491" s="469"/>
      <c r="I491" s="469"/>
      <c r="J491" s="469"/>
      <c r="K491" s="469"/>
      <c r="L491" s="469"/>
      <c r="M491" s="469"/>
      <c r="N491" s="469"/>
      <c r="O491" s="469"/>
      <c r="P491" s="469"/>
      <c r="Q491" s="469"/>
      <c r="R491" s="469"/>
      <c r="S491" s="469"/>
      <c r="T491" s="469"/>
      <c r="U491" s="469"/>
      <c r="V491" s="469"/>
      <c r="W491" s="469"/>
    </row>
    <row r="492">
      <c r="A492" s="469"/>
      <c r="B492" s="496"/>
      <c r="C492" s="497"/>
      <c r="D492" s="469"/>
      <c r="E492" s="469"/>
      <c r="F492" s="469"/>
      <c r="G492" s="469"/>
      <c r="H492" s="469"/>
      <c r="I492" s="469"/>
      <c r="J492" s="469"/>
      <c r="K492" s="469"/>
      <c r="L492" s="469"/>
      <c r="M492" s="469"/>
      <c r="N492" s="469"/>
      <c r="O492" s="469"/>
      <c r="P492" s="469"/>
      <c r="Q492" s="469"/>
      <c r="R492" s="469"/>
      <c r="S492" s="469"/>
      <c r="T492" s="469"/>
      <c r="U492" s="469"/>
      <c r="V492" s="469"/>
      <c r="W492" s="469"/>
    </row>
    <row r="493">
      <c r="A493" s="469"/>
      <c r="B493" s="496"/>
      <c r="C493" s="497"/>
      <c r="D493" s="469"/>
      <c r="E493" s="469"/>
      <c r="F493" s="469"/>
      <c r="G493" s="469"/>
      <c r="H493" s="469"/>
      <c r="I493" s="469"/>
      <c r="J493" s="469"/>
      <c r="K493" s="469"/>
      <c r="L493" s="469"/>
      <c r="M493" s="469"/>
      <c r="N493" s="469"/>
      <c r="O493" s="469"/>
      <c r="P493" s="469"/>
      <c r="Q493" s="469"/>
      <c r="R493" s="469"/>
      <c r="S493" s="469"/>
      <c r="T493" s="469"/>
      <c r="U493" s="469"/>
      <c r="V493" s="469"/>
      <c r="W493" s="469"/>
    </row>
    <row r="494">
      <c r="A494" s="469"/>
      <c r="B494" s="496"/>
      <c r="C494" s="497"/>
      <c r="D494" s="469"/>
      <c r="E494" s="469"/>
      <c r="F494" s="469"/>
      <c r="G494" s="469"/>
      <c r="H494" s="469"/>
      <c r="I494" s="469"/>
      <c r="J494" s="469"/>
      <c r="K494" s="469"/>
      <c r="L494" s="469"/>
      <c r="M494" s="469"/>
      <c r="N494" s="469"/>
      <c r="O494" s="469"/>
      <c r="P494" s="469"/>
      <c r="Q494" s="469"/>
      <c r="R494" s="469"/>
      <c r="S494" s="469"/>
      <c r="T494" s="469"/>
      <c r="U494" s="469"/>
      <c r="V494" s="469"/>
      <c r="W494" s="469"/>
    </row>
    <row r="495">
      <c r="A495" s="469"/>
      <c r="B495" s="496"/>
      <c r="C495" s="497"/>
      <c r="D495" s="469"/>
      <c r="E495" s="469"/>
      <c r="F495" s="469"/>
      <c r="G495" s="469"/>
      <c r="H495" s="469"/>
      <c r="I495" s="469"/>
      <c r="J495" s="469"/>
      <c r="K495" s="469"/>
      <c r="L495" s="469"/>
      <c r="M495" s="469"/>
      <c r="N495" s="469"/>
      <c r="O495" s="469"/>
      <c r="P495" s="469"/>
      <c r="Q495" s="469"/>
      <c r="R495" s="469"/>
      <c r="S495" s="469"/>
      <c r="T495" s="469"/>
      <c r="U495" s="469"/>
      <c r="V495" s="469"/>
      <c r="W495" s="469"/>
    </row>
    <row r="496">
      <c r="A496" s="469"/>
      <c r="B496" s="496"/>
      <c r="C496" s="497"/>
      <c r="D496" s="469"/>
      <c r="E496" s="469"/>
      <c r="F496" s="469"/>
      <c r="G496" s="469"/>
      <c r="H496" s="469"/>
      <c r="I496" s="469"/>
      <c r="J496" s="469"/>
      <c r="K496" s="469"/>
      <c r="L496" s="469"/>
      <c r="M496" s="469"/>
      <c r="N496" s="469"/>
      <c r="O496" s="469"/>
      <c r="P496" s="469"/>
      <c r="Q496" s="469"/>
      <c r="R496" s="469"/>
      <c r="S496" s="469"/>
      <c r="T496" s="469"/>
      <c r="U496" s="469"/>
      <c r="V496" s="469"/>
      <c r="W496" s="469"/>
    </row>
    <row r="497">
      <c r="A497" s="469"/>
      <c r="B497" s="496"/>
      <c r="C497" s="497"/>
      <c r="D497" s="469"/>
      <c r="E497" s="469"/>
      <c r="F497" s="469"/>
      <c r="G497" s="469"/>
      <c r="H497" s="469"/>
      <c r="I497" s="469"/>
      <c r="J497" s="469"/>
      <c r="K497" s="469"/>
      <c r="L497" s="469"/>
      <c r="M497" s="469"/>
      <c r="N497" s="469"/>
      <c r="O497" s="469"/>
      <c r="P497" s="469"/>
      <c r="Q497" s="469"/>
      <c r="R497" s="469"/>
      <c r="S497" s="469"/>
      <c r="T497" s="469"/>
      <c r="U497" s="469"/>
      <c r="V497" s="469"/>
      <c r="W497" s="469"/>
    </row>
    <row r="498">
      <c r="A498" s="469"/>
      <c r="B498" s="496"/>
      <c r="C498" s="497"/>
      <c r="D498" s="469"/>
      <c r="E498" s="469"/>
      <c r="F498" s="469"/>
      <c r="G498" s="469"/>
      <c r="H498" s="469"/>
      <c r="I498" s="469"/>
      <c r="J498" s="469"/>
      <c r="K498" s="469"/>
      <c r="L498" s="469"/>
      <c r="M498" s="469"/>
      <c r="N498" s="469"/>
      <c r="O498" s="469"/>
      <c r="P498" s="469"/>
      <c r="Q498" s="469"/>
      <c r="R498" s="469"/>
      <c r="S498" s="469"/>
      <c r="T498" s="469"/>
      <c r="U498" s="469"/>
      <c r="V498" s="469"/>
      <c r="W498" s="469"/>
    </row>
    <row r="499">
      <c r="A499" s="469"/>
      <c r="B499" s="496"/>
      <c r="C499" s="497"/>
      <c r="D499" s="469"/>
      <c r="E499" s="469"/>
      <c r="F499" s="469"/>
      <c r="G499" s="469"/>
      <c r="H499" s="469"/>
      <c r="I499" s="469"/>
      <c r="J499" s="469"/>
      <c r="K499" s="469"/>
      <c r="L499" s="469"/>
      <c r="M499" s="469"/>
      <c r="N499" s="469"/>
      <c r="O499" s="469"/>
      <c r="P499" s="469"/>
      <c r="Q499" s="469"/>
      <c r="R499" s="469"/>
      <c r="S499" s="469"/>
      <c r="T499" s="469"/>
      <c r="U499" s="469"/>
      <c r="V499" s="469"/>
      <c r="W499" s="469"/>
    </row>
    <row r="500">
      <c r="A500" s="469"/>
      <c r="B500" s="496"/>
      <c r="C500" s="497"/>
      <c r="D500" s="469"/>
      <c r="E500" s="469"/>
      <c r="F500" s="469"/>
      <c r="G500" s="469"/>
      <c r="H500" s="469"/>
      <c r="I500" s="469"/>
      <c r="J500" s="469"/>
      <c r="K500" s="469"/>
      <c r="L500" s="469"/>
      <c r="M500" s="469"/>
      <c r="N500" s="469"/>
      <c r="O500" s="469"/>
      <c r="P500" s="469"/>
      <c r="Q500" s="469"/>
      <c r="R500" s="469"/>
      <c r="S500" s="469"/>
      <c r="T500" s="469"/>
      <c r="U500" s="469"/>
      <c r="V500" s="469"/>
      <c r="W500" s="469"/>
    </row>
    <row r="501">
      <c r="A501" s="469"/>
      <c r="B501" s="496"/>
      <c r="C501" s="497"/>
      <c r="D501" s="469"/>
      <c r="E501" s="469"/>
      <c r="F501" s="469"/>
      <c r="G501" s="469"/>
      <c r="H501" s="469"/>
      <c r="I501" s="469"/>
      <c r="J501" s="469"/>
      <c r="K501" s="469"/>
      <c r="L501" s="469"/>
      <c r="M501" s="469"/>
      <c r="N501" s="469"/>
      <c r="O501" s="469"/>
      <c r="P501" s="469"/>
      <c r="Q501" s="469"/>
      <c r="R501" s="469"/>
      <c r="S501" s="469"/>
      <c r="T501" s="469"/>
      <c r="U501" s="469"/>
      <c r="V501" s="469"/>
      <c r="W501" s="469"/>
    </row>
    <row r="502">
      <c r="A502" s="469"/>
      <c r="B502" s="496"/>
      <c r="C502" s="497"/>
      <c r="D502" s="469"/>
      <c r="E502" s="469"/>
      <c r="F502" s="469"/>
      <c r="G502" s="469"/>
      <c r="H502" s="469"/>
      <c r="I502" s="469"/>
      <c r="J502" s="469"/>
      <c r="K502" s="469"/>
      <c r="L502" s="469"/>
      <c r="M502" s="469"/>
      <c r="N502" s="469"/>
      <c r="O502" s="469"/>
      <c r="P502" s="469"/>
      <c r="Q502" s="469"/>
      <c r="R502" s="469"/>
      <c r="S502" s="469"/>
      <c r="T502" s="469"/>
      <c r="U502" s="469"/>
      <c r="V502" s="469"/>
      <c r="W502" s="469"/>
    </row>
    <row r="503">
      <c r="A503" s="469"/>
      <c r="B503" s="496"/>
      <c r="C503" s="497"/>
      <c r="D503" s="469"/>
      <c r="E503" s="469"/>
      <c r="F503" s="469"/>
      <c r="G503" s="469"/>
      <c r="H503" s="469"/>
      <c r="I503" s="469"/>
      <c r="J503" s="469"/>
      <c r="K503" s="469"/>
      <c r="L503" s="469"/>
      <c r="M503" s="469"/>
      <c r="N503" s="469"/>
      <c r="O503" s="469"/>
      <c r="P503" s="469"/>
      <c r="Q503" s="469"/>
      <c r="R503" s="469"/>
      <c r="S503" s="469"/>
      <c r="T503" s="469"/>
      <c r="U503" s="469"/>
      <c r="V503" s="469"/>
      <c r="W503" s="469"/>
    </row>
    <row r="504">
      <c r="A504" s="469"/>
      <c r="B504" s="496"/>
      <c r="C504" s="497"/>
      <c r="D504" s="469"/>
      <c r="E504" s="469"/>
      <c r="F504" s="469"/>
      <c r="G504" s="469"/>
      <c r="H504" s="469"/>
      <c r="I504" s="469"/>
      <c r="J504" s="469"/>
      <c r="K504" s="469"/>
      <c r="L504" s="469"/>
      <c r="M504" s="469"/>
      <c r="N504" s="469"/>
      <c r="O504" s="469"/>
      <c r="P504" s="469"/>
      <c r="Q504" s="469"/>
      <c r="R504" s="469"/>
      <c r="S504" s="469"/>
      <c r="T504" s="469"/>
      <c r="U504" s="469"/>
      <c r="V504" s="469"/>
      <c r="W504" s="469"/>
    </row>
    <row r="505">
      <c r="A505" s="469"/>
      <c r="B505" s="496"/>
      <c r="C505" s="497"/>
      <c r="D505" s="469"/>
      <c r="E505" s="469"/>
      <c r="F505" s="469"/>
      <c r="G505" s="469"/>
      <c r="H505" s="469"/>
      <c r="I505" s="469"/>
      <c r="J505" s="469"/>
      <c r="K505" s="469"/>
      <c r="L505" s="469"/>
      <c r="M505" s="469"/>
      <c r="N505" s="469"/>
      <c r="O505" s="469"/>
      <c r="P505" s="469"/>
      <c r="Q505" s="469"/>
      <c r="R505" s="469"/>
      <c r="S505" s="469"/>
      <c r="T505" s="469"/>
      <c r="U505" s="469"/>
      <c r="V505" s="469"/>
      <c r="W505" s="469"/>
    </row>
    <row r="506">
      <c r="A506" s="469"/>
      <c r="B506" s="496"/>
      <c r="C506" s="497"/>
      <c r="D506" s="469"/>
      <c r="E506" s="469"/>
      <c r="F506" s="469"/>
      <c r="G506" s="469"/>
      <c r="H506" s="469"/>
      <c r="I506" s="469"/>
      <c r="J506" s="469"/>
      <c r="K506" s="469"/>
      <c r="L506" s="469"/>
      <c r="M506" s="469"/>
      <c r="N506" s="469"/>
      <c r="O506" s="469"/>
      <c r="P506" s="469"/>
      <c r="Q506" s="469"/>
      <c r="R506" s="469"/>
      <c r="S506" s="469"/>
      <c r="T506" s="469"/>
      <c r="U506" s="469"/>
      <c r="V506" s="469"/>
      <c r="W506" s="469"/>
    </row>
    <row r="507">
      <c r="A507" s="469"/>
      <c r="B507" s="496"/>
      <c r="C507" s="497"/>
      <c r="D507" s="469"/>
      <c r="E507" s="469"/>
      <c r="F507" s="469"/>
      <c r="G507" s="469"/>
      <c r="H507" s="469"/>
      <c r="I507" s="469"/>
      <c r="J507" s="469"/>
      <c r="K507" s="469"/>
      <c r="L507" s="469"/>
      <c r="M507" s="469"/>
      <c r="N507" s="469"/>
      <c r="O507" s="469"/>
      <c r="P507" s="469"/>
      <c r="Q507" s="469"/>
      <c r="R507" s="469"/>
      <c r="S507" s="469"/>
      <c r="T507" s="469"/>
      <c r="U507" s="469"/>
      <c r="V507" s="469"/>
      <c r="W507" s="469"/>
    </row>
    <row r="508">
      <c r="A508" s="469"/>
      <c r="B508" s="496"/>
      <c r="C508" s="497"/>
      <c r="D508" s="469"/>
      <c r="E508" s="469"/>
      <c r="F508" s="469"/>
      <c r="G508" s="469"/>
      <c r="H508" s="469"/>
      <c r="I508" s="469"/>
      <c r="J508" s="469"/>
      <c r="K508" s="469"/>
      <c r="L508" s="469"/>
      <c r="M508" s="469"/>
      <c r="N508" s="469"/>
      <c r="O508" s="469"/>
      <c r="P508" s="469"/>
      <c r="Q508" s="469"/>
      <c r="R508" s="469"/>
      <c r="S508" s="469"/>
      <c r="T508" s="469"/>
      <c r="U508" s="469"/>
      <c r="V508" s="469"/>
      <c r="W508" s="469"/>
    </row>
    <row r="509">
      <c r="A509" s="469"/>
      <c r="B509" s="496"/>
      <c r="C509" s="497"/>
      <c r="D509" s="469"/>
      <c r="E509" s="469"/>
      <c r="F509" s="469"/>
      <c r="G509" s="469"/>
      <c r="H509" s="469"/>
      <c r="I509" s="469"/>
      <c r="J509" s="469"/>
      <c r="K509" s="469"/>
      <c r="L509" s="469"/>
      <c r="M509" s="469"/>
      <c r="N509" s="469"/>
      <c r="O509" s="469"/>
      <c r="P509" s="469"/>
      <c r="Q509" s="469"/>
      <c r="R509" s="469"/>
      <c r="S509" s="469"/>
      <c r="T509" s="469"/>
      <c r="U509" s="469"/>
      <c r="V509" s="469"/>
      <c r="W509" s="469"/>
    </row>
    <row r="510">
      <c r="A510" s="469"/>
      <c r="B510" s="496"/>
      <c r="C510" s="497"/>
      <c r="D510" s="469"/>
      <c r="E510" s="469"/>
      <c r="F510" s="469"/>
      <c r="G510" s="469"/>
      <c r="H510" s="469"/>
      <c r="I510" s="469"/>
      <c r="J510" s="469"/>
      <c r="K510" s="469"/>
      <c r="L510" s="469"/>
      <c r="M510" s="469"/>
      <c r="N510" s="469"/>
      <c r="O510" s="469"/>
      <c r="P510" s="469"/>
      <c r="Q510" s="469"/>
      <c r="R510" s="469"/>
      <c r="S510" s="469"/>
      <c r="T510" s="469"/>
      <c r="U510" s="469"/>
      <c r="V510" s="469"/>
      <c r="W510" s="469"/>
    </row>
    <row r="511">
      <c r="A511" s="469"/>
      <c r="B511" s="496"/>
      <c r="C511" s="497"/>
      <c r="D511" s="469"/>
      <c r="E511" s="469"/>
      <c r="F511" s="469"/>
      <c r="G511" s="469"/>
      <c r="H511" s="469"/>
      <c r="I511" s="469"/>
      <c r="J511" s="469"/>
      <c r="K511" s="469"/>
      <c r="L511" s="469"/>
      <c r="M511" s="469"/>
      <c r="N511" s="469"/>
      <c r="O511" s="469"/>
      <c r="P511" s="469"/>
      <c r="Q511" s="469"/>
      <c r="R511" s="469"/>
      <c r="S511" s="469"/>
      <c r="T511" s="469"/>
      <c r="U511" s="469"/>
      <c r="V511" s="469"/>
      <c r="W511" s="469"/>
    </row>
    <row r="512">
      <c r="A512" s="469"/>
      <c r="B512" s="496"/>
      <c r="C512" s="497"/>
      <c r="D512" s="469"/>
      <c r="E512" s="469"/>
      <c r="F512" s="469"/>
      <c r="G512" s="469"/>
      <c r="H512" s="469"/>
      <c r="I512" s="469"/>
      <c r="J512" s="469"/>
      <c r="K512" s="469"/>
      <c r="L512" s="469"/>
      <c r="M512" s="469"/>
      <c r="N512" s="469"/>
      <c r="O512" s="469"/>
      <c r="P512" s="469"/>
      <c r="Q512" s="469"/>
      <c r="R512" s="469"/>
      <c r="S512" s="469"/>
      <c r="T512" s="469"/>
      <c r="U512" s="469"/>
      <c r="V512" s="469"/>
      <c r="W512" s="469"/>
    </row>
    <row r="513">
      <c r="A513" s="469"/>
      <c r="B513" s="496"/>
      <c r="C513" s="497"/>
      <c r="D513" s="469"/>
      <c r="E513" s="469"/>
      <c r="F513" s="469"/>
      <c r="G513" s="469"/>
      <c r="H513" s="469"/>
      <c r="I513" s="469"/>
      <c r="J513" s="469"/>
      <c r="K513" s="469"/>
      <c r="L513" s="469"/>
      <c r="M513" s="469"/>
      <c r="N513" s="469"/>
      <c r="O513" s="469"/>
      <c r="P513" s="469"/>
      <c r="Q513" s="469"/>
      <c r="R513" s="469"/>
      <c r="S513" s="469"/>
      <c r="T513" s="469"/>
      <c r="U513" s="469"/>
      <c r="V513" s="469"/>
      <c r="W513" s="469"/>
    </row>
    <row r="514">
      <c r="A514" s="469"/>
      <c r="B514" s="496"/>
      <c r="C514" s="497"/>
      <c r="D514" s="469"/>
      <c r="E514" s="469"/>
      <c r="F514" s="469"/>
      <c r="G514" s="469"/>
      <c r="H514" s="469"/>
      <c r="I514" s="469"/>
      <c r="J514" s="469"/>
      <c r="K514" s="469"/>
      <c r="L514" s="469"/>
      <c r="M514" s="469"/>
      <c r="N514" s="469"/>
      <c r="O514" s="469"/>
      <c r="P514" s="469"/>
      <c r="Q514" s="469"/>
      <c r="R514" s="469"/>
      <c r="S514" s="469"/>
      <c r="T514" s="469"/>
      <c r="U514" s="469"/>
      <c r="V514" s="469"/>
      <c r="W514" s="469"/>
    </row>
    <row r="515">
      <c r="A515" s="469"/>
      <c r="B515" s="496"/>
      <c r="C515" s="497"/>
      <c r="D515" s="469"/>
      <c r="E515" s="469"/>
      <c r="F515" s="469"/>
      <c r="G515" s="469"/>
      <c r="H515" s="469"/>
      <c r="I515" s="469"/>
      <c r="J515" s="469"/>
      <c r="K515" s="469"/>
      <c r="L515" s="469"/>
      <c r="M515" s="469"/>
      <c r="N515" s="469"/>
      <c r="O515" s="469"/>
      <c r="P515" s="469"/>
      <c r="Q515" s="469"/>
      <c r="R515" s="469"/>
      <c r="S515" s="469"/>
      <c r="T515" s="469"/>
      <c r="U515" s="469"/>
      <c r="V515" s="469"/>
      <c r="W515" s="469"/>
    </row>
    <row r="516">
      <c r="A516" s="469"/>
      <c r="B516" s="496"/>
      <c r="C516" s="497"/>
      <c r="D516" s="469"/>
      <c r="E516" s="469"/>
      <c r="F516" s="469"/>
      <c r="G516" s="469"/>
      <c r="H516" s="469"/>
      <c r="I516" s="469"/>
      <c r="J516" s="469"/>
      <c r="K516" s="469"/>
      <c r="L516" s="469"/>
      <c r="M516" s="469"/>
      <c r="N516" s="469"/>
      <c r="O516" s="469"/>
      <c r="P516" s="469"/>
      <c r="Q516" s="469"/>
      <c r="R516" s="469"/>
      <c r="S516" s="469"/>
      <c r="T516" s="469"/>
      <c r="U516" s="469"/>
      <c r="V516" s="469"/>
      <c r="W516" s="469"/>
    </row>
    <row r="517">
      <c r="A517" s="469"/>
      <c r="B517" s="496"/>
      <c r="C517" s="497"/>
      <c r="D517" s="469"/>
      <c r="E517" s="469"/>
      <c r="F517" s="469"/>
      <c r="G517" s="469"/>
      <c r="H517" s="469"/>
      <c r="I517" s="469"/>
      <c r="J517" s="469"/>
      <c r="K517" s="469"/>
      <c r="L517" s="469"/>
      <c r="M517" s="469"/>
      <c r="N517" s="469"/>
      <c r="O517" s="469"/>
      <c r="P517" s="469"/>
      <c r="Q517" s="469"/>
      <c r="R517" s="469"/>
      <c r="S517" s="469"/>
      <c r="T517" s="469"/>
      <c r="U517" s="469"/>
      <c r="V517" s="469"/>
      <c r="W517" s="469"/>
    </row>
    <row r="518">
      <c r="A518" s="469"/>
      <c r="B518" s="496"/>
      <c r="C518" s="497"/>
      <c r="D518" s="469"/>
      <c r="E518" s="469"/>
      <c r="F518" s="469"/>
      <c r="G518" s="469"/>
      <c r="H518" s="469"/>
      <c r="I518" s="469"/>
      <c r="J518" s="469"/>
      <c r="K518" s="469"/>
      <c r="L518" s="469"/>
      <c r="M518" s="469"/>
      <c r="N518" s="469"/>
      <c r="O518" s="469"/>
      <c r="P518" s="469"/>
      <c r="Q518" s="469"/>
      <c r="R518" s="469"/>
      <c r="S518" s="469"/>
      <c r="T518" s="469"/>
      <c r="U518" s="469"/>
      <c r="V518" s="469"/>
      <c r="W518" s="469"/>
    </row>
    <row r="519">
      <c r="A519" s="469"/>
      <c r="B519" s="496"/>
      <c r="C519" s="497"/>
      <c r="D519" s="469"/>
      <c r="E519" s="469"/>
      <c r="F519" s="469"/>
      <c r="G519" s="469"/>
      <c r="H519" s="469"/>
      <c r="I519" s="469"/>
      <c r="J519" s="469"/>
      <c r="K519" s="469"/>
      <c r="L519" s="469"/>
      <c r="M519" s="469"/>
      <c r="N519" s="469"/>
      <c r="O519" s="469"/>
      <c r="P519" s="469"/>
      <c r="Q519" s="469"/>
      <c r="R519" s="469"/>
      <c r="S519" s="469"/>
      <c r="T519" s="469"/>
      <c r="U519" s="469"/>
      <c r="V519" s="469"/>
      <c r="W519" s="469"/>
    </row>
    <row r="520">
      <c r="A520" s="469"/>
      <c r="B520" s="496"/>
      <c r="C520" s="497"/>
      <c r="D520" s="469"/>
      <c r="E520" s="469"/>
      <c r="F520" s="469"/>
      <c r="G520" s="469"/>
      <c r="H520" s="469"/>
      <c r="I520" s="469"/>
      <c r="J520" s="469"/>
      <c r="K520" s="469"/>
      <c r="L520" s="469"/>
      <c r="M520" s="469"/>
      <c r="N520" s="469"/>
      <c r="O520" s="469"/>
      <c r="P520" s="469"/>
      <c r="Q520" s="469"/>
      <c r="R520" s="469"/>
      <c r="S520" s="469"/>
      <c r="T520" s="469"/>
      <c r="U520" s="469"/>
      <c r="V520" s="469"/>
      <c r="W520" s="469"/>
    </row>
    <row r="521">
      <c r="A521" s="469"/>
      <c r="B521" s="496"/>
      <c r="C521" s="497"/>
      <c r="D521" s="469"/>
      <c r="E521" s="469"/>
      <c r="F521" s="469"/>
      <c r="G521" s="469"/>
      <c r="H521" s="469"/>
      <c r="I521" s="469"/>
      <c r="J521" s="469"/>
      <c r="K521" s="469"/>
      <c r="L521" s="469"/>
      <c r="M521" s="469"/>
      <c r="N521" s="469"/>
      <c r="O521" s="469"/>
      <c r="P521" s="469"/>
      <c r="Q521" s="469"/>
      <c r="R521" s="469"/>
      <c r="S521" s="469"/>
      <c r="T521" s="469"/>
      <c r="U521" s="469"/>
      <c r="V521" s="469"/>
      <c r="W521" s="469"/>
    </row>
    <row r="522">
      <c r="A522" s="469"/>
      <c r="B522" s="496"/>
      <c r="C522" s="497"/>
      <c r="D522" s="469"/>
      <c r="E522" s="469"/>
      <c r="F522" s="469"/>
      <c r="G522" s="469"/>
      <c r="H522" s="469"/>
      <c r="I522" s="469"/>
      <c r="J522" s="469"/>
      <c r="K522" s="469"/>
      <c r="L522" s="469"/>
      <c r="M522" s="469"/>
      <c r="N522" s="469"/>
      <c r="O522" s="469"/>
      <c r="P522" s="469"/>
      <c r="Q522" s="469"/>
      <c r="R522" s="469"/>
      <c r="S522" s="469"/>
      <c r="T522" s="469"/>
      <c r="U522" s="469"/>
      <c r="V522" s="469"/>
      <c r="W522" s="469"/>
    </row>
    <row r="523">
      <c r="A523" s="469"/>
      <c r="B523" s="496"/>
      <c r="C523" s="497"/>
      <c r="D523" s="469"/>
      <c r="E523" s="469"/>
      <c r="F523" s="469"/>
      <c r="G523" s="469"/>
      <c r="H523" s="469"/>
      <c r="I523" s="469"/>
      <c r="J523" s="469"/>
      <c r="K523" s="469"/>
      <c r="L523" s="469"/>
      <c r="M523" s="469"/>
      <c r="N523" s="469"/>
      <c r="O523" s="469"/>
      <c r="P523" s="469"/>
      <c r="Q523" s="469"/>
      <c r="R523" s="469"/>
      <c r="S523" s="469"/>
      <c r="T523" s="469"/>
      <c r="U523" s="469"/>
      <c r="V523" s="469"/>
      <c r="W523" s="469"/>
    </row>
    <row r="524">
      <c r="A524" s="469"/>
      <c r="B524" s="496"/>
      <c r="C524" s="497"/>
      <c r="D524" s="469"/>
      <c r="E524" s="469"/>
      <c r="F524" s="469"/>
      <c r="G524" s="469"/>
      <c r="H524" s="469"/>
      <c r="I524" s="469"/>
      <c r="J524" s="469"/>
      <c r="K524" s="469"/>
      <c r="L524" s="469"/>
      <c r="M524" s="469"/>
      <c r="N524" s="469"/>
      <c r="O524" s="469"/>
      <c r="P524" s="469"/>
      <c r="Q524" s="469"/>
      <c r="R524" s="469"/>
      <c r="S524" s="469"/>
      <c r="T524" s="469"/>
      <c r="U524" s="469"/>
      <c r="V524" s="469"/>
      <c r="W524" s="469"/>
    </row>
    <row r="525">
      <c r="A525" s="469"/>
      <c r="B525" s="496"/>
      <c r="C525" s="497"/>
      <c r="D525" s="469"/>
      <c r="E525" s="469"/>
      <c r="F525" s="469"/>
      <c r="G525" s="469"/>
      <c r="H525" s="469"/>
      <c r="I525" s="469"/>
      <c r="J525" s="469"/>
      <c r="K525" s="469"/>
      <c r="L525" s="469"/>
      <c r="M525" s="469"/>
      <c r="N525" s="469"/>
      <c r="O525" s="469"/>
      <c r="P525" s="469"/>
      <c r="Q525" s="469"/>
      <c r="R525" s="469"/>
      <c r="S525" s="469"/>
      <c r="T525" s="469"/>
      <c r="U525" s="469"/>
      <c r="V525" s="469"/>
      <c r="W525" s="469"/>
    </row>
    <row r="526">
      <c r="A526" s="469"/>
      <c r="B526" s="496"/>
      <c r="C526" s="497"/>
      <c r="D526" s="469"/>
      <c r="E526" s="469"/>
      <c r="F526" s="469"/>
      <c r="G526" s="469"/>
      <c r="H526" s="469"/>
      <c r="I526" s="469"/>
      <c r="J526" s="469"/>
      <c r="K526" s="469"/>
      <c r="L526" s="469"/>
      <c r="M526" s="469"/>
      <c r="N526" s="469"/>
      <c r="O526" s="469"/>
      <c r="P526" s="469"/>
      <c r="Q526" s="469"/>
      <c r="R526" s="469"/>
      <c r="S526" s="469"/>
      <c r="T526" s="469"/>
      <c r="U526" s="469"/>
      <c r="V526" s="469"/>
      <c r="W526" s="469"/>
    </row>
    <row r="527">
      <c r="A527" s="469"/>
      <c r="B527" s="496"/>
      <c r="C527" s="497"/>
      <c r="D527" s="469"/>
      <c r="E527" s="469"/>
      <c r="F527" s="469"/>
      <c r="G527" s="469"/>
      <c r="H527" s="469"/>
      <c r="I527" s="469"/>
      <c r="J527" s="469"/>
      <c r="K527" s="469"/>
      <c r="L527" s="469"/>
      <c r="M527" s="469"/>
      <c r="N527" s="469"/>
      <c r="O527" s="469"/>
      <c r="P527" s="469"/>
      <c r="Q527" s="469"/>
      <c r="R527" s="469"/>
      <c r="S527" s="469"/>
      <c r="T527" s="469"/>
      <c r="U527" s="469"/>
      <c r="V527" s="469"/>
      <c r="W527" s="469"/>
    </row>
    <row r="528">
      <c r="A528" s="469"/>
      <c r="B528" s="496"/>
      <c r="C528" s="497"/>
      <c r="D528" s="469"/>
      <c r="E528" s="469"/>
      <c r="F528" s="469"/>
      <c r="G528" s="469"/>
      <c r="H528" s="469"/>
      <c r="I528" s="469"/>
      <c r="J528" s="469"/>
      <c r="K528" s="469"/>
      <c r="L528" s="469"/>
      <c r="M528" s="469"/>
      <c r="N528" s="469"/>
      <c r="O528" s="469"/>
      <c r="P528" s="469"/>
      <c r="Q528" s="469"/>
      <c r="R528" s="469"/>
      <c r="S528" s="469"/>
      <c r="T528" s="469"/>
      <c r="U528" s="469"/>
      <c r="V528" s="469"/>
      <c r="W528" s="469"/>
    </row>
    <row r="529">
      <c r="A529" s="469"/>
      <c r="B529" s="496"/>
      <c r="C529" s="497"/>
      <c r="D529" s="469"/>
      <c r="E529" s="469"/>
      <c r="F529" s="469"/>
      <c r="G529" s="469"/>
      <c r="H529" s="469"/>
      <c r="I529" s="469"/>
      <c r="J529" s="469"/>
      <c r="K529" s="469"/>
      <c r="L529" s="469"/>
      <c r="M529" s="469"/>
      <c r="N529" s="469"/>
      <c r="O529" s="469"/>
      <c r="P529" s="469"/>
      <c r="Q529" s="469"/>
      <c r="R529" s="469"/>
      <c r="S529" s="469"/>
      <c r="T529" s="469"/>
      <c r="U529" s="469"/>
      <c r="V529" s="469"/>
      <c r="W529" s="469"/>
    </row>
    <row r="530">
      <c r="A530" s="469"/>
      <c r="B530" s="496"/>
      <c r="C530" s="497"/>
      <c r="D530" s="469"/>
      <c r="E530" s="469"/>
      <c r="F530" s="469"/>
      <c r="G530" s="469"/>
      <c r="H530" s="469"/>
      <c r="I530" s="469"/>
      <c r="J530" s="469"/>
      <c r="K530" s="469"/>
      <c r="L530" s="469"/>
      <c r="M530" s="469"/>
      <c r="N530" s="469"/>
      <c r="O530" s="469"/>
      <c r="P530" s="469"/>
      <c r="Q530" s="469"/>
      <c r="R530" s="469"/>
      <c r="S530" s="469"/>
      <c r="T530" s="469"/>
      <c r="U530" s="469"/>
      <c r="V530" s="469"/>
      <c r="W530" s="469"/>
    </row>
    <row r="531">
      <c r="A531" s="469"/>
      <c r="B531" s="496"/>
      <c r="C531" s="497"/>
      <c r="D531" s="469"/>
      <c r="E531" s="469"/>
      <c r="F531" s="469"/>
      <c r="G531" s="469"/>
      <c r="H531" s="469"/>
      <c r="I531" s="469"/>
      <c r="J531" s="469"/>
      <c r="K531" s="469"/>
      <c r="L531" s="469"/>
      <c r="M531" s="469"/>
      <c r="N531" s="469"/>
      <c r="O531" s="469"/>
      <c r="P531" s="469"/>
      <c r="Q531" s="469"/>
      <c r="R531" s="469"/>
      <c r="S531" s="469"/>
      <c r="T531" s="469"/>
      <c r="U531" s="469"/>
      <c r="V531" s="469"/>
      <c r="W531" s="469"/>
    </row>
    <row r="532">
      <c r="A532" s="469"/>
      <c r="B532" s="496"/>
      <c r="C532" s="497"/>
      <c r="D532" s="469"/>
      <c r="E532" s="469"/>
      <c r="F532" s="469"/>
      <c r="G532" s="469"/>
      <c r="H532" s="469"/>
      <c r="I532" s="469"/>
      <c r="J532" s="469"/>
      <c r="K532" s="469"/>
      <c r="L532" s="469"/>
      <c r="M532" s="469"/>
      <c r="N532" s="469"/>
      <c r="O532" s="469"/>
      <c r="P532" s="469"/>
      <c r="Q532" s="469"/>
      <c r="R532" s="469"/>
      <c r="S532" s="469"/>
      <c r="T532" s="469"/>
      <c r="U532" s="469"/>
      <c r="V532" s="469"/>
      <c r="W532" s="469"/>
    </row>
    <row r="533">
      <c r="A533" s="469"/>
      <c r="B533" s="496"/>
      <c r="C533" s="497"/>
      <c r="D533" s="469"/>
      <c r="E533" s="469"/>
      <c r="F533" s="469"/>
      <c r="G533" s="469"/>
      <c r="H533" s="469"/>
      <c r="I533" s="469"/>
      <c r="J533" s="469"/>
      <c r="K533" s="469"/>
      <c r="L533" s="469"/>
      <c r="M533" s="469"/>
      <c r="N533" s="469"/>
      <c r="O533" s="469"/>
      <c r="P533" s="469"/>
      <c r="Q533" s="469"/>
      <c r="R533" s="469"/>
      <c r="S533" s="469"/>
      <c r="T533" s="469"/>
      <c r="U533" s="469"/>
      <c r="V533" s="469"/>
      <c r="W533" s="469"/>
    </row>
    <row r="534">
      <c r="A534" s="469"/>
      <c r="B534" s="496"/>
      <c r="C534" s="497"/>
      <c r="D534" s="469"/>
      <c r="E534" s="469"/>
      <c r="F534" s="469"/>
      <c r="G534" s="469"/>
      <c r="H534" s="469"/>
      <c r="I534" s="469"/>
      <c r="J534" s="469"/>
      <c r="K534" s="469"/>
      <c r="L534" s="469"/>
      <c r="M534" s="469"/>
      <c r="N534" s="469"/>
      <c r="O534" s="469"/>
      <c r="P534" s="469"/>
      <c r="Q534" s="469"/>
      <c r="R534" s="469"/>
      <c r="S534" s="469"/>
      <c r="T534" s="469"/>
      <c r="U534" s="469"/>
      <c r="V534" s="469"/>
      <c r="W534" s="469"/>
    </row>
    <row r="535">
      <c r="A535" s="469"/>
      <c r="B535" s="496"/>
      <c r="C535" s="497"/>
      <c r="D535" s="469"/>
      <c r="E535" s="469"/>
      <c r="F535" s="469"/>
      <c r="G535" s="469"/>
      <c r="H535" s="469"/>
      <c r="I535" s="469"/>
      <c r="J535" s="469"/>
      <c r="K535" s="469"/>
      <c r="L535" s="469"/>
      <c r="M535" s="469"/>
      <c r="N535" s="469"/>
      <c r="O535" s="469"/>
      <c r="P535" s="469"/>
      <c r="Q535" s="469"/>
      <c r="R535" s="469"/>
      <c r="S535" s="469"/>
      <c r="T535" s="469"/>
      <c r="U535" s="469"/>
      <c r="V535" s="469"/>
      <c r="W535" s="469"/>
    </row>
    <row r="536">
      <c r="A536" s="469"/>
      <c r="B536" s="496"/>
      <c r="C536" s="497"/>
      <c r="D536" s="469"/>
      <c r="E536" s="469"/>
      <c r="F536" s="469"/>
      <c r="G536" s="469"/>
      <c r="H536" s="469"/>
      <c r="I536" s="469"/>
      <c r="J536" s="469"/>
      <c r="K536" s="469"/>
      <c r="L536" s="469"/>
      <c r="M536" s="469"/>
      <c r="N536" s="469"/>
      <c r="O536" s="469"/>
      <c r="P536" s="469"/>
      <c r="Q536" s="469"/>
      <c r="R536" s="469"/>
      <c r="S536" s="469"/>
      <c r="T536" s="469"/>
      <c r="U536" s="469"/>
      <c r="V536" s="469"/>
      <c r="W536" s="469"/>
    </row>
    <row r="537">
      <c r="A537" s="469"/>
      <c r="B537" s="496"/>
      <c r="C537" s="497"/>
      <c r="D537" s="469"/>
      <c r="E537" s="469"/>
      <c r="F537" s="469"/>
      <c r="G537" s="469"/>
      <c r="H537" s="469"/>
      <c r="I537" s="469"/>
      <c r="J537" s="469"/>
      <c r="K537" s="469"/>
      <c r="L537" s="469"/>
      <c r="M537" s="469"/>
      <c r="N537" s="469"/>
      <c r="O537" s="469"/>
      <c r="P537" s="469"/>
      <c r="Q537" s="469"/>
      <c r="R537" s="469"/>
      <c r="S537" s="469"/>
      <c r="T537" s="469"/>
      <c r="U537" s="469"/>
      <c r="V537" s="469"/>
      <c r="W537" s="469"/>
    </row>
    <row r="538">
      <c r="A538" s="469"/>
      <c r="B538" s="496"/>
      <c r="C538" s="497"/>
      <c r="D538" s="469"/>
      <c r="E538" s="469"/>
      <c r="F538" s="469"/>
      <c r="G538" s="469"/>
      <c r="H538" s="469"/>
      <c r="I538" s="469"/>
      <c r="J538" s="469"/>
      <c r="K538" s="469"/>
      <c r="L538" s="469"/>
      <c r="M538" s="469"/>
      <c r="N538" s="469"/>
      <c r="O538" s="469"/>
      <c r="P538" s="469"/>
      <c r="Q538" s="469"/>
      <c r="R538" s="469"/>
      <c r="S538" s="469"/>
      <c r="T538" s="469"/>
      <c r="U538" s="469"/>
      <c r="V538" s="469"/>
      <c r="W538" s="469"/>
    </row>
    <row r="539">
      <c r="A539" s="469"/>
      <c r="B539" s="496"/>
      <c r="C539" s="497"/>
      <c r="D539" s="469"/>
      <c r="E539" s="469"/>
      <c r="F539" s="469"/>
      <c r="G539" s="469"/>
      <c r="H539" s="469"/>
      <c r="I539" s="469"/>
      <c r="J539" s="469"/>
      <c r="K539" s="469"/>
      <c r="L539" s="469"/>
      <c r="M539" s="469"/>
      <c r="N539" s="469"/>
      <c r="O539" s="469"/>
      <c r="P539" s="469"/>
      <c r="Q539" s="469"/>
      <c r="R539" s="469"/>
      <c r="S539" s="469"/>
      <c r="T539" s="469"/>
      <c r="U539" s="469"/>
      <c r="V539" s="469"/>
      <c r="W539" s="469"/>
    </row>
    <row r="540">
      <c r="A540" s="469"/>
      <c r="B540" s="496"/>
      <c r="C540" s="497"/>
      <c r="D540" s="469"/>
      <c r="E540" s="469"/>
      <c r="F540" s="469"/>
      <c r="G540" s="469"/>
      <c r="H540" s="469"/>
      <c r="I540" s="469"/>
      <c r="J540" s="469"/>
      <c r="K540" s="469"/>
      <c r="L540" s="469"/>
      <c r="M540" s="469"/>
      <c r="N540" s="469"/>
      <c r="O540" s="469"/>
      <c r="P540" s="469"/>
      <c r="Q540" s="469"/>
      <c r="R540" s="469"/>
      <c r="S540" s="469"/>
      <c r="T540" s="469"/>
      <c r="U540" s="469"/>
      <c r="V540" s="469"/>
      <c r="W540" s="469"/>
    </row>
    <row r="541">
      <c r="A541" s="469"/>
      <c r="B541" s="496"/>
      <c r="C541" s="497"/>
      <c r="D541" s="469"/>
      <c r="E541" s="469"/>
      <c r="F541" s="469"/>
      <c r="G541" s="469"/>
      <c r="H541" s="469"/>
      <c r="I541" s="469"/>
      <c r="J541" s="469"/>
      <c r="K541" s="469"/>
      <c r="L541" s="469"/>
      <c r="M541" s="469"/>
      <c r="N541" s="469"/>
      <c r="O541" s="469"/>
      <c r="P541" s="469"/>
      <c r="Q541" s="469"/>
      <c r="R541" s="469"/>
      <c r="S541" s="469"/>
      <c r="T541" s="469"/>
      <c r="U541" s="469"/>
      <c r="V541" s="469"/>
      <c r="W541" s="469"/>
    </row>
    <row r="542">
      <c r="A542" s="469"/>
      <c r="B542" s="496"/>
      <c r="C542" s="497"/>
      <c r="D542" s="469"/>
      <c r="E542" s="469"/>
      <c r="F542" s="469"/>
      <c r="G542" s="469"/>
      <c r="H542" s="469"/>
      <c r="I542" s="469"/>
      <c r="J542" s="469"/>
      <c r="K542" s="469"/>
      <c r="L542" s="469"/>
      <c r="M542" s="469"/>
      <c r="N542" s="469"/>
      <c r="O542" s="469"/>
      <c r="P542" s="469"/>
      <c r="Q542" s="469"/>
      <c r="R542" s="469"/>
      <c r="S542" s="469"/>
      <c r="T542" s="469"/>
      <c r="U542" s="469"/>
      <c r="V542" s="469"/>
      <c r="W542" s="469"/>
    </row>
    <row r="543">
      <c r="A543" s="469"/>
      <c r="B543" s="496"/>
      <c r="C543" s="497"/>
      <c r="D543" s="469"/>
      <c r="E543" s="469"/>
      <c r="F543" s="469"/>
      <c r="G543" s="469"/>
      <c r="H543" s="469"/>
      <c r="I543" s="469"/>
      <c r="J543" s="469"/>
      <c r="K543" s="469"/>
      <c r="L543" s="469"/>
      <c r="M543" s="469"/>
      <c r="N543" s="469"/>
      <c r="O543" s="469"/>
      <c r="P543" s="469"/>
      <c r="Q543" s="469"/>
      <c r="R543" s="469"/>
      <c r="S543" s="469"/>
      <c r="T543" s="469"/>
      <c r="U543" s="469"/>
      <c r="V543" s="469"/>
      <c r="W543" s="469"/>
    </row>
    <row r="544">
      <c r="A544" s="469"/>
      <c r="B544" s="496"/>
      <c r="C544" s="497"/>
      <c r="D544" s="469"/>
      <c r="E544" s="469"/>
      <c r="F544" s="469"/>
      <c r="G544" s="469"/>
      <c r="H544" s="469"/>
      <c r="I544" s="469"/>
      <c r="J544" s="469"/>
      <c r="K544" s="469"/>
      <c r="L544" s="469"/>
      <c r="M544" s="469"/>
      <c r="N544" s="469"/>
      <c r="O544" s="469"/>
      <c r="P544" s="469"/>
      <c r="Q544" s="469"/>
      <c r="R544" s="469"/>
      <c r="S544" s="469"/>
      <c r="T544" s="469"/>
      <c r="U544" s="469"/>
      <c r="V544" s="469"/>
      <c r="W544" s="469"/>
    </row>
    <row r="545">
      <c r="A545" s="469"/>
      <c r="B545" s="496"/>
      <c r="C545" s="497"/>
      <c r="D545" s="469"/>
      <c r="E545" s="469"/>
      <c r="F545" s="469"/>
      <c r="G545" s="469"/>
      <c r="H545" s="469"/>
      <c r="I545" s="469"/>
      <c r="J545" s="469"/>
      <c r="K545" s="469"/>
      <c r="L545" s="469"/>
      <c r="M545" s="469"/>
      <c r="N545" s="469"/>
      <c r="O545" s="469"/>
      <c r="P545" s="469"/>
      <c r="Q545" s="469"/>
      <c r="R545" s="469"/>
      <c r="S545" s="469"/>
      <c r="T545" s="469"/>
      <c r="U545" s="469"/>
      <c r="V545" s="469"/>
      <c r="W545" s="469"/>
    </row>
    <row r="546">
      <c r="A546" s="469"/>
      <c r="B546" s="496"/>
      <c r="C546" s="497"/>
      <c r="D546" s="469"/>
      <c r="E546" s="469"/>
      <c r="F546" s="469"/>
      <c r="G546" s="469"/>
      <c r="H546" s="469"/>
      <c r="I546" s="469"/>
      <c r="J546" s="469"/>
      <c r="K546" s="469"/>
      <c r="L546" s="469"/>
      <c r="M546" s="469"/>
      <c r="N546" s="469"/>
      <c r="O546" s="469"/>
      <c r="P546" s="469"/>
      <c r="Q546" s="469"/>
      <c r="R546" s="469"/>
      <c r="S546" s="469"/>
      <c r="T546" s="469"/>
      <c r="U546" s="469"/>
      <c r="V546" s="469"/>
      <c r="W546" s="469"/>
    </row>
    <row r="547">
      <c r="A547" s="469"/>
      <c r="B547" s="496"/>
      <c r="C547" s="497"/>
      <c r="D547" s="469"/>
      <c r="E547" s="469"/>
      <c r="F547" s="469"/>
      <c r="G547" s="469"/>
      <c r="H547" s="469"/>
      <c r="I547" s="469"/>
      <c r="J547" s="469"/>
      <c r="K547" s="469"/>
      <c r="L547" s="469"/>
      <c r="M547" s="469"/>
      <c r="N547" s="469"/>
      <c r="O547" s="469"/>
      <c r="P547" s="469"/>
      <c r="Q547" s="469"/>
      <c r="R547" s="469"/>
      <c r="S547" s="469"/>
      <c r="T547" s="469"/>
      <c r="U547" s="469"/>
      <c r="V547" s="469"/>
      <c r="W547" s="469"/>
    </row>
    <row r="548">
      <c r="A548" s="469"/>
      <c r="B548" s="496"/>
      <c r="C548" s="497"/>
      <c r="D548" s="469"/>
      <c r="E548" s="469"/>
      <c r="F548" s="469"/>
      <c r="G548" s="469"/>
      <c r="H548" s="469"/>
      <c r="I548" s="469"/>
      <c r="J548" s="469"/>
      <c r="K548" s="469"/>
      <c r="L548" s="469"/>
      <c r="M548" s="469"/>
      <c r="N548" s="469"/>
      <c r="O548" s="469"/>
      <c r="P548" s="469"/>
      <c r="Q548" s="469"/>
      <c r="R548" s="469"/>
      <c r="S548" s="469"/>
      <c r="T548" s="469"/>
      <c r="U548" s="469"/>
      <c r="V548" s="469"/>
      <c r="W548" s="469"/>
    </row>
    <row r="549">
      <c r="A549" s="469"/>
      <c r="B549" s="496"/>
      <c r="C549" s="497"/>
      <c r="D549" s="469"/>
      <c r="E549" s="469"/>
      <c r="F549" s="469"/>
      <c r="G549" s="469"/>
      <c r="H549" s="469"/>
      <c r="I549" s="469"/>
      <c r="J549" s="469"/>
      <c r="K549" s="469"/>
      <c r="L549" s="469"/>
      <c r="M549" s="469"/>
      <c r="N549" s="469"/>
      <c r="O549" s="469"/>
      <c r="P549" s="469"/>
      <c r="Q549" s="469"/>
      <c r="R549" s="469"/>
      <c r="S549" s="469"/>
      <c r="T549" s="469"/>
      <c r="U549" s="469"/>
      <c r="V549" s="469"/>
      <c r="W549" s="469"/>
    </row>
    <row r="550">
      <c r="A550" s="469"/>
      <c r="B550" s="496"/>
      <c r="C550" s="497"/>
      <c r="D550" s="469"/>
      <c r="E550" s="469"/>
      <c r="F550" s="469"/>
      <c r="G550" s="469"/>
      <c r="H550" s="469"/>
      <c r="I550" s="469"/>
      <c r="J550" s="469"/>
      <c r="K550" s="469"/>
      <c r="L550" s="469"/>
      <c r="M550" s="469"/>
      <c r="N550" s="469"/>
      <c r="O550" s="469"/>
      <c r="P550" s="469"/>
      <c r="Q550" s="469"/>
      <c r="R550" s="469"/>
      <c r="S550" s="469"/>
      <c r="T550" s="469"/>
      <c r="U550" s="469"/>
      <c r="V550" s="469"/>
      <c r="W550" s="469"/>
    </row>
    <row r="551">
      <c r="A551" s="469"/>
      <c r="B551" s="496"/>
      <c r="C551" s="497"/>
      <c r="D551" s="469"/>
      <c r="E551" s="469"/>
      <c r="F551" s="469"/>
      <c r="G551" s="469"/>
      <c r="H551" s="469"/>
      <c r="I551" s="469"/>
      <c r="J551" s="469"/>
      <c r="K551" s="469"/>
      <c r="L551" s="469"/>
      <c r="M551" s="469"/>
      <c r="N551" s="469"/>
      <c r="O551" s="469"/>
      <c r="P551" s="469"/>
      <c r="Q551" s="469"/>
      <c r="R551" s="469"/>
      <c r="S551" s="469"/>
      <c r="T551" s="469"/>
      <c r="U551" s="469"/>
      <c r="V551" s="469"/>
      <c r="W551" s="469"/>
    </row>
    <row r="552">
      <c r="A552" s="469"/>
      <c r="B552" s="496"/>
      <c r="C552" s="497"/>
      <c r="D552" s="469"/>
      <c r="E552" s="469"/>
      <c r="F552" s="469"/>
      <c r="G552" s="469"/>
      <c r="H552" s="469"/>
      <c r="I552" s="469"/>
      <c r="J552" s="469"/>
      <c r="K552" s="469"/>
      <c r="L552" s="469"/>
      <c r="M552" s="469"/>
      <c r="N552" s="469"/>
      <c r="O552" s="469"/>
      <c r="P552" s="469"/>
      <c r="Q552" s="469"/>
      <c r="R552" s="469"/>
      <c r="S552" s="469"/>
      <c r="T552" s="469"/>
      <c r="U552" s="469"/>
      <c r="V552" s="469"/>
      <c r="W552" s="469"/>
    </row>
    <row r="553">
      <c r="A553" s="469"/>
      <c r="B553" s="496"/>
      <c r="C553" s="497"/>
      <c r="D553" s="469"/>
      <c r="E553" s="469"/>
      <c r="F553" s="469"/>
      <c r="G553" s="469"/>
      <c r="H553" s="469"/>
      <c r="I553" s="469"/>
      <c r="J553" s="469"/>
      <c r="K553" s="469"/>
      <c r="L553" s="469"/>
      <c r="M553" s="469"/>
      <c r="N553" s="469"/>
      <c r="O553" s="469"/>
      <c r="P553" s="469"/>
      <c r="Q553" s="469"/>
      <c r="R553" s="469"/>
      <c r="S553" s="469"/>
      <c r="T553" s="469"/>
      <c r="U553" s="469"/>
      <c r="V553" s="469"/>
      <c r="W553" s="469"/>
    </row>
    <row r="554">
      <c r="A554" s="469"/>
      <c r="B554" s="496"/>
      <c r="C554" s="497"/>
      <c r="D554" s="469"/>
      <c r="E554" s="469"/>
      <c r="F554" s="469"/>
      <c r="G554" s="469"/>
      <c r="H554" s="469"/>
      <c r="I554" s="469"/>
      <c r="J554" s="469"/>
      <c r="K554" s="469"/>
      <c r="L554" s="469"/>
      <c r="M554" s="469"/>
      <c r="N554" s="469"/>
      <c r="O554" s="469"/>
      <c r="P554" s="469"/>
      <c r="Q554" s="469"/>
      <c r="R554" s="469"/>
      <c r="S554" s="469"/>
      <c r="T554" s="469"/>
      <c r="U554" s="469"/>
      <c r="V554" s="469"/>
      <c r="W554" s="469"/>
    </row>
    <row r="555">
      <c r="A555" s="469"/>
      <c r="B555" s="496"/>
      <c r="C555" s="497"/>
      <c r="D555" s="469"/>
      <c r="E555" s="469"/>
      <c r="F555" s="469"/>
      <c r="G555" s="469"/>
      <c r="H555" s="469"/>
      <c r="I555" s="469"/>
      <c r="J555" s="469"/>
      <c r="K555" s="469"/>
      <c r="L555" s="469"/>
      <c r="M555" s="469"/>
      <c r="N555" s="469"/>
      <c r="O555" s="469"/>
      <c r="P555" s="469"/>
      <c r="Q555" s="469"/>
      <c r="R555" s="469"/>
      <c r="S555" s="469"/>
      <c r="T555" s="469"/>
      <c r="U555" s="469"/>
      <c r="V555" s="469"/>
      <c r="W555" s="469"/>
    </row>
    <row r="556">
      <c r="A556" s="469"/>
      <c r="B556" s="496"/>
      <c r="C556" s="497"/>
      <c r="D556" s="469"/>
      <c r="E556" s="469"/>
      <c r="F556" s="469"/>
      <c r="G556" s="469"/>
      <c r="H556" s="469"/>
      <c r="I556" s="469"/>
      <c r="J556" s="469"/>
      <c r="K556" s="469"/>
      <c r="L556" s="469"/>
      <c r="M556" s="469"/>
      <c r="N556" s="469"/>
      <c r="O556" s="469"/>
      <c r="P556" s="469"/>
      <c r="Q556" s="469"/>
      <c r="R556" s="469"/>
      <c r="S556" s="469"/>
      <c r="T556" s="469"/>
      <c r="U556" s="469"/>
      <c r="V556" s="469"/>
      <c r="W556" s="469"/>
    </row>
    <row r="557">
      <c r="A557" s="469"/>
      <c r="B557" s="496"/>
      <c r="C557" s="497"/>
      <c r="D557" s="469"/>
      <c r="E557" s="469"/>
      <c r="F557" s="469"/>
      <c r="G557" s="469"/>
      <c r="H557" s="469"/>
      <c r="I557" s="469"/>
      <c r="J557" s="469"/>
      <c r="K557" s="469"/>
      <c r="L557" s="469"/>
      <c r="M557" s="469"/>
      <c r="N557" s="469"/>
      <c r="O557" s="469"/>
      <c r="P557" s="469"/>
      <c r="Q557" s="469"/>
      <c r="R557" s="469"/>
      <c r="S557" s="469"/>
      <c r="T557" s="469"/>
      <c r="U557" s="469"/>
      <c r="V557" s="469"/>
      <c r="W557" s="469"/>
    </row>
    <row r="558">
      <c r="A558" s="469"/>
      <c r="B558" s="496"/>
      <c r="C558" s="497"/>
      <c r="D558" s="469"/>
      <c r="E558" s="469"/>
      <c r="F558" s="469"/>
      <c r="G558" s="469"/>
      <c r="H558" s="469"/>
      <c r="I558" s="469"/>
      <c r="J558" s="469"/>
      <c r="K558" s="469"/>
      <c r="L558" s="469"/>
      <c r="M558" s="469"/>
      <c r="N558" s="469"/>
      <c r="O558" s="469"/>
      <c r="P558" s="469"/>
      <c r="Q558" s="469"/>
      <c r="R558" s="469"/>
      <c r="S558" s="469"/>
      <c r="T558" s="469"/>
      <c r="U558" s="469"/>
      <c r="V558" s="469"/>
      <c r="W558" s="469"/>
    </row>
    <row r="559">
      <c r="A559" s="469"/>
      <c r="B559" s="496"/>
      <c r="C559" s="497"/>
      <c r="D559" s="469"/>
      <c r="E559" s="469"/>
      <c r="F559" s="469"/>
      <c r="G559" s="469"/>
      <c r="H559" s="469"/>
      <c r="I559" s="469"/>
      <c r="J559" s="469"/>
      <c r="K559" s="469"/>
      <c r="L559" s="469"/>
      <c r="M559" s="469"/>
      <c r="N559" s="469"/>
      <c r="O559" s="469"/>
      <c r="P559" s="469"/>
      <c r="Q559" s="469"/>
      <c r="R559" s="469"/>
      <c r="S559" s="469"/>
      <c r="T559" s="469"/>
      <c r="U559" s="469"/>
      <c r="V559" s="469"/>
      <c r="W559" s="469"/>
    </row>
    <row r="560">
      <c r="A560" s="469"/>
      <c r="B560" s="496"/>
      <c r="C560" s="497"/>
      <c r="D560" s="469"/>
      <c r="E560" s="469"/>
      <c r="F560" s="469"/>
      <c r="G560" s="469"/>
      <c r="H560" s="469"/>
      <c r="I560" s="469"/>
      <c r="J560" s="469"/>
      <c r="K560" s="469"/>
      <c r="L560" s="469"/>
      <c r="M560" s="469"/>
      <c r="N560" s="469"/>
      <c r="O560" s="469"/>
      <c r="P560" s="469"/>
      <c r="Q560" s="469"/>
      <c r="R560" s="469"/>
      <c r="S560" s="469"/>
      <c r="T560" s="469"/>
      <c r="U560" s="469"/>
      <c r="V560" s="469"/>
      <c r="W560" s="469"/>
    </row>
    <row r="561">
      <c r="A561" s="469"/>
      <c r="B561" s="496"/>
      <c r="C561" s="497"/>
      <c r="D561" s="469"/>
      <c r="E561" s="469"/>
      <c r="F561" s="469"/>
      <c r="G561" s="469"/>
      <c r="H561" s="469"/>
      <c r="I561" s="469"/>
      <c r="J561" s="469"/>
      <c r="K561" s="469"/>
      <c r="L561" s="469"/>
      <c r="M561" s="469"/>
      <c r="N561" s="469"/>
      <c r="O561" s="469"/>
      <c r="P561" s="469"/>
      <c r="Q561" s="469"/>
      <c r="R561" s="469"/>
      <c r="S561" s="469"/>
      <c r="T561" s="469"/>
      <c r="U561" s="469"/>
      <c r="V561" s="469"/>
      <c r="W561" s="469"/>
    </row>
    <row r="562">
      <c r="A562" s="469"/>
      <c r="B562" s="496"/>
      <c r="C562" s="497"/>
      <c r="D562" s="469"/>
      <c r="E562" s="469"/>
      <c r="F562" s="469"/>
      <c r="G562" s="469"/>
      <c r="H562" s="469"/>
      <c r="I562" s="469"/>
      <c r="J562" s="469"/>
      <c r="K562" s="469"/>
      <c r="L562" s="469"/>
      <c r="M562" s="469"/>
      <c r="N562" s="469"/>
      <c r="O562" s="469"/>
      <c r="P562" s="469"/>
      <c r="Q562" s="469"/>
      <c r="R562" s="469"/>
      <c r="S562" s="469"/>
      <c r="T562" s="469"/>
      <c r="U562" s="469"/>
      <c r="V562" s="469"/>
      <c r="W562" s="469"/>
    </row>
    <row r="563">
      <c r="A563" s="469"/>
      <c r="B563" s="496"/>
      <c r="C563" s="497"/>
      <c r="D563" s="469"/>
      <c r="E563" s="469"/>
      <c r="F563" s="469"/>
      <c r="G563" s="469"/>
      <c r="H563" s="469"/>
      <c r="I563" s="469"/>
      <c r="J563" s="469"/>
      <c r="K563" s="469"/>
      <c r="L563" s="469"/>
      <c r="M563" s="469"/>
      <c r="N563" s="469"/>
      <c r="O563" s="469"/>
      <c r="P563" s="469"/>
      <c r="Q563" s="469"/>
      <c r="R563" s="469"/>
      <c r="S563" s="469"/>
      <c r="T563" s="469"/>
      <c r="U563" s="469"/>
      <c r="V563" s="469"/>
      <c r="W563" s="469"/>
    </row>
    <row r="564">
      <c r="A564" s="469"/>
      <c r="B564" s="496"/>
      <c r="C564" s="497"/>
      <c r="D564" s="469"/>
      <c r="E564" s="469"/>
      <c r="F564" s="469"/>
      <c r="G564" s="469"/>
      <c r="H564" s="469"/>
      <c r="I564" s="469"/>
      <c r="J564" s="469"/>
      <c r="K564" s="469"/>
      <c r="L564" s="469"/>
      <c r="M564" s="469"/>
      <c r="N564" s="469"/>
      <c r="O564" s="469"/>
      <c r="P564" s="469"/>
      <c r="Q564" s="469"/>
      <c r="R564" s="469"/>
      <c r="S564" s="469"/>
      <c r="T564" s="469"/>
      <c r="U564" s="469"/>
      <c r="V564" s="469"/>
      <c r="W564" s="469"/>
    </row>
    <row r="565">
      <c r="A565" s="469"/>
      <c r="B565" s="496"/>
      <c r="C565" s="497"/>
      <c r="D565" s="469"/>
      <c r="E565" s="469"/>
      <c r="F565" s="469"/>
      <c r="G565" s="469"/>
      <c r="H565" s="469"/>
      <c r="I565" s="469"/>
      <c r="J565" s="469"/>
      <c r="K565" s="469"/>
      <c r="L565" s="469"/>
      <c r="M565" s="469"/>
      <c r="N565" s="469"/>
      <c r="O565" s="469"/>
      <c r="P565" s="469"/>
      <c r="Q565" s="469"/>
      <c r="R565" s="469"/>
      <c r="S565" s="469"/>
      <c r="T565" s="469"/>
      <c r="U565" s="469"/>
      <c r="V565" s="469"/>
      <c r="W565" s="469"/>
    </row>
    <row r="566">
      <c r="A566" s="469"/>
      <c r="B566" s="496"/>
      <c r="C566" s="497"/>
      <c r="D566" s="469"/>
      <c r="E566" s="469"/>
      <c r="F566" s="469"/>
      <c r="G566" s="469"/>
      <c r="H566" s="469"/>
      <c r="I566" s="469"/>
      <c r="J566" s="469"/>
      <c r="K566" s="469"/>
      <c r="L566" s="469"/>
      <c r="M566" s="469"/>
      <c r="N566" s="469"/>
      <c r="O566" s="469"/>
      <c r="P566" s="469"/>
      <c r="Q566" s="469"/>
      <c r="R566" s="469"/>
      <c r="S566" s="469"/>
      <c r="T566" s="469"/>
      <c r="U566" s="469"/>
      <c r="V566" s="469"/>
      <c r="W566" s="469"/>
    </row>
    <row r="567">
      <c r="A567" s="469"/>
      <c r="B567" s="496"/>
      <c r="C567" s="497"/>
      <c r="D567" s="469"/>
      <c r="E567" s="469"/>
      <c r="F567" s="469"/>
      <c r="G567" s="469"/>
      <c r="H567" s="469"/>
      <c r="I567" s="469"/>
      <c r="J567" s="469"/>
      <c r="K567" s="469"/>
      <c r="L567" s="469"/>
      <c r="M567" s="469"/>
      <c r="N567" s="469"/>
      <c r="O567" s="469"/>
      <c r="P567" s="469"/>
      <c r="Q567" s="469"/>
      <c r="R567" s="469"/>
      <c r="S567" s="469"/>
      <c r="T567" s="469"/>
      <c r="U567" s="469"/>
      <c r="V567" s="469"/>
      <c r="W567" s="469"/>
    </row>
    <row r="568">
      <c r="A568" s="469"/>
      <c r="B568" s="496"/>
      <c r="C568" s="497"/>
      <c r="D568" s="469"/>
      <c r="E568" s="469"/>
      <c r="F568" s="469"/>
      <c r="G568" s="469"/>
      <c r="H568" s="469"/>
      <c r="I568" s="469"/>
      <c r="J568" s="469"/>
      <c r="K568" s="469"/>
      <c r="L568" s="469"/>
      <c r="M568" s="469"/>
      <c r="N568" s="469"/>
      <c r="O568" s="469"/>
      <c r="P568" s="469"/>
      <c r="Q568" s="469"/>
      <c r="R568" s="469"/>
      <c r="S568" s="469"/>
      <c r="T568" s="469"/>
      <c r="U568" s="469"/>
      <c r="V568" s="469"/>
      <c r="W568" s="469"/>
    </row>
    <row r="569">
      <c r="A569" s="469"/>
      <c r="B569" s="496"/>
      <c r="C569" s="497"/>
      <c r="D569" s="469"/>
      <c r="E569" s="469"/>
      <c r="F569" s="469"/>
      <c r="G569" s="469"/>
      <c r="H569" s="469"/>
      <c r="I569" s="469"/>
      <c r="J569" s="469"/>
      <c r="K569" s="469"/>
      <c r="L569" s="469"/>
      <c r="M569" s="469"/>
      <c r="N569" s="469"/>
      <c r="O569" s="469"/>
      <c r="P569" s="469"/>
      <c r="Q569" s="469"/>
      <c r="R569" s="469"/>
      <c r="S569" s="469"/>
      <c r="T569" s="469"/>
      <c r="U569" s="469"/>
      <c r="V569" s="469"/>
      <c r="W569" s="469"/>
    </row>
    <row r="570">
      <c r="A570" s="469"/>
      <c r="B570" s="496"/>
      <c r="C570" s="497"/>
      <c r="D570" s="469"/>
      <c r="E570" s="469"/>
      <c r="F570" s="469"/>
      <c r="G570" s="469"/>
      <c r="H570" s="469"/>
      <c r="I570" s="469"/>
      <c r="J570" s="469"/>
      <c r="K570" s="469"/>
      <c r="L570" s="469"/>
      <c r="M570" s="469"/>
      <c r="N570" s="469"/>
      <c r="O570" s="469"/>
      <c r="P570" s="469"/>
      <c r="Q570" s="469"/>
      <c r="R570" s="469"/>
      <c r="S570" s="469"/>
      <c r="T570" s="469"/>
      <c r="U570" s="469"/>
      <c r="V570" s="469"/>
      <c r="W570" s="469"/>
    </row>
    <row r="571">
      <c r="A571" s="469"/>
      <c r="B571" s="496"/>
      <c r="C571" s="497"/>
      <c r="D571" s="469"/>
      <c r="E571" s="469"/>
      <c r="F571" s="469"/>
      <c r="G571" s="469"/>
      <c r="H571" s="469"/>
      <c r="I571" s="469"/>
      <c r="J571" s="469"/>
      <c r="K571" s="469"/>
      <c r="L571" s="469"/>
      <c r="M571" s="469"/>
      <c r="N571" s="469"/>
      <c r="O571" s="469"/>
      <c r="P571" s="469"/>
      <c r="Q571" s="469"/>
      <c r="R571" s="469"/>
      <c r="S571" s="469"/>
      <c r="T571" s="469"/>
      <c r="U571" s="469"/>
      <c r="V571" s="469"/>
      <c r="W571" s="469"/>
    </row>
    <row r="572">
      <c r="A572" s="469"/>
      <c r="B572" s="496"/>
      <c r="C572" s="497"/>
      <c r="D572" s="469"/>
      <c r="E572" s="469"/>
      <c r="F572" s="469"/>
      <c r="G572" s="469"/>
      <c r="H572" s="469"/>
      <c r="I572" s="469"/>
      <c r="J572" s="469"/>
      <c r="K572" s="469"/>
      <c r="L572" s="469"/>
      <c r="M572" s="469"/>
      <c r="N572" s="469"/>
      <c r="O572" s="469"/>
      <c r="P572" s="469"/>
      <c r="Q572" s="469"/>
      <c r="R572" s="469"/>
      <c r="S572" s="469"/>
      <c r="T572" s="469"/>
      <c r="U572" s="469"/>
      <c r="V572" s="469"/>
      <c r="W572" s="469"/>
    </row>
    <row r="573">
      <c r="A573" s="469"/>
      <c r="B573" s="496"/>
      <c r="C573" s="497"/>
      <c r="D573" s="469"/>
      <c r="E573" s="469"/>
      <c r="F573" s="469"/>
      <c r="G573" s="469"/>
      <c r="H573" s="469"/>
      <c r="I573" s="469"/>
      <c r="J573" s="469"/>
      <c r="K573" s="469"/>
      <c r="L573" s="469"/>
      <c r="M573" s="469"/>
      <c r="N573" s="469"/>
      <c r="O573" s="469"/>
      <c r="P573" s="469"/>
      <c r="Q573" s="469"/>
      <c r="R573" s="469"/>
      <c r="S573" s="469"/>
      <c r="T573" s="469"/>
      <c r="U573" s="469"/>
      <c r="V573" s="469"/>
      <c r="W573" s="469"/>
    </row>
    <row r="574">
      <c r="A574" s="469"/>
      <c r="B574" s="496"/>
      <c r="C574" s="497"/>
      <c r="D574" s="469"/>
      <c r="E574" s="469"/>
      <c r="F574" s="469"/>
      <c r="G574" s="469"/>
      <c r="H574" s="469"/>
      <c r="I574" s="469"/>
      <c r="J574" s="469"/>
      <c r="K574" s="469"/>
      <c r="L574" s="469"/>
      <c r="M574" s="469"/>
      <c r="N574" s="469"/>
      <c r="O574" s="469"/>
      <c r="P574" s="469"/>
      <c r="Q574" s="469"/>
      <c r="R574" s="469"/>
      <c r="S574" s="469"/>
      <c r="T574" s="469"/>
      <c r="U574" s="469"/>
      <c r="V574" s="469"/>
      <c r="W574" s="469"/>
    </row>
    <row r="575">
      <c r="A575" s="469"/>
      <c r="B575" s="496"/>
      <c r="C575" s="497"/>
      <c r="D575" s="469"/>
      <c r="E575" s="469"/>
      <c r="F575" s="469"/>
      <c r="G575" s="469"/>
      <c r="H575" s="469"/>
      <c r="I575" s="469"/>
      <c r="J575" s="469"/>
      <c r="K575" s="469"/>
      <c r="L575" s="469"/>
      <c r="M575" s="469"/>
      <c r="N575" s="469"/>
      <c r="O575" s="469"/>
      <c r="P575" s="469"/>
      <c r="Q575" s="469"/>
      <c r="R575" s="469"/>
      <c r="S575" s="469"/>
      <c r="T575" s="469"/>
      <c r="U575" s="469"/>
      <c r="V575" s="469"/>
      <c r="W575" s="469"/>
    </row>
    <row r="576">
      <c r="A576" s="469"/>
      <c r="B576" s="496"/>
      <c r="C576" s="497"/>
      <c r="D576" s="469"/>
      <c r="E576" s="469"/>
      <c r="F576" s="469"/>
      <c r="G576" s="469"/>
      <c r="H576" s="469"/>
      <c r="I576" s="469"/>
      <c r="J576" s="469"/>
      <c r="K576" s="469"/>
      <c r="L576" s="469"/>
      <c r="M576" s="469"/>
      <c r="N576" s="469"/>
      <c r="O576" s="469"/>
      <c r="P576" s="469"/>
      <c r="Q576" s="469"/>
      <c r="R576" s="469"/>
      <c r="S576" s="469"/>
      <c r="T576" s="469"/>
      <c r="U576" s="469"/>
      <c r="V576" s="469"/>
      <c r="W576" s="469"/>
    </row>
    <row r="577">
      <c r="A577" s="469"/>
      <c r="B577" s="496"/>
      <c r="C577" s="497"/>
      <c r="D577" s="469"/>
      <c r="E577" s="469"/>
      <c r="F577" s="469"/>
      <c r="G577" s="469"/>
      <c r="H577" s="469"/>
      <c r="I577" s="469"/>
      <c r="J577" s="469"/>
      <c r="K577" s="469"/>
      <c r="L577" s="469"/>
      <c r="M577" s="469"/>
      <c r="N577" s="469"/>
      <c r="O577" s="469"/>
      <c r="P577" s="469"/>
      <c r="Q577" s="469"/>
      <c r="R577" s="469"/>
      <c r="S577" s="469"/>
      <c r="T577" s="469"/>
      <c r="U577" s="469"/>
      <c r="V577" s="469"/>
      <c r="W577" s="469"/>
    </row>
    <row r="578">
      <c r="A578" s="469"/>
      <c r="B578" s="496"/>
      <c r="C578" s="497"/>
      <c r="D578" s="469"/>
      <c r="E578" s="469"/>
      <c r="F578" s="469"/>
      <c r="G578" s="469"/>
      <c r="H578" s="469"/>
      <c r="I578" s="469"/>
      <c r="J578" s="469"/>
      <c r="K578" s="469"/>
      <c r="L578" s="469"/>
      <c r="M578" s="469"/>
      <c r="N578" s="469"/>
      <c r="O578" s="469"/>
      <c r="P578" s="469"/>
      <c r="Q578" s="469"/>
      <c r="R578" s="469"/>
      <c r="S578" s="469"/>
      <c r="T578" s="469"/>
      <c r="U578" s="469"/>
      <c r="V578" s="469"/>
      <c r="W578" s="469"/>
    </row>
    <row r="579">
      <c r="A579" s="469"/>
      <c r="B579" s="496"/>
      <c r="C579" s="497"/>
      <c r="D579" s="469"/>
      <c r="E579" s="469"/>
      <c r="F579" s="469"/>
      <c r="G579" s="469"/>
      <c r="H579" s="469"/>
      <c r="I579" s="469"/>
      <c r="J579" s="469"/>
      <c r="K579" s="469"/>
      <c r="L579" s="469"/>
      <c r="M579" s="469"/>
      <c r="N579" s="469"/>
      <c r="O579" s="469"/>
      <c r="P579" s="469"/>
      <c r="Q579" s="469"/>
      <c r="R579" s="469"/>
      <c r="S579" s="469"/>
      <c r="T579" s="469"/>
      <c r="U579" s="469"/>
      <c r="V579" s="469"/>
      <c r="W579" s="469"/>
    </row>
    <row r="580">
      <c r="A580" s="469"/>
      <c r="B580" s="496"/>
      <c r="C580" s="497"/>
      <c r="D580" s="469"/>
      <c r="E580" s="469"/>
      <c r="F580" s="469"/>
      <c r="G580" s="469"/>
      <c r="H580" s="469"/>
      <c r="I580" s="469"/>
      <c r="J580" s="469"/>
      <c r="K580" s="469"/>
      <c r="L580" s="469"/>
      <c r="M580" s="469"/>
      <c r="N580" s="469"/>
      <c r="O580" s="469"/>
      <c r="P580" s="469"/>
      <c r="Q580" s="469"/>
      <c r="R580" s="469"/>
      <c r="S580" s="469"/>
      <c r="T580" s="469"/>
      <c r="U580" s="469"/>
      <c r="V580" s="469"/>
      <c r="W580" s="469"/>
    </row>
    <row r="581">
      <c r="A581" s="469"/>
      <c r="B581" s="496"/>
      <c r="C581" s="497"/>
      <c r="D581" s="469"/>
      <c r="E581" s="469"/>
      <c r="F581" s="469"/>
      <c r="G581" s="469"/>
      <c r="H581" s="469"/>
      <c r="I581" s="469"/>
      <c r="J581" s="469"/>
      <c r="K581" s="469"/>
      <c r="L581" s="469"/>
      <c r="M581" s="469"/>
      <c r="N581" s="469"/>
      <c r="O581" s="469"/>
      <c r="P581" s="469"/>
      <c r="Q581" s="469"/>
      <c r="R581" s="469"/>
      <c r="S581" s="469"/>
      <c r="T581" s="469"/>
      <c r="U581" s="469"/>
      <c r="V581" s="469"/>
      <c r="W581" s="469"/>
    </row>
    <row r="582">
      <c r="A582" s="469"/>
      <c r="B582" s="496"/>
      <c r="C582" s="497"/>
      <c r="D582" s="469"/>
      <c r="E582" s="469"/>
      <c r="F582" s="469"/>
      <c r="G582" s="469"/>
      <c r="H582" s="469"/>
      <c r="I582" s="469"/>
      <c r="J582" s="469"/>
      <c r="K582" s="469"/>
      <c r="L582" s="469"/>
      <c r="M582" s="469"/>
      <c r="N582" s="469"/>
      <c r="O582" s="469"/>
      <c r="P582" s="469"/>
      <c r="Q582" s="469"/>
      <c r="R582" s="469"/>
      <c r="S582" s="469"/>
      <c r="T582" s="469"/>
      <c r="U582" s="469"/>
      <c r="V582" s="469"/>
      <c r="W582" s="469"/>
    </row>
    <row r="583">
      <c r="A583" s="469"/>
      <c r="B583" s="496"/>
      <c r="C583" s="497"/>
      <c r="D583" s="469"/>
      <c r="E583" s="469"/>
      <c r="F583" s="469"/>
      <c r="G583" s="469"/>
      <c r="H583" s="469"/>
      <c r="I583" s="469"/>
      <c r="J583" s="469"/>
      <c r="K583" s="469"/>
      <c r="L583" s="469"/>
      <c r="M583" s="469"/>
      <c r="N583" s="469"/>
      <c r="O583" s="469"/>
      <c r="P583" s="469"/>
      <c r="Q583" s="469"/>
      <c r="R583" s="469"/>
      <c r="S583" s="469"/>
      <c r="T583" s="469"/>
      <c r="U583" s="469"/>
      <c r="V583" s="469"/>
      <c r="W583" s="469"/>
    </row>
    <row r="584">
      <c r="A584" s="469"/>
      <c r="B584" s="496"/>
      <c r="C584" s="497"/>
      <c r="D584" s="469"/>
      <c r="E584" s="469"/>
      <c r="F584" s="469"/>
      <c r="G584" s="469"/>
      <c r="H584" s="469"/>
      <c r="I584" s="469"/>
      <c r="J584" s="469"/>
      <c r="K584" s="469"/>
      <c r="L584" s="469"/>
      <c r="M584" s="469"/>
      <c r="N584" s="469"/>
      <c r="O584" s="469"/>
      <c r="P584" s="469"/>
      <c r="Q584" s="469"/>
      <c r="R584" s="469"/>
      <c r="S584" s="469"/>
      <c r="T584" s="469"/>
      <c r="U584" s="469"/>
      <c r="V584" s="469"/>
      <c r="W584" s="469"/>
    </row>
    <row r="585">
      <c r="A585" s="469"/>
      <c r="B585" s="496"/>
      <c r="C585" s="497"/>
      <c r="D585" s="469"/>
      <c r="E585" s="469"/>
      <c r="F585" s="469"/>
      <c r="G585" s="469"/>
      <c r="H585" s="469"/>
      <c r="I585" s="469"/>
      <c r="J585" s="469"/>
      <c r="K585" s="469"/>
      <c r="L585" s="469"/>
      <c r="M585" s="469"/>
      <c r="N585" s="469"/>
      <c r="O585" s="469"/>
      <c r="P585" s="469"/>
      <c r="Q585" s="469"/>
      <c r="R585" s="469"/>
      <c r="S585" s="469"/>
      <c r="T585" s="469"/>
      <c r="U585" s="469"/>
      <c r="V585" s="469"/>
      <c r="W585" s="469"/>
    </row>
    <row r="586">
      <c r="A586" s="469"/>
      <c r="B586" s="496"/>
      <c r="C586" s="497"/>
      <c r="D586" s="469"/>
      <c r="E586" s="469"/>
      <c r="F586" s="469"/>
      <c r="G586" s="469"/>
      <c r="H586" s="469"/>
      <c r="I586" s="469"/>
      <c r="J586" s="469"/>
      <c r="K586" s="469"/>
      <c r="L586" s="469"/>
      <c r="M586" s="469"/>
      <c r="N586" s="469"/>
      <c r="O586" s="469"/>
      <c r="P586" s="469"/>
      <c r="Q586" s="469"/>
      <c r="R586" s="469"/>
      <c r="S586" s="469"/>
      <c r="T586" s="469"/>
      <c r="U586" s="469"/>
      <c r="V586" s="469"/>
      <c r="W586" s="469"/>
    </row>
    <row r="587">
      <c r="A587" s="469"/>
      <c r="B587" s="496"/>
      <c r="C587" s="497"/>
      <c r="D587" s="469"/>
      <c r="E587" s="469"/>
      <c r="F587" s="469"/>
      <c r="G587" s="469"/>
      <c r="H587" s="469"/>
      <c r="I587" s="469"/>
      <c r="J587" s="469"/>
      <c r="K587" s="469"/>
      <c r="L587" s="469"/>
      <c r="M587" s="469"/>
      <c r="N587" s="469"/>
      <c r="O587" s="469"/>
      <c r="P587" s="469"/>
      <c r="Q587" s="469"/>
      <c r="R587" s="469"/>
      <c r="S587" s="469"/>
      <c r="T587" s="469"/>
      <c r="U587" s="469"/>
      <c r="V587" s="469"/>
      <c r="W587" s="469"/>
    </row>
    <row r="588">
      <c r="A588" s="469"/>
      <c r="B588" s="496"/>
      <c r="C588" s="497"/>
      <c r="D588" s="469"/>
      <c r="E588" s="469"/>
      <c r="F588" s="469"/>
      <c r="G588" s="469"/>
      <c r="H588" s="469"/>
      <c r="I588" s="469"/>
      <c r="J588" s="469"/>
      <c r="K588" s="469"/>
      <c r="L588" s="469"/>
      <c r="M588" s="469"/>
      <c r="N588" s="469"/>
      <c r="O588" s="469"/>
      <c r="P588" s="469"/>
      <c r="Q588" s="469"/>
      <c r="R588" s="469"/>
      <c r="S588" s="469"/>
      <c r="T588" s="469"/>
      <c r="U588" s="469"/>
      <c r="V588" s="469"/>
      <c r="W588" s="469"/>
    </row>
    <row r="589">
      <c r="A589" s="469"/>
      <c r="B589" s="496"/>
      <c r="C589" s="497"/>
      <c r="D589" s="469"/>
      <c r="E589" s="469"/>
      <c r="F589" s="469"/>
      <c r="G589" s="469"/>
      <c r="H589" s="469"/>
      <c r="I589" s="469"/>
      <c r="J589" s="469"/>
      <c r="K589" s="469"/>
      <c r="L589" s="469"/>
      <c r="M589" s="469"/>
      <c r="N589" s="469"/>
      <c r="O589" s="469"/>
      <c r="P589" s="469"/>
      <c r="Q589" s="469"/>
      <c r="R589" s="469"/>
      <c r="S589" s="469"/>
      <c r="T589" s="469"/>
      <c r="U589" s="469"/>
      <c r="V589" s="469"/>
      <c r="W589" s="469"/>
    </row>
    <row r="590">
      <c r="A590" s="469"/>
      <c r="B590" s="496"/>
      <c r="C590" s="497"/>
      <c r="D590" s="469"/>
      <c r="E590" s="469"/>
      <c r="F590" s="469"/>
      <c r="G590" s="469"/>
      <c r="H590" s="469"/>
      <c r="I590" s="469"/>
      <c r="J590" s="469"/>
      <c r="K590" s="469"/>
      <c r="L590" s="469"/>
      <c r="M590" s="469"/>
      <c r="N590" s="469"/>
      <c r="O590" s="469"/>
      <c r="P590" s="469"/>
      <c r="Q590" s="469"/>
      <c r="R590" s="469"/>
      <c r="S590" s="469"/>
      <c r="T590" s="469"/>
      <c r="U590" s="469"/>
      <c r="V590" s="469"/>
      <c r="W590" s="469"/>
    </row>
    <row r="591">
      <c r="A591" s="469"/>
      <c r="B591" s="496"/>
      <c r="C591" s="497"/>
      <c r="D591" s="469"/>
      <c r="E591" s="469"/>
      <c r="F591" s="469"/>
      <c r="G591" s="469"/>
      <c r="H591" s="469"/>
      <c r="I591" s="469"/>
      <c r="J591" s="469"/>
      <c r="K591" s="469"/>
      <c r="L591" s="469"/>
      <c r="M591" s="469"/>
      <c r="N591" s="469"/>
      <c r="O591" s="469"/>
      <c r="P591" s="469"/>
      <c r="Q591" s="469"/>
      <c r="R591" s="469"/>
      <c r="S591" s="469"/>
      <c r="T591" s="469"/>
      <c r="U591" s="469"/>
      <c r="V591" s="469"/>
      <c r="W591" s="469"/>
    </row>
    <row r="592">
      <c r="A592" s="469"/>
      <c r="B592" s="496"/>
      <c r="C592" s="497"/>
      <c r="D592" s="469"/>
      <c r="E592" s="469"/>
      <c r="F592" s="469"/>
      <c r="G592" s="469"/>
      <c r="H592" s="469"/>
      <c r="I592" s="469"/>
      <c r="J592" s="469"/>
      <c r="K592" s="469"/>
      <c r="L592" s="469"/>
      <c r="M592" s="469"/>
      <c r="N592" s="469"/>
      <c r="O592" s="469"/>
      <c r="P592" s="469"/>
      <c r="Q592" s="469"/>
      <c r="R592" s="469"/>
      <c r="S592" s="469"/>
      <c r="T592" s="469"/>
      <c r="U592" s="469"/>
      <c r="V592" s="469"/>
      <c r="W592" s="469"/>
    </row>
    <row r="593">
      <c r="A593" s="469"/>
      <c r="B593" s="496"/>
      <c r="C593" s="497"/>
      <c r="D593" s="469"/>
      <c r="E593" s="469"/>
      <c r="F593" s="469"/>
      <c r="G593" s="469"/>
      <c r="H593" s="469"/>
      <c r="I593" s="469"/>
      <c r="J593" s="469"/>
      <c r="K593" s="469"/>
      <c r="L593" s="469"/>
      <c r="M593" s="469"/>
      <c r="N593" s="469"/>
      <c r="O593" s="469"/>
      <c r="P593" s="469"/>
      <c r="Q593" s="469"/>
      <c r="R593" s="469"/>
      <c r="S593" s="469"/>
      <c r="T593" s="469"/>
      <c r="U593" s="469"/>
      <c r="V593" s="469"/>
      <c r="W593" s="469"/>
    </row>
    <row r="594">
      <c r="A594" s="469"/>
      <c r="B594" s="496"/>
      <c r="C594" s="497"/>
      <c r="D594" s="469"/>
      <c r="E594" s="469"/>
      <c r="F594" s="469"/>
      <c r="G594" s="469"/>
      <c r="H594" s="469"/>
      <c r="I594" s="469"/>
      <c r="J594" s="469"/>
      <c r="K594" s="469"/>
      <c r="L594" s="469"/>
      <c r="M594" s="469"/>
      <c r="N594" s="469"/>
      <c r="O594" s="469"/>
      <c r="P594" s="469"/>
      <c r="Q594" s="469"/>
      <c r="R594" s="469"/>
      <c r="S594" s="469"/>
      <c r="T594" s="469"/>
      <c r="U594" s="469"/>
      <c r="V594" s="469"/>
      <c r="W594" s="469"/>
    </row>
    <row r="595">
      <c r="A595" s="469"/>
      <c r="B595" s="496"/>
      <c r="C595" s="497"/>
      <c r="D595" s="469"/>
      <c r="E595" s="469"/>
      <c r="F595" s="469"/>
      <c r="G595" s="469"/>
      <c r="H595" s="469"/>
      <c r="I595" s="469"/>
      <c r="J595" s="469"/>
      <c r="K595" s="469"/>
      <c r="L595" s="469"/>
      <c r="M595" s="469"/>
      <c r="N595" s="469"/>
      <c r="O595" s="469"/>
      <c r="P595" s="469"/>
      <c r="Q595" s="469"/>
      <c r="R595" s="469"/>
      <c r="S595" s="469"/>
      <c r="T595" s="469"/>
      <c r="U595" s="469"/>
      <c r="V595" s="469"/>
      <c r="W595" s="469"/>
    </row>
    <row r="596">
      <c r="A596" s="469"/>
      <c r="B596" s="496"/>
      <c r="C596" s="497"/>
      <c r="D596" s="469"/>
      <c r="E596" s="469"/>
      <c r="F596" s="469"/>
      <c r="G596" s="469"/>
      <c r="H596" s="469"/>
      <c r="I596" s="469"/>
      <c r="J596" s="469"/>
      <c r="K596" s="469"/>
      <c r="L596" s="469"/>
      <c r="M596" s="469"/>
      <c r="N596" s="469"/>
      <c r="O596" s="469"/>
      <c r="P596" s="469"/>
      <c r="Q596" s="469"/>
      <c r="R596" s="469"/>
      <c r="S596" s="469"/>
      <c r="T596" s="469"/>
      <c r="U596" s="469"/>
      <c r="V596" s="469"/>
      <c r="W596" s="469"/>
    </row>
    <row r="597">
      <c r="A597" s="469"/>
      <c r="B597" s="496"/>
      <c r="C597" s="497"/>
      <c r="D597" s="469"/>
      <c r="E597" s="469"/>
      <c r="F597" s="469"/>
      <c r="G597" s="469"/>
      <c r="H597" s="469"/>
      <c r="I597" s="469"/>
      <c r="J597" s="469"/>
      <c r="K597" s="469"/>
      <c r="L597" s="469"/>
      <c r="M597" s="469"/>
      <c r="N597" s="469"/>
      <c r="O597" s="469"/>
      <c r="P597" s="469"/>
      <c r="Q597" s="469"/>
      <c r="R597" s="469"/>
      <c r="S597" s="469"/>
      <c r="T597" s="469"/>
      <c r="U597" s="469"/>
      <c r="V597" s="469"/>
      <c r="W597" s="469"/>
    </row>
    <row r="598">
      <c r="A598" s="469"/>
      <c r="B598" s="496"/>
      <c r="C598" s="497"/>
      <c r="D598" s="469"/>
      <c r="E598" s="469"/>
      <c r="F598" s="469"/>
      <c r="G598" s="469"/>
      <c r="H598" s="469"/>
      <c r="I598" s="469"/>
      <c r="J598" s="469"/>
      <c r="K598" s="469"/>
      <c r="L598" s="469"/>
      <c r="M598" s="469"/>
      <c r="N598" s="469"/>
      <c r="O598" s="469"/>
      <c r="P598" s="469"/>
      <c r="Q598" s="469"/>
      <c r="R598" s="469"/>
      <c r="S598" s="469"/>
      <c r="T598" s="469"/>
      <c r="U598" s="469"/>
      <c r="V598" s="469"/>
      <c r="W598" s="469"/>
    </row>
    <row r="599">
      <c r="A599" s="469"/>
      <c r="B599" s="496"/>
      <c r="C599" s="497"/>
      <c r="D599" s="469"/>
      <c r="E599" s="469"/>
      <c r="F599" s="469"/>
      <c r="G599" s="469"/>
      <c r="H599" s="469"/>
      <c r="I599" s="469"/>
      <c r="J599" s="469"/>
      <c r="K599" s="469"/>
      <c r="L599" s="469"/>
      <c r="M599" s="469"/>
      <c r="N599" s="469"/>
      <c r="O599" s="469"/>
      <c r="P599" s="469"/>
      <c r="Q599" s="469"/>
      <c r="R599" s="469"/>
      <c r="S599" s="469"/>
      <c r="T599" s="469"/>
      <c r="U599" s="469"/>
      <c r="V599" s="469"/>
      <c r="W599" s="469"/>
    </row>
    <row r="600">
      <c r="A600" s="469"/>
      <c r="B600" s="496"/>
      <c r="C600" s="497"/>
      <c r="D600" s="469"/>
      <c r="E600" s="469"/>
      <c r="F600" s="469"/>
      <c r="G600" s="469"/>
      <c r="H600" s="469"/>
      <c r="I600" s="469"/>
      <c r="J600" s="469"/>
      <c r="K600" s="469"/>
      <c r="L600" s="469"/>
      <c r="M600" s="469"/>
      <c r="N600" s="469"/>
      <c r="O600" s="469"/>
      <c r="P600" s="469"/>
      <c r="Q600" s="469"/>
      <c r="R600" s="469"/>
      <c r="S600" s="469"/>
      <c r="T600" s="469"/>
      <c r="U600" s="469"/>
      <c r="V600" s="469"/>
      <c r="W600" s="469"/>
    </row>
    <row r="601">
      <c r="A601" s="469"/>
      <c r="B601" s="496"/>
      <c r="C601" s="497"/>
      <c r="D601" s="469"/>
      <c r="E601" s="469"/>
      <c r="F601" s="469"/>
      <c r="G601" s="469"/>
      <c r="H601" s="469"/>
      <c r="I601" s="469"/>
      <c r="J601" s="469"/>
      <c r="K601" s="469"/>
      <c r="L601" s="469"/>
      <c r="M601" s="469"/>
      <c r="N601" s="469"/>
      <c r="O601" s="469"/>
      <c r="P601" s="469"/>
      <c r="Q601" s="469"/>
      <c r="R601" s="469"/>
      <c r="S601" s="469"/>
      <c r="T601" s="469"/>
      <c r="U601" s="469"/>
      <c r="V601" s="469"/>
      <c r="W601" s="469"/>
    </row>
    <row r="602">
      <c r="A602" s="469"/>
      <c r="B602" s="496"/>
      <c r="C602" s="497"/>
      <c r="D602" s="469"/>
      <c r="E602" s="469"/>
      <c r="F602" s="469"/>
      <c r="G602" s="469"/>
      <c r="H602" s="469"/>
      <c r="I602" s="469"/>
      <c r="J602" s="469"/>
      <c r="K602" s="469"/>
      <c r="L602" s="469"/>
      <c r="M602" s="469"/>
      <c r="N602" s="469"/>
      <c r="O602" s="469"/>
      <c r="P602" s="469"/>
      <c r="Q602" s="469"/>
      <c r="R602" s="469"/>
      <c r="S602" s="469"/>
      <c r="T602" s="469"/>
      <c r="U602" s="469"/>
      <c r="V602" s="469"/>
      <c r="W602" s="469"/>
    </row>
    <row r="603">
      <c r="A603" s="469"/>
      <c r="B603" s="496"/>
      <c r="C603" s="497"/>
      <c r="D603" s="469"/>
      <c r="E603" s="469"/>
      <c r="F603" s="469"/>
      <c r="G603" s="469"/>
      <c r="H603" s="469"/>
      <c r="I603" s="469"/>
      <c r="J603" s="469"/>
      <c r="K603" s="469"/>
      <c r="L603" s="469"/>
      <c r="M603" s="469"/>
      <c r="N603" s="469"/>
      <c r="O603" s="469"/>
      <c r="P603" s="469"/>
      <c r="Q603" s="469"/>
      <c r="R603" s="469"/>
      <c r="S603" s="469"/>
      <c r="T603" s="469"/>
      <c r="U603" s="469"/>
      <c r="V603" s="469"/>
      <c r="W603" s="469"/>
    </row>
    <row r="604">
      <c r="A604" s="469"/>
      <c r="B604" s="496"/>
      <c r="C604" s="497"/>
      <c r="D604" s="469"/>
      <c r="E604" s="469"/>
      <c r="F604" s="469"/>
      <c r="G604" s="469"/>
      <c r="H604" s="469"/>
      <c r="I604" s="469"/>
      <c r="J604" s="469"/>
      <c r="K604" s="469"/>
      <c r="L604" s="469"/>
      <c r="M604" s="469"/>
      <c r="N604" s="469"/>
      <c r="O604" s="469"/>
      <c r="P604" s="469"/>
      <c r="Q604" s="469"/>
      <c r="R604" s="469"/>
      <c r="S604" s="469"/>
      <c r="T604" s="469"/>
      <c r="U604" s="469"/>
      <c r="V604" s="469"/>
      <c r="W604" s="469"/>
    </row>
    <row r="605">
      <c r="A605" s="469"/>
      <c r="B605" s="496"/>
      <c r="C605" s="497"/>
      <c r="D605" s="469"/>
      <c r="E605" s="469"/>
      <c r="F605" s="469"/>
      <c r="G605" s="469"/>
      <c r="H605" s="469"/>
      <c r="I605" s="469"/>
      <c r="J605" s="469"/>
      <c r="K605" s="469"/>
      <c r="L605" s="469"/>
      <c r="M605" s="469"/>
      <c r="N605" s="469"/>
      <c r="O605" s="469"/>
      <c r="P605" s="469"/>
      <c r="Q605" s="469"/>
      <c r="R605" s="469"/>
      <c r="S605" s="469"/>
      <c r="T605" s="469"/>
      <c r="U605" s="469"/>
      <c r="V605" s="469"/>
      <c r="W605" s="469"/>
    </row>
    <row r="606">
      <c r="A606" s="469"/>
      <c r="B606" s="496"/>
      <c r="C606" s="497"/>
      <c r="D606" s="469"/>
      <c r="E606" s="469"/>
      <c r="F606" s="469"/>
      <c r="G606" s="469"/>
      <c r="H606" s="469"/>
      <c r="I606" s="469"/>
      <c r="J606" s="469"/>
      <c r="K606" s="469"/>
      <c r="L606" s="469"/>
      <c r="M606" s="469"/>
      <c r="N606" s="469"/>
      <c r="O606" s="469"/>
      <c r="P606" s="469"/>
      <c r="Q606" s="469"/>
      <c r="R606" s="469"/>
      <c r="S606" s="469"/>
      <c r="T606" s="469"/>
      <c r="U606" s="469"/>
      <c r="V606" s="469"/>
      <c r="W606" s="469"/>
    </row>
    <row r="607">
      <c r="A607" s="469"/>
      <c r="B607" s="496"/>
      <c r="C607" s="497"/>
      <c r="D607" s="469"/>
      <c r="E607" s="469"/>
      <c r="F607" s="469"/>
      <c r="G607" s="469"/>
      <c r="H607" s="469"/>
      <c r="I607" s="469"/>
      <c r="J607" s="469"/>
      <c r="K607" s="469"/>
      <c r="L607" s="469"/>
      <c r="M607" s="469"/>
      <c r="N607" s="469"/>
      <c r="O607" s="469"/>
      <c r="P607" s="469"/>
      <c r="Q607" s="469"/>
      <c r="R607" s="469"/>
      <c r="S607" s="469"/>
      <c r="T607" s="469"/>
      <c r="U607" s="469"/>
      <c r="V607" s="469"/>
      <c r="W607" s="469"/>
    </row>
    <row r="608">
      <c r="A608" s="469"/>
      <c r="B608" s="496"/>
      <c r="C608" s="497"/>
      <c r="D608" s="469"/>
      <c r="E608" s="469"/>
      <c r="F608" s="469"/>
      <c r="G608" s="469"/>
      <c r="H608" s="469"/>
      <c r="I608" s="469"/>
      <c r="J608" s="469"/>
      <c r="K608" s="469"/>
      <c r="L608" s="469"/>
      <c r="M608" s="469"/>
      <c r="N608" s="469"/>
      <c r="O608" s="469"/>
      <c r="P608" s="469"/>
      <c r="Q608" s="469"/>
      <c r="R608" s="469"/>
      <c r="S608" s="469"/>
      <c r="T608" s="469"/>
      <c r="U608" s="469"/>
      <c r="V608" s="469"/>
      <c r="W608" s="469"/>
    </row>
    <row r="609">
      <c r="A609" s="469"/>
      <c r="B609" s="496"/>
      <c r="C609" s="497"/>
      <c r="D609" s="469"/>
      <c r="E609" s="469"/>
      <c r="F609" s="469"/>
      <c r="G609" s="469"/>
      <c r="H609" s="469"/>
      <c r="I609" s="469"/>
      <c r="J609" s="469"/>
      <c r="K609" s="469"/>
      <c r="L609" s="469"/>
      <c r="M609" s="469"/>
      <c r="N609" s="469"/>
      <c r="O609" s="469"/>
      <c r="P609" s="469"/>
      <c r="Q609" s="469"/>
      <c r="R609" s="469"/>
      <c r="S609" s="469"/>
      <c r="T609" s="469"/>
      <c r="U609" s="469"/>
      <c r="V609" s="469"/>
      <c r="W609" s="469"/>
    </row>
    <row r="610">
      <c r="A610" s="469"/>
      <c r="B610" s="496"/>
      <c r="C610" s="497"/>
      <c r="D610" s="469"/>
      <c r="E610" s="469"/>
      <c r="F610" s="469"/>
      <c r="G610" s="469"/>
      <c r="H610" s="469"/>
      <c r="I610" s="469"/>
      <c r="J610" s="469"/>
      <c r="K610" s="469"/>
      <c r="L610" s="469"/>
      <c r="M610" s="469"/>
      <c r="N610" s="469"/>
      <c r="O610" s="469"/>
      <c r="P610" s="469"/>
      <c r="Q610" s="469"/>
      <c r="R610" s="469"/>
      <c r="S610" s="469"/>
      <c r="T610" s="469"/>
      <c r="U610" s="469"/>
      <c r="V610" s="469"/>
      <c r="W610" s="469"/>
    </row>
    <row r="611">
      <c r="A611" s="469"/>
      <c r="B611" s="496"/>
      <c r="C611" s="497"/>
      <c r="D611" s="469"/>
      <c r="E611" s="469"/>
      <c r="F611" s="469"/>
      <c r="G611" s="469"/>
      <c r="H611" s="469"/>
      <c r="I611" s="469"/>
      <c r="J611" s="469"/>
      <c r="K611" s="469"/>
      <c r="L611" s="469"/>
      <c r="M611" s="469"/>
      <c r="N611" s="469"/>
      <c r="O611" s="469"/>
      <c r="P611" s="469"/>
      <c r="Q611" s="469"/>
      <c r="R611" s="469"/>
      <c r="S611" s="469"/>
      <c r="T611" s="469"/>
      <c r="U611" s="469"/>
      <c r="V611" s="469"/>
      <c r="W611" s="469"/>
    </row>
    <row r="612">
      <c r="A612" s="469"/>
      <c r="B612" s="496"/>
      <c r="C612" s="497"/>
      <c r="D612" s="469"/>
      <c r="E612" s="469"/>
      <c r="F612" s="469"/>
      <c r="G612" s="469"/>
      <c r="H612" s="469"/>
      <c r="I612" s="469"/>
      <c r="J612" s="469"/>
      <c r="K612" s="469"/>
      <c r="L612" s="469"/>
      <c r="M612" s="469"/>
      <c r="N612" s="469"/>
      <c r="O612" s="469"/>
      <c r="P612" s="469"/>
      <c r="Q612" s="469"/>
      <c r="R612" s="469"/>
      <c r="S612" s="469"/>
      <c r="T612" s="469"/>
      <c r="U612" s="469"/>
      <c r="V612" s="469"/>
      <c r="W612" s="469"/>
    </row>
    <row r="613">
      <c r="A613" s="469"/>
      <c r="B613" s="496"/>
      <c r="C613" s="497"/>
      <c r="D613" s="469"/>
      <c r="E613" s="469"/>
      <c r="F613" s="469"/>
      <c r="G613" s="469"/>
      <c r="H613" s="469"/>
      <c r="I613" s="469"/>
      <c r="J613" s="469"/>
      <c r="K613" s="469"/>
      <c r="L613" s="469"/>
      <c r="M613" s="469"/>
      <c r="N613" s="469"/>
      <c r="O613" s="469"/>
      <c r="P613" s="469"/>
      <c r="Q613" s="469"/>
      <c r="R613" s="469"/>
      <c r="S613" s="469"/>
      <c r="T613" s="469"/>
      <c r="U613" s="469"/>
      <c r="V613" s="469"/>
      <c r="W613" s="469"/>
    </row>
    <row r="614">
      <c r="A614" s="469"/>
      <c r="B614" s="496"/>
      <c r="C614" s="497"/>
      <c r="D614" s="469"/>
      <c r="E614" s="469"/>
      <c r="F614" s="469"/>
      <c r="G614" s="469"/>
      <c r="H614" s="469"/>
      <c r="I614" s="469"/>
      <c r="J614" s="469"/>
      <c r="K614" s="469"/>
      <c r="L614" s="469"/>
      <c r="M614" s="469"/>
      <c r="N614" s="469"/>
      <c r="O614" s="469"/>
      <c r="P614" s="469"/>
      <c r="Q614" s="469"/>
      <c r="R614" s="469"/>
      <c r="S614" s="469"/>
      <c r="T614" s="469"/>
      <c r="U614" s="469"/>
      <c r="V614" s="469"/>
      <c r="W614" s="469"/>
    </row>
    <row r="615">
      <c r="A615" s="469"/>
      <c r="B615" s="496"/>
      <c r="C615" s="497"/>
      <c r="D615" s="469"/>
      <c r="E615" s="469"/>
      <c r="F615" s="469"/>
      <c r="G615" s="469"/>
      <c r="H615" s="469"/>
      <c r="I615" s="469"/>
      <c r="J615" s="469"/>
      <c r="K615" s="469"/>
      <c r="L615" s="469"/>
      <c r="M615" s="469"/>
      <c r="N615" s="469"/>
      <c r="O615" s="469"/>
      <c r="P615" s="469"/>
      <c r="Q615" s="469"/>
      <c r="R615" s="469"/>
      <c r="S615" s="469"/>
      <c r="T615" s="469"/>
      <c r="U615" s="469"/>
      <c r="V615" s="469"/>
      <c r="W615" s="469"/>
    </row>
    <row r="616">
      <c r="A616" s="469"/>
      <c r="B616" s="496"/>
      <c r="C616" s="497"/>
      <c r="D616" s="469"/>
      <c r="E616" s="469"/>
      <c r="F616" s="469"/>
      <c r="G616" s="469"/>
      <c r="H616" s="469"/>
      <c r="I616" s="469"/>
      <c r="J616" s="469"/>
      <c r="K616" s="469"/>
      <c r="L616" s="469"/>
      <c r="M616" s="469"/>
      <c r="N616" s="469"/>
      <c r="O616" s="469"/>
      <c r="P616" s="469"/>
      <c r="Q616" s="469"/>
      <c r="R616" s="469"/>
      <c r="S616" s="469"/>
      <c r="T616" s="469"/>
      <c r="U616" s="469"/>
      <c r="V616" s="469"/>
      <c r="W616" s="469"/>
    </row>
    <row r="617">
      <c r="A617" s="469"/>
      <c r="B617" s="496"/>
      <c r="C617" s="497"/>
      <c r="D617" s="469"/>
      <c r="E617" s="469"/>
      <c r="F617" s="469"/>
      <c r="G617" s="469"/>
      <c r="H617" s="469"/>
      <c r="I617" s="469"/>
      <c r="J617" s="469"/>
      <c r="K617" s="469"/>
      <c r="L617" s="469"/>
      <c r="M617" s="469"/>
      <c r="N617" s="469"/>
      <c r="O617" s="469"/>
      <c r="P617" s="469"/>
      <c r="Q617" s="469"/>
      <c r="R617" s="469"/>
      <c r="S617" s="469"/>
      <c r="T617" s="469"/>
      <c r="U617" s="469"/>
      <c r="V617" s="469"/>
      <c r="W617" s="469"/>
    </row>
    <row r="618">
      <c r="A618" s="469"/>
      <c r="B618" s="496"/>
      <c r="C618" s="497"/>
      <c r="D618" s="469"/>
      <c r="E618" s="469"/>
      <c r="F618" s="469"/>
      <c r="G618" s="469"/>
      <c r="H618" s="469"/>
      <c r="I618" s="469"/>
      <c r="J618" s="469"/>
      <c r="K618" s="469"/>
      <c r="L618" s="469"/>
      <c r="M618" s="469"/>
      <c r="N618" s="469"/>
      <c r="O618" s="469"/>
      <c r="P618" s="469"/>
      <c r="Q618" s="469"/>
      <c r="R618" s="469"/>
      <c r="S618" s="469"/>
      <c r="T618" s="469"/>
      <c r="U618" s="469"/>
      <c r="V618" s="469"/>
      <c r="W618" s="469"/>
    </row>
    <row r="619">
      <c r="A619" s="469"/>
      <c r="B619" s="496"/>
      <c r="C619" s="497"/>
      <c r="D619" s="469"/>
      <c r="E619" s="469"/>
      <c r="F619" s="469"/>
      <c r="G619" s="469"/>
      <c r="H619" s="469"/>
      <c r="I619" s="469"/>
      <c r="J619" s="469"/>
      <c r="K619" s="469"/>
      <c r="L619" s="469"/>
      <c r="M619" s="469"/>
      <c r="N619" s="469"/>
      <c r="O619" s="469"/>
      <c r="P619" s="469"/>
      <c r="Q619" s="469"/>
      <c r="R619" s="469"/>
      <c r="S619" s="469"/>
      <c r="T619" s="469"/>
      <c r="U619" s="469"/>
      <c r="V619" s="469"/>
      <c r="W619" s="469"/>
    </row>
    <row r="620">
      <c r="A620" s="469"/>
      <c r="B620" s="496"/>
      <c r="C620" s="497"/>
      <c r="D620" s="469"/>
      <c r="E620" s="469"/>
      <c r="F620" s="469"/>
      <c r="G620" s="469"/>
      <c r="H620" s="469"/>
      <c r="I620" s="469"/>
      <c r="J620" s="469"/>
      <c r="K620" s="469"/>
      <c r="L620" s="469"/>
      <c r="M620" s="469"/>
      <c r="N620" s="469"/>
      <c r="O620" s="469"/>
      <c r="P620" s="469"/>
      <c r="Q620" s="469"/>
      <c r="R620" s="469"/>
      <c r="S620" s="469"/>
      <c r="T620" s="469"/>
      <c r="U620" s="469"/>
      <c r="V620" s="469"/>
      <c r="W620" s="469"/>
    </row>
    <row r="621">
      <c r="A621" s="469"/>
      <c r="B621" s="496"/>
      <c r="C621" s="497"/>
      <c r="D621" s="469"/>
      <c r="E621" s="469"/>
      <c r="F621" s="469"/>
      <c r="G621" s="469"/>
      <c r="H621" s="469"/>
      <c r="I621" s="469"/>
      <c r="J621" s="469"/>
      <c r="K621" s="469"/>
      <c r="L621" s="469"/>
      <c r="M621" s="469"/>
      <c r="N621" s="469"/>
      <c r="O621" s="469"/>
      <c r="P621" s="469"/>
      <c r="Q621" s="469"/>
      <c r="R621" s="469"/>
      <c r="S621" s="469"/>
      <c r="T621" s="469"/>
      <c r="U621" s="469"/>
      <c r="V621" s="469"/>
      <c r="W621" s="469"/>
    </row>
    <row r="622">
      <c r="A622" s="469"/>
      <c r="B622" s="496"/>
      <c r="C622" s="497"/>
      <c r="D622" s="469"/>
      <c r="E622" s="469"/>
      <c r="F622" s="469"/>
      <c r="G622" s="469"/>
      <c r="H622" s="469"/>
      <c r="I622" s="469"/>
      <c r="J622" s="469"/>
      <c r="K622" s="469"/>
      <c r="L622" s="469"/>
      <c r="M622" s="469"/>
      <c r="N622" s="469"/>
      <c r="O622" s="469"/>
      <c r="P622" s="469"/>
      <c r="Q622" s="469"/>
      <c r="R622" s="469"/>
      <c r="S622" s="469"/>
      <c r="T622" s="469"/>
      <c r="U622" s="469"/>
      <c r="V622" s="469"/>
      <c r="W622" s="469"/>
    </row>
    <row r="623">
      <c r="A623" s="469"/>
      <c r="B623" s="496"/>
      <c r="C623" s="497"/>
      <c r="D623" s="469"/>
      <c r="E623" s="469"/>
      <c r="F623" s="469"/>
      <c r="G623" s="469"/>
      <c r="H623" s="469"/>
      <c r="I623" s="469"/>
      <c r="J623" s="469"/>
      <c r="K623" s="469"/>
      <c r="L623" s="469"/>
      <c r="M623" s="469"/>
      <c r="N623" s="469"/>
      <c r="O623" s="469"/>
      <c r="P623" s="469"/>
      <c r="Q623" s="469"/>
      <c r="R623" s="469"/>
      <c r="S623" s="469"/>
      <c r="T623" s="469"/>
      <c r="U623" s="469"/>
      <c r="V623" s="469"/>
      <c r="W623" s="469"/>
    </row>
    <row r="624">
      <c r="A624" s="469"/>
      <c r="B624" s="496"/>
      <c r="C624" s="497"/>
      <c r="D624" s="469"/>
      <c r="E624" s="469"/>
      <c r="F624" s="469"/>
      <c r="G624" s="469"/>
      <c r="H624" s="469"/>
      <c r="I624" s="469"/>
      <c r="J624" s="469"/>
      <c r="K624" s="469"/>
      <c r="L624" s="469"/>
      <c r="M624" s="469"/>
      <c r="N624" s="469"/>
      <c r="O624" s="469"/>
      <c r="P624" s="469"/>
      <c r="Q624" s="469"/>
      <c r="R624" s="469"/>
      <c r="S624" s="469"/>
      <c r="T624" s="469"/>
      <c r="U624" s="469"/>
      <c r="V624" s="469"/>
      <c r="W624" s="469"/>
    </row>
    <row r="625">
      <c r="A625" s="469"/>
      <c r="B625" s="496"/>
      <c r="C625" s="497"/>
      <c r="D625" s="469"/>
      <c r="E625" s="469"/>
      <c r="F625" s="469"/>
      <c r="G625" s="469"/>
      <c r="H625" s="469"/>
      <c r="I625" s="469"/>
      <c r="J625" s="469"/>
      <c r="K625" s="469"/>
      <c r="L625" s="469"/>
      <c r="M625" s="469"/>
      <c r="N625" s="469"/>
      <c r="O625" s="469"/>
      <c r="P625" s="469"/>
      <c r="Q625" s="469"/>
      <c r="R625" s="469"/>
      <c r="S625" s="469"/>
      <c r="T625" s="469"/>
      <c r="U625" s="469"/>
      <c r="V625" s="469"/>
      <c r="W625" s="469"/>
    </row>
    <row r="626">
      <c r="A626" s="469"/>
      <c r="B626" s="496"/>
      <c r="C626" s="497"/>
      <c r="D626" s="469"/>
      <c r="E626" s="469"/>
      <c r="F626" s="469"/>
      <c r="G626" s="469"/>
      <c r="H626" s="469"/>
      <c r="I626" s="469"/>
      <c r="J626" s="469"/>
      <c r="K626" s="469"/>
      <c r="L626" s="469"/>
      <c r="M626" s="469"/>
      <c r="N626" s="469"/>
      <c r="O626" s="469"/>
      <c r="P626" s="469"/>
      <c r="Q626" s="469"/>
      <c r="R626" s="469"/>
      <c r="S626" s="469"/>
      <c r="T626" s="469"/>
      <c r="U626" s="469"/>
      <c r="V626" s="469"/>
      <c r="W626" s="469"/>
    </row>
    <row r="627">
      <c r="A627" s="469"/>
      <c r="B627" s="496"/>
      <c r="C627" s="497"/>
      <c r="D627" s="469"/>
      <c r="E627" s="469"/>
      <c r="F627" s="469"/>
      <c r="G627" s="469"/>
      <c r="H627" s="469"/>
      <c r="I627" s="469"/>
      <c r="J627" s="469"/>
      <c r="K627" s="469"/>
      <c r="L627" s="469"/>
      <c r="M627" s="469"/>
      <c r="N627" s="469"/>
      <c r="O627" s="469"/>
      <c r="P627" s="469"/>
      <c r="Q627" s="469"/>
      <c r="R627" s="469"/>
      <c r="S627" s="469"/>
      <c r="T627" s="469"/>
      <c r="U627" s="469"/>
      <c r="V627" s="469"/>
      <c r="W627" s="469"/>
    </row>
    <row r="628">
      <c r="A628" s="469"/>
      <c r="B628" s="496"/>
      <c r="C628" s="497"/>
      <c r="D628" s="469"/>
      <c r="E628" s="469"/>
      <c r="F628" s="469"/>
      <c r="G628" s="469"/>
      <c r="H628" s="469"/>
      <c r="I628" s="469"/>
      <c r="J628" s="469"/>
      <c r="K628" s="469"/>
      <c r="L628" s="469"/>
      <c r="M628" s="469"/>
      <c r="N628" s="469"/>
      <c r="O628" s="469"/>
      <c r="P628" s="469"/>
      <c r="Q628" s="469"/>
      <c r="R628" s="469"/>
      <c r="S628" s="469"/>
      <c r="T628" s="469"/>
      <c r="U628" s="469"/>
      <c r="V628" s="469"/>
      <c r="W628" s="469"/>
    </row>
    <row r="629">
      <c r="A629" s="469"/>
      <c r="B629" s="496"/>
      <c r="C629" s="497"/>
      <c r="D629" s="469"/>
      <c r="E629" s="469"/>
      <c r="F629" s="469"/>
      <c r="G629" s="469"/>
      <c r="H629" s="469"/>
      <c r="I629" s="469"/>
      <c r="J629" s="469"/>
      <c r="K629" s="469"/>
      <c r="L629" s="469"/>
      <c r="M629" s="469"/>
      <c r="N629" s="469"/>
      <c r="O629" s="469"/>
      <c r="P629" s="469"/>
      <c r="Q629" s="469"/>
      <c r="R629" s="469"/>
      <c r="S629" s="469"/>
      <c r="T629" s="469"/>
      <c r="U629" s="469"/>
      <c r="V629" s="469"/>
      <c r="W629" s="469"/>
    </row>
    <row r="630">
      <c r="A630" s="469"/>
      <c r="B630" s="496"/>
      <c r="C630" s="497"/>
      <c r="D630" s="469"/>
      <c r="E630" s="469"/>
      <c r="F630" s="469"/>
      <c r="G630" s="469"/>
      <c r="H630" s="469"/>
      <c r="I630" s="469"/>
      <c r="J630" s="469"/>
      <c r="K630" s="469"/>
      <c r="L630" s="469"/>
      <c r="M630" s="469"/>
      <c r="N630" s="469"/>
      <c r="O630" s="469"/>
      <c r="P630" s="469"/>
      <c r="Q630" s="469"/>
      <c r="R630" s="469"/>
      <c r="S630" s="469"/>
      <c r="T630" s="469"/>
      <c r="U630" s="469"/>
      <c r="V630" s="469"/>
      <c r="W630" s="469"/>
    </row>
    <row r="631">
      <c r="A631" s="469"/>
      <c r="B631" s="496"/>
      <c r="C631" s="497"/>
      <c r="D631" s="469"/>
      <c r="E631" s="469"/>
      <c r="F631" s="469"/>
      <c r="G631" s="469"/>
      <c r="H631" s="469"/>
      <c r="I631" s="469"/>
      <c r="J631" s="469"/>
      <c r="K631" s="469"/>
      <c r="L631" s="469"/>
      <c r="M631" s="469"/>
      <c r="N631" s="469"/>
      <c r="O631" s="469"/>
      <c r="P631" s="469"/>
      <c r="Q631" s="469"/>
      <c r="R631" s="469"/>
      <c r="S631" s="469"/>
      <c r="T631" s="469"/>
      <c r="U631" s="469"/>
      <c r="V631" s="469"/>
      <c r="W631" s="469"/>
    </row>
    <row r="632">
      <c r="A632" s="469"/>
      <c r="B632" s="496"/>
      <c r="C632" s="497"/>
      <c r="D632" s="469"/>
      <c r="E632" s="469"/>
      <c r="F632" s="469"/>
      <c r="G632" s="469"/>
      <c r="H632" s="469"/>
      <c r="I632" s="469"/>
      <c r="J632" s="469"/>
      <c r="K632" s="469"/>
      <c r="L632" s="469"/>
      <c r="M632" s="469"/>
      <c r="N632" s="469"/>
      <c r="O632" s="469"/>
      <c r="P632" s="469"/>
      <c r="Q632" s="469"/>
      <c r="R632" s="469"/>
      <c r="S632" s="469"/>
      <c r="T632" s="469"/>
      <c r="U632" s="469"/>
      <c r="V632" s="469"/>
      <c r="W632" s="469"/>
    </row>
    <row r="633">
      <c r="A633" s="469"/>
      <c r="B633" s="496"/>
      <c r="C633" s="497"/>
      <c r="D633" s="469"/>
      <c r="E633" s="469"/>
      <c r="F633" s="469"/>
      <c r="G633" s="469"/>
      <c r="H633" s="469"/>
      <c r="I633" s="469"/>
      <c r="J633" s="469"/>
      <c r="K633" s="469"/>
      <c r="L633" s="469"/>
      <c r="M633" s="469"/>
      <c r="N633" s="469"/>
      <c r="O633" s="469"/>
      <c r="P633" s="469"/>
      <c r="Q633" s="469"/>
      <c r="R633" s="469"/>
      <c r="S633" s="469"/>
      <c r="T633" s="469"/>
      <c r="U633" s="469"/>
      <c r="V633" s="469"/>
      <c r="W633" s="469"/>
    </row>
    <row r="634">
      <c r="A634" s="469"/>
      <c r="B634" s="496"/>
      <c r="C634" s="497"/>
      <c r="D634" s="469"/>
      <c r="E634" s="469"/>
      <c r="F634" s="469"/>
      <c r="G634" s="469"/>
      <c r="H634" s="469"/>
      <c r="I634" s="469"/>
      <c r="J634" s="469"/>
      <c r="K634" s="469"/>
      <c r="L634" s="469"/>
      <c r="M634" s="469"/>
      <c r="N634" s="469"/>
      <c r="O634" s="469"/>
      <c r="P634" s="469"/>
      <c r="Q634" s="469"/>
      <c r="R634" s="469"/>
      <c r="S634" s="469"/>
      <c r="T634" s="469"/>
      <c r="U634" s="469"/>
      <c r="V634" s="469"/>
      <c r="W634" s="469"/>
    </row>
    <row r="635">
      <c r="A635" s="469"/>
      <c r="B635" s="496"/>
      <c r="C635" s="497"/>
      <c r="D635" s="469"/>
      <c r="E635" s="469"/>
      <c r="F635" s="469"/>
      <c r="G635" s="469"/>
      <c r="H635" s="469"/>
      <c r="I635" s="469"/>
      <c r="J635" s="469"/>
      <c r="K635" s="469"/>
      <c r="L635" s="469"/>
      <c r="M635" s="469"/>
      <c r="N635" s="469"/>
      <c r="O635" s="469"/>
      <c r="P635" s="469"/>
      <c r="Q635" s="469"/>
      <c r="R635" s="469"/>
      <c r="S635" s="469"/>
      <c r="T635" s="469"/>
      <c r="U635" s="469"/>
      <c r="V635" s="469"/>
      <c r="W635" s="469"/>
    </row>
    <row r="636">
      <c r="A636" s="469"/>
      <c r="B636" s="496"/>
      <c r="C636" s="497"/>
      <c r="D636" s="469"/>
      <c r="E636" s="469"/>
      <c r="F636" s="469"/>
      <c r="G636" s="469"/>
      <c r="H636" s="469"/>
      <c r="I636" s="469"/>
      <c r="J636" s="469"/>
      <c r="K636" s="469"/>
      <c r="L636" s="469"/>
      <c r="M636" s="469"/>
      <c r="N636" s="469"/>
      <c r="O636" s="469"/>
      <c r="P636" s="469"/>
      <c r="Q636" s="469"/>
      <c r="R636" s="469"/>
      <c r="S636" s="469"/>
      <c r="T636" s="469"/>
      <c r="U636" s="469"/>
      <c r="V636" s="469"/>
      <c r="W636" s="469"/>
    </row>
    <row r="637">
      <c r="A637" s="469"/>
      <c r="B637" s="496"/>
      <c r="C637" s="497"/>
      <c r="D637" s="469"/>
      <c r="E637" s="469"/>
      <c r="F637" s="469"/>
      <c r="G637" s="469"/>
      <c r="H637" s="469"/>
      <c r="I637" s="469"/>
      <c r="J637" s="469"/>
      <c r="K637" s="469"/>
      <c r="L637" s="469"/>
      <c r="M637" s="469"/>
      <c r="N637" s="469"/>
      <c r="O637" s="469"/>
      <c r="P637" s="469"/>
      <c r="Q637" s="469"/>
      <c r="R637" s="469"/>
      <c r="S637" s="469"/>
      <c r="T637" s="469"/>
      <c r="U637" s="469"/>
      <c r="V637" s="469"/>
      <c r="W637" s="469"/>
    </row>
    <row r="638">
      <c r="A638" s="469"/>
      <c r="B638" s="496"/>
      <c r="C638" s="497"/>
      <c r="D638" s="469"/>
      <c r="E638" s="469"/>
      <c r="F638" s="469"/>
      <c r="G638" s="469"/>
      <c r="H638" s="469"/>
      <c r="I638" s="469"/>
      <c r="J638" s="469"/>
      <c r="K638" s="469"/>
      <c r="L638" s="469"/>
      <c r="M638" s="469"/>
      <c r="N638" s="469"/>
      <c r="O638" s="469"/>
      <c r="P638" s="469"/>
      <c r="Q638" s="469"/>
      <c r="R638" s="469"/>
      <c r="S638" s="469"/>
      <c r="T638" s="469"/>
      <c r="U638" s="469"/>
      <c r="V638" s="469"/>
      <c r="W638" s="469"/>
    </row>
    <row r="639">
      <c r="A639" s="469"/>
      <c r="B639" s="496"/>
      <c r="C639" s="497"/>
      <c r="D639" s="469"/>
      <c r="E639" s="469"/>
      <c r="F639" s="469"/>
      <c r="G639" s="469"/>
      <c r="H639" s="469"/>
      <c r="I639" s="469"/>
      <c r="J639" s="469"/>
      <c r="K639" s="469"/>
      <c r="L639" s="469"/>
      <c r="M639" s="469"/>
      <c r="N639" s="469"/>
      <c r="O639" s="469"/>
      <c r="P639" s="469"/>
      <c r="Q639" s="469"/>
      <c r="R639" s="469"/>
      <c r="S639" s="469"/>
      <c r="T639" s="469"/>
      <c r="U639" s="469"/>
      <c r="V639" s="469"/>
      <c r="W639" s="469"/>
    </row>
    <row r="640">
      <c r="A640" s="469"/>
      <c r="B640" s="496"/>
      <c r="C640" s="497"/>
      <c r="D640" s="469"/>
      <c r="E640" s="469"/>
      <c r="F640" s="469"/>
      <c r="G640" s="469"/>
      <c r="H640" s="469"/>
      <c r="I640" s="469"/>
      <c r="J640" s="469"/>
      <c r="K640" s="469"/>
      <c r="L640" s="469"/>
      <c r="M640" s="469"/>
      <c r="N640" s="469"/>
      <c r="O640" s="469"/>
      <c r="P640" s="469"/>
      <c r="Q640" s="469"/>
      <c r="R640" s="469"/>
      <c r="S640" s="469"/>
      <c r="T640" s="469"/>
      <c r="U640" s="469"/>
      <c r="V640" s="469"/>
      <c r="W640" s="469"/>
    </row>
    <row r="641">
      <c r="A641" s="469"/>
      <c r="B641" s="496"/>
      <c r="C641" s="497"/>
      <c r="D641" s="469"/>
      <c r="E641" s="469"/>
      <c r="F641" s="469"/>
      <c r="G641" s="469"/>
      <c r="H641" s="469"/>
      <c r="I641" s="469"/>
      <c r="J641" s="469"/>
      <c r="K641" s="469"/>
      <c r="L641" s="469"/>
      <c r="M641" s="469"/>
      <c r="N641" s="469"/>
      <c r="O641" s="469"/>
      <c r="P641" s="469"/>
      <c r="Q641" s="469"/>
      <c r="R641" s="469"/>
      <c r="S641" s="469"/>
      <c r="T641" s="469"/>
      <c r="U641" s="469"/>
      <c r="V641" s="469"/>
      <c r="W641" s="469"/>
    </row>
    <row r="642">
      <c r="A642" s="469"/>
      <c r="B642" s="496"/>
      <c r="C642" s="497"/>
      <c r="D642" s="469"/>
      <c r="E642" s="469"/>
      <c r="F642" s="469"/>
      <c r="G642" s="469"/>
      <c r="H642" s="469"/>
      <c r="I642" s="469"/>
      <c r="J642" s="469"/>
      <c r="K642" s="469"/>
      <c r="L642" s="469"/>
      <c r="M642" s="469"/>
      <c r="N642" s="469"/>
      <c r="O642" s="469"/>
      <c r="P642" s="469"/>
      <c r="Q642" s="469"/>
      <c r="R642" s="469"/>
      <c r="S642" s="469"/>
      <c r="T642" s="469"/>
      <c r="U642" s="469"/>
      <c r="V642" s="469"/>
      <c r="W642" s="469"/>
    </row>
    <row r="643">
      <c r="A643" s="469"/>
      <c r="B643" s="496"/>
      <c r="C643" s="497"/>
      <c r="D643" s="469"/>
      <c r="E643" s="469"/>
      <c r="F643" s="469"/>
      <c r="G643" s="469"/>
      <c r="H643" s="469"/>
      <c r="I643" s="469"/>
      <c r="J643" s="469"/>
      <c r="K643" s="469"/>
      <c r="L643" s="469"/>
      <c r="M643" s="469"/>
      <c r="N643" s="469"/>
      <c r="O643" s="469"/>
      <c r="P643" s="469"/>
      <c r="Q643" s="469"/>
      <c r="R643" s="469"/>
      <c r="S643" s="469"/>
      <c r="T643" s="469"/>
      <c r="U643" s="469"/>
      <c r="V643" s="469"/>
      <c r="W643" s="469"/>
    </row>
    <row r="644">
      <c r="A644" s="469"/>
      <c r="B644" s="496"/>
      <c r="C644" s="497"/>
      <c r="D644" s="469"/>
      <c r="E644" s="469"/>
      <c r="F644" s="469"/>
      <c r="G644" s="469"/>
      <c r="H644" s="469"/>
      <c r="I644" s="469"/>
      <c r="J644" s="469"/>
      <c r="K644" s="469"/>
      <c r="L644" s="469"/>
      <c r="M644" s="469"/>
      <c r="N644" s="469"/>
      <c r="O644" s="469"/>
      <c r="P644" s="469"/>
      <c r="Q644" s="469"/>
      <c r="R644" s="469"/>
      <c r="S644" s="469"/>
      <c r="T644" s="469"/>
      <c r="U644" s="469"/>
      <c r="V644" s="469"/>
      <c r="W644" s="469"/>
    </row>
    <row r="645">
      <c r="A645" s="469"/>
      <c r="B645" s="496"/>
      <c r="C645" s="497"/>
      <c r="D645" s="469"/>
      <c r="E645" s="469"/>
      <c r="F645" s="469"/>
      <c r="G645" s="469"/>
      <c r="H645" s="469"/>
      <c r="I645" s="469"/>
      <c r="J645" s="469"/>
      <c r="K645" s="469"/>
      <c r="L645" s="469"/>
      <c r="M645" s="469"/>
      <c r="N645" s="469"/>
      <c r="O645" s="469"/>
      <c r="P645" s="469"/>
      <c r="Q645" s="469"/>
      <c r="R645" s="469"/>
      <c r="S645" s="469"/>
      <c r="T645" s="469"/>
      <c r="U645" s="469"/>
      <c r="V645" s="469"/>
      <c r="W645" s="469"/>
    </row>
    <row r="646">
      <c r="A646" s="469"/>
      <c r="B646" s="496"/>
      <c r="C646" s="497"/>
      <c r="D646" s="469"/>
      <c r="E646" s="469"/>
      <c r="F646" s="469"/>
      <c r="G646" s="469"/>
      <c r="H646" s="469"/>
      <c r="I646" s="469"/>
      <c r="J646" s="469"/>
      <c r="K646" s="469"/>
      <c r="L646" s="469"/>
      <c r="M646" s="469"/>
      <c r="N646" s="469"/>
      <c r="O646" s="469"/>
      <c r="P646" s="469"/>
      <c r="Q646" s="469"/>
      <c r="R646" s="469"/>
      <c r="S646" s="469"/>
      <c r="T646" s="469"/>
      <c r="U646" s="469"/>
      <c r="V646" s="469"/>
      <c r="W646" s="469"/>
    </row>
    <row r="647">
      <c r="A647" s="469"/>
      <c r="B647" s="496"/>
      <c r="C647" s="497"/>
      <c r="D647" s="469"/>
      <c r="E647" s="469"/>
      <c r="F647" s="469"/>
      <c r="G647" s="469"/>
      <c r="H647" s="469"/>
      <c r="I647" s="469"/>
      <c r="J647" s="469"/>
      <c r="K647" s="469"/>
      <c r="L647" s="469"/>
      <c r="M647" s="469"/>
      <c r="N647" s="469"/>
      <c r="O647" s="469"/>
      <c r="P647" s="469"/>
      <c r="Q647" s="469"/>
      <c r="R647" s="469"/>
      <c r="S647" s="469"/>
      <c r="T647" s="469"/>
      <c r="U647" s="469"/>
      <c r="V647" s="469"/>
      <c r="W647" s="469"/>
    </row>
    <row r="648">
      <c r="A648" s="469"/>
      <c r="B648" s="496"/>
      <c r="C648" s="497"/>
      <c r="D648" s="469"/>
      <c r="E648" s="469"/>
      <c r="F648" s="469"/>
      <c r="G648" s="469"/>
      <c r="H648" s="469"/>
      <c r="I648" s="469"/>
      <c r="J648" s="469"/>
      <c r="K648" s="469"/>
      <c r="L648" s="469"/>
      <c r="M648" s="469"/>
      <c r="N648" s="469"/>
      <c r="O648" s="469"/>
      <c r="P648" s="469"/>
      <c r="Q648" s="469"/>
      <c r="R648" s="469"/>
      <c r="S648" s="469"/>
      <c r="T648" s="469"/>
      <c r="U648" s="469"/>
      <c r="V648" s="469"/>
      <c r="W648" s="469"/>
    </row>
    <row r="649">
      <c r="A649" s="469"/>
      <c r="B649" s="496"/>
      <c r="C649" s="497"/>
      <c r="D649" s="469"/>
      <c r="E649" s="469"/>
      <c r="F649" s="469"/>
      <c r="G649" s="469"/>
      <c r="H649" s="469"/>
      <c r="I649" s="469"/>
      <c r="J649" s="469"/>
      <c r="K649" s="469"/>
      <c r="L649" s="469"/>
      <c r="M649" s="469"/>
      <c r="N649" s="469"/>
      <c r="O649" s="469"/>
      <c r="P649" s="469"/>
      <c r="Q649" s="469"/>
      <c r="R649" s="469"/>
      <c r="S649" s="469"/>
      <c r="T649" s="469"/>
      <c r="U649" s="469"/>
      <c r="V649" s="469"/>
      <c r="W649" s="469"/>
    </row>
    <row r="650">
      <c r="A650" s="469"/>
      <c r="B650" s="496"/>
      <c r="C650" s="497"/>
      <c r="D650" s="469"/>
      <c r="E650" s="469"/>
      <c r="F650" s="469"/>
      <c r="G650" s="469"/>
      <c r="H650" s="469"/>
      <c r="I650" s="469"/>
      <c r="J650" s="469"/>
      <c r="K650" s="469"/>
      <c r="L650" s="469"/>
      <c r="M650" s="469"/>
      <c r="N650" s="469"/>
      <c r="O650" s="469"/>
      <c r="P650" s="469"/>
      <c r="Q650" s="469"/>
      <c r="R650" s="469"/>
      <c r="S650" s="469"/>
      <c r="T650" s="469"/>
      <c r="U650" s="469"/>
      <c r="V650" s="469"/>
      <c r="W650" s="469"/>
    </row>
    <row r="651">
      <c r="A651" s="469"/>
      <c r="B651" s="496"/>
      <c r="C651" s="497"/>
      <c r="D651" s="469"/>
      <c r="E651" s="469"/>
      <c r="F651" s="469"/>
      <c r="G651" s="469"/>
      <c r="H651" s="469"/>
      <c r="I651" s="469"/>
      <c r="J651" s="469"/>
      <c r="K651" s="469"/>
      <c r="L651" s="469"/>
      <c r="M651" s="469"/>
      <c r="N651" s="469"/>
      <c r="O651" s="469"/>
      <c r="P651" s="469"/>
      <c r="Q651" s="469"/>
      <c r="R651" s="469"/>
      <c r="S651" s="469"/>
      <c r="T651" s="469"/>
      <c r="U651" s="469"/>
      <c r="V651" s="469"/>
      <c r="W651" s="469"/>
    </row>
    <row r="652">
      <c r="A652" s="469"/>
      <c r="B652" s="496"/>
      <c r="C652" s="497"/>
      <c r="D652" s="469"/>
      <c r="E652" s="469"/>
      <c r="F652" s="469"/>
      <c r="G652" s="469"/>
      <c r="H652" s="469"/>
      <c r="I652" s="469"/>
      <c r="J652" s="469"/>
      <c r="K652" s="469"/>
      <c r="L652" s="469"/>
      <c r="M652" s="469"/>
      <c r="N652" s="469"/>
      <c r="O652" s="469"/>
      <c r="P652" s="469"/>
      <c r="Q652" s="469"/>
      <c r="R652" s="469"/>
      <c r="S652" s="469"/>
      <c r="T652" s="469"/>
      <c r="U652" s="469"/>
      <c r="V652" s="469"/>
      <c r="W652" s="469"/>
    </row>
    <row r="653">
      <c r="A653" s="469"/>
      <c r="B653" s="496"/>
      <c r="C653" s="497"/>
      <c r="D653" s="469"/>
      <c r="E653" s="469"/>
      <c r="F653" s="469"/>
      <c r="G653" s="469"/>
      <c r="H653" s="469"/>
      <c r="I653" s="469"/>
      <c r="J653" s="469"/>
      <c r="K653" s="469"/>
      <c r="L653" s="469"/>
      <c r="M653" s="469"/>
      <c r="N653" s="469"/>
      <c r="O653" s="469"/>
      <c r="P653" s="469"/>
      <c r="Q653" s="469"/>
      <c r="R653" s="469"/>
      <c r="S653" s="469"/>
      <c r="T653" s="469"/>
      <c r="U653" s="469"/>
      <c r="V653" s="469"/>
      <c r="W653" s="469"/>
    </row>
    <row r="654">
      <c r="A654" s="469"/>
      <c r="B654" s="496"/>
      <c r="C654" s="497"/>
      <c r="D654" s="469"/>
      <c r="E654" s="469"/>
      <c r="F654" s="469"/>
      <c r="G654" s="469"/>
      <c r="H654" s="469"/>
      <c r="I654" s="469"/>
      <c r="J654" s="469"/>
      <c r="K654" s="469"/>
      <c r="L654" s="469"/>
      <c r="M654" s="469"/>
      <c r="N654" s="469"/>
      <c r="O654" s="469"/>
      <c r="P654" s="469"/>
      <c r="Q654" s="469"/>
      <c r="R654" s="469"/>
      <c r="S654" s="469"/>
      <c r="T654" s="469"/>
      <c r="U654" s="469"/>
      <c r="V654" s="469"/>
      <c r="W654" s="469"/>
    </row>
    <row r="655">
      <c r="A655" s="469"/>
      <c r="B655" s="496"/>
      <c r="C655" s="497"/>
      <c r="D655" s="469"/>
      <c r="E655" s="469"/>
      <c r="F655" s="469"/>
      <c r="G655" s="469"/>
      <c r="H655" s="469"/>
      <c r="I655" s="469"/>
      <c r="J655" s="469"/>
      <c r="K655" s="469"/>
      <c r="L655" s="469"/>
      <c r="M655" s="469"/>
      <c r="N655" s="469"/>
      <c r="O655" s="469"/>
      <c r="P655" s="469"/>
      <c r="Q655" s="469"/>
      <c r="R655" s="469"/>
      <c r="S655" s="469"/>
      <c r="T655" s="469"/>
      <c r="U655" s="469"/>
      <c r="V655" s="469"/>
      <c r="W655" s="469"/>
    </row>
    <row r="656">
      <c r="A656" s="469"/>
      <c r="B656" s="496"/>
      <c r="C656" s="497"/>
      <c r="D656" s="469"/>
      <c r="E656" s="469"/>
      <c r="F656" s="469"/>
      <c r="G656" s="469"/>
      <c r="H656" s="469"/>
      <c r="I656" s="469"/>
      <c r="J656" s="469"/>
      <c r="K656" s="469"/>
      <c r="L656" s="469"/>
      <c r="M656" s="469"/>
      <c r="N656" s="469"/>
      <c r="O656" s="469"/>
      <c r="P656" s="469"/>
      <c r="Q656" s="469"/>
      <c r="R656" s="469"/>
      <c r="S656" s="469"/>
      <c r="T656" s="469"/>
      <c r="U656" s="469"/>
      <c r="V656" s="469"/>
      <c r="W656" s="469"/>
    </row>
    <row r="657">
      <c r="A657" s="469"/>
      <c r="B657" s="496"/>
      <c r="C657" s="497"/>
      <c r="D657" s="469"/>
      <c r="E657" s="469"/>
      <c r="F657" s="469"/>
      <c r="G657" s="469"/>
      <c r="H657" s="469"/>
      <c r="I657" s="469"/>
      <c r="J657" s="469"/>
      <c r="K657" s="469"/>
      <c r="L657" s="469"/>
      <c r="M657" s="469"/>
      <c r="N657" s="469"/>
      <c r="O657" s="469"/>
      <c r="P657" s="469"/>
      <c r="Q657" s="469"/>
      <c r="R657" s="469"/>
      <c r="S657" s="469"/>
      <c r="T657" s="469"/>
      <c r="U657" s="469"/>
      <c r="V657" s="469"/>
      <c r="W657" s="469"/>
    </row>
    <row r="658">
      <c r="A658" s="469"/>
      <c r="B658" s="496"/>
      <c r="C658" s="497"/>
      <c r="D658" s="469"/>
      <c r="E658" s="469"/>
      <c r="F658" s="469"/>
      <c r="G658" s="469"/>
      <c r="H658" s="469"/>
      <c r="I658" s="469"/>
      <c r="J658" s="469"/>
      <c r="K658" s="469"/>
      <c r="L658" s="469"/>
      <c r="M658" s="469"/>
      <c r="N658" s="469"/>
      <c r="O658" s="469"/>
      <c r="P658" s="469"/>
      <c r="Q658" s="469"/>
      <c r="R658" s="469"/>
      <c r="S658" s="469"/>
      <c r="T658" s="469"/>
      <c r="U658" s="469"/>
      <c r="V658" s="469"/>
      <c r="W658" s="469"/>
    </row>
    <row r="659">
      <c r="A659" s="469"/>
      <c r="B659" s="496"/>
      <c r="C659" s="497"/>
      <c r="D659" s="469"/>
      <c r="E659" s="469"/>
      <c r="F659" s="469"/>
      <c r="G659" s="469"/>
      <c r="H659" s="469"/>
      <c r="I659" s="469"/>
      <c r="J659" s="469"/>
      <c r="K659" s="469"/>
      <c r="L659" s="469"/>
      <c r="M659" s="469"/>
      <c r="N659" s="469"/>
      <c r="O659" s="469"/>
      <c r="P659" s="469"/>
      <c r="Q659" s="469"/>
      <c r="R659" s="469"/>
      <c r="S659" s="469"/>
      <c r="T659" s="469"/>
      <c r="U659" s="469"/>
      <c r="V659" s="469"/>
      <c r="W659" s="469"/>
    </row>
    <row r="660">
      <c r="A660" s="469"/>
      <c r="B660" s="496"/>
      <c r="C660" s="497"/>
      <c r="D660" s="469"/>
      <c r="E660" s="469"/>
      <c r="F660" s="469"/>
      <c r="G660" s="469"/>
      <c r="H660" s="469"/>
      <c r="I660" s="469"/>
      <c r="J660" s="469"/>
      <c r="K660" s="469"/>
      <c r="L660" s="469"/>
      <c r="M660" s="469"/>
      <c r="N660" s="469"/>
      <c r="O660" s="469"/>
      <c r="P660" s="469"/>
      <c r="Q660" s="469"/>
      <c r="R660" s="469"/>
      <c r="S660" s="469"/>
      <c r="T660" s="469"/>
      <c r="U660" s="469"/>
      <c r="V660" s="469"/>
      <c r="W660" s="469"/>
    </row>
    <row r="661">
      <c r="A661" s="469"/>
      <c r="B661" s="496"/>
      <c r="C661" s="497"/>
      <c r="D661" s="469"/>
      <c r="E661" s="469"/>
      <c r="F661" s="469"/>
      <c r="G661" s="469"/>
      <c r="H661" s="469"/>
      <c r="I661" s="469"/>
      <c r="J661" s="469"/>
      <c r="K661" s="469"/>
      <c r="L661" s="469"/>
      <c r="M661" s="469"/>
      <c r="N661" s="469"/>
      <c r="O661" s="469"/>
      <c r="P661" s="469"/>
      <c r="Q661" s="469"/>
      <c r="R661" s="469"/>
      <c r="S661" s="469"/>
      <c r="T661" s="469"/>
      <c r="U661" s="469"/>
      <c r="V661" s="469"/>
      <c r="W661" s="469"/>
    </row>
    <row r="662">
      <c r="A662" s="469"/>
      <c r="B662" s="496"/>
      <c r="C662" s="497"/>
      <c r="D662" s="469"/>
      <c r="E662" s="469"/>
      <c r="F662" s="469"/>
      <c r="G662" s="469"/>
      <c r="H662" s="469"/>
      <c r="I662" s="469"/>
      <c r="J662" s="469"/>
      <c r="K662" s="469"/>
      <c r="L662" s="469"/>
      <c r="M662" s="469"/>
      <c r="N662" s="469"/>
      <c r="O662" s="469"/>
      <c r="P662" s="469"/>
      <c r="Q662" s="469"/>
      <c r="R662" s="469"/>
      <c r="S662" s="469"/>
      <c r="T662" s="469"/>
      <c r="U662" s="469"/>
      <c r="V662" s="469"/>
      <c r="W662" s="469"/>
    </row>
    <row r="663">
      <c r="A663" s="469"/>
      <c r="B663" s="496"/>
      <c r="C663" s="497"/>
      <c r="D663" s="469"/>
      <c r="E663" s="469"/>
      <c r="F663" s="469"/>
      <c r="G663" s="469"/>
      <c r="H663" s="469"/>
      <c r="I663" s="469"/>
      <c r="J663" s="469"/>
      <c r="K663" s="469"/>
      <c r="L663" s="469"/>
      <c r="M663" s="469"/>
      <c r="N663" s="469"/>
      <c r="O663" s="469"/>
      <c r="P663" s="469"/>
      <c r="Q663" s="469"/>
      <c r="R663" s="469"/>
      <c r="S663" s="469"/>
      <c r="T663" s="469"/>
      <c r="U663" s="469"/>
      <c r="V663" s="469"/>
      <c r="W663" s="469"/>
    </row>
    <row r="664">
      <c r="A664" s="469"/>
      <c r="B664" s="496"/>
      <c r="C664" s="497"/>
      <c r="D664" s="469"/>
      <c r="E664" s="469"/>
      <c r="F664" s="469"/>
      <c r="G664" s="469"/>
      <c r="H664" s="469"/>
      <c r="I664" s="469"/>
      <c r="J664" s="469"/>
      <c r="K664" s="469"/>
      <c r="L664" s="469"/>
      <c r="M664" s="469"/>
      <c r="N664" s="469"/>
      <c r="O664" s="469"/>
      <c r="P664" s="469"/>
      <c r="Q664" s="469"/>
      <c r="R664" s="469"/>
      <c r="S664" s="469"/>
      <c r="T664" s="469"/>
      <c r="U664" s="469"/>
      <c r="V664" s="469"/>
      <c r="W664" s="469"/>
    </row>
    <row r="665">
      <c r="A665" s="469"/>
      <c r="B665" s="496"/>
      <c r="C665" s="497"/>
      <c r="D665" s="469"/>
      <c r="E665" s="469"/>
      <c r="F665" s="469"/>
      <c r="G665" s="469"/>
      <c r="H665" s="469"/>
      <c r="I665" s="469"/>
      <c r="J665" s="469"/>
      <c r="K665" s="469"/>
      <c r="L665" s="469"/>
      <c r="M665" s="469"/>
      <c r="N665" s="469"/>
      <c r="O665" s="469"/>
      <c r="P665" s="469"/>
      <c r="Q665" s="469"/>
      <c r="R665" s="469"/>
      <c r="S665" s="469"/>
      <c r="T665" s="469"/>
      <c r="U665" s="469"/>
      <c r="V665" s="469"/>
      <c r="W665" s="469"/>
    </row>
    <row r="666">
      <c r="A666" s="469"/>
      <c r="B666" s="496"/>
      <c r="C666" s="497"/>
      <c r="D666" s="469"/>
      <c r="E666" s="469"/>
      <c r="F666" s="469"/>
      <c r="G666" s="469"/>
      <c r="H666" s="469"/>
      <c r="I666" s="469"/>
      <c r="J666" s="469"/>
      <c r="K666" s="469"/>
      <c r="L666" s="469"/>
      <c r="M666" s="469"/>
      <c r="N666" s="469"/>
      <c r="O666" s="469"/>
      <c r="P666" s="469"/>
      <c r="Q666" s="469"/>
      <c r="R666" s="469"/>
      <c r="S666" s="469"/>
      <c r="T666" s="469"/>
      <c r="U666" s="469"/>
      <c r="V666" s="469"/>
      <c r="W666" s="469"/>
    </row>
    <row r="667">
      <c r="A667" s="469"/>
      <c r="B667" s="496"/>
      <c r="C667" s="497"/>
      <c r="D667" s="469"/>
      <c r="E667" s="469"/>
      <c r="F667" s="469"/>
      <c r="G667" s="469"/>
      <c r="H667" s="469"/>
      <c r="I667" s="469"/>
      <c r="J667" s="469"/>
      <c r="K667" s="469"/>
      <c r="L667" s="469"/>
      <c r="M667" s="469"/>
      <c r="N667" s="469"/>
      <c r="O667" s="469"/>
      <c r="P667" s="469"/>
      <c r="Q667" s="469"/>
      <c r="R667" s="469"/>
      <c r="S667" s="469"/>
      <c r="T667" s="469"/>
      <c r="U667" s="469"/>
      <c r="V667" s="469"/>
      <c r="W667" s="469"/>
    </row>
    <row r="668">
      <c r="A668" s="469"/>
      <c r="B668" s="496"/>
      <c r="C668" s="497"/>
      <c r="D668" s="469"/>
      <c r="E668" s="469"/>
      <c r="F668" s="469"/>
      <c r="G668" s="469"/>
      <c r="H668" s="469"/>
      <c r="I668" s="469"/>
      <c r="J668" s="469"/>
      <c r="K668" s="469"/>
      <c r="L668" s="469"/>
      <c r="M668" s="469"/>
      <c r="N668" s="469"/>
      <c r="O668" s="469"/>
      <c r="P668" s="469"/>
      <c r="Q668" s="469"/>
      <c r="R668" s="469"/>
      <c r="S668" s="469"/>
      <c r="T668" s="469"/>
      <c r="U668" s="469"/>
      <c r="V668" s="469"/>
      <c r="W668" s="469"/>
    </row>
    <row r="669">
      <c r="A669" s="469"/>
      <c r="B669" s="496"/>
      <c r="C669" s="497"/>
      <c r="D669" s="469"/>
      <c r="E669" s="469"/>
      <c r="F669" s="469"/>
      <c r="G669" s="469"/>
      <c r="H669" s="469"/>
      <c r="I669" s="469"/>
      <c r="J669" s="469"/>
      <c r="K669" s="469"/>
      <c r="L669" s="469"/>
      <c r="M669" s="469"/>
      <c r="N669" s="469"/>
      <c r="O669" s="469"/>
      <c r="P669" s="469"/>
      <c r="Q669" s="469"/>
      <c r="R669" s="469"/>
      <c r="S669" s="469"/>
      <c r="T669" s="469"/>
      <c r="U669" s="469"/>
      <c r="V669" s="469"/>
      <c r="W669" s="469"/>
    </row>
    <row r="670">
      <c r="A670" s="469"/>
      <c r="B670" s="496"/>
      <c r="C670" s="497"/>
      <c r="D670" s="469"/>
      <c r="E670" s="469"/>
      <c r="F670" s="469"/>
      <c r="G670" s="469"/>
      <c r="H670" s="469"/>
      <c r="I670" s="469"/>
      <c r="J670" s="469"/>
      <c r="K670" s="469"/>
      <c r="L670" s="469"/>
      <c r="M670" s="469"/>
      <c r="N670" s="469"/>
      <c r="O670" s="469"/>
      <c r="P670" s="469"/>
      <c r="Q670" s="469"/>
      <c r="R670" s="469"/>
      <c r="S670" s="469"/>
      <c r="T670" s="469"/>
      <c r="U670" s="469"/>
      <c r="V670" s="469"/>
      <c r="W670" s="469"/>
    </row>
    <row r="671">
      <c r="A671" s="469"/>
      <c r="B671" s="496"/>
      <c r="C671" s="497"/>
      <c r="D671" s="469"/>
      <c r="E671" s="469"/>
      <c r="F671" s="469"/>
      <c r="G671" s="469"/>
      <c r="H671" s="469"/>
      <c r="I671" s="469"/>
      <c r="J671" s="469"/>
      <c r="K671" s="469"/>
      <c r="L671" s="469"/>
      <c r="M671" s="469"/>
      <c r="N671" s="469"/>
      <c r="O671" s="469"/>
      <c r="P671" s="469"/>
      <c r="Q671" s="469"/>
      <c r="R671" s="469"/>
      <c r="S671" s="469"/>
      <c r="T671" s="469"/>
      <c r="U671" s="469"/>
      <c r="V671" s="469"/>
      <c r="W671" s="469"/>
    </row>
    <row r="672">
      <c r="A672" s="469"/>
      <c r="B672" s="496"/>
      <c r="C672" s="497"/>
      <c r="D672" s="469"/>
      <c r="E672" s="469"/>
      <c r="F672" s="469"/>
      <c r="G672" s="469"/>
      <c r="H672" s="469"/>
      <c r="I672" s="469"/>
      <c r="J672" s="469"/>
      <c r="K672" s="469"/>
      <c r="L672" s="469"/>
      <c r="M672" s="469"/>
      <c r="N672" s="469"/>
      <c r="O672" s="469"/>
      <c r="P672" s="469"/>
      <c r="Q672" s="469"/>
      <c r="R672" s="469"/>
      <c r="S672" s="469"/>
      <c r="T672" s="469"/>
      <c r="U672" s="469"/>
      <c r="V672" s="469"/>
      <c r="W672" s="469"/>
    </row>
    <row r="673">
      <c r="A673" s="469"/>
      <c r="B673" s="496"/>
      <c r="C673" s="497"/>
      <c r="D673" s="469"/>
      <c r="E673" s="469"/>
      <c r="F673" s="469"/>
      <c r="G673" s="469"/>
      <c r="H673" s="469"/>
      <c r="I673" s="469"/>
      <c r="J673" s="469"/>
      <c r="K673" s="469"/>
      <c r="L673" s="469"/>
      <c r="M673" s="469"/>
      <c r="N673" s="469"/>
      <c r="O673" s="469"/>
      <c r="P673" s="469"/>
      <c r="Q673" s="469"/>
      <c r="R673" s="469"/>
      <c r="S673" s="469"/>
      <c r="T673" s="469"/>
      <c r="U673" s="469"/>
      <c r="V673" s="469"/>
      <c r="W673" s="469"/>
    </row>
    <row r="674">
      <c r="A674" s="469"/>
      <c r="B674" s="496"/>
      <c r="C674" s="497"/>
      <c r="D674" s="469"/>
      <c r="E674" s="469"/>
      <c r="F674" s="469"/>
      <c r="G674" s="469"/>
      <c r="H674" s="469"/>
      <c r="I674" s="469"/>
      <c r="J674" s="469"/>
      <c r="K674" s="469"/>
      <c r="L674" s="469"/>
      <c r="M674" s="469"/>
      <c r="N674" s="469"/>
      <c r="O674" s="469"/>
      <c r="P674" s="469"/>
      <c r="Q674" s="469"/>
      <c r="R674" s="469"/>
      <c r="S674" s="469"/>
      <c r="T674" s="469"/>
      <c r="U674" s="469"/>
      <c r="V674" s="469"/>
      <c r="W674" s="469"/>
    </row>
    <row r="675">
      <c r="A675" s="469"/>
      <c r="B675" s="496"/>
      <c r="C675" s="497"/>
      <c r="D675" s="469"/>
      <c r="E675" s="469"/>
      <c r="F675" s="469"/>
      <c r="G675" s="469"/>
      <c r="H675" s="469"/>
      <c r="I675" s="469"/>
      <c r="J675" s="469"/>
      <c r="K675" s="469"/>
      <c r="L675" s="469"/>
      <c r="M675" s="469"/>
      <c r="N675" s="469"/>
      <c r="O675" s="469"/>
      <c r="P675" s="469"/>
      <c r="Q675" s="469"/>
      <c r="R675" s="469"/>
      <c r="S675" s="469"/>
      <c r="T675" s="469"/>
      <c r="U675" s="469"/>
      <c r="V675" s="469"/>
      <c r="W675" s="469"/>
    </row>
    <row r="676">
      <c r="A676" s="469"/>
      <c r="B676" s="496"/>
      <c r="C676" s="497"/>
      <c r="D676" s="469"/>
      <c r="E676" s="469"/>
      <c r="F676" s="469"/>
      <c r="G676" s="469"/>
      <c r="H676" s="469"/>
      <c r="I676" s="469"/>
      <c r="J676" s="469"/>
      <c r="K676" s="469"/>
      <c r="L676" s="469"/>
      <c r="M676" s="469"/>
      <c r="N676" s="469"/>
      <c r="O676" s="469"/>
      <c r="P676" s="469"/>
      <c r="Q676" s="469"/>
      <c r="R676" s="469"/>
      <c r="S676" s="469"/>
      <c r="T676" s="469"/>
      <c r="U676" s="469"/>
      <c r="V676" s="469"/>
      <c r="W676" s="469"/>
    </row>
    <row r="677">
      <c r="A677" s="469"/>
      <c r="B677" s="496"/>
      <c r="C677" s="497"/>
      <c r="D677" s="469"/>
      <c r="E677" s="469"/>
      <c r="F677" s="469"/>
      <c r="G677" s="469"/>
      <c r="H677" s="469"/>
      <c r="I677" s="469"/>
      <c r="J677" s="469"/>
      <c r="K677" s="469"/>
      <c r="L677" s="469"/>
      <c r="M677" s="469"/>
      <c r="N677" s="469"/>
      <c r="O677" s="469"/>
      <c r="P677" s="469"/>
      <c r="Q677" s="469"/>
      <c r="R677" s="469"/>
      <c r="S677" s="469"/>
      <c r="T677" s="469"/>
      <c r="U677" s="469"/>
      <c r="V677" s="469"/>
      <c r="W677" s="469"/>
    </row>
    <row r="678">
      <c r="A678" s="469"/>
      <c r="B678" s="496"/>
      <c r="C678" s="497"/>
      <c r="D678" s="469"/>
      <c r="E678" s="469"/>
      <c r="F678" s="469"/>
      <c r="G678" s="469"/>
      <c r="H678" s="469"/>
      <c r="I678" s="469"/>
      <c r="J678" s="469"/>
      <c r="K678" s="469"/>
      <c r="L678" s="469"/>
      <c r="M678" s="469"/>
      <c r="N678" s="469"/>
      <c r="O678" s="469"/>
      <c r="P678" s="469"/>
      <c r="Q678" s="469"/>
      <c r="R678" s="469"/>
      <c r="S678" s="469"/>
      <c r="T678" s="469"/>
      <c r="U678" s="469"/>
      <c r="V678" s="469"/>
      <c r="W678" s="469"/>
    </row>
    <row r="679">
      <c r="A679" s="469"/>
      <c r="B679" s="496"/>
      <c r="C679" s="497"/>
      <c r="D679" s="469"/>
      <c r="E679" s="469"/>
      <c r="F679" s="469"/>
      <c r="G679" s="469"/>
      <c r="H679" s="469"/>
      <c r="I679" s="469"/>
      <c r="J679" s="469"/>
      <c r="K679" s="469"/>
      <c r="L679" s="469"/>
      <c r="M679" s="469"/>
      <c r="N679" s="469"/>
      <c r="O679" s="469"/>
      <c r="P679" s="469"/>
      <c r="Q679" s="469"/>
      <c r="R679" s="469"/>
      <c r="S679" s="469"/>
      <c r="T679" s="469"/>
      <c r="U679" s="469"/>
      <c r="V679" s="469"/>
      <c r="W679" s="469"/>
    </row>
    <row r="680">
      <c r="A680" s="469"/>
      <c r="B680" s="496"/>
      <c r="C680" s="497"/>
      <c r="D680" s="469"/>
      <c r="E680" s="469"/>
      <c r="F680" s="469"/>
      <c r="G680" s="469"/>
      <c r="H680" s="469"/>
      <c r="I680" s="469"/>
      <c r="J680" s="469"/>
      <c r="K680" s="469"/>
      <c r="L680" s="469"/>
      <c r="M680" s="469"/>
      <c r="N680" s="469"/>
      <c r="O680" s="469"/>
      <c r="P680" s="469"/>
      <c r="Q680" s="469"/>
      <c r="R680" s="469"/>
      <c r="S680" s="469"/>
      <c r="T680" s="469"/>
      <c r="U680" s="469"/>
      <c r="V680" s="469"/>
      <c r="W680" s="469"/>
    </row>
    <row r="681">
      <c r="A681" s="469"/>
      <c r="B681" s="496"/>
      <c r="C681" s="497"/>
      <c r="D681" s="469"/>
      <c r="E681" s="469"/>
      <c r="F681" s="469"/>
      <c r="G681" s="469"/>
      <c r="H681" s="469"/>
      <c r="I681" s="469"/>
      <c r="J681" s="469"/>
      <c r="K681" s="469"/>
      <c r="L681" s="469"/>
      <c r="M681" s="469"/>
      <c r="N681" s="469"/>
      <c r="O681" s="469"/>
      <c r="P681" s="469"/>
      <c r="Q681" s="469"/>
      <c r="R681" s="469"/>
      <c r="S681" s="469"/>
      <c r="T681" s="469"/>
      <c r="U681" s="469"/>
      <c r="V681" s="469"/>
      <c r="W681" s="469"/>
    </row>
    <row r="682">
      <c r="A682" s="469"/>
      <c r="B682" s="496"/>
      <c r="C682" s="497"/>
      <c r="D682" s="469"/>
      <c r="E682" s="469"/>
      <c r="F682" s="469"/>
      <c r="G682" s="469"/>
      <c r="H682" s="469"/>
      <c r="I682" s="469"/>
      <c r="J682" s="469"/>
      <c r="K682" s="469"/>
      <c r="L682" s="469"/>
      <c r="M682" s="469"/>
      <c r="N682" s="469"/>
      <c r="O682" s="469"/>
      <c r="P682" s="469"/>
      <c r="Q682" s="469"/>
      <c r="R682" s="469"/>
      <c r="S682" s="469"/>
      <c r="T682" s="469"/>
      <c r="U682" s="469"/>
      <c r="V682" s="469"/>
      <c r="W682" s="469"/>
    </row>
    <row r="683">
      <c r="A683" s="469"/>
      <c r="B683" s="496"/>
      <c r="C683" s="497"/>
      <c r="D683" s="469"/>
      <c r="E683" s="469"/>
      <c r="F683" s="469"/>
      <c r="G683" s="469"/>
      <c r="H683" s="469"/>
      <c r="I683" s="469"/>
      <c r="J683" s="469"/>
      <c r="K683" s="469"/>
      <c r="L683" s="469"/>
      <c r="M683" s="469"/>
      <c r="N683" s="469"/>
      <c r="O683" s="469"/>
      <c r="P683" s="469"/>
      <c r="Q683" s="469"/>
      <c r="R683" s="469"/>
      <c r="S683" s="469"/>
      <c r="T683" s="469"/>
      <c r="U683" s="469"/>
      <c r="V683" s="469"/>
      <c r="W683" s="469"/>
    </row>
    <row r="684">
      <c r="A684" s="469"/>
      <c r="B684" s="496"/>
      <c r="C684" s="497"/>
      <c r="D684" s="469"/>
      <c r="E684" s="469"/>
      <c r="F684" s="469"/>
      <c r="G684" s="469"/>
      <c r="H684" s="469"/>
      <c r="I684" s="469"/>
      <c r="J684" s="469"/>
      <c r="K684" s="469"/>
      <c r="L684" s="469"/>
      <c r="M684" s="469"/>
      <c r="N684" s="469"/>
      <c r="O684" s="469"/>
      <c r="P684" s="469"/>
      <c r="Q684" s="469"/>
      <c r="R684" s="469"/>
      <c r="S684" s="469"/>
      <c r="T684" s="469"/>
      <c r="U684" s="469"/>
      <c r="V684" s="469"/>
      <c r="W684" s="469"/>
    </row>
    <row r="685">
      <c r="A685" s="469"/>
      <c r="B685" s="496"/>
      <c r="C685" s="497"/>
      <c r="D685" s="469"/>
      <c r="E685" s="469"/>
      <c r="F685" s="469"/>
      <c r="G685" s="469"/>
      <c r="H685" s="469"/>
      <c r="I685" s="469"/>
      <c r="J685" s="469"/>
      <c r="K685" s="469"/>
      <c r="L685" s="469"/>
      <c r="M685" s="469"/>
      <c r="N685" s="469"/>
      <c r="O685" s="469"/>
      <c r="P685" s="469"/>
      <c r="Q685" s="469"/>
      <c r="R685" s="469"/>
      <c r="S685" s="469"/>
      <c r="T685" s="469"/>
      <c r="U685" s="469"/>
      <c r="V685" s="469"/>
      <c r="W685" s="469"/>
    </row>
    <row r="686">
      <c r="A686" s="469"/>
      <c r="B686" s="496"/>
      <c r="C686" s="497"/>
      <c r="D686" s="469"/>
      <c r="E686" s="469"/>
      <c r="F686" s="469"/>
      <c r="G686" s="469"/>
      <c r="H686" s="469"/>
      <c r="I686" s="469"/>
      <c r="J686" s="469"/>
      <c r="K686" s="469"/>
      <c r="L686" s="469"/>
      <c r="M686" s="469"/>
      <c r="N686" s="469"/>
      <c r="O686" s="469"/>
      <c r="P686" s="469"/>
      <c r="Q686" s="469"/>
      <c r="R686" s="469"/>
      <c r="S686" s="469"/>
      <c r="T686" s="469"/>
      <c r="U686" s="469"/>
      <c r="V686" s="469"/>
      <c r="W686" s="469"/>
    </row>
    <row r="687">
      <c r="A687" s="469"/>
      <c r="B687" s="496"/>
      <c r="C687" s="497"/>
      <c r="D687" s="469"/>
      <c r="E687" s="469"/>
      <c r="F687" s="469"/>
      <c r="G687" s="469"/>
      <c r="H687" s="469"/>
      <c r="I687" s="469"/>
      <c r="J687" s="469"/>
      <c r="K687" s="469"/>
      <c r="L687" s="469"/>
      <c r="M687" s="469"/>
      <c r="N687" s="469"/>
      <c r="O687" s="469"/>
      <c r="P687" s="469"/>
      <c r="Q687" s="469"/>
      <c r="R687" s="469"/>
      <c r="S687" s="469"/>
      <c r="T687" s="469"/>
      <c r="U687" s="469"/>
      <c r="V687" s="469"/>
      <c r="W687" s="469"/>
    </row>
    <row r="688">
      <c r="A688" s="469"/>
      <c r="B688" s="496"/>
      <c r="C688" s="497"/>
      <c r="D688" s="469"/>
      <c r="E688" s="469"/>
      <c r="F688" s="469"/>
      <c r="G688" s="469"/>
      <c r="H688" s="469"/>
      <c r="I688" s="469"/>
      <c r="J688" s="469"/>
      <c r="K688" s="469"/>
      <c r="L688" s="469"/>
      <c r="M688" s="469"/>
      <c r="N688" s="469"/>
      <c r="O688" s="469"/>
      <c r="P688" s="469"/>
      <c r="Q688" s="469"/>
      <c r="R688" s="469"/>
      <c r="S688" s="469"/>
      <c r="T688" s="469"/>
      <c r="U688" s="469"/>
      <c r="V688" s="469"/>
      <c r="W688" s="469"/>
    </row>
    <row r="689">
      <c r="A689" s="469"/>
      <c r="B689" s="496"/>
      <c r="C689" s="497"/>
      <c r="D689" s="469"/>
      <c r="E689" s="469"/>
      <c r="F689" s="469"/>
      <c r="G689" s="469"/>
      <c r="H689" s="469"/>
      <c r="I689" s="469"/>
      <c r="J689" s="469"/>
      <c r="K689" s="469"/>
      <c r="L689" s="469"/>
      <c r="M689" s="469"/>
      <c r="N689" s="469"/>
      <c r="O689" s="469"/>
      <c r="P689" s="469"/>
      <c r="Q689" s="469"/>
      <c r="R689" s="469"/>
      <c r="S689" s="469"/>
      <c r="T689" s="469"/>
      <c r="U689" s="469"/>
      <c r="V689" s="469"/>
      <c r="W689" s="469"/>
    </row>
    <row r="690">
      <c r="A690" s="469"/>
      <c r="B690" s="496"/>
      <c r="C690" s="497"/>
      <c r="D690" s="469"/>
      <c r="E690" s="469"/>
      <c r="F690" s="469"/>
      <c r="G690" s="469"/>
      <c r="H690" s="469"/>
      <c r="I690" s="469"/>
      <c r="J690" s="469"/>
      <c r="K690" s="469"/>
      <c r="L690" s="469"/>
      <c r="M690" s="469"/>
      <c r="N690" s="469"/>
      <c r="O690" s="469"/>
      <c r="P690" s="469"/>
      <c r="Q690" s="469"/>
      <c r="R690" s="469"/>
      <c r="S690" s="469"/>
      <c r="T690" s="469"/>
      <c r="U690" s="469"/>
      <c r="V690" s="469"/>
      <c r="W690" s="469"/>
    </row>
    <row r="691">
      <c r="A691" s="469"/>
      <c r="B691" s="496"/>
      <c r="C691" s="497"/>
      <c r="D691" s="469"/>
      <c r="E691" s="469"/>
      <c r="F691" s="469"/>
      <c r="G691" s="469"/>
      <c r="H691" s="469"/>
      <c r="I691" s="469"/>
      <c r="J691" s="469"/>
      <c r="K691" s="469"/>
      <c r="L691" s="469"/>
      <c r="M691" s="469"/>
      <c r="N691" s="469"/>
      <c r="O691" s="469"/>
      <c r="P691" s="469"/>
      <c r="Q691" s="469"/>
      <c r="R691" s="469"/>
      <c r="S691" s="469"/>
      <c r="T691" s="469"/>
      <c r="U691" s="469"/>
      <c r="V691" s="469"/>
      <c r="W691" s="469"/>
    </row>
    <row r="692">
      <c r="A692" s="469"/>
      <c r="B692" s="496"/>
      <c r="C692" s="497"/>
      <c r="D692" s="469"/>
      <c r="E692" s="469"/>
      <c r="F692" s="469"/>
      <c r="G692" s="469"/>
      <c r="H692" s="469"/>
      <c r="I692" s="469"/>
      <c r="J692" s="469"/>
      <c r="K692" s="469"/>
      <c r="L692" s="469"/>
      <c r="M692" s="469"/>
      <c r="N692" s="469"/>
      <c r="O692" s="469"/>
      <c r="P692" s="469"/>
      <c r="Q692" s="469"/>
      <c r="R692" s="469"/>
      <c r="S692" s="469"/>
      <c r="T692" s="469"/>
      <c r="U692" s="469"/>
      <c r="V692" s="469"/>
      <c r="W692" s="469"/>
    </row>
    <row r="693">
      <c r="A693" s="469"/>
      <c r="B693" s="496"/>
      <c r="C693" s="497"/>
      <c r="D693" s="469"/>
      <c r="E693" s="469"/>
      <c r="F693" s="469"/>
      <c r="G693" s="469"/>
      <c r="H693" s="469"/>
      <c r="I693" s="469"/>
      <c r="J693" s="469"/>
      <c r="K693" s="469"/>
      <c r="L693" s="469"/>
      <c r="M693" s="469"/>
      <c r="N693" s="469"/>
      <c r="O693" s="469"/>
      <c r="P693" s="469"/>
      <c r="Q693" s="469"/>
      <c r="R693" s="469"/>
      <c r="S693" s="469"/>
      <c r="T693" s="469"/>
      <c r="U693" s="469"/>
      <c r="V693" s="469"/>
      <c r="W693" s="469"/>
    </row>
    <row r="694">
      <c r="A694" s="469"/>
      <c r="B694" s="496"/>
      <c r="C694" s="497"/>
      <c r="D694" s="469"/>
      <c r="E694" s="469"/>
      <c r="F694" s="469"/>
      <c r="G694" s="469"/>
      <c r="H694" s="469"/>
      <c r="I694" s="469"/>
      <c r="J694" s="469"/>
      <c r="K694" s="469"/>
      <c r="L694" s="469"/>
      <c r="M694" s="469"/>
      <c r="N694" s="469"/>
      <c r="O694" s="469"/>
      <c r="P694" s="469"/>
      <c r="Q694" s="469"/>
      <c r="R694" s="469"/>
      <c r="S694" s="469"/>
      <c r="T694" s="469"/>
      <c r="U694" s="469"/>
      <c r="V694" s="469"/>
      <c r="W694" s="469"/>
    </row>
    <row r="695">
      <c r="A695" s="469"/>
      <c r="B695" s="496"/>
      <c r="C695" s="497"/>
      <c r="D695" s="469"/>
      <c r="E695" s="469"/>
      <c r="F695" s="469"/>
      <c r="G695" s="469"/>
      <c r="H695" s="469"/>
      <c r="I695" s="469"/>
      <c r="J695" s="469"/>
      <c r="K695" s="469"/>
      <c r="L695" s="469"/>
      <c r="M695" s="469"/>
      <c r="N695" s="469"/>
      <c r="O695" s="469"/>
      <c r="P695" s="469"/>
      <c r="Q695" s="469"/>
      <c r="R695" s="469"/>
      <c r="S695" s="469"/>
      <c r="T695" s="469"/>
      <c r="U695" s="469"/>
      <c r="V695" s="469"/>
      <c r="W695" s="469"/>
    </row>
    <row r="696">
      <c r="A696" s="469"/>
      <c r="B696" s="496"/>
      <c r="C696" s="497"/>
      <c r="D696" s="469"/>
      <c r="E696" s="469"/>
      <c r="F696" s="469"/>
      <c r="G696" s="469"/>
      <c r="H696" s="469"/>
      <c r="I696" s="469"/>
      <c r="J696" s="469"/>
      <c r="K696" s="469"/>
      <c r="L696" s="469"/>
      <c r="M696" s="469"/>
      <c r="N696" s="469"/>
      <c r="O696" s="469"/>
      <c r="P696" s="469"/>
      <c r="Q696" s="469"/>
      <c r="R696" s="469"/>
      <c r="S696" s="469"/>
      <c r="T696" s="469"/>
      <c r="U696" s="469"/>
      <c r="V696" s="469"/>
      <c r="W696" s="469"/>
    </row>
    <row r="697">
      <c r="A697" s="469"/>
      <c r="B697" s="496"/>
      <c r="C697" s="497"/>
      <c r="D697" s="469"/>
      <c r="E697" s="469"/>
      <c r="F697" s="469"/>
      <c r="G697" s="469"/>
      <c r="H697" s="469"/>
      <c r="I697" s="469"/>
      <c r="J697" s="469"/>
      <c r="K697" s="469"/>
      <c r="L697" s="469"/>
      <c r="M697" s="469"/>
      <c r="N697" s="469"/>
      <c r="O697" s="469"/>
      <c r="P697" s="469"/>
      <c r="Q697" s="469"/>
      <c r="R697" s="469"/>
      <c r="S697" s="469"/>
      <c r="T697" s="469"/>
      <c r="U697" s="469"/>
      <c r="V697" s="469"/>
      <c r="W697" s="469"/>
    </row>
    <row r="698">
      <c r="A698" s="469"/>
      <c r="B698" s="496"/>
      <c r="C698" s="497"/>
      <c r="D698" s="469"/>
      <c r="E698" s="469"/>
      <c r="F698" s="469"/>
      <c r="G698" s="469"/>
      <c r="H698" s="469"/>
      <c r="I698" s="469"/>
      <c r="J698" s="469"/>
      <c r="K698" s="469"/>
      <c r="L698" s="469"/>
      <c r="M698" s="469"/>
      <c r="N698" s="469"/>
      <c r="O698" s="469"/>
      <c r="P698" s="469"/>
      <c r="Q698" s="469"/>
      <c r="R698" s="469"/>
      <c r="S698" s="469"/>
      <c r="T698" s="469"/>
      <c r="U698" s="469"/>
      <c r="V698" s="469"/>
      <c r="W698" s="469"/>
    </row>
    <row r="699">
      <c r="A699" s="469"/>
      <c r="B699" s="496"/>
      <c r="C699" s="497"/>
      <c r="D699" s="469"/>
      <c r="E699" s="469"/>
      <c r="F699" s="469"/>
      <c r="G699" s="469"/>
      <c r="H699" s="469"/>
      <c r="I699" s="469"/>
      <c r="J699" s="469"/>
      <c r="K699" s="469"/>
      <c r="L699" s="469"/>
      <c r="M699" s="469"/>
      <c r="N699" s="469"/>
      <c r="O699" s="469"/>
      <c r="P699" s="469"/>
      <c r="Q699" s="469"/>
      <c r="R699" s="469"/>
      <c r="S699" s="469"/>
      <c r="T699" s="469"/>
      <c r="U699" s="469"/>
      <c r="V699" s="469"/>
      <c r="W699" s="469"/>
    </row>
    <row r="700">
      <c r="A700" s="469"/>
      <c r="B700" s="496"/>
      <c r="C700" s="497"/>
      <c r="D700" s="469"/>
      <c r="E700" s="469"/>
      <c r="F700" s="469"/>
      <c r="G700" s="469"/>
      <c r="H700" s="469"/>
      <c r="I700" s="469"/>
      <c r="J700" s="469"/>
      <c r="K700" s="469"/>
      <c r="L700" s="469"/>
      <c r="M700" s="469"/>
      <c r="N700" s="469"/>
      <c r="O700" s="469"/>
      <c r="P700" s="469"/>
      <c r="Q700" s="469"/>
      <c r="R700" s="469"/>
      <c r="S700" s="469"/>
      <c r="T700" s="469"/>
      <c r="U700" s="469"/>
      <c r="V700" s="469"/>
      <c r="W700" s="469"/>
    </row>
    <row r="701">
      <c r="A701" s="469"/>
      <c r="B701" s="496"/>
      <c r="C701" s="497"/>
      <c r="D701" s="469"/>
      <c r="E701" s="469"/>
      <c r="F701" s="469"/>
      <c r="G701" s="469"/>
      <c r="H701" s="469"/>
      <c r="I701" s="469"/>
      <c r="J701" s="469"/>
      <c r="K701" s="469"/>
      <c r="L701" s="469"/>
      <c r="M701" s="469"/>
      <c r="N701" s="469"/>
      <c r="O701" s="469"/>
      <c r="P701" s="469"/>
      <c r="Q701" s="469"/>
      <c r="R701" s="469"/>
      <c r="S701" s="469"/>
      <c r="T701" s="469"/>
      <c r="U701" s="469"/>
      <c r="V701" s="469"/>
      <c r="W701" s="469"/>
    </row>
    <row r="702">
      <c r="A702" s="469"/>
      <c r="B702" s="496"/>
      <c r="C702" s="497"/>
      <c r="D702" s="469"/>
      <c r="E702" s="469"/>
      <c r="F702" s="469"/>
      <c r="G702" s="469"/>
      <c r="H702" s="469"/>
      <c r="I702" s="469"/>
      <c r="J702" s="469"/>
      <c r="K702" s="469"/>
      <c r="L702" s="469"/>
      <c r="M702" s="469"/>
      <c r="N702" s="469"/>
      <c r="O702" s="469"/>
      <c r="P702" s="469"/>
      <c r="Q702" s="469"/>
      <c r="R702" s="469"/>
      <c r="S702" s="469"/>
      <c r="T702" s="469"/>
      <c r="U702" s="469"/>
      <c r="V702" s="469"/>
      <c r="W702" s="469"/>
    </row>
    <row r="703">
      <c r="A703" s="469"/>
      <c r="B703" s="496"/>
      <c r="C703" s="497"/>
      <c r="D703" s="469"/>
      <c r="E703" s="469"/>
      <c r="F703" s="469"/>
      <c r="G703" s="469"/>
      <c r="H703" s="469"/>
      <c r="I703" s="469"/>
      <c r="J703" s="469"/>
      <c r="K703" s="469"/>
      <c r="L703" s="469"/>
      <c r="M703" s="469"/>
      <c r="N703" s="469"/>
      <c r="O703" s="469"/>
      <c r="P703" s="469"/>
      <c r="Q703" s="469"/>
      <c r="R703" s="469"/>
      <c r="S703" s="469"/>
      <c r="T703" s="469"/>
      <c r="U703" s="469"/>
      <c r="V703" s="469"/>
      <c r="W703" s="469"/>
    </row>
    <row r="704">
      <c r="A704" s="469"/>
      <c r="B704" s="496"/>
      <c r="C704" s="497"/>
      <c r="D704" s="469"/>
      <c r="E704" s="469"/>
      <c r="F704" s="469"/>
      <c r="G704" s="469"/>
      <c r="H704" s="469"/>
      <c r="I704" s="469"/>
      <c r="J704" s="469"/>
      <c r="K704" s="469"/>
      <c r="L704" s="469"/>
      <c r="M704" s="469"/>
      <c r="N704" s="469"/>
      <c r="O704" s="469"/>
      <c r="P704" s="469"/>
      <c r="Q704" s="469"/>
      <c r="R704" s="469"/>
      <c r="S704" s="469"/>
      <c r="T704" s="469"/>
      <c r="U704" s="469"/>
      <c r="V704" s="469"/>
      <c r="W704" s="469"/>
    </row>
    <row r="705">
      <c r="A705" s="469"/>
      <c r="B705" s="496"/>
      <c r="C705" s="497"/>
      <c r="D705" s="469"/>
      <c r="E705" s="469"/>
      <c r="F705" s="469"/>
      <c r="G705" s="469"/>
      <c r="H705" s="469"/>
      <c r="I705" s="469"/>
      <c r="J705" s="469"/>
      <c r="K705" s="469"/>
      <c r="L705" s="469"/>
      <c r="M705" s="469"/>
      <c r="N705" s="469"/>
      <c r="O705" s="469"/>
      <c r="P705" s="469"/>
      <c r="Q705" s="469"/>
      <c r="R705" s="469"/>
      <c r="S705" s="469"/>
      <c r="T705" s="469"/>
      <c r="U705" s="469"/>
      <c r="V705" s="469"/>
      <c r="W705" s="469"/>
    </row>
    <row r="706">
      <c r="A706" s="469"/>
      <c r="B706" s="496"/>
      <c r="C706" s="497"/>
      <c r="D706" s="469"/>
      <c r="E706" s="469"/>
      <c r="F706" s="469"/>
      <c r="G706" s="469"/>
      <c r="H706" s="469"/>
      <c r="I706" s="469"/>
      <c r="J706" s="469"/>
      <c r="K706" s="469"/>
      <c r="L706" s="469"/>
      <c r="M706" s="469"/>
      <c r="N706" s="469"/>
      <c r="O706" s="469"/>
      <c r="P706" s="469"/>
      <c r="Q706" s="469"/>
      <c r="R706" s="469"/>
      <c r="S706" s="469"/>
      <c r="T706" s="469"/>
      <c r="U706" s="469"/>
      <c r="V706" s="469"/>
      <c r="W706" s="469"/>
    </row>
    <row r="707">
      <c r="A707" s="469"/>
      <c r="B707" s="496"/>
      <c r="C707" s="497"/>
      <c r="D707" s="469"/>
      <c r="E707" s="469"/>
      <c r="F707" s="469"/>
      <c r="G707" s="469"/>
      <c r="H707" s="469"/>
      <c r="I707" s="469"/>
      <c r="J707" s="469"/>
      <c r="K707" s="469"/>
      <c r="L707" s="469"/>
      <c r="M707" s="469"/>
      <c r="N707" s="469"/>
      <c r="O707" s="469"/>
      <c r="P707" s="469"/>
      <c r="Q707" s="469"/>
      <c r="R707" s="469"/>
      <c r="S707" s="469"/>
      <c r="T707" s="469"/>
      <c r="U707" s="469"/>
      <c r="V707" s="469"/>
      <c r="W707" s="469"/>
    </row>
    <row r="708">
      <c r="A708" s="469"/>
      <c r="B708" s="496"/>
      <c r="C708" s="497"/>
      <c r="D708" s="469"/>
      <c r="E708" s="469"/>
      <c r="F708" s="469"/>
      <c r="G708" s="469"/>
      <c r="H708" s="469"/>
      <c r="I708" s="469"/>
      <c r="J708" s="469"/>
      <c r="K708" s="469"/>
      <c r="L708" s="469"/>
      <c r="M708" s="469"/>
      <c r="N708" s="469"/>
      <c r="O708" s="469"/>
      <c r="P708" s="469"/>
      <c r="Q708" s="469"/>
      <c r="R708" s="469"/>
      <c r="S708" s="469"/>
      <c r="T708" s="469"/>
      <c r="U708" s="469"/>
      <c r="V708" s="469"/>
      <c r="W708" s="469"/>
    </row>
    <row r="709">
      <c r="A709" s="469"/>
      <c r="B709" s="496"/>
      <c r="C709" s="497"/>
      <c r="D709" s="469"/>
      <c r="E709" s="469"/>
      <c r="F709" s="469"/>
      <c r="G709" s="469"/>
      <c r="H709" s="469"/>
      <c r="I709" s="469"/>
      <c r="J709" s="469"/>
      <c r="K709" s="469"/>
      <c r="L709" s="469"/>
      <c r="M709" s="469"/>
      <c r="N709" s="469"/>
      <c r="O709" s="469"/>
      <c r="P709" s="469"/>
      <c r="Q709" s="469"/>
      <c r="R709" s="469"/>
      <c r="S709" s="469"/>
      <c r="T709" s="469"/>
      <c r="U709" s="469"/>
      <c r="V709" s="469"/>
      <c r="W709" s="469"/>
    </row>
    <row r="710">
      <c r="A710" s="469"/>
      <c r="B710" s="496"/>
      <c r="C710" s="497"/>
      <c r="D710" s="469"/>
      <c r="E710" s="469"/>
      <c r="F710" s="469"/>
      <c r="G710" s="469"/>
      <c r="H710" s="469"/>
      <c r="I710" s="469"/>
      <c r="J710" s="469"/>
      <c r="K710" s="469"/>
      <c r="L710" s="469"/>
      <c r="M710" s="469"/>
      <c r="N710" s="469"/>
      <c r="O710" s="469"/>
      <c r="P710" s="469"/>
      <c r="Q710" s="469"/>
      <c r="R710" s="469"/>
      <c r="S710" s="469"/>
      <c r="T710" s="469"/>
      <c r="U710" s="469"/>
      <c r="V710" s="469"/>
      <c r="W710" s="469"/>
    </row>
    <row r="711">
      <c r="A711" s="469"/>
      <c r="B711" s="496"/>
      <c r="C711" s="497"/>
      <c r="D711" s="469"/>
      <c r="E711" s="469"/>
      <c r="F711" s="469"/>
      <c r="G711" s="469"/>
      <c r="H711" s="469"/>
      <c r="I711" s="469"/>
      <c r="J711" s="469"/>
      <c r="K711" s="469"/>
      <c r="L711" s="469"/>
      <c r="M711" s="469"/>
      <c r="N711" s="469"/>
      <c r="O711" s="469"/>
      <c r="P711" s="469"/>
      <c r="Q711" s="469"/>
      <c r="R711" s="469"/>
      <c r="S711" s="469"/>
      <c r="T711" s="469"/>
      <c r="U711" s="469"/>
      <c r="V711" s="469"/>
      <c r="W711" s="469"/>
    </row>
    <row r="712">
      <c r="A712" s="469"/>
      <c r="B712" s="496"/>
      <c r="C712" s="497"/>
      <c r="D712" s="469"/>
      <c r="E712" s="469"/>
      <c r="F712" s="469"/>
      <c r="G712" s="469"/>
      <c r="H712" s="469"/>
      <c r="I712" s="469"/>
      <c r="J712" s="469"/>
      <c r="K712" s="469"/>
      <c r="L712" s="469"/>
      <c r="M712" s="469"/>
      <c r="N712" s="469"/>
      <c r="O712" s="469"/>
      <c r="P712" s="469"/>
      <c r="Q712" s="469"/>
      <c r="R712" s="469"/>
      <c r="S712" s="469"/>
      <c r="T712" s="469"/>
      <c r="U712" s="469"/>
      <c r="V712" s="469"/>
      <c r="W712" s="469"/>
    </row>
    <row r="713">
      <c r="A713" s="469"/>
      <c r="B713" s="496"/>
      <c r="C713" s="497"/>
      <c r="D713" s="469"/>
      <c r="E713" s="469"/>
      <c r="F713" s="469"/>
      <c r="G713" s="469"/>
      <c r="H713" s="469"/>
      <c r="I713" s="469"/>
      <c r="J713" s="469"/>
      <c r="K713" s="469"/>
      <c r="L713" s="469"/>
      <c r="M713" s="469"/>
      <c r="N713" s="469"/>
      <c r="O713" s="469"/>
      <c r="P713" s="469"/>
      <c r="Q713" s="469"/>
      <c r="R713" s="469"/>
      <c r="S713" s="469"/>
      <c r="T713" s="469"/>
      <c r="U713" s="469"/>
      <c r="V713" s="469"/>
      <c r="W713" s="469"/>
    </row>
    <row r="714">
      <c r="A714" s="469"/>
      <c r="B714" s="496"/>
      <c r="C714" s="497"/>
      <c r="D714" s="469"/>
      <c r="E714" s="469"/>
      <c r="F714" s="469"/>
      <c r="G714" s="469"/>
      <c r="H714" s="469"/>
      <c r="I714" s="469"/>
      <c r="J714" s="469"/>
      <c r="K714" s="469"/>
      <c r="L714" s="469"/>
      <c r="M714" s="469"/>
      <c r="N714" s="469"/>
      <c r="O714" s="469"/>
      <c r="P714" s="469"/>
      <c r="Q714" s="469"/>
      <c r="R714" s="469"/>
      <c r="S714" s="469"/>
      <c r="T714" s="469"/>
      <c r="U714" s="469"/>
      <c r="V714" s="469"/>
      <c r="W714" s="469"/>
    </row>
    <row r="715">
      <c r="A715" s="469"/>
      <c r="B715" s="496"/>
      <c r="C715" s="497"/>
      <c r="D715" s="469"/>
      <c r="E715" s="469"/>
      <c r="F715" s="469"/>
      <c r="G715" s="469"/>
      <c r="H715" s="469"/>
      <c r="I715" s="469"/>
      <c r="J715" s="469"/>
      <c r="K715" s="469"/>
      <c r="L715" s="469"/>
      <c r="M715" s="469"/>
      <c r="N715" s="469"/>
      <c r="O715" s="469"/>
      <c r="P715" s="469"/>
      <c r="Q715" s="469"/>
      <c r="R715" s="469"/>
      <c r="S715" s="469"/>
      <c r="T715" s="469"/>
      <c r="U715" s="469"/>
      <c r="V715" s="469"/>
      <c r="W715" s="469"/>
    </row>
    <row r="716">
      <c r="A716" s="469"/>
      <c r="B716" s="496"/>
      <c r="C716" s="497"/>
      <c r="D716" s="469"/>
      <c r="E716" s="469"/>
      <c r="F716" s="469"/>
      <c r="G716" s="469"/>
      <c r="H716" s="469"/>
      <c r="I716" s="469"/>
      <c r="J716" s="469"/>
      <c r="K716" s="469"/>
      <c r="L716" s="469"/>
      <c r="M716" s="469"/>
      <c r="N716" s="469"/>
      <c r="O716" s="469"/>
      <c r="P716" s="469"/>
      <c r="Q716" s="469"/>
      <c r="R716" s="469"/>
      <c r="S716" s="469"/>
      <c r="T716" s="469"/>
      <c r="U716" s="469"/>
      <c r="V716" s="469"/>
      <c r="W716" s="469"/>
    </row>
    <row r="717">
      <c r="A717" s="469"/>
      <c r="B717" s="496"/>
      <c r="C717" s="497"/>
      <c r="D717" s="469"/>
      <c r="E717" s="469"/>
      <c r="F717" s="469"/>
      <c r="G717" s="469"/>
      <c r="H717" s="469"/>
      <c r="I717" s="469"/>
      <c r="J717" s="469"/>
      <c r="K717" s="469"/>
      <c r="L717" s="469"/>
      <c r="M717" s="469"/>
      <c r="N717" s="469"/>
      <c r="O717" s="469"/>
      <c r="P717" s="469"/>
      <c r="Q717" s="469"/>
      <c r="R717" s="469"/>
      <c r="S717" s="469"/>
      <c r="T717" s="469"/>
      <c r="U717" s="469"/>
      <c r="V717" s="469"/>
      <c r="W717" s="469"/>
    </row>
    <row r="718">
      <c r="A718" s="469"/>
      <c r="B718" s="496"/>
      <c r="C718" s="497"/>
      <c r="D718" s="469"/>
      <c r="E718" s="469"/>
      <c r="F718" s="469"/>
      <c r="G718" s="469"/>
      <c r="H718" s="469"/>
      <c r="I718" s="469"/>
      <c r="J718" s="469"/>
      <c r="K718" s="469"/>
      <c r="L718" s="469"/>
      <c r="M718" s="469"/>
      <c r="N718" s="469"/>
      <c r="O718" s="469"/>
      <c r="P718" s="469"/>
      <c r="Q718" s="469"/>
      <c r="R718" s="469"/>
      <c r="S718" s="469"/>
      <c r="T718" s="469"/>
      <c r="U718" s="469"/>
      <c r="V718" s="469"/>
      <c r="W718" s="469"/>
    </row>
    <row r="719">
      <c r="A719" s="469"/>
      <c r="B719" s="496"/>
      <c r="C719" s="497"/>
      <c r="D719" s="469"/>
      <c r="E719" s="469"/>
      <c r="F719" s="469"/>
      <c r="G719" s="469"/>
      <c r="H719" s="469"/>
      <c r="I719" s="469"/>
      <c r="J719" s="469"/>
      <c r="K719" s="469"/>
      <c r="L719" s="469"/>
      <c r="M719" s="469"/>
      <c r="N719" s="469"/>
      <c r="O719" s="469"/>
      <c r="P719" s="469"/>
      <c r="Q719" s="469"/>
      <c r="R719" s="469"/>
      <c r="S719" s="469"/>
      <c r="T719" s="469"/>
      <c r="U719" s="469"/>
      <c r="V719" s="469"/>
      <c r="W719" s="469"/>
    </row>
    <row r="720">
      <c r="A720" s="469"/>
      <c r="B720" s="496"/>
      <c r="C720" s="497"/>
      <c r="D720" s="469"/>
      <c r="E720" s="469"/>
      <c r="F720" s="469"/>
      <c r="G720" s="469"/>
      <c r="H720" s="469"/>
      <c r="I720" s="469"/>
      <c r="J720" s="469"/>
      <c r="K720" s="469"/>
      <c r="L720" s="469"/>
      <c r="M720" s="469"/>
      <c r="N720" s="469"/>
      <c r="O720" s="469"/>
      <c r="P720" s="469"/>
      <c r="Q720" s="469"/>
      <c r="R720" s="469"/>
      <c r="S720" s="469"/>
      <c r="T720" s="469"/>
      <c r="U720" s="469"/>
      <c r="V720" s="469"/>
      <c r="W720" s="469"/>
    </row>
    <row r="721">
      <c r="A721" s="469"/>
      <c r="B721" s="496"/>
      <c r="C721" s="497"/>
      <c r="D721" s="469"/>
      <c r="E721" s="469"/>
      <c r="F721" s="469"/>
      <c r="G721" s="469"/>
      <c r="H721" s="469"/>
      <c r="I721" s="469"/>
      <c r="J721" s="469"/>
      <c r="K721" s="469"/>
      <c r="L721" s="469"/>
      <c r="M721" s="469"/>
      <c r="N721" s="469"/>
      <c r="O721" s="469"/>
      <c r="P721" s="469"/>
      <c r="Q721" s="469"/>
      <c r="R721" s="469"/>
      <c r="S721" s="469"/>
      <c r="T721" s="469"/>
      <c r="U721" s="469"/>
      <c r="V721" s="469"/>
      <c r="W721" s="469"/>
    </row>
    <row r="722">
      <c r="A722" s="469"/>
      <c r="B722" s="496"/>
      <c r="C722" s="497"/>
      <c r="D722" s="469"/>
      <c r="E722" s="469"/>
      <c r="F722" s="469"/>
      <c r="G722" s="469"/>
      <c r="H722" s="469"/>
      <c r="I722" s="469"/>
      <c r="J722" s="469"/>
      <c r="K722" s="469"/>
      <c r="L722" s="469"/>
      <c r="M722" s="469"/>
      <c r="N722" s="469"/>
      <c r="O722" s="469"/>
      <c r="P722" s="469"/>
      <c r="Q722" s="469"/>
      <c r="R722" s="469"/>
      <c r="S722" s="469"/>
      <c r="T722" s="469"/>
      <c r="U722" s="469"/>
      <c r="V722" s="469"/>
      <c r="W722" s="469"/>
    </row>
    <row r="723">
      <c r="A723" s="469"/>
      <c r="B723" s="496"/>
      <c r="C723" s="497"/>
      <c r="D723" s="469"/>
      <c r="E723" s="469"/>
      <c r="F723" s="469"/>
      <c r="G723" s="469"/>
      <c r="H723" s="469"/>
      <c r="I723" s="469"/>
      <c r="J723" s="469"/>
      <c r="K723" s="469"/>
      <c r="L723" s="469"/>
      <c r="M723" s="469"/>
      <c r="N723" s="469"/>
      <c r="O723" s="469"/>
      <c r="P723" s="469"/>
      <c r="Q723" s="469"/>
      <c r="R723" s="469"/>
      <c r="S723" s="469"/>
      <c r="T723" s="469"/>
      <c r="U723" s="469"/>
      <c r="V723" s="469"/>
      <c r="W723" s="469"/>
    </row>
    <row r="724">
      <c r="A724" s="469"/>
      <c r="B724" s="496"/>
      <c r="C724" s="497"/>
      <c r="D724" s="469"/>
      <c r="E724" s="469"/>
      <c r="F724" s="469"/>
      <c r="G724" s="469"/>
      <c r="H724" s="469"/>
      <c r="I724" s="469"/>
      <c r="J724" s="469"/>
      <c r="K724" s="469"/>
      <c r="L724" s="469"/>
      <c r="M724" s="469"/>
      <c r="N724" s="469"/>
      <c r="O724" s="469"/>
      <c r="P724" s="469"/>
      <c r="Q724" s="469"/>
      <c r="R724" s="469"/>
      <c r="S724" s="469"/>
      <c r="T724" s="469"/>
      <c r="U724" s="469"/>
      <c r="V724" s="469"/>
      <c r="W724" s="469"/>
    </row>
    <row r="725">
      <c r="A725" s="469"/>
      <c r="B725" s="496"/>
      <c r="C725" s="497"/>
      <c r="D725" s="469"/>
      <c r="E725" s="469"/>
      <c r="F725" s="469"/>
      <c r="G725" s="469"/>
      <c r="H725" s="469"/>
      <c r="I725" s="469"/>
      <c r="J725" s="469"/>
      <c r="K725" s="469"/>
      <c r="L725" s="469"/>
      <c r="M725" s="469"/>
      <c r="N725" s="469"/>
      <c r="O725" s="469"/>
      <c r="P725" s="469"/>
      <c r="Q725" s="469"/>
      <c r="R725" s="469"/>
      <c r="S725" s="469"/>
      <c r="T725" s="469"/>
      <c r="U725" s="469"/>
      <c r="V725" s="469"/>
      <c r="W725" s="469"/>
    </row>
    <row r="726">
      <c r="A726" s="469"/>
      <c r="B726" s="496"/>
      <c r="C726" s="497"/>
      <c r="D726" s="469"/>
      <c r="E726" s="469"/>
      <c r="F726" s="469"/>
      <c r="G726" s="469"/>
      <c r="H726" s="469"/>
      <c r="I726" s="469"/>
      <c r="J726" s="469"/>
      <c r="K726" s="469"/>
      <c r="L726" s="469"/>
      <c r="M726" s="469"/>
      <c r="N726" s="469"/>
      <c r="O726" s="469"/>
      <c r="P726" s="469"/>
      <c r="Q726" s="469"/>
      <c r="R726" s="469"/>
      <c r="S726" s="469"/>
      <c r="T726" s="469"/>
      <c r="U726" s="469"/>
      <c r="V726" s="469"/>
      <c r="W726" s="469"/>
    </row>
    <row r="727">
      <c r="A727" s="469"/>
      <c r="B727" s="496"/>
      <c r="C727" s="497"/>
      <c r="D727" s="469"/>
      <c r="E727" s="469"/>
      <c r="F727" s="469"/>
      <c r="G727" s="469"/>
      <c r="H727" s="469"/>
      <c r="I727" s="469"/>
      <c r="J727" s="469"/>
      <c r="K727" s="469"/>
      <c r="L727" s="469"/>
      <c r="M727" s="469"/>
      <c r="N727" s="469"/>
      <c r="O727" s="469"/>
      <c r="P727" s="469"/>
      <c r="Q727" s="469"/>
      <c r="R727" s="469"/>
      <c r="S727" s="469"/>
      <c r="T727" s="469"/>
      <c r="U727" s="469"/>
      <c r="V727" s="469"/>
      <c r="W727" s="469"/>
    </row>
    <row r="728">
      <c r="A728" s="469"/>
      <c r="B728" s="496"/>
      <c r="C728" s="497"/>
      <c r="D728" s="469"/>
      <c r="E728" s="469"/>
      <c r="F728" s="469"/>
      <c r="G728" s="469"/>
      <c r="H728" s="469"/>
      <c r="I728" s="469"/>
      <c r="J728" s="469"/>
      <c r="K728" s="469"/>
      <c r="L728" s="469"/>
      <c r="M728" s="469"/>
      <c r="N728" s="469"/>
      <c r="O728" s="469"/>
      <c r="P728" s="469"/>
      <c r="Q728" s="469"/>
      <c r="R728" s="469"/>
      <c r="S728" s="469"/>
      <c r="T728" s="469"/>
      <c r="U728" s="469"/>
      <c r="V728" s="469"/>
      <c r="W728" s="469"/>
    </row>
    <row r="729">
      <c r="A729" s="469"/>
      <c r="B729" s="496"/>
      <c r="C729" s="497"/>
      <c r="D729" s="469"/>
      <c r="E729" s="469"/>
      <c r="F729" s="469"/>
      <c r="G729" s="469"/>
      <c r="H729" s="469"/>
      <c r="I729" s="469"/>
      <c r="J729" s="469"/>
      <c r="K729" s="469"/>
      <c r="L729" s="469"/>
      <c r="M729" s="469"/>
      <c r="N729" s="469"/>
      <c r="O729" s="469"/>
      <c r="P729" s="469"/>
      <c r="Q729" s="469"/>
      <c r="R729" s="469"/>
      <c r="S729" s="469"/>
      <c r="T729" s="469"/>
      <c r="U729" s="469"/>
      <c r="V729" s="469"/>
      <c r="W729" s="469"/>
    </row>
    <row r="730">
      <c r="A730" s="469"/>
      <c r="B730" s="496"/>
      <c r="C730" s="497"/>
      <c r="D730" s="469"/>
      <c r="E730" s="469"/>
      <c r="F730" s="469"/>
      <c r="G730" s="469"/>
      <c r="H730" s="469"/>
      <c r="I730" s="469"/>
      <c r="J730" s="469"/>
      <c r="K730" s="469"/>
      <c r="L730" s="469"/>
      <c r="M730" s="469"/>
      <c r="N730" s="469"/>
      <c r="O730" s="469"/>
      <c r="P730" s="469"/>
      <c r="Q730" s="469"/>
      <c r="R730" s="469"/>
      <c r="S730" s="469"/>
      <c r="T730" s="469"/>
      <c r="U730" s="469"/>
      <c r="V730" s="469"/>
      <c r="W730" s="469"/>
    </row>
    <row r="731">
      <c r="A731" s="469"/>
      <c r="B731" s="496"/>
      <c r="C731" s="497"/>
      <c r="D731" s="469"/>
      <c r="E731" s="469"/>
      <c r="F731" s="469"/>
      <c r="G731" s="469"/>
      <c r="H731" s="469"/>
      <c r="I731" s="469"/>
      <c r="J731" s="469"/>
      <c r="K731" s="469"/>
      <c r="L731" s="469"/>
      <c r="M731" s="469"/>
      <c r="N731" s="469"/>
      <c r="O731" s="469"/>
      <c r="P731" s="469"/>
      <c r="Q731" s="469"/>
      <c r="R731" s="469"/>
      <c r="S731" s="469"/>
      <c r="T731" s="469"/>
      <c r="U731" s="469"/>
      <c r="V731" s="469"/>
      <c r="W731" s="469"/>
    </row>
    <row r="732">
      <c r="A732" s="469"/>
      <c r="B732" s="496"/>
      <c r="C732" s="497"/>
      <c r="D732" s="469"/>
      <c r="E732" s="469"/>
      <c r="F732" s="469"/>
      <c r="G732" s="469"/>
      <c r="H732" s="469"/>
      <c r="I732" s="469"/>
      <c r="J732" s="469"/>
      <c r="K732" s="469"/>
      <c r="L732" s="469"/>
      <c r="M732" s="469"/>
      <c r="N732" s="469"/>
      <c r="O732" s="469"/>
      <c r="P732" s="469"/>
      <c r="Q732" s="469"/>
      <c r="R732" s="469"/>
      <c r="S732" s="469"/>
      <c r="T732" s="469"/>
      <c r="U732" s="469"/>
      <c r="V732" s="469"/>
      <c r="W732" s="469"/>
    </row>
    <row r="733">
      <c r="A733" s="469"/>
      <c r="B733" s="496"/>
      <c r="C733" s="497"/>
      <c r="D733" s="469"/>
      <c r="E733" s="469"/>
      <c r="F733" s="469"/>
      <c r="G733" s="469"/>
      <c r="H733" s="469"/>
      <c r="I733" s="469"/>
      <c r="J733" s="469"/>
      <c r="K733" s="469"/>
      <c r="L733" s="469"/>
      <c r="M733" s="469"/>
      <c r="N733" s="469"/>
      <c r="O733" s="469"/>
      <c r="P733" s="469"/>
      <c r="Q733" s="469"/>
      <c r="R733" s="469"/>
      <c r="S733" s="469"/>
      <c r="T733" s="469"/>
      <c r="U733" s="469"/>
      <c r="V733" s="469"/>
      <c r="W733" s="469"/>
    </row>
    <row r="734">
      <c r="A734" s="469"/>
      <c r="B734" s="496"/>
      <c r="C734" s="497"/>
      <c r="D734" s="469"/>
      <c r="E734" s="469"/>
      <c r="F734" s="469"/>
      <c r="G734" s="469"/>
      <c r="H734" s="469"/>
      <c r="I734" s="469"/>
      <c r="J734" s="469"/>
      <c r="K734" s="469"/>
      <c r="L734" s="469"/>
      <c r="M734" s="469"/>
      <c r="N734" s="469"/>
      <c r="O734" s="469"/>
      <c r="P734" s="469"/>
      <c r="Q734" s="469"/>
      <c r="R734" s="469"/>
      <c r="S734" s="469"/>
      <c r="T734" s="469"/>
      <c r="U734" s="469"/>
      <c r="V734" s="469"/>
      <c r="W734" s="469"/>
    </row>
    <row r="735">
      <c r="A735" s="469"/>
      <c r="B735" s="496"/>
      <c r="C735" s="497"/>
      <c r="D735" s="469"/>
      <c r="E735" s="469"/>
      <c r="F735" s="469"/>
      <c r="G735" s="469"/>
      <c r="H735" s="469"/>
      <c r="I735" s="469"/>
      <c r="J735" s="469"/>
      <c r="K735" s="469"/>
      <c r="L735" s="469"/>
      <c r="M735" s="469"/>
      <c r="N735" s="469"/>
      <c r="O735" s="469"/>
      <c r="P735" s="469"/>
      <c r="Q735" s="469"/>
      <c r="R735" s="469"/>
      <c r="S735" s="469"/>
      <c r="T735" s="469"/>
      <c r="U735" s="469"/>
      <c r="V735" s="469"/>
      <c r="W735" s="469"/>
    </row>
    <row r="736">
      <c r="A736" s="469"/>
      <c r="B736" s="496"/>
      <c r="C736" s="497"/>
      <c r="D736" s="469"/>
      <c r="E736" s="469"/>
      <c r="F736" s="469"/>
      <c r="G736" s="469"/>
      <c r="H736" s="469"/>
      <c r="I736" s="469"/>
      <c r="J736" s="469"/>
      <c r="K736" s="469"/>
      <c r="L736" s="469"/>
      <c r="M736" s="469"/>
      <c r="N736" s="469"/>
      <c r="O736" s="469"/>
      <c r="P736" s="469"/>
      <c r="Q736" s="469"/>
      <c r="R736" s="469"/>
      <c r="S736" s="469"/>
      <c r="T736" s="469"/>
      <c r="U736" s="469"/>
      <c r="V736" s="469"/>
      <c r="W736" s="469"/>
    </row>
    <row r="737">
      <c r="A737" s="469"/>
      <c r="B737" s="496"/>
      <c r="C737" s="497"/>
      <c r="D737" s="469"/>
      <c r="E737" s="469"/>
      <c r="F737" s="469"/>
      <c r="G737" s="469"/>
      <c r="H737" s="469"/>
      <c r="I737" s="469"/>
      <c r="J737" s="469"/>
      <c r="K737" s="469"/>
      <c r="L737" s="469"/>
      <c r="M737" s="469"/>
      <c r="N737" s="469"/>
      <c r="O737" s="469"/>
      <c r="P737" s="469"/>
      <c r="Q737" s="469"/>
      <c r="R737" s="469"/>
      <c r="S737" s="469"/>
      <c r="T737" s="469"/>
      <c r="U737" s="469"/>
      <c r="V737" s="469"/>
      <c r="W737" s="469"/>
    </row>
    <row r="738">
      <c r="A738" s="469"/>
      <c r="B738" s="496"/>
      <c r="C738" s="497"/>
      <c r="D738" s="469"/>
      <c r="E738" s="469"/>
      <c r="F738" s="469"/>
      <c r="G738" s="469"/>
      <c r="H738" s="469"/>
      <c r="I738" s="469"/>
      <c r="J738" s="469"/>
      <c r="K738" s="469"/>
      <c r="L738" s="469"/>
      <c r="M738" s="469"/>
      <c r="N738" s="469"/>
      <c r="O738" s="469"/>
      <c r="P738" s="469"/>
      <c r="Q738" s="469"/>
      <c r="R738" s="469"/>
      <c r="S738" s="469"/>
      <c r="T738" s="469"/>
      <c r="U738" s="469"/>
      <c r="V738" s="469"/>
      <c r="W738" s="469"/>
    </row>
    <row r="739">
      <c r="A739" s="469"/>
      <c r="B739" s="496"/>
      <c r="C739" s="497"/>
      <c r="D739" s="469"/>
      <c r="E739" s="469"/>
      <c r="F739" s="469"/>
      <c r="G739" s="469"/>
      <c r="H739" s="469"/>
      <c r="I739" s="469"/>
      <c r="J739" s="469"/>
      <c r="K739" s="469"/>
      <c r="L739" s="469"/>
      <c r="M739" s="469"/>
      <c r="N739" s="469"/>
      <c r="O739" s="469"/>
      <c r="P739" s="469"/>
      <c r="Q739" s="469"/>
      <c r="R739" s="469"/>
      <c r="S739" s="469"/>
      <c r="T739" s="469"/>
      <c r="U739" s="469"/>
      <c r="V739" s="469"/>
      <c r="W739" s="469"/>
    </row>
    <row r="740">
      <c r="A740" s="469"/>
      <c r="B740" s="496"/>
      <c r="C740" s="497"/>
      <c r="D740" s="469"/>
      <c r="E740" s="469"/>
      <c r="F740" s="469"/>
      <c r="G740" s="469"/>
      <c r="H740" s="469"/>
      <c r="I740" s="469"/>
      <c r="J740" s="469"/>
      <c r="K740" s="469"/>
      <c r="L740" s="469"/>
      <c r="M740" s="469"/>
      <c r="N740" s="469"/>
      <c r="O740" s="469"/>
      <c r="P740" s="469"/>
      <c r="Q740" s="469"/>
      <c r="R740" s="469"/>
      <c r="S740" s="469"/>
      <c r="T740" s="469"/>
      <c r="U740" s="469"/>
      <c r="V740" s="469"/>
      <c r="W740" s="469"/>
    </row>
    <row r="741">
      <c r="A741" s="469"/>
      <c r="B741" s="496"/>
      <c r="C741" s="497"/>
      <c r="D741" s="469"/>
      <c r="E741" s="469"/>
      <c r="F741" s="469"/>
      <c r="G741" s="469"/>
      <c r="H741" s="469"/>
      <c r="I741" s="469"/>
      <c r="J741" s="469"/>
      <c r="K741" s="469"/>
      <c r="L741" s="469"/>
      <c r="M741" s="469"/>
      <c r="N741" s="469"/>
      <c r="O741" s="469"/>
      <c r="P741" s="469"/>
      <c r="Q741" s="469"/>
      <c r="R741" s="469"/>
      <c r="S741" s="469"/>
      <c r="T741" s="469"/>
      <c r="U741" s="469"/>
      <c r="V741" s="469"/>
      <c r="W741" s="469"/>
    </row>
    <row r="742">
      <c r="A742" s="469"/>
      <c r="B742" s="496"/>
      <c r="C742" s="497"/>
      <c r="D742" s="469"/>
      <c r="E742" s="469"/>
      <c r="F742" s="469"/>
      <c r="G742" s="469"/>
      <c r="H742" s="469"/>
      <c r="I742" s="469"/>
      <c r="J742" s="469"/>
      <c r="K742" s="469"/>
      <c r="L742" s="469"/>
      <c r="M742" s="469"/>
      <c r="N742" s="469"/>
      <c r="O742" s="469"/>
      <c r="P742" s="469"/>
      <c r="Q742" s="469"/>
      <c r="R742" s="469"/>
      <c r="S742" s="469"/>
      <c r="T742" s="469"/>
      <c r="U742" s="469"/>
      <c r="V742" s="469"/>
      <c r="W742" s="469"/>
    </row>
    <row r="743">
      <c r="A743" s="469"/>
      <c r="B743" s="496"/>
      <c r="C743" s="497"/>
      <c r="D743" s="469"/>
      <c r="E743" s="469"/>
      <c r="F743" s="469"/>
      <c r="G743" s="469"/>
      <c r="H743" s="469"/>
      <c r="I743" s="469"/>
      <c r="J743" s="469"/>
      <c r="K743" s="469"/>
      <c r="L743" s="469"/>
      <c r="M743" s="469"/>
      <c r="N743" s="469"/>
      <c r="O743" s="469"/>
      <c r="P743" s="469"/>
      <c r="Q743" s="469"/>
      <c r="R743" s="469"/>
      <c r="S743" s="469"/>
      <c r="T743" s="469"/>
      <c r="U743" s="469"/>
      <c r="V743" s="469"/>
      <c r="W743" s="469"/>
    </row>
    <row r="744">
      <c r="A744" s="469"/>
      <c r="B744" s="496"/>
      <c r="C744" s="497"/>
      <c r="D744" s="469"/>
      <c r="E744" s="469"/>
      <c r="F744" s="469"/>
      <c r="G744" s="469"/>
      <c r="H744" s="469"/>
      <c r="I744" s="469"/>
      <c r="J744" s="469"/>
      <c r="K744" s="469"/>
      <c r="L744" s="469"/>
      <c r="M744" s="469"/>
      <c r="N744" s="469"/>
      <c r="O744" s="469"/>
      <c r="P744" s="469"/>
      <c r="Q744" s="469"/>
      <c r="R744" s="469"/>
      <c r="S744" s="469"/>
      <c r="T744" s="469"/>
      <c r="U744" s="469"/>
      <c r="V744" s="469"/>
      <c r="W744" s="469"/>
    </row>
    <row r="745">
      <c r="A745" s="469"/>
      <c r="B745" s="496"/>
      <c r="C745" s="497"/>
      <c r="D745" s="469"/>
      <c r="E745" s="469"/>
      <c r="F745" s="469"/>
      <c r="G745" s="469"/>
      <c r="H745" s="469"/>
      <c r="I745" s="469"/>
      <c r="J745" s="469"/>
      <c r="K745" s="469"/>
      <c r="L745" s="469"/>
      <c r="M745" s="469"/>
      <c r="N745" s="469"/>
      <c r="O745" s="469"/>
      <c r="P745" s="469"/>
      <c r="Q745" s="469"/>
      <c r="R745" s="469"/>
      <c r="S745" s="469"/>
      <c r="T745" s="469"/>
      <c r="U745" s="469"/>
      <c r="V745" s="469"/>
      <c r="W745" s="469"/>
    </row>
    <row r="746">
      <c r="A746" s="469"/>
      <c r="B746" s="496"/>
      <c r="C746" s="497"/>
      <c r="D746" s="469"/>
      <c r="E746" s="469"/>
      <c r="F746" s="469"/>
      <c r="G746" s="469"/>
      <c r="H746" s="469"/>
      <c r="I746" s="469"/>
      <c r="J746" s="469"/>
      <c r="K746" s="469"/>
      <c r="L746" s="469"/>
      <c r="M746" s="469"/>
      <c r="N746" s="469"/>
      <c r="O746" s="469"/>
      <c r="P746" s="469"/>
      <c r="Q746" s="469"/>
      <c r="R746" s="469"/>
      <c r="S746" s="469"/>
      <c r="T746" s="469"/>
      <c r="U746" s="469"/>
      <c r="V746" s="469"/>
      <c r="W746" s="469"/>
    </row>
    <row r="747">
      <c r="A747" s="469"/>
      <c r="B747" s="496"/>
      <c r="C747" s="497"/>
      <c r="D747" s="469"/>
      <c r="E747" s="469"/>
      <c r="F747" s="469"/>
      <c r="G747" s="469"/>
      <c r="H747" s="469"/>
      <c r="I747" s="469"/>
      <c r="J747" s="469"/>
      <c r="K747" s="469"/>
      <c r="L747" s="469"/>
      <c r="M747" s="469"/>
      <c r="N747" s="469"/>
      <c r="O747" s="469"/>
      <c r="P747" s="469"/>
      <c r="Q747" s="469"/>
      <c r="R747" s="469"/>
      <c r="S747" s="469"/>
      <c r="T747" s="469"/>
      <c r="U747" s="469"/>
      <c r="V747" s="469"/>
      <c r="W747" s="469"/>
    </row>
    <row r="748">
      <c r="A748" s="469"/>
      <c r="B748" s="496"/>
      <c r="C748" s="497"/>
      <c r="D748" s="469"/>
      <c r="E748" s="469"/>
      <c r="F748" s="469"/>
      <c r="G748" s="469"/>
      <c r="H748" s="469"/>
      <c r="I748" s="469"/>
      <c r="J748" s="469"/>
      <c r="K748" s="469"/>
      <c r="L748" s="469"/>
      <c r="M748" s="469"/>
      <c r="N748" s="469"/>
      <c r="O748" s="469"/>
      <c r="P748" s="469"/>
      <c r="Q748" s="469"/>
      <c r="R748" s="469"/>
      <c r="S748" s="469"/>
      <c r="T748" s="469"/>
      <c r="U748" s="469"/>
      <c r="V748" s="469"/>
      <c r="W748" s="469"/>
    </row>
    <row r="749">
      <c r="A749" s="469"/>
      <c r="B749" s="496"/>
      <c r="C749" s="497"/>
      <c r="D749" s="469"/>
      <c r="E749" s="469"/>
      <c r="F749" s="469"/>
      <c r="G749" s="469"/>
      <c r="H749" s="469"/>
      <c r="I749" s="469"/>
      <c r="J749" s="469"/>
      <c r="K749" s="469"/>
      <c r="L749" s="469"/>
      <c r="M749" s="469"/>
      <c r="N749" s="469"/>
      <c r="O749" s="469"/>
      <c r="P749" s="469"/>
      <c r="Q749" s="469"/>
      <c r="R749" s="469"/>
      <c r="S749" s="469"/>
      <c r="T749" s="469"/>
      <c r="U749" s="469"/>
      <c r="V749" s="469"/>
      <c r="W749" s="469"/>
    </row>
    <row r="750">
      <c r="A750" s="469"/>
      <c r="B750" s="496"/>
      <c r="C750" s="497"/>
      <c r="D750" s="469"/>
      <c r="E750" s="469"/>
      <c r="F750" s="469"/>
      <c r="G750" s="469"/>
      <c r="H750" s="469"/>
      <c r="I750" s="469"/>
      <c r="J750" s="469"/>
      <c r="K750" s="469"/>
      <c r="L750" s="469"/>
      <c r="M750" s="469"/>
      <c r="N750" s="469"/>
      <c r="O750" s="469"/>
      <c r="P750" s="469"/>
      <c r="Q750" s="469"/>
      <c r="R750" s="469"/>
      <c r="S750" s="469"/>
      <c r="T750" s="469"/>
      <c r="U750" s="469"/>
      <c r="V750" s="469"/>
      <c r="W750" s="469"/>
    </row>
    <row r="751">
      <c r="A751" s="469"/>
      <c r="B751" s="496"/>
      <c r="C751" s="497"/>
      <c r="D751" s="469"/>
      <c r="E751" s="469"/>
      <c r="F751" s="469"/>
      <c r="G751" s="469"/>
      <c r="H751" s="469"/>
      <c r="I751" s="469"/>
      <c r="J751" s="469"/>
      <c r="K751" s="469"/>
      <c r="L751" s="469"/>
      <c r="M751" s="469"/>
      <c r="N751" s="469"/>
      <c r="O751" s="469"/>
      <c r="P751" s="469"/>
      <c r="Q751" s="469"/>
      <c r="R751" s="469"/>
      <c r="S751" s="469"/>
      <c r="T751" s="469"/>
      <c r="U751" s="469"/>
      <c r="V751" s="469"/>
      <c r="W751" s="469"/>
    </row>
    <row r="752">
      <c r="A752" s="469"/>
      <c r="B752" s="496"/>
      <c r="C752" s="497"/>
      <c r="D752" s="469"/>
      <c r="E752" s="469"/>
      <c r="F752" s="469"/>
      <c r="G752" s="469"/>
      <c r="H752" s="469"/>
      <c r="I752" s="469"/>
      <c r="J752" s="469"/>
      <c r="K752" s="469"/>
      <c r="L752" s="469"/>
      <c r="M752" s="469"/>
      <c r="N752" s="469"/>
      <c r="O752" s="469"/>
      <c r="P752" s="469"/>
      <c r="Q752" s="469"/>
      <c r="R752" s="469"/>
      <c r="S752" s="469"/>
      <c r="T752" s="469"/>
      <c r="U752" s="469"/>
      <c r="V752" s="469"/>
      <c r="W752" s="469"/>
    </row>
    <row r="753">
      <c r="A753" s="469"/>
      <c r="B753" s="496"/>
      <c r="C753" s="497"/>
      <c r="D753" s="469"/>
      <c r="E753" s="469"/>
      <c r="F753" s="469"/>
      <c r="G753" s="469"/>
      <c r="H753" s="469"/>
      <c r="I753" s="469"/>
      <c r="J753" s="469"/>
      <c r="K753" s="469"/>
      <c r="L753" s="469"/>
      <c r="M753" s="469"/>
      <c r="N753" s="469"/>
      <c r="O753" s="469"/>
      <c r="P753" s="469"/>
      <c r="Q753" s="469"/>
      <c r="R753" s="469"/>
      <c r="S753" s="469"/>
      <c r="T753" s="469"/>
      <c r="U753" s="469"/>
      <c r="V753" s="469"/>
      <c r="W753" s="469"/>
    </row>
    <row r="754">
      <c r="A754" s="469"/>
      <c r="B754" s="496"/>
      <c r="C754" s="497"/>
      <c r="D754" s="469"/>
      <c r="E754" s="469"/>
      <c r="F754" s="469"/>
      <c r="G754" s="469"/>
      <c r="H754" s="469"/>
      <c r="I754" s="469"/>
      <c r="J754" s="469"/>
      <c r="K754" s="469"/>
      <c r="L754" s="469"/>
      <c r="M754" s="469"/>
      <c r="N754" s="469"/>
      <c r="O754" s="469"/>
      <c r="P754" s="469"/>
      <c r="Q754" s="469"/>
      <c r="R754" s="469"/>
      <c r="S754" s="469"/>
      <c r="T754" s="469"/>
      <c r="U754" s="469"/>
      <c r="V754" s="469"/>
      <c r="W754" s="469"/>
    </row>
    <row r="755">
      <c r="A755" s="469"/>
      <c r="B755" s="496"/>
      <c r="C755" s="497"/>
      <c r="D755" s="469"/>
      <c r="E755" s="469"/>
      <c r="F755" s="469"/>
      <c r="G755" s="469"/>
      <c r="H755" s="469"/>
      <c r="I755" s="469"/>
      <c r="J755" s="469"/>
      <c r="K755" s="469"/>
      <c r="L755" s="469"/>
      <c r="M755" s="469"/>
      <c r="N755" s="469"/>
      <c r="O755" s="469"/>
      <c r="P755" s="469"/>
      <c r="Q755" s="469"/>
      <c r="R755" s="469"/>
      <c r="S755" s="469"/>
      <c r="T755" s="469"/>
      <c r="U755" s="469"/>
      <c r="V755" s="469"/>
      <c r="W755" s="469"/>
    </row>
    <row r="756">
      <c r="A756" s="469"/>
      <c r="B756" s="496"/>
      <c r="C756" s="497"/>
      <c r="D756" s="469"/>
      <c r="E756" s="469"/>
      <c r="F756" s="469"/>
      <c r="G756" s="469"/>
      <c r="H756" s="469"/>
      <c r="I756" s="469"/>
      <c r="J756" s="469"/>
      <c r="K756" s="469"/>
      <c r="L756" s="469"/>
      <c r="M756" s="469"/>
      <c r="N756" s="469"/>
      <c r="O756" s="469"/>
      <c r="P756" s="469"/>
      <c r="Q756" s="469"/>
      <c r="R756" s="469"/>
      <c r="S756" s="469"/>
      <c r="T756" s="469"/>
      <c r="U756" s="469"/>
      <c r="V756" s="469"/>
      <c r="W756" s="469"/>
    </row>
    <row r="757">
      <c r="A757" s="469"/>
      <c r="B757" s="496"/>
      <c r="C757" s="497"/>
      <c r="D757" s="469"/>
      <c r="E757" s="469"/>
      <c r="F757" s="469"/>
      <c r="G757" s="469"/>
      <c r="H757" s="469"/>
      <c r="I757" s="469"/>
      <c r="J757" s="469"/>
      <c r="K757" s="469"/>
      <c r="L757" s="469"/>
      <c r="M757" s="469"/>
      <c r="N757" s="469"/>
      <c r="O757" s="469"/>
      <c r="P757" s="469"/>
      <c r="Q757" s="469"/>
      <c r="R757" s="469"/>
      <c r="S757" s="469"/>
      <c r="T757" s="469"/>
      <c r="U757" s="469"/>
      <c r="V757" s="469"/>
      <c r="W757" s="469"/>
    </row>
    <row r="758">
      <c r="A758" s="469"/>
      <c r="B758" s="496"/>
      <c r="C758" s="497"/>
      <c r="D758" s="469"/>
      <c r="E758" s="469"/>
      <c r="F758" s="469"/>
      <c r="G758" s="469"/>
      <c r="H758" s="469"/>
      <c r="I758" s="469"/>
      <c r="J758" s="469"/>
      <c r="K758" s="469"/>
      <c r="L758" s="469"/>
      <c r="M758" s="469"/>
      <c r="N758" s="469"/>
      <c r="O758" s="469"/>
      <c r="P758" s="469"/>
      <c r="Q758" s="469"/>
      <c r="R758" s="469"/>
      <c r="S758" s="469"/>
      <c r="T758" s="469"/>
      <c r="U758" s="469"/>
      <c r="V758" s="469"/>
      <c r="W758" s="469"/>
    </row>
    <row r="759">
      <c r="A759" s="469"/>
      <c r="B759" s="496"/>
      <c r="C759" s="497"/>
      <c r="D759" s="469"/>
      <c r="E759" s="469"/>
      <c r="F759" s="469"/>
      <c r="G759" s="469"/>
      <c r="H759" s="469"/>
      <c r="I759" s="469"/>
      <c r="J759" s="469"/>
      <c r="K759" s="469"/>
      <c r="L759" s="469"/>
      <c r="M759" s="469"/>
      <c r="N759" s="469"/>
      <c r="O759" s="469"/>
      <c r="P759" s="469"/>
      <c r="Q759" s="469"/>
      <c r="R759" s="469"/>
      <c r="S759" s="469"/>
      <c r="T759" s="469"/>
      <c r="U759" s="469"/>
      <c r="V759" s="469"/>
      <c r="W759" s="469"/>
    </row>
    <row r="760">
      <c r="A760" s="469"/>
      <c r="B760" s="496"/>
      <c r="C760" s="497"/>
      <c r="D760" s="469"/>
      <c r="E760" s="469"/>
      <c r="F760" s="469"/>
      <c r="G760" s="469"/>
      <c r="H760" s="469"/>
      <c r="I760" s="469"/>
      <c r="J760" s="469"/>
      <c r="K760" s="469"/>
      <c r="L760" s="469"/>
      <c r="M760" s="469"/>
      <c r="N760" s="469"/>
      <c r="O760" s="469"/>
      <c r="P760" s="469"/>
      <c r="Q760" s="469"/>
      <c r="R760" s="469"/>
      <c r="S760" s="469"/>
      <c r="T760" s="469"/>
      <c r="U760" s="469"/>
      <c r="V760" s="469"/>
      <c r="W760" s="469"/>
    </row>
    <row r="761">
      <c r="A761" s="469"/>
      <c r="B761" s="496"/>
      <c r="C761" s="497"/>
      <c r="D761" s="469"/>
      <c r="E761" s="469"/>
      <c r="F761" s="469"/>
      <c r="G761" s="469"/>
      <c r="H761" s="469"/>
      <c r="I761" s="469"/>
      <c r="J761" s="469"/>
      <c r="K761" s="469"/>
      <c r="L761" s="469"/>
      <c r="M761" s="469"/>
      <c r="N761" s="469"/>
      <c r="O761" s="469"/>
      <c r="P761" s="469"/>
      <c r="Q761" s="469"/>
      <c r="R761" s="469"/>
      <c r="S761" s="469"/>
      <c r="T761" s="469"/>
      <c r="U761" s="469"/>
      <c r="V761" s="469"/>
      <c r="W761" s="469"/>
    </row>
    <row r="762">
      <c r="A762" s="469"/>
      <c r="B762" s="496"/>
      <c r="C762" s="497"/>
      <c r="D762" s="469"/>
      <c r="E762" s="469"/>
      <c r="F762" s="469"/>
      <c r="G762" s="469"/>
      <c r="H762" s="469"/>
      <c r="I762" s="469"/>
      <c r="J762" s="469"/>
      <c r="K762" s="469"/>
      <c r="L762" s="469"/>
      <c r="M762" s="469"/>
      <c r="N762" s="469"/>
      <c r="O762" s="469"/>
      <c r="P762" s="469"/>
      <c r="Q762" s="469"/>
      <c r="R762" s="469"/>
      <c r="S762" s="469"/>
      <c r="T762" s="469"/>
      <c r="U762" s="469"/>
      <c r="V762" s="469"/>
      <c r="W762" s="469"/>
    </row>
    <row r="763">
      <c r="A763" s="469"/>
      <c r="B763" s="496"/>
      <c r="C763" s="497"/>
      <c r="D763" s="469"/>
      <c r="E763" s="469"/>
      <c r="F763" s="469"/>
      <c r="G763" s="469"/>
      <c r="H763" s="469"/>
      <c r="I763" s="469"/>
      <c r="J763" s="469"/>
      <c r="K763" s="469"/>
      <c r="L763" s="469"/>
      <c r="M763" s="469"/>
      <c r="N763" s="469"/>
      <c r="O763" s="469"/>
      <c r="P763" s="469"/>
      <c r="Q763" s="469"/>
      <c r="R763" s="469"/>
      <c r="S763" s="469"/>
      <c r="T763" s="469"/>
      <c r="U763" s="469"/>
      <c r="V763" s="469"/>
      <c r="W763" s="469"/>
    </row>
    <row r="764">
      <c r="A764" s="469"/>
      <c r="B764" s="496"/>
      <c r="C764" s="497"/>
      <c r="D764" s="469"/>
      <c r="E764" s="469"/>
      <c r="F764" s="469"/>
      <c r="G764" s="469"/>
      <c r="H764" s="469"/>
      <c r="I764" s="469"/>
      <c r="J764" s="469"/>
      <c r="K764" s="469"/>
      <c r="L764" s="469"/>
      <c r="M764" s="469"/>
      <c r="N764" s="469"/>
      <c r="O764" s="469"/>
      <c r="P764" s="469"/>
      <c r="Q764" s="469"/>
      <c r="R764" s="469"/>
      <c r="S764" s="469"/>
      <c r="T764" s="469"/>
      <c r="U764" s="469"/>
      <c r="V764" s="469"/>
      <c r="W764" s="469"/>
    </row>
    <row r="765">
      <c r="A765" s="469"/>
      <c r="B765" s="496"/>
      <c r="C765" s="497"/>
      <c r="D765" s="469"/>
      <c r="E765" s="469"/>
      <c r="F765" s="469"/>
      <c r="G765" s="469"/>
      <c r="H765" s="469"/>
      <c r="I765" s="469"/>
      <c r="J765" s="469"/>
      <c r="K765" s="469"/>
      <c r="L765" s="469"/>
      <c r="M765" s="469"/>
      <c r="N765" s="469"/>
      <c r="O765" s="469"/>
      <c r="P765" s="469"/>
      <c r="Q765" s="469"/>
      <c r="R765" s="469"/>
      <c r="S765" s="469"/>
      <c r="T765" s="469"/>
      <c r="U765" s="469"/>
      <c r="V765" s="469"/>
      <c r="W765" s="469"/>
    </row>
    <row r="766">
      <c r="A766" s="469"/>
      <c r="B766" s="496"/>
      <c r="C766" s="497"/>
      <c r="D766" s="469"/>
      <c r="E766" s="469"/>
      <c r="F766" s="469"/>
      <c r="G766" s="469"/>
      <c r="H766" s="469"/>
      <c r="I766" s="469"/>
      <c r="J766" s="469"/>
      <c r="K766" s="469"/>
      <c r="L766" s="469"/>
      <c r="M766" s="469"/>
      <c r="N766" s="469"/>
      <c r="O766" s="469"/>
      <c r="P766" s="469"/>
      <c r="Q766" s="469"/>
      <c r="R766" s="469"/>
      <c r="S766" s="469"/>
      <c r="T766" s="469"/>
      <c r="U766" s="469"/>
      <c r="V766" s="469"/>
      <c r="W766" s="469"/>
    </row>
    <row r="767">
      <c r="A767" s="469"/>
      <c r="B767" s="496"/>
      <c r="C767" s="497"/>
      <c r="D767" s="469"/>
      <c r="E767" s="469"/>
      <c r="F767" s="469"/>
      <c r="G767" s="469"/>
      <c r="H767" s="469"/>
      <c r="I767" s="469"/>
      <c r="J767" s="469"/>
      <c r="K767" s="469"/>
      <c r="L767" s="469"/>
      <c r="M767" s="469"/>
      <c r="N767" s="469"/>
      <c r="O767" s="469"/>
      <c r="P767" s="469"/>
      <c r="Q767" s="469"/>
      <c r="R767" s="469"/>
      <c r="S767" s="469"/>
      <c r="T767" s="469"/>
      <c r="U767" s="469"/>
      <c r="V767" s="469"/>
      <c r="W767" s="469"/>
    </row>
    <row r="768">
      <c r="A768" s="469"/>
      <c r="B768" s="496"/>
      <c r="C768" s="497"/>
      <c r="D768" s="469"/>
      <c r="E768" s="469"/>
      <c r="F768" s="469"/>
      <c r="G768" s="469"/>
      <c r="H768" s="469"/>
      <c r="I768" s="469"/>
      <c r="J768" s="469"/>
      <c r="K768" s="469"/>
      <c r="L768" s="469"/>
      <c r="M768" s="469"/>
      <c r="N768" s="469"/>
      <c r="O768" s="469"/>
      <c r="P768" s="469"/>
      <c r="Q768" s="469"/>
      <c r="R768" s="469"/>
      <c r="S768" s="469"/>
      <c r="T768" s="469"/>
      <c r="U768" s="469"/>
      <c r="V768" s="469"/>
      <c r="W768" s="469"/>
    </row>
    <row r="769">
      <c r="A769" s="469"/>
      <c r="B769" s="496"/>
      <c r="C769" s="497"/>
      <c r="D769" s="469"/>
      <c r="E769" s="469"/>
      <c r="F769" s="469"/>
      <c r="G769" s="469"/>
      <c r="H769" s="469"/>
      <c r="I769" s="469"/>
      <c r="J769" s="469"/>
      <c r="K769" s="469"/>
      <c r="L769" s="469"/>
      <c r="M769" s="469"/>
      <c r="N769" s="469"/>
      <c r="O769" s="469"/>
      <c r="P769" s="469"/>
      <c r="Q769" s="469"/>
      <c r="R769" s="469"/>
      <c r="S769" s="469"/>
      <c r="T769" s="469"/>
      <c r="U769" s="469"/>
      <c r="V769" s="469"/>
      <c r="W769" s="469"/>
    </row>
    <row r="770">
      <c r="A770" s="469"/>
      <c r="B770" s="496"/>
      <c r="C770" s="497"/>
      <c r="D770" s="469"/>
      <c r="E770" s="469"/>
      <c r="F770" s="469"/>
      <c r="G770" s="469"/>
      <c r="H770" s="469"/>
      <c r="I770" s="469"/>
      <c r="J770" s="469"/>
      <c r="K770" s="469"/>
      <c r="L770" s="469"/>
      <c r="M770" s="469"/>
      <c r="N770" s="469"/>
      <c r="O770" s="469"/>
      <c r="P770" s="469"/>
      <c r="Q770" s="469"/>
      <c r="R770" s="469"/>
      <c r="S770" s="469"/>
      <c r="T770" s="469"/>
      <c r="U770" s="469"/>
      <c r="V770" s="469"/>
      <c r="W770" s="469"/>
    </row>
    <row r="771">
      <c r="A771" s="469"/>
      <c r="B771" s="496"/>
      <c r="C771" s="497"/>
      <c r="D771" s="469"/>
      <c r="E771" s="469"/>
      <c r="F771" s="469"/>
      <c r="G771" s="469"/>
      <c r="H771" s="469"/>
      <c r="I771" s="469"/>
      <c r="J771" s="469"/>
      <c r="K771" s="469"/>
      <c r="L771" s="469"/>
      <c r="M771" s="469"/>
      <c r="N771" s="469"/>
      <c r="O771" s="469"/>
      <c r="P771" s="469"/>
      <c r="Q771" s="469"/>
      <c r="R771" s="469"/>
      <c r="S771" s="469"/>
      <c r="T771" s="469"/>
      <c r="U771" s="469"/>
      <c r="V771" s="469"/>
      <c r="W771" s="469"/>
    </row>
    <row r="772">
      <c r="A772" s="469"/>
      <c r="B772" s="496"/>
      <c r="C772" s="497"/>
      <c r="D772" s="469"/>
      <c r="E772" s="469"/>
      <c r="F772" s="469"/>
      <c r="G772" s="469"/>
      <c r="H772" s="469"/>
      <c r="I772" s="469"/>
      <c r="J772" s="469"/>
      <c r="K772" s="469"/>
      <c r="L772" s="469"/>
      <c r="M772" s="469"/>
      <c r="N772" s="469"/>
      <c r="O772" s="469"/>
      <c r="P772" s="469"/>
      <c r="Q772" s="469"/>
      <c r="R772" s="469"/>
      <c r="S772" s="469"/>
      <c r="T772" s="469"/>
      <c r="U772" s="469"/>
      <c r="V772" s="469"/>
      <c r="W772" s="469"/>
    </row>
    <row r="773">
      <c r="A773" s="469"/>
      <c r="B773" s="496"/>
      <c r="C773" s="497"/>
      <c r="D773" s="469"/>
      <c r="E773" s="469"/>
      <c r="F773" s="469"/>
      <c r="G773" s="469"/>
      <c r="H773" s="469"/>
      <c r="I773" s="469"/>
      <c r="J773" s="469"/>
      <c r="K773" s="469"/>
      <c r="L773" s="469"/>
      <c r="M773" s="469"/>
      <c r="N773" s="469"/>
      <c r="O773" s="469"/>
      <c r="P773" s="469"/>
      <c r="Q773" s="469"/>
      <c r="R773" s="469"/>
      <c r="S773" s="469"/>
      <c r="T773" s="469"/>
      <c r="U773" s="469"/>
      <c r="V773" s="469"/>
      <c r="W773" s="469"/>
    </row>
    <row r="774">
      <c r="A774" s="469"/>
      <c r="B774" s="496"/>
      <c r="C774" s="497"/>
      <c r="D774" s="469"/>
      <c r="E774" s="469"/>
      <c r="F774" s="469"/>
      <c r="G774" s="469"/>
      <c r="H774" s="469"/>
      <c r="I774" s="469"/>
      <c r="J774" s="469"/>
      <c r="K774" s="469"/>
      <c r="L774" s="469"/>
      <c r="M774" s="469"/>
      <c r="N774" s="469"/>
      <c r="O774" s="469"/>
      <c r="P774" s="469"/>
      <c r="Q774" s="469"/>
      <c r="R774" s="469"/>
      <c r="S774" s="469"/>
      <c r="T774" s="469"/>
      <c r="U774" s="469"/>
      <c r="V774" s="469"/>
      <c r="W774" s="469"/>
    </row>
    <row r="775">
      <c r="A775" s="469"/>
      <c r="B775" s="496"/>
      <c r="C775" s="497"/>
      <c r="D775" s="469"/>
      <c r="E775" s="469"/>
      <c r="F775" s="469"/>
      <c r="G775" s="469"/>
      <c r="H775" s="469"/>
      <c r="I775" s="469"/>
      <c r="J775" s="469"/>
      <c r="K775" s="469"/>
      <c r="L775" s="469"/>
      <c r="M775" s="469"/>
      <c r="N775" s="469"/>
      <c r="O775" s="469"/>
      <c r="P775" s="469"/>
      <c r="Q775" s="469"/>
      <c r="R775" s="469"/>
      <c r="S775" s="469"/>
      <c r="T775" s="469"/>
      <c r="U775" s="469"/>
      <c r="V775" s="469"/>
      <c r="W775" s="469"/>
    </row>
    <row r="776">
      <c r="A776" s="469"/>
      <c r="B776" s="496"/>
      <c r="C776" s="497"/>
      <c r="D776" s="469"/>
      <c r="E776" s="469"/>
      <c r="F776" s="469"/>
      <c r="G776" s="469"/>
      <c r="H776" s="469"/>
      <c r="I776" s="469"/>
      <c r="J776" s="469"/>
      <c r="K776" s="469"/>
      <c r="L776" s="469"/>
      <c r="M776" s="469"/>
      <c r="N776" s="469"/>
      <c r="O776" s="469"/>
      <c r="P776" s="469"/>
      <c r="Q776" s="469"/>
      <c r="R776" s="469"/>
      <c r="S776" s="469"/>
      <c r="T776" s="469"/>
      <c r="U776" s="469"/>
      <c r="V776" s="469"/>
      <c r="W776" s="469"/>
    </row>
    <row r="777">
      <c r="A777" s="469"/>
      <c r="B777" s="496"/>
      <c r="C777" s="497"/>
      <c r="D777" s="469"/>
      <c r="E777" s="469"/>
      <c r="F777" s="469"/>
      <c r="G777" s="469"/>
      <c r="H777" s="469"/>
      <c r="I777" s="469"/>
      <c r="J777" s="469"/>
      <c r="K777" s="469"/>
      <c r="L777" s="469"/>
      <c r="M777" s="469"/>
      <c r="N777" s="469"/>
      <c r="O777" s="469"/>
      <c r="P777" s="469"/>
      <c r="Q777" s="469"/>
      <c r="R777" s="469"/>
      <c r="S777" s="469"/>
      <c r="T777" s="469"/>
      <c r="U777" s="469"/>
      <c r="V777" s="469"/>
      <c r="W777" s="469"/>
    </row>
    <row r="778">
      <c r="A778" s="469"/>
      <c r="B778" s="496"/>
      <c r="C778" s="497"/>
      <c r="D778" s="469"/>
      <c r="E778" s="469"/>
      <c r="F778" s="469"/>
      <c r="G778" s="469"/>
      <c r="H778" s="469"/>
      <c r="I778" s="469"/>
      <c r="J778" s="469"/>
      <c r="K778" s="469"/>
      <c r="L778" s="469"/>
      <c r="M778" s="469"/>
      <c r="N778" s="469"/>
      <c r="O778" s="469"/>
      <c r="P778" s="469"/>
      <c r="Q778" s="469"/>
      <c r="R778" s="469"/>
      <c r="S778" s="469"/>
      <c r="T778" s="469"/>
      <c r="U778" s="469"/>
      <c r="V778" s="469"/>
      <c r="W778" s="469"/>
    </row>
    <row r="779">
      <c r="A779" s="469"/>
      <c r="B779" s="496"/>
      <c r="C779" s="497"/>
      <c r="D779" s="469"/>
      <c r="E779" s="469"/>
      <c r="F779" s="469"/>
      <c r="G779" s="469"/>
      <c r="H779" s="469"/>
      <c r="I779" s="469"/>
      <c r="J779" s="469"/>
      <c r="K779" s="469"/>
      <c r="L779" s="469"/>
      <c r="M779" s="469"/>
      <c r="N779" s="469"/>
      <c r="O779" s="469"/>
      <c r="P779" s="469"/>
      <c r="Q779" s="469"/>
      <c r="R779" s="469"/>
      <c r="S779" s="469"/>
      <c r="T779" s="469"/>
      <c r="U779" s="469"/>
      <c r="V779" s="469"/>
      <c r="W779" s="469"/>
    </row>
    <row r="780">
      <c r="A780" s="469"/>
      <c r="B780" s="496"/>
      <c r="C780" s="497"/>
      <c r="D780" s="469"/>
      <c r="E780" s="469"/>
      <c r="F780" s="469"/>
      <c r="G780" s="469"/>
      <c r="H780" s="469"/>
      <c r="I780" s="469"/>
      <c r="J780" s="469"/>
      <c r="K780" s="469"/>
      <c r="L780" s="469"/>
      <c r="M780" s="469"/>
      <c r="N780" s="469"/>
      <c r="O780" s="469"/>
      <c r="P780" s="469"/>
      <c r="Q780" s="469"/>
      <c r="R780" s="469"/>
      <c r="S780" s="469"/>
      <c r="T780" s="469"/>
      <c r="U780" s="469"/>
      <c r="V780" s="469"/>
      <c r="W780" s="469"/>
    </row>
    <row r="781">
      <c r="A781" s="469"/>
      <c r="B781" s="496"/>
      <c r="C781" s="497"/>
      <c r="D781" s="469"/>
      <c r="E781" s="469"/>
      <c r="F781" s="469"/>
      <c r="G781" s="469"/>
      <c r="H781" s="469"/>
      <c r="I781" s="469"/>
      <c r="J781" s="469"/>
      <c r="K781" s="469"/>
      <c r="L781" s="469"/>
      <c r="M781" s="469"/>
      <c r="N781" s="469"/>
      <c r="O781" s="469"/>
      <c r="P781" s="469"/>
      <c r="Q781" s="469"/>
      <c r="R781" s="469"/>
      <c r="S781" s="469"/>
      <c r="T781" s="469"/>
      <c r="U781" s="469"/>
      <c r="V781" s="469"/>
      <c r="W781" s="469"/>
    </row>
    <row r="782">
      <c r="A782" s="469"/>
      <c r="B782" s="496"/>
      <c r="C782" s="497"/>
      <c r="D782" s="469"/>
      <c r="E782" s="469"/>
      <c r="F782" s="469"/>
      <c r="G782" s="469"/>
      <c r="H782" s="469"/>
      <c r="I782" s="469"/>
      <c r="J782" s="469"/>
      <c r="K782" s="469"/>
      <c r="L782" s="469"/>
      <c r="M782" s="469"/>
      <c r="N782" s="469"/>
      <c r="O782" s="469"/>
      <c r="P782" s="469"/>
      <c r="Q782" s="469"/>
      <c r="R782" s="469"/>
      <c r="S782" s="469"/>
      <c r="T782" s="469"/>
      <c r="U782" s="469"/>
      <c r="V782" s="469"/>
      <c r="W782" s="469"/>
    </row>
    <row r="783">
      <c r="A783" s="469"/>
      <c r="B783" s="496"/>
      <c r="C783" s="497"/>
      <c r="D783" s="469"/>
      <c r="E783" s="469"/>
      <c r="F783" s="469"/>
      <c r="G783" s="469"/>
      <c r="H783" s="469"/>
      <c r="I783" s="469"/>
      <c r="J783" s="469"/>
      <c r="K783" s="469"/>
      <c r="L783" s="469"/>
      <c r="M783" s="469"/>
      <c r="N783" s="469"/>
      <c r="O783" s="469"/>
      <c r="P783" s="469"/>
      <c r="Q783" s="469"/>
      <c r="R783" s="469"/>
      <c r="S783" s="469"/>
      <c r="T783" s="469"/>
      <c r="U783" s="469"/>
      <c r="V783" s="469"/>
      <c r="W783" s="469"/>
    </row>
    <row r="784">
      <c r="A784" s="469"/>
      <c r="B784" s="496"/>
      <c r="C784" s="497"/>
      <c r="D784" s="469"/>
      <c r="E784" s="469"/>
      <c r="F784" s="469"/>
      <c r="G784" s="469"/>
      <c r="H784" s="469"/>
      <c r="I784" s="469"/>
      <c r="J784" s="469"/>
      <c r="K784" s="469"/>
      <c r="L784" s="469"/>
      <c r="M784" s="469"/>
      <c r="N784" s="469"/>
      <c r="O784" s="469"/>
      <c r="P784" s="469"/>
      <c r="Q784" s="469"/>
      <c r="R784" s="469"/>
      <c r="S784" s="469"/>
      <c r="T784" s="469"/>
      <c r="U784" s="469"/>
      <c r="V784" s="469"/>
      <c r="W784" s="469"/>
    </row>
    <row r="785">
      <c r="A785" s="469"/>
      <c r="B785" s="496"/>
      <c r="C785" s="497"/>
      <c r="D785" s="469"/>
      <c r="E785" s="469"/>
      <c r="F785" s="469"/>
      <c r="G785" s="469"/>
      <c r="H785" s="469"/>
      <c r="I785" s="469"/>
      <c r="J785" s="469"/>
      <c r="K785" s="469"/>
      <c r="L785" s="469"/>
      <c r="M785" s="469"/>
      <c r="N785" s="469"/>
      <c r="O785" s="469"/>
      <c r="P785" s="469"/>
      <c r="Q785" s="469"/>
      <c r="R785" s="469"/>
      <c r="S785" s="469"/>
      <c r="T785" s="469"/>
      <c r="U785" s="469"/>
      <c r="V785" s="469"/>
      <c r="W785" s="469"/>
    </row>
    <row r="786">
      <c r="A786" s="469"/>
      <c r="B786" s="496"/>
      <c r="C786" s="497"/>
      <c r="D786" s="469"/>
      <c r="E786" s="469"/>
      <c r="F786" s="469"/>
      <c r="G786" s="469"/>
      <c r="H786" s="469"/>
      <c r="I786" s="469"/>
      <c r="J786" s="469"/>
      <c r="K786" s="469"/>
      <c r="L786" s="469"/>
      <c r="M786" s="469"/>
      <c r="N786" s="469"/>
      <c r="O786" s="469"/>
      <c r="P786" s="469"/>
      <c r="Q786" s="469"/>
      <c r="R786" s="469"/>
      <c r="S786" s="469"/>
      <c r="T786" s="469"/>
      <c r="U786" s="469"/>
      <c r="V786" s="469"/>
      <c r="W786" s="469"/>
    </row>
    <row r="787">
      <c r="A787" s="469"/>
      <c r="B787" s="496"/>
      <c r="C787" s="497"/>
      <c r="D787" s="469"/>
      <c r="E787" s="469"/>
      <c r="F787" s="469"/>
      <c r="G787" s="469"/>
      <c r="H787" s="469"/>
      <c r="I787" s="469"/>
      <c r="J787" s="469"/>
      <c r="K787" s="469"/>
      <c r="L787" s="469"/>
      <c r="M787" s="469"/>
      <c r="N787" s="469"/>
      <c r="O787" s="469"/>
      <c r="P787" s="469"/>
      <c r="Q787" s="469"/>
      <c r="R787" s="469"/>
      <c r="S787" s="469"/>
      <c r="T787" s="469"/>
      <c r="U787" s="469"/>
      <c r="V787" s="469"/>
      <c r="W787" s="469"/>
    </row>
    <row r="788">
      <c r="A788" s="469"/>
      <c r="B788" s="496"/>
      <c r="C788" s="497"/>
      <c r="D788" s="469"/>
      <c r="E788" s="469"/>
      <c r="F788" s="469"/>
      <c r="G788" s="469"/>
      <c r="H788" s="469"/>
      <c r="I788" s="469"/>
      <c r="J788" s="469"/>
      <c r="K788" s="469"/>
      <c r="L788" s="469"/>
      <c r="M788" s="469"/>
      <c r="N788" s="469"/>
      <c r="O788" s="469"/>
      <c r="P788" s="469"/>
      <c r="Q788" s="469"/>
      <c r="R788" s="469"/>
      <c r="S788" s="469"/>
      <c r="T788" s="469"/>
      <c r="U788" s="469"/>
      <c r="V788" s="469"/>
      <c r="W788" s="469"/>
    </row>
    <row r="789">
      <c r="A789" s="469"/>
      <c r="B789" s="496"/>
      <c r="C789" s="497"/>
      <c r="D789" s="469"/>
      <c r="E789" s="469"/>
      <c r="F789" s="469"/>
      <c r="G789" s="469"/>
      <c r="H789" s="469"/>
      <c r="I789" s="469"/>
      <c r="J789" s="469"/>
      <c r="K789" s="469"/>
      <c r="L789" s="469"/>
      <c r="M789" s="469"/>
      <c r="N789" s="469"/>
      <c r="O789" s="469"/>
      <c r="P789" s="469"/>
      <c r="Q789" s="469"/>
      <c r="R789" s="469"/>
      <c r="S789" s="469"/>
      <c r="T789" s="469"/>
      <c r="U789" s="469"/>
      <c r="V789" s="469"/>
      <c r="W789" s="469"/>
    </row>
    <row r="790">
      <c r="A790" s="469"/>
      <c r="B790" s="496"/>
      <c r="C790" s="497"/>
      <c r="D790" s="469"/>
      <c r="E790" s="469"/>
      <c r="F790" s="469"/>
      <c r="G790" s="469"/>
      <c r="H790" s="469"/>
      <c r="I790" s="469"/>
      <c r="J790" s="469"/>
      <c r="K790" s="469"/>
      <c r="L790" s="469"/>
      <c r="M790" s="469"/>
      <c r="N790" s="469"/>
      <c r="O790" s="469"/>
      <c r="P790" s="469"/>
      <c r="Q790" s="469"/>
      <c r="R790" s="469"/>
      <c r="S790" s="469"/>
      <c r="T790" s="469"/>
      <c r="U790" s="469"/>
      <c r="V790" s="469"/>
      <c r="W790" s="469"/>
    </row>
    <row r="791">
      <c r="A791" s="469"/>
      <c r="B791" s="496"/>
      <c r="C791" s="497"/>
      <c r="D791" s="469"/>
      <c r="E791" s="469"/>
      <c r="F791" s="469"/>
      <c r="G791" s="469"/>
      <c r="H791" s="469"/>
      <c r="I791" s="469"/>
      <c r="J791" s="469"/>
      <c r="K791" s="469"/>
      <c r="L791" s="469"/>
      <c r="M791" s="469"/>
      <c r="N791" s="469"/>
      <c r="O791" s="469"/>
      <c r="P791" s="469"/>
      <c r="Q791" s="469"/>
      <c r="R791" s="469"/>
      <c r="S791" s="469"/>
      <c r="T791" s="469"/>
      <c r="U791" s="469"/>
      <c r="V791" s="469"/>
      <c r="W791" s="469"/>
    </row>
    <row r="792">
      <c r="A792" s="469"/>
      <c r="B792" s="496"/>
      <c r="C792" s="497"/>
      <c r="D792" s="469"/>
      <c r="E792" s="469"/>
      <c r="F792" s="469"/>
      <c r="G792" s="469"/>
      <c r="H792" s="469"/>
      <c r="I792" s="469"/>
      <c r="J792" s="469"/>
      <c r="K792" s="469"/>
      <c r="L792" s="469"/>
      <c r="M792" s="469"/>
      <c r="N792" s="469"/>
      <c r="O792" s="469"/>
      <c r="P792" s="469"/>
      <c r="Q792" s="469"/>
      <c r="R792" s="469"/>
      <c r="S792" s="469"/>
      <c r="T792" s="469"/>
      <c r="U792" s="469"/>
      <c r="V792" s="469"/>
      <c r="W792" s="469"/>
    </row>
    <row r="793">
      <c r="A793" s="469"/>
      <c r="B793" s="496"/>
      <c r="C793" s="497"/>
      <c r="D793" s="469"/>
      <c r="E793" s="469"/>
      <c r="F793" s="469"/>
      <c r="G793" s="469"/>
      <c r="H793" s="469"/>
      <c r="I793" s="469"/>
      <c r="J793" s="469"/>
      <c r="K793" s="469"/>
      <c r="L793" s="469"/>
      <c r="M793" s="469"/>
      <c r="N793" s="469"/>
      <c r="O793" s="469"/>
      <c r="P793" s="469"/>
      <c r="Q793" s="469"/>
      <c r="R793" s="469"/>
      <c r="S793" s="469"/>
      <c r="T793" s="469"/>
      <c r="U793" s="469"/>
      <c r="V793" s="469"/>
      <c r="W793" s="469"/>
    </row>
    <row r="794">
      <c r="A794" s="469"/>
      <c r="B794" s="496"/>
      <c r="C794" s="497"/>
      <c r="D794" s="469"/>
      <c r="E794" s="469"/>
      <c r="F794" s="469"/>
      <c r="G794" s="469"/>
      <c r="H794" s="469"/>
      <c r="I794" s="469"/>
      <c r="J794" s="469"/>
      <c r="K794" s="469"/>
      <c r="L794" s="469"/>
      <c r="M794" s="469"/>
      <c r="N794" s="469"/>
      <c r="O794" s="469"/>
      <c r="P794" s="469"/>
      <c r="Q794" s="469"/>
      <c r="R794" s="469"/>
      <c r="S794" s="469"/>
      <c r="T794" s="469"/>
      <c r="U794" s="469"/>
      <c r="V794" s="469"/>
      <c r="W794" s="469"/>
    </row>
    <row r="795">
      <c r="A795" s="469"/>
      <c r="B795" s="496"/>
      <c r="C795" s="497"/>
      <c r="D795" s="469"/>
      <c r="E795" s="469"/>
      <c r="F795" s="469"/>
      <c r="G795" s="469"/>
      <c r="H795" s="469"/>
      <c r="I795" s="469"/>
      <c r="J795" s="469"/>
      <c r="K795" s="469"/>
      <c r="L795" s="469"/>
      <c r="M795" s="469"/>
      <c r="N795" s="469"/>
      <c r="O795" s="469"/>
      <c r="P795" s="469"/>
      <c r="Q795" s="469"/>
      <c r="R795" s="469"/>
      <c r="S795" s="469"/>
      <c r="T795" s="469"/>
      <c r="U795" s="469"/>
      <c r="V795" s="469"/>
      <c r="W795" s="469"/>
    </row>
    <row r="796">
      <c r="A796" s="469"/>
      <c r="B796" s="496"/>
      <c r="C796" s="497"/>
      <c r="D796" s="469"/>
      <c r="E796" s="469"/>
      <c r="F796" s="469"/>
      <c r="G796" s="469"/>
      <c r="H796" s="469"/>
      <c r="I796" s="469"/>
      <c r="J796" s="469"/>
      <c r="K796" s="469"/>
      <c r="L796" s="469"/>
      <c r="M796" s="469"/>
      <c r="N796" s="469"/>
      <c r="O796" s="469"/>
      <c r="P796" s="469"/>
      <c r="Q796" s="469"/>
      <c r="R796" s="469"/>
      <c r="S796" s="469"/>
      <c r="T796" s="469"/>
      <c r="U796" s="469"/>
      <c r="V796" s="469"/>
      <c r="W796" s="469"/>
    </row>
    <row r="797">
      <c r="A797" s="469"/>
      <c r="B797" s="496"/>
      <c r="C797" s="497"/>
      <c r="D797" s="469"/>
      <c r="E797" s="469"/>
      <c r="F797" s="469"/>
      <c r="G797" s="469"/>
      <c r="H797" s="469"/>
      <c r="I797" s="469"/>
      <c r="J797" s="469"/>
      <c r="K797" s="469"/>
      <c r="L797" s="469"/>
      <c r="M797" s="469"/>
      <c r="N797" s="469"/>
      <c r="O797" s="469"/>
      <c r="P797" s="469"/>
      <c r="Q797" s="469"/>
      <c r="R797" s="469"/>
      <c r="S797" s="469"/>
      <c r="T797" s="469"/>
      <c r="U797" s="469"/>
      <c r="V797" s="469"/>
      <c r="W797" s="469"/>
    </row>
    <row r="798">
      <c r="A798" s="469"/>
      <c r="B798" s="496"/>
      <c r="C798" s="497"/>
      <c r="D798" s="469"/>
      <c r="E798" s="469"/>
      <c r="F798" s="469"/>
      <c r="G798" s="469"/>
      <c r="H798" s="469"/>
      <c r="I798" s="469"/>
      <c r="J798" s="469"/>
      <c r="K798" s="469"/>
      <c r="L798" s="469"/>
      <c r="M798" s="469"/>
      <c r="N798" s="469"/>
      <c r="O798" s="469"/>
      <c r="P798" s="469"/>
      <c r="Q798" s="469"/>
      <c r="R798" s="469"/>
      <c r="S798" s="469"/>
      <c r="T798" s="469"/>
      <c r="U798" s="469"/>
      <c r="V798" s="469"/>
      <c r="W798" s="469"/>
    </row>
    <row r="799">
      <c r="A799" s="469"/>
      <c r="B799" s="496"/>
      <c r="C799" s="497"/>
      <c r="D799" s="469"/>
      <c r="E799" s="469"/>
      <c r="F799" s="469"/>
      <c r="G799" s="469"/>
      <c r="H799" s="469"/>
      <c r="I799" s="469"/>
      <c r="J799" s="469"/>
      <c r="K799" s="469"/>
      <c r="L799" s="469"/>
      <c r="M799" s="469"/>
      <c r="N799" s="469"/>
      <c r="O799" s="469"/>
      <c r="P799" s="469"/>
      <c r="Q799" s="469"/>
      <c r="R799" s="469"/>
      <c r="S799" s="469"/>
      <c r="T799" s="469"/>
      <c r="U799" s="469"/>
      <c r="V799" s="469"/>
      <c r="W799" s="469"/>
    </row>
    <row r="800">
      <c r="A800" s="469"/>
      <c r="B800" s="496"/>
      <c r="C800" s="497"/>
      <c r="D800" s="469"/>
      <c r="E800" s="469"/>
      <c r="F800" s="469"/>
      <c r="G800" s="469"/>
      <c r="H800" s="469"/>
      <c r="I800" s="469"/>
      <c r="J800" s="469"/>
      <c r="K800" s="469"/>
      <c r="L800" s="469"/>
      <c r="M800" s="469"/>
      <c r="N800" s="469"/>
      <c r="O800" s="469"/>
      <c r="P800" s="469"/>
      <c r="Q800" s="469"/>
      <c r="R800" s="469"/>
      <c r="S800" s="469"/>
      <c r="T800" s="469"/>
      <c r="U800" s="469"/>
      <c r="V800" s="469"/>
      <c r="W800" s="469"/>
    </row>
    <row r="801">
      <c r="A801" s="469"/>
      <c r="B801" s="496"/>
      <c r="C801" s="497"/>
      <c r="D801" s="469"/>
      <c r="E801" s="469"/>
      <c r="F801" s="469"/>
      <c r="G801" s="469"/>
      <c r="H801" s="469"/>
      <c r="I801" s="469"/>
      <c r="J801" s="469"/>
      <c r="K801" s="469"/>
      <c r="L801" s="469"/>
      <c r="M801" s="469"/>
      <c r="N801" s="469"/>
      <c r="O801" s="469"/>
      <c r="P801" s="469"/>
      <c r="Q801" s="469"/>
      <c r="R801" s="469"/>
      <c r="S801" s="469"/>
      <c r="T801" s="469"/>
      <c r="U801" s="469"/>
      <c r="V801" s="469"/>
      <c r="W801" s="469"/>
    </row>
    <row r="802">
      <c r="A802" s="469"/>
      <c r="B802" s="496"/>
      <c r="C802" s="497"/>
      <c r="D802" s="469"/>
      <c r="E802" s="469"/>
      <c r="F802" s="469"/>
      <c r="G802" s="469"/>
      <c r="H802" s="469"/>
      <c r="I802" s="469"/>
      <c r="J802" s="469"/>
      <c r="K802" s="469"/>
      <c r="L802" s="469"/>
      <c r="M802" s="469"/>
      <c r="N802" s="469"/>
      <c r="O802" s="469"/>
      <c r="P802" s="469"/>
      <c r="Q802" s="469"/>
      <c r="R802" s="469"/>
      <c r="S802" s="469"/>
      <c r="T802" s="469"/>
      <c r="U802" s="469"/>
      <c r="V802" s="469"/>
      <c r="W802" s="469"/>
    </row>
    <row r="803">
      <c r="A803" s="469"/>
      <c r="B803" s="496"/>
      <c r="C803" s="497"/>
      <c r="D803" s="469"/>
      <c r="E803" s="469"/>
      <c r="F803" s="469"/>
      <c r="G803" s="469"/>
      <c r="H803" s="469"/>
      <c r="I803" s="469"/>
      <c r="J803" s="469"/>
      <c r="K803" s="469"/>
      <c r="L803" s="469"/>
      <c r="M803" s="469"/>
      <c r="N803" s="469"/>
      <c r="O803" s="469"/>
      <c r="P803" s="469"/>
      <c r="Q803" s="469"/>
      <c r="R803" s="469"/>
      <c r="S803" s="469"/>
      <c r="T803" s="469"/>
      <c r="U803" s="469"/>
      <c r="V803" s="469"/>
      <c r="W803" s="469"/>
    </row>
    <row r="804">
      <c r="A804" s="469"/>
      <c r="B804" s="496"/>
      <c r="C804" s="497"/>
      <c r="D804" s="469"/>
      <c r="E804" s="469"/>
      <c r="F804" s="469"/>
      <c r="G804" s="469"/>
      <c r="H804" s="469"/>
      <c r="I804" s="469"/>
      <c r="J804" s="469"/>
      <c r="K804" s="469"/>
      <c r="L804" s="469"/>
      <c r="M804" s="469"/>
      <c r="N804" s="469"/>
      <c r="O804" s="469"/>
      <c r="P804" s="469"/>
      <c r="Q804" s="469"/>
      <c r="R804" s="469"/>
      <c r="S804" s="469"/>
      <c r="T804" s="469"/>
      <c r="U804" s="469"/>
      <c r="V804" s="469"/>
      <c r="W804" s="469"/>
    </row>
    <row r="805">
      <c r="A805" s="469"/>
      <c r="B805" s="496"/>
      <c r="C805" s="497"/>
      <c r="D805" s="469"/>
      <c r="E805" s="469"/>
      <c r="F805" s="469"/>
      <c r="G805" s="469"/>
      <c r="H805" s="469"/>
      <c r="I805" s="469"/>
      <c r="J805" s="469"/>
      <c r="K805" s="469"/>
      <c r="L805" s="469"/>
      <c r="M805" s="469"/>
      <c r="N805" s="469"/>
      <c r="O805" s="469"/>
      <c r="P805" s="469"/>
      <c r="Q805" s="469"/>
      <c r="R805" s="469"/>
      <c r="S805" s="469"/>
      <c r="T805" s="469"/>
      <c r="U805" s="469"/>
      <c r="V805" s="469"/>
      <c r="W805" s="469"/>
    </row>
    <row r="806">
      <c r="A806" s="469"/>
      <c r="B806" s="496"/>
      <c r="C806" s="497"/>
      <c r="D806" s="469"/>
      <c r="E806" s="469"/>
      <c r="F806" s="469"/>
      <c r="G806" s="469"/>
      <c r="H806" s="469"/>
      <c r="I806" s="469"/>
      <c r="J806" s="469"/>
      <c r="K806" s="469"/>
      <c r="L806" s="469"/>
      <c r="M806" s="469"/>
      <c r="N806" s="469"/>
      <c r="O806" s="469"/>
      <c r="P806" s="469"/>
      <c r="Q806" s="469"/>
      <c r="R806" s="469"/>
      <c r="S806" s="469"/>
      <c r="T806" s="469"/>
      <c r="U806" s="469"/>
      <c r="V806" s="469"/>
      <c r="W806" s="469"/>
    </row>
    <row r="807">
      <c r="A807" s="469"/>
      <c r="B807" s="496"/>
      <c r="C807" s="497"/>
      <c r="D807" s="469"/>
      <c r="E807" s="469"/>
      <c r="F807" s="469"/>
      <c r="G807" s="469"/>
      <c r="H807" s="469"/>
      <c r="I807" s="469"/>
      <c r="J807" s="469"/>
      <c r="K807" s="469"/>
      <c r="L807" s="469"/>
      <c r="M807" s="469"/>
      <c r="N807" s="469"/>
      <c r="O807" s="469"/>
      <c r="P807" s="469"/>
      <c r="Q807" s="469"/>
      <c r="R807" s="469"/>
      <c r="S807" s="469"/>
      <c r="T807" s="469"/>
      <c r="U807" s="469"/>
      <c r="V807" s="469"/>
      <c r="W807" s="469"/>
    </row>
    <row r="808">
      <c r="A808" s="469"/>
      <c r="B808" s="496"/>
      <c r="C808" s="497"/>
      <c r="D808" s="469"/>
      <c r="E808" s="469"/>
      <c r="F808" s="469"/>
      <c r="G808" s="469"/>
      <c r="H808" s="469"/>
      <c r="I808" s="469"/>
      <c r="J808" s="469"/>
      <c r="K808" s="469"/>
      <c r="L808" s="469"/>
      <c r="M808" s="469"/>
      <c r="N808" s="469"/>
      <c r="O808" s="469"/>
      <c r="P808" s="469"/>
      <c r="Q808" s="469"/>
      <c r="R808" s="469"/>
      <c r="S808" s="469"/>
      <c r="T808" s="469"/>
      <c r="U808" s="469"/>
      <c r="V808" s="469"/>
      <c r="W808" s="469"/>
    </row>
    <row r="809">
      <c r="A809" s="469"/>
      <c r="B809" s="496"/>
      <c r="C809" s="497"/>
      <c r="D809" s="469"/>
      <c r="E809" s="469"/>
      <c r="F809" s="469"/>
      <c r="G809" s="469"/>
      <c r="H809" s="469"/>
      <c r="I809" s="469"/>
      <c r="J809" s="469"/>
      <c r="K809" s="469"/>
      <c r="L809" s="469"/>
      <c r="M809" s="469"/>
      <c r="N809" s="469"/>
      <c r="O809" s="469"/>
      <c r="P809" s="469"/>
      <c r="Q809" s="469"/>
      <c r="R809" s="469"/>
      <c r="S809" s="469"/>
      <c r="T809" s="469"/>
      <c r="U809" s="469"/>
      <c r="V809" s="469"/>
      <c r="W809" s="469"/>
    </row>
    <row r="810">
      <c r="A810" s="469"/>
      <c r="B810" s="496"/>
      <c r="C810" s="497"/>
      <c r="D810" s="469"/>
      <c r="E810" s="469"/>
      <c r="F810" s="469"/>
      <c r="G810" s="469"/>
      <c r="H810" s="469"/>
      <c r="I810" s="469"/>
      <c r="J810" s="469"/>
      <c r="K810" s="469"/>
      <c r="L810" s="469"/>
      <c r="M810" s="469"/>
      <c r="N810" s="469"/>
      <c r="O810" s="469"/>
      <c r="P810" s="469"/>
      <c r="Q810" s="469"/>
      <c r="R810" s="469"/>
      <c r="S810" s="469"/>
      <c r="T810" s="469"/>
      <c r="U810" s="469"/>
      <c r="V810" s="469"/>
      <c r="W810" s="469"/>
    </row>
    <row r="811">
      <c r="A811" s="469"/>
      <c r="B811" s="496"/>
      <c r="C811" s="497"/>
      <c r="D811" s="469"/>
      <c r="E811" s="469"/>
      <c r="F811" s="469"/>
      <c r="G811" s="469"/>
      <c r="H811" s="469"/>
      <c r="I811" s="469"/>
      <c r="J811" s="469"/>
      <c r="K811" s="469"/>
      <c r="L811" s="469"/>
      <c r="M811" s="469"/>
      <c r="N811" s="469"/>
      <c r="O811" s="469"/>
      <c r="P811" s="469"/>
      <c r="Q811" s="469"/>
      <c r="R811" s="469"/>
      <c r="S811" s="469"/>
      <c r="T811" s="469"/>
      <c r="U811" s="469"/>
      <c r="V811" s="469"/>
      <c r="W811" s="469"/>
    </row>
  </sheetData>
  <mergeCells count="3">
    <mergeCell ref="A1:H1"/>
    <mergeCell ref="C2:D2"/>
    <mergeCell ref="A3:H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5.13" defaultRowHeight="15.0"/>
  <sheetData>
    <row r="1">
      <c r="A1" s="498" t="s">
        <v>13</v>
      </c>
    </row>
    <row r="2">
      <c r="A2" s="499">
        <v>361.0</v>
      </c>
    </row>
    <row r="3">
      <c r="A3" s="499">
        <v>362.0</v>
      </c>
    </row>
    <row r="4">
      <c r="A4" s="499">
        <v>363.0</v>
      </c>
    </row>
    <row r="5">
      <c r="A5" s="499">
        <v>364.0</v>
      </c>
    </row>
    <row r="6">
      <c r="A6" s="499">
        <v>365.0</v>
      </c>
    </row>
    <row r="7">
      <c r="A7" s="499">
        <v>367.0</v>
      </c>
    </row>
    <row r="8">
      <c r="A8" s="499">
        <v>368.0</v>
      </c>
    </row>
    <row r="9">
      <c r="A9" s="499">
        <v>369.0</v>
      </c>
    </row>
    <row r="10">
      <c r="A10" s="499">
        <v>376.0</v>
      </c>
    </row>
    <row r="11">
      <c r="A11" s="499">
        <v>377.0</v>
      </c>
    </row>
    <row r="12">
      <c r="A12" s="499">
        <v>378.0</v>
      </c>
    </row>
    <row r="13">
      <c r="A13" s="499">
        <v>382.0</v>
      </c>
    </row>
    <row r="14">
      <c r="A14" s="499">
        <v>383.0</v>
      </c>
    </row>
    <row r="15">
      <c r="A15" s="499">
        <v>394.0</v>
      </c>
    </row>
    <row r="16">
      <c r="A16" s="499">
        <v>395.0</v>
      </c>
    </row>
    <row r="17">
      <c r="A17" s="499">
        <v>396.0</v>
      </c>
    </row>
    <row r="18">
      <c r="A18" s="499">
        <v>397.0</v>
      </c>
    </row>
    <row r="19">
      <c r="A19" s="499">
        <v>409.0</v>
      </c>
    </row>
    <row r="20">
      <c r="A20" s="499">
        <v>410.0</v>
      </c>
    </row>
    <row r="21">
      <c r="A21" s="499">
        <v>411.0</v>
      </c>
    </row>
    <row r="22">
      <c r="A22" s="499">
        <v>412.0</v>
      </c>
    </row>
    <row r="23">
      <c r="A23" s="499">
        <v>414.0</v>
      </c>
    </row>
    <row r="24">
      <c r="A24" s="499">
        <v>420.0</v>
      </c>
    </row>
    <row r="25">
      <c r="A25" s="499">
        <v>421.0</v>
      </c>
    </row>
    <row r="26">
      <c r="A26" s="499">
        <v>422.0</v>
      </c>
    </row>
    <row r="27">
      <c r="A27" s="499">
        <v>423.0</v>
      </c>
    </row>
    <row r="28">
      <c r="A28" s="499">
        <v>424.0</v>
      </c>
    </row>
    <row r="29">
      <c r="A29" s="499">
        <v>425.0</v>
      </c>
    </row>
    <row r="30">
      <c r="A30" s="499">
        <v>430.0</v>
      </c>
    </row>
    <row r="31">
      <c r="A31" s="499">
        <v>431.0</v>
      </c>
    </row>
    <row r="32">
      <c r="A32" s="499">
        <v>432.0</v>
      </c>
    </row>
    <row r="33">
      <c r="A33" s="499">
        <v>433.0</v>
      </c>
    </row>
    <row r="34">
      <c r="A34" s="499">
        <v>435.0</v>
      </c>
    </row>
    <row r="35">
      <c r="A35" s="499">
        <v>438.0</v>
      </c>
    </row>
    <row r="36">
      <c r="A36" s="499">
        <v>439.0</v>
      </c>
    </row>
    <row r="37">
      <c r="A37" s="499">
        <v>442.0</v>
      </c>
    </row>
    <row r="38">
      <c r="A38" s="499">
        <v>443.0</v>
      </c>
    </row>
    <row r="39">
      <c r="A39" s="499">
        <v>446.0</v>
      </c>
    </row>
    <row r="40">
      <c r="A40" s="499">
        <v>447.0</v>
      </c>
    </row>
    <row r="41">
      <c r="A41" s="499">
        <v>448.0</v>
      </c>
    </row>
    <row r="42">
      <c r="A42" s="499">
        <v>449.0</v>
      </c>
    </row>
    <row r="43">
      <c r="A43" s="499">
        <v>450.0</v>
      </c>
    </row>
    <row r="44">
      <c r="A44" s="499">
        <v>451.0</v>
      </c>
    </row>
    <row r="45">
      <c r="A45" s="499">
        <v>452.0</v>
      </c>
    </row>
    <row r="46">
      <c r="A46" s="499">
        <v>453.0</v>
      </c>
    </row>
    <row r="47">
      <c r="A47" s="499">
        <v>455.0</v>
      </c>
    </row>
    <row r="48">
      <c r="A48" s="499">
        <v>456.0</v>
      </c>
    </row>
    <row r="49">
      <c r="A49" s="499">
        <v>457.0</v>
      </c>
    </row>
    <row r="50">
      <c r="A50" s="499">
        <v>458.0</v>
      </c>
    </row>
    <row r="51">
      <c r="A51" s="499">
        <v>459.0</v>
      </c>
    </row>
    <row r="52">
      <c r="A52" s="499">
        <v>460.0</v>
      </c>
    </row>
    <row r="53">
      <c r="A53" s="499">
        <v>461.0</v>
      </c>
    </row>
    <row r="54">
      <c r="A54" s="499">
        <v>462.0</v>
      </c>
    </row>
    <row r="55">
      <c r="A55" s="499">
        <v>464.0</v>
      </c>
    </row>
    <row r="56">
      <c r="A56" s="499">
        <v>466.0</v>
      </c>
    </row>
    <row r="57">
      <c r="A57" s="499">
        <v>467.0</v>
      </c>
    </row>
    <row r="58">
      <c r="A58" s="499">
        <v>472.0</v>
      </c>
    </row>
    <row r="59">
      <c r="A59" s="499">
        <v>473.0</v>
      </c>
    </row>
    <row r="60">
      <c r="A60" s="499">
        <v>475.0</v>
      </c>
    </row>
    <row r="61">
      <c r="A61" s="499">
        <v>476.0</v>
      </c>
    </row>
    <row r="62">
      <c r="A62" s="499">
        <v>480.0</v>
      </c>
    </row>
    <row r="63">
      <c r="A63" s="499">
        <v>481.0</v>
      </c>
    </row>
    <row r="64">
      <c r="A64" s="499">
        <v>482.0</v>
      </c>
    </row>
    <row r="65">
      <c r="A65" s="499">
        <v>483.0</v>
      </c>
    </row>
    <row r="66">
      <c r="A66" s="499">
        <v>486.0</v>
      </c>
    </row>
    <row r="67">
      <c r="A67" s="499">
        <v>487.0</v>
      </c>
    </row>
    <row r="68">
      <c r="A68" s="499">
        <v>489.0</v>
      </c>
    </row>
    <row r="69">
      <c r="A69" s="499">
        <v>490.0</v>
      </c>
    </row>
    <row r="70">
      <c r="A70" s="499">
        <v>491.0</v>
      </c>
    </row>
    <row r="71">
      <c r="A71" s="499">
        <v>492.0</v>
      </c>
    </row>
    <row r="72">
      <c r="A72" s="499">
        <v>493.0</v>
      </c>
    </row>
    <row r="73">
      <c r="A73" s="499">
        <v>494.0</v>
      </c>
    </row>
    <row r="74">
      <c r="A74" s="499">
        <v>495.0</v>
      </c>
    </row>
    <row r="75">
      <c r="A75" s="499">
        <v>496.0</v>
      </c>
    </row>
    <row r="76">
      <c r="A76" s="499">
        <v>498.0</v>
      </c>
    </row>
    <row r="77">
      <c r="A77" s="499">
        <v>499.0</v>
      </c>
    </row>
    <row r="78">
      <c r="A78" s="499">
        <v>502.0</v>
      </c>
    </row>
    <row r="79">
      <c r="A79" s="499">
        <v>504.0</v>
      </c>
    </row>
    <row r="80">
      <c r="A80" s="499">
        <v>505.0</v>
      </c>
    </row>
    <row r="81">
      <c r="A81" s="499">
        <v>508.0</v>
      </c>
    </row>
    <row r="82">
      <c r="A82" s="499">
        <v>509.0</v>
      </c>
    </row>
    <row r="83">
      <c r="A83" s="499">
        <v>514.0</v>
      </c>
    </row>
    <row r="84">
      <c r="A84" s="499">
        <v>523.0</v>
      </c>
    </row>
    <row r="85">
      <c r="A85" s="499">
        <v>525.0</v>
      </c>
    </row>
    <row r="86">
      <c r="A86" s="499">
        <v>526.0</v>
      </c>
    </row>
    <row r="87">
      <c r="A87" s="499">
        <v>527.0</v>
      </c>
    </row>
    <row r="88">
      <c r="A88" s="499">
        <v>529.0</v>
      </c>
    </row>
    <row r="89">
      <c r="A89" s="499">
        <v>533.0</v>
      </c>
    </row>
    <row r="90">
      <c r="A90" s="499">
        <v>534.0</v>
      </c>
    </row>
    <row r="91">
      <c r="A91" s="499">
        <v>535.0</v>
      </c>
    </row>
    <row r="92">
      <c r="A92" s="499">
        <v>540.0</v>
      </c>
    </row>
    <row r="93">
      <c r="A93" s="499">
        <v>541.0</v>
      </c>
    </row>
    <row r="94">
      <c r="A94" s="499">
        <v>542.0</v>
      </c>
    </row>
    <row r="95">
      <c r="A95" s="499">
        <v>543.0</v>
      </c>
    </row>
    <row r="96">
      <c r="A96" s="499">
        <v>544.0</v>
      </c>
    </row>
    <row r="97">
      <c r="A97" s="499">
        <v>545.0</v>
      </c>
    </row>
    <row r="98">
      <c r="A98" s="499">
        <v>546.0</v>
      </c>
    </row>
    <row r="99">
      <c r="A99" s="499">
        <v>548.0</v>
      </c>
    </row>
    <row r="100">
      <c r="A100" s="499">
        <v>549.0</v>
      </c>
    </row>
    <row r="101">
      <c r="A101" s="499">
        <v>551.0</v>
      </c>
    </row>
    <row r="102">
      <c r="A102" s="499">
        <v>552.0</v>
      </c>
    </row>
    <row r="103">
      <c r="A103" s="499">
        <v>553.0</v>
      </c>
    </row>
    <row r="104">
      <c r="A104" s="499">
        <v>554.0</v>
      </c>
    </row>
    <row r="105">
      <c r="A105" s="499">
        <v>555.0</v>
      </c>
    </row>
    <row r="106">
      <c r="A106" s="499">
        <v>556.0</v>
      </c>
    </row>
    <row r="107">
      <c r="A107" s="499">
        <v>557.0</v>
      </c>
    </row>
    <row r="108">
      <c r="A108" s="499">
        <v>558.0</v>
      </c>
    </row>
    <row r="109">
      <c r="A109" s="499">
        <v>559.0</v>
      </c>
    </row>
    <row r="110">
      <c r="A110" s="499">
        <v>560.0</v>
      </c>
    </row>
    <row r="111">
      <c r="A111" s="499">
        <v>563.0</v>
      </c>
    </row>
    <row r="112">
      <c r="A112" s="499">
        <v>564.0</v>
      </c>
    </row>
    <row r="113">
      <c r="A113" s="499">
        <v>565.0</v>
      </c>
    </row>
    <row r="114">
      <c r="A114" s="499">
        <v>572.0</v>
      </c>
    </row>
    <row r="115">
      <c r="A115" s="499">
        <v>573.0</v>
      </c>
    </row>
    <row r="116">
      <c r="A116" s="499">
        <v>574.0</v>
      </c>
    </row>
    <row r="117">
      <c r="A117" s="499">
        <v>575.0</v>
      </c>
    </row>
    <row r="118">
      <c r="A118" s="499">
        <v>576.0</v>
      </c>
    </row>
    <row r="119">
      <c r="A119" s="499">
        <v>577.0</v>
      </c>
    </row>
    <row r="120">
      <c r="A120" s="499">
        <v>580.0</v>
      </c>
    </row>
    <row r="121">
      <c r="A121" s="499">
        <v>581.0</v>
      </c>
    </row>
    <row r="122">
      <c r="A122" s="499">
        <v>584.0</v>
      </c>
    </row>
    <row r="123">
      <c r="A123" s="499">
        <v>589.0</v>
      </c>
    </row>
    <row r="124">
      <c r="A124" s="499">
        <v>590.0</v>
      </c>
    </row>
    <row r="125">
      <c r="A125" s="499">
        <v>592.0</v>
      </c>
    </row>
    <row r="126">
      <c r="A126" s="499">
        <v>596.0</v>
      </c>
    </row>
    <row r="127">
      <c r="A127" s="499">
        <v>598.0</v>
      </c>
    </row>
    <row r="128">
      <c r="A128" s="499">
        <v>599.0</v>
      </c>
    </row>
    <row r="129">
      <c r="A129" s="499">
        <v>600.0</v>
      </c>
    </row>
    <row r="130">
      <c r="A130" s="499">
        <v>601.0</v>
      </c>
    </row>
    <row r="131">
      <c r="A131" s="499">
        <v>602.0</v>
      </c>
    </row>
    <row r="132">
      <c r="A132" s="499">
        <v>606.0</v>
      </c>
    </row>
    <row r="133">
      <c r="A133" s="499">
        <v>607.0</v>
      </c>
    </row>
    <row r="134">
      <c r="A134" s="499">
        <v>608.0</v>
      </c>
    </row>
    <row r="135">
      <c r="A135" s="499">
        <v>610.0</v>
      </c>
    </row>
    <row r="136">
      <c r="A136" s="499">
        <v>611.0</v>
      </c>
    </row>
    <row r="137">
      <c r="A137" s="499">
        <v>615.0</v>
      </c>
    </row>
    <row r="138">
      <c r="A138" s="499">
        <v>616.0</v>
      </c>
    </row>
    <row r="139">
      <c r="A139" s="499">
        <v>617.0</v>
      </c>
    </row>
    <row r="140">
      <c r="A140" s="499">
        <v>621.0</v>
      </c>
    </row>
    <row r="141">
      <c r="A141" s="499">
        <v>623.0</v>
      </c>
    </row>
    <row r="142">
      <c r="A142" s="499">
        <v>624.0</v>
      </c>
    </row>
    <row r="143">
      <c r="A143" s="499">
        <v>625.0</v>
      </c>
    </row>
    <row r="144">
      <c r="A144" s="499">
        <v>626.0</v>
      </c>
    </row>
    <row r="145">
      <c r="A145" s="499">
        <v>636.0</v>
      </c>
    </row>
    <row r="146">
      <c r="A146" s="499">
        <v>647.0</v>
      </c>
    </row>
    <row r="147">
      <c r="A147" s="499">
        <v>654.0</v>
      </c>
    </row>
    <row r="148">
      <c r="A148" s="499">
        <v>655.0</v>
      </c>
    </row>
    <row r="149">
      <c r="A149" s="499">
        <v>656.0</v>
      </c>
    </row>
    <row r="150">
      <c r="A150" s="499">
        <v>658.0</v>
      </c>
    </row>
    <row r="151">
      <c r="A151" s="499">
        <v>659.0</v>
      </c>
    </row>
    <row r="152">
      <c r="A152" s="499">
        <v>660.0</v>
      </c>
    </row>
    <row r="153">
      <c r="A153" s="499">
        <v>661.0</v>
      </c>
    </row>
    <row r="154">
      <c r="A154" s="499">
        <v>663.0</v>
      </c>
    </row>
    <row r="155">
      <c r="A155" s="499">
        <v>664.0</v>
      </c>
    </row>
    <row r="156">
      <c r="A156" s="499">
        <v>665.0</v>
      </c>
    </row>
    <row r="157">
      <c r="A157" s="499">
        <v>667.0</v>
      </c>
    </row>
    <row r="158">
      <c r="A158" s="499">
        <v>668.0</v>
      </c>
    </row>
    <row r="159">
      <c r="A159" s="499">
        <v>670.0</v>
      </c>
    </row>
    <row r="160">
      <c r="A160" s="499">
        <v>671.0</v>
      </c>
    </row>
    <row r="161">
      <c r="A161" s="499">
        <v>672.0</v>
      </c>
    </row>
    <row r="162">
      <c r="A162" s="499">
        <v>675.0</v>
      </c>
    </row>
    <row r="163">
      <c r="A163" s="499">
        <v>676.0</v>
      </c>
    </row>
    <row r="164">
      <c r="A164" s="499">
        <v>678.0</v>
      </c>
    </row>
    <row r="165">
      <c r="A165" s="499">
        <v>679.0</v>
      </c>
    </row>
    <row r="166">
      <c r="A166" s="499">
        <v>683.0</v>
      </c>
    </row>
    <row r="167">
      <c r="A167" s="499">
        <v>686.0</v>
      </c>
    </row>
    <row r="168">
      <c r="A168" s="499">
        <v>691.0</v>
      </c>
    </row>
    <row r="169">
      <c r="A169" s="499">
        <v>692.0</v>
      </c>
    </row>
    <row r="170">
      <c r="A170" s="499">
        <v>693.0</v>
      </c>
    </row>
    <row r="171">
      <c r="A171" s="499">
        <v>694.0</v>
      </c>
    </row>
    <row r="172">
      <c r="A172" s="499">
        <v>696.0</v>
      </c>
    </row>
    <row r="173">
      <c r="A173" s="499">
        <v>697.0</v>
      </c>
    </row>
    <row r="174">
      <c r="A174" s="499">
        <v>699.0</v>
      </c>
    </row>
    <row r="175">
      <c r="A175" s="499">
        <v>700.0</v>
      </c>
    </row>
    <row r="176">
      <c r="A176" s="499">
        <v>701.0</v>
      </c>
    </row>
    <row r="177">
      <c r="A177" s="499">
        <v>702.0</v>
      </c>
    </row>
    <row r="178">
      <c r="A178" s="499">
        <v>703.0</v>
      </c>
    </row>
    <row r="179">
      <c r="A179" s="499">
        <v>708.0</v>
      </c>
    </row>
    <row r="180">
      <c r="A180" s="499">
        <v>731.0</v>
      </c>
    </row>
    <row r="181">
      <c r="A181" s="499">
        <v>734.0</v>
      </c>
    </row>
    <row r="182">
      <c r="A182" s="499">
        <v>736.0</v>
      </c>
    </row>
    <row r="183">
      <c r="A183" s="499">
        <v>737.0</v>
      </c>
    </row>
    <row r="184">
      <c r="A184" s="499">
        <v>738.0</v>
      </c>
    </row>
    <row r="185">
      <c r="A185" s="499">
        <v>742.0</v>
      </c>
    </row>
    <row r="186">
      <c r="A186" s="499">
        <v>745.0</v>
      </c>
    </row>
    <row r="187">
      <c r="A187" s="499">
        <v>746.0</v>
      </c>
    </row>
    <row r="188">
      <c r="A188" s="499">
        <v>754.0</v>
      </c>
    </row>
    <row r="189">
      <c r="A189" s="499">
        <v>755.0</v>
      </c>
    </row>
    <row r="190">
      <c r="A190" s="499">
        <v>764.0</v>
      </c>
    </row>
    <row r="191">
      <c r="A191" s="499">
        <v>775.0</v>
      </c>
    </row>
    <row r="192">
      <c r="A192" s="499">
        <v>776.0</v>
      </c>
    </row>
    <row r="193">
      <c r="A193" s="499">
        <v>778.0</v>
      </c>
    </row>
    <row r="194">
      <c r="A194" s="499">
        <v>782.0</v>
      </c>
    </row>
    <row r="195">
      <c r="A195" s="499">
        <v>793.0</v>
      </c>
    </row>
    <row r="196">
      <c r="A196" s="499">
        <v>798.0</v>
      </c>
    </row>
    <row r="197">
      <c r="A197" s="499">
        <v>803.0</v>
      </c>
    </row>
    <row r="198">
      <c r="A198" s="499">
        <v>816.0</v>
      </c>
    </row>
    <row r="199">
      <c r="A199" s="499">
        <v>818.0</v>
      </c>
    </row>
    <row r="200">
      <c r="A200" s="499">
        <v>824.0</v>
      </c>
    </row>
    <row r="201">
      <c r="A201" s="499">
        <v>826.0</v>
      </c>
    </row>
    <row r="202">
      <c r="A202" s="499">
        <v>827.0</v>
      </c>
    </row>
    <row r="203">
      <c r="A203" s="499">
        <v>831.0</v>
      </c>
    </row>
    <row r="204">
      <c r="A204" s="499">
        <v>832.0</v>
      </c>
    </row>
    <row r="205">
      <c r="A205" s="499">
        <v>833.0</v>
      </c>
    </row>
    <row r="206">
      <c r="A206" s="499">
        <v>841.0</v>
      </c>
    </row>
    <row r="207">
      <c r="A207" s="499">
        <v>843.0</v>
      </c>
    </row>
    <row r="208">
      <c r="A208" s="499">
        <v>844.0</v>
      </c>
    </row>
    <row r="209">
      <c r="A209" s="499">
        <v>847.0</v>
      </c>
    </row>
    <row r="210">
      <c r="A210" s="499">
        <v>858.0</v>
      </c>
    </row>
    <row r="211">
      <c r="A211" s="499">
        <v>861.0</v>
      </c>
    </row>
    <row r="212">
      <c r="A212" s="499">
        <v>862.0</v>
      </c>
    </row>
    <row r="213">
      <c r="A213" s="499">
        <v>863.0</v>
      </c>
    </row>
    <row r="214">
      <c r="A214" s="499">
        <v>864.0</v>
      </c>
    </row>
    <row r="215">
      <c r="A215" s="499">
        <v>865.0</v>
      </c>
    </row>
    <row r="216">
      <c r="A216" s="499">
        <v>866.0</v>
      </c>
    </row>
    <row r="217">
      <c r="A217" s="499">
        <v>867.0</v>
      </c>
    </row>
    <row r="218">
      <c r="A218" s="499">
        <v>868.0</v>
      </c>
    </row>
    <row r="219">
      <c r="A219" s="499">
        <v>871.0</v>
      </c>
    </row>
    <row r="220">
      <c r="A220" s="499">
        <v>874.0</v>
      </c>
    </row>
    <row r="221">
      <c r="A221" s="499">
        <v>876.0</v>
      </c>
    </row>
    <row r="222">
      <c r="A222" s="499">
        <v>877.0</v>
      </c>
    </row>
    <row r="223">
      <c r="A223" s="499">
        <v>878.0</v>
      </c>
    </row>
    <row r="224">
      <c r="A224" s="499">
        <v>879.0</v>
      </c>
    </row>
    <row r="225">
      <c r="A225" s="499">
        <v>880.0</v>
      </c>
    </row>
    <row r="226">
      <c r="A226" s="499">
        <v>881.0</v>
      </c>
    </row>
    <row r="227">
      <c r="A227" s="499">
        <v>884.0</v>
      </c>
    </row>
    <row r="228">
      <c r="A228" s="499">
        <v>889.0</v>
      </c>
    </row>
    <row r="229">
      <c r="A229" s="499">
        <v>892.0</v>
      </c>
    </row>
    <row r="230">
      <c r="A230" s="499">
        <v>894.0</v>
      </c>
    </row>
    <row r="231">
      <c r="A231" s="499">
        <v>898.0</v>
      </c>
    </row>
    <row r="232">
      <c r="A232" s="499">
        <v>899.0</v>
      </c>
    </row>
    <row r="233">
      <c r="A233" s="499">
        <v>902.0</v>
      </c>
    </row>
    <row r="234">
      <c r="A234" s="499">
        <v>904.0</v>
      </c>
    </row>
    <row r="235">
      <c r="A235" s="499">
        <v>906.0</v>
      </c>
    </row>
    <row r="236">
      <c r="A236" s="499">
        <v>907.0</v>
      </c>
    </row>
    <row r="237">
      <c r="A237" s="499">
        <v>911.0</v>
      </c>
    </row>
    <row r="238">
      <c r="A238" s="499">
        <v>914.0</v>
      </c>
    </row>
    <row r="239">
      <c r="A239" s="499">
        <v>915.0</v>
      </c>
    </row>
    <row r="240">
      <c r="A240" s="499">
        <v>916.0</v>
      </c>
    </row>
    <row r="241">
      <c r="A241" s="499">
        <v>920.0</v>
      </c>
    </row>
    <row r="242">
      <c r="A242" s="499">
        <v>923.0</v>
      </c>
    </row>
    <row r="243">
      <c r="A243" s="499">
        <v>930.0</v>
      </c>
    </row>
    <row r="244">
      <c r="A244" s="499">
        <v>931.0</v>
      </c>
    </row>
    <row r="245">
      <c r="A245" s="499">
        <v>932.0</v>
      </c>
    </row>
    <row r="246">
      <c r="A246" s="499">
        <v>934.0</v>
      </c>
    </row>
    <row r="247">
      <c r="A247" s="499">
        <v>937.0</v>
      </c>
    </row>
    <row r="248">
      <c r="A248" s="499">
        <v>938.0</v>
      </c>
    </row>
    <row r="249">
      <c r="A249" s="499">
        <v>939.0</v>
      </c>
    </row>
    <row r="250">
      <c r="A250" s="499">
        <v>940.0</v>
      </c>
    </row>
    <row r="251">
      <c r="A251" s="499">
        <v>941.0</v>
      </c>
    </row>
    <row r="252">
      <c r="A252" s="499">
        <v>942.0</v>
      </c>
    </row>
    <row r="253">
      <c r="A253" s="499">
        <v>943.0</v>
      </c>
    </row>
    <row r="254">
      <c r="A254" s="499">
        <v>945.0</v>
      </c>
    </row>
    <row r="255">
      <c r="A255" s="499">
        <v>946.0</v>
      </c>
    </row>
    <row r="256">
      <c r="A256" s="499">
        <v>947.0</v>
      </c>
    </row>
    <row r="257">
      <c r="A257" s="499">
        <v>948.0</v>
      </c>
    </row>
    <row r="258">
      <c r="A258" s="499">
        <v>949.0</v>
      </c>
    </row>
    <row r="259">
      <c r="A259" s="499">
        <v>950.0</v>
      </c>
    </row>
    <row r="260">
      <c r="A260" s="499">
        <v>953.0</v>
      </c>
    </row>
    <row r="261">
      <c r="A261" s="499">
        <v>954.0</v>
      </c>
    </row>
    <row r="262">
      <c r="A262" s="499">
        <v>957.0</v>
      </c>
    </row>
    <row r="263">
      <c r="A263" s="499">
        <v>961.0</v>
      </c>
    </row>
    <row r="264">
      <c r="A264" s="499">
        <v>965.0</v>
      </c>
    </row>
    <row r="265">
      <c r="A265" s="499">
        <v>966.0</v>
      </c>
    </row>
    <row r="266">
      <c r="A266" s="499">
        <v>967.0</v>
      </c>
    </row>
    <row r="267">
      <c r="A267" s="499">
        <v>980.0</v>
      </c>
    </row>
    <row r="268">
      <c r="A268" s="499">
        <v>981.0</v>
      </c>
    </row>
    <row r="269">
      <c r="A269" s="499">
        <v>982.0</v>
      </c>
    </row>
    <row r="270">
      <c r="A270" s="499">
        <v>983.0</v>
      </c>
    </row>
    <row r="271">
      <c r="A271" s="499">
        <v>987.0</v>
      </c>
    </row>
    <row r="272">
      <c r="A272" s="499">
        <v>988.0</v>
      </c>
    </row>
    <row r="273">
      <c r="A273" s="499">
        <v>989.0</v>
      </c>
    </row>
    <row r="274">
      <c r="A274" s="499">
        <v>990.0</v>
      </c>
    </row>
    <row r="275">
      <c r="A275" s="499">
        <v>992.0</v>
      </c>
    </row>
    <row r="276">
      <c r="A276" s="499">
        <v>993.0</v>
      </c>
    </row>
    <row r="277">
      <c r="A277" s="499">
        <v>995.0</v>
      </c>
    </row>
    <row r="278">
      <c r="A278" s="499">
        <v>1004.0</v>
      </c>
    </row>
    <row r="279">
      <c r="A279" s="499">
        <v>1005.0</v>
      </c>
    </row>
    <row r="280">
      <c r="A280" s="499">
        <v>1006.0</v>
      </c>
    </row>
    <row r="281">
      <c r="A281" s="499">
        <v>1007.0</v>
      </c>
    </row>
    <row r="282">
      <c r="A282" s="499">
        <v>1008.0</v>
      </c>
    </row>
    <row r="283">
      <c r="A283" s="499">
        <v>1011.0</v>
      </c>
    </row>
    <row r="284">
      <c r="A284" s="499">
        <v>1019.0</v>
      </c>
    </row>
    <row r="285">
      <c r="A285" s="499">
        <v>1022.0</v>
      </c>
    </row>
    <row r="286">
      <c r="A286" s="499">
        <v>1030.0</v>
      </c>
    </row>
    <row r="287">
      <c r="A287" s="499">
        <v>1036.0</v>
      </c>
    </row>
    <row r="288">
      <c r="A288" s="499">
        <v>1039.0</v>
      </c>
    </row>
    <row r="289">
      <c r="A289" s="499">
        <v>1040.0</v>
      </c>
    </row>
    <row r="290">
      <c r="A290" s="499">
        <v>1041.0</v>
      </c>
    </row>
    <row r="291">
      <c r="A291" s="499">
        <v>1045.0</v>
      </c>
    </row>
    <row r="292">
      <c r="A292" s="499">
        <v>1046.0</v>
      </c>
    </row>
    <row r="293">
      <c r="A293" s="499">
        <v>1048.0</v>
      </c>
    </row>
    <row r="294">
      <c r="A294" s="499">
        <v>1050.0</v>
      </c>
    </row>
    <row r="295">
      <c r="A295" s="499">
        <v>1051.0</v>
      </c>
    </row>
    <row r="296">
      <c r="A296" s="499">
        <v>1052.0</v>
      </c>
    </row>
    <row r="297">
      <c r="A297" s="499">
        <v>1053.0</v>
      </c>
    </row>
    <row r="298">
      <c r="A298" s="499">
        <v>1054.0</v>
      </c>
    </row>
    <row r="299">
      <c r="A299" s="499">
        <v>1059.0</v>
      </c>
    </row>
    <row r="300">
      <c r="A300" s="499">
        <v>1061.0</v>
      </c>
    </row>
    <row r="301">
      <c r="A301" s="499">
        <v>1065.0</v>
      </c>
    </row>
    <row r="302">
      <c r="A302" s="499">
        <v>1069.0</v>
      </c>
    </row>
    <row r="303">
      <c r="A303" s="499">
        <v>1071.0</v>
      </c>
    </row>
    <row r="304">
      <c r="A304" s="499">
        <v>1072.0</v>
      </c>
    </row>
    <row r="305">
      <c r="A305" s="499">
        <v>1075.0</v>
      </c>
    </row>
    <row r="306">
      <c r="A306" s="499">
        <v>1077.0</v>
      </c>
    </row>
    <row r="307">
      <c r="A307" s="499">
        <v>1079.0</v>
      </c>
    </row>
    <row r="308">
      <c r="A308" s="499">
        <v>1084.0</v>
      </c>
    </row>
    <row r="309">
      <c r="A309" s="499">
        <v>1089.0</v>
      </c>
    </row>
    <row r="310">
      <c r="A310" s="499">
        <v>1090.0</v>
      </c>
    </row>
    <row r="311">
      <c r="A311" s="499">
        <v>1093.0</v>
      </c>
    </row>
    <row r="312">
      <c r="A312" s="499">
        <v>1096.0</v>
      </c>
    </row>
    <row r="313">
      <c r="A313" s="499">
        <v>1098.0</v>
      </c>
    </row>
    <row r="314">
      <c r="A314" s="499">
        <v>1099.0</v>
      </c>
    </row>
    <row r="315">
      <c r="A315" s="499">
        <v>1101.0</v>
      </c>
    </row>
    <row r="316">
      <c r="A316" s="499">
        <v>1208.0</v>
      </c>
    </row>
    <row r="317">
      <c r="A317" s="499">
        <v>1213.0</v>
      </c>
    </row>
    <row r="318">
      <c r="A318" s="499">
        <v>1218.0</v>
      </c>
    </row>
    <row r="319">
      <c r="A319" s="499">
        <v>1302.0</v>
      </c>
    </row>
    <row r="320">
      <c r="A320" s="499">
        <v>1303.0</v>
      </c>
    </row>
    <row r="321">
      <c r="A321" s="499">
        <v>1304.0</v>
      </c>
    </row>
    <row r="322">
      <c r="A322" s="499">
        <v>1305.0</v>
      </c>
    </row>
    <row r="323">
      <c r="A323" s="499">
        <v>1306.0</v>
      </c>
    </row>
    <row r="324">
      <c r="A324" s="499">
        <v>1312.0</v>
      </c>
    </row>
    <row r="325">
      <c r="A325" s="499">
        <v>1315.0</v>
      </c>
    </row>
    <row r="326">
      <c r="A326" s="499">
        <v>1441.0</v>
      </c>
    </row>
    <row r="327">
      <c r="A327" s="499">
        <v>1444.0</v>
      </c>
    </row>
    <row r="328">
      <c r="A328" s="499">
        <v>1445.0</v>
      </c>
    </row>
    <row r="329">
      <c r="A329" s="499">
        <v>1446.0</v>
      </c>
    </row>
    <row r="330">
      <c r="A330" s="499">
        <v>1504.0</v>
      </c>
    </row>
    <row r="331">
      <c r="A331" s="499">
        <v>1505.0</v>
      </c>
    </row>
    <row r="332">
      <c r="A332" s="499">
        <v>1506.0</v>
      </c>
    </row>
    <row r="333">
      <c r="A333" s="499">
        <v>1508.0</v>
      </c>
    </row>
    <row r="334">
      <c r="A334" s="499">
        <v>1512.0</v>
      </c>
    </row>
    <row r="335">
      <c r="A335" s="499">
        <v>1513.0</v>
      </c>
    </row>
    <row r="336">
      <c r="A336" s="499">
        <v>1514.0</v>
      </c>
    </row>
    <row r="337">
      <c r="A337" s="499">
        <v>1515.0</v>
      </c>
    </row>
    <row r="338">
      <c r="A338" s="499">
        <v>1615.0</v>
      </c>
    </row>
    <row r="339">
      <c r="A339" s="499">
        <v>1638.0</v>
      </c>
    </row>
    <row r="340">
      <c r="A340" s="499">
        <v>1682.0</v>
      </c>
    </row>
    <row r="341">
      <c r="A341" s="499">
        <v>1683.0</v>
      </c>
    </row>
    <row r="342">
      <c r="A342" s="499">
        <v>1686.0</v>
      </c>
    </row>
    <row r="343">
      <c r="A343" s="499">
        <v>1690.0</v>
      </c>
    </row>
    <row r="344">
      <c r="A344" s="499">
        <v>1705.0</v>
      </c>
    </row>
    <row r="345">
      <c r="A345" s="499">
        <v>1841.0</v>
      </c>
    </row>
    <row r="346">
      <c r="A346" s="499">
        <v>1883.0</v>
      </c>
    </row>
    <row r="347">
      <c r="A347" s="499">
        <v>1902.0</v>
      </c>
    </row>
    <row r="348">
      <c r="A348" s="499">
        <v>2061.0</v>
      </c>
    </row>
    <row r="349">
      <c r="A349" s="499">
        <v>2149.0</v>
      </c>
    </row>
    <row r="350">
      <c r="A350" s="499">
        <v>2207.0</v>
      </c>
    </row>
    <row r="351">
      <c r="A351" s="499">
        <v>2210.0</v>
      </c>
    </row>
    <row r="352">
      <c r="A352" s="499">
        <v>2216.0</v>
      </c>
    </row>
    <row r="353">
      <c r="A353" s="499">
        <v>2218.0</v>
      </c>
    </row>
    <row r="354">
      <c r="A354" s="499">
        <v>2225.0</v>
      </c>
    </row>
    <row r="355">
      <c r="A355" s="499">
        <v>2232.0</v>
      </c>
    </row>
    <row r="356">
      <c r="A356" s="499">
        <v>2305.0</v>
      </c>
    </row>
    <row r="357">
      <c r="A357" s="499">
        <v>2312.0</v>
      </c>
    </row>
    <row r="358">
      <c r="A358" s="499">
        <v>2317.0</v>
      </c>
    </row>
    <row r="359">
      <c r="A359" s="499">
        <v>2319.0</v>
      </c>
    </row>
    <row r="360">
      <c r="A360" s="499">
        <v>2367.0</v>
      </c>
    </row>
    <row r="361">
      <c r="A361" s="499">
        <v>2443.0</v>
      </c>
    </row>
    <row r="362">
      <c r="A362" s="499">
        <v>2444.0</v>
      </c>
    </row>
    <row r="363">
      <c r="A363" s="499">
        <v>2445.0</v>
      </c>
    </row>
    <row r="364">
      <c r="A364" s="499">
        <v>2571.0</v>
      </c>
    </row>
    <row r="365">
      <c r="A365" s="499">
        <v>2786.0</v>
      </c>
    </row>
    <row r="366">
      <c r="A366" s="499">
        <v>2787.0</v>
      </c>
    </row>
    <row r="367">
      <c r="A367" s="499">
        <v>2788.0</v>
      </c>
    </row>
    <row r="368">
      <c r="A368" s="499">
        <v>2936.0</v>
      </c>
    </row>
    <row r="369">
      <c r="A369" s="499">
        <v>2992.0</v>
      </c>
    </row>
    <row r="370">
      <c r="A370" s="499">
        <v>2994.0</v>
      </c>
    </row>
    <row r="371">
      <c r="A371" s="499">
        <v>3007.0</v>
      </c>
    </row>
    <row r="372">
      <c r="A372" s="499">
        <v>3145.0</v>
      </c>
    </row>
    <row r="373">
      <c r="A373" s="499">
        <v>3146.0</v>
      </c>
    </row>
    <row r="374">
      <c r="A374" s="499">
        <v>3147.0</v>
      </c>
    </row>
    <row r="375">
      <c r="A375" s="499">
        <v>3170.0</v>
      </c>
    </row>
    <row r="376">
      <c r="A376" s="499">
        <v>3179.0</v>
      </c>
    </row>
    <row r="377">
      <c r="A377" s="499">
        <v>3213.0</v>
      </c>
    </row>
    <row r="378">
      <c r="A378" s="499">
        <v>3226.0</v>
      </c>
    </row>
    <row r="379">
      <c r="A379" s="499">
        <v>3265.0</v>
      </c>
    </row>
    <row r="380">
      <c r="A380" s="499">
        <v>3266.0</v>
      </c>
    </row>
    <row r="381">
      <c r="A381" s="499">
        <v>3268.0</v>
      </c>
    </row>
    <row r="382">
      <c r="A382" s="499">
        <v>3270.0</v>
      </c>
    </row>
    <row r="383">
      <c r="A383" s="499">
        <v>3274.0</v>
      </c>
    </row>
    <row r="384">
      <c r="A384" s="499">
        <v>3300.0</v>
      </c>
    </row>
    <row r="385">
      <c r="A385" s="499">
        <v>3309.0</v>
      </c>
    </row>
    <row r="386">
      <c r="A386" s="499">
        <v>3310.0</v>
      </c>
    </row>
    <row r="387">
      <c r="A387" s="499">
        <v>3311.0</v>
      </c>
    </row>
    <row r="388">
      <c r="A388" s="499">
        <v>3382.0</v>
      </c>
    </row>
    <row r="389">
      <c r="A389" s="499">
        <v>3415.0</v>
      </c>
    </row>
    <row r="390">
      <c r="A390" s="499">
        <v>3419.0</v>
      </c>
    </row>
    <row r="391">
      <c r="A391" s="499">
        <v>3431.0</v>
      </c>
    </row>
    <row r="392">
      <c r="A392" s="499">
        <v>3452.0</v>
      </c>
    </row>
    <row r="393">
      <c r="A393" s="499">
        <v>3454.0</v>
      </c>
    </row>
    <row r="394">
      <c r="A394" s="499">
        <v>3455.0</v>
      </c>
    </row>
    <row r="395">
      <c r="A395" s="499">
        <v>3456.0</v>
      </c>
    </row>
    <row r="396">
      <c r="A396" s="499">
        <v>3458.0</v>
      </c>
    </row>
    <row r="397">
      <c r="A397" s="499">
        <v>3461.0</v>
      </c>
    </row>
    <row r="398">
      <c r="A398" s="499">
        <v>3463.0</v>
      </c>
    </row>
    <row r="399">
      <c r="A399" s="499">
        <v>3465.0</v>
      </c>
    </row>
    <row r="400">
      <c r="A400" s="499">
        <v>3466.0</v>
      </c>
    </row>
    <row r="401">
      <c r="A401" s="499">
        <v>3467.0</v>
      </c>
    </row>
    <row r="402">
      <c r="A402" s="499">
        <v>3473.0</v>
      </c>
    </row>
    <row r="403">
      <c r="A403" s="499">
        <v>3474.0</v>
      </c>
    </row>
    <row r="404">
      <c r="A404" s="499">
        <v>3478.0</v>
      </c>
    </row>
    <row r="405">
      <c r="A405" s="499">
        <v>3482.0</v>
      </c>
    </row>
    <row r="406">
      <c r="A406" s="499">
        <v>3488.0</v>
      </c>
    </row>
    <row r="407">
      <c r="A407" s="499">
        <v>3512.0</v>
      </c>
    </row>
    <row r="408">
      <c r="A408" s="499">
        <v>3514.0</v>
      </c>
    </row>
    <row r="409">
      <c r="A409" s="499">
        <v>3522.0</v>
      </c>
    </row>
    <row r="410">
      <c r="A410" s="499">
        <v>3525.0</v>
      </c>
    </row>
    <row r="411">
      <c r="A411" s="499">
        <v>3526.0</v>
      </c>
    </row>
    <row r="412">
      <c r="A412" s="499">
        <v>3530.0</v>
      </c>
    </row>
    <row r="413">
      <c r="A413" s="499">
        <v>3534.0</v>
      </c>
    </row>
    <row r="414">
      <c r="A414" s="499">
        <v>3536.0</v>
      </c>
    </row>
    <row r="415">
      <c r="A415" s="499">
        <v>3541.0</v>
      </c>
    </row>
    <row r="416">
      <c r="A416" s="499">
        <v>3542.0</v>
      </c>
    </row>
    <row r="417">
      <c r="A417" s="499">
        <v>3612.0</v>
      </c>
    </row>
    <row r="418">
      <c r="A418" s="499">
        <v>3666.0</v>
      </c>
    </row>
    <row r="419">
      <c r="A419" s="499">
        <v>3805.0</v>
      </c>
    </row>
    <row r="420">
      <c r="A420" s="499">
        <v>3871.0</v>
      </c>
    </row>
    <row r="421">
      <c r="A421" s="499">
        <v>3974.0</v>
      </c>
    </row>
    <row r="422">
      <c r="A422" s="499">
        <v>3982.0</v>
      </c>
    </row>
    <row r="423">
      <c r="A423" s="499">
        <v>3994.0</v>
      </c>
    </row>
    <row r="424">
      <c r="A424" s="499">
        <v>3995.0</v>
      </c>
    </row>
    <row r="425">
      <c r="A425" s="499">
        <v>3996.0</v>
      </c>
    </row>
    <row r="426">
      <c r="A426" s="499">
        <v>3997.0</v>
      </c>
    </row>
    <row r="427">
      <c r="A427" s="499">
        <v>3998.0</v>
      </c>
    </row>
    <row r="428">
      <c r="A428" s="499">
        <v>3999.0</v>
      </c>
    </row>
    <row r="429">
      <c r="A429" s="499">
        <v>4001.0</v>
      </c>
    </row>
    <row r="430">
      <c r="A430" s="499">
        <v>4016.0</v>
      </c>
    </row>
    <row r="431">
      <c r="A431" s="499">
        <v>4017.0</v>
      </c>
    </row>
    <row r="432">
      <c r="A432" s="499">
        <v>4018.0</v>
      </c>
    </row>
    <row r="433">
      <c r="A433" s="499">
        <v>4019.0</v>
      </c>
    </row>
    <row r="434">
      <c r="A434" s="499">
        <v>4020.0</v>
      </c>
    </row>
    <row r="435">
      <c r="A435" s="499">
        <v>4085.0</v>
      </c>
    </row>
    <row r="436">
      <c r="A436" s="499">
        <v>4115.0</v>
      </c>
    </row>
    <row r="437">
      <c r="A437" s="499">
        <v>4116.0</v>
      </c>
    </row>
    <row r="438">
      <c r="A438" s="499">
        <v>4117.0</v>
      </c>
    </row>
    <row r="439">
      <c r="A439" s="499">
        <v>4118.0</v>
      </c>
    </row>
    <row r="440">
      <c r="A440" s="499">
        <v>4120.0</v>
      </c>
    </row>
    <row r="441">
      <c r="A441" s="499">
        <v>4123.0</v>
      </c>
    </row>
    <row r="442">
      <c r="A442" s="499">
        <v>4144.0</v>
      </c>
    </row>
    <row r="443">
      <c r="A443" s="499">
        <v>4145.0</v>
      </c>
    </row>
    <row r="444">
      <c r="A444" s="499">
        <v>4174.0</v>
      </c>
    </row>
    <row r="445">
      <c r="A445" s="499">
        <v>4175.0</v>
      </c>
    </row>
    <row r="446">
      <c r="A446" s="499">
        <v>4176.0</v>
      </c>
    </row>
    <row r="447">
      <c r="A447" s="499">
        <v>4177.0</v>
      </c>
    </row>
    <row r="448">
      <c r="A448" s="499">
        <v>4178.0</v>
      </c>
    </row>
    <row r="449">
      <c r="A449" s="499">
        <v>4179.0</v>
      </c>
    </row>
    <row r="450">
      <c r="A450" s="499">
        <v>4275.0</v>
      </c>
    </row>
    <row r="451">
      <c r="A451" s="499">
        <v>4276.0</v>
      </c>
    </row>
    <row r="452">
      <c r="A452" s="499">
        <v>4278.0</v>
      </c>
    </row>
    <row r="453">
      <c r="A453" s="499">
        <v>4279.0</v>
      </c>
    </row>
    <row r="454">
      <c r="A454" s="499">
        <v>4283.0</v>
      </c>
    </row>
    <row r="455">
      <c r="A455" s="499">
        <v>4321.0</v>
      </c>
    </row>
    <row r="456">
      <c r="A456" s="499">
        <v>4365.0</v>
      </c>
    </row>
    <row r="457">
      <c r="A457" s="499">
        <v>4481.0</v>
      </c>
    </row>
    <row r="458">
      <c r="A458" s="499">
        <v>4504.0</v>
      </c>
    </row>
    <row r="459">
      <c r="A459" s="499">
        <v>4505.0</v>
      </c>
    </row>
    <row r="460">
      <c r="A460" s="499">
        <v>4541.0</v>
      </c>
    </row>
    <row r="461">
      <c r="A461" s="499">
        <v>4542.0</v>
      </c>
    </row>
    <row r="462">
      <c r="A462" s="499">
        <v>4625.0</v>
      </c>
    </row>
    <row r="463">
      <c r="A463" s="499">
        <v>4626.0</v>
      </c>
    </row>
    <row r="464">
      <c r="A464" s="499">
        <v>4662.0</v>
      </c>
    </row>
    <row r="465">
      <c r="A465" s="499">
        <v>4681.0</v>
      </c>
    </row>
    <row r="466">
      <c r="A466" s="499">
        <v>4992.0</v>
      </c>
    </row>
    <row r="467">
      <c r="A467" s="499">
        <v>4994.0</v>
      </c>
    </row>
    <row r="468">
      <c r="A468" s="499">
        <v>5001.0</v>
      </c>
    </row>
    <row r="469">
      <c r="A469" s="499">
        <v>5012.0</v>
      </c>
    </row>
    <row r="470">
      <c r="A470" s="499">
        <v>5148.0</v>
      </c>
    </row>
    <row r="471">
      <c r="A471" s="499">
        <v>5165.0</v>
      </c>
    </row>
    <row r="472">
      <c r="A472" s="499">
        <v>5166.0</v>
      </c>
    </row>
    <row r="473">
      <c r="A473" s="499">
        <v>5168.0</v>
      </c>
    </row>
    <row r="474">
      <c r="A474" s="499">
        <v>5169.0</v>
      </c>
    </row>
    <row r="475">
      <c r="A475" s="499">
        <v>5182.0</v>
      </c>
    </row>
    <row r="476">
      <c r="A476" s="499">
        <v>5185.0</v>
      </c>
    </row>
    <row r="477">
      <c r="A477" s="499">
        <v>5186.0</v>
      </c>
    </row>
    <row r="478">
      <c r="A478" s="499">
        <v>5188.0</v>
      </c>
    </row>
    <row r="479">
      <c r="A479" s="499">
        <v>5193.0</v>
      </c>
    </row>
    <row r="480">
      <c r="A480" s="499">
        <v>5195.0</v>
      </c>
    </row>
    <row r="481">
      <c r="A481" s="499">
        <v>5196.0</v>
      </c>
    </row>
    <row r="482">
      <c r="A482" s="499">
        <v>5197.0</v>
      </c>
    </row>
    <row r="483">
      <c r="A483" s="499">
        <v>5200.0</v>
      </c>
    </row>
    <row r="484">
      <c r="A484" s="499">
        <v>5204.0</v>
      </c>
    </row>
    <row r="485">
      <c r="A485" s="499">
        <v>5205.0</v>
      </c>
    </row>
    <row r="486">
      <c r="A486" s="499">
        <v>5237.0</v>
      </c>
    </row>
    <row r="487">
      <c r="A487" s="499">
        <v>5238.0</v>
      </c>
    </row>
    <row r="488">
      <c r="A488" s="499">
        <v>5240.0</v>
      </c>
    </row>
    <row r="489">
      <c r="A489" s="499">
        <v>5255.0</v>
      </c>
    </row>
    <row r="490">
      <c r="A490" s="499">
        <v>5268.0</v>
      </c>
    </row>
    <row r="491">
      <c r="A491" s="499">
        <v>5283.0</v>
      </c>
    </row>
    <row r="492">
      <c r="A492" s="499">
        <v>5284.0</v>
      </c>
    </row>
    <row r="493">
      <c r="A493" s="499">
        <v>5294.0</v>
      </c>
    </row>
    <row r="494">
      <c r="A494" s="499">
        <v>5295.0</v>
      </c>
    </row>
    <row r="495">
      <c r="A495" s="499">
        <v>5296.0</v>
      </c>
    </row>
    <row r="496">
      <c r="A496" s="499">
        <v>5318.0</v>
      </c>
    </row>
    <row r="497">
      <c r="A497" s="499">
        <v>5322.0</v>
      </c>
    </row>
    <row r="498">
      <c r="A498" s="499">
        <v>5347.0</v>
      </c>
    </row>
    <row r="499">
      <c r="A499" s="499">
        <v>5401.0</v>
      </c>
    </row>
    <row r="500">
      <c r="A500" s="499">
        <v>5414.0</v>
      </c>
    </row>
    <row r="501">
      <c r="A501" s="499">
        <v>5451.0</v>
      </c>
    </row>
    <row r="502">
      <c r="A502" s="499">
        <v>5452.0</v>
      </c>
    </row>
    <row r="503">
      <c r="A503" s="499">
        <v>5453.0</v>
      </c>
    </row>
    <row r="504">
      <c r="A504" s="499">
        <v>5464.0</v>
      </c>
    </row>
    <row r="505">
      <c r="A505" s="499">
        <v>5491.0</v>
      </c>
    </row>
    <row r="506">
      <c r="A506" s="499">
        <v>5501.0</v>
      </c>
    </row>
    <row r="507">
      <c r="A507" s="499">
        <v>5502.0</v>
      </c>
    </row>
    <row r="508">
      <c r="A508" s="499">
        <v>5503.0</v>
      </c>
    </row>
    <row r="509">
      <c r="A509" s="499">
        <v>5651.0</v>
      </c>
    </row>
    <row r="510">
      <c r="A510" s="499">
        <v>5726.0</v>
      </c>
    </row>
    <row r="511">
      <c r="A511" s="499">
        <v>5893.0</v>
      </c>
    </row>
    <row r="512">
      <c r="A512" s="499">
        <v>6005.0</v>
      </c>
    </row>
    <row r="513">
      <c r="A513" s="499">
        <v>6006.0</v>
      </c>
    </row>
    <row r="514">
      <c r="A514" s="499">
        <v>6008.0</v>
      </c>
    </row>
    <row r="515">
      <c r="A515" s="499">
        <v>6019.0</v>
      </c>
    </row>
    <row r="516">
      <c r="A516" s="499">
        <v>6021.0</v>
      </c>
    </row>
    <row r="517">
      <c r="A517" s="499">
        <v>6028.0</v>
      </c>
    </row>
    <row r="518">
      <c r="A518" s="499">
        <v>6030.0</v>
      </c>
    </row>
    <row r="519">
      <c r="A519" s="499">
        <v>6032.0</v>
      </c>
    </row>
    <row r="520">
      <c r="A520" s="499">
        <v>6036.0</v>
      </c>
    </row>
    <row r="521">
      <c r="A521" s="499">
        <v>6040.0</v>
      </c>
    </row>
    <row r="522">
      <c r="A522" s="499">
        <v>6044.0</v>
      </c>
    </row>
    <row r="523">
      <c r="A523" s="499">
        <v>6048.0</v>
      </c>
    </row>
    <row r="524">
      <c r="A524" s="499">
        <v>6056.0</v>
      </c>
    </row>
    <row r="525">
      <c r="A525" s="499">
        <v>6092.0</v>
      </c>
    </row>
    <row r="526">
      <c r="A526" s="499">
        <v>6093.0</v>
      </c>
    </row>
    <row r="527">
      <c r="A527" s="499">
        <v>6095.0</v>
      </c>
    </row>
    <row r="528">
      <c r="A528" s="499">
        <v>6096.0</v>
      </c>
    </row>
    <row r="529">
      <c r="A529" s="499">
        <v>6101.0</v>
      </c>
    </row>
    <row r="530">
      <c r="A530" s="499">
        <v>6151.0</v>
      </c>
    </row>
    <row r="531">
      <c r="A531" s="499">
        <v>6201.0</v>
      </c>
    </row>
    <row r="532">
      <c r="A532" s="499">
        <v>6219.0</v>
      </c>
    </row>
    <row r="533">
      <c r="A533" s="499">
        <v>6221.0</v>
      </c>
    </row>
    <row r="534">
      <c r="A534" s="499">
        <v>6222.0</v>
      </c>
    </row>
    <row r="535">
      <c r="A535" s="499">
        <v>6228.0</v>
      </c>
    </row>
    <row r="536">
      <c r="A536" s="499">
        <v>6230.0</v>
      </c>
    </row>
    <row r="537">
      <c r="A537" s="499">
        <v>6232.0</v>
      </c>
    </row>
    <row r="538">
      <c r="A538" s="499">
        <v>6244.0</v>
      </c>
    </row>
    <row r="539">
      <c r="A539" s="499">
        <v>6301.0</v>
      </c>
    </row>
    <row r="540">
      <c r="A540" s="499">
        <v>6307.0</v>
      </c>
    </row>
    <row r="541">
      <c r="A541" s="499">
        <v>6312.0</v>
      </c>
    </row>
    <row r="542">
      <c r="A542" s="499">
        <v>6316.0</v>
      </c>
    </row>
    <row r="543">
      <c r="A543" s="499">
        <v>6317.0</v>
      </c>
    </row>
    <row r="544">
      <c r="A544" s="499">
        <v>6321.0</v>
      </c>
    </row>
    <row r="545">
      <c r="A545" s="499">
        <v>6324.0</v>
      </c>
    </row>
    <row r="546">
      <c r="A546" s="499">
        <v>6326.0</v>
      </c>
    </row>
    <row r="547">
      <c r="A547" s="499">
        <v>6403.0</v>
      </c>
    </row>
    <row r="548">
      <c r="A548" s="499">
        <v>6406.0</v>
      </c>
    </row>
    <row r="549">
      <c r="A549" s="499">
        <v>6413.0</v>
      </c>
    </row>
    <row r="550">
      <c r="A550" s="499">
        <v>6416.0</v>
      </c>
    </row>
    <row r="551">
      <c r="A551" s="499">
        <v>6418.0</v>
      </c>
    </row>
    <row r="552">
      <c r="A552" s="499">
        <v>6665.0</v>
      </c>
    </row>
    <row r="553">
      <c r="A553" s="499">
        <v>6695.0</v>
      </c>
    </row>
    <row r="554">
      <c r="A554" s="499">
        <v>6752.0</v>
      </c>
    </row>
    <row r="555">
      <c r="A555" s="499">
        <v>6753.0</v>
      </c>
    </row>
    <row r="556">
      <c r="A556" s="499">
        <v>6762.0</v>
      </c>
    </row>
    <row r="557">
      <c r="A557" s="499">
        <v>6784.0</v>
      </c>
    </row>
    <row r="558">
      <c r="A558" s="499">
        <v>6854.0</v>
      </c>
    </row>
    <row r="559">
      <c r="A559" s="499">
        <v>6892.0</v>
      </c>
    </row>
    <row r="560">
      <c r="A560" s="499">
        <v>6981.0</v>
      </c>
    </row>
    <row r="561">
      <c r="A561" s="499">
        <v>6982.0</v>
      </c>
    </row>
    <row r="562">
      <c r="A562" s="499">
        <v>7000.0</v>
      </c>
    </row>
    <row r="563">
      <c r="A563" s="499">
        <v>7001.0</v>
      </c>
    </row>
    <row r="564">
      <c r="A564" s="499">
        <v>7002.0</v>
      </c>
    </row>
    <row r="565">
      <c r="A565" s="499">
        <v>7003.0</v>
      </c>
    </row>
    <row r="566">
      <c r="A566" s="499">
        <v>7004.0</v>
      </c>
    </row>
    <row r="567">
      <c r="A567" s="499">
        <v>7005.0</v>
      </c>
    </row>
    <row r="568">
      <c r="A568" s="499">
        <v>7006.0</v>
      </c>
    </row>
    <row r="569">
      <c r="A569" s="499">
        <v>7007.0</v>
      </c>
    </row>
    <row r="570">
      <c r="A570" s="499">
        <v>7008.0</v>
      </c>
    </row>
    <row r="571">
      <c r="A571" s="499">
        <v>7009.0</v>
      </c>
    </row>
    <row r="572">
      <c r="A572" s="499">
        <v>7010.0</v>
      </c>
    </row>
    <row r="573">
      <c r="A573" s="499">
        <v>7011.0</v>
      </c>
    </row>
    <row r="574">
      <c r="A574" s="499">
        <v>7012.0</v>
      </c>
    </row>
    <row r="575">
      <c r="A575" s="499">
        <v>7013.0</v>
      </c>
    </row>
    <row r="576">
      <c r="A576" s="499">
        <v>7014.0</v>
      </c>
    </row>
    <row r="577">
      <c r="A577" s="499">
        <v>7015.0</v>
      </c>
    </row>
    <row r="578">
      <c r="A578" s="499">
        <v>7016.0</v>
      </c>
    </row>
    <row r="579">
      <c r="A579" s="499">
        <v>7017.0</v>
      </c>
    </row>
    <row r="580">
      <c r="A580" s="499">
        <v>7018.0</v>
      </c>
    </row>
    <row r="581">
      <c r="A581" s="499">
        <v>7019.0</v>
      </c>
    </row>
    <row r="582">
      <c r="A582" s="499">
        <v>7020.0</v>
      </c>
    </row>
    <row r="583">
      <c r="A583" s="499">
        <v>7021.0</v>
      </c>
    </row>
    <row r="584">
      <c r="A584" s="499">
        <v>7022.0</v>
      </c>
    </row>
    <row r="585">
      <c r="A585" s="499">
        <v>7023.0</v>
      </c>
    </row>
    <row r="586">
      <c r="A586" s="499">
        <v>7024.0</v>
      </c>
    </row>
    <row r="587">
      <c r="A587" s="499">
        <v>7025.0</v>
      </c>
    </row>
    <row r="588">
      <c r="A588" s="499">
        <v>7026.0</v>
      </c>
    </row>
    <row r="589">
      <c r="A589" s="499">
        <v>7027.0</v>
      </c>
    </row>
    <row r="590">
      <c r="A590" s="499">
        <v>7028.0</v>
      </c>
    </row>
    <row r="591">
      <c r="A591" s="499">
        <v>7029.0</v>
      </c>
    </row>
    <row r="592">
      <c r="A592" s="499">
        <v>7030.0</v>
      </c>
    </row>
    <row r="593">
      <c r="A593" s="499">
        <v>7031.0</v>
      </c>
    </row>
    <row r="594">
      <c r="A594" s="499">
        <v>7032.0</v>
      </c>
    </row>
    <row r="595">
      <c r="A595" s="499">
        <v>7033.0</v>
      </c>
    </row>
    <row r="596">
      <c r="A596" s="499">
        <v>7034.0</v>
      </c>
    </row>
    <row r="597">
      <c r="A597" s="499">
        <v>7035.0</v>
      </c>
    </row>
    <row r="598">
      <c r="A598" s="499">
        <v>7036.0</v>
      </c>
    </row>
    <row r="599">
      <c r="A599" s="499">
        <v>7037.0</v>
      </c>
    </row>
    <row r="600">
      <c r="A600" s="499">
        <v>7038.0</v>
      </c>
    </row>
    <row r="601">
      <c r="A601" s="499">
        <v>7039.0</v>
      </c>
    </row>
    <row r="602">
      <c r="A602" s="499">
        <v>7040.0</v>
      </c>
    </row>
    <row r="603">
      <c r="A603" s="499">
        <v>7041.0</v>
      </c>
    </row>
    <row r="604">
      <c r="A604" s="499">
        <v>7042.0</v>
      </c>
    </row>
    <row r="605">
      <c r="A605" s="499">
        <v>7043.0</v>
      </c>
    </row>
    <row r="606">
      <c r="A606" s="499">
        <v>7044.0</v>
      </c>
    </row>
    <row r="607">
      <c r="A607" s="499">
        <v>7045.0</v>
      </c>
    </row>
    <row r="608">
      <c r="A608" s="499">
        <v>7046.0</v>
      </c>
    </row>
    <row r="609">
      <c r="A609" s="499">
        <v>7047.0</v>
      </c>
    </row>
    <row r="610">
      <c r="A610" s="499">
        <v>7048.0</v>
      </c>
    </row>
    <row r="611">
      <c r="A611" s="499">
        <v>7049.0</v>
      </c>
    </row>
    <row r="612">
      <c r="A612" s="499">
        <v>7050.0</v>
      </c>
    </row>
    <row r="613">
      <c r="A613" s="499">
        <v>7051.0</v>
      </c>
    </row>
    <row r="614">
      <c r="A614" s="499">
        <v>7052.0</v>
      </c>
    </row>
    <row r="615">
      <c r="A615" s="499">
        <v>7053.0</v>
      </c>
    </row>
    <row r="616">
      <c r="A616" s="499">
        <v>7054.0</v>
      </c>
    </row>
    <row r="617">
      <c r="A617" s="499">
        <v>7055.0</v>
      </c>
    </row>
    <row r="618">
      <c r="A618" s="499">
        <v>7056.0</v>
      </c>
    </row>
    <row r="619">
      <c r="A619" s="499">
        <v>7057.0</v>
      </c>
    </row>
    <row r="620">
      <c r="A620" s="499">
        <v>7058.0</v>
      </c>
    </row>
    <row r="621">
      <c r="A621" s="499">
        <v>7059.0</v>
      </c>
    </row>
    <row r="622">
      <c r="A622" s="499">
        <v>7060.0</v>
      </c>
    </row>
    <row r="623">
      <c r="A623" s="499">
        <v>7061.0</v>
      </c>
    </row>
    <row r="624">
      <c r="A624" s="499">
        <v>7062.0</v>
      </c>
    </row>
    <row r="625">
      <c r="A625" s="499">
        <v>7063.0</v>
      </c>
    </row>
    <row r="626">
      <c r="A626" s="499">
        <v>7064.0</v>
      </c>
    </row>
    <row r="627">
      <c r="A627" s="499">
        <v>7065.0</v>
      </c>
    </row>
    <row r="628">
      <c r="A628" s="499">
        <v>7066.0</v>
      </c>
    </row>
    <row r="629">
      <c r="A629" s="499">
        <v>7067.0</v>
      </c>
    </row>
    <row r="630">
      <c r="A630" s="499">
        <v>7068.0</v>
      </c>
    </row>
    <row r="631">
      <c r="A631" s="499">
        <v>7069.0</v>
      </c>
    </row>
    <row r="632">
      <c r="A632" s="499">
        <v>7070.0</v>
      </c>
    </row>
    <row r="633">
      <c r="A633" s="499">
        <v>7071.0</v>
      </c>
    </row>
    <row r="634">
      <c r="A634" s="499">
        <v>7072.0</v>
      </c>
    </row>
    <row r="635">
      <c r="A635" s="499">
        <v>7073.0</v>
      </c>
    </row>
    <row r="636">
      <c r="A636" s="499">
        <v>7074.0</v>
      </c>
    </row>
    <row r="637">
      <c r="A637" s="499">
        <v>7075.0</v>
      </c>
    </row>
    <row r="638">
      <c r="A638" s="499">
        <v>7076.0</v>
      </c>
    </row>
    <row r="639">
      <c r="A639" s="499">
        <v>7077.0</v>
      </c>
    </row>
    <row r="640">
      <c r="A640" s="499">
        <v>7078.0</v>
      </c>
    </row>
    <row r="641">
      <c r="A641" s="499">
        <v>7079.0</v>
      </c>
    </row>
    <row r="642">
      <c r="A642" s="499">
        <v>7080.0</v>
      </c>
    </row>
    <row r="643">
      <c r="A643" s="499">
        <v>7081.0</v>
      </c>
    </row>
    <row r="644">
      <c r="A644" s="499">
        <v>7082.0</v>
      </c>
    </row>
    <row r="645">
      <c r="A645" s="499">
        <v>7083.0</v>
      </c>
    </row>
    <row r="646">
      <c r="A646" s="499">
        <v>7084.0</v>
      </c>
    </row>
    <row r="647">
      <c r="A647" s="499">
        <v>7085.0</v>
      </c>
    </row>
    <row r="648">
      <c r="A648" s="499">
        <v>7086.0</v>
      </c>
    </row>
    <row r="649">
      <c r="A649" s="499">
        <v>7087.0</v>
      </c>
    </row>
    <row r="650">
      <c r="A650" s="499">
        <v>7088.0</v>
      </c>
    </row>
    <row r="651">
      <c r="A651" s="499">
        <v>7089.0</v>
      </c>
    </row>
    <row r="652">
      <c r="A652" s="499">
        <v>7090.0</v>
      </c>
    </row>
    <row r="653">
      <c r="A653" s="499">
        <v>7091.0</v>
      </c>
    </row>
    <row r="654">
      <c r="A654" s="499">
        <v>7092.0</v>
      </c>
    </row>
    <row r="655">
      <c r="A655" s="499">
        <v>7190.0</v>
      </c>
    </row>
    <row r="656">
      <c r="A656" s="499">
        <v>7377.0</v>
      </c>
    </row>
    <row r="657">
      <c r="A657" s="499">
        <v>7396.0</v>
      </c>
    </row>
    <row r="658">
      <c r="A658" s="499">
        <v>7488.0</v>
      </c>
    </row>
    <row r="659">
      <c r="A659" s="499">
        <v>7489.0</v>
      </c>
    </row>
    <row r="660">
      <c r="A660" s="499">
        <v>7501.0</v>
      </c>
    </row>
    <row r="661">
      <c r="A661" s="499">
        <v>7612.0</v>
      </c>
    </row>
    <row r="662">
      <c r="A662" s="499">
        <v>7631.0</v>
      </c>
    </row>
    <row r="663">
      <c r="A663" s="499">
        <v>7783.0</v>
      </c>
    </row>
    <row r="664">
      <c r="A664" s="499">
        <v>7900.0</v>
      </c>
    </row>
    <row r="665">
      <c r="A665" s="499">
        <v>8031.0</v>
      </c>
    </row>
    <row r="666">
      <c r="A666" s="499">
        <v>8114.0</v>
      </c>
    </row>
    <row r="667">
      <c r="A667" s="499">
        <v>8182.0</v>
      </c>
    </row>
    <row r="668">
      <c r="A668" s="499">
        <v>8201.0</v>
      </c>
    </row>
    <row r="669">
      <c r="A669" s="499">
        <v>8238.0</v>
      </c>
    </row>
    <row r="670">
      <c r="A670" s="499">
        <v>8403.0</v>
      </c>
    </row>
    <row r="671">
      <c r="A671" s="499">
        <v>8404.0</v>
      </c>
    </row>
    <row r="672">
      <c r="A672" s="499">
        <v>8511.0</v>
      </c>
    </row>
    <row r="673">
      <c r="A673" s="499">
        <v>8632.0</v>
      </c>
    </row>
    <row r="674">
      <c r="A674" s="499">
        <v>8665.0</v>
      </c>
    </row>
    <row r="675">
      <c r="A675" s="499">
        <v>8812.0</v>
      </c>
    </row>
    <row r="676">
      <c r="A676" s="499">
        <v>8814.0</v>
      </c>
    </row>
    <row r="677">
      <c r="A677" s="499">
        <v>8815.0</v>
      </c>
    </row>
    <row r="678">
      <c r="A678" s="499">
        <v>8817.0</v>
      </c>
    </row>
    <row r="679">
      <c r="A679" s="499">
        <v>8820.0</v>
      </c>
    </row>
    <row r="680">
      <c r="A680" s="499">
        <v>8821.0</v>
      </c>
    </row>
    <row r="681">
      <c r="A681" s="499">
        <v>8822.0</v>
      </c>
    </row>
    <row r="682">
      <c r="A682" s="499">
        <v>8824.0</v>
      </c>
    </row>
    <row r="683">
      <c r="A683" s="499">
        <v>8826.0</v>
      </c>
    </row>
    <row r="684">
      <c r="A684" s="499">
        <v>8827.0</v>
      </c>
    </row>
    <row r="685">
      <c r="A685" s="499">
        <v>8828.0</v>
      </c>
    </row>
    <row r="686">
      <c r="A686" s="499">
        <v>8842.0</v>
      </c>
    </row>
    <row r="687">
      <c r="A687" s="499">
        <v>8854.0</v>
      </c>
    </row>
    <row r="688">
      <c r="A688" s="499">
        <v>8857.0</v>
      </c>
    </row>
    <row r="689">
      <c r="A689" s="499">
        <v>8872.0</v>
      </c>
    </row>
    <row r="690">
      <c r="A690" s="499">
        <v>8894.0</v>
      </c>
    </row>
    <row r="691">
      <c r="A691" s="499">
        <v>8934.0</v>
      </c>
    </row>
    <row r="692">
      <c r="A692" s="499">
        <v>8935.0</v>
      </c>
    </row>
    <row r="693">
      <c r="A693" s="499">
        <v>8936.0</v>
      </c>
    </row>
    <row r="694">
      <c r="A694" s="499">
        <v>8937.0</v>
      </c>
    </row>
    <row r="695">
      <c r="A695" s="499">
        <v>8943.0</v>
      </c>
    </row>
    <row r="696">
      <c r="A696" s="499">
        <v>8982.0</v>
      </c>
    </row>
    <row r="697">
      <c r="A697" s="499">
        <v>9022.0</v>
      </c>
    </row>
    <row r="698">
      <c r="A698" s="499">
        <v>9191.0</v>
      </c>
    </row>
    <row r="699">
      <c r="A699" s="499">
        <v>9192.0</v>
      </c>
    </row>
    <row r="700">
      <c r="A700" s="499">
        <v>9193.0</v>
      </c>
    </row>
    <row r="701">
      <c r="A701" s="499">
        <v>9195.0</v>
      </c>
    </row>
    <row r="702">
      <c r="A702" s="499">
        <v>9196.0</v>
      </c>
    </row>
    <row r="703">
      <c r="A703" s="499">
        <v>9198.0</v>
      </c>
    </row>
    <row r="704">
      <c r="A704" s="499">
        <v>9199.0</v>
      </c>
    </row>
    <row r="705">
      <c r="A705" s="499">
        <v>9202.0</v>
      </c>
    </row>
    <row r="706">
      <c r="A706" s="499">
        <v>9203.0</v>
      </c>
    </row>
    <row r="707">
      <c r="A707" s="499">
        <v>9204.0</v>
      </c>
    </row>
    <row r="708">
      <c r="A708" s="499">
        <v>9206.0</v>
      </c>
    </row>
    <row r="709">
      <c r="A709" s="499">
        <v>9207.0</v>
      </c>
    </row>
    <row r="710">
      <c r="A710" s="499">
        <v>9208.0</v>
      </c>
    </row>
    <row r="711">
      <c r="A711" s="499">
        <v>9209.0</v>
      </c>
    </row>
    <row r="712">
      <c r="A712" s="499">
        <v>9210.0</v>
      </c>
    </row>
    <row r="713">
      <c r="A713" s="499">
        <v>9211.0</v>
      </c>
    </row>
    <row r="714">
      <c r="A714" s="499">
        <v>9212.0</v>
      </c>
    </row>
    <row r="715">
      <c r="A715" s="499">
        <v>9217.0</v>
      </c>
    </row>
    <row r="716">
      <c r="A716" s="499">
        <v>9218.0</v>
      </c>
    </row>
    <row r="717">
      <c r="A717" s="499">
        <v>9219.0</v>
      </c>
    </row>
    <row r="718">
      <c r="A718" s="499">
        <v>9220.0</v>
      </c>
    </row>
    <row r="719">
      <c r="A719" s="499">
        <v>9221.0</v>
      </c>
    </row>
    <row r="720">
      <c r="A720" s="499">
        <v>9224.0</v>
      </c>
    </row>
    <row r="721">
      <c r="A721" s="499">
        <v>9225.0</v>
      </c>
    </row>
    <row r="722">
      <c r="A722" s="499">
        <v>9226.0</v>
      </c>
    </row>
    <row r="723">
      <c r="A723" s="499">
        <v>9227.0</v>
      </c>
    </row>
    <row r="724">
      <c r="A724" s="499">
        <v>9228.0</v>
      </c>
    </row>
    <row r="725">
      <c r="A725" s="499">
        <v>9229.0</v>
      </c>
    </row>
    <row r="726">
      <c r="A726" s="499">
        <v>9230.0</v>
      </c>
    </row>
    <row r="727">
      <c r="A727" s="499">
        <v>9241.0</v>
      </c>
    </row>
    <row r="728">
      <c r="A728" s="499">
        <v>9242.0</v>
      </c>
    </row>
    <row r="729">
      <c r="A729" s="499">
        <v>9280.0</v>
      </c>
    </row>
    <row r="730">
      <c r="A730" s="499">
        <v>9293.0</v>
      </c>
    </row>
    <row r="731">
      <c r="A731" s="499">
        <v>9295.0</v>
      </c>
    </row>
    <row r="732">
      <c r="A732" s="499">
        <v>9296.0</v>
      </c>
    </row>
    <row r="733">
      <c r="A733" s="499">
        <v>9297.0</v>
      </c>
    </row>
    <row r="734">
      <c r="A734" s="499">
        <v>9298.0</v>
      </c>
    </row>
    <row r="735">
      <c r="A735" s="499">
        <v>9300.0</v>
      </c>
    </row>
    <row r="736">
      <c r="A736" s="499">
        <v>9301.0</v>
      </c>
    </row>
    <row r="737">
      <c r="A737" s="499">
        <v>9302.0</v>
      </c>
    </row>
    <row r="738">
      <c r="A738" s="499">
        <v>9303.0</v>
      </c>
    </row>
    <row r="739">
      <c r="A739" s="499">
        <v>9305.0</v>
      </c>
    </row>
    <row r="740">
      <c r="A740" s="499">
        <v>9306.0</v>
      </c>
    </row>
    <row r="741">
      <c r="A741" s="499">
        <v>9309.0</v>
      </c>
    </row>
    <row r="742">
      <c r="A742" s="499">
        <v>9310.0</v>
      </c>
    </row>
    <row r="743">
      <c r="A743" s="499">
        <v>9313.0</v>
      </c>
    </row>
    <row r="744">
      <c r="A744" s="499">
        <v>9397.0</v>
      </c>
    </row>
    <row r="745">
      <c r="A745" s="499">
        <v>9398.0</v>
      </c>
    </row>
    <row r="746">
      <c r="A746" s="499">
        <v>9511.0</v>
      </c>
    </row>
    <row r="747">
      <c r="A747" s="499">
        <v>9512.0</v>
      </c>
    </row>
    <row r="748">
      <c r="A748" s="499">
        <v>9513.0</v>
      </c>
    </row>
    <row r="749">
      <c r="A749" s="499">
        <v>9514.0</v>
      </c>
    </row>
    <row r="750">
      <c r="A750" s="499">
        <v>9692.0</v>
      </c>
    </row>
    <row r="751">
      <c r="A751" s="499">
        <v>9693.0</v>
      </c>
    </row>
    <row r="752">
      <c r="A752" s="499">
        <v>9694.0</v>
      </c>
    </row>
    <row r="753">
      <c r="A753" s="499">
        <v>9771.0</v>
      </c>
    </row>
    <row r="754">
      <c r="A754" s="499">
        <v>16007.0</v>
      </c>
    </row>
    <row r="755">
      <c r="A755" s="499">
        <v>16019.0</v>
      </c>
    </row>
    <row r="756">
      <c r="A756" s="499">
        <v>16026.0</v>
      </c>
    </row>
    <row r="757">
      <c r="A757" s="499">
        <v>16030.0</v>
      </c>
    </row>
    <row r="758">
      <c r="A758" s="499">
        <v>16044.0</v>
      </c>
    </row>
    <row r="759">
      <c r="A759" s="499">
        <v>30232.0</v>
      </c>
    </row>
    <row r="760">
      <c r="A760" s="499">
        <v>30238.0</v>
      </c>
    </row>
    <row r="761">
      <c r="A761" s="499">
        <v>30240.0</v>
      </c>
    </row>
    <row r="762">
      <c r="A762" s="499">
        <v>33211.0</v>
      </c>
    </row>
    <row r="763">
      <c r="A763" s="500">
        <v>45017.0</v>
      </c>
    </row>
    <row r="764">
      <c r="A764" s="501">
        <v>45026.0</v>
      </c>
    </row>
    <row r="765">
      <c r="A765" s="501">
        <v>45046.0</v>
      </c>
    </row>
    <row r="766">
      <c r="A766" s="499">
        <v>51103.0</v>
      </c>
    </row>
    <row r="767">
      <c r="A767" s="499">
        <v>51104.0</v>
      </c>
    </row>
    <row r="768">
      <c r="A768" s="499">
        <v>51105.0</v>
      </c>
    </row>
    <row r="769">
      <c r="A769" s="499">
        <v>51106.0</v>
      </c>
    </row>
    <row r="770">
      <c r="A770" s="499">
        <v>51107.0</v>
      </c>
    </row>
    <row r="771">
      <c r="A771" s="499">
        <v>51108.0</v>
      </c>
    </row>
    <row r="772">
      <c r="A772" s="499">
        <v>51110.0</v>
      </c>
    </row>
    <row r="773">
      <c r="A773" s="499">
        <v>51111.0</v>
      </c>
    </row>
    <row r="774">
      <c r="A774" s="499">
        <v>51112.0</v>
      </c>
    </row>
    <row r="775">
      <c r="A775" s="499">
        <v>51115.0</v>
      </c>
    </row>
    <row r="776">
      <c r="A776" s="499">
        <v>51117.0</v>
      </c>
    </row>
    <row r="777">
      <c r="A777" s="499">
        <v>51134.0</v>
      </c>
    </row>
    <row r="778">
      <c r="A778" s="499">
        <v>51138.0</v>
      </c>
    </row>
    <row r="779">
      <c r="A779" s="499">
        <v>51204.0</v>
      </c>
    </row>
    <row r="780">
      <c r="A780" s="499">
        <v>51210.0</v>
      </c>
    </row>
    <row r="781">
      <c r="A781" s="499">
        <v>51211.0</v>
      </c>
    </row>
    <row r="782">
      <c r="A782" s="499">
        <v>51213.0</v>
      </c>
    </row>
    <row r="783">
      <c r="A783" s="499">
        <v>51226.0</v>
      </c>
    </row>
    <row r="784">
      <c r="A784" s="499">
        <v>51230.0</v>
      </c>
    </row>
    <row r="785">
      <c r="A785" s="499">
        <v>51232.0</v>
      </c>
    </row>
    <row r="786">
      <c r="A786" s="499">
        <v>51316.0</v>
      </c>
    </row>
    <row r="787">
      <c r="A787" s="499">
        <v>51319.0</v>
      </c>
    </row>
    <row r="788">
      <c r="A788" s="499">
        <v>51407.0</v>
      </c>
    </row>
    <row r="789">
      <c r="A789" s="499">
        <v>51420.0</v>
      </c>
    </row>
    <row r="790">
      <c r="A790" s="499">
        <v>52207.0</v>
      </c>
    </row>
    <row r="791">
      <c r="A791" s="499">
        <v>52307.0</v>
      </c>
    </row>
    <row r="792">
      <c r="A792" s="499">
        <v>52511.0</v>
      </c>
    </row>
    <row r="793">
      <c r="A793" s="499">
        <v>53060.0</v>
      </c>
    </row>
    <row r="794">
      <c r="A794" s="499">
        <v>53100.0</v>
      </c>
    </row>
    <row r="795">
      <c r="A795" s="499">
        <v>53101.0</v>
      </c>
    </row>
    <row r="796">
      <c r="A796" s="499">
        <v>53120.0</v>
      </c>
    </row>
    <row r="797">
      <c r="A797" s="499">
        <v>53850.0</v>
      </c>
    </row>
    <row r="798">
      <c r="A798" s="499">
        <v>53851.0</v>
      </c>
    </row>
    <row r="799">
      <c r="A799" s="499">
        <v>54434.0</v>
      </c>
    </row>
    <row r="800">
      <c r="A800" s="499">
        <v>54470.0</v>
      </c>
    </row>
    <row r="801">
      <c r="A801" s="499">
        <v>54582.0</v>
      </c>
    </row>
    <row r="802">
      <c r="A802" s="499">
        <v>54586.0</v>
      </c>
    </row>
    <row r="803">
      <c r="A803" s="499">
        <v>54660.0</v>
      </c>
    </row>
    <row r="804">
      <c r="A804" s="499">
        <v>54686.0</v>
      </c>
    </row>
    <row r="805">
      <c r="A805" s="499">
        <v>54722.0</v>
      </c>
    </row>
    <row r="806">
      <c r="A806" s="499">
        <v>55033.0</v>
      </c>
    </row>
    <row r="807">
      <c r="A807" s="499">
        <v>55035.0</v>
      </c>
    </row>
    <row r="808">
      <c r="A808" s="499">
        <v>55134.0</v>
      </c>
    </row>
    <row r="809">
      <c r="A809" s="499">
        <v>55254.0</v>
      </c>
    </row>
    <row r="810">
      <c r="A810" s="499">
        <v>55260.0</v>
      </c>
    </row>
    <row r="811">
      <c r="A811" s="499">
        <v>55261.0</v>
      </c>
    </row>
    <row r="812">
      <c r="A812" s="499">
        <v>55351.0</v>
      </c>
    </row>
    <row r="813">
      <c r="A813" s="499">
        <v>55353.0</v>
      </c>
    </row>
    <row r="814">
      <c r="A814" s="499">
        <v>55504.0</v>
      </c>
    </row>
    <row r="815">
      <c r="A815" s="499">
        <v>55531.0</v>
      </c>
    </row>
    <row r="816">
      <c r="A816" s="499">
        <v>55727.0</v>
      </c>
    </row>
    <row r="817">
      <c r="A817" s="499">
        <v>55728.0</v>
      </c>
    </row>
    <row r="818">
      <c r="A818" s="499">
        <v>55741.0</v>
      </c>
    </row>
    <row r="819">
      <c r="A819" s="499">
        <v>55830.0</v>
      </c>
    </row>
    <row r="820">
      <c r="A820" s="499">
        <v>55836.0</v>
      </c>
    </row>
    <row r="821">
      <c r="A821" s="499">
        <v>56060.0</v>
      </c>
    </row>
    <row r="822">
      <c r="A822" s="499">
        <v>56061.0</v>
      </c>
    </row>
    <row r="823">
      <c r="A823" s="499">
        <v>56063.0</v>
      </c>
    </row>
    <row r="824">
      <c r="A824" s="499">
        <v>56073.0</v>
      </c>
    </row>
    <row r="825">
      <c r="A825" s="499">
        <v>56296.0</v>
      </c>
    </row>
    <row r="826">
      <c r="A826" s="499">
        <v>56500.0</v>
      </c>
    </row>
    <row r="827">
      <c r="A827" s="499">
        <v>56687.0</v>
      </c>
    </row>
    <row r="828">
      <c r="A828" s="499">
        <v>56791.0</v>
      </c>
    </row>
    <row r="829">
      <c r="A829" s="499">
        <v>56831.0</v>
      </c>
    </row>
    <row r="830">
      <c r="A830" s="499">
        <v>56832.0</v>
      </c>
    </row>
    <row r="831">
      <c r="A831" s="499">
        <v>56834.0</v>
      </c>
    </row>
    <row r="832">
      <c r="A832" s="499">
        <v>56835.0</v>
      </c>
    </row>
    <row r="833">
      <c r="A833" s="499">
        <v>56841.0</v>
      </c>
    </row>
    <row r="834">
      <c r="A834" s="499">
        <v>56842.0</v>
      </c>
    </row>
    <row r="835">
      <c r="A835" s="499">
        <v>56861.0</v>
      </c>
    </row>
    <row r="836">
      <c r="A836" s="499">
        <v>56862.0</v>
      </c>
    </row>
    <row r="837">
      <c r="A837" s="499">
        <v>56912.0</v>
      </c>
    </row>
    <row r="838">
      <c r="A838" s="499">
        <v>56931.0</v>
      </c>
    </row>
    <row r="839">
      <c r="A839" s="499">
        <v>57001.0</v>
      </c>
    </row>
    <row r="840">
      <c r="A840" s="499">
        <v>57050.0</v>
      </c>
    </row>
    <row r="841">
      <c r="A841" s="499">
        <v>57051.0</v>
      </c>
    </row>
    <row r="842">
      <c r="A842" s="499">
        <v>57090.0</v>
      </c>
    </row>
    <row r="843">
      <c r="A843" s="499">
        <v>57120.0</v>
      </c>
    </row>
    <row r="844">
      <c r="A844" s="499">
        <v>57175.0</v>
      </c>
    </row>
    <row r="845">
      <c r="A845" s="499">
        <v>57176.0</v>
      </c>
    </row>
    <row r="846">
      <c r="A846" s="499">
        <v>57188.0</v>
      </c>
    </row>
    <row r="847">
      <c r="A847" s="499">
        <v>57215.0</v>
      </c>
    </row>
    <row r="848">
      <c r="A848" s="499">
        <v>57226.0</v>
      </c>
    </row>
    <row r="849">
      <c r="A849" s="499">
        <v>57234.0</v>
      </c>
    </row>
    <row r="850">
      <c r="A850" s="499">
        <v>57235.0</v>
      </c>
    </row>
    <row r="851">
      <c r="A851" s="499">
        <v>57260.0</v>
      </c>
    </row>
    <row r="852">
      <c r="A852" s="499">
        <v>57261.0</v>
      </c>
    </row>
    <row r="853">
      <c r="A853" s="499">
        <v>57262.0</v>
      </c>
    </row>
    <row r="854">
      <c r="A854" s="499">
        <v>57263.0</v>
      </c>
    </row>
    <row r="855">
      <c r="A855" s="499">
        <v>57264.0</v>
      </c>
    </row>
    <row r="856">
      <c r="A856" s="499">
        <v>57265.0</v>
      </c>
    </row>
    <row r="857">
      <c r="A857" s="499">
        <v>57281.0</v>
      </c>
    </row>
    <row r="858">
      <c r="A858" s="499">
        <v>57321.0</v>
      </c>
    </row>
    <row r="859">
      <c r="A859" s="499">
        <v>57326.0</v>
      </c>
    </row>
    <row r="860">
      <c r="A860" s="499">
        <v>57331.0</v>
      </c>
    </row>
    <row r="861">
      <c r="A861" s="499">
        <v>57363.0</v>
      </c>
    </row>
    <row r="862">
      <c r="A862" s="499">
        <v>57364.0</v>
      </c>
    </row>
    <row r="863">
      <c r="A863" s="499">
        <v>57371.0</v>
      </c>
    </row>
    <row r="864">
      <c r="A864" s="499">
        <v>57372.0</v>
      </c>
    </row>
    <row r="865">
      <c r="A865" s="499">
        <v>57381.0</v>
      </c>
    </row>
    <row r="866">
      <c r="A866" s="499">
        <v>57400.0</v>
      </c>
    </row>
    <row r="867">
      <c r="A867" s="499">
        <v>57403.0</v>
      </c>
    </row>
    <row r="868">
      <c r="A868" s="499">
        <v>57411.0</v>
      </c>
    </row>
    <row r="869">
      <c r="A869" s="499">
        <v>57412.0</v>
      </c>
    </row>
    <row r="870">
      <c r="A870" s="499">
        <v>57420.0</v>
      </c>
    </row>
    <row r="871">
      <c r="A871" s="499">
        <v>57493.0</v>
      </c>
    </row>
    <row r="872">
      <c r="A872" s="499">
        <v>57494.0</v>
      </c>
    </row>
    <row r="873">
      <c r="A873" s="499">
        <v>57502.0</v>
      </c>
    </row>
    <row r="874">
      <c r="A874" s="499">
        <v>57540.0</v>
      </c>
    </row>
    <row r="875">
      <c r="A875" s="499">
        <v>57576.0</v>
      </c>
    </row>
    <row r="876">
      <c r="A876" s="499">
        <v>57810.0</v>
      </c>
    </row>
    <row r="877">
      <c r="A877" s="499">
        <v>57831.0</v>
      </c>
    </row>
    <row r="878">
      <c r="A878" s="499">
        <v>57850.0</v>
      </c>
    </row>
    <row r="879">
      <c r="A879" s="499">
        <v>57873.0</v>
      </c>
    </row>
    <row r="880">
      <c r="A880" s="499">
        <v>57874.0</v>
      </c>
    </row>
    <row r="881">
      <c r="A881" s="499">
        <v>57921.0</v>
      </c>
    </row>
    <row r="882">
      <c r="A882" s="499">
        <v>57940.0</v>
      </c>
    </row>
    <row r="883">
      <c r="A883" s="499">
        <v>57941.0</v>
      </c>
    </row>
    <row r="884">
      <c r="A884" s="499">
        <v>57942.0</v>
      </c>
    </row>
    <row r="885">
      <c r="A885" s="499">
        <v>58101.0</v>
      </c>
    </row>
    <row r="886">
      <c r="A886" s="499">
        <v>58102.0</v>
      </c>
    </row>
    <row r="887">
      <c r="A887" s="499">
        <v>58103.0</v>
      </c>
    </row>
    <row r="888">
      <c r="A888" s="499">
        <v>58104.0</v>
      </c>
    </row>
    <row r="889">
      <c r="A889" s="499">
        <v>58190.0</v>
      </c>
    </row>
    <row r="890">
      <c r="A890" s="499">
        <v>58250.0</v>
      </c>
    </row>
    <row r="891">
      <c r="A891" s="499">
        <v>58340.0</v>
      </c>
    </row>
    <row r="892">
      <c r="A892" s="499">
        <v>58441.0</v>
      </c>
    </row>
    <row r="893">
      <c r="A893" s="499">
        <v>58443.0</v>
      </c>
    </row>
    <row r="894">
      <c r="A894" s="499">
        <v>58555.0</v>
      </c>
    </row>
    <row r="895">
      <c r="A895" s="499">
        <v>58556.0</v>
      </c>
    </row>
    <row r="896">
      <c r="A896" s="499">
        <v>58561.0</v>
      </c>
    </row>
    <row r="897">
      <c r="A897" s="499">
        <v>58570.0</v>
      </c>
    </row>
    <row r="898">
      <c r="A898" s="499">
        <v>58611.0</v>
      </c>
    </row>
    <row r="899">
      <c r="A899" s="499">
        <v>58740.0</v>
      </c>
    </row>
    <row r="900">
      <c r="A900" s="499">
        <v>58780.0</v>
      </c>
    </row>
    <row r="901">
      <c r="A901" s="499">
        <v>58781.0</v>
      </c>
    </row>
    <row r="902">
      <c r="A902" s="499">
        <v>58811.0</v>
      </c>
    </row>
    <row r="903">
      <c r="A903" s="499">
        <v>58812.0</v>
      </c>
    </row>
    <row r="904">
      <c r="A904" s="499">
        <v>58814.0</v>
      </c>
    </row>
    <row r="905">
      <c r="A905" s="499">
        <v>58870.0</v>
      </c>
    </row>
    <row r="906">
      <c r="A906" s="499">
        <v>58884.0</v>
      </c>
    </row>
    <row r="907">
      <c r="A907" s="499">
        <v>58921.0</v>
      </c>
    </row>
    <row r="908">
      <c r="A908" s="499">
        <v>58950.0</v>
      </c>
    </row>
    <row r="909">
      <c r="A909" s="499">
        <v>58951.0</v>
      </c>
    </row>
    <row r="910">
      <c r="A910" s="499">
        <v>59084.0</v>
      </c>
    </row>
    <row r="911">
      <c r="A911" s="499">
        <v>59110.0</v>
      </c>
    </row>
    <row r="912">
      <c r="A912" s="499">
        <v>59150.0</v>
      </c>
    </row>
    <row r="913">
      <c r="A913" s="499">
        <v>59250.0</v>
      </c>
    </row>
    <row r="914">
      <c r="A914" s="499">
        <v>59311.0</v>
      </c>
    </row>
    <row r="915">
      <c r="A915" s="499">
        <v>59312.0</v>
      </c>
    </row>
    <row r="916">
      <c r="A916" s="499">
        <v>59313.0</v>
      </c>
    </row>
    <row r="917">
      <c r="A917" s="499">
        <v>59357.0</v>
      </c>
    </row>
    <row r="918">
      <c r="A918" s="499">
        <v>59431.0</v>
      </c>
    </row>
    <row r="919">
      <c r="A919" s="499">
        <v>59490.0</v>
      </c>
    </row>
    <row r="920">
      <c r="A920" s="499">
        <v>59500.0</v>
      </c>
    </row>
    <row r="921">
      <c r="A921" s="499">
        <v>59501.0</v>
      </c>
    </row>
    <row r="922">
      <c r="A922" s="499">
        <v>59580.0</v>
      </c>
    </row>
    <row r="923">
      <c r="A923" s="499">
        <v>59581.0</v>
      </c>
    </row>
    <row r="924">
      <c r="A924" s="499">
        <v>59582.0</v>
      </c>
    </row>
    <row r="925">
      <c r="A925" s="499">
        <v>59584.0</v>
      </c>
    </row>
    <row r="926">
      <c r="A926" s="499">
        <v>59586.0</v>
      </c>
    </row>
    <row r="927">
      <c r="A927" s="499">
        <v>59587.0</v>
      </c>
    </row>
    <row r="928">
      <c r="A928" s="499">
        <v>59589.0</v>
      </c>
    </row>
    <row r="929">
      <c r="A929" s="499">
        <v>59681.0</v>
      </c>
    </row>
    <row r="930">
      <c r="A930" s="499">
        <v>59702.0</v>
      </c>
    </row>
    <row r="931">
      <c r="A931" s="499">
        <v>59703.0</v>
      </c>
    </row>
    <row r="932">
      <c r="A932" s="499">
        <v>59730.0</v>
      </c>
    </row>
    <row r="933">
      <c r="A933" s="499">
        <v>59731.0</v>
      </c>
    </row>
    <row r="934">
      <c r="A934" s="499">
        <v>59733.0</v>
      </c>
    </row>
    <row r="935">
      <c r="A935" s="499">
        <v>59734.0</v>
      </c>
    </row>
    <row r="936">
      <c r="A936" s="499">
        <v>59735.0</v>
      </c>
    </row>
    <row r="937">
      <c r="A937" s="499">
        <v>59737.0</v>
      </c>
    </row>
    <row r="938">
      <c r="A938" s="499">
        <v>59792.0</v>
      </c>
    </row>
    <row r="939">
      <c r="A939" s="499">
        <v>59810.0</v>
      </c>
    </row>
    <row r="940">
      <c r="A940" s="499">
        <v>59875.0</v>
      </c>
    </row>
    <row r="941">
      <c r="A941" s="499">
        <v>59879.0</v>
      </c>
    </row>
    <row r="942">
      <c r="A942" s="499">
        <v>59930.0</v>
      </c>
    </row>
    <row r="943">
      <c r="A943" s="499">
        <v>59990.0</v>
      </c>
    </row>
    <row r="944">
      <c r="A944" s="499">
        <v>60000.0</v>
      </c>
    </row>
    <row r="945">
      <c r="A945" s="499">
        <v>60001.0</v>
      </c>
    </row>
    <row r="946">
      <c r="A946" s="499">
        <v>60040.0</v>
      </c>
    </row>
    <row r="947">
      <c r="A947" s="499">
        <v>60060.0</v>
      </c>
    </row>
    <row r="948">
      <c r="A948" s="499">
        <v>60116.0</v>
      </c>
    </row>
    <row r="949">
      <c r="A949" s="499">
        <v>60130.0</v>
      </c>
    </row>
    <row r="950">
      <c r="A950" s="499">
        <v>60155.0</v>
      </c>
    </row>
    <row r="951">
      <c r="A951" s="499">
        <v>60241.0</v>
      </c>
    </row>
    <row r="952">
      <c r="A952" s="499">
        <v>60243.0</v>
      </c>
    </row>
    <row r="953">
      <c r="A953" s="499">
        <v>60270.0</v>
      </c>
    </row>
    <row r="954">
      <c r="A954" s="499">
        <v>60302.0</v>
      </c>
    </row>
    <row r="955">
      <c r="A955" s="499">
        <v>60341.0</v>
      </c>
    </row>
    <row r="956">
      <c r="A956" s="499">
        <v>60371.0</v>
      </c>
    </row>
    <row r="957">
      <c r="A957" s="499">
        <v>60401.0</v>
      </c>
    </row>
    <row r="958">
      <c r="A958" s="499">
        <v>60402.0</v>
      </c>
    </row>
    <row r="959">
      <c r="A959" s="499">
        <v>60403.0</v>
      </c>
    </row>
    <row r="960">
      <c r="A960" s="499">
        <v>60410.0</v>
      </c>
    </row>
    <row r="961">
      <c r="A961" s="499">
        <v>60412.0</v>
      </c>
    </row>
    <row r="962">
      <c r="A962" s="499">
        <v>60413.0</v>
      </c>
    </row>
    <row r="963">
      <c r="A963" s="499">
        <v>60765.0</v>
      </c>
    </row>
    <row r="964">
      <c r="A964" s="499">
        <v>60832.0</v>
      </c>
    </row>
    <row r="965">
      <c r="A965" s="499">
        <v>60840.0</v>
      </c>
    </row>
    <row r="966">
      <c r="A966" s="499">
        <v>61061.0</v>
      </c>
    </row>
    <row r="967">
      <c r="A967" s="499">
        <v>61070.0</v>
      </c>
    </row>
    <row r="968">
      <c r="A968" s="499">
        <v>61071.0</v>
      </c>
    </row>
    <row r="969">
      <c r="A969" s="499">
        <v>61080.0</v>
      </c>
    </row>
    <row r="970">
      <c r="A970" s="499">
        <v>61102.0</v>
      </c>
    </row>
    <row r="971">
      <c r="A971" s="499">
        <v>61103.0</v>
      </c>
    </row>
    <row r="972">
      <c r="A972" s="499">
        <v>61341.0</v>
      </c>
    </row>
    <row r="973">
      <c r="A973" s="499">
        <v>61443.0</v>
      </c>
    </row>
    <row r="974">
      <c r="A974" s="499">
        <v>61445.0</v>
      </c>
    </row>
    <row r="975">
      <c r="A975" s="499">
        <v>61470.0</v>
      </c>
    </row>
    <row r="976">
      <c r="A976" s="499">
        <v>61474.0</v>
      </c>
    </row>
    <row r="977">
      <c r="A977" s="499">
        <v>61480.0</v>
      </c>
    </row>
    <row r="978">
      <c r="A978" s="499">
        <v>61530.0</v>
      </c>
    </row>
    <row r="979">
      <c r="A979" s="499">
        <v>61661.0</v>
      </c>
    </row>
    <row r="980">
      <c r="A980" s="499">
        <v>61764.0</v>
      </c>
    </row>
    <row r="981">
      <c r="A981" s="499">
        <v>61862.0</v>
      </c>
    </row>
    <row r="982">
      <c r="A982" s="499">
        <v>61863.0</v>
      </c>
    </row>
    <row r="983">
      <c r="A983" s="499">
        <v>61872.0</v>
      </c>
    </row>
    <row r="984">
      <c r="A984" s="499">
        <v>61873.0</v>
      </c>
    </row>
    <row r="985">
      <c r="A985" s="499">
        <v>61874.0</v>
      </c>
    </row>
    <row r="986">
      <c r="A986" s="499">
        <v>61898.0</v>
      </c>
    </row>
    <row r="987">
      <c r="A987" s="499">
        <v>61899.0</v>
      </c>
    </row>
    <row r="988">
      <c r="A988" s="499">
        <v>61928.0</v>
      </c>
    </row>
    <row r="989">
      <c r="A989" s="499">
        <v>61930.0</v>
      </c>
    </row>
    <row r="990">
      <c r="A990" s="499">
        <v>61990.0</v>
      </c>
    </row>
    <row r="991">
      <c r="A991" s="499">
        <v>62000.0</v>
      </c>
    </row>
    <row r="992">
      <c r="A992" s="499">
        <v>62031.0</v>
      </c>
    </row>
    <row r="993">
      <c r="A993" s="499">
        <v>62043.0</v>
      </c>
    </row>
    <row r="994">
      <c r="A994" s="499">
        <v>62052.0</v>
      </c>
    </row>
    <row r="995">
      <c r="A995" s="499">
        <v>62053.0</v>
      </c>
    </row>
    <row r="996">
      <c r="A996" s="499">
        <v>62061.0</v>
      </c>
    </row>
    <row r="997">
      <c r="A997" s="499">
        <v>62070.0</v>
      </c>
    </row>
    <row r="998">
      <c r="A998" s="499">
        <v>62080.0</v>
      </c>
    </row>
    <row r="999">
      <c r="A999" s="499">
        <v>62081.0</v>
      </c>
    </row>
    <row r="1000">
      <c r="A1000" s="499">
        <v>62082.0</v>
      </c>
    </row>
    <row r="1001">
      <c r="A1001" s="499">
        <v>62084.0</v>
      </c>
    </row>
    <row r="1002">
      <c r="A1002" s="499">
        <v>62085.0</v>
      </c>
    </row>
    <row r="1003">
      <c r="A1003" s="499">
        <v>62180.0</v>
      </c>
    </row>
    <row r="1004">
      <c r="A1004" s="499">
        <v>62210.0</v>
      </c>
    </row>
    <row r="1005">
      <c r="A1005" s="499">
        <v>62231.0</v>
      </c>
    </row>
    <row r="1006">
      <c r="A1006" s="499">
        <v>62296.0</v>
      </c>
    </row>
    <row r="1007">
      <c r="A1007" s="499">
        <v>62303.0</v>
      </c>
    </row>
    <row r="1008">
      <c r="A1008" s="499">
        <v>62320.0</v>
      </c>
    </row>
    <row r="1009">
      <c r="A1009" s="499">
        <v>62352.0</v>
      </c>
    </row>
    <row r="1010">
      <c r="A1010" s="499">
        <v>62353.0</v>
      </c>
    </row>
    <row r="1011">
      <c r="A1011" s="499">
        <v>62355.0</v>
      </c>
    </row>
    <row r="1012">
      <c r="A1012" s="499">
        <v>62401.0</v>
      </c>
    </row>
    <row r="1013">
      <c r="A1013" s="499">
        <v>62405.0</v>
      </c>
    </row>
    <row r="1014">
      <c r="A1014" s="499">
        <v>62410.0</v>
      </c>
    </row>
    <row r="1015">
      <c r="A1015" s="499">
        <v>62414.0</v>
      </c>
    </row>
    <row r="1016">
      <c r="A1016" s="499">
        <v>62440.0</v>
      </c>
    </row>
    <row r="1017">
      <c r="A1017" s="499">
        <v>62441.0</v>
      </c>
    </row>
    <row r="1018">
      <c r="A1018" s="499">
        <v>62471.0</v>
      </c>
    </row>
    <row r="1019">
      <c r="A1019" s="499">
        <v>62493.0</v>
      </c>
    </row>
    <row r="1020">
      <c r="A1020" s="499">
        <v>62550.0</v>
      </c>
    </row>
    <row r="1021">
      <c r="A1021" s="499">
        <v>62551.0</v>
      </c>
    </row>
    <row r="1022">
      <c r="A1022" s="499">
        <v>62561.0</v>
      </c>
    </row>
    <row r="1023">
      <c r="A1023" s="499">
        <v>62570.0</v>
      </c>
    </row>
    <row r="1024">
      <c r="A1024" s="499">
        <v>62592.0</v>
      </c>
    </row>
    <row r="1025">
      <c r="A1025" s="499">
        <v>62610.0</v>
      </c>
    </row>
    <row r="1026">
      <c r="A1026" s="499">
        <v>62670.0</v>
      </c>
    </row>
    <row r="1027">
      <c r="A1027" s="499">
        <v>62698.0</v>
      </c>
    </row>
    <row r="1028">
      <c r="A1028" s="499">
        <v>62727.0</v>
      </c>
    </row>
    <row r="1029">
      <c r="A1029" s="499">
        <v>62750.0</v>
      </c>
    </row>
    <row r="1030">
      <c r="A1030" s="499">
        <v>62751.0</v>
      </c>
    </row>
    <row r="1031">
      <c r="A1031" s="499">
        <v>62752.0</v>
      </c>
    </row>
    <row r="1032">
      <c r="A1032" s="499">
        <v>62755.0</v>
      </c>
    </row>
    <row r="1033">
      <c r="A1033" s="499">
        <v>62785.0</v>
      </c>
    </row>
    <row r="1034">
      <c r="A1034" s="499">
        <v>62800.0</v>
      </c>
    </row>
    <row r="1035">
      <c r="A1035" s="499">
        <v>62863.0</v>
      </c>
    </row>
    <row r="1036">
      <c r="A1036" s="499">
        <v>62864.0</v>
      </c>
    </row>
    <row r="1037">
      <c r="A1037" s="499">
        <v>62866.0</v>
      </c>
    </row>
    <row r="1038">
      <c r="A1038" s="499">
        <v>62867.0</v>
      </c>
    </row>
    <row r="1039">
      <c r="A1039" s="499">
        <v>62868.0</v>
      </c>
    </row>
    <row r="1040">
      <c r="A1040" s="499">
        <v>62869.0</v>
      </c>
    </row>
    <row r="1041">
      <c r="A1041" s="499">
        <v>62890.0</v>
      </c>
    </row>
    <row r="1042">
      <c r="A1042" s="499">
        <v>62892.0</v>
      </c>
    </row>
    <row r="1043">
      <c r="A1043" s="499">
        <v>62894.0</v>
      </c>
    </row>
    <row r="1044">
      <c r="A1044" s="499">
        <v>62939.0</v>
      </c>
    </row>
    <row r="1045">
      <c r="A1045" s="499">
        <v>63070.0</v>
      </c>
    </row>
    <row r="1046">
      <c r="A1046" s="499">
        <v>63078.0</v>
      </c>
    </row>
    <row r="1047">
      <c r="A1047" s="499">
        <v>63080.0</v>
      </c>
    </row>
    <row r="1048">
      <c r="A1048" s="499">
        <v>63128.0</v>
      </c>
    </row>
    <row r="1049">
      <c r="A1049" s="499">
        <v>63129.0</v>
      </c>
    </row>
    <row r="1050">
      <c r="A1050" s="499">
        <v>63151.0</v>
      </c>
    </row>
    <row r="1051">
      <c r="A1051" s="499">
        <v>63228.0</v>
      </c>
    </row>
    <row r="1052">
      <c r="A1052" s="499">
        <v>63229.0</v>
      </c>
    </row>
    <row r="1053">
      <c r="A1053" s="499">
        <v>63235.0</v>
      </c>
    </row>
    <row r="1054">
      <c r="A1054" s="499">
        <v>63241.0</v>
      </c>
    </row>
    <row r="1055">
      <c r="A1055" s="499">
        <v>63260.0</v>
      </c>
    </row>
    <row r="1056">
      <c r="A1056" s="499">
        <v>63280.0</v>
      </c>
    </row>
    <row r="1057">
      <c r="A1057" s="499">
        <v>63314.0</v>
      </c>
    </row>
    <row r="1058">
      <c r="A1058" s="499">
        <v>63413.0</v>
      </c>
    </row>
    <row r="1059">
      <c r="A1059" s="499">
        <v>63414.0</v>
      </c>
    </row>
    <row r="1060">
      <c r="A1060" s="499">
        <v>63450.0</v>
      </c>
    </row>
    <row r="1061">
      <c r="A1061" s="499">
        <v>63451.0</v>
      </c>
    </row>
    <row r="1062">
      <c r="A1062" s="499">
        <v>63460.0</v>
      </c>
    </row>
    <row r="1063">
      <c r="A1063" s="499">
        <v>63469.0</v>
      </c>
    </row>
    <row r="1064">
      <c r="A1064" s="499">
        <v>63480.0</v>
      </c>
    </row>
    <row r="1065">
      <c r="A1065" s="499">
        <v>63510.0</v>
      </c>
    </row>
    <row r="1066">
      <c r="A1066" s="499">
        <v>63527.0</v>
      </c>
    </row>
    <row r="1067">
      <c r="A1067" s="499">
        <v>63550.0</v>
      </c>
    </row>
    <row r="1068">
      <c r="A1068" s="499">
        <v>63580.0</v>
      </c>
    </row>
    <row r="1069">
      <c r="A1069" s="499">
        <v>63610.0</v>
      </c>
    </row>
    <row r="1070">
      <c r="A1070" s="499">
        <v>63621.0</v>
      </c>
    </row>
    <row r="1071">
      <c r="A1071" s="499">
        <v>63650.0</v>
      </c>
    </row>
    <row r="1072">
      <c r="A1072" s="499">
        <v>63651.0</v>
      </c>
    </row>
    <row r="1073">
      <c r="A1073" s="499">
        <v>63652.0</v>
      </c>
    </row>
    <row r="1074">
      <c r="A1074" s="499">
        <v>63653.0</v>
      </c>
    </row>
    <row r="1075">
      <c r="A1075" s="499">
        <v>63654.0</v>
      </c>
    </row>
    <row r="1076">
      <c r="A1076" s="499">
        <v>63672.0</v>
      </c>
    </row>
    <row r="1077">
      <c r="A1077" s="499">
        <v>63673.0</v>
      </c>
    </row>
    <row r="1078">
      <c r="A1078" s="499">
        <v>63675.0</v>
      </c>
    </row>
    <row r="1079">
      <c r="A1079" s="499">
        <v>63677.0</v>
      </c>
    </row>
    <row r="1080">
      <c r="A1080" s="499">
        <v>63678.0</v>
      </c>
    </row>
    <row r="1081">
      <c r="A1081" s="499">
        <v>63681.0</v>
      </c>
    </row>
    <row r="1082">
      <c r="A1082" s="499">
        <v>63741.0</v>
      </c>
    </row>
    <row r="1083">
      <c r="A1083" s="499">
        <v>63750.0</v>
      </c>
    </row>
    <row r="1084">
      <c r="A1084" s="499">
        <v>63771.0</v>
      </c>
    </row>
    <row r="1085">
      <c r="A1085" s="499">
        <v>63782.0</v>
      </c>
    </row>
    <row r="1086">
      <c r="A1086" s="499">
        <v>63783.0</v>
      </c>
    </row>
    <row r="1087">
      <c r="A1087" s="499">
        <v>63786.0</v>
      </c>
    </row>
    <row r="1088">
      <c r="A1088" s="499">
        <v>63794.0</v>
      </c>
    </row>
    <row r="1089">
      <c r="A1089" s="499">
        <v>63796.0</v>
      </c>
    </row>
    <row r="1090">
      <c r="A1090" s="499">
        <v>63900.0</v>
      </c>
    </row>
    <row r="1091">
      <c r="A1091" s="499">
        <v>63901.0</v>
      </c>
    </row>
    <row r="1092">
      <c r="A1092" s="499">
        <v>63920.0</v>
      </c>
    </row>
    <row r="1093">
      <c r="A1093" s="499">
        <v>63940.0</v>
      </c>
    </row>
    <row r="1094">
      <c r="A1094" s="499">
        <v>63941.0</v>
      </c>
    </row>
    <row r="1095">
      <c r="A1095" s="499">
        <v>63951.0</v>
      </c>
    </row>
    <row r="1096">
      <c r="A1096" s="499">
        <v>63980.0</v>
      </c>
    </row>
    <row r="1097">
      <c r="A1097" s="499">
        <v>63990.0</v>
      </c>
    </row>
    <row r="1098">
      <c r="A1098" s="499">
        <v>64031.0</v>
      </c>
    </row>
    <row r="1099">
      <c r="A1099" s="499">
        <v>64040.0</v>
      </c>
    </row>
    <row r="1100">
      <c r="A1100" s="499">
        <v>64051.0</v>
      </c>
    </row>
    <row r="1101">
      <c r="A1101" s="499">
        <v>64133.0</v>
      </c>
    </row>
    <row r="1102">
      <c r="A1102" s="499">
        <v>64210.0</v>
      </c>
    </row>
    <row r="1103">
      <c r="A1103" s="499">
        <v>64212.0</v>
      </c>
    </row>
    <row r="1104">
      <c r="A1104" s="499">
        <v>64232.0</v>
      </c>
    </row>
    <row r="1105">
      <c r="A1105" s="499">
        <v>64233.0</v>
      </c>
    </row>
    <row r="1106">
      <c r="A1106" s="499">
        <v>64290.0</v>
      </c>
    </row>
    <row r="1107">
      <c r="A1107" s="499">
        <v>64301.0</v>
      </c>
    </row>
    <row r="1108">
      <c r="A1108" s="499">
        <v>64360.0</v>
      </c>
    </row>
    <row r="1109">
      <c r="A1109" s="499">
        <v>64389.0</v>
      </c>
    </row>
    <row r="1110">
      <c r="A1110" s="499">
        <v>64402.0</v>
      </c>
    </row>
    <row r="1111">
      <c r="A1111" s="499">
        <v>64436.0</v>
      </c>
    </row>
    <row r="1112">
      <c r="A1112" s="499">
        <v>64438.0</v>
      </c>
    </row>
    <row r="1113">
      <c r="A1113" s="499">
        <v>64476.0</v>
      </c>
    </row>
    <row r="1114">
      <c r="A1114" s="499">
        <v>64477.0</v>
      </c>
    </row>
    <row r="1115">
      <c r="A1115" s="499">
        <v>64531.0</v>
      </c>
    </row>
    <row r="1116">
      <c r="A1116" s="499">
        <v>64563.0</v>
      </c>
    </row>
    <row r="1117">
      <c r="A1117" s="499">
        <v>64630.0</v>
      </c>
    </row>
    <row r="1118">
      <c r="A1118" s="499">
        <v>64785.0</v>
      </c>
    </row>
    <row r="1119">
      <c r="A1119" s="499">
        <v>64798.0</v>
      </c>
    </row>
    <row r="1120">
      <c r="A1120" s="499">
        <v>64810.0</v>
      </c>
    </row>
    <row r="1121">
      <c r="A1121" s="499">
        <v>64830.0</v>
      </c>
    </row>
    <row r="1122">
      <c r="A1122" s="499">
        <v>64840.0</v>
      </c>
    </row>
    <row r="1123">
      <c r="A1123" s="499">
        <v>64842.0</v>
      </c>
    </row>
    <row r="1124">
      <c r="A1124" s="499">
        <v>64900.0</v>
      </c>
    </row>
    <row r="1125">
      <c r="A1125" s="499">
        <v>64901.0</v>
      </c>
    </row>
    <row r="1126">
      <c r="A1126" s="499">
        <v>64913.0</v>
      </c>
    </row>
    <row r="1127">
      <c r="A1127" s="499">
        <v>64920.0</v>
      </c>
    </row>
    <row r="1128">
      <c r="A1128" s="499">
        <v>64931.0</v>
      </c>
    </row>
    <row r="1129">
      <c r="A1129" s="499">
        <v>64998.0</v>
      </c>
    </row>
    <row r="1130">
      <c r="A1130" s="499">
        <v>64999.0</v>
      </c>
    </row>
    <row r="1131">
      <c r="A1131" s="499">
        <v>65006.0</v>
      </c>
    </row>
    <row r="1132">
      <c r="A1132" s="499">
        <v>65007.0</v>
      </c>
    </row>
    <row r="1133">
      <c r="A1133" s="499">
        <v>65052.0</v>
      </c>
    </row>
    <row r="1134">
      <c r="A1134" s="499">
        <v>65053.0</v>
      </c>
    </row>
    <row r="1135">
      <c r="A1135" s="499">
        <v>65054.0</v>
      </c>
    </row>
    <row r="1136">
      <c r="A1136" s="499">
        <v>65055.0</v>
      </c>
    </row>
    <row r="1137">
      <c r="A1137" s="499">
        <v>65056.0</v>
      </c>
    </row>
    <row r="1138">
      <c r="A1138" s="499">
        <v>65080.0</v>
      </c>
    </row>
    <row r="1139">
      <c r="A1139" s="499">
        <v>65083.0</v>
      </c>
    </row>
    <row r="1140">
      <c r="A1140" s="499">
        <v>65166.0</v>
      </c>
    </row>
    <row r="1141">
      <c r="A1141" s="499">
        <v>65281.0</v>
      </c>
    </row>
    <row r="1142">
      <c r="A1142" s="499">
        <v>65286.0</v>
      </c>
    </row>
    <row r="1143">
      <c r="A1143" s="499">
        <v>65287.0</v>
      </c>
    </row>
    <row r="1144">
      <c r="A1144" s="499">
        <v>65340.0</v>
      </c>
    </row>
    <row r="1145">
      <c r="A1145" s="499">
        <v>65342.0</v>
      </c>
    </row>
    <row r="1146">
      <c r="A1146" s="499">
        <v>65351.0</v>
      </c>
    </row>
    <row r="1147">
      <c r="A1147" s="499">
        <v>65352.0</v>
      </c>
    </row>
    <row r="1148">
      <c r="A1148" s="499">
        <v>65353.0</v>
      </c>
    </row>
    <row r="1149">
      <c r="A1149" s="499">
        <v>65355.0</v>
      </c>
    </row>
    <row r="1150">
      <c r="A1150" s="499">
        <v>65356.0</v>
      </c>
    </row>
    <row r="1151">
      <c r="A1151" s="499">
        <v>65382.0</v>
      </c>
    </row>
    <row r="1152">
      <c r="A1152" s="499">
        <v>65391.0</v>
      </c>
    </row>
    <row r="1153">
      <c r="A1153" s="499">
        <v>65392.0</v>
      </c>
    </row>
    <row r="1154">
      <c r="A1154" s="499">
        <v>65393.0</v>
      </c>
    </row>
    <row r="1155">
      <c r="A1155" s="499">
        <v>65394.0</v>
      </c>
    </row>
    <row r="1156">
      <c r="A1156" s="499">
        <v>65401.0</v>
      </c>
    </row>
    <row r="1157">
      <c r="A1157" s="499">
        <v>65402.0</v>
      </c>
    </row>
    <row r="1158">
      <c r="A1158" s="499">
        <v>65418.0</v>
      </c>
    </row>
    <row r="1159">
      <c r="A1159" s="499">
        <v>65419.0</v>
      </c>
    </row>
    <row r="1160">
      <c r="A1160" s="499">
        <v>65447.0</v>
      </c>
    </row>
    <row r="1161">
      <c r="A1161" s="499">
        <v>65449.0</v>
      </c>
    </row>
    <row r="1162">
      <c r="A1162" s="499">
        <v>65451.0</v>
      </c>
    </row>
    <row r="1163">
      <c r="A1163" s="499">
        <v>65452.0</v>
      </c>
    </row>
    <row r="1164">
      <c r="A1164" s="499">
        <v>65472.0</v>
      </c>
    </row>
    <row r="1165">
      <c r="A1165" s="499">
        <v>65474.0</v>
      </c>
    </row>
    <row r="1166">
      <c r="A1166" s="499">
        <v>65475.0</v>
      </c>
    </row>
    <row r="1167">
      <c r="A1167" s="499">
        <v>65476.0</v>
      </c>
    </row>
    <row r="1168">
      <c r="A1168" s="499">
        <v>65477.0</v>
      </c>
    </row>
    <row r="1169">
      <c r="A1169" s="499">
        <v>65478.0</v>
      </c>
    </row>
    <row r="1170">
      <c r="A1170" s="499">
        <v>65479.0</v>
      </c>
    </row>
    <row r="1171">
      <c r="A1171" s="499">
        <v>65521.0</v>
      </c>
    </row>
    <row r="1172">
      <c r="A1172" s="499">
        <v>65522.0</v>
      </c>
    </row>
    <row r="1173">
      <c r="A1173" s="499">
        <v>65523.0</v>
      </c>
    </row>
    <row r="1174">
      <c r="A1174" s="499">
        <v>65524.0</v>
      </c>
    </row>
    <row r="1175">
      <c r="A1175" s="499">
        <v>65528.0</v>
      </c>
    </row>
    <row r="1176">
      <c r="A1176" s="499">
        <v>65531.0</v>
      </c>
    </row>
    <row r="1177">
      <c r="A1177" s="499">
        <v>65571.0</v>
      </c>
    </row>
    <row r="1178">
      <c r="A1178" s="499">
        <v>65700.0</v>
      </c>
    </row>
    <row r="1179">
      <c r="A1179" s="499">
        <v>65751.0</v>
      </c>
    </row>
    <row r="1180">
      <c r="A1180" s="499">
        <v>65752.0</v>
      </c>
    </row>
    <row r="1181">
      <c r="A1181" s="499">
        <v>65753.0</v>
      </c>
    </row>
    <row r="1182">
      <c r="A1182" s="499">
        <v>65754.0</v>
      </c>
    </row>
    <row r="1183">
      <c r="A1183" s="499">
        <v>65757.0</v>
      </c>
    </row>
    <row r="1184">
      <c r="A1184" s="499">
        <v>65759.0</v>
      </c>
    </row>
    <row r="1185">
      <c r="A1185" s="499">
        <v>65780.0</v>
      </c>
    </row>
    <row r="1186">
      <c r="A1186" s="499">
        <v>65781.0</v>
      </c>
    </row>
    <row r="1187">
      <c r="A1187" s="499">
        <v>65782.0</v>
      </c>
    </row>
    <row r="1188">
      <c r="A1188" s="499">
        <v>65820.0</v>
      </c>
    </row>
    <row r="1189">
      <c r="A1189" s="499">
        <v>65821.0</v>
      </c>
    </row>
    <row r="1190">
      <c r="A1190" s="499">
        <v>65822.0</v>
      </c>
    </row>
    <row r="1191">
      <c r="A1191" s="499">
        <v>65830.0</v>
      </c>
    </row>
    <row r="1192">
      <c r="A1192" s="499">
        <v>65831.0</v>
      </c>
    </row>
    <row r="1193">
      <c r="A1193" s="499">
        <v>65832.0</v>
      </c>
    </row>
    <row r="1194">
      <c r="A1194" s="499">
        <v>65833.0</v>
      </c>
    </row>
    <row r="1195">
      <c r="A1195" s="499">
        <v>65834.0</v>
      </c>
    </row>
    <row r="1196">
      <c r="A1196" s="499">
        <v>65835.0</v>
      </c>
    </row>
    <row r="1197">
      <c r="A1197" s="499">
        <v>65836.0</v>
      </c>
    </row>
    <row r="1198">
      <c r="A1198" s="499">
        <v>65837.0</v>
      </c>
    </row>
    <row r="1199">
      <c r="A1199" s="499">
        <v>65838.0</v>
      </c>
    </row>
    <row r="1200">
      <c r="A1200" s="499">
        <v>65839.0</v>
      </c>
    </row>
    <row r="1201">
      <c r="A1201" s="499">
        <v>65840.0</v>
      </c>
    </row>
    <row r="1202">
      <c r="A1202" s="499">
        <v>65891.0</v>
      </c>
    </row>
    <row r="1203">
      <c r="A1203" s="499">
        <v>65922.0</v>
      </c>
    </row>
    <row r="1204">
      <c r="A1204" s="499">
        <v>65923.0</v>
      </c>
    </row>
    <row r="1205">
      <c r="A1205" s="499">
        <v>65924.0</v>
      </c>
    </row>
    <row r="1206">
      <c r="A1206" s="499">
        <v>65926.0</v>
      </c>
    </row>
    <row r="1207">
      <c r="A1207" s="499">
        <v>65961.0</v>
      </c>
    </row>
    <row r="1208">
      <c r="A1208" s="499">
        <v>66022.0</v>
      </c>
    </row>
    <row r="1209">
      <c r="A1209" s="499">
        <v>66023.0</v>
      </c>
    </row>
    <row r="1210">
      <c r="A1210" s="499">
        <v>66029.0</v>
      </c>
    </row>
    <row r="1211">
      <c r="A1211" s="499">
        <v>66090.0</v>
      </c>
    </row>
    <row r="1212">
      <c r="A1212" s="499">
        <v>66091.0</v>
      </c>
    </row>
    <row r="1213">
      <c r="A1213" s="499">
        <v>66110.0</v>
      </c>
    </row>
    <row r="1214">
      <c r="A1214" s="499">
        <v>66112.0</v>
      </c>
    </row>
    <row r="1215">
      <c r="A1215" s="499">
        <v>66113.0</v>
      </c>
    </row>
    <row r="1216">
      <c r="A1216" s="499">
        <v>66114.0</v>
      </c>
    </row>
    <row r="1217">
      <c r="A1217" s="499">
        <v>66115.0</v>
      </c>
    </row>
    <row r="1218">
      <c r="A1218" s="499">
        <v>66150.0</v>
      </c>
    </row>
    <row r="1219">
      <c r="A1219" s="499">
        <v>66161.0</v>
      </c>
    </row>
    <row r="1220">
      <c r="A1220" s="499">
        <v>66180.0</v>
      </c>
    </row>
    <row r="1221">
      <c r="A1221" s="499">
        <v>66181.0</v>
      </c>
    </row>
    <row r="1222">
      <c r="A1222" s="499">
        <v>66262.0</v>
      </c>
    </row>
    <row r="1223">
      <c r="A1223" s="499">
        <v>66320.0</v>
      </c>
    </row>
    <row r="1224">
      <c r="A1224" s="499">
        <v>66321.0</v>
      </c>
    </row>
    <row r="1225">
      <c r="A1225" s="499">
        <v>66322.0</v>
      </c>
    </row>
    <row r="1226">
      <c r="A1226" s="499">
        <v>66340.0</v>
      </c>
    </row>
    <row r="1227">
      <c r="A1227" s="499">
        <v>66491.0</v>
      </c>
    </row>
    <row r="1228">
      <c r="A1228" s="499">
        <v>66492.0</v>
      </c>
    </row>
    <row r="1229">
      <c r="A1229" s="499">
        <v>66493.0</v>
      </c>
    </row>
    <row r="1230">
      <c r="A1230" s="499">
        <v>66494.0</v>
      </c>
    </row>
    <row r="1231">
      <c r="A1231" s="499">
        <v>66495.0</v>
      </c>
    </row>
    <row r="1232">
      <c r="A1232" s="499">
        <v>66496.0</v>
      </c>
    </row>
    <row r="1233">
      <c r="A1233" s="499">
        <v>66497.0</v>
      </c>
    </row>
    <row r="1234">
      <c r="A1234" s="499">
        <v>66565.0</v>
      </c>
    </row>
    <row r="1235">
      <c r="A1235" s="499">
        <v>66566.0</v>
      </c>
    </row>
    <row r="1236">
      <c r="A1236" s="499">
        <v>66568.0</v>
      </c>
    </row>
    <row r="1237">
      <c r="A1237" s="499">
        <v>66582.0</v>
      </c>
    </row>
    <row r="1238">
      <c r="A1238" s="499">
        <v>66600.0</v>
      </c>
    </row>
    <row r="1239">
      <c r="A1239" s="499">
        <v>66653.0</v>
      </c>
    </row>
    <row r="1240">
      <c r="A1240" s="499">
        <v>66797.0</v>
      </c>
    </row>
    <row r="1241">
      <c r="A1241" s="499">
        <v>66799.0</v>
      </c>
    </row>
    <row r="1242">
      <c r="A1242" s="499">
        <v>66810.0</v>
      </c>
    </row>
    <row r="1243">
      <c r="A1243" s="499">
        <v>66821.0</v>
      </c>
    </row>
    <row r="1244">
      <c r="A1244" s="499">
        <v>66822.0</v>
      </c>
    </row>
    <row r="1245">
      <c r="A1245" s="499">
        <v>66823.0</v>
      </c>
    </row>
    <row r="1246">
      <c r="A1246" s="499">
        <v>66824.0</v>
      </c>
    </row>
    <row r="1247">
      <c r="A1247" s="499">
        <v>66850.0</v>
      </c>
    </row>
    <row r="1248">
      <c r="A1248" s="499">
        <v>66851.0</v>
      </c>
    </row>
    <row r="1249">
      <c r="A1249" s="499">
        <v>66860.0</v>
      </c>
    </row>
    <row r="1250">
      <c r="A1250" s="499">
        <v>66866.0</v>
      </c>
    </row>
    <row r="1251">
      <c r="A1251" s="499">
        <v>66920.0</v>
      </c>
    </row>
    <row r="1252">
      <c r="A1252" s="499">
        <v>66950.0</v>
      </c>
    </row>
    <row r="1253">
      <c r="A1253" s="499">
        <v>66951.0</v>
      </c>
    </row>
    <row r="1254">
      <c r="A1254" s="499">
        <v>66993.0</v>
      </c>
    </row>
    <row r="1255">
      <c r="A1255" s="499">
        <v>67100.0</v>
      </c>
    </row>
    <row r="1256">
      <c r="A1256" s="499">
        <v>67140.0</v>
      </c>
    </row>
    <row r="1257">
      <c r="A1257" s="499">
        <v>67220.0</v>
      </c>
    </row>
    <row r="1258">
      <c r="A1258" s="499">
        <v>67221.0</v>
      </c>
    </row>
    <row r="1259">
      <c r="A1259" s="499">
        <v>67222.0</v>
      </c>
    </row>
    <row r="1260">
      <c r="A1260" s="499">
        <v>67223.0</v>
      </c>
    </row>
    <row r="1261">
      <c r="A1261" s="499">
        <v>67346.0</v>
      </c>
    </row>
    <row r="1262">
      <c r="A1262" s="499">
        <v>67347.0</v>
      </c>
    </row>
    <row r="1263">
      <c r="A1263" s="499">
        <v>67348.0</v>
      </c>
    </row>
    <row r="1264">
      <c r="A1264" s="499">
        <v>67404.0</v>
      </c>
    </row>
    <row r="1265">
      <c r="A1265" s="499">
        <v>67405.0</v>
      </c>
    </row>
    <row r="1266">
      <c r="A1266" s="499">
        <v>67406.0</v>
      </c>
    </row>
    <row r="1267">
      <c r="A1267" s="499">
        <v>67407.0</v>
      </c>
    </row>
    <row r="1268">
      <c r="A1268" s="499">
        <v>67410.0</v>
      </c>
    </row>
    <row r="1269">
      <c r="A1269" s="499">
        <v>67770.0</v>
      </c>
    </row>
    <row r="1270">
      <c r="A1270" s="499">
        <v>68010.0</v>
      </c>
    </row>
    <row r="1271">
      <c r="A1271" s="499">
        <v>68100.0</v>
      </c>
    </row>
    <row r="1272">
      <c r="A1272" s="499">
        <v>68102.0</v>
      </c>
    </row>
    <row r="1273">
      <c r="A1273" s="499">
        <v>160022.0</v>
      </c>
    </row>
    <row r="1274">
      <c r="A1274" s="499">
        <v>390284.0</v>
      </c>
    </row>
    <row r="1275">
      <c r="A1275" s="499">
        <v>390285.0</v>
      </c>
    </row>
    <row r="1276">
      <c r="A1276" s="499" t="s">
        <v>7791</v>
      </c>
    </row>
    <row r="1277">
      <c r="A1277" s="499" t="s">
        <v>7792</v>
      </c>
    </row>
    <row r="1278">
      <c r="A1278" s="499" t="s">
        <v>7793</v>
      </c>
    </row>
    <row r="1279">
      <c r="A1279" s="499" t="s">
        <v>7794</v>
      </c>
    </row>
    <row r="1280">
      <c r="A1280" s="499" t="s">
        <v>7795</v>
      </c>
    </row>
    <row r="1281">
      <c r="A1281" s="499" t="s">
        <v>7796</v>
      </c>
    </row>
    <row r="1282">
      <c r="A1282" s="499" t="s">
        <v>7797</v>
      </c>
    </row>
    <row r="1283">
      <c r="A1283" s="499" t="s">
        <v>7798</v>
      </c>
    </row>
    <row r="1284">
      <c r="A1284" s="499" t="s">
        <v>7799</v>
      </c>
    </row>
    <row r="1285">
      <c r="A1285" s="499" t="s">
        <v>7800</v>
      </c>
    </row>
    <row r="1286">
      <c r="A1286" s="499" t="s">
        <v>7801</v>
      </c>
    </row>
    <row r="1287">
      <c r="A1287" s="499" t="s">
        <v>7802</v>
      </c>
    </row>
    <row r="1288">
      <c r="A1288" s="499" t="s">
        <v>7803</v>
      </c>
    </row>
    <row r="1289">
      <c r="A1289" s="499" t="s">
        <v>7804</v>
      </c>
    </row>
    <row r="1290">
      <c r="A1290" s="499" t="s">
        <v>7805</v>
      </c>
    </row>
    <row r="1291">
      <c r="A1291" s="499" t="s">
        <v>7806</v>
      </c>
    </row>
    <row r="1292">
      <c r="A1292" s="499" t="s">
        <v>7807</v>
      </c>
    </row>
    <row r="1293">
      <c r="A1293" s="499" t="s">
        <v>7808</v>
      </c>
    </row>
    <row r="1294">
      <c r="A1294" s="499" t="s">
        <v>7809</v>
      </c>
    </row>
    <row r="1295">
      <c r="A1295" s="499" t="s">
        <v>7810</v>
      </c>
    </row>
    <row r="1296">
      <c r="A1296" s="499" t="s">
        <v>7811</v>
      </c>
    </row>
    <row r="1297">
      <c r="A1297" s="499" t="s">
        <v>7812</v>
      </c>
    </row>
    <row r="1298">
      <c r="A1298" s="499" t="s">
        <v>7813</v>
      </c>
    </row>
    <row r="1299">
      <c r="A1299" s="499" t="s">
        <v>7814</v>
      </c>
    </row>
    <row r="1300">
      <c r="A1300" s="499" t="s">
        <v>7815</v>
      </c>
    </row>
    <row r="1301">
      <c r="A1301" s="499" t="s">
        <v>7816</v>
      </c>
    </row>
    <row r="1302">
      <c r="A1302" s="499" t="s">
        <v>7817</v>
      </c>
    </row>
    <row r="1303">
      <c r="A1303" s="499" t="s">
        <v>7818</v>
      </c>
    </row>
    <row r="1304">
      <c r="A1304" s="499" t="s">
        <v>7819</v>
      </c>
    </row>
    <row r="1305">
      <c r="A1305" s="499" t="s">
        <v>7820</v>
      </c>
    </row>
    <row r="1306">
      <c r="A1306" s="499" t="s">
        <v>7821</v>
      </c>
    </row>
    <row r="1307">
      <c r="A1307" s="499" t="s">
        <v>7822</v>
      </c>
    </row>
    <row r="1308">
      <c r="A1308" s="499" t="s">
        <v>7823</v>
      </c>
    </row>
    <row r="1309">
      <c r="A1309" s="499" t="s">
        <v>7824</v>
      </c>
    </row>
    <row r="1310">
      <c r="A1310" s="499" t="s">
        <v>7825</v>
      </c>
    </row>
    <row r="1311">
      <c r="A1311" s="499" t="s">
        <v>7826</v>
      </c>
    </row>
    <row r="1312">
      <c r="A1312" s="499" t="s">
        <v>7827</v>
      </c>
    </row>
    <row r="1313">
      <c r="A1313" s="499" t="s">
        <v>7828</v>
      </c>
    </row>
    <row r="1314">
      <c r="A1314" s="499" t="s">
        <v>7829</v>
      </c>
    </row>
    <row r="1315">
      <c r="A1315" s="499" t="s">
        <v>7830</v>
      </c>
    </row>
    <row r="1316">
      <c r="A1316" s="499" t="s">
        <v>7831</v>
      </c>
    </row>
    <row r="1317">
      <c r="A1317" s="499" t="s">
        <v>7832</v>
      </c>
    </row>
    <row r="1318">
      <c r="A1318" s="499" t="s">
        <v>7833</v>
      </c>
    </row>
    <row r="1319">
      <c r="A1319" s="499" t="s">
        <v>7834</v>
      </c>
    </row>
    <row r="1320">
      <c r="A1320" s="499" t="s">
        <v>7835</v>
      </c>
    </row>
    <row r="1321">
      <c r="A1321" s="499" t="s">
        <v>7836</v>
      </c>
    </row>
    <row r="1322">
      <c r="A1322" s="499" t="s">
        <v>7837</v>
      </c>
    </row>
    <row r="1323">
      <c r="A1323" s="499" t="s">
        <v>7838</v>
      </c>
    </row>
    <row r="1324">
      <c r="A1324" s="499" t="s">
        <v>7839</v>
      </c>
    </row>
    <row r="1325">
      <c r="A1325" s="499" t="s">
        <v>7840</v>
      </c>
    </row>
    <row r="1326">
      <c r="A1326" s="499" t="s">
        <v>7841</v>
      </c>
    </row>
    <row r="1327">
      <c r="A1327" s="499" t="s">
        <v>7842</v>
      </c>
    </row>
    <row r="1328">
      <c r="A1328" s="499" t="s">
        <v>7843</v>
      </c>
    </row>
    <row r="1329">
      <c r="A1329" s="499" t="s">
        <v>7844</v>
      </c>
    </row>
    <row r="1330">
      <c r="A1330" s="499" t="s">
        <v>7845</v>
      </c>
    </row>
    <row r="1331">
      <c r="A1331" s="499" t="s">
        <v>7846</v>
      </c>
    </row>
    <row r="1332">
      <c r="A1332" s="499" t="s">
        <v>7847</v>
      </c>
    </row>
    <row r="1333">
      <c r="A1333" s="499" t="s">
        <v>7848</v>
      </c>
    </row>
    <row r="1334">
      <c r="A1334" s="499" t="s">
        <v>7849</v>
      </c>
    </row>
    <row r="1335">
      <c r="A1335" s="499" t="s">
        <v>7850</v>
      </c>
    </row>
    <row r="1336">
      <c r="A1336" s="499" t="s">
        <v>7851</v>
      </c>
    </row>
    <row r="1337">
      <c r="A1337" s="499" t="s">
        <v>7852</v>
      </c>
    </row>
    <row r="1338">
      <c r="A1338" s="499" t="s">
        <v>7853</v>
      </c>
    </row>
    <row r="1339">
      <c r="A1339" s="499" t="s">
        <v>7854</v>
      </c>
    </row>
    <row r="1340">
      <c r="A1340" s="499" t="s">
        <v>7855</v>
      </c>
    </row>
    <row r="1341">
      <c r="A1341" s="499" t="s">
        <v>7856</v>
      </c>
    </row>
    <row r="1342">
      <c r="A1342" s="499" t="s">
        <v>7857</v>
      </c>
    </row>
    <row r="1343">
      <c r="A1343" s="499" t="s">
        <v>7858</v>
      </c>
    </row>
    <row r="1344">
      <c r="A1344" s="499" t="s">
        <v>7859</v>
      </c>
    </row>
    <row r="1345">
      <c r="A1345" s="499" t="s">
        <v>7860</v>
      </c>
    </row>
    <row r="1346">
      <c r="A1346" s="499" t="s">
        <v>7861</v>
      </c>
    </row>
    <row r="1347">
      <c r="A1347" s="499" t="s">
        <v>7862</v>
      </c>
    </row>
    <row r="1348">
      <c r="A1348" s="499" t="s">
        <v>7863</v>
      </c>
    </row>
    <row r="1349">
      <c r="A1349" s="499" t="s">
        <v>7864</v>
      </c>
    </row>
    <row r="1350">
      <c r="A1350" s="499" t="s">
        <v>7865</v>
      </c>
    </row>
    <row r="1351">
      <c r="A1351" s="499" t="s">
        <v>7866</v>
      </c>
    </row>
    <row r="1352">
      <c r="A1352" s="499" t="s">
        <v>7867</v>
      </c>
    </row>
    <row r="1353">
      <c r="A1353" s="499" t="s">
        <v>7868</v>
      </c>
    </row>
    <row r="1354">
      <c r="A1354" s="499" t="s">
        <v>7869</v>
      </c>
    </row>
    <row r="1355">
      <c r="A1355" s="499" t="s">
        <v>7870</v>
      </c>
    </row>
    <row r="1356">
      <c r="A1356" s="499" t="s">
        <v>7871</v>
      </c>
    </row>
    <row r="1357">
      <c r="A1357" s="499" t="s">
        <v>7872</v>
      </c>
    </row>
    <row r="1358">
      <c r="A1358" s="499" t="s">
        <v>7873</v>
      </c>
    </row>
    <row r="1359">
      <c r="A1359" s="499" t="s">
        <v>7874</v>
      </c>
    </row>
    <row r="1360">
      <c r="A1360" s="499" t="s">
        <v>7875</v>
      </c>
    </row>
    <row r="1361">
      <c r="A1361" s="499" t="s">
        <v>7876</v>
      </c>
    </row>
    <row r="1362">
      <c r="A1362" s="499" t="s">
        <v>7877</v>
      </c>
    </row>
    <row r="1363">
      <c r="A1363" s="499" t="s">
        <v>7878</v>
      </c>
    </row>
    <row r="1364">
      <c r="A1364" s="499" t="s">
        <v>7879</v>
      </c>
    </row>
    <row r="1365">
      <c r="A1365" s="499" t="s">
        <v>7880</v>
      </c>
    </row>
    <row r="1366">
      <c r="A1366" s="499" t="s">
        <v>7881</v>
      </c>
    </row>
    <row r="1367">
      <c r="A1367" s="499" t="s">
        <v>7882</v>
      </c>
    </row>
    <row r="1368">
      <c r="A1368" s="499" t="s">
        <v>7883</v>
      </c>
    </row>
    <row r="1369">
      <c r="A1369" s="499" t="s">
        <v>7884</v>
      </c>
    </row>
    <row r="1370">
      <c r="A1370" s="499" t="s">
        <v>7885</v>
      </c>
    </row>
    <row r="1371">
      <c r="A1371" s="499" t="s">
        <v>7886</v>
      </c>
    </row>
    <row r="1372">
      <c r="A1372" s="499" t="s">
        <v>7887</v>
      </c>
    </row>
    <row r="1373">
      <c r="A1373" s="499" t="s">
        <v>7888</v>
      </c>
    </row>
    <row r="1374">
      <c r="A1374" s="499" t="s">
        <v>7889</v>
      </c>
    </row>
    <row r="1375">
      <c r="A1375" s="499" t="s">
        <v>7890</v>
      </c>
    </row>
    <row r="1376">
      <c r="A1376" s="499" t="s">
        <v>7891</v>
      </c>
    </row>
    <row r="1377">
      <c r="A1377" s="499" t="s">
        <v>7892</v>
      </c>
    </row>
    <row r="1378">
      <c r="A1378" s="499" t="s">
        <v>7893</v>
      </c>
    </row>
    <row r="1379">
      <c r="A1379" s="499" t="s">
        <v>7894</v>
      </c>
    </row>
    <row r="1380">
      <c r="A1380" s="499" t="s">
        <v>7895</v>
      </c>
    </row>
    <row r="1381">
      <c r="A1381" s="499" t="s">
        <v>7896</v>
      </c>
    </row>
    <row r="1382">
      <c r="A1382" s="499" t="s">
        <v>7897</v>
      </c>
    </row>
    <row r="1383">
      <c r="A1383" s="499" t="s">
        <v>7898</v>
      </c>
    </row>
    <row r="1384">
      <c r="A1384" s="499" t="s">
        <v>7899</v>
      </c>
    </row>
    <row r="1385">
      <c r="A1385" s="499" t="s">
        <v>7900</v>
      </c>
    </row>
    <row r="1386">
      <c r="A1386" s="499" t="s">
        <v>7901</v>
      </c>
    </row>
    <row r="1387">
      <c r="A1387" s="499" t="s">
        <v>7902</v>
      </c>
    </row>
    <row r="1388">
      <c r="A1388" s="499" t="s">
        <v>7903</v>
      </c>
    </row>
    <row r="1389">
      <c r="A1389" s="499" t="s">
        <v>7904</v>
      </c>
    </row>
    <row r="1390">
      <c r="A1390" s="499" t="s">
        <v>7905</v>
      </c>
    </row>
    <row r="1391">
      <c r="A1391" s="499" t="s">
        <v>7906</v>
      </c>
    </row>
    <row r="1392">
      <c r="A1392" s="499" t="s">
        <v>7907</v>
      </c>
    </row>
    <row r="1393">
      <c r="A1393" s="499" t="s">
        <v>7908</v>
      </c>
    </row>
    <row r="1394">
      <c r="A1394" s="499" t="s">
        <v>7909</v>
      </c>
    </row>
    <row r="1395">
      <c r="A1395" s="499" t="s">
        <v>7910</v>
      </c>
    </row>
    <row r="1396">
      <c r="A1396" s="499" t="s">
        <v>7911</v>
      </c>
    </row>
    <row r="1397">
      <c r="A1397" s="499" t="s">
        <v>7912</v>
      </c>
    </row>
    <row r="1398">
      <c r="A1398" s="499" t="s">
        <v>7913</v>
      </c>
    </row>
    <row r="1399">
      <c r="A1399" s="499" t="s">
        <v>7914</v>
      </c>
    </row>
    <row r="1400">
      <c r="A1400" s="499" t="s">
        <v>7915</v>
      </c>
    </row>
    <row r="1401">
      <c r="A1401" s="499" t="s">
        <v>7916</v>
      </c>
    </row>
    <row r="1402">
      <c r="A1402" s="499" t="s">
        <v>7917</v>
      </c>
    </row>
    <row r="1403">
      <c r="A1403" s="499" t="s">
        <v>7918</v>
      </c>
    </row>
    <row r="1404">
      <c r="A1404" s="499" t="s">
        <v>7919</v>
      </c>
    </row>
    <row r="1405">
      <c r="A1405" s="499" t="s">
        <v>7920</v>
      </c>
    </row>
    <row r="1406">
      <c r="A1406" s="499" t="s">
        <v>7921</v>
      </c>
    </row>
    <row r="1407">
      <c r="A1407" s="499" t="s">
        <v>7922</v>
      </c>
    </row>
    <row r="1408">
      <c r="A1408" s="499" t="s">
        <v>7923</v>
      </c>
    </row>
    <row r="1409">
      <c r="A1409" s="499" t="s">
        <v>7924</v>
      </c>
    </row>
    <row r="1410">
      <c r="A1410" s="499" t="s">
        <v>7925</v>
      </c>
    </row>
    <row r="1411">
      <c r="A1411" s="499" t="s">
        <v>7926</v>
      </c>
    </row>
    <row r="1412">
      <c r="A1412" s="499" t="s">
        <v>7927</v>
      </c>
    </row>
    <row r="1413">
      <c r="A1413" s="499" t="s">
        <v>7928</v>
      </c>
    </row>
    <row r="1414">
      <c r="A1414" s="499" t="s">
        <v>7929</v>
      </c>
    </row>
    <row r="1415">
      <c r="A1415" s="499" t="s">
        <v>7930</v>
      </c>
    </row>
    <row r="1416">
      <c r="A1416" s="499" t="s">
        <v>7931</v>
      </c>
    </row>
    <row r="1417">
      <c r="A1417" s="499" t="s">
        <v>7932</v>
      </c>
    </row>
    <row r="1418">
      <c r="A1418" s="499" t="s">
        <v>7933</v>
      </c>
    </row>
    <row r="1419">
      <c r="A1419" s="499" t="s">
        <v>7934</v>
      </c>
    </row>
    <row r="1420">
      <c r="A1420" s="499" t="s">
        <v>7935</v>
      </c>
    </row>
    <row r="1421">
      <c r="A1421" s="499" t="s">
        <v>7936</v>
      </c>
    </row>
    <row r="1422">
      <c r="A1422" s="499" t="s">
        <v>7937</v>
      </c>
    </row>
    <row r="1423">
      <c r="A1423" s="499" t="s">
        <v>7938</v>
      </c>
    </row>
    <row r="1424">
      <c r="A1424" s="499" t="s">
        <v>7939</v>
      </c>
    </row>
    <row r="1425">
      <c r="A1425" s="499" t="s">
        <v>7940</v>
      </c>
    </row>
    <row r="1426">
      <c r="A1426" s="499" t="s">
        <v>7941</v>
      </c>
    </row>
    <row r="1427">
      <c r="A1427" s="499" t="s">
        <v>7942</v>
      </c>
    </row>
    <row r="1428">
      <c r="A1428" s="499" t="s">
        <v>7943</v>
      </c>
    </row>
    <row r="1429">
      <c r="A1429" s="499" t="s">
        <v>7944</v>
      </c>
    </row>
    <row r="1430">
      <c r="A1430" s="499" t="s">
        <v>7945</v>
      </c>
    </row>
    <row r="1431">
      <c r="A1431" s="499" t="s">
        <v>7946</v>
      </c>
    </row>
    <row r="1432">
      <c r="A1432" s="499" t="s">
        <v>7947</v>
      </c>
    </row>
    <row r="1433">
      <c r="A1433" s="499" t="s">
        <v>7948</v>
      </c>
    </row>
    <row r="1434">
      <c r="A1434" s="499" t="s">
        <v>7949</v>
      </c>
    </row>
    <row r="1435">
      <c r="A1435" s="499" t="s">
        <v>7950</v>
      </c>
    </row>
    <row r="1436">
      <c r="A1436" s="499" t="s">
        <v>7951</v>
      </c>
    </row>
    <row r="1437">
      <c r="A1437" s="499" t="s">
        <v>7952</v>
      </c>
    </row>
    <row r="1438">
      <c r="A1438" s="499" t="s">
        <v>7953</v>
      </c>
    </row>
    <row r="1439">
      <c r="A1439" s="499" t="s">
        <v>7954</v>
      </c>
    </row>
    <row r="1440">
      <c r="A1440" s="499" t="s">
        <v>7955</v>
      </c>
    </row>
    <row r="1441">
      <c r="A1441" s="499" t="s">
        <v>7956</v>
      </c>
    </row>
    <row r="1442">
      <c r="A1442" s="499" t="s">
        <v>7957</v>
      </c>
    </row>
    <row r="1443">
      <c r="A1443" s="499" t="s">
        <v>7958</v>
      </c>
    </row>
    <row r="1444">
      <c r="A1444" s="499" t="s">
        <v>7959</v>
      </c>
    </row>
    <row r="1445">
      <c r="A1445" s="499" t="s">
        <v>7960</v>
      </c>
    </row>
    <row r="1446">
      <c r="A1446" s="499" t="s">
        <v>7961</v>
      </c>
    </row>
    <row r="1447">
      <c r="A1447" s="499" t="s">
        <v>7962</v>
      </c>
    </row>
    <row r="1448">
      <c r="A1448" s="499" t="s">
        <v>7963</v>
      </c>
    </row>
    <row r="1449">
      <c r="A1449" s="499" t="s">
        <v>7964</v>
      </c>
    </row>
    <row r="1450">
      <c r="A1450" s="499" t="s">
        <v>7965</v>
      </c>
    </row>
    <row r="1451">
      <c r="A1451" s="499" t="s">
        <v>7966</v>
      </c>
    </row>
    <row r="1452">
      <c r="A1452" s="499" t="s">
        <v>7967</v>
      </c>
    </row>
    <row r="1453">
      <c r="A1453" s="499" t="s">
        <v>7968</v>
      </c>
    </row>
    <row r="1454">
      <c r="A1454" s="499" t="s">
        <v>7969</v>
      </c>
    </row>
    <row r="1455">
      <c r="A1455" s="499" t="s">
        <v>7970</v>
      </c>
    </row>
    <row r="1456">
      <c r="A1456" s="499" t="s">
        <v>7971</v>
      </c>
    </row>
    <row r="1457">
      <c r="A1457" s="499" t="s">
        <v>7972</v>
      </c>
    </row>
    <row r="1458">
      <c r="A1458" s="499" t="s">
        <v>7973</v>
      </c>
    </row>
    <row r="1459">
      <c r="A1459" s="499" t="s">
        <v>7974</v>
      </c>
    </row>
    <row r="1460">
      <c r="A1460" s="499" t="s">
        <v>7975</v>
      </c>
    </row>
    <row r="1461">
      <c r="A1461" s="499" t="s">
        <v>7976</v>
      </c>
    </row>
    <row r="1462">
      <c r="A1462" s="499" t="s">
        <v>7977</v>
      </c>
    </row>
    <row r="1463">
      <c r="A1463" s="499" t="s">
        <v>7978</v>
      </c>
    </row>
    <row r="1464">
      <c r="A1464" s="499" t="s">
        <v>7979</v>
      </c>
    </row>
    <row r="1465">
      <c r="A1465" s="499" t="s">
        <v>7980</v>
      </c>
    </row>
    <row r="1466">
      <c r="A1466" s="499" t="s">
        <v>7981</v>
      </c>
    </row>
    <row r="1467">
      <c r="A1467" s="499" t="s">
        <v>7982</v>
      </c>
    </row>
    <row r="1468">
      <c r="A1468" s="499" t="s">
        <v>7983</v>
      </c>
    </row>
    <row r="1469">
      <c r="A1469" s="499" t="s">
        <v>7984</v>
      </c>
    </row>
    <row r="1470">
      <c r="A1470" s="499" t="s">
        <v>7985</v>
      </c>
    </row>
    <row r="1471">
      <c r="A1471" s="499" t="s">
        <v>7986</v>
      </c>
    </row>
    <row r="1472">
      <c r="A1472" s="499" t="s">
        <v>7987</v>
      </c>
    </row>
    <row r="1473">
      <c r="A1473" s="499" t="s">
        <v>7988</v>
      </c>
    </row>
    <row r="1474">
      <c r="A1474" s="499" t="s">
        <v>7989</v>
      </c>
    </row>
    <row r="1475">
      <c r="A1475" s="499" t="s">
        <v>7990</v>
      </c>
    </row>
    <row r="1476">
      <c r="A1476" s="499" t="s">
        <v>7991</v>
      </c>
    </row>
    <row r="1477">
      <c r="A1477" s="499" t="s">
        <v>7992</v>
      </c>
    </row>
    <row r="1478">
      <c r="A1478" s="499" t="s">
        <v>7993</v>
      </c>
    </row>
    <row r="1479">
      <c r="A1479" s="499" t="s">
        <v>7994</v>
      </c>
    </row>
    <row r="1480">
      <c r="A1480" s="499" t="s">
        <v>7995</v>
      </c>
    </row>
    <row r="1481">
      <c r="A1481" s="499" t="s">
        <v>7996</v>
      </c>
    </row>
    <row r="1482">
      <c r="A1482" s="499" t="s">
        <v>7997</v>
      </c>
    </row>
    <row r="1483">
      <c r="A1483" s="499" t="s">
        <v>7998</v>
      </c>
    </row>
    <row r="1484">
      <c r="A1484" s="499" t="s">
        <v>7999</v>
      </c>
    </row>
    <row r="1485">
      <c r="A1485" s="499" t="s">
        <v>8000</v>
      </c>
    </row>
    <row r="1486">
      <c r="A1486" s="499" t="s">
        <v>8001</v>
      </c>
    </row>
    <row r="1487">
      <c r="A1487" s="499" t="s">
        <v>8002</v>
      </c>
    </row>
    <row r="1488">
      <c r="A1488" s="499" t="s">
        <v>8003</v>
      </c>
    </row>
    <row r="1489">
      <c r="A1489" s="499" t="s">
        <v>8004</v>
      </c>
    </row>
    <row r="1490">
      <c r="A1490" s="499" t="s">
        <v>8005</v>
      </c>
    </row>
    <row r="1491">
      <c r="A1491" s="499" t="s">
        <v>8006</v>
      </c>
    </row>
    <row r="1492">
      <c r="A1492" s="499" t="s">
        <v>8007</v>
      </c>
    </row>
    <row r="1493">
      <c r="A1493" s="499" t="s">
        <v>8008</v>
      </c>
    </row>
    <row r="1494">
      <c r="A1494" s="499" t="s">
        <v>8009</v>
      </c>
    </row>
    <row r="1495">
      <c r="A1495" s="499" t="s">
        <v>8010</v>
      </c>
    </row>
    <row r="1496">
      <c r="A1496" s="499" t="s">
        <v>8011</v>
      </c>
    </row>
    <row r="1497">
      <c r="A1497" s="499" t="s">
        <v>8012</v>
      </c>
    </row>
    <row r="1498">
      <c r="A1498" s="499" t="s">
        <v>8013</v>
      </c>
    </row>
    <row r="1499">
      <c r="A1499" s="499" t="s">
        <v>8014</v>
      </c>
    </row>
    <row r="1500">
      <c r="A1500" s="499" t="s">
        <v>8015</v>
      </c>
    </row>
    <row r="1501">
      <c r="A1501" s="499" t="s">
        <v>8016</v>
      </c>
    </row>
    <row r="1502">
      <c r="A1502" s="499" t="s">
        <v>8017</v>
      </c>
    </row>
    <row r="1503">
      <c r="A1503" s="499" t="s">
        <v>8018</v>
      </c>
    </row>
    <row r="1504">
      <c r="A1504" s="499" t="s">
        <v>8019</v>
      </c>
    </row>
    <row r="1505">
      <c r="A1505" s="499" t="s">
        <v>8020</v>
      </c>
    </row>
    <row r="1506">
      <c r="A1506" s="499" t="s">
        <v>8021</v>
      </c>
    </row>
    <row r="1507">
      <c r="A1507" s="499" t="s">
        <v>8022</v>
      </c>
    </row>
    <row r="1508">
      <c r="A1508" s="499" t="s">
        <v>8023</v>
      </c>
    </row>
    <row r="1509">
      <c r="A1509" s="499" t="s">
        <v>8024</v>
      </c>
    </row>
    <row r="1510">
      <c r="A1510" s="499" t="s">
        <v>8025</v>
      </c>
    </row>
    <row r="1511">
      <c r="A1511" s="499" t="s">
        <v>8026</v>
      </c>
    </row>
    <row r="1512">
      <c r="A1512" s="499" t="s">
        <v>8027</v>
      </c>
    </row>
    <row r="1513">
      <c r="A1513" s="499" t="s">
        <v>8028</v>
      </c>
    </row>
    <row r="1514">
      <c r="A1514" s="499" t="s">
        <v>8029</v>
      </c>
    </row>
    <row r="1515">
      <c r="A1515" s="499" t="s">
        <v>8030</v>
      </c>
    </row>
    <row r="1516">
      <c r="A1516" s="499" t="s">
        <v>8031</v>
      </c>
    </row>
    <row r="1517">
      <c r="A1517" s="499" t="s">
        <v>8032</v>
      </c>
    </row>
    <row r="1518">
      <c r="A1518" s="499" t="s">
        <v>8033</v>
      </c>
    </row>
    <row r="1519">
      <c r="A1519" s="499" t="s">
        <v>8034</v>
      </c>
    </row>
    <row r="1520">
      <c r="A1520" s="499" t="s">
        <v>8035</v>
      </c>
    </row>
    <row r="1521">
      <c r="A1521" s="499" t="s">
        <v>8036</v>
      </c>
    </row>
    <row r="1522">
      <c r="A1522" s="499" t="s">
        <v>8037</v>
      </c>
    </row>
    <row r="1523">
      <c r="A1523" s="499" t="s">
        <v>8038</v>
      </c>
    </row>
    <row r="1524">
      <c r="A1524" s="499" t="s">
        <v>8039</v>
      </c>
    </row>
    <row r="1525">
      <c r="A1525" s="499" t="s">
        <v>8040</v>
      </c>
    </row>
    <row r="1526">
      <c r="A1526" s="499" t="s">
        <v>8041</v>
      </c>
    </row>
    <row r="1527">
      <c r="A1527" s="499" t="s">
        <v>8042</v>
      </c>
    </row>
    <row r="1528">
      <c r="A1528" s="499" t="s">
        <v>8043</v>
      </c>
    </row>
    <row r="1529">
      <c r="A1529" s="499" t="s">
        <v>8044</v>
      </c>
    </row>
    <row r="1530">
      <c r="A1530" s="499" t="s">
        <v>8045</v>
      </c>
    </row>
    <row r="1531">
      <c r="A1531" s="499" t="s">
        <v>8046</v>
      </c>
    </row>
    <row r="1532">
      <c r="A1532" s="499" t="s">
        <v>8047</v>
      </c>
    </row>
    <row r="1533">
      <c r="A1533" s="499" t="s">
        <v>8048</v>
      </c>
    </row>
    <row r="1534">
      <c r="A1534" s="499" t="s">
        <v>8049</v>
      </c>
    </row>
    <row r="1535">
      <c r="A1535" s="499" t="s">
        <v>8050</v>
      </c>
    </row>
    <row r="1536">
      <c r="A1536" s="499" t="s">
        <v>8051</v>
      </c>
    </row>
    <row r="1537">
      <c r="A1537" s="499" t="s">
        <v>8052</v>
      </c>
    </row>
    <row r="1538">
      <c r="A1538" s="499" t="s">
        <v>8053</v>
      </c>
    </row>
    <row r="1539">
      <c r="A1539" s="499" t="s">
        <v>8054</v>
      </c>
    </row>
    <row r="1540">
      <c r="A1540" s="499" t="s">
        <v>8055</v>
      </c>
    </row>
    <row r="1541">
      <c r="A1541" s="499" t="s">
        <v>8056</v>
      </c>
    </row>
    <row r="1542">
      <c r="A1542" s="499" t="s">
        <v>8057</v>
      </c>
    </row>
    <row r="1543">
      <c r="A1543" s="499" t="s">
        <v>8058</v>
      </c>
    </row>
    <row r="1544">
      <c r="A1544" s="499" t="s">
        <v>8059</v>
      </c>
    </row>
    <row r="1545">
      <c r="A1545" s="499" t="s">
        <v>8060</v>
      </c>
    </row>
    <row r="1546">
      <c r="A1546" s="499" t="s">
        <v>8061</v>
      </c>
    </row>
    <row r="1547">
      <c r="A1547" s="499" t="s">
        <v>8062</v>
      </c>
    </row>
    <row r="1548">
      <c r="A1548" s="499" t="s">
        <v>8063</v>
      </c>
    </row>
    <row r="1549">
      <c r="A1549" s="499" t="s">
        <v>8064</v>
      </c>
    </row>
    <row r="1550">
      <c r="A1550" s="499" t="s">
        <v>8065</v>
      </c>
    </row>
    <row r="1551">
      <c r="A1551" s="499" t="s">
        <v>8066</v>
      </c>
    </row>
    <row r="1552">
      <c r="A1552" s="499" t="s">
        <v>8067</v>
      </c>
    </row>
    <row r="1553">
      <c r="A1553" s="499" t="s">
        <v>8068</v>
      </c>
    </row>
    <row r="1554">
      <c r="A1554" s="499" t="s">
        <v>8069</v>
      </c>
    </row>
    <row r="1555">
      <c r="A1555" s="499" t="s">
        <v>8070</v>
      </c>
    </row>
    <row r="1556">
      <c r="A1556" s="499" t="s">
        <v>8071</v>
      </c>
    </row>
    <row r="1557">
      <c r="A1557" s="499" t="s">
        <v>8072</v>
      </c>
    </row>
    <row r="1558">
      <c r="A1558" s="499" t="s">
        <v>8073</v>
      </c>
    </row>
    <row r="1559">
      <c r="A1559" s="499" t="s">
        <v>8074</v>
      </c>
    </row>
    <row r="1560">
      <c r="A1560" s="499" t="s">
        <v>8075</v>
      </c>
    </row>
    <row r="1561">
      <c r="A1561" s="499" t="s">
        <v>8076</v>
      </c>
    </row>
    <row r="1562">
      <c r="A1562" s="499" t="s">
        <v>8077</v>
      </c>
    </row>
    <row r="1563">
      <c r="A1563" s="499" t="s">
        <v>8078</v>
      </c>
    </row>
    <row r="1564">
      <c r="A1564" s="499" t="s">
        <v>8079</v>
      </c>
    </row>
    <row r="1565">
      <c r="A1565" s="499" t="s">
        <v>8080</v>
      </c>
    </row>
    <row r="1566">
      <c r="A1566" s="499" t="s">
        <v>8081</v>
      </c>
    </row>
    <row r="1567">
      <c r="A1567" s="499" t="s">
        <v>8082</v>
      </c>
    </row>
    <row r="1568">
      <c r="A1568" s="499" t="s">
        <v>8083</v>
      </c>
    </row>
    <row r="1569">
      <c r="A1569" s="499" t="s">
        <v>8084</v>
      </c>
    </row>
    <row r="1570">
      <c r="A1570" s="499" t="s">
        <v>8085</v>
      </c>
    </row>
    <row r="1571">
      <c r="A1571" s="499" t="s">
        <v>8086</v>
      </c>
    </row>
    <row r="1572">
      <c r="A1572" s="499" t="s">
        <v>8087</v>
      </c>
    </row>
    <row r="1573">
      <c r="A1573" s="499" t="s">
        <v>8088</v>
      </c>
    </row>
    <row r="1574">
      <c r="A1574" s="499" t="s">
        <v>8089</v>
      </c>
    </row>
    <row r="1575">
      <c r="A1575" s="499" t="s">
        <v>8090</v>
      </c>
    </row>
    <row r="1576">
      <c r="A1576" s="499" t="s">
        <v>8091</v>
      </c>
    </row>
    <row r="1577">
      <c r="A1577" s="499" t="s">
        <v>8092</v>
      </c>
    </row>
    <row r="1578">
      <c r="A1578" s="499" t="s">
        <v>8093</v>
      </c>
    </row>
    <row r="1579">
      <c r="A1579" s="499" t="s">
        <v>8094</v>
      </c>
    </row>
    <row r="1580">
      <c r="A1580" s="499" t="s">
        <v>8095</v>
      </c>
    </row>
    <row r="1581">
      <c r="A1581" s="499" t="s">
        <v>8096</v>
      </c>
    </row>
    <row r="1582">
      <c r="A1582" s="499" t="s">
        <v>8097</v>
      </c>
    </row>
    <row r="1583">
      <c r="A1583" s="499" t="s">
        <v>8098</v>
      </c>
    </row>
    <row r="1584">
      <c r="A1584" s="499" t="s">
        <v>8099</v>
      </c>
    </row>
    <row r="1585">
      <c r="A1585" s="499" t="s">
        <v>8100</v>
      </c>
    </row>
    <row r="1586">
      <c r="A1586" s="499" t="s">
        <v>8101</v>
      </c>
    </row>
    <row r="1587">
      <c r="A1587" s="499" t="s">
        <v>8102</v>
      </c>
    </row>
    <row r="1588">
      <c r="A1588" s="499" t="s">
        <v>8103</v>
      </c>
    </row>
    <row r="1589">
      <c r="A1589" s="499" t="s">
        <v>8104</v>
      </c>
    </row>
    <row r="1590">
      <c r="A1590" s="499" t="s">
        <v>8105</v>
      </c>
    </row>
    <row r="1591">
      <c r="A1591" s="499" t="s">
        <v>8106</v>
      </c>
    </row>
    <row r="1592">
      <c r="A1592" s="499" t="s">
        <v>8107</v>
      </c>
    </row>
    <row r="1593">
      <c r="A1593" s="499" t="s">
        <v>8108</v>
      </c>
    </row>
    <row r="1594">
      <c r="A1594" s="499" t="s">
        <v>8109</v>
      </c>
    </row>
    <row r="1595">
      <c r="A1595" s="499" t="s">
        <v>8110</v>
      </c>
    </row>
    <row r="1596">
      <c r="A1596" s="499" t="s">
        <v>8111</v>
      </c>
    </row>
    <row r="1597">
      <c r="A1597" s="499" t="s">
        <v>8112</v>
      </c>
    </row>
    <row r="1598">
      <c r="A1598" s="499" t="s">
        <v>8113</v>
      </c>
    </row>
    <row r="1599">
      <c r="A1599" s="499" t="s">
        <v>8114</v>
      </c>
    </row>
    <row r="1600">
      <c r="A1600" s="499" t="s">
        <v>8115</v>
      </c>
    </row>
    <row r="1601">
      <c r="A1601" s="499" t="s">
        <v>8116</v>
      </c>
    </row>
    <row r="1602">
      <c r="A1602" s="499" t="s">
        <v>8117</v>
      </c>
    </row>
    <row r="1603">
      <c r="A1603" s="499" t="s">
        <v>8118</v>
      </c>
    </row>
    <row r="1604">
      <c r="A1604" s="499" t="s">
        <v>8119</v>
      </c>
    </row>
    <row r="1605">
      <c r="A1605" s="499" t="s">
        <v>8120</v>
      </c>
    </row>
    <row r="1606">
      <c r="A1606" s="499" t="s">
        <v>8121</v>
      </c>
    </row>
    <row r="1607">
      <c r="A1607" s="499" t="s">
        <v>8122</v>
      </c>
    </row>
    <row r="1608">
      <c r="A1608" s="499" t="s">
        <v>8123</v>
      </c>
    </row>
    <row r="1609">
      <c r="A1609" s="499" t="s">
        <v>8124</v>
      </c>
    </row>
    <row r="1610">
      <c r="A1610" s="499" t="s">
        <v>8125</v>
      </c>
    </row>
    <row r="1611">
      <c r="A1611" s="499" t="s">
        <v>8126</v>
      </c>
    </row>
    <row r="1612">
      <c r="A1612" s="499" t="s">
        <v>8127</v>
      </c>
    </row>
    <row r="1613">
      <c r="A1613" s="499" t="s">
        <v>8128</v>
      </c>
    </row>
    <row r="1614">
      <c r="A1614" s="499" t="s">
        <v>8129</v>
      </c>
    </row>
    <row r="1615">
      <c r="A1615" s="499" t="s">
        <v>8130</v>
      </c>
    </row>
    <row r="1616">
      <c r="A1616" s="499" t="s">
        <v>8131</v>
      </c>
    </row>
    <row r="1617">
      <c r="A1617" s="499" t="s">
        <v>8132</v>
      </c>
    </row>
    <row r="1618">
      <c r="A1618" s="499" t="s">
        <v>8133</v>
      </c>
    </row>
    <row r="1619">
      <c r="A1619" s="499" t="s">
        <v>8134</v>
      </c>
    </row>
    <row r="1620">
      <c r="A1620" s="499" t="s">
        <v>8135</v>
      </c>
    </row>
    <row r="1621">
      <c r="A1621" s="499" t="s">
        <v>8136</v>
      </c>
    </row>
    <row r="1622">
      <c r="A1622" s="499" t="s">
        <v>8137</v>
      </c>
    </row>
    <row r="1623">
      <c r="A1623" s="499" t="s">
        <v>8138</v>
      </c>
    </row>
    <row r="1624">
      <c r="A1624" s="499" t="s">
        <v>8139</v>
      </c>
    </row>
    <row r="1625">
      <c r="A1625" s="499" t="s">
        <v>8140</v>
      </c>
    </row>
    <row r="1626">
      <c r="A1626" s="499" t="s">
        <v>8141</v>
      </c>
    </row>
    <row r="1627">
      <c r="A1627" s="499" t="s">
        <v>8142</v>
      </c>
    </row>
    <row r="1628">
      <c r="A1628" s="499" t="s">
        <v>8143</v>
      </c>
    </row>
    <row r="1629">
      <c r="A1629" s="499" t="s">
        <v>8144</v>
      </c>
    </row>
    <row r="1630">
      <c r="A1630" s="499" t="s">
        <v>8145</v>
      </c>
    </row>
    <row r="1631">
      <c r="A1631" s="499" t="s">
        <v>8146</v>
      </c>
    </row>
    <row r="1632">
      <c r="A1632" s="499" t="s">
        <v>8147</v>
      </c>
    </row>
    <row r="1633">
      <c r="A1633" s="499" t="s">
        <v>8148</v>
      </c>
    </row>
    <row r="1634">
      <c r="A1634" s="499" t="s">
        <v>8149</v>
      </c>
    </row>
    <row r="1635">
      <c r="A1635" s="499" t="s">
        <v>8150</v>
      </c>
    </row>
    <row r="1636">
      <c r="A1636" s="499" t="s">
        <v>8151</v>
      </c>
    </row>
    <row r="1637">
      <c r="A1637" s="499" t="s">
        <v>8152</v>
      </c>
    </row>
    <row r="1638">
      <c r="A1638" s="499" t="s">
        <v>8153</v>
      </c>
    </row>
    <row r="1639">
      <c r="A1639" s="499" t="s">
        <v>8154</v>
      </c>
    </row>
    <row r="1640">
      <c r="A1640" s="499" t="s">
        <v>8155</v>
      </c>
    </row>
    <row r="1641">
      <c r="A1641" s="499" t="s">
        <v>8156</v>
      </c>
    </row>
    <row r="1642">
      <c r="A1642" s="499" t="s">
        <v>8157</v>
      </c>
    </row>
    <row r="1643">
      <c r="A1643" s="499" t="s">
        <v>8158</v>
      </c>
    </row>
    <row r="1644">
      <c r="A1644" s="499" t="s">
        <v>8159</v>
      </c>
    </row>
    <row r="1645">
      <c r="A1645" s="499" t="s">
        <v>8160</v>
      </c>
    </row>
    <row r="1646">
      <c r="A1646" s="499" t="s">
        <v>8161</v>
      </c>
    </row>
    <row r="1647">
      <c r="A1647" s="499" t="s">
        <v>8162</v>
      </c>
    </row>
    <row r="1648">
      <c r="A1648" s="499" t="s">
        <v>8163</v>
      </c>
    </row>
    <row r="1649">
      <c r="A1649" s="499" t="s">
        <v>8164</v>
      </c>
    </row>
    <row r="1650">
      <c r="A1650" s="499" t="s">
        <v>8165</v>
      </c>
    </row>
    <row r="1651">
      <c r="A1651" s="499" t="s">
        <v>8166</v>
      </c>
    </row>
    <row r="1652">
      <c r="A1652" s="499" t="s">
        <v>8167</v>
      </c>
    </row>
    <row r="1653">
      <c r="A1653" s="499" t="s">
        <v>8168</v>
      </c>
    </row>
    <row r="1654">
      <c r="A1654" s="499" t="s">
        <v>8169</v>
      </c>
    </row>
    <row r="1655">
      <c r="A1655" s="499" t="s">
        <v>8170</v>
      </c>
    </row>
    <row r="1656">
      <c r="A1656" s="499" t="s">
        <v>8171</v>
      </c>
    </row>
    <row r="1657">
      <c r="A1657" s="499" t="s">
        <v>8172</v>
      </c>
    </row>
    <row r="1658">
      <c r="A1658" s="499" t="s">
        <v>8173</v>
      </c>
    </row>
    <row r="1659">
      <c r="A1659" s="499" t="s">
        <v>8174</v>
      </c>
    </row>
    <row r="1660">
      <c r="A1660" s="499" t="s">
        <v>8175</v>
      </c>
    </row>
    <row r="1661">
      <c r="A1661" s="499" t="s">
        <v>8176</v>
      </c>
    </row>
    <row r="1662">
      <c r="A1662" s="499" t="s">
        <v>8177</v>
      </c>
    </row>
    <row r="1663">
      <c r="A1663" s="499" t="s">
        <v>8178</v>
      </c>
    </row>
    <row r="1664">
      <c r="A1664" s="499" t="s">
        <v>8179</v>
      </c>
    </row>
    <row r="1665">
      <c r="A1665" s="499" t="s">
        <v>8180</v>
      </c>
    </row>
    <row r="1666">
      <c r="A1666" s="499" t="s">
        <v>8181</v>
      </c>
    </row>
    <row r="1667">
      <c r="A1667" s="499" t="s">
        <v>8182</v>
      </c>
    </row>
    <row r="1668">
      <c r="A1668" s="499" t="s">
        <v>8183</v>
      </c>
    </row>
    <row r="1669">
      <c r="A1669" s="499" t="s">
        <v>8184</v>
      </c>
    </row>
    <row r="1670">
      <c r="A1670" s="499" t="s">
        <v>8185</v>
      </c>
    </row>
    <row r="1671">
      <c r="A1671" s="499" t="s">
        <v>8186</v>
      </c>
    </row>
    <row r="1672">
      <c r="A1672" s="499" t="s">
        <v>8187</v>
      </c>
    </row>
    <row r="1673">
      <c r="A1673" s="499" t="s">
        <v>8188</v>
      </c>
    </row>
    <row r="1674">
      <c r="A1674" s="499" t="s">
        <v>8189</v>
      </c>
    </row>
    <row r="1675">
      <c r="A1675" s="499" t="s">
        <v>8190</v>
      </c>
    </row>
    <row r="1676">
      <c r="A1676" s="499" t="s">
        <v>8191</v>
      </c>
    </row>
    <row r="1677">
      <c r="A1677" s="499" t="s">
        <v>8192</v>
      </c>
    </row>
    <row r="1678">
      <c r="A1678" s="499" t="s">
        <v>8193</v>
      </c>
    </row>
    <row r="1679">
      <c r="A1679" s="499" t="s">
        <v>8194</v>
      </c>
    </row>
    <row r="1680">
      <c r="A1680" s="499" t="s">
        <v>8195</v>
      </c>
    </row>
    <row r="1681">
      <c r="A1681" s="499" t="s">
        <v>8196</v>
      </c>
    </row>
    <row r="1682">
      <c r="A1682" s="499" t="s">
        <v>8197</v>
      </c>
    </row>
    <row r="1683">
      <c r="A1683" s="499" t="s">
        <v>8198</v>
      </c>
    </row>
    <row r="1684">
      <c r="A1684" s="499" t="s">
        <v>8199</v>
      </c>
    </row>
    <row r="1685">
      <c r="A1685" s="499" t="s">
        <v>8200</v>
      </c>
    </row>
    <row r="1686">
      <c r="A1686" s="499" t="s">
        <v>8201</v>
      </c>
    </row>
    <row r="1687">
      <c r="A1687" s="499" t="s">
        <v>8202</v>
      </c>
    </row>
    <row r="1688">
      <c r="A1688" s="499" t="s">
        <v>8203</v>
      </c>
    </row>
    <row r="1689">
      <c r="A1689" s="499" t="s">
        <v>8204</v>
      </c>
    </row>
    <row r="1690">
      <c r="A1690" s="499" t="s">
        <v>8205</v>
      </c>
    </row>
    <row r="1691">
      <c r="A1691" s="499" t="s">
        <v>8206</v>
      </c>
    </row>
    <row r="1692">
      <c r="A1692" s="499" t="s">
        <v>8207</v>
      </c>
    </row>
    <row r="1693">
      <c r="A1693" s="499" t="s">
        <v>8208</v>
      </c>
    </row>
    <row r="1694">
      <c r="A1694" s="499" t="s">
        <v>8209</v>
      </c>
    </row>
    <row r="1695">
      <c r="A1695" s="499" t="s">
        <v>8210</v>
      </c>
    </row>
    <row r="1696">
      <c r="A1696" s="499" t="s">
        <v>8211</v>
      </c>
    </row>
    <row r="1697">
      <c r="A1697" s="499" t="s">
        <v>8212</v>
      </c>
    </row>
    <row r="1698">
      <c r="A1698" s="499" t="s">
        <v>8213</v>
      </c>
    </row>
    <row r="1699">
      <c r="A1699" s="499" t="s">
        <v>8214</v>
      </c>
    </row>
    <row r="1700">
      <c r="A1700" s="499" t="s">
        <v>8215</v>
      </c>
    </row>
    <row r="1701">
      <c r="A1701" s="499" t="s">
        <v>8216</v>
      </c>
    </row>
    <row r="1702">
      <c r="A1702" s="499" t="s">
        <v>8217</v>
      </c>
    </row>
    <row r="1703">
      <c r="A1703" s="499" t="s">
        <v>8218</v>
      </c>
    </row>
    <row r="1704">
      <c r="A1704" s="499" t="s">
        <v>8219</v>
      </c>
    </row>
    <row r="1705">
      <c r="A1705" s="499" t="s">
        <v>8220</v>
      </c>
    </row>
    <row r="1706">
      <c r="A1706" s="499" t="s">
        <v>8221</v>
      </c>
    </row>
    <row r="1707">
      <c r="A1707" s="499" t="s">
        <v>8222</v>
      </c>
    </row>
    <row r="1708">
      <c r="A1708" s="499" t="s">
        <v>8223</v>
      </c>
    </row>
    <row r="1709">
      <c r="A1709" s="499" t="s">
        <v>8224</v>
      </c>
    </row>
    <row r="1710">
      <c r="A1710" s="499" t="s">
        <v>8225</v>
      </c>
    </row>
    <row r="1711">
      <c r="A1711" s="499" t="s">
        <v>8226</v>
      </c>
    </row>
    <row r="1712">
      <c r="A1712" s="499" t="s">
        <v>8227</v>
      </c>
    </row>
    <row r="1713">
      <c r="A1713" s="499" t="s">
        <v>8228</v>
      </c>
    </row>
    <row r="1714">
      <c r="A1714" s="499" t="s">
        <v>8229</v>
      </c>
    </row>
    <row r="1715">
      <c r="A1715" s="499" t="s">
        <v>8230</v>
      </c>
    </row>
    <row r="1716">
      <c r="A1716" s="499" t="s">
        <v>8231</v>
      </c>
    </row>
    <row r="1717">
      <c r="A1717" s="499" t="s">
        <v>8232</v>
      </c>
    </row>
    <row r="1718">
      <c r="A1718" s="499" t="s">
        <v>8233</v>
      </c>
    </row>
    <row r="1719">
      <c r="A1719" s="499" t="s">
        <v>8234</v>
      </c>
    </row>
    <row r="1720">
      <c r="A1720" s="499" t="s">
        <v>8235</v>
      </c>
    </row>
    <row r="1721">
      <c r="A1721" s="499" t="s">
        <v>8236</v>
      </c>
    </row>
    <row r="1722">
      <c r="A1722" s="499" t="s">
        <v>8237</v>
      </c>
    </row>
    <row r="1723">
      <c r="A1723" s="499" t="s">
        <v>8238</v>
      </c>
    </row>
    <row r="1724">
      <c r="A1724" s="499" t="s">
        <v>8239</v>
      </c>
    </row>
    <row r="1725">
      <c r="A1725" s="499" t="s">
        <v>8240</v>
      </c>
    </row>
    <row r="1726">
      <c r="A1726" s="499" t="s">
        <v>8241</v>
      </c>
    </row>
    <row r="1727">
      <c r="A1727" s="499" t="s">
        <v>8242</v>
      </c>
    </row>
    <row r="1728">
      <c r="A1728" s="499" t="s">
        <v>8243</v>
      </c>
    </row>
    <row r="1729">
      <c r="A1729" s="499" t="s">
        <v>8244</v>
      </c>
    </row>
    <row r="1730">
      <c r="A1730" s="499" t="s">
        <v>8245</v>
      </c>
    </row>
    <row r="1731">
      <c r="A1731" s="499" t="s">
        <v>8246</v>
      </c>
    </row>
    <row r="1732">
      <c r="A1732" s="499" t="s">
        <v>8247</v>
      </c>
    </row>
    <row r="1733">
      <c r="A1733" s="499" t="s">
        <v>8248</v>
      </c>
    </row>
    <row r="1734">
      <c r="A1734" s="499" t="s">
        <v>8249</v>
      </c>
    </row>
    <row r="1735">
      <c r="A1735" s="499" t="s">
        <v>8250</v>
      </c>
    </row>
    <row r="1736">
      <c r="A1736" s="499" t="s">
        <v>8251</v>
      </c>
    </row>
    <row r="1737">
      <c r="A1737" s="499" t="s">
        <v>8252</v>
      </c>
    </row>
    <row r="1738">
      <c r="A1738" s="499" t="s">
        <v>8253</v>
      </c>
    </row>
    <row r="1739">
      <c r="A1739" s="499" t="s">
        <v>8254</v>
      </c>
    </row>
    <row r="1740">
      <c r="A1740" s="499" t="s">
        <v>8255</v>
      </c>
    </row>
    <row r="1741">
      <c r="A1741" s="499" t="s">
        <v>8256</v>
      </c>
    </row>
    <row r="1742">
      <c r="A1742" s="499" t="s">
        <v>8257</v>
      </c>
    </row>
    <row r="1743">
      <c r="A1743" s="499" t="s">
        <v>8258</v>
      </c>
    </row>
    <row r="1744">
      <c r="A1744" s="499" t="s">
        <v>8259</v>
      </c>
    </row>
    <row r="1745">
      <c r="A1745" s="499" t="s">
        <v>8260</v>
      </c>
    </row>
    <row r="1746">
      <c r="A1746" s="499" t="s">
        <v>8261</v>
      </c>
    </row>
    <row r="1747">
      <c r="A1747" s="499" t="s">
        <v>8262</v>
      </c>
    </row>
    <row r="1748">
      <c r="A1748" s="499" t="s">
        <v>8263</v>
      </c>
    </row>
    <row r="1749">
      <c r="A1749" s="499" t="s">
        <v>8264</v>
      </c>
    </row>
    <row r="1750">
      <c r="A1750" s="499" t="s">
        <v>8265</v>
      </c>
    </row>
    <row r="1751">
      <c r="A1751" s="499" t="s">
        <v>8266</v>
      </c>
    </row>
    <row r="1752">
      <c r="A1752" s="499" t="s">
        <v>8267</v>
      </c>
    </row>
    <row r="1753">
      <c r="A1753" s="499" t="s">
        <v>8268</v>
      </c>
    </row>
    <row r="1754">
      <c r="A1754" s="499" t="s">
        <v>8269</v>
      </c>
    </row>
    <row r="1755">
      <c r="A1755" s="499" t="s">
        <v>8270</v>
      </c>
    </row>
    <row r="1756">
      <c r="A1756" s="499" t="s">
        <v>8271</v>
      </c>
    </row>
    <row r="1757">
      <c r="A1757" s="499" t="s">
        <v>8272</v>
      </c>
    </row>
    <row r="1758">
      <c r="A1758" s="499" t="s">
        <v>8273</v>
      </c>
    </row>
    <row r="1759">
      <c r="A1759" s="499" t="s">
        <v>8274</v>
      </c>
    </row>
    <row r="1760">
      <c r="A1760" s="499" t="s">
        <v>8275</v>
      </c>
    </row>
    <row r="1761">
      <c r="A1761" s="499" t="s">
        <v>8276</v>
      </c>
    </row>
    <row r="1762">
      <c r="A1762" s="499" t="s">
        <v>8277</v>
      </c>
    </row>
    <row r="1763">
      <c r="A1763" s="499" t="s">
        <v>8278</v>
      </c>
    </row>
    <row r="1764">
      <c r="A1764" s="499" t="s">
        <v>8279</v>
      </c>
    </row>
    <row r="1765">
      <c r="A1765" s="499" t="s">
        <v>8280</v>
      </c>
    </row>
    <row r="1766">
      <c r="A1766" s="499" t="s">
        <v>8281</v>
      </c>
    </row>
    <row r="1767">
      <c r="A1767" s="499" t="s">
        <v>8282</v>
      </c>
    </row>
    <row r="1768">
      <c r="A1768" s="499" t="s">
        <v>8283</v>
      </c>
    </row>
    <row r="1769">
      <c r="A1769" s="499" t="s">
        <v>8284</v>
      </c>
    </row>
    <row r="1770">
      <c r="A1770" s="499" t="s">
        <v>8285</v>
      </c>
    </row>
    <row r="1771">
      <c r="A1771" s="499" t="s">
        <v>8286</v>
      </c>
    </row>
    <row r="1772">
      <c r="A1772" s="499" t="s">
        <v>8287</v>
      </c>
    </row>
    <row r="1773">
      <c r="A1773" s="499" t="s">
        <v>8288</v>
      </c>
    </row>
    <row r="1774">
      <c r="A1774" s="499" t="s">
        <v>8289</v>
      </c>
    </row>
    <row r="1775">
      <c r="A1775" s="499" t="s">
        <v>8290</v>
      </c>
    </row>
    <row r="1776">
      <c r="A1776" s="499" t="s">
        <v>8291</v>
      </c>
    </row>
    <row r="1777">
      <c r="A1777" s="499" t="s">
        <v>8292</v>
      </c>
    </row>
    <row r="1778">
      <c r="A1778" s="499" t="s">
        <v>8293</v>
      </c>
    </row>
    <row r="1779">
      <c r="A1779" s="499" t="s">
        <v>8294</v>
      </c>
    </row>
    <row r="1780">
      <c r="A1780" s="499" t="s">
        <v>8295</v>
      </c>
    </row>
    <row r="1781">
      <c r="A1781" s="499" t="s">
        <v>8296</v>
      </c>
    </row>
    <row r="1782">
      <c r="A1782" s="499" t="s">
        <v>8297</v>
      </c>
    </row>
    <row r="1783">
      <c r="A1783" s="499" t="s">
        <v>8298</v>
      </c>
    </row>
    <row r="1784">
      <c r="A1784" s="499" t="s">
        <v>8299</v>
      </c>
    </row>
    <row r="1785">
      <c r="A1785" s="499" t="s">
        <v>8300</v>
      </c>
    </row>
    <row r="1786">
      <c r="A1786" s="499" t="s">
        <v>8301</v>
      </c>
    </row>
    <row r="1787">
      <c r="A1787" s="499" t="s">
        <v>8302</v>
      </c>
    </row>
    <row r="1788">
      <c r="A1788" s="499" t="s">
        <v>8303</v>
      </c>
    </row>
    <row r="1789">
      <c r="A1789" s="499" t="s">
        <v>8304</v>
      </c>
    </row>
    <row r="1790">
      <c r="A1790" s="499" t="s">
        <v>8305</v>
      </c>
    </row>
    <row r="1791">
      <c r="A1791" s="499" t="s">
        <v>8306</v>
      </c>
    </row>
    <row r="1792">
      <c r="A1792" s="499" t="s">
        <v>8307</v>
      </c>
    </row>
    <row r="1793">
      <c r="A1793" s="499" t="s">
        <v>8308</v>
      </c>
    </row>
    <row r="1794">
      <c r="A1794" s="499" t="s">
        <v>8309</v>
      </c>
    </row>
    <row r="1795">
      <c r="A1795" s="499" t="s">
        <v>8310</v>
      </c>
    </row>
    <row r="1796">
      <c r="A1796" s="499" t="s">
        <v>8311</v>
      </c>
    </row>
    <row r="1797">
      <c r="A1797" s="499" t="s">
        <v>8312</v>
      </c>
    </row>
    <row r="1798">
      <c r="A1798" s="499" t="s">
        <v>8313</v>
      </c>
    </row>
    <row r="1799">
      <c r="A1799" s="499" t="s">
        <v>8314</v>
      </c>
    </row>
    <row r="1800">
      <c r="A1800" s="499" t="s">
        <v>8315</v>
      </c>
    </row>
    <row r="1801">
      <c r="A1801" s="499" t="s">
        <v>8316</v>
      </c>
    </row>
    <row r="1802">
      <c r="A1802" s="499" t="s">
        <v>8317</v>
      </c>
    </row>
    <row r="1803">
      <c r="A1803" s="499" t="s">
        <v>8318</v>
      </c>
    </row>
    <row r="1804">
      <c r="A1804" s="499" t="s">
        <v>8319</v>
      </c>
    </row>
    <row r="1805">
      <c r="A1805" s="499" t="s">
        <v>8320</v>
      </c>
    </row>
    <row r="1806">
      <c r="A1806" s="499" t="s">
        <v>8321</v>
      </c>
    </row>
    <row r="1807">
      <c r="A1807" s="499" t="s">
        <v>8322</v>
      </c>
    </row>
    <row r="1808">
      <c r="A1808" s="499" t="s">
        <v>8323</v>
      </c>
    </row>
    <row r="1809">
      <c r="A1809" s="499" t="s">
        <v>8324</v>
      </c>
    </row>
    <row r="1810">
      <c r="A1810" s="499" t="s">
        <v>8325</v>
      </c>
    </row>
    <row r="1811">
      <c r="A1811" s="499" t="s">
        <v>8326</v>
      </c>
    </row>
    <row r="1812">
      <c r="A1812" s="499" t="s">
        <v>8327</v>
      </c>
    </row>
    <row r="1813">
      <c r="A1813" s="499" t="s">
        <v>8328</v>
      </c>
    </row>
    <row r="1814">
      <c r="A1814" s="499" t="s">
        <v>8329</v>
      </c>
    </row>
    <row r="1815">
      <c r="A1815" s="499" t="s">
        <v>8330</v>
      </c>
    </row>
    <row r="1816">
      <c r="A1816" s="499" t="s">
        <v>8331</v>
      </c>
    </row>
    <row r="1817">
      <c r="A1817" s="499" t="s">
        <v>8332</v>
      </c>
    </row>
    <row r="1818">
      <c r="A1818" s="499" t="s">
        <v>8333</v>
      </c>
    </row>
    <row r="1819">
      <c r="A1819" s="499" t="s">
        <v>8334</v>
      </c>
    </row>
    <row r="1820">
      <c r="A1820" s="499" t="s">
        <v>8335</v>
      </c>
    </row>
    <row r="1821">
      <c r="A1821" s="499" t="s">
        <v>8336</v>
      </c>
    </row>
    <row r="1822">
      <c r="A1822" s="499" t="s">
        <v>8337</v>
      </c>
    </row>
    <row r="1823">
      <c r="A1823" s="499" t="s">
        <v>8338</v>
      </c>
    </row>
    <row r="1824">
      <c r="A1824" s="499" t="s">
        <v>8339</v>
      </c>
    </row>
    <row r="1825">
      <c r="A1825" s="499" t="s">
        <v>8340</v>
      </c>
    </row>
    <row r="1826">
      <c r="A1826" s="499" t="s">
        <v>8341</v>
      </c>
    </row>
    <row r="1827">
      <c r="A1827" s="499" t="s">
        <v>8342</v>
      </c>
    </row>
    <row r="1828">
      <c r="A1828" s="499" t="s">
        <v>8343</v>
      </c>
    </row>
    <row r="1829">
      <c r="A1829" s="499" t="s">
        <v>8344</v>
      </c>
    </row>
    <row r="1830">
      <c r="A1830" s="499" t="s">
        <v>8345</v>
      </c>
    </row>
    <row r="1831">
      <c r="A1831" s="499" t="s">
        <v>8346</v>
      </c>
    </row>
    <row r="1832">
      <c r="A1832" s="499" t="s">
        <v>8347</v>
      </c>
    </row>
    <row r="1833">
      <c r="A1833" s="499" t="s">
        <v>8348</v>
      </c>
    </row>
    <row r="1834">
      <c r="A1834" s="499" t="s">
        <v>8349</v>
      </c>
    </row>
    <row r="1835">
      <c r="A1835" s="499" t="s">
        <v>8350</v>
      </c>
    </row>
    <row r="1836">
      <c r="A1836" s="499" t="s">
        <v>8351</v>
      </c>
    </row>
    <row r="1837">
      <c r="A1837" s="499" t="s">
        <v>8352</v>
      </c>
    </row>
    <row r="1838">
      <c r="A1838" s="499" t="s">
        <v>8353</v>
      </c>
    </row>
    <row r="1839">
      <c r="A1839" s="499" t="s">
        <v>8354</v>
      </c>
    </row>
    <row r="1840">
      <c r="A1840" s="499" t="s">
        <v>8355</v>
      </c>
    </row>
    <row r="1841">
      <c r="A1841" s="499" t="s">
        <v>8356</v>
      </c>
    </row>
    <row r="1842">
      <c r="A1842" s="499" t="s">
        <v>8357</v>
      </c>
    </row>
    <row r="1843">
      <c r="A1843" s="499" t="s">
        <v>8358</v>
      </c>
    </row>
    <row r="1844">
      <c r="A1844" s="499" t="s">
        <v>8359</v>
      </c>
    </row>
    <row r="1845">
      <c r="A1845" s="499" t="s">
        <v>8360</v>
      </c>
    </row>
    <row r="1846">
      <c r="A1846" s="499" t="s">
        <v>8361</v>
      </c>
    </row>
    <row r="1847">
      <c r="A1847" s="499" t="s">
        <v>8362</v>
      </c>
    </row>
    <row r="1848">
      <c r="A1848" s="499" t="s">
        <v>8363</v>
      </c>
    </row>
    <row r="1849">
      <c r="A1849" s="499" t="s">
        <v>8364</v>
      </c>
    </row>
    <row r="1850">
      <c r="A1850" s="499" t="s">
        <v>8365</v>
      </c>
    </row>
    <row r="1851">
      <c r="A1851" s="499" t="s">
        <v>8366</v>
      </c>
    </row>
    <row r="1852">
      <c r="A1852" s="499" t="s">
        <v>8367</v>
      </c>
    </row>
    <row r="1853">
      <c r="A1853" s="499" t="s">
        <v>8368</v>
      </c>
    </row>
    <row r="1854">
      <c r="A1854" s="499" t="s">
        <v>8369</v>
      </c>
    </row>
    <row r="1855">
      <c r="A1855" s="499" t="s">
        <v>8370</v>
      </c>
    </row>
    <row r="1856">
      <c r="A1856" s="499" t="s">
        <v>8371</v>
      </c>
    </row>
    <row r="1857">
      <c r="A1857" s="499" t="s">
        <v>8372</v>
      </c>
    </row>
    <row r="1858">
      <c r="A1858" s="499" t="s">
        <v>8373</v>
      </c>
    </row>
    <row r="1859">
      <c r="A1859" s="499" t="s">
        <v>8374</v>
      </c>
    </row>
    <row r="1860">
      <c r="A1860" s="499" t="s">
        <v>8375</v>
      </c>
    </row>
    <row r="1861">
      <c r="A1861" s="499" t="s">
        <v>8376</v>
      </c>
    </row>
    <row r="1862">
      <c r="A1862" s="499" t="s">
        <v>8377</v>
      </c>
    </row>
    <row r="1863">
      <c r="A1863" s="499" t="s">
        <v>8378</v>
      </c>
    </row>
    <row r="1864">
      <c r="A1864" s="499" t="s">
        <v>8379</v>
      </c>
    </row>
    <row r="1865">
      <c r="A1865" s="499" t="s">
        <v>8380</v>
      </c>
    </row>
    <row r="1866">
      <c r="A1866" s="499" t="s">
        <v>8381</v>
      </c>
    </row>
    <row r="1867">
      <c r="A1867" s="499" t="s">
        <v>8382</v>
      </c>
    </row>
    <row r="1868">
      <c r="A1868" s="499" t="s">
        <v>8383</v>
      </c>
    </row>
    <row r="1869">
      <c r="A1869" s="499" t="s">
        <v>8384</v>
      </c>
    </row>
    <row r="1870">
      <c r="A1870" s="499" t="s">
        <v>8385</v>
      </c>
    </row>
    <row r="1871">
      <c r="A1871" s="499" t="s">
        <v>8386</v>
      </c>
    </row>
    <row r="1872">
      <c r="A1872" s="499" t="s">
        <v>8387</v>
      </c>
    </row>
    <row r="1873">
      <c r="A1873" s="499" t="s">
        <v>8388</v>
      </c>
    </row>
    <row r="1874">
      <c r="A1874" s="499" t="s">
        <v>8389</v>
      </c>
    </row>
    <row r="1875">
      <c r="A1875" s="499" t="s">
        <v>8390</v>
      </c>
    </row>
    <row r="1876">
      <c r="A1876" s="499" t="s">
        <v>8391</v>
      </c>
    </row>
    <row r="1877">
      <c r="A1877" s="499" t="s">
        <v>8392</v>
      </c>
    </row>
    <row r="1878">
      <c r="A1878" s="499" t="s">
        <v>8393</v>
      </c>
    </row>
    <row r="1879">
      <c r="A1879" s="499" t="s">
        <v>8394</v>
      </c>
    </row>
    <row r="1880">
      <c r="A1880" s="499" t="s">
        <v>8395</v>
      </c>
    </row>
    <row r="1881">
      <c r="A1881" s="499" t="s">
        <v>8396</v>
      </c>
    </row>
    <row r="1882">
      <c r="A1882" s="499" t="s">
        <v>8397</v>
      </c>
    </row>
    <row r="1883">
      <c r="A1883" s="499" t="s">
        <v>8398</v>
      </c>
    </row>
    <row r="1884">
      <c r="A1884" s="499" t="s">
        <v>8399</v>
      </c>
    </row>
    <row r="1885">
      <c r="A1885" s="499" t="s">
        <v>8400</v>
      </c>
    </row>
    <row r="1886">
      <c r="A1886" s="499" t="s">
        <v>8401</v>
      </c>
    </row>
    <row r="1887">
      <c r="A1887" s="499" t="s">
        <v>8402</v>
      </c>
    </row>
    <row r="1888">
      <c r="A1888" s="499" t="s">
        <v>8403</v>
      </c>
    </row>
    <row r="1889">
      <c r="A1889" s="499" t="s">
        <v>8404</v>
      </c>
    </row>
    <row r="1890">
      <c r="A1890" s="499" t="s">
        <v>8405</v>
      </c>
    </row>
    <row r="1891">
      <c r="A1891" s="499" t="s">
        <v>8406</v>
      </c>
    </row>
    <row r="1892">
      <c r="A1892" s="499" t="s">
        <v>8407</v>
      </c>
    </row>
    <row r="1893">
      <c r="A1893" s="499" t="s">
        <v>8408</v>
      </c>
    </row>
    <row r="1894">
      <c r="A1894" s="499" t="s">
        <v>8409</v>
      </c>
    </row>
    <row r="1895">
      <c r="A1895" s="499" t="s">
        <v>8410</v>
      </c>
    </row>
    <row r="1896">
      <c r="A1896" s="499" t="s">
        <v>8411</v>
      </c>
    </row>
    <row r="1897">
      <c r="A1897" s="499" t="s">
        <v>8412</v>
      </c>
    </row>
    <row r="1898">
      <c r="A1898" s="499" t="s">
        <v>8413</v>
      </c>
    </row>
    <row r="1899">
      <c r="A1899" s="499" t="s">
        <v>8414</v>
      </c>
    </row>
    <row r="1900">
      <c r="A1900" s="499" t="s">
        <v>8415</v>
      </c>
    </row>
    <row r="1901">
      <c r="A1901" s="499" t="s">
        <v>8416</v>
      </c>
    </row>
    <row r="1902">
      <c r="A1902" s="499" t="s">
        <v>8417</v>
      </c>
    </row>
    <row r="1903">
      <c r="A1903" s="499" t="s">
        <v>8418</v>
      </c>
    </row>
    <row r="1904">
      <c r="A1904" s="499" t="s">
        <v>8419</v>
      </c>
    </row>
    <row r="1905">
      <c r="A1905" s="499" t="s">
        <v>8420</v>
      </c>
    </row>
    <row r="1906">
      <c r="A1906" s="499" t="s">
        <v>8421</v>
      </c>
    </row>
    <row r="1907">
      <c r="A1907" s="499" t="s">
        <v>8422</v>
      </c>
    </row>
    <row r="1908">
      <c r="A1908" s="499" t="s">
        <v>8423</v>
      </c>
    </row>
    <row r="1909">
      <c r="A1909" s="499" t="s">
        <v>8424</v>
      </c>
    </row>
    <row r="1910">
      <c r="A1910" s="499" t="s">
        <v>8425</v>
      </c>
    </row>
    <row r="1911">
      <c r="A1911" s="499" t="s">
        <v>8426</v>
      </c>
    </row>
    <row r="1912">
      <c r="A1912" s="499" t="s">
        <v>8427</v>
      </c>
    </row>
    <row r="1913">
      <c r="A1913" s="499" t="s">
        <v>8428</v>
      </c>
    </row>
    <row r="1914">
      <c r="A1914" s="499" t="s">
        <v>8429</v>
      </c>
    </row>
    <row r="1915">
      <c r="A1915" s="499" t="s">
        <v>8430</v>
      </c>
    </row>
    <row r="1916">
      <c r="A1916" s="499" t="s">
        <v>8431</v>
      </c>
    </row>
    <row r="1917">
      <c r="A1917" s="499" t="s">
        <v>8432</v>
      </c>
    </row>
    <row r="1918">
      <c r="A1918" s="499" t="s">
        <v>8433</v>
      </c>
    </row>
    <row r="1919">
      <c r="A1919" s="499" t="s">
        <v>8434</v>
      </c>
    </row>
    <row r="1920">
      <c r="A1920" s="499" t="s">
        <v>8435</v>
      </c>
    </row>
    <row r="1921">
      <c r="A1921" s="499" t="s">
        <v>8436</v>
      </c>
    </row>
    <row r="1922">
      <c r="A1922" s="499" t="s">
        <v>8437</v>
      </c>
    </row>
    <row r="1923">
      <c r="A1923" s="499" t="s">
        <v>8438</v>
      </c>
    </row>
    <row r="1924">
      <c r="A1924" s="499" t="s">
        <v>8439</v>
      </c>
    </row>
    <row r="1925">
      <c r="A1925" s="499" t="s">
        <v>8440</v>
      </c>
    </row>
    <row r="1926">
      <c r="A1926" s="499" t="s">
        <v>8441</v>
      </c>
    </row>
    <row r="1927">
      <c r="A1927" s="499" t="s">
        <v>8442</v>
      </c>
    </row>
    <row r="1928">
      <c r="A1928" s="499" t="s">
        <v>8443</v>
      </c>
    </row>
    <row r="1929">
      <c r="A1929" s="499" t="s">
        <v>8444</v>
      </c>
    </row>
    <row r="1930">
      <c r="A1930" s="499" t="s">
        <v>8445</v>
      </c>
    </row>
    <row r="1931">
      <c r="A1931" s="499" t="s">
        <v>8446</v>
      </c>
    </row>
    <row r="1932">
      <c r="A1932" s="499" t="s">
        <v>8447</v>
      </c>
    </row>
    <row r="1933">
      <c r="A1933" s="499" t="s">
        <v>8448</v>
      </c>
    </row>
    <row r="1934">
      <c r="A1934" s="499" t="s">
        <v>8449</v>
      </c>
    </row>
    <row r="1935">
      <c r="A1935" s="499" t="s">
        <v>8450</v>
      </c>
    </row>
    <row r="1936">
      <c r="A1936" s="499" t="s">
        <v>8451</v>
      </c>
    </row>
    <row r="1937">
      <c r="A1937" s="499" t="s">
        <v>8452</v>
      </c>
    </row>
    <row r="1938">
      <c r="A1938" s="499" t="s">
        <v>8453</v>
      </c>
    </row>
    <row r="1939">
      <c r="A1939" s="499" t="s">
        <v>8454</v>
      </c>
    </row>
    <row r="1940">
      <c r="A1940" s="499" t="s">
        <v>8455</v>
      </c>
    </row>
    <row r="1941">
      <c r="A1941" s="499" t="s">
        <v>8456</v>
      </c>
    </row>
    <row r="1942">
      <c r="A1942" s="499" t="s">
        <v>8457</v>
      </c>
    </row>
    <row r="1943">
      <c r="A1943" s="499" t="s">
        <v>8458</v>
      </c>
    </row>
    <row r="1944">
      <c r="A1944" s="499" t="s">
        <v>8459</v>
      </c>
    </row>
    <row r="1945">
      <c r="A1945" s="499" t="s">
        <v>8460</v>
      </c>
    </row>
    <row r="1946">
      <c r="A1946" s="499" t="s">
        <v>8461</v>
      </c>
    </row>
    <row r="1947">
      <c r="A1947" s="499" t="s">
        <v>8462</v>
      </c>
    </row>
    <row r="1948">
      <c r="A1948" s="499" t="s">
        <v>8463</v>
      </c>
    </row>
    <row r="1949">
      <c r="A1949" s="499" t="s">
        <v>8464</v>
      </c>
    </row>
    <row r="1950">
      <c r="A1950" s="499" t="s">
        <v>8465</v>
      </c>
    </row>
    <row r="1951">
      <c r="A1951" s="499" t="s">
        <v>8466</v>
      </c>
    </row>
    <row r="1952">
      <c r="A1952" s="499" t="s">
        <v>8467</v>
      </c>
    </row>
    <row r="1953">
      <c r="A1953" s="499" t="s">
        <v>8468</v>
      </c>
    </row>
    <row r="1954">
      <c r="A1954" s="499" t="s">
        <v>8469</v>
      </c>
    </row>
    <row r="1955">
      <c r="A1955" s="499" t="s">
        <v>8470</v>
      </c>
    </row>
    <row r="1956">
      <c r="A1956" s="499" t="s">
        <v>8471</v>
      </c>
    </row>
    <row r="1957">
      <c r="A1957" s="499" t="s">
        <v>8472</v>
      </c>
    </row>
    <row r="1958">
      <c r="A1958" s="499" t="s">
        <v>8473</v>
      </c>
    </row>
    <row r="1959">
      <c r="A1959" s="499" t="s">
        <v>8474</v>
      </c>
    </row>
    <row r="1960">
      <c r="A1960" s="499" t="s">
        <v>8475</v>
      </c>
    </row>
    <row r="1961">
      <c r="A1961" s="499" t="s">
        <v>8476</v>
      </c>
    </row>
    <row r="1962">
      <c r="A1962" s="499" t="s">
        <v>8477</v>
      </c>
    </row>
    <row r="1963">
      <c r="A1963" s="499" t="s">
        <v>8478</v>
      </c>
    </row>
    <row r="1964">
      <c r="A1964" s="499" t="s">
        <v>8479</v>
      </c>
    </row>
    <row r="1965">
      <c r="A1965" s="499" t="s">
        <v>8480</v>
      </c>
    </row>
    <row r="1966">
      <c r="A1966" s="499" t="s">
        <v>8481</v>
      </c>
    </row>
    <row r="1967">
      <c r="A1967" s="499" t="s">
        <v>8482</v>
      </c>
    </row>
    <row r="1968">
      <c r="A1968" s="499" t="s">
        <v>8483</v>
      </c>
    </row>
    <row r="1969">
      <c r="A1969" s="499" t="s">
        <v>8484</v>
      </c>
    </row>
    <row r="1970">
      <c r="A1970" s="499" t="s">
        <v>8485</v>
      </c>
    </row>
    <row r="1971">
      <c r="A1971" s="499" t="s">
        <v>8486</v>
      </c>
    </row>
    <row r="1972">
      <c r="A1972" s="499" t="s">
        <v>8487</v>
      </c>
    </row>
    <row r="1973">
      <c r="A1973" s="499" t="s">
        <v>8488</v>
      </c>
    </row>
    <row r="1974">
      <c r="A1974" s="499" t="s">
        <v>8489</v>
      </c>
    </row>
    <row r="1975">
      <c r="A1975" s="499" t="s">
        <v>8490</v>
      </c>
    </row>
    <row r="1976">
      <c r="A1976" s="499" t="s">
        <v>8491</v>
      </c>
    </row>
    <row r="1977">
      <c r="A1977" s="499" t="s">
        <v>8492</v>
      </c>
    </row>
    <row r="1978">
      <c r="A1978" s="499" t="s">
        <v>8493</v>
      </c>
    </row>
    <row r="1979">
      <c r="A1979" s="499" t="s">
        <v>8494</v>
      </c>
    </row>
    <row r="1980">
      <c r="A1980" s="499" t="s">
        <v>8495</v>
      </c>
    </row>
    <row r="1981">
      <c r="A1981" s="499" t="s">
        <v>8496</v>
      </c>
    </row>
    <row r="1982">
      <c r="A1982" s="499" t="s">
        <v>8497</v>
      </c>
    </row>
    <row r="1983">
      <c r="A1983" s="499" t="s">
        <v>8498</v>
      </c>
    </row>
    <row r="1984">
      <c r="A1984" s="499" t="s">
        <v>8499</v>
      </c>
    </row>
    <row r="1985">
      <c r="A1985" s="499" t="s">
        <v>8500</v>
      </c>
    </row>
    <row r="1986">
      <c r="A1986" s="499" t="s">
        <v>8501</v>
      </c>
    </row>
    <row r="1987">
      <c r="A1987" s="499" t="s">
        <v>8502</v>
      </c>
    </row>
    <row r="1988">
      <c r="A1988" s="499" t="s">
        <v>8503</v>
      </c>
    </row>
    <row r="1989">
      <c r="A1989" s="499" t="s">
        <v>8504</v>
      </c>
    </row>
    <row r="1990">
      <c r="A1990" s="499" t="s">
        <v>8505</v>
      </c>
    </row>
    <row r="1991">
      <c r="A1991" s="499" t="s">
        <v>8506</v>
      </c>
    </row>
    <row r="1992">
      <c r="A1992" s="499" t="s">
        <v>8507</v>
      </c>
    </row>
    <row r="1993">
      <c r="A1993" s="499" t="s">
        <v>8508</v>
      </c>
    </row>
    <row r="1994">
      <c r="A1994" s="499" t="s">
        <v>8509</v>
      </c>
    </row>
    <row r="1995">
      <c r="A1995" s="499" t="s">
        <v>8510</v>
      </c>
    </row>
    <row r="1996">
      <c r="A1996" s="499" t="s">
        <v>8511</v>
      </c>
    </row>
    <row r="1997">
      <c r="A1997" s="499" t="s">
        <v>8512</v>
      </c>
    </row>
    <row r="1998">
      <c r="A1998" s="499" t="s">
        <v>8513</v>
      </c>
    </row>
    <row r="1999">
      <c r="A1999" s="499" t="s">
        <v>8514</v>
      </c>
    </row>
    <row r="2000">
      <c r="A2000" s="499" t="s">
        <v>8515</v>
      </c>
    </row>
    <row r="2001">
      <c r="A2001" s="499" t="s">
        <v>8516</v>
      </c>
    </row>
    <row r="2002">
      <c r="A2002" s="499" t="s">
        <v>8517</v>
      </c>
    </row>
    <row r="2003">
      <c r="A2003" s="499" t="s">
        <v>8518</v>
      </c>
    </row>
    <row r="2004">
      <c r="A2004" s="499" t="s">
        <v>8519</v>
      </c>
    </row>
    <row r="2005">
      <c r="A2005" s="499" t="s">
        <v>8520</v>
      </c>
    </row>
    <row r="2006">
      <c r="A2006" s="499" t="s">
        <v>8521</v>
      </c>
    </row>
    <row r="2007">
      <c r="A2007" s="499" t="s">
        <v>8522</v>
      </c>
    </row>
    <row r="2008">
      <c r="A2008" s="499" t="s">
        <v>8523</v>
      </c>
    </row>
    <row r="2009">
      <c r="A2009" s="499" t="s">
        <v>8524</v>
      </c>
    </row>
    <row r="2010">
      <c r="A2010" s="499" t="s">
        <v>8525</v>
      </c>
    </row>
    <row r="2011">
      <c r="A2011" s="499" t="s">
        <v>8526</v>
      </c>
    </row>
    <row r="2012">
      <c r="A2012" s="499" t="s">
        <v>8527</v>
      </c>
    </row>
    <row r="2013">
      <c r="A2013" s="499" t="s">
        <v>8528</v>
      </c>
    </row>
    <row r="2014">
      <c r="A2014" s="499" t="s">
        <v>8529</v>
      </c>
    </row>
    <row r="2015">
      <c r="A2015" s="499" t="s">
        <v>8530</v>
      </c>
    </row>
    <row r="2016">
      <c r="A2016" s="499" t="s">
        <v>8531</v>
      </c>
    </row>
    <row r="2017">
      <c r="A2017" s="499" t="s">
        <v>8532</v>
      </c>
    </row>
    <row r="2018">
      <c r="A2018" s="499" t="s">
        <v>8533</v>
      </c>
    </row>
    <row r="2019">
      <c r="A2019" s="499" t="s">
        <v>8534</v>
      </c>
    </row>
    <row r="2020">
      <c r="A2020" s="499" t="s">
        <v>8535</v>
      </c>
    </row>
    <row r="2021">
      <c r="A2021" s="499" t="s">
        <v>8536</v>
      </c>
    </row>
    <row r="2022">
      <c r="A2022" s="499" t="s">
        <v>8537</v>
      </c>
    </row>
    <row r="2023">
      <c r="A2023" s="499" t="s">
        <v>8538</v>
      </c>
    </row>
    <row r="2024">
      <c r="A2024" s="499" t="s">
        <v>8539</v>
      </c>
    </row>
    <row r="2025">
      <c r="A2025" s="499" t="s">
        <v>8540</v>
      </c>
    </row>
    <row r="2026">
      <c r="A2026" s="499" t="s">
        <v>8541</v>
      </c>
    </row>
    <row r="2027">
      <c r="A2027" s="499" t="s">
        <v>8542</v>
      </c>
    </row>
    <row r="2028">
      <c r="A2028" s="499" t="s">
        <v>8543</v>
      </c>
    </row>
    <row r="2029">
      <c r="A2029" s="499" t="s">
        <v>8544</v>
      </c>
    </row>
    <row r="2030">
      <c r="A2030" s="499" t="s">
        <v>8545</v>
      </c>
    </row>
    <row r="2031">
      <c r="A2031" s="499" t="s">
        <v>8546</v>
      </c>
    </row>
    <row r="2032">
      <c r="A2032" s="499" t="s">
        <v>8547</v>
      </c>
    </row>
    <row r="2033">
      <c r="A2033" s="499" t="s">
        <v>8548</v>
      </c>
    </row>
    <row r="2034">
      <c r="A2034" s="499" t="s">
        <v>8549</v>
      </c>
    </row>
    <row r="2035">
      <c r="A2035" s="499" t="s">
        <v>8550</v>
      </c>
    </row>
    <row r="2036">
      <c r="A2036" s="499" t="s">
        <v>8551</v>
      </c>
    </row>
    <row r="2037">
      <c r="A2037" s="499" t="s">
        <v>8552</v>
      </c>
    </row>
    <row r="2038">
      <c r="A2038" s="499" t="s">
        <v>8553</v>
      </c>
    </row>
    <row r="2039">
      <c r="A2039" s="499" t="s">
        <v>8554</v>
      </c>
    </row>
    <row r="2040">
      <c r="A2040" s="499" t="s">
        <v>8555</v>
      </c>
    </row>
    <row r="2041">
      <c r="A2041" s="499" t="s">
        <v>8556</v>
      </c>
    </row>
    <row r="2042">
      <c r="A2042" s="499" t="s">
        <v>8557</v>
      </c>
    </row>
    <row r="2043">
      <c r="A2043" s="499" t="s">
        <v>8558</v>
      </c>
    </row>
    <row r="2044">
      <c r="A2044" s="499" t="s">
        <v>8559</v>
      </c>
    </row>
    <row r="2045">
      <c r="A2045" s="499" t="s">
        <v>8560</v>
      </c>
    </row>
    <row r="2046">
      <c r="A2046" s="499" t="s">
        <v>8561</v>
      </c>
    </row>
    <row r="2047">
      <c r="A2047" s="499" t="s">
        <v>8562</v>
      </c>
    </row>
    <row r="2048">
      <c r="A2048" s="499" t="s">
        <v>8563</v>
      </c>
    </row>
    <row r="2049">
      <c r="A2049" s="499" t="s">
        <v>8564</v>
      </c>
    </row>
    <row r="2050">
      <c r="A2050" s="499" t="s">
        <v>8565</v>
      </c>
    </row>
    <row r="2051">
      <c r="A2051" s="499" t="s">
        <v>8566</v>
      </c>
    </row>
    <row r="2052">
      <c r="A2052" s="499" t="s">
        <v>8567</v>
      </c>
    </row>
    <row r="2053">
      <c r="A2053" s="499" t="s">
        <v>8568</v>
      </c>
    </row>
    <row r="2054">
      <c r="A2054" s="499" t="s">
        <v>8569</v>
      </c>
    </row>
    <row r="2055">
      <c r="A2055" s="499" t="s">
        <v>8570</v>
      </c>
    </row>
    <row r="2056">
      <c r="A2056" s="499" t="s">
        <v>8571</v>
      </c>
    </row>
    <row r="2057">
      <c r="A2057" s="499" t="s">
        <v>8572</v>
      </c>
    </row>
    <row r="2058">
      <c r="A2058" s="499" t="s">
        <v>8573</v>
      </c>
    </row>
    <row r="2059">
      <c r="A2059" s="499" t="s">
        <v>8574</v>
      </c>
    </row>
    <row r="2060">
      <c r="A2060" s="499" t="s">
        <v>8575</v>
      </c>
    </row>
    <row r="2061">
      <c r="A2061" s="499" t="s">
        <v>8576</v>
      </c>
    </row>
    <row r="2062">
      <c r="A2062" s="499" t="s">
        <v>8577</v>
      </c>
    </row>
    <row r="2063">
      <c r="A2063" s="499" t="s">
        <v>8578</v>
      </c>
    </row>
    <row r="2064">
      <c r="A2064" s="499" t="s">
        <v>8579</v>
      </c>
    </row>
    <row r="2065">
      <c r="A2065" s="499" t="s">
        <v>8580</v>
      </c>
    </row>
    <row r="2066">
      <c r="A2066" s="499" t="s">
        <v>8581</v>
      </c>
    </row>
    <row r="2067">
      <c r="A2067" s="499" t="s">
        <v>8582</v>
      </c>
    </row>
    <row r="2068">
      <c r="A2068" s="499" t="s">
        <v>8583</v>
      </c>
    </row>
    <row r="2069">
      <c r="A2069" s="499" t="s">
        <v>8584</v>
      </c>
    </row>
    <row r="2070">
      <c r="A2070" s="499" t="s">
        <v>8585</v>
      </c>
    </row>
    <row r="2071">
      <c r="A2071" s="499" t="s">
        <v>8586</v>
      </c>
    </row>
    <row r="2072">
      <c r="A2072" s="499" t="s">
        <v>8587</v>
      </c>
    </row>
    <row r="2073">
      <c r="A2073" s="499" t="s">
        <v>8588</v>
      </c>
    </row>
    <row r="2074">
      <c r="A2074" s="499" t="s">
        <v>8589</v>
      </c>
    </row>
    <row r="2075">
      <c r="A2075" s="499" t="s">
        <v>8590</v>
      </c>
    </row>
    <row r="2076">
      <c r="A2076" s="499" t="s">
        <v>8591</v>
      </c>
    </row>
    <row r="2077">
      <c r="A2077" s="499" t="s">
        <v>8592</v>
      </c>
    </row>
    <row r="2078">
      <c r="A2078" s="499" t="s">
        <v>8593</v>
      </c>
    </row>
    <row r="2079">
      <c r="A2079" s="499" t="s">
        <v>8594</v>
      </c>
    </row>
    <row r="2080">
      <c r="A2080" s="499" t="s">
        <v>8595</v>
      </c>
    </row>
    <row r="2081">
      <c r="A2081" s="499" t="s">
        <v>8596</v>
      </c>
    </row>
    <row r="2082">
      <c r="A2082" s="499" t="s">
        <v>8597</v>
      </c>
    </row>
    <row r="2083">
      <c r="A2083" s="499" t="s">
        <v>8598</v>
      </c>
    </row>
    <row r="2084">
      <c r="A2084" s="499" t="s">
        <v>8599</v>
      </c>
    </row>
    <row r="2085">
      <c r="A2085" s="499" t="s">
        <v>8600</v>
      </c>
    </row>
    <row r="2086">
      <c r="A2086" s="499" t="s">
        <v>8601</v>
      </c>
    </row>
    <row r="2087">
      <c r="A2087" s="499" t="s">
        <v>8602</v>
      </c>
    </row>
    <row r="2088">
      <c r="A2088" s="499" t="s">
        <v>8603</v>
      </c>
    </row>
    <row r="2089">
      <c r="A2089" s="499" t="s">
        <v>8604</v>
      </c>
    </row>
    <row r="2090">
      <c r="A2090" s="499" t="s">
        <v>8605</v>
      </c>
    </row>
    <row r="2091">
      <c r="A2091" s="499" t="s">
        <v>8606</v>
      </c>
    </row>
    <row r="2092">
      <c r="A2092" s="499" t="s">
        <v>8607</v>
      </c>
    </row>
    <row r="2093">
      <c r="A2093" s="499" t="s">
        <v>8608</v>
      </c>
    </row>
    <row r="2094">
      <c r="A2094" s="499" t="s">
        <v>8609</v>
      </c>
    </row>
    <row r="2095">
      <c r="A2095" s="499" t="s">
        <v>8610</v>
      </c>
    </row>
    <row r="2096">
      <c r="A2096" s="499" t="s">
        <v>8611</v>
      </c>
    </row>
    <row r="2097">
      <c r="A2097" s="499" t="s">
        <v>8612</v>
      </c>
    </row>
    <row r="2098">
      <c r="A2098" s="499" t="s">
        <v>8613</v>
      </c>
    </row>
    <row r="2099">
      <c r="A2099" s="499" t="s">
        <v>8614</v>
      </c>
    </row>
    <row r="2100">
      <c r="A2100" s="499" t="s">
        <v>8615</v>
      </c>
    </row>
    <row r="2101">
      <c r="A2101" s="499" t="s">
        <v>8616</v>
      </c>
    </row>
    <row r="2102">
      <c r="A2102" s="499" t="s">
        <v>8617</v>
      </c>
    </row>
    <row r="2103">
      <c r="A2103" s="499" t="s">
        <v>8618</v>
      </c>
    </row>
    <row r="2104">
      <c r="A2104" s="499" t="s">
        <v>8619</v>
      </c>
    </row>
    <row r="2105">
      <c r="A2105" s="499" t="s">
        <v>8620</v>
      </c>
    </row>
    <row r="2106">
      <c r="A2106" s="499" t="s">
        <v>8621</v>
      </c>
    </row>
    <row r="2107">
      <c r="A2107" s="499" t="s">
        <v>8622</v>
      </c>
    </row>
    <row r="2108">
      <c r="A2108" s="499" t="s">
        <v>8623</v>
      </c>
    </row>
    <row r="2109">
      <c r="A2109" s="499" t="s">
        <v>8624</v>
      </c>
    </row>
    <row r="2110">
      <c r="A2110" s="499" t="s">
        <v>8625</v>
      </c>
    </row>
    <row r="2111">
      <c r="A2111" s="499" t="s">
        <v>8626</v>
      </c>
    </row>
    <row r="2112">
      <c r="A2112" s="499" t="s">
        <v>8627</v>
      </c>
    </row>
    <row r="2113">
      <c r="A2113" s="499" t="s">
        <v>8628</v>
      </c>
    </row>
    <row r="2114">
      <c r="A2114" s="499" t="s">
        <v>8629</v>
      </c>
    </row>
    <row r="2115">
      <c r="A2115" s="499" t="s">
        <v>8630</v>
      </c>
    </row>
    <row r="2116">
      <c r="A2116" s="499" t="s">
        <v>8631</v>
      </c>
    </row>
    <row r="2117">
      <c r="A2117" s="499" t="s">
        <v>8632</v>
      </c>
    </row>
    <row r="2118">
      <c r="A2118" s="499" t="s">
        <v>8633</v>
      </c>
    </row>
    <row r="2119">
      <c r="A2119" s="499" t="s">
        <v>8634</v>
      </c>
    </row>
    <row r="2120">
      <c r="A2120" s="499" t="s">
        <v>8635</v>
      </c>
    </row>
    <row r="2121">
      <c r="A2121" s="499" t="s">
        <v>8636</v>
      </c>
    </row>
    <row r="2122">
      <c r="A2122" s="499" t="s">
        <v>8637</v>
      </c>
    </row>
    <row r="2123">
      <c r="A2123" s="499" t="s">
        <v>8638</v>
      </c>
    </row>
    <row r="2124">
      <c r="A2124" s="499" t="s">
        <v>8639</v>
      </c>
    </row>
    <row r="2125">
      <c r="A2125" s="499" t="s">
        <v>8640</v>
      </c>
    </row>
    <row r="2126">
      <c r="A2126" s="499" t="s">
        <v>8641</v>
      </c>
    </row>
    <row r="2127">
      <c r="A2127" s="499" t="s">
        <v>8642</v>
      </c>
    </row>
    <row r="2128">
      <c r="A2128" s="499" t="s">
        <v>8643</v>
      </c>
    </row>
    <row r="2129">
      <c r="A2129" s="499" t="s">
        <v>8644</v>
      </c>
    </row>
    <row r="2130">
      <c r="A2130" s="499" t="s">
        <v>8645</v>
      </c>
    </row>
    <row r="2131">
      <c r="A2131" s="499" t="s">
        <v>8646</v>
      </c>
    </row>
    <row r="2132">
      <c r="A2132" s="499" t="s">
        <v>8647</v>
      </c>
    </row>
    <row r="2133">
      <c r="A2133" s="499" t="s">
        <v>8648</v>
      </c>
    </row>
    <row r="2134">
      <c r="A2134" s="499" t="s">
        <v>8649</v>
      </c>
    </row>
    <row r="2135">
      <c r="A2135" s="499" t="s">
        <v>8650</v>
      </c>
    </row>
    <row r="2136">
      <c r="A2136" s="499" t="s">
        <v>8651</v>
      </c>
    </row>
    <row r="2137">
      <c r="A2137" s="499" t="s">
        <v>8652</v>
      </c>
    </row>
    <row r="2138">
      <c r="A2138" s="499" t="s">
        <v>8653</v>
      </c>
    </row>
    <row r="2139">
      <c r="A2139" s="499" t="s">
        <v>8654</v>
      </c>
    </row>
    <row r="2140">
      <c r="A2140" s="499" t="s">
        <v>8655</v>
      </c>
    </row>
    <row r="2141">
      <c r="A2141" s="499" t="s">
        <v>8656</v>
      </c>
    </row>
    <row r="2142">
      <c r="A2142" s="499" t="s">
        <v>8657</v>
      </c>
    </row>
    <row r="2143">
      <c r="A2143" s="499" t="s">
        <v>8658</v>
      </c>
    </row>
    <row r="2144">
      <c r="A2144" s="499" t="s">
        <v>8659</v>
      </c>
    </row>
    <row r="2145">
      <c r="A2145" s="499" t="s">
        <v>8660</v>
      </c>
    </row>
    <row r="2146">
      <c r="A2146" s="499" t="s">
        <v>8661</v>
      </c>
    </row>
    <row r="2147">
      <c r="A2147" s="499" t="s">
        <v>8662</v>
      </c>
    </row>
    <row r="2148">
      <c r="A2148" s="499" t="s">
        <v>8663</v>
      </c>
    </row>
    <row r="2149">
      <c r="A2149" s="499" t="s">
        <v>8664</v>
      </c>
    </row>
    <row r="2150">
      <c r="A2150" s="499" t="s">
        <v>8665</v>
      </c>
    </row>
    <row r="2151">
      <c r="A2151" s="499" t="s">
        <v>8666</v>
      </c>
    </row>
    <row r="2152">
      <c r="A2152" s="499" t="s">
        <v>8667</v>
      </c>
    </row>
    <row r="2153">
      <c r="A2153" s="499" t="s">
        <v>8668</v>
      </c>
    </row>
    <row r="2154">
      <c r="A2154" s="499" t="s">
        <v>8669</v>
      </c>
    </row>
    <row r="2155">
      <c r="A2155" s="499" t="s">
        <v>8670</v>
      </c>
    </row>
    <row r="2156">
      <c r="A2156" s="499" t="s">
        <v>8671</v>
      </c>
    </row>
    <row r="2157">
      <c r="A2157" s="499" t="s">
        <v>8672</v>
      </c>
    </row>
    <row r="2158">
      <c r="A2158" s="499" t="s">
        <v>8673</v>
      </c>
    </row>
    <row r="2159">
      <c r="A2159" s="499" t="s">
        <v>8674</v>
      </c>
    </row>
    <row r="2160">
      <c r="A2160" s="499" t="s">
        <v>8675</v>
      </c>
    </row>
    <row r="2161">
      <c r="A2161" s="499" t="s">
        <v>8676</v>
      </c>
    </row>
    <row r="2162">
      <c r="A2162" s="499" t="s">
        <v>8677</v>
      </c>
    </row>
    <row r="2163">
      <c r="A2163" s="499" t="s">
        <v>8678</v>
      </c>
    </row>
    <row r="2164">
      <c r="A2164" s="499" t="s">
        <v>8679</v>
      </c>
    </row>
    <row r="2165">
      <c r="A2165" s="499" t="s">
        <v>8680</v>
      </c>
    </row>
    <row r="2166">
      <c r="A2166" s="499" t="s">
        <v>8681</v>
      </c>
    </row>
    <row r="2167">
      <c r="A2167" s="499" t="s">
        <v>8682</v>
      </c>
    </row>
    <row r="2168">
      <c r="A2168" s="499" t="s">
        <v>8683</v>
      </c>
    </row>
    <row r="2169">
      <c r="A2169" s="499" t="s">
        <v>8684</v>
      </c>
    </row>
    <row r="2170">
      <c r="A2170" s="499" t="s">
        <v>8685</v>
      </c>
    </row>
    <row r="2171">
      <c r="A2171" s="499" t="s">
        <v>8686</v>
      </c>
    </row>
    <row r="2172">
      <c r="A2172" s="499" t="s">
        <v>8687</v>
      </c>
    </row>
    <row r="2173">
      <c r="A2173" s="499" t="s">
        <v>8688</v>
      </c>
    </row>
    <row r="2174">
      <c r="A2174" s="499" t="s">
        <v>8689</v>
      </c>
    </row>
    <row r="2175">
      <c r="A2175" s="499" t="s">
        <v>8690</v>
      </c>
    </row>
    <row r="2176">
      <c r="A2176" s="499" t="s">
        <v>8691</v>
      </c>
    </row>
    <row r="2177">
      <c r="A2177" s="499" t="s">
        <v>8692</v>
      </c>
    </row>
    <row r="2178">
      <c r="A2178" s="499" t="s">
        <v>8693</v>
      </c>
    </row>
    <row r="2179">
      <c r="A2179" s="499" t="s">
        <v>8694</v>
      </c>
    </row>
    <row r="2180">
      <c r="A2180" s="499" t="s">
        <v>8695</v>
      </c>
    </row>
    <row r="2181">
      <c r="A2181" s="499" t="s">
        <v>8696</v>
      </c>
    </row>
    <row r="2182">
      <c r="A2182" s="499" t="s">
        <v>8697</v>
      </c>
    </row>
    <row r="2183">
      <c r="A2183" s="499" t="s">
        <v>8698</v>
      </c>
    </row>
    <row r="2184">
      <c r="A2184" s="499" t="s">
        <v>8699</v>
      </c>
    </row>
    <row r="2185">
      <c r="A2185" s="499" t="s">
        <v>8700</v>
      </c>
    </row>
    <row r="2186">
      <c r="A2186" s="499" t="s">
        <v>8701</v>
      </c>
    </row>
    <row r="2187">
      <c r="A2187" s="499" t="s">
        <v>8702</v>
      </c>
    </row>
    <row r="2188">
      <c r="A2188" s="499" t="s">
        <v>8703</v>
      </c>
    </row>
    <row r="2189">
      <c r="A2189" s="499" t="s">
        <v>8704</v>
      </c>
    </row>
    <row r="2190">
      <c r="A2190" s="499" t="s">
        <v>8705</v>
      </c>
    </row>
    <row r="2191">
      <c r="A2191" s="499" t="s">
        <v>8706</v>
      </c>
    </row>
    <row r="2192">
      <c r="A2192" s="499" t="s">
        <v>8707</v>
      </c>
    </row>
    <row r="2193">
      <c r="A2193" s="499" t="s">
        <v>8708</v>
      </c>
    </row>
    <row r="2194">
      <c r="A2194" s="499" t="s">
        <v>8709</v>
      </c>
    </row>
    <row r="2195">
      <c r="A2195" s="499" t="s">
        <v>8710</v>
      </c>
    </row>
    <row r="2196">
      <c r="A2196" s="499" t="s">
        <v>8711</v>
      </c>
    </row>
    <row r="2197">
      <c r="A2197" s="499" t="s">
        <v>8712</v>
      </c>
    </row>
    <row r="2198">
      <c r="A2198" s="499" t="s">
        <v>8713</v>
      </c>
    </row>
    <row r="2199">
      <c r="A2199" s="499" t="s">
        <v>8714</v>
      </c>
    </row>
    <row r="2200">
      <c r="A2200" s="499" t="s">
        <v>8715</v>
      </c>
    </row>
    <row r="2201">
      <c r="A2201" s="499" t="s">
        <v>8716</v>
      </c>
    </row>
    <row r="2202">
      <c r="A2202" s="499" t="s">
        <v>8717</v>
      </c>
    </row>
    <row r="2203">
      <c r="A2203" s="499" t="s">
        <v>8718</v>
      </c>
    </row>
    <row r="2204">
      <c r="A2204" s="499" t="s">
        <v>8719</v>
      </c>
    </row>
    <row r="2205">
      <c r="A2205" s="499" t="s">
        <v>8720</v>
      </c>
    </row>
    <row r="2206">
      <c r="A2206" s="499" t="s">
        <v>8721</v>
      </c>
    </row>
    <row r="2207">
      <c r="A2207" s="499" t="s">
        <v>8722</v>
      </c>
    </row>
    <row r="2208">
      <c r="A2208" s="499" t="s">
        <v>8723</v>
      </c>
    </row>
    <row r="2209">
      <c r="A2209" s="499" t="s">
        <v>8724</v>
      </c>
    </row>
    <row r="2210">
      <c r="A2210" s="499" t="s">
        <v>8725</v>
      </c>
    </row>
    <row r="2211">
      <c r="A2211" s="499" t="s">
        <v>8726</v>
      </c>
    </row>
    <row r="2212">
      <c r="A2212" s="499" t="s">
        <v>8727</v>
      </c>
    </row>
    <row r="2213">
      <c r="A2213" s="499" t="s">
        <v>8728</v>
      </c>
    </row>
    <row r="2214">
      <c r="A2214" s="499" t="s">
        <v>8729</v>
      </c>
    </row>
    <row r="2215">
      <c r="A2215" s="499" t="s">
        <v>8730</v>
      </c>
    </row>
    <row r="2216">
      <c r="A2216" s="499" t="s">
        <v>8731</v>
      </c>
    </row>
    <row r="2217">
      <c r="A2217" s="499" t="s">
        <v>8732</v>
      </c>
    </row>
    <row r="2218">
      <c r="A2218" s="499" t="s">
        <v>8733</v>
      </c>
    </row>
    <row r="2219">
      <c r="A2219" s="499" t="s">
        <v>8734</v>
      </c>
    </row>
    <row r="2220">
      <c r="A2220" s="499" t="s">
        <v>8735</v>
      </c>
    </row>
    <row r="2221">
      <c r="A2221" s="499" t="s">
        <v>8736</v>
      </c>
    </row>
    <row r="2222">
      <c r="A2222" s="499" t="s">
        <v>8737</v>
      </c>
    </row>
    <row r="2223">
      <c r="A2223" s="499" t="s">
        <v>8738</v>
      </c>
    </row>
    <row r="2224">
      <c r="A2224" s="499" t="s">
        <v>8739</v>
      </c>
    </row>
    <row r="2225">
      <c r="A2225" s="499" t="s">
        <v>8740</v>
      </c>
    </row>
    <row r="2226">
      <c r="A2226" s="499" t="s">
        <v>8741</v>
      </c>
    </row>
    <row r="2227">
      <c r="A2227" s="499" t="s">
        <v>8742</v>
      </c>
    </row>
    <row r="2228">
      <c r="A2228" s="499" t="s">
        <v>8743</v>
      </c>
    </row>
    <row r="2229">
      <c r="A2229" s="499" t="s">
        <v>8744</v>
      </c>
    </row>
    <row r="2230">
      <c r="A2230" s="499" t="s">
        <v>8745</v>
      </c>
    </row>
    <row r="2231">
      <c r="A2231" s="499" t="s">
        <v>8746</v>
      </c>
    </row>
    <row r="2232">
      <c r="A2232" s="499" t="s">
        <v>8747</v>
      </c>
    </row>
    <row r="2233">
      <c r="A2233" s="499" t="s">
        <v>8748</v>
      </c>
    </row>
    <row r="2234">
      <c r="A2234" s="499" t="s">
        <v>8749</v>
      </c>
    </row>
    <row r="2235">
      <c r="A2235" s="499" t="s">
        <v>8750</v>
      </c>
    </row>
    <row r="2236">
      <c r="A2236" s="499" t="s">
        <v>8751</v>
      </c>
    </row>
    <row r="2237">
      <c r="A2237" s="499" t="s">
        <v>8752</v>
      </c>
    </row>
    <row r="2238">
      <c r="A2238" s="499" t="s">
        <v>8753</v>
      </c>
    </row>
    <row r="2239">
      <c r="A2239" s="499" t="s">
        <v>8754</v>
      </c>
    </row>
    <row r="2240">
      <c r="A2240" s="499" t="s">
        <v>8755</v>
      </c>
    </row>
    <row r="2241">
      <c r="A2241" s="499" t="s">
        <v>8756</v>
      </c>
    </row>
    <row r="2242">
      <c r="A2242" s="499" t="s">
        <v>8757</v>
      </c>
    </row>
    <row r="2243">
      <c r="A2243" s="499" t="s">
        <v>8758</v>
      </c>
    </row>
    <row r="2244">
      <c r="A2244" s="499" t="s">
        <v>8759</v>
      </c>
    </row>
    <row r="2245">
      <c r="A2245" s="499" t="s">
        <v>8760</v>
      </c>
    </row>
    <row r="2246">
      <c r="A2246" s="499" t="s">
        <v>8761</v>
      </c>
    </row>
    <row r="2247">
      <c r="A2247" s="499" t="s">
        <v>8762</v>
      </c>
    </row>
    <row r="2248">
      <c r="A2248" s="499" t="s">
        <v>8763</v>
      </c>
    </row>
    <row r="2249">
      <c r="A2249" s="499" t="s">
        <v>8764</v>
      </c>
    </row>
    <row r="2250">
      <c r="A2250" s="499" t="s">
        <v>8765</v>
      </c>
    </row>
    <row r="2251">
      <c r="A2251" s="499" t="s">
        <v>8766</v>
      </c>
    </row>
    <row r="2252">
      <c r="A2252" s="499" t="s">
        <v>8767</v>
      </c>
    </row>
    <row r="2253">
      <c r="A2253" s="499" t="s">
        <v>8768</v>
      </c>
    </row>
    <row r="2254">
      <c r="A2254" s="499" t="s">
        <v>8769</v>
      </c>
    </row>
    <row r="2255">
      <c r="A2255" s="499" t="s">
        <v>8770</v>
      </c>
    </row>
    <row r="2256">
      <c r="A2256" s="499" t="s">
        <v>8771</v>
      </c>
    </row>
    <row r="2257">
      <c r="A2257" s="499" t="s">
        <v>8772</v>
      </c>
    </row>
    <row r="2258">
      <c r="A2258" s="499" t="s">
        <v>8773</v>
      </c>
    </row>
    <row r="2259">
      <c r="A2259" s="499" t="s">
        <v>8774</v>
      </c>
    </row>
    <row r="2260">
      <c r="A2260" s="499" t="s">
        <v>8775</v>
      </c>
    </row>
    <row r="2261">
      <c r="A2261" s="499" t="s">
        <v>8776</v>
      </c>
    </row>
    <row r="2262">
      <c r="A2262" s="499" t="s">
        <v>8777</v>
      </c>
    </row>
    <row r="2263">
      <c r="A2263" s="499" t="s">
        <v>8778</v>
      </c>
    </row>
    <row r="2264">
      <c r="A2264" s="499" t="s">
        <v>8779</v>
      </c>
    </row>
    <row r="2265">
      <c r="A2265" s="499" t="s">
        <v>8780</v>
      </c>
    </row>
    <row r="2266">
      <c r="A2266" s="499" t="s">
        <v>8781</v>
      </c>
    </row>
    <row r="2267">
      <c r="A2267" s="499" t="s">
        <v>8782</v>
      </c>
    </row>
    <row r="2268">
      <c r="A2268" s="499" t="s">
        <v>8783</v>
      </c>
    </row>
    <row r="2269">
      <c r="A2269" s="499" t="s">
        <v>8784</v>
      </c>
    </row>
    <row r="2270">
      <c r="A2270" s="499" t="s">
        <v>8785</v>
      </c>
    </row>
    <row r="2271">
      <c r="A2271" s="499" t="s">
        <v>8786</v>
      </c>
    </row>
    <row r="2272">
      <c r="A2272" s="499" t="s">
        <v>8787</v>
      </c>
    </row>
    <row r="2273">
      <c r="A2273" s="499" t="s">
        <v>8788</v>
      </c>
    </row>
    <row r="2274">
      <c r="A2274" s="499" t="s">
        <v>8789</v>
      </c>
    </row>
    <row r="2275">
      <c r="A2275" s="499" t="s">
        <v>8790</v>
      </c>
    </row>
    <row r="2276">
      <c r="A2276" s="499" t="s">
        <v>8791</v>
      </c>
    </row>
    <row r="2277">
      <c r="A2277" s="499" t="s">
        <v>8792</v>
      </c>
    </row>
    <row r="2278">
      <c r="A2278" s="499" t="s">
        <v>8793</v>
      </c>
    </row>
    <row r="2279">
      <c r="A2279" s="499" t="s">
        <v>8794</v>
      </c>
    </row>
    <row r="2280">
      <c r="A2280" s="499" t="s">
        <v>8795</v>
      </c>
    </row>
    <row r="2281">
      <c r="A2281" s="499" t="s">
        <v>8796</v>
      </c>
    </row>
    <row r="2282">
      <c r="A2282" s="499" t="s">
        <v>8797</v>
      </c>
    </row>
    <row r="2283">
      <c r="A2283" s="499" t="s">
        <v>8798</v>
      </c>
    </row>
    <row r="2284">
      <c r="A2284" s="499" t="s">
        <v>8799</v>
      </c>
    </row>
    <row r="2285">
      <c r="A2285" s="499" t="s">
        <v>8800</v>
      </c>
    </row>
    <row r="2286">
      <c r="A2286" s="499" t="s">
        <v>8801</v>
      </c>
    </row>
    <row r="2287">
      <c r="A2287" s="499" t="s">
        <v>8802</v>
      </c>
    </row>
    <row r="2288">
      <c r="A2288" s="499" t="s">
        <v>8803</v>
      </c>
    </row>
    <row r="2289">
      <c r="A2289" s="499" t="s">
        <v>8804</v>
      </c>
    </row>
    <row r="2290">
      <c r="A2290" s="499" t="s">
        <v>8805</v>
      </c>
    </row>
    <row r="2291">
      <c r="A2291" s="499" t="s">
        <v>8806</v>
      </c>
    </row>
    <row r="2292">
      <c r="A2292" s="499" t="s">
        <v>8807</v>
      </c>
    </row>
    <row r="2293">
      <c r="A2293" s="499" t="s">
        <v>8808</v>
      </c>
    </row>
    <row r="2294">
      <c r="A2294" s="499" t="s">
        <v>8809</v>
      </c>
    </row>
    <row r="2295">
      <c r="A2295" s="499" t="s">
        <v>8810</v>
      </c>
    </row>
    <row r="2296">
      <c r="A2296" s="499" t="s">
        <v>8811</v>
      </c>
    </row>
    <row r="2297">
      <c r="A2297" s="499" t="s">
        <v>8812</v>
      </c>
    </row>
    <row r="2298">
      <c r="A2298" s="499" t="s">
        <v>8813</v>
      </c>
    </row>
    <row r="2299">
      <c r="A2299" s="499" t="s">
        <v>8814</v>
      </c>
    </row>
    <row r="2300">
      <c r="A2300" s="499" t="s">
        <v>8815</v>
      </c>
    </row>
    <row r="2301">
      <c r="A2301" s="499" t="s">
        <v>8816</v>
      </c>
    </row>
    <row r="2302">
      <c r="A2302" s="499" t="s">
        <v>8817</v>
      </c>
    </row>
    <row r="2303">
      <c r="A2303" s="499" t="s">
        <v>8818</v>
      </c>
    </row>
    <row r="2304">
      <c r="A2304" s="499" t="s">
        <v>8819</v>
      </c>
    </row>
    <row r="2305">
      <c r="A2305" s="499" t="s">
        <v>8820</v>
      </c>
    </row>
    <row r="2306">
      <c r="A2306" s="499" t="s">
        <v>8821</v>
      </c>
    </row>
    <row r="2307">
      <c r="A2307" s="499" t="s">
        <v>8822</v>
      </c>
    </row>
    <row r="2308">
      <c r="A2308" s="499" t="s">
        <v>8823</v>
      </c>
    </row>
    <row r="2309">
      <c r="A2309" s="499" t="s">
        <v>8824</v>
      </c>
    </row>
    <row r="2310">
      <c r="A2310" s="499" t="s">
        <v>8825</v>
      </c>
    </row>
    <row r="2311">
      <c r="A2311" s="499" t="s">
        <v>8826</v>
      </c>
    </row>
    <row r="2312">
      <c r="A2312" s="499" t="s">
        <v>8827</v>
      </c>
    </row>
    <row r="2313">
      <c r="A2313" s="499" t="s">
        <v>8828</v>
      </c>
    </row>
    <row r="2314">
      <c r="A2314" s="499" t="s">
        <v>8829</v>
      </c>
    </row>
    <row r="2315">
      <c r="A2315" s="499" t="s">
        <v>8830</v>
      </c>
    </row>
    <row r="2316">
      <c r="A2316" s="499" t="s">
        <v>8831</v>
      </c>
    </row>
    <row r="2317">
      <c r="A2317" s="499" t="s">
        <v>8832</v>
      </c>
    </row>
    <row r="2318">
      <c r="A2318" s="499" t="s">
        <v>8833</v>
      </c>
    </row>
    <row r="2319">
      <c r="A2319" s="499" t="s">
        <v>8834</v>
      </c>
    </row>
    <row r="2320">
      <c r="A2320" s="499" t="s">
        <v>8835</v>
      </c>
    </row>
    <row r="2321">
      <c r="A2321" s="499" t="s">
        <v>8836</v>
      </c>
    </row>
    <row r="2322">
      <c r="A2322" s="499" t="s">
        <v>8837</v>
      </c>
    </row>
    <row r="2323">
      <c r="A2323" s="499" t="s">
        <v>8838</v>
      </c>
    </row>
    <row r="2324">
      <c r="A2324" s="499" t="s">
        <v>8839</v>
      </c>
    </row>
    <row r="2325">
      <c r="A2325" s="499" t="s">
        <v>8840</v>
      </c>
    </row>
    <row r="2326">
      <c r="A2326" s="499" t="s">
        <v>8841</v>
      </c>
    </row>
    <row r="2327">
      <c r="A2327" s="499" t="s">
        <v>8842</v>
      </c>
    </row>
    <row r="2328">
      <c r="A2328" s="499" t="s">
        <v>8843</v>
      </c>
    </row>
    <row r="2329">
      <c r="A2329" s="499" t="s">
        <v>8844</v>
      </c>
    </row>
    <row r="2330">
      <c r="A2330" s="499" t="s">
        <v>8845</v>
      </c>
    </row>
    <row r="2331">
      <c r="A2331" s="499" t="s">
        <v>8846</v>
      </c>
    </row>
    <row r="2332">
      <c r="A2332" s="499" t="s">
        <v>8847</v>
      </c>
    </row>
    <row r="2333">
      <c r="A2333" s="499" t="s">
        <v>8848</v>
      </c>
    </row>
    <row r="2334">
      <c r="A2334" s="499" t="s">
        <v>8849</v>
      </c>
    </row>
    <row r="2335">
      <c r="A2335" s="499" t="s">
        <v>8850</v>
      </c>
    </row>
    <row r="2336">
      <c r="A2336" s="499" t="s">
        <v>8851</v>
      </c>
    </row>
    <row r="2337">
      <c r="A2337" s="499" t="s">
        <v>8852</v>
      </c>
    </row>
    <row r="2338">
      <c r="A2338" s="499" t="s">
        <v>8853</v>
      </c>
    </row>
    <row r="2339">
      <c r="A2339" s="499" t="s">
        <v>8854</v>
      </c>
    </row>
    <row r="2340">
      <c r="A2340" s="499" t="s">
        <v>8855</v>
      </c>
    </row>
    <row r="2341">
      <c r="A2341" s="499" t="s">
        <v>8856</v>
      </c>
    </row>
    <row r="2342">
      <c r="A2342" s="499" t="s">
        <v>8857</v>
      </c>
    </row>
    <row r="2343">
      <c r="A2343" s="499" t="s">
        <v>8858</v>
      </c>
    </row>
    <row r="2344">
      <c r="A2344" s="499" t="s">
        <v>8859</v>
      </c>
    </row>
    <row r="2345">
      <c r="A2345" s="499" t="s">
        <v>8860</v>
      </c>
    </row>
    <row r="2346">
      <c r="A2346" s="499" t="s">
        <v>8861</v>
      </c>
    </row>
    <row r="2347">
      <c r="A2347" s="499" t="s">
        <v>8862</v>
      </c>
    </row>
    <row r="2348">
      <c r="A2348" s="499" t="s">
        <v>8863</v>
      </c>
    </row>
    <row r="2349">
      <c r="A2349" s="499" t="s">
        <v>8864</v>
      </c>
    </row>
    <row r="2350">
      <c r="A2350" s="499" t="s">
        <v>8865</v>
      </c>
    </row>
    <row r="2351">
      <c r="A2351" s="499" t="s">
        <v>8866</v>
      </c>
    </row>
    <row r="2352">
      <c r="A2352" s="499" t="s">
        <v>8867</v>
      </c>
    </row>
    <row r="2353">
      <c r="A2353" s="499" t="s">
        <v>8868</v>
      </c>
    </row>
    <row r="2354">
      <c r="A2354" s="499" t="s">
        <v>8869</v>
      </c>
    </row>
    <row r="2355">
      <c r="A2355" s="499" t="s">
        <v>8870</v>
      </c>
    </row>
    <row r="2356">
      <c r="A2356" s="499" t="s">
        <v>8871</v>
      </c>
    </row>
    <row r="2357">
      <c r="A2357" s="499" t="s">
        <v>8872</v>
      </c>
    </row>
    <row r="2358">
      <c r="A2358" s="499" t="s">
        <v>8873</v>
      </c>
    </row>
    <row r="2359">
      <c r="A2359" s="499" t="s">
        <v>8874</v>
      </c>
    </row>
    <row r="2360">
      <c r="A2360" s="499" t="s">
        <v>8875</v>
      </c>
    </row>
    <row r="2361">
      <c r="A2361" s="499" t="s">
        <v>8876</v>
      </c>
    </row>
    <row r="2362">
      <c r="A2362" s="499" t="s">
        <v>8877</v>
      </c>
    </row>
    <row r="2363">
      <c r="A2363" s="499" t="s">
        <v>8878</v>
      </c>
    </row>
    <row r="2364">
      <c r="A2364" s="499" t="s">
        <v>8879</v>
      </c>
    </row>
    <row r="2365">
      <c r="A2365" s="499" t="s">
        <v>8880</v>
      </c>
    </row>
    <row r="2366">
      <c r="A2366" s="499" t="s">
        <v>8881</v>
      </c>
    </row>
    <row r="2367">
      <c r="A2367" s="499" t="s">
        <v>8882</v>
      </c>
    </row>
    <row r="2368">
      <c r="A2368" s="499" t="s">
        <v>8883</v>
      </c>
    </row>
    <row r="2369">
      <c r="A2369" s="499" t="s">
        <v>8884</v>
      </c>
    </row>
    <row r="2370">
      <c r="A2370" s="499" t="s">
        <v>8885</v>
      </c>
    </row>
    <row r="2371">
      <c r="A2371" s="499" t="s">
        <v>8886</v>
      </c>
    </row>
    <row r="2372">
      <c r="A2372" s="499" t="s">
        <v>8887</v>
      </c>
    </row>
    <row r="2373">
      <c r="A2373" s="499" t="s">
        <v>8888</v>
      </c>
    </row>
    <row r="2374">
      <c r="A2374" s="499" t="s">
        <v>8889</v>
      </c>
    </row>
    <row r="2375">
      <c r="A2375" s="499" t="s">
        <v>8890</v>
      </c>
    </row>
    <row r="2376">
      <c r="A2376" s="499" t="s">
        <v>8891</v>
      </c>
    </row>
    <row r="2377">
      <c r="A2377" s="499" t="s">
        <v>8892</v>
      </c>
    </row>
    <row r="2378">
      <c r="A2378" s="499" t="s">
        <v>8893</v>
      </c>
    </row>
    <row r="2379">
      <c r="A2379" s="499" t="s">
        <v>8894</v>
      </c>
    </row>
    <row r="2380">
      <c r="A2380" s="499" t="s">
        <v>8895</v>
      </c>
    </row>
    <row r="2381">
      <c r="A2381" s="499" t="s">
        <v>8896</v>
      </c>
    </row>
    <row r="2382">
      <c r="A2382" s="499" t="s">
        <v>8897</v>
      </c>
    </row>
    <row r="2383">
      <c r="A2383" s="499" t="s">
        <v>8898</v>
      </c>
    </row>
    <row r="2384">
      <c r="A2384" s="499" t="s">
        <v>8899</v>
      </c>
    </row>
    <row r="2385">
      <c r="A2385" s="499" t="s">
        <v>8900</v>
      </c>
    </row>
    <row r="2386">
      <c r="A2386" s="499" t="s">
        <v>8901</v>
      </c>
    </row>
    <row r="2387">
      <c r="A2387" s="499" t="s">
        <v>8902</v>
      </c>
    </row>
    <row r="2388">
      <c r="A2388" s="499" t="s">
        <v>8903</v>
      </c>
    </row>
    <row r="2389">
      <c r="A2389" s="499" t="s">
        <v>8904</v>
      </c>
    </row>
    <row r="2390">
      <c r="A2390" s="499" t="s">
        <v>8905</v>
      </c>
    </row>
    <row r="2391">
      <c r="A2391" s="499" t="s">
        <v>8906</v>
      </c>
    </row>
    <row r="2392">
      <c r="A2392" s="499" t="s">
        <v>8907</v>
      </c>
    </row>
    <row r="2393">
      <c r="A2393" s="499" t="s">
        <v>8908</v>
      </c>
    </row>
    <row r="2394">
      <c r="A2394" s="499" t="s">
        <v>8909</v>
      </c>
    </row>
    <row r="2395">
      <c r="A2395" s="499" t="s">
        <v>8910</v>
      </c>
    </row>
    <row r="2396">
      <c r="A2396" s="499" t="s">
        <v>8911</v>
      </c>
    </row>
    <row r="2397">
      <c r="A2397" s="499" t="s">
        <v>8912</v>
      </c>
    </row>
    <row r="2398">
      <c r="A2398" s="499" t="s">
        <v>8913</v>
      </c>
    </row>
    <row r="2399">
      <c r="A2399" s="499" t="s">
        <v>8914</v>
      </c>
    </row>
    <row r="2400">
      <c r="A2400" s="499" t="s">
        <v>8915</v>
      </c>
    </row>
    <row r="2401">
      <c r="A2401" s="499" t="s">
        <v>8916</v>
      </c>
    </row>
    <row r="2402">
      <c r="A2402" s="499" t="s">
        <v>8917</v>
      </c>
    </row>
    <row r="2403">
      <c r="A2403" s="499" t="s">
        <v>8918</v>
      </c>
    </row>
    <row r="2404">
      <c r="A2404" s="499" t="s">
        <v>8919</v>
      </c>
    </row>
    <row r="2405">
      <c r="A2405" s="499" t="s">
        <v>8920</v>
      </c>
    </row>
    <row r="2406">
      <c r="A2406" s="499" t="s">
        <v>8921</v>
      </c>
    </row>
    <row r="2407">
      <c r="A2407" s="499" t="s">
        <v>8922</v>
      </c>
    </row>
    <row r="2408">
      <c r="A2408" s="499" t="s">
        <v>8923</v>
      </c>
    </row>
    <row r="2409">
      <c r="A2409" s="499" t="s">
        <v>8924</v>
      </c>
    </row>
    <row r="2410">
      <c r="A2410" s="499" t="s">
        <v>8925</v>
      </c>
    </row>
    <row r="2411">
      <c r="A2411" s="499" t="s">
        <v>8926</v>
      </c>
    </row>
    <row r="2412">
      <c r="A2412" s="499" t="s">
        <v>8927</v>
      </c>
    </row>
    <row r="2413">
      <c r="A2413" s="499" t="s">
        <v>8928</v>
      </c>
    </row>
    <row r="2414">
      <c r="A2414" s="499" t="s">
        <v>8929</v>
      </c>
    </row>
    <row r="2415">
      <c r="A2415" s="499" t="s">
        <v>8930</v>
      </c>
    </row>
    <row r="2416">
      <c r="A2416" s="499" t="s">
        <v>8931</v>
      </c>
    </row>
    <row r="2417">
      <c r="A2417" s="499" t="s">
        <v>8932</v>
      </c>
    </row>
    <row r="2418">
      <c r="A2418" s="499" t="s">
        <v>8933</v>
      </c>
    </row>
    <row r="2419">
      <c r="A2419" s="499" t="s">
        <v>8934</v>
      </c>
    </row>
    <row r="2420">
      <c r="A2420" s="499" t="s">
        <v>8935</v>
      </c>
    </row>
    <row r="2421">
      <c r="A2421" s="499" t="s">
        <v>8936</v>
      </c>
    </row>
    <row r="2422">
      <c r="A2422" s="499" t="s">
        <v>8937</v>
      </c>
    </row>
    <row r="2423">
      <c r="A2423" s="499" t="s">
        <v>8938</v>
      </c>
    </row>
    <row r="2424">
      <c r="A2424" s="499" t="s">
        <v>8939</v>
      </c>
    </row>
    <row r="2425">
      <c r="A2425" s="499" t="s">
        <v>8940</v>
      </c>
    </row>
    <row r="2426">
      <c r="A2426" s="499" t="s">
        <v>8941</v>
      </c>
    </row>
    <row r="2427">
      <c r="A2427" s="499" t="s">
        <v>8942</v>
      </c>
    </row>
    <row r="2428">
      <c r="A2428" s="499" t="s">
        <v>8943</v>
      </c>
    </row>
    <row r="2429">
      <c r="A2429" s="499" t="s">
        <v>8944</v>
      </c>
    </row>
    <row r="2430">
      <c r="A2430" s="499" t="s">
        <v>8945</v>
      </c>
    </row>
    <row r="2431">
      <c r="A2431" s="499" t="s">
        <v>8946</v>
      </c>
    </row>
    <row r="2432">
      <c r="A2432" s="499" t="s">
        <v>8947</v>
      </c>
    </row>
    <row r="2433">
      <c r="A2433" s="499" t="s">
        <v>8948</v>
      </c>
    </row>
    <row r="2434">
      <c r="A2434" s="499" t="s">
        <v>8949</v>
      </c>
    </row>
    <row r="2435">
      <c r="A2435" s="499" t="s">
        <v>8950</v>
      </c>
    </row>
    <row r="2436">
      <c r="A2436" s="499" t="s">
        <v>8951</v>
      </c>
    </row>
    <row r="2437">
      <c r="A2437" s="499" t="s">
        <v>8952</v>
      </c>
    </row>
    <row r="2438">
      <c r="A2438" s="499" t="s">
        <v>8953</v>
      </c>
    </row>
    <row r="2439">
      <c r="A2439" s="499" t="s">
        <v>8954</v>
      </c>
    </row>
    <row r="2440">
      <c r="A2440" s="499" t="s">
        <v>8955</v>
      </c>
    </row>
    <row r="2441">
      <c r="A2441" s="499" t="s">
        <v>8956</v>
      </c>
    </row>
    <row r="2442">
      <c r="A2442" s="499" t="s">
        <v>8957</v>
      </c>
    </row>
    <row r="2443">
      <c r="A2443" s="499" t="s">
        <v>8958</v>
      </c>
    </row>
    <row r="2444">
      <c r="A2444" s="499" t="s">
        <v>8959</v>
      </c>
    </row>
    <row r="2445">
      <c r="A2445" s="499" t="s">
        <v>8960</v>
      </c>
    </row>
    <row r="2446">
      <c r="A2446" s="499" t="s">
        <v>8961</v>
      </c>
    </row>
    <row r="2447">
      <c r="A2447" s="499" t="s">
        <v>8962</v>
      </c>
    </row>
    <row r="2448">
      <c r="A2448" s="499" t="s">
        <v>8963</v>
      </c>
    </row>
    <row r="2449">
      <c r="A2449" s="499" t="s">
        <v>8964</v>
      </c>
    </row>
    <row r="2450">
      <c r="A2450" s="499" t="s">
        <v>8965</v>
      </c>
    </row>
    <row r="2451">
      <c r="A2451" s="499" t="s">
        <v>8966</v>
      </c>
    </row>
    <row r="2452">
      <c r="A2452" s="499" t="s">
        <v>8967</v>
      </c>
    </row>
    <row r="2453">
      <c r="A2453" s="499" t="s">
        <v>8968</v>
      </c>
    </row>
    <row r="2454">
      <c r="A2454" s="499" t="s">
        <v>8969</v>
      </c>
    </row>
    <row r="2455">
      <c r="A2455" s="499" t="s">
        <v>8970</v>
      </c>
    </row>
    <row r="2456">
      <c r="A2456" s="499" t="s">
        <v>8971</v>
      </c>
    </row>
    <row r="2457">
      <c r="A2457" s="499" t="s">
        <v>8972</v>
      </c>
    </row>
    <row r="2458">
      <c r="A2458" s="499" t="s">
        <v>8973</v>
      </c>
    </row>
    <row r="2459">
      <c r="A2459" s="499" t="s">
        <v>8974</v>
      </c>
    </row>
    <row r="2460">
      <c r="A2460" s="499" t="s">
        <v>8975</v>
      </c>
    </row>
    <row r="2461">
      <c r="A2461" s="499" t="s">
        <v>8976</v>
      </c>
    </row>
    <row r="2462">
      <c r="A2462" s="499" t="s">
        <v>8977</v>
      </c>
    </row>
    <row r="2463">
      <c r="A2463" s="499" t="s">
        <v>8978</v>
      </c>
    </row>
    <row r="2464">
      <c r="A2464" s="499" t="s">
        <v>8979</v>
      </c>
    </row>
    <row r="2465">
      <c r="A2465" s="499" t="s">
        <v>8980</v>
      </c>
    </row>
    <row r="2466">
      <c r="A2466" s="499" t="s">
        <v>8981</v>
      </c>
    </row>
    <row r="2467">
      <c r="A2467" s="499" t="s">
        <v>8982</v>
      </c>
    </row>
    <row r="2468">
      <c r="A2468" s="499" t="s">
        <v>8983</v>
      </c>
    </row>
    <row r="2469">
      <c r="A2469" s="499" t="s">
        <v>8984</v>
      </c>
    </row>
    <row r="2470">
      <c r="A2470" s="499" t="s">
        <v>8985</v>
      </c>
    </row>
    <row r="2471">
      <c r="A2471" s="499" t="s">
        <v>8986</v>
      </c>
    </row>
    <row r="2472">
      <c r="A2472" s="499" t="s">
        <v>8987</v>
      </c>
    </row>
    <row r="2473">
      <c r="A2473" s="499" t="s">
        <v>8988</v>
      </c>
    </row>
    <row r="2474">
      <c r="A2474" s="499" t="s">
        <v>8989</v>
      </c>
    </row>
    <row r="2475">
      <c r="A2475" s="499" t="s">
        <v>8990</v>
      </c>
    </row>
    <row r="2476">
      <c r="A2476" s="499" t="s">
        <v>8991</v>
      </c>
    </row>
    <row r="2477">
      <c r="A2477" s="499" t="s">
        <v>8992</v>
      </c>
    </row>
    <row r="2478">
      <c r="A2478" s="499" t="s">
        <v>8993</v>
      </c>
    </row>
    <row r="2479">
      <c r="A2479" s="499" t="s">
        <v>8994</v>
      </c>
    </row>
    <row r="2480">
      <c r="A2480" s="499" t="s">
        <v>8995</v>
      </c>
    </row>
    <row r="2481">
      <c r="A2481" s="499" t="s">
        <v>8996</v>
      </c>
    </row>
    <row r="2482">
      <c r="A2482" s="499" t="s">
        <v>8997</v>
      </c>
    </row>
    <row r="2483">
      <c r="A2483" s="499" t="s">
        <v>8998</v>
      </c>
    </row>
    <row r="2484">
      <c r="A2484" s="499" t="s">
        <v>8999</v>
      </c>
    </row>
    <row r="2485">
      <c r="A2485" s="499" t="s">
        <v>9000</v>
      </c>
    </row>
    <row r="2486">
      <c r="A2486" s="499" t="s">
        <v>9001</v>
      </c>
    </row>
    <row r="2487">
      <c r="A2487" s="499" t="s">
        <v>9002</v>
      </c>
    </row>
    <row r="2488">
      <c r="A2488" s="499" t="s">
        <v>9003</v>
      </c>
    </row>
    <row r="2489">
      <c r="A2489" s="499" t="s">
        <v>9004</v>
      </c>
    </row>
    <row r="2490">
      <c r="A2490" s="499" t="s">
        <v>9005</v>
      </c>
    </row>
    <row r="2491">
      <c r="A2491" s="499" t="s">
        <v>9006</v>
      </c>
    </row>
    <row r="2492">
      <c r="A2492" s="499" t="s">
        <v>9007</v>
      </c>
    </row>
    <row r="2493">
      <c r="A2493" s="499" t="s">
        <v>9008</v>
      </c>
    </row>
    <row r="2494">
      <c r="A2494" s="499" t="s">
        <v>9009</v>
      </c>
    </row>
    <row r="2495">
      <c r="A2495" s="499" t="s">
        <v>9010</v>
      </c>
    </row>
    <row r="2496">
      <c r="A2496" s="499" t="s">
        <v>9011</v>
      </c>
    </row>
    <row r="2497">
      <c r="A2497" s="499" t="s">
        <v>9012</v>
      </c>
    </row>
    <row r="2498">
      <c r="A2498" s="499" t="s">
        <v>9013</v>
      </c>
    </row>
    <row r="2499">
      <c r="A2499" s="499" t="s">
        <v>9014</v>
      </c>
    </row>
    <row r="2500">
      <c r="A2500" s="499" t="s">
        <v>9015</v>
      </c>
    </row>
    <row r="2501">
      <c r="A2501" s="499" t="s">
        <v>9016</v>
      </c>
    </row>
    <row r="2502">
      <c r="A2502" s="499" t="s">
        <v>9017</v>
      </c>
    </row>
    <row r="2503">
      <c r="A2503" s="499" t="s">
        <v>9018</v>
      </c>
    </row>
    <row r="2504">
      <c r="A2504" s="499" t="s">
        <v>9019</v>
      </c>
    </row>
    <row r="2505">
      <c r="A2505" s="499" t="s">
        <v>9020</v>
      </c>
    </row>
    <row r="2506">
      <c r="A2506" s="499" t="s">
        <v>9021</v>
      </c>
    </row>
    <row r="2507">
      <c r="A2507" s="499" t="s">
        <v>9022</v>
      </c>
    </row>
    <row r="2508">
      <c r="A2508" s="499" t="s">
        <v>9023</v>
      </c>
    </row>
    <row r="2509">
      <c r="A2509" s="499" t="s">
        <v>9024</v>
      </c>
    </row>
    <row r="2510">
      <c r="A2510" s="499" t="s">
        <v>9025</v>
      </c>
    </row>
    <row r="2511">
      <c r="A2511" s="499" t="s">
        <v>9026</v>
      </c>
    </row>
    <row r="2512">
      <c r="A2512" s="499" t="s">
        <v>9027</v>
      </c>
    </row>
    <row r="2513">
      <c r="A2513" s="499" t="s">
        <v>9028</v>
      </c>
    </row>
    <row r="2514">
      <c r="A2514" s="499" t="s">
        <v>9029</v>
      </c>
    </row>
    <row r="2515">
      <c r="A2515" s="499" t="s">
        <v>9030</v>
      </c>
    </row>
    <row r="2516">
      <c r="A2516" s="499" t="s">
        <v>9031</v>
      </c>
    </row>
    <row r="2517">
      <c r="A2517" s="499" t="s">
        <v>9032</v>
      </c>
    </row>
    <row r="2518">
      <c r="A2518" s="499" t="s">
        <v>9033</v>
      </c>
    </row>
    <row r="2519">
      <c r="A2519" s="499" t="s">
        <v>9034</v>
      </c>
    </row>
    <row r="2520">
      <c r="A2520" s="499" t="s">
        <v>9035</v>
      </c>
    </row>
    <row r="2521">
      <c r="A2521" s="499" t="s">
        <v>9036</v>
      </c>
    </row>
    <row r="2522">
      <c r="A2522" s="499" t="s">
        <v>9037</v>
      </c>
    </row>
    <row r="2523">
      <c r="A2523" s="499" t="s">
        <v>9038</v>
      </c>
    </row>
    <row r="2524">
      <c r="A2524" s="499" t="s">
        <v>9039</v>
      </c>
    </row>
    <row r="2525">
      <c r="A2525" s="499" t="s">
        <v>9040</v>
      </c>
    </row>
    <row r="2526">
      <c r="A2526" s="499" t="s">
        <v>9041</v>
      </c>
    </row>
    <row r="2527">
      <c r="A2527" s="499" t="s">
        <v>9042</v>
      </c>
    </row>
    <row r="2528">
      <c r="A2528" s="499" t="s">
        <v>9043</v>
      </c>
    </row>
    <row r="2529">
      <c r="A2529" s="499" t="s">
        <v>9044</v>
      </c>
    </row>
    <row r="2530">
      <c r="A2530" s="499" t="s">
        <v>9045</v>
      </c>
    </row>
    <row r="2531">
      <c r="A2531" s="499" t="s">
        <v>9046</v>
      </c>
    </row>
    <row r="2532">
      <c r="A2532" s="499" t="s">
        <v>9047</v>
      </c>
    </row>
    <row r="2533">
      <c r="A2533" s="499" t="s">
        <v>9048</v>
      </c>
    </row>
    <row r="2534">
      <c r="A2534" s="499" t="s">
        <v>9049</v>
      </c>
    </row>
    <row r="2535">
      <c r="A2535" s="499" t="s">
        <v>9050</v>
      </c>
    </row>
    <row r="2536">
      <c r="A2536" s="499" t="s">
        <v>9051</v>
      </c>
    </row>
    <row r="2537">
      <c r="A2537" s="499" t="s">
        <v>9052</v>
      </c>
    </row>
    <row r="2538">
      <c r="A2538" s="499" t="s">
        <v>9053</v>
      </c>
    </row>
    <row r="2539">
      <c r="A2539" s="499" t="s">
        <v>9054</v>
      </c>
    </row>
    <row r="2540">
      <c r="A2540" s="499" t="s">
        <v>9055</v>
      </c>
    </row>
    <row r="2541">
      <c r="A2541" s="499" t="s">
        <v>9056</v>
      </c>
    </row>
    <row r="2542">
      <c r="A2542" s="499" t="s">
        <v>9057</v>
      </c>
    </row>
    <row r="2543">
      <c r="A2543" s="499" t="s">
        <v>9058</v>
      </c>
    </row>
    <row r="2544">
      <c r="A2544" s="499" t="s">
        <v>9059</v>
      </c>
    </row>
    <row r="2545">
      <c r="A2545" s="499" t="s">
        <v>9060</v>
      </c>
    </row>
    <row r="2546">
      <c r="A2546" s="499" t="s">
        <v>9061</v>
      </c>
    </row>
    <row r="2547">
      <c r="A2547" s="499" t="s">
        <v>9062</v>
      </c>
    </row>
    <row r="2548">
      <c r="A2548" s="499" t="s">
        <v>9063</v>
      </c>
    </row>
    <row r="2549">
      <c r="A2549" s="499" t="s">
        <v>9064</v>
      </c>
    </row>
    <row r="2550">
      <c r="A2550" s="499" t="s">
        <v>9065</v>
      </c>
    </row>
    <row r="2551">
      <c r="A2551" s="499" t="s">
        <v>9066</v>
      </c>
    </row>
    <row r="2552">
      <c r="A2552" s="499" t="s">
        <v>9067</v>
      </c>
    </row>
    <row r="2553">
      <c r="A2553" s="499" t="s">
        <v>9068</v>
      </c>
    </row>
    <row r="2554">
      <c r="A2554" s="499" t="s">
        <v>9069</v>
      </c>
    </row>
    <row r="2555">
      <c r="A2555" s="499" t="s">
        <v>9070</v>
      </c>
    </row>
    <row r="2556">
      <c r="A2556" s="499" t="s">
        <v>9071</v>
      </c>
    </row>
    <row r="2557">
      <c r="A2557" s="499" t="s">
        <v>9072</v>
      </c>
    </row>
    <row r="2558">
      <c r="A2558" s="499" t="s">
        <v>9073</v>
      </c>
    </row>
    <row r="2559">
      <c r="A2559" s="499" t="s">
        <v>9074</v>
      </c>
    </row>
    <row r="2560">
      <c r="A2560" s="499" t="s">
        <v>9075</v>
      </c>
    </row>
    <row r="2561">
      <c r="A2561" s="499" t="s">
        <v>9076</v>
      </c>
    </row>
    <row r="2562">
      <c r="A2562" s="499" t="s">
        <v>9077</v>
      </c>
    </row>
    <row r="2563">
      <c r="A2563" s="499" t="s">
        <v>9078</v>
      </c>
    </row>
    <row r="2564">
      <c r="A2564" s="499" t="s">
        <v>9079</v>
      </c>
    </row>
    <row r="2565">
      <c r="A2565" s="499" t="s">
        <v>9080</v>
      </c>
    </row>
    <row r="2566">
      <c r="A2566" s="499" t="s">
        <v>9081</v>
      </c>
    </row>
    <row r="2567">
      <c r="A2567" s="499" t="s">
        <v>9082</v>
      </c>
    </row>
    <row r="2568">
      <c r="A2568" s="499" t="s">
        <v>9083</v>
      </c>
    </row>
    <row r="2569">
      <c r="A2569" s="499" t="s">
        <v>9084</v>
      </c>
    </row>
    <row r="2570">
      <c r="A2570" s="499" t="s">
        <v>9085</v>
      </c>
    </row>
    <row r="2571">
      <c r="A2571" s="499" t="s">
        <v>9086</v>
      </c>
    </row>
    <row r="2572">
      <c r="A2572" s="499" t="s">
        <v>9087</v>
      </c>
    </row>
    <row r="2573">
      <c r="A2573" s="499" t="s">
        <v>9088</v>
      </c>
    </row>
    <row r="2574">
      <c r="A2574" s="499" t="s">
        <v>9089</v>
      </c>
    </row>
    <row r="2575">
      <c r="A2575" s="499" t="s">
        <v>9090</v>
      </c>
    </row>
    <row r="2576">
      <c r="A2576" s="499" t="s">
        <v>9091</v>
      </c>
    </row>
    <row r="2577">
      <c r="A2577" s="499" t="s">
        <v>9092</v>
      </c>
    </row>
    <row r="2578">
      <c r="A2578" s="499" t="s">
        <v>9093</v>
      </c>
    </row>
    <row r="2579">
      <c r="A2579" s="499" t="s">
        <v>9094</v>
      </c>
    </row>
    <row r="2580">
      <c r="A2580" s="499" t="s">
        <v>9095</v>
      </c>
    </row>
    <row r="2581">
      <c r="A2581" s="499" t="s">
        <v>9096</v>
      </c>
    </row>
    <row r="2582">
      <c r="A2582" s="499" t="s">
        <v>9097</v>
      </c>
    </row>
    <row r="2583">
      <c r="A2583" s="499" t="s">
        <v>9098</v>
      </c>
    </row>
    <row r="2584">
      <c r="A2584" s="499" t="s">
        <v>9099</v>
      </c>
    </row>
    <row r="2585">
      <c r="A2585" s="499" t="s">
        <v>9100</v>
      </c>
    </row>
    <row r="2586">
      <c r="A2586" s="499" t="s">
        <v>9101</v>
      </c>
    </row>
    <row r="2587">
      <c r="A2587" s="499" t="s">
        <v>9102</v>
      </c>
    </row>
    <row r="2588">
      <c r="A2588" s="499" t="s">
        <v>9103</v>
      </c>
    </row>
    <row r="2589">
      <c r="A2589" s="499" t="s">
        <v>9104</v>
      </c>
    </row>
    <row r="2590">
      <c r="A2590" s="499" t="s">
        <v>9105</v>
      </c>
    </row>
    <row r="2591">
      <c r="A2591" s="499" t="s">
        <v>9106</v>
      </c>
    </row>
    <row r="2592">
      <c r="A2592" s="499" t="s">
        <v>9107</v>
      </c>
    </row>
    <row r="2593">
      <c r="A2593" s="499" t="s">
        <v>9108</v>
      </c>
    </row>
    <row r="2594">
      <c r="A2594" s="499" t="s">
        <v>9109</v>
      </c>
    </row>
    <row r="2595">
      <c r="A2595" s="499" t="s">
        <v>9110</v>
      </c>
    </row>
    <row r="2596">
      <c r="A2596" s="499" t="s">
        <v>9111</v>
      </c>
    </row>
    <row r="2597">
      <c r="A2597" s="499" t="s">
        <v>9112</v>
      </c>
    </row>
    <row r="2598">
      <c r="A2598" s="499" t="s">
        <v>9113</v>
      </c>
    </row>
    <row r="2599">
      <c r="A2599" s="499" t="s">
        <v>9114</v>
      </c>
    </row>
    <row r="2600">
      <c r="A2600" s="499" t="s">
        <v>9115</v>
      </c>
    </row>
    <row r="2601">
      <c r="A2601" s="499" t="s">
        <v>9116</v>
      </c>
    </row>
    <row r="2602">
      <c r="A2602" s="499" t="s">
        <v>9117</v>
      </c>
    </row>
    <row r="2603">
      <c r="A2603" s="499" t="s">
        <v>9118</v>
      </c>
    </row>
    <row r="2604">
      <c r="A2604" s="499" t="s">
        <v>9119</v>
      </c>
    </row>
    <row r="2605">
      <c r="A2605" s="499" t="s">
        <v>9120</v>
      </c>
    </row>
    <row r="2606">
      <c r="A2606" s="499" t="s">
        <v>9121</v>
      </c>
    </row>
    <row r="2607">
      <c r="A2607" s="499" t="s">
        <v>9122</v>
      </c>
    </row>
    <row r="2608">
      <c r="A2608" s="499" t="s">
        <v>9123</v>
      </c>
    </row>
    <row r="2609">
      <c r="A2609" s="499" t="s">
        <v>9124</v>
      </c>
    </row>
    <row r="2610">
      <c r="A2610" s="499" t="s">
        <v>9125</v>
      </c>
    </row>
    <row r="2611">
      <c r="A2611" s="499" t="s">
        <v>9126</v>
      </c>
    </row>
    <row r="2612">
      <c r="A2612" s="499" t="s">
        <v>9127</v>
      </c>
    </row>
    <row r="2613">
      <c r="A2613" s="499" t="s">
        <v>9128</v>
      </c>
    </row>
    <row r="2614">
      <c r="A2614" s="499" t="s">
        <v>9129</v>
      </c>
    </row>
    <row r="2615">
      <c r="A2615" s="499" t="s">
        <v>9130</v>
      </c>
    </row>
    <row r="2616">
      <c r="A2616" s="499" t="s">
        <v>9131</v>
      </c>
    </row>
    <row r="2617">
      <c r="A2617" s="499" t="s">
        <v>9132</v>
      </c>
    </row>
    <row r="2618">
      <c r="A2618" s="499" t="s">
        <v>9133</v>
      </c>
    </row>
    <row r="2619">
      <c r="A2619" s="499" t="s">
        <v>9134</v>
      </c>
    </row>
    <row r="2620">
      <c r="A2620" s="499" t="s">
        <v>9135</v>
      </c>
    </row>
    <row r="2621">
      <c r="A2621" s="499" t="s">
        <v>9136</v>
      </c>
    </row>
    <row r="2622">
      <c r="A2622" s="499" t="s">
        <v>9137</v>
      </c>
    </row>
    <row r="2623">
      <c r="A2623" s="499" t="s">
        <v>9138</v>
      </c>
    </row>
    <row r="2624">
      <c r="A2624" s="499" t="s">
        <v>9139</v>
      </c>
    </row>
    <row r="2625">
      <c r="A2625" s="499" t="s">
        <v>9140</v>
      </c>
    </row>
    <row r="2626">
      <c r="A2626" s="499" t="s">
        <v>9141</v>
      </c>
    </row>
    <row r="2627">
      <c r="A2627" s="499" t="s">
        <v>9142</v>
      </c>
    </row>
    <row r="2628">
      <c r="A2628" s="499" t="s">
        <v>9143</v>
      </c>
    </row>
    <row r="2629">
      <c r="A2629" s="499" t="s">
        <v>9144</v>
      </c>
    </row>
    <row r="2630">
      <c r="A2630" s="499" t="s">
        <v>9145</v>
      </c>
    </row>
    <row r="2631">
      <c r="A2631" s="499" t="s">
        <v>9146</v>
      </c>
    </row>
    <row r="2632">
      <c r="A2632" s="499" t="s">
        <v>9147</v>
      </c>
    </row>
    <row r="2633">
      <c r="A2633" s="499" t="s">
        <v>9148</v>
      </c>
    </row>
    <row r="2634">
      <c r="A2634" s="499" t="s">
        <v>9149</v>
      </c>
    </row>
    <row r="2635">
      <c r="A2635" s="499" t="s">
        <v>9150</v>
      </c>
    </row>
    <row r="2636">
      <c r="A2636" s="499" t="s">
        <v>9151</v>
      </c>
    </row>
    <row r="2637">
      <c r="A2637" s="499" t="s">
        <v>9152</v>
      </c>
    </row>
    <row r="2638">
      <c r="A2638" s="499" t="s">
        <v>9153</v>
      </c>
    </row>
    <row r="2639">
      <c r="A2639" s="499" t="s">
        <v>9154</v>
      </c>
    </row>
    <row r="2640">
      <c r="A2640" s="499" t="s">
        <v>9155</v>
      </c>
    </row>
    <row r="2641">
      <c r="A2641" s="499" t="s">
        <v>9156</v>
      </c>
    </row>
    <row r="2642">
      <c r="A2642" s="499" t="s">
        <v>9157</v>
      </c>
    </row>
    <row r="2643">
      <c r="A2643" s="499" t="s">
        <v>9158</v>
      </c>
    </row>
    <row r="2644">
      <c r="A2644" s="499" t="s">
        <v>9159</v>
      </c>
    </row>
    <row r="2645">
      <c r="A2645" s="499" t="s">
        <v>9160</v>
      </c>
    </row>
    <row r="2646">
      <c r="A2646" s="499" t="s">
        <v>9161</v>
      </c>
    </row>
    <row r="2647">
      <c r="A2647" s="499" t="s">
        <v>9162</v>
      </c>
    </row>
    <row r="2648">
      <c r="A2648" s="499" t="s">
        <v>9163</v>
      </c>
    </row>
    <row r="2649">
      <c r="A2649" s="499" t="s">
        <v>9164</v>
      </c>
    </row>
    <row r="2650">
      <c r="A2650" s="499" t="s">
        <v>9165</v>
      </c>
    </row>
    <row r="2651">
      <c r="A2651" s="499" t="s">
        <v>9166</v>
      </c>
    </row>
    <row r="2652">
      <c r="A2652" s="499" t="s">
        <v>9167</v>
      </c>
    </row>
    <row r="2653">
      <c r="A2653" s="499" t="s">
        <v>9168</v>
      </c>
    </row>
    <row r="2654">
      <c r="A2654" s="499" t="s">
        <v>9169</v>
      </c>
    </row>
    <row r="2655">
      <c r="A2655" s="499" t="s">
        <v>9170</v>
      </c>
    </row>
    <row r="2656">
      <c r="A2656" s="499" t="s">
        <v>9171</v>
      </c>
    </row>
    <row r="2657">
      <c r="A2657" s="499" t="s">
        <v>9172</v>
      </c>
    </row>
    <row r="2658">
      <c r="A2658" s="499" t="s">
        <v>9173</v>
      </c>
    </row>
    <row r="2659">
      <c r="A2659" s="499" t="s">
        <v>9174</v>
      </c>
    </row>
    <row r="2660">
      <c r="A2660" s="499" t="s">
        <v>9175</v>
      </c>
    </row>
    <row r="2661">
      <c r="A2661" s="499" t="s">
        <v>9176</v>
      </c>
    </row>
    <row r="2662">
      <c r="A2662" s="499" t="s">
        <v>9177</v>
      </c>
    </row>
    <row r="2663">
      <c r="A2663" s="499" t="s">
        <v>9178</v>
      </c>
    </row>
    <row r="2664">
      <c r="A2664" s="499" t="s">
        <v>9179</v>
      </c>
    </row>
    <row r="2665">
      <c r="A2665" s="499" t="s">
        <v>9180</v>
      </c>
    </row>
    <row r="2666">
      <c r="A2666" s="499" t="s">
        <v>9181</v>
      </c>
    </row>
    <row r="2667">
      <c r="A2667" s="499" t="s">
        <v>9182</v>
      </c>
    </row>
    <row r="2668">
      <c r="A2668" s="499" t="s">
        <v>9183</v>
      </c>
    </row>
    <row r="2669">
      <c r="A2669" s="499" t="s">
        <v>9184</v>
      </c>
    </row>
    <row r="2670">
      <c r="A2670" s="499" t="s">
        <v>9185</v>
      </c>
    </row>
    <row r="2671">
      <c r="A2671" s="499" t="s">
        <v>9186</v>
      </c>
    </row>
    <row r="2672">
      <c r="A2672" s="499" t="s">
        <v>9187</v>
      </c>
    </row>
    <row r="2673">
      <c r="A2673" s="499" t="s">
        <v>9188</v>
      </c>
    </row>
    <row r="2674">
      <c r="A2674" s="499" t="s">
        <v>9189</v>
      </c>
    </row>
    <row r="2675">
      <c r="A2675" s="499" t="s">
        <v>9190</v>
      </c>
    </row>
    <row r="2676">
      <c r="A2676" s="499" t="s">
        <v>9191</v>
      </c>
    </row>
    <row r="2677">
      <c r="A2677" s="499" t="s">
        <v>9192</v>
      </c>
    </row>
    <row r="2678">
      <c r="A2678" s="499" t="s">
        <v>9193</v>
      </c>
    </row>
    <row r="2679">
      <c r="A2679" s="499" t="s">
        <v>9194</v>
      </c>
    </row>
    <row r="2680">
      <c r="A2680" s="499" t="s">
        <v>9195</v>
      </c>
    </row>
    <row r="2681">
      <c r="A2681" s="499" t="s">
        <v>9196</v>
      </c>
    </row>
    <row r="2682">
      <c r="A2682" s="499" t="s">
        <v>9197</v>
      </c>
    </row>
    <row r="2683">
      <c r="A2683" s="499" t="s">
        <v>9198</v>
      </c>
    </row>
    <row r="2684">
      <c r="A2684" s="499" t="s">
        <v>9199</v>
      </c>
    </row>
    <row r="2685">
      <c r="A2685" s="499" t="s">
        <v>9200</v>
      </c>
    </row>
    <row r="2686">
      <c r="A2686" s="499" t="s">
        <v>9201</v>
      </c>
    </row>
    <row r="2687">
      <c r="A2687" s="499" t="s">
        <v>9202</v>
      </c>
    </row>
    <row r="2688">
      <c r="A2688" s="499" t="s">
        <v>9203</v>
      </c>
    </row>
    <row r="2689">
      <c r="A2689" s="499" t="s">
        <v>9204</v>
      </c>
    </row>
    <row r="2690">
      <c r="A2690" s="499" t="s">
        <v>9205</v>
      </c>
    </row>
    <row r="2691">
      <c r="A2691" s="499" t="s">
        <v>9206</v>
      </c>
    </row>
    <row r="2692">
      <c r="A2692" s="499" t="s">
        <v>9207</v>
      </c>
    </row>
    <row r="2693">
      <c r="A2693" s="499" t="s">
        <v>9208</v>
      </c>
    </row>
    <row r="2694">
      <c r="A2694" s="499" t="s">
        <v>9209</v>
      </c>
    </row>
    <row r="2695">
      <c r="A2695" s="499" t="s">
        <v>9210</v>
      </c>
    </row>
    <row r="2696">
      <c r="A2696" s="499" t="s">
        <v>9211</v>
      </c>
    </row>
    <row r="2697">
      <c r="A2697" s="499" t="s">
        <v>9212</v>
      </c>
    </row>
    <row r="2698">
      <c r="A2698" s="499" t="s">
        <v>9213</v>
      </c>
    </row>
    <row r="2699">
      <c r="A2699" s="499" t="s">
        <v>9214</v>
      </c>
    </row>
    <row r="2700">
      <c r="A2700" s="499" t="s">
        <v>9215</v>
      </c>
    </row>
    <row r="2701">
      <c r="A2701" s="499" t="s">
        <v>9216</v>
      </c>
    </row>
    <row r="2702">
      <c r="A2702" s="499" t="s">
        <v>9217</v>
      </c>
    </row>
    <row r="2703">
      <c r="A2703" s="499" t="s">
        <v>9218</v>
      </c>
    </row>
    <row r="2704">
      <c r="A2704" s="499" t="s">
        <v>9219</v>
      </c>
    </row>
    <row r="2705">
      <c r="A2705" s="499" t="s">
        <v>9220</v>
      </c>
    </row>
    <row r="2706">
      <c r="A2706" s="499" t="s">
        <v>9221</v>
      </c>
    </row>
    <row r="2707">
      <c r="A2707" s="499" t="s">
        <v>9222</v>
      </c>
    </row>
    <row r="2708">
      <c r="A2708" s="499" t="s">
        <v>9223</v>
      </c>
    </row>
    <row r="2709">
      <c r="A2709" s="499" t="s">
        <v>9224</v>
      </c>
    </row>
    <row r="2710">
      <c r="A2710" s="499" t="s">
        <v>9225</v>
      </c>
    </row>
    <row r="2711">
      <c r="A2711" s="499" t="s">
        <v>9226</v>
      </c>
    </row>
    <row r="2712">
      <c r="A2712" s="499" t="s">
        <v>9227</v>
      </c>
    </row>
    <row r="2713">
      <c r="A2713" s="499" t="s">
        <v>9228</v>
      </c>
    </row>
    <row r="2714">
      <c r="A2714" s="499" t="s">
        <v>9229</v>
      </c>
    </row>
    <row r="2715">
      <c r="A2715" s="499" t="s">
        <v>9230</v>
      </c>
    </row>
    <row r="2716">
      <c r="A2716" s="499" t="s">
        <v>9231</v>
      </c>
    </row>
    <row r="2717">
      <c r="A2717" s="499" t="s">
        <v>9232</v>
      </c>
    </row>
    <row r="2718">
      <c r="A2718" s="499" t="s">
        <v>9233</v>
      </c>
    </row>
    <row r="2719">
      <c r="A2719" s="499" t="s">
        <v>9234</v>
      </c>
    </row>
    <row r="2720">
      <c r="A2720" s="499" t="s">
        <v>9235</v>
      </c>
    </row>
    <row r="2721">
      <c r="A2721" s="499" t="s">
        <v>9236</v>
      </c>
    </row>
    <row r="2722">
      <c r="A2722" s="499" t="s">
        <v>9237</v>
      </c>
    </row>
    <row r="2723">
      <c r="A2723" s="499" t="s">
        <v>9238</v>
      </c>
    </row>
    <row r="2724">
      <c r="A2724" s="499" t="s">
        <v>9239</v>
      </c>
    </row>
    <row r="2725">
      <c r="A2725" s="499" t="s">
        <v>9240</v>
      </c>
    </row>
    <row r="2726">
      <c r="A2726" s="499" t="s">
        <v>9241</v>
      </c>
    </row>
    <row r="2727">
      <c r="A2727" s="499" t="s">
        <v>9242</v>
      </c>
    </row>
    <row r="2728">
      <c r="A2728" s="499" t="s">
        <v>9243</v>
      </c>
    </row>
    <row r="2729">
      <c r="A2729" s="499" t="s">
        <v>9244</v>
      </c>
    </row>
    <row r="2730">
      <c r="A2730" s="499" t="s">
        <v>9245</v>
      </c>
    </row>
    <row r="2731">
      <c r="A2731" s="499" t="s">
        <v>9246</v>
      </c>
    </row>
    <row r="2732">
      <c r="A2732" s="499" t="s">
        <v>9247</v>
      </c>
    </row>
    <row r="2733">
      <c r="A2733" s="499" t="s">
        <v>9248</v>
      </c>
    </row>
    <row r="2734">
      <c r="A2734" s="499" t="s">
        <v>9249</v>
      </c>
    </row>
    <row r="2735">
      <c r="A2735" s="499" t="s">
        <v>9250</v>
      </c>
    </row>
    <row r="2736">
      <c r="A2736" s="499" t="s">
        <v>9251</v>
      </c>
    </row>
    <row r="2737">
      <c r="A2737" s="499" t="s">
        <v>9252</v>
      </c>
    </row>
    <row r="2738">
      <c r="A2738" s="499" t="s">
        <v>9253</v>
      </c>
    </row>
    <row r="2739">
      <c r="A2739" s="499" t="s">
        <v>9254</v>
      </c>
    </row>
    <row r="2740">
      <c r="A2740" s="499" t="s">
        <v>9255</v>
      </c>
    </row>
    <row r="2741">
      <c r="A2741" s="499" t="s">
        <v>9256</v>
      </c>
    </row>
    <row r="2742">
      <c r="A2742" s="499" t="s">
        <v>9257</v>
      </c>
    </row>
    <row r="2743">
      <c r="A2743" s="499" t="s">
        <v>9258</v>
      </c>
    </row>
    <row r="2744">
      <c r="A2744" s="499" t="s">
        <v>9259</v>
      </c>
    </row>
    <row r="2745">
      <c r="A2745" s="499" t="s">
        <v>9260</v>
      </c>
    </row>
    <row r="2746">
      <c r="A2746" s="499" t="s">
        <v>9261</v>
      </c>
    </row>
    <row r="2747">
      <c r="A2747" s="499" t="s">
        <v>9262</v>
      </c>
    </row>
    <row r="2748">
      <c r="A2748" s="499" t="s">
        <v>9263</v>
      </c>
    </row>
    <row r="2749">
      <c r="A2749" s="499" t="s">
        <v>9264</v>
      </c>
    </row>
    <row r="2750">
      <c r="A2750" s="499" t="s">
        <v>9265</v>
      </c>
    </row>
    <row r="2751">
      <c r="A2751" s="499" t="s">
        <v>9266</v>
      </c>
    </row>
    <row r="2752">
      <c r="A2752" s="499" t="s">
        <v>9267</v>
      </c>
    </row>
    <row r="2753">
      <c r="A2753" s="499" t="s">
        <v>9268</v>
      </c>
    </row>
    <row r="2754">
      <c r="A2754" s="499" t="s">
        <v>9269</v>
      </c>
    </row>
    <row r="2755">
      <c r="A2755" s="499" t="s">
        <v>9270</v>
      </c>
    </row>
    <row r="2756">
      <c r="A2756" s="499" t="s">
        <v>9271</v>
      </c>
    </row>
    <row r="2757">
      <c r="A2757" s="499" t="s">
        <v>9272</v>
      </c>
    </row>
    <row r="2758">
      <c r="A2758" s="499" t="s">
        <v>9273</v>
      </c>
    </row>
    <row r="2759">
      <c r="A2759" s="499" t="s">
        <v>9274</v>
      </c>
    </row>
    <row r="2760">
      <c r="A2760" s="499" t="s">
        <v>9275</v>
      </c>
    </row>
    <row r="2761">
      <c r="A2761" s="499" t="s">
        <v>9276</v>
      </c>
    </row>
    <row r="2762">
      <c r="A2762" s="499" t="s">
        <v>9277</v>
      </c>
    </row>
    <row r="2763">
      <c r="A2763" s="499" t="s">
        <v>9278</v>
      </c>
    </row>
    <row r="2764">
      <c r="A2764" s="499" t="s">
        <v>9279</v>
      </c>
    </row>
    <row r="2765">
      <c r="A2765" s="499" t="s">
        <v>9280</v>
      </c>
    </row>
    <row r="2766">
      <c r="A2766" s="499" t="s">
        <v>9281</v>
      </c>
    </row>
    <row r="2767">
      <c r="A2767" s="499" t="s">
        <v>9282</v>
      </c>
    </row>
    <row r="2768">
      <c r="A2768" s="499" t="s">
        <v>9283</v>
      </c>
    </row>
    <row r="2769">
      <c r="A2769" s="499" t="s">
        <v>9284</v>
      </c>
    </row>
    <row r="2770">
      <c r="A2770" s="499" t="s">
        <v>9285</v>
      </c>
    </row>
    <row r="2771">
      <c r="A2771" s="499" t="s">
        <v>9286</v>
      </c>
    </row>
    <row r="2772">
      <c r="A2772" s="499" t="s">
        <v>9287</v>
      </c>
    </row>
    <row r="2773">
      <c r="A2773" s="499" t="s">
        <v>9288</v>
      </c>
    </row>
    <row r="2774">
      <c r="A2774" s="499" t="s">
        <v>9289</v>
      </c>
    </row>
    <row r="2775">
      <c r="A2775" s="499" t="s">
        <v>9290</v>
      </c>
    </row>
    <row r="2776">
      <c r="A2776" s="499" t="s">
        <v>9291</v>
      </c>
    </row>
    <row r="2777">
      <c r="A2777" s="499" t="s">
        <v>9292</v>
      </c>
    </row>
    <row r="2778">
      <c r="A2778" s="499" t="s">
        <v>9293</v>
      </c>
    </row>
    <row r="2779">
      <c r="A2779" s="499" t="s">
        <v>9294</v>
      </c>
    </row>
    <row r="2780">
      <c r="A2780" s="499" t="s">
        <v>9295</v>
      </c>
    </row>
    <row r="2781">
      <c r="A2781" s="499" t="s">
        <v>9296</v>
      </c>
    </row>
    <row r="2782">
      <c r="A2782" s="499" t="s">
        <v>9297</v>
      </c>
    </row>
    <row r="2783">
      <c r="A2783" s="499" t="s">
        <v>9298</v>
      </c>
    </row>
    <row r="2784">
      <c r="A2784" s="499" t="s">
        <v>9299</v>
      </c>
    </row>
    <row r="2785">
      <c r="A2785" s="499" t="s">
        <v>9300</v>
      </c>
    </row>
    <row r="2786">
      <c r="A2786" s="499" t="s">
        <v>9301</v>
      </c>
    </row>
    <row r="2787">
      <c r="A2787" s="499" t="s">
        <v>9302</v>
      </c>
    </row>
    <row r="2788">
      <c r="A2788" s="499" t="s">
        <v>9303</v>
      </c>
    </row>
    <row r="2789">
      <c r="A2789" s="499" t="s">
        <v>9304</v>
      </c>
    </row>
    <row r="2790">
      <c r="A2790" s="499" t="s">
        <v>9305</v>
      </c>
    </row>
    <row r="2791">
      <c r="A2791" s="499" t="s">
        <v>9306</v>
      </c>
    </row>
    <row r="2792">
      <c r="A2792" s="499" t="s">
        <v>9307</v>
      </c>
    </row>
    <row r="2793">
      <c r="A2793" s="499" t="s">
        <v>9308</v>
      </c>
    </row>
    <row r="2794">
      <c r="A2794" s="499" t="s">
        <v>9309</v>
      </c>
    </row>
    <row r="2795">
      <c r="A2795" s="499" t="s">
        <v>9310</v>
      </c>
    </row>
    <row r="2796">
      <c r="A2796" s="499" t="s">
        <v>9311</v>
      </c>
    </row>
    <row r="2797">
      <c r="A2797" s="499" t="s">
        <v>9312</v>
      </c>
    </row>
    <row r="2798">
      <c r="A2798" s="499" t="s">
        <v>9313</v>
      </c>
    </row>
    <row r="2799">
      <c r="A2799" s="499" t="s">
        <v>9314</v>
      </c>
    </row>
    <row r="2800">
      <c r="A2800" s="499" t="s">
        <v>9315</v>
      </c>
    </row>
    <row r="2801">
      <c r="A2801" s="499" t="s">
        <v>9316</v>
      </c>
    </row>
    <row r="2802">
      <c r="A2802" s="499" t="s">
        <v>9317</v>
      </c>
    </row>
    <row r="2803">
      <c r="A2803" s="499" t="s">
        <v>9318</v>
      </c>
    </row>
    <row r="2804">
      <c r="A2804" s="499" t="s">
        <v>9319</v>
      </c>
    </row>
    <row r="2805">
      <c r="A2805" s="499" t="s">
        <v>9320</v>
      </c>
    </row>
    <row r="2806">
      <c r="A2806" s="499" t="s">
        <v>9321</v>
      </c>
    </row>
    <row r="2807">
      <c r="A2807" s="499" t="s">
        <v>9322</v>
      </c>
    </row>
    <row r="2808">
      <c r="A2808" s="499" t="s">
        <v>9323</v>
      </c>
    </row>
    <row r="2809">
      <c r="A2809" s="499" t="s">
        <v>9324</v>
      </c>
    </row>
    <row r="2810">
      <c r="A2810" s="499" t="s">
        <v>9325</v>
      </c>
    </row>
    <row r="2811">
      <c r="A2811" s="499" t="s">
        <v>9326</v>
      </c>
    </row>
    <row r="2812">
      <c r="A2812" s="499" t="s">
        <v>9327</v>
      </c>
    </row>
    <row r="2813">
      <c r="A2813" s="499" t="s">
        <v>9328</v>
      </c>
    </row>
    <row r="2814">
      <c r="A2814" s="499" t="s">
        <v>9329</v>
      </c>
    </row>
    <row r="2815">
      <c r="A2815" s="499" t="s">
        <v>9330</v>
      </c>
    </row>
    <row r="2816">
      <c r="A2816" s="499" t="s">
        <v>9331</v>
      </c>
    </row>
    <row r="2817">
      <c r="A2817" s="499" t="s">
        <v>9332</v>
      </c>
    </row>
    <row r="2818">
      <c r="A2818" s="499" t="s">
        <v>9333</v>
      </c>
    </row>
    <row r="2819">
      <c r="A2819" s="499" t="s">
        <v>9334</v>
      </c>
    </row>
    <row r="2820">
      <c r="A2820" s="499" t="s">
        <v>9335</v>
      </c>
    </row>
    <row r="2821">
      <c r="A2821" s="499" t="s">
        <v>9336</v>
      </c>
    </row>
    <row r="2822">
      <c r="A2822" s="499" t="s">
        <v>9337</v>
      </c>
    </row>
    <row r="2823">
      <c r="A2823" s="499" t="s">
        <v>9338</v>
      </c>
    </row>
    <row r="2824">
      <c r="A2824" s="499" t="s">
        <v>9339</v>
      </c>
    </row>
    <row r="2825">
      <c r="A2825" s="499" t="s">
        <v>9340</v>
      </c>
    </row>
    <row r="2826">
      <c r="A2826" s="499" t="s">
        <v>9341</v>
      </c>
    </row>
    <row r="2827">
      <c r="A2827" s="499" t="s">
        <v>9342</v>
      </c>
    </row>
    <row r="2828">
      <c r="A2828" s="499" t="s">
        <v>9343</v>
      </c>
    </row>
    <row r="2829">
      <c r="A2829" s="499" t="s">
        <v>9344</v>
      </c>
    </row>
    <row r="2830">
      <c r="A2830" s="499" t="s">
        <v>9345</v>
      </c>
    </row>
    <row r="2831">
      <c r="A2831" s="499" t="s">
        <v>9346</v>
      </c>
    </row>
    <row r="2832">
      <c r="A2832" s="499" t="s">
        <v>9347</v>
      </c>
    </row>
    <row r="2833">
      <c r="A2833" s="499" t="s">
        <v>9348</v>
      </c>
    </row>
    <row r="2834">
      <c r="A2834" s="499" t="s">
        <v>9349</v>
      </c>
    </row>
    <row r="2835">
      <c r="A2835" s="499" t="s">
        <v>9350</v>
      </c>
    </row>
    <row r="2836">
      <c r="A2836" s="499" t="s">
        <v>9351</v>
      </c>
    </row>
    <row r="2837">
      <c r="A2837" s="499" t="s">
        <v>9352</v>
      </c>
    </row>
    <row r="2838">
      <c r="A2838" s="499" t="s">
        <v>9353</v>
      </c>
    </row>
    <row r="2839">
      <c r="A2839" s="499" t="s">
        <v>9354</v>
      </c>
    </row>
    <row r="2840">
      <c r="A2840" s="499" t="s">
        <v>9355</v>
      </c>
    </row>
    <row r="2841">
      <c r="A2841" s="499" t="s">
        <v>9356</v>
      </c>
    </row>
    <row r="2842">
      <c r="A2842" s="499" t="s">
        <v>9357</v>
      </c>
    </row>
    <row r="2843">
      <c r="A2843" s="499" t="s">
        <v>9358</v>
      </c>
    </row>
    <row r="2844">
      <c r="A2844" s="499" t="s">
        <v>9359</v>
      </c>
    </row>
    <row r="2845">
      <c r="A2845" s="499" t="s">
        <v>9360</v>
      </c>
    </row>
    <row r="2846">
      <c r="A2846" s="499" t="s">
        <v>9361</v>
      </c>
    </row>
    <row r="2847">
      <c r="A2847" s="499" t="s">
        <v>9362</v>
      </c>
    </row>
    <row r="2848">
      <c r="A2848" s="499" t="s">
        <v>9363</v>
      </c>
    </row>
    <row r="2849">
      <c r="A2849" s="499" t="s">
        <v>9364</v>
      </c>
    </row>
    <row r="2850">
      <c r="A2850" s="499" t="s">
        <v>9365</v>
      </c>
    </row>
    <row r="2851">
      <c r="A2851" s="499" t="s">
        <v>9366</v>
      </c>
    </row>
    <row r="2852">
      <c r="A2852" s="499" t="s">
        <v>9367</v>
      </c>
    </row>
    <row r="2853">
      <c r="A2853" s="499" t="s">
        <v>9368</v>
      </c>
    </row>
    <row r="2854">
      <c r="A2854" s="499" t="s">
        <v>9369</v>
      </c>
    </row>
    <row r="2855">
      <c r="A2855" s="499" t="s">
        <v>9370</v>
      </c>
    </row>
    <row r="2856">
      <c r="A2856" s="499" t="s">
        <v>9371</v>
      </c>
    </row>
    <row r="2857">
      <c r="A2857" s="499" t="s">
        <v>9372</v>
      </c>
    </row>
    <row r="2858">
      <c r="A2858" s="499" t="s">
        <v>9373</v>
      </c>
    </row>
    <row r="2859">
      <c r="A2859" s="499" t="s">
        <v>9374</v>
      </c>
    </row>
    <row r="2860">
      <c r="A2860" s="499" t="s">
        <v>9375</v>
      </c>
    </row>
    <row r="2861">
      <c r="A2861" s="499" t="s">
        <v>9376</v>
      </c>
    </row>
    <row r="2862">
      <c r="A2862" s="499" t="s">
        <v>9377</v>
      </c>
    </row>
    <row r="2863">
      <c r="A2863" s="499" t="s">
        <v>9378</v>
      </c>
    </row>
    <row r="2864">
      <c r="A2864" s="499" t="s">
        <v>9379</v>
      </c>
    </row>
    <row r="2865">
      <c r="A2865" s="499" t="s">
        <v>9380</v>
      </c>
    </row>
    <row r="2866">
      <c r="A2866" s="499" t="s">
        <v>9381</v>
      </c>
    </row>
    <row r="2867">
      <c r="A2867" s="499" t="s">
        <v>9382</v>
      </c>
    </row>
    <row r="2868">
      <c r="A2868" s="499" t="s">
        <v>9383</v>
      </c>
    </row>
    <row r="2869">
      <c r="A2869" s="499" t="s">
        <v>9384</v>
      </c>
    </row>
    <row r="2870">
      <c r="A2870" s="499" t="s">
        <v>9385</v>
      </c>
    </row>
    <row r="2871">
      <c r="A2871" s="499" t="s">
        <v>9386</v>
      </c>
    </row>
    <row r="2872">
      <c r="A2872" s="499" t="s">
        <v>9387</v>
      </c>
    </row>
    <row r="2873">
      <c r="A2873" s="499" t="s">
        <v>9388</v>
      </c>
    </row>
    <row r="2874">
      <c r="A2874" s="499" t="s">
        <v>9389</v>
      </c>
    </row>
    <row r="2875">
      <c r="A2875" s="499" t="s">
        <v>9390</v>
      </c>
    </row>
    <row r="2876">
      <c r="A2876" s="499" t="s">
        <v>9391</v>
      </c>
    </row>
    <row r="2877">
      <c r="A2877" s="499" t="s">
        <v>9392</v>
      </c>
    </row>
    <row r="2878">
      <c r="A2878" s="499" t="s">
        <v>9393</v>
      </c>
    </row>
    <row r="2879">
      <c r="A2879" s="499" t="s">
        <v>9394</v>
      </c>
    </row>
    <row r="2880">
      <c r="A2880" s="499" t="s">
        <v>9395</v>
      </c>
    </row>
    <row r="2881">
      <c r="A2881" s="499" t="s">
        <v>9396</v>
      </c>
    </row>
    <row r="2882">
      <c r="A2882" s="499" t="s">
        <v>9397</v>
      </c>
    </row>
    <row r="2883">
      <c r="A2883" s="499" t="s">
        <v>9398</v>
      </c>
    </row>
    <row r="2884">
      <c r="A2884" s="499" t="s">
        <v>9399</v>
      </c>
    </row>
    <row r="2885">
      <c r="A2885" s="499" t="s">
        <v>9400</v>
      </c>
    </row>
    <row r="2886">
      <c r="A2886" s="499" t="s">
        <v>9401</v>
      </c>
    </row>
    <row r="2887">
      <c r="A2887" s="499" t="s">
        <v>9402</v>
      </c>
    </row>
    <row r="2888">
      <c r="A2888" s="499" t="s">
        <v>9403</v>
      </c>
    </row>
    <row r="2889">
      <c r="A2889" s="499" t="s">
        <v>9404</v>
      </c>
    </row>
    <row r="2890">
      <c r="A2890" s="499" t="s">
        <v>9405</v>
      </c>
    </row>
    <row r="2891">
      <c r="A2891" s="499" t="s">
        <v>9406</v>
      </c>
    </row>
    <row r="2892">
      <c r="A2892" s="499" t="s">
        <v>9407</v>
      </c>
    </row>
    <row r="2893">
      <c r="A2893" s="499" t="s">
        <v>9408</v>
      </c>
    </row>
    <row r="2894">
      <c r="A2894" s="499" t="s">
        <v>9409</v>
      </c>
    </row>
    <row r="2895">
      <c r="A2895" s="499" t="s">
        <v>9410</v>
      </c>
    </row>
    <row r="2896">
      <c r="A2896" s="499" t="s">
        <v>9411</v>
      </c>
    </row>
    <row r="2897">
      <c r="A2897" s="499" t="s">
        <v>9412</v>
      </c>
    </row>
    <row r="2898">
      <c r="A2898" s="499" t="s">
        <v>9413</v>
      </c>
    </row>
    <row r="2899">
      <c r="A2899" s="499" t="s">
        <v>9414</v>
      </c>
    </row>
    <row r="2900">
      <c r="A2900" s="499" t="s">
        <v>9415</v>
      </c>
    </row>
    <row r="2901">
      <c r="A2901" s="499" t="s">
        <v>9416</v>
      </c>
    </row>
    <row r="2902">
      <c r="A2902" s="499" t="s">
        <v>9417</v>
      </c>
    </row>
    <row r="2903">
      <c r="A2903" s="499" t="s">
        <v>9418</v>
      </c>
    </row>
    <row r="2904">
      <c r="A2904" s="499" t="s">
        <v>9419</v>
      </c>
    </row>
    <row r="2905">
      <c r="A2905" s="499" t="s">
        <v>9420</v>
      </c>
    </row>
    <row r="2906">
      <c r="A2906" s="499" t="s">
        <v>9421</v>
      </c>
    </row>
    <row r="2907">
      <c r="A2907" s="499" t="s">
        <v>9422</v>
      </c>
    </row>
    <row r="2908">
      <c r="A2908" s="499" t="s">
        <v>9423</v>
      </c>
    </row>
    <row r="2909">
      <c r="A2909" s="499" t="s">
        <v>9424</v>
      </c>
    </row>
    <row r="2910">
      <c r="A2910" s="499" t="s">
        <v>9425</v>
      </c>
    </row>
    <row r="2911">
      <c r="A2911" s="499" t="s">
        <v>9426</v>
      </c>
    </row>
    <row r="2912">
      <c r="A2912" s="499" t="s">
        <v>9427</v>
      </c>
    </row>
    <row r="2913">
      <c r="A2913" s="499" t="s">
        <v>9428</v>
      </c>
    </row>
    <row r="2914">
      <c r="A2914" s="499" t="s">
        <v>9429</v>
      </c>
    </row>
    <row r="2915">
      <c r="A2915" s="499" t="s">
        <v>9430</v>
      </c>
    </row>
    <row r="2916">
      <c r="A2916" s="499" t="s">
        <v>9431</v>
      </c>
    </row>
    <row r="2917">
      <c r="A2917" s="499" t="s">
        <v>9432</v>
      </c>
    </row>
    <row r="2918">
      <c r="A2918" s="499" t="s">
        <v>9433</v>
      </c>
    </row>
    <row r="2919">
      <c r="A2919" s="499" t="s">
        <v>9434</v>
      </c>
    </row>
    <row r="2920">
      <c r="A2920" s="499" t="s">
        <v>9435</v>
      </c>
    </row>
    <row r="2921">
      <c r="A2921" s="499" t="s">
        <v>9436</v>
      </c>
    </row>
    <row r="2922">
      <c r="A2922" s="499" t="s">
        <v>9437</v>
      </c>
    </row>
    <row r="2923">
      <c r="A2923" s="499" t="s">
        <v>9438</v>
      </c>
    </row>
    <row r="2924">
      <c r="A2924" s="499" t="s">
        <v>9439</v>
      </c>
    </row>
    <row r="2925">
      <c r="A2925" s="499" t="s">
        <v>9440</v>
      </c>
    </row>
    <row r="2926">
      <c r="A2926" s="499" t="s">
        <v>9441</v>
      </c>
    </row>
    <row r="2927">
      <c r="A2927" s="499" t="s">
        <v>9442</v>
      </c>
    </row>
    <row r="2928">
      <c r="A2928" s="499" t="s">
        <v>9443</v>
      </c>
    </row>
    <row r="2929">
      <c r="A2929" s="499" t="s">
        <v>9444</v>
      </c>
    </row>
    <row r="2930">
      <c r="A2930" s="499" t="s">
        <v>9445</v>
      </c>
    </row>
    <row r="2931">
      <c r="A2931" s="499" t="s">
        <v>9446</v>
      </c>
    </row>
    <row r="2932">
      <c r="A2932" s="499" t="s">
        <v>9447</v>
      </c>
    </row>
    <row r="2933">
      <c r="A2933" s="499" t="s">
        <v>9448</v>
      </c>
    </row>
    <row r="2934">
      <c r="A2934" s="499" t="s">
        <v>9449</v>
      </c>
    </row>
    <row r="2935">
      <c r="A2935" s="499" t="s">
        <v>9450</v>
      </c>
    </row>
    <row r="2936">
      <c r="A2936" s="499" t="s">
        <v>9451</v>
      </c>
    </row>
    <row r="2937">
      <c r="A2937" s="499" t="s">
        <v>9452</v>
      </c>
    </row>
    <row r="2938">
      <c r="A2938" s="499" t="s">
        <v>9453</v>
      </c>
    </row>
    <row r="2939">
      <c r="A2939" s="499" t="s">
        <v>9454</v>
      </c>
    </row>
    <row r="2940">
      <c r="A2940" s="499" t="s">
        <v>9455</v>
      </c>
    </row>
    <row r="2941">
      <c r="A2941" s="499" t="s">
        <v>9456</v>
      </c>
    </row>
    <row r="2942">
      <c r="A2942" s="499" t="s">
        <v>9457</v>
      </c>
    </row>
    <row r="2943">
      <c r="A2943" s="499" t="s">
        <v>9458</v>
      </c>
    </row>
    <row r="2944">
      <c r="A2944" s="499" t="s">
        <v>9459</v>
      </c>
    </row>
    <row r="2945">
      <c r="A2945" s="499" t="s">
        <v>9460</v>
      </c>
    </row>
    <row r="2946">
      <c r="A2946" s="499" t="s">
        <v>9461</v>
      </c>
    </row>
    <row r="2947">
      <c r="A2947" s="499" t="s">
        <v>9462</v>
      </c>
    </row>
    <row r="2948">
      <c r="A2948" s="499" t="s">
        <v>9463</v>
      </c>
    </row>
    <row r="2949">
      <c r="A2949" s="499" t="s">
        <v>9464</v>
      </c>
    </row>
    <row r="2950">
      <c r="A2950" s="499" t="s">
        <v>9465</v>
      </c>
    </row>
    <row r="2951">
      <c r="A2951" s="499" t="s">
        <v>9466</v>
      </c>
    </row>
    <row r="2952">
      <c r="A2952" s="499" t="s">
        <v>9467</v>
      </c>
    </row>
    <row r="2953">
      <c r="A2953" s="499" t="s">
        <v>9468</v>
      </c>
    </row>
    <row r="2954">
      <c r="A2954" s="499" t="s">
        <v>9469</v>
      </c>
    </row>
    <row r="2955">
      <c r="A2955" s="499" t="s">
        <v>9470</v>
      </c>
    </row>
    <row r="2956">
      <c r="A2956" s="499" t="s">
        <v>9471</v>
      </c>
    </row>
    <row r="2957">
      <c r="A2957" s="499" t="s">
        <v>9472</v>
      </c>
    </row>
    <row r="2958">
      <c r="A2958" s="499" t="s">
        <v>9473</v>
      </c>
    </row>
    <row r="2959">
      <c r="A2959" s="499" t="s">
        <v>9474</v>
      </c>
    </row>
    <row r="2960">
      <c r="A2960" s="499" t="s">
        <v>9475</v>
      </c>
    </row>
    <row r="2961">
      <c r="A2961" s="499" t="s">
        <v>9476</v>
      </c>
    </row>
    <row r="2962">
      <c r="A2962" s="499" t="s">
        <v>9477</v>
      </c>
    </row>
    <row r="2963">
      <c r="A2963" s="499" t="s">
        <v>9478</v>
      </c>
    </row>
    <row r="2964">
      <c r="A2964" s="499" t="s">
        <v>9479</v>
      </c>
    </row>
    <row r="2965">
      <c r="A2965" s="499" t="s">
        <v>9480</v>
      </c>
    </row>
    <row r="2966">
      <c r="A2966" s="499" t="s">
        <v>9481</v>
      </c>
    </row>
    <row r="2967">
      <c r="A2967" s="499" t="s">
        <v>9482</v>
      </c>
    </row>
    <row r="2968">
      <c r="A2968" s="499" t="s">
        <v>9483</v>
      </c>
    </row>
    <row r="2969">
      <c r="A2969" s="499" t="s">
        <v>9484</v>
      </c>
    </row>
    <row r="2970">
      <c r="A2970" s="499" t="s">
        <v>9485</v>
      </c>
    </row>
    <row r="2971">
      <c r="A2971" s="499" t="s">
        <v>9486</v>
      </c>
    </row>
    <row r="2972">
      <c r="A2972" s="499" t="s">
        <v>9487</v>
      </c>
    </row>
    <row r="2973">
      <c r="A2973" s="499" t="s">
        <v>9488</v>
      </c>
    </row>
    <row r="2974">
      <c r="A2974" s="499" t="s">
        <v>9489</v>
      </c>
    </row>
    <row r="2975">
      <c r="A2975" s="499" t="s">
        <v>9490</v>
      </c>
    </row>
    <row r="2976">
      <c r="A2976" s="499" t="s">
        <v>9491</v>
      </c>
    </row>
    <row r="2977">
      <c r="A2977" s="499" t="s">
        <v>9492</v>
      </c>
    </row>
    <row r="2978">
      <c r="A2978" s="499" t="s">
        <v>9493</v>
      </c>
    </row>
    <row r="2979">
      <c r="A2979" s="499" t="s">
        <v>9494</v>
      </c>
    </row>
    <row r="2980">
      <c r="A2980" s="499" t="s">
        <v>9495</v>
      </c>
    </row>
    <row r="2981">
      <c r="A2981" s="499" t="s">
        <v>9496</v>
      </c>
    </row>
    <row r="2982">
      <c r="A2982" s="499" t="s">
        <v>9497</v>
      </c>
    </row>
    <row r="2983">
      <c r="A2983" s="499" t="s">
        <v>9498</v>
      </c>
    </row>
    <row r="2984">
      <c r="A2984" s="499" t="s">
        <v>9499</v>
      </c>
    </row>
    <row r="2985">
      <c r="A2985" s="499" t="s">
        <v>9500</v>
      </c>
    </row>
    <row r="2986">
      <c r="A2986" s="499" t="s">
        <v>9501</v>
      </c>
    </row>
    <row r="2987">
      <c r="A2987" s="499" t="s">
        <v>9502</v>
      </c>
    </row>
    <row r="2988">
      <c r="A2988" s="499" t="s">
        <v>9503</v>
      </c>
    </row>
    <row r="2989">
      <c r="A2989" s="499" t="s">
        <v>9504</v>
      </c>
    </row>
    <row r="2990">
      <c r="A2990" s="499" t="s">
        <v>9505</v>
      </c>
    </row>
    <row r="2991">
      <c r="A2991" s="499" t="s">
        <v>9506</v>
      </c>
    </row>
    <row r="2992">
      <c r="A2992" s="499" t="s">
        <v>9507</v>
      </c>
    </row>
    <row r="2993">
      <c r="A2993" s="499" t="s">
        <v>9508</v>
      </c>
    </row>
    <row r="2994">
      <c r="A2994" s="499" t="s">
        <v>9509</v>
      </c>
    </row>
    <row r="2995">
      <c r="A2995" s="499" t="s">
        <v>9510</v>
      </c>
    </row>
    <row r="2996">
      <c r="A2996" s="499" t="s">
        <v>9511</v>
      </c>
    </row>
    <row r="2997">
      <c r="A2997" s="499" t="s">
        <v>9512</v>
      </c>
    </row>
    <row r="2998">
      <c r="A2998" s="499" t="s">
        <v>9513</v>
      </c>
    </row>
    <row r="2999">
      <c r="A2999" s="499" t="s">
        <v>9514</v>
      </c>
    </row>
    <row r="3000">
      <c r="A3000" s="499" t="s">
        <v>9515</v>
      </c>
    </row>
    <row r="3001">
      <c r="A3001" s="499" t="s">
        <v>9516</v>
      </c>
    </row>
    <row r="3002">
      <c r="A3002" s="499" t="s">
        <v>9517</v>
      </c>
    </row>
    <row r="3003">
      <c r="A3003" s="499" t="s">
        <v>9518</v>
      </c>
    </row>
    <row r="3004">
      <c r="A3004" s="499" t="s">
        <v>9519</v>
      </c>
    </row>
    <row r="3005">
      <c r="A3005" s="499" t="s">
        <v>9520</v>
      </c>
    </row>
    <row r="3006">
      <c r="A3006" s="499" t="s">
        <v>9521</v>
      </c>
    </row>
    <row r="3007">
      <c r="A3007" s="499" t="s">
        <v>9522</v>
      </c>
    </row>
    <row r="3008">
      <c r="A3008" s="499" t="s">
        <v>9523</v>
      </c>
    </row>
    <row r="3009">
      <c r="A3009" s="499" t="s">
        <v>9524</v>
      </c>
    </row>
    <row r="3010">
      <c r="A3010" s="499" t="s">
        <v>9525</v>
      </c>
    </row>
    <row r="3011">
      <c r="A3011" s="499" t="s">
        <v>9526</v>
      </c>
    </row>
    <row r="3012">
      <c r="A3012" s="499" t="s">
        <v>9527</v>
      </c>
    </row>
    <row r="3013">
      <c r="A3013" s="499" t="s">
        <v>9528</v>
      </c>
    </row>
    <row r="3014">
      <c r="A3014" s="499" t="s">
        <v>9529</v>
      </c>
    </row>
    <row r="3015">
      <c r="A3015" s="499" t="s">
        <v>9530</v>
      </c>
    </row>
    <row r="3016">
      <c r="A3016" s="499" t="s">
        <v>9531</v>
      </c>
    </row>
    <row r="3017">
      <c r="A3017" s="499" t="s">
        <v>9532</v>
      </c>
    </row>
    <row r="3018">
      <c r="A3018" s="499" t="s">
        <v>9533</v>
      </c>
    </row>
    <row r="3019">
      <c r="A3019" s="499" t="s">
        <v>9534</v>
      </c>
    </row>
    <row r="3020">
      <c r="A3020" s="499" t="s">
        <v>9535</v>
      </c>
    </row>
    <row r="3021">
      <c r="A3021" s="499" t="s">
        <v>9536</v>
      </c>
    </row>
    <row r="3022">
      <c r="A3022" s="499" t="s">
        <v>9537</v>
      </c>
    </row>
    <row r="3023">
      <c r="A3023" s="499" t="s">
        <v>9538</v>
      </c>
    </row>
    <row r="3024">
      <c r="A3024" s="499" t="s">
        <v>9539</v>
      </c>
    </row>
    <row r="3025">
      <c r="A3025" s="499" t="s">
        <v>9540</v>
      </c>
    </row>
    <row r="3026">
      <c r="A3026" s="499" t="s">
        <v>9541</v>
      </c>
    </row>
    <row r="3027">
      <c r="A3027" s="499" t="s">
        <v>9542</v>
      </c>
    </row>
    <row r="3028">
      <c r="A3028" s="499" t="s">
        <v>9543</v>
      </c>
    </row>
    <row r="3029">
      <c r="A3029" s="499" t="s">
        <v>9544</v>
      </c>
    </row>
    <row r="3030">
      <c r="A3030" s="499" t="s">
        <v>9545</v>
      </c>
    </row>
    <row r="3031">
      <c r="A3031" s="499" t="s">
        <v>9546</v>
      </c>
    </row>
    <row r="3032">
      <c r="A3032" s="499" t="s">
        <v>9547</v>
      </c>
    </row>
    <row r="3033">
      <c r="A3033" s="499" t="s">
        <v>9548</v>
      </c>
    </row>
    <row r="3034">
      <c r="A3034" s="499" t="s">
        <v>9549</v>
      </c>
    </row>
    <row r="3035">
      <c r="A3035" s="499" t="s">
        <v>9550</v>
      </c>
    </row>
    <row r="3036">
      <c r="A3036" s="499" t="s">
        <v>9551</v>
      </c>
    </row>
    <row r="3037">
      <c r="A3037" s="499" t="s">
        <v>9552</v>
      </c>
    </row>
    <row r="3038">
      <c r="A3038" s="499" t="s">
        <v>9553</v>
      </c>
    </row>
    <row r="3039">
      <c r="A3039" s="499" t="s">
        <v>9554</v>
      </c>
    </row>
    <row r="3040">
      <c r="A3040" s="499" t="s">
        <v>9555</v>
      </c>
    </row>
    <row r="3041">
      <c r="A3041" s="499" t="s">
        <v>9556</v>
      </c>
    </row>
    <row r="3042">
      <c r="A3042" s="499" t="s">
        <v>9557</v>
      </c>
    </row>
    <row r="3043">
      <c r="A3043" s="499" t="s">
        <v>9558</v>
      </c>
    </row>
    <row r="3044">
      <c r="A3044" s="499" t="s">
        <v>9559</v>
      </c>
    </row>
    <row r="3045">
      <c r="A3045" s="499" t="s">
        <v>9560</v>
      </c>
    </row>
    <row r="3046">
      <c r="A3046" s="499" t="s">
        <v>9561</v>
      </c>
    </row>
    <row r="3047">
      <c r="A3047" s="499" t="s">
        <v>9562</v>
      </c>
    </row>
    <row r="3048">
      <c r="A3048" s="499" t="s">
        <v>9563</v>
      </c>
    </row>
    <row r="3049">
      <c r="A3049" s="499" t="s">
        <v>9564</v>
      </c>
    </row>
    <row r="3050">
      <c r="A3050" s="499" t="s">
        <v>9565</v>
      </c>
    </row>
    <row r="3051">
      <c r="A3051" s="499" t="s">
        <v>9566</v>
      </c>
    </row>
    <row r="3052">
      <c r="A3052" s="499" t="s">
        <v>9567</v>
      </c>
    </row>
    <row r="3053">
      <c r="A3053" s="499" t="s">
        <v>9568</v>
      </c>
    </row>
    <row r="3054">
      <c r="A3054" s="499" t="s">
        <v>9569</v>
      </c>
    </row>
    <row r="3055">
      <c r="A3055" s="499" t="s">
        <v>9570</v>
      </c>
    </row>
    <row r="3056">
      <c r="A3056" s="499" t="s">
        <v>9571</v>
      </c>
    </row>
    <row r="3057">
      <c r="A3057" s="499" t="s">
        <v>9572</v>
      </c>
    </row>
    <row r="3058">
      <c r="A3058" s="499" t="s">
        <v>9573</v>
      </c>
    </row>
    <row r="3059">
      <c r="A3059" s="499" t="s">
        <v>9574</v>
      </c>
    </row>
    <row r="3060">
      <c r="A3060" s="499" t="s">
        <v>9575</v>
      </c>
    </row>
    <row r="3061">
      <c r="A3061" s="499" t="s">
        <v>9576</v>
      </c>
    </row>
    <row r="3062">
      <c r="A3062" s="499" t="s">
        <v>9577</v>
      </c>
    </row>
    <row r="3063">
      <c r="A3063" s="499" t="s">
        <v>9578</v>
      </c>
    </row>
    <row r="3064">
      <c r="A3064" s="499" t="s">
        <v>9579</v>
      </c>
    </row>
    <row r="3065">
      <c r="A3065" s="499" t="s">
        <v>9580</v>
      </c>
    </row>
    <row r="3066">
      <c r="A3066" s="499" t="s">
        <v>9581</v>
      </c>
    </row>
    <row r="3067">
      <c r="A3067" s="499" t="s">
        <v>9582</v>
      </c>
    </row>
    <row r="3068">
      <c r="A3068" s="499" t="s">
        <v>9583</v>
      </c>
    </row>
    <row r="3069">
      <c r="A3069" s="499" t="s">
        <v>9584</v>
      </c>
    </row>
    <row r="3070">
      <c r="A3070" s="499" t="s">
        <v>9585</v>
      </c>
    </row>
    <row r="3071">
      <c r="A3071" s="499" t="s">
        <v>9586</v>
      </c>
    </row>
    <row r="3072">
      <c r="A3072" s="499" t="s">
        <v>9587</v>
      </c>
    </row>
    <row r="3073">
      <c r="A3073" s="499" t="s">
        <v>9588</v>
      </c>
    </row>
    <row r="3074">
      <c r="A3074" s="499" t="s">
        <v>9589</v>
      </c>
    </row>
    <row r="3075">
      <c r="A3075" s="499" t="s">
        <v>9590</v>
      </c>
    </row>
    <row r="3076">
      <c r="A3076" s="499" t="s">
        <v>9591</v>
      </c>
    </row>
    <row r="3077">
      <c r="A3077" s="499" t="s">
        <v>9592</v>
      </c>
    </row>
    <row r="3078">
      <c r="A3078" s="499" t="s">
        <v>9593</v>
      </c>
    </row>
    <row r="3079">
      <c r="A3079" s="499" t="s">
        <v>9594</v>
      </c>
    </row>
    <row r="3080">
      <c r="A3080" s="499" t="s">
        <v>9595</v>
      </c>
    </row>
    <row r="3081">
      <c r="A3081" s="499" t="s">
        <v>9596</v>
      </c>
    </row>
    <row r="3082">
      <c r="A3082" s="499" t="s">
        <v>9597</v>
      </c>
    </row>
    <row r="3083">
      <c r="A3083" s="499" t="s">
        <v>9598</v>
      </c>
    </row>
    <row r="3084">
      <c r="A3084" s="499" t="s">
        <v>9599</v>
      </c>
    </row>
    <row r="3085">
      <c r="A3085" s="499" t="s">
        <v>9600</v>
      </c>
    </row>
    <row r="3086">
      <c r="A3086" s="499" t="s">
        <v>9601</v>
      </c>
    </row>
    <row r="3087">
      <c r="A3087" s="499" t="s">
        <v>9602</v>
      </c>
    </row>
    <row r="3088">
      <c r="A3088" s="499" t="s">
        <v>9603</v>
      </c>
    </row>
    <row r="3089">
      <c r="A3089" s="499" t="s">
        <v>9604</v>
      </c>
    </row>
    <row r="3090">
      <c r="A3090" s="499" t="s">
        <v>9605</v>
      </c>
    </row>
    <row r="3091">
      <c r="A3091" s="499" t="s">
        <v>9606</v>
      </c>
    </row>
    <row r="3092">
      <c r="A3092" s="499" t="s">
        <v>9607</v>
      </c>
    </row>
    <row r="3093">
      <c r="A3093" s="499" t="s">
        <v>9608</v>
      </c>
    </row>
    <row r="3094">
      <c r="A3094" s="499" t="s">
        <v>9609</v>
      </c>
    </row>
    <row r="3095">
      <c r="A3095" s="499" t="s">
        <v>9610</v>
      </c>
    </row>
    <row r="3096">
      <c r="A3096" s="499" t="s">
        <v>9611</v>
      </c>
    </row>
    <row r="3097">
      <c r="A3097" s="499" t="s">
        <v>9612</v>
      </c>
    </row>
    <row r="3098">
      <c r="A3098" s="499" t="s">
        <v>9613</v>
      </c>
    </row>
    <row r="3099">
      <c r="A3099" s="499" t="s">
        <v>9614</v>
      </c>
    </row>
    <row r="3100">
      <c r="A3100" s="499" t="s">
        <v>9615</v>
      </c>
    </row>
    <row r="3101">
      <c r="A3101" s="499" t="s">
        <v>9616</v>
      </c>
    </row>
    <row r="3102">
      <c r="A3102" s="499" t="s">
        <v>9617</v>
      </c>
    </row>
    <row r="3103">
      <c r="A3103" s="499" t="s">
        <v>9618</v>
      </c>
    </row>
    <row r="3104">
      <c r="A3104" s="499" t="s">
        <v>9619</v>
      </c>
    </row>
    <row r="3105">
      <c r="A3105" s="499" t="s">
        <v>9620</v>
      </c>
    </row>
    <row r="3106">
      <c r="A3106" s="499" t="s">
        <v>9621</v>
      </c>
    </row>
    <row r="3107">
      <c r="A3107" s="499" t="s">
        <v>9622</v>
      </c>
    </row>
    <row r="3108">
      <c r="A3108" s="499" t="s">
        <v>9623</v>
      </c>
    </row>
    <row r="3109">
      <c r="A3109" s="499" t="s">
        <v>9624</v>
      </c>
    </row>
    <row r="3110">
      <c r="A3110" s="499" t="s">
        <v>9625</v>
      </c>
    </row>
    <row r="3111">
      <c r="A3111" s="499" t="s">
        <v>9626</v>
      </c>
    </row>
    <row r="3112">
      <c r="A3112" s="499" t="s">
        <v>9627</v>
      </c>
    </row>
    <row r="3113">
      <c r="A3113" s="499" t="s">
        <v>9628</v>
      </c>
    </row>
    <row r="3114">
      <c r="A3114" s="499" t="s">
        <v>9629</v>
      </c>
    </row>
    <row r="3115">
      <c r="A3115" s="499" t="s">
        <v>9630</v>
      </c>
    </row>
    <row r="3116">
      <c r="A3116" s="499" t="s">
        <v>9631</v>
      </c>
    </row>
    <row r="3117">
      <c r="A3117" s="499" t="s">
        <v>9632</v>
      </c>
    </row>
    <row r="3118">
      <c r="A3118" s="499" t="s">
        <v>9633</v>
      </c>
    </row>
    <row r="3119">
      <c r="A3119" s="499" t="s">
        <v>9634</v>
      </c>
    </row>
    <row r="3120">
      <c r="A3120" s="499" t="s">
        <v>9635</v>
      </c>
    </row>
    <row r="3121">
      <c r="A3121" s="499" t="s">
        <v>9636</v>
      </c>
    </row>
    <row r="3122">
      <c r="A3122" s="499" t="s">
        <v>9637</v>
      </c>
    </row>
    <row r="3123">
      <c r="A3123" s="499" t="s">
        <v>9638</v>
      </c>
    </row>
    <row r="3124">
      <c r="A3124" s="499" t="s">
        <v>9639</v>
      </c>
    </row>
    <row r="3125">
      <c r="A3125" s="499" t="s">
        <v>9640</v>
      </c>
    </row>
    <row r="3126">
      <c r="A3126" s="499" t="s">
        <v>9641</v>
      </c>
    </row>
    <row r="3127">
      <c r="A3127" s="499" t="s">
        <v>9642</v>
      </c>
    </row>
    <row r="3128">
      <c r="A3128" s="499" t="s">
        <v>9643</v>
      </c>
    </row>
    <row r="3129">
      <c r="A3129" s="499" t="s">
        <v>9644</v>
      </c>
    </row>
    <row r="3130">
      <c r="A3130" s="499" t="s">
        <v>9645</v>
      </c>
    </row>
    <row r="3131">
      <c r="A3131" s="499" t="s">
        <v>9646</v>
      </c>
    </row>
    <row r="3132">
      <c r="A3132" s="499" t="s">
        <v>9647</v>
      </c>
    </row>
    <row r="3133">
      <c r="A3133" s="499" t="s">
        <v>9648</v>
      </c>
    </row>
    <row r="3134">
      <c r="A3134" s="499" t="s">
        <v>9649</v>
      </c>
    </row>
    <row r="3135">
      <c r="A3135" s="499" t="s">
        <v>9650</v>
      </c>
    </row>
    <row r="3136">
      <c r="A3136" s="499" t="s">
        <v>9651</v>
      </c>
    </row>
    <row r="3137">
      <c r="A3137" s="499" t="s">
        <v>9652</v>
      </c>
    </row>
    <row r="3138">
      <c r="A3138" s="499" t="s">
        <v>9653</v>
      </c>
    </row>
    <row r="3139">
      <c r="A3139" s="499" t="s">
        <v>9654</v>
      </c>
    </row>
    <row r="3140">
      <c r="A3140" s="499" t="s">
        <v>9655</v>
      </c>
    </row>
    <row r="3141">
      <c r="A3141" s="499" t="s">
        <v>9656</v>
      </c>
    </row>
    <row r="3142">
      <c r="A3142" s="499" t="s">
        <v>9657</v>
      </c>
    </row>
    <row r="3143">
      <c r="A3143" s="499" t="s">
        <v>9658</v>
      </c>
    </row>
    <row r="3144">
      <c r="A3144" s="499" t="s">
        <v>9659</v>
      </c>
    </row>
    <row r="3145">
      <c r="A3145" s="499" t="s">
        <v>9660</v>
      </c>
    </row>
    <row r="3146">
      <c r="A3146" s="499" t="s">
        <v>9661</v>
      </c>
    </row>
    <row r="3147">
      <c r="A3147" s="499" t="s">
        <v>9662</v>
      </c>
    </row>
    <row r="3148">
      <c r="A3148" s="499" t="s">
        <v>9663</v>
      </c>
    </row>
    <row r="3149">
      <c r="A3149" s="499" t="s">
        <v>9664</v>
      </c>
    </row>
    <row r="3150">
      <c r="A3150" s="499" t="s">
        <v>9665</v>
      </c>
    </row>
    <row r="3151">
      <c r="A3151" s="499" t="s">
        <v>9666</v>
      </c>
    </row>
    <row r="3152">
      <c r="A3152" s="499" t="s">
        <v>9667</v>
      </c>
    </row>
    <row r="3153">
      <c r="A3153" s="499" t="s">
        <v>9668</v>
      </c>
    </row>
    <row r="3154">
      <c r="A3154" s="499" t="s">
        <v>9669</v>
      </c>
    </row>
    <row r="3155">
      <c r="A3155" s="499" t="s">
        <v>9670</v>
      </c>
    </row>
    <row r="3156">
      <c r="A3156" s="499" t="s">
        <v>9671</v>
      </c>
    </row>
    <row r="3157">
      <c r="A3157" s="499" t="s">
        <v>9672</v>
      </c>
    </row>
    <row r="3158">
      <c r="A3158" s="499" t="s">
        <v>9673</v>
      </c>
    </row>
    <row r="3159">
      <c r="A3159" s="499" t="s">
        <v>9674</v>
      </c>
    </row>
    <row r="3160">
      <c r="A3160" s="499" t="s">
        <v>9675</v>
      </c>
    </row>
    <row r="3161">
      <c r="A3161" s="499" t="s">
        <v>9676</v>
      </c>
    </row>
    <row r="3162">
      <c r="A3162" s="499" t="s">
        <v>9677</v>
      </c>
    </row>
    <row r="3163">
      <c r="A3163" s="499" t="s">
        <v>9678</v>
      </c>
    </row>
    <row r="3164">
      <c r="A3164" s="499" t="s">
        <v>9679</v>
      </c>
    </row>
    <row r="3165">
      <c r="A3165" s="499" t="s">
        <v>9680</v>
      </c>
    </row>
    <row r="3166">
      <c r="A3166" s="499" t="s">
        <v>9681</v>
      </c>
    </row>
    <row r="3167">
      <c r="A3167" s="499" t="s">
        <v>9682</v>
      </c>
    </row>
    <row r="3168">
      <c r="A3168" s="499" t="s">
        <v>9683</v>
      </c>
    </row>
    <row r="3169">
      <c r="A3169" s="499" t="s">
        <v>9684</v>
      </c>
    </row>
    <row r="3170">
      <c r="A3170" s="499" t="s">
        <v>9685</v>
      </c>
    </row>
    <row r="3171">
      <c r="A3171" s="499" t="s">
        <v>9686</v>
      </c>
    </row>
    <row r="3172">
      <c r="A3172" s="499" t="s">
        <v>9687</v>
      </c>
    </row>
    <row r="3173">
      <c r="A3173" s="499" t="s">
        <v>9688</v>
      </c>
    </row>
    <row r="3174">
      <c r="A3174" s="499" t="s">
        <v>9689</v>
      </c>
    </row>
    <row r="3175">
      <c r="A3175" s="499" t="s">
        <v>9690</v>
      </c>
    </row>
    <row r="3176">
      <c r="A3176" s="499" t="s">
        <v>9691</v>
      </c>
    </row>
    <row r="3177">
      <c r="A3177" s="499" t="s">
        <v>9692</v>
      </c>
    </row>
    <row r="3178">
      <c r="A3178" s="499" t="s">
        <v>9693</v>
      </c>
    </row>
    <row r="3179">
      <c r="A3179" s="499" t="s">
        <v>9694</v>
      </c>
    </row>
    <row r="3180">
      <c r="A3180" s="499" t="s">
        <v>9695</v>
      </c>
    </row>
    <row r="3181">
      <c r="A3181" s="499" t="s">
        <v>9696</v>
      </c>
    </row>
    <row r="3182">
      <c r="A3182" s="499" t="s">
        <v>9697</v>
      </c>
    </row>
    <row r="3183">
      <c r="A3183" s="499" t="s">
        <v>9698</v>
      </c>
    </row>
    <row r="3184">
      <c r="A3184" s="499" t="s">
        <v>9699</v>
      </c>
    </row>
    <row r="3185">
      <c r="A3185" s="499" t="s">
        <v>9700</v>
      </c>
    </row>
    <row r="3186">
      <c r="A3186" s="499" t="s">
        <v>9701</v>
      </c>
    </row>
    <row r="3187">
      <c r="A3187" s="499" t="s">
        <v>9702</v>
      </c>
    </row>
    <row r="3188">
      <c r="A3188" s="499" t="s">
        <v>9703</v>
      </c>
    </row>
    <row r="3189">
      <c r="A3189" s="499" t="s">
        <v>9704</v>
      </c>
    </row>
    <row r="3190">
      <c r="A3190" s="499" t="s">
        <v>9705</v>
      </c>
    </row>
    <row r="3191">
      <c r="A3191" s="499" t="s">
        <v>9706</v>
      </c>
    </row>
    <row r="3192">
      <c r="A3192" s="499" t="s">
        <v>9707</v>
      </c>
    </row>
    <row r="3193">
      <c r="A3193" s="499" t="s">
        <v>9708</v>
      </c>
    </row>
    <row r="3194">
      <c r="A3194" s="499" t="s">
        <v>9709</v>
      </c>
    </row>
    <row r="3195">
      <c r="A3195" s="499" t="s">
        <v>9710</v>
      </c>
    </row>
    <row r="3196">
      <c r="A3196" s="499" t="s">
        <v>9711</v>
      </c>
    </row>
    <row r="3197">
      <c r="A3197" s="499" t="s">
        <v>9712</v>
      </c>
    </row>
    <row r="3198">
      <c r="A3198" s="499" t="s">
        <v>9713</v>
      </c>
    </row>
    <row r="3199">
      <c r="A3199" s="499" t="s">
        <v>9714</v>
      </c>
    </row>
    <row r="3200">
      <c r="A3200" s="499" t="s">
        <v>9715</v>
      </c>
    </row>
    <row r="3201">
      <c r="A3201" s="499" t="s">
        <v>9716</v>
      </c>
    </row>
    <row r="3202">
      <c r="A3202" s="499" t="s">
        <v>9717</v>
      </c>
    </row>
    <row r="3203">
      <c r="A3203" s="499" t="s">
        <v>9718</v>
      </c>
    </row>
    <row r="3204">
      <c r="A3204" s="499" t="s">
        <v>9719</v>
      </c>
    </row>
    <row r="3205">
      <c r="A3205" s="499" t="s">
        <v>9720</v>
      </c>
    </row>
    <row r="3206">
      <c r="A3206" s="499" t="s">
        <v>9721</v>
      </c>
    </row>
    <row r="3207">
      <c r="A3207" s="499" t="s">
        <v>9722</v>
      </c>
    </row>
    <row r="3208">
      <c r="A3208" s="499" t="s">
        <v>9723</v>
      </c>
    </row>
    <row r="3209">
      <c r="A3209" s="499" t="s">
        <v>9724</v>
      </c>
    </row>
    <row r="3210">
      <c r="A3210" s="499" t="s">
        <v>9725</v>
      </c>
    </row>
    <row r="3211">
      <c r="A3211" s="499" t="s">
        <v>9726</v>
      </c>
    </row>
    <row r="3212">
      <c r="A3212" s="499" t="s">
        <v>9727</v>
      </c>
    </row>
    <row r="3213">
      <c r="A3213" s="499" t="s">
        <v>9728</v>
      </c>
    </row>
    <row r="3214">
      <c r="A3214" s="499" t="s">
        <v>9729</v>
      </c>
    </row>
    <row r="3215">
      <c r="A3215" s="499" t="s">
        <v>9730</v>
      </c>
    </row>
    <row r="3216">
      <c r="A3216" s="499" t="s">
        <v>9731</v>
      </c>
    </row>
    <row r="3217">
      <c r="A3217" s="499" t="s">
        <v>9732</v>
      </c>
    </row>
    <row r="3218">
      <c r="A3218" s="499" t="s">
        <v>9733</v>
      </c>
    </row>
    <row r="3219">
      <c r="A3219" s="499" t="s">
        <v>9734</v>
      </c>
    </row>
    <row r="3220">
      <c r="A3220" s="499" t="s">
        <v>9735</v>
      </c>
    </row>
    <row r="3221">
      <c r="A3221" s="499" t="s">
        <v>9736</v>
      </c>
    </row>
    <row r="3222">
      <c r="A3222" s="499" t="s">
        <v>9737</v>
      </c>
    </row>
    <row r="3223">
      <c r="A3223" s="499" t="s">
        <v>9738</v>
      </c>
    </row>
    <row r="3224">
      <c r="A3224" s="499" t="s">
        <v>9739</v>
      </c>
    </row>
    <row r="3225">
      <c r="A3225" s="499" t="s">
        <v>9740</v>
      </c>
    </row>
    <row r="3226">
      <c r="A3226" s="499" t="s">
        <v>9741</v>
      </c>
    </row>
    <row r="3227">
      <c r="A3227" s="499" t="s">
        <v>9742</v>
      </c>
    </row>
    <row r="3228">
      <c r="A3228" s="499" t="s">
        <v>9743</v>
      </c>
    </row>
    <row r="3229">
      <c r="A3229" s="499" t="s">
        <v>9744</v>
      </c>
    </row>
    <row r="3230">
      <c r="A3230" s="499" t="s">
        <v>9745</v>
      </c>
    </row>
    <row r="3231">
      <c r="A3231" s="499" t="s">
        <v>9746</v>
      </c>
    </row>
    <row r="3232">
      <c r="A3232" s="499" t="s">
        <v>9747</v>
      </c>
    </row>
    <row r="3233">
      <c r="A3233" s="499" t="s">
        <v>9748</v>
      </c>
    </row>
    <row r="3234">
      <c r="A3234" s="499" t="s">
        <v>9749</v>
      </c>
    </row>
    <row r="3235">
      <c r="A3235" s="499" t="s">
        <v>9750</v>
      </c>
    </row>
    <row r="3236">
      <c r="A3236" s="499" t="s">
        <v>9751</v>
      </c>
    </row>
    <row r="3237">
      <c r="A3237" s="499" t="s">
        <v>9752</v>
      </c>
    </row>
    <row r="3238">
      <c r="A3238" s="499" t="s">
        <v>9753</v>
      </c>
    </row>
    <row r="3239">
      <c r="A3239" s="499" t="s">
        <v>9754</v>
      </c>
    </row>
    <row r="3240">
      <c r="A3240" s="499" t="s">
        <v>9755</v>
      </c>
    </row>
    <row r="3241">
      <c r="A3241" s="499" t="s">
        <v>9756</v>
      </c>
    </row>
    <row r="3242">
      <c r="A3242" s="499" t="s">
        <v>9757</v>
      </c>
    </row>
    <row r="3243">
      <c r="A3243" s="499" t="s">
        <v>9758</v>
      </c>
    </row>
    <row r="3244">
      <c r="A3244" s="499" t="s">
        <v>9759</v>
      </c>
    </row>
    <row r="3245">
      <c r="A3245" s="499" t="s">
        <v>9760</v>
      </c>
    </row>
    <row r="3246">
      <c r="A3246" s="499" t="s">
        <v>9761</v>
      </c>
    </row>
    <row r="3247">
      <c r="A3247" s="499" t="s">
        <v>9762</v>
      </c>
    </row>
    <row r="3248">
      <c r="A3248" s="499" t="s">
        <v>9763</v>
      </c>
    </row>
    <row r="3249">
      <c r="A3249" s="499" t="s">
        <v>9764</v>
      </c>
    </row>
    <row r="3250">
      <c r="A3250" s="499" t="s">
        <v>9765</v>
      </c>
    </row>
    <row r="3251">
      <c r="A3251" s="499" t="s">
        <v>9766</v>
      </c>
    </row>
    <row r="3252">
      <c r="A3252" s="499" t="s">
        <v>9767</v>
      </c>
    </row>
    <row r="3253">
      <c r="A3253" s="499" t="s">
        <v>9768</v>
      </c>
    </row>
    <row r="3254">
      <c r="A3254" s="499" t="s">
        <v>9769</v>
      </c>
    </row>
    <row r="3255">
      <c r="A3255" s="499" t="s">
        <v>9770</v>
      </c>
    </row>
    <row r="3256">
      <c r="A3256" s="499" t="s">
        <v>9771</v>
      </c>
    </row>
    <row r="3257">
      <c r="A3257" s="499" t="s">
        <v>9772</v>
      </c>
    </row>
    <row r="3258">
      <c r="A3258" s="499" t="s">
        <v>9773</v>
      </c>
    </row>
    <row r="3259">
      <c r="A3259" s="499" t="s">
        <v>9774</v>
      </c>
    </row>
    <row r="3260">
      <c r="A3260" s="499" t="s">
        <v>9775</v>
      </c>
    </row>
    <row r="3261">
      <c r="A3261" s="499" t="s">
        <v>9776</v>
      </c>
    </row>
    <row r="3262">
      <c r="A3262" s="499" t="s">
        <v>9777</v>
      </c>
    </row>
    <row r="3263">
      <c r="A3263" s="499" t="s">
        <v>9778</v>
      </c>
    </row>
    <row r="3264">
      <c r="A3264" s="499" t="s">
        <v>9779</v>
      </c>
    </row>
    <row r="3265">
      <c r="A3265" s="499" t="s">
        <v>9780</v>
      </c>
    </row>
    <row r="3266">
      <c r="A3266" s="499" t="s">
        <v>9781</v>
      </c>
    </row>
    <row r="3267">
      <c r="A3267" s="499" t="s">
        <v>9782</v>
      </c>
    </row>
    <row r="3268">
      <c r="A3268" s="499" t="s">
        <v>9783</v>
      </c>
    </row>
    <row r="3269">
      <c r="A3269" s="499" t="s">
        <v>9784</v>
      </c>
    </row>
    <row r="3270">
      <c r="A3270" s="499" t="s">
        <v>9785</v>
      </c>
    </row>
    <row r="3271">
      <c r="A3271" s="499" t="s">
        <v>9786</v>
      </c>
    </row>
    <row r="3272">
      <c r="A3272" s="499" t="s">
        <v>9787</v>
      </c>
    </row>
    <row r="3273">
      <c r="A3273" s="499" t="s">
        <v>9788</v>
      </c>
    </row>
    <row r="3274">
      <c r="A3274" s="499" t="s">
        <v>9789</v>
      </c>
    </row>
    <row r="3275">
      <c r="A3275" s="499" t="s">
        <v>9790</v>
      </c>
    </row>
    <row r="3276">
      <c r="A3276" s="499" t="s">
        <v>9791</v>
      </c>
    </row>
    <row r="3277">
      <c r="A3277" s="499" t="s">
        <v>9792</v>
      </c>
    </row>
    <row r="3278">
      <c r="A3278" s="499" t="s">
        <v>9793</v>
      </c>
    </row>
    <row r="3279">
      <c r="A3279" s="499" t="s">
        <v>9794</v>
      </c>
    </row>
    <row r="3280">
      <c r="A3280" s="499" t="s">
        <v>9795</v>
      </c>
    </row>
    <row r="3281">
      <c r="A3281" s="499" t="s">
        <v>9796</v>
      </c>
    </row>
    <row r="3282">
      <c r="A3282" s="499" t="s">
        <v>9797</v>
      </c>
    </row>
    <row r="3283">
      <c r="A3283" s="499" t="s">
        <v>9798</v>
      </c>
    </row>
    <row r="3284">
      <c r="A3284" s="499" t="s">
        <v>9799</v>
      </c>
    </row>
    <row r="3285">
      <c r="A3285" s="499" t="s">
        <v>9800</v>
      </c>
    </row>
    <row r="3286">
      <c r="A3286" s="499" t="s">
        <v>9801</v>
      </c>
    </row>
    <row r="3287">
      <c r="A3287" s="499" t="s">
        <v>9802</v>
      </c>
    </row>
    <row r="3288">
      <c r="A3288" s="499" t="s">
        <v>9803</v>
      </c>
    </row>
    <row r="3289">
      <c r="A3289" s="499" t="s">
        <v>9804</v>
      </c>
    </row>
    <row r="3290">
      <c r="A3290" s="499" t="s">
        <v>9805</v>
      </c>
    </row>
    <row r="3291">
      <c r="A3291" s="499" t="s">
        <v>9806</v>
      </c>
    </row>
    <row r="3292">
      <c r="A3292" s="499" t="s">
        <v>9807</v>
      </c>
    </row>
    <row r="3293">
      <c r="A3293" s="499" t="s">
        <v>9808</v>
      </c>
    </row>
    <row r="3294">
      <c r="A3294" s="499" t="s">
        <v>9809</v>
      </c>
    </row>
    <row r="3295">
      <c r="A3295" s="499" t="s">
        <v>9810</v>
      </c>
    </row>
    <row r="3296">
      <c r="A3296" s="499" t="s">
        <v>9811</v>
      </c>
    </row>
    <row r="3297">
      <c r="A3297" s="499" t="s">
        <v>9812</v>
      </c>
    </row>
    <row r="3298">
      <c r="A3298" s="499" t="s">
        <v>9813</v>
      </c>
    </row>
    <row r="3299">
      <c r="A3299" s="499" t="s">
        <v>9814</v>
      </c>
    </row>
    <row r="3300">
      <c r="A3300" s="499" t="s">
        <v>9815</v>
      </c>
    </row>
    <row r="3301">
      <c r="A3301" s="499" t="s">
        <v>9816</v>
      </c>
    </row>
    <row r="3302">
      <c r="A3302" s="499" t="s">
        <v>9817</v>
      </c>
    </row>
    <row r="3303">
      <c r="A3303" s="499" t="s">
        <v>9818</v>
      </c>
    </row>
    <row r="3304">
      <c r="A3304" s="499" t="s">
        <v>9819</v>
      </c>
    </row>
    <row r="3305">
      <c r="A3305" s="499" t="s">
        <v>9820</v>
      </c>
    </row>
    <row r="3306">
      <c r="A3306" s="499" t="s">
        <v>9821</v>
      </c>
    </row>
    <row r="3307">
      <c r="A3307" s="499" t="s">
        <v>9822</v>
      </c>
    </row>
    <row r="3308">
      <c r="A3308" s="499" t="s">
        <v>9823</v>
      </c>
    </row>
    <row r="3309">
      <c r="A3309" s="499" t="s">
        <v>9824</v>
      </c>
    </row>
    <row r="3310">
      <c r="A3310" s="499" t="s">
        <v>9825</v>
      </c>
    </row>
    <row r="3311">
      <c r="A3311" s="499" t="s">
        <v>9826</v>
      </c>
    </row>
    <row r="3312">
      <c r="A3312" s="499" t="s">
        <v>9827</v>
      </c>
    </row>
    <row r="3313">
      <c r="A3313" s="499" t="s">
        <v>9828</v>
      </c>
    </row>
    <row r="3314">
      <c r="A3314" s="499" t="s">
        <v>9829</v>
      </c>
    </row>
    <row r="3315">
      <c r="A3315" s="499" t="s">
        <v>9830</v>
      </c>
    </row>
    <row r="3316">
      <c r="A3316" s="499" t="s">
        <v>9831</v>
      </c>
    </row>
    <row r="3317">
      <c r="A3317" s="499" t="s">
        <v>9832</v>
      </c>
    </row>
    <row r="3318">
      <c r="A3318" s="499" t="s">
        <v>9833</v>
      </c>
    </row>
    <row r="3319">
      <c r="A3319" s="499" t="s">
        <v>9834</v>
      </c>
    </row>
    <row r="3320">
      <c r="A3320" s="499" t="s">
        <v>9835</v>
      </c>
    </row>
    <row r="3321">
      <c r="A3321" s="499" t="s">
        <v>9836</v>
      </c>
    </row>
    <row r="3322">
      <c r="A3322" s="499" t="s">
        <v>9837</v>
      </c>
    </row>
    <row r="3323">
      <c r="A3323" s="499" t="s">
        <v>9838</v>
      </c>
    </row>
    <row r="3324">
      <c r="A3324" s="499" t="s">
        <v>9839</v>
      </c>
    </row>
    <row r="3325">
      <c r="A3325" s="499" t="s">
        <v>9840</v>
      </c>
    </row>
    <row r="3326">
      <c r="A3326" s="499" t="s">
        <v>9841</v>
      </c>
    </row>
    <row r="3327">
      <c r="A3327" s="499" t="s">
        <v>9842</v>
      </c>
    </row>
    <row r="3328">
      <c r="A3328" s="499" t="s">
        <v>9843</v>
      </c>
    </row>
    <row r="3329">
      <c r="A3329" s="499" t="s">
        <v>9844</v>
      </c>
    </row>
    <row r="3330">
      <c r="A3330" s="499" t="s">
        <v>9845</v>
      </c>
    </row>
    <row r="3331">
      <c r="A3331" s="499" t="s">
        <v>9846</v>
      </c>
    </row>
    <row r="3332">
      <c r="A3332" s="499" t="s">
        <v>9847</v>
      </c>
    </row>
    <row r="3333">
      <c r="A3333" s="499" t="s">
        <v>9848</v>
      </c>
    </row>
    <row r="3334">
      <c r="A3334" s="499" t="s">
        <v>9849</v>
      </c>
    </row>
    <row r="3335">
      <c r="A3335" s="499" t="s">
        <v>9850</v>
      </c>
    </row>
    <row r="3336">
      <c r="A3336" s="499" t="s">
        <v>9851</v>
      </c>
    </row>
    <row r="3337">
      <c r="A3337" s="499" t="s">
        <v>9852</v>
      </c>
    </row>
    <row r="3338">
      <c r="A3338" s="499" t="s">
        <v>9853</v>
      </c>
    </row>
    <row r="3339">
      <c r="A3339" s="499" t="s">
        <v>9854</v>
      </c>
    </row>
    <row r="3340">
      <c r="A3340" s="499" t="s">
        <v>9855</v>
      </c>
    </row>
    <row r="3341">
      <c r="A3341" s="499" t="s">
        <v>9856</v>
      </c>
    </row>
    <row r="3342">
      <c r="A3342" s="499" t="s">
        <v>9857</v>
      </c>
    </row>
    <row r="3343">
      <c r="A3343" s="499" t="s">
        <v>9858</v>
      </c>
    </row>
    <row r="3344">
      <c r="A3344" s="499" t="s">
        <v>9859</v>
      </c>
    </row>
    <row r="3345">
      <c r="A3345" s="499" t="s">
        <v>9860</v>
      </c>
    </row>
    <row r="3346">
      <c r="A3346" s="499" t="s">
        <v>9861</v>
      </c>
    </row>
    <row r="3347">
      <c r="A3347" s="499" t="s">
        <v>9862</v>
      </c>
    </row>
    <row r="3348">
      <c r="A3348" s="499" t="s">
        <v>9863</v>
      </c>
    </row>
    <row r="3349">
      <c r="A3349" s="499" t="s">
        <v>9864</v>
      </c>
    </row>
    <row r="3350">
      <c r="A3350" s="499" t="s">
        <v>9865</v>
      </c>
    </row>
    <row r="3351">
      <c r="A3351" s="499" t="s">
        <v>9866</v>
      </c>
    </row>
    <row r="3352">
      <c r="A3352" s="499" t="s">
        <v>9867</v>
      </c>
    </row>
    <row r="3353">
      <c r="A3353" s="499" t="s">
        <v>9868</v>
      </c>
    </row>
    <row r="3354">
      <c r="A3354" s="499" t="s">
        <v>9869</v>
      </c>
    </row>
    <row r="3355">
      <c r="A3355" s="499" t="s">
        <v>9870</v>
      </c>
    </row>
    <row r="3356">
      <c r="A3356" s="499" t="s">
        <v>9871</v>
      </c>
    </row>
    <row r="3357">
      <c r="A3357" s="499" t="s">
        <v>9872</v>
      </c>
    </row>
    <row r="3358">
      <c r="A3358" s="499" t="s">
        <v>9873</v>
      </c>
    </row>
    <row r="3359">
      <c r="A3359" s="499" t="s">
        <v>9874</v>
      </c>
    </row>
    <row r="3360">
      <c r="A3360" s="499" t="s">
        <v>9875</v>
      </c>
    </row>
    <row r="3361">
      <c r="A3361" s="499" t="s">
        <v>9876</v>
      </c>
    </row>
    <row r="3362">
      <c r="A3362" s="499" t="s">
        <v>9877</v>
      </c>
    </row>
    <row r="3363">
      <c r="A3363" s="499" t="s">
        <v>9878</v>
      </c>
    </row>
    <row r="3364">
      <c r="A3364" s="499" t="s">
        <v>9879</v>
      </c>
    </row>
    <row r="3365">
      <c r="A3365" s="499" t="s">
        <v>9880</v>
      </c>
    </row>
    <row r="3366">
      <c r="A3366" s="499" t="s">
        <v>9881</v>
      </c>
    </row>
    <row r="3367">
      <c r="A3367" s="499" t="s">
        <v>9882</v>
      </c>
    </row>
    <row r="3368">
      <c r="A3368" s="499" t="s">
        <v>9883</v>
      </c>
    </row>
    <row r="3369">
      <c r="A3369" s="499" t="s">
        <v>9884</v>
      </c>
    </row>
    <row r="3370">
      <c r="A3370" s="499" t="s">
        <v>9885</v>
      </c>
    </row>
    <row r="3371">
      <c r="A3371" s="499" t="s">
        <v>9886</v>
      </c>
    </row>
    <row r="3372">
      <c r="A3372" s="499" t="s">
        <v>9887</v>
      </c>
    </row>
    <row r="3373">
      <c r="A3373" s="499" t="s">
        <v>9888</v>
      </c>
    </row>
    <row r="3374">
      <c r="A3374" s="499" t="s">
        <v>9889</v>
      </c>
    </row>
    <row r="3375">
      <c r="A3375" s="499" t="s">
        <v>9890</v>
      </c>
    </row>
    <row r="3376">
      <c r="A3376" s="499" t="s">
        <v>9891</v>
      </c>
    </row>
    <row r="3377">
      <c r="A3377" s="499" t="s">
        <v>9892</v>
      </c>
    </row>
    <row r="3378">
      <c r="A3378" s="499" t="s">
        <v>9893</v>
      </c>
    </row>
    <row r="3379">
      <c r="A3379" s="499" t="s">
        <v>9894</v>
      </c>
    </row>
    <row r="3380">
      <c r="A3380" s="499" t="s">
        <v>9895</v>
      </c>
    </row>
    <row r="3381">
      <c r="A3381" s="499" t="s">
        <v>9896</v>
      </c>
    </row>
    <row r="3382">
      <c r="A3382" s="499" t="s">
        <v>9897</v>
      </c>
    </row>
    <row r="3383">
      <c r="A3383" s="499" t="s">
        <v>9898</v>
      </c>
    </row>
    <row r="3384">
      <c r="A3384" s="499" t="s">
        <v>9899</v>
      </c>
    </row>
    <row r="3385">
      <c r="A3385" s="499" t="s">
        <v>9900</v>
      </c>
    </row>
    <row r="3386">
      <c r="A3386" s="499" t="s">
        <v>9901</v>
      </c>
    </row>
    <row r="3387">
      <c r="A3387" s="499" t="s">
        <v>9902</v>
      </c>
    </row>
    <row r="3388">
      <c r="A3388" s="499" t="s">
        <v>9903</v>
      </c>
    </row>
    <row r="3389">
      <c r="A3389" s="499" t="s">
        <v>9904</v>
      </c>
    </row>
    <row r="3390">
      <c r="A3390" s="499" t="s">
        <v>9905</v>
      </c>
    </row>
    <row r="3391">
      <c r="A3391" s="499" t="s">
        <v>9906</v>
      </c>
    </row>
    <row r="3392">
      <c r="A3392" s="499" t="s">
        <v>9907</v>
      </c>
    </row>
    <row r="3393">
      <c r="A3393" s="499" t="s">
        <v>9908</v>
      </c>
    </row>
    <row r="3394">
      <c r="A3394" s="499" t="s">
        <v>9909</v>
      </c>
    </row>
    <row r="3395">
      <c r="A3395" s="499" t="s">
        <v>9910</v>
      </c>
    </row>
    <row r="3396">
      <c r="A3396" s="499" t="s">
        <v>9911</v>
      </c>
    </row>
    <row r="3397">
      <c r="A3397" s="499" t="s">
        <v>9912</v>
      </c>
    </row>
    <row r="3398">
      <c r="A3398" s="499" t="s">
        <v>9913</v>
      </c>
    </row>
    <row r="3399">
      <c r="A3399" s="499" t="s">
        <v>9914</v>
      </c>
    </row>
    <row r="3400">
      <c r="A3400" s="499" t="s">
        <v>9915</v>
      </c>
    </row>
    <row r="3401">
      <c r="A3401" s="499" t="s">
        <v>9916</v>
      </c>
    </row>
    <row r="3402">
      <c r="A3402" s="499" t="s">
        <v>9917</v>
      </c>
    </row>
    <row r="3403">
      <c r="A3403" s="499" t="s">
        <v>9918</v>
      </c>
    </row>
    <row r="3404">
      <c r="A3404" s="499" t="s">
        <v>9919</v>
      </c>
    </row>
    <row r="3405">
      <c r="A3405" s="499" t="s">
        <v>9920</v>
      </c>
    </row>
    <row r="3406">
      <c r="A3406" s="499" t="s">
        <v>9921</v>
      </c>
    </row>
    <row r="3407">
      <c r="A3407" s="499" t="s">
        <v>9922</v>
      </c>
    </row>
    <row r="3408">
      <c r="A3408" s="499" t="s">
        <v>9923</v>
      </c>
    </row>
    <row r="3409">
      <c r="A3409" s="499" t="s">
        <v>9924</v>
      </c>
    </row>
    <row r="3410">
      <c r="A3410" s="499" t="s">
        <v>9925</v>
      </c>
    </row>
    <row r="3411">
      <c r="A3411" s="499" t="s">
        <v>9926</v>
      </c>
    </row>
    <row r="3412">
      <c r="A3412" s="499" t="s">
        <v>9927</v>
      </c>
    </row>
    <row r="3413">
      <c r="A3413" s="499" t="s">
        <v>9928</v>
      </c>
    </row>
    <row r="3414">
      <c r="A3414" s="499" t="s">
        <v>9929</v>
      </c>
    </row>
    <row r="3415">
      <c r="A3415" s="499" t="s">
        <v>9930</v>
      </c>
    </row>
    <row r="3416">
      <c r="A3416" s="499" t="s">
        <v>9931</v>
      </c>
    </row>
    <row r="3417">
      <c r="A3417" s="499" t="s">
        <v>9932</v>
      </c>
    </row>
    <row r="3418">
      <c r="A3418" s="499" t="s">
        <v>9933</v>
      </c>
    </row>
    <row r="3419">
      <c r="A3419" s="499" t="s">
        <v>9934</v>
      </c>
    </row>
    <row r="3420">
      <c r="A3420" s="499" t="s">
        <v>9935</v>
      </c>
    </row>
    <row r="3421">
      <c r="A3421" s="499" t="s">
        <v>9936</v>
      </c>
    </row>
    <row r="3422">
      <c r="A3422" s="499" t="s">
        <v>9937</v>
      </c>
    </row>
    <row r="3423">
      <c r="A3423" s="499" t="s">
        <v>9938</v>
      </c>
    </row>
    <row r="3424">
      <c r="A3424" s="499" t="s">
        <v>9939</v>
      </c>
    </row>
    <row r="3425">
      <c r="A3425" s="499" t="s">
        <v>9940</v>
      </c>
    </row>
    <row r="3426">
      <c r="A3426" s="499" t="s">
        <v>9941</v>
      </c>
    </row>
    <row r="3427">
      <c r="A3427" s="499" t="s">
        <v>9942</v>
      </c>
    </row>
    <row r="3428">
      <c r="A3428" s="499" t="s">
        <v>9943</v>
      </c>
    </row>
    <row r="3429">
      <c r="A3429" s="499" t="s">
        <v>9944</v>
      </c>
    </row>
    <row r="3430">
      <c r="A3430" s="499" t="s">
        <v>9945</v>
      </c>
    </row>
    <row r="3431">
      <c r="A3431" s="499" t="s">
        <v>9946</v>
      </c>
    </row>
    <row r="3432">
      <c r="A3432" s="499" t="s">
        <v>9947</v>
      </c>
    </row>
    <row r="3433">
      <c r="A3433" s="499" t="s">
        <v>9948</v>
      </c>
    </row>
    <row r="3434">
      <c r="A3434" s="499" t="s">
        <v>9949</v>
      </c>
    </row>
    <row r="3435">
      <c r="A3435" s="499" t="s">
        <v>9950</v>
      </c>
    </row>
    <row r="3436">
      <c r="A3436" s="499" t="s">
        <v>9951</v>
      </c>
    </row>
    <row r="3437">
      <c r="A3437" s="499" t="s">
        <v>9952</v>
      </c>
    </row>
    <row r="3438">
      <c r="A3438" s="499" t="s">
        <v>9953</v>
      </c>
    </row>
    <row r="3439">
      <c r="A3439" s="499" t="s">
        <v>9954</v>
      </c>
    </row>
    <row r="3440">
      <c r="A3440" s="499" t="s">
        <v>9955</v>
      </c>
    </row>
    <row r="3441">
      <c r="A3441" s="499" t="s">
        <v>9956</v>
      </c>
    </row>
    <row r="3442">
      <c r="A3442" s="499" t="s">
        <v>9957</v>
      </c>
    </row>
    <row r="3443">
      <c r="A3443" s="499" t="s">
        <v>9958</v>
      </c>
    </row>
    <row r="3444">
      <c r="A3444" s="499" t="s">
        <v>9959</v>
      </c>
    </row>
    <row r="3445">
      <c r="A3445" s="499" t="s">
        <v>9960</v>
      </c>
    </row>
    <row r="3446">
      <c r="A3446" s="499" t="s">
        <v>9961</v>
      </c>
    </row>
    <row r="3447">
      <c r="A3447" s="499" t="s">
        <v>9962</v>
      </c>
    </row>
    <row r="3448">
      <c r="A3448" s="499" t="s">
        <v>9963</v>
      </c>
    </row>
    <row r="3449">
      <c r="A3449" s="499" t="s">
        <v>9964</v>
      </c>
    </row>
    <row r="3450">
      <c r="A3450" s="499" t="s">
        <v>9965</v>
      </c>
    </row>
    <row r="3451">
      <c r="A3451" s="499" t="s">
        <v>9966</v>
      </c>
    </row>
    <row r="3452">
      <c r="A3452" s="499" t="s">
        <v>9967</v>
      </c>
    </row>
    <row r="3453">
      <c r="A3453" s="499" t="s">
        <v>9968</v>
      </c>
    </row>
    <row r="3454">
      <c r="A3454" s="499" t="s">
        <v>9969</v>
      </c>
    </row>
    <row r="3455">
      <c r="A3455" s="499" t="s">
        <v>9970</v>
      </c>
    </row>
    <row r="3456">
      <c r="A3456" s="499" t="s">
        <v>9971</v>
      </c>
    </row>
    <row r="3457">
      <c r="A3457" s="499" t="s">
        <v>9972</v>
      </c>
    </row>
    <row r="3458">
      <c r="A3458" s="499" t="s">
        <v>9973</v>
      </c>
    </row>
    <row r="3459">
      <c r="A3459" s="499" t="s">
        <v>9974</v>
      </c>
    </row>
    <row r="3460">
      <c r="A3460" s="499" t="s">
        <v>9975</v>
      </c>
    </row>
    <row r="3461">
      <c r="A3461" s="499" t="s">
        <v>9976</v>
      </c>
    </row>
    <row r="3462">
      <c r="A3462" s="499" t="s">
        <v>9977</v>
      </c>
    </row>
    <row r="3463">
      <c r="A3463" s="499" t="s">
        <v>9978</v>
      </c>
    </row>
    <row r="3464">
      <c r="A3464" s="499" t="s">
        <v>9979</v>
      </c>
    </row>
    <row r="3465">
      <c r="A3465" s="499" t="s">
        <v>9980</v>
      </c>
    </row>
    <row r="3466">
      <c r="A3466" s="499" t="s">
        <v>9981</v>
      </c>
    </row>
    <row r="3467">
      <c r="A3467" s="499" t="s">
        <v>9982</v>
      </c>
    </row>
    <row r="3468">
      <c r="A3468" s="499" t="s">
        <v>9983</v>
      </c>
    </row>
    <row r="3469">
      <c r="A3469" s="499" t="s">
        <v>9984</v>
      </c>
    </row>
    <row r="3470">
      <c r="A3470" s="499" t="s">
        <v>9985</v>
      </c>
    </row>
    <row r="3471">
      <c r="A3471" s="499" t="s">
        <v>9986</v>
      </c>
    </row>
    <row r="3472">
      <c r="A3472" s="499" t="s">
        <v>9987</v>
      </c>
    </row>
    <row r="3473">
      <c r="A3473" s="499" t="s">
        <v>9988</v>
      </c>
    </row>
    <row r="3474">
      <c r="A3474" s="499" t="s">
        <v>9989</v>
      </c>
    </row>
    <row r="3475">
      <c r="A3475" s="499" t="s">
        <v>9990</v>
      </c>
    </row>
    <row r="3476">
      <c r="A3476" s="499" t="s">
        <v>9991</v>
      </c>
    </row>
    <row r="3477">
      <c r="A3477" s="499" t="s">
        <v>9992</v>
      </c>
    </row>
    <row r="3478">
      <c r="A3478" s="499" t="s">
        <v>9993</v>
      </c>
    </row>
    <row r="3479">
      <c r="A3479" s="499" t="s">
        <v>9994</v>
      </c>
    </row>
    <row r="3480">
      <c r="A3480" s="499" t="s">
        <v>9995</v>
      </c>
    </row>
    <row r="3481">
      <c r="A3481" s="499" t="s">
        <v>9996</v>
      </c>
    </row>
    <row r="3482">
      <c r="A3482" s="499" t="s">
        <v>9997</v>
      </c>
    </row>
    <row r="3483">
      <c r="A3483" s="499" t="s">
        <v>9998</v>
      </c>
    </row>
    <row r="3484">
      <c r="A3484" s="499" t="s">
        <v>9999</v>
      </c>
    </row>
    <row r="3485">
      <c r="A3485" s="499" t="s">
        <v>10000</v>
      </c>
    </row>
    <row r="3486">
      <c r="A3486" s="499" t="s">
        <v>10001</v>
      </c>
    </row>
    <row r="3487">
      <c r="A3487" s="499" t="s">
        <v>10002</v>
      </c>
    </row>
    <row r="3488">
      <c r="A3488" s="499" t="s">
        <v>10003</v>
      </c>
    </row>
    <row r="3489">
      <c r="A3489" s="499" t="s">
        <v>10004</v>
      </c>
    </row>
    <row r="3490">
      <c r="A3490" s="499" t="s">
        <v>10005</v>
      </c>
    </row>
    <row r="3491">
      <c r="A3491" s="499" t="s">
        <v>10006</v>
      </c>
    </row>
    <row r="3492">
      <c r="A3492" s="499" t="s">
        <v>10007</v>
      </c>
    </row>
    <row r="3493">
      <c r="A3493" s="499" t="s">
        <v>10008</v>
      </c>
    </row>
    <row r="3494">
      <c r="A3494" s="499" t="s">
        <v>10009</v>
      </c>
    </row>
    <row r="3495">
      <c r="A3495" s="499" t="s">
        <v>10010</v>
      </c>
    </row>
    <row r="3496">
      <c r="A3496" s="499" t="s">
        <v>10011</v>
      </c>
    </row>
    <row r="3497">
      <c r="A3497" s="499" t="s">
        <v>10012</v>
      </c>
    </row>
    <row r="3498">
      <c r="A3498" s="499" t="s">
        <v>10013</v>
      </c>
    </row>
    <row r="3499">
      <c r="A3499" s="499" t="s">
        <v>10014</v>
      </c>
    </row>
    <row r="3500">
      <c r="A3500" s="499" t="s">
        <v>10015</v>
      </c>
    </row>
    <row r="3501">
      <c r="A3501" s="499" t="s">
        <v>10016</v>
      </c>
    </row>
    <row r="3502">
      <c r="A3502" s="499" t="s">
        <v>10017</v>
      </c>
    </row>
    <row r="3503">
      <c r="A3503" s="499" t="s">
        <v>10018</v>
      </c>
    </row>
    <row r="3504">
      <c r="A3504" s="499" t="s">
        <v>10019</v>
      </c>
    </row>
    <row r="3505">
      <c r="A3505" s="499" t="s">
        <v>10020</v>
      </c>
    </row>
    <row r="3506">
      <c r="A3506" s="499" t="s">
        <v>10021</v>
      </c>
    </row>
    <row r="3507">
      <c r="A3507" s="499" t="s">
        <v>10022</v>
      </c>
    </row>
    <row r="3508">
      <c r="A3508" s="499" t="s">
        <v>10023</v>
      </c>
    </row>
    <row r="3509">
      <c r="A3509" s="499" t="s">
        <v>10024</v>
      </c>
    </row>
    <row r="3510">
      <c r="A3510" s="499" t="s">
        <v>10025</v>
      </c>
    </row>
    <row r="3511">
      <c r="A3511" s="499" t="s">
        <v>10026</v>
      </c>
    </row>
    <row r="3512">
      <c r="A3512" s="499" t="s">
        <v>10027</v>
      </c>
    </row>
    <row r="3513">
      <c r="A3513" s="499" t="s">
        <v>10028</v>
      </c>
    </row>
    <row r="3514">
      <c r="A3514" s="499" t="s">
        <v>10029</v>
      </c>
    </row>
    <row r="3515">
      <c r="A3515" s="499" t="s">
        <v>10030</v>
      </c>
    </row>
    <row r="3516">
      <c r="A3516" s="499" t="s">
        <v>10031</v>
      </c>
    </row>
    <row r="3517">
      <c r="A3517" s="499" t="s">
        <v>10032</v>
      </c>
    </row>
    <row r="3518">
      <c r="A3518" s="499" t="s">
        <v>10033</v>
      </c>
    </row>
    <row r="3519">
      <c r="A3519" s="499" t="s">
        <v>10034</v>
      </c>
    </row>
    <row r="3520">
      <c r="A3520" s="499" t="s">
        <v>10035</v>
      </c>
    </row>
    <row r="3521">
      <c r="A3521" s="499" t="s">
        <v>10036</v>
      </c>
    </row>
    <row r="3522">
      <c r="A3522" s="499" t="s">
        <v>10037</v>
      </c>
    </row>
    <row r="3523">
      <c r="A3523" s="499" t="s">
        <v>10038</v>
      </c>
    </row>
    <row r="3524">
      <c r="A3524" s="499" t="s">
        <v>10039</v>
      </c>
    </row>
    <row r="3525">
      <c r="A3525" s="499" t="s">
        <v>10040</v>
      </c>
    </row>
    <row r="3526">
      <c r="A3526" s="499" t="s">
        <v>10041</v>
      </c>
    </row>
    <row r="3527">
      <c r="A3527" s="499" t="s">
        <v>10042</v>
      </c>
    </row>
    <row r="3528">
      <c r="A3528" s="499" t="s">
        <v>10043</v>
      </c>
    </row>
    <row r="3529">
      <c r="A3529" s="499" t="s">
        <v>10044</v>
      </c>
    </row>
    <row r="3530">
      <c r="A3530" s="499" t="s">
        <v>10045</v>
      </c>
    </row>
    <row r="3531">
      <c r="A3531" s="499" t="s">
        <v>10046</v>
      </c>
    </row>
    <row r="3532">
      <c r="A3532" s="499" t="s">
        <v>10047</v>
      </c>
    </row>
    <row r="3533">
      <c r="A3533" s="499" t="s">
        <v>10048</v>
      </c>
    </row>
    <row r="3534">
      <c r="A3534" s="499" t="s">
        <v>10049</v>
      </c>
    </row>
    <row r="3535">
      <c r="A3535" s="499" t="s">
        <v>10050</v>
      </c>
    </row>
    <row r="3536">
      <c r="A3536" s="499" t="s">
        <v>10051</v>
      </c>
    </row>
    <row r="3537">
      <c r="A3537" s="499" t="s">
        <v>10052</v>
      </c>
    </row>
    <row r="3538">
      <c r="A3538" s="499" t="s">
        <v>10053</v>
      </c>
    </row>
    <row r="3539">
      <c r="A3539" s="499" t="s">
        <v>10054</v>
      </c>
    </row>
    <row r="3540">
      <c r="A3540" s="499" t="s">
        <v>10055</v>
      </c>
    </row>
    <row r="3541">
      <c r="A3541" s="499" t="s">
        <v>10056</v>
      </c>
    </row>
    <row r="3542">
      <c r="A3542" s="499" t="s">
        <v>10057</v>
      </c>
    </row>
    <row r="3543">
      <c r="A3543" s="499" t="s">
        <v>10058</v>
      </c>
    </row>
    <row r="3544">
      <c r="A3544" s="499" t="s">
        <v>10059</v>
      </c>
    </row>
    <row r="3545">
      <c r="A3545" s="499" t="s">
        <v>10060</v>
      </c>
    </row>
    <row r="3546">
      <c r="A3546" s="499" t="s">
        <v>10061</v>
      </c>
    </row>
    <row r="3547">
      <c r="A3547" s="499" t="s">
        <v>10062</v>
      </c>
    </row>
    <row r="3548">
      <c r="A3548" s="499" t="s">
        <v>10063</v>
      </c>
    </row>
    <row r="3549">
      <c r="A3549" s="499" t="s">
        <v>10064</v>
      </c>
    </row>
    <row r="3550">
      <c r="A3550" s="499" t="s">
        <v>10065</v>
      </c>
    </row>
    <row r="3551">
      <c r="A3551" s="499" t="s">
        <v>10066</v>
      </c>
    </row>
    <row r="3552">
      <c r="A3552" s="499" t="s">
        <v>10067</v>
      </c>
    </row>
    <row r="3553">
      <c r="A3553" s="499" t="s">
        <v>10068</v>
      </c>
    </row>
    <row r="3554">
      <c r="A3554" s="499" t="s">
        <v>10069</v>
      </c>
    </row>
    <row r="3555">
      <c r="A3555" s="499" t="s">
        <v>10070</v>
      </c>
    </row>
    <row r="3556">
      <c r="A3556" s="499" t="s">
        <v>10071</v>
      </c>
    </row>
    <row r="3557">
      <c r="A3557" s="499" t="s">
        <v>10072</v>
      </c>
    </row>
    <row r="3558">
      <c r="A3558" s="499" t="s">
        <v>10073</v>
      </c>
    </row>
    <row r="3559">
      <c r="A3559" s="499" t="s">
        <v>10074</v>
      </c>
    </row>
    <row r="3560">
      <c r="A3560" s="499" t="s">
        <v>10075</v>
      </c>
    </row>
    <row r="3561">
      <c r="A3561" s="499" t="s">
        <v>10076</v>
      </c>
    </row>
    <row r="3562">
      <c r="A3562" s="499" t="s">
        <v>10077</v>
      </c>
    </row>
    <row r="3563">
      <c r="A3563" s="499" t="s">
        <v>10078</v>
      </c>
    </row>
    <row r="3564">
      <c r="A3564" s="499" t="s">
        <v>10079</v>
      </c>
    </row>
    <row r="3565">
      <c r="A3565" s="499" t="s">
        <v>10080</v>
      </c>
    </row>
    <row r="3566">
      <c r="A3566" s="499" t="s">
        <v>10081</v>
      </c>
    </row>
    <row r="3567">
      <c r="A3567" s="499" t="s">
        <v>10082</v>
      </c>
    </row>
    <row r="3568">
      <c r="A3568" s="499" t="s">
        <v>10083</v>
      </c>
    </row>
    <row r="3569">
      <c r="A3569" s="499" t="s">
        <v>10084</v>
      </c>
    </row>
    <row r="3570">
      <c r="A3570" s="499" t="s">
        <v>10085</v>
      </c>
    </row>
    <row r="3571">
      <c r="A3571" s="499" t="s">
        <v>10086</v>
      </c>
    </row>
    <row r="3572">
      <c r="A3572" s="499" t="s">
        <v>10087</v>
      </c>
    </row>
    <row r="3573">
      <c r="A3573" s="499" t="s">
        <v>10088</v>
      </c>
    </row>
    <row r="3574">
      <c r="A3574" s="499" t="s">
        <v>10089</v>
      </c>
    </row>
    <row r="3575">
      <c r="A3575" s="499" t="s">
        <v>10090</v>
      </c>
    </row>
    <row r="3576">
      <c r="A3576" s="499" t="s">
        <v>10091</v>
      </c>
    </row>
    <row r="3577">
      <c r="A3577" s="499" t="s">
        <v>10092</v>
      </c>
    </row>
    <row r="3578">
      <c r="A3578" s="499" t="s">
        <v>10093</v>
      </c>
    </row>
    <row r="3579">
      <c r="A3579" s="499" t="s">
        <v>10094</v>
      </c>
    </row>
    <row r="3580">
      <c r="A3580" s="499" t="s">
        <v>10095</v>
      </c>
    </row>
    <row r="3581">
      <c r="A3581" s="499" t="s">
        <v>10096</v>
      </c>
    </row>
    <row r="3582">
      <c r="A3582" s="499" t="s">
        <v>10097</v>
      </c>
    </row>
    <row r="3583">
      <c r="A3583" s="499" t="s">
        <v>10098</v>
      </c>
    </row>
    <row r="3584">
      <c r="A3584" s="499" t="s">
        <v>10099</v>
      </c>
    </row>
    <row r="3585">
      <c r="A3585" s="499" t="s">
        <v>10100</v>
      </c>
    </row>
    <row r="3586">
      <c r="A3586" s="499" t="s">
        <v>10101</v>
      </c>
    </row>
    <row r="3587">
      <c r="A3587" s="499" t="s">
        <v>10102</v>
      </c>
    </row>
    <row r="3588">
      <c r="A3588" s="499" t="s">
        <v>10103</v>
      </c>
    </row>
    <row r="3589">
      <c r="A3589" s="499" t="s">
        <v>10104</v>
      </c>
    </row>
    <row r="3590">
      <c r="A3590" s="499" t="s">
        <v>10105</v>
      </c>
    </row>
    <row r="3591">
      <c r="A3591" s="499" t="s">
        <v>10106</v>
      </c>
    </row>
    <row r="3592">
      <c r="A3592" s="499" t="s">
        <v>10107</v>
      </c>
    </row>
    <row r="3593">
      <c r="A3593" s="499" t="s">
        <v>10108</v>
      </c>
    </row>
    <row r="3594">
      <c r="A3594" s="499" t="s">
        <v>10109</v>
      </c>
    </row>
    <row r="3595">
      <c r="A3595" s="499" t="s">
        <v>10110</v>
      </c>
    </row>
    <row r="3596">
      <c r="A3596" s="499" t="s">
        <v>10111</v>
      </c>
    </row>
    <row r="3597">
      <c r="A3597" s="499" t="s">
        <v>10112</v>
      </c>
    </row>
    <row r="3598">
      <c r="A3598" s="499" t="s">
        <v>10113</v>
      </c>
    </row>
    <row r="3599">
      <c r="A3599" s="499" t="s">
        <v>10114</v>
      </c>
    </row>
    <row r="3600">
      <c r="A3600" s="499" t="s">
        <v>10115</v>
      </c>
    </row>
    <row r="3601">
      <c r="A3601" s="499" t="s">
        <v>10116</v>
      </c>
    </row>
    <row r="3602">
      <c r="A3602" s="499" t="s">
        <v>10117</v>
      </c>
    </row>
    <row r="3603">
      <c r="A3603" s="499" t="s">
        <v>10118</v>
      </c>
    </row>
    <row r="3604">
      <c r="A3604" s="499" t="s">
        <v>10119</v>
      </c>
    </row>
    <row r="3605">
      <c r="A3605" s="499" t="s">
        <v>10120</v>
      </c>
    </row>
    <row r="3606">
      <c r="A3606" s="499" t="s">
        <v>10121</v>
      </c>
    </row>
    <row r="3607">
      <c r="A3607" s="499" t="s">
        <v>10122</v>
      </c>
    </row>
    <row r="3608">
      <c r="A3608" s="499" t="s">
        <v>10123</v>
      </c>
    </row>
    <row r="3609">
      <c r="A3609" s="499" t="s">
        <v>10124</v>
      </c>
    </row>
    <row r="3610">
      <c r="A3610" s="499" t="s">
        <v>10125</v>
      </c>
    </row>
    <row r="3611">
      <c r="A3611" s="499" t="s">
        <v>10126</v>
      </c>
    </row>
    <row r="3612">
      <c r="A3612" s="499" t="s">
        <v>10127</v>
      </c>
    </row>
    <row r="3613">
      <c r="A3613" s="499" t="s">
        <v>10128</v>
      </c>
    </row>
    <row r="3614">
      <c r="A3614" s="499" t="s">
        <v>10129</v>
      </c>
    </row>
    <row r="3615">
      <c r="A3615" s="499" t="s">
        <v>10130</v>
      </c>
    </row>
    <row r="3616">
      <c r="A3616" s="499" t="s">
        <v>10131</v>
      </c>
    </row>
    <row r="3617">
      <c r="A3617" s="499" t="s">
        <v>10132</v>
      </c>
    </row>
    <row r="3618">
      <c r="A3618" s="499" t="s">
        <v>10133</v>
      </c>
    </row>
    <row r="3619">
      <c r="A3619" s="499" t="s">
        <v>10134</v>
      </c>
    </row>
    <row r="3620">
      <c r="A3620" s="499" t="s">
        <v>10135</v>
      </c>
    </row>
    <row r="3621">
      <c r="A3621" s="499" t="s">
        <v>10136</v>
      </c>
    </row>
    <row r="3622">
      <c r="A3622" s="499" t="s">
        <v>10137</v>
      </c>
    </row>
    <row r="3623">
      <c r="A3623" s="499" t="s">
        <v>10138</v>
      </c>
    </row>
    <row r="3624">
      <c r="A3624" s="499" t="s">
        <v>10139</v>
      </c>
    </row>
    <row r="3625">
      <c r="A3625" s="499" t="s">
        <v>10140</v>
      </c>
    </row>
    <row r="3626">
      <c r="A3626" s="499" t="s">
        <v>10141</v>
      </c>
    </row>
    <row r="3627">
      <c r="A3627" s="499" t="s">
        <v>10142</v>
      </c>
    </row>
    <row r="3628">
      <c r="A3628" s="499" t="s">
        <v>10143</v>
      </c>
    </row>
    <row r="3629">
      <c r="A3629" s="499" t="s">
        <v>10144</v>
      </c>
    </row>
    <row r="3630">
      <c r="A3630" s="499" t="s">
        <v>10145</v>
      </c>
    </row>
    <row r="3631">
      <c r="A3631" s="499" t="s">
        <v>10146</v>
      </c>
    </row>
    <row r="3632">
      <c r="A3632" s="499" t="s">
        <v>10147</v>
      </c>
    </row>
    <row r="3633">
      <c r="A3633" s="499" t="s">
        <v>10148</v>
      </c>
    </row>
    <row r="3634">
      <c r="A3634" s="499" t="s">
        <v>10149</v>
      </c>
    </row>
    <row r="3635">
      <c r="A3635" s="499" t="s">
        <v>10150</v>
      </c>
    </row>
    <row r="3636">
      <c r="A3636" s="499" t="s">
        <v>10151</v>
      </c>
    </row>
    <row r="3637">
      <c r="A3637" s="499" t="s">
        <v>10152</v>
      </c>
    </row>
    <row r="3638">
      <c r="A3638" s="499" t="s">
        <v>10153</v>
      </c>
    </row>
    <row r="3639">
      <c r="A3639" s="499" t="s">
        <v>10154</v>
      </c>
    </row>
    <row r="3640">
      <c r="A3640" s="499" t="s">
        <v>10155</v>
      </c>
    </row>
    <row r="3641">
      <c r="A3641" s="499" t="s">
        <v>10156</v>
      </c>
    </row>
    <row r="3642">
      <c r="A3642" s="499" t="s">
        <v>10157</v>
      </c>
    </row>
    <row r="3643">
      <c r="A3643" s="499" t="s">
        <v>10158</v>
      </c>
    </row>
    <row r="3644">
      <c r="A3644" s="499" t="s">
        <v>10159</v>
      </c>
    </row>
    <row r="3645">
      <c r="A3645" s="499" t="s">
        <v>10160</v>
      </c>
    </row>
    <row r="3646">
      <c r="A3646" s="499" t="s">
        <v>10161</v>
      </c>
    </row>
    <row r="3647">
      <c r="A3647" s="499" t="s">
        <v>10162</v>
      </c>
    </row>
    <row r="3648">
      <c r="A3648" s="499" t="s">
        <v>10163</v>
      </c>
    </row>
    <row r="3649">
      <c r="A3649" s="499" t="s">
        <v>10164</v>
      </c>
    </row>
    <row r="3650">
      <c r="A3650" s="499" t="s">
        <v>10165</v>
      </c>
    </row>
    <row r="3651">
      <c r="A3651" s="499" t="s">
        <v>10166</v>
      </c>
    </row>
    <row r="3652">
      <c r="A3652" s="499" t="s">
        <v>10167</v>
      </c>
    </row>
    <row r="3653">
      <c r="A3653" s="499" t="s">
        <v>10168</v>
      </c>
    </row>
    <row r="3654">
      <c r="A3654" s="499" t="s">
        <v>10169</v>
      </c>
    </row>
    <row r="3655">
      <c r="A3655" s="499" t="s">
        <v>10170</v>
      </c>
    </row>
    <row r="3656">
      <c r="A3656" s="499" t="s">
        <v>10171</v>
      </c>
    </row>
    <row r="3657">
      <c r="A3657" s="499" t="s">
        <v>10172</v>
      </c>
    </row>
    <row r="3658">
      <c r="A3658" s="499" t="s">
        <v>10173</v>
      </c>
    </row>
    <row r="3659">
      <c r="A3659" s="499" t="s">
        <v>10174</v>
      </c>
    </row>
    <row r="3660">
      <c r="A3660" s="499" t="s">
        <v>10175</v>
      </c>
    </row>
    <row r="3661">
      <c r="A3661" s="499" t="s">
        <v>10176</v>
      </c>
    </row>
    <row r="3662">
      <c r="A3662" s="499" t="s">
        <v>10177</v>
      </c>
    </row>
    <row r="3663">
      <c r="A3663" s="499" t="s">
        <v>10178</v>
      </c>
    </row>
    <row r="3664">
      <c r="A3664" s="499" t="s">
        <v>10179</v>
      </c>
    </row>
    <row r="3665">
      <c r="A3665" s="499" t="s">
        <v>10180</v>
      </c>
    </row>
    <row r="3666">
      <c r="A3666" s="499" t="s">
        <v>10181</v>
      </c>
    </row>
    <row r="3667">
      <c r="A3667" s="499" t="s">
        <v>10182</v>
      </c>
    </row>
    <row r="3668">
      <c r="A3668" s="499" t="s">
        <v>10183</v>
      </c>
    </row>
    <row r="3669">
      <c r="A3669" s="499" t="s">
        <v>10184</v>
      </c>
    </row>
    <row r="3670">
      <c r="A3670" s="499" t="s">
        <v>10185</v>
      </c>
    </row>
    <row r="3671">
      <c r="A3671" s="499" t="s">
        <v>10186</v>
      </c>
    </row>
    <row r="3672">
      <c r="A3672" s="499" t="s">
        <v>10187</v>
      </c>
    </row>
    <row r="3673">
      <c r="A3673" s="499" t="s">
        <v>10188</v>
      </c>
    </row>
    <row r="3674">
      <c r="A3674" s="499" t="s">
        <v>10189</v>
      </c>
    </row>
    <row r="3675">
      <c r="A3675" s="499" t="s">
        <v>10190</v>
      </c>
    </row>
    <row r="3676">
      <c r="A3676" s="499" t="s">
        <v>10191</v>
      </c>
    </row>
    <row r="3677">
      <c r="A3677" s="499" t="s">
        <v>10192</v>
      </c>
    </row>
    <row r="3678">
      <c r="A3678" s="499" t="s">
        <v>10193</v>
      </c>
    </row>
    <row r="3679">
      <c r="A3679" s="499" t="s">
        <v>10194</v>
      </c>
    </row>
    <row r="3680">
      <c r="A3680" s="499" t="s">
        <v>10195</v>
      </c>
    </row>
    <row r="3681">
      <c r="A3681" s="499" t="s">
        <v>10196</v>
      </c>
    </row>
    <row r="3682">
      <c r="A3682" s="499" t="s">
        <v>10197</v>
      </c>
    </row>
    <row r="3683">
      <c r="A3683" s="499" t="s">
        <v>10198</v>
      </c>
    </row>
    <row r="3684">
      <c r="A3684" s="499" t="s">
        <v>10199</v>
      </c>
    </row>
    <row r="3685">
      <c r="A3685" s="499" t="s">
        <v>10200</v>
      </c>
    </row>
    <row r="3686">
      <c r="A3686" s="499" t="s">
        <v>10201</v>
      </c>
    </row>
    <row r="3687">
      <c r="A3687" s="499" t="s">
        <v>10202</v>
      </c>
    </row>
    <row r="3688">
      <c r="A3688" s="499" t="s">
        <v>10203</v>
      </c>
    </row>
    <row r="3689">
      <c r="A3689" s="499" t="s">
        <v>10204</v>
      </c>
    </row>
    <row r="3690">
      <c r="A3690" s="499" t="s">
        <v>10205</v>
      </c>
    </row>
    <row r="3691">
      <c r="A3691" s="499" t="s">
        <v>10206</v>
      </c>
    </row>
    <row r="3692">
      <c r="A3692" s="499" t="s">
        <v>10207</v>
      </c>
    </row>
    <row r="3693">
      <c r="A3693" s="499" t="s">
        <v>10208</v>
      </c>
    </row>
    <row r="3694">
      <c r="A3694" s="499" t="s">
        <v>10209</v>
      </c>
    </row>
    <row r="3695">
      <c r="A3695" s="499" t="s">
        <v>10210</v>
      </c>
    </row>
    <row r="3696">
      <c r="A3696" s="499" t="s">
        <v>10211</v>
      </c>
    </row>
    <row r="3697">
      <c r="A3697" s="499" t="s">
        <v>10212</v>
      </c>
    </row>
    <row r="3698">
      <c r="A3698" s="499" t="s">
        <v>10213</v>
      </c>
    </row>
    <row r="3699">
      <c r="A3699" s="499" t="s">
        <v>10214</v>
      </c>
    </row>
    <row r="3700">
      <c r="A3700" s="499" t="s">
        <v>10215</v>
      </c>
    </row>
    <row r="3701">
      <c r="A3701" s="499" t="s">
        <v>10216</v>
      </c>
    </row>
    <row r="3702">
      <c r="A3702" s="499" t="s">
        <v>10217</v>
      </c>
    </row>
    <row r="3703">
      <c r="A3703" s="499" t="s">
        <v>10218</v>
      </c>
    </row>
    <row r="3704">
      <c r="A3704" s="499" t="s">
        <v>10219</v>
      </c>
    </row>
    <row r="3705">
      <c r="A3705" s="499" t="s">
        <v>10220</v>
      </c>
    </row>
    <row r="3706">
      <c r="A3706" s="499" t="s">
        <v>10221</v>
      </c>
    </row>
    <row r="3707">
      <c r="A3707" s="499" t="s">
        <v>10222</v>
      </c>
    </row>
    <row r="3708">
      <c r="A3708" s="499" t="s">
        <v>10223</v>
      </c>
    </row>
    <row r="3709">
      <c r="A3709" s="499" t="s">
        <v>10224</v>
      </c>
    </row>
    <row r="3710">
      <c r="A3710" s="499" t="s">
        <v>10225</v>
      </c>
    </row>
    <row r="3711">
      <c r="A3711" s="499" t="s">
        <v>10226</v>
      </c>
    </row>
    <row r="3712">
      <c r="A3712" s="499" t="s">
        <v>10227</v>
      </c>
    </row>
    <row r="3713">
      <c r="A3713" s="499" t="s">
        <v>10228</v>
      </c>
    </row>
    <row r="3714">
      <c r="A3714" s="499" t="s">
        <v>10229</v>
      </c>
    </row>
    <row r="3715">
      <c r="A3715" s="499" t="s">
        <v>10230</v>
      </c>
    </row>
    <row r="3716">
      <c r="A3716" s="499" t="s">
        <v>10231</v>
      </c>
    </row>
    <row r="3717">
      <c r="A3717" s="499" t="s">
        <v>10232</v>
      </c>
    </row>
    <row r="3718">
      <c r="A3718" s="499" t="s">
        <v>10233</v>
      </c>
    </row>
    <row r="3719">
      <c r="A3719" s="499" t="s">
        <v>10234</v>
      </c>
    </row>
    <row r="3720">
      <c r="A3720" s="499" t="s">
        <v>10235</v>
      </c>
    </row>
    <row r="3721">
      <c r="A3721" s="499" t="s">
        <v>10236</v>
      </c>
    </row>
    <row r="3722">
      <c r="A3722" s="499" t="s">
        <v>10237</v>
      </c>
    </row>
    <row r="3723">
      <c r="A3723" s="499" t="s">
        <v>10238</v>
      </c>
    </row>
    <row r="3724">
      <c r="A3724" s="499" t="s">
        <v>10239</v>
      </c>
    </row>
    <row r="3725">
      <c r="A3725" s="499" t="s">
        <v>10240</v>
      </c>
    </row>
    <row r="3726">
      <c r="A3726" s="499" t="s">
        <v>10241</v>
      </c>
    </row>
    <row r="3727">
      <c r="A3727" s="499" t="s">
        <v>10242</v>
      </c>
    </row>
    <row r="3728">
      <c r="A3728" s="499" t="s">
        <v>10243</v>
      </c>
    </row>
    <row r="3729">
      <c r="A3729" s="499" t="s">
        <v>10244</v>
      </c>
    </row>
    <row r="3730">
      <c r="A3730" s="499" t="s">
        <v>10245</v>
      </c>
    </row>
    <row r="3731">
      <c r="A3731" s="499" t="s">
        <v>10246</v>
      </c>
    </row>
    <row r="3732">
      <c r="A3732" s="499" t="s">
        <v>10247</v>
      </c>
    </row>
    <row r="3733">
      <c r="A3733" s="499" t="s">
        <v>10248</v>
      </c>
    </row>
    <row r="3734">
      <c r="A3734" s="499" t="s">
        <v>10249</v>
      </c>
    </row>
    <row r="3735">
      <c r="A3735" s="499" t="s">
        <v>10250</v>
      </c>
    </row>
    <row r="3736">
      <c r="A3736" s="499" t="s">
        <v>10251</v>
      </c>
    </row>
    <row r="3737">
      <c r="A3737" s="499" t="s">
        <v>10252</v>
      </c>
    </row>
    <row r="3738">
      <c r="A3738" s="499" t="s">
        <v>10253</v>
      </c>
    </row>
    <row r="3739">
      <c r="A3739" s="499" t="s">
        <v>10254</v>
      </c>
    </row>
    <row r="3740">
      <c r="A3740" s="499" t="s">
        <v>10255</v>
      </c>
    </row>
    <row r="3741">
      <c r="A3741" s="499" t="s">
        <v>10256</v>
      </c>
    </row>
    <row r="3742">
      <c r="A3742" s="499" t="s">
        <v>10257</v>
      </c>
    </row>
    <row r="3743">
      <c r="A3743" s="499" t="s">
        <v>10258</v>
      </c>
    </row>
    <row r="3744">
      <c r="A3744" s="499" t="s">
        <v>10259</v>
      </c>
    </row>
    <row r="3745">
      <c r="A3745" s="499" t="s">
        <v>10260</v>
      </c>
    </row>
    <row r="3746">
      <c r="A3746" s="499" t="s">
        <v>10261</v>
      </c>
    </row>
    <row r="3747">
      <c r="A3747" s="499" t="s">
        <v>10262</v>
      </c>
    </row>
    <row r="3748">
      <c r="A3748" s="499" t="s">
        <v>10263</v>
      </c>
    </row>
    <row r="3749">
      <c r="A3749" s="499" t="s">
        <v>10264</v>
      </c>
    </row>
    <row r="3750">
      <c r="A3750" s="499" t="s">
        <v>10265</v>
      </c>
    </row>
    <row r="3751">
      <c r="A3751" s="499" t="s">
        <v>10266</v>
      </c>
    </row>
    <row r="3752">
      <c r="A3752" s="499" t="s">
        <v>10267</v>
      </c>
    </row>
    <row r="3753">
      <c r="A3753" s="499" t="s">
        <v>10268</v>
      </c>
    </row>
    <row r="3754">
      <c r="A3754" s="499" t="s">
        <v>10269</v>
      </c>
    </row>
    <row r="3755">
      <c r="A3755" s="499" t="s">
        <v>10270</v>
      </c>
    </row>
    <row r="3756">
      <c r="A3756" s="499" t="s">
        <v>10271</v>
      </c>
    </row>
    <row r="3757">
      <c r="A3757" s="499" t="s">
        <v>10272</v>
      </c>
    </row>
    <row r="3758">
      <c r="A3758" s="499" t="s">
        <v>10273</v>
      </c>
    </row>
    <row r="3759">
      <c r="A3759" s="499" t="s">
        <v>10274</v>
      </c>
    </row>
    <row r="3760">
      <c r="A3760" s="499" t="s">
        <v>10275</v>
      </c>
    </row>
    <row r="3761">
      <c r="A3761" s="499" t="s">
        <v>10276</v>
      </c>
    </row>
    <row r="3762">
      <c r="A3762" s="499" t="s">
        <v>10277</v>
      </c>
    </row>
    <row r="3763">
      <c r="A3763" s="499" t="s">
        <v>10278</v>
      </c>
    </row>
    <row r="3764">
      <c r="A3764" s="499" t="s">
        <v>10279</v>
      </c>
    </row>
    <row r="3765">
      <c r="A3765" s="499" t="s">
        <v>10280</v>
      </c>
    </row>
    <row r="3766">
      <c r="A3766" s="499" t="s">
        <v>10281</v>
      </c>
    </row>
    <row r="3767">
      <c r="A3767" s="499" t="s">
        <v>10282</v>
      </c>
    </row>
    <row r="3768">
      <c r="A3768" s="499" t="s">
        <v>10283</v>
      </c>
    </row>
    <row r="3769">
      <c r="A3769" s="499" t="s">
        <v>10284</v>
      </c>
    </row>
    <row r="3770">
      <c r="A3770" s="499" t="s">
        <v>10285</v>
      </c>
    </row>
    <row r="3771">
      <c r="A3771" s="499" t="s">
        <v>10286</v>
      </c>
    </row>
    <row r="3772">
      <c r="A3772" s="499" t="s">
        <v>10287</v>
      </c>
    </row>
    <row r="3773">
      <c r="A3773" s="499" t="s">
        <v>10288</v>
      </c>
    </row>
    <row r="3774">
      <c r="A3774" s="499" t="s">
        <v>10289</v>
      </c>
    </row>
    <row r="3775">
      <c r="A3775" s="499" t="s">
        <v>10290</v>
      </c>
    </row>
    <row r="3776">
      <c r="A3776" s="499" t="s">
        <v>10291</v>
      </c>
    </row>
    <row r="3777">
      <c r="A3777" s="499" t="s">
        <v>10292</v>
      </c>
    </row>
    <row r="3778">
      <c r="A3778" s="499" t="s">
        <v>10293</v>
      </c>
    </row>
    <row r="3779">
      <c r="A3779" s="499" t="s">
        <v>10294</v>
      </c>
    </row>
    <row r="3780">
      <c r="A3780" s="499" t="s">
        <v>10295</v>
      </c>
    </row>
    <row r="3781">
      <c r="A3781" s="499" t="s">
        <v>10296</v>
      </c>
    </row>
    <row r="3782">
      <c r="A3782" s="499" t="s">
        <v>10297</v>
      </c>
    </row>
    <row r="3783">
      <c r="A3783" s="499" t="s">
        <v>10298</v>
      </c>
    </row>
    <row r="3784">
      <c r="A3784" s="499" t="s">
        <v>10299</v>
      </c>
    </row>
    <row r="3785">
      <c r="A3785" s="499" t="s">
        <v>10300</v>
      </c>
    </row>
    <row r="3786">
      <c r="A3786" s="499" t="s">
        <v>10301</v>
      </c>
    </row>
    <row r="3787">
      <c r="A3787" s="499" t="s">
        <v>10302</v>
      </c>
    </row>
    <row r="3788">
      <c r="A3788" s="499" t="s">
        <v>10303</v>
      </c>
    </row>
    <row r="3789">
      <c r="A3789" s="499" t="s">
        <v>10304</v>
      </c>
    </row>
    <row r="3790">
      <c r="A3790" s="499" t="s">
        <v>10305</v>
      </c>
    </row>
    <row r="3791">
      <c r="A3791" s="499" t="s">
        <v>10306</v>
      </c>
    </row>
    <row r="3792">
      <c r="A3792" s="499" t="s">
        <v>10307</v>
      </c>
    </row>
    <row r="3793">
      <c r="A3793" s="499" t="s">
        <v>10308</v>
      </c>
    </row>
    <row r="3794">
      <c r="A3794" s="499" t="s">
        <v>10309</v>
      </c>
    </row>
    <row r="3795">
      <c r="A3795" s="499" t="s">
        <v>10310</v>
      </c>
    </row>
    <row r="3796">
      <c r="A3796" s="499" t="s">
        <v>10311</v>
      </c>
    </row>
    <row r="3797">
      <c r="A3797" s="499" t="s">
        <v>10312</v>
      </c>
    </row>
    <row r="3798">
      <c r="A3798" s="499" t="s">
        <v>10313</v>
      </c>
    </row>
    <row r="3799">
      <c r="A3799" s="499" t="s">
        <v>10314</v>
      </c>
    </row>
    <row r="3800">
      <c r="A3800" s="499" t="s">
        <v>10315</v>
      </c>
    </row>
    <row r="3801">
      <c r="A3801" s="499" t="s">
        <v>10316</v>
      </c>
    </row>
    <row r="3802">
      <c r="A3802" s="499" t="s">
        <v>10317</v>
      </c>
    </row>
    <row r="3803">
      <c r="A3803" s="499" t="s">
        <v>10318</v>
      </c>
    </row>
    <row r="3804">
      <c r="A3804" s="499" t="s">
        <v>10319</v>
      </c>
    </row>
    <row r="3805">
      <c r="A3805" s="499" t="s">
        <v>10320</v>
      </c>
    </row>
    <row r="3806">
      <c r="A3806" s="499" t="s">
        <v>10321</v>
      </c>
    </row>
    <row r="3807">
      <c r="A3807" s="499" t="s">
        <v>10322</v>
      </c>
    </row>
    <row r="3808">
      <c r="A3808" s="499" t="s">
        <v>10323</v>
      </c>
    </row>
    <row r="3809">
      <c r="A3809" s="499" t="s">
        <v>10324</v>
      </c>
    </row>
    <row r="3810">
      <c r="A3810" s="499" t="s">
        <v>10325</v>
      </c>
    </row>
    <row r="3811">
      <c r="A3811" s="499" t="s">
        <v>10326</v>
      </c>
    </row>
    <row r="3812">
      <c r="A3812" s="499" t="s">
        <v>10327</v>
      </c>
    </row>
    <row r="3813">
      <c r="A3813" s="499" t="s">
        <v>10328</v>
      </c>
    </row>
    <row r="3814">
      <c r="A3814" s="499" t="s">
        <v>10329</v>
      </c>
    </row>
    <row r="3815">
      <c r="A3815" s="499" t="s">
        <v>10330</v>
      </c>
    </row>
    <row r="3816">
      <c r="A3816" s="499" t="s">
        <v>10331</v>
      </c>
    </row>
    <row r="3817">
      <c r="A3817" s="499" t="s">
        <v>10332</v>
      </c>
    </row>
    <row r="3818">
      <c r="A3818" s="499" t="s">
        <v>10333</v>
      </c>
    </row>
    <row r="3819">
      <c r="A3819" s="499" t="s">
        <v>10334</v>
      </c>
    </row>
    <row r="3820">
      <c r="A3820" s="499" t="s">
        <v>10335</v>
      </c>
    </row>
    <row r="3821">
      <c r="A3821" s="499" t="s">
        <v>10336</v>
      </c>
    </row>
    <row r="3822">
      <c r="A3822" s="499" t="s">
        <v>10337</v>
      </c>
    </row>
    <row r="3823">
      <c r="A3823" s="499" t="s">
        <v>10338</v>
      </c>
    </row>
    <row r="3824">
      <c r="A3824" s="499" t="s">
        <v>10339</v>
      </c>
    </row>
    <row r="3825">
      <c r="A3825" s="499" t="s">
        <v>10340</v>
      </c>
    </row>
    <row r="3826">
      <c r="A3826" s="499" t="s">
        <v>10341</v>
      </c>
    </row>
    <row r="3827">
      <c r="A3827" s="499" t="s">
        <v>10342</v>
      </c>
    </row>
    <row r="3828">
      <c r="A3828" s="499" t="s">
        <v>10343</v>
      </c>
    </row>
    <row r="3829">
      <c r="A3829" s="499" t="s">
        <v>10344</v>
      </c>
    </row>
    <row r="3830">
      <c r="A3830" s="499" t="s">
        <v>10345</v>
      </c>
    </row>
    <row r="3831">
      <c r="A3831" s="499" t="s">
        <v>10346</v>
      </c>
    </row>
    <row r="3832">
      <c r="A3832" s="499" t="s">
        <v>10347</v>
      </c>
    </row>
    <row r="3833">
      <c r="A3833" s="499" t="s">
        <v>10348</v>
      </c>
    </row>
    <row r="3834">
      <c r="A3834" s="499" t="s">
        <v>10349</v>
      </c>
    </row>
    <row r="3835">
      <c r="A3835" s="499" t="s">
        <v>10350</v>
      </c>
    </row>
    <row r="3836">
      <c r="A3836" s="499" t="s">
        <v>10351</v>
      </c>
    </row>
    <row r="3837">
      <c r="A3837" s="499" t="s">
        <v>10352</v>
      </c>
    </row>
    <row r="3838">
      <c r="A3838" s="499" t="s">
        <v>10353</v>
      </c>
    </row>
    <row r="3839">
      <c r="A3839" s="499" t="s">
        <v>10354</v>
      </c>
    </row>
    <row r="3840">
      <c r="A3840" s="499" t="s">
        <v>10355</v>
      </c>
    </row>
    <row r="3841">
      <c r="A3841" s="499" t="s">
        <v>10356</v>
      </c>
    </row>
    <row r="3842">
      <c r="A3842" s="499" t="s">
        <v>10357</v>
      </c>
    </row>
    <row r="3843">
      <c r="A3843" s="499" t="s">
        <v>10358</v>
      </c>
    </row>
    <row r="3844">
      <c r="A3844" s="499" t="s">
        <v>10359</v>
      </c>
    </row>
    <row r="3845">
      <c r="A3845" s="499" t="s">
        <v>10360</v>
      </c>
    </row>
    <row r="3846">
      <c r="A3846" s="499" t="s">
        <v>10361</v>
      </c>
    </row>
    <row r="3847">
      <c r="A3847" s="499" t="s">
        <v>10362</v>
      </c>
    </row>
    <row r="3848">
      <c r="A3848" s="499" t="s">
        <v>10363</v>
      </c>
    </row>
    <row r="3849">
      <c r="A3849" s="499" t="s">
        <v>10364</v>
      </c>
    </row>
    <row r="3850">
      <c r="A3850" s="499" t="s">
        <v>10365</v>
      </c>
    </row>
    <row r="3851">
      <c r="A3851" s="499" t="s">
        <v>10366</v>
      </c>
    </row>
    <row r="3852">
      <c r="A3852" s="499" t="s">
        <v>10367</v>
      </c>
    </row>
    <row r="3853">
      <c r="A3853" s="499" t="s">
        <v>10368</v>
      </c>
    </row>
    <row r="3854">
      <c r="A3854" s="499" t="s">
        <v>10369</v>
      </c>
    </row>
    <row r="3855">
      <c r="A3855" s="499" t="s">
        <v>10370</v>
      </c>
    </row>
    <row r="3856">
      <c r="A3856" s="499" t="s">
        <v>10371</v>
      </c>
    </row>
    <row r="3857">
      <c r="A3857" s="499" t="s">
        <v>10372</v>
      </c>
    </row>
    <row r="3858">
      <c r="A3858" s="499" t="s">
        <v>10373</v>
      </c>
    </row>
    <row r="3859">
      <c r="A3859" s="499" t="s">
        <v>10374</v>
      </c>
    </row>
    <row r="3860">
      <c r="A3860" s="499" t="s">
        <v>10375</v>
      </c>
    </row>
    <row r="3861">
      <c r="A3861" s="499" t="s">
        <v>10376</v>
      </c>
    </row>
    <row r="3862">
      <c r="A3862" s="499" t="s">
        <v>10377</v>
      </c>
    </row>
    <row r="3863">
      <c r="A3863" s="499" t="s">
        <v>10378</v>
      </c>
    </row>
    <row r="3864">
      <c r="A3864" s="499" t="s">
        <v>10379</v>
      </c>
    </row>
    <row r="3865">
      <c r="A3865" s="499" t="s">
        <v>10380</v>
      </c>
    </row>
    <row r="3866">
      <c r="A3866" s="499" t="s">
        <v>10381</v>
      </c>
    </row>
    <row r="3867">
      <c r="A3867" s="499" t="s">
        <v>10382</v>
      </c>
    </row>
    <row r="3868">
      <c r="A3868" s="499" t="s">
        <v>10383</v>
      </c>
    </row>
    <row r="3869">
      <c r="A3869" s="499" t="s">
        <v>10384</v>
      </c>
    </row>
    <row r="3870">
      <c r="A3870" s="499" t="s">
        <v>10385</v>
      </c>
    </row>
    <row r="3871">
      <c r="A3871" s="499" t="s">
        <v>10386</v>
      </c>
    </row>
    <row r="3872">
      <c r="A3872" s="499" t="s">
        <v>10387</v>
      </c>
    </row>
    <row r="3873">
      <c r="A3873" s="499" t="s">
        <v>10388</v>
      </c>
    </row>
    <row r="3874">
      <c r="A3874" s="499" t="s">
        <v>10389</v>
      </c>
    </row>
    <row r="3875">
      <c r="A3875" s="499" t="s">
        <v>10390</v>
      </c>
    </row>
    <row r="3876">
      <c r="A3876" s="499" t="s">
        <v>10391</v>
      </c>
    </row>
    <row r="3877">
      <c r="A3877" s="499" t="s">
        <v>10392</v>
      </c>
    </row>
    <row r="3878">
      <c r="A3878" s="499" t="s">
        <v>10393</v>
      </c>
    </row>
    <row r="3879">
      <c r="A3879" s="499" t="s">
        <v>10394</v>
      </c>
    </row>
    <row r="3880">
      <c r="A3880" s="499" t="s">
        <v>10395</v>
      </c>
    </row>
    <row r="3881">
      <c r="A3881" s="499" t="s">
        <v>10396</v>
      </c>
    </row>
    <row r="3882">
      <c r="A3882" s="499" t="s">
        <v>10397</v>
      </c>
    </row>
    <row r="3883">
      <c r="A3883" s="499" t="s">
        <v>10398</v>
      </c>
    </row>
    <row r="3884">
      <c r="A3884" s="499" t="s">
        <v>10399</v>
      </c>
    </row>
    <row r="3885">
      <c r="A3885" s="499" t="s">
        <v>10400</v>
      </c>
    </row>
    <row r="3886">
      <c r="A3886" s="499" t="s">
        <v>10401</v>
      </c>
    </row>
    <row r="3887">
      <c r="A3887" s="499" t="s">
        <v>10402</v>
      </c>
    </row>
    <row r="3888">
      <c r="A3888" s="499" t="s">
        <v>10403</v>
      </c>
    </row>
    <row r="3889">
      <c r="A3889" s="499" t="s">
        <v>10404</v>
      </c>
    </row>
    <row r="3890">
      <c r="A3890" s="499" t="s">
        <v>10405</v>
      </c>
    </row>
    <row r="3891">
      <c r="A3891" s="499" t="s">
        <v>10406</v>
      </c>
    </row>
    <row r="3892">
      <c r="A3892" s="499" t="s">
        <v>10407</v>
      </c>
    </row>
    <row r="3893">
      <c r="A3893" s="499" t="s">
        <v>10408</v>
      </c>
    </row>
    <row r="3894">
      <c r="A3894" s="499" t="s">
        <v>10409</v>
      </c>
    </row>
    <row r="3895">
      <c r="A3895" s="499" t="s">
        <v>10410</v>
      </c>
    </row>
    <row r="3896">
      <c r="A3896" s="499" t="s">
        <v>10411</v>
      </c>
    </row>
    <row r="3897">
      <c r="A3897" s="499" t="s">
        <v>10412</v>
      </c>
    </row>
    <row r="3898">
      <c r="A3898" s="499" t="s">
        <v>10413</v>
      </c>
    </row>
    <row r="3899">
      <c r="A3899" s="499" t="s">
        <v>10414</v>
      </c>
    </row>
    <row r="3900">
      <c r="A3900" s="499" t="s">
        <v>10415</v>
      </c>
    </row>
    <row r="3901">
      <c r="A3901" s="499" t="s">
        <v>10416</v>
      </c>
    </row>
    <row r="3902">
      <c r="A3902" s="499" t="s">
        <v>10417</v>
      </c>
    </row>
    <row r="3903">
      <c r="A3903" s="499" t="s">
        <v>10418</v>
      </c>
    </row>
    <row r="3904">
      <c r="A3904" s="499" t="s">
        <v>10419</v>
      </c>
    </row>
    <row r="3905">
      <c r="A3905" s="499" t="s">
        <v>10420</v>
      </c>
    </row>
    <row r="3906">
      <c r="A3906" s="499" t="s">
        <v>10421</v>
      </c>
    </row>
    <row r="3907">
      <c r="A3907" s="499" t="s">
        <v>10422</v>
      </c>
    </row>
    <row r="3908">
      <c r="A3908" s="499" t="s">
        <v>10423</v>
      </c>
    </row>
    <row r="3909">
      <c r="A3909" s="499" t="s">
        <v>10424</v>
      </c>
    </row>
    <row r="3910">
      <c r="A3910" s="499" t="s">
        <v>10425</v>
      </c>
    </row>
    <row r="3911">
      <c r="A3911" s="499" t="s">
        <v>10426</v>
      </c>
    </row>
    <row r="3912">
      <c r="A3912" s="499" t="s">
        <v>10427</v>
      </c>
    </row>
    <row r="3913">
      <c r="A3913" s="499" t="s">
        <v>10428</v>
      </c>
    </row>
    <row r="3914">
      <c r="A3914" s="499" t="s">
        <v>10429</v>
      </c>
    </row>
    <row r="3915">
      <c r="A3915" s="499" t="s">
        <v>10430</v>
      </c>
    </row>
    <row r="3916">
      <c r="A3916" s="499" t="s">
        <v>10431</v>
      </c>
    </row>
    <row r="3917">
      <c r="A3917" s="499" t="s">
        <v>10432</v>
      </c>
    </row>
    <row r="3918">
      <c r="A3918" s="499" t="s">
        <v>10433</v>
      </c>
    </row>
    <row r="3919">
      <c r="A3919" s="499" t="s">
        <v>10434</v>
      </c>
    </row>
    <row r="3920">
      <c r="A3920" s="499" t="s">
        <v>10435</v>
      </c>
    </row>
    <row r="3921">
      <c r="A3921" s="499" t="s">
        <v>10436</v>
      </c>
    </row>
    <row r="3922">
      <c r="A3922" s="499" t="s">
        <v>10437</v>
      </c>
    </row>
    <row r="3923">
      <c r="A3923" s="499" t="s">
        <v>10438</v>
      </c>
    </row>
    <row r="3924">
      <c r="A3924" s="499" t="s">
        <v>10439</v>
      </c>
    </row>
    <row r="3925">
      <c r="A3925" s="499" t="s">
        <v>10440</v>
      </c>
    </row>
    <row r="3926">
      <c r="A3926" s="499" t="s">
        <v>10441</v>
      </c>
    </row>
    <row r="3927">
      <c r="A3927" s="499" t="s">
        <v>10442</v>
      </c>
    </row>
    <row r="3928">
      <c r="A3928" s="499" t="s">
        <v>10443</v>
      </c>
    </row>
    <row r="3929">
      <c r="A3929" s="499" t="s">
        <v>10444</v>
      </c>
    </row>
    <row r="3930">
      <c r="A3930" s="499" t="s">
        <v>10445</v>
      </c>
    </row>
    <row r="3931">
      <c r="A3931" s="499" t="s">
        <v>10446</v>
      </c>
    </row>
    <row r="3932">
      <c r="A3932" s="499" t="s">
        <v>10447</v>
      </c>
    </row>
    <row r="3933">
      <c r="A3933" s="499" t="s">
        <v>10448</v>
      </c>
    </row>
    <row r="3934">
      <c r="A3934" s="499" t="s">
        <v>10449</v>
      </c>
    </row>
    <row r="3935">
      <c r="A3935" s="499" t="s">
        <v>10450</v>
      </c>
    </row>
    <row r="3936">
      <c r="A3936" s="499" t="s">
        <v>10451</v>
      </c>
    </row>
    <row r="3937">
      <c r="A3937" s="499" t="s">
        <v>10452</v>
      </c>
    </row>
    <row r="3938">
      <c r="A3938" s="499" t="s">
        <v>10453</v>
      </c>
    </row>
    <row r="3939">
      <c r="A3939" s="499" t="s">
        <v>10454</v>
      </c>
    </row>
    <row r="3940">
      <c r="A3940" s="499" t="s">
        <v>10455</v>
      </c>
    </row>
    <row r="3941">
      <c r="A3941" s="499" t="s">
        <v>10456</v>
      </c>
    </row>
    <row r="3942">
      <c r="A3942" s="499" t="s">
        <v>10457</v>
      </c>
    </row>
    <row r="3943">
      <c r="A3943" s="499" t="s">
        <v>10458</v>
      </c>
    </row>
    <row r="3944">
      <c r="A3944" s="499" t="s">
        <v>10459</v>
      </c>
    </row>
    <row r="3945">
      <c r="A3945" s="499" t="s">
        <v>10460</v>
      </c>
    </row>
    <row r="3946">
      <c r="A3946" s="499" t="s">
        <v>10461</v>
      </c>
    </row>
    <row r="3947">
      <c r="A3947" s="499" t="s">
        <v>10462</v>
      </c>
    </row>
    <row r="3948">
      <c r="A3948" s="499" t="s">
        <v>10463</v>
      </c>
    </row>
    <row r="3949">
      <c r="A3949" s="499" t="s">
        <v>10464</v>
      </c>
    </row>
    <row r="3950">
      <c r="A3950" s="499" t="s">
        <v>10465</v>
      </c>
    </row>
    <row r="3951">
      <c r="A3951" s="499" t="s">
        <v>10466</v>
      </c>
    </row>
    <row r="3952">
      <c r="A3952" s="499" t="s">
        <v>10467</v>
      </c>
    </row>
    <row r="3953">
      <c r="A3953" s="499" t="s">
        <v>10468</v>
      </c>
    </row>
    <row r="3954">
      <c r="A3954" s="499" t="s">
        <v>10469</v>
      </c>
    </row>
    <row r="3955">
      <c r="A3955" s="499" t="s">
        <v>10470</v>
      </c>
    </row>
    <row r="3956">
      <c r="A3956" s="499" t="s">
        <v>10471</v>
      </c>
    </row>
    <row r="3957">
      <c r="A3957" s="499" t="s">
        <v>10472</v>
      </c>
    </row>
    <row r="3958">
      <c r="A3958" s="499" t="s">
        <v>10473</v>
      </c>
    </row>
    <row r="3959">
      <c r="A3959" s="499" t="s">
        <v>10474</v>
      </c>
    </row>
    <row r="3960">
      <c r="A3960" s="499" t="s">
        <v>10475</v>
      </c>
    </row>
    <row r="3961">
      <c r="A3961" s="499" t="s">
        <v>10476</v>
      </c>
    </row>
    <row r="3962">
      <c r="A3962" s="499" t="s">
        <v>10477</v>
      </c>
    </row>
    <row r="3963">
      <c r="A3963" s="499" t="s">
        <v>10478</v>
      </c>
    </row>
    <row r="3964">
      <c r="A3964" s="499" t="s">
        <v>10479</v>
      </c>
    </row>
    <row r="3965">
      <c r="A3965" s="499" t="s">
        <v>10480</v>
      </c>
    </row>
    <row r="3966">
      <c r="A3966" s="499" t="s">
        <v>10481</v>
      </c>
    </row>
    <row r="3967">
      <c r="A3967" s="499" t="s">
        <v>10482</v>
      </c>
    </row>
    <row r="3968">
      <c r="A3968" s="499" t="s">
        <v>10483</v>
      </c>
    </row>
    <row r="3969">
      <c r="A3969" s="499" t="s">
        <v>10484</v>
      </c>
    </row>
    <row r="3970">
      <c r="A3970" s="499" t="s">
        <v>10485</v>
      </c>
    </row>
    <row r="3971">
      <c r="A3971" s="499" t="s">
        <v>10486</v>
      </c>
    </row>
    <row r="3972">
      <c r="A3972" s="499" t="s">
        <v>10487</v>
      </c>
    </row>
    <row r="3973">
      <c r="A3973" s="499" t="s">
        <v>10488</v>
      </c>
    </row>
    <row r="3974">
      <c r="A3974" s="499" t="s">
        <v>10489</v>
      </c>
    </row>
    <row r="3975">
      <c r="A3975" s="499" t="s">
        <v>10490</v>
      </c>
    </row>
    <row r="3976">
      <c r="A3976" s="499" t="s">
        <v>10491</v>
      </c>
    </row>
    <row r="3977">
      <c r="A3977" s="499" t="s">
        <v>10492</v>
      </c>
    </row>
    <row r="3978">
      <c r="A3978" s="499" t="s">
        <v>10493</v>
      </c>
    </row>
    <row r="3979">
      <c r="A3979" s="499" t="s">
        <v>10494</v>
      </c>
    </row>
    <row r="3980">
      <c r="A3980" s="499" t="s">
        <v>10495</v>
      </c>
    </row>
    <row r="3981">
      <c r="A3981" s="499" t="s">
        <v>10496</v>
      </c>
    </row>
    <row r="3982">
      <c r="A3982" s="499" t="s">
        <v>10497</v>
      </c>
    </row>
    <row r="3983">
      <c r="A3983" s="499" t="s">
        <v>10498</v>
      </c>
    </row>
    <row r="3984">
      <c r="A3984" s="499" t="s">
        <v>10499</v>
      </c>
    </row>
    <row r="3985">
      <c r="A3985" s="499" t="s">
        <v>10500</v>
      </c>
    </row>
    <row r="3986">
      <c r="A3986" s="499" t="s">
        <v>10501</v>
      </c>
    </row>
    <row r="3987">
      <c r="A3987" s="499" t="s">
        <v>10502</v>
      </c>
    </row>
    <row r="3988">
      <c r="A3988" s="499" t="s">
        <v>10503</v>
      </c>
    </row>
    <row r="3989">
      <c r="A3989" s="499" t="s">
        <v>10504</v>
      </c>
    </row>
    <row r="3990">
      <c r="A3990" s="499" t="s">
        <v>10505</v>
      </c>
    </row>
    <row r="3991">
      <c r="A3991" s="499" t="s">
        <v>10506</v>
      </c>
    </row>
    <row r="3992">
      <c r="A3992" s="499" t="s">
        <v>10507</v>
      </c>
    </row>
    <row r="3993">
      <c r="A3993" s="499" t="s">
        <v>10508</v>
      </c>
    </row>
    <row r="3994">
      <c r="A3994" s="499" t="s">
        <v>10509</v>
      </c>
    </row>
    <row r="3995">
      <c r="A3995" s="499" t="s">
        <v>10510</v>
      </c>
    </row>
    <row r="3996">
      <c r="A3996" s="499" t="s">
        <v>10511</v>
      </c>
    </row>
    <row r="3997">
      <c r="A3997" s="499" t="s">
        <v>10512</v>
      </c>
    </row>
    <row r="3998">
      <c r="A3998" s="499" t="s">
        <v>10513</v>
      </c>
    </row>
    <row r="3999">
      <c r="A3999" s="499" t="s">
        <v>10514</v>
      </c>
    </row>
    <row r="4000">
      <c r="A4000" s="499" t="s">
        <v>10515</v>
      </c>
    </row>
    <row r="4001">
      <c r="A4001" s="499" t="s">
        <v>10516</v>
      </c>
    </row>
    <row r="4002">
      <c r="A4002" s="499" t="s">
        <v>10517</v>
      </c>
    </row>
    <row r="4003">
      <c r="A4003" s="499" t="s">
        <v>10518</v>
      </c>
    </row>
    <row r="4004">
      <c r="A4004" s="499" t="s">
        <v>10519</v>
      </c>
    </row>
    <row r="4005">
      <c r="A4005" s="499" t="s">
        <v>10520</v>
      </c>
    </row>
    <row r="4006">
      <c r="A4006" s="499" t="s">
        <v>10521</v>
      </c>
    </row>
    <row r="4007">
      <c r="A4007" s="499" t="s">
        <v>10522</v>
      </c>
    </row>
    <row r="4008">
      <c r="A4008" s="499" t="s">
        <v>10523</v>
      </c>
    </row>
    <row r="4009">
      <c r="A4009" s="499" t="s">
        <v>10524</v>
      </c>
    </row>
    <row r="4010">
      <c r="A4010" s="499" t="s">
        <v>10525</v>
      </c>
    </row>
    <row r="4011">
      <c r="A4011" s="499" t="s">
        <v>10526</v>
      </c>
    </row>
    <row r="4012">
      <c r="A4012" s="499" t="s">
        <v>10527</v>
      </c>
    </row>
    <row r="4013">
      <c r="A4013" s="499" t="s">
        <v>10528</v>
      </c>
    </row>
    <row r="4014">
      <c r="A4014" s="499" t="s">
        <v>10529</v>
      </c>
    </row>
    <row r="4015">
      <c r="A4015" s="499" t="s">
        <v>10530</v>
      </c>
    </row>
    <row r="4016">
      <c r="A4016" s="499" t="s">
        <v>10531</v>
      </c>
    </row>
    <row r="4017">
      <c r="A4017" s="499" t="s">
        <v>10532</v>
      </c>
    </row>
    <row r="4018">
      <c r="A4018" s="499" t="s">
        <v>10533</v>
      </c>
    </row>
    <row r="4019">
      <c r="A4019" s="499" t="s">
        <v>10534</v>
      </c>
    </row>
    <row r="4020">
      <c r="A4020" s="499" t="s">
        <v>10535</v>
      </c>
    </row>
    <row r="4021">
      <c r="A4021" s="499" t="s">
        <v>10536</v>
      </c>
    </row>
    <row r="4022">
      <c r="A4022" s="499" t="s">
        <v>10537</v>
      </c>
    </row>
    <row r="4023">
      <c r="A4023" s="499" t="s">
        <v>10538</v>
      </c>
    </row>
    <row r="4024">
      <c r="A4024" s="499" t="s">
        <v>10539</v>
      </c>
    </row>
    <row r="4025">
      <c r="A4025" s="499" t="s">
        <v>10540</v>
      </c>
    </row>
    <row r="4026">
      <c r="A4026" s="499" t="s">
        <v>10541</v>
      </c>
    </row>
    <row r="4027">
      <c r="A4027" s="499" t="s">
        <v>10542</v>
      </c>
    </row>
    <row r="4028">
      <c r="A4028" s="499" t="s">
        <v>10543</v>
      </c>
    </row>
    <row r="4029">
      <c r="A4029" s="499" t="s">
        <v>10544</v>
      </c>
    </row>
    <row r="4030">
      <c r="A4030" s="499" t="s">
        <v>10545</v>
      </c>
    </row>
    <row r="4031">
      <c r="A4031" s="499" t="s">
        <v>10546</v>
      </c>
    </row>
    <row r="4032">
      <c r="A4032" s="499" t="s">
        <v>10547</v>
      </c>
    </row>
    <row r="4033">
      <c r="A4033" s="499" t="s">
        <v>10548</v>
      </c>
    </row>
    <row r="4034">
      <c r="A4034" s="499" t="s">
        <v>10549</v>
      </c>
    </row>
    <row r="4035">
      <c r="A4035" s="499" t="s">
        <v>10550</v>
      </c>
    </row>
    <row r="4036">
      <c r="A4036" s="499" t="s">
        <v>10551</v>
      </c>
    </row>
    <row r="4037">
      <c r="A4037" s="499" t="s">
        <v>10552</v>
      </c>
    </row>
    <row r="4038">
      <c r="A4038" s="499" t="s">
        <v>10553</v>
      </c>
    </row>
    <row r="4039">
      <c r="A4039" s="499" t="s">
        <v>10554</v>
      </c>
    </row>
    <row r="4040">
      <c r="A4040" s="499" t="s">
        <v>10555</v>
      </c>
    </row>
    <row r="4041">
      <c r="A4041" s="499" t="s">
        <v>10556</v>
      </c>
    </row>
    <row r="4042">
      <c r="A4042" s="499" t="s">
        <v>10557</v>
      </c>
    </row>
    <row r="4043">
      <c r="A4043" s="499" t="s">
        <v>10558</v>
      </c>
    </row>
    <row r="4044">
      <c r="A4044" s="499" t="s">
        <v>10559</v>
      </c>
    </row>
    <row r="4045">
      <c r="A4045" s="499" t="s">
        <v>10560</v>
      </c>
    </row>
    <row r="4046">
      <c r="A4046" s="499" t="s">
        <v>10561</v>
      </c>
    </row>
    <row r="4047">
      <c r="A4047" s="499" t="s">
        <v>10562</v>
      </c>
    </row>
    <row r="4048">
      <c r="A4048" s="499" t="s">
        <v>10563</v>
      </c>
    </row>
    <row r="4049">
      <c r="A4049" s="499" t="s">
        <v>10564</v>
      </c>
    </row>
    <row r="4050">
      <c r="A4050" s="499" t="s">
        <v>10565</v>
      </c>
    </row>
    <row r="4051">
      <c r="A4051" s="499" t="s">
        <v>10566</v>
      </c>
    </row>
    <row r="4052">
      <c r="A4052" s="499" t="s">
        <v>10567</v>
      </c>
    </row>
    <row r="4053">
      <c r="A4053" s="499" t="s">
        <v>10568</v>
      </c>
    </row>
    <row r="4054">
      <c r="A4054" s="499" t="s">
        <v>10569</v>
      </c>
    </row>
    <row r="4055">
      <c r="A4055" s="499" t="s">
        <v>10570</v>
      </c>
    </row>
    <row r="4056">
      <c r="A4056" s="499" t="s">
        <v>10571</v>
      </c>
    </row>
    <row r="4057">
      <c r="A4057" s="499" t="s">
        <v>10572</v>
      </c>
    </row>
    <row r="4058">
      <c r="A4058" s="499" t="s">
        <v>10573</v>
      </c>
    </row>
    <row r="4059">
      <c r="A4059" s="499" t="s">
        <v>10574</v>
      </c>
    </row>
    <row r="4060">
      <c r="A4060" s="499" t="s">
        <v>10575</v>
      </c>
    </row>
    <row r="4061">
      <c r="A4061" s="499" t="s">
        <v>10576</v>
      </c>
    </row>
    <row r="4062">
      <c r="A4062" s="499" t="s">
        <v>10577</v>
      </c>
    </row>
    <row r="4063">
      <c r="A4063" s="499" t="s">
        <v>10578</v>
      </c>
    </row>
    <row r="4064">
      <c r="A4064" s="499" t="s">
        <v>10579</v>
      </c>
    </row>
    <row r="4065">
      <c r="A4065" s="499" t="s">
        <v>10580</v>
      </c>
    </row>
    <row r="4066">
      <c r="A4066" s="499" t="s">
        <v>10581</v>
      </c>
    </row>
    <row r="4067">
      <c r="A4067" s="499" t="s">
        <v>10582</v>
      </c>
    </row>
    <row r="4068">
      <c r="A4068" s="499" t="s">
        <v>10583</v>
      </c>
    </row>
    <row r="4069">
      <c r="A4069" s="499" t="s">
        <v>10584</v>
      </c>
    </row>
    <row r="4070">
      <c r="A4070" s="499" t="s">
        <v>10585</v>
      </c>
    </row>
    <row r="4071">
      <c r="A4071" s="499" t="s">
        <v>10586</v>
      </c>
    </row>
    <row r="4072">
      <c r="A4072" s="499" t="s">
        <v>10587</v>
      </c>
    </row>
    <row r="4073">
      <c r="A4073" s="499" t="s">
        <v>10588</v>
      </c>
    </row>
    <row r="4074">
      <c r="A4074" s="499" t="s">
        <v>10589</v>
      </c>
    </row>
    <row r="4075">
      <c r="A4075" s="499" t="s">
        <v>10590</v>
      </c>
    </row>
    <row r="4076">
      <c r="A4076" s="499" t="s">
        <v>10591</v>
      </c>
    </row>
    <row r="4077">
      <c r="A4077" s="499" t="s">
        <v>10592</v>
      </c>
    </row>
    <row r="4078">
      <c r="A4078" s="499" t="s">
        <v>10593</v>
      </c>
    </row>
    <row r="4079">
      <c r="A4079" s="499" t="s">
        <v>10594</v>
      </c>
    </row>
    <row r="4080">
      <c r="A4080" s="499" t="s">
        <v>10595</v>
      </c>
    </row>
    <row r="4081">
      <c r="A4081" s="499" t="s">
        <v>10596</v>
      </c>
    </row>
    <row r="4082">
      <c r="A4082" s="499" t="s">
        <v>10597</v>
      </c>
    </row>
    <row r="4083">
      <c r="A4083" s="499" t="s">
        <v>10598</v>
      </c>
    </row>
    <row r="4084">
      <c r="A4084" s="499" t="s">
        <v>10599</v>
      </c>
    </row>
    <row r="4085">
      <c r="A4085" s="499" t="s">
        <v>10600</v>
      </c>
    </row>
    <row r="4086">
      <c r="A4086" s="499" t="s">
        <v>10601</v>
      </c>
    </row>
    <row r="4087">
      <c r="A4087" s="499" t="s">
        <v>10602</v>
      </c>
    </row>
    <row r="4088">
      <c r="A4088" s="499" t="s">
        <v>10603</v>
      </c>
    </row>
    <row r="4089">
      <c r="A4089" s="499" t="s">
        <v>10604</v>
      </c>
    </row>
    <row r="4090">
      <c r="A4090" s="499" t="s">
        <v>10605</v>
      </c>
    </row>
    <row r="4091">
      <c r="A4091" s="499" t="s">
        <v>10606</v>
      </c>
    </row>
    <row r="4092">
      <c r="A4092" s="499" t="s">
        <v>10607</v>
      </c>
    </row>
    <row r="4093">
      <c r="A4093" s="499" t="s">
        <v>10608</v>
      </c>
    </row>
    <row r="4094">
      <c r="A4094" s="499" t="s">
        <v>10609</v>
      </c>
    </row>
    <row r="4095">
      <c r="A4095" s="499" t="s">
        <v>10610</v>
      </c>
    </row>
    <row r="4096">
      <c r="A4096" s="499" t="s">
        <v>10611</v>
      </c>
    </row>
    <row r="4097">
      <c r="A4097" s="499" t="s">
        <v>10612</v>
      </c>
    </row>
    <row r="4098">
      <c r="A4098" s="499" t="s">
        <v>10613</v>
      </c>
    </row>
    <row r="4099">
      <c r="A4099" s="499" t="s">
        <v>10614</v>
      </c>
    </row>
    <row r="4100">
      <c r="A4100" s="499" t="s">
        <v>10615</v>
      </c>
    </row>
    <row r="4101">
      <c r="A4101" s="499" t="s">
        <v>10616</v>
      </c>
    </row>
    <row r="4102">
      <c r="A4102" s="499" t="s">
        <v>10617</v>
      </c>
    </row>
    <row r="4103">
      <c r="A4103" s="499" t="s">
        <v>10618</v>
      </c>
    </row>
    <row r="4104">
      <c r="A4104" s="499" t="s">
        <v>10619</v>
      </c>
    </row>
    <row r="4105">
      <c r="A4105" s="499" t="s">
        <v>10620</v>
      </c>
    </row>
    <row r="4106">
      <c r="A4106" s="499" t="s">
        <v>10621</v>
      </c>
    </row>
    <row r="4107">
      <c r="A4107" s="499" t="s">
        <v>10622</v>
      </c>
    </row>
    <row r="4108">
      <c r="A4108" s="499" t="s">
        <v>10623</v>
      </c>
    </row>
    <row r="4109">
      <c r="A4109" s="499" t="s">
        <v>10624</v>
      </c>
    </row>
    <row r="4110">
      <c r="A4110" s="499" t="s">
        <v>10625</v>
      </c>
    </row>
    <row r="4111">
      <c r="A4111" s="499" t="s">
        <v>10626</v>
      </c>
    </row>
    <row r="4112">
      <c r="A4112" s="499" t="s">
        <v>10627</v>
      </c>
    </row>
    <row r="4113">
      <c r="A4113" s="499" t="s">
        <v>10628</v>
      </c>
    </row>
    <row r="4114">
      <c r="A4114" s="499" t="s">
        <v>10629</v>
      </c>
    </row>
    <row r="4115">
      <c r="A4115" s="499" t="s">
        <v>10630</v>
      </c>
    </row>
    <row r="4116">
      <c r="A4116" s="499" t="s">
        <v>10631</v>
      </c>
    </row>
    <row r="4117">
      <c r="A4117" s="499" t="s">
        <v>10632</v>
      </c>
    </row>
    <row r="4118">
      <c r="A4118" s="499" t="s">
        <v>10633</v>
      </c>
    </row>
    <row r="4119">
      <c r="A4119" s="499" t="s">
        <v>10634</v>
      </c>
    </row>
    <row r="4120">
      <c r="A4120" s="499" t="s">
        <v>10635</v>
      </c>
    </row>
    <row r="4121">
      <c r="A4121" s="499" t="s">
        <v>10636</v>
      </c>
    </row>
    <row r="4122">
      <c r="A4122" s="499" t="s">
        <v>10637</v>
      </c>
    </row>
    <row r="4123">
      <c r="A4123" s="499" t="s">
        <v>10638</v>
      </c>
    </row>
    <row r="4124">
      <c r="A4124" s="499" t="s">
        <v>10639</v>
      </c>
    </row>
    <row r="4125">
      <c r="A4125" s="499" t="s">
        <v>10640</v>
      </c>
    </row>
    <row r="4126">
      <c r="A4126" s="499" t="s">
        <v>10641</v>
      </c>
    </row>
    <row r="4127">
      <c r="A4127" s="499" t="s">
        <v>10642</v>
      </c>
    </row>
    <row r="4128">
      <c r="A4128" s="499" t="s">
        <v>10643</v>
      </c>
    </row>
    <row r="4129">
      <c r="A4129" s="499" t="s">
        <v>10644</v>
      </c>
    </row>
    <row r="4130">
      <c r="A4130" s="499" t="s">
        <v>10645</v>
      </c>
    </row>
    <row r="4131">
      <c r="A4131" s="499" t="s">
        <v>10646</v>
      </c>
    </row>
    <row r="4132">
      <c r="A4132" s="499" t="s">
        <v>10647</v>
      </c>
    </row>
    <row r="4133">
      <c r="A4133" s="499" t="s">
        <v>10648</v>
      </c>
    </row>
    <row r="4134">
      <c r="A4134" s="499" t="s">
        <v>10649</v>
      </c>
    </row>
    <row r="4135">
      <c r="A4135" s="499" t="s">
        <v>10650</v>
      </c>
    </row>
    <row r="4136">
      <c r="A4136" s="499" t="s">
        <v>10651</v>
      </c>
    </row>
    <row r="4137">
      <c r="A4137" s="499" t="s">
        <v>10652</v>
      </c>
    </row>
    <row r="4138">
      <c r="A4138" s="499" t="s">
        <v>10653</v>
      </c>
    </row>
    <row r="4139">
      <c r="A4139" s="499" t="s">
        <v>10654</v>
      </c>
    </row>
    <row r="4140">
      <c r="A4140" s="499" t="s">
        <v>10655</v>
      </c>
    </row>
    <row r="4141">
      <c r="A4141" s="499" t="s">
        <v>10656</v>
      </c>
    </row>
    <row r="4142">
      <c r="A4142" s="499" t="s">
        <v>10657</v>
      </c>
    </row>
    <row r="4143">
      <c r="A4143" s="499" t="s">
        <v>10658</v>
      </c>
    </row>
    <row r="4144">
      <c r="A4144" s="499" t="s">
        <v>10659</v>
      </c>
    </row>
    <row r="4145">
      <c r="A4145" s="499" t="s">
        <v>10660</v>
      </c>
    </row>
    <row r="4146">
      <c r="A4146" s="499" t="s">
        <v>10661</v>
      </c>
    </row>
    <row r="4147">
      <c r="A4147" s="499" t="s">
        <v>10662</v>
      </c>
    </row>
    <row r="4148">
      <c r="A4148" s="499" t="s">
        <v>10663</v>
      </c>
    </row>
    <row r="4149">
      <c r="A4149" s="499" t="s">
        <v>10664</v>
      </c>
    </row>
    <row r="4150">
      <c r="A4150" s="499" t="s">
        <v>10665</v>
      </c>
    </row>
    <row r="4151">
      <c r="A4151" s="499" t="s">
        <v>10666</v>
      </c>
    </row>
    <row r="4152">
      <c r="A4152" s="499" t="s">
        <v>10667</v>
      </c>
    </row>
    <row r="4153">
      <c r="A4153" s="499" t="s">
        <v>10668</v>
      </c>
    </row>
    <row r="4154">
      <c r="A4154" s="499" t="s">
        <v>10669</v>
      </c>
    </row>
    <row r="4155">
      <c r="A4155" s="499" t="s">
        <v>10670</v>
      </c>
    </row>
    <row r="4156">
      <c r="A4156" s="499" t="s">
        <v>10671</v>
      </c>
    </row>
    <row r="4157">
      <c r="A4157" s="499" t="s">
        <v>10672</v>
      </c>
    </row>
    <row r="4158">
      <c r="A4158" s="499" t="s">
        <v>10673</v>
      </c>
    </row>
    <row r="4159">
      <c r="A4159" s="499" t="s">
        <v>10674</v>
      </c>
    </row>
    <row r="4160">
      <c r="A4160" s="499" t="s">
        <v>10675</v>
      </c>
    </row>
    <row r="4161">
      <c r="A4161" s="499" t="s">
        <v>10676</v>
      </c>
    </row>
    <row r="4162">
      <c r="A4162" s="499" t="s">
        <v>10677</v>
      </c>
    </row>
    <row r="4163">
      <c r="A4163" s="499" t="s">
        <v>10678</v>
      </c>
    </row>
    <row r="4164">
      <c r="A4164" s="499" t="s">
        <v>10679</v>
      </c>
    </row>
    <row r="4165">
      <c r="A4165" s="499" t="s">
        <v>10680</v>
      </c>
    </row>
    <row r="4166">
      <c r="A4166" s="499" t="s">
        <v>10681</v>
      </c>
    </row>
    <row r="4167">
      <c r="A4167" s="499" t="s">
        <v>10682</v>
      </c>
    </row>
    <row r="4168">
      <c r="A4168" s="499" t="s">
        <v>10683</v>
      </c>
    </row>
    <row r="4169">
      <c r="A4169" s="499" t="s">
        <v>10684</v>
      </c>
    </row>
    <row r="4170">
      <c r="A4170" s="499" t="s">
        <v>10685</v>
      </c>
    </row>
    <row r="4171">
      <c r="A4171" s="499" t="s">
        <v>10686</v>
      </c>
    </row>
    <row r="4172">
      <c r="A4172" s="499" t="s">
        <v>10687</v>
      </c>
    </row>
    <row r="4173">
      <c r="A4173" s="499" t="s">
        <v>10688</v>
      </c>
    </row>
    <row r="4174">
      <c r="A4174" s="499" t="s">
        <v>10689</v>
      </c>
    </row>
    <row r="4175">
      <c r="A4175" s="499" t="s">
        <v>10690</v>
      </c>
    </row>
    <row r="4176">
      <c r="A4176" s="499" t="s">
        <v>10691</v>
      </c>
    </row>
    <row r="4177">
      <c r="A4177" s="499" t="s">
        <v>10692</v>
      </c>
    </row>
    <row r="4178">
      <c r="A4178" s="499" t="s">
        <v>10693</v>
      </c>
    </row>
    <row r="4179">
      <c r="A4179" s="499" t="s">
        <v>10694</v>
      </c>
    </row>
    <row r="4180">
      <c r="A4180" s="499" t="s">
        <v>10695</v>
      </c>
    </row>
    <row r="4181">
      <c r="A4181" s="499" t="s">
        <v>10696</v>
      </c>
    </row>
    <row r="4182">
      <c r="A4182" s="499" t="s">
        <v>10697</v>
      </c>
    </row>
    <row r="4183">
      <c r="A4183" s="499" t="s">
        <v>10698</v>
      </c>
    </row>
    <row r="4184">
      <c r="A4184" s="499" t="s">
        <v>10699</v>
      </c>
    </row>
    <row r="4185">
      <c r="A4185" s="499" t="s">
        <v>10700</v>
      </c>
    </row>
    <row r="4186">
      <c r="A4186" s="499" t="s">
        <v>10701</v>
      </c>
    </row>
    <row r="4187">
      <c r="A4187" s="499" t="s">
        <v>10702</v>
      </c>
    </row>
    <row r="4188">
      <c r="A4188" s="499" t="s">
        <v>10703</v>
      </c>
    </row>
    <row r="4189">
      <c r="A4189" s="499" t="s">
        <v>10704</v>
      </c>
    </row>
    <row r="4190">
      <c r="A4190" s="499" t="s">
        <v>10705</v>
      </c>
    </row>
    <row r="4191">
      <c r="A4191" s="499" t="s">
        <v>10706</v>
      </c>
    </row>
    <row r="4192">
      <c r="A4192" s="499" t="s">
        <v>10707</v>
      </c>
    </row>
    <row r="4193">
      <c r="A4193" s="499" t="s">
        <v>10708</v>
      </c>
    </row>
    <row r="4194">
      <c r="A4194" s="499" t="s">
        <v>10709</v>
      </c>
    </row>
    <row r="4195">
      <c r="A4195" s="499" t="s">
        <v>10710</v>
      </c>
    </row>
    <row r="4196">
      <c r="A4196" s="499" t="s">
        <v>10711</v>
      </c>
    </row>
    <row r="4197">
      <c r="A4197" s="499" t="s">
        <v>10712</v>
      </c>
    </row>
    <row r="4198">
      <c r="A4198" s="499" t="s">
        <v>10713</v>
      </c>
    </row>
    <row r="4199">
      <c r="A4199" s="499" t="s">
        <v>10714</v>
      </c>
    </row>
    <row r="4200">
      <c r="A4200" s="499" t="s">
        <v>10715</v>
      </c>
    </row>
    <row r="4201">
      <c r="A4201" s="499" t="s">
        <v>10716</v>
      </c>
    </row>
    <row r="4202">
      <c r="A4202" s="499" t="s">
        <v>10717</v>
      </c>
    </row>
    <row r="4203">
      <c r="A4203" s="499" t="s">
        <v>10718</v>
      </c>
    </row>
    <row r="4204">
      <c r="A4204" s="499" t="s">
        <v>10719</v>
      </c>
    </row>
    <row r="4205">
      <c r="A4205" s="499" t="s">
        <v>10720</v>
      </c>
    </row>
    <row r="4206">
      <c r="A4206" s="499" t="s">
        <v>10721</v>
      </c>
    </row>
    <row r="4207">
      <c r="A4207" s="499" t="s">
        <v>10722</v>
      </c>
    </row>
    <row r="4208">
      <c r="A4208" s="499" t="s">
        <v>10723</v>
      </c>
    </row>
    <row r="4209">
      <c r="A4209" s="499" t="s">
        <v>10724</v>
      </c>
    </row>
    <row r="4210">
      <c r="A4210" s="499" t="s">
        <v>10725</v>
      </c>
    </row>
    <row r="4211">
      <c r="A4211" s="499" t="s">
        <v>10726</v>
      </c>
    </row>
    <row r="4212">
      <c r="A4212" s="499" t="s">
        <v>10727</v>
      </c>
    </row>
    <row r="4213">
      <c r="A4213" s="499" t="s">
        <v>10728</v>
      </c>
    </row>
    <row r="4214">
      <c r="A4214" s="499" t="s">
        <v>10729</v>
      </c>
    </row>
    <row r="4215">
      <c r="A4215" s="499" t="s">
        <v>10730</v>
      </c>
    </row>
    <row r="4216">
      <c r="A4216" s="499" t="s">
        <v>10731</v>
      </c>
    </row>
    <row r="4217">
      <c r="A4217" s="499" t="s">
        <v>10732</v>
      </c>
    </row>
    <row r="4218">
      <c r="A4218" s="499" t="s">
        <v>10733</v>
      </c>
    </row>
    <row r="4219">
      <c r="A4219" s="499" t="s">
        <v>10734</v>
      </c>
    </row>
    <row r="4220">
      <c r="A4220" s="499" t="s">
        <v>10735</v>
      </c>
    </row>
    <row r="4221">
      <c r="A4221" s="499" t="s">
        <v>10736</v>
      </c>
    </row>
    <row r="4222">
      <c r="A4222" s="499" t="s">
        <v>10737</v>
      </c>
    </row>
    <row r="4223">
      <c r="A4223" s="499" t="s">
        <v>10738</v>
      </c>
    </row>
    <row r="4224">
      <c r="A4224" s="499" t="s">
        <v>10739</v>
      </c>
    </row>
    <row r="4225">
      <c r="A4225" s="499" t="s">
        <v>10740</v>
      </c>
    </row>
    <row r="4226">
      <c r="A4226" s="499" t="s">
        <v>10741</v>
      </c>
    </row>
    <row r="4227">
      <c r="A4227" s="499" t="s">
        <v>10742</v>
      </c>
    </row>
    <row r="4228">
      <c r="A4228" s="499" t="s">
        <v>10743</v>
      </c>
    </row>
    <row r="4229">
      <c r="A4229" s="499" t="s">
        <v>10744</v>
      </c>
    </row>
    <row r="4230">
      <c r="A4230" s="499" t="s">
        <v>10745</v>
      </c>
    </row>
    <row r="4231">
      <c r="A4231" s="499" t="s">
        <v>10746</v>
      </c>
    </row>
    <row r="4232">
      <c r="A4232" s="499" t="s">
        <v>10747</v>
      </c>
    </row>
    <row r="4233">
      <c r="A4233" s="499" t="s">
        <v>10748</v>
      </c>
    </row>
    <row r="4234">
      <c r="A4234" s="499" t="s">
        <v>10749</v>
      </c>
    </row>
    <row r="4235">
      <c r="A4235" s="499" t="s">
        <v>10750</v>
      </c>
    </row>
    <row r="4236">
      <c r="A4236" s="499" t="s">
        <v>10751</v>
      </c>
    </row>
    <row r="4237">
      <c r="A4237" s="499" t="s">
        <v>10752</v>
      </c>
    </row>
    <row r="4238">
      <c r="A4238" s="499" t="s">
        <v>10753</v>
      </c>
    </row>
    <row r="4239">
      <c r="A4239" s="499" t="s">
        <v>10754</v>
      </c>
    </row>
    <row r="4240">
      <c r="A4240" s="499" t="s">
        <v>10755</v>
      </c>
    </row>
    <row r="4241">
      <c r="A4241" s="499" t="s">
        <v>10756</v>
      </c>
    </row>
    <row r="4242">
      <c r="A4242" s="499" t="s">
        <v>10757</v>
      </c>
    </row>
    <row r="4243">
      <c r="A4243" s="499" t="s">
        <v>10758</v>
      </c>
    </row>
    <row r="4244">
      <c r="A4244" s="499" t="s">
        <v>10759</v>
      </c>
    </row>
    <row r="4245">
      <c r="A4245" s="499" t="s">
        <v>10760</v>
      </c>
    </row>
    <row r="4246">
      <c r="A4246" s="499" t="s">
        <v>10761</v>
      </c>
    </row>
    <row r="4247">
      <c r="A4247" s="499" t="s">
        <v>10762</v>
      </c>
    </row>
    <row r="4248">
      <c r="A4248" s="499" t="s">
        <v>10763</v>
      </c>
    </row>
    <row r="4249">
      <c r="A4249" s="499" t="s">
        <v>10764</v>
      </c>
    </row>
    <row r="4250">
      <c r="A4250" s="499" t="s">
        <v>10765</v>
      </c>
    </row>
    <row r="4251">
      <c r="A4251" s="499" t="s">
        <v>10766</v>
      </c>
    </row>
    <row r="4252">
      <c r="A4252" s="499" t="s">
        <v>10767</v>
      </c>
    </row>
    <row r="4253">
      <c r="A4253" s="499" t="s">
        <v>10768</v>
      </c>
    </row>
    <row r="4254">
      <c r="A4254" s="499" t="s">
        <v>10769</v>
      </c>
    </row>
    <row r="4255">
      <c r="A4255" s="499" t="s">
        <v>10770</v>
      </c>
    </row>
    <row r="4256">
      <c r="A4256" s="499" t="s">
        <v>10771</v>
      </c>
    </row>
    <row r="4257">
      <c r="A4257" s="499" t="s">
        <v>10772</v>
      </c>
    </row>
    <row r="4258">
      <c r="A4258" s="499" t="s">
        <v>10773</v>
      </c>
    </row>
    <row r="4259">
      <c r="A4259" s="499" t="s">
        <v>10774</v>
      </c>
    </row>
    <row r="4260">
      <c r="A4260" s="499" t="s">
        <v>10775</v>
      </c>
    </row>
    <row r="4261">
      <c r="A4261" s="499" t="s">
        <v>10776</v>
      </c>
    </row>
    <row r="4262">
      <c r="A4262" s="499" t="s">
        <v>10777</v>
      </c>
    </row>
    <row r="4263">
      <c r="A4263" s="499" t="s">
        <v>10778</v>
      </c>
    </row>
    <row r="4264">
      <c r="A4264" s="499" t="s">
        <v>10779</v>
      </c>
    </row>
    <row r="4265">
      <c r="A4265" s="499" t="s">
        <v>10780</v>
      </c>
    </row>
    <row r="4266">
      <c r="A4266" s="499" t="s">
        <v>10781</v>
      </c>
    </row>
    <row r="4267">
      <c r="A4267" s="499" t="s">
        <v>10782</v>
      </c>
    </row>
    <row r="4268">
      <c r="A4268" s="499" t="s">
        <v>10783</v>
      </c>
    </row>
    <row r="4269">
      <c r="A4269" s="499" t="s">
        <v>10784</v>
      </c>
    </row>
    <row r="4270">
      <c r="A4270" s="499" t="s">
        <v>10785</v>
      </c>
    </row>
    <row r="4271">
      <c r="A4271" s="499" t="s">
        <v>10786</v>
      </c>
    </row>
    <row r="4272">
      <c r="A4272" s="499" t="s">
        <v>10787</v>
      </c>
    </row>
    <row r="4273">
      <c r="A4273" s="499" t="s">
        <v>10788</v>
      </c>
    </row>
    <row r="4274">
      <c r="A4274" s="499" t="s">
        <v>10789</v>
      </c>
    </row>
    <row r="4275">
      <c r="A4275" s="499" t="s">
        <v>10790</v>
      </c>
    </row>
    <row r="4276">
      <c r="A4276" s="499" t="s">
        <v>10791</v>
      </c>
    </row>
    <row r="4277">
      <c r="A4277" s="499" t="s">
        <v>10792</v>
      </c>
    </row>
    <row r="4278">
      <c r="A4278" s="499" t="s">
        <v>10793</v>
      </c>
    </row>
    <row r="4279">
      <c r="A4279" s="499" t="s">
        <v>10794</v>
      </c>
    </row>
    <row r="4280">
      <c r="A4280" s="499" t="s">
        <v>10795</v>
      </c>
    </row>
    <row r="4281">
      <c r="A4281" s="499" t="s">
        <v>10796</v>
      </c>
    </row>
    <row r="4282">
      <c r="A4282" s="499" t="s">
        <v>10797</v>
      </c>
    </row>
    <row r="4283">
      <c r="A4283" s="499" t="s">
        <v>10798</v>
      </c>
    </row>
    <row r="4284">
      <c r="A4284" s="499" t="s">
        <v>10799</v>
      </c>
    </row>
    <row r="4285">
      <c r="A4285" s="499" t="s">
        <v>10800</v>
      </c>
    </row>
    <row r="4286">
      <c r="A4286" s="499" t="s">
        <v>10801</v>
      </c>
    </row>
    <row r="4287">
      <c r="A4287" s="499" t="s">
        <v>10802</v>
      </c>
    </row>
    <row r="4288">
      <c r="A4288" s="499" t="s">
        <v>10803</v>
      </c>
    </row>
    <row r="4289">
      <c r="A4289" s="499" t="s">
        <v>10804</v>
      </c>
    </row>
    <row r="4290">
      <c r="A4290" s="499" t="s">
        <v>10805</v>
      </c>
    </row>
    <row r="4291">
      <c r="A4291" s="499" t="s">
        <v>10806</v>
      </c>
    </row>
    <row r="4292">
      <c r="A4292" s="499" t="s">
        <v>10807</v>
      </c>
    </row>
    <row r="4293">
      <c r="A4293" s="499" t="s">
        <v>10808</v>
      </c>
    </row>
    <row r="4294">
      <c r="A4294" s="499" t="s">
        <v>10809</v>
      </c>
    </row>
    <row r="4295">
      <c r="A4295" s="499" t="s">
        <v>10810</v>
      </c>
    </row>
    <row r="4296">
      <c r="A4296" s="499" t="s">
        <v>10811</v>
      </c>
    </row>
    <row r="4297">
      <c r="A4297" s="499" t="s">
        <v>10812</v>
      </c>
    </row>
    <row r="4298">
      <c r="A4298" s="499" t="s">
        <v>10813</v>
      </c>
    </row>
    <row r="4299">
      <c r="A4299" s="499" t="s">
        <v>10814</v>
      </c>
    </row>
    <row r="4300">
      <c r="A4300" s="499" t="s">
        <v>10815</v>
      </c>
    </row>
    <row r="4301">
      <c r="A4301" s="499" t="s">
        <v>10816</v>
      </c>
    </row>
    <row r="4302">
      <c r="A4302" s="499" t="s">
        <v>10817</v>
      </c>
    </row>
    <row r="4303">
      <c r="A4303" s="499" t="s">
        <v>10818</v>
      </c>
    </row>
    <row r="4304">
      <c r="A4304" s="499" t="s">
        <v>10819</v>
      </c>
    </row>
    <row r="4305">
      <c r="A4305" s="499" t="s">
        <v>10820</v>
      </c>
    </row>
    <row r="4306">
      <c r="A4306" s="499" t="s">
        <v>10821</v>
      </c>
    </row>
    <row r="4307">
      <c r="A4307" s="499" t="s">
        <v>10822</v>
      </c>
    </row>
    <row r="4308">
      <c r="A4308" s="499" t="s">
        <v>10823</v>
      </c>
    </row>
    <row r="4309">
      <c r="A4309" s="499" t="s">
        <v>10824</v>
      </c>
    </row>
    <row r="4310">
      <c r="A4310" s="499" t="s">
        <v>10825</v>
      </c>
    </row>
    <row r="4311">
      <c r="A4311" s="499" t="s">
        <v>10826</v>
      </c>
    </row>
    <row r="4312">
      <c r="A4312" s="499" t="s">
        <v>10827</v>
      </c>
    </row>
    <row r="4313">
      <c r="A4313" s="499" t="s">
        <v>10828</v>
      </c>
    </row>
    <row r="4314">
      <c r="A4314" s="499" t="s">
        <v>10829</v>
      </c>
    </row>
    <row r="4315">
      <c r="A4315" s="499" t="s">
        <v>10830</v>
      </c>
    </row>
    <row r="4316">
      <c r="A4316" s="499" t="s">
        <v>10831</v>
      </c>
    </row>
    <row r="4317">
      <c r="A4317" s="499" t="s">
        <v>10832</v>
      </c>
    </row>
    <row r="4318">
      <c r="A4318" s="499" t="s">
        <v>10833</v>
      </c>
    </row>
    <row r="4319">
      <c r="A4319" s="499" t="s">
        <v>10834</v>
      </c>
    </row>
    <row r="4320">
      <c r="A4320" s="499" t="s">
        <v>10835</v>
      </c>
    </row>
    <row r="4321">
      <c r="A4321" s="499" t="s">
        <v>10836</v>
      </c>
    </row>
    <row r="4322">
      <c r="A4322" s="499" t="s">
        <v>10837</v>
      </c>
    </row>
    <row r="4323">
      <c r="A4323" s="499" t="s">
        <v>10838</v>
      </c>
    </row>
    <row r="4324">
      <c r="A4324" s="499" t="s">
        <v>10839</v>
      </c>
    </row>
    <row r="4325">
      <c r="A4325" s="499" t="s">
        <v>10840</v>
      </c>
    </row>
    <row r="4326">
      <c r="A4326" s="499" t="s">
        <v>10841</v>
      </c>
    </row>
    <row r="4327">
      <c r="A4327" s="499" t="s">
        <v>10842</v>
      </c>
    </row>
    <row r="4328">
      <c r="A4328" s="499" t="s">
        <v>10843</v>
      </c>
    </row>
    <row r="4329">
      <c r="A4329" s="499" t="s">
        <v>10844</v>
      </c>
    </row>
    <row r="4330">
      <c r="A4330" s="499" t="s">
        <v>10845</v>
      </c>
    </row>
    <row r="4331">
      <c r="A4331" s="499" t="s">
        <v>10846</v>
      </c>
    </row>
    <row r="4332">
      <c r="A4332" s="499" t="s">
        <v>10847</v>
      </c>
    </row>
    <row r="4333">
      <c r="A4333" s="499" t="s">
        <v>10848</v>
      </c>
    </row>
    <row r="4334">
      <c r="A4334" s="499" t="s">
        <v>10849</v>
      </c>
    </row>
    <row r="4335">
      <c r="A4335" s="499" t="s">
        <v>10850</v>
      </c>
    </row>
    <row r="4336">
      <c r="A4336" s="499" t="s">
        <v>10851</v>
      </c>
    </row>
    <row r="4337">
      <c r="A4337" s="499" t="s">
        <v>10852</v>
      </c>
    </row>
    <row r="4338">
      <c r="A4338" s="499" t="s">
        <v>10853</v>
      </c>
    </row>
    <row r="4339">
      <c r="A4339" s="499" t="s">
        <v>10854</v>
      </c>
    </row>
    <row r="4340">
      <c r="A4340" s="499" t="s">
        <v>10855</v>
      </c>
    </row>
    <row r="4341">
      <c r="A4341" s="499" t="s">
        <v>10856</v>
      </c>
    </row>
    <row r="4342">
      <c r="A4342" s="499" t="s">
        <v>10857</v>
      </c>
    </row>
    <row r="4343">
      <c r="A4343" s="499" t="s">
        <v>10858</v>
      </c>
    </row>
    <row r="4344">
      <c r="A4344" s="499" t="s">
        <v>10859</v>
      </c>
    </row>
    <row r="4345">
      <c r="A4345" s="499" t="s">
        <v>10860</v>
      </c>
    </row>
    <row r="4346">
      <c r="A4346" s="499" t="s">
        <v>10861</v>
      </c>
    </row>
    <row r="4347">
      <c r="A4347" s="499" t="s">
        <v>10862</v>
      </c>
    </row>
    <row r="4348">
      <c r="A4348" s="499" t="s">
        <v>10863</v>
      </c>
    </row>
    <row r="4349">
      <c r="A4349" s="499" t="s">
        <v>10864</v>
      </c>
    </row>
    <row r="4350">
      <c r="A4350" s="499" t="s">
        <v>10865</v>
      </c>
    </row>
    <row r="4351">
      <c r="A4351" s="499" t="s">
        <v>10866</v>
      </c>
    </row>
    <row r="4352">
      <c r="A4352" s="499" t="s">
        <v>10867</v>
      </c>
    </row>
    <row r="4353">
      <c r="A4353" s="499" t="s">
        <v>10868</v>
      </c>
    </row>
    <row r="4354">
      <c r="A4354" s="499" t="s">
        <v>10869</v>
      </c>
    </row>
    <row r="4355">
      <c r="A4355" s="499" t="s">
        <v>10870</v>
      </c>
    </row>
    <row r="4356">
      <c r="A4356" s="499" t="s">
        <v>10871</v>
      </c>
    </row>
    <row r="4357">
      <c r="A4357" s="499" t="s">
        <v>10872</v>
      </c>
    </row>
    <row r="4358">
      <c r="A4358" s="499" t="s">
        <v>10873</v>
      </c>
    </row>
    <row r="4359">
      <c r="A4359" s="499" t="s">
        <v>10874</v>
      </c>
    </row>
    <row r="4360">
      <c r="A4360" s="499" t="s">
        <v>10875</v>
      </c>
    </row>
    <row r="4361">
      <c r="A4361" s="499" t="s">
        <v>10876</v>
      </c>
    </row>
    <row r="4362">
      <c r="A4362" s="499" t="s">
        <v>10877</v>
      </c>
    </row>
    <row r="4363">
      <c r="A4363" s="499" t="s">
        <v>10878</v>
      </c>
    </row>
    <row r="4364">
      <c r="A4364" s="499" t="s">
        <v>10879</v>
      </c>
    </row>
    <row r="4365">
      <c r="A4365" s="499" t="s">
        <v>10880</v>
      </c>
    </row>
    <row r="4366">
      <c r="A4366" s="499" t="s">
        <v>10881</v>
      </c>
    </row>
    <row r="4367">
      <c r="A4367" s="499" t="s">
        <v>10882</v>
      </c>
    </row>
    <row r="4368">
      <c r="A4368" s="499" t="s">
        <v>10883</v>
      </c>
    </row>
    <row r="4369">
      <c r="A4369" s="499" t="s">
        <v>10884</v>
      </c>
    </row>
    <row r="4370">
      <c r="A4370" s="499" t="s">
        <v>10885</v>
      </c>
    </row>
    <row r="4371">
      <c r="A4371" s="499" t="s">
        <v>10886</v>
      </c>
    </row>
    <row r="4372">
      <c r="A4372" s="499" t="s">
        <v>10887</v>
      </c>
    </row>
    <row r="4373">
      <c r="A4373" s="499" t="s">
        <v>10888</v>
      </c>
    </row>
    <row r="4374">
      <c r="A4374" s="499" t="s">
        <v>10889</v>
      </c>
    </row>
    <row r="4375">
      <c r="A4375" s="499" t="s">
        <v>10890</v>
      </c>
    </row>
    <row r="4376">
      <c r="A4376" s="499" t="s">
        <v>10891</v>
      </c>
    </row>
    <row r="4377">
      <c r="A4377" s="499" t="s">
        <v>10892</v>
      </c>
    </row>
    <row r="4378">
      <c r="A4378" s="499" t="s">
        <v>10893</v>
      </c>
    </row>
    <row r="4379">
      <c r="A4379" s="499" t="s">
        <v>10894</v>
      </c>
    </row>
    <row r="4380">
      <c r="A4380" s="499" t="s">
        <v>10895</v>
      </c>
    </row>
    <row r="4381">
      <c r="A4381" s="499" t="s">
        <v>10896</v>
      </c>
    </row>
    <row r="4382">
      <c r="A4382" s="499" t="s">
        <v>10897</v>
      </c>
    </row>
    <row r="4383">
      <c r="A4383" s="499" t="s">
        <v>10898</v>
      </c>
    </row>
    <row r="4384">
      <c r="A4384" s="499" t="s">
        <v>10899</v>
      </c>
    </row>
    <row r="4385">
      <c r="A4385" s="499" t="s">
        <v>10900</v>
      </c>
    </row>
    <row r="4386">
      <c r="A4386" s="499" t="s">
        <v>10901</v>
      </c>
    </row>
    <row r="4387">
      <c r="A4387" s="499" t="s">
        <v>10902</v>
      </c>
    </row>
    <row r="4388">
      <c r="A4388" s="499" t="s">
        <v>10903</v>
      </c>
    </row>
    <row r="4389">
      <c r="A4389" s="499" t="s">
        <v>10904</v>
      </c>
    </row>
    <row r="4390">
      <c r="A4390" s="499" t="s">
        <v>10905</v>
      </c>
    </row>
    <row r="4391">
      <c r="A4391" s="499" t="s">
        <v>10906</v>
      </c>
    </row>
    <row r="4392">
      <c r="A4392" s="499" t="s">
        <v>10907</v>
      </c>
    </row>
    <row r="4393">
      <c r="A4393" s="499" t="s">
        <v>10908</v>
      </c>
    </row>
    <row r="4394">
      <c r="A4394" s="499" t="s">
        <v>10909</v>
      </c>
    </row>
    <row r="4395">
      <c r="A4395" s="499" t="s">
        <v>10910</v>
      </c>
    </row>
    <row r="4396">
      <c r="A4396" s="499" t="s">
        <v>10911</v>
      </c>
    </row>
    <row r="4397">
      <c r="A4397" s="499" t="s">
        <v>10912</v>
      </c>
    </row>
    <row r="4398">
      <c r="A4398" s="499" t="s">
        <v>10913</v>
      </c>
    </row>
    <row r="4399">
      <c r="A4399" s="499" t="s">
        <v>10914</v>
      </c>
    </row>
    <row r="4400">
      <c r="A4400" s="499" t="s">
        <v>10915</v>
      </c>
    </row>
    <row r="4401">
      <c r="A4401" s="499" t="s">
        <v>10916</v>
      </c>
    </row>
    <row r="4402">
      <c r="A4402" s="499" t="s">
        <v>10917</v>
      </c>
    </row>
    <row r="4403">
      <c r="A4403" s="499" t="s">
        <v>10918</v>
      </c>
    </row>
    <row r="4404">
      <c r="A4404" s="499" t="s">
        <v>10919</v>
      </c>
    </row>
    <row r="4405">
      <c r="A4405" s="499" t="s">
        <v>10920</v>
      </c>
    </row>
    <row r="4406">
      <c r="A4406" s="499" t="s">
        <v>10921</v>
      </c>
    </row>
    <row r="4407">
      <c r="A4407" s="499" t="s">
        <v>10922</v>
      </c>
    </row>
    <row r="4408">
      <c r="A4408" s="499" t="s">
        <v>10923</v>
      </c>
    </row>
    <row r="4409">
      <c r="A4409" s="499" t="s">
        <v>10924</v>
      </c>
    </row>
    <row r="4410">
      <c r="A4410" s="499" t="s">
        <v>10925</v>
      </c>
    </row>
    <row r="4411">
      <c r="A4411" s="499" t="s">
        <v>10926</v>
      </c>
    </row>
    <row r="4412">
      <c r="A4412" s="499" t="s">
        <v>10927</v>
      </c>
    </row>
    <row r="4413">
      <c r="A4413" s="499" t="s">
        <v>10928</v>
      </c>
    </row>
    <row r="4414">
      <c r="A4414" s="499" t="s">
        <v>10929</v>
      </c>
    </row>
    <row r="4415">
      <c r="A4415" s="499" t="s">
        <v>10930</v>
      </c>
    </row>
    <row r="4416">
      <c r="A4416" s="499" t="s">
        <v>10931</v>
      </c>
    </row>
    <row r="4417">
      <c r="A4417" s="499" t="s">
        <v>10932</v>
      </c>
    </row>
    <row r="4418">
      <c r="A4418" s="499" t="s">
        <v>10933</v>
      </c>
    </row>
    <row r="4419">
      <c r="A4419" s="499" t="s">
        <v>10934</v>
      </c>
    </row>
    <row r="4420">
      <c r="A4420" s="499" t="s">
        <v>10935</v>
      </c>
    </row>
    <row r="4421">
      <c r="A4421" s="499" t="s">
        <v>10936</v>
      </c>
    </row>
    <row r="4422">
      <c r="A4422" s="499" t="s">
        <v>10937</v>
      </c>
    </row>
    <row r="4423">
      <c r="A4423" s="499" t="s">
        <v>10938</v>
      </c>
    </row>
    <row r="4424">
      <c r="A4424" s="499" t="s">
        <v>10939</v>
      </c>
    </row>
    <row r="4425">
      <c r="A4425" s="499" t="s">
        <v>10940</v>
      </c>
    </row>
    <row r="4426">
      <c r="A4426" s="499" t="s">
        <v>10941</v>
      </c>
    </row>
    <row r="4427">
      <c r="A4427" s="499" t="s">
        <v>10942</v>
      </c>
    </row>
    <row r="4428">
      <c r="A4428" s="499" t="s">
        <v>10943</v>
      </c>
    </row>
    <row r="4429">
      <c r="A4429" s="499" t="s">
        <v>10944</v>
      </c>
    </row>
    <row r="4430">
      <c r="A4430" s="499" t="s">
        <v>10945</v>
      </c>
    </row>
    <row r="4431">
      <c r="A4431" s="499" t="s">
        <v>10946</v>
      </c>
    </row>
    <row r="4432">
      <c r="A4432" s="499" t="s">
        <v>10947</v>
      </c>
    </row>
    <row r="4433">
      <c r="A4433" s="499" t="s">
        <v>10948</v>
      </c>
    </row>
    <row r="4434">
      <c r="A4434" s="499" t="s">
        <v>10949</v>
      </c>
    </row>
    <row r="4435">
      <c r="A4435" s="499" t="s">
        <v>10950</v>
      </c>
    </row>
    <row r="4436">
      <c r="A4436" s="499" t="s">
        <v>10951</v>
      </c>
    </row>
    <row r="4437">
      <c r="A4437" s="499" t="s">
        <v>10952</v>
      </c>
    </row>
    <row r="4438">
      <c r="A4438" s="499" t="s">
        <v>10953</v>
      </c>
    </row>
    <row r="4439">
      <c r="A4439" s="499" t="s">
        <v>10954</v>
      </c>
    </row>
    <row r="4440">
      <c r="A4440" s="499" t="s">
        <v>10955</v>
      </c>
    </row>
    <row r="4441">
      <c r="A4441" s="499" t="s">
        <v>10956</v>
      </c>
    </row>
    <row r="4442">
      <c r="A4442" s="499" t="s">
        <v>10957</v>
      </c>
    </row>
    <row r="4443">
      <c r="A4443" s="499" t="s">
        <v>10958</v>
      </c>
    </row>
    <row r="4444">
      <c r="A4444" s="499" t="s">
        <v>10959</v>
      </c>
    </row>
    <row r="4445">
      <c r="A4445" s="499" t="s">
        <v>10960</v>
      </c>
    </row>
    <row r="4446">
      <c r="A4446" s="499" t="s">
        <v>10961</v>
      </c>
    </row>
    <row r="4447">
      <c r="A4447" s="499" t="s">
        <v>10962</v>
      </c>
    </row>
    <row r="4448">
      <c r="A4448" s="499" t="s">
        <v>10963</v>
      </c>
    </row>
    <row r="4449">
      <c r="A4449" s="499" t="s">
        <v>10964</v>
      </c>
    </row>
    <row r="4450">
      <c r="A4450" s="499" t="s">
        <v>10965</v>
      </c>
    </row>
    <row r="4451">
      <c r="A4451" s="499" t="s">
        <v>10966</v>
      </c>
    </row>
    <row r="4452">
      <c r="A4452" s="499" t="s">
        <v>10967</v>
      </c>
    </row>
    <row r="4453">
      <c r="A4453" s="499" t="s">
        <v>10968</v>
      </c>
    </row>
    <row r="4454">
      <c r="A4454" s="499" t="s">
        <v>10969</v>
      </c>
    </row>
    <row r="4455">
      <c r="A4455" s="499" t="s">
        <v>10970</v>
      </c>
    </row>
    <row r="4456">
      <c r="A4456" s="499" t="s">
        <v>10971</v>
      </c>
    </row>
    <row r="4457">
      <c r="A4457" s="499" t="s">
        <v>10972</v>
      </c>
    </row>
    <row r="4458">
      <c r="A4458" s="499" t="s">
        <v>10973</v>
      </c>
    </row>
    <row r="4459">
      <c r="A4459" s="499" t="s">
        <v>10974</v>
      </c>
    </row>
    <row r="4460">
      <c r="A4460" s="499" t="s">
        <v>10975</v>
      </c>
    </row>
    <row r="4461">
      <c r="A4461" s="499" t="s">
        <v>10976</v>
      </c>
    </row>
    <row r="4462">
      <c r="A4462" s="499" t="s">
        <v>10977</v>
      </c>
    </row>
    <row r="4463">
      <c r="A4463" s="499" t="s">
        <v>10978</v>
      </c>
    </row>
    <row r="4464">
      <c r="A4464" s="499" t="s">
        <v>10979</v>
      </c>
    </row>
    <row r="4465">
      <c r="A4465" s="499" t="s">
        <v>10980</v>
      </c>
    </row>
    <row r="4466">
      <c r="A4466" s="499" t="s">
        <v>10981</v>
      </c>
    </row>
    <row r="4467">
      <c r="A4467" s="499" t="s">
        <v>10982</v>
      </c>
    </row>
    <row r="4468">
      <c r="A4468" s="499" t="s">
        <v>10983</v>
      </c>
    </row>
    <row r="4469">
      <c r="A4469" s="499" t="s">
        <v>10984</v>
      </c>
    </row>
    <row r="4470">
      <c r="A4470" s="499" t="s">
        <v>10985</v>
      </c>
    </row>
    <row r="4471">
      <c r="A4471" s="499" t="s">
        <v>10986</v>
      </c>
    </row>
    <row r="4472">
      <c r="A4472" s="499" t="s">
        <v>10987</v>
      </c>
    </row>
    <row r="4473">
      <c r="A4473" s="499" t="s">
        <v>10988</v>
      </c>
    </row>
    <row r="4474">
      <c r="A4474" s="499" t="s">
        <v>10989</v>
      </c>
    </row>
    <row r="4475">
      <c r="A4475" s="499" t="s">
        <v>10990</v>
      </c>
    </row>
    <row r="4476">
      <c r="A4476" s="499" t="s">
        <v>10991</v>
      </c>
    </row>
    <row r="4477">
      <c r="A4477" s="499" t="s">
        <v>10992</v>
      </c>
    </row>
    <row r="4478">
      <c r="A4478" s="499" t="s">
        <v>10993</v>
      </c>
    </row>
    <row r="4479">
      <c r="A4479" s="499" t="s">
        <v>10994</v>
      </c>
    </row>
    <row r="4480">
      <c r="A4480" s="499" t="s">
        <v>10995</v>
      </c>
    </row>
    <row r="4481">
      <c r="A4481" s="499" t="s">
        <v>10996</v>
      </c>
    </row>
    <row r="4482">
      <c r="A4482" s="499" t="s">
        <v>10997</v>
      </c>
    </row>
    <row r="4483">
      <c r="A4483" s="499" t="s">
        <v>10998</v>
      </c>
    </row>
    <row r="4484">
      <c r="A4484" s="499" t="s">
        <v>10999</v>
      </c>
    </row>
    <row r="4485">
      <c r="A4485" s="499" t="s">
        <v>11000</v>
      </c>
    </row>
    <row r="4486">
      <c r="A4486" s="499" t="s">
        <v>11001</v>
      </c>
    </row>
    <row r="4487">
      <c r="A4487" s="499" t="s">
        <v>11002</v>
      </c>
    </row>
    <row r="4488">
      <c r="A4488" s="499" t="s">
        <v>11003</v>
      </c>
    </row>
    <row r="4489">
      <c r="A4489" s="499" t="s">
        <v>11004</v>
      </c>
    </row>
    <row r="4490">
      <c r="A4490" s="499" t="s">
        <v>11005</v>
      </c>
    </row>
    <row r="4491">
      <c r="A4491" s="499" t="s">
        <v>11006</v>
      </c>
    </row>
    <row r="4492">
      <c r="A4492" s="499" t="s">
        <v>11007</v>
      </c>
    </row>
    <row r="4493">
      <c r="A4493" s="499" t="s">
        <v>11008</v>
      </c>
    </row>
    <row r="4494">
      <c r="A4494" s="499" t="s">
        <v>11009</v>
      </c>
    </row>
    <row r="4495">
      <c r="A4495" s="499" t="s">
        <v>11010</v>
      </c>
    </row>
    <row r="4496">
      <c r="A4496" s="499" t="s">
        <v>11011</v>
      </c>
    </row>
    <row r="4497">
      <c r="A4497" s="499" t="s">
        <v>11012</v>
      </c>
    </row>
    <row r="4498">
      <c r="A4498" s="499" t="s">
        <v>11013</v>
      </c>
    </row>
    <row r="4499">
      <c r="A4499" s="499" t="s">
        <v>11014</v>
      </c>
    </row>
    <row r="4500">
      <c r="A4500" s="499" t="s">
        <v>11015</v>
      </c>
    </row>
    <row r="4501">
      <c r="A4501" s="499" t="s">
        <v>11016</v>
      </c>
    </row>
    <row r="4502">
      <c r="A4502" s="499" t="s">
        <v>11017</v>
      </c>
    </row>
    <row r="4503">
      <c r="A4503" s="499" t="s">
        <v>11018</v>
      </c>
    </row>
    <row r="4504">
      <c r="A4504" s="499" t="s">
        <v>11019</v>
      </c>
    </row>
    <row r="4505">
      <c r="A4505" s="499" t="s">
        <v>11020</v>
      </c>
    </row>
    <row r="4506">
      <c r="A4506" s="499" t="s">
        <v>11021</v>
      </c>
    </row>
    <row r="4507">
      <c r="A4507" s="499" t="s">
        <v>11022</v>
      </c>
    </row>
    <row r="4508">
      <c r="A4508" s="499" t="s">
        <v>11023</v>
      </c>
    </row>
    <row r="4509">
      <c r="A4509" s="499" t="s">
        <v>11024</v>
      </c>
    </row>
    <row r="4510">
      <c r="A4510" s="499" t="s">
        <v>11025</v>
      </c>
    </row>
    <row r="4511">
      <c r="A4511" s="499" t="s">
        <v>11026</v>
      </c>
    </row>
    <row r="4512">
      <c r="A4512" s="499" t="s">
        <v>11027</v>
      </c>
    </row>
    <row r="4513">
      <c r="A4513" s="499" t="s">
        <v>11028</v>
      </c>
    </row>
    <row r="4514">
      <c r="A4514" s="499" t="s">
        <v>11029</v>
      </c>
    </row>
    <row r="4515">
      <c r="A4515" s="499" t="s">
        <v>11030</v>
      </c>
    </row>
    <row r="4516">
      <c r="A4516" s="499" t="s">
        <v>11031</v>
      </c>
    </row>
    <row r="4517">
      <c r="A4517" s="499" t="s">
        <v>11032</v>
      </c>
    </row>
    <row r="4518">
      <c r="A4518" s="499" t="s">
        <v>11033</v>
      </c>
    </row>
    <row r="4519">
      <c r="A4519" s="499" t="s">
        <v>11034</v>
      </c>
    </row>
    <row r="4520">
      <c r="A4520" s="499" t="s">
        <v>11035</v>
      </c>
    </row>
    <row r="4521">
      <c r="A4521" s="499" t="s">
        <v>11036</v>
      </c>
    </row>
    <row r="4522">
      <c r="A4522" s="499" t="s">
        <v>11037</v>
      </c>
    </row>
    <row r="4523">
      <c r="A4523" s="499" t="s">
        <v>11038</v>
      </c>
    </row>
    <row r="4524">
      <c r="A4524" s="499" t="s">
        <v>11039</v>
      </c>
    </row>
    <row r="4525">
      <c r="A4525" s="499" t="s">
        <v>11040</v>
      </c>
    </row>
    <row r="4526">
      <c r="A4526" s="499" t="s">
        <v>11041</v>
      </c>
    </row>
    <row r="4527">
      <c r="A4527" s="499" t="s">
        <v>11042</v>
      </c>
    </row>
    <row r="4528">
      <c r="A4528" s="499" t="s">
        <v>11043</v>
      </c>
    </row>
    <row r="4529">
      <c r="A4529" s="499" t="s">
        <v>11044</v>
      </c>
    </row>
    <row r="4530">
      <c r="A4530" s="499" t="s">
        <v>11045</v>
      </c>
    </row>
    <row r="4531">
      <c r="A4531" s="499" t="s">
        <v>11046</v>
      </c>
    </row>
    <row r="4532">
      <c r="A4532" s="499" t="s">
        <v>11047</v>
      </c>
    </row>
    <row r="4533">
      <c r="A4533" s="499" t="s">
        <v>11048</v>
      </c>
    </row>
    <row r="4534">
      <c r="A4534" s="499" t="s">
        <v>11049</v>
      </c>
    </row>
    <row r="4535">
      <c r="A4535" s="499" t="s">
        <v>11050</v>
      </c>
    </row>
    <row r="4536">
      <c r="A4536" s="499" t="s">
        <v>11051</v>
      </c>
    </row>
    <row r="4537">
      <c r="A4537" s="499" t="s">
        <v>11052</v>
      </c>
    </row>
    <row r="4538">
      <c r="A4538" s="499" t="s">
        <v>11053</v>
      </c>
    </row>
    <row r="4539">
      <c r="A4539" s="499" t="s">
        <v>11054</v>
      </c>
    </row>
    <row r="4540">
      <c r="A4540" s="499" t="s">
        <v>11055</v>
      </c>
    </row>
    <row r="4541">
      <c r="A4541" s="499" t="s">
        <v>11056</v>
      </c>
    </row>
    <row r="4542">
      <c r="A4542" s="499" t="s">
        <v>11057</v>
      </c>
    </row>
    <row r="4543">
      <c r="A4543" s="499" t="s">
        <v>11058</v>
      </c>
    </row>
    <row r="4544">
      <c r="A4544" s="499" t="s">
        <v>11059</v>
      </c>
    </row>
    <row r="4545">
      <c r="A4545" s="499" t="s">
        <v>11060</v>
      </c>
    </row>
    <row r="4546">
      <c r="A4546" s="499" t="s">
        <v>11061</v>
      </c>
    </row>
    <row r="4547">
      <c r="A4547" s="499" t="s">
        <v>11062</v>
      </c>
    </row>
    <row r="4548">
      <c r="A4548" s="499" t="s">
        <v>11063</v>
      </c>
    </row>
    <row r="4549">
      <c r="A4549" s="499" t="s">
        <v>11064</v>
      </c>
    </row>
    <row r="4550">
      <c r="A4550" s="499" t="s">
        <v>11065</v>
      </c>
    </row>
    <row r="4551">
      <c r="A4551" s="499" t="s">
        <v>11066</v>
      </c>
    </row>
    <row r="4552">
      <c r="A4552" s="499" t="s">
        <v>11067</v>
      </c>
    </row>
    <row r="4553">
      <c r="A4553" s="499" t="s">
        <v>11068</v>
      </c>
    </row>
    <row r="4554">
      <c r="A4554" s="499" t="s">
        <v>11069</v>
      </c>
    </row>
    <row r="4555">
      <c r="A4555" s="499" t="s">
        <v>11070</v>
      </c>
    </row>
    <row r="4556">
      <c r="A4556" s="499" t="s">
        <v>11071</v>
      </c>
    </row>
    <row r="4557">
      <c r="A4557" s="499" t="s">
        <v>11072</v>
      </c>
    </row>
    <row r="4558">
      <c r="A4558" s="499" t="s">
        <v>11073</v>
      </c>
    </row>
    <row r="4559">
      <c r="A4559" s="499" t="s">
        <v>11074</v>
      </c>
    </row>
    <row r="4560">
      <c r="A4560" s="499" t="s">
        <v>11075</v>
      </c>
    </row>
    <row r="4561">
      <c r="A4561" s="499" t="s">
        <v>11076</v>
      </c>
    </row>
    <row r="4562">
      <c r="A4562" s="499" t="s">
        <v>11077</v>
      </c>
    </row>
    <row r="4563">
      <c r="A4563" s="499" t="s">
        <v>11078</v>
      </c>
    </row>
    <row r="4564">
      <c r="A4564" s="499" t="s">
        <v>11079</v>
      </c>
    </row>
    <row r="4565">
      <c r="A4565" s="499" t="s">
        <v>11080</v>
      </c>
    </row>
    <row r="4566">
      <c r="A4566" s="499" t="s">
        <v>11081</v>
      </c>
    </row>
    <row r="4567">
      <c r="A4567" s="499" t="s">
        <v>11082</v>
      </c>
    </row>
    <row r="4568">
      <c r="A4568" s="499" t="s">
        <v>11083</v>
      </c>
    </row>
    <row r="4569">
      <c r="A4569" s="499" t="s">
        <v>11084</v>
      </c>
    </row>
    <row r="4570">
      <c r="A4570" s="499" t="s">
        <v>11085</v>
      </c>
    </row>
    <row r="4571">
      <c r="A4571" s="499" t="s">
        <v>11086</v>
      </c>
    </row>
    <row r="4572">
      <c r="A4572" s="499" t="s">
        <v>11087</v>
      </c>
    </row>
    <row r="4573">
      <c r="A4573" s="499" t="s">
        <v>11088</v>
      </c>
    </row>
    <row r="4574">
      <c r="A4574" s="499" t="s">
        <v>11089</v>
      </c>
    </row>
    <row r="4575">
      <c r="A4575" s="499" t="s">
        <v>11090</v>
      </c>
    </row>
    <row r="4576">
      <c r="A4576" s="499" t="s">
        <v>11091</v>
      </c>
    </row>
    <row r="4577">
      <c r="A4577" s="499" t="s">
        <v>11092</v>
      </c>
    </row>
    <row r="4578">
      <c r="A4578" s="499" t="s">
        <v>11093</v>
      </c>
    </row>
    <row r="4579">
      <c r="A4579" s="499" t="s">
        <v>11094</v>
      </c>
    </row>
    <row r="4580">
      <c r="A4580" s="499" t="s">
        <v>11095</v>
      </c>
    </row>
    <row r="4581">
      <c r="A4581" s="499" t="s">
        <v>11096</v>
      </c>
    </row>
    <row r="4582">
      <c r="A4582" s="499" t="s">
        <v>11097</v>
      </c>
    </row>
    <row r="4583">
      <c r="A4583" s="499" t="s">
        <v>11098</v>
      </c>
    </row>
    <row r="4584">
      <c r="A4584" s="499" t="s">
        <v>11099</v>
      </c>
    </row>
    <row r="4585">
      <c r="A4585" s="499" t="s">
        <v>11100</v>
      </c>
    </row>
    <row r="4586">
      <c r="A4586" s="499" t="s">
        <v>11101</v>
      </c>
    </row>
    <row r="4587">
      <c r="A4587" s="499" t="s">
        <v>11102</v>
      </c>
    </row>
    <row r="4588">
      <c r="A4588" s="499" t="s">
        <v>11103</v>
      </c>
    </row>
    <row r="4589">
      <c r="A4589" s="499" t="s">
        <v>11104</v>
      </c>
    </row>
    <row r="4590">
      <c r="A4590" s="499" t="s">
        <v>11105</v>
      </c>
    </row>
    <row r="4591">
      <c r="A4591" s="499" t="s">
        <v>11106</v>
      </c>
    </row>
    <row r="4592">
      <c r="A4592" s="499" t="s">
        <v>11107</v>
      </c>
    </row>
    <row r="4593">
      <c r="A4593" s="499" t="s">
        <v>11108</v>
      </c>
    </row>
    <row r="4594">
      <c r="A4594" s="499" t="s">
        <v>11109</v>
      </c>
    </row>
    <row r="4595">
      <c r="A4595" s="499" t="s">
        <v>11110</v>
      </c>
    </row>
    <row r="4596">
      <c r="A4596" s="499" t="s">
        <v>11111</v>
      </c>
    </row>
    <row r="4597">
      <c r="A4597" s="499" t="s">
        <v>11112</v>
      </c>
    </row>
    <row r="4598">
      <c r="A4598" s="499" t="s">
        <v>11113</v>
      </c>
    </row>
    <row r="4599">
      <c r="A4599" s="499" t="s">
        <v>11114</v>
      </c>
    </row>
    <row r="4600">
      <c r="A4600" s="499" t="s">
        <v>11115</v>
      </c>
    </row>
    <row r="4601">
      <c r="A4601" s="499" t="s">
        <v>11116</v>
      </c>
    </row>
    <row r="4602">
      <c r="A4602" s="499" t="s">
        <v>11117</v>
      </c>
    </row>
    <row r="4603">
      <c r="A4603" s="499" t="s">
        <v>11118</v>
      </c>
    </row>
    <row r="4604">
      <c r="A4604" s="499" t="s">
        <v>11119</v>
      </c>
    </row>
    <row r="4605">
      <c r="A4605" s="499" t="s">
        <v>11120</v>
      </c>
    </row>
    <row r="4606">
      <c r="A4606" s="499" t="s">
        <v>11121</v>
      </c>
    </row>
    <row r="4607">
      <c r="A4607" s="499" t="s">
        <v>11122</v>
      </c>
    </row>
    <row r="4608">
      <c r="A4608" s="499" t="s">
        <v>11123</v>
      </c>
    </row>
    <row r="4609">
      <c r="A4609" s="499" t="s">
        <v>11124</v>
      </c>
    </row>
    <row r="4610">
      <c r="A4610" s="499" t="s">
        <v>11125</v>
      </c>
    </row>
    <row r="4611">
      <c r="A4611" s="499" t="s">
        <v>11126</v>
      </c>
    </row>
    <row r="4612">
      <c r="A4612" s="499" t="s">
        <v>11127</v>
      </c>
    </row>
    <row r="4613">
      <c r="A4613" s="499" t="s">
        <v>11128</v>
      </c>
    </row>
    <row r="4614">
      <c r="A4614" s="499" t="s">
        <v>11129</v>
      </c>
    </row>
    <row r="4615">
      <c r="A4615" s="499" t="s">
        <v>11130</v>
      </c>
    </row>
    <row r="4616">
      <c r="A4616" s="499" t="s">
        <v>11131</v>
      </c>
    </row>
    <row r="4617">
      <c r="A4617" s="499" t="s">
        <v>11132</v>
      </c>
    </row>
    <row r="4618">
      <c r="A4618" s="499" t="s">
        <v>11133</v>
      </c>
    </row>
    <row r="4619">
      <c r="A4619" s="499" t="s">
        <v>11134</v>
      </c>
    </row>
    <row r="4620">
      <c r="A4620" s="499" t="s">
        <v>11135</v>
      </c>
    </row>
    <row r="4621">
      <c r="A4621" s="499" t="s">
        <v>11136</v>
      </c>
    </row>
    <row r="4622">
      <c r="A4622" s="499" t="s">
        <v>11137</v>
      </c>
    </row>
    <row r="4623">
      <c r="A4623" s="499" t="s">
        <v>11138</v>
      </c>
    </row>
    <row r="4624">
      <c r="A4624" s="499" t="s">
        <v>11139</v>
      </c>
    </row>
    <row r="4625">
      <c r="A4625" s="499" t="s">
        <v>11140</v>
      </c>
    </row>
    <row r="4626">
      <c r="A4626" s="499" t="s">
        <v>11141</v>
      </c>
    </row>
    <row r="4627">
      <c r="A4627" s="499" t="s">
        <v>11142</v>
      </c>
    </row>
    <row r="4628">
      <c r="A4628" s="499" t="s">
        <v>11143</v>
      </c>
    </row>
    <row r="4629">
      <c r="A4629" s="499" t="s">
        <v>11144</v>
      </c>
    </row>
    <row r="4630">
      <c r="A4630" s="499" t="s">
        <v>11145</v>
      </c>
    </row>
    <row r="4631">
      <c r="A4631" s="499" t="s">
        <v>11146</v>
      </c>
    </row>
    <row r="4632">
      <c r="A4632" s="499" t="s">
        <v>11147</v>
      </c>
    </row>
    <row r="4633">
      <c r="A4633" s="499" t="s">
        <v>11148</v>
      </c>
    </row>
    <row r="4634">
      <c r="A4634" s="499" t="s">
        <v>11149</v>
      </c>
    </row>
    <row r="4635">
      <c r="A4635" s="499" t="s">
        <v>11150</v>
      </c>
    </row>
    <row r="4636">
      <c r="A4636" s="499" t="s">
        <v>11151</v>
      </c>
    </row>
    <row r="4637">
      <c r="A4637" s="499" t="s">
        <v>11152</v>
      </c>
    </row>
    <row r="4638">
      <c r="A4638" s="499" t="s">
        <v>11153</v>
      </c>
    </row>
    <row r="4639">
      <c r="A4639" s="499" t="s">
        <v>11154</v>
      </c>
    </row>
    <row r="4640">
      <c r="A4640" s="499" t="s">
        <v>11155</v>
      </c>
    </row>
    <row r="4641">
      <c r="A4641" s="499" t="s">
        <v>11156</v>
      </c>
    </row>
    <row r="4642">
      <c r="A4642" s="499" t="s">
        <v>11157</v>
      </c>
    </row>
    <row r="4643">
      <c r="A4643" s="499" t="s">
        <v>11158</v>
      </c>
    </row>
    <row r="4644">
      <c r="A4644" s="499" t="s">
        <v>11159</v>
      </c>
    </row>
    <row r="4645">
      <c r="A4645" s="499" t="s">
        <v>11160</v>
      </c>
    </row>
    <row r="4646">
      <c r="A4646" s="499" t="s">
        <v>11161</v>
      </c>
    </row>
    <row r="4647">
      <c r="A4647" s="499" t="s">
        <v>11162</v>
      </c>
    </row>
    <row r="4648">
      <c r="A4648" s="499" t="s">
        <v>11163</v>
      </c>
    </row>
    <row r="4649">
      <c r="A4649" s="499" t="s">
        <v>11164</v>
      </c>
    </row>
    <row r="4650">
      <c r="A4650" s="499" t="s">
        <v>11165</v>
      </c>
    </row>
    <row r="4651">
      <c r="A4651" s="499" t="s">
        <v>11166</v>
      </c>
    </row>
    <row r="4652">
      <c r="A4652" s="499" t="s">
        <v>11167</v>
      </c>
    </row>
    <row r="4653">
      <c r="A4653" s="499" t="s">
        <v>11168</v>
      </c>
    </row>
    <row r="4654">
      <c r="A4654" s="499" t="s">
        <v>11169</v>
      </c>
    </row>
    <row r="4655">
      <c r="A4655" s="499" t="s">
        <v>11170</v>
      </c>
    </row>
    <row r="4656">
      <c r="A4656" s="499" t="s">
        <v>11171</v>
      </c>
    </row>
    <row r="4657">
      <c r="A4657" s="499" t="s">
        <v>11172</v>
      </c>
    </row>
    <row r="4658">
      <c r="A4658" s="499" t="s">
        <v>11173</v>
      </c>
    </row>
    <row r="4659">
      <c r="A4659" s="499" t="s">
        <v>11174</v>
      </c>
    </row>
    <row r="4660">
      <c r="A4660" s="499" t="s">
        <v>11175</v>
      </c>
    </row>
    <row r="4661">
      <c r="A4661" s="499" t="s">
        <v>11176</v>
      </c>
    </row>
    <row r="4662">
      <c r="A4662" s="499" t="s">
        <v>11177</v>
      </c>
    </row>
    <row r="4663">
      <c r="A4663" s="499" t="s">
        <v>11178</v>
      </c>
    </row>
    <row r="4664">
      <c r="A4664" s="499" t="s">
        <v>11179</v>
      </c>
    </row>
    <row r="4665">
      <c r="A4665" s="499" t="s">
        <v>11180</v>
      </c>
    </row>
    <row r="4666">
      <c r="A4666" s="499" t="s">
        <v>11181</v>
      </c>
    </row>
    <row r="4667">
      <c r="A4667" s="499" t="s">
        <v>11182</v>
      </c>
    </row>
    <row r="4668">
      <c r="A4668" s="499" t="s">
        <v>11183</v>
      </c>
    </row>
    <row r="4669">
      <c r="A4669" s="499" t="s">
        <v>11184</v>
      </c>
    </row>
    <row r="4670">
      <c r="A4670" s="499" t="s">
        <v>11185</v>
      </c>
    </row>
    <row r="4671">
      <c r="A4671" s="499" t="s">
        <v>11186</v>
      </c>
    </row>
    <row r="4672">
      <c r="A4672" s="499" t="s">
        <v>11187</v>
      </c>
    </row>
    <row r="4673">
      <c r="A4673" s="499" t="s">
        <v>11188</v>
      </c>
    </row>
    <row r="4674">
      <c r="A4674" s="499" t="s">
        <v>11189</v>
      </c>
    </row>
    <row r="4675">
      <c r="A4675" s="499" t="s">
        <v>11190</v>
      </c>
    </row>
    <row r="4676">
      <c r="A4676" s="499" t="s">
        <v>11191</v>
      </c>
    </row>
    <row r="4677">
      <c r="A4677" s="499" t="s">
        <v>11192</v>
      </c>
    </row>
    <row r="4678">
      <c r="A4678" s="499" t="s">
        <v>11193</v>
      </c>
    </row>
    <row r="4679">
      <c r="A4679" s="499" t="s">
        <v>11194</v>
      </c>
    </row>
    <row r="4680">
      <c r="A4680" s="499" t="s">
        <v>11195</v>
      </c>
    </row>
    <row r="4681">
      <c r="A4681" s="499" t="s">
        <v>11196</v>
      </c>
    </row>
    <row r="4682">
      <c r="A4682" s="499" t="s">
        <v>11197</v>
      </c>
    </row>
    <row r="4683">
      <c r="A4683" s="499" t="s">
        <v>11198</v>
      </c>
    </row>
    <row r="4684">
      <c r="A4684" s="499" t="s">
        <v>11199</v>
      </c>
    </row>
    <row r="4685">
      <c r="A4685" s="499" t="s">
        <v>11200</v>
      </c>
    </row>
    <row r="4686">
      <c r="A4686" s="499" t="s">
        <v>11201</v>
      </c>
    </row>
    <row r="4687">
      <c r="A4687" s="499" t="s">
        <v>11202</v>
      </c>
    </row>
    <row r="4688">
      <c r="A4688" s="499" t="s">
        <v>11203</v>
      </c>
    </row>
    <row r="4689">
      <c r="A4689" s="499" t="s">
        <v>11204</v>
      </c>
    </row>
    <row r="4690">
      <c r="A4690" s="499" t="s">
        <v>11205</v>
      </c>
    </row>
    <row r="4691">
      <c r="A4691" s="499" t="s">
        <v>11206</v>
      </c>
    </row>
    <row r="4692">
      <c r="A4692" s="499" t="s">
        <v>11207</v>
      </c>
    </row>
    <row r="4693">
      <c r="A4693" s="499" t="s">
        <v>11208</v>
      </c>
    </row>
    <row r="4694">
      <c r="A4694" s="499" t="s">
        <v>11209</v>
      </c>
    </row>
    <row r="4695">
      <c r="A4695" s="499" t="s">
        <v>11210</v>
      </c>
    </row>
    <row r="4696">
      <c r="A4696" s="499" t="s">
        <v>11211</v>
      </c>
    </row>
    <row r="4697">
      <c r="A4697" s="499" t="s">
        <v>11212</v>
      </c>
    </row>
    <row r="4698">
      <c r="A4698" s="499" t="s">
        <v>11213</v>
      </c>
    </row>
    <row r="4699">
      <c r="A4699" s="499" t="s">
        <v>11214</v>
      </c>
    </row>
    <row r="4700">
      <c r="A4700" s="499" t="s">
        <v>11215</v>
      </c>
    </row>
    <row r="4701">
      <c r="A4701" s="499" t="s">
        <v>11216</v>
      </c>
    </row>
    <row r="4702">
      <c r="A4702" s="499" t="s">
        <v>11217</v>
      </c>
    </row>
    <row r="4703">
      <c r="A4703" s="499" t="s">
        <v>11218</v>
      </c>
    </row>
    <row r="4704">
      <c r="A4704" s="499" t="s">
        <v>11219</v>
      </c>
    </row>
    <row r="4705">
      <c r="A4705" s="499" t="s">
        <v>11220</v>
      </c>
    </row>
    <row r="4706">
      <c r="A4706" s="499" t="s">
        <v>11221</v>
      </c>
    </row>
    <row r="4707">
      <c r="A4707" s="499" t="s">
        <v>11222</v>
      </c>
    </row>
    <row r="4708">
      <c r="A4708" s="499" t="s">
        <v>11223</v>
      </c>
    </row>
    <row r="4709">
      <c r="A4709" s="499" t="s">
        <v>11224</v>
      </c>
    </row>
    <row r="4710">
      <c r="A4710" s="499" t="s">
        <v>11225</v>
      </c>
    </row>
    <row r="4711">
      <c r="A4711" s="499" t="s">
        <v>11226</v>
      </c>
    </row>
    <row r="4712">
      <c r="A4712" s="499" t="s">
        <v>11227</v>
      </c>
    </row>
    <row r="4713">
      <c r="A4713" s="499" t="s">
        <v>11228</v>
      </c>
    </row>
    <row r="4714">
      <c r="A4714" s="499" t="s">
        <v>11229</v>
      </c>
    </row>
    <row r="4715">
      <c r="A4715" s="499" t="s">
        <v>11230</v>
      </c>
    </row>
    <row r="4716">
      <c r="A4716" s="499" t="s">
        <v>11231</v>
      </c>
    </row>
    <row r="4717">
      <c r="A4717" s="499" t="s">
        <v>11232</v>
      </c>
    </row>
    <row r="4718">
      <c r="A4718" s="499" t="s">
        <v>11233</v>
      </c>
    </row>
    <row r="4719">
      <c r="A4719" s="499" t="s">
        <v>11234</v>
      </c>
    </row>
    <row r="4720">
      <c r="A4720" s="499" t="s">
        <v>11235</v>
      </c>
    </row>
    <row r="4721">
      <c r="A4721" s="499" t="s">
        <v>11236</v>
      </c>
    </row>
    <row r="4722">
      <c r="A4722" s="499" t="s">
        <v>11237</v>
      </c>
    </row>
    <row r="4723">
      <c r="A4723" s="499" t="s">
        <v>11238</v>
      </c>
    </row>
    <row r="4724">
      <c r="A4724" s="499" t="s">
        <v>11239</v>
      </c>
    </row>
    <row r="4725">
      <c r="A4725" s="499" t="s">
        <v>11240</v>
      </c>
    </row>
    <row r="4726">
      <c r="A4726" s="499" t="s">
        <v>11241</v>
      </c>
    </row>
    <row r="4727">
      <c r="A4727" s="499" t="s">
        <v>11242</v>
      </c>
    </row>
    <row r="4728">
      <c r="A4728" s="499" t="s">
        <v>11243</v>
      </c>
    </row>
    <row r="4729">
      <c r="A4729" s="499" t="s">
        <v>11244</v>
      </c>
    </row>
    <row r="4730">
      <c r="A4730" s="499" t="s">
        <v>11245</v>
      </c>
    </row>
    <row r="4731">
      <c r="A4731" s="499" t="s">
        <v>11246</v>
      </c>
    </row>
    <row r="4732">
      <c r="A4732" s="499" t="s">
        <v>11247</v>
      </c>
    </row>
    <row r="4733">
      <c r="A4733" s="499" t="s">
        <v>11248</v>
      </c>
    </row>
    <row r="4734">
      <c r="A4734" s="499" t="s">
        <v>11249</v>
      </c>
    </row>
    <row r="4735">
      <c r="A4735" s="499" t="s">
        <v>11250</v>
      </c>
    </row>
    <row r="4736">
      <c r="A4736" s="499" t="s">
        <v>11251</v>
      </c>
    </row>
    <row r="4737">
      <c r="A4737" s="499" t="s">
        <v>11252</v>
      </c>
    </row>
    <row r="4738">
      <c r="A4738" s="499" t="s">
        <v>11253</v>
      </c>
    </row>
    <row r="4739">
      <c r="A4739" s="499" t="s">
        <v>11254</v>
      </c>
    </row>
    <row r="4740">
      <c r="A4740" s="499" t="s">
        <v>11255</v>
      </c>
    </row>
    <row r="4741">
      <c r="A4741" s="499" t="s">
        <v>11256</v>
      </c>
    </row>
    <row r="4742">
      <c r="A4742" s="499" t="s">
        <v>11257</v>
      </c>
    </row>
    <row r="4743">
      <c r="A4743" s="499" t="s">
        <v>11258</v>
      </c>
    </row>
    <row r="4744">
      <c r="A4744" s="499" t="s">
        <v>11259</v>
      </c>
    </row>
    <row r="4745">
      <c r="A4745" s="499" t="s">
        <v>11260</v>
      </c>
    </row>
    <row r="4746">
      <c r="A4746" s="499" t="s">
        <v>11261</v>
      </c>
    </row>
    <row r="4747">
      <c r="A4747" s="499" t="s">
        <v>11262</v>
      </c>
    </row>
    <row r="4748">
      <c r="A4748" s="499" t="s">
        <v>11263</v>
      </c>
    </row>
    <row r="4749">
      <c r="A4749" s="499" t="s">
        <v>11264</v>
      </c>
    </row>
    <row r="4750">
      <c r="A4750" s="499" t="s">
        <v>11265</v>
      </c>
    </row>
    <row r="4751">
      <c r="A4751" s="499" t="s">
        <v>11266</v>
      </c>
    </row>
    <row r="4752">
      <c r="A4752" s="499" t="s">
        <v>11267</v>
      </c>
    </row>
    <row r="4753">
      <c r="A4753" s="499" t="s">
        <v>11268</v>
      </c>
    </row>
    <row r="4754">
      <c r="A4754" s="499" t="s">
        <v>11269</v>
      </c>
    </row>
    <row r="4755">
      <c r="A4755" s="499" t="s">
        <v>11270</v>
      </c>
    </row>
    <row r="4756">
      <c r="A4756" s="499" t="s">
        <v>11271</v>
      </c>
    </row>
    <row r="4757">
      <c r="A4757" s="499" t="s">
        <v>11272</v>
      </c>
    </row>
    <row r="4758">
      <c r="A4758" s="499" t="s">
        <v>11273</v>
      </c>
    </row>
    <row r="4759">
      <c r="A4759" s="499" t="s">
        <v>11274</v>
      </c>
    </row>
    <row r="4760">
      <c r="A4760" s="499" t="s">
        <v>11275</v>
      </c>
    </row>
    <row r="4761">
      <c r="A4761" s="499" t="s">
        <v>11276</v>
      </c>
    </row>
    <row r="4762">
      <c r="A4762" s="499" t="s">
        <v>11277</v>
      </c>
    </row>
    <row r="4763">
      <c r="A4763" s="499" t="s">
        <v>11278</v>
      </c>
    </row>
    <row r="4764">
      <c r="A4764" s="499" t="s">
        <v>11279</v>
      </c>
    </row>
    <row r="4765">
      <c r="A4765" s="499" t="s">
        <v>11280</v>
      </c>
    </row>
    <row r="4766">
      <c r="A4766" s="499" t="s">
        <v>11281</v>
      </c>
    </row>
    <row r="4767">
      <c r="A4767" s="499" t="s">
        <v>11282</v>
      </c>
    </row>
    <row r="4768">
      <c r="A4768" s="499" t="s">
        <v>11283</v>
      </c>
    </row>
    <row r="4769">
      <c r="A4769" s="499" t="s">
        <v>11284</v>
      </c>
    </row>
    <row r="4770">
      <c r="A4770" s="499" t="s">
        <v>11285</v>
      </c>
    </row>
    <row r="4771">
      <c r="A4771" s="499" t="s">
        <v>11286</v>
      </c>
    </row>
    <row r="4772">
      <c r="A4772" s="499" t="s">
        <v>11287</v>
      </c>
    </row>
    <row r="4773">
      <c r="A4773" s="499" t="s">
        <v>11288</v>
      </c>
    </row>
    <row r="4774">
      <c r="A4774" s="499" t="s">
        <v>11289</v>
      </c>
    </row>
    <row r="4775">
      <c r="A4775" s="499" t="s">
        <v>11290</v>
      </c>
    </row>
    <row r="4776">
      <c r="A4776" s="499" t="s">
        <v>11291</v>
      </c>
    </row>
    <row r="4777">
      <c r="A4777" s="499" t="s">
        <v>11292</v>
      </c>
    </row>
    <row r="4778">
      <c r="A4778" s="499" t="s">
        <v>11293</v>
      </c>
    </row>
    <row r="4779">
      <c r="A4779" s="499" t="s">
        <v>11294</v>
      </c>
    </row>
    <row r="4780">
      <c r="A4780" s="499" t="s">
        <v>11295</v>
      </c>
    </row>
    <row r="4781">
      <c r="A4781" s="499" t="s">
        <v>11296</v>
      </c>
    </row>
    <row r="4782">
      <c r="A4782" s="499" t="s">
        <v>11297</v>
      </c>
    </row>
    <row r="4783">
      <c r="A4783" s="499" t="s">
        <v>11298</v>
      </c>
    </row>
    <row r="4784">
      <c r="A4784" s="499" t="s">
        <v>11299</v>
      </c>
    </row>
    <row r="4785">
      <c r="A4785" s="499" t="s">
        <v>11300</v>
      </c>
    </row>
    <row r="4786">
      <c r="A4786" s="499" t="s">
        <v>11301</v>
      </c>
    </row>
    <row r="4787">
      <c r="A4787" s="499" t="s">
        <v>11302</v>
      </c>
    </row>
    <row r="4788">
      <c r="A4788" s="499" t="s">
        <v>11303</v>
      </c>
    </row>
    <row r="4789">
      <c r="A4789" s="499" t="s">
        <v>11304</v>
      </c>
    </row>
    <row r="4790">
      <c r="A4790" s="499" t="s">
        <v>11305</v>
      </c>
    </row>
    <row r="4791">
      <c r="A4791" s="499" t="s">
        <v>11306</v>
      </c>
    </row>
    <row r="4792">
      <c r="A4792" s="499" t="s">
        <v>11307</v>
      </c>
    </row>
    <row r="4793">
      <c r="A4793" s="499" t="s">
        <v>11308</v>
      </c>
    </row>
    <row r="4794">
      <c r="A4794" s="499" t="s">
        <v>11309</v>
      </c>
    </row>
    <row r="4795">
      <c r="A4795" s="499" t="s">
        <v>11310</v>
      </c>
    </row>
    <row r="4796">
      <c r="A4796" s="499" t="s">
        <v>11311</v>
      </c>
    </row>
    <row r="4797">
      <c r="A4797" s="499" t="s">
        <v>11312</v>
      </c>
    </row>
    <row r="4798">
      <c r="A4798" s="499" t="s">
        <v>11313</v>
      </c>
    </row>
    <row r="4799">
      <c r="A4799" s="499" t="s">
        <v>11314</v>
      </c>
    </row>
    <row r="4800">
      <c r="A4800" s="499" t="s">
        <v>11315</v>
      </c>
    </row>
    <row r="4801">
      <c r="A4801" s="499" t="s">
        <v>11316</v>
      </c>
    </row>
    <row r="4802">
      <c r="A4802" s="499" t="s">
        <v>11317</v>
      </c>
    </row>
    <row r="4803">
      <c r="A4803" s="499" t="s">
        <v>11318</v>
      </c>
    </row>
    <row r="4804">
      <c r="A4804" s="499" t="s">
        <v>11319</v>
      </c>
    </row>
    <row r="4805">
      <c r="A4805" s="499" t="s">
        <v>11320</v>
      </c>
    </row>
    <row r="4806">
      <c r="A4806" s="499" t="s">
        <v>11321</v>
      </c>
    </row>
    <row r="4807">
      <c r="A4807" s="499" t="s">
        <v>11322</v>
      </c>
    </row>
    <row r="4808">
      <c r="A4808" s="499" t="s">
        <v>11323</v>
      </c>
    </row>
    <row r="4809">
      <c r="A4809" s="499" t="s">
        <v>11324</v>
      </c>
    </row>
    <row r="4810">
      <c r="A4810" s="499" t="s">
        <v>11325</v>
      </c>
    </row>
    <row r="4811">
      <c r="A4811" s="499" t="s">
        <v>11326</v>
      </c>
    </row>
    <row r="4812">
      <c r="A4812" s="499" t="s">
        <v>11327</v>
      </c>
    </row>
    <row r="4813">
      <c r="A4813" s="499" t="s">
        <v>11328</v>
      </c>
    </row>
    <row r="4814">
      <c r="A4814" s="499" t="s">
        <v>11329</v>
      </c>
    </row>
    <row r="4815">
      <c r="A4815" s="499" t="s">
        <v>11330</v>
      </c>
    </row>
    <row r="4816">
      <c r="A4816" s="499" t="s">
        <v>11331</v>
      </c>
    </row>
    <row r="4817">
      <c r="A4817" s="499" t="s">
        <v>11332</v>
      </c>
    </row>
    <row r="4818">
      <c r="A4818" s="499" t="s">
        <v>11333</v>
      </c>
    </row>
    <row r="4819">
      <c r="A4819" s="499" t="s">
        <v>11334</v>
      </c>
    </row>
    <row r="4820">
      <c r="A4820" s="499" t="s">
        <v>11335</v>
      </c>
    </row>
    <row r="4821">
      <c r="A4821" s="499" t="s">
        <v>11336</v>
      </c>
    </row>
    <row r="4822">
      <c r="A4822" s="499" t="s">
        <v>11337</v>
      </c>
    </row>
    <row r="4823">
      <c r="A4823" s="499" t="s">
        <v>11338</v>
      </c>
    </row>
    <row r="4824">
      <c r="A4824" s="499" t="s">
        <v>11339</v>
      </c>
    </row>
    <row r="4825">
      <c r="A4825" s="499" t="s">
        <v>11340</v>
      </c>
    </row>
    <row r="4826">
      <c r="A4826" s="499" t="s">
        <v>11341</v>
      </c>
    </row>
    <row r="4827">
      <c r="A4827" s="499" t="s">
        <v>11342</v>
      </c>
    </row>
    <row r="4828">
      <c r="A4828" s="499" t="s">
        <v>11343</v>
      </c>
    </row>
    <row r="4829">
      <c r="A4829" s="499" t="s">
        <v>11344</v>
      </c>
    </row>
    <row r="4830">
      <c r="A4830" s="499" t="s">
        <v>11345</v>
      </c>
    </row>
    <row r="4831">
      <c r="A4831" s="499" t="s">
        <v>11346</v>
      </c>
    </row>
    <row r="4832">
      <c r="A4832" s="499" t="s">
        <v>11347</v>
      </c>
    </row>
    <row r="4833">
      <c r="A4833" s="499" t="s">
        <v>11348</v>
      </c>
    </row>
    <row r="4834">
      <c r="A4834" s="499" t="s">
        <v>11349</v>
      </c>
    </row>
    <row r="4835">
      <c r="A4835" s="499" t="s">
        <v>11350</v>
      </c>
    </row>
    <row r="4836">
      <c r="A4836" s="499" t="s">
        <v>11351</v>
      </c>
    </row>
    <row r="4837">
      <c r="A4837" s="499" t="s">
        <v>11352</v>
      </c>
    </row>
    <row r="4838">
      <c r="A4838" s="499" t="s">
        <v>11353</v>
      </c>
    </row>
    <row r="4839">
      <c r="A4839" s="499" t="s">
        <v>11354</v>
      </c>
    </row>
    <row r="4840">
      <c r="A4840" s="499" t="s">
        <v>11355</v>
      </c>
    </row>
    <row r="4841">
      <c r="A4841" s="499" t="s">
        <v>11356</v>
      </c>
    </row>
    <row r="4842">
      <c r="A4842" s="499" t="s">
        <v>11357</v>
      </c>
    </row>
    <row r="4843">
      <c r="A4843" s="499" t="s">
        <v>11358</v>
      </c>
    </row>
    <row r="4844">
      <c r="A4844" s="499" t="s">
        <v>11359</v>
      </c>
    </row>
    <row r="4845">
      <c r="A4845" s="499" t="s">
        <v>11360</v>
      </c>
    </row>
    <row r="4846">
      <c r="A4846" s="499" t="s">
        <v>11361</v>
      </c>
    </row>
    <row r="4847">
      <c r="A4847" s="499" t="s">
        <v>11362</v>
      </c>
    </row>
    <row r="4848">
      <c r="A4848" s="499" t="s">
        <v>11363</v>
      </c>
    </row>
    <row r="4849">
      <c r="A4849" s="499" t="s">
        <v>11364</v>
      </c>
    </row>
    <row r="4850">
      <c r="A4850" s="499" t="s">
        <v>11365</v>
      </c>
    </row>
    <row r="4851">
      <c r="A4851" s="499" t="s">
        <v>11366</v>
      </c>
    </row>
    <row r="4852">
      <c r="A4852" s="499" t="s">
        <v>11367</v>
      </c>
    </row>
    <row r="4853">
      <c r="A4853" s="499" t="s">
        <v>11368</v>
      </c>
    </row>
    <row r="4854">
      <c r="A4854" s="499" t="s">
        <v>11369</v>
      </c>
    </row>
    <row r="4855">
      <c r="A4855" s="499" t="s">
        <v>11370</v>
      </c>
    </row>
    <row r="4856">
      <c r="A4856" s="499" t="s">
        <v>11371</v>
      </c>
    </row>
    <row r="4857">
      <c r="A4857" s="499" t="s">
        <v>11372</v>
      </c>
    </row>
    <row r="4858">
      <c r="A4858" s="499" t="s">
        <v>11373</v>
      </c>
    </row>
    <row r="4859">
      <c r="A4859" s="499" t="s">
        <v>11374</v>
      </c>
    </row>
    <row r="4860">
      <c r="A4860" s="499" t="s">
        <v>11375</v>
      </c>
    </row>
    <row r="4861">
      <c r="A4861" s="499" t="s">
        <v>11376</v>
      </c>
    </row>
    <row r="4862">
      <c r="A4862" s="499" t="s">
        <v>11377</v>
      </c>
    </row>
    <row r="4863">
      <c r="A4863" s="499" t="s">
        <v>11378</v>
      </c>
    </row>
    <row r="4864">
      <c r="A4864" s="499" t="s">
        <v>11379</v>
      </c>
    </row>
    <row r="4865">
      <c r="A4865" s="499" t="s">
        <v>11380</v>
      </c>
    </row>
    <row r="4866">
      <c r="A4866" s="499" t="s">
        <v>11381</v>
      </c>
    </row>
    <row r="4867">
      <c r="A4867" s="499" t="s">
        <v>11382</v>
      </c>
    </row>
    <row r="4868">
      <c r="A4868" s="499" t="s">
        <v>11383</v>
      </c>
    </row>
    <row r="4869">
      <c r="A4869" s="499" t="s">
        <v>11384</v>
      </c>
    </row>
    <row r="4870">
      <c r="A4870" s="499" t="s">
        <v>11385</v>
      </c>
    </row>
    <row r="4871">
      <c r="A4871" s="499" t="s">
        <v>11386</v>
      </c>
    </row>
    <row r="4872">
      <c r="A4872" s="499" t="s">
        <v>11387</v>
      </c>
    </row>
    <row r="4873">
      <c r="A4873" s="499" t="s">
        <v>11388</v>
      </c>
    </row>
    <row r="4874">
      <c r="A4874" s="499" t="s">
        <v>11389</v>
      </c>
    </row>
    <row r="4875">
      <c r="A4875" s="499" t="s">
        <v>11390</v>
      </c>
    </row>
    <row r="4876">
      <c r="A4876" s="499" t="s">
        <v>11391</v>
      </c>
    </row>
    <row r="4877">
      <c r="A4877" s="499" t="s">
        <v>11392</v>
      </c>
    </row>
    <row r="4878">
      <c r="A4878" s="499" t="s">
        <v>11393</v>
      </c>
    </row>
    <row r="4879">
      <c r="A4879" s="499" t="s">
        <v>11394</v>
      </c>
    </row>
    <row r="4880">
      <c r="A4880" s="499" t="s">
        <v>11395</v>
      </c>
    </row>
    <row r="4881">
      <c r="A4881" s="499" t="s">
        <v>11396</v>
      </c>
    </row>
    <row r="4882">
      <c r="A4882" s="499" t="s">
        <v>11397</v>
      </c>
    </row>
    <row r="4883">
      <c r="A4883" s="499" t="s">
        <v>11398</v>
      </c>
    </row>
    <row r="4884">
      <c r="A4884" s="499" t="s">
        <v>11399</v>
      </c>
    </row>
    <row r="4885">
      <c r="A4885" s="499" t="s">
        <v>11400</v>
      </c>
    </row>
    <row r="4886">
      <c r="A4886" s="499" t="s">
        <v>11401</v>
      </c>
    </row>
    <row r="4887">
      <c r="A4887" s="499" t="s">
        <v>11402</v>
      </c>
    </row>
    <row r="4888">
      <c r="A4888" s="499" t="s">
        <v>11403</v>
      </c>
    </row>
    <row r="4889">
      <c r="A4889" s="499" t="s">
        <v>11404</v>
      </c>
    </row>
    <row r="4890">
      <c r="A4890" s="499" t="s">
        <v>11405</v>
      </c>
    </row>
    <row r="4891">
      <c r="A4891" s="499" t="s">
        <v>11406</v>
      </c>
    </row>
    <row r="4892">
      <c r="A4892" s="499" t="s">
        <v>11407</v>
      </c>
    </row>
    <row r="4893">
      <c r="A4893" s="499" t="s">
        <v>11408</v>
      </c>
    </row>
    <row r="4894">
      <c r="A4894" s="499" t="s">
        <v>11409</v>
      </c>
    </row>
    <row r="4895">
      <c r="A4895" s="499" t="s">
        <v>11410</v>
      </c>
    </row>
    <row r="4896">
      <c r="A4896" s="499" t="s">
        <v>11411</v>
      </c>
    </row>
    <row r="4897">
      <c r="A4897" s="499" t="s">
        <v>11412</v>
      </c>
    </row>
    <row r="4898">
      <c r="A4898" s="499" t="s">
        <v>11413</v>
      </c>
    </row>
    <row r="4899">
      <c r="A4899" s="499" t="s">
        <v>11414</v>
      </c>
    </row>
    <row r="4900">
      <c r="A4900" s="499" t="s">
        <v>11415</v>
      </c>
    </row>
    <row r="4901">
      <c r="A4901" s="499" t="s">
        <v>11416</v>
      </c>
    </row>
    <row r="4902">
      <c r="A4902" s="499" t="s">
        <v>11417</v>
      </c>
    </row>
    <row r="4903">
      <c r="A4903" s="499" t="s">
        <v>11418</v>
      </c>
    </row>
    <row r="4904">
      <c r="A4904" s="499" t="s">
        <v>11419</v>
      </c>
    </row>
    <row r="4905">
      <c r="A4905" s="499" t="s">
        <v>11420</v>
      </c>
    </row>
    <row r="4906">
      <c r="A4906" s="499" t="s">
        <v>11421</v>
      </c>
    </row>
    <row r="4907">
      <c r="A4907" s="499" t="s">
        <v>11422</v>
      </c>
    </row>
    <row r="4908">
      <c r="A4908" s="499" t="s">
        <v>11423</v>
      </c>
    </row>
    <row r="4909">
      <c r="A4909" s="499" t="s">
        <v>11424</v>
      </c>
    </row>
    <row r="4910">
      <c r="A4910" s="499" t="s">
        <v>11425</v>
      </c>
    </row>
    <row r="4911">
      <c r="A4911" s="499" t="s">
        <v>11426</v>
      </c>
    </row>
    <row r="4912">
      <c r="A4912" s="499" t="s">
        <v>11427</v>
      </c>
    </row>
    <row r="4913">
      <c r="A4913" s="499" t="s">
        <v>11428</v>
      </c>
    </row>
    <row r="4914">
      <c r="A4914" s="499" t="s">
        <v>11429</v>
      </c>
    </row>
    <row r="4915">
      <c r="A4915" s="499" t="s">
        <v>11430</v>
      </c>
    </row>
    <row r="4916">
      <c r="A4916" s="499" t="s">
        <v>11431</v>
      </c>
    </row>
    <row r="4917">
      <c r="A4917" s="499" t="s">
        <v>11432</v>
      </c>
    </row>
    <row r="4918">
      <c r="A4918" s="499" t="s">
        <v>11433</v>
      </c>
    </row>
    <row r="4919">
      <c r="A4919" s="499" t="s">
        <v>11434</v>
      </c>
    </row>
    <row r="4920">
      <c r="A4920" s="499" t="s">
        <v>11435</v>
      </c>
    </row>
    <row r="4921">
      <c r="A4921" s="499" t="s">
        <v>11436</v>
      </c>
    </row>
    <row r="4922">
      <c r="A4922" s="499" t="s">
        <v>11437</v>
      </c>
    </row>
    <row r="4923">
      <c r="A4923" s="499" t="s">
        <v>11438</v>
      </c>
    </row>
    <row r="4924">
      <c r="A4924" s="499" t="s">
        <v>11439</v>
      </c>
    </row>
    <row r="4925">
      <c r="A4925" s="499" t="s">
        <v>11440</v>
      </c>
    </row>
    <row r="4926">
      <c r="A4926" s="499" t="s">
        <v>11441</v>
      </c>
    </row>
    <row r="4927">
      <c r="A4927" s="499" t="s">
        <v>11442</v>
      </c>
    </row>
    <row r="4928">
      <c r="A4928" s="499" t="s">
        <v>11443</v>
      </c>
    </row>
    <row r="4929">
      <c r="A4929" s="499" t="s">
        <v>11444</v>
      </c>
    </row>
    <row r="4930">
      <c r="A4930" s="499" t="s">
        <v>11445</v>
      </c>
    </row>
    <row r="4931">
      <c r="A4931" s="499" t="s">
        <v>11446</v>
      </c>
    </row>
    <row r="4932">
      <c r="A4932" s="499" t="s">
        <v>11447</v>
      </c>
    </row>
    <row r="4933">
      <c r="A4933" s="499" t="s">
        <v>11448</v>
      </c>
    </row>
    <row r="4934">
      <c r="A4934" s="499" t="s">
        <v>11449</v>
      </c>
    </row>
    <row r="4935">
      <c r="A4935" s="499" t="s">
        <v>11450</v>
      </c>
    </row>
    <row r="4936">
      <c r="A4936" s="499" t="s">
        <v>11451</v>
      </c>
    </row>
    <row r="4937">
      <c r="A4937" s="499" t="s">
        <v>11452</v>
      </c>
    </row>
    <row r="4938">
      <c r="A4938" s="499" t="s">
        <v>11453</v>
      </c>
    </row>
    <row r="4939">
      <c r="A4939" s="499" t="s">
        <v>11454</v>
      </c>
    </row>
    <row r="4940">
      <c r="A4940" s="499" t="s">
        <v>11455</v>
      </c>
    </row>
    <row r="4941">
      <c r="A4941" s="499" t="s">
        <v>11456</v>
      </c>
    </row>
    <row r="4942">
      <c r="A4942" s="499" t="s">
        <v>11457</v>
      </c>
    </row>
    <row r="4943">
      <c r="A4943" s="499" t="s">
        <v>11458</v>
      </c>
    </row>
    <row r="4944">
      <c r="A4944" s="499" t="s">
        <v>11459</v>
      </c>
    </row>
    <row r="4945">
      <c r="A4945" s="499" t="s">
        <v>11460</v>
      </c>
    </row>
    <row r="4946">
      <c r="A4946" s="499" t="s">
        <v>11461</v>
      </c>
    </row>
    <row r="4947">
      <c r="A4947" s="499" t="s">
        <v>11462</v>
      </c>
    </row>
    <row r="4948">
      <c r="A4948" s="499" t="s">
        <v>11463</v>
      </c>
    </row>
    <row r="4949">
      <c r="A4949" s="499" t="s">
        <v>11464</v>
      </c>
    </row>
    <row r="4950">
      <c r="A4950" s="499" t="s">
        <v>11465</v>
      </c>
    </row>
    <row r="4951">
      <c r="A4951" s="499" t="s">
        <v>11466</v>
      </c>
    </row>
    <row r="4952">
      <c r="A4952" s="499" t="s">
        <v>11467</v>
      </c>
    </row>
    <row r="4953">
      <c r="A4953" s="499" t="s">
        <v>11468</v>
      </c>
    </row>
    <row r="4954">
      <c r="A4954" s="499" t="s">
        <v>11469</v>
      </c>
    </row>
    <row r="4955">
      <c r="A4955" s="499" t="s">
        <v>11470</v>
      </c>
    </row>
    <row r="4956">
      <c r="A4956" s="499" t="s">
        <v>11471</v>
      </c>
    </row>
    <row r="4957">
      <c r="A4957" s="499" t="s">
        <v>11472</v>
      </c>
    </row>
    <row r="4958">
      <c r="A4958" s="499" t="s">
        <v>11473</v>
      </c>
    </row>
    <row r="4959">
      <c r="A4959" s="499" t="s">
        <v>11474</v>
      </c>
    </row>
    <row r="4960">
      <c r="A4960" s="499" t="s">
        <v>11475</v>
      </c>
    </row>
    <row r="4961">
      <c r="A4961" s="499" t="s">
        <v>11476</v>
      </c>
    </row>
    <row r="4962">
      <c r="A4962" s="499" t="s">
        <v>11477</v>
      </c>
    </row>
    <row r="4963">
      <c r="A4963" s="499" t="s">
        <v>11478</v>
      </c>
    </row>
    <row r="4964">
      <c r="A4964" s="499" t="s">
        <v>11479</v>
      </c>
    </row>
    <row r="4965">
      <c r="A4965" s="499" t="s">
        <v>11480</v>
      </c>
    </row>
    <row r="4966">
      <c r="A4966" s="499" t="s">
        <v>11481</v>
      </c>
    </row>
    <row r="4967">
      <c r="A4967" s="499" t="s">
        <v>11482</v>
      </c>
    </row>
    <row r="4968">
      <c r="A4968" s="499" t="s">
        <v>11483</v>
      </c>
    </row>
    <row r="4969">
      <c r="A4969" s="499" t="s">
        <v>11484</v>
      </c>
    </row>
    <row r="4970">
      <c r="A4970" s="499" t="s">
        <v>11485</v>
      </c>
    </row>
    <row r="4971">
      <c r="A4971" s="499" t="s">
        <v>11486</v>
      </c>
    </row>
    <row r="4972">
      <c r="A4972" s="499" t="s">
        <v>11487</v>
      </c>
    </row>
    <row r="4973">
      <c r="A4973" s="499" t="s">
        <v>11488</v>
      </c>
    </row>
    <row r="4974">
      <c r="A4974" s="499" t="s">
        <v>11489</v>
      </c>
    </row>
    <row r="4975">
      <c r="A4975" s="499" t="s">
        <v>11490</v>
      </c>
    </row>
    <row r="4976">
      <c r="A4976" s="499" t="s">
        <v>11491</v>
      </c>
    </row>
    <row r="4977">
      <c r="A4977" s="499" t="s">
        <v>11492</v>
      </c>
    </row>
    <row r="4978">
      <c r="A4978" s="499" t="s">
        <v>11493</v>
      </c>
    </row>
    <row r="4979">
      <c r="A4979" s="499" t="s">
        <v>11494</v>
      </c>
    </row>
    <row r="4980">
      <c r="A4980" s="499" t="s">
        <v>11495</v>
      </c>
    </row>
    <row r="4981">
      <c r="A4981" s="499" t="s">
        <v>11496</v>
      </c>
    </row>
    <row r="4982">
      <c r="A4982" s="499" t="s">
        <v>11497</v>
      </c>
    </row>
    <row r="4983">
      <c r="A4983" s="499" t="s">
        <v>11498</v>
      </c>
    </row>
    <row r="4984">
      <c r="A4984" s="499" t="s">
        <v>11499</v>
      </c>
    </row>
    <row r="4985">
      <c r="A4985" s="499" t="s">
        <v>11500</v>
      </c>
    </row>
    <row r="4986">
      <c r="A4986" s="499" t="s">
        <v>11501</v>
      </c>
    </row>
    <row r="4987">
      <c r="A4987" s="499" t="s">
        <v>11502</v>
      </c>
    </row>
    <row r="4988">
      <c r="A4988" s="499" t="s">
        <v>11503</v>
      </c>
    </row>
    <row r="4989">
      <c r="A4989" s="499" t="s">
        <v>11504</v>
      </c>
    </row>
    <row r="4990">
      <c r="A4990" s="499" t="s">
        <v>11505</v>
      </c>
    </row>
    <row r="4991">
      <c r="A4991" s="499" t="s">
        <v>11506</v>
      </c>
    </row>
    <row r="4992">
      <c r="A4992" s="499" t="s">
        <v>11507</v>
      </c>
    </row>
    <row r="4993">
      <c r="A4993" s="499" t="s">
        <v>11508</v>
      </c>
    </row>
    <row r="4994">
      <c r="A4994" s="499" t="s">
        <v>11509</v>
      </c>
    </row>
    <row r="4995">
      <c r="A4995" s="499" t="s">
        <v>11510</v>
      </c>
    </row>
    <row r="4996">
      <c r="A4996" s="499" t="s">
        <v>11511</v>
      </c>
    </row>
    <row r="4997">
      <c r="A4997" s="499" t="s">
        <v>11512</v>
      </c>
    </row>
    <row r="4998">
      <c r="A4998" s="499" t="s">
        <v>11513</v>
      </c>
    </row>
    <row r="4999">
      <c r="A4999" s="499" t="s">
        <v>11514</v>
      </c>
    </row>
    <row r="5000">
      <c r="A5000" s="499" t="s">
        <v>11515</v>
      </c>
    </row>
    <row r="5001">
      <c r="A5001" s="499" t="s">
        <v>11516</v>
      </c>
    </row>
    <row r="5002">
      <c r="A5002" s="499" t="s">
        <v>11517</v>
      </c>
    </row>
    <row r="5003">
      <c r="A5003" s="499" t="s">
        <v>11518</v>
      </c>
    </row>
    <row r="5004">
      <c r="A5004" s="499" t="s">
        <v>11519</v>
      </c>
    </row>
    <row r="5005">
      <c r="A5005" s="499" t="s">
        <v>11520</v>
      </c>
    </row>
    <row r="5006">
      <c r="A5006" s="499" t="s">
        <v>11521</v>
      </c>
    </row>
    <row r="5007">
      <c r="A5007" s="499" t="s">
        <v>11522</v>
      </c>
    </row>
    <row r="5008">
      <c r="A5008" s="499" t="s">
        <v>11523</v>
      </c>
    </row>
    <row r="5009">
      <c r="A5009" s="499" t="s">
        <v>11524</v>
      </c>
    </row>
    <row r="5010">
      <c r="A5010" s="499" t="s">
        <v>11525</v>
      </c>
    </row>
    <row r="5011">
      <c r="A5011" s="499" t="s">
        <v>11526</v>
      </c>
    </row>
    <row r="5012">
      <c r="A5012" s="499" t="s">
        <v>11527</v>
      </c>
    </row>
    <row r="5013">
      <c r="A5013" s="499" t="s">
        <v>11528</v>
      </c>
    </row>
    <row r="5014">
      <c r="A5014" s="499" t="s">
        <v>11529</v>
      </c>
    </row>
    <row r="5015">
      <c r="A5015" s="499" t="s">
        <v>11530</v>
      </c>
    </row>
    <row r="5016">
      <c r="A5016" s="499" t="s">
        <v>11531</v>
      </c>
    </row>
    <row r="5017">
      <c r="A5017" s="499" t="s">
        <v>11532</v>
      </c>
    </row>
    <row r="5018">
      <c r="A5018" s="499" t="s">
        <v>11533</v>
      </c>
    </row>
    <row r="5019">
      <c r="A5019" s="499" t="s">
        <v>11534</v>
      </c>
    </row>
    <row r="5020">
      <c r="A5020" s="499" t="s">
        <v>11535</v>
      </c>
    </row>
    <row r="5021">
      <c r="A5021" s="499" t="s">
        <v>11536</v>
      </c>
    </row>
    <row r="5022">
      <c r="A5022" s="499" t="s">
        <v>11537</v>
      </c>
    </row>
    <row r="5023">
      <c r="A5023" s="499" t="s">
        <v>11538</v>
      </c>
    </row>
    <row r="5024">
      <c r="A5024" s="499" t="s">
        <v>11539</v>
      </c>
    </row>
    <row r="5025">
      <c r="A5025" s="499" t="s">
        <v>11540</v>
      </c>
    </row>
    <row r="5026">
      <c r="A5026" s="499" t="s">
        <v>11541</v>
      </c>
    </row>
    <row r="5027">
      <c r="A5027" s="499" t="s">
        <v>11542</v>
      </c>
    </row>
    <row r="5028">
      <c r="A5028" s="499" t="s">
        <v>11543</v>
      </c>
    </row>
    <row r="5029">
      <c r="A5029" s="499" t="s">
        <v>11544</v>
      </c>
    </row>
    <row r="5030">
      <c r="A5030" s="499" t="s">
        <v>11545</v>
      </c>
    </row>
    <row r="5031">
      <c r="A5031" s="499" t="s">
        <v>11546</v>
      </c>
    </row>
    <row r="5032">
      <c r="A5032" s="499" t="s">
        <v>11547</v>
      </c>
    </row>
    <row r="5033">
      <c r="A5033" s="499" t="s">
        <v>11548</v>
      </c>
    </row>
    <row r="5034">
      <c r="A5034" s="499" t="s">
        <v>11549</v>
      </c>
    </row>
    <row r="5035">
      <c r="A5035" s="499" t="s">
        <v>11550</v>
      </c>
    </row>
    <row r="5036">
      <c r="A5036" s="499" t="s">
        <v>11551</v>
      </c>
    </row>
    <row r="5037">
      <c r="A5037" s="499" t="s">
        <v>11552</v>
      </c>
    </row>
    <row r="5038">
      <c r="A5038" s="499" t="s">
        <v>11553</v>
      </c>
    </row>
    <row r="5039">
      <c r="A5039" s="499" t="s">
        <v>11554</v>
      </c>
    </row>
    <row r="5040">
      <c r="A5040" s="499" t="s">
        <v>11555</v>
      </c>
    </row>
    <row r="5041">
      <c r="A5041" s="499" t="s">
        <v>11556</v>
      </c>
    </row>
    <row r="5042">
      <c r="A5042" s="499" t="s">
        <v>11557</v>
      </c>
    </row>
    <row r="5043">
      <c r="A5043" s="499" t="s">
        <v>11558</v>
      </c>
    </row>
    <row r="5044">
      <c r="A5044" s="499" t="s">
        <v>11559</v>
      </c>
    </row>
    <row r="5045">
      <c r="A5045" s="499" t="s">
        <v>11560</v>
      </c>
    </row>
    <row r="5046">
      <c r="A5046" s="499" t="s">
        <v>11561</v>
      </c>
    </row>
    <row r="5047">
      <c r="A5047" s="499" t="s">
        <v>11562</v>
      </c>
    </row>
    <row r="5048">
      <c r="A5048" s="499" t="s">
        <v>11563</v>
      </c>
    </row>
    <row r="5049">
      <c r="A5049" s="499" t="s">
        <v>11564</v>
      </c>
    </row>
    <row r="5050">
      <c r="A5050" s="499" t="s">
        <v>11565</v>
      </c>
    </row>
    <row r="5051">
      <c r="A5051" s="499" t="s">
        <v>11566</v>
      </c>
    </row>
    <row r="5052">
      <c r="A5052" s="499" t="s">
        <v>11567</v>
      </c>
    </row>
    <row r="5053">
      <c r="A5053" s="499" t="s">
        <v>11568</v>
      </c>
    </row>
    <row r="5054">
      <c r="A5054" s="499" t="s">
        <v>11569</v>
      </c>
    </row>
    <row r="5055">
      <c r="A5055" s="499" t="s">
        <v>11570</v>
      </c>
    </row>
    <row r="5056">
      <c r="A5056" s="499" t="s">
        <v>11571</v>
      </c>
    </row>
    <row r="5057">
      <c r="A5057" s="499" t="s">
        <v>11572</v>
      </c>
    </row>
    <row r="5058">
      <c r="A5058" s="499" t="s">
        <v>11573</v>
      </c>
    </row>
    <row r="5059">
      <c r="A5059" s="499" t="s">
        <v>11574</v>
      </c>
    </row>
    <row r="5060">
      <c r="A5060" s="499" t="s">
        <v>11575</v>
      </c>
    </row>
    <row r="5061">
      <c r="A5061" s="499" t="s">
        <v>11576</v>
      </c>
    </row>
    <row r="5062">
      <c r="A5062" s="499" t="s">
        <v>11577</v>
      </c>
    </row>
    <row r="5063">
      <c r="A5063" s="499" t="s">
        <v>11578</v>
      </c>
    </row>
    <row r="5064">
      <c r="A5064" s="499" t="s">
        <v>11579</v>
      </c>
    </row>
    <row r="5065">
      <c r="A5065" s="499" t="s">
        <v>11580</v>
      </c>
    </row>
    <row r="5066">
      <c r="A5066" s="499" t="s">
        <v>11581</v>
      </c>
    </row>
    <row r="5067">
      <c r="A5067" s="499" t="s">
        <v>11582</v>
      </c>
    </row>
    <row r="5068">
      <c r="A5068" s="499" t="s">
        <v>11583</v>
      </c>
    </row>
    <row r="5069">
      <c r="A5069" s="499" t="s">
        <v>11584</v>
      </c>
    </row>
    <row r="5070">
      <c r="A5070" s="499" t="s">
        <v>11585</v>
      </c>
    </row>
    <row r="5071">
      <c r="A5071" s="499" t="s">
        <v>11586</v>
      </c>
    </row>
    <row r="5072">
      <c r="A5072" s="499" t="s">
        <v>11587</v>
      </c>
    </row>
    <row r="5073">
      <c r="A5073" s="499" t="s">
        <v>11588</v>
      </c>
    </row>
    <row r="5074">
      <c r="A5074" s="499" t="s">
        <v>11589</v>
      </c>
    </row>
    <row r="5075">
      <c r="A5075" s="499" t="s">
        <v>11590</v>
      </c>
    </row>
    <row r="5076">
      <c r="A5076" s="499" t="s">
        <v>11591</v>
      </c>
    </row>
    <row r="5077">
      <c r="A5077" s="499" t="s">
        <v>11592</v>
      </c>
    </row>
    <row r="5078">
      <c r="A5078" s="499" t="s">
        <v>11593</v>
      </c>
    </row>
    <row r="5079">
      <c r="A5079" s="499" t="s">
        <v>11594</v>
      </c>
    </row>
    <row r="5080">
      <c r="A5080" s="499" t="s">
        <v>11595</v>
      </c>
    </row>
    <row r="5081">
      <c r="A5081" s="499" t="s">
        <v>11596</v>
      </c>
    </row>
    <row r="5082">
      <c r="A5082" s="499" t="s">
        <v>11597</v>
      </c>
    </row>
    <row r="5083">
      <c r="A5083" s="499" t="s">
        <v>11598</v>
      </c>
    </row>
    <row r="5084">
      <c r="A5084" s="499" t="s">
        <v>11599</v>
      </c>
    </row>
    <row r="5085">
      <c r="A5085" s="499" t="s">
        <v>11600</v>
      </c>
    </row>
    <row r="5086">
      <c r="A5086" s="499" t="s">
        <v>11601</v>
      </c>
    </row>
    <row r="5087">
      <c r="A5087" s="499" t="s">
        <v>11602</v>
      </c>
    </row>
    <row r="5088">
      <c r="A5088" s="499" t="s">
        <v>11603</v>
      </c>
    </row>
    <row r="5089">
      <c r="A5089" s="499" t="s">
        <v>11604</v>
      </c>
    </row>
    <row r="5090">
      <c r="A5090" s="499" t="s">
        <v>11605</v>
      </c>
    </row>
    <row r="5091">
      <c r="A5091" s="499" t="s">
        <v>11606</v>
      </c>
    </row>
    <row r="5092">
      <c r="A5092" s="499" t="s">
        <v>11607</v>
      </c>
    </row>
    <row r="5093">
      <c r="A5093" s="499" t="s">
        <v>11608</v>
      </c>
    </row>
    <row r="5094">
      <c r="A5094" s="499" t="s">
        <v>11609</v>
      </c>
    </row>
    <row r="5095">
      <c r="A5095" s="499" t="s">
        <v>11610</v>
      </c>
    </row>
    <row r="5096">
      <c r="A5096" s="499" t="s">
        <v>11611</v>
      </c>
    </row>
    <row r="5097">
      <c r="A5097" s="499" t="s">
        <v>11612</v>
      </c>
    </row>
    <row r="5098">
      <c r="A5098" s="499" t="s">
        <v>11613</v>
      </c>
    </row>
    <row r="5099">
      <c r="A5099" s="499" t="s">
        <v>11614</v>
      </c>
    </row>
    <row r="5100">
      <c r="A5100" s="499" t="s">
        <v>11615</v>
      </c>
    </row>
    <row r="5101">
      <c r="A5101" s="499" t="s">
        <v>11616</v>
      </c>
    </row>
    <row r="5102">
      <c r="A5102" s="499" t="s">
        <v>11617</v>
      </c>
    </row>
    <row r="5103">
      <c r="A5103" s="499" t="s">
        <v>11618</v>
      </c>
    </row>
    <row r="5104">
      <c r="A5104" s="499" t="s">
        <v>11619</v>
      </c>
    </row>
    <row r="5105">
      <c r="A5105" s="499" t="s">
        <v>11620</v>
      </c>
    </row>
    <row r="5106">
      <c r="A5106" s="499" t="s">
        <v>11621</v>
      </c>
    </row>
    <row r="5107">
      <c r="A5107" s="499" t="s">
        <v>11622</v>
      </c>
    </row>
    <row r="5108">
      <c r="A5108" s="499" t="s">
        <v>11623</v>
      </c>
    </row>
    <row r="5109">
      <c r="A5109" s="499" t="s">
        <v>11624</v>
      </c>
    </row>
    <row r="5110">
      <c r="A5110" s="499" t="s">
        <v>11625</v>
      </c>
    </row>
    <row r="5111">
      <c r="A5111" s="499" t="s">
        <v>11626</v>
      </c>
    </row>
    <row r="5112">
      <c r="A5112" s="499" t="s">
        <v>11627</v>
      </c>
    </row>
    <row r="5113">
      <c r="A5113" s="499" t="s">
        <v>11628</v>
      </c>
    </row>
    <row r="5114">
      <c r="A5114" s="499" t="s">
        <v>11629</v>
      </c>
    </row>
    <row r="5115">
      <c r="A5115" s="499" t="s">
        <v>11630</v>
      </c>
    </row>
    <row r="5116">
      <c r="A5116" s="499" t="s">
        <v>11631</v>
      </c>
    </row>
    <row r="5117">
      <c r="A5117" s="499" t="s">
        <v>11632</v>
      </c>
    </row>
    <row r="5118">
      <c r="A5118" s="499" t="s">
        <v>11633</v>
      </c>
    </row>
    <row r="5119">
      <c r="A5119" s="499" t="s">
        <v>11634</v>
      </c>
    </row>
    <row r="5120">
      <c r="A5120" s="499" t="s">
        <v>11635</v>
      </c>
    </row>
    <row r="5121">
      <c r="A5121" s="499" t="s">
        <v>11636</v>
      </c>
    </row>
    <row r="5122">
      <c r="A5122" s="499" t="s">
        <v>11637</v>
      </c>
    </row>
    <row r="5123">
      <c r="A5123" s="499" t="s">
        <v>11638</v>
      </c>
    </row>
    <row r="5124">
      <c r="A5124" s="499" t="s">
        <v>11639</v>
      </c>
    </row>
    <row r="5125">
      <c r="A5125" s="499" t="s">
        <v>11640</v>
      </c>
    </row>
    <row r="5126">
      <c r="A5126" s="499" t="s">
        <v>11641</v>
      </c>
    </row>
    <row r="5127">
      <c r="A5127" s="499" t="s">
        <v>11642</v>
      </c>
    </row>
    <row r="5128">
      <c r="A5128" s="499" t="s">
        <v>11643</v>
      </c>
    </row>
    <row r="5129">
      <c r="A5129" s="499" t="s">
        <v>11644</v>
      </c>
    </row>
    <row r="5130">
      <c r="A5130" s="499" t="s">
        <v>11645</v>
      </c>
    </row>
    <row r="5131">
      <c r="A5131" s="499" t="s">
        <v>11646</v>
      </c>
    </row>
    <row r="5132">
      <c r="A5132" s="499" t="s">
        <v>11647</v>
      </c>
    </row>
    <row r="5133">
      <c r="A5133" s="499" t="s">
        <v>11648</v>
      </c>
    </row>
    <row r="5134">
      <c r="A5134" s="499" t="s">
        <v>11649</v>
      </c>
    </row>
    <row r="5135">
      <c r="A5135" s="499" t="s">
        <v>11650</v>
      </c>
    </row>
    <row r="5136">
      <c r="A5136" s="499" t="s">
        <v>11651</v>
      </c>
    </row>
    <row r="5137">
      <c r="A5137" s="499" t="s">
        <v>11652</v>
      </c>
    </row>
    <row r="5138">
      <c r="A5138" s="499" t="s">
        <v>11653</v>
      </c>
    </row>
    <row r="5139">
      <c r="A5139" s="499" t="s">
        <v>11654</v>
      </c>
    </row>
    <row r="5140">
      <c r="A5140" s="499" t="s">
        <v>11655</v>
      </c>
    </row>
    <row r="5141">
      <c r="A5141" s="499" t="s">
        <v>11656</v>
      </c>
    </row>
    <row r="5142">
      <c r="A5142" s="499" t="s">
        <v>11657</v>
      </c>
    </row>
    <row r="5143">
      <c r="A5143" s="499" t="s">
        <v>11658</v>
      </c>
    </row>
    <row r="5144">
      <c r="A5144" s="499" t="s">
        <v>11659</v>
      </c>
    </row>
    <row r="5145">
      <c r="A5145" s="499" t="s">
        <v>11660</v>
      </c>
    </row>
    <row r="5146">
      <c r="A5146" s="499" t="s">
        <v>11661</v>
      </c>
    </row>
    <row r="5147">
      <c r="A5147" s="499" t="s">
        <v>11662</v>
      </c>
    </row>
    <row r="5148">
      <c r="A5148" s="499" t="s">
        <v>11663</v>
      </c>
    </row>
    <row r="5149">
      <c r="A5149" s="499" t="s">
        <v>11664</v>
      </c>
    </row>
    <row r="5150">
      <c r="A5150" s="499" t="s">
        <v>11665</v>
      </c>
    </row>
    <row r="5151">
      <c r="A5151" s="499" t="s">
        <v>11666</v>
      </c>
    </row>
    <row r="5152">
      <c r="A5152" s="499" t="s">
        <v>11667</v>
      </c>
    </row>
    <row r="5153">
      <c r="A5153" s="499" t="s">
        <v>11668</v>
      </c>
    </row>
    <row r="5154">
      <c r="A5154" s="499" t="s">
        <v>11669</v>
      </c>
    </row>
    <row r="5155">
      <c r="A5155" s="499" t="s">
        <v>11670</v>
      </c>
    </row>
    <row r="5156">
      <c r="A5156" s="499" t="s">
        <v>11671</v>
      </c>
    </row>
    <row r="5157">
      <c r="A5157" s="499" t="s">
        <v>11672</v>
      </c>
    </row>
    <row r="5158">
      <c r="A5158" s="499" t="s">
        <v>11673</v>
      </c>
    </row>
    <row r="5159">
      <c r="A5159" s="499" t="s">
        <v>11674</v>
      </c>
    </row>
    <row r="5160">
      <c r="A5160" s="499" t="s">
        <v>11675</v>
      </c>
    </row>
    <row r="5161">
      <c r="A5161" s="499" t="s">
        <v>11676</v>
      </c>
    </row>
    <row r="5162">
      <c r="A5162" s="499" t="s">
        <v>11677</v>
      </c>
    </row>
    <row r="5163">
      <c r="A5163" s="499" t="s">
        <v>11678</v>
      </c>
    </row>
    <row r="5164">
      <c r="A5164" s="499" t="s">
        <v>11679</v>
      </c>
    </row>
    <row r="5165">
      <c r="A5165" s="499" t="s">
        <v>11680</v>
      </c>
    </row>
    <row r="5166">
      <c r="A5166" s="499" t="s">
        <v>11681</v>
      </c>
    </row>
    <row r="5167">
      <c r="A5167" s="499" t="s">
        <v>11682</v>
      </c>
    </row>
    <row r="5168">
      <c r="A5168" s="499" t="s">
        <v>11683</v>
      </c>
    </row>
    <row r="5169">
      <c r="A5169" s="499" t="s">
        <v>11684</v>
      </c>
    </row>
    <row r="5170">
      <c r="A5170" s="499" t="s">
        <v>11685</v>
      </c>
    </row>
    <row r="5171">
      <c r="A5171" s="499" t="s">
        <v>11686</v>
      </c>
    </row>
    <row r="5172">
      <c r="A5172" s="499" t="s">
        <v>11687</v>
      </c>
    </row>
    <row r="5173">
      <c r="A5173" s="499" t="s">
        <v>11688</v>
      </c>
    </row>
    <row r="5174">
      <c r="A5174" s="499" t="s">
        <v>11689</v>
      </c>
    </row>
    <row r="5175">
      <c r="A5175" s="499" t="s">
        <v>11690</v>
      </c>
    </row>
    <row r="5176">
      <c r="A5176" s="499" t="s">
        <v>11691</v>
      </c>
    </row>
    <row r="5177">
      <c r="A5177" s="499" t="s">
        <v>11692</v>
      </c>
    </row>
    <row r="5178">
      <c r="A5178" s="499" t="s">
        <v>11693</v>
      </c>
    </row>
    <row r="5179">
      <c r="A5179" s="499" t="s">
        <v>11694</v>
      </c>
    </row>
    <row r="5180">
      <c r="A5180" s="499" t="s">
        <v>11695</v>
      </c>
    </row>
    <row r="5181">
      <c r="A5181" s="499" t="s">
        <v>11696</v>
      </c>
    </row>
    <row r="5182">
      <c r="A5182" s="499" t="s">
        <v>11697</v>
      </c>
    </row>
    <row r="5183">
      <c r="A5183" s="499" t="s">
        <v>11698</v>
      </c>
    </row>
    <row r="5184">
      <c r="A5184" s="499" t="s">
        <v>11699</v>
      </c>
    </row>
    <row r="5185">
      <c r="A5185" s="499" t="s">
        <v>11700</v>
      </c>
    </row>
    <row r="5186">
      <c r="A5186" s="499" t="s">
        <v>11701</v>
      </c>
    </row>
    <row r="5187">
      <c r="A5187" s="499" t="s">
        <v>11702</v>
      </c>
    </row>
    <row r="5188">
      <c r="A5188" s="499" t="s">
        <v>11703</v>
      </c>
    </row>
    <row r="5189">
      <c r="A5189" s="499" t="s">
        <v>11704</v>
      </c>
    </row>
    <row r="5190">
      <c r="A5190" s="499" t="s">
        <v>11705</v>
      </c>
    </row>
    <row r="5191">
      <c r="A5191" s="499" t="s">
        <v>11706</v>
      </c>
    </row>
    <row r="5192">
      <c r="A5192" s="499" t="s">
        <v>11707</v>
      </c>
    </row>
    <row r="5193">
      <c r="A5193" s="499" t="s">
        <v>11708</v>
      </c>
    </row>
    <row r="5194">
      <c r="A5194" s="499" t="s">
        <v>11709</v>
      </c>
    </row>
    <row r="5195">
      <c r="A5195" s="499" t="s">
        <v>11710</v>
      </c>
    </row>
    <row r="5196">
      <c r="A5196" s="499" t="s">
        <v>11711</v>
      </c>
    </row>
    <row r="5197">
      <c r="A5197" s="499" t="s">
        <v>11712</v>
      </c>
    </row>
    <row r="5198">
      <c r="A5198" s="499" t="s">
        <v>11713</v>
      </c>
    </row>
    <row r="5199">
      <c r="A5199" s="499" t="s">
        <v>11714</v>
      </c>
    </row>
    <row r="5200">
      <c r="A5200" s="499" t="s">
        <v>11715</v>
      </c>
    </row>
    <row r="5201">
      <c r="A5201" s="499" t="s">
        <v>11716</v>
      </c>
    </row>
    <row r="5202">
      <c r="A5202" s="499" t="s">
        <v>11717</v>
      </c>
    </row>
    <row r="5203">
      <c r="A5203" s="499" t="s">
        <v>11718</v>
      </c>
    </row>
    <row r="5204">
      <c r="A5204" s="499" t="s">
        <v>11719</v>
      </c>
    </row>
    <row r="5205">
      <c r="A5205" s="499" t="s">
        <v>11720</v>
      </c>
    </row>
    <row r="5206">
      <c r="A5206" s="499" t="s">
        <v>11721</v>
      </c>
    </row>
    <row r="5207">
      <c r="A5207" s="499" t="s">
        <v>11722</v>
      </c>
    </row>
    <row r="5208">
      <c r="A5208" s="499" t="s">
        <v>11723</v>
      </c>
    </row>
    <row r="5209">
      <c r="A5209" s="499" t="s">
        <v>11724</v>
      </c>
    </row>
    <row r="5210">
      <c r="A5210" s="499" t="s">
        <v>11725</v>
      </c>
    </row>
    <row r="5211">
      <c r="A5211" s="499" t="s">
        <v>11726</v>
      </c>
    </row>
    <row r="5212">
      <c r="A5212" s="499" t="s">
        <v>11727</v>
      </c>
    </row>
    <row r="5213">
      <c r="A5213" s="499" t="s">
        <v>11728</v>
      </c>
    </row>
    <row r="5214">
      <c r="A5214" s="499" t="s">
        <v>11729</v>
      </c>
    </row>
    <row r="5215">
      <c r="A5215" s="499" t="s">
        <v>11730</v>
      </c>
    </row>
    <row r="5216">
      <c r="A5216" s="499" t="s">
        <v>11731</v>
      </c>
    </row>
    <row r="5217">
      <c r="A5217" s="499" t="s">
        <v>11732</v>
      </c>
    </row>
    <row r="5218">
      <c r="A5218" s="499" t="s">
        <v>11733</v>
      </c>
    </row>
    <row r="5219">
      <c r="A5219" s="499" t="s">
        <v>11734</v>
      </c>
    </row>
    <row r="5220">
      <c r="A5220" s="499" t="s">
        <v>11735</v>
      </c>
    </row>
    <row r="5221">
      <c r="A5221" s="499" t="s">
        <v>11736</v>
      </c>
    </row>
    <row r="5222">
      <c r="A5222" s="499" t="s">
        <v>11737</v>
      </c>
    </row>
    <row r="5223">
      <c r="A5223" s="499" t="s">
        <v>11738</v>
      </c>
    </row>
    <row r="5224">
      <c r="A5224" s="499" t="s">
        <v>11739</v>
      </c>
    </row>
    <row r="5225">
      <c r="A5225" s="499" t="s">
        <v>11740</v>
      </c>
    </row>
    <row r="5226">
      <c r="A5226" s="499" t="s">
        <v>11741</v>
      </c>
    </row>
    <row r="5227">
      <c r="A5227" s="499" t="s">
        <v>11742</v>
      </c>
    </row>
    <row r="5228">
      <c r="A5228" s="499" t="s">
        <v>11743</v>
      </c>
    </row>
    <row r="5229">
      <c r="A5229" s="499" t="s">
        <v>11744</v>
      </c>
    </row>
    <row r="5230">
      <c r="A5230" s="499" t="s">
        <v>11745</v>
      </c>
    </row>
    <row r="5231">
      <c r="A5231" s="499" t="s">
        <v>11746</v>
      </c>
    </row>
    <row r="5232">
      <c r="A5232" s="499" t="s">
        <v>11747</v>
      </c>
    </row>
    <row r="5233">
      <c r="A5233" s="499" t="s">
        <v>11748</v>
      </c>
    </row>
    <row r="5234">
      <c r="A5234" s="499" t="s">
        <v>11749</v>
      </c>
    </row>
    <row r="5235">
      <c r="A5235" s="499" t="s">
        <v>11750</v>
      </c>
    </row>
    <row r="5236">
      <c r="A5236" s="499" t="s">
        <v>11751</v>
      </c>
    </row>
    <row r="5237">
      <c r="A5237" s="499" t="s">
        <v>11752</v>
      </c>
    </row>
    <row r="5238">
      <c r="A5238" s="499" t="s">
        <v>11753</v>
      </c>
    </row>
    <row r="5239">
      <c r="A5239" s="499" t="s">
        <v>11754</v>
      </c>
    </row>
    <row r="5240">
      <c r="A5240" s="499" t="s">
        <v>11755</v>
      </c>
    </row>
    <row r="5241">
      <c r="A5241" s="499" t="s">
        <v>11756</v>
      </c>
    </row>
    <row r="5242">
      <c r="A5242" s="499" t="s">
        <v>11757</v>
      </c>
    </row>
    <row r="5243">
      <c r="A5243" s="499" t="s">
        <v>11758</v>
      </c>
    </row>
    <row r="5244">
      <c r="A5244" s="499" t="s">
        <v>11759</v>
      </c>
    </row>
    <row r="5245">
      <c r="A5245" s="499" t="s">
        <v>11760</v>
      </c>
    </row>
    <row r="5246">
      <c r="A5246" s="499" t="s">
        <v>11761</v>
      </c>
    </row>
    <row r="5247">
      <c r="A5247" s="499" t="s">
        <v>11762</v>
      </c>
    </row>
    <row r="5248">
      <c r="A5248" s="499" t="s">
        <v>11763</v>
      </c>
    </row>
    <row r="5249">
      <c r="A5249" s="499" t="s">
        <v>11764</v>
      </c>
    </row>
    <row r="5250">
      <c r="A5250" s="499" t="s">
        <v>11765</v>
      </c>
    </row>
    <row r="5251">
      <c r="A5251" s="499" t="s">
        <v>11766</v>
      </c>
    </row>
    <row r="5252">
      <c r="A5252" s="499" t="s">
        <v>11767</v>
      </c>
    </row>
    <row r="5253">
      <c r="A5253" s="499" t="s">
        <v>11768</v>
      </c>
    </row>
    <row r="5254">
      <c r="A5254" s="499" t="s">
        <v>11769</v>
      </c>
    </row>
    <row r="5255">
      <c r="A5255" s="499" t="s">
        <v>11770</v>
      </c>
    </row>
    <row r="5256">
      <c r="A5256" s="499" t="s">
        <v>11771</v>
      </c>
    </row>
    <row r="5257">
      <c r="A5257" s="499" t="s">
        <v>11772</v>
      </c>
    </row>
    <row r="5258">
      <c r="A5258" s="499" t="s">
        <v>11773</v>
      </c>
    </row>
    <row r="5259">
      <c r="A5259" s="499" t="s">
        <v>11774</v>
      </c>
    </row>
    <row r="5260">
      <c r="A5260" s="499" t="s">
        <v>11775</v>
      </c>
    </row>
    <row r="5261">
      <c r="A5261" s="499" t="s">
        <v>11776</v>
      </c>
    </row>
    <row r="5262">
      <c r="A5262" s="499" t="s">
        <v>11777</v>
      </c>
    </row>
    <row r="5263">
      <c r="A5263" s="499" t="s">
        <v>11778</v>
      </c>
    </row>
    <row r="5264">
      <c r="A5264" s="499" t="s">
        <v>11779</v>
      </c>
    </row>
    <row r="5265">
      <c r="A5265" s="499" t="s">
        <v>11780</v>
      </c>
    </row>
    <row r="5266">
      <c r="A5266" s="499" t="s">
        <v>11781</v>
      </c>
    </row>
    <row r="5267">
      <c r="A5267" s="499" t="s">
        <v>11782</v>
      </c>
    </row>
    <row r="5268">
      <c r="A5268" s="499" t="s">
        <v>11783</v>
      </c>
    </row>
    <row r="5269">
      <c r="A5269" s="499" t="s">
        <v>11784</v>
      </c>
    </row>
    <row r="5270">
      <c r="A5270" s="499" t="s">
        <v>11785</v>
      </c>
    </row>
    <row r="5271">
      <c r="A5271" s="499" t="s">
        <v>11786</v>
      </c>
    </row>
    <row r="5272">
      <c r="A5272" s="499" t="s">
        <v>11787</v>
      </c>
    </row>
    <row r="5273">
      <c r="A5273" s="499" t="s">
        <v>11788</v>
      </c>
    </row>
    <row r="5274">
      <c r="A5274" s="499" t="s">
        <v>11789</v>
      </c>
    </row>
    <row r="5275">
      <c r="A5275" s="499" t="s">
        <v>11790</v>
      </c>
    </row>
    <row r="5276">
      <c r="A5276" s="499" t="s">
        <v>11791</v>
      </c>
    </row>
    <row r="5277">
      <c r="A5277" s="499" t="s">
        <v>11792</v>
      </c>
    </row>
    <row r="5278">
      <c r="A5278" s="499" t="s">
        <v>11793</v>
      </c>
    </row>
    <row r="5279">
      <c r="A5279" s="499" t="s">
        <v>11794</v>
      </c>
    </row>
    <row r="5280">
      <c r="A5280" s="499" t="s">
        <v>11795</v>
      </c>
    </row>
    <row r="5281">
      <c r="A5281" s="499" t="s">
        <v>11796</v>
      </c>
    </row>
    <row r="5282">
      <c r="A5282" s="499" t="s">
        <v>11797</v>
      </c>
    </row>
    <row r="5283">
      <c r="A5283" s="499" t="s">
        <v>11798</v>
      </c>
    </row>
    <row r="5284">
      <c r="A5284" s="499" t="s">
        <v>11799</v>
      </c>
    </row>
    <row r="5285">
      <c r="A5285" s="499" t="s">
        <v>11800</v>
      </c>
    </row>
    <row r="5286">
      <c r="A5286" s="499" t="s">
        <v>11801</v>
      </c>
    </row>
    <row r="5287">
      <c r="A5287" s="499" t="s">
        <v>11802</v>
      </c>
    </row>
    <row r="5288">
      <c r="A5288" s="499" t="s">
        <v>11803</v>
      </c>
    </row>
    <row r="5289">
      <c r="A5289" s="499" t="s">
        <v>11804</v>
      </c>
    </row>
    <row r="5290">
      <c r="A5290" s="499" t="s">
        <v>11805</v>
      </c>
    </row>
    <row r="5291">
      <c r="A5291" s="499" t="s">
        <v>11806</v>
      </c>
    </row>
    <row r="5292">
      <c r="A5292" s="499" t="s">
        <v>11807</v>
      </c>
    </row>
    <row r="5293">
      <c r="A5293" s="499" t="s">
        <v>11808</v>
      </c>
    </row>
    <row r="5294">
      <c r="A5294" s="499" t="s">
        <v>11809</v>
      </c>
    </row>
    <row r="5295">
      <c r="A5295" s="499" t="s">
        <v>11810</v>
      </c>
    </row>
    <row r="5296">
      <c r="A5296" s="499" t="s">
        <v>11811</v>
      </c>
    </row>
    <row r="5297">
      <c r="A5297" s="499" t="s">
        <v>11812</v>
      </c>
    </row>
    <row r="5298">
      <c r="A5298" s="499" t="s">
        <v>11813</v>
      </c>
    </row>
    <row r="5299">
      <c r="A5299" s="499" t="s">
        <v>11814</v>
      </c>
    </row>
    <row r="5300">
      <c r="A5300" s="499" t="s">
        <v>11815</v>
      </c>
    </row>
    <row r="5301">
      <c r="A5301" s="499" t="s">
        <v>11816</v>
      </c>
    </row>
    <row r="5302">
      <c r="A5302" s="499" t="s">
        <v>11817</v>
      </c>
    </row>
    <row r="5303">
      <c r="A5303" s="499" t="s">
        <v>11818</v>
      </c>
    </row>
    <row r="5304">
      <c r="A5304" s="499" t="s">
        <v>11819</v>
      </c>
    </row>
    <row r="5305">
      <c r="A5305" s="499" t="s">
        <v>11820</v>
      </c>
    </row>
    <row r="5306">
      <c r="A5306" s="499" t="s">
        <v>11821</v>
      </c>
    </row>
    <row r="5307">
      <c r="A5307" s="499" t="s">
        <v>11822</v>
      </c>
    </row>
    <row r="5308">
      <c r="A5308" s="499" t="s">
        <v>11823</v>
      </c>
    </row>
    <row r="5309">
      <c r="A5309" s="499" t="s">
        <v>11824</v>
      </c>
    </row>
    <row r="5310">
      <c r="A5310" s="499" t="s">
        <v>11825</v>
      </c>
    </row>
    <row r="5311">
      <c r="A5311" s="499" t="s">
        <v>11826</v>
      </c>
    </row>
    <row r="5312">
      <c r="A5312" s="499" t="s">
        <v>11827</v>
      </c>
    </row>
    <row r="5313">
      <c r="A5313" s="499" t="s">
        <v>11828</v>
      </c>
    </row>
    <row r="5314">
      <c r="A5314" s="499" t="s">
        <v>11829</v>
      </c>
    </row>
    <row r="5315">
      <c r="A5315" s="499" t="s">
        <v>11830</v>
      </c>
    </row>
    <row r="5316">
      <c r="A5316" s="499" t="s">
        <v>11831</v>
      </c>
    </row>
    <row r="5317">
      <c r="A5317" s="499" t="s">
        <v>11832</v>
      </c>
    </row>
    <row r="5318">
      <c r="A5318" s="499" t="s">
        <v>11833</v>
      </c>
    </row>
    <row r="5319">
      <c r="A5319" s="499" t="s">
        <v>11834</v>
      </c>
    </row>
    <row r="5320">
      <c r="A5320" s="499" t="s">
        <v>11835</v>
      </c>
    </row>
    <row r="5321">
      <c r="A5321" s="499" t="s">
        <v>11836</v>
      </c>
    </row>
    <row r="5322">
      <c r="A5322" s="499" t="s">
        <v>11837</v>
      </c>
    </row>
    <row r="5323">
      <c r="A5323" s="499" t="s">
        <v>11838</v>
      </c>
    </row>
    <row r="5324">
      <c r="A5324" s="499" t="s">
        <v>11839</v>
      </c>
    </row>
    <row r="5325">
      <c r="A5325" s="499" t="s">
        <v>11840</v>
      </c>
    </row>
    <row r="5326">
      <c r="A5326" s="499" t="s">
        <v>11841</v>
      </c>
    </row>
    <row r="5327">
      <c r="A5327" s="499" t="s">
        <v>11842</v>
      </c>
    </row>
    <row r="5328">
      <c r="A5328" s="499" t="s">
        <v>11843</v>
      </c>
    </row>
    <row r="5329">
      <c r="A5329" s="499" t="s">
        <v>11844</v>
      </c>
    </row>
    <row r="5330">
      <c r="A5330" s="499" t="s">
        <v>11845</v>
      </c>
    </row>
    <row r="5331">
      <c r="A5331" s="499" t="s">
        <v>11846</v>
      </c>
    </row>
    <row r="5332">
      <c r="A5332" s="499" t="s">
        <v>11847</v>
      </c>
    </row>
    <row r="5333">
      <c r="A5333" s="499" t="s">
        <v>11848</v>
      </c>
    </row>
    <row r="5334">
      <c r="A5334" s="499" t="s">
        <v>11849</v>
      </c>
    </row>
    <row r="5335">
      <c r="A5335" s="499" t="s">
        <v>11850</v>
      </c>
    </row>
    <row r="5336">
      <c r="A5336" s="499" t="s">
        <v>11851</v>
      </c>
    </row>
    <row r="5337">
      <c r="A5337" s="499" t="s">
        <v>11852</v>
      </c>
    </row>
    <row r="5338">
      <c r="A5338" s="499" t="s">
        <v>11853</v>
      </c>
    </row>
    <row r="5339">
      <c r="A5339" s="499" t="s">
        <v>11854</v>
      </c>
    </row>
    <row r="5340">
      <c r="A5340" s="499" t="s">
        <v>11855</v>
      </c>
    </row>
    <row r="5341">
      <c r="A5341" s="499" t="s">
        <v>11856</v>
      </c>
    </row>
    <row r="5342">
      <c r="A5342" s="499" t="s">
        <v>11857</v>
      </c>
    </row>
    <row r="5343">
      <c r="A5343" s="499" t="s">
        <v>11858</v>
      </c>
    </row>
    <row r="5344">
      <c r="A5344" s="499" t="s">
        <v>11859</v>
      </c>
    </row>
    <row r="5345">
      <c r="A5345" s="499" t="s">
        <v>11860</v>
      </c>
    </row>
    <row r="5346">
      <c r="A5346" s="499" t="s">
        <v>11861</v>
      </c>
    </row>
    <row r="5347">
      <c r="A5347" s="499" t="s">
        <v>11862</v>
      </c>
    </row>
    <row r="5348">
      <c r="A5348" s="499" t="s">
        <v>11863</v>
      </c>
    </row>
    <row r="5349">
      <c r="A5349" s="499" t="s">
        <v>11864</v>
      </c>
    </row>
    <row r="5350">
      <c r="A5350" s="499" t="s">
        <v>11865</v>
      </c>
    </row>
    <row r="5351">
      <c r="A5351" s="499" t="s">
        <v>11866</v>
      </c>
    </row>
    <row r="5352">
      <c r="A5352" s="499" t="s">
        <v>11867</v>
      </c>
    </row>
    <row r="5353">
      <c r="A5353" s="499" t="s">
        <v>11868</v>
      </c>
    </row>
    <row r="5354">
      <c r="A5354" s="499" t="s">
        <v>11869</v>
      </c>
    </row>
    <row r="5355">
      <c r="A5355" s="499" t="s">
        <v>11870</v>
      </c>
    </row>
    <row r="5356">
      <c r="A5356" s="499" t="s">
        <v>11871</v>
      </c>
    </row>
    <row r="5357">
      <c r="A5357" s="499" t="s">
        <v>11872</v>
      </c>
    </row>
    <row r="5358">
      <c r="A5358" s="499" t="s">
        <v>11873</v>
      </c>
    </row>
    <row r="5359">
      <c r="A5359" s="499" t="s">
        <v>11874</v>
      </c>
    </row>
    <row r="5360">
      <c r="A5360" s="499" t="s">
        <v>11875</v>
      </c>
    </row>
    <row r="5361">
      <c r="A5361" s="499" t="s">
        <v>11876</v>
      </c>
    </row>
    <row r="5362">
      <c r="A5362" s="499" t="s">
        <v>11877</v>
      </c>
    </row>
    <row r="5363">
      <c r="A5363" s="499" t="s">
        <v>11878</v>
      </c>
    </row>
    <row r="5364">
      <c r="A5364" s="499" t="s">
        <v>11879</v>
      </c>
    </row>
    <row r="5365">
      <c r="A5365" s="499" t="s">
        <v>11880</v>
      </c>
    </row>
    <row r="5366">
      <c r="A5366" s="499" t="s">
        <v>11881</v>
      </c>
    </row>
    <row r="5367">
      <c r="A5367" s="499" t="s">
        <v>11882</v>
      </c>
    </row>
    <row r="5368">
      <c r="A5368" s="499" t="s">
        <v>11883</v>
      </c>
    </row>
    <row r="5369">
      <c r="A5369" s="499" t="s">
        <v>11884</v>
      </c>
    </row>
    <row r="5370">
      <c r="A5370" s="499" t="s">
        <v>11885</v>
      </c>
    </row>
    <row r="5371">
      <c r="A5371" s="499" t="s">
        <v>11886</v>
      </c>
    </row>
    <row r="5372">
      <c r="A5372" s="499" t="s">
        <v>11887</v>
      </c>
    </row>
    <row r="5373">
      <c r="A5373" s="499" t="s">
        <v>11888</v>
      </c>
    </row>
    <row r="5374">
      <c r="A5374" s="499" t="s">
        <v>11889</v>
      </c>
    </row>
    <row r="5375">
      <c r="A5375" s="499" t="s">
        <v>11890</v>
      </c>
    </row>
    <row r="5376">
      <c r="A5376" s="499" t="s">
        <v>11891</v>
      </c>
    </row>
    <row r="5377">
      <c r="A5377" s="499" t="s">
        <v>11892</v>
      </c>
    </row>
    <row r="5378">
      <c r="A5378" s="499" t="s">
        <v>11893</v>
      </c>
    </row>
    <row r="5379">
      <c r="A5379" s="499" t="s">
        <v>11894</v>
      </c>
    </row>
    <row r="5380">
      <c r="A5380" s="499" t="s">
        <v>11895</v>
      </c>
    </row>
    <row r="5381">
      <c r="A5381" s="499" t="s">
        <v>11896</v>
      </c>
    </row>
    <row r="5382">
      <c r="A5382" s="499" t="s">
        <v>11897</v>
      </c>
    </row>
    <row r="5383">
      <c r="A5383" s="499" t="s">
        <v>11898</v>
      </c>
    </row>
    <row r="5384">
      <c r="A5384" s="499" t="s">
        <v>11899</v>
      </c>
    </row>
    <row r="5385">
      <c r="A5385" s="499" t="s">
        <v>11900</v>
      </c>
    </row>
    <row r="5386">
      <c r="A5386" s="499" t="s">
        <v>11901</v>
      </c>
    </row>
    <row r="5387">
      <c r="A5387" s="499" t="s">
        <v>11902</v>
      </c>
    </row>
    <row r="5388">
      <c r="A5388" s="499" t="s">
        <v>11903</v>
      </c>
    </row>
    <row r="5389">
      <c r="A5389" s="499" t="s">
        <v>11904</v>
      </c>
    </row>
    <row r="5390">
      <c r="A5390" s="499" t="s">
        <v>11905</v>
      </c>
    </row>
    <row r="5391">
      <c r="A5391" s="499" t="s">
        <v>11906</v>
      </c>
    </row>
    <row r="5392">
      <c r="A5392" s="499" t="s">
        <v>11907</v>
      </c>
    </row>
    <row r="5393">
      <c r="A5393" s="499" t="s">
        <v>11908</v>
      </c>
    </row>
    <row r="5394">
      <c r="A5394" s="499" t="s">
        <v>11909</v>
      </c>
    </row>
    <row r="5395">
      <c r="A5395" s="499" t="s">
        <v>11910</v>
      </c>
    </row>
    <row r="5396">
      <c r="A5396" s="499" t="s">
        <v>11911</v>
      </c>
    </row>
    <row r="5397">
      <c r="A5397" s="499" t="s">
        <v>11912</v>
      </c>
    </row>
    <row r="5398">
      <c r="A5398" s="499" t="s">
        <v>11913</v>
      </c>
    </row>
    <row r="5399">
      <c r="A5399" s="499" t="s">
        <v>11914</v>
      </c>
    </row>
    <row r="5400">
      <c r="A5400" s="499" t="s">
        <v>11915</v>
      </c>
    </row>
    <row r="5401">
      <c r="A5401" s="499" t="s">
        <v>11916</v>
      </c>
    </row>
    <row r="5402">
      <c r="A5402" s="499" t="s">
        <v>11917</v>
      </c>
    </row>
    <row r="5403">
      <c r="A5403" s="499" t="s">
        <v>11918</v>
      </c>
    </row>
    <row r="5404">
      <c r="A5404" s="499" t="s">
        <v>11919</v>
      </c>
    </row>
    <row r="5405">
      <c r="A5405" s="499" t="s">
        <v>11920</v>
      </c>
    </row>
    <row r="5406">
      <c r="A5406" s="499" t="s">
        <v>11921</v>
      </c>
    </row>
    <row r="5407">
      <c r="A5407" s="499" t="s">
        <v>11922</v>
      </c>
    </row>
    <row r="5408">
      <c r="A5408" s="499" t="s">
        <v>11923</v>
      </c>
    </row>
    <row r="5409">
      <c r="A5409" s="499" t="s">
        <v>11924</v>
      </c>
    </row>
    <row r="5410">
      <c r="A5410" s="499" t="s">
        <v>11925</v>
      </c>
    </row>
    <row r="5411">
      <c r="A5411" s="499" t="s">
        <v>11926</v>
      </c>
    </row>
    <row r="5412">
      <c r="A5412" s="499" t="s">
        <v>11927</v>
      </c>
    </row>
    <row r="5413">
      <c r="A5413" s="499" t="s">
        <v>11928</v>
      </c>
    </row>
    <row r="5414">
      <c r="A5414" s="499" t="s">
        <v>11929</v>
      </c>
    </row>
    <row r="5415">
      <c r="A5415" s="499" t="s">
        <v>11930</v>
      </c>
    </row>
    <row r="5416">
      <c r="A5416" s="499" t="s">
        <v>11931</v>
      </c>
    </row>
    <row r="5417">
      <c r="A5417" s="499" t="s">
        <v>11932</v>
      </c>
    </row>
    <row r="5418">
      <c r="A5418" s="499" t="s">
        <v>11933</v>
      </c>
    </row>
    <row r="5419">
      <c r="A5419" s="499" t="s">
        <v>11934</v>
      </c>
    </row>
    <row r="5420">
      <c r="A5420" s="499" t="s">
        <v>11935</v>
      </c>
    </row>
    <row r="5421">
      <c r="A5421" s="499" t="s">
        <v>11936</v>
      </c>
    </row>
    <row r="5422">
      <c r="A5422" s="499" t="s">
        <v>11937</v>
      </c>
    </row>
    <row r="5423">
      <c r="A5423" s="499" t="s">
        <v>11938</v>
      </c>
    </row>
    <row r="5424">
      <c r="A5424" s="499" t="s">
        <v>11939</v>
      </c>
    </row>
    <row r="5425">
      <c r="A5425" s="499" t="s">
        <v>11940</v>
      </c>
    </row>
    <row r="5426">
      <c r="A5426" s="499" t="s">
        <v>11941</v>
      </c>
    </row>
    <row r="5427">
      <c r="A5427" s="499" t="s">
        <v>37</v>
      </c>
    </row>
    <row r="5428">
      <c r="A5428" s="499" t="s">
        <v>11942</v>
      </c>
    </row>
    <row r="5429">
      <c r="A5429" s="499" t="s">
        <v>11943</v>
      </c>
    </row>
    <row r="5430">
      <c r="A5430" s="499" t="s">
        <v>11944</v>
      </c>
    </row>
    <row r="5431">
      <c r="A5431" s="499" t="s">
        <v>11945</v>
      </c>
    </row>
    <row r="5432">
      <c r="A5432" s="499" t="s">
        <v>11946</v>
      </c>
    </row>
    <row r="5433">
      <c r="A5433" s="499" t="s">
        <v>11947</v>
      </c>
    </row>
    <row r="5434">
      <c r="A5434" s="499" t="s">
        <v>11948</v>
      </c>
    </row>
    <row r="5435">
      <c r="A5435" s="499" t="s">
        <v>11949</v>
      </c>
    </row>
    <row r="5436">
      <c r="A5436" s="499" t="s">
        <v>11950</v>
      </c>
    </row>
    <row r="5437">
      <c r="A5437" s="499" t="s">
        <v>11951</v>
      </c>
    </row>
    <row r="5438">
      <c r="A5438" s="499" t="s">
        <v>11952</v>
      </c>
    </row>
    <row r="5439">
      <c r="A5439" s="499" t="s">
        <v>11953</v>
      </c>
    </row>
    <row r="5440">
      <c r="A5440" s="499" t="s">
        <v>11954</v>
      </c>
    </row>
    <row r="5441">
      <c r="A5441" s="499" t="s">
        <v>11955</v>
      </c>
    </row>
    <row r="5442">
      <c r="A5442" s="499" t="s">
        <v>11956</v>
      </c>
    </row>
    <row r="5443">
      <c r="A5443" s="499" t="s">
        <v>11957</v>
      </c>
    </row>
    <row r="5444">
      <c r="A5444" s="499" t="s">
        <v>11958</v>
      </c>
    </row>
    <row r="5445">
      <c r="A5445" s="499" t="s">
        <v>11959</v>
      </c>
    </row>
    <row r="5446">
      <c r="A5446" s="499" t="s">
        <v>11960</v>
      </c>
    </row>
    <row r="5447">
      <c r="A5447" s="499" t="s">
        <v>11961</v>
      </c>
    </row>
    <row r="5448">
      <c r="A5448" s="499" t="s">
        <v>11962</v>
      </c>
    </row>
    <row r="5449">
      <c r="A5449" s="499" t="s">
        <v>11963</v>
      </c>
    </row>
    <row r="5450">
      <c r="A5450" s="499" t="s">
        <v>11964</v>
      </c>
    </row>
    <row r="5451">
      <c r="A5451" s="499" t="s">
        <v>11965</v>
      </c>
    </row>
    <row r="5452">
      <c r="A5452" s="499" t="s">
        <v>11966</v>
      </c>
    </row>
    <row r="5453">
      <c r="A5453" s="499" t="s">
        <v>11967</v>
      </c>
    </row>
    <row r="5454">
      <c r="A5454" s="499" t="s">
        <v>11968</v>
      </c>
    </row>
    <row r="5455">
      <c r="A5455" s="499" t="s">
        <v>11969</v>
      </c>
    </row>
    <row r="5456">
      <c r="A5456" s="499" t="s">
        <v>41</v>
      </c>
    </row>
    <row r="5457">
      <c r="A5457" s="499" t="s">
        <v>45</v>
      </c>
    </row>
    <row r="5458">
      <c r="A5458" s="499" t="s">
        <v>11970</v>
      </c>
    </row>
    <row r="5459">
      <c r="A5459" s="499" t="s">
        <v>11971</v>
      </c>
    </row>
    <row r="5460">
      <c r="A5460" s="499" t="s">
        <v>11972</v>
      </c>
    </row>
    <row r="5461">
      <c r="A5461" s="499" t="s">
        <v>11973</v>
      </c>
    </row>
    <row r="5462">
      <c r="A5462" s="499" t="s">
        <v>11974</v>
      </c>
    </row>
    <row r="5463">
      <c r="A5463" s="499" t="s">
        <v>11975</v>
      </c>
    </row>
    <row r="5464">
      <c r="A5464" s="499" t="s">
        <v>11976</v>
      </c>
    </row>
    <row r="5465">
      <c r="A5465" s="499" t="s">
        <v>11977</v>
      </c>
    </row>
    <row r="5466">
      <c r="A5466" s="499" t="s">
        <v>11978</v>
      </c>
    </row>
    <row r="5467">
      <c r="A5467" s="499" t="s">
        <v>11979</v>
      </c>
    </row>
    <row r="5468">
      <c r="A5468" s="499" t="s">
        <v>11980</v>
      </c>
    </row>
    <row r="5469">
      <c r="A5469" s="499" t="s">
        <v>11981</v>
      </c>
    </row>
    <row r="5470">
      <c r="A5470" s="499" t="s">
        <v>11982</v>
      </c>
    </row>
    <row r="5471">
      <c r="A5471" s="499" t="s">
        <v>11983</v>
      </c>
    </row>
    <row r="5472">
      <c r="A5472" s="499" t="s">
        <v>11984</v>
      </c>
    </row>
    <row r="5473">
      <c r="A5473" s="499" t="s">
        <v>11985</v>
      </c>
    </row>
    <row r="5474">
      <c r="A5474" s="499" t="s">
        <v>11986</v>
      </c>
    </row>
    <row r="5475">
      <c r="A5475" s="499" t="s">
        <v>11987</v>
      </c>
    </row>
    <row r="5476">
      <c r="A5476" s="499" t="s">
        <v>11988</v>
      </c>
    </row>
    <row r="5477">
      <c r="A5477" s="499" t="s">
        <v>11989</v>
      </c>
    </row>
    <row r="5478">
      <c r="A5478" s="499" t="s">
        <v>11990</v>
      </c>
    </row>
    <row r="5479">
      <c r="A5479" s="499" t="s">
        <v>11991</v>
      </c>
    </row>
    <row r="5480">
      <c r="A5480" s="499" t="s">
        <v>11992</v>
      </c>
    </row>
    <row r="5481">
      <c r="A5481" s="499" t="s">
        <v>11993</v>
      </c>
    </row>
    <row r="5482">
      <c r="A5482" s="499" t="s">
        <v>11994</v>
      </c>
    </row>
    <row r="5483">
      <c r="A5483" s="499" t="s">
        <v>11995</v>
      </c>
    </row>
    <row r="5484">
      <c r="A5484" s="499" t="s">
        <v>11996</v>
      </c>
    </row>
    <row r="5485">
      <c r="A5485" s="499" t="s">
        <v>11997</v>
      </c>
    </row>
    <row r="5486">
      <c r="A5486" s="499" t="s">
        <v>11998</v>
      </c>
    </row>
    <row r="5487">
      <c r="A5487" s="499" t="s">
        <v>11999</v>
      </c>
    </row>
    <row r="5488">
      <c r="A5488" s="499" t="s">
        <v>12000</v>
      </c>
    </row>
    <row r="5489">
      <c r="A5489" s="499" t="s">
        <v>12001</v>
      </c>
    </row>
    <row r="5490">
      <c r="A5490" s="499" t="s">
        <v>12002</v>
      </c>
    </row>
    <row r="5491">
      <c r="A5491" s="499" t="s">
        <v>12003</v>
      </c>
    </row>
    <row r="5492">
      <c r="A5492" s="499" t="s">
        <v>12004</v>
      </c>
    </row>
    <row r="5493">
      <c r="A5493" s="499" t="s">
        <v>12005</v>
      </c>
    </row>
    <row r="5494">
      <c r="A5494" s="499" t="s">
        <v>12006</v>
      </c>
    </row>
    <row r="5495">
      <c r="A5495" s="499" t="s">
        <v>12007</v>
      </c>
    </row>
    <row r="5496">
      <c r="A5496" s="499" t="s">
        <v>12008</v>
      </c>
    </row>
    <row r="5497">
      <c r="A5497" s="499" t="s">
        <v>47</v>
      </c>
    </row>
    <row r="5498">
      <c r="A5498" s="499" t="s">
        <v>50</v>
      </c>
    </row>
    <row r="5499">
      <c r="A5499" s="499" t="s">
        <v>12009</v>
      </c>
    </row>
    <row r="5500">
      <c r="A5500" s="499" t="s">
        <v>12010</v>
      </c>
    </row>
    <row r="5501">
      <c r="A5501" s="499" t="s">
        <v>207</v>
      </c>
    </row>
    <row r="5502">
      <c r="A5502" s="499" t="s">
        <v>211</v>
      </c>
    </row>
    <row r="5503">
      <c r="A5503" s="499" t="s">
        <v>209</v>
      </c>
    </row>
    <row r="5504">
      <c r="A5504" s="499" t="s">
        <v>12011</v>
      </c>
    </row>
    <row r="5505">
      <c r="A5505" s="499" t="s">
        <v>12012</v>
      </c>
    </row>
    <row r="5506">
      <c r="A5506" s="499" t="s">
        <v>12013</v>
      </c>
    </row>
    <row r="5507">
      <c r="A5507" s="499" t="s">
        <v>12014</v>
      </c>
    </row>
    <row r="5508">
      <c r="A5508" s="499" t="s">
        <v>12015</v>
      </c>
    </row>
    <row r="5509">
      <c r="A5509" s="499" t="s">
        <v>12016</v>
      </c>
    </row>
    <row r="5510">
      <c r="A5510" s="499" t="s">
        <v>12017</v>
      </c>
    </row>
    <row r="5511">
      <c r="A5511" s="499" t="s">
        <v>12018</v>
      </c>
    </row>
    <row r="5512">
      <c r="A5512" s="499" t="s">
        <v>12019</v>
      </c>
    </row>
    <row r="5513">
      <c r="A5513" s="499" t="s">
        <v>12020</v>
      </c>
    </row>
    <row r="5514">
      <c r="A5514" s="499" t="s">
        <v>71</v>
      </c>
    </row>
    <row r="5515">
      <c r="A5515" s="499" t="s">
        <v>74</v>
      </c>
    </row>
    <row r="5516">
      <c r="A5516" s="499" t="s">
        <v>67</v>
      </c>
    </row>
    <row r="5517">
      <c r="A5517" s="499" t="s">
        <v>63</v>
      </c>
    </row>
    <row r="5518">
      <c r="A5518" s="499" t="s">
        <v>65</v>
      </c>
    </row>
    <row r="5519">
      <c r="A5519" s="499" t="s">
        <v>60</v>
      </c>
    </row>
    <row r="5520">
      <c r="A5520" s="499" t="s">
        <v>80</v>
      </c>
    </row>
    <row r="5521">
      <c r="A5521" s="499" t="s">
        <v>82</v>
      </c>
    </row>
    <row r="5522">
      <c r="A5522" s="499" t="s">
        <v>69</v>
      </c>
    </row>
    <row r="5523">
      <c r="A5523" s="499" t="s">
        <v>54</v>
      </c>
    </row>
    <row r="5524">
      <c r="A5524" s="499" t="s">
        <v>57</v>
      </c>
    </row>
    <row r="5525">
      <c r="A5525" s="499" t="s">
        <v>76</v>
      </c>
    </row>
    <row r="5526">
      <c r="A5526" s="499" t="s">
        <v>12021</v>
      </c>
    </row>
    <row r="5527">
      <c r="A5527" s="499" t="s">
        <v>182</v>
      </c>
    </row>
    <row r="5528">
      <c r="A5528" s="499" t="s">
        <v>184</v>
      </c>
    </row>
    <row r="5529">
      <c r="A5529" s="499" t="s">
        <v>215</v>
      </c>
    </row>
    <row r="5530">
      <c r="A5530" s="499" t="s">
        <v>219</v>
      </c>
    </row>
    <row r="5531">
      <c r="A5531" s="499" t="s">
        <v>223</v>
      </c>
    </row>
    <row r="5532">
      <c r="A5532" s="499" t="s">
        <v>227</v>
      </c>
    </row>
    <row r="5533">
      <c r="A5533" s="499" t="s">
        <v>230</v>
      </c>
    </row>
    <row r="5534">
      <c r="A5534" s="499" t="s">
        <v>233</v>
      </c>
    </row>
    <row r="5535">
      <c r="A5535" s="499" t="s">
        <v>236</v>
      </c>
    </row>
    <row r="5536">
      <c r="A5536" s="499" t="s">
        <v>239</v>
      </c>
    </row>
    <row r="5537">
      <c r="A5537" s="499" t="s">
        <v>242</v>
      </c>
    </row>
    <row r="5538">
      <c r="A5538" s="499" t="s">
        <v>12022</v>
      </c>
    </row>
    <row r="5539">
      <c r="A5539" s="499" t="s">
        <v>245</v>
      </c>
    </row>
    <row r="5540">
      <c r="A5540" s="499" t="s">
        <v>12023</v>
      </c>
    </row>
    <row r="5541">
      <c r="A5541" s="499" t="s">
        <v>12024</v>
      </c>
    </row>
    <row r="5542">
      <c r="A5542" s="499" t="s">
        <v>12025</v>
      </c>
    </row>
    <row r="5543">
      <c r="A5543" s="499" t="s">
        <v>12026</v>
      </c>
    </row>
    <row r="5544">
      <c r="A5544" s="499" t="s">
        <v>12027</v>
      </c>
    </row>
    <row r="5545">
      <c r="A5545" s="499" t="s">
        <v>12028</v>
      </c>
    </row>
    <row r="5546">
      <c r="A5546" s="499" t="s">
        <v>12029</v>
      </c>
    </row>
    <row r="5547">
      <c r="A5547" s="499" t="s">
        <v>12030</v>
      </c>
    </row>
    <row r="5548">
      <c r="A5548" s="499" t="s">
        <v>12031</v>
      </c>
    </row>
    <row r="5549">
      <c r="A5549" s="499" t="s">
        <v>12032</v>
      </c>
    </row>
    <row r="5550">
      <c r="A5550" s="499" t="s">
        <v>12033</v>
      </c>
    </row>
    <row r="5551">
      <c r="A5551" s="499" t="s">
        <v>12034</v>
      </c>
    </row>
    <row r="5552">
      <c r="A5552" s="499" t="s">
        <v>12035</v>
      </c>
    </row>
    <row r="5553">
      <c r="A5553" s="499" t="s">
        <v>12036</v>
      </c>
    </row>
    <row r="5554">
      <c r="A5554" s="499" t="s">
        <v>12037</v>
      </c>
    </row>
    <row r="5555">
      <c r="A5555" s="499" t="s">
        <v>12038</v>
      </c>
    </row>
    <row r="5556">
      <c r="A5556" s="499" t="s">
        <v>12039</v>
      </c>
    </row>
    <row r="5557">
      <c r="A5557" s="499" t="s">
        <v>12040</v>
      </c>
    </row>
    <row r="5558">
      <c r="A5558" s="499" t="s">
        <v>12041</v>
      </c>
    </row>
    <row r="5559">
      <c r="A5559" s="499" t="s">
        <v>12042</v>
      </c>
    </row>
    <row r="5560">
      <c r="A5560" s="499" t="s">
        <v>12043</v>
      </c>
    </row>
    <row r="5561">
      <c r="A5561" s="499" t="s">
        <v>12044</v>
      </c>
    </row>
    <row r="5562">
      <c r="A5562" s="499" t="s">
        <v>12045</v>
      </c>
    </row>
    <row r="5563">
      <c r="A5563" s="499" t="s">
        <v>12046</v>
      </c>
    </row>
    <row r="5564">
      <c r="A5564" s="499" t="s">
        <v>12047</v>
      </c>
    </row>
    <row r="5565">
      <c r="A5565" s="499" t="s">
        <v>12048</v>
      </c>
    </row>
    <row r="5566">
      <c r="A5566" s="499" t="s">
        <v>12049</v>
      </c>
    </row>
    <row r="5567">
      <c r="A5567" s="499" t="s">
        <v>12050</v>
      </c>
    </row>
    <row r="5568">
      <c r="A5568" s="499" t="s">
        <v>12051</v>
      </c>
    </row>
    <row r="5569">
      <c r="A5569" s="499" t="s">
        <v>12052</v>
      </c>
    </row>
    <row r="5570">
      <c r="A5570" s="499" t="s">
        <v>12053</v>
      </c>
    </row>
    <row r="5571">
      <c r="A5571" s="499" t="s">
        <v>12054</v>
      </c>
    </row>
    <row r="5572">
      <c r="A5572" s="499" t="s">
        <v>12055</v>
      </c>
    </row>
    <row r="5573">
      <c r="A5573" s="499" t="s">
        <v>12056</v>
      </c>
    </row>
    <row r="5574">
      <c r="A5574" s="499" t="s">
        <v>12057</v>
      </c>
    </row>
    <row r="5575">
      <c r="A5575" s="499" t="s">
        <v>12058</v>
      </c>
    </row>
    <row r="5576">
      <c r="A5576" s="499" t="s">
        <v>12059</v>
      </c>
    </row>
    <row r="5577">
      <c r="A5577" s="499" t="s">
        <v>12060</v>
      </c>
    </row>
    <row r="5578">
      <c r="A5578" s="499" t="s">
        <v>12061</v>
      </c>
    </row>
    <row r="5579">
      <c r="A5579" s="499" t="s">
        <v>12062</v>
      </c>
    </row>
    <row r="5580">
      <c r="A5580" s="499" t="s">
        <v>12063</v>
      </c>
    </row>
    <row r="5581">
      <c r="A5581" s="499" t="s">
        <v>12064</v>
      </c>
    </row>
    <row r="5582">
      <c r="A5582" s="499" t="s">
        <v>12065</v>
      </c>
    </row>
    <row r="5583">
      <c r="A5583" s="499" t="s">
        <v>12066</v>
      </c>
    </row>
    <row r="5584">
      <c r="A5584" s="499" t="s">
        <v>12067</v>
      </c>
    </row>
    <row r="5585">
      <c r="A5585" s="499" t="s">
        <v>265</v>
      </c>
    </row>
    <row r="5586">
      <c r="A5586" s="499" t="s">
        <v>280</v>
      </c>
    </row>
    <row r="5587">
      <c r="A5587" s="499" t="s">
        <v>286</v>
      </c>
    </row>
    <row r="5588">
      <c r="A5588" s="499" t="s">
        <v>295</v>
      </c>
    </row>
    <row r="5589">
      <c r="A5589" s="499" t="s">
        <v>253</v>
      </c>
    </row>
    <row r="5590">
      <c r="A5590" s="499" t="s">
        <v>256</v>
      </c>
    </row>
    <row r="5591">
      <c r="A5591" s="499" t="s">
        <v>268</v>
      </c>
    </row>
    <row r="5592">
      <c r="A5592" s="499" t="s">
        <v>271</v>
      </c>
    </row>
    <row r="5593">
      <c r="A5593" s="499" t="s">
        <v>262</v>
      </c>
    </row>
    <row r="5594">
      <c r="A5594" s="499" t="s">
        <v>277</v>
      </c>
    </row>
    <row r="5595">
      <c r="A5595" s="499" t="s">
        <v>213</v>
      </c>
    </row>
    <row r="5596">
      <c r="A5596" s="499" t="s">
        <v>283</v>
      </c>
    </row>
    <row r="5597">
      <c r="A5597" s="499" t="s">
        <v>292</v>
      </c>
    </row>
    <row r="5598">
      <c r="A5598" s="499" t="s">
        <v>250</v>
      </c>
    </row>
    <row r="5599">
      <c r="A5599" s="499" t="s">
        <v>259</v>
      </c>
    </row>
    <row r="5600">
      <c r="A5600" s="499" t="s">
        <v>274</v>
      </c>
    </row>
    <row r="5601">
      <c r="A5601" s="499" t="s">
        <v>289</v>
      </c>
    </row>
    <row r="5602">
      <c r="A5602" s="499" t="s">
        <v>248</v>
      </c>
    </row>
    <row r="5603">
      <c r="A5603" s="499" t="s">
        <v>12068</v>
      </c>
    </row>
    <row r="5604">
      <c r="A5604" s="499" t="s">
        <v>12069</v>
      </c>
    </row>
    <row r="5605">
      <c r="A5605" s="499" t="s">
        <v>12070</v>
      </c>
    </row>
    <row r="5606">
      <c r="A5606" s="499" t="s">
        <v>12071</v>
      </c>
    </row>
    <row r="5607">
      <c r="A5607" s="499" t="s">
        <v>12072</v>
      </c>
    </row>
    <row r="5608">
      <c r="A5608" s="499" t="s">
        <v>12073</v>
      </c>
    </row>
    <row r="5609">
      <c r="A5609" s="499" t="s">
        <v>12074</v>
      </c>
    </row>
    <row r="5610">
      <c r="A5610" s="499" t="s">
        <v>12075</v>
      </c>
    </row>
    <row r="5611">
      <c r="A5611" s="499" t="s">
        <v>12076</v>
      </c>
    </row>
    <row r="5612">
      <c r="A5612" s="499" t="s">
        <v>298</v>
      </c>
    </row>
    <row r="5613">
      <c r="A5613" s="499" t="s">
        <v>300</v>
      </c>
    </row>
    <row r="5614">
      <c r="A5614" s="499" t="s">
        <v>305</v>
      </c>
    </row>
    <row r="5615">
      <c r="A5615" s="499" t="s">
        <v>308</v>
      </c>
    </row>
    <row r="5616">
      <c r="A5616" s="499" t="s">
        <v>311</v>
      </c>
    </row>
    <row r="5617">
      <c r="A5617" s="499" t="s">
        <v>314</v>
      </c>
    </row>
    <row r="5618">
      <c r="A5618" s="499" t="s">
        <v>6785</v>
      </c>
    </row>
    <row r="5619">
      <c r="A5619" s="499" t="s">
        <v>316</v>
      </c>
    </row>
    <row r="5620">
      <c r="A5620" s="499" t="s">
        <v>319</v>
      </c>
    </row>
    <row r="5621">
      <c r="A5621" s="499" t="s">
        <v>322</v>
      </c>
    </row>
    <row r="5622">
      <c r="A5622" s="499" t="s">
        <v>302</v>
      </c>
    </row>
    <row r="5623">
      <c r="A5623" s="499" t="s">
        <v>12077</v>
      </c>
    </row>
    <row r="5624">
      <c r="A5624" s="499" t="s">
        <v>12078</v>
      </c>
    </row>
    <row r="5625">
      <c r="A5625" s="499" t="s">
        <v>12079</v>
      </c>
    </row>
    <row r="5626">
      <c r="A5626" s="499" t="s">
        <v>12080</v>
      </c>
    </row>
    <row r="5627">
      <c r="A5627" s="499" t="s">
        <v>12081</v>
      </c>
    </row>
    <row r="5628">
      <c r="A5628" s="499" t="s">
        <v>12082</v>
      </c>
    </row>
    <row r="5629">
      <c r="A5629" s="499" t="s">
        <v>12083</v>
      </c>
    </row>
    <row r="5630">
      <c r="A5630" s="499" t="s">
        <v>12084</v>
      </c>
    </row>
    <row r="5631">
      <c r="A5631" s="499" t="s">
        <v>337</v>
      </c>
    </row>
    <row r="5632">
      <c r="A5632" s="499" t="s">
        <v>355</v>
      </c>
    </row>
    <row r="5633">
      <c r="A5633" s="499" t="s">
        <v>331</v>
      </c>
    </row>
    <row r="5634">
      <c r="A5634" s="499" t="s">
        <v>359</v>
      </c>
    </row>
    <row r="5635">
      <c r="A5635" s="499" t="s">
        <v>375</v>
      </c>
    </row>
    <row r="5636">
      <c r="A5636" s="499" t="s">
        <v>381</v>
      </c>
    </row>
    <row r="5637">
      <c r="A5637" s="499" t="s">
        <v>383</v>
      </c>
    </row>
    <row r="5638">
      <c r="A5638" s="499" t="s">
        <v>389</v>
      </c>
    </row>
    <row r="5639">
      <c r="A5639" s="499" t="s">
        <v>391</v>
      </c>
    </row>
    <row r="5640">
      <c r="A5640" s="499" t="s">
        <v>399</v>
      </c>
    </row>
    <row r="5641">
      <c r="A5641" s="499" t="s">
        <v>407</v>
      </c>
    </row>
    <row r="5642">
      <c r="A5642" s="499" t="s">
        <v>409</v>
      </c>
    </row>
    <row r="5643">
      <c r="A5643" s="499" t="s">
        <v>413</v>
      </c>
    </row>
    <row r="5644">
      <c r="A5644" s="499" t="s">
        <v>417</v>
      </c>
    </row>
    <row r="5645">
      <c r="A5645" s="499" t="s">
        <v>421</v>
      </c>
    </row>
    <row r="5646">
      <c r="A5646" s="499" t="s">
        <v>419</v>
      </c>
    </row>
    <row r="5647">
      <c r="A5647" s="499" t="s">
        <v>423</v>
      </c>
    </row>
    <row r="5648">
      <c r="A5648" s="499" t="s">
        <v>427</v>
      </c>
    </row>
    <row r="5649">
      <c r="A5649" s="499" t="s">
        <v>327</v>
      </c>
    </row>
    <row r="5650">
      <c r="A5650" s="499" t="s">
        <v>333</v>
      </c>
    </row>
    <row r="5651">
      <c r="A5651" s="499" t="s">
        <v>335</v>
      </c>
    </row>
    <row r="5652">
      <c r="A5652" s="499" t="s">
        <v>339</v>
      </c>
    </row>
    <row r="5653">
      <c r="A5653" s="499" t="s">
        <v>341</v>
      </c>
    </row>
    <row r="5654">
      <c r="A5654" s="499" t="s">
        <v>349</v>
      </c>
    </row>
    <row r="5655">
      <c r="A5655" s="499" t="s">
        <v>351</v>
      </c>
    </row>
    <row r="5656">
      <c r="A5656" s="499" t="s">
        <v>12085</v>
      </c>
    </row>
    <row r="5657">
      <c r="A5657" s="499" t="s">
        <v>369</v>
      </c>
    </row>
    <row r="5658">
      <c r="A5658" s="499" t="s">
        <v>12086</v>
      </c>
    </row>
    <row r="5659">
      <c r="A5659" s="499" t="s">
        <v>12087</v>
      </c>
    </row>
    <row r="5660">
      <c r="A5660" s="499" t="s">
        <v>396</v>
      </c>
    </row>
    <row r="5661">
      <c r="A5661" s="499" t="s">
        <v>367</v>
      </c>
    </row>
    <row r="5662">
      <c r="A5662" s="499" t="s">
        <v>12088</v>
      </c>
    </row>
    <row r="5663">
      <c r="A5663" s="499" t="s">
        <v>12089</v>
      </c>
    </row>
    <row r="5664">
      <c r="A5664" s="499" t="s">
        <v>401</v>
      </c>
    </row>
    <row r="5665">
      <c r="A5665" s="499" t="s">
        <v>377</v>
      </c>
    </row>
    <row r="5666">
      <c r="A5666" s="499" t="s">
        <v>345</v>
      </c>
    </row>
    <row r="5667">
      <c r="A5667" s="499" t="s">
        <v>12090</v>
      </c>
    </row>
    <row r="5668">
      <c r="A5668" s="499" t="s">
        <v>371</v>
      </c>
    </row>
    <row r="5669">
      <c r="A5669" s="499" t="s">
        <v>12091</v>
      </c>
    </row>
    <row r="5670">
      <c r="A5670" s="499" t="s">
        <v>403</v>
      </c>
    </row>
    <row r="5671">
      <c r="A5671" s="499" t="s">
        <v>429</v>
      </c>
    </row>
    <row r="5672">
      <c r="A5672" s="499" t="s">
        <v>12092</v>
      </c>
    </row>
    <row r="5673">
      <c r="A5673" s="499" t="s">
        <v>357</v>
      </c>
    </row>
    <row r="5674">
      <c r="A5674" s="499" t="s">
        <v>353</v>
      </c>
    </row>
    <row r="5675">
      <c r="A5675" s="499" t="s">
        <v>387</v>
      </c>
    </row>
    <row r="5676">
      <c r="A5676" s="499" t="s">
        <v>393</v>
      </c>
    </row>
    <row r="5677">
      <c r="A5677" s="499" t="s">
        <v>397</v>
      </c>
    </row>
    <row r="5678">
      <c r="A5678" s="499" t="s">
        <v>405</v>
      </c>
    </row>
    <row r="5679">
      <c r="A5679" s="499" t="s">
        <v>365</v>
      </c>
    </row>
    <row r="5680">
      <c r="A5680" s="499" t="s">
        <v>373</v>
      </c>
    </row>
    <row r="5681">
      <c r="A5681" s="499" t="s">
        <v>379</v>
      </c>
    </row>
    <row r="5682">
      <c r="A5682" s="499" t="s">
        <v>361</v>
      </c>
    </row>
    <row r="5683">
      <c r="A5683" s="499" t="s">
        <v>329</v>
      </c>
    </row>
    <row r="5684">
      <c r="A5684" s="499" t="s">
        <v>325</v>
      </c>
    </row>
    <row r="5685">
      <c r="A5685" s="499" t="s">
        <v>12093</v>
      </c>
    </row>
    <row r="5686">
      <c r="A5686" s="499" t="s">
        <v>425</v>
      </c>
    </row>
    <row r="5687">
      <c r="A5687" s="499" t="s">
        <v>12094</v>
      </c>
    </row>
    <row r="5688">
      <c r="A5688" s="499" t="s">
        <v>12095</v>
      </c>
    </row>
    <row r="5689">
      <c r="A5689" s="499" t="s">
        <v>415</v>
      </c>
    </row>
    <row r="5690">
      <c r="A5690" s="499" t="s">
        <v>12096</v>
      </c>
    </row>
    <row r="5691">
      <c r="A5691" s="499" t="s">
        <v>12097</v>
      </c>
    </row>
    <row r="5692">
      <c r="A5692" s="499" t="s">
        <v>363</v>
      </c>
    </row>
    <row r="5693">
      <c r="A5693" s="499" t="s">
        <v>347</v>
      </c>
    </row>
    <row r="5694">
      <c r="A5694" s="499" t="s">
        <v>385</v>
      </c>
    </row>
    <row r="5695">
      <c r="A5695" s="499" t="s">
        <v>12098</v>
      </c>
    </row>
    <row r="5696">
      <c r="A5696" s="499" t="s">
        <v>12099</v>
      </c>
    </row>
    <row r="5697">
      <c r="A5697" s="499" t="s">
        <v>343</v>
      </c>
    </row>
    <row r="5698">
      <c r="A5698" s="499" t="s">
        <v>411</v>
      </c>
    </row>
    <row r="5699">
      <c r="A5699" s="499" t="s">
        <v>12100</v>
      </c>
    </row>
    <row r="5700">
      <c r="A5700" s="499" t="s">
        <v>12101</v>
      </c>
    </row>
    <row r="5701">
      <c r="A5701" s="499" t="s">
        <v>12102</v>
      </c>
    </row>
    <row r="5702">
      <c r="A5702" s="499" t="s">
        <v>12103</v>
      </c>
    </row>
    <row r="5703">
      <c r="A5703" s="499" t="s">
        <v>12104</v>
      </c>
    </row>
    <row r="5704">
      <c r="A5704" s="499" t="s">
        <v>12105</v>
      </c>
    </row>
    <row r="5705">
      <c r="A5705" s="499" t="s">
        <v>12106</v>
      </c>
    </row>
    <row r="5706">
      <c r="A5706" s="499" t="s">
        <v>12107</v>
      </c>
    </row>
    <row r="5707">
      <c r="A5707" s="499" t="s">
        <v>12108</v>
      </c>
    </row>
    <row r="5708">
      <c r="A5708" s="499" t="s">
        <v>12109</v>
      </c>
    </row>
    <row r="5709">
      <c r="A5709" s="499" t="s">
        <v>12110</v>
      </c>
    </row>
    <row r="5710">
      <c r="A5710" s="499" t="s">
        <v>12111</v>
      </c>
    </row>
    <row r="5711">
      <c r="A5711" s="499" t="s">
        <v>12112</v>
      </c>
    </row>
    <row r="5712">
      <c r="A5712" s="499" t="s">
        <v>12113</v>
      </c>
    </row>
    <row r="5713">
      <c r="A5713" s="499" t="s">
        <v>12114</v>
      </c>
    </row>
    <row r="5714">
      <c r="A5714" s="499" t="s">
        <v>12115</v>
      </c>
    </row>
    <row r="5715">
      <c r="A5715" s="499" t="s">
        <v>12116</v>
      </c>
    </row>
    <row r="5716">
      <c r="A5716" s="499" t="s">
        <v>12117</v>
      </c>
    </row>
    <row r="5717">
      <c r="A5717" s="499" t="s">
        <v>12118</v>
      </c>
    </row>
    <row r="5718">
      <c r="A5718" s="499" t="s">
        <v>12119</v>
      </c>
    </row>
    <row r="5719">
      <c r="A5719" s="499" t="s">
        <v>12120</v>
      </c>
    </row>
    <row r="5720">
      <c r="A5720" s="499" t="s">
        <v>12121</v>
      </c>
    </row>
    <row r="5721">
      <c r="A5721" s="499" t="s">
        <v>12122</v>
      </c>
    </row>
    <row r="5722">
      <c r="A5722" s="499" t="s">
        <v>12123</v>
      </c>
    </row>
    <row r="5723">
      <c r="A5723" s="499" t="s">
        <v>12124</v>
      </c>
    </row>
    <row r="5724">
      <c r="A5724" s="499" t="s">
        <v>12125</v>
      </c>
    </row>
    <row r="5725">
      <c r="A5725" s="499" t="s">
        <v>12126</v>
      </c>
    </row>
    <row r="5726">
      <c r="A5726" s="499" t="s">
        <v>12127</v>
      </c>
    </row>
    <row r="5727">
      <c r="A5727" s="499" t="s">
        <v>12128</v>
      </c>
    </row>
    <row r="5728">
      <c r="A5728" s="499" t="s">
        <v>12129</v>
      </c>
    </row>
    <row r="5729">
      <c r="A5729" s="499" t="s">
        <v>12130</v>
      </c>
    </row>
    <row r="5730">
      <c r="A5730" s="499" t="s">
        <v>12131</v>
      </c>
    </row>
    <row r="5731">
      <c r="A5731" s="499" t="s">
        <v>12132</v>
      </c>
    </row>
    <row r="5732">
      <c r="A5732" s="499" t="s">
        <v>12133</v>
      </c>
    </row>
    <row r="5733">
      <c r="A5733" s="499" t="s">
        <v>12134</v>
      </c>
    </row>
    <row r="5734">
      <c r="A5734" s="499" t="s">
        <v>12135</v>
      </c>
    </row>
    <row r="5735">
      <c r="A5735" s="499" t="s">
        <v>12136</v>
      </c>
    </row>
    <row r="5736">
      <c r="A5736" s="499" t="s">
        <v>12137</v>
      </c>
    </row>
    <row r="5737">
      <c r="A5737" s="499" t="s">
        <v>12138</v>
      </c>
    </row>
    <row r="5738">
      <c r="A5738" s="499" t="s">
        <v>12139</v>
      </c>
    </row>
    <row r="5739">
      <c r="A5739" s="499" t="s">
        <v>12140</v>
      </c>
    </row>
    <row r="5740">
      <c r="A5740" s="499" t="s">
        <v>12141</v>
      </c>
    </row>
    <row r="5741">
      <c r="A5741" s="499" t="s">
        <v>12142</v>
      </c>
    </row>
    <row r="5742">
      <c r="A5742" s="499" t="s">
        <v>12143</v>
      </c>
    </row>
    <row r="5743">
      <c r="A5743" s="499" t="s">
        <v>12144</v>
      </c>
    </row>
    <row r="5744">
      <c r="A5744" s="499" t="s">
        <v>12145</v>
      </c>
    </row>
    <row r="5745">
      <c r="A5745" s="499" t="s">
        <v>12146</v>
      </c>
    </row>
    <row r="5746">
      <c r="A5746" s="499" t="s">
        <v>12147</v>
      </c>
    </row>
    <row r="5747">
      <c r="A5747" s="499" t="s">
        <v>12148</v>
      </c>
    </row>
    <row r="5748">
      <c r="A5748" s="499" t="s">
        <v>12149</v>
      </c>
    </row>
    <row r="5749">
      <c r="A5749" s="499" t="s">
        <v>12150</v>
      </c>
    </row>
    <row r="5750">
      <c r="A5750" s="499" t="s">
        <v>12151</v>
      </c>
    </row>
    <row r="5751">
      <c r="A5751" s="499" t="s">
        <v>12152</v>
      </c>
    </row>
    <row r="5752">
      <c r="A5752" s="499" t="s">
        <v>12153</v>
      </c>
    </row>
    <row r="5753">
      <c r="A5753" s="499" t="s">
        <v>12154</v>
      </c>
    </row>
    <row r="5754">
      <c r="A5754" s="499" t="s">
        <v>12155</v>
      </c>
    </row>
    <row r="5755">
      <c r="A5755" s="499" t="s">
        <v>12156</v>
      </c>
    </row>
    <row r="5756">
      <c r="A5756" s="499" t="s">
        <v>12157</v>
      </c>
    </row>
    <row r="5757">
      <c r="A5757" s="499" t="s">
        <v>12158</v>
      </c>
    </row>
    <row r="5758">
      <c r="A5758" s="499" t="s">
        <v>12159</v>
      </c>
    </row>
    <row r="5759">
      <c r="A5759" s="499" t="s">
        <v>12160</v>
      </c>
    </row>
    <row r="5760">
      <c r="A5760" s="499" t="s">
        <v>12161</v>
      </c>
    </row>
    <row r="5761">
      <c r="A5761" s="499" t="s">
        <v>12162</v>
      </c>
    </row>
    <row r="5762">
      <c r="A5762" s="499" t="s">
        <v>12163</v>
      </c>
    </row>
    <row r="5763">
      <c r="A5763" s="499" t="s">
        <v>12164</v>
      </c>
    </row>
    <row r="5764">
      <c r="A5764" s="499" t="s">
        <v>12165</v>
      </c>
    </row>
    <row r="5765">
      <c r="A5765" s="499" t="s">
        <v>12166</v>
      </c>
    </row>
    <row r="5766">
      <c r="A5766" s="499" t="s">
        <v>12167</v>
      </c>
    </row>
    <row r="5767">
      <c r="A5767" s="499" t="s">
        <v>12168</v>
      </c>
    </row>
    <row r="5768">
      <c r="A5768" s="499" t="s">
        <v>12169</v>
      </c>
    </row>
    <row r="5769">
      <c r="A5769" s="499" t="s">
        <v>12170</v>
      </c>
    </row>
    <row r="5770">
      <c r="A5770" s="499" t="s">
        <v>12171</v>
      </c>
    </row>
    <row r="5771">
      <c r="A5771" s="499" t="s">
        <v>12172</v>
      </c>
    </row>
    <row r="5772">
      <c r="A5772" s="499" t="s">
        <v>12173</v>
      </c>
    </row>
    <row r="5773">
      <c r="A5773" s="499" t="s">
        <v>12174</v>
      </c>
    </row>
    <row r="5774">
      <c r="A5774" s="499" t="s">
        <v>12175</v>
      </c>
    </row>
    <row r="5775">
      <c r="A5775" s="499" t="s">
        <v>12176</v>
      </c>
    </row>
    <row r="5776">
      <c r="A5776" s="499" t="s">
        <v>12177</v>
      </c>
    </row>
    <row r="5777">
      <c r="A5777" s="499" t="s">
        <v>12178</v>
      </c>
    </row>
    <row r="5778">
      <c r="A5778" s="499" t="s">
        <v>12179</v>
      </c>
    </row>
    <row r="5779">
      <c r="A5779" s="499" t="s">
        <v>12180</v>
      </c>
    </row>
    <row r="5780">
      <c r="A5780" s="499" t="s">
        <v>12181</v>
      </c>
    </row>
    <row r="5781">
      <c r="A5781" s="499" t="s">
        <v>12182</v>
      </c>
    </row>
    <row r="5782">
      <c r="A5782" s="499" t="s">
        <v>12183</v>
      </c>
    </row>
    <row r="5783">
      <c r="A5783" s="499" t="s">
        <v>12184</v>
      </c>
    </row>
    <row r="5784">
      <c r="A5784" s="499" t="s">
        <v>12185</v>
      </c>
    </row>
    <row r="5785">
      <c r="A5785" s="499" t="s">
        <v>12186</v>
      </c>
    </row>
    <row r="5786">
      <c r="A5786" s="499" t="s">
        <v>12187</v>
      </c>
    </row>
    <row r="5787">
      <c r="A5787" s="499" t="s">
        <v>12188</v>
      </c>
    </row>
    <row r="5788">
      <c r="A5788" s="499" t="s">
        <v>12189</v>
      </c>
    </row>
    <row r="5789">
      <c r="A5789" s="499" t="s">
        <v>12190</v>
      </c>
    </row>
    <row r="5790">
      <c r="A5790" s="499" t="s">
        <v>12191</v>
      </c>
    </row>
    <row r="5791">
      <c r="A5791" s="499" t="s">
        <v>12192</v>
      </c>
    </row>
    <row r="5792">
      <c r="A5792" s="499" t="s">
        <v>12193</v>
      </c>
    </row>
    <row r="5793">
      <c r="A5793" s="499" t="s">
        <v>12194</v>
      </c>
    </row>
    <row r="5794">
      <c r="A5794" s="499" t="s">
        <v>12195</v>
      </c>
    </row>
    <row r="5795">
      <c r="A5795" s="499" t="s">
        <v>12196</v>
      </c>
    </row>
    <row r="5796">
      <c r="A5796" s="499" t="s">
        <v>12197</v>
      </c>
    </row>
    <row r="5797">
      <c r="A5797" s="499" t="s">
        <v>12198</v>
      </c>
    </row>
    <row r="5798">
      <c r="A5798" s="499" t="s">
        <v>12199</v>
      </c>
    </row>
    <row r="5799">
      <c r="A5799" s="499" t="s">
        <v>12200</v>
      </c>
    </row>
    <row r="5800">
      <c r="A5800" s="499" t="s">
        <v>12201</v>
      </c>
    </row>
    <row r="5801">
      <c r="A5801" s="499" t="s">
        <v>12202</v>
      </c>
    </row>
    <row r="5802">
      <c r="A5802" s="499" t="s">
        <v>12203</v>
      </c>
    </row>
    <row r="5803">
      <c r="A5803" s="499" t="s">
        <v>12204</v>
      </c>
    </row>
    <row r="5804">
      <c r="A5804" s="499" t="s">
        <v>12205</v>
      </c>
    </row>
    <row r="5805">
      <c r="A5805" s="499" t="s">
        <v>12206</v>
      </c>
    </row>
    <row r="5806">
      <c r="A5806" s="499" t="s">
        <v>12207</v>
      </c>
    </row>
    <row r="5807">
      <c r="A5807" s="499" t="s">
        <v>12208</v>
      </c>
    </row>
    <row r="5808">
      <c r="A5808" s="499" t="s">
        <v>12209</v>
      </c>
    </row>
    <row r="5809">
      <c r="A5809" s="499" t="s">
        <v>12210</v>
      </c>
    </row>
    <row r="5810">
      <c r="A5810" s="499" t="s">
        <v>12211</v>
      </c>
    </row>
    <row r="5811">
      <c r="A5811" s="499" t="s">
        <v>12212</v>
      </c>
    </row>
    <row r="5812">
      <c r="A5812" s="499" t="s">
        <v>12213</v>
      </c>
    </row>
    <row r="5813">
      <c r="A5813" s="499" t="s">
        <v>12214</v>
      </c>
    </row>
    <row r="5814">
      <c r="A5814" s="499" t="s">
        <v>12215</v>
      </c>
    </row>
    <row r="5815">
      <c r="A5815" s="499" t="s">
        <v>12216</v>
      </c>
    </row>
    <row r="5816">
      <c r="A5816" s="499" t="s">
        <v>12217</v>
      </c>
    </row>
    <row r="5817">
      <c r="A5817" s="499" t="s">
        <v>12218</v>
      </c>
    </row>
    <row r="5818">
      <c r="A5818" s="499" t="s">
        <v>12219</v>
      </c>
    </row>
    <row r="5819">
      <c r="A5819" s="499" t="s">
        <v>12220</v>
      </c>
    </row>
    <row r="5820">
      <c r="A5820" s="499" t="s">
        <v>12221</v>
      </c>
    </row>
    <row r="5821">
      <c r="A5821" s="499" t="s">
        <v>12222</v>
      </c>
    </row>
    <row r="5822">
      <c r="A5822" s="499" t="s">
        <v>12223</v>
      </c>
    </row>
    <row r="5823">
      <c r="A5823" s="499" t="s">
        <v>12224</v>
      </c>
    </row>
    <row r="5824">
      <c r="A5824" s="499" t="s">
        <v>12225</v>
      </c>
    </row>
    <row r="5825">
      <c r="A5825" s="499" t="s">
        <v>12226</v>
      </c>
    </row>
    <row r="5826">
      <c r="A5826" s="499" t="s">
        <v>12227</v>
      </c>
    </row>
    <row r="5827">
      <c r="A5827" s="499" t="s">
        <v>12228</v>
      </c>
    </row>
    <row r="5828">
      <c r="A5828" s="499" t="s">
        <v>12229</v>
      </c>
    </row>
    <row r="5829">
      <c r="A5829" s="499" t="s">
        <v>12230</v>
      </c>
    </row>
    <row r="5830">
      <c r="A5830" s="499" t="s">
        <v>12231</v>
      </c>
    </row>
    <row r="5831">
      <c r="A5831" s="499" t="s">
        <v>12232</v>
      </c>
    </row>
    <row r="5832">
      <c r="A5832" s="499" t="s">
        <v>12233</v>
      </c>
    </row>
    <row r="5833">
      <c r="A5833" s="499" t="s">
        <v>12234</v>
      </c>
    </row>
    <row r="5834">
      <c r="A5834" s="499" t="s">
        <v>12235</v>
      </c>
    </row>
    <row r="5835">
      <c r="A5835" s="499" t="s">
        <v>12236</v>
      </c>
    </row>
    <row r="5836">
      <c r="A5836" s="499" t="s">
        <v>12237</v>
      </c>
    </row>
    <row r="5837">
      <c r="A5837" s="499" t="s">
        <v>12238</v>
      </c>
    </row>
    <row r="5838">
      <c r="A5838" s="499" t="s">
        <v>12239</v>
      </c>
    </row>
    <row r="5839">
      <c r="A5839" s="499" t="s">
        <v>12240</v>
      </c>
    </row>
    <row r="5840">
      <c r="A5840" s="499" t="s">
        <v>12241</v>
      </c>
    </row>
    <row r="5841">
      <c r="A5841" s="499" t="s">
        <v>12242</v>
      </c>
    </row>
    <row r="5842">
      <c r="A5842" s="499" t="s">
        <v>12243</v>
      </c>
    </row>
    <row r="5843">
      <c r="A5843" s="499" t="s">
        <v>12244</v>
      </c>
    </row>
    <row r="5844">
      <c r="A5844" s="499" t="s">
        <v>12245</v>
      </c>
    </row>
    <row r="5845">
      <c r="A5845" s="499" t="s">
        <v>12246</v>
      </c>
    </row>
    <row r="5846">
      <c r="A5846" s="499" t="s">
        <v>12247</v>
      </c>
    </row>
    <row r="5847">
      <c r="A5847" s="499" t="s">
        <v>12248</v>
      </c>
    </row>
    <row r="5848">
      <c r="A5848" s="499" t="s">
        <v>12249</v>
      </c>
    </row>
    <row r="5849">
      <c r="A5849" s="499" t="s">
        <v>12250</v>
      </c>
    </row>
    <row r="5850">
      <c r="A5850" s="499" t="s">
        <v>967</v>
      </c>
    </row>
    <row r="5851">
      <c r="A5851" s="499" t="s">
        <v>973</v>
      </c>
    </row>
    <row r="5852">
      <c r="A5852" s="499" t="s">
        <v>970</v>
      </c>
    </row>
    <row r="5853">
      <c r="A5853" s="499" t="s">
        <v>12251</v>
      </c>
    </row>
    <row r="5854">
      <c r="A5854" s="499" t="s">
        <v>12252</v>
      </c>
    </row>
    <row r="5855">
      <c r="A5855" s="499" t="s">
        <v>12253</v>
      </c>
    </row>
    <row r="5856">
      <c r="A5856" s="499" t="s">
        <v>838</v>
      </c>
    </row>
    <row r="5857">
      <c r="A5857" s="499" t="s">
        <v>12254</v>
      </c>
    </row>
    <row r="5858">
      <c r="A5858" s="499" t="s">
        <v>12255</v>
      </c>
    </row>
    <row r="5859">
      <c r="A5859" s="499" t="s">
        <v>12256</v>
      </c>
    </row>
    <row r="5860">
      <c r="A5860" s="499" t="s">
        <v>454</v>
      </c>
    </row>
    <row r="5861">
      <c r="A5861" s="499" t="s">
        <v>12257</v>
      </c>
    </row>
    <row r="5862">
      <c r="A5862" s="499" t="s">
        <v>965</v>
      </c>
    </row>
    <row r="5863">
      <c r="A5863" s="499" t="s">
        <v>12258</v>
      </c>
    </row>
    <row r="5864">
      <c r="A5864" s="499" t="s">
        <v>457</v>
      </c>
    </row>
    <row r="5865">
      <c r="A5865" s="499" t="s">
        <v>461</v>
      </c>
    </row>
    <row r="5866">
      <c r="A5866" s="499" t="s">
        <v>465</v>
      </c>
    </row>
    <row r="5867">
      <c r="A5867" s="499" t="s">
        <v>469</v>
      </c>
    </row>
    <row r="5868">
      <c r="A5868" s="499" t="s">
        <v>473</v>
      </c>
    </row>
    <row r="5869">
      <c r="A5869" s="499" t="s">
        <v>477</v>
      </c>
    </row>
    <row r="5870">
      <c r="A5870" s="499" t="s">
        <v>481</v>
      </c>
    </row>
    <row r="5871">
      <c r="A5871" s="499" t="s">
        <v>485</v>
      </c>
    </row>
    <row r="5872">
      <c r="A5872" s="499" t="s">
        <v>489</v>
      </c>
    </row>
    <row r="5873">
      <c r="A5873" s="499" t="s">
        <v>493</v>
      </c>
    </row>
    <row r="5874">
      <c r="A5874" s="499" t="s">
        <v>515</v>
      </c>
    </row>
    <row r="5875">
      <c r="A5875" s="499" t="s">
        <v>507</v>
      </c>
    </row>
    <row r="5876">
      <c r="A5876" s="499" t="s">
        <v>593</v>
      </c>
    </row>
    <row r="5877">
      <c r="A5877" s="499" t="s">
        <v>12259</v>
      </c>
    </row>
    <row r="5878">
      <c r="A5878" s="499" t="s">
        <v>12260</v>
      </c>
    </row>
    <row r="5879">
      <c r="A5879" s="499" t="s">
        <v>12261</v>
      </c>
    </row>
    <row r="5880">
      <c r="A5880" s="499" t="s">
        <v>12262</v>
      </c>
    </row>
    <row r="5881">
      <c r="A5881" s="499" t="s">
        <v>12263</v>
      </c>
    </row>
    <row r="5882">
      <c r="A5882" s="499" t="s">
        <v>12264</v>
      </c>
    </row>
    <row r="5883">
      <c r="A5883" s="499" t="s">
        <v>12265</v>
      </c>
    </row>
    <row r="5884">
      <c r="A5884" s="499" t="s">
        <v>497</v>
      </c>
    </row>
    <row r="5885">
      <c r="A5885" s="499" t="s">
        <v>12266</v>
      </c>
    </row>
    <row r="5886">
      <c r="A5886" s="499" t="s">
        <v>12267</v>
      </c>
    </row>
    <row r="5887">
      <c r="A5887" s="499" t="s">
        <v>12268</v>
      </c>
    </row>
    <row r="5888">
      <c r="A5888" s="499" t="s">
        <v>12269</v>
      </c>
    </row>
    <row r="5889">
      <c r="A5889" s="499" t="s">
        <v>581</v>
      </c>
    </row>
    <row r="5890">
      <c r="A5890" s="499" t="s">
        <v>12270</v>
      </c>
    </row>
    <row r="5891">
      <c r="A5891" s="499" t="s">
        <v>501</v>
      </c>
    </row>
    <row r="5892">
      <c r="A5892" s="499" t="s">
        <v>12271</v>
      </c>
    </row>
    <row r="5893">
      <c r="A5893" s="499" t="s">
        <v>12272</v>
      </c>
    </row>
    <row r="5894">
      <c r="A5894" s="499" t="s">
        <v>517</v>
      </c>
    </row>
    <row r="5895">
      <c r="A5895" s="499" t="s">
        <v>12273</v>
      </c>
    </row>
    <row r="5896">
      <c r="A5896" s="499" t="s">
        <v>12274</v>
      </c>
    </row>
    <row r="5897">
      <c r="A5897" s="499" t="s">
        <v>521</v>
      </c>
    </row>
    <row r="5898">
      <c r="A5898" s="499" t="s">
        <v>525</v>
      </c>
    </row>
    <row r="5899">
      <c r="A5899" s="499" t="s">
        <v>529</v>
      </c>
    </row>
    <row r="5900">
      <c r="A5900" s="499" t="s">
        <v>533</v>
      </c>
    </row>
    <row r="5901">
      <c r="A5901" s="499" t="s">
        <v>537</v>
      </c>
    </row>
    <row r="5902">
      <c r="A5902" s="499" t="s">
        <v>541</v>
      </c>
    </row>
    <row r="5903">
      <c r="A5903" s="499" t="s">
        <v>552</v>
      </c>
    </row>
    <row r="5904">
      <c r="A5904" s="499" t="s">
        <v>563</v>
      </c>
    </row>
    <row r="5905">
      <c r="A5905" s="499" t="s">
        <v>571</v>
      </c>
    </row>
    <row r="5906">
      <c r="A5906" s="499" t="s">
        <v>575</v>
      </c>
    </row>
    <row r="5907">
      <c r="A5907" s="499" t="s">
        <v>583</v>
      </c>
    </row>
    <row r="5908">
      <c r="A5908" s="499" t="s">
        <v>589</v>
      </c>
    </row>
    <row r="5909">
      <c r="A5909" s="499" t="s">
        <v>459</v>
      </c>
    </row>
    <row r="5910">
      <c r="A5910" s="499" t="s">
        <v>463</v>
      </c>
    </row>
    <row r="5911">
      <c r="A5911" s="499" t="s">
        <v>467</v>
      </c>
    </row>
    <row r="5912">
      <c r="A5912" s="499" t="s">
        <v>471</v>
      </c>
    </row>
    <row r="5913">
      <c r="A5913" s="499" t="s">
        <v>475</v>
      </c>
    </row>
    <row r="5914">
      <c r="A5914" s="499" t="s">
        <v>479</v>
      </c>
    </row>
    <row r="5915">
      <c r="A5915" s="499" t="s">
        <v>483</v>
      </c>
    </row>
    <row r="5916">
      <c r="A5916" s="499" t="s">
        <v>487</v>
      </c>
    </row>
    <row r="5917">
      <c r="A5917" s="499" t="s">
        <v>491</v>
      </c>
    </row>
    <row r="5918">
      <c r="A5918" s="499" t="s">
        <v>495</v>
      </c>
    </row>
    <row r="5919">
      <c r="A5919" s="499" t="s">
        <v>499</v>
      </c>
    </row>
    <row r="5920">
      <c r="A5920" s="499" t="s">
        <v>503</v>
      </c>
    </row>
    <row r="5921">
      <c r="A5921" s="499" t="s">
        <v>519</v>
      </c>
    </row>
    <row r="5922">
      <c r="A5922" s="499" t="s">
        <v>523</v>
      </c>
    </row>
    <row r="5923">
      <c r="A5923" s="499" t="s">
        <v>527</v>
      </c>
    </row>
    <row r="5924">
      <c r="A5924" s="499" t="s">
        <v>531</v>
      </c>
    </row>
    <row r="5925">
      <c r="A5925" s="499" t="s">
        <v>535</v>
      </c>
    </row>
    <row r="5926">
      <c r="A5926" s="499" t="s">
        <v>539</v>
      </c>
    </row>
    <row r="5927">
      <c r="A5927" s="499" t="s">
        <v>543</v>
      </c>
    </row>
    <row r="5928">
      <c r="A5928" s="499" t="s">
        <v>554</v>
      </c>
    </row>
    <row r="5929">
      <c r="A5929" s="499" t="s">
        <v>565</v>
      </c>
    </row>
    <row r="5930">
      <c r="A5930" s="499" t="s">
        <v>573</v>
      </c>
    </row>
    <row r="5931">
      <c r="A5931" s="499" t="s">
        <v>577</v>
      </c>
    </row>
    <row r="5932">
      <c r="A5932" s="499" t="s">
        <v>585</v>
      </c>
    </row>
    <row r="5933">
      <c r="A5933" s="499" t="s">
        <v>591</v>
      </c>
    </row>
    <row r="5934">
      <c r="A5934" s="499" t="s">
        <v>561</v>
      </c>
    </row>
    <row r="5935">
      <c r="A5935" s="499" t="s">
        <v>12275</v>
      </c>
    </row>
    <row r="5936">
      <c r="A5936" s="499" t="s">
        <v>556</v>
      </c>
    </row>
    <row r="5937">
      <c r="A5937" s="499" t="s">
        <v>545</v>
      </c>
    </row>
    <row r="5938">
      <c r="A5938" s="499" t="s">
        <v>569</v>
      </c>
    </row>
    <row r="5939">
      <c r="A5939" s="499" t="s">
        <v>12276</v>
      </c>
    </row>
    <row r="5940">
      <c r="A5940" s="499" t="s">
        <v>511</v>
      </c>
    </row>
    <row r="5941">
      <c r="A5941" s="499" t="s">
        <v>12277</v>
      </c>
    </row>
    <row r="5942">
      <c r="A5942" s="499" t="s">
        <v>12278</v>
      </c>
    </row>
    <row r="5943">
      <c r="A5943" s="499" t="s">
        <v>12279</v>
      </c>
    </row>
    <row r="5944">
      <c r="A5944" s="499" t="s">
        <v>12280</v>
      </c>
    </row>
    <row r="5945">
      <c r="A5945" s="499" t="s">
        <v>12281</v>
      </c>
    </row>
    <row r="5946">
      <c r="A5946" s="499" t="s">
        <v>12282</v>
      </c>
    </row>
    <row r="5947">
      <c r="A5947" s="499" t="s">
        <v>12283</v>
      </c>
    </row>
    <row r="5948">
      <c r="A5948" s="499" t="s">
        <v>12284</v>
      </c>
    </row>
    <row r="5949">
      <c r="A5949" s="499" t="s">
        <v>12285</v>
      </c>
    </row>
    <row r="5950">
      <c r="A5950" s="499" t="s">
        <v>12286</v>
      </c>
    </row>
    <row r="5951">
      <c r="A5951" s="499" t="s">
        <v>12287</v>
      </c>
    </row>
    <row r="5952">
      <c r="A5952" s="499" t="s">
        <v>12288</v>
      </c>
    </row>
    <row r="5953">
      <c r="A5953" s="499" t="s">
        <v>12289</v>
      </c>
    </row>
    <row r="5954">
      <c r="A5954" s="499" t="s">
        <v>12290</v>
      </c>
    </row>
    <row r="5955">
      <c r="A5955" s="499" t="s">
        <v>12291</v>
      </c>
    </row>
    <row r="5956">
      <c r="A5956" s="499" t="s">
        <v>12292</v>
      </c>
    </row>
    <row r="5957">
      <c r="A5957" s="499" t="s">
        <v>12293</v>
      </c>
    </row>
    <row r="5958">
      <c r="A5958" s="499" t="s">
        <v>550</v>
      </c>
    </row>
    <row r="5959">
      <c r="A5959" s="499" t="s">
        <v>559</v>
      </c>
    </row>
    <row r="5960">
      <c r="A5960" s="499" t="s">
        <v>599</v>
      </c>
    </row>
    <row r="5961">
      <c r="A5961" s="499" t="s">
        <v>12294</v>
      </c>
    </row>
    <row r="5962">
      <c r="A5962" s="499" t="s">
        <v>12295</v>
      </c>
    </row>
    <row r="5963">
      <c r="A5963" s="499" t="s">
        <v>12296</v>
      </c>
    </row>
    <row r="5964">
      <c r="A5964" s="499" t="s">
        <v>587</v>
      </c>
    </row>
    <row r="5965">
      <c r="A5965" s="499" t="s">
        <v>12297</v>
      </c>
    </row>
    <row r="5966">
      <c r="A5966" s="499" t="s">
        <v>12298</v>
      </c>
    </row>
    <row r="5967">
      <c r="A5967" s="499" t="s">
        <v>12299</v>
      </c>
    </row>
    <row r="5968">
      <c r="A5968" s="499" t="s">
        <v>595</v>
      </c>
    </row>
    <row r="5969">
      <c r="A5969" s="499" t="s">
        <v>548</v>
      </c>
    </row>
    <row r="5970">
      <c r="A5970" s="499" t="s">
        <v>546</v>
      </c>
    </row>
    <row r="5971">
      <c r="A5971" s="499" t="s">
        <v>509</v>
      </c>
    </row>
    <row r="5972">
      <c r="A5972" s="499" t="s">
        <v>567</v>
      </c>
    </row>
    <row r="5973">
      <c r="A5973" s="499" t="s">
        <v>579</v>
      </c>
    </row>
    <row r="5974">
      <c r="A5974" s="499" t="s">
        <v>12300</v>
      </c>
    </row>
    <row r="5975">
      <c r="A5975" s="499" t="s">
        <v>12301</v>
      </c>
    </row>
    <row r="5976">
      <c r="A5976" s="499" t="s">
        <v>12302</v>
      </c>
    </row>
    <row r="5977">
      <c r="A5977" s="499" t="s">
        <v>12303</v>
      </c>
    </row>
    <row r="5978">
      <c r="A5978" s="499" t="s">
        <v>12304</v>
      </c>
    </row>
    <row r="5979">
      <c r="A5979" s="499" t="s">
        <v>12305</v>
      </c>
    </row>
    <row r="5980">
      <c r="A5980" s="499" t="s">
        <v>12306</v>
      </c>
    </row>
    <row r="5981">
      <c r="A5981" s="499" t="s">
        <v>12307</v>
      </c>
    </row>
    <row r="5982">
      <c r="A5982" s="499" t="s">
        <v>12308</v>
      </c>
    </row>
    <row r="5983">
      <c r="A5983" s="499" t="s">
        <v>12309</v>
      </c>
    </row>
    <row r="5984">
      <c r="A5984" s="499" t="s">
        <v>12310</v>
      </c>
    </row>
    <row r="5985">
      <c r="A5985" s="499" t="s">
        <v>12311</v>
      </c>
    </row>
    <row r="5986">
      <c r="A5986" s="499" t="s">
        <v>12312</v>
      </c>
    </row>
    <row r="5987">
      <c r="A5987" s="499" t="s">
        <v>12313</v>
      </c>
    </row>
    <row r="5988">
      <c r="A5988" s="499" t="s">
        <v>12314</v>
      </c>
    </row>
    <row r="5989">
      <c r="A5989" s="499" t="s">
        <v>12315</v>
      </c>
    </row>
    <row r="5990">
      <c r="A5990" s="499" t="s">
        <v>12316</v>
      </c>
    </row>
    <row r="5991">
      <c r="A5991" s="499" t="s">
        <v>12317</v>
      </c>
    </row>
    <row r="5992">
      <c r="A5992" s="499" t="s">
        <v>12318</v>
      </c>
    </row>
    <row r="5993">
      <c r="A5993" s="499" t="s">
        <v>12319</v>
      </c>
    </row>
    <row r="5994">
      <c r="A5994" s="499" t="s">
        <v>12320</v>
      </c>
    </row>
    <row r="5995">
      <c r="A5995" s="499" t="s">
        <v>12321</v>
      </c>
    </row>
    <row r="5996">
      <c r="A5996" s="499" t="s">
        <v>12322</v>
      </c>
    </row>
    <row r="5997">
      <c r="A5997" s="499" t="s">
        <v>12323</v>
      </c>
    </row>
    <row r="5998">
      <c r="A5998" s="499" t="s">
        <v>12324</v>
      </c>
    </row>
    <row r="5999">
      <c r="A5999" s="499" t="s">
        <v>12325</v>
      </c>
    </row>
    <row r="6000">
      <c r="A6000" s="499" t="s">
        <v>12326</v>
      </c>
    </row>
    <row r="6001">
      <c r="A6001" s="499" t="s">
        <v>12327</v>
      </c>
    </row>
    <row r="6002">
      <c r="A6002" s="499" t="s">
        <v>12328</v>
      </c>
    </row>
    <row r="6003">
      <c r="A6003" s="499" t="s">
        <v>12329</v>
      </c>
    </row>
    <row r="6004">
      <c r="A6004" s="499" t="s">
        <v>12330</v>
      </c>
    </row>
    <row r="6005">
      <c r="A6005" s="499" t="s">
        <v>12331</v>
      </c>
    </row>
    <row r="6006">
      <c r="A6006" s="499" t="s">
        <v>12332</v>
      </c>
    </row>
    <row r="6007">
      <c r="A6007" s="499" t="s">
        <v>12333</v>
      </c>
    </row>
    <row r="6008">
      <c r="A6008" s="499" t="s">
        <v>12334</v>
      </c>
    </row>
    <row r="6009">
      <c r="A6009" s="499" t="s">
        <v>12335</v>
      </c>
    </row>
    <row r="6010">
      <c r="A6010" s="499" t="s">
        <v>12336</v>
      </c>
    </row>
    <row r="6011">
      <c r="A6011" s="499" t="s">
        <v>12337</v>
      </c>
    </row>
    <row r="6012">
      <c r="A6012" s="499" t="s">
        <v>12338</v>
      </c>
    </row>
    <row r="6013">
      <c r="A6013" s="499" t="s">
        <v>12339</v>
      </c>
    </row>
    <row r="6014">
      <c r="A6014" s="499" t="s">
        <v>12340</v>
      </c>
    </row>
    <row r="6015">
      <c r="A6015" s="499" t="s">
        <v>12341</v>
      </c>
    </row>
    <row r="6016">
      <c r="A6016" s="499" t="s">
        <v>12342</v>
      </c>
    </row>
    <row r="6017">
      <c r="A6017" s="499" t="s">
        <v>12343</v>
      </c>
    </row>
    <row r="6018">
      <c r="A6018" s="499" t="s">
        <v>12344</v>
      </c>
    </row>
    <row r="6019">
      <c r="A6019" s="499" t="s">
        <v>12345</v>
      </c>
    </row>
    <row r="6020">
      <c r="A6020" s="499" t="s">
        <v>12346</v>
      </c>
    </row>
    <row r="6021">
      <c r="A6021" s="499" t="s">
        <v>12347</v>
      </c>
    </row>
    <row r="6022">
      <c r="A6022" s="499" t="s">
        <v>12348</v>
      </c>
    </row>
    <row r="6023">
      <c r="A6023" s="499" t="s">
        <v>12349</v>
      </c>
    </row>
    <row r="6024">
      <c r="A6024" s="499" t="s">
        <v>12350</v>
      </c>
    </row>
    <row r="6025">
      <c r="A6025" s="499" t="s">
        <v>12351</v>
      </c>
    </row>
    <row r="6026">
      <c r="A6026" s="499" t="s">
        <v>12352</v>
      </c>
    </row>
    <row r="6027">
      <c r="A6027" s="499" t="s">
        <v>12353</v>
      </c>
    </row>
    <row r="6028">
      <c r="A6028" s="499" t="s">
        <v>5125</v>
      </c>
    </row>
    <row r="6029">
      <c r="A6029" s="499" t="s">
        <v>12354</v>
      </c>
    </row>
    <row r="6030">
      <c r="A6030" s="499" t="s">
        <v>1026</v>
      </c>
    </row>
    <row r="6031">
      <c r="A6031" s="499" t="s">
        <v>1034</v>
      </c>
    </row>
    <row r="6032">
      <c r="A6032" s="499" t="s">
        <v>1037</v>
      </c>
    </row>
    <row r="6033">
      <c r="A6033" s="499" t="s">
        <v>1052</v>
      </c>
    </row>
    <row r="6034">
      <c r="A6034" s="499" t="s">
        <v>1049</v>
      </c>
    </row>
    <row r="6035">
      <c r="A6035" s="499" t="s">
        <v>1060</v>
      </c>
    </row>
    <row r="6036">
      <c r="A6036" s="499" t="s">
        <v>1040</v>
      </c>
    </row>
    <row r="6037">
      <c r="A6037" s="499" t="s">
        <v>1043</v>
      </c>
    </row>
    <row r="6038">
      <c r="A6038" s="499" t="s">
        <v>1046</v>
      </c>
    </row>
    <row r="6039">
      <c r="A6039" s="499" t="s">
        <v>1055</v>
      </c>
    </row>
    <row r="6040">
      <c r="A6040" s="499" t="s">
        <v>1057</v>
      </c>
    </row>
    <row r="6041">
      <c r="A6041" s="499" t="s">
        <v>12355</v>
      </c>
    </row>
    <row r="6042">
      <c r="A6042" s="499" t="s">
        <v>1076</v>
      </c>
    </row>
    <row r="6043">
      <c r="A6043" s="499" t="s">
        <v>1062</v>
      </c>
    </row>
    <row r="6044">
      <c r="A6044" s="499" t="s">
        <v>1067</v>
      </c>
    </row>
    <row r="6045">
      <c r="A6045" s="499" t="s">
        <v>1296</v>
      </c>
    </row>
    <row r="6046">
      <c r="A6046" s="499" t="s">
        <v>1031</v>
      </c>
    </row>
    <row r="6047">
      <c r="A6047" s="499" t="s">
        <v>1078</v>
      </c>
    </row>
    <row r="6048">
      <c r="A6048" s="499" t="s">
        <v>1080</v>
      </c>
    </row>
    <row r="6049">
      <c r="A6049" s="499" t="s">
        <v>1064</v>
      </c>
    </row>
    <row r="6050">
      <c r="A6050" s="499" t="s">
        <v>1085</v>
      </c>
    </row>
    <row r="6051">
      <c r="A6051" s="499" t="s">
        <v>1070</v>
      </c>
    </row>
    <row r="6052">
      <c r="A6052" s="499" t="s">
        <v>1073</v>
      </c>
    </row>
    <row r="6053">
      <c r="A6053" s="499" t="s">
        <v>1028</v>
      </c>
    </row>
    <row r="6054">
      <c r="A6054" s="499" t="s">
        <v>774</v>
      </c>
    </row>
    <row r="6055">
      <c r="A6055" s="499" t="s">
        <v>12356</v>
      </c>
    </row>
    <row r="6056">
      <c r="A6056" s="499" t="s">
        <v>701</v>
      </c>
    </row>
    <row r="6057">
      <c r="A6057" s="499" t="s">
        <v>677</v>
      </c>
    </row>
    <row r="6058">
      <c r="A6058" s="499" t="s">
        <v>680</v>
      </c>
    </row>
    <row r="6059">
      <c r="A6059" s="499" t="s">
        <v>683</v>
      </c>
    </row>
    <row r="6060">
      <c r="A6060" s="499" t="s">
        <v>689</v>
      </c>
    </row>
    <row r="6061">
      <c r="A6061" s="499" t="s">
        <v>686</v>
      </c>
    </row>
    <row r="6062">
      <c r="A6062" s="499" t="s">
        <v>695</v>
      </c>
    </row>
    <row r="6063">
      <c r="A6063" s="499" t="s">
        <v>692</v>
      </c>
    </row>
    <row r="6064">
      <c r="A6064" s="499" t="s">
        <v>698</v>
      </c>
    </row>
    <row r="6065">
      <c r="A6065" s="499" t="s">
        <v>723</v>
      </c>
    </row>
    <row r="6066">
      <c r="A6066" s="499" t="s">
        <v>768</v>
      </c>
    </row>
    <row r="6067">
      <c r="A6067" s="499" t="s">
        <v>726</v>
      </c>
    </row>
    <row r="6068">
      <c r="A6068" s="499" t="s">
        <v>770</v>
      </c>
    </row>
    <row r="6069">
      <c r="A6069" s="499" t="s">
        <v>744</v>
      </c>
    </row>
    <row r="6070">
      <c r="A6070" s="499" t="s">
        <v>655</v>
      </c>
    </row>
    <row r="6071">
      <c r="A6071" s="499" t="s">
        <v>772</v>
      </c>
    </row>
    <row r="6072">
      <c r="A6072" s="499" t="s">
        <v>753</v>
      </c>
    </row>
    <row r="6073">
      <c r="A6073" s="499" t="s">
        <v>625</v>
      </c>
    </row>
    <row r="6074">
      <c r="A6074" s="499" t="s">
        <v>1972</v>
      </c>
    </row>
    <row r="6075">
      <c r="A6075" s="499" t="s">
        <v>610</v>
      </c>
    </row>
    <row r="6076">
      <c r="A6076" s="499" t="s">
        <v>756</v>
      </c>
    </row>
    <row r="6077">
      <c r="A6077" s="499" t="s">
        <v>12357</v>
      </c>
    </row>
    <row r="6078">
      <c r="A6078" s="499" t="s">
        <v>604</v>
      </c>
    </row>
    <row r="6079">
      <c r="A6079" s="499" t="s">
        <v>613</v>
      </c>
    </row>
    <row r="6080">
      <c r="A6080" s="499" t="s">
        <v>658</v>
      </c>
    </row>
    <row r="6081">
      <c r="A6081" s="499" t="s">
        <v>649</v>
      </c>
    </row>
    <row r="6082">
      <c r="A6082" s="499" t="s">
        <v>12358</v>
      </c>
    </row>
    <row r="6083">
      <c r="A6083" s="499" t="s">
        <v>640</v>
      </c>
    </row>
    <row r="6084">
      <c r="A6084" s="499" t="s">
        <v>762</v>
      </c>
    </row>
    <row r="6085">
      <c r="A6085" s="499" t="s">
        <v>12359</v>
      </c>
    </row>
    <row r="6086">
      <c r="A6086" s="499" t="s">
        <v>619</v>
      </c>
    </row>
    <row r="6087">
      <c r="A6087" s="499" t="s">
        <v>708</v>
      </c>
    </row>
    <row r="6088">
      <c r="A6088" s="499" t="s">
        <v>759</v>
      </c>
    </row>
    <row r="6089">
      <c r="A6089" s="499" t="s">
        <v>765</v>
      </c>
    </row>
    <row r="6090">
      <c r="A6090" s="499" t="s">
        <v>738</v>
      </c>
    </row>
    <row r="6091">
      <c r="A6091" s="499" t="s">
        <v>665</v>
      </c>
    </row>
    <row r="6092">
      <c r="A6092" s="499" t="s">
        <v>741</v>
      </c>
    </row>
    <row r="6093">
      <c r="A6093" s="499" t="s">
        <v>735</v>
      </c>
    </row>
    <row r="6094">
      <c r="A6094" s="499" t="s">
        <v>12360</v>
      </c>
    </row>
    <row r="6095">
      <c r="A6095" s="499" t="s">
        <v>747</v>
      </c>
    </row>
    <row r="6096">
      <c r="A6096" s="499" t="s">
        <v>12361</v>
      </c>
    </row>
    <row r="6097">
      <c r="A6097" s="499" t="s">
        <v>631</v>
      </c>
    </row>
    <row r="6098">
      <c r="A6098" s="499" t="s">
        <v>637</v>
      </c>
    </row>
    <row r="6099">
      <c r="A6099" s="499" t="s">
        <v>12362</v>
      </c>
    </row>
    <row r="6100">
      <c r="A6100" s="499" t="s">
        <v>662</v>
      </c>
    </row>
    <row r="6101">
      <c r="A6101" s="499" t="s">
        <v>646</v>
      </c>
    </row>
    <row r="6102">
      <c r="A6102" s="499" t="s">
        <v>634</v>
      </c>
    </row>
    <row r="6103">
      <c r="A6103" s="499" t="s">
        <v>720</v>
      </c>
    </row>
    <row r="6104">
      <c r="A6104" s="499" t="s">
        <v>732</v>
      </c>
    </row>
    <row r="6105">
      <c r="A6105" s="499" t="s">
        <v>628</v>
      </c>
    </row>
    <row r="6106">
      <c r="A6106" s="499" t="s">
        <v>729</v>
      </c>
    </row>
    <row r="6107">
      <c r="A6107" s="499" t="s">
        <v>711</v>
      </c>
    </row>
    <row r="6108">
      <c r="A6108" s="499" t="s">
        <v>705</v>
      </c>
    </row>
    <row r="6109">
      <c r="A6109" s="499" t="s">
        <v>714</v>
      </c>
    </row>
    <row r="6110">
      <c r="A6110" s="499" t="s">
        <v>668</v>
      </c>
    </row>
    <row r="6111">
      <c r="A6111" s="499" t="s">
        <v>622</v>
      </c>
    </row>
    <row r="6112">
      <c r="A6112" s="499" t="s">
        <v>643</v>
      </c>
    </row>
    <row r="6113">
      <c r="A6113" s="499" t="s">
        <v>12363</v>
      </c>
    </row>
    <row r="6114">
      <c r="A6114" s="499" t="s">
        <v>671</v>
      </c>
    </row>
    <row r="6115">
      <c r="A6115" s="499" t="s">
        <v>1970</v>
      </c>
    </row>
    <row r="6116">
      <c r="A6116" s="499" t="s">
        <v>674</v>
      </c>
    </row>
    <row r="6117">
      <c r="A6117" s="499" t="s">
        <v>607</v>
      </c>
    </row>
    <row r="6118">
      <c r="A6118" s="499" t="s">
        <v>717</v>
      </c>
    </row>
    <row r="6119">
      <c r="A6119" s="499" t="s">
        <v>652</v>
      </c>
    </row>
    <row r="6120">
      <c r="A6120" s="499" t="s">
        <v>616</v>
      </c>
    </row>
    <row r="6121">
      <c r="A6121" s="499" t="s">
        <v>750</v>
      </c>
    </row>
    <row r="6122">
      <c r="A6122" s="499" t="s">
        <v>12364</v>
      </c>
    </row>
    <row r="6123">
      <c r="A6123" s="499" t="s">
        <v>439</v>
      </c>
    </row>
    <row r="6124">
      <c r="A6124" s="499" t="s">
        <v>448</v>
      </c>
    </row>
    <row r="6125">
      <c r="A6125" s="499" t="s">
        <v>450</v>
      </c>
    </row>
    <row r="6126">
      <c r="A6126" s="499" t="s">
        <v>12365</v>
      </c>
    </row>
    <row r="6127">
      <c r="A6127" s="499" t="s">
        <v>12366</v>
      </c>
    </row>
    <row r="6128">
      <c r="A6128" s="499" t="s">
        <v>12367</v>
      </c>
    </row>
    <row r="6129">
      <c r="A6129" s="499" t="s">
        <v>12368</v>
      </c>
    </row>
    <row r="6130">
      <c r="A6130" s="499" t="s">
        <v>12369</v>
      </c>
    </row>
    <row r="6131">
      <c r="A6131" s="499" t="s">
        <v>12370</v>
      </c>
    </row>
    <row r="6132">
      <c r="A6132" s="499" t="s">
        <v>12371</v>
      </c>
    </row>
    <row r="6133">
      <c r="A6133" s="499" t="s">
        <v>12372</v>
      </c>
    </row>
    <row r="6134">
      <c r="A6134" s="499" t="s">
        <v>12373</v>
      </c>
    </row>
    <row r="6135">
      <c r="A6135" s="499" t="s">
        <v>12374</v>
      </c>
    </row>
    <row r="6136">
      <c r="A6136" s="499" t="s">
        <v>12375</v>
      </c>
    </row>
    <row r="6137">
      <c r="A6137" s="499" t="s">
        <v>12376</v>
      </c>
    </row>
    <row r="6138">
      <c r="A6138" s="499" t="s">
        <v>12377</v>
      </c>
    </row>
    <row r="6139">
      <c r="A6139" s="499" t="s">
        <v>12378</v>
      </c>
    </row>
    <row r="6140">
      <c r="A6140" s="499" t="s">
        <v>12379</v>
      </c>
    </row>
    <row r="6141">
      <c r="A6141" s="499" t="s">
        <v>12380</v>
      </c>
    </row>
    <row r="6142">
      <c r="A6142" s="499" t="s">
        <v>12381</v>
      </c>
    </row>
    <row r="6143">
      <c r="A6143" s="499" t="s">
        <v>12382</v>
      </c>
    </row>
    <row r="6144">
      <c r="A6144" s="499" t="s">
        <v>12383</v>
      </c>
    </row>
    <row r="6145">
      <c r="A6145" s="499" t="s">
        <v>12384</v>
      </c>
    </row>
    <row r="6146">
      <c r="A6146" s="499" t="s">
        <v>12385</v>
      </c>
    </row>
    <row r="6147">
      <c r="A6147" s="499" t="s">
        <v>12386</v>
      </c>
    </row>
    <row r="6148">
      <c r="A6148" s="499" t="s">
        <v>1001</v>
      </c>
    </row>
    <row r="6149">
      <c r="A6149" s="499" t="s">
        <v>12387</v>
      </c>
    </row>
    <row r="6150">
      <c r="A6150" s="499" t="s">
        <v>987</v>
      </c>
    </row>
    <row r="6151">
      <c r="A6151" s="499" t="s">
        <v>12388</v>
      </c>
    </row>
    <row r="6152">
      <c r="A6152" s="499" t="s">
        <v>1005</v>
      </c>
    </row>
    <row r="6153">
      <c r="A6153" s="499" t="s">
        <v>1007</v>
      </c>
    </row>
    <row r="6154">
      <c r="A6154" s="499" t="s">
        <v>984</v>
      </c>
    </row>
    <row r="6155">
      <c r="A6155" s="499" t="s">
        <v>3624</v>
      </c>
    </row>
    <row r="6156">
      <c r="A6156" s="499" t="s">
        <v>990</v>
      </c>
    </row>
    <row r="6157">
      <c r="A6157" s="499" t="s">
        <v>1003</v>
      </c>
    </row>
    <row r="6158">
      <c r="A6158" s="499" t="s">
        <v>992</v>
      </c>
    </row>
    <row r="6159">
      <c r="A6159" s="499" t="s">
        <v>998</v>
      </c>
    </row>
    <row r="6160">
      <c r="A6160" s="499" t="s">
        <v>995</v>
      </c>
    </row>
    <row r="6161">
      <c r="A6161" s="499" t="s">
        <v>12389</v>
      </c>
    </row>
    <row r="6162">
      <c r="A6162" s="499" t="s">
        <v>958</v>
      </c>
    </row>
    <row r="6163">
      <c r="A6163" s="499" t="s">
        <v>960</v>
      </c>
    </row>
    <row r="6164">
      <c r="A6164" s="499" t="s">
        <v>962</v>
      </c>
    </row>
    <row r="6165">
      <c r="A6165" s="499" t="s">
        <v>12390</v>
      </c>
    </row>
    <row r="6166">
      <c r="A6166" s="499" t="s">
        <v>12391</v>
      </c>
    </row>
    <row r="6167">
      <c r="A6167" s="499" t="s">
        <v>12392</v>
      </c>
    </row>
    <row r="6168">
      <c r="A6168" s="499" t="s">
        <v>12393</v>
      </c>
    </row>
    <row r="6169">
      <c r="A6169" s="499" t="s">
        <v>12394</v>
      </c>
    </row>
    <row r="6170">
      <c r="A6170" s="499" t="s">
        <v>12395</v>
      </c>
    </row>
    <row r="6171">
      <c r="A6171" s="499" t="s">
        <v>12396</v>
      </c>
    </row>
    <row r="6172">
      <c r="A6172" s="499" t="s">
        <v>12397</v>
      </c>
    </row>
    <row r="6173">
      <c r="A6173" s="499" t="s">
        <v>12398</v>
      </c>
    </row>
    <row r="6174">
      <c r="A6174" s="499" t="s">
        <v>12399</v>
      </c>
    </row>
    <row r="6175">
      <c r="A6175" s="499" t="s">
        <v>12400</v>
      </c>
    </row>
    <row r="6176">
      <c r="A6176" s="499" t="s">
        <v>12401</v>
      </c>
    </row>
    <row r="6177">
      <c r="A6177" s="499" t="s">
        <v>12402</v>
      </c>
    </row>
    <row r="6178">
      <c r="A6178" s="499" t="s">
        <v>12403</v>
      </c>
    </row>
    <row r="6179">
      <c r="A6179" s="499" t="s">
        <v>12404</v>
      </c>
    </row>
    <row r="6180">
      <c r="A6180" s="499" t="s">
        <v>12405</v>
      </c>
    </row>
    <row r="6181">
      <c r="A6181" s="499" t="s">
        <v>12406</v>
      </c>
    </row>
    <row r="6182">
      <c r="A6182" s="499" t="s">
        <v>12407</v>
      </c>
    </row>
    <row r="6183">
      <c r="A6183" s="499" t="s">
        <v>12408</v>
      </c>
    </row>
    <row r="6184">
      <c r="A6184" s="499" t="s">
        <v>12409</v>
      </c>
    </row>
    <row r="6185">
      <c r="A6185" s="499" t="s">
        <v>12410</v>
      </c>
    </row>
    <row r="6186">
      <c r="A6186" s="499" t="s">
        <v>12411</v>
      </c>
    </row>
    <row r="6187">
      <c r="A6187" s="499" t="s">
        <v>12412</v>
      </c>
    </row>
    <row r="6188">
      <c r="A6188" s="499" t="s">
        <v>780</v>
      </c>
    </row>
    <row r="6189">
      <c r="A6189" s="499" t="s">
        <v>793</v>
      </c>
    </row>
    <row r="6190">
      <c r="A6190" s="499" t="s">
        <v>784</v>
      </c>
    </row>
    <row r="6191">
      <c r="A6191" s="499" t="s">
        <v>787</v>
      </c>
    </row>
    <row r="6192">
      <c r="A6192" s="499" t="s">
        <v>790</v>
      </c>
    </row>
    <row r="6193">
      <c r="A6193" s="499" t="s">
        <v>811</v>
      </c>
    </row>
    <row r="6194">
      <c r="A6194" s="499" t="s">
        <v>799</v>
      </c>
    </row>
    <row r="6195">
      <c r="A6195" s="499" t="s">
        <v>796</v>
      </c>
    </row>
    <row r="6196">
      <c r="A6196" s="499" t="s">
        <v>802</v>
      </c>
    </row>
    <row r="6197">
      <c r="A6197" s="499" t="s">
        <v>827</v>
      </c>
    </row>
    <row r="6198">
      <c r="A6198" s="499" t="s">
        <v>830</v>
      </c>
    </row>
    <row r="6199">
      <c r="A6199" s="499" t="s">
        <v>857</v>
      </c>
    </row>
    <row r="6200">
      <c r="A6200" s="499" t="s">
        <v>777</v>
      </c>
    </row>
    <row r="6201">
      <c r="A6201" s="499" t="s">
        <v>833</v>
      </c>
    </row>
    <row r="6202">
      <c r="A6202" s="499" t="s">
        <v>842</v>
      </c>
    </row>
    <row r="6203">
      <c r="A6203" s="499" t="s">
        <v>854</v>
      </c>
    </row>
    <row r="6204">
      <c r="A6204" s="499" t="s">
        <v>845</v>
      </c>
    </row>
    <row r="6205">
      <c r="A6205" s="499" t="s">
        <v>12413</v>
      </c>
    </row>
    <row r="6206">
      <c r="A6206" s="499" t="s">
        <v>836</v>
      </c>
    </row>
    <row r="6207">
      <c r="A6207" s="499" t="s">
        <v>840</v>
      </c>
    </row>
    <row r="6208">
      <c r="A6208" s="499" t="s">
        <v>860</v>
      </c>
    </row>
    <row r="6209">
      <c r="A6209" s="499" t="s">
        <v>816</v>
      </c>
    </row>
    <row r="6210">
      <c r="A6210" s="499" t="s">
        <v>848</v>
      </c>
    </row>
    <row r="6211">
      <c r="A6211" s="499" t="s">
        <v>821</v>
      </c>
    </row>
    <row r="6212">
      <c r="A6212" s="499" t="s">
        <v>808</v>
      </c>
    </row>
    <row r="6213">
      <c r="A6213" s="499" t="s">
        <v>12414</v>
      </c>
    </row>
    <row r="6214">
      <c r="A6214" s="499" t="s">
        <v>851</v>
      </c>
    </row>
    <row r="6215">
      <c r="A6215" s="499" t="s">
        <v>1221</v>
      </c>
    </row>
    <row r="6216">
      <c r="A6216" s="499" t="s">
        <v>1224</v>
      </c>
    </row>
    <row r="6217">
      <c r="A6217" s="499" t="s">
        <v>813</v>
      </c>
    </row>
    <row r="6218">
      <c r="A6218" s="499" t="s">
        <v>805</v>
      </c>
    </row>
    <row r="6219">
      <c r="A6219" s="499" t="s">
        <v>862</v>
      </c>
    </row>
    <row r="6220">
      <c r="A6220" s="499" t="s">
        <v>1009</v>
      </c>
    </row>
    <row r="6221">
      <c r="A6221" s="499" t="s">
        <v>1018</v>
      </c>
    </row>
    <row r="6222">
      <c r="A6222" s="499" t="s">
        <v>1012</v>
      </c>
    </row>
    <row r="6223">
      <c r="A6223" s="499" t="s">
        <v>1015</v>
      </c>
    </row>
    <row r="6224">
      <c r="A6224" s="499" t="s">
        <v>1021</v>
      </c>
    </row>
    <row r="6225">
      <c r="A6225" s="499" t="s">
        <v>4095</v>
      </c>
    </row>
    <row r="6226">
      <c r="A6226" s="499" t="s">
        <v>4097</v>
      </c>
    </row>
    <row r="6227">
      <c r="A6227" s="499" t="s">
        <v>1083</v>
      </c>
    </row>
    <row r="6228">
      <c r="A6228" s="499" t="s">
        <v>12415</v>
      </c>
    </row>
    <row r="6229">
      <c r="A6229" s="499" t="s">
        <v>12416</v>
      </c>
    </row>
    <row r="6230">
      <c r="A6230" s="499" t="s">
        <v>12417</v>
      </c>
    </row>
    <row r="6231">
      <c r="A6231" s="499" t="s">
        <v>12418</v>
      </c>
    </row>
    <row r="6232">
      <c r="A6232" s="499" t="s">
        <v>12419</v>
      </c>
    </row>
    <row r="6233">
      <c r="A6233" s="499" t="s">
        <v>12420</v>
      </c>
    </row>
    <row r="6234">
      <c r="A6234" s="499" t="s">
        <v>12421</v>
      </c>
    </row>
    <row r="6235">
      <c r="A6235" s="499" t="s">
        <v>12422</v>
      </c>
    </row>
    <row r="6236">
      <c r="A6236" s="499" t="s">
        <v>12423</v>
      </c>
    </row>
    <row r="6237">
      <c r="A6237" s="499" t="s">
        <v>12424</v>
      </c>
    </row>
    <row r="6238">
      <c r="A6238" s="499" t="s">
        <v>12425</v>
      </c>
    </row>
    <row r="6239">
      <c r="A6239" s="499" t="s">
        <v>12426</v>
      </c>
    </row>
    <row r="6240">
      <c r="A6240" s="499" t="s">
        <v>12427</v>
      </c>
    </row>
    <row r="6241">
      <c r="A6241" s="499" t="s">
        <v>947</v>
      </c>
    </row>
    <row r="6242">
      <c r="A6242" s="499" t="s">
        <v>874</v>
      </c>
    </row>
    <row r="6243">
      <c r="A6243" s="499" t="s">
        <v>880</v>
      </c>
    </row>
    <row r="6244">
      <c r="A6244" s="499" t="s">
        <v>898</v>
      </c>
    </row>
    <row r="6245">
      <c r="A6245" s="499" t="s">
        <v>904</v>
      </c>
    </row>
    <row r="6246">
      <c r="A6246" s="499" t="s">
        <v>907</v>
      </c>
    </row>
    <row r="6247">
      <c r="A6247" s="499" t="s">
        <v>886</v>
      </c>
    </row>
    <row r="6248">
      <c r="A6248" s="499" t="s">
        <v>889</v>
      </c>
    </row>
    <row r="6249">
      <c r="A6249" s="499" t="s">
        <v>918</v>
      </c>
    </row>
    <row r="6250">
      <c r="A6250" s="499" t="s">
        <v>929</v>
      </c>
    </row>
    <row r="6251">
      <c r="A6251" s="499" t="s">
        <v>924</v>
      </c>
    </row>
    <row r="6252">
      <c r="A6252" s="499" t="s">
        <v>927</v>
      </c>
    </row>
    <row r="6253">
      <c r="A6253" s="499" t="s">
        <v>941</v>
      </c>
    </row>
    <row r="6254">
      <c r="A6254" s="499" t="s">
        <v>935</v>
      </c>
    </row>
    <row r="6255">
      <c r="A6255" s="499" t="s">
        <v>938</v>
      </c>
    </row>
    <row r="6256">
      <c r="A6256" s="499" t="s">
        <v>912</v>
      </c>
    </row>
    <row r="6257">
      <c r="A6257" s="499" t="s">
        <v>915</v>
      </c>
    </row>
    <row r="6258">
      <c r="A6258" s="499" t="s">
        <v>954</v>
      </c>
    </row>
    <row r="6259">
      <c r="A6259" s="499" t="s">
        <v>952</v>
      </c>
    </row>
    <row r="6260">
      <c r="A6260" s="499" t="s">
        <v>950</v>
      </c>
    </row>
    <row r="6261">
      <c r="A6261" s="499" t="s">
        <v>877</v>
      </c>
    </row>
    <row r="6262">
      <c r="A6262" s="499" t="s">
        <v>883</v>
      </c>
    </row>
    <row r="6263">
      <c r="A6263" s="499" t="s">
        <v>901</v>
      </c>
    </row>
    <row r="6264">
      <c r="A6264" s="499" t="s">
        <v>909</v>
      </c>
    </row>
    <row r="6265">
      <c r="A6265" s="499" t="s">
        <v>892</v>
      </c>
    </row>
    <row r="6266">
      <c r="A6266" s="499" t="s">
        <v>895</v>
      </c>
    </row>
    <row r="6267">
      <c r="A6267" s="499" t="s">
        <v>921</v>
      </c>
    </row>
    <row r="6268">
      <c r="A6268" s="499" t="s">
        <v>932</v>
      </c>
    </row>
    <row r="6269">
      <c r="A6269" s="499" t="s">
        <v>944</v>
      </c>
    </row>
    <row r="6270">
      <c r="A6270" s="499" t="s">
        <v>1024</v>
      </c>
    </row>
    <row r="6271">
      <c r="A6271" s="499" t="s">
        <v>1605</v>
      </c>
    </row>
    <row r="6272">
      <c r="A6272" s="499" t="s">
        <v>1597</v>
      </c>
    </row>
    <row r="6273">
      <c r="A6273" s="499" t="s">
        <v>1326</v>
      </c>
    </row>
    <row r="6274">
      <c r="A6274" s="499" t="s">
        <v>1534</v>
      </c>
    </row>
    <row r="6275">
      <c r="A6275" s="499" t="s">
        <v>1532</v>
      </c>
    </row>
    <row r="6276">
      <c r="A6276" s="499" t="s">
        <v>1538</v>
      </c>
    </row>
    <row r="6277">
      <c r="A6277" s="499" t="s">
        <v>1536</v>
      </c>
    </row>
    <row r="6278">
      <c r="A6278" s="499" t="s">
        <v>1338</v>
      </c>
    </row>
    <row r="6279">
      <c r="A6279" s="499" t="s">
        <v>1336</v>
      </c>
    </row>
    <row r="6280">
      <c r="A6280" s="499" t="s">
        <v>1340</v>
      </c>
    </row>
    <row r="6281">
      <c r="A6281" s="499" t="s">
        <v>1344</v>
      </c>
    </row>
    <row r="6282">
      <c r="A6282" s="499" t="s">
        <v>1434</v>
      </c>
    </row>
    <row r="6283">
      <c r="A6283" s="499" t="s">
        <v>1364</v>
      </c>
    </row>
    <row r="6284">
      <c r="A6284" s="499" t="s">
        <v>1454</v>
      </c>
    </row>
    <row r="6285">
      <c r="A6285" s="499" t="s">
        <v>1366</v>
      </c>
    </row>
    <row r="6286">
      <c r="A6286" s="499" t="s">
        <v>1332</v>
      </c>
    </row>
    <row r="6287">
      <c r="A6287" s="499" t="s">
        <v>1430</v>
      </c>
    </row>
    <row r="6288">
      <c r="A6288" s="499" t="s">
        <v>1398</v>
      </c>
    </row>
    <row r="6289">
      <c r="A6289" s="499" t="s">
        <v>1400</v>
      </c>
    </row>
    <row r="6290">
      <c r="A6290" s="499" t="s">
        <v>1603</v>
      </c>
    </row>
    <row r="6291">
      <c r="A6291" s="499" t="s">
        <v>1406</v>
      </c>
    </row>
    <row r="6292">
      <c r="A6292" s="499" t="s">
        <v>1464</v>
      </c>
    </row>
    <row r="6293">
      <c r="A6293" s="499" t="s">
        <v>1448</v>
      </c>
    </row>
    <row r="6294">
      <c r="A6294" s="499" t="s">
        <v>1456</v>
      </c>
    </row>
    <row r="6295">
      <c r="A6295" s="499" t="s">
        <v>1302</v>
      </c>
    </row>
    <row r="6296">
      <c r="A6296" s="499" t="s">
        <v>1324</v>
      </c>
    </row>
    <row r="6297">
      <c r="A6297" s="499" t="s">
        <v>1342</v>
      </c>
    </row>
    <row r="6298">
      <c r="A6298" s="499" t="s">
        <v>12428</v>
      </c>
    </row>
    <row r="6299">
      <c r="A6299" s="499" t="s">
        <v>1574</v>
      </c>
    </row>
    <row r="6300">
      <c r="A6300" s="499" t="s">
        <v>1576</v>
      </c>
    </row>
    <row r="6301">
      <c r="A6301" s="499" t="s">
        <v>1578</v>
      </c>
    </row>
    <row r="6302">
      <c r="A6302" s="499" t="s">
        <v>1322</v>
      </c>
    </row>
    <row r="6303">
      <c r="A6303" s="499" t="s">
        <v>1466</v>
      </c>
    </row>
    <row r="6304">
      <c r="A6304" s="499" t="s">
        <v>1308</v>
      </c>
    </row>
    <row r="6305">
      <c r="A6305" s="499" t="s">
        <v>1580</v>
      </c>
    </row>
    <row r="6306">
      <c r="A6306" s="499" t="s">
        <v>12429</v>
      </c>
    </row>
    <row r="6307">
      <c r="A6307" s="499" t="s">
        <v>1546</v>
      </c>
    </row>
    <row r="6308">
      <c r="A6308" s="499" t="s">
        <v>1390</v>
      </c>
    </row>
    <row r="6309">
      <c r="A6309" s="499" t="s">
        <v>1412</v>
      </c>
    </row>
    <row r="6310">
      <c r="A6310" s="499" t="s">
        <v>1460</v>
      </c>
    </row>
    <row r="6311">
      <c r="A6311" s="499" t="s">
        <v>1568</v>
      </c>
    </row>
    <row r="6312">
      <c r="A6312" s="499" t="s">
        <v>1468</v>
      </c>
    </row>
    <row r="6313">
      <c r="A6313" s="499" t="s">
        <v>1310</v>
      </c>
    </row>
    <row r="6314">
      <c r="A6314" s="499" t="s">
        <v>1544</v>
      </c>
    </row>
    <row r="6315">
      <c r="A6315" s="499" t="s">
        <v>1386</v>
      </c>
    </row>
    <row r="6316">
      <c r="A6316" s="499" t="s">
        <v>1542</v>
      </c>
    </row>
    <row r="6317">
      <c r="A6317" s="499" t="s">
        <v>1346</v>
      </c>
    </row>
    <row r="6318">
      <c r="A6318" s="499" t="s">
        <v>1328</v>
      </c>
    </row>
    <row r="6319">
      <c r="A6319" s="499" t="s">
        <v>12430</v>
      </c>
    </row>
    <row r="6320">
      <c r="A6320" s="499" t="s">
        <v>1348</v>
      </c>
    </row>
    <row r="6321">
      <c r="A6321" s="499" t="s">
        <v>1350</v>
      </c>
    </row>
    <row r="6322">
      <c r="A6322" s="499" t="s">
        <v>1408</v>
      </c>
    </row>
    <row r="6323">
      <c r="A6323" s="499" t="s">
        <v>1330</v>
      </c>
    </row>
    <row r="6324">
      <c r="A6324" s="499" t="s">
        <v>1607</v>
      </c>
    </row>
    <row r="6325">
      <c r="A6325" s="499" t="s">
        <v>12431</v>
      </c>
    </row>
    <row r="6326">
      <c r="A6326" s="499" t="s">
        <v>1450</v>
      </c>
    </row>
    <row r="6327">
      <c r="A6327" s="499" t="s">
        <v>1352</v>
      </c>
    </row>
    <row r="6328">
      <c r="A6328" s="499" t="s">
        <v>7407</v>
      </c>
    </row>
    <row r="6329">
      <c r="A6329" s="499" t="s">
        <v>12432</v>
      </c>
    </row>
    <row r="6330">
      <c r="A6330" s="499" t="s">
        <v>1506</v>
      </c>
    </row>
    <row r="6331">
      <c r="A6331" s="499" t="s">
        <v>1590</v>
      </c>
    </row>
    <row r="6332">
      <c r="A6332" s="499" t="s">
        <v>1595</v>
      </c>
    </row>
    <row r="6333">
      <c r="A6333" s="499" t="s">
        <v>1470</v>
      </c>
    </row>
    <row r="6334">
      <c r="A6334" s="499" t="s">
        <v>12433</v>
      </c>
    </row>
    <row r="6335">
      <c r="A6335" s="499" t="s">
        <v>1494</v>
      </c>
    </row>
    <row r="6336">
      <c r="A6336" s="499" t="s">
        <v>1508</v>
      </c>
    </row>
    <row r="6337">
      <c r="A6337" s="499" t="s">
        <v>1599</v>
      </c>
    </row>
    <row r="6338">
      <c r="A6338" s="499" t="s">
        <v>1298</v>
      </c>
    </row>
    <row r="6339">
      <c r="A6339" s="499" t="s">
        <v>1380</v>
      </c>
    </row>
    <row r="6340">
      <c r="A6340" s="499" t="s">
        <v>1548</v>
      </c>
    </row>
    <row r="6341">
      <c r="A6341" s="499" t="s">
        <v>1472</v>
      </c>
    </row>
    <row r="6342">
      <c r="A6342" s="499" t="s">
        <v>1368</v>
      </c>
    </row>
    <row r="6343">
      <c r="A6343" s="499" t="s">
        <v>1462</v>
      </c>
    </row>
    <row r="6344">
      <c r="A6344" s="499" t="s">
        <v>1428</v>
      </c>
    </row>
    <row r="6345">
      <c r="A6345" s="499" t="s">
        <v>1446</v>
      </c>
    </row>
    <row r="6346">
      <c r="A6346" s="499" t="s">
        <v>1458</v>
      </c>
    </row>
    <row r="6347">
      <c r="A6347" s="499" t="s">
        <v>1316</v>
      </c>
    </row>
    <row r="6348">
      <c r="A6348" s="499" t="s">
        <v>1530</v>
      </c>
    </row>
    <row r="6349">
      <c r="A6349" s="499" t="s">
        <v>1540</v>
      </c>
    </row>
    <row r="6350">
      <c r="A6350" s="499" t="s">
        <v>1560</v>
      </c>
    </row>
    <row r="6351">
      <c r="A6351" s="499" t="s">
        <v>1562</v>
      </c>
    </row>
    <row r="6352">
      <c r="A6352" s="499" t="s">
        <v>1474</v>
      </c>
    </row>
    <row r="6353">
      <c r="A6353" s="499" t="s">
        <v>1564</v>
      </c>
    </row>
    <row r="6354">
      <c r="A6354" s="499" t="s">
        <v>1566</v>
      </c>
    </row>
    <row r="6355">
      <c r="A6355" s="502" t="s">
        <v>1432</v>
      </c>
    </row>
    <row r="6356">
      <c r="A6356" s="499" t="s">
        <v>1476</v>
      </c>
    </row>
    <row r="6357">
      <c r="A6357" s="499" t="s">
        <v>1356</v>
      </c>
    </row>
    <row r="6358">
      <c r="A6358" s="499" t="s">
        <v>1354</v>
      </c>
    </row>
    <row r="6359">
      <c r="A6359" s="499" t="s">
        <v>1358</v>
      </c>
    </row>
    <row r="6360">
      <c r="A6360" s="499" t="s">
        <v>1360</v>
      </c>
    </row>
    <row r="6361">
      <c r="A6361" s="499" t="s">
        <v>1362</v>
      </c>
    </row>
    <row r="6362">
      <c r="A6362" s="499" t="s">
        <v>1480</v>
      </c>
    </row>
    <row r="6363">
      <c r="A6363" s="499" t="s">
        <v>1478</v>
      </c>
    </row>
    <row r="6364">
      <c r="A6364" s="499" t="s">
        <v>1482</v>
      </c>
    </row>
    <row r="6365">
      <c r="A6365" s="499" t="s">
        <v>1484</v>
      </c>
    </row>
    <row r="6366">
      <c r="A6366" s="499" t="s">
        <v>1554</v>
      </c>
    </row>
    <row r="6367">
      <c r="A6367" s="499" t="s">
        <v>1312</v>
      </c>
    </row>
    <row r="6368">
      <c r="A6368" s="499" t="s">
        <v>1314</v>
      </c>
    </row>
    <row r="6369">
      <c r="A6369" s="499" t="s">
        <v>1552</v>
      </c>
    </row>
    <row r="6370">
      <c r="A6370" s="499" t="s">
        <v>1300</v>
      </c>
    </row>
    <row r="6371">
      <c r="A6371" s="499" t="s">
        <v>1304</v>
      </c>
    </row>
    <row r="6372">
      <c r="A6372" s="499" t="s">
        <v>1306</v>
      </c>
    </row>
    <row r="6373">
      <c r="A6373" s="499" t="s">
        <v>1370</v>
      </c>
    </row>
    <row r="6374">
      <c r="A6374" s="499" t="s">
        <v>1372</v>
      </c>
    </row>
    <row r="6375">
      <c r="A6375" s="499" t="s">
        <v>1374</v>
      </c>
    </row>
    <row r="6376">
      <c r="A6376" s="499" t="s">
        <v>1376</v>
      </c>
    </row>
    <row r="6377">
      <c r="A6377" s="499" t="s">
        <v>1486</v>
      </c>
    </row>
    <row r="6378">
      <c r="A6378" s="499" t="s">
        <v>1488</v>
      </c>
    </row>
    <row r="6379">
      <c r="A6379" s="499" t="s">
        <v>1490</v>
      </c>
    </row>
    <row r="6380">
      <c r="A6380" s="499" t="s">
        <v>1492</v>
      </c>
    </row>
    <row r="6381">
      <c r="A6381" s="499" t="s">
        <v>1382</v>
      </c>
    </row>
    <row r="6382">
      <c r="A6382" s="499" t="s">
        <v>1378</v>
      </c>
    </row>
    <row r="6383">
      <c r="A6383" s="499" t="s">
        <v>1384</v>
      </c>
    </row>
    <row r="6384">
      <c r="A6384" s="499" t="s">
        <v>1498</v>
      </c>
    </row>
    <row r="6385">
      <c r="A6385" s="499" t="s">
        <v>1496</v>
      </c>
    </row>
    <row r="6386">
      <c r="A6386" s="499" t="s">
        <v>1500</v>
      </c>
    </row>
    <row r="6387">
      <c r="A6387" s="499" t="s">
        <v>1558</v>
      </c>
    </row>
    <row r="6388">
      <c r="A6388" s="499" t="s">
        <v>1556</v>
      </c>
    </row>
    <row r="6389">
      <c r="A6389" s="499" t="s">
        <v>1502</v>
      </c>
    </row>
    <row r="6390">
      <c r="A6390" s="499" t="s">
        <v>1396</v>
      </c>
    </row>
    <row r="6391">
      <c r="A6391" s="499" t="s">
        <v>1318</v>
      </c>
    </row>
    <row r="6392">
      <c r="A6392" s="499" t="s">
        <v>1320</v>
      </c>
    </row>
    <row r="6393">
      <c r="A6393" s="499" t="s">
        <v>1392</v>
      </c>
    </row>
    <row r="6394">
      <c r="A6394" s="499" t="s">
        <v>1394</v>
      </c>
    </row>
    <row r="6395">
      <c r="A6395" s="499" t="s">
        <v>1510</v>
      </c>
    </row>
    <row r="6396">
      <c r="A6396" s="499" t="s">
        <v>1504</v>
      </c>
    </row>
    <row r="6397">
      <c r="A6397" s="499" t="s">
        <v>1410</v>
      </c>
    </row>
    <row r="6398">
      <c r="A6398" s="499" t="s">
        <v>1414</v>
      </c>
    </row>
    <row r="6399">
      <c r="A6399" s="499" t="s">
        <v>1416</v>
      </c>
    </row>
    <row r="6400">
      <c r="A6400" s="499" t="s">
        <v>1418</v>
      </c>
    </row>
    <row r="6401">
      <c r="A6401" s="499" t="s">
        <v>1512</v>
      </c>
    </row>
    <row r="6402">
      <c r="A6402" s="499" t="s">
        <v>1514</v>
      </c>
    </row>
    <row r="6403">
      <c r="A6403" s="499" t="s">
        <v>1570</v>
      </c>
    </row>
    <row r="6404">
      <c r="A6404" s="499" t="s">
        <v>1572</v>
      </c>
    </row>
    <row r="6405">
      <c r="A6405" s="499" t="s">
        <v>1426</v>
      </c>
    </row>
    <row r="6406">
      <c r="A6406" s="499" t="s">
        <v>1424</v>
      </c>
    </row>
    <row r="6407">
      <c r="A6407" s="499" t="s">
        <v>1422</v>
      </c>
    </row>
    <row r="6408">
      <c r="A6408" s="499" t="s">
        <v>1420</v>
      </c>
    </row>
    <row r="6409">
      <c r="A6409" s="499" t="s">
        <v>1522</v>
      </c>
    </row>
    <row r="6410">
      <c r="A6410" s="499" t="s">
        <v>1520</v>
      </c>
    </row>
    <row r="6411">
      <c r="A6411" s="499" t="s">
        <v>1518</v>
      </c>
    </row>
    <row r="6412">
      <c r="A6412" s="499" t="s">
        <v>12434</v>
      </c>
    </row>
    <row r="6413">
      <c r="A6413" s="499" t="s">
        <v>1516</v>
      </c>
    </row>
    <row r="6414">
      <c r="A6414" s="499" t="s">
        <v>1442</v>
      </c>
    </row>
    <row r="6415">
      <c r="A6415" s="499" t="s">
        <v>12435</v>
      </c>
    </row>
    <row r="6416">
      <c r="A6416" s="499" t="s">
        <v>1444</v>
      </c>
    </row>
    <row r="6417">
      <c r="A6417" s="499" t="s">
        <v>1436</v>
      </c>
    </row>
    <row r="6418">
      <c r="A6418" s="499" t="s">
        <v>12436</v>
      </c>
    </row>
    <row r="6419">
      <c r="A6419" s="499" t="s">
        <v>1526</v>
      </c>
    </row>
    <row r="6420">
      <c r="A6420" s="499" t="s">
        <v>1524</v>
      </c>
    </row>
    <row r="6421">
      <c r="A6421" s="499" t="s">
        <v>1528</v>
      </c>
    </row>
    <row r="6422">
      <c r="A6422" s="499" t="s">
        <v>1586</v>
      </c>
    </row>
    <row r="6423">
      <c r="A6423" s="499" t="s">
        <v>1584</v>
      </c>
    </row>
    <row r="6424">
      <c r="A6424" s="499" t="s">
        <v>1588</v>
      </c>
    </row>
    <row r="6425">
      <c r="A6425" s="499" t="s">
        <v>1592</v>
      </c>
    </row>
    <row r="6426">
      <c r="A6426" s="499" t="s">
        <v>1594</v>
      </c>
    </row>
    <row r="6427">
      <c r="A6427" s="499" t="s">
        <v>1582</v>
      </c>
    </row>
    <row r="6428">
      <c r="A6428" s="499" t="s">
        <v>1440</v>
      </c>
    </row>
    <row r="6429">
      <c r="A6429" s="499" t="s">
        <v>12437</v>
      </c>
    </row>
    <row r="6430">
      <c r="A6430" s="499" t="s">
        <v>12438</v>
      </c>
    </row>
    <row r="6431">
      <c r="A6431" s="499" t="s">
        <v>1388</v>
      </c>
    </row>
    <row r="6432">
      <c r="A6432" s="499" t="s">
        <v>1402</v>
      </c>
    </row>
    <row r="6433">
      <c r="A6433" s="499" t="s">
        <v>1404</v>
      </c>
    </row>
    <row r="6434">
      <c r="A6434" s="499" t="s">
        <v>1438</v>
      </c>
    </row>
    <row r="6435">
      <c r="A6435" s="499" t="s">
        <v>1452</v>
      </c>
    </row>
    <row r="6436">
      <c r="A6436" s="499" t="s">
        <v>1550</v>
      </c>
    </row>
    <row r="6437">
      <c r="A6437" s="499" t="s">
        <v>1334</v>
      </c>
    </row>
    <row r="6438">
      <c r="A6438" s="499" t="s">
        <v>12439</v>
      </c>
    </row>
    <row r="6439">
      <c r="A6439" s="499" t="s">
        <v>12440</v>
      </c>
    </row>
    <row r="6440">
      <c r="A6440" s="499" t="s">
        <v>12441</v>
      </c>
    </row>
    <row r="6441">
      <c r="A6441" s="499" t="s">
        <v>12442</v>
      </c>
    </row>
    <row r="6442">
      <c r="A6442" s="499" t="s">
        <v>12443</v>
      </c>
    </row>
    <row r="6443">
      <c r="A6443" s="499" t="s">
        <v>12444</v>
      </c>
    </row>
    <row r="6444">
      <c r="A6444" s="499" t="s">
        <v>12445</v>
      </c>
    </row>
    <row r="6445">
      <c r="A6445" s="499" t="s">
        <v>12446</v>
      </c>
    </row>
    <row r="6446">
      <c r="A6446" s="499" t="s">
        <v>12447</v>
      </c>
    </row>
    <row r="6447">
      <c r="A6447" s="499" t="s">
        <v>12448</v>
      </c>
    </row>
    <row r="6448">
      <c r="A6448" s="499" t="s">
        <v>12449</v>
      </c>
    </row>
    <row r="6449">
      <c r="A6449" s="499" t="s">
        <v>12450</v>
      </c>
    </row>
    <row r="6450">
      <c r="A6450" s="499" t="s">
        <v>12451</v>
      </c>
    </row>
    <row r="6451">
      <c r="A6451" s="499" t="s">
        <v>12452</v>
      </c>
    </row>
    <row r="6452">
      <c r="A6452" s="499" t="s">
        <v>12453</v>
      </c>
    </row>
    <row r="6453">
      <c r="A6453" s="499" t="s">
        <v>12454</v>
      </c>
    </row>
    <row r="6454">
      <c r="A6454" s="499" t="s">
        <v>12455</v>
      </c>
    </row>
    <row r="6455">
      <c r="A6455" s="499" t="s">
        <v>12456</v>
      </c>
    </row>
    <row r="6456">
      <c r="A6456" s="499" t="s">
        <v>12457</v>
      </c>
    </row>
    <row r="6457">
      <c r="A6457" s="499" t="s">
        <v>12458</v>
      </c>
    </row>
    <row r="6458">
      <c r="A6458" s="499" t="s">
        <v>12459</v>
      </c>
    </row>
    <row r="6459">
      <c r="A6459" s="499" t="s">
        <v>12460</v>
      </c>
    </row>
    <row r="6460">
      <c r="A6460" s="499" t="s">
        <v>12461</v>
      </c>
    </row>
    <row r="6461">
      <c r="A6461" s="499" t="s">
        <v>12462</v>
      </c>
    </row>
    <row r="6462">
      <c r="A6462" s="499" t="s">
        <v>12463</v>
      </c>
    </row>
    <row r="6463">
      <c r="A6463" s="499" t="s">
        <v>12464</v>
      </c>
    </row>
    <row r="6464">
      <c r="A6464" s="499" t="s">
        <v>12465</v>
      </c>
    </row>
    <row r="6465">
      <c r="A6465" s="499" t="s">
        <v>12466</v>
      </c>
    </row>
    <row r="6466">
      <c r="A6466" s="499" t="s">
        <v>12467</v>
      </c>
    </row>
    <row r="6467">
      <c r="A6467" s="499" t="s">
        <v>12468</v>
      </c>
    </row>
    <row r="6468">
      <c r="A6468" s="499" t="s">
        <v>12469</v>
      </c>
    </row>
    <row r="6469">
      <c r="A6469" s="499" t="s">
        <v>12470</v>
      </c>
    </row>
    <row r="6470">
      <c r="A6470" s="499" t="s">
        <v>12471</v>
      </c>
    </row>
    <row r="6471">
      <c r="A6471" s="499" t="s">
        <v>12472</v>
      </c>
    </row>
    <row r="6472">
      <c r="A6472" s="499" t="s">
        <v>12473</v>
      </c>
    </row>
    <row r="6473">
      <c r="A6473" s="499" t="s">
        <v>12474</v>
      </c>
    </row>
    <row r="6474">
      <c r="A6474" s="499" t="s">
        <v>12475</v>
      </c>
    </row>
    <row r="6475">
      <c r="A6475" s="499" t="s">
        <v>12476</v>
      </c>
    </row>
    <row r="6476">
      <c r="A6476" s="499" t="s">
        <v>12477</v>
      </c>
    </row>
    <row r="6477">
      <c r="A6477" s="499" t="s">
        <v>12478</v>
      </c>
    </row>
    <row r="6478">
      <c r="A6478" s="499" t="s">
        <v>12479</v>
      </c>
    </row>
    <row r="6479">
      <c r="A6479" s="499" t="s">
        <v>12480</v>
      </c>
    </row>
    <row r="6480">
      <c r="A6480" s="499" t="s">
        <v>12481</v>
      </c>
    </row>
    <row r="6481">
      <c r="A6481" s="499" t="s">
        <v>12482</v>
      </c>
    </row>
    <row r="6482">
      <c r="A6482" s="499" t="s">
        <v>12483</v>
      </c>
    </row>
    <row r="6483">
      <c r="A6483" s="499" t="s">
        <v>12484</v>
      </c>
    </row>
    <row r="6484">
      <c r="A6484" s="499" t="s">
        <v>12485</v>
      </c>
    </row>
    <row r="6485">
      <c r="A6485" s="499" t="s">
        <v>12486</v>
      </c>
    </row>
    <row r="6486">
      <c r="A6486" s="499" t="s">
        <v>12487</v>
      </c>
    </row>
    <row r="6487">
      <c r="A6487" s="499" t="s">
        <v>12488</v>
      </c>
    </row>
    <row r="6488">
      <c r="A6488" s="499" t="s">
        <v>12489</v>
      </c>
    </row>
    <row r="6489">
      <c r="A6489" s="499" t="s">
        <v>12490</v>
      </c>
    </row>
    <row r="6490">
      <c r="A6490" s="499" t="s">
        <v>12491</v>
      </c>
    </row>
    <row r="6491">
      <c r="A6491" s="499" t="s">
        <v>12492</v>
      </c>
    </row>
    <row r="6492">
      <c r="A6492" s="499" t="s">
        <v>12493</v>
      </c>
    </row>
    <row r="6493">
      <c r="A6493" s="499" t="s">
        <v>12494</v>
      </c>
    </row>
    <row r="6494">
      <c r="A6494" s="499" t="s">
        <v>12495</v>
      </c>
    </row>
    <row r="6495">
      <c r="A6495" s="499" t="s">
        <v>12496</v>
      </c>
    </row>
    <row r="6496">
      <c r="A6496" s="499" t="s">
        <v>12497</v>
      </c>
    </row>
    <row r="6497">
      <c r="A6497" s="499" t="s">
        <v>12498</v>
      </c>
    </row>
    <row r="6498">
      <c r="A6498" s="499" t="s">
        <v>12499</v>
      </c>
    </row>
    <row r="6499">
      <c r="A6499" s="499" t="s">
        <v>12500</v>
      </c>
    </row>
    <row r="6500">
      <c r="A6500" s="499" t="s">
        <v>12501</v>
      </c>
    </row>
    <row r="6501">
      <c r="A6501" s="499" t="s">
        <v>12502</v>
      </c>
    </row>
    <row r="6502">
      <c r="A6502" s="499" t="s">
        <v>12503</v>
      </c>
    </row>
    <row r="6503">
      <c r="A6503" s="499" t="s">
        <v>12504</v>
      </c>
    </row>
    <row r="6504">
      <c r="A6504" s="499" t="s">
        <v>12505</v>
      </c>
    </row>
    <row r="6505">
      <c r="A6505" s="499" t="s">
        <v>12506</v>
      </c>
    </row>
    <row r="6506">
      <c r="A6506" s="499" t="s">
        <v>12507</v>
      </c>
    </row>
    <row r="6507">
      <c r="A6507" s="499" t="s">
        <v>12508</v>
      </c>
    </row>
    <row r="6508">
      <c r="A6508" s="499" t="s">
        <v>12509</v>
      </c>
    </row>
    <row r="6509">
      <c r="A6509" s="499" t="s">
        <v>12510</v>
      </c>
    </row>
    <row r="6510">
      <c r="A6510" s="499" t="s">
        <v>12511</v>
      </c>
    </row>
    <row r="6511">
      <c r="A6511" s="499" t="s">
        <v>12512</v>
      </c>
    </row>
    <row r="6512">
      <c r="A6512" s="499" t="s">
        <v>12513</v>
      </c>
    </row>
    <row r="6513">
      <c r="A6513" s="499" t="s">
        <v>12514</v>
      </c>
    </row>
    <row r="6514">
      <c r="A6514" s="499" t="s">
        <v>12515</v>
      </c>
    </row>
    <row r="6515">
      <c r="A6515" s="499" t="s">
        <v>12516</v>
      </c>
    </row>
    <row r="6516">
      <c r="A6516" s="499" t="s">
        <v>12517</v>
      </c>
    </row>
    <row r="6517">
      <c r="A6517" s="499" t="s">
        <v>12518</v>
      </c>
    </row>
    <row r="6518">
      <c r="A6518" s="499" t="s">
        <v>12519</v>
      </c>
    </row>
    <row r="6519">
      <c r="A6519" s="499" t="s">
        <v>12520</v>
      </c>
    </row>
    <row r="6520">
      <c r="A6520" s="499" t="s">
        <v>12521</v>
      </c>
    </row>
    <row r="6521">
      <c r="A6521" s="499" t="s">
        <v>12522</v>
      </c>
    </row>
    <row r="6522">
      <c r="A6522" s="499" t="s">
        <v>12523</v>
      </c>
    </row>
    <row r="6523">
      <c r="A6523" s="499" t="s">
        <v>12524</v>
      </c>
    </row>
    <row r="6524">
      <c r="A6524" s="499" t="s">
        <v>12525</v>
      </c>
    </row>
    <row r="6525">
      <c r="A6525" s="499" t="s">
        <v>12526</v>
      </c>
    </row>
    <row r="6526">
      <c r="A6526" s="499" t="s">
        <v>12527</v>
      </c>
    </row>
    <row r="6527">
      <c r="A6527" s="499" t="s">
        <v>12528</v>
      </c>
    </row>
    <row r="6528">
      <c r="A6528" s="499" t="s">
        <v>12529</v>
      </c>
    </row>
    <row r="6529">
      <c r="A6529" s="499" t="s">
        <v>12530</v>
      </c>
    </row>
    <row r="6530">
      <c r="A6530" s="499" t="s">
        <v>12531</v>
      </c>
    </row>
    <row r="6531">
      <c r="A6531" s="499" t="s">
        <v>12532</v>
      </c>
    </row>
    <row r="6532">
      <c r="A6532" s="499" t="s">
        <v>12533</v>
      </c>
    </row>
    <row r="6533">
      <c r="A6533" s="499" t="s">
        <v>12534</v>
      </c>
    </row>
    <row r="6534">
      <c r="A6534" s="499" t="s">
        <v>12535</v>
      </c>
    </row>
    <row r="6535">
      <c r="A6535" s="499" t="s">
        <v>12536</v>
      </c>
    </row>
    <row r="6536">
      <c r="A6536" s="499" t="s">
        <v>12537</v>
      </c>
    </row>
    <row r="6537">
      <c r="A6537" s="499" t="s">
        <v>12538</v>
      </c>
    </row>
    <row r="6538">
      <c r="A6538" s="499" t="s">
        <v>12539</v>
      </c>
    </row>
    <row r="6539">
      <c r="A6539" s="499" t="s">
        <v>12540</v>
      </c>
    </row>
    <row r="6540">
      <c r="A6540" s="499" t="s">
        <v>12541</v>
      </c>
    </row>
    <row r="6541">
      <c r="A6541" s="499" t="s">
        <v>3127</v>
      </c>
    </row>
    <row r="6542">
      <c r="A6542" s="499" t="s">
        <v>12542</v>
      </c>
    </row>
    <row r="6543">
      <c r="A6543" s="499" t="s">
        <v>12543</v>
      </c>
    </row>
    <row r="6544">
      <c r="A6544" s="499" t="s">
        <v>12544</v>
      </c>
    </row>
    <row r="6545">
      <c r="A6545" s="499" t="s">
        <v>12545</v>
      </c>
    </row>
    <row r="6546">
      <c r="A6546" s="499" t="s">
        <v>12546</v>
      </c>
    </row>
    <row r="6547">
      <c r="A6547" s="499" t="s">
        <v>12547</v>
      </c>
    </row>
    <row r="6548">
      <c r="A6548" s="499" t="s">
        <v>12548</v>
      </c>
    </row>
    <row r="6549">
      <c r="A6549" s="499" t="s">
        <v>12549</v>
      </c>
    </row>
    <row r="6550">
      <c r="A6550" s="499" t="s">
        <v>12550</v>
      </c>
    </row>
    <row r="6551">
      <c r="A6551" s="499" t="s">
        <v>12551</v>
      </c>
    </row>
    <row r="6552">
      <c r="A6552" s="499" t="s">
        <v>12552</v>
      </c>
    </row>
    <row r="6553">
      <c r="A6553" s="499" t="s">
        <v>12553</v>
      </c>
    </row>
    <row r="6554">
      <c r="A6554" s="499" t="s">
        <v>12554</v>
      </c>
    </row>
    <row r="6555">
      <c r="A6555" s="499" t="s">
        <v>12555</v>
      </c>
    </row>
    <row r="6556">
      <c r="A6556" s="499" t="s">
        <v>12556</v>
      </c>
    </row>
    <row r="6557">
      <c r="A6557" s="499" t="s">
        <v>12557</v>
      </c>
    </row>
    <row r="6558">
      <c r="A6558" s="499" t="s">
        <v>12558</v>
      </c>
    </row>
    <row r="6559">
      <c r="A6559" s="499" t="s">
        <v>12559</v>
      </c>
    </row>
    <row r="6560">
      <c r="A6560" s="499" t="s">
        <v>12560</v>
      </c>
    </row>
    <row r="6561">
      <c r="A6561" s="499" t="s">
        <v>12561</v>
      </c>
    </row>
    <row r="6562">
      <c r="A6562" s="499" t="s">
        <v>12562</v>
      </c>
    </row>
    <row r="6563">
      <c r="A6563" s="499" t="s">
        <v>12563</v>
      </c>
    </row>
    <row r="6564">
      <c r="A6564" s="499" t="s">
        <v>12564</v>
      </c>
    </row>
    <row r="6565">
      <c r="A6565" s="499" t="s">
        <v>12565</v>
      </c>
    </row>
    <row r="6566">
      <c r="A6566" s="499" t="s">
        <v>12566</v>
      </c>
    </row>
    <row r="6567">
      <c r="A6567" s="499" t="s">
        <v>12567</v>
      </c>
    </row>
    <row r="6568">
      <c r="A6568" s="499" t="s">
        <v>12568</v>
      </c>
    </row>
    <row r="6569">
      <c r="A6569" s="499" t="s">
        <v>12569</v>
      </c>
    </row>
    <row r="6570">
      <c r="A6570" s="499" t="s">
        <v>12570</v>
      </c>
    </row>
    <row r="6571">
      <c r="A6571" s="499" t="s">
        <v>12571</v>
      </c>
    </row>
    <row r="6572">
      <c r="A6572" s="499" t="s">
        <v>12572</v>
      </c>
    </row>
    <row r="6573">
      <c r="A6573" s="499" t="s">
        <v>12573</v>
      </c>
    </row>
    <row r="6574">
      <c r="A6574" s="499" t="s">
        <v>12574</v>
      </c>
    </row>
    <row r="6575">
      <c r="A6575" s="499" t="s">
        <v>12575</v>
      </c>
    </row>
    <row r="6576">
      <c r="A6576" s="499" t="s">
        <v>12576</v>
      </c>
    </row>
    <row r="6577">
      <c r="A6577" s="499" t="s">
        <v>12577</v>
      </c>
    </row>
    <row r="6578">
      <c r="A6578" s="499" t="s">
        <v>12578</v>
      </c>
    </row>
    <row r="6579">
      <c r="A6579" s="499" t="s">
        <v>12579</v>
      </c>
    </row>
    <row r="6580">
      <c r="A6580" s="499" t="s">
        <v>12580</v>
      </c>
    </row>
    <row r="6581">
      <c r="A6581" s="499" t="s">
        <v>12581</v>
      </c>
    </row>
    <row r="6582">
      <c r="A6582" s="499" t="s">
        <v>12582</v>
      </c>
    </row>
    <row r="6583">
      <c r="A6583" s="499" t="s">
        <v>12583</v>
      </c>
    </row>
    <row r="6584">
      <c r="A6584" s="499" t="s">
        <v>12584</v>
      </c>
    </row>
    <row r="6585">
      <c r="A6585" s="499" t="s">
        <v>12585</v>
      </c>
    </row>
    <row r="6586">
      <c r="A6586" s="499" t="s">
        <v>12586</v>
      </c>
    </row>
    <row r="6587">
      <c r="A6587" s="499" t="s">
        <v>12587</v>
      </c>
    </row>
    <row r="6588">
      <c r="A6588" s="499" t="s">
        <v>12588</v>
      </c>
    </row>
    <row r="6589">
      <c r="A6589" s="499" t="s">
        <v>12589</v>
      </c>
    </row>
    <row r="6590">
      <c r="A6590" s="499" t="s">
        <v>12590</v>
      </c>
    </row>
    <row r="6591">
      <c r="A6591" s="499" t="s">
        <v>12591</v>
      </c>
    </row>
    <row r="6592">
      <c r="A6592" s="499" t="s">
        <v>12592</v>
      </c>
    </row>
    <row r="6593">
      <c r="A6593" s="499" t="s">
        <v>12593</v>
      </c>
    </row>
    <row r="6594">
      <c r="A6594" s="499" t="s">
        <v>12594</v>
      </c>
    </row>
    <row r="6595">
      <c r="A6595" s="499" t="s">
        <v>12595</v>
      </c>
    </row>
    <row r="6596">
      <c r="A6596" s="499" t="s">
        <v>12596</v>
      </c>
    </row>
    <row r="6597">
      <c r="A6597" s="499" t="s">
        <v>12597</v>
      </c>
    </row>
    <row r="6598">
      <c r="A6598" s="499" t="s">
        <v>12598</v>
      </c>
    </row>
    <row r="6599">
      <c r="A6599" s="499" t="s">
        <v>12599</v>
      </c>
    </row>
    <row r="6600">
      <c r="A6600" s="499" t="s">
        <v>12600</v>
      </c>
    </row>
    <row r="6601">
      <c r="A6601" s="499" t="s">
        <v>12601</v>
      </c>
    </row>
    <row r="6602">
      <c r="A6602" s="499" t="s">
        <v>12602</v>
      </c>
    </row>
    <row r="6603">
      <c r="A6603" s="499" t="s">
        <v>12603</v>
      </c>
    </row>
    <row r="6604">
      <c r="A6604" s="499" t="s">
        <v>12604</v>
      </c>
    </row>
    <row r="6605">
      <c r="A6605" s="499" t="s">
        <v>12605</v>
      </c>
    </row>
    <row r="6606">
      <c r="A6606" s="499" t="s">
        <v>12606</v>
      </c>
    </row>
    <row r="6607">
      <c r="A6607" s="499" t="s">
        <v>12607</v>
      </c>
    </row>
    <row r="6608">
      <c r="A6608" s="499" t="s">
        <v>12608</v>
      </c>
    </row>
    <row r="6609">
      <c r="A6609" s="499" t="s">
        <v>12609</v>
      </c>
    </row>
    <row r="6610">
      <c r="A6610" s="499" t="s">
        <v>1117</v>
      </c>
    </row>
    <row r="6611">
      <c r="A6611" s="499" t="s">
        <v>1111</v>
      </c>
    </row>
    <row r="6612">
      <c r="A6612" s="499" t="s">
        <v>1114</v>
      </c>
    </row>
    <row r="6613">
      <c r="A6613" s="499" t="s">
        <v>12610</v>
      </c>
    </row>
    <row r="6614">
      <c r="A6614" s="499" t="s">
        <v>1123</v>
      </c>
    </row>
    <row r="6615">
      <c r="A6615" s="499" t="s">
        <v>1120</v>
      </c>
    </row>
    <row r="6616">
      <c r="A6616" s="499" t="s">
        <v>12611</v>
      </c>
    </row>
    <row r="6617">
      <c r="A6617" s="499" t="s">
        <v>1179</v>
      </c>
    </row>
    <row r="6618">
      <c r="A6618" s="499" t="s">
        <v>1176</v>
      </c>
    </row>
    <row r="6619">
      <c r="A6619" s="499" t="s">
        <v>1109</v>
      </c>
    </row>
    <row r="6620">
      <c r="A6620" s="499" t="s">
        <v>1903</v>
      </c>
    </row>
    <row r="6621">
      <c r="A6621" s="499" t="s">
        <v>1906</v>
      </c>
    </row>
    <row r="6622">
      <c r="A6622" s="499" t="s">
        <v>12612</v>
      </c>
    </row>
    <row r="6623">
      <c r="A6623" s="499" t="s">
        <v>12613</v>
      </c>
    </row>
    <row r="6624">
      <c r="A6624" s="499" t="s">
        <v>12614</v>
      </c>
    </row>
    <row r="6625">
      <c r="A6625" s="499" t="s">
        <v>12615</v>
      </c>
    </row>
    <row r="6626">
      <c r="A6626" s="499" t="s">
        <v>1901</v>
      </c>
    </row>
    <row r="6627">
      <c r="A6627" s="499" t="s">
        <v>1899</v>
      </c>
    </row>
    <row r="6628">
      <c r="A6628" s="499" t="s">
        <v>7422</v>
      </c>
    </row>
    <row r="6629">
      <c r="A6629" s="499" t="s">
        <v>1183</v>
      </c>
    </row>
    <row r="6630">
      <c r="A6630" s="499" t="s">
        <v>1185</v>
      </c>
    </row>
    <row r="6631">
      <c r="A6631" s="499" t="s">
        <v>7427</v>
      </c>
    </row>
    <row r="6632">
      <c r="A6632" s="499" t="s">
        <v>1187</v>
      </c>
    </row>
    <row r="6633">
      <c r="A6633" s="499" t="s">
        <v>1244</v>
      </c>
    </row>
    <row r="6634">
      <c r="A6634" s="499" t="s">
        <v>1238</v>
      </c>
    </row>
    <row r="6635">
      <c r="A6635" s="499" t="s">
        <v>1240</v>
      </c>
    </row>
    <row r="6636">
      <c r="A6636" s="499" t="s">
        <v>1242</v>
      </c>
    </row>
    <row r="6637">
      <c r="A6637" s="499" t="s">
        <v>1181</v>
      </c>
    </row>
    <row r="6638">
      <c r="A6638" s="499" t="s">
        <v>1247</v>
      </c>
    </row>
    <row r="6639">
      <c r="A6639" s="499" t="s">
        <v>12616</v>
      </c>
    </row>
    <row r="6640">
      <c r="A6640" s="499" t="s">
        <v>1895</v>
      </c>
    </row>
    <row r="6641">
      <c r="A6641" s="499" t="s">
        <v>1897</v>
      </c>
    </row>
    <row r="6642">
      <c r="A6642" s="499" t="s">
        <v>1292</v>
      </c>
    </row>
    <row r="6643">
      <c r="A6643" s="499" t="s">
        <v>1290</v>
      </c>
    </row>
    <row r="6644">
      <c r="A6644" s="499" t="s">
        <v>1294</v>
      </c>
    </row>
    <row r="6645">
      <c r="A6645" s="499" t="s">
        <v>12617</v>
      </c>
    </row>
    <row r="6646">
      <c r="A6646" s="499" t="s">
        <v>12618</v>
      </c>
    </row>
    <row r="6647">
      <c r="A6647" s="499" t="s">
        <v>12619</v>
      </c>
    </row>
    <row r="6648">
      <c r="A6648" s="499" t="s">
        <v>12620</v>
      </c>
    </row>
    <row r="6649">
      <c r="A6649" s="499" t="s">
        <v>2050</v>
      </c>
    </row>
    <row r="6650">
      <c r="A6650" s="499" t="s">
        <v>2058</v>
      </c>
    </row>
    <row r="6651">
      <c r="A6651" s="499" t="s">
        <v>2056</v>
      </c>
    </row>
    <row r="6652">
      <c r="A6652" s="499" t="s">
        <v>2048</v>
      </c>
    </row>
    <row r="6653">
      <c r="A6653" s="499" t="s">
        <v>2053</v>
      </c>
    </row>
    <row r="6654">
      <c r="A6654" s="499" t="s">
        <v>2045</v>
      </c>
    </row>
    <row r="6655">
      <c r="A6655" s="499" t="s">
        <v>2148</v>
      </c>
    </row>
    <row r="6656">
      <c r="A6656" s="499" t="s">
        <v>2151</v>
      </c>
    </row>
    <row r="6657">
      <c r="A6657" s="499" t="s">
        <v>12621</v>
      </c>
    </row>
    <row r="6658">
      <c r="A6658" s="499" t="s">
        <v>12622</v>
      </c>
    </row>
    <row r="6659">
      <c r="A6659" s="499" t="s">
        <v>12623</v>
      </c>
    </row>
    <row r="6660">
      <c r="A6660" s="499" t="s">
        <v>12624</v>
      </c>
    </row>
    <row r="6661">
      <c r="A6661" s="499" t="s">
        <v>12625</v>
      </c>
    </row>
    <row r="6662">
      <c r="A6662" s="499" t="s">
        <v>1250</v>
      </c>
    </row>
    <row r="6663">
      <c r="A6663" s="499" t="s">
        <v>1252</v>
      </c>
    </row>
    <row r="6664">
      <c r="A6664" s="499" t="s">
        <v>1254</v>
      </c>
    </row>
    <row r="6665">
      <c r="A6665" s="499" t="s">
        <v>1256</v>
      </c>
    </row>
    <row r="6666">
      <c r="A6666" s="499" t="s">
        <v>1258</v>
      </c>
    </row>
    <row r="6667">
      <c r="A6667" s="499" t="s">
        <v>1260</v>
      </c>
    </row>
    <row r="6668">
      <c r="A6668" s="499" t="s">
        <v>1692</v>
      </c>
    </row>
    <row r="6669">
      <c r="A6669" s="499" t="s">
        <v>12626</v>
      </c>
    </row>
    <row r="6670">
      <c r="A6670" s="499" t="s">
        <v>12627</v>
      </c>
    </row>
    <row r="6671">
      <c r="A6671" s="499" t="s">
        <v>12628</v>
      </c>
    </row>
    <row r="6672">
      <c r="A6672" s="499" t="s">
        <v>1703</v>
      </c>
    </row>
    <row r="6673">
      <c r="A6673" s="499" t="s">
        <v>1715</v>
      </c>
    </row>
    <row r="6674">
      <c r="A6674" s="499" t="s">
        <v>12629</v>
      </c>
    </row>
    <row r="6675">
      <c r="A6675" s="499" t="s">
        <v>12630</v>
      </c>
    </row>
    <row r="6676">
      <c r="A6676" s="499" t="s">
        <v>12631</v>
      </c>
    </row>
    <row r="6677">
      <c r="A6677" s="499" t="s">
        <v>1734</v>
      </c>
    </row>
    <row r="6678">
      <c r="A6678" s="499" t="s">
        <v>1737</v>
      </c>
    </row>
    <row r="6679">
      <c r="A6679" s="499" t="s">
        <v>1742</v>
      </c>
    </row>
    <row r="6680">
      <c r="A6680" s="499" t="s">
        <v>1745</v>
      </c>
    </row>
    <row r="6681">
      <c r="A6681" s="499" t="s">
        <v>1748</v>
      </c>
    </row>
    <row r="6682">
      <c r="A6682" s="499" t="s">
        <v>1754</v>
      </c>
    </row>
    <row r="6683">
      <c r="A6683" s="499" t="s">
        <v>1760</v>
      </c>
    </row>
    <row r="6684">
      <c r="A6684" s="499" t="s">
        <v>1763</v>
      </c>
    </row>
    <row r="6685">
      <c r="A6685" s="499" t="s">
        <v>1766</v>
      </c>
    </row>
    <row r="6686">
      <c r="A6686" s="499" t="s">
        <v>1769</v>
      </c>
    </row>
    <row r="6687">
      <c r="A6687" s="499" t="s">
        <v>1796</v>
      </c>
    </row>
    <row r="6688">
      <c r="A6688" s="499" t="s">
        <v>1790</v>
      </c>
    </row>
    <row r="6689">
      <c r="A6689" s="499" t="s">
        <v>1793</v>
      </c>
    </row>
    <row r="6690">
      <c r="A6690" s="499" t="s">
        <v>1805</v>
      </c>
    </row>
    <row r="6691">
      <c r="A6691" s="499" t="s">
        <v>1799</v>
      </c>
    </row>
    <row r="6692">
      <c r="A6692" s="499" t="s">
        <v>1802</v>
      </c>
    </row>
    <row r="6693">
      <c r="A6693" s="499" t="s">
        <v>1811</v>
      </c>
    </row>
    <row r="6694">
      <c r="A6694" s="499" t="s">
        <v>1814</v>
      </c>
    </row>
    <row r="6695">
      <c r="A6695" s="499" t="s">
        <v>1817</v>
      </c>
    </row>
    <row r="6696">
      <c r="A6696" s="499" t="s">
        <v>1820</v>
      </c>
    </row>
    <row r="6697">
      <c r="A6697" s="499" t="s">
        <v>1823</v>
      </c>
    </row>
    <row r="6698">
      <c r="A6698" s="499" t="s">
        <v>1829</v>
      </c>
    </row>
    <row r="6699">
      <c r="A6699" s="499" t="s">
        <v>1837</v>
      </c>
    </row>
    <row r="6700">
      <c r="A6700" s="499" t="s">
        <v>1840</v>
      </c>
    </row>
    <row r="6701">
      <c r="A6701" s="499" t="s">
        <v>1728</v>
      </c>
    </row>
    <row r="6702">
      <c r="A6702" s="499" t="s">
        <v>1772</v>
      </c>
    </row>
    <row r="6703">
      <c r="A6703" s="499" t="s">
        <v>1779</v>
      </c>
    </row>
    <row r="6704">
      <c r="A6704" s="499" t="s">
        <v>1732</v>
      </c>
    </row>
    <row r="6705">
      <c r="A6705" s="499" t="s">
        <v>1724</v>
      </c>
    </row>
    <row r="6706">
      <c r="A6706" s="499" t="s">
        <v>1721</v>
      </c>
    </row>
    <row r="6707">
      <c r="A6707" s="499" t="s">
        <v>1726</v>
      </c>
    </row>
    <row r="6708">
      <c r="A6708" s="499" t="s">
        <v>1751</v>
      </c>
    </row>
    <row r="6709">
      <c r="A6709" s="499" t="s">
        <v>1826</v>
      </c>
    </row>
    <row r="6710">
      <c r="A6710" s="499" t="s">
        <v>1757</v>
      </c>
    </row>
    <row r="6711">
      <c r="A6711" s="499" t="s">
        <v>1781</v>
      </c>
    </row>
    <row r="6712">
      <c r="A6712" s="499" t="s">
        <v>1776</v>
      </c>
    </row>
    <row r="6713">
      <c r="A6713" s="499" t="s">
        <v>1774</v>
      </c>
    </row>
    <row r="6714">
      <c r="A6714" s="499" t="s">
        <v>12632</v>
      </c>
    </row>
    <row r="6715">
      <c r="A6715" s="499" t="s">
        <v>1784</v>
      </c>
    </row>
    <row r="6716">
      <c r="A6716" s="499" t="s">
        <v>1718</v>
      </c>
    </row>
    <row r="6717">
      <c r="A6717" s="499" t="s">
        <v>1739</v>
      </c>
    </row>
    <row r="6718">
      <c r="A6718" s="499" t="s">
        <v>12633</v>
      </c>
    </row>
    <row r="6719">
      <c r="A6719" s="499" t="s">
        <v>1730</v>
      </c>
    </row>
    <row r="6720">
      <c r="A6720" s="499" t="s">
        <v>1787</v>
      </c>
    </row>
    <row r="6721">
      <c r="A6721" s="499" t="s">
        <v>1831</v>
      </c>
    </row>
    <row r="6722">
      <c r="A6722" s="499" t="s">
        <v>1834</v>
      </c>
    </row>
    <row r="6723">
      <c r="A6723" s="499" t="s">
        <v>1845</v>
      </c>
    </row>
    <row r="6724">
      <c r="A6724" s="499" t="s">
        <v>1843</v>
      </c>
    </row>
    <row r="6725">
      <c r="A6725" s="499" t="s">
        <v>12634</v>
      </c>
    </row>
    <row r="6726">
      <c r="A6726" s="499" t="s">
        <v>1849</v>
      </c>
    </row>
    <row r="6727">
      <c r="A6727" s="499" t="s">
        <v>1851</v>
      </c>
    </row>
    <row r="6728">
      <c r="A6728" s="499" t="s">
        <v>12635</v>
      </c>
    </row>
    <row r="6729">
      <c r="A6729" s="499" t="s">
        <v>12636</v>
      </c>
    </row>
    <row r="6730">
      <c r="A6730" s="499" t="s">
        <v>12637</v>
      </c>
    </row>
    <row r="6731">
      <c r="A6731" s="499" t="s">
        <v>1808</v>
      </c>
    </row>
    <row r="6732">
      <c r="A6732" s="499" t="s">
        <v>1697</v>
      </c>
    </row>
    <row r="6733">
      <c r="A6733" s="499" t="s">
        <v>1694</v>
      </c>
    </row>
    <row r="6734">
      <c r="A6734" s="499" t="s">
        <v>1700</v>
      </c>
    </row>
    <row r="6735">
      <c r="A6735" s="499" t="s">
        <v>1706</v>
      </c>
    </row>
    <row r="6736">
      <c r="A6736" s="499" t="s">
        <v>1709</v>
      </c>
    </row>
    <row r="6737">
      <c r="A6737" s="499" t="s">
        <v>1712</v>
      </c>
    </row>
    <row r="6738">
      <c r="A6738" s="499" t="s">
        <v>12638</v>
      </c>
    </row>
    <row r="6739">
      <c r="A6739" s="499" t="s">
        <v>12639</v>
      </c>
    </row>
    <row r="6740">
      <c r="A6740" s="499" t="s">
        <v>12640</v>
      </c>
    </row>
    <row r="6741">
      <c r="A6741" s="499" t="s">
        <v>12641</v>
      </c>
    </row>
    <row r="6742">
      <c r="A6742" s="499" t="s">
        <v>12642</v>
      </c>
    </row>
    <row r="6743">
      <c r="A6743" s="499" t="s">
        <v>12643</v>
      </c>
    </row>
    <row r="6744">
      <c r="A6744" s="499" t="s">
        <v>12644</v>
      </c>
    </row>
    <row r="6745">
      <c r="A6745" s="499" t="s">
        <v>12645</v>
      </c>
    </row>
    <row r="6746">
      <c r="A6746" s="499" t="s">
        <v>12646</v>
      </c>
    </row>
    <row r="6747">
      <c r="A6747" s="499" t="s">
        <v>12647</v>
      </c>
    </row>
    <row r="6748">
      <c r="A6748" s="499" t="s">
        <v>12648</v>
      </c>
    </row>
    <row r="6749">
      <c r="A6749" s="499" t="s">
        <v>12649</v>
      </c>
    </row>
    <row r="6750">
      <c r="A6750" s="499" t="s">
        <v>12650</v>
      </c>
    </row>
    <row r="6751">
      <c r="A6751" s="499" t="s">
        <v>12651</v>
      </c>
    </row>
    <row r="6752">
      <c r="A6752" s="499" t="s">
        <v>12652</v>
      </c>
    </row>
    <row r="6753">
      <c r="A6753" s="499" t="s">
        <v>12653</v>
      </c>
    </row>
    <row r="6754">
      <c r="A6754" s="499" t="s">
        <v>12654</v>
      </c>
    </row>
    <row r="6755">
      <c r="A6755" s="499" t="s">
        <v>12655</v>
      </c>
    </row>
    <row r="6756">
      <c r="A6756" s="499" t="s">
        <v>12656</v>
      </c>
    </row>
    <row r="6757">
      <c r="A6757" s="499" t="s">
        <v>12657</v>
      </c>
    </row>
    <row r="6758">
      <c r="A6758" s="499" t="s">
        <v>12658</v>
      </c>
    </row>
    <row r="6759">
      <c r="A6759" s="499" t="s">
        <v>12659</v>
      </c>
    </row>
    <row r="6760">
      <c r="A6760" s="499" t="s">
        <v>12660</v>
      </c>
    </row>
    <row r="6761">
      <c r="A6761" s="499" t="s">
        <v>12661</v>
      </c>
    </row>
    <row r="6762">
      <c r="A6762" s="499" t="s">
        <v>12662</v>
      </c>
    </row>
    <row r="6763">
      <c r="A6763" s="499" t="s">
        <v>12663</v>
      </c>
    </row>
    <row r="6764">
      <c r="A6764" s="499" t="s">
        <v>12664</v>
      </c>
    </row>
    <row r="6765">
      <c r="A6765" s="499" t="s">
        <v>12665</v>
      </c>
    </row>
    <row r="6766">
      <c r="A6766" s="499" t="s">
        <v>12666</v>
      </c>
    </row>
    <row r="6767">
      <c r="A6767" s="499" t="s">
        <v>12667</v>
      </c>
    </row>
    <row r="6768">
      <c r="A6768" s="499" t="s">
        <v>12668</v>
      </c>
    </row>
    <row r="6769">
      <c r="A6769" s="499" t="s">
        <v>12669</v>
      </c>
    </row>
    <row r="6770">
      <c r="A6770" s="499" t="s">
        <v>1847</v>
      </c>
    </row>
    <row r="6771">
      <c r="A6771" s="499" t="s">
        <v>12670</v>
      </c>
    </row>
    <row r="6772">
      <c r="A6772" s="499" t="s">
        <v>12671</v>
      </c>
    </row>
    <row r="6773">
      <c r="A6773" s="499" t="s">
        <v>12672</v>
      </c>
    </row>
    <row r="6774">
      <c r="A6774" s="499" t="s">
        <v>12673</v>
      </c>
    </row>
    <row r="6775">
      <c r="A6775" s="499" t="s">
        <v>12674</v>
      </c>
    </row>
    <row r="6776">
      <c r="A6776" s="499" t="s">
        <v>12675</v>
      </c>
    </row>
    <row r="6777">
      <c r="A6777" s="499" t="s">
        <v>12676</v>
      </c>
    </row>
    <row r="6778">
      <c r="A6778" s="499" t="s">
        <v>12677</v>
      </c>
    </row>
    <row r="6779">
      <c r="A6779" s="499" t="s">
        <v>12678</v>
      </c>
    </row>
    <row r="6780">
      <c r="A6780" s="499" t="s">
        <v>12679</v>
      </c>
    </row>
    <row r="6781">
      <c r="A6781" s="499" t="s">
        <v>12680</v>
      </c>
    </row>
    <row r="6782">
      <c r="A6782" s="499" t="s">
        <v>12681</v>
      </c>
    </row>
    <row r="6783">
      <c r="A6783" s="499" t="s">
        <v>12682</v>
      </c>
    </row>
    <row r="6784">
      <c r="A6784" s="499" t="s">
        <v>12683</v>
      </c>
    </row>
    <row r="6785">
      <c r="A6785" s="499" t="s">
        <v>12684</v>
      </c>
    </row>
    <row r="6786">
      <c r="A6786" s="499" t="s">
        <v>12685</v>
      </c>
    </row>
    <row r="6787">
      <c r="A6787" s="499" t="s">
        <v>12686</v>
      </c>
    </row>
    <row r="6788">
      <c r="A6788" s="499" t="s">
        <v>12687</v>
      </c>
    </row>
    <row r="6789">
      <c r="A6789" s="499" t="s">
        <v>12688</v>
      </c>
    </row>
    <row r="6790">
      <c r="A6790" s="499" t="s">
        <v>12689</v>
      </c>
    </row>
    <row r="6791">
      <c r="A6791" s="499" t="s">
        <v>12690</v>
      </c>
    </row>
    <row r="6792">
      <c r="A6792" s="499" t="s">
        <v>12691</v>
      </c>
    </row>
    <row r="6793">
      <c r="A6793" s="499" t="s">
        <v>12692</v>
      </c>
    </row>
    <row r="6794">
      <c r="A6794" s="499" t="s">
        <v>12693</v>
      </c>
    </row>
    <row r="6795">
      <c r="A6795" s="499" t="s">
        <v>12694</v>
      </c>
    </row>
    <row r="6796">
      <c r="A6796" s="499" t="s">
        <v>12695</v>
      </c>
    </row>
    <row r="6797">
      <c r="A6797" s="499" t="s">
        <v>12696</v>
      </c>
    </row>
    <row r="6798">
      <c r="A6798" s="499" t="s">
        <v>12697</v>
      </c>
    </row>
    <row r="6799">
      <c r="A6799" s="499" t="s">
        <v>12698</v>
      </c>
    </row>
    <row r="6800">
      <c r="A6800" s="499" t="s">
        <v>12699</v>
      </c>
    </row>
    <row r="6801">
      <c r="A6801" s="499" t="s">
        <v>12700</v>
      </c>
    </row>
    <row r="6802">
      <c r="A6802" s="499" t="s">
        <v>12701</v>
      </c>
    </row>
    <row r="6803">
      <c r="A6803" s="499" t="s">
        <v>12702</v>
      </c>
    </row>
    <row r="6804">
      <c r="A6804" s="499" t="s">
        <v>2249</v>
      </c>
    </row>
    <row r="6805">
      <c r="A6805" s="499" t="s">
        <v>2252</v>
      </c>
    </row>
    <row r="6806">
      <c r="A6806" s="499" t="s">
        <v>2255</v>
      </c>
    </row>
    <row r="6807">
      <c r="A6807" s="499" t="s">
        <v>2258</v>
      </c>
    </row>
    <row r="6808">
      <c r="A6808" s="499" t="s">
        <v>2261</v>
      </c>
    </row>
    <row r="6809">
      <c r="A6809" s="499" t="s">
        <v>2264</v>
      </c>
    </row>
    <row r="6810">
      <c r="A6810" s="499" t="s">
        <v>2245</v>
      </c>
    </row>
    <row r="6811">
      <c r="A6811" s="499" t="s">
        <v>2247</v>
      </c>
    </row>
    <row r="6812">
      <c r="A6812" s="499" t="s">
        <v>1881</v>
      </c>
    </row>
    <row r="6813">
      <c r="A6813" s="499" t="s">
        <v>1883</v>
      </c>
    </row>
    <row r="6814">
      <c r="A6814" s="499" t="s">
        <v>1866</v>
      </c>
    </row>
    <row r="6815">
      <c r="A6815" s="499" t="s">
        <v>1886</v>
      </c>
    </row>
    <row r="6816">
      <c r="A6816" s="499" t="s">
        <v>1888</v>
      </c>
    </row>
    <row r="6817">
      <c r="A6817" s="499" t="s">
        <v>1863</v>
      </c>
    </row>
    <row r="6818">
      <c r="A6818" s="499" t="s">
        <v>1878</v>
      </c>
    </row>
    <row r="6819">
      <c r="A6819" s="499" t="s">
        <v>1861</v>
      </c>
    </row>
    <row r="6820">
      <c r="A6820" s="499" t="s">
        <v>1876</v>
      </c>
    </row>
    <row r="6821">
      <c r="A6821" s="499" t="s">
        <v>1855</v>
      </c>
    </row>
    <row r="6822">
      <c r="A6822" s="499" t="s">
        <v>1858</v>
      </c>
    </row>
    <row r="6823">
      <c r="A6823" s="499" t="s">
        <v>1870</v>
      </c>
    </row>
    <row r="6824">
      <c r="A6824" s="499" t="s">
        <v>1873</v>
      </c>
    </row>
    <row r="6825">
      <c r="A6825" s="499" t="s">
        <v>12703</v>
      </c>
    </row>
    <row r="6826">
      <c r="A6826" s="499" t="s">
        <v>12704</v>
      </c>
    </row>
    <row r="6827">
      <c r="A6827" s="499" t="s">
        <v>12705</v>
      </c>
    </row>
    <row r="6828">
      <c r="A6828" s="499" t="s">
        <v>12706</v>
      </c>
    </row>
    <row r="6829">
      <c r="A6829" s="499" t="s">
        <v>12707</v>
      </c>
    </row>
    <row r="6830">
      <c r="A6830" s="499" t="s">
        <v>12708</v>
      </c>
    </row>
    <row r="6831">
      <c r="A6831" s="499" t="s">
        <v>12709</v>
      </c>
    </row>
    <row r="6832">
      <c r="A6832" s="499" t="s">
        <v>12710</v>
      </c>
    </row>
    <row r="6833">
      <c r="A6833" s="499" t="s">
        <v>12711</v>
      </c>
    </row>
    <row r="6834">
      <c r="A6834" s="499" t="s">
        <v>12712</v>
      </c>
    </row>
    <row r="6835">
      <c r="A6835" s="499" t="s">
        <v>12713</v>
      </c>
    </row>
    <row r="6836">
      <c r="A6836" s="499" t="s">
        <v>12714</v>
      </c>
    </row>
    <row r="6837">
      <c r="A6837" s="499" t="s">
        <v>1262</v>
      </c>
    </row>
    <row r="6838">
      <c r="A6838" s="499" t="s">
        <v>2153</v>
      </c>
    </row>
    <row r="6839">
      <c r="A6839" s="499" t="s">
        <v>2159</v>
      </c>
    </row>
    <row r="6840">
      <c r="A6840" s="499" t="s">
        <v>2156</v>
      </c>
    </row>
    <row r="6841">
      <c r="A6841" s="499" t="s">
        <v>2162</v>
      </c>
    </row>
    <row r="6842">
      <c r="A6842" s="499" t="s">
        <v>2165</v>
      </c>
    </row>
    <row r="6843">
      <c r="A6843" s="499" t="s">
        <v>2171</v>
      </c>
    </row>
    <row r="6844">
      <c r="A6844" s="499" t="s">
        <v>2173</v>
      </c>
    </row>
    <row r="6845">
      <c r="A6845" s="499" t="s">
        <v>2168</v>
      </c>
    </row>
    <row r="6846">
      <c r="A6846" s="499" t="s">
        <v>2227</v>
      </c>
    </row>
    <row r="6847">
      <c r="A6847" s="499" t="s">
        <v>2230</v>
      </c>
    </row>
    <row r="6848">
      <c r="A6848" s="499" t="s">
        <v>2233</v>
      </c>
    </row>
    <row r="6849">
      <c r="A6849" s="499" t="s">
        <v>2235</v>
      </c>
    </row>
    <row r="6850">
      <c r="A6850" s="499" t="s">
        <v>2238</v>
      </c>
    </row>
    <row r="6851">
      <c r="A6851" s="499" t="s">
        <v>2241</v>
      </c>
    </row>
    <row r="6852">
      <c r="A6852" s="499" t="s">
        <v>2243</v>
      </c>
    </row>
    <row r="6853">
      <c r="A6853" s="499" t="s">
        <v>2224</v>
      </c>
    </row>
    <row r="6854">
      <c r="A6854" s="499" t="s">
        <v>2221</v>
      </c>
    </row>
    <row r="6855">
      <c r="A6855" s="499" t="s">
        <v>1893</v>
      </c>
    </row>
    <row r="6856">
      <c r="A6856" s="499" t="s">
        <v>1908</v>
      </c>
    </row>
    <row r="6857">
      <c r="A6857" s="499" t="s">
        <v>1911</v>
      </c>
    </row>
    <row r="6858">
      <c r="A6858" s="499" t="s">
        <v>1914</v>
      </c>
    </row>
    <row r="6859">
      <c r="A6859" s="499" t="s">
        <v>1918</v>
      </c>
    </row>
    <row r="6860">
      <c r="A6860" s="499" t="s">
        <v>1916</v>
      </c>
    </row>
    <row r="6861">
      <c r="A6861" s="499" t="s">
        <v>1923</v>
      </c>
    </row>
    <row r="6862">
      <c r="A6862" s="499" t="s">
        <v>1921</v>
      </c>
    </row>
    <row r="6863">
      <c r="A6863" s="499" t="s">
        <v>1928</v>
      </c>
    </row>
    <row r="6864">
      <c r="A6864" s="499" t="s">
        <v>1931</v>
      </c>
    </row>
    <row r="6865">
      <c r="A6865" s="499" t="s">
        <v>1932</v>
      </c>
    </row>
    <row r="6866">
      <c r="A6866" s="499" t="s">
        <v>1925</v>
      </c>
    </row>
    <row r="6867">
      <c r="A6867" s="499" t="s">
        <v>1935</v>
      </c>
    </row>
    <row r="6868">
      <c r="A6868" s="499" t="s">
        <v>12715</v>
      </c>
    </row>
    <row r="6869">
      <c r="A6869" s="499" t="s">
        <v>1943</v>
      </c>
    </row>
    <row r="6870">
      <c r="A6870" s="499" t="s">
        <v>1948</v>
      </c>
    </row>
    <row r="6871">
      <c r="A6871" s="499" t="s">
        <v>1951</v>
      </c>
    </row>
    <row r="6872">
      <c r="A6872" s="499" t="s">
        <v>1946</v>
      </c>
    </row>
    <row r="6873">
      <c r="A6873" s="499" t="s">
        <v>1938</v>
      </c>
    </row>
    <row r="6874">
      <c r="A6874" s="499" t="s">
        <v>1941</v>
      </c>
    </row>
    <row r="6875">
      <c r="A6875" s="499" t="s">
        <v>12716</v>
      </c>
    </row>
    <row r="6876">
      <c r="A6876" s="499" t="s">
        <v>12717</v>
      </c>
    </row>
    <row r="6877">
      <c r="A6877" s="499" t="s">
        <v>12718</v>
      </c>
    </row>
    <row r="6878">
      <c r="A6878" s="499" t="s">
        <v>12719</v>
      </c>
    </row>
    <row r="6879">
      <c r="A6879" s="499" t="s">
        <v>12720</v>
      </c>
    </row>
    <row r="6880">
      <c r="A6880" s="499" t="s">
        <v>12721</v>
      </c>
    </row>
    <row r="6881">
      <c r="A6881" s="499" t="s">
        <v>12722</v>
      </c>
    </row>
    <row r="6882">
      <c r="A6882" s="499" t="s">
        <v>12723</v>
      </c>
    </row>
    <row r="6883">
      <c r="A6883" s="499" t="s">
        <v>12724</v>
      </c>
    </row>
    <row r="6884">
      <c r="A6884" s="499" t="s">
        <v>12725</v>
      </c>
    </row>
    <row r="6885">
      <c r="A6885" s="499" t="s">
        <v>12726</v>
      </c>
    </row>
    <row r="6886">
      <c r="A6886" s="499" t="s">
        <v>12727</v>
      </c>
    </row>
    <row r="6887">
      <c r="A6887" s="499" t="s">
        <v>12728</v>
      </c>
    </row>
    <row r="6888">
      <c r="A6888" s="499" t="s">
        <v>1269</v>
      </c>
    </row>
    <row r="6889">
      <c r="A6889" s="499" t="s">
        <v>1266</v>
      </c>
    </row>
    <row r="6890">
      <c r="A6890" s="499" t="s">
        <v>1271</v>
      </c>
    </row>
    <row r="6891">
      <c r="A6891" s="499" t="s">
        <v>12729</v>
      </c>
    </row>
    <row r="6892">
      <c r="A6892" s="499" t="s">
        <v>1273</v>
      </c>
    </row>
    <row r="6893">
      <c r="A6893" s="499" t="s">
        <v>1274</v>
      </c>
    </row>
    <row r="6894">
      <c r="A6894" s="499" t="s">
        <v>1276</v>
      </c>
    </row>
    <row r="6895">
      <c r="A6895" s="499" t="s">
        <v>1277</v>
      </c>
    </row>
    <row r="6896">
      <c r="A6896" s="499" t="s">
        <v>1280</v>
      </c>
    </row>
    <row r="6897">
      <c r="A6897" s="499" t="s">
        <v>1282</v>
      </c>
    </row>
    <row r="6898">
      <c r="A6898" s="499" t="s">
        <v>1284</v>
      </c>
    </row>
    <row r="6899">
      <c r="A6899" s="499" t="s">
        <v>1286</v>
      </c>
    </row>
    <row r="6900">
      <c r="A6900" s="499" t="s">
        <v>1288</v>
      </c>
    </row>
    <row r="6901">
      <c r="A6901" s="499" t="s">
        <v>12730</v>
      </c>
    </row>
    <row r="6902">
      <c r="A6902" s="499" t="s">
        <v>1982</v>
      </c>
    </row>
    <row r="6903">
      <c r="A6903" s="499" t="s">
        <v>1984</v>
      </c>
    </row>
    <row r="6904">
      <c r="A6904" s="499" t="s">
        <v>2041</v>
      </c>
    </row>
    <row r="6905">
      <c r="A6905" s="499" t="s">
        <v>4099</v>
      </c>
    </row>
    <row r="6906">
      <c r="A6906" s="499" t="s">
        <v>12731</v>
      </c>
    </row>
    <row r="6907">
      <c r="A6907" s="499" t="s">
        <v>2017</v>
      </c>
    </row>
    <row r="6908">
      <c r="A6908" s="499" t="s">
        <v>2023</v>
      </c>
    </row>
    <row r="6909">
      <c r="A6909" s="499" t="s">
        <v>2020</v>
      </c>
    </row>
    <row r="6910">
      <c r="A6910" s="499" t="s">
        <v>2026</v>
      </c>
    </row>
    <row r="6911">
      <c r="A6911" s="499" t="s">
        <v>2032</v>
      </c>
    </row>
    <row r="6912">
      <c r="A6912" s="499" t="s">
        <v>2029</v>
      </c>
    </row>
    <row r="6913">
      <c r="A6913" s="499" t="s">
        <v>2008</v>
      </c>
    </row>
    <row r="6914">
      <c r="A6914" s="499" t="s">
        <v>2010</v>
      </c>
    </row>
    <row r="6915">
      <c r="A6915" s="499" t="s">
        <v>12732</v>
      </c>
    </row>
    <row r="6916">
      <c r="A6916" s="499" t="s">
        <v>2075</v>
      </c>
    </row>
    <row r="6917">
      <c r="A6917" s="499" t="s">
        <v>2073</v>
      </c>
    </row>
    <row r="6918">
      <c r="A6918" s="499" t="s">
        <v>2080</v>
      </c>
    </row>
    <row r="6919">
      <c r="A6919" s="499" t="s">
        <v>2078</v>
      </c>
    </row>
    <row r="6920">
      <c r="A6920" s="499" t="s">
        <v>2083</v>
      </c>
    </row>
    <row r="6921">
      <c r="A6921" s="499" t="s">
        <v>2089</v>
      </c>
    </row>
    <row r="6922">
      <c r="A6922" s="499" t="s">
        <v>2093</v>
      </c>
    </row>
    <row r="6923">
      <c r="A6923" s="499" t="s">
        <v>2091</v>
      </c>
    </row>
    <row r="6924">
      <c r="A6924" s="499" t="s">
        <v>2114</v>
      </c>
    </row>
    <row r="6925">
      <c r="A6925" s="499" t="s">
        <v>2096</v>
      </c>
    </row>
    <row r="6926">
      <c r="A6926" s="499" t="s">
        <v>2102</v>
      </c>
    </row>
    <row r="6927">
      <c r="A6927" s="499" t="s">
        <v>2100</v>
      </c>
    </row>
    <row r="6928">
      <c r="A6928" s="499" t="s">
        <v>2117</v>
      </c>
    </row>
    <row r="6929">
      <c r="A6929" s="499" t="s">
        <v>2120</v>
      </c>
    </row>
    <row r="6930">
      <c r="A6930" s="499" t="s">
        <v>2105</v>
      </c>
    </row>
    <row r="6931">
      <c r="A6931" s="499" t="s">
        <v>12733</v>
      </c>
    </row>
    <row r="6932">
      <c r="A6932" s="499" t="s">
        <v>2108</v>
      </c>
    </row>
    <row r="6933">
      <c r="A6933" s="499" t="s">
        <v>12734</v>
      </c>
    </row>
    <row r="6934">
      <c r="A6934" s="499" t="s">
        <v>12735</v>
      </c>
    </row>
    <row r="6935">
      <c r="A6935" s="499" t="s">
        <v>2067</v>
      </c>
    </row>
    <row r="6936">
      <c r="A6936" s="499" t="s">
        <v>2069</v>
      </c>
    </row>
    <row r="6937">
      <c r="A6937" s="499" t="s">
        <v>2071</v>
      </c>
    </row>
    <row r="6938">
      <c r="A6938" s="499" t="s">
        <v>2086</v>
      </c>
    </row>
    <row r="6939">
      <c r="A6939" s="499" t="s">
        <v>2098</v>
      </c>
    </row>
    <row r="6940">
      <c r="A6940" s="499" t="s">
        <v>2111</v>
      </c>
    </row>
    <row r="6941">
      <c r="A6941" s="499" t="s">
        <v>12736</v>
      </c>
    </row>
    <row r="6942">
      <c r="A6942" s="499" t="s">
        <v>12737</v>
      </c>
    </row>
    <row r="6943">
      <c r="A6943" s="499" t="s">
        <v>12738</v>
      </c>
    </row>
    <row r="6944">
      <c r="A6944" s="499" t="s">
        <v>12739</v>
      </c>
    </row>
    <row r="6945">
      <c r="A6945" s="499" t="s">
        <v>12740</v>
      </c>
    </row>
    <row r="6946">
      <c r="A6946" s="499" t="s">
        <v>12741</v>
      </c>
    </row>
    <row r="6947">
      <c r="A6947" s="499" t="s">
        <v>12742</v>
      </c>
    </row>
    <row r="6948">
      <c r="A6948" s="499" t="s">
        <v>12743</v>
      </c>
    </row>
    <row r="6949">
      <c r="A6949" s="499" t="s">
        <v>12744</v>
      </c>
    </row>
    <row r="6950">
      <c r="A6950" s="499" t="s">
        <v>12745</v>
      </c>
    </row>
    <row r="6951">
      <c r="A6951" s="499" t="s">
        <v>12746</v>
      </c>
    </row>
    <row r="6952">
      <c r="A6952" s="499" t="s">
        <v>12747</v>
      </c>
    </row>
    <row r="6953">
      <c r="A6953" s="499" t="s">
        <v>12748</v>
      </c>
    </row>
    <row r="6954">
      <c r="A6954" s="499" t="s">
        <v>12749</v>
      </c>
    </row>
    <row r="6955">
      <c r="A6955" s="499" t="s">
        <v>12750</v>
      </c>
    </row>
    <row r="6956">
      <c r="A6956" s="499" t="s">
        <v>12751</v>
      </c>
    </row>
    <row r="6957">
      <c r="A6957" s="499" t="s">
        <v>12752</v>
      </c>
    </row>
    <row r="6958">
      <c r="A6958" s="499" t="s">
        <v>12753</v>
      </c>
    </row>
    <row r="6959">
      <c r="A6959" s="499" t="s">
        <v>12754</v>
      </c>
    </row>
    <row r="6960">
      <c r="A6960" s="499" t="s">
        <v>12755</v>
      </c>
    </row>
    <row r="6961">
      <c r="A6961" s="499" t="s">
        <v>12756</v>
      </c>
    </row>
    <row r="6962">
      <c r="A6962" s="499" t="s">
        <v>12757</v>
      </c>
    </row>
    <row r="6963">
      <c r="A6963" s="499" t="s">
        <v>12758</v>
      </c>
    </row>
    <row r="6964">
      <c r="A6964" s="499" t="s">
        <v>12759</v>
      </c>
    </row>
    <row r="6965">
      <c r="A6965" s="499" t="s">
        <v>12760</v>
      </c>
    </row>
    <row r="6966">
      <c r="A6966" s="499" t="s">
        <v>12761</v>
      </c>
    </row>
    <row r="6967">
      <c r="A6967" s="499" t="s">
        <v>12762</v>
      </c>
    </row>
    <row r="6968">
      <c r="A6968" s="499" t="s">
        <v>12763</v>
      </c>
    </row>
    <row r="6969">
      <c r="A6969" s="499" t="s">
        <v>12764</v>
      </c>
    </row>
    <row r="6970">
      <c r="A6970" s="499" t="s">
        <v>12765</v>
      </c>
    </row>
    <row r="6971">
      <c r="A6971" s="499" t="s">
        <v>12766</v>
      </c>
    </row>
    <row r="6972">
      <c r="A6972" s="499" t="s">
        <v>12767</v>
      </c>
    </row>
    <row r="6973">
      <c r="A6973" s="499" t="s">
        <v>12768</v>
      </c>
    </row>
    <row r="6974">
      <c r="A6974" s="499" t="s">
        <v>12769</v>
      </c>
    </row>
    <row r="6975">
      <c r="A6975" s="499" t="s">
        <v>12770</v>
      </c>
    </row>
    <row r="6976">
      <c r="A6976" s="499" t="s">
        <v>12771</v>
      </c>
    </row>
    <row r="6977">
      <c r="A6977" s="499" t="s">
        <v>12772</v>
      </c>
    </row>
    <row r="6978">
      <c r="A6978" s="499" t="s">
        <v>12773</v>
      </c>
    </row>
    <row r="6979">
      <c r="A6979" s="499" t="s">
        <v>12774</v>
      </c>
    </row>
    <row r="6980">
      <c r="A6980" s="499" t="s">
        <v>12775</v>
      </c>
    </row>
    <row r="6981">
      <c r="A6981" s="499" t="s">
        <v>12776</v>
      </c>
    </row>
    <row r="6982">
      <c r="A6982" s="499" t="s">
        <v>12777</v>
      </c>
    </row>
    <row r="6983">
      <c r="A6983" s="499" t="s">
        <v>12778</v>
      </c>
    </row>
    <row r="6984">
      <c r="A6984" s="499" t="s">
        <v>12779</v>
      </c>
    </row>
    <row r="6985">
      <c r="A6985" s="499" t="s">
        <v>12780</v>
      </c>
    </row>
    <row r="6986">
      <c r="A6986" s="499" t="s">
        <v>12781</v>
      </c>
    </row>
    <row r="6987">
      <c r="A6987" s="499" t="s">
        <v>12782</v>
      </c>
    </row>
    <row r="6988">
      <c r="A6988" s="499" t="s">
        <v>12783</v>
      </c>
    </row>
    <row r="6989">
      <c r="A6989" s="499" t="s">
        <v>12784</v>
      </c>
    </row>
    <row r="6990">
      <c r="A6990" s="499" t="s">
        <v>12785</v>
      </c>
    </row>
    <row r="6991">
      <c r="A6991" s="499" t="s">
        <v>12786</v>
      </c>
    </row>
    <row r="6992">
      <c r="A6992" s="499" t="s">
        <v>12787</v>
      </c>
    </row>
    <row r="6993">
      <c r="A6993" s="499" t="s">
        <v>12788</v>
      </c>
    </row>
    <row r="6994">
      <c r="A6994" s="499" t="s">
        <v>12789</v>
      </c>
    </row>
    <row r="6995">
      <c r="A6995" s="499" t="s">
        <v>12790</v>
      </c>
    </row>
    <row r="6996">
      <c r="A6996" s="499" t="s">
        <v>12791</v>
      </c>
    </row>
    <row r="6997">
      <c r="A6997" s="499" t="s">
        <v>12792</v>
      </c>
    </row>
    <row r="6998">
      <c r="A6998" s="499" t="s">
        <v>12793</v>
      </c>
    </row>
    <row r="6999">
      <c r="A6999" s="499" t="s">
        <v>12794</v>
      </c>
    </row>
    <row r="7000">
      <c r="A7000" s="499" t="s">
        <v>12795</v>
      </c>
    </row>
    <row r="7001">
      <c r="A7001" s="499" t="s">
        <v>12796</v>
      </c>
    </row>
    <row r="7002">
      <c r="A7002" s="499" t="s">
        <v>12797</v>
      </c>
    </row>
    <row r="7003">
      <c r="A7003" s="499" t="s">
        <v>12798</v>
      </c>
    </row>
    <row r="7004">
      <c r="A7004" s="499" t="s">
        <v>12799</v>
      </c>
    </row>
    <row r="7005">
      <c r="A7005" s="499" t="s">
        <v>12800</v>
      </c>
    </row>
    <row r="7006">
      <c r="A7006" s="499" t="s">
        <v>12801</v>
      </c>
    </row>
    <row r="7007">
      <c r="A7007" s="499" t="s">
        <v>12802</v>
      </c>
    </row>
    <row r="7008">
      <c r="A7008" s="499" t="s">
        <v>12803</v>
      </c>
    </row>
    <row r="7009">
      <c r="A7009" s="499" t="s">
        <v>12804</v>
      </c>
    </row>
    <row r="7010">
      <c r="A7010" s="499" t="s">
        <v>12805</v>
      </c>
    </row>
    <row r="7011">
      <c r="A7011" s="499" t="s">
        <v>12806</v>
      </c>
    </row>
    <row r="7012">
      <c r="A7012" s="499" t="s">
        <v>12807</v>
      </c>
    </row>
    <row r="7013">
      <c r="A7013" s="499" t="s">
        <v>12808</v>
      </c>
    </row>
    <row r="7014">
      <c r="A7014" s="499" t="s">
        <v>12809</v>
      </c>
    </row>
    <row r="7015">
      <c r="A7015" s="499" t="s">
        <v>12810</v>
      </c>
    </row>
    <row r="7016">
      <c r="A7016" s="499" t="s">
        <v>12811</v>
      </c>
    </row>
    <row r="7017">
      <c r="A7017" s="499" t="s">
        <v>12812</v>
      </c>
    </row>
    <row r="7018">
      <c r="A7018" s="499" t="s">
        <v>12813</v>
      </c>
    </row>
    <row r="7019">
      <c r="A7019" s="499" t="s">
        <v>12814</v>
      </c>
    </row>
    <row r="7020">
      <c r="A7020" s="499" t="s">
        <v>12815</v>
      </c>
    </row>
    <row r="7021">
      <c r="A7021" s="499" t="s">
        <v>12816</v>
      </c>
    </row>
    <row r="7022">
      <c r="A7022" s="499" t="s">
        <v>12817</v>
      </c>
    </row>
    <row r="7023">
      <c r="A7023" s="499" t="s">
        <v>12818</v>
      </c>
    </row>
    <row r="7024">
      <c r="A7024" s="499" t="s">
        <v>12819</v>
      </c>
    </row>
    <row r="7025">
      <c r="A7025" s="499" t="s">
        <v>12820</v>
      </c>
    </row>
    <row r="7026">
      <c r="A7026" s="499" t="s">
        <v>12821</v>
      </c>
    </row>
    <row r="7027">
      <c r="A7027" s="499" t="s">
        <v>12822</v>
      </c>
    </row>
    <row r="7028">
      <c r="A7028" s="499" t="s">
        <v>12823</v>
      </c>
    </row>
    <row r="7029">
      <c r="A7029" s="499" t="s">
        <v>12824</v>
      </c>
    </row>
    <row r="7030">
      <c r="A7030" s="499" t="s">
        <v>12825</v>
      </c>
    </row>
    <row r="7031">
      <c r="A7031" s="499" t="s">
        <v>12826</v>
      </c>
    </row>
    <row r="7032">
      <c r="A7032" s="499" t="s">
        <v>12827</v>
      </c>
    </row>
    <row r="7033">
      <c r="A7033" s="499" t="s">
        <v>12828</v>
      </c>
    </row>
    <row r="7034">
      <c r="A7034" s="499" t="s">
        <v>12829</v>
      </c>
    </row>
    <row r="7035">
      <c r="A7035" s="499" t="s">
        <v>12830</v>
      </c>
    </row>
    <row r="7036">
      <c r="A7036" s="499" t="s">
        <v>12831</v>
      </c>
    </row>
    <row r="7037">
      <c r="A7037" s="499" t="s">
        <v>12832</v>
      </c>
    </row>
    <row r="7038">
      <c r="A7038" s="499" t="s">
        <v>12833</v>
      </c>
    </row>
    <row r="7039">
      <c r="A7039" s="499" t="s">
        <v>12834</v>
      </c>
    </row>
    <row r="7040">
      <c r="A7040" s="499" t="s">
        <v>12835</v>
      </c>
    </row>
    <row r="7041">
      <c r="A7041" s="499" t="s">
        <v>12836</v>
      </c>
    </row>
    <row r="7042">
      <c r="A7042" s="499" t="s">
        <v>12837</v>
      </c>
    </row>
    <row r="7043">
      <c r="A7043" s="499" t="s">
        <v>12838</v>
      </c>
    </row>
    <row r="7044">
      <c r="A7044" s="499" t="s">
        <v>12839</v>
      </c>
    </row>
    <row r="7045">
      <c r="A7045" s="499" t="s">
        <v>12840</v>
      </c>
    </row>
    <row r="7046">
      <c r="A7046" s="499" t="s">
        <v>12841</v>
      </c>
    </row>
    <row r="7047">
      <c r="A7047" s="499" t="s">
        <v>12842</v>
      </c>
    </row>
    <row r="7048">
      <c r="A7048" s="499" t="s">
        <v>12843</v>
      </c>
    </row>
    <row r="7049">
      <c r="A7049" s="499" t="s">
        <v>12844</v>
      </c>
    </row>
    <row r="7050">
      <c r="A7050" s="499" t="s">
        <v>12845</v>
      </c>
    </row>
    <row r="7051">
      <c r="A7051" s="499" t="s">
        <v>12846</v>
      </c>
    </row>
    <row r="7052">
      <c r="A7052" s="499" t="s">
        <v>12847</v>
      </c>
    </row>
    <row r="7053">
      <c r="A7053" s="499" t="s">
        <v>12848</v>
      </c>
    </row>
    <row r="7054">
      <c r="A7054" s="499" t="s">
        <v>12849</v>
      </c>
    </row>
    <row r="7055">
      <c r="A7055" s="499" t="s">
        <v>12850</v>
      </c>
    </row>
    <row r="7056">
      <c r="A7056" s="499" t="s">
        <v>12851</v>
      </c>
    </row>
    <row r="7057">
      <c r="A7057" s="499" t="s">
        <v>12852</v>
      </c>
    </row>
    <row r="7058">
      <c r="A7058" s="499" t="s">
        <v>12853</v>
      </c>
    </row>
    <row r="7059">
      <c r="A7059" s="499" t="s">
        <v>12854</v>
      </c>
    </row>
    <row r="7060">
      <c r="A7060" s="499" t="s">
        <v>12855</v>
      </c>
    </row>
    <row r="7061">
      <c r="A7061" s="499" t="s">
        <v>12856</v>
      </c>
    </row>
    <row r="7062">
      <c r="A7062" s="499" t="s">
        <v>12857</v>
      </c>
    </row>
    <row r="7063">
      <c r="A7063" s="499" t="s">
        <v>12858</v>
      </c>
    </row>
    <row r="7064">
      <c r="A7064" s="499" t="s">
        <v>12859</v>
      </c>
    </row>
    <row r="7065">
      <c r="A7065" s="499" t="s">
        <v>12860</v>
      </c>
    </row>
    <row r="7066">
      <c r="A7066" s="499" t="s">
        <v>12861</v>
      </c>
    </row>
    <row r="7067">
      <c r="A7067" s="499" t="s">
        <v>12862</v>
      </c>
    </row>
    <row r="7068">
      <c r="A7068" s="499" t="s">
        <v>12863</v>
      </c>
    </row>
    <row r="7069">
      <c r="A7069" s="499" t="s">
        <v>12864</v>
      </c>
    </row>
    <row r="7070">
      <c r="A7070" s="499" t="s">
        <v>12865</v>
      </c>
    </row>
    <row r="7071">
      <c r="A7071" s="499" t="s">
        <v>12866</v>
      </c>
    </row>
    <row r="7072">
      <c r="A7072" s="499" t="s">
        <v>12867</v>
      </c>
    </row>
    <row r="7073">
      <c r="A7073" s="499" t="s">
        <v>12868</v>
      </c>
    </row>
    <row r="7074">
      <c r="A7074" s="499" t="s">
        <v>12869</v>
      </c>
    </row>
    <row r="7075">
      <c r="A7075" s="499" t="s">
        <v>12870</v>
      </c>
    </row>
    <row r="7076">
      <c r="A7076" s="499" t="s">
        <v>12871</v>
      </c>
    </row>
    <row r="7077">
      <c r="A7077" s="499" t="s">
        <v>12872</v>
      </c>
    </row>
    <row r="7078">
      <c r="A7078" s="499" t="s">
        <v>12873</v>
      </c>
    </row>
    <row r="7079">
      <c r="A7079" s="499" t="s">
        <v>12874</v>
      </c>
    </row>
    <row r="7080">
      <c r="A7080" s="499" t="s">
        <v>12875</v>
      </c>
    </row>
    <row r="7081">
      <c r="A7081" s="499" t="s">
        <v>12876</v>
      </c>
    </row>
    <row r="7082">
      <c r="A7082" s="499" t="s">
        <v>12877</v>
      </c>
    </row>
    <row r="7083">
      <c r="A7083" s="499" t="s">
        <v>12878</v>
      </c>
    </row>
    <row r="7084">
      <c r="A7084" s="499" t="s">
        <v>12879</v>
      </c>
    </row>
    <row r="7085">
      <c r="A7085" s="499" t="s">
        <v>12880</v>
      </c>
    </row>
    <row r="7086">
      <c r="A7086" s="499" t="s">
        <v>12881</v>
      </c>
    </row>
    <row r="7087">
      <c r="A7087" s="499" t="s">
        <v>12882</v>
      </c>
    </row>
    <row r="7088">
      <c r="A7088" s="499" t="s">
        <v>12883</v>
      </c>
    </row>
    <row r="7089">
      <c r="A7089" s="499" t="s">
        <v>12884</v>
      </c>
    </row>
    <row r="7090">
      <c r="A7090" s="499" t="s">
        <v>12885</v>
      </c>
    </row>
    <row r="7091">
      <c r="A7091" s="499" t="s">
        <v>12886</v>
      </c>
    </row>
    <row r="7092">
      <c r="A7092" s="499" t="s">
        <v>12887</v>
      </c>
    </row>
    <row r="7093">
      <c r="A7093" s="499" t="s">
        <v>12888</v>
      </c>
    </row>
    <row r="7094">
      <c r="A7094" s="499" t="s">
        <v>12889</v>
      </c>
    </row>
    <row r="7095">
      <c r="A7095" s="499" t="s">
        <v>12890</v>
      </c>
    </row>
    <row r="7096">
      <c r="A7096" s="499" t="s">
        <v>12891</v>
      </c>
    </row>
    <row r="7097">
      <c r="A7097" s="499" t="s">
        <v>12892</v>
      </c>
    </row>
    <row r="7098">
      <c r="A7098" s="499" t="s">
        <v>12893</v>
      </c>
    </row>
    <row r="7099">
      <c r="A7099" s="499" t="s">
        <v>12894</v>
      </c>
    </row>
    <row r="7100">
      <c r="A7100" s="499" t="s">
        <v>12895</v>
      </c>
    </row>
    <row r="7101">
      <c r="A7101" s="499" t="s">
        <v>12896</v>
      </c>
    </row>
    <row r="7102">
      <c r="A7102" s="499" t="s">
        <v>12897</v>
      </c>
    </row>
    <row r="7103">
      <c r="A7103" s="499" t="s">
        <v>12898</v>
      </c>
    </row>
    <row r="7104">
      <c r="A7104" s="499" t="s">
        <v>12899</v>
      </c>
    </row>
    <row r="7105">
      <c r="A7105" s="499" t="s">
        <v>1264</v>
      </c>
    </row>
    <row r="7106">
      <c r="A7106" s="499" t="s">
        <v>1200</v>
      </c>
    </row>
    <row r="7107">
      <c r="A7107" s="499" t="s">
        <v>1205</v>
      </c>
    </row>
    <row r="7108">
      <c r="A7108" s="499" t="s">
        <v>1210</v>
      </c>
    </row>
    <row r="7109">
      <c r="A7109" s="499" t="s">
        <v>1208</v>
      </c>
    </row>
    <row r="7110">
      <c r="A7110" s="499" t="s">
        <v>1235</v>
      </c>
    </row>
    <row r="7111">
      <c r="A7111" s="499" t="s">
        <v>1227</v>
      </c>
    </row>
    <row r="7112">
      <c r="A7112" s="499" t="s">
        <v>1203</v>
      </c>
    </row>
    <row r="7113">
      <c r="A7113" s="499" t="s">
        <v>1229</v>
      </c>
    </row>
    <row r="7114">
      <c r="A7114" s="499" t="s">
        <v>1232</v>
      </c>
    </row>
    <row r="7115">
      <c r="A7115" s="499" t="s">
        <v>1212</v>
      </c>
    </row>
    <row r="7116">
      <c r="A7116" s="499" t="s">
        <v>1218</v>
      </c>
    </row>
    <row r="7117">
      <c r="A7117" s="499" t="s">
        <v>1215</v>
      </c>
    </row>
    <row r="7118">
      <c r="A7118" s="499" t="s">
        <v>12900</v>
      </c>
    </row>
    <row r="7119">
      <c r="A7119" s="499" t="s">
        <v>12901</v>
      </c>
    </row>
    <row r="7120">
      <c r="A7120" s="499" t="s">
        <v>1998</v>
      </c>
    </row>
    <row r="7121">
      <c r="A7121" s="499" t="s">
        <v>2000</v>
      </c>
    </row>
    <row r="7122">
      <c r="A7122" s="499" t="s">
        <v>2003</v>
      </c>
    </row>
    <row r="7123">
      <c r="A7123" s="499" t="s">
        <v>2005</v>
      </c>
    </row>
    <row r="7124">
      <c r="A7124" s="499" t="s">
        <v>1665</v>
      </c>
    </row>
    <row r="7125">
      <c r="A7125" s="499" t="s">
        <v>12902</v>
      </c>
    </row>
    <row r="7126">
      <c r="A7126" s="499" t="s">
        <v>1198</v>
      </c>
    </row>
    <row r="7127">
      <c r="A7127" s="499" t="s">
        <v>1189</v>
      </c>
    </row>
    <row r="7128">
      <c r="A7128" s="499" t="s">
        <v>1191</v>
      </c>
    </row>
    <row r="7129">
      <c r="A7129" s="499" t="s">
        <v>1194</v>
      </c>
    </row>
    <row r="7130">
      <c r="A7130" s="499" t="s">
        <v>1196</v>
      </c>
    </row>
    <row r="7131">
      <c r="A7131" s="499" t="s">
        <v>12903</v>
      </c>
    </row>
    <row r="7132">
      <c r="A7132" s="499" t="s">
        <v>1650</v>
      </c>
    </row>
    <row r="7133">
      <c r="A7133" s="499" t="s">
        <v>1653</v>
      </c>
    </row>
    <row r="7134">
      <c r="A7134" s="499" t="s">
        <v>1647</v>
      </c>
    </row>
    <row r="7135">
      <c r="A7135" s="499" t="s">
        <v>1656</v>
      </c>
    </row>
    <row r="7136">
      <c r="A7136" s="499" t="s">
        <v>1659</v>
      </c>
    </row>
    <row r="7137">
      <c r="A7137" s="499" t="s">
        <v>1662</v>
      </c>
    </row>
    <row r="7138">
      <c r="A7138" s="499" t="s">
        <v>1638</v>
      </c>
    </row>
    <row r="7139">
      <c r="A7139" s="499" t="s">
        <v>1641</v>
      </c>
    </row>
    <row r="7140">
      <c r="A7140" s="499" t="s">
        <v>1644</v>
      </c>
    </row>
    <row r="7141">
      <c r="A7141" s="499" t="s">
        <v>1631</v>
      </c>
    </row>
    <row r="7142">
      <c r="A7142" s="499" t="s">
        <v>1634</v>
      </c>
    </row>
    <row r="7143">
      <c r="A7143" s="499" t="s">
        <v>1636</v>
      </c>
    </row>
    <row r="7144">
      <c r="A7144" s="499" t="s">
        <v>1667</v>
      </c>
    </row>
    <row r="7145">
      <c r="A7145" s="499" t="s">
        <v>1672</v>
      </c>
    </row>
    <row r="7146">
      <c r="A7146" s="499" t="s">
        <v>12904</v>
      </c>
    </row>
    <row r="7147">
      <c r="A7147" s="499" t="s">
        <v>7490</v>
      </c>
    </row>
    <row r="7148">
      <c r="A7148" s="499" t="s">
        <v>7493</v>
      </c>
    </row>
    <row r="7149">
      <c r="A7149" s="499" t="s">
        <v>12905</v>
      </c>
    </row>
    <row r="7150">
      <c r="A7150" s="499" t="s">
        <v>1890</v>
      </c>
    </row>
    <row r="7151">
      <c r="A7151" s="499" t="s">
        <v>2038</v>
      </c>
    </row>
    <row r="7152">
      <c r="A7152" s="499" t="s">
        <v>12906</v>
      </c>
    </row>
    <row r="7153">
      <c r="A7153" s="499" t="s">
        <v>2043</v>
      </c>
    </row>
    <row r="7154">
      <c r="A7154" s="499" t="s">
        <v>2035</v>
      </c>
    </row>
    <row r="7155">
      <c r="A7155" s="499" t="s">
        <v>1955</v>
      </c>
    </row>
    <row r="7156">
      <c r="A7156" s="499" t="s">
        <v>1966</v>
      </c>
    </row>
    <row r="7157">
      <c r="A7157" s="499" t="s">
        <v>1961</v>
      </c>
    </row>
    <row r="7158">
      <c r="A7158" s="499" t="s">
        <v>1953</v>
      </c>
    </row>
    <row r="7159">
      <c r="A7159" s="499" t="s">
        <v>1963</v>
      </c>
    </row>
    <row r="7160">
      <c r="A7160" s="499" t="s">
        <v>1968</v>
      </c>
    </row>
    <row r="7161">
      <c r="A7161" s="499" t="s">
        <v>1992</v>
      </c>
    </row>
    <row r="7162">
      <c r="A7162" s="499" t="s">
        <v>2219</v>
      </c>
    </row>
    <row r="7163">
      <c r="A7163" s="499" t="s">
        <v>1958</v>
      </c>
    </row>
    <row r="7164">
      <c r="A7164" s="499" t="s">
        <v>12907</v>
      </c>
    </row>
    <row r="7165">
      <c r="A7165" s="499" t="s">
        <v>12908</v>
      </c>
    </row>
    <row r="7166">
      <c r="A7166" s="499" t="s">
        <v>12909</v>
      </c>
    </row>
    <row r="7167">
      <c r="A7167" s="499" t="s">
        <v>12910</v>
      </c>
    </row>
    <row r="7168">
      <c r="A7168" s="499" t="s">
        <v>12911</v>
      </c>
    </row>
    <row r="7169">
      <c r="A7169" s="499" t="s">
        <v>12912</v>
      </c>
    </row>
    <row r="7170">
      <c r="A7170" s="499" t="s">
        <v>12913</v>
      </c>
    </row>
    <row r="7171">
      <c r="A7171" s="499" t="s">
        <v>12914</v>
      </c>
    </row>
    <row r="7172">
      <c r="A7172" s="499" t="s">
        <v>12915</v>
      </c>
    </row>
    <row r="7173">
      <c r="A7173" s="499" t="s">
        <v>12916</v>
      </c>
    </row>
    <row r="7174">
      <c r="A7174" s="499" t="s">
        <v>12917</v>
      </c>
    </row>
    <row r="7175">
      <c r="A7175" s="499" t="s">
        <v>12918</v>
      </c>
    </row>
    <row r="7176">
      <c r="A7176" s="499" t="s">
        <v>12919</v>
      </c>
    </row>
    <row r="7177">
      <c r="A7177" s="499" t="s">
        <v>12920</v>
      </c>
    </row>
    <row r="7178">
      <c r="A7178" s="499" t="s">
        <v>12921</v>
      </c>
    </row>
    <row r="7179">
      <c r="A7179" s="499" t="s">
        <v>12922</v>
      </c>
    </row>
    <row r="7180">
      <c r="A7180" s="499" t="s">
        <v>12923</v>
      </c>
    </row>
    <row r="7181">
      <c r="A7181" s="499" t="s">
        <v>12924</v>
      </c>
    </row>
    <row r="7182">
      <c r="A7182" s="499" t="s">
        <v>12925</v>
      </c>
    </row>
    <row r="7183">
      <c r="A7183" s="499" t="s">
        <v>12926</v>
      </c>
    </row>
    <row r="7184">
      <c r="A7184" s="499" t="s">
        <v>12927</v>
      </c>
    </row>
    <row r="7185">
      <c r="A7185" s="499" t="s">
        <v>12928</v>
      </c>
    </row>
    <row r="7186">
      <c r="A7186" s="499" t="s">
        <v>12929</v>
      </c>
    </row>
    <row r="7187">
      <c r="A7187" s="499" t="s">
        <v>12930</v>
      </c>
    </row>
    <row r="7188">
      <c r="A7188" s="499" t="s">
        <v>12931</v>
      </c>
    </row>
    <row r="7189">
      <c r="A7189" s="499" t="s">
        <v>12932</v>
      </c>
    </row>
    <row r="7190">
      <c r="A7190" s="499" t="s">
        <v>12933</v>
      </c>
    </row>
    <row r="7191">
      <c r="A7191" s="499" t="s">
        <v>12934</v>
      </c>
    </row>
    <row r="7192">
      <c r="A7192" s="499" t="s">
        <v>12935</v>
      </c>
    </row>
    <row r="7193">
      <c r="A7193" s="499" t="s">
        <v>12936</v>
      </c>
    </row>
    <row r="7194">
      <c r="A7194" s="499" t="s">
        <v>12937</v>
      </c>
    </row>
    <row r="7195">
      <c r="A7195" s="499" t="s">
        <v>12938</v>
      </c>
    </row>
    <row r="7196">
      <c r="A7196" s="499" t="s">
        <v>12939</v>
      </c>
    </row>
    <row r="7197">
      <c r="A7197" s="499" t="s">
        <v>12940</v>
      </c>
    </row>
    <row r="7198">
      <c r="A7198" s="499" t="s">
        <v>12941</v>
      </c>
    </row>
    <row r="7199">
      <c r="A7199" s="499" t="s">
        <v>12942</v>
      </c>
    </row>
    <row r="7200">
      <c r="A7200" s="499" t="s">
        <v>12943</v>
      </c>
    </row>
    <row r="7201">
      <c r="A7201" s="499" t="s">
        <v>12944</v>
      </c>
    </row>
    <row r="7202">
      <c r="A7202" s="499" t="s">
        <v>12945</v>
      </c>
    </row>
    <row r="7203">
      <c r="A7203" s="499" t="s">
        <v>12946</v>
      </c>
    </row>
    <row r="7204">
      <c r="A7204" s="499" t="s">
        <v>12947</v>
      </c>
    </row>
    <row r="7205">
      <c r="A7205" s="499" t="s">
        <v>12948</v>
      </c>
    </row>
    <row r="7206">
      <c r="A7206" s="499" t="s">
        <v>12949</v>
      </c>
    </row>
    <row r="7207">
      <c r="A7207" s="499" t="s">
        <v>1619</v>
      </c>
    </row>
    <row r="7208">
      <c r="A7208" s="499" t="s">
        <v>1621</v>
      </c>
    </row>
    <row r="7209">
      <c r="A7209" s="499" t="s">
        <v>1623</v>
      </c>
    </row>
    <row r="7210">
      <c r="A7210" s="499" t="s">
        <v>1625</v>
      </c>
    </row>
    <row r="7211">
      <c r="A7211" s="499" t="s">
        <v>1616</v>
      </c>
    </row>
    <row r="7212">
      <c r="A7212" s="499" t="s">
        <v>2179</v>
      </c>
    </row>
    <row r="7213">
      <c r="A7213" s="499" t="s">
        <v>2181</v>
      </c>
    </row>
    <row r="7214">
      <c r="A7214" s="499" t="s">
        <v>2183</v>
      </c>
    </row>
    <row r="7215">
      <c r="A7215" s="499" t="s">
        <v>2176</v>
      </c>
    </row>
    <row r="7216">
      <c r="A7216" s="499" t="s">
        <v>2185</v>
      </c>
    </row>
    <row r="7217">
      <c r="A7217" s="499" t="s">
        <v>2188</v>
      </c>
    </row>
    <row r="7218">
      <c r="A7218" s="499" t="s">
        <v>2192</v>
      </c>
    </row>
    <row r="7219">
      <c r="A7219" s="499" t="s">
        <v>2214</v>
      </c>
    </row>
    <row r="7220">
      <c r="A7220" s="499" t="s">
        <v>2211</v>
      </c>
    </row>
    <row r="7221">
      <c r="A7221" s="499" t="s">
        <v>2217</v>
      </c>
    </row>
    <row r="7222">
      <c r="A7222" s="499" t="s">
        <v>2196</v>
      </c>
    </row>
    <row r="7223">
      <c r="A7223" s="499" t="s">
        <v>2200</v>
      </c>
    </row>
    <row r="7224">
      <c r="A7224" s="499" t="s">
        <v>2190</v>
      </c>
    </row>
    <row r="7225">
      <c r="A7225" s="499" t="s">
        <v>2208</v>
      </c>
    </row>
    <row r="7226">
      <c r="A7226" s="499" t="s">
        <v>2202</v>
      </c>
    </row>
    <row r="7227">
      <c r="A7227" s="499" t="s">
        <v>2204</v>
      </c>
    </row>
    <row r="7228">
      <c r="A7228" s="499" t="s">
        <v>2206</v>
      </c>
    </row>
    <row r="7229">
      <c r="A7229" s="499" t="s">
        <v>2194</v>
      </c>
    </row>
    <row r="7230">
      <c r="A7230" s="499" t="s">
        <v>2198</v>
      </c>
    </row>
    <row r="7231">
      <c r="A7231" s="499" t="s">
        <v>1995</v>
      </c>
    </row>
    <row r="7232">
      <c r="A7232" s="499" t="s">
        <v>2065</v>
      </c>
    </row>
    <row r="7233">
      <c r="A7233" s="499" t="s">
        <v>2063</v>
      </c>
    </row>
    <row r="7234">
      <c r="A7234" s="499" t="s">
        <v>2061</v>
      </c>
    </row>
    <row r="7235">
      <c r="A7235" s="499" t="s">
        <v>12950</v>
      </c>
    </row>
    <row r="7236">
      <c r="A7236" s="499" t="s">
        <v>2285</v>
      </c>
    </row>
    <row r="7237">
      <c r="A7237" s="499" t="s">
        <v>2282</v>
      </c>
    </row>
    <row r="7238">
      <c r="A7238" s="499" t="s">
        <v>2291</v>
      </c>
    </row>
    <row r="7239">
      <c r="A7239" s="499" t="s">
        <v>2288</v>
      </c>
    </row>
    <row r="7240">
      <c r="A7240" s="499" t="s">
        <v>2293</v>
      </c>
    </row>
    <row r="7241">
      <c r="A7241" s="499" t="s">
        <v>2299</v>
      </c>
    </row>
    <row r="7242">
      <c r="A7242" s="499" t="s">
        <v>2305</v>
      </c>
    </row>
    <row r="7243">
      <c r="A7243" s="499" t="s">
        <v>2316</v>
      </c>
    </row>
    <row r="7244">
      <c r="A7244" s="499" t="s">
        <v>2313</v>
      </c>
    </row>
    <row r="7245">
      <c r="A7245" s="499" t="s">
        <v>2325</v>
      </c>
    </row>
    <row r="7246">
      <c r="A7246" s="499" t="s">
        <v>2322</v>
      </c>
    </row>
    <row r="7247">
      <c r="A7247" s="499" t="s">
        <v>12951</v>
      </c>
    </row>
    <row r="7248">
      <c r="A7248" s="499" t="s">
        <v>818</v>
      </c>
    </row>
    <row r="7249">
      <c r="A7249" s="499" t="s">
        <v>2327</v>
      </c>
    </row>
    <row r="7250">
      <c r="A7250" s="499" t="s">
        <v>2329</v>
      </c>
    </row>
    <row r="7251">
      <c r="A7251" s="499" t="s">
        <v>2302</v>
      </c>
    </row>
    <row r="7252">
      <c r="A7252" s="499" t="s">
        <v>2311</v>
      </c>
    </row>
    <row r="7253">
      <c r="A7253" s="499" t="s">
        <v>2319</v>
      </c>
    </row>
    <row r="7254">
      <c r="A7254" s="499" t="s">
        <v>2308</v>
      </c>
    </row>
    <row r="7255">
      <c r="A7255" s="499" t="s">
        <v>2280</v>
      </c>
    </row>
    <row r="7256">
      <c r="A7256" s="499" t="s">
        <v>12952</v>
      </c>
    </row>
    <row r="7257">
      <c r="A7257" s="499" t="s">
        <v>12953</v>
      </c>
    </row>
    <row r="7258">
      <c r="A7258" s="499" t="s">
        <v>12954</v>
      </c>
    </row>
    <row r="7259">
      <c r="A7259" s="499" t="s">
        <v>12955</v>
      </c>
    </row>
    <row r="7260">
      <c r="A7260" s="499" t="s">
        <v>12956</v>
      </c>
    </row>
    <row r="7261">
      <c r="A7261" s="499" t="s">
        <v>12957</v>
      </c>
    </row>
    <row r="7262">
      <c r="A7262" s="499" t="s">
        <v>2340</v>
      </c>
    </row>
    <row r="7263">
      <c r="A7263" s="499" t="s">
        <v>2342</v>
      </c>
    </row>
    <row r="7264">
      <c r="A7264" s="499" t="s">
        <v>2356</v>
      </c>
    </row>
    <row r="7265">
      <c r="A7265" s="499" t="s">
        <v>12958</v>
      </c>
    </row>
    <row r="7266">
      <c r="A7266" s="499" t="s">
        <v>2348</v>
      </c>
    </row>
    <row r="7267">
      <c r="A7267" s="499" t="s">
        <v>2354</v>
      </c>
    </row>
    <row r="7268">
      <c r="A7268" s="499" t="s">
        <v>2359</v>
      </c>
    </row>
    <row r="7269">
      <c r="A7269" s="499" t="s">
        <v>12959</v>
      </c>
    </row>
    <row r="7270">
      <c r="A7270" s="499" t="s">
        <v>2345</v>
      </c>
    </row>
    <row r="7271">
      <c r="A7271" s="499" t="s">
        <v>2351</v>
      </c>
    </row>
    <row r="7272">
      <c r="A7272" s="499" t="s">
        <v>12960</v>
      </c>
    </row>
    <row r="7273">
      <c r="A7273" s="499" t="s">
        <v>12961</v>
      </c>
    </row>
    <row r="7274">
      <c r="A7274" s="499" t="s">
        <v>12962</v>
      </c>
    </row>
    <row r="7275">
      <c r="A7275" s="499" t="s">
        <v>12963</v>
      </c>
    </row>
    <row r="7276">
      <c r="A7276" s="499" t="s">
        <v>12964</v>
      </c>
    </row>
    <row r="7277">
      <c r="A7277" s="499" t="s">
        <v>12965</v>
      </c>
    </row>
    <row r="7278">
      <c r="A7278" s="499" t="s">
        <v>12966</v>
      </c>
    </row>
    <row r="7279">
      <c r="A7279" s="499" t="s">
        <v>12967</v>
      </c>
    </row>
    <row r="7280">
      <c r="A7280" s="499" t="s">
        <v>12968</v>
      </c>
    </row>
    <row r="7281">
      <c r="A7281" s="499" t="s">
        <v>12969</v>
      </c>
    </row>
    <row r="7282">
      <c r="A7282" s="499" t="s">
        <v>2337</v>
      </c>
    </row>
    <row r="7283">
      <c r="A7283" s="499" t="s">
        <v>2334</v>
      </c>
    </row>
    <row r="7284">
      <c r="A7284" s="499" t="s">
        <v>12970</v>
      </c>
    </row>
    <row r="7285">
      <c r="A7285" s="499" t="s">
        <v>12971</v>
      </c>
    </row>
    <row r="7286">
      <c r="A7286" s="499" t="s">
        <v>12972</v>
      </c>
    </row>
    <row r="7287">
      <c r="A7287" s="499" t="s">
        <v>12973</v>
      </c>
    </row>
    <row r="7288">
      <c r="A7288" s="499" t="s">
        <v>2295</v>
      </c>
    </row>
    <row r="7289">
      <c r="A7289" s="499" t="s">
        <v>2297</v>
      </c>
    </row>
    <row r="7290">
      <c r="A7290" s="499" t="s">
        <v>2622</v>
      </c>
    </row>
    <row r="7291">
      <c r="A7291" s="499" t="s">
        <v>2619</v>
      </c>
    </row>
    <row r="7292">
      <c r="A7292" s="499" t="s">
        <v>2650</v>
      </c>
    </row>
    <row r="7293">
      <c r="A7293" s="499" t="s">
        <v>2467</v>
      </c>
    </row>
    <row r="7294">
      <c r="A7294" s="499" t="s">
        <v>2469</v>
      </c>
    </row>
    <row r="7295">
      <c r="A7295" s="499" t="s">
        <v>2465</v>
      </c>
    </row>
    <row r="7296">
      <c r="A7296" s="499" t="s">
        <v>2459</v>
      </c>
    </row>
    <row r="7297">
      <c r="A7297" s="499" t="s">
        <v>2453</v>
      </c>
    </row>
    <row r="7298">
      <c r="A7298" s="499" t="s">
        <v>2455</v>
      </c>
    </row>
    <row r="7299">
      <c r="A7299" s="499" t="s">
        <v>2432</v>
      </c>
    </row>
    <row r="7300">
      <c r="A7300" s="499" t="s">
        <v>2463</v>
      </c>
    </row>
    <row r="7301">
      <c r="A7301" s="499" t="s">
        <v>2436</v>
      </c>
    </row>
    <row r="7302">
      <c r="A7302" s="499" t="s">
        <v>2438</v>
      </c>
    </row>
    <row r="7303">
      <c r="A7303" s="499" t="s">
        <v>2434</v>
      </c>
    </row>
    <row r="7304">
      <c r="A7304" s="499" t="s">
        <v>12974</v>
      </c>
    </row>
    <row r="7305">
      <c r="A7305" s="499" t="s">
        <v>12975</v>
      </c>
    </row>
    <row r="7306">
      <c r="A7306" s="499" t="s">
        <v>12976</v>
      </c>
    </row>
    <row r="7307">
      <c r="A7307" s="499" t="s">
        <v>12977</v>
      </c>
    </row>
    <row r="7308">
      <c r="A7308" s="499" t="s">
        <v>12978</v>
      </c>
    </row>
    <row r="7309">
      <c r="A7309" s="499" t="s">
        <v>2374</v>
      </c>
    </row>
    <row r="7310">
      <c r="A7310" s="499" t="s">
        <v>2371</v>
      </c>
    </row>
    <row r="7311">
      <c r="A7311" s="499" t="s">
        <v>2377</v>
      </c>
    </row>
    <row r="7312">
      <c r="A7312" s="499" t="s">
        <v>2380</v>
      </c>
    </row>
    <row r="7313">
      <c r="A7313" s="499" t="s">
        <v>2400</v>
      </c>
    </row>
    <row r="7314">
      <c r="A7314" s="499" t="s">
        <v>2403</v>
      </c>
    </row>
    <row r="7315">
      <c r="A7315" s="499" t="s">
        <v>2422</v>
      </c>
    </row>
    <row r="7316">
      <c r="A7316" s="499" t="s">
        <v>2425</v>
      </c>
    </row>
    <row r="7317">
      <c r="A7317" s="499" t="s">
        <v>2408</v>
      </c>
    </row>
    <row r="7318">
      <c r="A7318" s="499" t="s">
        <v>2410</v>
      </c>
    </row>
    <row r="7319">
      <c r="A7319" s="499" t="s">
        <v>2418</v>
      </c>
    </row>
    <row r="7320">
      <c r="A7320" s="499" t="s">
        <v>2416</v>
      </c>
    </row>
    <row r="7321">
      <c r="A7321" s="499" t="s">
        <v>2406</v>
      </c>
    </row>
    <row r="7322">
      <c r="A7322" s="499" t="s">
        <v>2382</v>
      </c>
    </row>
    <row r="7323">
      <c r="A7323" s="499" t="s">
        <v>2385</v>
      </c>
    </row>
    <row r="7324">
      <c r="A7324" s="499" t="s">
        <v>2388</v>
      </c>
    </row>
    <row r="7325">
      <c r="A7325" s="499" t="s">
        <v>2394</v>
      </c>
    </row>
    <row r="7326">
      <c r="A7326" s="499" t="s">
        <v>2397</v>
      </c>
    </row>
    <row r="7327">
      <c r="A7327" s="499" t="s">
        <v>2391</v>
      </c>
    </row>
    <row r="7328">
      <c r="A7328" s="499" t="s">
        <v>2420</v>
      </c>
    </row>
    <row r="7329">
      <c r="A7329" s="499" t="s">
        <v>12979</v>
      </c>
    </row>
    <row r="7330">
      <c r="A7330" s="499" t="s">
        <v>12980</v>
      </c>
    </row>
    <row r="7331">
      <c r="A7331" s="499" t="s">
        <v>12981</v>
      </c>
    </row>
    <row r="7332">
      <c r="A7332" s="499" t="s">
        <v>12982</v>
      </c>
    </row>
    <row r="7333">
      <c r="A7333" s="499" t="s">
        <v>12983</v>
      </c>
    </row>
    <row r="7334">
      <c r="A7334" s="499" t="s">
        <v>12984</v>
      </c>
    </row>
    <row r="7335">
      <c r="A7335" s="499" t="s">
        <v>2412</v>
      </c>
    </row>
    <row r="7336">
      <c r="A7336" s="499" t="s">
        <v>2414</v>
      </c>
    </row>
    <row r="7337">
      <c r="A7337" s="499" t="s">
        <v>12985</v>
      </c>
    </row>
    <row r="7338">
      <c r="A7338" s="499" t="s">
        <v>12986</v>
      </c>
    </row>
    <row r="7339">
      <c r="A7339" s="499" t="s">
        <v>2602</v>
      </c>
    </row>
    <row r="7340">
      <c r="A7340" s="499" t="s">
        <v>2492</v>
      </c>
    </row>
    <row r="7341">
      <c r="A7341" s="499" t="s">
        <v>2498</v>
      </c>
    </row>
    <row r="7342">
      <c r="A7342" s="499" t="s">
        <v>2495</v>
      </c>
    </row>
    <row r="7343">
      <c r="A7343" s="499" t="s">
        <v>2501</v>
      </c>
    </row>
    <row r="7344">
      <c r="A7344" s="499" t="s">
        <v>2504</v>
      </c>
    </row>
    <row r="7345">
      <c r="A7345" s="499" t="s">
        <v>2507</v>
      </c>
    </row>
    <row r="7346">
      <c r="A7346" s="499" t="s">
        <v>2510</v>
      </c>
    </row>
    <row r="7347">
      <c r="A7347" s="499" t="s">
        <v>2513</v>
      </c>
    </row>
    <row r="7348">
      <c r="A7348" s="499" t="s">
        <v>2518</v>
      </c>
    </row>
    <row r="7349">
      <c r="A7349" s="499" t="s">
        <v>2521</v>
      </c>
    </row>
    <row r="7350">
      <c r="A7350" s="499" t="s">
        <v>2524</v>
      </c>
    </row>
    <row r="7351">
      <c r="A7351" s="499" t="s">
        <v>2527</v>
      </c>
    </row>
    <row r="7352">
      <c r="A7352" s="499" t="s">
        <v>2530</v>
      </c>
    </row>
    <row r="7353">
      <c r="A7353" s="499" t="s">
        <v>2576</v>
      </c>
    </row>
    <row r="7354">
      <c r="A7354" s="499" t="s">
        <v>2571</v>
      </c>
    </row>
    <row r="7355">
      <c r="A7355" s="499" t="s">
        <v>2574</v>
      </c>
    </row>
    <row r="7356">
      <c r="A7356" s="499" t="s">
        <v>2582</v>
      </c>
    </row>
    <row r="7357">
      <c r="A7357" s="499" t="s">
        <v>2585</v>
      </c>
    </row>
    <row r="7358">
      <c r="A7358" s="499" t="s">
        <v>2588</v>
      </c>
    </row>
    <row r="7359">
      <c r="A7359" s="499" t="s">
        <v>12987</v>
      </c>
    </row>
    <row r="7360">
      <c r="A7360" s="499" t="s">
        <v>2547</v>
      </c>
    </row>
    <row r="7361">
      <c r="A7361" s="499" t="s">
        <v>2556</v>
      </c>
    </row>
    <row r="7362">
      <c r="A7362" s="499" t="s">
        <v>2478</v>
      </c>
    </row>
    <row r="7363">
      <c r="A7363" s="499" t="s">
        <v>2568</v>
      </c>
    </row>
    <row r="7364">
      <c r="A7364" s="499" t="s">
        <v>12988</v>
      </c>
    </row>
    <row r="7365">
      <c r="A7365" s="499" t="s">
        <v>2535</v>
      </c>
    </row>
    <row r="7366">
      <c r="A7366" s="499" t="s">
        <v>2608</v>
      </c>
    </row>
    <row r="7367">
      <c r="A7367" s="499" t="s">
        <v>2471</v>
      </c>
    </row>
    <row r="7368">
      <c r="A7368" s="499" t="s">
        <v>2606</v>
      </c>
    </row>
    <row r="7369">
      <c r="A7369" s="499" t="s">
        <v>2481</v>
      </c>
    </row>
    <row r="7370">
      <c r="A7370" s="499" t="s">
        <v>2610</v>
      </c>
    </row>
    <row r="7371">
      <c r="A7371" s="499" t="s">
        <v>2553</v>
      </c>
    </row>
    <row r="7372">
      <c r="A7372" s="499" t="s">
        <v>2538</v>
      </c>
    </row>
    <row r="7373">
      <c r="A7373" s="499" t="s">
        <v>2484</v>
      </c>
    </row>
    <row r="7374">
      <c r="A7374" s="499" t="s">
        <v>2541</v>
      </c>
    </row>
    <row r="7375">
      <c r="A7375" s="499" t="s">
        <v>2593</v>
      </c>
    </row>
    <row r="7376">
      <c r="A7376" s="499" t="s">
        <v>2490</v>
      </c>
    </row>
    <row r="7377">
      <c r="A7377" s="499" t="s">
        <v>2475</v>
      </c>
    </row>
    <row r="7378">
      <c r="A7378" s="499" t="s">
        <v>2516</v>
      </c>
    </row>
    <row r="7379">
      <c r="A7379" s="499" t="s">
        <v>2533</v>
      </c>
    </row>
    <row r="7380">
      <c r="A7380" s="499" t="s">
        <v>2550</v>
      </c>
    </row>
    <row r="7381">
      <c r="A7381" s="499" t="s">
        <v>2612</v>
      </c>
    </row>
    <row r="7382">
      <c r="A7382" s="499" t="s">
        <v>2614</v>
      </c>
    </row>
    <row r="7383">
      <c r="A7383" s="499" t="s">
        <v>2604</v>
      </c>
    </row>
    <row r="7384">
      <c r="A7384" s="499" t="s">
        <v>2559</v>
      </c>
    </row>
    <row r="7385">
      <c r="A7385" s="499" t="s">
        <v>2596</v>
      </c>
    </row>
    <row r="7386">
      <c r="A7386" s="499" t="s">
        <v>2599</v>
      </c>
    </row>
    <row r="7387">
      <c r="A7387" s="499" t="s">
        <v>2579</v>
      </c>
    </row>
    <row r="7388">
      <c r="A7388" s="499" t="s">
        <v>2565</v>
      </c>
    </row>
    <row r="7389">
      <c r="A7389" s="499" t="s">
        <v>2544</v>
      </c>
    </row>
    <row r="7390">
      <c r="A7390" s="499" t="s">
        <v>2616</v>
      </c>
    </row>
    <row r="7391">
      <c r="A7391" s="499" t="s">
        <v>2487</v>
      </c>
    </row>
    <row r="7392">
      <c r="A7392" s="499" t="s">
        <v>2473</v>
      </c>
    </row>
    <row r="7393">
      <c r="A7393" s="499" t="s">
        <v>2591</v>
      </c>
    </row>
    <row r="7394">
      <c r="A7394" s="499" t="s">
        <v>2562</v>
      </c>
    </row>
    <row r="7395">
      <c r="A7395" s="499" t="s">
        <v>12989</v>
      </c>
    </row>
    <row r="7396">
      <c r="A7396" s="499" t="s">
        <v>12990</v>
      </c>
    </row>
    <row r="7397">
      <c r="A7397" s="499" t="s">
        <v>12991</v>
      </c>
    </row>
    <row r="7398">
      <c r="A7398" s="499" t="s">
        <v>12992</v>
      </c>
    </row>
    <row r="7399">
      <c r="A7399" s="499" t="s">
        <v>12993</v>
      </c>
    </row>
    <row r="7400">
      <c r="A7400" s="499" t="s">
        <v>12994</v>
      </c>
    </row>
    <row r="7401">
      <c r="A7401" s="499" t="s">
        <v>12995</v>
      </c>
    </row>
    <row r="7402">
      <c r="A7402" s="499" t="s">
        <v>12996</v>
      </c>
    </row>
    <row r="7403">
      <c r="A7403" s="499" t="s">
        <v>12997</v>
      </c>
    </row>
    <row r="7404">
      <c r="A7404" s="499" t="s">
        <v>12998</v>
      </c>
    </row>
    <row r="7405">
      <c r="A7405" s="499" t="s">
        <v>12999</v>
      </c>
    </row>
    <row r="7406">
      <c r="A7406" s="499" t="s">
        <v>13000</v>
      </c>
    </row>
    <row r="7407">
      <c r="A7407" s="499" t="s">
        <v>13001</v>
      </c>
    </row>
    <row r="7408">
      <c r="A7408" s="499" t="s">
        <v>13002</v>
      </c>
    </row>
    <row r="7409">
      <c r="A7409" s="499" t="s">
        <v>13003</v>
      </c>
    </row>
    <row r="7410">
      <c r="A7410" s="499" t="s">
        <v>13004</v>
      </c>
    </row>
    <row r="7411">
      <c r="A7411" s="499" t="s">
        <v>13005</v>
      </c>
    </row>
    <row r="7412">
      <c r="A7412" s="499" t="s">
        <v>13006</v>
      </c>
    </row>
    <row r="7413">
      <c r="A7413" s="499" t="s">
        <v>13007</v>
      </c>
    </row>
    <row r="7414">
      <c r="A7414" s="499" t="s">
        <v>13008</v>
      </c>
    </row>
    <row r="7415">
      <c r="A7415" s="499" t="s">
        <v>13009</v>
      </c>
    </row>
    <row r="7416">
      <c r="A7416" s="499" t="s">
        <v>13010</v>
      </c>
    </row>
    <row r="7417">
      <c r="A7417" s="499" t="s">
        <v>13011</v>
      </c>
    </row>
    <row r="7418">
      <c r="A7418" s="499" t="s">
        <v>13012</v>
      </c>
    </row>
    <row r="7419">
      <c r="A7419" s="499" t="s">
        <v>13013</v>
      </c>
    </row>
    <row r="7420">
      <c r="A7420" s="499" t="s">
        <v>13014</v>
      </c>
    </row>
    <row r="7421">
      <c r="A7421" s="499" t="s">
        <v>13015</v>
      </c>
    </row>
    <row r="7422">
      <c r="A7422" s="499" t="s">
        <v>13016</v>
      </c>
    </row>
    <row r="7423">
      <c r="A7423" s="499" t="s">
        <v>13017</v>
      </c>
    </row>
    <row r="7424">
      <c r="A7424" s="499" t="s">
        <v>13018</v>
      </c>
    </row>
    <row r="7425">
      <c r="A7425" s="499" t="s">
        <v>13019</v>
      </c>
    </row>
    <row r="7426">
      <c r="A7426" s="499" t="s">
        <v>13020</v>
      </c>
    </row>
    <row r="7427">
      <c r="A7427" s="499" t="s">
        <v>13021</v>
      </c>
    </row>
    <row r="7428">
      <c r="A7428" s="499" t="s">
        <v>13022</v>
      </c>
    </row>
    <row r="7429">
      <c r="A7429" s="499" t="s">
        <v>13023</v>
      </c>
    </row>
    <row r="7430">
      <c r="A7430" s="499" t="s">
        <v>13024</v>
      </c>
    </row>
    <row r="7431">
      <c r="A7431" s="499" t="s">
        <v>13025</v>
      </c>
    </row>
    <row r="7432">
      <c r="A7432" s="499" t="s">
        <v>13026</v>
      </c>
    </row>
    <row r="7433">
      <c r="A7433" s="499" t="s">
        <v>13027</v>
      </c>
    </row>
    <row r="7434">
      <c r="A7434" s="499" t="s">
        <v>13028</v>
      </c>
    </row>
    <row r="7435">
      <c r="A7435" s="499" t="s">
        <v>13029</v>
      </c>
    </row>
    <row r="7436">
      <c r="A7436" s="499" t="s">
        <v>13030</v>
      </c>
    </row>
    <row r="7437">
      <c r="A7437" s="499" t="s">
        <v>13031</v>
      </c>
    </row>
    <row r="7438">
      <c r="A7438" s="499" t="s">
        <v>13032</v>
      </c>
    </row>
    <row r="7439">
      <c r="A7439" s="499" t="s">
        <v>13033</v>
      </c>
    </row>
    <row r="7440">
      <c r="A7440" s="499" t="s">
        <v>13034</v>
      </c>
    </row>
    <row r="7441">
      <c r="A7441" s="499" t="s">
        <v>13035</v>
      </c>
    </row>
    <row r="7442">
      <c r="A7442" s="499" t="s">
        <v>13036</v>
      </c>
    </row>
    <row r="7443">
      <c r="A7443" s="499" t="s">
        <v>13037</v>
      </c>
    </row>
    <row r="7444">
      <c r="A7444" s="499" t="s">
        <v>13038</v>
      </c>
    </row>
    <row r="7445">
      <c r="A7445" s="499" t="s">
        <v>5239</v>
      </c>
    </row>
    <row r="7446">
      <c r="A7446" s="499" t="s">
        <v>2428</v>
      </c>
    </row>
    <row r="7447">
      <c r="A7447" s="499" t="s">
        <v>13039</v>
      </c>
    </row>
    <row r="7448">
      <c r="A7448" s="499" t="s">
        <v>703</v>
      </c>
    </row>
    <row r="7449">
      <c r="A7449" s="499" t="s">
        <v>7180</v>
      </c>
    </row>
    <row r="7450">
      <c r="A7450" s="499" t="s">
        <v>13040</v>
      </c>
    </row>
    <row r="7451">
      <c r="A7451" s="499" t="s">
        <v>13041</v>
      </c>
    </row>
    <row r="7452">
      <c r="A7452" s="499" t="s">
        <v>2648</v>
      </c>
    </row>
    <row r="7453">
      <c r="A7453" s="499" t="s">
        <v>2642</v>
      </c>
    </row>
    <row r="7454">
      <c r="A7454" s="499" t="s">
        <v>2640</v>
      </c>
    </row>
    <row r="7455">
      <c r="A7455" s="499" t="s">
        <v>2636</v>
      </c>
    </row>
    <row r="7456">
      <c r="A7456" s="499" t="s">
        <v>2638</v>
      </c>
    </row>
    <row r="7457">
      <c r="A7457" s="499" t="s">
        <v>2634</v>
      </c>
    </row>
    <row r="7458">
      <c r="A7458" s="499" t="s">
        <v>2632</v>
      </c>
    </row>
    <row r="7459">
      <c r="A7459" s="499" t="s">
        <v>13042</v>
      </c>
    </row>
    <row r="7460">
      <c r="A7460" s="499" t="s">
        <v>13043</v>
      </c>
    </row>
    <row r="7461">
      <c r="A7461" s="499" t="s">
        <v>13044</v>
      </c>
    </row>
    <row r="7462">
      <c r="A7462" s="499" t="s">
        <v>13045</v>
      </c>
    </row>
    <row r="7463">
      <c r="A7463" s="499" t="s">
        <v>13046</v>
      </c>
    </row>
    <row r="7464">
      <c r="A7464" s="499" t="s">
        <v>13047</v>
      </c>
    </row>
    <row r="7465">
      <c r="A7465" s="499" t="s">
        <v>13048</v>
      </c>
    </row>
    <row r="7466">
      <c r="A7466" s="499" t="s">
        <v>13049</v>
      </c>
    </row>
    <row r="7467">
      <c r="A7467" s="499" t="s">
        <v>13050</v>
      </c>
    </row>
    <row r="7468">
      <c r="A7468" s="499" t="s">
        <v>13051</v>
      </c>
    </row>
    <row r="7469">
      <c r="A7469" s="499" t="s">
        <v>13052</v>
      </c>
    </row>
    <row r="7470">
      <c r="A7470" s="499" t="s">
        <v>13053</v>
      </c>
    </row>
    <row r="7471">
      <c r="A7471" s="499" t="s">
        <v>13054</v>
      </c>
    </row>
    <row r="7472">
      <c r="A7472" s="499" t="s">
        <v>13055</v>
      </c>
    </row>
    <row r="7473">
      <c r="A7473" s="499" t="s">
        <v>13056</v>
      </c>
    </row>
    <row r="7474">
      <c r="A7474" s="499" t="s">
        <v>13057</v>
      </c>
    </row>
    <row r="7475">
      <c r="A7475" s="499" t="s">
        <v>13058</v>
      </c>
    </row>
    <row r="7476">
      <c r="A7476" s="499" t="s">
        <v>13059</v>
      </c>
    </row>
    <row r="7477">
      <c r="A7477" s="499" t="s">
        <v>13060</v>
      </c>
    </row>
    <row r="7478">
      <c r="A7478" s="499" t="s">
        <v>13061</v>
      </c>
    </row>
    <row r="7479">
      <c r="A7479" s="499" t="s">
        <v>13062</v>
      </c>
    </row>
    <row r="7480">
      <c r="A7480" s="499" t="s">
        <v>13063</v>
      </c>
    </row>
    <row r="7481">
      <c r="A7481" s="499" t="s">
        <v>13064</v>
      </c>
    </row>
    <row r="7482">
      <c r="A7482" s="499" t="s">
        <v>13065</v>
      </c>
    </row>
    <row r="7483">
      <c r="A7483" s="499" t="s">
        <v>13066</v>
      </c>
    </row>
    <row r="7484">
      <c r="A7484" s="499" t="s">
        <v>13067</v>
      </c>
    </row>
    <row r="7485">
      <c r="A7485" s="499" t="s">
        <v>13068</v>
      </c>
    </row>
    <row r="7486">
      <c r="A7486" s="499" t="s">
        <v>13069</v>
      </c>
    </row>
    <row r="7487">
      <c r="A7487" s="499" t="s">
        <v>13070</v>
      </c>
    </row>
    <row r="7488">
      <c r="A7488" s="499" t="s">
        <v>13071</v>
      </c>
    </row>
    <row r="7489">
      <c r="A7489" s="499" t="s">
        <v>13072</v>
      </c>
    </row>
    <row r="7490">
      <c r="A7490" s="499" t="s">
        <v>13073</v>
      </c>
    </row>
    <row r="7491">
      <c r="A7491" s="499" t="s">
        <v>13074</v>
      </c>
    </row>
    <row r="7492">
      <c r="A7492" s="499" t="s">
        <v>13075</v>
      </c>
    </row>
    <row r="7493">
      <c r="A7493" s="499" t="s">
        <v>13076</v>
      </c>
    </row>
    <row r="7494">
      <c r="A7494" s="499" t="s">
        <v>13077</v>
      </c>
    </row>
    <row r="7495">
      <c r="A7495" s="499" t="s">
        <v>13078</v>
      </c>
    </row>
    <row r="7496">
      <c r="A7496" s="499" t="s">
        <v>13079</v>
      </c>
    </row>
    <row r="7497">
      <c r="A7497" s="499" t="s">
        <v>13080</v>
      </c>
    </row>
    <row r="7498">
      <c r="A7498" s="499" t="s">
        <v>13081</v>
      </c>
    </row>
    <row r="7499">
      <c r="A7499" s="499" t="s">
        <v>13082</v>
      </c>
    </row>
    <row r="7500">
      <c r="A7500" s="499" t="s">
        <v>13083</v>
      </c>
    </row>
    <row r="7501">
      <c r="A7501" s="499" t="s">
        <v>13084</v>
      </c>
    </row>
    <row r="7502">
      <c r="A7502" s="499" t="s">
        <v>13085</v>
      </c>
    </row>
    <row r="7503">
      <c r="A7503" s="499" t="s">
        <v>13086</v>
      </c>
    </row>
    <row r="7504">
      <c r="A7504" s="499" t="s">
        <v>13087</v>
      </c>
    </row>
    <row r="7505">
      <c r="A7505" s="499" t="s">
        <v>13088</v>
      </c>
    </row>
    <row r="7506">
      <c r="A7506" s="499" t="s">
        <v>13089</v>
      </c>
    </row>
    <row r="7507">
      <c r="A7507" s="499" t="s">
        <v>13090</v>
      </c>
    </row>
    <row r="7508">
      <c r="A7508" s="499" t="s">
        <v>13091</v>
      </c>
    </row>
    <row r="7509">
      <c r="A7509" s="499" t="s">
        <v>13092</v>
      </c>
    </row>
    <row r="7510">
      <c r="A7510" s="499" t="s">
        <v>13093</v>
      </c>
    </row>
    <row r="7511">
      <c r="A7511" s="499" t="s">
        <v>13094</v>
      </c>
    </row>
    <row r="7512">
      <c r="A7512" s="499" t="s">
        <v>13095</v>
      </c>
    </row>
    <row r="7513">
      <c r="A7513" s="499" t="s">
        <v>13096</v>
      </c>
    </row>
    <row r="7514">
      <c r="A7514" s="499" t="s">
        <v>13097</v>
      </c>
    </row>
    <row r="7515">
      <c r="A7515" s="499" t="s">
        <v>13098</v>
      </c>
    </row>
    <row r="7516">
      <c r="A7516" s="499" t="s">
        <v>13099</v>
      </c>
    </row>
    <row r="7517">
      <c r="A7517" s="499" t="s">
        <v>13100</v>
      </c>
    </row>
    <row r="7518">
      <c r="A7518" s="499" t="s">
        <v>13101</v>
      </c>
    </row>
    <row r="7519">
      <c r="A7519" s="499" t="s">
        <v>13102</v>
      </c>
    </row>
    <row r="7520">
      <c r="A7520" s="499" t="s">
        <v>13103</v>
      </c>
    </row>
    <row r="7521">
      <c r="A7521" s="499" t="s">
        <v>13104</v>
      </c>
    </row>
    <row r="7522">
      <c r="A7522" s="499" t="s">
        <v>13105</v>
      </c>
    </row>
    <row r="7523">
      <c r="A7523" s="499" t="s">
        <v>13106</v>
      </c>
    </row>
    <row r="7524">
      <c r="A7524" s="499" t="s">
        <v>13107</v>
      </c>
    </row>
    <row r="7525">
      <c r="A7525" s="499" t="s">
        <v>13108</v>
      </c>
    </row>
    <row r="7526">
      <c r="A7526" s="499" t="s">
        <v>13109</v>
      </c>
    </row>
    <row r="7527">
      <c r="A7527" s="499" t="s">
        <v>13110</v>
      </c>
    </row>
    <row r="7528">
      <c r="A7528" s="499" t="s">
        <v>13111</v>
      </c>
    </row>
    <row r="7529">
      <c r="A7529" s="499" t="s">
        <v>13112</v>
      </c>
    </row>
    <row r="7530">
      <c r="A7530" s="499" t="s">
        <v>13113</v>
      </c>
    </row>
    <row r="7531">
      <c r="A7531" s="499" t="s">
        <v>13114</v>
      </c>
    </row>
    <row r="7532">
      <c r="A7532" s="499" t="s">
        <v>13115</v>
      </c>
    </row>
    <row r="7533">
      <c r="A7533" s="499" t="s">
        <v>13116</v>
      </c>
    </row>
    <row r="7534">
      <c r="A7534" s="499" t="s">
        <v>13117</v>
      </c>
    </row>
    <row r="7535">
      <c r="A7535" s="499" t="s">
        <v>13118</v>
      </c>
    </row>
    <row r="7536">
      <c r="A7536" s="499" t="s">
        <v>13119</v>
      </c>
    </row>
    <row r="7537">
      <c r="A7537" s="499" t="s">
        <v>13120</v>
      </c>
    </row>
    <row r="7538">
      <c r="A7538" s="499" t="s">
        <v>13121</v>
      </c>
    </row>
    <row r="7539">
      <c r="A7539" s="499" t="s">
        <v>13122</v>
      </c>
    </row>
    <row r="7540">
      <c r="A7540" s="499" t="s">
        <v>13123</v>
      </c>
    </row>
    <row r="7541">
      <c r="A7541" s="499" t="s">
        <v>13124</v>
      </c>
    </row>
    <row r="7542">
      <c r="A7542" s="499" t="s">
        <v>13125</v>
      </c>
    </row>
    <row r="7543">
      <c r="A7543" s="499" t="s">
        <v>2652</v>
      </c>
    </row>
    <row r="7544">
      <c r="A7544" s="499" t="s">
        <v>2655</v>
      </c>
    </row>
    <row r="7545">
      <c r="A7545" s="499" t="s">
        <v>13126</v>
      </c>
    </row>
    <row r="7546">
      <c r="A7546" s="499" t="s">
        <v>13127</v>
      </c>
    </row>
    <row r="7547">
      <c r="A7547" s="499" t="s">
        <v>13128</v>
      </c>
    </row>
    <row r="7548">
      <c r="A7548" s="499" t="s">
        <v>13129</v>
      </c>
    </row>
    <row r="7549">
      <c r="A7549" s="499" t="s">
        <v>13130</v>
      </c>
    </row>
    <row r="7550">
      <c r="A7550" s="499" t="s">
        <v>13131</v>
      </c>
    </row>
    <row r="7551">
      <c r="A7551" s="499" t="s">
        <v>13132</v>
      </c>
    </row>
    <row r="7552">
      <c r="A7552" s="499" t="s">
        <v>13133</v>
      </c>
    </row>
    <row r="7553">
      <c r="A7553" s="499" t="s">
        <v>13134</v>
      </c>
    </row>
    <row r="7554">
      <c r="A7554" s="499" t="s">
        <v>13135</v>
      </c>
    </row>
    <row r="7555">
      <c r="A7555" s="499" t="s">
        <v>13136</v>
      </c>
    </row>
    <row r="7556">
      <c r="A7556" s="499" t="s">
        <v>13137</v>
      </c>
    </row>
    <row r="7557">
      <c r="A7557" s="499" t="s">
        <v>13138</v>
      </c>
    </row>
    <row r="7558">
      <c r="A7558" s="499" t="s">
        <v>13139</v>
      </c>
    </row>
    <row r="7559">
      <c r="A7559" s="499" t="s">
        <v>13140</v>
      </c>
    </row>
    <row r="7560">
      <c r="A7560" s="499" t="s">
        <v>13141</v>
      </c>
    </row>
    <row r="7561">
      <c r="A7561" s="499" t="s">
        <v>13142</v>
      </c>
    </row>
    <row r="7562">
      <c r="A7562" s="499" t="s">
        <v>13143</v>
      </c>
    </row>
    <row r="7563">
      <c r="A7563" s="499" t="s">
        <v>13144</v>
      </c>
    </row>
    <row r="7564">
      <c r="A7564" s="499" t="s">
        <v>13145</v>
      </c>
    </row>
    <row r="7565">
      <c r="A7565" s="499" t="s">
        <v>13146</v>
      </c>
    </row>
    <row r="7566">
      <c r="A7566" s="499" t="s">
        <v>13147</v>
      </c>
    </row>
    <row r="7567">
      <c r="A7567" s="499" t="s">
        <v>13148</v>
      </c>
    </row>
    <row r="7568">
      <c r="A7568" s="499" t="s">
        <v>13149</v>
      </c>
    </row>
    <row r="7569">
      <c r="A7569" s="499" t="s">
        <v>13150</v>
      </c>
    </row>
    <row r="7570">
      <c r="A7570" s="499" t="s">
        <v>13151</v>
      </c>
    </row>
    <row r="7571">
      <c r="A7571" s="499" t="s">
        <v>13152</v>
      </c>
    </row>
    <row r="7572">
      <c r="A7572" s="499" t="s">
        <v>13153</v>
      </c>
    </row>
    <row r="7573">
      <c r="A7573" s="499" t="s">
        <v>13154</v>
      </c>
    </row>
    <row r="7574">
      <c r="A7574" s="499" t="s">
        <v>13155</v>
      </c>
    </row>
    <row r="7575">
      <c r="A7575" s="499" t="s">
        <v>13156</v>
      </c>
    </row>
    <row r="7576">
      <c r="A7576" s="499" t="s">
        <v>13157</v>
      </c>
    </row>
    <row r="7577">
      <c r="A7577" s="499" t="s">
        <v>13158</v>
      </c>
    </row>
    <row r="7578">
      <c r="A7578" s="499" t="s">
        <v>13159</v>
      </c>
    </row>
    <row r="7579">
      <c r="A7579" s="499" t="s">
        <v>13160</v>
      </c>
    </row>
    <row r="7580">
      <c r="A7580" s="499" t="s">
        <v>13161</v>
      </c>
    </row>
    <row r="7581">
      <c r="A7581" s="499" t="s">
        <v>13162</v>
      </c>
    </row>
    <row r="7582">
      <c r="A7582" s="499" t="s">
        <v>13163</v>
      </c>
    </row>
    <row r="7583">
      <c r="A7583" s="499" t="s">
        <v>13164</v>
      </c>
    </row>
    <row r="7584">
      <c r="A7584" s="499" t="s">
        <v>13165</v>
      </c>
    </row>
    <row r="7585">
      <c r="A7585" s="499" t="s">
        <v>13166</v>
      </c>
    </row>
    <row r="7586">
      <c r="A7586" s="499" t="s">
        <v>13167</v>
      </c>
    </row>
    <row r="7587">
      <c r="A7587" s="499" t="s">
        <v>13168</v>
      </c>
    </row>
    <row r="7588">
      <c r="A7588" s="499" t="s">
        <v>13169</v>
      </c>
    </row>
    <row r="7589">
      <c r="A7589" s="499" t="s">
        <v>13170</v>
      </c>
    </row>
    <row r="7590">
      <c r="A7590" s="499" t="s">
        <v>13171</v>
      </c>
    </row>
    <row r="7591">
      <c r="A7591" s="499" t="s">
        <v>13172</v>
      </c>
    </row>
    <row r="7592">
      <c r="A7592" s="499" t="s">
        <v>13173</v>
      </c>
    </row>
    <row r="7593">
      <c r="A7593" s="499" t="s">
        <v>13174</v>
      </c>
    </row>
    <row r="7594">
      <c r="A7594" s="499" t="s">
        <v>13175</v>
      </c>
    </row>
    <row r="7595">
      <c r="A7595" s="499" t="s">
        <v>13176</v>
      </c>
    </row>
    <row r="7596">
      <c r="A7596" s="499" t="s">
        <v>13177</v>
      </c>
    </row>
    <row r="7597">
      <c r="A7597" s="499" t="s">
        <v>13178</v>
      </c>
    </row>
    <row r="7598">
      <c r="A7598" s="499" t="s">
        <v>13179</v>
      </c>
    </row>
    <row r="7599">
      <c r="A7599" s="499" t="s">
        <v>13180</v>
      </c>
    </row>
    <row r="7600">
      <c r="A7600" s="499" t="s">
        <v>13181</v>
      </c>
    </row>
    <row r="7601">
      <c r="A7601" s="499" t="s">
        <v>13182</v>
      </c>
    </row>
    <row r="7602">
      <c r="A7602" s="499" t="s">
        <v>13183</v>
      </c>
    </row>
    <row r="7603">
      <c r="A7603" s="499" t="s">
        <v>13184</v>
      </c>
    </row>
    <row r="7604">
      <c r="A7604" s="499" t="s">
        <v>13185</v>
      </c>
    </row>
    <row r="7605">
      <c r="A7605" s="499" t="s">
        <v>13186</v>
      </c>
    </row>
    <row r="7606">
      <c r="A7606" s="499" t="s">
        <v>13187</v>
      </c>
    </row>
    <row r="7607">
      <c r="A7607" s="499" t="s">
        <v>13188</v>
      </c>
    </row>
    <row r="7608">
      <c r="A7608" s="499" t="s">
        <v>13189</v>
      </c>
    </row>
    <row r="7609">
      <c r="A7609" s="499" t="s">
        <v>13190</v>
      </c>
    </row>
    <row r="7610">
      <c r="A7610" s="499" t="s">
        <v>13191</v>
      </c>
    </row>
    <row r="7611">
      <c r="A7611" s="499" t="s">
        <v>13192</v>
      </c>
    </row>
    <row r="7612">
      <c r="A7612" s="499" t="s">
        <v>13193</v>
      </c>
    </row>
    <row r="7613">
      <c r="A7613" s="499" t="s">
        <v>13194</v>
      </c>
    </row>
    <row r="7614">
      <c r="A7614" s="499" t="s">
        <v>13195</v>
      </c>
    </row>
    <row r="7615">
      <c r="A7615" s="499" t="s">
        <v>13196</v>
      </c>
    </row>
    <row r="7616">
      <c r="A7616" s="499" t="s">
        <v>13197</v>
      </c>
    </row>
    <row r="7617">
      <c r="A7617" s="499" t="s">
        <v>13198</v>
      </c>
    </row>
    <row r="7618">
      <c r="A7618" s="499" t="s">
        <v>13199</v>
      </c>
    </row>
    <row r="7619">
      <c r="A7619" s="499" t="s">
        <v>13200</v>
      </c>
    </row>
    <row r="7620">
      <c r="A7620" s="499" t="s">
        <v>13201</v>
      </c>
    </row>
    <row r="7621">
      <c r="A7621" s="499" t="s">
        <v>13202</v>
      </c>
    </row>
    <row r="7622">
      <c r="A7622" s="499" t="s">
        <v>13203</v>
      </c>
    </row>
    <row r="7623">
      <c r="A7623" s="499" t="s">
        <v>13204</v>
      </c>
    </row>
    <row r="7624">
      <c r="A7624" s="499" t="s">
        <v>13205</v>
      </c>
    </row>
    <row r="7625">
      <c r="A7625" s="499" t="s">
        <v>13206</v>
      </c>
    </row>
    <row r="7626">
      <c r="A7626" s="499" t="s">
        <v>13207</v>
      </c>
    </row>
    <row r="7627">
      <c r="A7627" s="499" t="s">
        <v>13208</v>
      </c>
    </row>
    <row r="7628">
      <c r="A7628" s="499" t="s">
        <v>13209</v>
      </c>
    </row>
    <row r="7629">
      <c r="A7629" s="499" t="s">
        <v>13210</v>
      </c>
    </row>
    <row r="7630">
      <c r="A7630" s="499" t="s">
        <v>13211</v>
      </c>
    </row>
    <row r="7631">
      <c r="A7631" s="499" t="s">
        <v>13212</v>
      </c>
    </row>
    <row r="7632">
      <c r="A7632" s="499" t="s">
        <v>13213</v>
      </c>
    </row>
    <row r="7633">
      <c r="A7633" s="499" t="s">
        <v>13214</v>
      </c>
    </row>
    <row r="7634">
      <c r="A7634" s="499" t="s">
        <v>13215</v>
      </c>
    </row>
    <row r="7635">
      <c r="A7635" s="499" t="s">
        <v>13216</v>
      </c>
    </row>
    <row r="7636">
      <c r="A7636" s="499" t="s">
        <v>13217</v>
      </c>
    </row>
    <row r="7637">
      <c r="A7637" s="499" t="s">
        <v>13218</v>
      </c>
    </row>
    <row r="7638">
      <c r="A7638" s="499" t="s">
        <v>13219</v>
      </c>
    </row>
    <row r="7639">
      <c r="A7639" s="499" t="s">
        <v>13220</v>
      </c>
    </row>
    <row r="7640">
      <c r="A7640" s="499" t="s">
        <v>13221</v>
      </c>
    </row>
    <row r="7641">
      <c r="A7641" s="499" t="s">
        <v>13222</v>
      </c>
    </row>
    <row r="7642">
      <c r="A7642" s="499" t="s">
        <v>13223</v>
      </c>
    </row>
    <row r="7643">
      <c r="A7643" s="499" t="s">
        <v>13224</v>
      </c>
    </row>
    <row r="7644">
      <c r="A7644" s="499" t="s">
        <v>13225</v>
      </c>
    </row>
    <row r="7645">
      <c r="A7645" s="499" t="s">
        <v>13226</v>
      </c>
    </row>
    <row r="7646">
      <c r="A7646" s="499" t="s">
        <v>13227</v>
      </c>
    </row>
    <row r="7647">
      <c r="A7647" s="499" t="s">
        <v>13228</v>
      </c>
    </row>
    <row r="7648">
      <c r="A7648" s="499" t="s">
        <v>13229</v>
      </c>
    </row>
    <row r="7649">
      <c r="A7649" s="499" t="s">
        <v>13230</v>
      </c>
    </row>
    <row r="7650">
      <c r="A7650" s="499" t="s">
        <v>13231</v>
      </c>
    </row>
    <row r="7651">
      <c r="A7651" s="499" t="s">
        <v>13232</v>
      </c>
    </row>
    <row r="7652">
      <c r="A7652" s="499" t="s">
        <v>13233</v>
      </c>
    </row>
    <row r="7653">
      <c r="A7653" s="499" t="s">
        <v>13234</v>
      </c>
    </row>
    <row r="7654">
      <c r="A7654" s="499" t="s">
        <v>13235</v>
      </c>
    </row>
    <row r="7655">
      <c r="A7655" s="499" t="s">
        <v>13236</v>
      </c>
    </row>
    <row r="7656">
      <c r="A7656" s="499" t="s">
        <v>13237</v>
      </c>
    </row>
    <row r="7657">
      <c r="A7657" s="499" t="s">
        <v>13238</v>
      </c>
    </row>
    <row r="7658">
      <c r="A7658" s="499" t="s">
        <v>13239</v>
      </c>
    </row>
    <row r="7659">
      <c r="A7659" s="499" t="s">
        <v>13240</v>
      </c>
    </row>
    <row r="7660">
      <c r="A7660" s="499" t="s">
        <v>13241</v>
      </c>
    </row>
    <row r="7661">
      <c r="A7661" s="499" t="s">
        <v>13242</v>
      </c>
    </row>
    <row r="7662">
      <c r="A7662" s="499" t="s">
        <v>13243</v>
      </c>
    </row>
    <row r="7663">
      <c r="A7663" s="499" t="s">
        <v>13244</v>
      </c>
    </row>
    <row r="7664">
      <c r="A7664" s="499" t="s">
        <v>13245</v>
      </c>
    </row>
    <row r="7665">
      <c r="A7665" s="499" t="s">
        <v>13246</v>
      </c>
    </row>
    <row r="7666">
      <c r="A7666" s="499" t="s">
        <v>13247</v>
      </c>
    </row>
    <row r="7667">
      <c r="A7667" s="499" t="s">
        <v>13248</v>
      </c>
    </row>
    <row r="7668">
      <c r="A7668" s="499" t="s">
        <v>13249</v>
      </c>
    </row>
    <row r="7669">
      <c r="A7669" s="499" t="s">
        <v>2814</v>
      </c>
    </row>
    <row r="7670">
      <c r="A7670" s="499" t="s">
        <v>2898</v>
      </c>
    </row>
    <row r="7671">
      <c r="A7671" s="499" t="s">
        <v>2697</v>
      </c>
    </row>
    <row r="7672">
      <c r="A7672" s="499" t="s">
        <v>2699</v>
      </c>
    </row>
    <row r="7673">
      <c r="A7673" s="499" t="s">
        <v>2695</v>
      </c>
    </row>
    <row r="7674">
      <c r="A7674" s="499" t="s">
        <v>2704</v>
      </c>
    </row>
    <row r="7675">
      <c r="A7675" s="499" t="s">
        <v>2710</v>
      </c>
    </row>
    <row r="7676">
      <c r="A7676" s="499" t="s">
        <v>2751</v>
      </c>
    </row>
    <row r="7677">
      <c r="A7677" s="499" t="s">
        <v>2753</v>
      </c>
    </row>
    <row r="7678">
      <c r="A7678" s="499" t="s">
        <v>2755</v>
      </c>
    </row>
    <row r="7679">
      <c r="A7679" s="499" t="s">
        <v>2757</v>
      </c>
    </row>
    <row r="7680">
      <c r="A7680" s="499" t="s">
        <v>2760</v>
      </c>
    </row>
    <row r="7681">
      <c r="A7681" s="499" t="s">
        <v>2763</v>
      </c>
    </row>
    <row r="7682">
      <c r="A7682" s="499" t="s">
        <v>2861</v>
      </c>
    </row>
    <row r="7683">
      <c r="A7683" s="499" t="s">
        <v>2690</v>
      </c>
    </row>
    <row r="7684">
      <c r="A7684" s="499" t="s">
        <v>13250</v>
      </c>
    </row>
    <row r="7685">
      <c r="A7685" s="499" t="s">
        <v>2869</v>
      </c>
    </row>
    <row r="7686">
      <c r="A7686" s="499" t="s">
        <v>2731</v>
      </c>
    </row>
    <row r="7687">
      <c r="A7687" s="499" t="s">
        <v>2682</v>
      </c>
    </row>
    <row r="7688">
      <c r="A7688" s="499" t="s">
        <v>2785</v>
      </c>
    </row>
    <row r="7689">
      <c r="A7689" s="499" t="s">
        <v>2749</v>
      </c>
    </row>
    <row r="7690">
      <c r="A7690" s="499" t="s">
        <v>2900</v>
      </c>
    </row>
    <row r="7691">
      <c r="A7691" s="499" t="s">
        <v>2770</v>
      </c>
    </row>
    <row r="7692">
      <c r="A7692" s="499" t="s">
        <v>2766</v>
      </c>
    </row>
    <row r="7693">
      <c r="A7693" s="499" t="s">
        <v>2768</v>
      </c>
    </row>
    <row r="7694">
      <c r="A7694" s="499" t="s">
        <v>2803</v>
      </c>
    </row>
    <row r="7695">
      <c r="A7695" s="499" t="s">
        <v>2779</v>
      </c>
    </row>
    <row r="7696">
      <c r="A7696" s="499" t="s">
        <v>2809</v>
      </c>
    </row>
    <row r="7697">
      <c r="A7697" s="499" t="s">
        <v>2812</v>
      </c>
    </row>
    <row r="7698">
      <c r="A7698" s="499" t="s">
        <v>2822</v>
      </c>
    </row>
    <row r="7699">
      <c r="A7699" s="499" t="s">
        <v>2816</v>
      </c>
    </row>
    <row r="7700">
      <c r="A7700" s="499" t="s">
        <v>2828</v>
      </c>
    </row>
    <row r="7701">
      <c r="A7701" s="499" t="s">
        <v>2849</v>
      </c>
    </row>
    <row r="7702">
      <c r="A7702" s="499" t="s">
        <v>2852</v>
      </c>
    </row>
    <row r="7703">
      <c r="A7703" s="499" t="s">
        <v>2837</v>
      </c>
    </row>
    <row r="7704">
      <c r="A7704" s="499" t="s">
        <v>2863</v>
      </c>
    </row>
    <row r="7705">
      <c r="A7705" s="499" t="s">
        <v>2881</v>
      </c>
    </row>
    <row r="7706">
      <c r="A7706" s="499" t="s">
        <v>2887</v>
      </c>
    </row>
    <row r="7707">
      <c r="A7707" s="499" t="s">
        <v>2890</v>
      </c>
    </row>
    <row r="7708">
      <c r="A7708" s="499" t="s">
        <v>2892</v>
      </c>
    </row>
    <row r="7709">
      <c r="A7709" s="499" t="s">
        <v>2894</v>
      </c>
    </row>
    <row r="7710">
      <c r="A7710" s="499" t="s">
        <v>2895</v>
      </c>
    </row>
    <row r="7711">
      <c r="A7711" s="499" t="s">
        <v>2676</v>
      </c>
    </row>
    <row r="7712">
      <c r="A7712" s="499" t="s">
        <v>2875</v>
      </c>
    </row>
    <row r="7713">
      <c r="A7713" s="499" t="s">
        <v>2884</v>
      </c>
    </row>
    <row r="7714">
      <c r="A7714" s="499" t="s">
        <v>2687</v>
      </c>
    </row>
    <row r="7715">
      <c r="A7715" s="499" t="s">
        <v>2872</v>
      </c>
    </row>
    <row r="7716">
      <c r="A7716" s="499" t="s">
        <v>2743</v>
      </c>
    </row>
    <row r="7717">
      <c r="A7717" s="499" t="s">
        <v>2745</v>
      </c>
    </row>
    <row r="7718">
      <c r="A7718" s="499" t="s">
        <v>2734</v>
      </c>
    </row>
    <row r="7719">
      <c r="A7719" s="499" t="s">
        <v>2858</v>
      </c>
    </row>
    <row r="7720">
      <c r="A7720" s="499" t="s">
        <v>2701</v>
      </c>
    </row>
    <row r="7721">
      <c r="A7721" s="499" t="s">
        <v>2906</v>
      </c>
    </row>
    <row r="7722">
      <c r="A7722" s="499" t="s">
        <v>2693</v>
      </c>
    </row>
    <row r="7723">
      <c r="A7723" s="499" t="s">
        <v>2806</v>
      </c>
    </row>
    <row r="7724">
      <c r="A7724" s="499" t="s">
        <v>2666</v>
      </c>
    </row>
    <row r="7725">
      <c r="A7725" s="499" t="s">
        <v>2723</v>
      </c>
    </row>
    <row r="7726">
      <c r="A7726" s="499" t="s">
        <v>2727</v>
      </c>
    </row>
    <row r="7727">
      <c r="A7727" s="499" t="s">
        <v>2740</v>
      </c>
    </row>
    <row r="7728">
      <c r="A7728" s="499" t="s">
        <v>2846</v>
      </c>
    </row>
    <row r="7729">
      <c r="A7729" s="499" t="s">
        <v>2791</v>
      </c>
    </row>
    <row r="7730">
      <c r="A7730" s="499" t="s">
        <v>2834</v>
      </c>
    </row>
    <row r="7731">
      <c r="A7731" s="499" t="s">
        <v>2721</v>
      </c>
    </row>
    <row r="7732">
      <c r="A7732" s="499" t="s">
        <v>2664</v>
      </c>
    </row>
    <row r="7733">
      <c r="A7733" s="499" t="s">
        <v>2902</v>
      </c>
    </row>
    <row r="7734">
      <c r="A7734" s="499" t="s">
        <v>2904</v>
      </c>
    </row>
    <row r="7735">
      <c r="A7735" s="499" t="s">
        <v>2670</v>
      </c>
    </row>
    <row r="7736">
      <c r="A7736" s="499" t="s">
        <v>2674</v>
      </c>
    </row>
    <row r="7737">
      <c r="A7737" s="499" t="s">
        <v>2672</v>
      </c>
    </row>
    <row r="7738">
      <c r="A7738" s="499" t="s">
        <v>2678</v>
      </c>
    </row>
    <row r="7739">
      <c r="A7739" s="499" t="s">
        <v>2680</v>
      </c>
    </row>
    <row r="7740">
      <c r="A7740" s="499" t="s">
        <v>2747</v>
      </c>
    </row>
    <row r="7741">
      <c r="A7741" s="499" t="s">
        <v>2878</v>
      </c>
    </row>
    <row r="7742">
      <c r="A7742" s="499" t="s">
        <v>2737</v>
      </c>
    </row>
    <row r="7743">
      <c r="A7743" s="499" t="s">
        <v>2794</v>
      </c>
    </row>
    <row r="7744">
      <c r="A7744" s="499" t="s">
        <v>2797</v>
      </c>
    </row>
    <row r="7745">
      <c r="A7745" s="499" t="s">
        <v>2800</v>
      </c>
    </row>
    <row r="7746">
      <c r="A7746" s="499" t="s">
        <v>2713</v>
      </c>
    </row>
    <row r="7747">
      <c r="A7747" s="499" t="s">
        <v>2707</v>
      </c>
    </row>
    <row r="7748">
      <c r="A7748" s="499" t="s">
        <v>2773</v>
      </c>
    </row>
    <row r="7749">
      <c r="A7749" s="499" t="s">
        <v>2843</v>
      </c>
    </row>
    <row r="7750">
      <c r="A7750" s="499" t="s">
        <v>2685</v>
      </c>
    </row>
    <row r="7751">
      <c r="A7751" s="499" t="s">
        <v>2718</v>
      </c>
    </row>
    <row r="7752">
      <c r="A7752" s="499" t="s">
        <v>2840</v>
      </c>
    </row>
    <row r="7753">
      <c r="A7753" s="499" t="s">
        <v>2855</v>
      </c>
    </row>
    <row r="7754">
      <c r="A7754" s="499" t="s">
        <v>2819</v>
      </c>
    </row>
    <row r="7755">
      <c r="A7755" s="499" t="s">
        <v>2825</v>
      </c>
    </row>
    <row r="7756">
      <c r="A7756" s="499" t="s">
        <v>2831</v>
      </c>
    </row>
    <row r="7757">
      <c r="A7757" s="499" t="s">
        <v>2782</v>
      </c>
    </row>
    <row r="7758">
      <c r="A7758" s="499" t="s">
        <v>2788</v>
      </c>
    </row>
    <row r="7759">
      <c r="A7759" s="499" t="s">
        <v>2776</v>
      </c>
    </row>
    <row r="7760">
      <c r="A7760" s="499" t="s">
        <v>13251</v>
      </c>
    </row>
    <row r="7761">
      <c r="A7761" s="499" t="s">
        <v>13252</v>
      </c>
    </row>
    <row r="7762">
      <c r="A7762" s="499" t="s">
        <v>13253</v>
      </c>
    </row>
    <row r="7763">
      <c r="A7763" s="499" t="s">
        <v>13254</v>
      </c>
    </row>
    <row r="7764">
      <c r="A7764" s="499" t="s">
        <v>13255</v>
      </c>
    </row>
    <row r="7765">
      <c r="A7765" s="499" t="s">
        <v>13256</v>
      </c>
    </row>
    <row r="7766">
      <c r="A7766" s="499" t="s">
        <v>13257</v>
      </c>
    </row>
    <row r="7767">
      <c r="A7767" s="499" t="s">
        <v>13258</v>
      </c>
    </row>
    <row r="7768">
      <c r="A7768" s="499" t="s">
        <v>13259</v>
      </c>
    </row>
    <row r="7769">
      <c r="A7769" s="499" t="s">
        <v>2716</v>
      </c>
    </row>
    <row r="7770">
      <c r="A7770" s="499" t="s">
        <v>13260</v>
      </c>
    </row>
    <row r="7771">
      <c r="A7771" s="499" t="s">
        <v>13261</v>
      </c>
    </row>
    <row r="7772">
      <c r="A7772" s="499" t="s">
        <v>13262</v>
      </c>
    </row>
    <row r="7773">
      <c r="A7773" s="499" t="s">
        <v>13263</v>
      </c>
    </row>
    <row r="7774">
      <c r="A7774" s="499" t="s">
        <v>13264</v>
      </c>
    </row>
    <row r="7775">
      <c r="A7775" s="499" t="s">
        <v>13265</v>
      </c>
    </row>
    <row r="7776">
      <c r="A7776" s="499" t="s">
        <v>13266</v>
      </c>
    </row>
    <row r="7777">
      <c r="A7777" s="499" t="s">
        <v>13267</v>
      </c>
    </row>
    <row r="7778">
      <c r="A7778" s="499" t="s">
        <v>13268</v>
      </c>
    </row>
    <row r="7779">
      <c r="A7779" s="499" t="s">
        <v>13269</v>
      </c>
    </row>
    <row r="7780">
      <c r="A7780" s="499" t="s">
        <v>2668</v>
      </c>
    </row>
    <row r="7781">
      <c r="A7781" s="499" t="s">
        <v>13270</v>
      </c>
    </row>
    <row r="7782">
      <c r="A7782" s="499" t="s">
        <v>13271</v>
      </c>
    </row>
    <row r="7783">
      <c r="A7783" s="499" t="s">
        <v>13272</v>
      </c>
    </row>
    <row r="7784">
      <c r="A7784" s="499" t="s">
        <v>13273</v>
      </c>
    </row>
    <row r="7785">
      <c r="A7785" s="499" t="s">
        <v>13274</v>
      </c>
    </row>
    <row r="7786">
      <c r="A7786" s="499" t="s">
        <v>13275</v>
      </c>
    </row>
    <row r="7787">
      <c r="A7787" s="499" t="s">
        <v>13276</v>
      </c>
    </row>
    <row r="7788">
      <c r="A7788" s="499" t="s">
        <v>13277</v>
      </c>
    </row>
    <row r="7789">
      <c r="A7789" s="499" t="s">
        <v>13278</v>
      </c>
    </row>
    <row r="7790">
      <c r="A7790" s="499" t="s">
        <v>13279</v>
      </c>
    </row>
    <row r="7791">
      <c r="A7791" s="499" t="s">
        <v>13280</v>
      </c>
    </row>
    <row r="7792">
      <c r="A7792" s="499" t="s">
        <v>13281</v>
      </c>
    </row>
    <row r="7793">
      <c r="A7793" s="499" t="s">
        <v>13282</v>
      </c>
    </row>
    <row r="7794">
      <c r="A7794" s="499" t="s">
        <v>13283</v>
      </c>
    </row>
    <row r="7795">
      <c r="A7795" s="499" t="s">
        <v>13284</v>
      </c>
    </row>
    <row r="7796">
      <c r="A7796" s="499" t="s">
        <v>13285</v>
      </c>
    </row>
    <row r="7797">
      <c r="A7797" s="499" t="s">
        <v>13286</v>
      </c>
    </row>
    <row r="7798">
      <c r="A7798" s="499" t="s">
        <v>13287</v>
      </c>
    </row>
    <row r="7799">
      <c r="A7799" s="499" t="s">
        <v>13288</v>
      </c>
    </row>
    <row r="7800">
      <c r="A7800" s="499" t="s">
        <v>13289</v>
      </c>
    </row>
    <row r="7801">
      <c r="A7801" s="499" t="s">
        <v>13290</v>
      </c>
    </row>
    <row r="7802">
      <c r="A7802" s="499" t="s">
        <v>13291</v>
      </c>
    </row>
    <row r="7803">
      <c r="A7803" s="499" t="s">
        <v>13292</v>
      </c>
    </row>
    <row r="7804">
      <c r="A7804" s="499" t="s">
        <v>13293</v>
      </c>
    </row>
    <row r="7805">
      <c r="A7805" s="499" t="s">
        <v>13294</v>
      </c>
    </row>
    <row r="7806">
      <c r="A7806" s="499" t="s">
        <v>13295</v>
      </c>
    </row>
    <row r="7807">
      <c r="A7807" s="499" t="s">
        <v>13296</v>
      </c>
    </row>
    <row r="7808">
      <c r="A7808" s="499" t="s">
        <v>13297</v>
      </c>
    </row>
    <row r="7809">
      <c r="A7809" s="499" t="s">
        <v>13298</v>
      </c>
    </row>
    <row r="7810">
      <c r="A7810" s="499" t="s">
        <v>13299</v>
      </c>
    </row>
    <row r="7811">
      <c r="A7811" s="499" t="s">
        <v>13300</v>
      </c>
    </row>
    <row r="7812">
      <c r="A7812" s="499" t="s">
        <v>13301</v>
      </c>
    </row>
    <row r="7813">
      <c r="A7813" s="499" t="s">
        <v>13302</v>
      </c>
    </row>
    <row r="7814">
      <c r="A7814" s="499" t="s">
        <v>13303</v>
      </c>
    </row>
    <row r="7815">
      <c r="A7815" s="499" t="s">
        <v>13304</v>
      </c>
    </row>
    <row r="7816">
      <c r="A7816" s="499" t="s">
        <v>13305</v>
      </c>
    </row>
    <row r="7817">
      <c r="A7817" s="499" t="s">
        <v>13306</v>
      </c>
    </row>
    <row r="7818">
      <c r="A7818" s="499" t="s">
        <v>13307</v>
      </c>
    </row>
    <row r="7819">
      <c r="A7819" s="499" t="s">
        <v>13308</v>
      </c>
    </row>
    <row r="7820">
      <c r="A7820" s="499" t="s">
        <v>13309</v>
      </c>
    </row>
    <row r="7821">
      <c r="A7821" s="499" t="s">
        <v>13310</v>
      </c>
    </row>
    <row r="7822">
      <c r="A7822" s="499" t="s">
        <v>13311</v>
      </c>
    </row>
    <row r="7823">
      <c r="A7823" s="499" t="s">
        <v>13312</v>
      </c>
    </row>
    <row r="7824">
      <c r="A7824" s="499" t="s">
        <v>13313</v>
      </c>
    </row>
    <row r="7825">
      <c r="A7825" s="499" t="s">
        <v>13314</v>
      </c>
    </row>
    <row r="7826">
      <c r="A7826" s="499" t="s">
        <v>13315</v>
      </c>
    </row>
    <row r="7827">
      <c r="A7827" s="499" t="s">
        <v>13316</v>
      </c>
    </row>
    <row r="7828">
      <c r="A7828" s="499" t="s">
        <v>13317</v>
      </c>
    </row>
    <row r="7829">
      <c r="A7829" s="499" t="s">
        <v>13318</v>
      </c>
    </row>
    <row r="7830">
      <c r="A7830" s="499" t="s">
        <v>13319</v>
      </c>
    </row>
    <row r="7831">
      <c r="A7831" s="499" t="s">
        <v>13320</v>
      </c>
    </row>
    <row r="7832">
      <c r="A7832" s="499" t="s">
        <v>13321</v>
      </c>
    </row>
    <row r="7833">
      <c r="A7833" s="499" t="s">
        <v>13322</v>
      </c>
    </row>
    <row r="7834">
      <c r="A7834" s="499" t="s">
        <v>13323</v>
      </c>
    </row>
    <row r="7835">
      <c r="A7835" s="499" t="s">
        <v>13324</v>
      </c>
    </row>
    <row r="7836">
      <c r="A7836" s="499" t="s">
        <v>13325</v>
      </c>
    </row>
    <row r="7837">
      <c r="A7837" s="499" t="s">
        <v>13326</v>
      </c>
    </row>
    <row r="7838">
      <c r="A7838" s="499" t="s">
        <v>13327</v>
      </c>
    </row>
    <row r="7839">
      <c r="A7839" s="499" t="s">
        <v>13328</v>
      </c>
    </row>
    <row r="7840">
      <c r="A7840" s="499" t="s">
        <v>13329</v>
      </c>
    </row>
    <row r="7841">
      <c r="A7841" s="499" t="s">
        <v>13330</v>
      </c>
    </row>
    <row r="7842">
      <c r="A7842" s="499" t="s">
        <v>13331</v>
      </c>
    </row>
    <row r="7843">
      <c r="A7843" s="499" t="s">
        <v>13332</v>
      </c>
    </row>
    <row r="7844">
      <c r="A7844" s="499" t="s">
        <v>13333</v>
      </c>
    </row>
    <row r="7845">
      <c r="A7845" s="499" t="s">
        <v>13334</v>
      </c>
    </row>
    <row r="7846">
      <c r="A7846" s="499" t="s">
        <v>13335</v>
      </c>
    </row>
    <row r="7847">
      <c r="A7847" s="499" t="s">
        <v>2928</v>
      </c>
    </row>
    <row r="7848">
      <c r="A7848" s="499" t="s">
        <v>2930</v>
      </c>
    </row>
    <row r="7849">
      <c r="A7849" s="499" t="s">
        <v>13336</v>
      </c>
    </row>
    <row r="7850">
      <c r="A7850" s="499" t="s">
        <v>13337</v>
      </c>
    </row>
    <row r="7851">
      <c r="A7851" s="499" t="s">
        <v>13338</v>
      </c>
    </row>
    <row r="7852">
      <c r="A7852" s="499" t="s">
        <v>13339</v>
      </c>
    </row>
    <row r="7853">
      <c r="A7853" s="499" t="s">
        <v>13340</v>
      </c>
    </row>
    <row r="7854">
      <c r="A7854" s="499" t="s">
        <v>13341</v>
      </c>
    </row>
    <row r="7855">
      <c r="A7855" s="499" t="s">
        <v>13342</v>
      </c>
    </row>
    <row r="7856">
      <c r="A7856" s="499" t="s">
        <v>13343</v>
      </c>
    </row>
    <row r="7857">
      <c r="A7857" s="499" t="s">
        <v>13344</v>
      </c>
    </row>
    <row r="7858">
      <c r="A7858" s="499" t="s">
        <v>13345</v>
      </c>
    </row>
    <row r="7859">
      <c r="A7859" s="499" t="s">
        <v>6616</v>
      </c>
    </row>
    <row r="7860">
      <c r="A7860" s="499" t="s">
        <v>13346</v>
      </c>
    </row>
    <row r="7861">
      <c r="A7861" s="499" t="s">
        <v>13347</v>
      </c>
    </row>
    <row r="7862">
      <c r="A7862" s="499" t="s">
        <v>13348</v>
      </c>
    </row>
    <row r="7863">
      <c r="A7863" s="499" t="s">
        <v>2944</v>
      </c>
    </row>
    <row r="7864">
      <c r="A7864" s="499" t="s">
        <v>13349</v>
      </c>
    </row>
    <row r="7865">
      <c r="A7865" s="499" t="s">
        <v>13350</v>
      </c>
    </row>
    <row r="7866">
      <c r="A7866" s="499" t="s">
        <v>13351</v>
      </c>
    </row>
    <row r="7867">
      <c r="A7867" s="499" t="s">
        <v>13352</v>
      </c>
    </row>
    <row r="7868">
      <c r="A7868" s="499" t="s">
        <v>2940</v>
      </c>
    </row>
    <row r="7869">
      <c r="A7869" s="499" t="s">
        <v>13353</v>
      </c>
    </row>
    <row r="7870">
      <c r="A7870" s="499" t="s">
        <v>13354</v>
      </c>
    </row>
    <row r="7871">
      <c r="A7871" s="499" t="s">
        <v>13355</v>
      </c>
    </row>
    <row r="7872">
      <c r="A7872" s="499" t="s">
        <v>2938</v>
      </c>
    </row>
    <row r="7873">
      <c r="A7873" s="499" t="s">
        <v>2936</v>
      </c>
    </row>
    <row r="7874">
      <c r="A7874" s="499" t="s">
        <v>13356</v>
      </c>
    </row>
    <row r="7875">
      <c r="A7875" s="499" t="s">
        <v>2942</v>
      </c>
    </row>
    <row r="7876">
      <c r="A7876" s="499" t="s">
        <v>13357</v>
      </c>
    </row>
    <row r="7877">
      <c r="A7877" s="499" t="s">
        <v>13358</v>
      </c>
    </row>
    <row r="7878">
      <c r="A7878" s="499" t="s">
        <v>13359</v>
      </c>
    </row>
    <row r="7879">
      <c r="A7879" s="499" t="s">
        <v>13360</v>
      </c>
    </row>
    <row r="7880">
      <c r="A7880" s="499" t="s">
        <v>13361</v>
      </c>
    </row>
    <row r="7881">
      <c r="A7881" s="499" t="s">
        <v>2949</v>
      </c>
    </row>
    <row r="7882">
      <c r="A7882" s="499" t="s">
        <v>2952</v>
      </c>
    </row>
    <row r="7883">
      <c r="A7883" s="499" t="s">
        <v>2961</v>
      </c>
    </row>
    <row r="7884">
      <c r="A7884" s="499" t="s">
        <v>2958</v>
      </c>
    </row>
    <row r="7885">
      <c r="A7885" s="499" t="s">
        <v>2955</v>
      </c>
    </row>
    <row r="7886">
      <c r="A7886" s="499" t="s">
        <v>3061</v>
      </c>
    </row>
    <row r="7887">
      <c r="A7887" s="499" t="s">
        <v>13362</v>
      </c>
    </row>
    <row r="7888">
      <c r="A7888" s="499" t="s">
        <v>2947</v>
      </c>
    </row>
    <row r="7889">
      <c r="A7889" s="499" t="s">
        <v>13363</v>
      </c>
    </row>
    <row r="7890">
      <c r="A7890" s="499" t="s">
        <v>2966</v>
      </c>
    </row>
    <row r="7891">
      <c r="A7891" s="499" t="s">
        <v>2969</v>
      </c>
    </row>
    <row r="7892">
      <c r="A7892" s="499" t="s">
        <v>2975</v>
      </c>
    </row>
    <row r="7893">
      <c r="A7893" s="499" t="s">
        <v>2977</v>
      </c>
    </row>
    <row r="7894">
      <c r="A7894" s="499" t="s">
        <v>2979</v>
      </c>
    </row>
    <row r="7895">
      <c r="A7895" s="499" t="s">
        <v>2981</v>
      </c>
    </row>
    <row r="7896">
      <c r="A7896" s="499" t="s">
        <v>2983</v>
      </c>
    </row>
    <row r="7897">
      <c r="A7897" s="499" t="s">
        <v>2972</v>
      </c>
    </row>
    <row r="7898">
      <c r="A7898" s="499" t="s">
        <v>2985</v>
      </c>
    </row>
    <row r="7899">
      <c r="A7899" s="499" t="s">
        <v>13364</v>
      </c>
    </row>
    <row r="7900">
      <c r="A7900" s="502" t="s">
        <v>2964</v>
      </c>
    </row>
    <row r="7901">
      <c r="A7901" s="499" t="s">
        <v>13365</v>
      </c>
    </row>
    <row r="7902">
      <c r="A7902" s="499" t="s">
        <v>13366</v>
      </c>
    </row>
    <row r="7903">
      <c r="A7903" s="499" t="s">
        <v>13367</v>
      </c>
    </row>
    <row r="7904">
      <c r="A7904" s="499" t="s">
        <v>13368</v>
      </c>
    </row>
    <row r="7905">
      <c r="A7905" s="499" t="s">
        <v>13369</v>
      </c>
    </row>
    <row r="7906">
      <c r="A7906" s="499" t="s">
        <v>13370</v>
      </c>
    </row>
    <row r="7907">
      <c r="A7907" s="499" t="s">
        <v>13371</v>
      </c>
    </row>
    <row r="7908">
      <c r="A7908" s="499" t="s">
        <v>13372</v>
      </c>
    </row>
    <row r="7909">
      <c r="A7909" s="499" t="s">
        <v>2988</v>
      </c>
    </row>
    <row r="7910">
      <c r="A7910" s="499" t="s">
        <v>2991</v>
      </c>
    </row>
    <row r="7911">
      <c r="A7911" s="499" t="s">
        <v>2994</v>
      </c>
    </row>
    <row r="7912">
      <c r="A7912" s="499" t="s">
        <v>2997</v>
      </c>
    </row>
    <row r="7913">
      <c r="A7913" s="499" t="s">
        <v>2999</v>
      </c>
    </row>
    <row r="7914">
      <c r="A7914" s="499" t="s">
        <v>3002</v>
      </c>
    </row>
    <row r="7915">
      <c r="A7915" s="499" t="s">
        <v>3004</v>
      </c>
    </row>
    <row r="7916">
      <c r="A7916" s="499" t="s">
        <v>13373</v>
      </c>
    </row>
    <row r="7917">
      <c r="A7917" s="499" t="s">
        <v>13374</v>
      </c>
    </row>
    <row r="7918">
      <c r="A7918" s="499" t="s">
        <v>13375</v>
      </c>
    </row>
    <row r="7919">
      <c r="A7919" s="499" t="s">
        <v>13376</v>
      </c>
    </row>
    <row r="7920">
      <c r="A7920" s="499" t="s">
        <v>13377</v>
      </c>
    </row>
    <row r="7921">
      <c r="A7921" s="499" t="s">
        <v>13378</v>
      </c>
    </row>
    <row r="7922">
      <c r="A7922" s="499" t="s">
        <v>13379</v>
      </c>
    </row>
    <row r="7923">
      <c r="A7923" s="499" t="s">
        <v>13380</v>
      </c>
    </row>
    <row r="7924">
      <c r="A7924" s="499" t="s">
        <v>13381</v>
      </c>
    </row>
    <row r="7925">
      <c r="A7925" s="499" t="s">
        <v>13382</v>
      </c>
    </row>
    <row r="7926">
      <c r="A7926" s="499" t="s">
        <v>13383</v>
      </c>
    </row>
    <row r="7927">
      <c r="A7927" s="499" t="s">
        <v>13384</v>
      </c>
    </row>
    <row r="7928">
      <c r="A7928" s="499" t="s">
        <v>13385</v>
      </c>
    </row>
    <row r="7929">
      <c r="A7929" s="499" t="s">
        <v>13386</v>
      </c>
    </row>
    <row r="7930">
      <c r="A7930" s="499" t="s">
        <v>13387</v>
      </c>
    </row>
    <row r="7931">
      <c r="A7931" s="499" t="s">
        <v>3006</v>
      </c>
    </row>
    <row r="7932">
      <c r="A7932" s="499" t="s">
        <v>3012</v>
      </c>
    </row>
    <row r="7933">
      <c r="A7933" s="499" t="s">
        <v>3016</v>
      </c>
    </row>
    <row r="7934">
      <c r="A7934" s="499" t="s">
        <v>3014</v>
      </c>
    </row>
    <row r="7935">
      <c r="A7935" s="499" t="s">
        <v>3009</v>
      </c>
    </row>
    <row r="7936">
      <c r="A7936" s="499" t="s">
        <v>3018</v>
      </c>
    </row>
    <row r="7937">
      <c r="A7937" s="499" t="s">
        <v>13388</v>
      </c>
    </row>
    <row r="7938">
      <c r="A7938" s="499" t="s">
        <v>13389</v>
      </c>
    </row>
    <row r="7939">
      <c r="A7939" s="499" t="s">
        <v>13390</v>
      </c>
    </row>
    <row r="7940">
      <c r="A7940" s="499" t="s">
        <v>13391</v>
      </c>
    </row>
    <row r="7941">
      <c r="A7941" s="499" t="s">
        <v>13392</v>
      </c>
    </row>
    <row r="7942">
      <c r="A7942" s="499" t="s">
        <v>13393</v>
      </c>
    </row>
    <row r="7943">
      <c r="A7943" s="499" t="s">
        <v>13394</v>
      </c>
    </row>
    <row r="7944">
      <c r="A7944" s="499" t="s">
        <v>13395</v>
      </c>
    </row>
    <row r="7945">
      <c r="A7945" s="499" t="s">
        <v>13396</v>
      </c>
    </row>
    <row r="7946">
      <c r="A7946" s="499" t="s">
        <v>2361</v>
      </c>
    </row>
    <row r="7947">
      <c r="A7947" s="499" t="s">
        <v>4420</v>
      </c>
    </row>
    <row r="7948">
      <c r="A7948" s="499" t="s">
        <v>13397</v>
      </c>
    </row>
    <row r="7949">
      <c r="A7949" s="499" t="s">
        <v>13398</v>
      </c>
    </row>
    <row r="7950">
      <c r="A7950" s="499" t="s">
        <v>13399</v>
      </c>
    </row>
    <row r="7951">
      <c r="A7951" s="499" t="s">
        <v>13400</v>
      </c>
    </row>
    <row r="7952">
      <c r="A7952" s="499" t="s">
        <v>13401</v>
      </c>
    </row>
    <row r="7953">
      <c r="A7953" s="499" t="s">
        <v>13402</v>
      </c>
    </row>
    <row r="7954">
      <c r="A7954" s="499" t="s">
        <v>13403</v>
      </c>
    </row>
    <row r="7955">
      <c r="A7955" s="499" t="s">
        <v>13404</v>
      </c>
    </row>
    <row r="7956">
      <c r="A7956" s="499" t="s">
        <v>13405</v>
      </c>
    </row>
    <row r="7957">
      <c r="A7957" s="499" t="s">
        <v>13406</v>
      </c>
    </row>
    <row r="7958">
      <c r="A7958" s="499" t="s">
        <v>13407</v>
      </c>
    </row>
    <row r="7959">
      <c r="A7959" s="499" t="s">
        <v>13408</v>
      </c>
    </row>
    <row r="7960">
      <c r="A7960" s="499" t="s">
        <v>13409</v>
      </c>
    </row>
    <row r="7961">
      <c r="A7961" s="499" t="s">
        <v>13410</v>
      </c>
    </row>
    <row r="7962">
      <c r="A7962" s="499" t="s">
        <v>13411</v>
      </c>
    </row>
    <row r="7963">
      <c r="A7963" s="499" t="s">
        <v>13412</v>
      </c>
    </row>
    <row r="7964">
      <c r="A7964" s="499" t="s">
        <v>13413</v>
      </c>
    </row>
    <row r="7965">
      <c r="A7965" s="499" t="s">
        <v>13414</v>
      </c>
    </row>
    <row r="7966">
      <c r="A7966" s="499" t="s">
        <v>13415</v>
      </c>
    </row>
    <row r="7967">
      <c r="A7967" s="499" t="s">
        <v>13416</v>
      </c>
    </row>
    <row r="7968">
      <c r="A7968" s="499" t="s">
        <v>13417</v>
      </c>
    </row>
    <row r="7969">
      <c r="A7969" s="499" t="s">
        <v>3021</v>
      </c>
    </row>
    <row r="7970">
      <c r="A7970" s="499" t="s">
        <v>13418</v>
      </c>
    </row>
    <row r="7971">
      <c r="A7971" s="499" t="s">
        <v>13419</v>
      </c>
    </row>
    <row r="7972">
      <c r="A7972" s="499" t="s">
        <v>13420</v>
      </c>
    </row>
    <row r="7973">
      <c r="A7973" s="499" t="s">
        <v>13421</v>
      </c>
    </row>
    <row r="7974">
      <c r="A7974" s="499" t="s">
        <v>3296</v>
      </c>
    </row>
    <row r="7975">
      <c r="A7975" s="499" t="s">
        <v>13422</v>
      </c>
    </row>
    <row r="7976">
      <c r="A7976" s="499" t="s">
        <v>13423</v>
      </c>
    </row>
    <row r="7977">
      <c r="A7977" s="499" t="s">
        <v>3035</v>
      </c>
    </row>
    <row r="7978">
      <c r="A7978" s="499" t="s">
        <v>13424</v>
      </c>
    </row>
    <row r="7979">
      <c r="A7979" s="499" t="s">
        <v>13425</v>
      </c>
    </row>
    <row r="7980">
      <c r="A7980" s="499" t="s">
        <v>13426</v>
      </c>
    </row>
    <row r="7981">
      <c r="A7981" s="499" t="s">
        <v>3051</v>
      </c>
    </row>
    <row r="7982">
      <c r="A7982" s="499" t="s">
        <v>3054</v>
      </c>
    </row>
    <row r="7983">
      <c r="A7983" s="499" t="s">
        <v>3057</v>
      </c>
    </row>
    <row r="7984">
      <c r="A7984" s="499" t="s">
        <v>3059</v>
      </c>
    </row>
    <row r="7985">
      <c r="A7985" s="499" t="s">
        <v>13427</v>
      </c>
    </row>
    <row r="7986">
      <c r="A7986" s="499" t="s">
        <v>3430</v>
      </c>
    </row>
    <row r="7987">
      <c r="A7987" s="499" t="s">
        <v>3436</v>
      </c>
    </row>
    <row r="7988">
      <c r="A7988" s="499" t="s">
        <v>3029</v>
      </c>
    </row>
    <row r="7989">
      <c r="A7989" s="499" t="s">
        <v>3032</v>
      </c>
    </row>
    <row r="7990">
      <c r="A7990" s="499" t="s">
        <v>3523</v>
      </c>
    </row>
    <row r="7991">
      <c r="A7991" s="499" t="s">
        <v>13428</v>
      </c>
    </row>
    <row r="7992">
      <c r="A7992" s="499" t="s">
        <v>13429</v>
      </c>
    </row>
    <row r="7993">
      <c r="A7993" s="499" t="s">
        <v>13430</v>
      </c>
    </row>
    <row r="7994">
      <c r="A7994" s="499" t="s">
        <v>3464</v>
      </c>
    </row>
    <row r="7995">
      <c r="A7995" s="499" t="s">
        <v>13431</v>
      </c>
    </row>
    <row r="7996">
      <c r="A7996" s="499" t="s">
        <v>3425</v>
      </c>
    </row>
    <row r="7997">
      <c r="A7997" s="499" t="s">
        <v>13432</v>
      </c>
    </row>
    <row r="7998">
      <c r="A7998" s="499" t="s">
        <v>3108</v>
      </c>
    </row>
    <row r="7999">
      <c r="A7999" s="499" t="s">
        <v>3173</v>
      </c>
    </row>
    <row r="8000">
      <c r="A8000" s="499" t="s">
        <v>3329</v>
      </c>
    </row>
    <row r="8001">
      <c r="A8001" s="499" t="s">
        <v>3129</v>
      </c>
    </row>
    <row r="8002">
      <c r="A8002" s="499" t="s">
        <v>3395</v>
      </c>
    </row>
    <row r="8003">
      <c r="A8003" s="499" t="s">
        <v>3189</v>
      </c>
    </row>
    <row r="8004">
      <c r="A8004" s="499" t="s">
        <v>13433</v>
      </c>
    </row>
    <row r="8005">
      <c r="A8005" s="499" t="s">
        <v>3216</v>
      </c>
    </row>
    <row r="8006">
      <c r="A8006" s="499" t="s">
        <v>3248</v>
      </c>
    </row>
    <row r="8007">
      <c r="A8007" s="499" t="s">
        <v>3233</v>
      </c>
    </row>
    <row r="8008">
      <c r="A8008" s="499" t="s">
        <v>3236</v>
      </c>
    </row>
    <row r="8009">
      <c r="A8009" s="499" t="s">
        <v>3257</v>
      </c>
    </row>
    <row r="8010">
      <c r="A8010" s="499" t="s">
        <v>3251</v>
      </c>
    </row>
    <row r="8011">
      <c r="A8011" s="499" t="s">
        <v>3254</v>
      </c>
    </row>
    <row r="8012">
      <c r="A8012" s="499" t="s">
        <v>3272</v>
      </c>
    </row>
    <row r="8013">
      <c r="A8013" s="499" t="s">
        <v>3263</v>
      </c>
    </row>
    <row r="8014">
      <c r="A8014" s="499" t="s">
        <v>3407</v>
      </c>
    </row>
    <row r="8015">
      <c r="A8015" s="499" t="s">
        <v>13434</v>
      </c>
    </row>
    <row r="8016">
      <c r="A8016" s="499" t="s">
        <v>3293</v>
      </c>
    </row>
    <row r="8017">
      <c r="A8017" s="499" t="s">
        <v>3287</v>
      </c>
    </row>
    <row r="8018">
      <c r="A8018" s="499" t="s">
        <v>3278</v>
      </c>
    </row>
    <row r="8019">
      <c r="A8019" s="499" t="s">
        <v>3290</v>
      </c>
    </row>
    <row r="8020">
      <c r="A8020" s="499" t="s">
        <v>3281</v>
      </c>
    </row>
    <row r="8021">
      <c r="A8021" s="499" t="s">
        <v>3305</v>
      </c>
    </row>
    <row r="8022">
      <c r="A8022" s="499" t="s">
        <v>3311</v>
      </c>
    </row>
    <row r="8023">
      <c r="A8023" s="499" t="s">
        <v>3341</v>
      </c>
    </row>
    <row r="8024">
      <c r="A8024" s="499" t="s">
        <v>3350</v>
      </c>
    </row>
    <row r="8025">
      <c r="A8025" s="499" t="s">
        <v>3371</v>
      </c>
    </row>
    <row r="8026">
      <c r="A8026" s="499" t="s">
        <v>13435</v>
      </c>
    </row>
    <row r="8027">
      <c r="A8027" s="499" t="s">
        <v>3356</v>
      </c>
    </row>
    <row r="8028">
      <c r="A8028" s="499" t="s">
        <v>3389</v>
      </c>
    </row>
    <row r="8029">
      <c r="A8029" s="499" t="s">
        <v>3392</v>
      </c>
    </row>
    <row r="8030">
      <c r="A8030" s="499" t="s">
        <v>3386</v>
      </c>
    </row>
    <row r="8031">
      <c r="A8031" s="499" t="s">
        <v>3422</v>
      </c>
    </row>
    <row r="8032">
      <c r="A8032" s="499" t="s">
        <v>3401</v>
      </c>
    </row>
    <row r="8033">
      <c r="A8033" s="499" t="s">
        <v>3419</v>
      </c>
    </row>
    <row r="8034">
      <c r="A8034" s="499" t="s">
        <v>3398</v>
      </c>
    </row>
    <row r="8035">
      <c r="A8035" s="499" t="s">
        <v>3416</v>
      </c>
    </row>
    <row r="8036">
      <c r="A8036" s="499" t="s">
        <v>3230</v>
      </c>
    </row>
    <row r="8037">
      <c r="A8037" s="499" t="s">
        <v>13436</v>
      </c>
    </row>
    <row r="8038">
      <c r="A8038" s="499" t="s">
        <v>3239</v>
      </c>
    </row>
    <row r="8039">
      <c r="A8039" s="499" t="s">
        <v>3266</v>
      </c>
    </row>
    <row r="8040">
      <c r="A8040" s="499" t="s">
        <v>3275</v>
      </c>
    </row>
    <row r="8041">
      <c r="A8041" s="499" t="s">
        <v>3284</v>
      </c>
    </row>
    <row r="8042">
      <c r="A8042" s="499" t="s">
        <v>3299</v>
      </c>
    </row>
    <row r="8043">
      <c r="A8043" s="499" t="s">
        <v>3308</v>
      </c>
    </row>
    <row r="8044">
      <c r="A8044" s="499" t="s">
        <v>13437</v>
      </c>
    </row>
    <row r="8045">
      <c r="A8045" s="499" t="s">
        <v>3317</v>
      </c>
    </row>
    <row r="8046">
      <c r="A8046" s="499" t="s">
        <v>3320</v>
      </c>
    </row>
    <row r="8047">
      <c r="A8047" s="499" t="s">
        <v>3344</v>
      </c>
    </row>
    <row r="8048">
      <c r="A8048" s="499" t="s">
        <v>13438</v>
      </c>
    </row>
    <row r="8049">
      <c r="A8049" s="499" t="s">
        <v>3374</v>
      </c>
    </row>
    <row r="8050">
      <c r="A8050" s="499" t="s">
        <v>3404</v>
      </c>
    </row>
    <row r="8051">
      <c r="A8051" s="499" t="s">
        <v>3410</v>
      </c>
    </row>
    <row r="8052">
      <c r="A8052" s="499" t="s">
        <v>3224</v>
      </c>
    </row>
    <row r="8053">
      <c r="A8053" s="499" t="s">
        <v>3383</v>
      </c>
    </row>
    <row r="8054">
      <c r="A8054" s="499" t="s">
        <v>3353</v>
      </c>
    </row>
    <row r="8055">
      <c r="A8055" s="499" t="s">
        <v>3043</v>
      </c>
    </row>
    <row r="8056">
      <c r="A8056" s="499" t="s">
        <v>3049</v>
      </c>
    </row>
    <row r="8057">
      <c r="A8057" s="499" t="s">
        <v>3037</v>
      </c>
    </row>
    <row r="8058">
      <c r="A8058" s="499" t="s">
        <v>3040</v>
      </c>
    </row>
    <row r="8059">
      <c r="A8059" s="499" t="s">
        <v>3478</v>
      </c>
    </row>
    <row r="8060">
      <c r="A8060" s="499" t="s">
        <v>13439</v>
      </c>
    </row>
    <row r="8061">
      <c r="A8061" s="499" t="s">
        <v>3494</v>
      </c>
    </row>
    <row r="8062">
      <c r="A8062" s="499" t="s">
        <v>3500</v>
      </c>
    </row>
    <row r="8063">
      <c r="A8063" s="499" t="s">
        <v>3114</v>
      </c>
    </row>
    <row r="8064">
      <c r="A8064" s="499" t="s">
        <v>3117</v>
      </c>
    </row>
    <row r="8065">
      <c r="A8065" s="499" t="s">
        <v>3120</v>
      </c>
    </row>
    <row r="8066">
      <c r="A8066" s="499" t="s">
        <v>3161</v>
      </c>
    </row>
    <row r="8067">
      <c r="A8067" s="499" t="s">
        <v>3164</v>
      </c>
    </row>
    <row r="8068">
      <c r="A8068" s="499" t="s">
        <v>3466</v>
      </c>
    </row>
    <row r="8069">
      <c r="A8069" s="499" t="s">
        <v>3472</v>
      </c>
    </row>
    <row r="8070">
      <c r="A8070" s="499" t="s">
        <v>3474</v>
      </c>
    </row>
    <row r="8071">
      <c r="A8071" s="499" t="s">
        <v>3477</v>
      </c>
    </row>
    <row r="8072">
      <c r="A8072" s="499" t="s">
        <v>3484</v>
      </c>
    </row>
    <row r="8073">
      <c r="A8073" s="499" t="s">
        <v>3490</v>
      </c>
    </row>
    <row r="8074">
      <c r="A8074" s="499" t="s">
        <v>3493</v>
      </c>
    </row>
    <row r="8075">
      <c r="A8075" s="499" t="s">
        <v>3121</v>
      </c>
    </row>
    <row r="8076">
      <c r="A8076" s="499" t="s">
        <v>3147</v>
      </c>
    </row>
    <row r="8077">
      <c r="A8077" s="499" t="s">
        <v>3469</v>
      </c>
    </row>
    <row r="8078">
      <c r="A8078" s="499" t="s">
        <v>3481</v>
      </c>
    </row>
    <row r="8079">
      <c r="A8079" s="499" t="s">
        <v>3487</v>
      </c>
    </row>
    <row r="8080">
      <c r="A8080" s="499" t="s">
        <v>3497</v>
      </c>
    </row>
    <row r="8081">
      <c r="A8081" s="499" t="s">
        <v>3025</v>
      </c>
    </row>
    <row r="8082">
      <c r="A8082" s="499" t="s">
        <v>3023</v>
      </c>
    </row>
    <row r="8083">
      <c r="A8083" s="499" t="s">
        <v>3153</v>
      </c>
    </row>
    <row r="8084">
      <c r="A8084" s="499" t="s">
        <v>3227</v>
      </c>
    </row>
    <row r="8085">
      <c r="A8085" s="499" t="s">
        <v>3260</v>
      </c>
    </row>
    <row r="8086">
      <c r="A8086" s="499" t="s">
        <v>3069</v>
      </c>
    </row>
    <row r="8087">
      <c r="A8087" s="499" t="s">
        <v>3150</v>
      </c>
    </row>
    <row r="8088">
      <c r="A8088" s="499" t="s">
        <v>3302</v>
      </c>
    </row>
    <row r="8089">
      <c r="A8089" s="499" t="s">
        <v>3221</v>
      </c>
    </row>
    <row r="8090">
      <c r="A8090" s="499" t="s">
        <v>13440</v>
      </c>
    </row>
    <row r="8091">
      <c r="A8091" s="499" t="s">
        <v>3368</v>
      </c>
    </row>
    <row r="8092">
      <c r="A8092" s="499" t="s">
        <v>3359</v>
      </c>
    </row>
    <row r="8093">
      <c r="A8093" s="499" t="s">
        <v>3063</v>
      </c>
    </row>
    <row r="8094">
      <c r="A8094" s="499" t="s">
        <v>3084</v>
      </c>
    </row>
    <row r="8095">
      <c r="A8095" s="499" t="s">
        <v>3066</v>
      </c>
    </row>
    <row r="8096">
      <c r="A8096" s="499" t="s">
        <v>3075</v>
      </c>
    </row>
    <row r="8097">
      <c r="A8097" s="499" t="s">
        <v>3078</v>
      </c>
    </row>
    <row r="8098">
      <c r="A8098" s="499" t="s">
        <v>13441</v>
      </c>
    </row>
    <row r="8099">
      <c r="A8099" s="499" t="s">
        <v>3081</v>
      </c>
    </row>
    <row r="8100">
      <c r="A8100" s="499" t="s">
        <v>3180</v>
      </c>
    </row>
    <row r="8101">
      <c r="A8101" s="499" t="s">
        <v>3177</v>
      </c>
    </row>
    <row r="8102">
      <c r="A8102" s="499" t="s">
        <v>3183</v>
      </c>
    </row>
    <row r="8103">
      <c r="A8103" s="499" t="s">
        <v>3145</v>
      </c>
    </row>
    <row r="8104">
      <c r="A8104" s="499" t="s">
        <v>3072</v>
      </c>
    </row>
    <row r="8105">
      <c r="A8105" s="499" t="s">
        <v>3377</v>
      </c>
    </row>
    <row r="8106">
      <c r="A8106" s="499" t="s">
        <v>3122</v>
      </c>
    </row>
    <row r="8107">
      <c r="A8107" s="499" t="s">
        <v>3143</v>
      </c>
    </row>
    <row r="8108">
      <c r="A8108" s="499" t="s">
        <v>4564</v>
      </c>
    </row>
    <row r="8109">
      <c r="A8109" s="499" t="s">
        <v>13442</v>
      </c>
    </row>
    <row r="8110">
      <c r="A8110" s="499" t="s">
        <v>3505</v>
      </c>
    </row>
    <row r="8111">
      <c r="A8111" s="499" t="s">
        <v>3213</v>
      </c>
    </row>
    <row r="8112">
      <c r="A8112" s="499" t="s">
        <v>3201</v>
      </c>
    </row>
    <row r="8113">
      <c r="A8113" s="499" t="s">
        <v>3204</v>
      </c>
    </row>
    <row r="8114">
      <c r="A8114" s="499" t="s">
        <v>3210</v>
      </c>
    </row>
    <row r="8115">
      <c r="A8115" s="499" t="s">
        <v>3207</v>
      </c>
    </row>
    <row r="8116">
      <c r="A8116" s="499" t="s">
        <v>3198</v>
      </c>
    </row>
    <row r="8117">
      <c r="A8117" s="499" t="s">
        <v>3195</v>
      </c>
    </row>
    <row r="8118">
      <c r="A8118" s="499" t="s">
        <v>3365</v>
      </c>
    </row>
    <row r="8119">
      <c r="A8119" s="499" t="s">
        <v>3347</v>
      </c>
    </row>
    <row r="8120">
      <c r="A8120" s="499" t="s">
        <v>13443</v>
      </c>
    </row>
    <row r="8121">
      <c r="A8121" s="499" t="s">
        <v>3338</v>
      </c>
    </row>
    <row r="8122">
      <c r="A8122" s="499" t="s">
        <v>7126</v>
      </c>
    </row>
    <row r="8123">
      <c r="A8123" s="499" t="s">
        <v>3106</v>
      </c>
    </row>
    <row r="8124">
      <c r="A8124" s="499" t="s">
        <v>13444</v>
      </c>
    </row>
    <row r="8125">
      <c r="A8125" s="499" t="s">
        <v>13445</v>
      </c>
    </row>
    <row r="8126">
      <c r="A8126" s="499" t="s">
        <v>3169</v>
      </c>
    </row>
    <row r="8127">
      <c r="A8127" s="499" t="s">
        <v>13446</v>
      </c>
    </row>
    <row r="8128">
      <c r="A8128" s="499" t="s">
        <v>13447</v>
      </c>
    </row>
    <row r="8129">
      <c r="A8129" s="499" t="s">
        <v>3362</v>
      </c>
    </row>
    <row r="8130">
      <c r="A8130" s="499" t="s">
        <v>13448</v>
      </c>
    </row>
    <row r="8131">
      <c r="A8131" s="499" t="s">
        <v>13449</v>
      </c>
    </row>
    <row r="8132">
      <c r="A8132" s="499" t="s">
        <v>3242</v>
      </c>
    </row>
    <row r="8133">
      <c r="A8133" s="499" t="s">
        <v>3444</v>
      </c>
    </row>
    <row r="8134">
      <c r="A8134" s="499" t="s">
        <v>3447</v>
      </c>
    </row>
    <row r="8135">
      <c r="A8135" s="499" t="s">
        <v>3450</v>
      </c>
    </row>
    <row r="8136">
      <c r="A8136" s="499" t="s">
        <v>3456</v>
      </c>
    </row>
    <row r="8137">
      <c r="A8137" s="499" t="s">
        <v>3453</v>
      </c>
    </row>
    <row r="8138">
      <c r="A8138" s="499" t="s">
        <v>13450</v>
      </c>
    </row>
    <row r="8139">
      <c r="A8139" s="499" t="s">
        <v>13451</v>
      </c>
    </row>
    <row r="8140">
      <c r="A8140" s="499" t="s">
        <v>13452</v>
      </c>
    </row>
    <row r="8141">
      <c r="A8141" s="499" t="s">
        <v>13453</v>
      </c>
    </row>
    <row r="8142">
      <c r="A8142" s="499" t="s">
        <v>3517</v>
      </c>
    </row>
    <row r="8143">
      <c r="A8143" s="499" t="s">
        <v>3508</v>
      </c>
    </row>
    <row r="8144">
      <c r="A8144" s="499" t="s">
        <v>3511</v>
      </c>
    </row>
    <row r="8145">
      <c r="A8145" s="499" t="s">
        <v>3514</v>
      </c>
    </row>
    <row r="8146">
      <c r="A8146" s="499" t="s">
        <v>3525</v>
      </c>
    </row>
    <row r="8147">
      <c r="A8147" s="499" t="s">
        <v>3459</v>
      </c>
    </row>
    <row r="8148">
      <c r="A8148" s="499" t="s">
        <v>13454</v>
      </c>
    </row>
    <row r="8149">
      <c r="A8149" s="499" t="s">
        <v>13455</v>
      </c>
    </row>
    <row r="8150">
      <c r="A8150" s="499" t="s">
        <v>13456</v>
      </c>
    </row>
    <row r="8151">
      <c r="A8151" s="499" t="s">
        <v>3219</v>
      </c>
    </row>
    <row r="8152">
      <c r="A8152" s="499" t="s">
        <v>13457</v>
      </c>
    </row>
    <row r="8153">
      <c r="A8153" s="499" t="s">
        <v>13458</v>
      </c>
    </row>
    <row r="8154">
      <c r="A8154" s="499" t="s">
        <v>3413</v>
      </c>
    </row>
    <row r="8155">
      <c r="A8155" s="499" t="s">
        <v>3245</v>
      </c>
    </row>
    <row r="8156">
      <c r="A8156" s="499" t="s">
        <v>13459</v>
      </c>
    </row>
    <row r="8157">
      <c r="A8157" s="499" t="s">
        <v>13460</v>
      </c>
    </row>
    <row r="8158">
      <c r="A8158" s="499" t="s">
        <v>13461</v>
      </c>
    </row>
    <row r="8159">
      <c r="A8159" s="499" t="s">
        <v>13462</v>
      </c>
    </row>
    <row r="8160">
      <c r="A8160" s="499" t="s">
        <v>3314</v>
      </c>
    </row>
    <row r="8161">
      <c r="A8161" s="499" t="s">
        <v>3323</v>
      </c>
    </row>
    <row r="8162">
      <c r="A8162" s="499" t="s">
        <v>3326</v>
      </c>
    </row>
    <row r="8163">
      <c r="A8163" s="499" t="s">
        <v>3332</v>
      </c>
    </row>
    <row r="8164">
      <c r="A8164" s="499" t="s">
        <v>3269</v>
      </c>
    </row>
    <row r="8165">
      <c r="A8165" s="499" t="s">
        <v>13463</v>
      </c>
    </row>
    <row r="8166">
      <c r="A8166" s="499" t="s">
        <v>13464</v>
      </c>
    </row>
    <row r="8167">
      <c r="A8167" s="499" t="s">
        <v>3192</v>
      </c>
    </row>
    <row r="8168">
      <c r="A8168" s="499" t="s">
        <v>3335</v>
      </c>
    </row>
    <row r="8169">
      <c r="A8169" s="499" t="s">
        <v>3503</v>
      </c>
    </row>
    <row r="8170">
      <c r="A8170" s="499" t="s">
        <v>3135</v>
      </c>
    </row>
    <row r="8171">
      <c r="A8171" s="499" t="s">
        <v>3441</v>
      </c>
    </row>
    <row r="8172">
      <c r="A8172" s="499" t="s">
        <v>3138</v>
      </c>
    </row>
    <row r="8173">
      <c r="A8173" s="499" t="s">
        <v>3380</v>
      </c>
    </row>
    <row r="8174">
      <c r="A8174" s="499" t="s">
        <v>3186</v>
      </c>
    </row>
    <row r="8175">
      <c r="A8175" s="499" t="s">
        <v>3124</v>
      </c>
    </row>
    <row r="8176">
      <c r="A8176" s="499" t="s">
        <v>3111</v>
      </c>
    </row>
    <row r="8177">
      <c r="A8177" s="499" t="s">
        <v>3520</v>
      </c>
    </row>
    <row r="8178">
      <c r="A8178" s="499" t="s">
        <v>3159</v>
      </c>
    </row>
    <row r="8179">
      <c r="A8179" s="499" t="s">
        <v>3462</v>
      </c>
    </row>
    <row r="8180">
      <c r="A8180" s="499" t="s">
        <v>13465</v>
      </c>
    </row>
    <row r="8181">
      <c r="A8181" s="499" t="s">
        <v>13466</v>
      </c>
    </row>
    <row r="8182">
      <c r="A8182" s="499" t="s">
        <v>3046</v>
      </c>
    </row>
    <row r="8183">
      <c r="A8183" s="499" t="s">
        <v>13467</v>
      </c>
    </row>
    <row r="8184">
      <c r="A8184" s="499" t="s">
        <v>13468</v>
      </c>
    </row>
    <row r="8185">
      <c r="A8185" s="499" t="s">
        <v>13469</v>
      </c>
    </row>
    <row r="8186">
      <c r="A8186" s="499" t="s">
        <v>13470</v>
      </c>
    </row>
    <row r="8187">
      <c r="A8187" s="499" t="s">
        <v>3528</v>
      </c>
    </row>
    <row r="8188">
      <c r="A8188" s="499" t="s">
        <v>3428</v>
      </c>
    </row>
    <row r="8189">
      <c r="A8189" s="499" t="s">
        <v>3096</v>
      </c>
    </row>
    <row r="8190">
      <c r="A8190" s="499" t="s">
        <v>3087</v>
      </c>
    </row>
    <row r="8191">
      <c r="A8191" s="499" t="s">
        <v>3090</v>
      </c>
    </row>
    <row r="8192">
      <c r="A8192" s="499" t="s">
        <v>3093</v>
      </c>
    </row>
    <row r="8193">
      <c r="A8193" s="499" t="s">
        <v>3101</v>
      </c>
    </row>
    <row r="8194">
      <c r="A8194" s="499" t="s">
        <v>3104</v>
      </c>
    </row>
    <row r="8195">
      <c r="A8195" s="499" t="s">
        <v>13471</v>
      </c>
    </row>
    <row r="8196">
      <c r="A8196" s="499" t="s">
        <v>3027</v>
      </c>
    </row>
    <row r="8197">
      <c r="A8197" s="499" t="s">
        <v>13472</v>
      </c>
    </row>
    <row r="8198">
      <c r="A8198" s="499" t="s">
        <v>13473</v>
      </c>
    </row>
    <row r="8199">
      <c r="A8199" s="499" t="s">
        <v>13474</v>
      </c>
    </row>
    <row r="8200">
      <c r="A8200" s="499" t="s">
        <v>13475</v>
      </c>
    </row>
    <row r="8201">
      <c r="A8201" s="499" t="s">
        <v>13476</v>
      </c>
    </row>
    <row r="8202">
      <c r="A8202" s="499" t="s">
        <v>3540</v>
      </c>
    </row>
    <row r="8203">
      <c r="A8203" s="499" t="s">
        <v>3534</v>
      </c>
    </row>
    <row r="8204">
      <c r="A8204" s="499" t="s">
        <v>3537</v>
      </c>
    </row>
    <row r="8205">
      <c r="A8205" s="499" t="s">
        <v>3531</v>
      </c>
    </row>
    <row r="8206">
      <c r="A8206" s="499" t="s">
        <v>13477</v>
      </c>
    </row>
    <row r="8207">
      <c r="A8207" s="499" t="s">
        <v>3141</v>
      </c>
    </row>
    <row r="8208">
      <c r="A8208" s="499" t="s">
        <v>3171</v>
      </c>
    </row>
    <row r="8209">
      <c r="A8209" s="499" t="s">
        <v>3175</v>
      </c>
    </row>
    <row r="8210">
      <c r="A8210" s="499" t="s">
        <v>3438</v>
      </c>
    </row>
    <row r="8211">
      <c r="A8211" s="499" t="s">
        <v>13478</v>
      </c>
    </row>
    <row r="8212">
      <c r="A8212" s="499" t="s">
        <v>3433</v>
      </c>
    </row>
    <row r="8213">
      <c r="A8213" s="499" t="s">
        <v>13479</v>
      </c>
    </row>
    <row r="8214">
      <c r="A8214" s="499" t="s">
        <v>13480</v>
      </c>
    </row>
    <row r="8215">
      <c r="A8215" s="499" t="s">
        <v>13481</v>
      </c>
    </row>
    <row r="8216">
      <c r="A8216" s="499" t="s">
        <v>13482</v>
      </c>
    </row>
    <row r="8217">
      <c r="A8217" s="499" t="s">
        <v>13483</v>
      </c>
    </row>
    <row r="8218">
      <c r="A8218" s="499" t="s">
        <v>13484</v>
      </c>
    </row>
    <row r="8219">
      <c r="A8219" s="499" t="s">
        <v>13485</v>
      </c>
    </row>
    <row r="8220">
      <c r="A8220" s="499" t="s">
        <v>3099</v>
      </c>
    </row>
    <row r="8221">
      <c r="A8221" s="499" t="s">
        <v>13486</v>
      </c>
    </row>
    <row r="8222">
      <c r="A8222" s="499" t="s">
        <v>13487</v>
      </c>
    </row>
    <row r="8223">
      <c r="A8223" s="499" t="s">
        <v>13488</v>
      </c>
    </row>
    <row r="8224">
      <c r="A8224" s="499" t="s">
        <v>13489</v>
      </c>
    </row>
    <row r="8225">
      <c r="A8225" s="499" t="s">
        <v>13490</v>
      </c>
    </row>
    <row r="8226">
      <c r="A8226" s="499" t="s">
        <v>13491</v>
      </c>
    </row>
    <row r="8227">
      <c r="A8227" s="499" t="s">
        <v>13492</v>
      </c>
    </row>
    <row r="8228">
      <c r="A8228" s="499" t="s">
        <v>13493</v>
      </c>
    </row>
    <row r="8229">
      <c r="A8229" s="499" t="s">
        <v>13494</v>
      </c>
    </row>
    <row r="8230">
      <c r="A8230" s="499" t="s">
        <v>13495</v>
      </c>
    </row>
    <row r="8231">
      <c r="A8231" s="499" t="s">
        <v>13496</v>
      </c>
    </row>
    <row r="8232">
      <c r="A8232" s="499" t="s">
        <v>13497</v>
      </c>
    </row>
    <row r="8233">
      <c r="A8233" s="499" t="s">
        <v>13498</v>
      </c>
    </row>
    <row r="8234">
      <c r="A8234" s="499" t="s">
        <v>13499</v>
      </c>
    </row>
    <row r="8235">
      <c r="A8235" s="499" t="s">
        <v>13500</v>
      </c>
    </row>
    <row r="8236">
      <c r="A8236" s="499" t="s">
        <v>13501</v>
      </c>
    </row>
    <row r="8237">
      <c r="A8237" s="499" t="s">
        <v>3543</v>
      </c>
    </row>
    <row r="8238">
      <c r="A8238" s="499" t="s">
        <v>3549</v>
      </c>
    </row>
    <row r="8239">
      <c r="A8239" s="499" t="s">
        <v>13502</v>
      </c>
    </row>
    <row r="8240">
      <c r="A8240" s="499" t="s">
        <v>13503</v>
      </c>
    </row>
    <row r="8241">
      <c r="A8241" s="499" t="s">
        <v>13504</v>
      </c>
    </row>
    <row r="8242">
      <c r="A8242" s="499" t="s">
        <v>13505</v>
      </c>
    </row>
    <row r="8243">
      <c r="A8243" s="499" t="s">
        <v>13506</v>
      </c>
    </row>
    <row r="8244">
      <c r="A8244" s="499" t="s">
        <v>13507</v>
      </c>
    </row>
    <row r="8245">
      <c r="A8245" s="499" t="s">
        <v>13508</v>
      </c>
    </row>
    <row r="8246">
      <c r="A8246" s="499" t="s">
        <v>3560</v>
      </c>
    </row>
    <row r="8247">
      <c r="A8247" s="499" t="s">
        <v>3562</v>
      </c>
    </row>
    <row r="8248">
      <c r="A8248" s="499" t="s">
        <v>3564</v>
      </c>
    </row>
    <row r="8249">
      <c r="A8249" s="499" t="s">
        <v>3566</v>
      </c>
    </row>
    <row r="8250">
      <c r="A8250" s="499" t="s">
        <v>3568</v>
      </c>
    </row>
    <row r="8251">
      <c r="A8251" s="499" t="s">
        <v>3570</v>
      </c>
    </row>
    <row r="8252">
      <c r="A8252" s="499" t="s">
        <v>3573</v>
      </c>
    </row>
    <row r="8253">
      <c r="A8253" s="499" t="s">
        <v>3575</v>
      </c>
    </row>
    <row r="8254">
      <c r="A8254" s="499" t="s">
        <v>3156</v>
      </c>
    </row>
    <row r="8255">
      <c r="A8255" s="499" t="s">
        <v>3578</v>
      </c>
    </row>
    <row r="8256">
      <c r="A8256" s="499" t="s">
        <v>13509</v>
      </c>
    </row>
    <row r="8257">
      <c r="A8257" s="499" t="s">
        <v>13510</v>
      </c>
    </row>
    <row r="8258">
      <c r="A8258" s="499" t="s">
        <v>13511</v>
      </c>
    </row>
    <row r="8259">
      <c r="A8259" s="499" t="s">
        <v>13512</v>
      </c>
    </row>
    <row r="8260">
      <c r="A8260" s="499" t="s">
        <v>13513</v>
      </c>
    </row>
    <row r="8261">
      <c r="A8261" s="499" t="s">
        <v>13514</v>
      </c>
    </row>
    <row r="8262">
      <c r="A8262" s="499" t="s">
        <v>13515</v>
      </c>
    </row>
    <row r="8263">
      <c r="A8263" s="499" t="s">
        <v>13516</v>
      </c>
    </row>
    <row r="8264">
      <c r="A8264" s="499" t="s">
        <v>13517</v>
      </c>
    </row>
    <row r="8265">
      <c r="A8265" s="499" t="s">
        <v>13518</v>
      </c>
    </row>
    <row r="8266">
      <c r="A8266" s="499" t="s">
        <v>13519</v>
      </c>
    </row>
    <row r="8267">
      <c r="A8267" s="499" t="s">
        <v>13520</v>
      </c>
    </row>
    <row r="8268">
      <c r="A8268" s="499" t="s">
        <v>13521</v>
      </c>
    </row>
    <row r="8269">
      <c r="A8269" s="499" t="s">
        <v>13522</v>
      </c>
    </row>
    <row r="8270">
      <c r="A8270" s="499" t="s">
        <v>13523</v>
      </c>
    </row>
    <row r="8271">
      <c r="A8271" s="499" t="s">
        <v>13524</v>
      </c>
    </row>
    <row r="8272">
      <c r="A8272" s="499" t="s">
        <v>13525</v>
      </c>
    </row>
    <row r="8273">
      <c r="A8273" s="499" t="s">
        <v>13526</v>
      </c>
    </row>
    <row r="8274">
      <c r="A8274" s="499" t="s">
        <v>13527</v>
      </c>
    </row>
    <row r="8275">
      <c r="A8275" s="499" t="s">
        <v>13528</v>
      </c>
    </row>
    <row r="8276">
      <c r="A8276" s="499" t="s">
        <v>13529</v>
      </c>
    </row>
    <row r="8277">
      <c r="A8277" s="499" t="s">
        <v>13530</v>
      </c>
    </row>
    <row r="8278">
      <c r="A8278" s="499" t="s">
        <v>13531</v>
      </c>
    </row>
    <row r="8279">
      <c r="A8279" s="499" t="s">
        <v>13532</v>
      </c>
    </row>
    <row r="8280">
      <c r="A8280" s="499" t="s">
        <v>13533</v>
      </c>
    </row>
    <row r="8281">
      <c r="A8281" s="499" t="s">
        <v>13534</v>
      </c>
    </row>
    <row r="8282">
      <c r="A8282" s="499" t="s">
        <v>13535</v>
      </c>
    </row>
    <row r="8283">
      <c r="A8283" s="499" t="s">
        <v>13536</v>
      </c>
    </row>
    <row r="8284">
      <c r="A8284" s="499" t="s">
        <v>13537</v>
      </c>
    </row>
    <row r="8285">
      <c r="A8285" s="499" t="s">
        <v>13538</v>
      </c>
    </row>
    <row r="8286">
      <c r="A8286" s="499" t="s">
        <v>13539</v>
      </c>
    </row>
    <row r="8287">
      <c r="A8287" s="499" t="s">
        <v>13540</v>
      </c>
    </row>
    <row r="8288">
      <c r="A8288" s="499" t="s">
        <v>13541</v>
      </c>
    </row>
    <row r="8289">
      <c r="A8289" s="499" t="s">
        <v>13542</v>
      </c>
    </row>
    <row r="8290">
      <c r="A8290" s="499" t="s">
        <v>13543</v>
      </c>
    </row>
    <row r="8291">
      <c r="A8291" s="499" t="s">
        <v>13544</v>
      </c>
    </row>
    <row r="8292">
      <c r="A8292" s="499" t="s">
        <v>13545</v>
      </c>
    </row>
    <row r="8293">
      <c r="A8293" s="499" t="s">
        <v>13546</v>
      </c>
    </row>
    <row r="8294">
      <c r="A8294" s="499" t="s">
        <v>13547</v>
      </c>
    </row>
    <row r="8295">
      <c r="A8295" s="499" t="s">
        <v>13548</v>
      </c>
    </row>
    <row r="8296">
      <c r="A8296" s="499" t="s">
        <v>13549</v>
      </c>
    </row>
    <row r="8297">
      <c r="A8297" s="499" t="s">
        <v>13550</v>
      </c>
    </row>
    <row r="8298">
      <c r="A8298" s="499" t="s">
        <v>13551</v>
      </c>
    </row>
    <row r="8299">
      <c r="A8299" s="499" t="s">
        <v>13552</v>
      </c>
    </row>
    <row r="8300">
      <c r="A8300" s="499" t="s">
        <v>13553</v>
      </c>
    </row>
    <row r="8301">
      <c r="A8301" s="499" t="s">
        <v>13554</v>
      </c>
    </row>
    <row r="8302">
      <c r="A8302" s="499" t="s">
        <v>13555</v>
      </c>
    </row>
    <row r="8303">
      <c r="A8303" s="499" t="s">
        <v>13556</v>
      </c>
    </row>
    <row r="8304">
      <c r="A8304" s="499" t="s">
        <v>13557</v>
      </c>
    </row>
    <row r="8305">
      <c r="A8305" s="499" t="s">
        <v>13558</v>
      </c>
    </row>
    <row r="8306">
      <c r="A8306" s="499" t="s">
        <v>13559</v>
      </c>
    </row>
    <row r="8307">
      <c r="A8307" s="499" t="s">
        <v>13560</v>
      </c>
    </row>
    <row r="8308">
      <c r="A8308" s="499" t="s">
        <v>13561</v>
      </c>
    </row>
    <row r="8309">
      <c r="A8309" s="499" t="s">
        <v>13562</v>
      </c>
    </row>
    <row r="8310">
      <c r="A8310" s="499" t="s">
        <v>13563</v>
      </c>
    </row>
    <row r="8311">
      <c r="A8311" s="499" t="s">
        <v>13564</v>
      </c>
    </row>
    <row r="8312">
      <c r="A8312" s="499" t="s">
        <v>13565</v>
      </c>
    </row>
    <row r="8313">
      <c r="A8313" s="499" t="s">
        <v>13566</v>
      </c>
    </row>
    <row r="8314">
      <c r="A8314" s="499" t="s">
        <v>13567</v>
      </c>
    </row>
    <row r="8315">
      <c r="A8315" s="499" t="s">
        <v>13568</v>
      </c>
    </row>
    <row r="8316">
      <c r="A8316" s="499" t="s">
        <v>13569</v>
      </c>
    </row>
    <row r="8317">
      <c r="A8317" s="499" t="s">
        <v>13570</v>
      </c>
    </row>
    <row r="8318">
      <c r="A8318" s="499" t="s">
        <v>13571</v>
      </c>
    </row>
    <row r="8319">
      <c r="A8319" s="499" t="s">
        <v>13572</v>
      </c>
    </row>
    <row r="8320">
      <c r="A8320" s="499" t="s">
        <v>13573</v>
      </c>
    </row>
    <row r="8321">
      <c r="A8321" s="499" t="s">
        <v>13574</v>
      </c>
    </row>
    <row r="8322">
      <c r="A8322" s="499" t="s">
        <v>13575</v>
      </c>
    </row>
    <row r="8323">
      <c r="A8323" s="499" t="s">
        <v>13576</v>
      </c>
    </row>
    <row r="8324">
      <c r="A8324" s="499" t="s">
        <v>13577</v>
      </c>
    </row>
    <row r="8325">
      <c r="A8325" s="499" t="s">
        <v>13578</v>
      </c>
    </row>
    <row r="8326">
      <c r="A8326" s="499" t="s">
        <v>13579</v>
      </c>
    </row>
    <row r="8327">
      <c r="A8327" s="499" t="s">
        <v>13580</v>
      </c>
    </row>
    <row r="8328">
      <c r="A8328" s="499" t="s">
        <v>13581</v>
      </c>
    </row>
    <row r="8329">
      <c r="A8329" s="499" t="s">
        <v>13582</v>
      </c>
    </row>
    <row r="8330">
      <c r="A8330" s="499" t="s">
        <v>13583</v>
      </c>
    </row>
    <row r="8331">
      <c r="A8331" s="499" t="s">
        <v>13584</v>
      </c>
    </row>
    <row r="8332">
      <c r="A8332" s="499" t="s">
        <v>13585</v>
      </c>
    </row>
    <row r="8333">
      <c r="A8333" s="499" t="s">
        <v>13586</v>
      </c>
    </row>
    <row r="8334">
      <c r="A8334" s="499" t="s">
        <v>13587</v>
      </c>
    </row>
    <row r="8335">
      <c r="A8335" s="499" t="s">
        <v>13588</v>
      </c>
    </row>
    <row r="8336">
      <c r="A8336" s="499" t="s">
        <v>13589</v>
      </c>
    </row>
    <row r="8337">
      <c r="A8337" s="499" t="s">
        <v>13590</v>
      </c>
    </row>
    <row r="8338">
      <c r="A8338" s="499" t="s">
        <v>13591</v>
      </c>
    </row>
    <row r="8339">
      <c r="A8339" s="499" t="s">
        <v>13592</v>
      </c>
    </row>
    <row r="8340">
      <c r="A8340" s="499" t="s">
        <v>13593</v>
      </c>
    </row>
    <row r="8341">
      <c r="A8341" s="499" t="s">
        <v>13594</v>
      </c>
    </row>
    <row r="8342">
      <c r="A8342" s="499" t="s">
        <v>13595</v>
      </c>
    </row>
    <row r="8343">
      <c r="A8343" s="499" t="s">
        <v>3596</v>
      </c>
    </row>
    <row r="8344">
      <c r="A8344" s="499" t="s">
        <v>3593</v>
      </c>
    </row>
    <row r="8345">
      <c r="A8345" s="499" t="s">
        <v>3588</v>
      </c>
    </row>
    <row r="8346">
      <c r="A8346" s="499" t="s">
        <v>3590</v>
      </c>
    </row>
    <row r="8347">
      <c r="A8347" s="499" t="s">
        <v>3586</v>
      </c>
    </row>
    <row r="8348">
      <c r="A8348" s="499" t="s">
        <v>13596</v>
      </c>
    </row>
    <row r="8349">
      <c r="A8349" s="499" t="s">
        <v>3598</v>
      </c>
    </row>
    <row r="8350">
      <c r="A8350" s="499" t="s">
        <v>13597</v>
      </c>
    </row>
    <row r="8351">
      <c r="A8351" s="499" t="s">
        <v>13598</v>
      </c>
    </row>
    <row r="8352">
      <c r="A8352" s="499" t="s">
        <v>13599</v>
      </c>
    </row>
    <row r="8353">
      <c r="A8353" s="499" t="s">
        <v>13600</v>
      </c>
    </row>
    <row r="8354">
      <c r="A8354" s="499" t="s">
        <v>13601</v>
      </c>
    </row>
    <row r="8355">
      <c r="A8355" s="499" t="s">
        <v>13602</v>
      </c>
    </row>
    <row r="8356">
      <c r="A8356" s="499" t="s">
        <v>13603</v>
      </c>
    </row>
    <row r="8357">
      <c r="A8357" s="499" t="s">
        <v>13604</v>
      </c>
    </row>
    <row r="8358">
      <c r="A8358" s="499" t="s">
        <v>13605</v>
      </c>
    </row>
    <row r="8359">
      <c r="A8359" s="499" t="s">
        <v>13606</v>
      </c>
    </row>
    <row r="8360">
      <c r="A8360" s="499" t="s">
        <v>13607</v>
      </c>
    </row>
    <row r="8361">
      <c r="A8361" s="499" t="s">
        <v>13608</v>
      </c>
    </row>
    <row r="8362">
      <c r="A8362" s="499" t="s">
        <v>13609</v>
      </c>
    </row>
    <row r="8363">
      <c r="A8363" s="499" t="s">
        <v>13610</v>
      </c>
    </row>
    <row r="8364">
      <c r="A8364" s="499" t="s">
        <v>13611</v>
      </c>
    </row>
    <row r="8365">
      <c r="A8365" s="499" t="s">
        <v>3626</v>
      </c>
    </row>
    <row r="8366">
      <c r="A8366" s="499" t="s">
        <v>3628</v>
      </c>
    </row>
    <row r="8367">
      <c r="A8367" s="499" t="s">
        <v>3630</v>
      </c>
    </row>
    <row r="8368">
      <c r="A8368" s="499" t="s">
        <v>3632</v>
      </c>
    </row>
    <row r="8369">
      <c r="A8369" s="499" t="s">
        <v>3634</v>
      </c>
    </row>
    <row r="8370">
      <c r="A8370" s="499" t="s">
        <v>3636</v>
      </c>
    </row>
    <row r="8371">
      <c r="A8371" s="499" t="s">
        <v>3641</v>
      </c>
    </row>
    <row r="8372">
      <c r="A8372" s="499" t="s">
        <v>3644</v>
      </c>
    </row>
    <row r="8373">
      <c r="A8373" s="499" t="s">
        <v>3638</v>
      </c>
    </row>
    <row r="8374">
      <c r="A8374" s="499" t="s">
        <v>13612</v>
      </c>
    </row>
    <row r="8375">
      <c r="A8375" s="499" t="s">
        <v>3167</v>
      </c>
    </row>
    <row r="8376">
      <c r="A8376" s="499" t="s">
        <v>13613</v>
      </c>
    </row>
    <row r="8377">
      <c r="A8377" s="499" t="s">
        <v>13614</v>
      </c>
    </row>
    <row r="8378">
      <c r="A8378" s="499" t="s">
        <v>13615</v>
      </c>
    </row>
    <row r="8379">
      <c r="A8379" s="499" t="s">
        <v>13616</v>
      </c>
    </row>
    <row r="8380">
      <c r="A8380" s="499" t="s">
        <v>13617</v>
      </c>
    </row>
    <row r="8381">
      <c r="A8381" s="499" t="s">
        <v>13618</v>
      </c>
    </row>
    <row r="8382">
      <c r="A8382" s="499" t="s">
        <v>13619</v>
      </c>
    </row>
    <row r="8383">
      <c r="A8383" s="499" t="s">
        <v>13620</v>
      </c>
    </row>
    <row r="8384">
      <c r="A8384" s="499" t="s">
        <v>13621</v>
      </c>
    </row>
    <row r="8385">
      <c r="A8385" s="499" t="s">
        <v>13622</v>
      </c>
    </row>
    <row r="8386">
      <c r="A8386" s="499" t="s">
        <v>13623</v>
      </c>
    </row>
    <row r="8387">
      <c r="A8387" s="499" t="s">
        <v>13624</v>
      </c>
    </row>
    <row r="8388">
      <c r="A8388" s="499" t="s">
        <v>13625</v>
      </c>
    </row>
    <row r="8389">
      <c r="A8389" s="499" t="s">
        <v>13626</v>
      </c>
    </row>
    <row r="8390">
      <c r="A8390" s="499" t="s">
        <v>13627</v>
      </c>
    </row>
    <row r="8391">
      <c r="A8391" s="499" t="s">
        <v>13628</v>
      </c>
    </row>
    <row r="8392">
      <c r="A8392" s="499" t="s">
        <v>13629</v>
      </c>
    </row>
    <row r="8393">
      <c r="A8393" s="499" t="s">
        <v>13630</v>
      </c>
    </row>
    <row r="8394">
      <c r="A8394" s="499" t="s">
        <v>13631</v>
      </c>
    </row>
    <row r="8395">
      <c r="A8395" s="499" t="s">
        <v>13632</v>
      </c>
    </row>
    <row r="8396">
      <c r="A8396" s="499" t="s">
        <v>13633</v>
      </c>
    </row>
    <row r="8397">
      <c r="A8397" s="499" t="s">
        <v>13634</v>
      </c>
    </row>
    <row r="8398">
      <c r="A8398" s="499" t="s">
        <v>13635</v>
      </c>
    </row>
    <row r="8399">
      <c r="A8399" s="499" t="s">
        <v>13636</v>
      </c>
    </row>
    <row r="8400">
      <c r="A8400" s="499" t="s">
        <v>13637</v>
      </c>
    </row>
    <row r="8401">
      <c r="A8401" s="499" t="s">
        <v>13638</v>
      </c>
    </row>
    <row r="8402">
      <c r="A8402" s="499" t="s">
        <v>13639</v>
      </c>
    </row>
    <row r="8403">
      <c r="A8403" s="499" t="s">
        <v>13640</v>
      </c>
    </row>
    <row r="8404">
      <c r="A8404" s="499" t="s">
        <v>13641</v>
      </c>
    </row>
    <row r="8405">
      <c r="A8405" s="499" t="s">
        <v>13642</v>
      </c>
    </row>
    <row r="8406">
      <c r="A8406" s="499" t="s">
        <v>13643</v>
      </c>
    </row>
    <row r="8407">
      <c r="A8407" s="499" t="s">
        <v>13644</v>
      </c>
    </row>
    <row r="8408">
      <c r="A8408" s="499" t="s">
        <v>13645</v>
      </c>
    </row>
    <row r="8409">
      <c r="A8409" s="499" t="s">
        <v>13646</v>
      </c>
    </row>
    <row r="8410">
      <c r="A8410" s="499" t="s">
        <v>13647</v>
      </c>
    </row>
    <row r="8411">
      <c r="A8411" s="499" t="s">
        <v>13648</v>
      </c>
    </row>
    <row r="8412">
      <c r="A8412" s="499" t="s">
        <v>13649</v>
      </c>
    </row>
    <row r="8413">
      <c r="A8413" s="499" t="s">
        <v>13650</v>
      </c>
    </row>
    <row r="8414">
      <c r="A8414" s="499" t="s">
        <v>13651</v>
      </c>
    </row>
    <row r="8415">
      <c r="A8415" s="499" t="s">
        <v>3551</v>
      </c>
    </row>
    <row r="8416">
      <c r="A8416" s="499" t="s">
        <v>13652</v>
      </c>
    </row>
    <row r="8417">
      <c r="A8417" s="499" t="s">
        <v>13653</v>
      </c>
    </row>
    <row r="8418">
      <c r="A8418" s="499" t="s">
        <v>13654</v>
      </c>
    </row>
    <row r="8419">
      <c r="A8419" s="499" t="s">
        <v>13655</v>
      </c>
    </row>
    <row r="8420">
      <c r="A8420" s="499" t="s">
        <v>13656</v>
      </c>
    </row>
    <row r="8421">
      <c r="A8421" s="499" t="s">
        <v>13657</v>
      </c>
    </row>
    <row r="8422">
      <c r="A8422" s="499" t="s">
        <v>13658</v>
      </c>
    </row>
    <row r="8423">
      <c r="A8423" s="499" t="s">
        <v>13659</v>
      </c>
    </row>
    <row r="8424">
      <c r="A8424" s="499" t="s">
        <v>13660</v>
      </c>
    </row>
    <row r="8425">
      <c r="A8425" s="499" t="s">
        <v>13661</v>
      </c>
    </row>
    <row r="8426">
      <c r="A8426" s="499" t="s">
        <v>13662</v>
      </c>
    </row>
    <row r="8427">
      <c r="A8427" s="499" t="s">
        <v>13663</v>
      </c>
    </row>
    <row r="8428">
      <c r="A8428" s="499" t="s">
        <v>13664</v>
      </c>
    </row>
    <row r="8429">
      <c r="A8429" s="499" t="s">
        <v>3558</v>
      </c>
    </row>
    <row r="8430">
      <c r="A8430" s="499" t="s">
        <v>13665</v>
      </c>
    </row>
    <row r="8431">
      <c r="A8431" s="499" t="s">
        <v>13666</v>
      </c>
    </row>
    <row r="8432">
      <c r="A8432" s="499" t="s">
        <v>13667</v>
      </c>
    </row>
    <row r="8433">
      <c r="A8433" s="499" t="s">
        <v>13668</v>
      </c>
    </row>
    <row r="8434">
      <c r="A8434" s="499" t="s">
        <v>3556</v>
      </c>
    </row>
    <row r="8435">
      <c r="A8435" s="499" t="s">
        <v>13669</v>
      </c>
    </row>
    <row r="8436">
      <c r="A8436" s="499" t="s">
        <v>13670</v>
      </c>
    </row>
    <row r="8437">
      <c r="A8437" s="499" t="s">
        <v>13671</v>
      </c>
    </row>
    <row r="8438">
      <c r="A8438" s="499" t="s">
        <v>13672</v>
      </c>
    </row>
    <row r="8439">
      <c r="A8439" s="499" t="s">
        <v>13673</v>
      </c>
    </row>
    <row r="8440">
      <c r="A8440" s="499" t="s">
        <v>13674</v>
      </c>
    </row>
    <row r="8441">
      <c r="A8441" s="499" t="s">
        <v>13675</v>
      </c>
    </row>
    <row r="8442">
      <c r="A8442" s="499" t="s">
        <v>13676</v>
      </c>
    </row>
    <row r="8443">
      <c r="A8443" s="499" t="s">
        <v>3603</v>
      </c>
    </row>
    <row r="8444">
      <c r="A8444" s="499" t="s">
        <v>3606</v>
      </c>
    </row>
    <row r="8445">
      <c r="A8445" s="499" t="s">
        <v>13677</v>
      </c>
    </row>
    <row r="8446">
      <c r="A8446" s="499" t="s">
        <v>3609</v>
      </c>
    </row>
    <row r="8447">
      <c r="A8447" s="499" t="s">
        <v>3612</v>
      </c>
    </row>
    <row r="8448">
      <c r="A8448" s="499" t="s">
        <v>13678</v>
      </c>
    </row>
    <row r="8449">
      <c r="A8449" s="499" t="s">
        <v>13679</v>
      </c>
    </row>
    <row r="8450">
      <c r="A8450" s="499" t="s">
        <v>3615</v>
      </c>
    </row>
    <row r="8451">
      <c r="A8451" s="499" t="s">
        <v>3618</v>
      </c>
    </row>
    <row r="8452">
      <c r="A8452" s="499" t="s">
        <v>3601</v>
      </c>
    </row>
    <row r="8453">
      <c r="A8453" s="499" t="s">
        <v>13680</v>
      </c>
    </row>
    <row r="8454">
      <c r="A8454" s="499" t="s">
        <v>13681</v>
      </c>
    </row>
    <row r="8455">
      <c r="A8455" s="499" t="s">
        <v>13682</v>
      </c>
    </row>
    <row r="8456">
      <c r="A8456" s="499" t="s">
        <v>4013</v>
      </c>
    </row>
    <row r="8457">
      <c r="A8457" s="499" t="s">
        <v>13683</v>
      </c>
    </row>
    <row r="8458">
      <c r="A8458" s="499" t="s">
        <v>13684</v>
      </c>
    </row>
    <row r="8459">
      <c r="A8459" s="499" t="s">
        <v>13685</v>
      </c>
    </row>
    <row r="8460">
      <c r="A8460" s="499" t="s">
        <v>13686</v>
      </c>
    </row>
    <row r="8461">
      <c r="A8461" s="499" t="s">
        <v>13687</v>
      </c>
    </row>
    <row r="8462">
      <c r="A8462" s="499" t="s">
        <v>13688</v>
      </c>
    </row>
    <row r="8463">
      <c r="A8463" s="499" t="s">
        <v>13689</v>
      </c>
    </row>
    <row r="8464">
      <c r="A8464" s="499" t="s">
        <v>13690</v>
      </c>
    </row>
    <row r="8465">
      <c r="A8465" s="499" t="s">
        <v>13691</v>
      </c>
    </row>
    <row r="8466">
      <c r="A8466" s="499" t="s">
        <v>13692</v>
      </c>
    </row>
    <row r="8467">
      <c r="A8467" s="499" t="s">
        <v>13693</v>
      </c>
    </row>
    <row r="8468">
      <c r="A8468" s="499" t="s">
        <v>13694</v>
      </c>
    </row>
    <row r="8469">
      <c r="A8469" s="499" t="s">
        <v>13695</v>
      </c>
    </row>
    <row r="8470">
      <c r="A8470" s="499" t="s">
        <v>13696</v>
      </c>
    </row>
    <row r="8471">
      <c r="A8471" s="499" t="s">
        <v>13697</v>
      </c>
    </row>
    <row r="8472">
      <c r="A8472" s="499" t="s">
        <v>13698</v>
      </c>
    </row>
    <row r="8473">
      <c r="A8473" s="499" t="s">
        <v>13699</v>
      </c>
    </row>
    <row r="8474">
      <c r="A8474" s="499" t="s">
        <v>13700</v>
      </c>
    </row>
    <row r="8475">
      <c r="A8475" s="499" t="s">
        <v>13701</v>
      </c>
    </row>
    <row r="8476">
      <c r="A8476" s="499" t="s">
        <v>13702</v>
      </c>
    </row>
    <row r="8477">
      <c r="A8477" s="499" t="s">
        <v>13703</v>
      </c>
    </row>
    <row r="8478">
      <c r="A8478" s="499" t="s">
        <v>13704</v>
      </c>
    </row>
    <row r="8479">
      <c r="A8479" s="499" t="s">
        <v>13705</v>
      </c>
    </row>
    <row r="8480">
      <c r="A8480" s="499" t="s">
        <v>13706</v>
      </c>
    </row>
    <row r="8481">
      <c r="A8481" s="499" t="s">
        <v>13707</v>
      </c>
    </row>
    <row r="8482">
      <c r="A8482" s="499" t="s">
        <v>13708</v>
      </c>
    </row>
    <row r="8483">
      <c r="A8483" s="499" t="s">
        <v>13709</v>
      </c>
    </row>
    <row r="8484">
      <c r="A8484" s="499" t="s">
        <v>13710</v>
      </c>
    </row>
    <row r="8485">
      <c r="A8485" s="499" t="s">
        <v>13711</v>
      </c>
    </row>
    <row r="8486">
      <c r="A8486" s="499" t="s">
        <v>13712</v>
      </c>
    </row>
    <row r="8487">
      <c r="A8487" s="499" t="s">
        <v>13713</v>
      </c>
    </row>
    <row r="8488">
      <c r="A8488" s="499" t="s">
        <v>13714</v>
      </c>
    </row>
    <row r="8489">
      <c r="A8489" s="499" t="s">
        <v>13715</v>
      </c>
    </row>
    <row r="8490">
      <c r="A8490" s="499" t="s">
        <v>13716</v>
      </c>
    </row>
    <row r="8491">
      <c r="A8491" s="499" t="s">
        <v>13717</v>
      </c>
    </row>
    <row r="8492">
      <c r="A8492" s="499" t="s">
        <v>13718</v>
      </c>
    </row>
    <row r="8493">
      <c r="A8493" s="499" t="s">
        <v>13719</v>
      </c>
    </row>
    <row r="8494">
      <c r="A8494" s="499" t="s">
        <v>13720</v>
      </c>
    </row>
    <row r="8495">
      <c r="A8495" s="499" t="s">
        <v>13721</v>
      </c>
    </row>
    <row r="8496">
      <c r="A8496" s="499" t="s">
        <v>13722</v>
      </c>
    </row>
    <row r="8497">
      <c r="A8497" s="499" t="s">
        <v>13723</v>
      </c>
    </row>
    <row r="8498">
      <c r="A8498" s="499" t="s">
        <v>13724</v>
      </c>
    </row>
    <row r="8499">
      <c r="A8499" s="499" t="s">
        <v>13725</v>
      </c>
    </row>
    <row r="8500">
      <c r="A8500" s="499" t="s">
        <v>13726</v>
      </c>
    </row>
    <row r="8501">
      <c r="A8501" s="499" t="s">
        <v>13727</v>
      </c>
    </row>
    <row r="8502">
      <c r="A8502" s="499" t="s">
        <v>13728</v>
      </c>
    </row>
    <row r="8503">
      <c r="A8503" s="499" t="s">
        <v>13729</v>
      </c>
    </row>
    <row r="8504">
      <c r="A8504" s="499" t="s">
        <v>13730</v>
      </c>
    </row>
    <row r="8505">
      <c r="A8505" s="499" t="s">
        <v>13731</v>
      </c>
    </row>
    <row r="8506">
      <c r="A8506" s="499" t="s">
        <v>13732</v>
      </c>
    </row>
    <row r="8507">
      <c r="A8507" s="499" t="s">
        <v>13733</v>
      </c>
    </row>
    <row r="8508">
      <c r="A8508" s="499" t="s">
        <v>13734</v>
      </c>
    </row>
    <row r="8509">
      <c r="A8509" s="499" t="s">
        <v>13735</v>
      </c>
    </row>
    <row r="8510">
      <c r="A8510" s="499" t="s">
        <v>13736</v>
      </c>
    </row>
    <row r="8511">
      <c r="A8511" s="499" t="s">
        <v>13737</v>
      </c>
    </row>
    <row r="8512">
      <c r="A8512" s="499" t="s">
        <v>13738</v>
      </c>
    </row>
    <row r="8513">
      <c r="A8513" s="499" t="s">
        <v>13739</v>
      </c>
    </row>
    <row r="8514">
      <c r="A8514" s="499" t="s">
        <v>13740</v>
      </c>
    </row>
    <row r="8515">
      <c r="A8515" s="499" t="s">
        <v>13741</v>
      </c>
    </row>
    <row r="8516">
      <c r="A8516" s="499" t="s">
        <v>13742</v>
      </c>
    </row>
    <row r="8517">
      <c r="A8517" s="499" t="s">
        <v>13743</v>
      </c>
    </row>
    <row r="8518">
      <c r="A8518" s="499" t="s">
        <v>13744</v>
      </c>
    </row>
    <row r="8519">
      <c r="A8519" s="499" t="s">
        <v>13745</v>
      </c>
    </row>
    <row r="8520">
      <c r="A8520" s="499" t="s">
        <v>13746</v>
      </c>
    </row>
    <row r="8521">
      <c r="A8521" s="499" t="s">
        <v>13747</v>
      </c>
    </row>
    <row r="8522">
      <c r="A8522" s="499" t="s">
        <v>13748</v>
      </c>
    </row>
    <row r="8523">
      <c r="A8523" s="499" t="s">
        <v>13749</v>
      </c>
    </row>
    <row r="8524">
      <c r="A8524" s="499" t="s">
        <v>13750</v>
      </c>
    </row>
    <row r="8525">
      <c r="A8525" s="499" t="s">
        <v>13751</v>
      </c>
    </row>
    <row r="8526">
      <c r="A8526" s="499" t="s">
        <v>13752</v>
      </c>
    </row>
    <row r="8527">
      <c r="A8527" s="499" t="s">
        <v>13753</v>
      </c>
    </row>
    <row r="8528">
      <c r="A8528" s="499" t="s">
        <v>13754</v>
      </c>
    </row>
    <row r="8529">
      <c r="A8529" s="499" t="s">
        <v>13755</v>
      </c>
    </row>
    <row r="8530">
      <c r="A8530" s="499" t="s">
        <v>13756</v>
      </c>
    </row>
    <row r="8531">
      <c r="A8531" s="499" t="s">
        <v>13757</v>
      </c>
    </row>
    <row r="8532">
      <c r="A8532" s="499" t="s">
        <v>13758</v>
      </c>
    </row>
    <row r="8533">
      <c r="A8533" s="499" t="s">
        <v>13759</v>
      </c>
    </row>
    <row r="8534">
      <c r="A8534" s="499" t="s">
        <v>4021</v>
      </c>
    </row>
    <row r="8535">
      <c r="A8535" s="499" t="s">
        <v>4023</v>
      </c>
    </row>
    <row r="8536">
      <c r="A8536" s="499" t="s">
        <v>4025</v>
      </c>
    </row>
    <row r="8537">
      <c r="A8537" s="499" t="s">
        <v>4028</v>
      </c>
    </row>
    <row r="8538">
      <c r="A8538" s="499" t="s">
        <v>4031</v>
      </c>
    </row>
    <row r="8539">
      <c r="A8539" s="499" t="s">
        <v>13760</v>
      </c>
    </row>
    <row r="8540">
      <c r="A8540" s="499" t="s">
        <v>13761</v>
      </c>
    </row>
    <row r="8541">
      <c r="A8541" s="499" t="s">
        <v>13762</v>
      </c>
    </row>
    <row r="8542">
      <c r="A8542" s="499" t="s">
        <v>13763</v>
      </c>
    </row>
    <row r="8543">
      <c r="A8543" s="499" t="s">
        <v>13764</v>
      </c>
    </row>
    <row r="8544">
      <c r="A8544" s="499" t="s">
        <v>13765</v>
      </c>
    </row>
    <row r="8545">
      <c r="A8545" s="499" t="s">
        <v>13766</v>
      </c>
    </row>
    <row r="8546">
      <c r="A8546" s="499" t="s">
        <v>132</v>
      </c>
    </row>
    <row r="8547">
      <c r="A8547" s="499" t="s">
        <v>148</v>
      </c>
    </row>
    <row r="8548">
      <c r="A8548" s="499" t="s">
        <v>120</v>
      </c>
    </row>
    <row r="8549">
      <c r="A8549" s="499" t="s">
        <v>151</v>
      </c>
    </row>
    <row r="8550">
      <c r="A8550" s="499" t="s">
        <v>1164</v>
      </c>
    </row>
    <row r="8551">
      <c r="A8551" s="499" t="s">
        <v>6530</v>
      </c>
    </row>
    <row r="8552">
      <c r="A8552" s="499" t="s">
        <v>4011</v>
      </c>
    </row>
    <row r="8553">
      <c r="A8553" s="499" t="s">
        <v>6534</v>
      </c>
    </row>
    <row r="8554">
      <c r="A8554" s="499" t="s">
        <v>3941</v>
      </c>
    </row>
    <row r="8555">
      <c r="A8555" s="499" t="s">
        <v>6538</v>
      </c>
    </row>
    <row r="8556">
      <c r="A8556" s="499" t="s">
        <v>174</v>
      </c>
    </row>
    <row r="8557">
      <c r="A8557" s="499" t="s">
        <v>145</v>
      </c>
    </row>
    <row r="8558">
      <c r="A8558" s="499" t="s">
        <v>6581</v>
      </c>
    </row>
    <row r="8559">
      <c r="A8559" s="499" t="s">
        <v>6585</v>
      </c>
    </row>
    <row r="8560">
      <c r="A8560" s="499" t="s">
        <v>6589</v>
      </c>
    </row>
    <row r="8561">
      <c r="A8561" s="499" t="s">
        <v>6593</v>
      </c>
    </row>
    <row r="8562">
      <c r="A8562" s="499" t="s">
        <v>1126</v>
      </c>
    </row>
    <row r="8563">
      <c r="A8563" s="499" t="s">
        <v>6583</v>
      </c>
    </row>
    <row r="8564">
      <c r="A8564" s="499" t="s">
        <v>6587</v>
      </c>
    </row>
    <row r="8565">
      <c r="A8565" s="499" t="s">
        <v>6591</v>
      </c>
    </row>
    <row r="8566">
      <c r="A8566" s="499" t="s">
        <v>6595</v>
      </c>
    </row>
    <row r="8567">
      <c r="A8567" s="499" t="s">
        <v>1103</v>
      </c>
    </row>
    <row r="8568">
      <c r="A8568" s="499" t="s">
        <v>6542</v>
      </c>
    </row>
    <row r="8569">
      <c r="A8569" s="499" t="s">
        <v>4017</v>
      </c>
    </row>
    <row r="8570">
      <c r="A8570" s="499" t="s">
        <v>116</v>
      </c>
    </row>
    <row r="8571">
      <c r="A8571" s="499" t="s">
        <v>142</v>
      </c>
    </row>
    <row r="8572">
      <c r="A8572" s="499" t="s">
        <v>1154</v>
      </c>
    </row>
    <row r="8573">
      <c r="A8573" s="499" t="s">
        <v>1095</v>
      </c>
    </row>
    <row r="8574">
      <c r="A8574" s="499" t="s">
        <v>1138</v>
      </c>
    </row>
    <row r="8575">
      <c r="A8575" s="499" t="s">
        <v>123</v>
      </c>
    </row>
    <row r="8576">
      <c r="A8576" s="499" t="s">
        <v>13767</v>
      </c>
    </row>
    <row r="8577">
      <c r="A8577" s="499" t="s">
        <v>139</v>
      </c>
    </row>
    <row r="8578">
      <c r="A8578" s="499" t="s">
        <v>134</v>
      </c>
    </row>
    <row r="8579">
      <c r="A8579" s="499" t="s">
        <v>4315</v>
      </c>
    </row>
    <row r="8580">
      <c r="A8580" s="499" t="s">
        <v>13768</v>
      </c>
    </row>
    <row r="8581">
      <c r="A8581" s="499" t="s">
        <v>6548</v>
      </c>
    </row>
    <row r="8582">
      <c r="A8582" s="499" t="s">
        <v>6546</v>
      </c>
    </row>
    <row r="8583">
      <c r="A8583" s="499" t="s">
        <v>13769</v>
      </c>
    </row>
    <row r="8584">
      <c r="A8584" s="499" t="s">
        <v>6566</v>
      </c>
    </row>
    <row r="8585">
      <c r="A8585" s="499" t="s">
        <v>13770</v>
      </c>
    </row>
    <row r="8586">
      <c r="A8586" s="499" t="s">
        <v>6522</v>
      </c>
    </row>
    <row r="8587">
      <c r="A8587" s="499" t="s">
        <v>13771</v>
      </c>
    </row>
    <row r="8588">
      <c r="A8588" s="499" t="s">
        <v>3939</v>
      </c>
    </row>
    <row r="8589">
      <c r="A8589" s="499" t="s">
        <v>3925</v>
      </c>
    </row>
    <row r="8590">
      <c r="A8590" s="499" t="s">
        <v>5147</v>
      </c>
    </row>
    <row r="8591">
      <c r="A8591" s="499" t="s">
        <v>13772</v>
      </c>
    </row>
    <row r="8592">
      <c r="A8592" s="499" t="s">
        <v>3923</v>
      </c>
    </row>
    <row r="8593">
      <c r="A8593" s="499" t="s">
        <v>6597</v>
      </c>
    </row>
    <row r="8594">
      <c r="A8594" s="499" t="s">
        <v>6599</v>
      </c>
    </row>
    <row r="8595">
      <c r="A8595" s="499" t="s">
        <v>6554</v>
      </c>
    </row>
    <row r="8596">
      <c r="A8596" s="499" t="s">
        <v>3943</v>
      </c>
    </row>
    <row r="8597">
      <c r="A8597" s="499" t="s">
        <v>6558</v>
      </c>
    </row>
    <row r="8598">
      <c r="A8598" s="499" t="s">
        <v>1130</v>
      </c>
    </row>
    <row r="8599">
      <c r="A8599" s="499" t="s">
        <v>6562</v>
      </c>
    </row>
    <row r="8600">
      <c r="A8600" s="499" t="s">
        <v>108</v>
      </c>
    </row>
    <row r="8601">
      <c r="A8601" s="499" t="s">
        <v>4313</v>
      </c>
    </row>
    <row r="8602">
      <c r="A8602" s="499" t="s">
        <v>4307</v>
      </c>
    </row>
    <row r="8603">
      <c r="A8603" s="499" t="s">
        <v>4309</v>
      </c>
    </row>
    <row r="8604">
      <c r="A8604" s="499" t="s">
        <v>4046</v>
      </c>
    </row>
    <row r="8605">
      <c r="A8605" s="499" t="s">
        <v>4015</v>
      </c>
    </row>
    <row r="8606">
      <c r="A8606" s="499" t="s">
        <v>98</v>
      </c>
    </row>
    <row r="8607">
      <c r="A8607" s="499" t="s">
        <v>1627</v>
      </c>
    </row>
    <row r="8608">
      <c r="A8608" s="499" t="s">
        <v>6579</v>
      </c>
    </row>
    <row r="8609">
      <c r="A8609" s="499" t="s">
        <v>129</v>
      </c>
    </row>
    <row r="8610">
      <c r="A8610" s="499" t="s">
        <v>101</v>
      </c>
    </row>
    <row r="8611">
      <c r="A8611" s="499" t="s">
        <v>1162</v>
      </c>
    </row>
    <row r="8612">
      <c r="A8612" s="499" t="s">
        <v>6757</v>
      </c>
    </row>
    <row r="8613">
      <c r="A8613" s="499" t="s">
        <v>6526</v>
      </c>
    </row>
    <row r="8614">
      <c r="A8614" s="499" t="s">
        <v>1629</v>
      </c>
    </row>
    <row r="8615">
      <c r="A8615" s="499" t="s">
        <v>6528</v>
      </c>
    </row>
    <row r="8616">
      <c r="A8616" s="499" t="s">
        <v>6532</v>
      </c>
    </row>
    <row r="8617">
      <c r="A8617" s="499" t="s">
        <v>6606</v>
      </c>
    </row>
    <row r="8618">
      <c r="A8618" s="499" t="s">
        <v>6536</v>
      </c>
    </row>
    <row r="8619">
      <c r="A8619" s="499" t="s">
        <v>13773</v>
      </c>
    </row>
    <row r="8620">
      <c r="A8620" s="499" t="s">
        <v>6540</v>
      </c>
    </row>
    <row r="8621">
      <c r="A8621" s="499" t="s">
        <v>6544</v>
      </c>
    </row>
    <row r="8622">
      <c r="A8622" s="499" t="s">
        <v>6524</v>
      </c>
    </row>
    <row r="8623">
      <c r="A8623" s="499" t="s">
        <v>6552</v>
      </c>
    </row>
    <row r="8624">
      <c r="A8624" s="499" t="s">
        <v>156</v>
      </c>
    </row>
    <row r="8625">
      <c r="A8625" s="499" t="s">
        <v>1093</v>
      </c>
    </row>
    <row r="8626">
      <c r="A8626" s="499" t="s">
        <v>6556</v>
      </c>
    </row>
    <row r="8627">
      <c r="A8627" s="499" t="s">
        <v>6560</v>
      </c>
    </row>
    <row r="8628">
      <c r="A8628" s="499" t="s">
        <v>4009</v>
      </c>
    </row>
    <row r="8629">
      <c r="A8629" s="499" t="s">
        <v>6564</v>
      </c>
    </row>
    <row r="8630">
      <c r="A8630" s="499" t="s">
        <v>159</v>
      </c>
    </row>
    <row r="8631">
      <c r="A8631" s="499" t="s">
        <v>1089</v>
      </c>
    </row>
    <row r="8632">
      <c r="A8632" s="499" t="s">
        <v>1087</v>
      </c>
    </row>
    <row r="8633">
      <c r="A8633" s="499" t="s">
        <v>172</v>
      </c>
    </row>
    <row r="8634">
      <c r="A8634" s="499" t="s">
        <v>162</v>
      </c>
    </row>
    <row r="8635">
      <c r="A8635" s="499" t="s">
        <v>176</v>
      </c>
    </row>
    <row r="8636">
      <c r="A8636" s="499" t="s">
        <v>6573</v>
      </c>
    </row>
    <row r="8637">
      <c r="A8637" s="499" t="s">
        <v>168</v>
      </c>
    </row>
    <row r="8638">
      <c r="A8638" s="499" t="s">
        <v>6614</v>
      </c>
    </row>
    <row r="8639">
      <c r="A8639" s="499" t="s">
        <v>6569</v>
      </c>
    </row>
    <row r="8640">
      <c r="A8640" s="499" t="s">
        <v>1140</v>
      </c>
    </row>
    <row r="8641">
      <c r="A8641" s="499" t="s">
        <v>170</v>
      </c>
    </row>
    <row r="8642">
      <c r="A8642" s="499" t="s">
        <v>441</v>
      </c>
    </row>
    <row r="8643">
      <c r="A8643" s="499" t="s">
        <v>95</v>
      </c>
    </row>
    <row r="8644">
      <c r="A8644" s="499" t="s">
        <v>1168</v>
      </c>
    </row>
    <row r="8645">
      <c r="A8645" s="499" t="s">
        <v>6550</v>
      </c>
    </row>
    <row r="8646">
      <c r="A8646" s="499" t="s">
        <v>1136</v>
      </c>
    </row>
    <row r="8647">
      <c r="A8647" s="499" t="s">
        <v>6577</v>
      </c>
    </row>
    <row r="8648">
      <c r="A8648" s="499" t="s">
        <v>1128</v>
      </c>
    </row>
    <row r="8649">
      <c r="A8649" s="499" t="s">
        <v>112</v>
      </c>
    </row>
    <row r="8650">
      <c r="A8650" s="499" t="s">
        <v>126</v>
      </c>
    </row>
    <row r="8651">
      <c r="A8651" s="499" t="s">
        <v>110</v>
      </c>
    </row>
    <row r="8652">
      <c r="A8652" s="499" t="s">
        <v>6575</v>
      </c>
    </row>
    <row r="8653">
      <c r="A8653" s="499" t="s">
        <v>1170</v>
      </c>
    </row>
    <row r="8654">
      <c r="A8654" s="499" t="s">
        <v>1174</v>
      </c>
    </row>
    <row r="8655">
      <c r="A8655" s="499" t="s">
        <v>6571</v>
      </c>
    </row>
    <row r="8656">
      <c r="A8656" s="499" t="s">
        <v>2934</v>
      </c>
    </row>
    <row r="8657">
      <c r="A8657" s="499" t="s">
        <v>6611</v>
      </c>
    </row>
    <row r="8658">
      <c r="A8658" s="499" t="s">
        <v>6609</v>
      </c>
    </row>
    <row r="8659">
      <c r="A8659" s="499" t="s">
        <v>6601</v>
      </c>
    </row>
    <row r="8660">
      <c r="A8660" s="499" t="s">
        <v>6604</v>
      </c>
    </row>
    <row r="8661">
      <c r="A8661" s="499" t="s">
        <v>104</v>
      </c>
    </row>
    <row r="8662">
      <c r="A8662" s="499" t="s">
        <v>2932</v>
      </c>
    </row>
    <row r="8663">
      <c r="A8663" s="499" t="s">
        <v>4311</v>
      </c>
    </row>
    <row r="8664">
      <c r="A8664" s="499" t="s">
        <v>4317</v>
      </c>
    </row>
    <row r="8665">
      <c r="A8665" s="499" t="s">
        <v>1101</v>
      </c>
    </row>
    <row r="8666">
      <c r="A8666" s="499" t="s">
        <v>4019</v>
      </c>
    </row>
    <row r="8667">
      <c r="A8667" s="499" t="s">
        <v>189</v>
      </c>
    </row>
    <row r="8668">
      <c r="A8668" s="499" t="s">
        <v>193</v>
      </c>
    </row>
    <row r="8669">
      <c r="A8669" s="499" t="s">
        <v>197</v>
      </c>
    </row>
    <row r="8670">
      <c r="A8670" s="499" t="s">
        <v>186</v>
      </c>
    </row>
    <row r="8671">
      <c r="A8671" s="499" t="s">
        <v>191</v>
      </c>
    </row>
    <row r="8672">
      <c r="A8672" s="499" t="s">
        <v>195</v>
      </c>
    </row>
    <row r="8673">
      <c r="A8673" s="499" t="s">
        <v>982</v>
      </c>
    </row>
    <row r="8674">
      <c r="A8674" s="499" t="s">
        <v>1107</v>
      </c>
    </row>
    <row r="8675">
      <c r="A8675" s="499" t="s">
        <v>1105</v>
      </c>
    </row>
    <row r="8676">
      <c r="A8676" s="499" t="s">
        <v>1978</v>
      </c>
    </row>
    <row r="8677">
      <c r="A8677" s="499" t="s">
        <v>1980</v>
      </c>
    </row>
    <row r="8678">
      <c r="A8678" s="499" t="s">
        <v>1670</v>
      </c>
    </row>
    <row r="8679">
      <c r="A8679" s="499" t="s">
        <v>2130</v>
      </c>
    </row>
    <row r="8680">
      <c r="A8680" s="499" t="s">
        <v>2144</v>
      </c>
    </row>
    <row r="8681">
      <c r="A8681" s="499" t="s">
        <v>2142</v>
      </c>
    </row>
    <row r="8682">
      <c r="A8682" s="499" t="s">
        <v>2644</v>
      </c>
    </row>
    <row r="8683">
      <c r="A8683" s="499" t="s">
        <v>2440</v>
      </c>
    </row>
    <row r="8684">
      <c r="A8684" s="499" t="s">
        <v>2442</v>
      </c>
    </row>
    <row r="8685">
      <c r="A8685" s="499" t="s">
        <v>1684</v>
      </c>
    </row>
    <row r="8686">
      <c r="A8686" s="499" t="s">
        <v>1682</v>
      </c>
    </row>
    <row r="8687">
      <c r="A8687" s="499" t="s">
        <v>4044</v>
      </c>
    </row>
    <row r="8688">
      <c r="A8688" s="499" t="s">
        <v>5142</v>
      </c>
    </row>
    <row r="8689">
      <c r="A8689" s="499" t="s">
        <v>5149</v>
      </c>
    </row>
    <row r="8690">
      <c r="A8690" s="499" t="s">
        <v>2446</v>
      </c>
    </row>
    <row r="8691">
      <c r="A8691" s="499" t="s">
        <v>2658</v>
      </c>
    </row>
    <row r="8692">
      <c r="A8692" s="499" t="s">
        <v>4042</v>
      </c>
    </row>
    <row r="8693">
      <c r="A8693" s="499" t="s">
        <v>4040</v>
      </c>
    </row>
    <row r="8694">
      <c r="A8694" s="499" t="s">
        <v>2444</v>
      </c>
    </row>
    <row r="8695">
      <c r="A8695" s="499" t="s">
        <v>2451</v>
      </c>
    </row>
    <row r="8696">
      <c r="A8696" s="499" t="s">
        <v>3937</v>
      </c>
    </row>
    <row r="8697">
      <c r="A8697" s="499" t="s">
        <v>3927</v>
      </c>
    </row>
    <row r="8698">
      <c r="A8698" s="499" t="s">
        <v>5151</v>
      </c>
    </row>
    <row r="8699">
      <c r="A8699" s="499" t="s">
        <v>2660</v>
      </c>
    </row>
    <row r="8700">
      <c r="A8700" s="499" t="s">
        <v>3931</v>
      </c>
    </row>
    <row r="8701">
      <c r="A8701" s="499" t="s">
        <v>2646</v>
      </c>
    </row>
    <row r="8702">
      <c r="A8702" s="499" t="s">
        <v>3935</v>
      </c>
    </row>
    <row r="8703">
      <c r="A8703" s="499" t="s">
        <v>1976</v>
      </c>
    </row>
    <row r="8704">
      <c r="A8704" s="499" t="s">
        <v>2138</v>
      </c>
    </row>
    <row r="8705">
      <c r="A8705" s="499" t="s">
        <v>2140</v>
      </c>
    </row>
    <row r="8706">
      <c r="A8706" s="499" t="s">
        <v>2146</v>
      </c>
    </row>
    <row r="8707">
      <c r="A8707" s="499" t="s">
        <v>2132</v>
      </c>
    </row>
    <row r="8708">
      <c r="A8708" s="499" t="s">
        <v>2457</v>
      </c>
    </row>
    <row r="8709">
      <c r="A8709" s="499" t="s">
        <v>3929</v>
      </c>
    </row>
    <row r="8710">
      <c r="A8710" s="499" t="s">
        <v>180</v>
      </c>
    </row>
    <row r="8711">
      <c r="A8711" s="499" t="s">
        <v>2461</v>
      </c>
    </row>
    <row r="8712">
      <c r="A8712" s="499" t="s">
        <v>601</v>
      </c>
    </row>
    <row r="8713">
      <c r="A8713" s="499" t="s">
        <v>2448</v>
      </c>
    </row>
    <row r="8714">
      <c r="A8714" s="499" t="s">
        <v>2015</v>
      </c>
    </row>
    <row r="8715">
      <c r="A8715" s="499" t="s">
        <v>1853</v>
      </c>
    </row>
    <row r="8716">
      <c r="A8716" s="499" t="s">
        <v>4101</v>
      </c>
    </row>
    <row r="8717">
      <c r="A8717" s="499" t="s">
        <v>4103</v>
      </c>
    </row>
    <row r="8718">
      <c r="A8718" s="499" t="s">
        <v>13774</v>
      </c>
    </row>
    <row r="8719">
      <c r="A8719" s="499" t="s">
        <v>13775</v>
      </c>
    </row>
    <row r="8720">
      <c r="A8720" s="499" t="s">
        <v>13776</v>
      </c>
    </row>
    <row r="8721">
      <c r="A8721" s="499" t="s">
        <v>13777</v>
      </c>
    </row>
    <row r="8722">
      <c r="A8722" s="499" t="s">
        <v>13778</v>
      </c>
    </row>
    <row r="8723">
      <c r="A8723" s="499" t="s">
        <v>13779</v>
      </c>
    </row>
    <row r="8724">
      <c r="A8724" s="499" t="s">
        <v>13780</v>
      </c>
    </row>
    <row r="8725">
      <c r="A8725" s="499" t="s">
        <v>13781</v>
      </c>
    </row>
    <row r="8726">
      <c r="A8726" s="499" t="s">
        <v>13782</v>
      </c>
    </row>
    <row r="8727">
      <c r="A8727" s="499" t="s">
        <v>13783</v>
      </c>
    </row>
    <row r="8728">
      <c r="A8728" s="499" t="s">
        <v>4034</v>
      </c>
    </row>
    <row r="8729">
      <c r="A8729" s="499" t="s">
        <v>4038</v>
      </c>
    </row>
    <row r="8730">
      <c r="A8730" s="499" t="s">
        <v>4036</v>
      </c>
    </row>
    <row r="8731">
      <c r="A8731" s="499" t="s">
        <v>3693</v>
      </c>
    </row>
    <row r="8732">
      <c r="A8732" s="499" t="s">
        <v>3872</v>
      </c>
    </row>
    <row r="8733">
      <c r="A8733" s="499" t="s">
        <v>3902</v>
      </c>
    </row>
    <row r="8734">
      <c r="A8734" s="499" t="s">
        <v>3896</v>
      </c>
    </row>
    <row r="8735">
      <c r="A8735" s="499" t="s">
        <v>3650</v>
      </c>
    </row>
    <row r="8736">
      <c r="A8736" s="499" t="s">
        <v>3653</v>
      </c>
    </row>
    <row r="8737">
      <c r="A8737" s="499" t="s">
        <v>3662</v>
      </c>
    </row>
    <row r="8738">
      <c r="A8738" s="499" t="s">
        <v>3783</v>
      </c>
    </row>
    <row r="8739">
      <c r="A8739" s="499" t="s">
        <v>3788</v>
      </c>
    </row>
    <row r="8740">
      <c r="A8740" s="499" t="s">
        <v>3869</v>
      </c>
    </row>
    <row r="8741">
      <c r="A8741" s="499" t="s">
        <v>3747</v>
      </c>
    </row>
    <row r="8742">
      <c r="A8742" s="499" t="s">
        <v>13784</v>
      </c>
    </row>
    <row r="8743">
      <c r="A8743" s="499" t="s">
        <v>3884</v>
      </c>
    </row>
    <row r="8744">
      <c r="A8744" s="499" t="s">
        <v>13785</v>
      </c>
    </row>
    <row r="8745">
      <c r="A8745" s="499" t="s">
        <v>3665</v>
      </c>
    </row>
    <row r="8746">
      <c r="A8746" s="499" t="s">
        <v>3750</v>
      </c>
    </row>
    <row r="8747">
      <c r="A8747" s="499" t="s">
        <v>3830</v>
      </c>
    </row>
    <row r="8748">
      <c r="A8748" s="499" t="s">
        <v>3827</v>
      </c>
    </row>
    <row r="8749">
      <c r="A8749" s="499" t="s">
        <v>3762</v>
      </c>
    </row>
    <row r="8750">
      <c r="A8750" s="499" t="s">
        <v>3671</v>
      </c>
    </row>
    <row r="8751">
      <c r="A8751" s="499" t="s">
        <v>13786</v>
      </c>
    </row>
    <row r="8752">
      <c r="A8752" s="499" t="s">
        <v>4068</v>
      </c>
    </row>
    <row r="8753">
      <c r="A8753" s="499" t="s">
        <v>4056</v>
      </c>
    </row>
    <row r="8754">
      <c r="A8754" s="499" t="s">
        <v>3851</v>
      </c>
    </row>
    <row r="8755">
      <c r="A8755" s="499" t="s">
        <v>3647</v>
      </c>
    </row>
    <row r="8756">
      <c r="A8756" s="499" t="s">
        <v>3774</v>
      </c>
    </row>
    <row r="8757">
      <c r="A8757" s="499" t="s">
        <v>3812</v>
      </c>
    </row>
    <row r="8758">
      <c r="A8758" s="499" t="s">
        <v>3908</v>
      </c>
    </row>
    <row r="8759">
      <c r="A8759" s="499" t="s">
        <v>3777</v>
      </c>
    </row>
    <row r="8760">
      <c r="A8760" s="499" t="s">
        <v>3845</v>
      </c>
    </row>
    <row r="8761">
      <c r="A8761" s="499" t="s">
        <v>3848</v>
      </c>
    </row>
    <row r="8762">
      <c r="A8762" s="499" t="s">
        <v>3842</v>
      </c>
    </row>
    <row r="8763">
      <c r="A8763" s="499" t="s">
        <v>3803</v>
      </c>
    </row>
    <row r="8764">
      <c r="A8764" s="499" t="s">
        <v>3887</v>
      </c>
    </row>
    <row r="8765">
      <c r="A8765" s="499" t="s">
        <v>3857</v>
      </c>
    </row>
    <row r="8766">
      <c r="A8766" s="499" t="s">
        <v>3753</v>
      </c>
    </row>
    <row r="8767">
      <c r="A8767" s="499" t="s">
        <v>3794</v>
      </c>
    </row>
    <row r="8768">
      <c r="A8768" s="499" t="s">
        <v>3821</v>
      </c>
    </row>
    <row r="8769">
      <c r="A8769" s="499" t="s">
        <v>3800</v>
      </c>
    </row>
    <row r="8770">
      <c r="A8770" s="499" t="s">
        <v>3797</v>
      </c>
    </row>
    <row r="8771">
      <c r="A8771" s="499" t="s">
        <v>3860</v>
      </c>
    </row>
    <row r="8772">
      <c r="A8772" s="499" t="s">
        <v>3866</v>
      </c>
    </row>
    <row r="8773">
      <c r="A8773" s="499" t="s">
        <v>4089</v>
      </c>
    </row>
    <row r="8774">
      <c r="A8774" s="499" t="s">
        <v>4080</v>
      </c>
    </row>
    <row r="8775">
      <c r="A8775" s="499" t="s">
        <v>3839</v>
      </c>
    </row>
    <row r="8776">
      <c r="A8776" s="499" t="s">
        <v>4086</v>
      </c>
    </row>
    <row r="8777">
      <c r="A8777" s="499" t="s">
        <v>13787</v>
      </c>
    </row>
    <row r="8778">
      <c r="A8778" s="499" t="s">
        <v>3659</v>
      </c>
    </row>
    <row r="8779">
      <c r="A8779" s="499" t="s">
        <v>13788</v>
      </c>
    </row>
    <row r="8780">
      <c r="A8780" s="499" t="s">
        <v>3722</v>
      </c>
    </row>
    <row r="8781">
      <c r="A8781" s="499" t="s">
        <v>4059</v>
      </c>
    </row>
    <row r="8782">
      <c r="A8782" s="499" t="s">
        <v>4062</v>
      </c>
    </row>
    <row r="8783">
      <c r="A8783" s="499" t="s">
        <v>4065</v>
      </c>
    </row>
    <row r="8784">
      <c r="A8784" s="499" t="s">
        <v>4050</v>
      </c>
    </row>
    <row r="8785">
      <c r="A8785" s="499" t="s">
        <v>4053</v>
      </c>
    </row>
    <row r="8786">
      <c r="A8786" s="499" t="s">
        <v>13789</v>
      </c>
    </row>
    <row r="8787">
      <c r="A8787" s="499" t="s">
        <v>3741</v>
      </c>
    </row>
    <row r="8788">
      <c r="A8788" s="499" t="s">
        <v>3833</v>
      </c>
    </row>
    <row r="8789">
      <c r="A8789" s="499" t="s">
        <v>3809</v>
      </c>
    </row>
    <row r="8790">
      <c r="A8790" s="499" t="s">
        <v>3818</v>
      </c>
    </row>
    <row r="8791">
      <c r="A8791" s="499" t="s">
        <v>3899</v>
      </c>
    </row>
    <row r="8792">
      <c r="A8792" s="499" t="s">
        <v>3878</v>
      </c>
    </row>
    <row r="8793">
      <c r="A8793" s="499" t="s">
        <v>3881</v>
      </c>
    </row>
    <row r="8794">
      <c r="A8794" s="499" t="s">
        <v>3744</v>
      </c>
    </row>
    <row r="8795">
      <c r="A8795" s="499" t="s">
        <v>3759</v>
      </c>
    </row>
    <row r="8796">
      <c r="A8796" s="499" t="s">
        <v>13790</v>
      </c>
    </row>
    <row r="8797">
      <c r="A8797" s="499" t="s">
        <v>3854</v>
      </c>
    </row>
    <row r="8798">
      <c r="A8798" s="499" t="s">
        <v>13791</v>
      </c>
    </row>
    <row r="8799">
      <c r="A8799" s="499" t="s">
        <v>13792</v>
      </c>
    </row>
    <row r="8800">
      <c r="A8800" s="499" t="s">
        <v>13793</v>
      </c>
    </row>
    <row r="8801">
      <c r="A8801" s="499" t="s">
        <v>3724</v>
      </c>
    </row>
    <row r="8802">
      <c r="A8802" s="499" t="s">
        <v>4083</v>
      </c>
    </row>
    <row r="8803">
      <c r="A8803" s="499" t="s">
        <v>4074</v>
      </c>
    </row>
    <row r="8804">
      <c r="A8804" s="499" t="s">
        <v>3911</v>
      </c>
    </row>
    <row r="8805">
      <c r="A8805" s="499" t="s">
        <v>3756</v>
      </c>
    </row>
    <row r="8806">
      <c r="A8806" s="499" t="s">
        <v>3768</v>
      </c>
    </row>
    <row r="8807">
      <c r="A8807" s="499" t="s">
        <v>3771</v>
      </c>
    </row>
    <row r="8808">
      <c r="A8808" s="499" t="s">
        <v>3863</v>
      </c>
    </row>
    <row r="8809">
      <c r="A8809" s="499" t="s">
        <v>3890</v>
      </c>
    </row>
    <row r="8810">
      <c r="A8810" s="499" t="s">
        <v>3806</v>
      </c>
    </row>
    <row r="8811">
      <c r="A8811" s="499" t="s">
        <v>13794</v>
      </c>
    </row>
    <row r="8812">
      <c r="A8812" s="499" t="s">
        <v>3765</v>
      </c>
    </row>
    <row r="8813">
      <c r="A8813" s="499" t="s">
        <v>3791</v>
      </c>
    </row>
    <row r="8814">
      <c r="A8814" s="499" t="s">
        <v>3836</v>
      </c>
    </row>
    <row r="8815">
      <c r="A8815" s="499" t="s">
        <v>3905</v>
      </c>
    </row>
    <row r="8816">
      <c r="A8816" s="499" t="s">
        <v>3893</v>
      </c>
    </row>
    <row r="8817">
      <c r="A8817" s="499" t="s">
        <v>3727</v>
      </c>
    </row>
    <row r="8818">
      <c r="A8818" s="499" t="s">
        <v>3656</v>
      </c>
    </row>
    <row r="8819">
      <c r="A8819" s="499" t="s">
        <v>4077</v>
      </c>
    </row>
    <row r="8820">
      <c r="A8820" s="499" t="s">
        <v>4071</v>
      </c>
    </row>
    <row r="8821">
      <c r="A8821" s="499" t="s">
        <v>13795</v>
      </c>
    </row>
    <row r="8822">
      <c r="A8822" s="499" t="s">
        <v>13796</v>
      </c>
    </row>
    <row r="8823">
      <c r="A8823" s="499" t="s">
        <v>13797</v>
      </c>
    </row>
    <row r="8824">
      <c r="A8824" s="499" t="s">
        <v>13798</v>
      </c>
    </row>
    <row r="8825">
      <c r="A8825" s="499" t="s">
        <v>13799</v>
      </c>
    </row>
    <row r="8826">
      <c r="A8826" s="499" t="s">
        <v>3668</v>
      </c>
    </row>
    <row r="8827">
      <c r="A8827" s="499" t="s">
        <v>3786</v>
      </c>
    </row>
    <row r="8828">
      <c r="A8828" s="499" t="s">
        <v>3815</v>
      </c>
    </row>
    <row r="8829">
      <c r="A8829" s="499" t="s">
        <v>3824</v>
      </c>
    </row>
    <row r="8830">
      <c r="A8830" s="499" t="s">
        <v>13800</v>
      </c>
    </row>
    <row r="8831">
      <c r="A8831" s="499" t="s">
        <v>5844</v>
      </c>
    </row>
    <row r="8832">
      <c r="A8832" s="499" t="s">
        <v>3875</v>
      </c>
    </row>
    <row r="8833">
      <c r="A8833" s="499" t="s">
        <v>3780</v>
      </c>
    </row>
    <row r="8834">
      <c r="A8834" s="499" t="s">
        <v>3674</v>
      </c>
    </row>
    <row r="8835">
      <c r="A8835" s="499" t="s">
        <v>3678</v>
      </c>
    </row>
    <row r="8836">
      <c r="A8836" s="499" t="s">
        <v>3687</v>
      </c>
    </row>
    <row r="8837">
      <c r="A8837" s="499" t="s">
        <v>3681</v>
      </c>
    </row>
    <row r="8838">
      <c r="A8838" s="499" t="s">
        <v>3729</v>
      </c>
    </row>
    <row r="8839">
      <c r="A8839" s="499" t="s">
        <v>3732</v>
      </c>
    </row>
    <row r="8840">
      <c r="A8840" s="499" t="s">
        <v>3684</v>
      </c>
    </row>
    <row r="8841">
      <c r="A8841" s="499" t="s">
        <v>3676</v>
      </c>
    </row>
    <row r="8842">
      <c r="A8842" s="499" t="s">
        <v>13801</v>
      </c>
    </row>
    <row r="8843">
      <c r="A8843" s="499" t="s">
        <v>3690</v>
      </c>
    </row>
    <row r="8844">
      <c r="A8844" s="499" t="s">
        <v>3738</v>
      </c>
    </row>
    <row r="8845">
      <c r="A8845" s="499" t="s">
        <v>3695</v>
      </c>
    </row>
    <row r="8846">
      <c r="A8846" s="499" t="s">
        <v>3697</v>
      </c>
    </row>
    <row r="8847">
      <c r="A8847" s="499" t="s">
        <v>3703</v>
      </c>
    </row>
    <row r="8848">
      <c r="A8848" s="499" t="s">
        <v>3706</v>
      </c>
    </row>
    <row r="8849">
      <c r="A8849" s="499" t="s">
        <v>3699</v>
      </c>
    </row>
    <row r="8850">
      <c r="A8850" s="499" t="s">
        <v>3701</v>
      </c>
    </row>
    <row r="8851">
      <c r="A8851" s="499" t="s">
        <v>13802</v>
      </c>
    </row>
    <row r="8852">
      <c r="A8852" s="499" t="s">
        <v>3709</v>
      </c>
    </row>
    <row r="8853">
      <c r="A8853" s="499" t="s">
        <v>3712</v>
      </c>
    </row>
    <row r="8854">
      <c r="A8854" s="499" t="s">
        <v>3714</v>
      </c>
    </row>
    <row r="8855">
      <c r="A8855" s="499" t="s">
        <v>3716</v>
      </c>
    </row>
    <row r="8856">
      <c r="A8856" s="499" t="s">
        <v>3718</v>
      </c>
    </row>
    <row r="8857">
      <c r="A8857" s="499" t="s">
        <v>3720</v>
      </c>
    </row>
    <row r="8858">
      <c r="A8858" s="499" t="s">
        <v>137</v>
      </c>
    </row>
    <row r="8859">
      <c r="A8859" s="499" t="s">
        <v>154</v>
      </c>
    </row>
    <row r="8860">
      <c r="A8860" s="499" t="s">
        <v>164</v>
      </c>
    </row>
    <row r="8861">
      <c r="A8861" s="499" t="s">
        <v>203</v>
      </c>
    </row>
    <row r="8862">
      <c r="A8862" s="499" t="s">
        <v>205</v>
      </c>
    </row>
    <row r="8863">
      <c r="A8863" s="499" t="s">
        <v>435</v>
      </c>
    </row>
    <row r="8864">
      <c r="A8864" s="499" t="s">
        <v>437</v>
      </c>
    </row>
    <row r="8865">
      <c r="A8865" s="499" t="s">
        <v>433</v>
      </c>
    </row>
    <row r="8866">
      <c r="A8866" s="499" t="s">
        <v>452</v>
      </c>
    </row>
    <row r="8867">
      <c r="A8867" s="499" t="s">
        <v>201</v>
      </c>
    </row>
    <row r="8868">
      <c r="A8868" s="499" t="s">
        <v>199</v>
      </c>
    </row>
    <row r="8869">
      <c r="A8869" s="499" t="s">
        <v>114</v>
      </c>
    </row>
    <row r="8870">
      <c r="A8870" s="499" t="s">
        <v>1091</v>
      </c>
    </row>
    <row r="8871">
      <c r="A8871" s="499" t="s">
        <v>1097</v>
      </c>
    </row>
    <row r="8872">
      <c r="A8872" s="499" t="s">
        <v>1099</v>
      </c>
    </row>
    <row r="8873">
      <c r="A8873" s="499" t="s">
        <v>1132</v>
      </c>
    </row>
    <row r="8874">
      <c r="A8874" s="499" t="s">
        <v>1134</v>
      </c>
    </row>
    <row r="8875">
      <c r="A8875" s="499" t="s">
        <v>1674</v>
      </c>
    </row>
    <row r="8876">
      <c r="A8876" s="499" t="s">
        <v>13803</v>
      </c>
    </row>
    <row r="8877">
      <c r="A8877" s="499" t="s">
        <v>1678</v>
      </c>
    </row>
    <row r="8878">
      <c r="A8878" s="499" t="s">
        <v>1680</v>
      </c>
    </row>
    <row r="8879">
      <c r="A8879" s="499" t="s">
        <v>1676</v>
      </c>
    </row>
    <row r="8880">
      <c r="A8880" s="499" t="s">
        <v>1688</v>
      </c>
    </row>
    <row r="8881">
      <c r="A8881" s="499" t="s">
        <v>1690</v>
      </c>
    </row>
    <row r="8882">
      <c r="A8882" s="499" t="s">
        <v>3963</v>
      </c>
    </row>
    <row r="8883">
      <c r="A8883" s="499" t="s">
        <v>3959</v>
      </c>
    </row>
    <row r="8884">
      <c r="A8884" s="499" t="s">
        <v>178</v>
      </c>
    </row>
    <row r="8885">
      <c r="A8885" s="499" t="s">
        <v>1686</v>
      </c>
    </row>
    <row r="8886">
      <c r="A8886" s="499" t="s">
        <v>431</v>
      </c>
    </row>
    <row r="8887">
      <c r="A8887" s="499" t="s">
        <v>3973</v>
      </c>
    </row>
    <row r="8888">
      <c r="A8888" s="499" t="s">
        <v>3981</v>
      </c>
    </row>
    <row r="8889">
      <c r="A8889" s="499" t="s">
        <v>3979</v>
      </c>
    </row>
    <row r="8890">
      <c r="A8890" s="499" t="s">
        <v>3989</v>
      </c>
    </row>
    <row r="8891">
      <c r="A8891" s="499" t="s">
        <v>3991</v>
      </c>
    </row>
    <row r="8892">
      <c r="A8892" s="499" t="s">
        <v>3999</v>
      </c>
    </row>
    <row r="8893">
      <c r="A8893" s="499" t="s">
        <v>4007</v>
      </c>
    </row>
    <row r="8894">
      <c r="A8894" s="499" t="s">
        <v>3949</v>
      </c>
    </row>
    <row r="8895">
      <c r="A8895" s="499" t="s">
        <v>3951</v>
      </c>
    </row>
    <row r="8896">
      <c r="A8896" s="499" t="s">
        <v>3969</v>
      </c>
    </row>
    <row r="8897">
      <c r="A8897" s="499" t="s">
        <v>446</v>
      </c>
    </row>
    <row r="8898">
      <c r="A8898" s="499" t="s">
        <v>3977</v>
      </c>
    </row>
    <row r="8899">
      <c r="A8899" s="499" t="s">
        <v>3985</v>
      </c>
    </row>
    <row r="8900">
      <c r="A8900" s="499" t="s">
        <v>3995</v>
      </c>
    </row>
    <row r="8901">
      <c r="A8901" s="499" t="s">
        <v>4003</v>
      </c>
    </row>
    <row r="8902">
      <c r="A8902" s="499" t="s">
        <v>3947</v>
      </c>
    </row>
    <row r="8903">
      <c r="A8903" s="499" t="s">
        <v>118</v>
      </c>
    </row>
    <row r="8904">
      <c r="A8904" s="499" t="s">
        <v>3957</v>
      </c>
    </row>
    <row r="8905">
      <c r="A8905" s="499" t="s">
        <v>3965</v>
      </c>
    </row>
    <row r="8906">
      <c r="A8906" s="499" t="s">
        <v>1166</v>
      </c>
    </row>
    <row r="8907">
      <c r="A8907" s="499" t="s">
        <v>1172</v>
      </c>
    </row>
    <row r="8908">
      <c r="A8908" s="499" t="s">
        <v>106</v>
      </c>
    </row>
    <row r="8909">
      <c r="A8909" s="499" t="s">
        <v>3933</v>
      </c>
    </row>
    <row r="8910">
      <c r="A8910" s="499" t="s">
        <v>3971</v>
      </c>
    </row>
    <row r="8911">
      <c r="A8911" s="499" t="s">
        <v>3967</v>
      </c>
    </row>
    <row r="8912">
      <c r="A8912" s="499" t="s">
        <v>3975</v>
      </c>
    </row>
    <row r="8913">
      <c r="A8913" s="499" t="s">
        <v>3987</v>
      </c>
    </row>
    <row r="8914">
      <c r="A8914" s="499" t="s">
        <v>3983</v>
      </c>
    </row>
    <row r="8915">
      <c r="A8915" s="499" t="s">
        <v>3997</v>
      </c>
    </row>
    <row r="8916">
      <c r="A8916" s="499" t="s">
        <v>3993</v>
      </c>
    </row>
    <row r="8917">
      <c r="A8917" s="499" t="s">
        <v>4005</v>
      </c>
    </row>
    <row r="8918">
      <c r="A8918" s="499" t="s">
        <v>4001</v>
      </c>
    </row>
    <row r="8919">
      <c r="A8919" s="499" t="s">
        <v>3945</v>
      </c>
    </row>
    <row r="8920">
      <c r="A8920" s="499" t="s">
        <v>3961</v>
      </c>
    </row>
    <row r="8921">
      <c r="A8921" s="499" t="s">
        <v>166</v>
      </c>
    </row>
    <row r="8922">
      <c r="A8922" s="499" t="s">
        <v>3914</v>
      </c>
    </row>
    <row r="8923">
      <c r="A8923" s="499" t="s">
        <v>3918</v>
      </c>
    </row>
    <row r="8924">
      <c r="A8924" s="499" t="s">
        <v>3916</v>
      </c>
    </row>
    <row r="8925">
      <c r="A8925" s="499" t="s">
        <v>13804</v>
      </c>
    </row>
    <row r="8926">
      <c r="A8926" s="499" t="s">
        <v>4321</v>
      </c>
    </row>
    <row r="8927">
      <c r="A8927" s="499" t="s">
        <v>4338</v>
      </c>
    </row>
    <row r="8928">
      <c r="A8928" s="499" t="s">
        <v>4332</v>
      </c>
    </row>
    <row r="8929">
      <c r="A8929" s="499" t="s">
        <v>4347</v>
      </c>
    </row>
    <row r="8930">
      <c r="A8930" s="499" t="s">
        <v>4352</v>
      </c>
    </row>
    <row r="8931">
      <c r="A8931" s="499" t="s">
        <v>4355</v>
      </c>
    </row>
    <row r="8932">
      <c r="A8932" s="499" t="s">
        <v>4358</v>
      </c>
    </row>
    <row r="8933">
      <c r="A8933" s="499" t="s">
        <v>4344</v>
      </c>
    </row>
    <row r="8934">
      <c r="A8934" s="499" t="s">
        <v>4382</v>
      </c>
    </row>
    <row r="8935">
      <c r="A8935" s="499" t="s">
        <v>4370</v>
      </c>
    </row>
    <row r="8936">
      <c r="A8936" s="499" t="s">
        <v>4379</v>
      </c>
    </row>
    <row r="8937">
      <c r="A8937" s="499" t="s">
        <v>4388</v>
      </c>
    </row>
    <row r="8938">
      <c r="A8938" s="499" t="s">
        <v>4394</v>
      </c>
    </row>
    <row r="8939">
      <c r="A8939" s="499" t="s">
        <v>4364</v>
      </c>
    </row>
    <row r="8940">
      <c r="A8940" s="499" t="s">
        <v>4367</v>
      </c>
    </row>
    <row r="8941">
      <c r="A8941" s="499" t="s">
        <v>4373</v>
      </c>
    </row>
    <row r="8942">
      <c r="A8942" s="499" t="s">
        <v>4376</v>
      </c>
    </row>
    <row r="8943">
      <c r="A8943" s="499" t="s">
        <v>4385</v>
      </c>
    </row>
    <row r="8944">
      <c r="A8944" s="499" t="s">
        <v>4391</v>
      </c>
    </row>
    <row r="8945">
      <c r="A8945" s="499" t="s">
        <v>4341</v>
      </c>
    </row>
    <row r="8946">
      <c r="A8946" s="499" t="s">
        <v>4335</v>
      </c>
    </row>
    <row r="8947">
      <c r="A8947" s="499" t="s">
        <v>4361</v>
      </c>
    </row>
    <row r="8948">
      <c r="A8948" s="499" t="s">
        <v>4350</v>
      </c>
    </row>
    <row r="8949">
      <c r="A8949" s="499" t="s">
        <v>4397</v>
      </c>
    </row>
    <row r="8950">
      <c r="A8950" s="499" t="s">
        <v>13805</v>
      </c>
    </row>
    <row r="8951">
      <c r="A8951" s="499" t="s">
        <v>13806</v>
      </c>
    </row>
    <row r="8952">
      <c r="A8952" s="499" t="s">
        <v>4403</v>
      </c>
    </row>
    <row r="8953">
      <c r="A8953" s="499" t="s">
        <v>4400</v>
      </c>
    </row>
    <row r="8954">
      <c r="A8954" s="499" t="s">
        <v>13807</v>
      </c>
    </row>
    <row r="8955">
      <c r="A8955" s="499" t="s">
        <v>13808</v>
      </c>
    </row>
    <row r="8956">
      <c r="A8956" s="499" t="s">
        <v>7610</v>
      </c>
    </row>
    <row r="8957">
      <c r="A8957" s="499" t="s">
        <v>5234</v>
      </c>
    </row>
    <row r="8958">
      <c r="A8958" s="499" t="s">
        <v>5232</v>
      </c>
    </row>
    <row r="8959">
      <c r="A8959" s="499" t="s">
        <v>4330</v>
      </c>
    </row>
    <row r="8960">
      <c r="A8960" s="499" t="s">
        <v>4328</v>
      </c>
    </row>
    <row r="8961">
      <c r="A8961" s="499" t="s">
        <v>13809</v>
      </c>
    </row>
    <row r="8962">
      <c r="A8962" s="499" t="s">
        <v>13810</v>
      </c>
    </row>
    <row r="8963">
      <c r="A8963" s="499" t="s">
        <v>13811</v>
      </c>
    </row>
    <row r="8964">
      <c r="A8964" s="499" t="s">
        <v>13812</v>
      </c>
    </row>
    <row r="8965">
      <c r="A8965" s="499" t="s">
        <v>13813</v>
      </c>
    </row>
    <row r="8966">
      <c r="A8966" s="499" t="s">
        <v>13814</v>
      </c>
    </row>
    <row r="8967">
      <c r="A8967" s="499" t="s">
        <v>13815</v>
      </c>
    </row>
    <row r="8968">
      <c r="A8968" s="499" t="s">
        <v>13816</v>
      </c>
    </row>
    <row r="8969">
      <c r="A8969" s="499" t="s">
        <v>13817</v>
      </c>
    </row>
    <row r="8970">
      <c r="A8970" s="499" t="s">
        <v>13818</v>
      </c>
    </row>
    <row r="8971">
      <c r="A8971" s="499" t="s">
        <v>13819</v>
      </c>
    </row>
    <row r="8972">
      <c r="A8972" s="499" t="s">
        <v>13820</v>
      </c>
    </row>
    <row r="8973">
      <c r="A8973" s="499" t="s">
        <v>13821</v>
      </c>
    </row>
    <row r="8974">
      <c r="A8974" s="499" t="s">
        <v>13822</v>
      </c>
    </row>
    <row r="8975">
      <c r="A8975" s="499" t="s">
        <v>13823</v>
      </c>
    </row>
    <row r="8976">
      <c r="A8976" s="499" t="s">
        <v>13824</v>
      </c>
    </row>
    <row r="8977">
      <c r="A8977" s="499" t="s">
        <v>13825</v>
      </c>
    </row>
    <row r="8978">
      <c r="A8978" s="499" t="s">
        <v>13826</v>
      </c>
    </row>
    <row r="8979">
      <c r="A8979" s="499" t="s">
        <v>13827</v>
      </c>
    </row>
    <row r="8980">
      <c r="A8980" s="499" t="s">
        <v>13828</v>
      </c>
    </row>
    <row r="8981">
      <c r="A8981" s="499" t="s">
        <v>13829</v>
      </c>
    </row>
    <row r="8982">
      <c r="A8982" s="499" t="s">
        <v>13830</v>
      </c>
    </row>
    <row r="8983">
      <c r="A8983" s="499" t="s">
        <v>13831</v>
      </c>
    </row>
    <row r="8984">
      <c r="A8984" s="499" t="s">
        <v>13832</v>
      </c>
    </row>
    <row r="8985">
      <c r="A8985" s="499" t="s">
        <v>13833</v>
      </c>
    </row>
    <row r="8986">
      <c r="A8986" s="499" t="s">
        <v>13834</v>
      </c>
    </row>
    <row r="8987">
      <c r="A8987" s="499" t="s">
        <v>13835</v>
      </c>
    </row>
    <row r="8988">
      <c r="A8988" s="499" t="s">
        <v>13836</v>
      </c>
    </row>
    <row r="8989">
      <c r="A8989" s="499" t="s">
        <v>13837</v>
      </c>
    </row>
    <row r="8990">
      <c r="A8990" s="499" t="s">
        <v>13838</v>
      </c>
    </row>
    <row r="8991">
      <c r="A8991" s="499" t="s">
        <v>13839</v>
      </c>
    </row>
    <row r="8992">
      <c r="A8992" s="499" t="s">
        <v>13840</v>
      </c>
    </row>
    <row r="8993">
      <c r="A8993" s="499" t="s">
        <v>13841</v>
      </c>
    </row>
    <row r="8994">
      <c r="A8994" s="499" t="s">
        <v>13842</v>
      </c>
    </row>
    <row r="8995">
      <c r="A8995" s="499" t="s">
        <v>13843</v>
      </c>
    </row>
    <row r="8996">
      <c r="A8996" s="499" t="s">
        <v>13844</v>
      </c>
    </row>
    <row r="8997">
      <c r="A8997" s="499" t="s">
        <v>13845</v>
      </c>
    </row>
    <row r="8998">
      <c r="A8998" s="499" t="s">
        <v>13846</v>
      </c>
    </row>
    <row r="8999">
      <c r="A8999" s="499" t="s">
        <v>13847</v>
      </c>
    </row>
    <row r="9000">
      <c r="A9000" s="499" t="s">
        <v>13848</v>
      </c>
    </row>
    <row r="9001">
      <c r="A9001" s="499" t="s">
        <v>13849</v>
      </c>
    </row>
    <row r="9002">
      <c r="A9002" s="499" t="s">
        <v>13850</v>
      </c>
    </row>
    <row r="9003">
      <c r="A9003" s="499" t="s">
        <v>13851</v>
      </c>
    </row>
    <row r="9004">
      <c r="A9004" s="499" t="s">
        <v>13852</v>
      </c>
    </row>
    <row r="9005">
      <c r="A9005" s="499" t="s">
        <v>13853</v>
      </c>
    </row>
    <row r="9006">
      <c r="A9006" s="499" t="s">
        <v>13854</v>
      </c>
    </row>
    <row r="9007">
      <c r="A9007" s="499" t="s">
        <v>13855</v>
      </c>
    </row>
    <row r="9008">
      <c r="A9008" s="499" t="s">
        <v>13856</v>
      </c>
    </row>
    <row r="9009">
      <c r="A9009" s="499" t="s">
        <v>13857</v>
      </c>
    </row>
    <row r="9010">
      <c r="A9010" s="499" t="s">
        <v>13858</v>
      </c>
    </row>
    <row r="9011">
      <c r="A9011" s="499" t="s">
        <v>13859</v>
      </c>
    </row>
    <row r="9012">
      <c r="A9012" s="499" t="s">
        <v>13860</v>
      </c>
    </row>
    <row r="9013">
      <c r="A9013" s="499" t="s">
        <v>13861</v>
      </c>
    </row>
    <row r="9014">
      <c r="A9014" s="499" t="s">
        <v>13862</v>
      </c>
    </row>
    <row r="9015">
      <c r="A9015" s="499" t="s">
        <v>13863</v>
      </c>
    </row>
    <row r="9016">
      <c r="A9016" s="499" t="s">
        <v>13864</v>
      </c>
    </row>
    <row r="9017">
      <c r="A9017" s="499" t="s">
        <v>13865</v>
      </c>
    </row>
    <row r="9018">
      <c r="A9018" s="499" t="s">
        <v>13866</v>
      </c>
    </row>
    <row r="9019">
      <c r="A9019" s="499" t="s">
        <v>13867</v>
      </c>
    </row>
    <row r="9020">
      <c r="A9020" s="499" t="s">
        <v>13868</v>
      </c>
    </row>
    <row r="9021">
      <c r="A9021" s="499" t="s">
        <v>13869</v>
      </c>
    </row>
    <row r="9022">
      <c r="A9022" s="499" t="s">
        <v>13870</v>
      </c>
    </row>
    <row r="9023">
      <c r="A9023" s="499" t="s">
        <v>13871</v>
      </c>
    </row>
    <row r="9024">
      <c r="A9024" s="499" t="s">
        <v>13872</v>
      </c>
    </row>
    <row r="9025">
      <c r="A9025" s="499" t="s">
        <v>13873</v>
      </c>
    </row>
    <row r="9026">
      <c r="A9026" s="499" t="s">
        <v>13874</v>
      </c>
    </row>
    <row r="9027">
      <c r="A9027" s="499" t="s">
        <v>13875</v>
      </c>
    </row>
    <row r="9028">
      <c r="A9028" s="499" t="s">
        <v>13876</v>
      </c>
    </row>
    <row r="9029">
      <c r="A9029" s="499" t="s">
        <v>13877</v>
      </c>
    </row>
    <row r="9030">
      <c r="A9030" s="499" t="s">
        <v>13878</v>
      </c>
    </row>
    <row r="9031">
      <c r="A9031" s="499" t="s">
        <v>13879</v>
      </c>
    </row>
    <row r="9032">
      <c r="A9032" s="499" t="s">
        <v>13880</v>
      </c>
    </row>
    <row r="9033">
      <c r="A9033" s="499" t="s">
        <v>13881</v>
      </c>
    </row>
    <row r="9034">
      <c r="A9034" s="499" t="s">
        <v>13882</v>
      </c>
    </row>
    <row r="9035">
      <c r="A9035" s="499" t="s">
        <v>13883</v>
      </c>
    </row>
    <row r="9036">
      <c r="A9036" s="499" t="s">
        <v>4299</v>
      </c>
    </row>
    <row r="9037">
      <c r="A9037" s="499" t="s">
        <v>4127</v>
      </c>
    </row>
    <row r="9038">
      <c r="A9038" s="499" t="s">
        <v>4107</v>
      </c>
    </row>
    <row r="9039">
      <c r="A9039" s="499" t="s">
        <v>4183</v>
      </c>
    </row>
    <row r="9040">
      <c r="A9040" s="499" t="s">
        <v>4109</v>
      </c>
    </row>
    <row r="9041">
      <c r="A9041" s="499" t="s">
        <v>4117</v>
      </c>
    </row>
    <row r="9042">
      <c r="A9042" s="499" t="s">
        <v>4119</v>
      </c>
    </row>
    <row r="9043">
      <c r="A9043" s="499" t="s">
        <v>4194</v>
      </c>
    </row>
    <row r="9044">
      <c r="A9044" s="499" t="s">
        <v>4203</v>
      </c>
    </row>
    <row r="9045">
      <c r="A9045" s="499" t="s">
        <v>4205</v>
      </c>
    </row>
    <row r="9046">
      <c r="A9046" s="499" t="s">
        <v>4230</v>
      </c>
    </row>
    <row r="9047">
      <c r="A9047" s="499" t="s">
        <v>4177</v>
      </c>
    </row>
    <row r="9048">
      <c r="A9048" s="499" t="s">
        <v>4305</v>
      </c>
    </row>
    <row r="9049">
      <c r="A9049" s="499" t="s">
        <v>4303</v>
      </c>
    </row>
    <row r="9050">
      <c r="A9050" s="499" t="s">
        <v>4130</v>
      </c>
    </row>
    <row r="9051">
      <c r="A9051" s="499" t="s">
        <v>4133</v>
      </c>
    </row>
    <row r="9052">
      <c r="A9052" s="499" t="s">
        <v>4199</v>
      </c>
    </row>
    <row r="9053">
      <c r="A9053" s="499" t="s">
        <v>4242</v>
      </c>
    </row>
    <row r="9054">
      <c r="A9054" s="499" t="s">
        <v>4236</v>
      </c>
    </row>
    <row r="9055">
      <c r="A9055" s="499" t="s">
        <v>4239</v>
      </c>
    </row>
    <row r="9056">
      <c r="A9056" s="499" t="s">
        <v>4196</v>
      </c>
    </row>
    <row r="9057">
      <c r="A9057" s="499" t="s">
        <v>4201</v>
      </c>
    </row>
    <row r="9058">
      <c r="A9058" s="499" t="s">
        <v>4168</v>
      </c>
    </row>
    <row r="9059">
      <c r="A9059" s="499" t="s">
        <v>4138</v>
      </c>
    </row>
    <row r="9060">
      <c r="A9060" s="499" t="s">
        <v>4136</v>
      </c>
    </row>
    <row r="9061">
      <c r="A9061" s="499" t="s">
        <v>4146</v>
      </c>
    </row>
    <row r="9062">
      <c r="A9062" s="499" t="s">
        <v>4142</v>
      </c>
    </row>
    <row r="9063">
      <c r="A9063" s="499" t="s">
        <v>5199</v>
      </c>
    </row>
    <row r="9064">
      <c r="A9064" s="499" t="s">
        <v>4188</v>
      </c>
    </row>
    <row r="9065">
      <c r="A9065" s="499" t="s">
        <v>4156</v>
      </c>
    </row>
    <row r="9066">
      <c r="A9066" s="499" t="s">
        <v>4152</v>
      </c>
    </row>
    <row r="9067">
      <c r="A9067" s="499" t="s">
        <v>4162</v>
      </c>
    </row>
    <row r="9068">
      <c r="A9068" s="499" t="s">
        <v>4190</v>
      </c>
    </row>
    <row r="9069">
      <c r="A9069" s="499" t="s">
        <v>4164</v>
      </c>
    </row>
    <row r="9070">
      <c r="A9070" s="499" t="s">
        <v>4166</v>
      </c>
    </row>
    <row r="9071">
      <c r="A9071" s="499" t="s">
        <v>4270</v>
      </c>
    </row>
    <row r="9072">
      <c r="A9072" s="499" t="s">
        <v>4173</v>
      </c>
    </row>
    <row r="9073">
      <c r="A9073" s="499" t="s">
        <v>4175</v>
      </c>
    </row>
    <row r="9074">
      <c r="A9074" s="499" t="s">
        <v>4181</v>
      </c>
    </row>
    <row r="9075">
      <c r="A9075" s="499" t="s">
        <v>4179</v>
      </c>
    </row>
    <row r="9076">
      <c r="A9076" s="499" t="s">
        <v>4251</v>
      </c>
    </row>
    <row r="9077">
      <c r="A9077" s="499" t="s">
        <v>4253</v>
      </c>
    </row>
    <row r="9078">
      <c r="A9078" s="499" t="s">
        <v>4289</v>
      </c>
    </row>
    <row r="9079">
      <c r="A9079" s="499" t="s">
        <v>4295</v>
      </c>
    </row>
    <row r="9080">
      <c r="A9080" s="499" t="s">
        <v>4301</v>
      </c>
    </row>
    <row r="9081">
      <c r="A9081" s="499" t="s">
        <v>4111</v>
      </c>
    </row>
    <row r="9082">
      <c r="A9082" s="499" t="s">
        <v>4121</v>
      </c>
    </row>
    <row r="9083">
      <c r="A9083" s="499" t="s">
        <v>4207</v>
      </c>
    </row>
    <row r="9084">
      <c r="A9084" s="499" t="s">
        <v>4150</v>
      </c>
    </row>
    <row r="9085">
      <c r="A9085" s="499" t="s">
        <v>4160</v>
      </c>
    </row>
    <row r="9086">
      <c r="A9086" s="499" t="s">
        <v>4170</v>
      </c>
    </row>
    <row r="9087">
      <c r="A9087" s="499" t="s">
        <v>4172</v>
      </c>
    </row>
    <row r="9088">
      <c r="A9088" s="499" t="s">
        <v>4232</v>
      </c>
    </row>
    <row r="9089">
      <c r="A9089" s="499" t="s">
        <v>4291</v>
      </c>
    </row>
    <row r="9090">
      <c r="A9090" s="499" t="s">
        <v>4293</v>
      </c>
    </row>
    <row r="9091">
      <c r="A9091" s="499" t="s">
        <v>5197</v>
      </c>
    </row>
    <row r="9092">
      <c r="A9092" s="499" t="s">
        <v>4123</v>
      </c>
    </row>
    <row r="9093">
      <c r="A9093" s="499" t="s">
        <v>4125</v>
      </c>
    </row>
    <row r="9094">
      <c r="A9094" s="499" t="s">
        <v>4113</v>
      </c>
    </row>
    <row r="9095">
      <c r="A9095" s="499" t="s">
        <v>4115</v>
      </c>
    </row>
    <row r="9096">
      <c r="A9096" s="499" t="s">
        <v>4186</v>
      </c>
    </row>
    <row r="9097">
      <c r="A9097" s="499" t="s">
        <v>4227</v>
      </c>
    </row>
    <row r="9098">
      <c r="A9098" s="499" t="s">
        <v>4212</v>
      </c>
    </row>
    <row r="9099">
      <c r="A9099" s="499" t="s">
        <v>4144</v>
      </c>
    </row>
    <row r="9100">
      <c r="A9100" s="499" t="s">
        <v>4148</v>
      </c>
    </row>
    <row r="9101">
      <c r="A9101" s="499" t="s">
        <v>4154</v>
      </c>
    </row>
    <row r="9102">
      <c r="A9102" s="499" t="s">
        <v>4158</v>
      </c>
    </row>
    <row r="9103">
      <c r="A9103" s="499" t="s">
        <v>4218</v>
      </c>
    </row>
    <row r="9104">
      <c r="A9104" s="499" t="s">
        <v>4209</v>
      </c>
    </row>
    <row r="9105">
      <c r="A9105" s="499" t="s">
        <v>4215</v>
      </c>
    </row>
    <row r="9106">
      <c r="A9106" s="499" t="s">
        <v>4221</v>
      </c>
    </row>
    <row r="9107">
      <c r="A9107" s="499" t="s">
        <v>4260</v>
      </c>
    </row>
    <row r="9108">
      <c r="A9108" s="499" t="s">
        <v>4262</v>
      </c>
    </row>
    <row r="9109">
      <c r="A9109" s="499" t="s">
        <v>4279</v>
      </c>
    </row>
    <row r="9110">
      <c r="A9110" s="499" t="s">
        <v>4281</v>
      </c>
    </row>
    <row r="9111">
      <c r="A9111" s="499" t="s">
        <v>4272</v>
      </c>
    </row>
    <row r="9112">
      <c r="A9112" s="499" t="s">
        <v>5203</v>
      </c>
    </row>
    <row r="9113">
      <c r="A9113" s="499" t="s">
        <v>4274</v>
      </c>
    </row>
    <row r="9114">
      <c r="A9114" s="499" t="s">
        <v>4285</v>
      </c>
    </row>
    <row r="9115">
      <c r="A9115" s="499" t="s">
        <v>4287</v>
      </c>
    </row>
    <row r="9116">
      <c r="A9116" s="499" t="s">
        <v>4297</v>
      </c>
    </row>
    <row r="9117">
      <c r="A9117" s="499" t="s">
        <v>5205</v>
      </c>
    </row>
    <row r="9118">
      <c r="A9118" s="499" t="s">
        <v>4264</v>
      </c>
    </row>
    <row r="9119">
      <c r="A9119" s="499" t="s">
        <v>5201</v>
      </c>
    </row>
    <row r="9120">
      <c r="A9120" s="499" t="s">
        <v>4258</v>
      </c>
    </row>
    <row r="9121">
      <c r="A9121" s="499" t="s">
        <v>4283</v>
      </c>
    </row>
    <row r="9122">
      <c r="A9122" s="499" t="s">
        <v>4275</v>
      </c>
    </row>
    <row r="9123">
      <c r="A9123" s="499" t="s">
        <v>4277</v>
      </c>
    </row>
    <row r="9124">
      <c r="A9124" s="499" t="s">
        <v>4266</v>
      </c>
    </row>
    <row r="9125">
      <c r="A9125" s="499" t="s">
        <v>4268</v>
      </c>
    </row>
    <row r="9126">
      <c r="A9126" s="499" t="s">
        <v>4104</v>
      </c>
    </row>
    <row r="9127">
      <c r="A9127" s="499" t="s">
        <v>4224</v>
      </c>
    </row>
    <row r="9128">
      <c r="A9128" s="499" t="s">
        <v>4255</v>
      </c>
    </row>
    <row r="9129">
      <c r="A9129" s="499" t="s">
        <v>4234</v>
      </c>
    </row>
    <row r="9130">
      <c r="A9130" s="499" t="s">
        <v>5207</v>
      </c>
    </row>
    <row r="9131">
      <c r="A9131" s="499" t="s">
        <v>4245</v>
      </c>
    </row>
    <row r="9132">
      <c r="A9132" s="499" t="s">
        <v>4247</v>
      </c>
    </row>
    <row r="9133">
      <c r="A9133" s="499" t="s">
        <v>4249</v>
      </c>
    </row>
    <row r="9134">
      <c r="A9134" s="499" t="s">
        <v>4192</v>
      </c>
    </row>
    <row r="9135">
      <c r="A9135" s="499" t="s">
        <v>4140</v>
      </c>
    </row>
    <row r="9136">
      <c r="A9136" s="499" t="s">
        <v>13884</v>
      </c>
    </row>
    <row r="9137">
      <c r="A9137" s="499" t="s">
        <v>13885</v>
      </c>
    </row>
    <row r="9138">
      <c r="A9138" s="499" t="s">
        <v>13886</v>
      </c>
    </row>
    <row r="9139">
      <c r="A9139" s="499" t="s">
        <v>13887</v>
      </c>
    </row>
    <row r="9140">
      <c r="A9140" s="499" t="s">
        <v>13888</v>
      </c>
    </row>
    <row r="9141">
      <c r="A9141" s="499" t="s">
        <v>4319</v>
      </c>
    </row>
    <row r="9142">
      <c r="A9142" s="499" t="s">
        <v>13889</v>
      </c>
    </row>
    <row r="9143">
      <c r="A9143" s="499" t="s">
        <v>13890</v>
      </c>
    </row>
    <row r="9144">
      <c r="A9144" s="499" t="s">
        <v>13891</v>
      </c>
    </row>
    <row r="9145">
      <c r="A9145" s="499" t="s">
        <v>13892</v>
      </c>
    </row>
    <row r="9146">
      <c r="A9146" s="499" t="s">
        <v>3921</v>
      </c>
    </row>
    <row r="9147">
      <c r="A9147" s="499" t="s">
        <v>2915</v>
      </c>
    </row>
    <row r="9148">
      <c r="A9148" s="499" t="s">
        <v>2917</v>
      </c>
    </row>
    <row r="9149">
      <c r="A9149" s="499" t="s">
        <v>13893</v>
      </c>
    </row>
    <row r="9150">
      <c r="A9150" s="499" t="s">
        <v>2925</v>
      </c>
    </row>
    <row r="9151">
      <c r="A9151" s="499" t="s">
        <v>2913</v>
      </c>
    </row>
    <row r="9152">
      <c r="A9152" s="499" t="s">
        <v>2134</v>
      </c>
    </row>
    <row r="9153">
      <c r="A9153" s="499" t="s">
        <v>2125</v>
      </c>
    </row>
    <row r="9154">
      <c r="A9154" s="499" t="s">
        <v>2123</v>
      </c>
    </row>
    <row r="9155">
      <c r="A9155" s="499" t="s">
        <v>2275</v>
      </c>
    </row>
    <row r="9156">
      <c r="A9156" s="499" t="s">
        <v>1613</v>
      </c>
    </row>
    <row r="9157">
      <c r="A9157" s="499" t="s">
        <v>2136</v>
      </c>
    </row>
    <row r="9158">
      <c r="A9158" s="499" t="s">
        <v>13894</v>
      </c>
    </row>
    <row r="9159">
      <c r="A9159" s="499" t="s">
        <v>1609</v>
      </c>
    </row>
    <row r="9160">
      <c r="A9160" s="499" t="s">
        <v>2273</v>
      </c>
    </row>
    <row r="9161">
      <c r="A9161" s="499" t="s">
        <v>2624</v>
      </c>
    </row>
    <row r="9162">
      <c r="A9162" s="499" t="s">
        <v>2267</v>
      </c>
    </row>
    <row r="9163">
      <c r="A9163" s="499" t="s">
        <v>2921</v>
      </c>
    </row>
    <row r="9164">
      <c r="A9164" s="499" t="s">
        <v>2278</v>
      </c>
    </row>
    <row r="9165">
      <c r="A9165" s="499" t="s">
        <v>2923</v>
      </c>
    </row>
    <row r="9166">
      <c r="A9166" s="499" t="s">
        <v>2271</v>
      </c>
    </row>
    <row r="9167">
      <c r="A9167" s="499" t="s">
        <v>2919</v>
      </c>
    </row>
    <row r="9168">
      <c r="A9168" s="499" t="s">
        <v>2430</v>
      </c>
    </row>
    <row r="9169">
      <c r="A9169" s="499" t="s">
        <v>2662</v>
      </c>
    </row>
    <row r="9170">
      <c r="A9170" s="499" t="s">
        <v>2269</v>
      </c>
    </row>
    <row r="9171">
      <c r="A9171" s="499" t="s">
        <v>2909</v>
      </c>
    </row>
    <row r="9172">
      <c r="A9172" s="499" t="s">
        <v>2626</v>
      </c>
    </row>
    <row r="9173">
      <c r="A9173" s="499" t="s">
        <v>5940</v>
      </c>
    </row>
    <row r="9174">
      <c r="A9174" s="499" t="s">
        <v>2363</v>
      </c>
    </row>
    <row r="9175">
      <c r="A9175" s="499" t="s">
        <v>2911</v>
      </c>
    </row>
    <row r="9176">
      <c r="A9176" s="499" t="s">
        <v>13895</v>
      </c>
    </row>
    <row r="9177">
      <c r="A9177" s="499" t="s">
        <v>4408</v>
      </c>
    </row>
    <row r="9178">
      <c r="A9178" s="499" t="s">
        <v>4546</v>
      </c>
    </row>
    <row r="9179">
      <c r="A9179" s="499" t="s">
        <v>4500</v>
      </c>
    </row>
    <row r="9180">
      <c r="A9180" s="499" t="s">
        <v>4544</v>
      </c>
    </row>
    <row r="9181">
      <c r="A9181" s="499" t="s">
        <v>4498</v>
      </c>
    </row>
    <row r="9182">
      <c r="A9182" s="499" t="s">
        <v>4520</v>
      </c>
    </row>
    <row r="9183">
      <c r="A9183" s="499" t="s">
        <v>4550</v>
      </c>
    </row>
    <row r="9184">
      <c r="A9184" s="499" t="s">
        <v>4504</v>
      </c>
    </row>
    <row r="9185">
      <c r="A9185" s="499" t="s">
        <v>4548</v>
      </c>
    </row>
    <row r="9186">
      <c r="A9186" s="499" t="s">
        <v>4502</v>
      </c>
    </row>
    <row r="9187">
      <c r="A9187" s="499" t="s">
        <v>4522</v>
      </c>
    </row>
    <row r="9188">
      <c r="A9188" s="499" t="s">
        <v>4554</v>
      </c>
    </row>
    <row r="9189">
      <c r="A9189" s="499" t="s">
        <v>4508</v>
      </c>
    </row>
    <row r="9190">
      <c r="A9190" s="499" t="s">
        <v>4552</v>
      </c>
    </row>
    <row r="9191">
      <c r="A9191" s="499" t="s">
        <v>4506</v>
      </c>
    </row>
    <row r="9192">
      <c r="A9192" s="499" t="s">
        <v>4524</v>
      </c>
    </row>
    <row r="9193">
      <c r="A9193" s="499" t="s">
        <v>4558</v>
      </c>
    </row>
    <row r="9194">
      <c r="A9194" s="499" t="s">
        <v>4512</v>
      </c>
    </row>
    <row r="9195">
      <c r="A9195" s="499" t="s">
        <v>4556</v>
      </c>
    </row>
    <row r="9196">
      <c r="A9196" s="499" t="s">
        <v>4510</v>
      </c>
    </row>
    <row r="9197">
      <c r="A9197" s="499" t="s">
        <v>4526</v>
      </c>
    </row>
    <row r="9198">
      <c r="A9198" s="499" t="s">
        <v>4532</v>
      </c>
    </row>
    <row r="9199">
      <c r="A9199" s="499" t="s">
        <v>4562</v>
      </c>
    </row>
    <row r="9200">
      <c r="A9200" s="499" t="s">
        <v>4516</v>
      </c>
    </row>
    <row r="9201">
      <c r="A9201" s="499" t="s">
        <v>4560</v>
      </c>
    </row>
    <row r="9202">
      <c r="A9202" s="499" t="s">
        <v>4514</v>
      </c>
    </row>
    <row r="9203">
      <c r="A9203" s="499" t="s">
        <v>4528</v>
      </c>
    </row>
    <row r="9204">
      <c r="A9204" s="499" t="s">
        <v>4534</v>
      </c>
    </row>
    <row r="9205">
      <c r="A9205" s="499" t="s">
        <v>4542</v>
      </c>
    </row>
    <row r="9206">
      <c r="A9206" s="499" t="s">
        <v>4496</v>
      </c>
    </row>
    <row r="9207">
      <c r="A9207" s="499" t="s">
        <v>4540</v>
      </c>
    </row>
    <row r="9208">
      <c r="A9208" s="499" t="s">
        <v>4494</v>
      </c>
    </row>
    <row r="9209">
      <c r="A9209" s="499" t="s">
        <v>4518</v>
      </c>
    </row>
    <row r="9210">
      <c r="A9210" s="499" t="s">
        <v>4530</v>
      </c>
    </row>
    <row r="9211">
      <c r="A9211" s="499" t="s">
        <v>6277</v>
      </c>
    </row>
    <row r="9212">
      <c r="A9212" s="499" t="s">
        <v>6279</v>
      </c>
    </row>
    <row r="9213">
      <c r="A9213" s="499" t="s">
        <v>6281</v>
      </c>
    </row>
    <row r="9214">
      <c r="A9214" s="499" t="s">
        <v>6283</v>
      </c>
    </row>
    <row r="9215">
      <c r="A9215" s="499" t="s">
        <v>6275</v>
      </c>
    </row>
    <row r="9216">
      <c r="A9216" s="499" t="s">
        <v>1986</v>
      </c>
    </row>
    <row r="9217">
      <c r="A9217" s="499" t="s">
        <v>956</v>
      </c>
    </row>
    <row r="9218">
      <c r="A9218" s="499" t="s">
        <v>13896</v>
      </c>
    </row>
    <row r="9219">
      <c r="A9219" s="499" t="s">
        <v>3582</v>
      </c>
    </row>
    <row r="9220">
      <c r="A9220" s="499" t="s">
        <v>3584</v>
      </c>
    </row>
    <row r="9221">
      <c r="A9221" s="499" t="s">
        <v>4048</v>
      </c>
    </row>
    <row r="9222">
      <c r="A9222" s="499" t="s">
        <v>2365</v>
      </c>
    </row>
    <row r="9223">
      <c r="A9223" s="499" t="s">
        <v>2367</v>
      </c>
    </row>
    <row r="9224">
      <c r="A9224" s="499" t="s">
        <v>870</v>
      </c>
    </row>
    <row r="9225">
      <c r="A9225" s="499" t="s">
        <v>872</v>
      </c>
    </row>
    <row r="9226">
      <c r="A9226" s="499" t="s">
        <v>865</v>
      </c>
    </row>
    <row r="9227">
      <c r="A9227" s="499" t="s">
        <v>868</v>
      </c>
    </row>
    <row r="9228">
      <c r="A9228" s="499" t="s">
        <v>1988</v>
      </c>
    </row>
    <row r="9229">
      <c r="A9229" s="499" t="s">
        <v>1990</v>
      </c>
    </row>
    <row r="9230">
      <c r="A9230" s="499" t="s">
        <v>4990</v>
      </c>
    </row>
    <row r="9231">
      <c r="A9231" s="499" t="s">
        <v>4492</v>
      </c>
    </row>
    <row r="9232">
      <c r="A9232" s="499" t="s">
        <v>4536</v>
      </c>
    </row>
    <row r="9233">
      <c r="A9233" s="499" t="s">
        <v>2369</v>
      </c>
    </row>
    <row r="9234">
      <c r="A9234" s="499" t="s">
        <v>782</v>
      </c>
    </row>
    <row r="9235">
      <c r="A9235" s="499" t="s">
        <v>4538</v>
      </c>
    </row>
    <row r="9236">
      <c r="A9236" s="499" t="s">
        <v>13897</v>
      </c>
    </row>
    <row r="9237">
      <c r="A9237" s="499" t="s">
        <v>13898</v>
      </c>
    </row>
    <row r="9238">
      <c r="A9238" s="499" t="s">
        <v>13899</v>
      </c>
    </row>
    <row r="9239">
      <c r="A9239" s="499" t="s">
        <v>13900</v>
      </c>
    </row>
    <row r="9240">
      <c r="A9240" s="499" t="s">
        <v>13901</v>
      </c>
    </row>
    <row r="9241">
      <c r="A9241" s="499" t="s">
        <v>13902</v>
      </c>
    </row>
    <row r="9242">
      <c r="A9242" s="499" t="s">
        <v>13903</v>
      </c>
    </row>
    <row r="9243">
      <c r="A9243" s="499" t="s">
        <v>13904</v>
      </c>
    </row>
    <row r="9244">
      <c r="A9244" s="499" t="s">
        <v>13905</v>
      </c>
    </row>
    <row r="9245">
      <c r="A9245" s="499" t="s">
        <v>13906</v>
      </c>
    </row>
    <row r="9246">
      <c r="A9246" s="499" t="s">
        <v>13907</v>
      </c>
    </row>
    <row r="9247">
      <c r="A9247" s="499" t="s">
        <v>13908</v>
      </c>
    </row>
    <row r="9248">
      <c r="A9248" s="499" t="s">
        <v>13909</v>
      </c>
    </row>
    <row r="9249">
      <c r="A9249" s="499" t="s">
        <v>13910</v>
      </c>
    </row>
    <row r="9250">
      <c r="A9250" s="499" t="s">
        <v>13911</v>
      </c>
    </row>
    <row r="9251">
      <c r="A9251" s="499" t="s">
        <v>13912</v>
      </c>
    </row>
    <row r="9252">
      <c r="A9252" s="499" t="s">
        <v>13913</v>
      </c>
    </row>
    <row r="9253">
      <c r="A9253" s="499" t="s">
        <v>13914</v>
      </c>
    </row>
    <row r="9254">
      <c r="A9254" s="499" t="s">
        <v>13915</v>
      </c>
    </row>
    <row r="9255">
      <c r="A9255" s="499" t="s">
        <v>13916</v>
      </c>
    </row>
    <row r="9256">
      <c r="A9256" s="499" t="s">
        <v>13917</v>
      </c>
    </row>
    <row r="9257">
      <c r="A9257" s="499" t="s">
        <v>13918</v>
      </c>
    </row>
    <row r="9258">
      <c r="A9258" s="499" t="s">
        <v>13919</v>
      </c>
    </row>
    <row r="9259">
      <c r="A9259" s="499" t="s">
        <v>13920</v>
      </c>
    </row>
    <row r="9260">
      <c r="A9260" s="499" t="s">
        <v>13921</v>
      </c>
    </row>
    <row r="9261">
      <c r="A9261" s="499" t="s">
        <v>13922</v>
      </c>
    </row>
    <row r="9262">
      <c r="A9262" s="499" t="s">
        <v>13923</v>
      </c>
    </row>
    <row r="9263">
      <c r="A9263" s="499" t="s">
        <v>13924</v>
      </c>
    </row>
    <row r="9264">
      <c r="A9264" s="499" t="s">
        <v>13925</v>
      </c>
    </row>
    <row r="9265">
      <c r="A9265" s="499" t="s">
        <v>13926</v>
      </c>
    </row>
    <row r="9266">
      <c r="A9266" s="499" t="s">
        <v>13927</v>
      </c>
    </row>
    <row r="9267">
      <c r="A9267" s="499" t="s">
        <v>13928</v>
      </c>
    </row>
    <row r="9268">
      <c r="A9268" s="499" t="s">
        <v>13929</v>
      </c>
    </row>
    <row r="9269">
      <c r="A9269" s="499" t="s">
        <v>13930</v>
      </c>
    </row>
    <row r="9270">
      <c r="A9270" s="499" t="s">
        <v>13931</v>
      </c>
    </row>
    <row r="9271">
      <c r="A9271" s="499" t="s">
        <v>13932</v>
      </c>
    </row>
    <row r="9272">
      <c r="A9272" s="499" t="s">
        <v>13933</v>
      </c>
    </row>
    <row r="9273">
      <c r="A9273" s="499" t="s">
        <v>13934</v>
      </c>
    </row>
    <row r="9274">
      <c r="A9274" s="499" t="s">
        <v>13935</v>
      </c>
    </row>
    <row r="9275">
      <c r="A9275" s="499" t="s">
        <v>13936</v>
      </c>
    </row>
    <row r="9276">
      <c r="A9276" s="499" t="s">
        <v>13937</v>
      </c>
    </row>
    <row r="9277">
      <c r="A9277" s="499" t="s">
        <v>13938</v>
      </c>
    </row>
    <row r="9278">
      <c r="A9278" s="499" t="s">
        <v>13939</v>
      </c>
    </row>
    <row r="9279">
      <c r="A9279" s="499" t="s">
        <v>13940</v>
      </c>
    </row>
    <row r="9280">
      <c r="A9280" s="499" t="s">
        <v>13941</v>
      </c>
    </row>
    <row r="9281">
      <c r="A9281" s="499" t="s">
        <v>13942</v>
      </c>
    </row>
    <row r="9282">
      <c r="A9282" s="499" t="s">
        <v>13943</v>
      </c>
    </row>
    <row r="9283">
      <c r="A9283" s="499" t="s">
        <v>13944</v>
      </c>
    </row>
    <row r="9284">
      <c r="A9284" s="499" t="s">
        <v>13945</v>
      </c>
    </row>
    <row r="9285">
      <c r="A9285" s="499" t="s">
        <v>13946</v>
      </c>
    </row>
    <row r="9286">
      <c r="A9286" s="499" t="s">
        <v>13947</v>
      </c>
    </row>
    <row r="9287">
      <c r="A9287" s="499" t="s">
        <v>13948</v>
      </c>
    </row>
    <row r="9288">
      <c r="A9288" s="499" t="s">
        <v>13949</v>
      </c>
    </row>
    <row r="9289">
      <c r="A9289" s="499" t="s">
        <v>13950</v>
      </c>
    </row>
    <row r="9290">
      <c r="A9290" s="499" t="s">
        <v>13951</v>
      </c>
    </row>
    <row r="9291">
      <c r="A9291" s="499" t="s">
        <v>13952</v>
      </c>
    </row>
    <row r="9292">
      <c r="A9292" s="499" t="s">
        <v>13953</v>
      </c>
    </row>
    <row r="9293">
      <c r="A9293" s="499" t="s">
        <v>13954</v>
      </c>
    </row>
    <row r="9294">
      <c r="A9294" s="499" t="s">
        <v>13955</v>
      </c>
    </row>
    <row r="9295">
      <c r="A9295" s="499" t="s">
        <v>13956</v>
      </c>
    </row>
    <row r="9296">
      <c r="A9296" s="499" t="s">
        <v>13957</v>
      </c>
    </row>
    <row r="9297">
      <c r="A9297" s="499" t="s">
        <v>13958</v>
      </c>
    </row>
    <row r="9298">
      <c r="A9298" s="499" t="s">
        <v>13959</v>
      </c>
    </row>
    <row r="9299">
      <c r="A9299" s="499" t="s">
        <v>13960</v>
      </c>
    </row>
    <row r="9300">
      <c r="A9300" s="499" t="s">
        <v>13961</v>
      </c>
    </row>
    <row r="9301">
      <c r="A9301" s="499" t="s">
        <v>13962</v>
      </c>
    </row>
    <row r="9302">
      <c r="A9302" s="499" t="s">
        <v>13963</v>
      </c>
    </row>
    <row r="9303">
      <c r="A9303" s="499" t="s">
        <v>13964</v>
      </c>
    </row>
    <row r="9304">
      <c r="A9304" s="499" t="s">
        <v>13965</v>
      </c>
    </row>
    <row r="9305">
      <c r="A9305" s="499" t="s">
        <v>13966</v>
      </c>
    </row>
    <row r="9306">
      <c r="A9306" s="499" t="s">
        <v>13967</v>
      </c>
    </row>
    <row r="9307">
      <c r="A9307" s="499" t="s">
        <v>13968</v>
      </c>
    </row>
    <row r="9308">
      <c r="A9308" s="499" t="s">
        <v>13969</v>
      </c>
    </row>
    <row r="9309">
      <c r="A9309" s="499" t="s">
        <v>13970</v>
      </c>
    </row>
    <row r="9310">
      <c r="A9310" s="499" t="s">
        <v>13971</v>
      </c>
    </row>
    <row r="9311">
      <c r="A9311" s="499" t="s">
        <v>13972</v>
      </c>
    </row>
    <row r="9312">
      <c r="A9312" s="499" t="s">
        <v>13973</v>
      </c>
    </row>
    <row r="9313">
      <c r="A9313" s="499" t="s">
        <v>13974</v>
      </c>
    </row>
    <row r="9314">
      <c r="A9314" s="499" t="s">
        <v>13975</v>
      </c>
    </row>
    <row r="9315">
      <c r="A9315" s="499" t="s">
        <v>13976</v>
      </c>
    </row>
    <row r="9316">
      <c r="A9316" s="499" t="s">
        <v>13977</v>
      </c>
    </row>
    <row r="9317">
      <c r="A9317" s="499" t="s">
        <v>13978</v>
      </c>
    </row>
    <row r="9318">
      <c r="A9318" s="499" t="s">
        <v>13979</v>
      </c>
    </row>
    <row r="9319">
      <c r="A9319" s="499" t="s">
        <v>13980</v>
      </c>
    </row>
    <row r="9320">
      <c r="A9320" s="499" t="s">
        <v>13981</v>
      </c>
    </row>
    <row r="9321">
      <c r="A9321" s="499" t="s">
        <v>13982</v>
      </c>
    </row>
    <row r="9322">
      <c r="A9322" s="499" t="s">
        <v>13983</v>
      </c>
    </row>
    <row r="9323">
      <c r="A9323" s="499" t="s">
        <v>13984</v>
      </c>
    </row>
    <row r="9324">
      <c r="A9324" s="499" t="s">
        <v>13985</v>
      </c>
    </row>
    <row r="9325">
      <c r="A9325" s="499" t="s">
        <v>13986</v>
      </c>
    </row>
    <row r="9326">
      <c r="A9326" s="499" t="s">
        <v>13987</v>
      </c>
    </row>
    <row r="9327">
      <c r="A9327" s="499" t="s">
        <v>13988</v>
      </c>
    </row>
    <row r="9328">
      <c r="A9328" s="499" t="s">
        <v>13989</v>
      </c>
    </row>
    <row r="9329">
      <c r="A9329" s="499" t="s">
        <v>13990</v>
      </c>
    </row>
    <row r="9330">
      <c r="A9330" s="499" t="s">
        <v>13991</v>
      </c>
    </row>
    <row r="9331">
      <c r="A9331" s="499" t="s">
        <v>13992</v>
      </c>
    </row>
    <row r="9332">
      <c r="A9332" s="499" t="s">
        <v>13993</v>
      </c>
    </row>
    <row r="9333">
      <c r="A9333" s="499" t="s">
        <v>13994</v>
      </c>
    </row>
    <row r="9334">
      <c r="A9334" s="499" t="s">
        <v>13995</v>
      </c>
    </row>
    <row r="9335">
      <c r="A9335" s="499" t="s">
        <v>13996</v>
      </c>
    </row>
    <row r="9336">
      <c r="A9336" s="499" t="s">
        <v>13997</v>
      </c>
    </row>
    <row r="9337">
      <c r="A9337" s="499" t="s">
        <v>13998</v>
      </c>
    </row>
    <row r="9338">
      <c r="A9338" s="499" t="s">
        <v>13999</v>
      </c>
    </row>
    <row r="9339">
      <c r="A9339" s="499" t="s">
        <v>14000</v>
      </c>
    </row>
    <row r="9340">
      <c r="A9340" s="499" t="s">
        <v>14001</v>
      </c>
    </row>
    <row r="9341">
      <c r="A9341" s="499" t="s">
        <v>14002</v>
      </c>
    </row>
    <row r="9342">
      <c r="A9342" s="499" t="s">
        <v>14003</v>
      </c>
    </row>
    <row r="9343">
      <c r="A9343" s="499" t="s">
        <v>14004</v>
      </c>
    </row>
    <row r="9344">
      <c r="A9344" s="499" t="s">
        <v>14005</v>
      </c>
    </row>
    <row r="9345">
      <c r="A9345" s="499" t="s">
        <v>14006</v>
      </c>
    </row>
    <row r="9346">
      <c r="A9346" s="499" t="s">
        <v>14007</v>
      </c>
    </row>
    <row r="9347">
      <c r="A9347" s="499" t="s">
        <v>14008</v>
      </c>
    </row>
    <row r="9348">
      <c r="A9348" s="499" t="s">
        <v>14009</v>
      </c>
    </row>
    <row r="9349">
      <c r="A9349" s="499" t="s">
        <v>14010</v>
      </c>
    </row>
    <row r="9350">
      <c r="A9350" s="499" t="s">
        <v>14011</v>
      </c>
    </row>
    <row r="9351">
      <c r="A9351" s="499" t="s">
        <v>14012</v>
      </c>
    </row>
    <row r="9352">
      <c r="A9352" s="499" t="s">
        <v>14013</v>
      </c>
    </row>
    <row r="9353">
      <c r="A9353" s="499" t="s">
        <v>14014</v>
      </c>
    </row>
    <row r="9354">
      <c r="A9354" s="499" t="s">
        <v>14015</v>
      </c>
    </row>
    <row r="9355">
      <c r="A9355" s="499" t="s">
        <v>14016</v>
      </c>
    </row>
    <row r="9356">
      <c r="A9356" s="499" t="s">
        <v>14017</v>
      </c>
    </row>
    <row r="9357">
      <c r="A9357" s="499" t="s">
        <v>14018</v>
      </c>
    </row>
    <row r="9358">
      <c r="A9358" s="499" t="s">
        <v>14019</v>
      </c>
    </row>
    <row r="9359">
      <c r="A9359" s="499" t="s">
        <v>14020</v>
      </c>
    </row>
    <row r="9360">
      <c r="A9360" s="499" t="s">
        <v>14021</v>
      </c>
    </row>
    <row r="9361">
      <c r="A9361" s="499" t="s">
        <v>14022</v>
      </c>
    </row>
    <row r="9362">
      <c r="A9362" s="499" t="s">
        <v>14023</v>
      </c>
    </row>
    <row r="9363">
      <c r="A9363" s="499" t="s">
        <v>14024</v>
      </c>
    </row>
    <row r="9364">
      <c r="A9364" s="499" t="s">
        <v>14025</v>
      </c>
    </row>
    <row r="9365">
      <c r="A9365" s="499" t="s">
        <v>14026</v>
      </c>
    </row>
    <row r="9366">
      <c r="A9366" s="499" t="s">
        <v>14027</v>
      </c>
    </row>
    <row r="9367">
      <c r="A9367" s="499" t="s">
        <v>14028</v>
      </c>
    </row>
    <row r="9368">
      <c r="A9368" s="499" t="s">
        <v>14029</v>
      </c>
    </row>
    <row r="9369">
      <c r="A9369" s="499" t="s">
        <v>14030</v>
      </c>
    </row>
    <row r="9370">
      <c r="A9370" s="499" t="s">
        <v>14031</v>
      </c>
    </row>
    <row r="9371">
      <c r="A9371" s="499" t="s">
        <v>14032</v>
      </c>
    </row>
    <row r="9372">
      <c r="A9372" s="499" t="s">
        <v>14033</v>
      </c>
    </row>
    <row r="9373">
      <c r="A9373" s="499" t="s">
        <v>14034</v>
      </c>
    </row>
    <row r="9374">
      <c r="A9374" s="499" t="s">
        <v>14035</v>
      </c>
    </row>
    <row r="9375">
      <c r="A9375" s="499" t="s">
        <v>14036</v>
      </c>
    </row>
    <row r="9376">
      <c r="A9376" s="499" t="s">
        <v>14037</v>
      </c>
    </row>
    <row r="9377">
      <c r="A9377" s="499" t="s">
        <v>14038</v>
      </c>
    </row>
    <row r="9378">
      <c r="A9378" s="499" t="s">
        <v>14039</v>
      </c>
    </row>
    <row r="9379">
      <c r="A9379" s="499" t="s">
        <v>14040</v>
      </c>
    </row>
    <row r="9380">
      <c r="A9380" s="499" t="s">
        <v>14041</v>
      </c>
    </row>
    <row r="9381">
      <c r="A9381" s="499" t="s">
        <v>14042</v>
      </c>
    </row>
    <row r="9382">
      <c r="A9382" s="499" t="s">
        <v>14043</v>
      </c>
    </row>
    <row r="9383">
      <c r="A9383" s="499" t="s">
        <v>14044</v>
      </c>
    </row>
    <row r="9384">
      <c r="A9384" s="499" t="s">
        <v>14045</v>
      </c>
    </row>
    <row r="9385">
      <c r="A9385" s="499" t="s">
        <v>14046</v>
      </c>
    </row>
    <row r="9386">
      <c r="A9386" s="499" t="s">
        <v>14047</v>
      </c>
    </row>
    <row r="9387">
      <c r="A9387" s="499" t="s">
        <v>14048</v>
      </c>
    </row>
    <row r="9388">
      <c r="A9388" s="499" t="s">
        <v>14049</v>
      </c>
    </row>
    <row r="9389">
      <c r="A9389" s="499" t="s">
        <v>14050</v>
      </c>
    </row>
    <row r="9390">
      <c r="A9390" s="499" t="s">
        <v>14051</v>
      </c>
    </row>
    <row r="9391">
      <c r="A9391" s="499" t="s">
        <v>14052</v>
      </c>
    </row>
    <row r="9392">
      <c r="A9392" s="499" t="s">
        <v>14053</v>
      </c>
    </row>
    <row r="9393">
      <c r="A9393" s="499" t="s">
        <v>14054</v>
      </c>
    </row>
    <row r="9394">
      <c r="A9394" s="499" t="s">
        <v>14055</v>
      </c>
    </row>
    <row r="9395">
      <c r="A9395" s="499" t="s">
        <v>14056</v>
      </c>
    </row>
    <row r="9396">
      <c r="A9396" s="499" t="s">
        <v>14057</v>
      </c>
    </row>
    <row r="9397">
      <c r="A9397" s="499" t="s">
        <v>14058</v>
      </c>
    </row>
    <row r="9398">
      <c r="A9398" s="499" t="s">
        <v>14059</v>
      </c>
    </row>
    <row r="9399">
      <c r="A9399" s="499" t="s">
        <v>14060</v>
      </c>
    </row>
    <row r="9400">
      <c r="A9400" s="499" t="s">
        <v>14061</v>
      </c>
    </row>
    <row r="9401">
      <c r="A9401" s="499" t="s">
        <v>14062</v>
      </c>
    </row>
    <row r="9402">
      <c r="A9402" s="499" t="s">
        <v>14063</v>
      </c>
    </row>
    <row r="9403">
      <c r="A9403" s="499" t="s">
        <v>14064</v>
      </c>
    </row>
    <row r="9404">
      <c r="A9404" s="499" t="s">
        <v>14065</v>
      </c>
    </row>
    <row r="9405">
      <c r="A9405" s="499" t="s">
        <v>14066</v>
      </c>
    </row>
    <row r="9406">
      <c r="A9406" s="499" t="s">
        <v>14067</v>
      </c>
    </row>
    <row r="9407">
      <c r="A9407" s="499" t="s">
        <v>14068</v>
      </c>
    </row>
    <row r="9408">
      <c r="A9408" s="499" t="s">
        <v>14069</v>
      </c>
    </row>
    <row r="9409">
      <c r="A9409" s="499" t="s">
        <v>14070</v>
      </c>
    </row>
    <row r="9410">
      <c r="A9410" s="499" t="s">
        <v>14071</v>
      </c>
    </row>
    <row r="9411">
      <c r="A9411" s="499" t="s">
        <v>14072</v>
      </c>
    </row>
    <row r="9412">
      <c r="A9412" s="499" t="s">
        <v>14073</v>
      </c>
    </row>
    <row r="9413">
      <c r="A9413" s="499" t="s">
        <v>14074</v>
      </c>
    </row>
    <row r="9414">
      <c r="A9414" s="499" t="s">
        <v>14075</v>
      </c>
    </row>
    <row r="9415">
      <c r="A9415" s="499" t="s">
        <v>14076</v>
      </c>
    </row>
    <row r="9416">
      <c r="A9416" s="499" t="s">
        <v>14077</v>
      </c>
    </row>
    <row r="9417">
      <c r="A9417" s="499" t="s">
        <v>14078</v>
      </c>
    </row>
    <row r="9418">
      <c r="A9418" s="499" t="s">
        <v>14079</v>
      </c>
    </row>
    <row r="9419">
      <c r="A9419" s="499" t="s">
        <v>14080</v>
      </c>
    </row>
    <row r="9420">
      <c r="A9420" s="499" t="s">
        <v>14081</v>
      </c>
    </row>
    <row r="9421">
      <c r="A9421" s="499" t="s">
        <v>14082</v>
      </c>
    </row>
    <row r="9422">
      <c r="A9422" s="499" t="s">
        <v>14083</v>
      </c>
    </row>
    <row r="9423">
      <c r="A9423" s="499" t="s">
        <v>14084</v>
      </c>
    </row>
    <row r="9424">
      <c r="A9424" s="499" t="s">
        <v>14085</v>
      </c>
    </row>
    <row r="9425">
      <c r="A9425" s="499" t="s">
        <v>14086</v>
      </c>
    </row>
    <row r="9426">
      <c r="A9426" s="499" t="s">
        <v>14087</v>
      </c>
    </row>
    <row r="9427">
      <c r="A9427" s="499" t="s">
        <v>14088</v>
      </c>
    </row>
    <row r="9428">
      <c r="A9428" s="499" t="s">
        <v>14089</v>
      </c>
    </row>
    <row r="9429">
      <c r="A9429" s="499" t="s">
        <v>14090</v>
      </c>
    </row>
    <row r="9430">
      <c r="A9430" s="499" t="s">
        <v>14091</v>
      </c>
    </row>
    <row r="9431">
      <c r="A9431" s="499" t="s">
        <v>14092</v>
      </c>
    </row>
    <row r="9432">
      <c r="A9432" s="499" t="s">
        <v>14093</v>
      </c>
    </row>
    <row r="9433">
      <c r="A9433" s="499" t="s">
        <v>14094</v>
      </c>
    </row>
    <row r="9434">
      <c r="A9434" s="499" t="s">
        <v>14095</v>
      </c>
    </row>
    <row r="9435">
      <c r="A9435" s="499" t="s">
        <v>14096</v>
      </c>
    </row>
    <row r="9436">
      <c r="A9436" s="499" t="s">
        <v>14097</v>
      </c>
    </row>
    <row r="9437">
      <c r="A9437" s="499" t="s">
        <v>14098</v>
      </c>
    </row>
    <row r="9438">
      <c r="A9438" s="499" t="s">
        <v>14099</v>
      </c>
    </row>
    <row r="9439">
      <c r="A9439" s="499" t="s">
        <v>14100</v>
      </c>
    </row>
    <row r="9440">
      <c r="A9440" s="499" t="s">
        <v>14101</v>
      </c>
    </row>
    <row r="9441">
      <c r="A9441" s="499" t="s">
        <v>14102</v>
      </c>
    </row>
    <row r="9442">
      <c r="A9442" s="499" t="s">
        <v>14103</v>
      </c>
    </row>
    <row r="9443">
      <c r="A9443" s="499" t="s">
        <v>14104</v>
      </c>
    </row>
    <row r="9444">
      <c r="A9444" s="499" t="s">
        <v>14105</v>
      </c>
    </row>
    <row r="9445">
      <c r="A9445" s="499" t="s">
        <v>14106</v>
      </c>
    </row>
    <row r="9446">
      <c r="A9446" s="499" t="s">
        <v>14107</v>
      </c>
    </row>
    <row r="9447">
      <c r="A9447" s="499" t="s">
        <v>14108</v>
      </c>
    </row>
    <row r="9448">
      <c r="A9448" s="499" t="s">
        <v>14109</v>
      </c>
    </row>
    <row r="9449">
      <c r="A9449" s="499" t="s">
        <v>14110</v>
      </c>
    </row>
    <row r="9450">
      <c r="A9450" s="499" t="s">
        <v>14111</v>
      </c>
    </row>
    <row r="9451">
      <c r="A9451" s="499" t="s">
        <v>14112</v>
      </c>
    </row>
    <row r="9452">
      <c r="A9452" s="499" t="s">
        <v>14113</v>
      </c>
    </row>
    <row r="9453">
      <c r="A9453" s="499" t="s">
        <v>14114</v>
      </c>
    </row>
    <row r="9454">
      <c r="A9454" s="499" t="s">
        <v>14115</v>
      </c>
    </row>
    <row r="9455">
      <c r="A9455" s="499" t="s">
        <v>14116</v>
      </c>
    </row>
    <row r="9456">
      <c r="A9456" s="499" t="s">
        <v>14117</v>
      </c>
    </row>
    <row r="9457">
      <c r="A9457" s="499" t="s">
        <v>14118</v>
      </c>
    </row>
    <row r="9458">
      <c r="A9458" s="499" t="s">
        <v>14119</v>
      </c>
    </row>
    <row r="9459">
      <c r="A9459" s="499" t="s">
        <v>14120</v>
      </c>
    </row>
    <row r="9460">
      <c r="A9460" s="499" t="s">
        <v>14121</v>
      </c>
    </row>
    <row r="9461">
      <c r="A9461" s="499" t="s">
        <v>14122</v>
      </c>
    </row>
    <row r="9462">
      <c r="A9462" s="499" t="s">
        <v>14123</v>
      </c>
    </row>
    <row r="9463">
      <c r="A9463" s="499" t="s">
        <v>14124</v>
      </c>
    </row>
    <row r="9464">
      <c r="A9464" s="499" t="s">
        <v>14125</v>
      </c>
    </row>
    <row r="9465">
      <c r="A9465" s="499" t="s">
        <v>14126</v>
      </c>
    </row>
    <row r="9466">
      <c r="A9466" s="499" t="s">
        <v>14127</v>
      </c>
    </row>
    <row r="9467">
      <c r="A9467" s="499" t="s">
        <v>14128</v>
      </c>
    </row>
    <row r="9468">
      <c r="A9468" s="499" t="s">
        <v>14129</v>
      </c>
    </row>
    <row r="9469">
      <c r="A9469" s="499" t="s">
        <v>14130</v>
      </c>
    </row>
    <row r="9470">
      <c r="A9470" s="499" t="s">
        <v>14131</v>
      </c>
    </row>
    <row r="9471">
      <c r="A9471" s="499" t="s">
        <v>14132</v>
      </c>
    </row>
    <row r="9472">
      <c r="A9472" s="499" t="s">
        <v>14133</v>
      </c>
    </row>
    <row r="9473">
      <c r="A9473" s="499" t="s">
        <v>14134</v>
      </c>
    </row>
    <row r="9474">
      <c r="A9474" s="499" t="s">
        <v>14135</v>
      </c>
    </row>
    <row r="9475">
      <c r="A9475" s="499" t="s">
        <v>14136</v>
      </c>
    </row>
    <row r="9476">
      <c r="A9476" s="499" t="s">
        <v>14137</v>
      </c>
    </row>
    <row r="9477">
      <c r="A9477" s="499" t="s">
        <v>14138</v>
      </c>
    </row>
    <row r="9478">
      <c r="A9478" s="499" t="s">
        <v>14139</v>
      </c>
    </row>
    <row r="9479">
      <c r="A9479" s="499" t="s">
        <v>14140</v>
      </c>
    </row>
    <row r="9480">
      <c r="A9480" s="499" t="s">
        <v>14141</v>
      </c>
    </row>
    <row r="9481">
      <c r="A9481" s="499" t="s">
        <v>14142</v>
      </c>
    </row>
    <row r="9482">
      <c r="A9482" s="499" t="s">
        <v>14143</v>
      </c>
    </row>
    <row r="9483">
      <c r="A9483" s="499" t="s">
        <v>14144</v>
      </c>
    </row>
    <row r="9484">
      <c r="A9484" s="499" t="s">
        <v>14145</v>
      </c>
    </row>
    <row r="9485">
      <c r="A9485" s="499" t="s">
        <v>14146</v>
      </c>
    </row>
    <row r="9486">
      <c r="A9486" s="499" t="s">
        <v>14147</v>
      </c>
    </row>
    <row r="9487">
      <c r="A9487" s="499" t="s">
        <v>14148</v>
      </c>
    </row>
    <row r="9488">
      <c r="A9488" s="499" t="s">
        <v>14149</v>
      </c>
    </row>
    <row r="9489">
      <c r="A9489" s="499" t="s">
        <v>14150</v>
      </c>
    </row>
    <row r="9490">
      <c r="A9490" s="499" t="s">
        <v>14151</v>
      </c>
    </row>
    <row r="9491">
      <c r="A9491" s="499" t="s">
        <v>14152</v>
      </c>
    </row>
    <row r="9492">
      <c r="A9492" s="499" t="s">
        <v>14153</v>
      </c>
    </row>
    <row r="9493">
      <c r="A9493" s="499" t="s">
        <v>14154</v>
      </c>
    </row>
    <row r="9494">
      <c r="A9494" s="499" t="s">
        <v>14155</v>
      </c>
    </row>
    <row r="9495">
      <c r="A9495" s="499" t="s">
        <v>14156</v>
      </c>
    </row>
    <row r="9496">
      <c r="A9496" s="499" t="s">
        <v>14157</v>
      </c>
    </row>
    <row r="9497">
      <c r="A9497" s="499" t="s">
        <v>14158</v>
      </c>
    </row>
    <row r="9498">
      <c r="A9498" s="499" t="s">
        <v>14159</v>
      </c>
    </row>
    <row r="9499">
      <c r="A9499" s="499" t="s">
        <v>14160</v>
      </c>
    </row>
    <row r="9500">
      <c r="A9500" s="499" t="s">
        <v>14161</v>
      </c>
    </row>
    <row r="9501">
      <c r="A9501" s="499" t="s">
        <v>14162</v>
      </c>
    </row>
    <row r="9502">
      <c r="A9502" s="499" t="s">
        <v>14163</v>
      </c>
    </row>
    <row r="9503">
      <c r="A9503" s="499" t="s">
        <v>14164</v>
      </c>
    </row>
    <row r="9504">
      <c r="A9504" s="499" t="s">
        <v>14165</v>
      </c>
    </row>
    <row r="9505">
      <c r="A9505" s="499" t="s">
        <v>14166</v>
      </c>
    </row>
    <row r="9506">
      <c r="A9506" s="499" t="s">
        <v>14167</v>
      </c>
    </row>
    <row r="9507">
      <c r="A9507" s="499" t="s">
        <v>14168</v>
      </c>
    </row>
    <row r="9508">
      <c r="A9508" s="499" t="s">
        <v>14169</v>
      </c>
    </row>
    <row r="9509">
      <c r="A9509" s="499" t="s">
        <v>14170</v>
      </c>
    </row>
    <row r="9510">
      <c r="A9510" s="499" t="s">
        <v>14171</v>
      </c>
    </row>
    <row r="9511">
      <c r="A9511" s="499" t="s">
        <v>14172</v>
      </c>
    </row>
    <row r="9512">
      <c r="A9512" s="499" t="s">
        <v>14173</v>
      </c>
    </row>
    <row r="9513">
      <c r="A9513" s="499" t="s">
        <v>14174</v>
      </c>
    </row>
    <row r="9514">
      <c r="A9514" s="499" t="s">
        <v>14175</v>
      </c>
    </row>
    <row r="9515">
      <c r="A9515" s="499" t="s">
        <v>14176</v>
      </c>
    </row>
    <row r="9516">
      <c r="A9516" s="499" t="s">
        <v>14177</v>
      </c>
    </row>
    <row r="9517">
      <c r="A9517" s="499" t="s">
        <v>14178</v>
      </c>
    </row>
    <row r="9518">
      <c r="A9518" s="499" t="s">
        <v>14179</v>
      </c>
    </row>
    <row r="9519">
      <c r="A9519" s="499" t="s">
        <v>14180</v>
      </c>
    </row>
    <row r="9520">
      <c r="A9520" s="499" t="s">
        <v>14181</v>
      </c>
    </row>
    <row r="9521">
      <c r="A9521" s="499" t="s">
        <v>14182</v>
      </c>
    </row>
    <row r="9522">
      <c r="A9522" s="499" t="s">
        <v>14183</v>
      </c>
    </row>
    <row r="9523">
      <c r="A9523" s="499" t="s">
        <v>14184</v>
      </c>
    </row>
    <row r="9524">
      <c r="A9524" s="499" t="s">
        <v>14185</v>
      </c>
    </row>
    <row r="9525">
      <c r="A9525" s="499" t="s">
        <v>14186</v>
      </c>
    </row>
    <row r="9526">
      <c r="A9526" s="499" t="s">
        <v>14187</v>
      </c>
    </row>
    <row r="9527">
      <c r="A9527" s="499" t="s">
        <v>14188</v>
      </c>
    </row>
    <row r="9528">
      <c r="A9528" s="499" t="s">
        <v>14189</v>
      </c>
    </row>
    <row r="9529">
      <c r="A9529" s="499" t="s">
        <v>14190</v>
      </c>
    </row>
    <row r="9530">
      <c r="A9530" s="499" t="s">
        <v>14191</v>
      </c>
    </row>
    <row r="9531">
      <c r="A9531" s="499" t="s">
        <v>14192</v>
      </c>
    </row>
    <row r="9532">
      <c r="A9532" s="499" t="s">
        <v>14193</v>
      </c>
    </row>
    <row r="9533">
      <c r="A9533" s="499" t="s">
        <v>14194</v>
      </c>
    </row>
    <row r="9534">
      <c r="A9534" s="499" t="s">
        <v>14195</v>
      </c>
    </row>
    <row r="9535">
      <c r="A9535" s="499" t="s">
        <v>14196</v>
      </c>
    </row>
    <row r="9536">
      <c r="A9536" s="499" t="s">
        <v>14197</v>
      </c>
    </row>
    <row r="9537">
      <c r="A9537" s="499" t="s">
        <v>14198</v>
      </c>
    </row>
    <row r="9538">
      <c r="A9538" s="499" t="s">
        <v>14199</v>
      </c>
    </row>
    <row r="9539">
      <c r="A9539" s="499" t="s">
        <v>14200</v>
      </c>
    </row>
    <row r="9540">
      <c r="A9540" s="499" t="s">
        <v>14201</v>
      </c>
    </row>
    <row r="9541">
      <c r="A9541" s="499" t="s">
        <v>14202</v>
      </c>
    </row>
    <row r="9542">
      <c r="A9542" s="499" t="s">
        <v>14203</v>
      </c>
    </row>
    <row r="9543">
      <c r="A9543" s="499" t="s">
        <v>14204</v>
      </c>
    </row>
    <row r="9544">
      <c r="A9544" s="499" t="s">
        <v>14205</v>
      </c>
    </row>
    <row r="9545">
      <c r="A9545" s="499" t="s">
        <v>14206</v>
      </c>
    </row>
    <row r="9546">
      <c r="A9546" s="499" t="s">
        <v>14207</v>
      </c>
    </row>
    <row r="9547">
      <c r="A9547" s="499" t="s">
        <v>14208</v>
      </c>
    </row>
    <row r="9548">
      <c r="A9548" s="499" t="s">
        <v>14209</v>
      </c>
    </row>
    <row r="9549">
      <c r="A9549" s="499" t="s">
        <v>14210</v>
      </c>
    </row>
    <row r="9550">
      <c r="A9550" s="499" t="s">
        <v>14211</v>
      </c>
    </row>
    <row r="9551">
      <c r="A9551" s="499" t="s">
        <v>14212</v>
      </c>
    </row>
    <row r="9552">
      <c r="A9552" s="499" t="s">
        <v>14213</v>
      </c>
    </row>
    <row r="9553">
      <c r="A9553" s="499" t="s">
        <v>14214</v>
      </c>
    </row>
    <row r="9554">
      <c r="A9554" s="499" t="s">
        <v>14215</v>
      </c>
    </row>
    <row r="9555">
      <c r="A9555" s="499" t="s">
        <v>14216</v>
      </c>
    </row>
    <row r="9556">
      <c r="A9556" s="499" t="s">
        <v>14217</v>
      </c>
    </row>
    <row r="9557">
      <c r="A9557" s="499" t="s">
        <v>14218</v>
      </c>
    </row>
    <row r="9558">
      <c r="A9558" s="499" t="s">
        <v>14219</v>
      </c>
    </row>
    <row r="9559">
      <c r="A9559" s="499" t="s">
        <v>14220</v>
      </c>
    </row>
    <row r="9560">
      <c r="A9560" s="499" t="s">
        <v>14221</v>
      </c>
    </row>
    <row r="9561">
      <c r="A9561" s="499" t="s">
        <v>14222</v>
      </c>
    </row>
    <row r="9562">
      <c r="A9562" s="499" t="s">
        <v>14223</v>
      </c>
    </row>
    <row r="9563">
      <c r="A9563" s="499" t="s">
        <v>14224</v>
      </c>
    </row>
    <row r="9564">
      <c r="A9564" s="499" t="s">
        <v>14225</v>
      </c>
    </row>
    <row r="9565">
      <c r="A9565" s="499" t="s">
        <v>14226</v>
      </c>
    </row>
    <row r="9566">
      <c r="A9566" s="499" t="s">
        <v>14227</v>
      </c>
    </row>
    <row r="9567">
      <c r="A9567" s="499" t="s">
        <v>14228</v>
      </c>
    </row>
    <row r="9568">
      <c r="A9568" s="499" t="s">
        <v>14229</v>
      </c>
    </row>
    <row r="9569">
      <c r="A9569" s="499" t="s">
        <v>14230</v>
      </c>
    </row>
    <row r="9570">
      <c r="A9570" s="499" t="s">
        <v>14231</v>
      </c>
    </row>
    <row r="9571">
      <c r="A9571" s="499" t="s">
        <v>14232</v>
      </c>
    </row>
    <row r="9572">
      <c r="A9572" s="499" t="s">
        <v>14233</v>
      </c>
    </row>
    <row r="9573">
      <c r="A9573" s="499" t="s">
        <v>14234</v>
      </c>
    </row>
    <row r="9574">
      <c r="A9574" s="499" t="s">
        <v>14235</v>
      </c>
    </row>
    <row r="9575">
      <c r="A9575" s="499" t="s">
        <v>14236</v>
      </c>
    </row>
    <row r="9576">
      <c r="A9576" s="499" t="s">
        <v>14237</v>
      </c>
    </row>
    <row r="9577">
      <c r="A9577" s="499" t="s">
        <v>14238</v>
      </c>
    </row>
    <row r="9578">
      <c r="A9578" s="499" t="s">
        <v>14239</v>
      </c>
    </row>
    <row r="9579">
      <c r="A9579" s="499" t="s">
        <v>14240</v>
      </c>
    </row>
    <row r="9580">
      <c r="A9580" s="499" t="s">
        <v>14241</v>
      </c>
    </row>
    <row r="9581">
      <c r="A9581" s="499" t="s">
        <v>14242</v>
      </c>
    </row>
    <row r="9582">
      <c r="A9582" s="499" t="s">
        <v>14243</v>
      </c>
    </row>
    <row r="9583">
      <c r="A9583" s="499" t="s">
        <v>14244</v>
      </c>
    </row>
    <row r="9584">
      <c r="A9584" s="499" t="s">
        <v>14245</v>
      </c>
    </row>
    <row r="9585">
      <c r="A9585" s="499" t="s">
        <v>14246</v>
      </c>
    </row>
    <row r="9586">
      <c r="A9586" s="499" t="s">
        <v>14247</v>
      </c>
    </row>
    <row r="9587">
      <c r="A9587" s="499" t="s">
        <v>14248</v>
      </c>
    </row>
    <row r="9588">
      <c r="A9588" s="499" t="s">
        <v>14249</v>
      </c>
    </row>
    <row r="9589">
      <c r="A9589" s="499" t="s">
        <v>14250</v>
      </c>
    </row>
    <row r="9590">
      <c r="A9590" s="499" t="s">
        <v>14251</v>
      </c>
    </row>
    <row r="9591">
      <c r="A9591" s="499" t="s">
        <v>14252</v>
      </c>
    </row>
    <row r="9592">
      <c r="A9592" s="499" t="s">
        <v>14253</v>
      </c>
    </row>
    <row r="9593">
      <c r="A9593" s="499" t="s">
        <v>14254</v>
      </c>
    </row>
    <row r="9594">
      <c r="A9594" s="499" t="s">
        <v>14255</v>
      </c>
    </row>
    <row r="9595">
      <c r="A9595" s="499" t="s">
        <v>14256</v>
      </c>
    </row>
    <row r="9596">
      <c r="A9596" s="499" t="s">
        <v>14257</v>
      </c>
    </row>
    <row r="9597">
      <c r="A9597" s="499" t="s">
        <v>14258</v>
      </c>
    </row>
    <row r="9598">
      <c r="A9598" s="499" t="s">
        <v>14259</v>
      </c>
    </row>
    <row r="9599">
      <c r="A9599" s="499" t="s">
        <v>14260</v>
      </c>
    </row>
    <row r="9600">
      <c r="A9600" s="499" t="s">
        <v>14261</v>
      </c>
    </row>
    <row r="9601">
      <c r="A9601" s="499" t="s">
        <v>14262</v>
      </c>
    </row>
    <row r="9602">
      <c r="A9602" s="499" t="s">
        <v>14263</v>
      </c>
    </row>
    <row r="9603">
      <c r="A9603" s="499" t="s">
        <v>14264</v>
      </c>
    </row>
    <row r="9604">
      <c r="A9604" s="499" t="s">
        <v>14265</v>
      </c>
    </row>
    <row r="9605">
      <c r="A9605" s="499" t="s">
        <v>14266</v>
      </c>
    </row>
    <row r="9606">
      <c r="A9606" s="499" t="s">
        <v>14267</v>
      </c>
    </row>
    <row r="9607">
      <c r="A9607" s="499" t="s">
        <v>14268</v>
      </c>
    </row>
    <row r="9608">
      <c r="A9608" s="499" t="s">
        <v>14269</v>
      </c>
    </row>
    <row r="9609">
      <c r="A9609" s="499" t="s">
        <v>14270</v>
      </c>
    </row>
    <row r="9610">
      <c r="A9610" s="499" t="s">
        <v>14271</v>
      </c>
    </row>
    <row r="9611">
      <c r="A9611" s="499" t="s">
        <v>14272</v>
      </c>
    </row>
    <row r="9612">
      <c r="A9612" s="499" t="s">
        <v>14273</v>
      </c>
    </row>
    <row r="9613">
      <c r="A9613" s="499" t="s">
        <v>14274</v>
      </c>
    </row>
    <row r="9614">
      <c r="A9614" s="499" t="s">
        <v>14275</v>
      </c>
    </row>
    <row r="9615">
      <c r="A9615" s="499" t="s">
        <v>14276</v>
      </c>
    </row>
    <row r="9616">
      <c r="A9616" s="499" t="s">
        <v>14277</v>
      </c>
    </row>
    <row r="9617">
      <c r="A9617" s="499" t="s">
        <v>14278</v>
      </c>
    </row>
    <row r="9618">
      <c r="A9618" s="499" t="s">
        <v>14279</v>
      </c>
    </row>
    <row r="9619">
      <c r="A9619" s="499" t="s">
        <v>14280</v>
      </c>
    </row>
    <row r="9620">
      <c r="A9620" s="499" t="s">
        <v>14281</v>
      </c>
    </row>
    <row r="9621">
      <c r="A9621" s="499" t="s">
        <v>14282</v>
      </c>
    </row>
    <row r="9622">
      <c r="A9622" s="499" t="s">
        <v>14283</v>
      </c>
    </row>
    <row r="9623">
      <c r="A9623" s="499" t="s">
        <v>14284</v>
      </c>
    </row>
    <row r="9624">
      <c r="A9624" s="499" t="s">
        <v>14285</v>
      </c>
    </row>
    <row r="9625">
      <c r="A9625" s="499" t="s">
        <v>14286</v>
      </c>
    </row>
    <row r="9626">
      <c r="A9626" s="499" t="s">
        <v>14287</v>
      </c>
    </row>
    <row r="9627">
      <c r="A9627" s="499" t="s">
        <v>14288</v>
      </c>
    </row>
    <row r="9628">
      <c r="A9628" s="499" t="s">
        <v>14289</v>
      </c>
    </row>
    <row r="9629">
      <c r="A9629" s="499" t="s">
        <v>14290</v>
      </c>
    </row>
    <row r="9630">
      <c r="A9630" s="499" t="s">
        <v>14291</v>
      </c>
    </row>
    <row r="9631">
      <c r="A9631" s="499" t="s">
        <v>14292</v>
      </c>
    </row>
    <row r="9632">
      <c r="A9632" s="499" t="s">
        <v>14293</v>
      </c>
    </row>
    <row r="9633">
      <c r="A9633" s="499" t="s">
        <v>14294</v>
      </c>
    </row>
    <row r="9634">
      <c r="A9634" s="499" t="s">
        <v>14295</v>
      </c>
    </row>
    <row r="9635">
      <c r="A9635" s="499" t="s">
        <v>14296</v>
      </c>
    </row>
    <row r="9636">
      <c r="A9636" s="499" t="s">
        <v>14297</v>
      </c>
    </row>
    <row r="9637">
      <c r="A9637" s="499" t="s">
        <v>14298</v>
      </c>
    </row>
    <row r="9638">
      <c r="A9638" s="499" t="s">
        <v>14299</v>
      </c>
    </row>
    <row r="9639">
      <c r="A9639" s="499" t="s">
        <v>14300</v>
      </c>
    </row>
    <row r="9640">
      <c r="A9640" s="499" t="s">
        <v>14301</v>
      </c>
    </row>
    <row r="9641">
      <c r="A9641" s="499" t="s">
        <v>14302</v>
      </c>
    </row>
    <row r="9642">
      <c r="A9642" s="499" t="s">
        <v>14303</v>
      </c>
    </row>
    <row r="9643">
      <c r="A9643" s="499" t="s">
        <v>14304</v>
      </c>
    </row>
    <row r="9644">
      <c r="A9644" s="499" t="s">
        <v>14305</v>
      </c>
    </row>
    <row r="9645">
      <c r="A9645" s="499" t="s">
        <v>14306</v>
      </c>
    </row>
    <row r="9646">
      <c r="A9646" s="499" t="s">
        <v>14307</v>
      </c>
    </row>
    <row r="9647">
      <c r="A9647" s="499" t="s">
        <v>14308</v>
      </c>
    </row>
    <row r="9648">
      <c r="A9648" s="499" t="s">
        <v>14309</v>
      </c>
    </row>
    <row r="9649">
      <c r="A9649" s="499" t="s">
        <v>14310</v>
      </c>
    </row>
    <row r="9650">
      <c r="A9650" s="499" t="s">
        <v>14311</v>
      </c>
    </row>
    <row r="9651">
      <c r="A9651" s="499" t="s">
        <v>14312</v>
      </c>
    </row>
    <row r="9652">
      <c r="A9652" s="499" t="s">
        <v>14313</v>
      </c>
    </row>
    <row r="9653">
      <c r="A9653" s="499" t="s">
        <v>14314</v>
      </c>
    </row>
    <row r="9654">
      <c r="A9654" s="499" t="s">
        <v>14315</v>
      </c>
    </row>
    <row r="9655">
      <c r="A9655" s="499" t="s">
        <v>14316</v>
      </c>
    </row>
    <row r="9656">
      <c r="A9656" s="499" t="s">
        <v>14317</v>
      </c>
    </row>
    <row r="9657">
      <c r="A9657" s="499" t="s">
        <v>14318</v>
      </c>
    </row>
    <row r="9658">
      <c r="A9658" s="499" t="s">
        <v>14319</v>
      </c>
    </row>
    <row r="9659">
      <c r="A9659" s="499" t="s">
        <v>14320</v>
      </c>
    </row>
    <row r="9660">
      <c r="A9660" s="499" t="s">
        <v>14321</v>
      </c>
    </row>
    <row r="9661">
      <c r="A9661" s="499" t="s">
        <v>14322</v>
      </c>
    </row>
    <row r="9662">
      <c r="A9662" s="499" t="s">
        <v>14323</v>
      </c>
    </row>
    <row r="9663">
      <c r="A9663" s="499" t="s">
        <v>14324</v>
      </c>
    </row>
    <row r="9664">
      <c r="A9664" s="499" t="s">
        <v>14325</v>
      </c>
    </row>
    <row r="9665">
      <c r="A9665" s="499" t="s">
        <v>14326</v>
      </c>
    </row>
    <row r="9666">
      <c r="A9666" s="499" t="s">
        <v>14327</v>
      </c>
    </row>
    <row r="9667">
      <c r="A9667" s="499" t="s">
        <v>14328</v>
      </c>
    </row>
    <row r="9668">
      <c r="A9668" s="499" t="s">
        <v>14329</v>
      </c>
    </row>
    <row r="9669">
      <c r="A9669" s="499" t="s">
        <v>14330</v>
      </c>
    </row>
    <row r="9670">
      <c r="A9670" s="499" t="s">
        <v>14331</v>
      </c>
    </row>
    <row r="9671">
      <c r="A9671" s="499" t="s">
        <v>14332</v>
      </c>
    </row>
    <row r="9672">
      <c r="A9672" s="499" t="s">
        <v>14333</v>
      </c>
    </row>
    <row r="9673">
      <c r="A9673" s="499" t="s">
        <v>14334</v>
      </c>
    </row>
    <row r="9674">
      <c r="A9674" s="499" t="s">
        <v>14335</v>
      </c>
    </row>
    <row r="9675">
      <c r="A9675" s="499" t="s">
        <v>14336</v>
      </c>
    </row>
    <row r="9676">
      <c r="A9676" s="499" t="s">
        <v>14337</v>
      </c>
    </row>
    <row r="9677">
      <c r="A9677" s="499" t="s">
        <v>14338</v>
      </c>
    </row>
    <row r="9678">
      <c r="A9678" s="499" t="s">
        <v>14339</v>
      </c>
    </row>
    <row r="9679">
      <c r="A9679" s="499" t="s">
        <v>14340</v>
      </c>
    </row>
    <row r="9680">
      <c r="A9680" s="499" t="s">
        <v>14341</v>
      </c>
    </row>
    <row r="9681">
      <c r="A9681" s="499" t="s">
        <v>14342</v>
      </c>
    </row>
    <row r="9682">
      <c r="A9682" s="499" t="s">
        <v>14343</v>
      </c>
    </row>
    <row r="9683">
      <c r="A9683" s="499" t="s">
        <v>14344</v>
      </c>
    </row>
    <row r="9684">
      <c r="A9684" s="499" t="s">
        <v>14345</v>
      </c>
    </row>
    <row r="9685">
      <c r="A9685" s="499" t="s">
        <v>14346</v>
      </c>
    </row>
    <row r="9686">
      <c r="A9686" s="499" t="s">
        <v>14347</v>
      </c>
    </row>
    <row r="9687">
      <c r="A9687" s="499" t="s">
        <v>14348</v>
      </c>
    </row>
    <row r="9688">
      <c r="A9688" s="499" t="s">
        <v>14349</v>
      </c>
    </row>
    <row r="9689">
      <c r="A9689" s="499" t="s">
        <v>14350</v>
      </c>
    </row>
    <row r="9690">
      <c r="A9690" s="499" t="s">
        <v>14351</v>
      </c>
    </row>
    <row r="9691">
      <c r="A9691" s="499" t="s">
        <v>14352</v>
      </c>
    </row>
    <row r="9692">
      <c r="A9692" s="499" t="s">
        <v>14353</v>
      </c>
    </row>
    <row r="9693">
      <c r="A9693" s="499" t="s">
        <v>14354</v>
      </c>
    </row>
    <row r="9694">
      <c r="A9694" s="499" t="s">
        <v>14355</v>
      </c>
    </row>
    <row r="9695">
      <c r="A9695" s="499" t="s">
        <v>14356</v>
      </c>
    </row>
    <row r="9696">
      <c r="A9696" s="499" t="s">
        <v>14357</v>
      </c>
    </row>
    <row r="9697">
      <c r="A9697" s="499" t="s">
        <v>14358</v>
      </c>
    </row>
    <row r="9698">
      <c r="A9698" s="499" t="s">
        <v>14359</v>
      </c>
    </row>
    <row r="9699">
      <c r="A9699" s="499" t="s">
        <v>14360</v>
      </c>
    </row>
    <row r="9700">
      <c r="A9700" s="499" t="s">
        <v>14361</v>
      </c>
    </row>
    <row r="9701">
      <c r="A9701" s="499" t="s">
        <v>14362</v>
      </c>
    </row>
    <row r="9702">
      <c r="A9702" s="499" t="s">
        <v>14363</v>
      </c>
    </row>
    <row r="9703">
      <c r="A9703" s="499" t="s">
        <v>14364</v>
      </c>
    </row>
    <row r="9704">
      <c r="A9704" s="499" t="s">
        <v>14365</v>
      </c>
    </row>
    <row r="9705">
      <c r="A9705" s="499" t="s">
        <v>14366</v>
      </c>
    </row>
    <row r="9706">
      <c r="A9706" s="499" t="s">
        <v>14367</v>
      </c>
    </row>
    <row r="9707">
      <c r="A9707" s="499" t="s">
        <v>14368</v>
      </c>
    </row>
    <row r="9708">
      <c r="A9708" s="499" t="s">
        <v>14369</v>
      </c>
    </row>
    <row r="9709">
      <c r="A9709" s="499" t="s">
        <v>14370</v>
      </c>
    </row>
    <row r="9710">
      <c r="A9710" s="499" t="s">
        <v>14371</v>
      </c>
    </row>
    <row r="9711">
      <c r="A9711" s="499" t="s">
        <v>14372</v>
      </c>
    </row>
    <row r="9712">
      <c r="A9712" s="499" t="s">
        <v>14373</v>
      </c>
    </row>
    <row r="9713">
      <c r="A9713" s="499" t="s">
        <v>14374</v>
      </c>
    </row>
    <row r="9714">
      <c r="A9714" s="499" t="s">
        <v>14375</v>
      </c>
    </row>
    <row r="9715">
      <c r="A9715" s="499" t="s">
        <v>14376</v>
      </c>
    </row>
    <row r="9716">
      <c r="A9716" s="499" t="s">
        <v>14377</v>
      </c>
    </row>
    <row r="9717">
      <c r="A9717" s="499" t="s">
        <v>14378</v>
      </c>
    </row>
    <row r="9718">
      <c r="A9718" s="499" t="s">
        <v>14379</v>
      </c>
    </row>
    <row r="9719">
      <c r="A9719" s="499" t="s">
        <v>14380</v>
      </c>
    </row>
    <row r="9720">
      <c r="A9720" s="499" t="s">
        <v>14381</v>
      </c>
    </row>
    <row r="9721">
      <c r="A9721" s="499" t="s">
        <v>14382</v>
      </c>
    </row>
    <row r="9722">
      <c r="A9722" s="499" t="s">
        <v>14383</v>
      </c>
    </row>
    <row r="9723">
      <c r="A9723" s="499" t="s">
        <v>14384</v>
      </c>
    </row>
    <row r="9724">
      <c r="A9724" s="499" t="s">
        <v>14385</v>
      </c>
    </row>
    <row r="9725">
      <c r="A9725" s="499" t="s">
        <v>14386</v>
      </c>
    </row>
    <row r="9726">
      <c r="A9726" s="499" t="s">
        <v>14387</v>
      </c>
    </row>
    <row r="9727">
      <c r="A9727" s="499" t="s">
        <v>14388</v>
      </c>
    </row>
    <row r="9728">
      <c r="A9728" s="499" t="s">
        <v>14389</v>
      </c>
    </row>
    <row r="9729">
      <c r="A9729" s="499" t="s">
        <v>14390</v>
      </c>
    </row>
    <row r="9730">
      <c r="A9730" s="499" t="s">
        <v>14391</v>
      </c>
    </row>
    <row r="9731">
      <c r="A9731" s="499" t="s">
        <v>14392</v>
      </c>
    </row>
    <row r="9732">
      <c r="A9732" s="499" t="s">
        <v>14393</v>
      </c>
    </row>
    <row r="9733">
      <c r="A9733" s="499" t="s">
        <v>14394</v>
      </c>
    </row>
    <row r="9734">
      <c r="A9734" s="499" t="s">
        <v>14395</v>
      </c>
    </row>
    <row r="9735">
      <c r="A9735" s="499" t="s">
        <v>14396</v>
      </c>
    </row>
    <row r="9736">
      <c r="A9736" s="499" t="s">
        <v>14397</v>
      </c>
    </row>
    <row r="9737">
      <c r="A9737" s="499" t="s">
        <v>14398</v>
      </c>
    </row>
    <row r="9738">
      <c r="A9738" s="499" t="s">
        <v>14399</v>
      </c>
    </row>
    <row r="9739">
      <c r="A9739" s="499" t="s">
        <v>14400</v>
      </c>
    </row>
    <row r="9740">
      <c r="A9740" s="499" t="s">
        <v>14401</v>
      </c>
    </row>
    <row r="9741">
      <c r="A9741" s="499" t="s">
        <v>14402</v>
      </c>
    </row>
    <row r="9742">
      <c r="A9742" s="499" t="s">
        <v>14403</v>
      </c>
    </row>
    <row r="9743">
      <c r="A9743" s="499" t="s">
        <v>14404</v>
      </c>
    </row>
    <row r="9744">
      <c r="A9744" s="499" t="s">
        <v>14405</v>
      </c>
    </row>
    <row r="9745">
      <c r="A9745" s="499" t="s">
        <v>14406</v>
      </c>
    </row>
    <row r="9746">
      <c r="A9746" s="499" t="s">
        <v>14407</v>
      </c>
    </row>
    <row r="9747">
      <c r="A9747" s="499" t="s">
        <v>14408</v>
      </c>
    </row>
    <row r="9748">
      <c r="A9748" s="499" t="s">
        <v>14409</v>
      </c>
    </row>
    <row r="9749">
      <c r="A9749" s="499" t="s">
        <v>14410</v>
      </c>
    </row>
    <row r="9750">
      <c r="A9750" s="499" t="s">
        <v>14411</v>
      </c>
    </row>
    <row r="9751">
      <c r="A9751" s="499" t="s">
        <v>14412</v>
      </c>
    </row>
    <row r="9752">
      <c r="A9752" s="499" t="s">
        <v>14413</v>
      </c>
    </row>
    <row r="9753">
      <c r="A9753" s="499" t="s">
        <v>14414</v>
      </c>
    </row>
    <row r="9754">
      <c r="A9754" s="499" t="s">
        <v>14415</v>
      </c>
    </row>
    <row r="9755">
      <c r="A9755" s="499" t="s">
        <v>14416</v>
      </c>
    </row>
    <row r="9756">
      <c r="A9756" s="499" t="s">
        <v>14417</v>
      </c>
    </row>
    <row r="9757">
      <c r="A9757" s="499" t="s">
        <v>14418</v>
      </c>
    </row>
    <row r="9758">
      <c r="A9758" s="499" t="s">
        <v>14419</v>
      </c>
    </row>
    <row r="9759">
      <c r="A9759" s="499" t="s">
        <v>14420</v>
      </c>
    </row>
    <row r="9760">
      <c r="A9760" s="499" t="s">
        <v>14421</v>
      </c>
    </row>
    <row r="9761">
      <c r="A9761" s="499" t="s">
        <v>14422</v>
      </c>
    </row>
    <row r="9762">
      <c r="A9762" s="499" t="s">
        <v>14423</v>
      </c>
    </row>
    <row r="9763">
      <c r="A9763" s="499" t="s">
        <v>14424</v>
      </c>
    </row>
    <row r="9764">
      <c r="A9764" s="499" t="s">
        <v>14425</v>
      </c>
    </row>
    <row r="9765">
      <c r="A9765" s="499" t="s">
        <v>14426</v>
      </c>
    </row>
    <row r="9766">
      <c r="A9766" s="499" t="s">
        <v>4410</v>
      </c>
    </row>
    <row r="9767">
      <c r="A9767" s="499" t="s">
        <v>14427</v>
      </c>
    </row>
    <row r="9768">
      <c r="A9768" s="499" t="s">
        <v>4412</v>
      </c>
    </row>
    <row r="9769">
      <c r="A9769" s="499" t="s">
        <v>4428</v>
      </c>
    </row>
    <row r="9770">
      <c r="A9770" s="499" t="s">
        <v>4422</v>
      </c>
    </row>
    <row r="9771">
      <c r="A9771" s="499" t="s">
        <v>4424</v>
      </c>
    </row>
    <row r="9772">
      <c r="A9772" s="499" t="s">
        <v>4418</v>
      </c>
    </row>
    <row r="9773">
      <c r="A9773" s="499" t="s">
        <v>4416</v>
      </c>
    </row>
    <row r="9774">
      <c r="A9774" s="499" t="s">
        <v>4414</v>
      </c>
    </row>
    <row r="9775">
      <c r="A9775" s="499" t="s">
        <v>4426</v>
      </c>
    </row>
    <row r="9776">
      <c r="A9776" s="499" t="s">
        <v>14428</v>
      </c>
    </row>
    <row r="9777">
      <c r="A9777" s="499" t="s">
        <v>14429</v>
      </c>
    </row>
    <row r="9778">
      <c r="A9778" s="499" t="s">
        <v>14430</v>
      </c>
    </row>
    <row r="9779">
      <c r="A9779" s="499" t="s">
        <v>2628</v>
      </c>
    </row>
    <row r="9780">
      <c r="A9780" s="499" t="s">
        <v>2630</v>
      </c>
    </row>
    <row r="9781">
      <c r="A9781" s="499" t="s">
        <v>3580</v>
      </c>
    </row>
    <row r="9782">
      <c r="A9782" s="499" t="s">
        <v>978</v>
      </c>
    </row>
    <row r="9783">
      <c r="A9783" s="499" t="s">
        <v>980</v>
      </c>
    </row>
    <row r="9784">
      <c r="A9784" s="499" t="s">
        <v>976</v>
      </c>
    </row>
    <row r="9785">
      <c r="A9785" s="499" t="s">
        <v>14431</v>
      </c>
    </row>
    <row r="9786">
      <c r="A9786" s="499" t="s">
        <v>14432</v>
      </c>
    </row>
    <row r="9787">
      <c r="A9787" s="499" t="s">
        <v>14433</v>
      </c>
    </row>
    <row r="9788">
      <c r="A9788" s="499" t="s">
        <v>14434</v>
      </c>
    </row>
    <row r="9789">
      <c r="A9789" s="499" t="s">
        <v>14435</v>
      </c>
    </row>
    <row r="9790">
      <c r="A9790" s="499" t="s">
        <v>14436</v>
      </c>
    </row>
    <row r="9791">
      <c r="A9791" s="499" t="s">
        <v>14437</v>
      </c>
    </row>
    <row r="9792">
      <c r="A9792" s="499" t="s">
        <v>14438</v>
      </c>
    </row>
    <row r="9793">
      <c r="A9793" s="499" t="s">
        <v>14439</v>
      </c>
    </row>
    <row r="9794">
      <c r="A9794" s="499" t="s">
        <v>14440</v>
      </c>
    </row>
    <row r="9795">
      <c r="A9795" s="499" t="s">
        <v>14441</v>
      </c>
    </row>
    <row r="9796">
      <c r="A9796" s="499" t="s">
        <v>14442</v>
      </c>
    </row>
    <row r="9797">
      <c r="A9797" s="499" t="s">
        <v>14443</v>
      </c>
    </row>
    <row r="9798">
      <c r="A9798" s="499" t="s">
        <v>14444</v>
      </c>
    </row>
    <row r="9799">
      <c r="A9799" s="499" t="s">
        <v>14445</v>
      </c>
    </row>
    <row r="9800">
      <c r="A9800" s="499" t="s">
        <v>14446</v>
      </c>
    </row>
    <row r="9801">
      <c r="A9801" s="499" t="s">
        <v>14447</v>
      </c>
    </row>
    <row r="9802">
      <c r="A9802" s="499" t="s">
        <v>14448</v>
      </c>
    </row>
    <row r="9803">
      <c r="A9803" s="499" t="s">
        <v>14449</v>
      </c>
    </row>
    <row r="9804">
      <c r="A9804" s="499" t="s">
        <v>14450</v>
      </c>
    </row>
    <row r="9805">
      <c r="A9805" s="499" t="s">
        <v>14451</v>
      </c>
    </row>
    <row r="9806">
      <c r="A9806" s="499" t="s">
        <v>14452</v>
      </c>
    </row>
    <row r="9807">
      <c r="A9807" s="499" t="s">
        <v>14453</v>
      </c>
    </row>
    <row r="9808">
      <c r="A9808" s="499" t="s">
        <v>14454</v>
      </c>
    </row>
    <row r="9809">
      <c r="A9809" s="499" t="s">
        <v>14455</v>
      </c>
    </row>
    <row r="9810">
      <c r="A9810" s="499" t="s">
        <v>4463</v>
      </c>
    </row>
    <row r="9811">
      <c r="A9811" s="499" t="s">
        <v>4434</v>
      </c>
    </row>
    <row r="9812">
      <c r="A9812" s="499" t="s">
        <v>4439</v>
      </c>
    </row>
    <row r="9813">
      <c r="A9813" s="499" t="s">
        <v>4448</v>
      </c>
    </row>
    <row r="9814">
      <c r="A9814" s="499" t="s">
        <v>4450</v>
      </c>
    </row>
    <row r="9815">
      <c r="A9815" s="499" t="s">
        <v>4455</v>
      </c>
    </row>
    <row r="9816">
      <c r="A9816" s="499" t="s">
        <v>4461</v>
      </c>
    </row>
    <row r="9817">
      <c r="A9817" s="499" t="s">
        <v>4459</v>
      </c>
    </row>
    <row r="9818">
      <c r="A9818" s="499" t="s">
        <v>4430</v>
      </c>
    </row>
    <row r="9819">
      <c r="A9819" s="499" t="s">
        <v>14456</v>
      </c>
    </row>
    <row r="9820">
      <c r="A9820" s="499" t="s">
        <v>14457</v>
      </c>
    </row>
    <row r="9821">
      <c r="A9821" s="499" t="s">
        <v>14458</v>
      </c>
    </row>
    <row r="9822">
      <c r="A9822" s="499" t="s">
        <v>14459</v>
      </c>
    </row>
    <row r="9823">
      <c r="A9823" s="499" t="s">
        <v>14460</v>
      </c>
    </row>
    <row r="9824">
      <c r="A9824" s="499" t="s">
        <v>4457</v>
      </c>
    </row>
    <row r="9825">
      <c r="A9825" s="499" t="s">
        <v>4465</v>
      </c>
    </row>
    <row r="9826">
      <c r="A9826" s="499" t="s">
        <v>4432</v>
      </c>
    </row>
    <row r="9827">
      <c r="A9827" s="499" t="s">
        <v>4445</v>
      </c>
    </row>
    <row r="9828">
      <c r="A9828" s="499" t="s">
        <v>4479</v>
      </c>
    </row>
    <row r="9829">
      <c r="A9829" s="499" t="s">
        <v>4467</v>
      </c>
    </row>
    <row r="9830">
      <c r="A9830" s="499" t="s">
        <v>4436</v>
      </c>
    </row>
    <row r="9831">
      <c r="A9831" s="499" t="s">
        <v>4442</v>
      </c>
    </row>
    <row r="9832">
      <c r="A9832" s="499" t="s">
        <v>4452</v>
      </c>
    </row>
    <row r="9833">
      <c r="A9833" s="499" t="s">
        <v>4470</v>
      </c>
    </row>
    <row r="9834">
      <c r="A9834" s="499" t="s">
        <v>4473</v>
      </c>
    </row>
    <row r="9835">
      <c r="A9835" s="499" t="s">
        <v>4476</v>
      </c>
    </row>
    <row r="9836">
      <c r="A9836" s="499" t="s">
        <v>14461</v>
      </c>
    </row>
    <row r="9837">
      <c r="A9837" s="499" t="s">
        <v>14462</v>
      </c>
    </row>
    <row r="9838">
      <c r="A9838" s="499" t="s">
        <v>14463</v>
      </c>
    </row>
    <row r="9839">
      <c r="A9839" s="499" t="s">
        <v>14464</v>
      </c>
    </row>
    <row r="9840">
      <c r="A9840" s="499" t="s">
        <v>14465</v>
      </c>
    </row>
    <row r="9841">
      <c r="A9841" s="499" t="s">
        <v>14466</v>
      </c>
    </row>
    <row r="9842">
      <c r="A9842" s="499" t="s">
        <v>14467</v>
      </c>
    </row>
    <row r="9843">
      <c r="A9843" s="499" t="s">
        <v>14468</v>
      </c>
    </row>
    <row r="9844">
      <c r="A9844" s="499" t="s">
        <v>14469</v>
      </c>
    </row>
    <row r="9845">
      <c r="A9845" s="499" t="s">
        <v>4481</v>
      </c>
    </row>
    <row r="9846">
      <c r="A9846" s="499" t="s">
        <v>14470</v>
      </c>
    </row>
    <row r="9847">
      <c r="A9847" s="499" t="s">
        <v>4488</v>
      </c>
    </row>
    <row r="9848">
      <c r="A9848" s="499" t="s">
        <v>4486</v>
      </c>
    </row>
    <row r="9849">
      <c r="A9849" s="499" t="s">
        <v>4484</v>
      </c>
    </row>
    <row r="9850">
      <c r="A9850" s="499" t="s">
        <v>4490</v>
      </c>
    </row>
    <row r="9851">
      <c r="A9851" s="499" t="s">
        <v>14471</v>
      </c>
    </row>
    <row r="9852">
      <c r="A9852" s="499" t="s">
        <v>14472</v>
      </c>
    </row>
    <row r="9853">
      <c r="A9853" s="499" t="s">
        <v>14473</v>
      </c>
    </row>
    <row r="9854">
      <c r="A9854" s="499" t="s">
        <v>14474</v>
      </c>
    </row>
    <row r="9855">
      <c r="A9855" s="499" t="s">
        <v>14475</v>
      </c>
    </row>
    <row r="9856">
      <c r="A9856" s="499" t="s">
        <v>14476</v>
      </c>
    </row>
    <row r="9857">
      <c r="A9857" s="499" t="s">
        <v>14477</v>
      </c>
    </row>
    <row r="9858">
      <c r="A9858" s="499" t="s">
        <v>14478</v>
      </c>
    </row>
    <row r="9859">
      <c r="A9859" s="499" t="s">
        <v>14479</v>
      </c>
    </row>
    <row r="9860">
      <c r="A9860" s="499" t="s">
        <v>14480</v>
      </c>
    </row>
    <row r="9861">
      <c r="A9861" s="499" t="s">
        <v>14481</v>
      </c>
    </row>
    <row r="9862">
      <c r="A9862" s="499" t="s">
        <v>14482</v>
      </c>
    </row>
    <row r="9863">
      <c r="A9863" s="499" t="s">
        <v>14483</v>
      </c>
    </row>
    <row r="9864">
      <c r="A9864" s="499" t="s">
        <v>14484</v>
      </c>
    </row>
    <row r="9865">
      <c r="A9865" s="499" t="s">
        <v>14485</v>
      </c>
    </row>
    <row r="9866">
      <c r="A9866" s="499" t="s">
        <v>14486</v>
      </c>
    </row>
    <row r="9867">
      <c r="A9867" s="499" t="s">
        <v>14487</v>
      </c>
    </row>
    <row r="9868">
      <c r="A9868" s="499" t="s">
        <v>14488</v>
      </c>
    </row>
    <row r="9869">
      <c r="A9869" s="499" t="s">
        <v>14489</v>
      </c>
    </row>
    <row r="9870">
      <c r="A9870" s="499" t="s">
        <v>14490</v>
      </c>
    </row>
    <row r="9871">
      <c r="A9871" s="499" t="s">
        <v>14491</v>
      </c>
    </row>
    <row r="9872">
      <c r="A9872" s="499" t="s">
        <v>14492</v>
      </c>
    </row>
    <row r="9873">
      <c r="A9873" s="499" t="s">
        <v>14493</v>
      </c>
    </row>
    <row r="9874">
      <c r="A9874" s="499" t="s">
        <v>4937</v>
      </c>
    </row>
    <row r="9875">
      <c r="A9875" s="499" t="s">
        <v>4940</v>
      </c>
    </row>
    <row r="9876">
      <c r="A9876" s="499" t="s">
        <v>4943</v>
      </c>
    </row>
    <row r="9877">
      <c r="A9877" s="499" t="s">
        <v>14494</v>
      </c>
    </row>
    <row r="9878">
      <c r="A9878" s="499" t="s">
        <v>14495</v>
      </c>
    </row>
    <row r="9879">
      <c r="A9879" s="499" t="s">
        <v>14496</v>
      </c>
    </row>
    <row r="9880">
      <c r="A9880" s="499" t="s">
        <v>14497</v>
      </c>
    </row>
    <row r="9881">
      <c r="A9881" s="499" t="s">
        <v>14498</v>
      </c>
    </row>
    <row r="9882">
      <c r="A9882" s="499" t="s">
        <v>14499</v>
      </c>
    </row>
    <row r="9883">
      <c r="A9883" s="499" t="s">
        <v>14500</v>
      </c>
    </row>
    <row r="9884">
      <c r="A9884" s="499" t="s">
        <v>14501</v>
      </c>
    </row>
    <row r="9885">
      <c r="A9885" s="499" t="s">
        <v>14502</v>
      </c>
    </row>
    <row r="9886">
      <c r="A9886" s="499" t="s">
        <v>14503</v>
      </c>
    </row>
    <row r="9887">
      <c r="A9887" s="499" t="s">
        <v>14504</v>
      </c>
    </row>
    <row r="9888">
      <c r="A9888" s="499" t="s">
        <v>14505</v>
      </c>
    </row>
    <row r="9889">
      <c r="A9889" s="499" t="s">
        <v>14506</v>
      </c>
    </row>
    <row r="9890">
      <c r="A9890" s="499" t="s">
        <v>14507</v>
      </c>
    </row>
    <row r="9891">
      <c r="A9891" s="499" t="s">
        <v>14508</v>
      </c>
    </row>
    <row r="9892">
      <c r="A9892" s="499" t="s">
        <v>14509</v>
      </c>
    </row>
    <row r="9893">
      <c r="A9893" s="499" t="s">
        <v>14510</v>
      </c>
    </row>
    <row r="9894">
      <c r="A9894" s="499" t="s">
        <v>14511</v>
      </c>
    </row>
    <row r="9895">
      <c r="A9895" s="499" t="s">
        <v>14512</v>
      </c>
    </row>
    <row r="9896">
      <c r="A9896" s="499" t="s">
        <v>14513</v>
      </c>
    </row>
    <row r="9897">
      <c r="A9897" s="499" t="s">
        <v>14514</v>
      </c>
    </row>
    <row r="9898">
      <c r="A9898" s="499" t="s">
        <v>14515</v>
      </c>
    </row>
    <row r="9899">
      <c r="A9899" s="499" t="s">
        <v>14516</v>
      </c>
    </row>
    <row r="9900">
      <c r="A9900" s="499" t="s">
        <v>14517</v>
      </c>
    </row>
    <row r="9901">
      <c r="A9901" s="499" t="s">
        <v>14518</v>
      </c>
    </row>
    <row r="9902">
      <c r="A9902" s="499" t="s">
        <v>14519</v>
      </c>
    </row>
    <row r="9903">
      <c r="A9903" s="499" t="s">
        <v>14520</v>
      </c>
    </row>
    <row r="9904">
      <c r="A9904" s="499" t="s">
        <v>14521</v>
      </c>
    </row>
    <row r="9905">
      <c r="A9905" s="499" t="s">
        <v>14522</v>
      </c>
    </row>
    <row r="9906">
      <c r="A9906" s="499" t="s">
        <v>14523</v>
      </c>
    </row>
    <row r="9907">
      <c r="A9907" s="499" t="s">
        <v>14524</v>
      </c>
    </row>
    <row r="9908">
      <c r="A9908" s="499" t="s">
        <v>14525</v>
      </c>
    </row>
    <row r="9909">
      <c r="A9909" s="499" t="s">
        <v>14526</v>
      </c>
    </row>
    <row r="9910">
      <c r="A9910" s="499" t="s">
        <v>14527</v>
      </c>
    </row>
    <row r="9911">
      <c r="A9911" s="499" t="s">
        <v>14528</v>
      </c>
    </row>
    <row r="9912">
      <c r="A9912" s="499" t="s">
        <v>14529</v>
      </c>
    </row>
    <row r="9913">
      <c r="A9913" s="499" t="s">
        <v>14530</v>
      </c>
    </row>
    <row r="9914">
      <c r="A9914" s="499" t="s">
        <v>14531</v>
      </c>
    </row>
    <row r="9915">
      <c r="A9915" s="499" t="s">
        <v>14532</v>
      </c>
    </row>
    <row r="9916">
      <c r="A9916" s="499" t="s">
        <v>14533</v>
      </c>
    </row>
    <row r="9917">
      <c r="A9917" s="499" t="s">
        <v>14534</v>
      </c>
    </row>
    <row r="9918">
      <c r="A9918" s="499" t="s">
        <v>4992</v>
      </c>
    </row>
    <row r="9919">
      <c r="A9919" s="499" t="s">
        <v>5123</v>
      </c>
    </row>
    <row r="9920">
      <c r="A9920" s="499" t="s">
        <v>14535</v>
      </c>
    </row>
    <row r="9921">
      <c r="A9921" s="499" t="s">
        <v>4844</v>
      </c>
    </row>
    <row r="9922">
      <c r="A9922" s="499" t="s">
        <v>4846</v>
      </c>
    </row>
    <row r="9923">
      <c r="A9923" s="499" t="s">
        <v>4669</v>
      </c>
    </row>
    <row r="9924">
      <c r="A9924" s="499" t="s">
        <v>4673</v>
      </c>
    </row>
    <row r="9925">
      <c r="A9925" s="499" t="s">
        <v>4677</v>
      </c>
    </row>
    <row r="9926">
      <c r="A9926" s="499" t="s">
        <v>4679</v>
      </c>
    </row>
    <row r="9927">
      <c r="A9927" s="499" t="s">
        <v>4681</v>
      </c>
    </row>
    <row r="9928">
      <c r="A9928" s="499" t="s">
        <v>4683</v>
      </c>
    </row>
    <row r="9929">
      <c r="A9929" s="499" t="s">
        <v>4685</v>
      </c>
    </row>
    <row r="9930">
      <c r="A9930" s="499" t="s">
        <v>14536</v>
      </c>
    </row>
    <row r="9931">
      <c r="A9931" s="499" t="s">
        <v>4848</v>
      </c>
    </row>
    <row r="9932">
      <c r="A9932" s="499" t="s">
        <v>4789</v>
      </c>
    </row>
    <row r="9933">
      <c r="A9933" s="499" t="s">
        <v>4793</v>
      </c>
    </row>
    <row r="9934">
      <c r="A9934" s="499" t="s">
        <v>4852</v>
      </c>
    </row>
    <row r="9935">
      <c r="A9935" s="499" t="s">
        <v>4821</v>
      </c>
    </row>
    <row r="9936">
      <c r="A9936" s="499" t="s">
        <v>4687</v>
      </c>
    </row>
    <row r="9937">
      <c r="A9937" s="499" t="s">
        <v>4675</v>
      </c>
    </row>
    <row r="9938">
      <c r="A9938" s="499" t="s">
        <v>4689</v>
      </c>
    </row>
    <row r="9939">
      <c r="A9939" s="499" t="s">
        <v>4691</v>
      </c>
    </row>
    <row r="9940">
      <c r="A9940" s="499" t="s">
        <v>4695</v>
      </c>
    </row>
    <row r="9941">
      <c r="A9941" s="499" t="s">
        <v>4693</v>
      </c>
    </row>
    <row r="9942">
      <c r="A9942" s="499" t="s">
        <v>4697</v>
      </c>
    </row>
    <row r="9943">
      <c r="A9943" s="499" t="s">
        <v>4699</v>
      </c>
    </row>
    <row r="9944">
      <c r="A9944" s="499" t="s">
        <v>4701</v>
      </c>
    </row>
    <row r="9945">
      <c r="A9945" s="499" t="s">
        <v>4815</v>
      </c>
    </row>
    <row r="9946">
      <c r="A9946" s="499" t="s">
        <v>4784</v>
      </c>
    </row>
    <row r="9947">
      <c r="A9947" s="499" t="s">
        <v>4786</v>
      </c>
    </row>
    <row r="9948">
      <c r="A9948" s="499" t="s">
        <v>4788</v>
      </c>
    </row>
    <row r="9949">
      <c r="A9949" s="499" t="s">
        <v>4791</v>
      </c>
    </row>
    <row r="9950">
      <c r="A9950" s="499" t="s">
        <v>4795</v>
      </c>
    </row>
    <row r="9951">
      <c r="A9951" s="499" t="s">
        <v>4799</v>
      </c>
    </row>
    <row r="9952">
      <c r="A9952" s="499" t="s">
        <v>4807</v>
      </c>
    </row>
    <row r="9953">
      <c r="A9953" s="499" t="s">
        <v>4811</v>
      </c>
    </row>
    <row r="9954">
      <c r="A9954" s="499" t="s">
        <v>4817</v>
      </c>
    </row>
    <row r="9955">
      <c r="A9955" s="499" t="s">
        <v>4823</v>
      </c>
    </row>
    <row r="9956">
      <c r="A9956" s="499" t="s">
        <v>4825</v>
      </c>
    </row>
    <row r="9957">
      <c r="A9957" s="499" t="s">
        <v>4826</v>
      </c>
    </row>
    <row r="9958">
      <c r="A9958" s="499" t="s">
        <v>4828</v>
      </c>
    </row>
    <row r="9959">
      <c r="A9959" s="499" t="s">
        <v>4830</v>
      </c>
    </row>
    <row r="9960">
      <c r="A9960" s="499" t="s">
        <v>4832</v>
      </c>
    </row>
    <row r="9961">
      <c r="A9961" s="499" t="s">
        <v>4834</v>
      </c>
    </row>
    <row r="9962">
      <c r="A9962" s="499" t="s">
        <v>4836</v>
      </c>
    </row>
    <row r="9963">
      <c r="A9963" s="499" t="s">
        <v>4838</v>
      </c>
    </row>
    <row r="9964">
      <c r="A9964" s="499" t="s">
        <v>4840</v>
      </c>
    </row>
    <row r="9965">
      <c r="A9965" s="499" t="s">
        <v>4842</v>
      </c>
    </row>
    <row r="9966">
      <c r="A9966" s="499" t="s">
        <v>4703</v>
      </c>
    </row>
    <row r="9967">
      <c r="A9967" s="499" t="s">
        <v>4705</v>
      </c>
    </row>
    <row r="9968">
      <c r="A9968" s="499" t="s">
        <v>4707</v>
      </c>
    </row>
    <row r="9969">
      <c r="A9969" s="499" t="s">
        <v>4709</v>
      </c>
    </row>
    <row r="9970">
      <c r="A9970" s="499" t="s">
        <v>4711</v>
      </c>
    </row>
    <row r="9971">
      <c r="A9971" s="499" t="s">
        <v>4713</v>
      </c>
    </row>
    <row r="9972">
      <c r="A9972" s="499" t="s">
        <v>4715</v>
      </c>
    </row>
    <row r="9973">
      <c r="A9973" s="499" t="s">
        <v>4717</v>
      </c>
    </row>
    <row r="9974">
      <c r="A9974" s="499" t="s">
        <v>4719</v>
      </c>
    </row>
    <row r="9975">
      <c r="A9975" s="499" t="s">
        <v>4721</v>
      </c>
    </row>
    <row r="9976">
      <c r="A9976" s="499" t="s">
        <v>4723</v>
      </c>
    </row>
    <row r="9977">
      <c r="A9977" s="499" t="s">
        <v>4725</v>
      </c>
    </row>
    <row r="9978">
      <c r="A9978" s="499" t="s">
        <v>4727</v>
      </c>
    </row>
    <row r="9979">
      <c r="A9979" s="499" t="s">
        <v>4729</v>
      </c>
    </row>
    <row r="9980">
      <c r="A9980" s="499" t="s">
        <v>4733</v>
      </c>
    </row>
    <row r="9981">
      <c r="A9981" s="499" t="s">
        <v>4731</v>
      </c>
    </row>
    <row r="9982">
      <c r="A9982" s="499" t="s">
        <v>4735</v>
      </c>
    </row>
    <row r="9983">
      <c r="A9983" s="499" t="s">
        <v>4737</v>
      </c>
    </row>
    <row r="9984">
      <c r="A9984" s="499" t="s">
        <v>4809</v>
      </c>
    </row>
    <row r="9985">
      <c r="A9985" s="499" t="s">
        <v>4801</v>
      </c>
    </row>
    <row r="9986">
      <c r="A9986" s="499" t="s">
        <v>14537</v>
      </c>
    </row>
    <row r="9987">
      <c r="A9987" s="499" t="s">
        <v>14538</v>
      </c>
    </row>
    <row r="9988">
      <c r="A9988" s="499" t="s">
        <v>14539</v>
      </c>
    </row>
    <row r="9989">
      <c r="A9989" s="499" t="s">
        <v>4803</v>
      </c>
    </row>
    <row r="9990">
      <c r="A9990" s="499" t="s">
        <v>4813</v>
      </c>
    </row>
    <row r="9991">
      <c r="A9991" s="499" t="s">
        <v>4819</v>
      </c>
    </row>
    <row r="9992">
      <c r="A9992" s="499" t="s">
        <v>4782</v>
      </c>
    </row>
    <row r="9993">
      <c r="A9993" s="499" t="s">
        <v>4742</v>
      </c>
    </row>
    <row r="9994">
      <c r="A9994" s="499" t="s">
        <v>4744</v>
      </c>
    </row>
    <row r="9995">
      <c r="A9995" s="499" t="s">
        <v>4746</v>
      </c>
    </row>
    <row r="9996">
      <c r="A9996" s="499" t="s">
        <v>4748</v>
      </c>
    </row>
    <row r="9997">
      <c r="A9997" s="499" t="s">
        <v>4750</v>
      </c>
    </row>
    <row r="9998">
      <c r="A9998" s="499" t="s">
        <v>4752</v>
      </c>
    </row>
    <row r="9999">
      <c r="A9999" s="499" t="s">
        <v>4754</v>
      </c>
    </row>
    <row r="10000">
      <c r="A10000" s="499" t="s">
        <v>4756</v>
      </c>
    </row>
    <row r="10001">
      <c r="A10001" s="499" t="s">
        <v>4758</v>
      </c>
    </row>
    <row r="10002">
      <c r="A10002" s="499" t="s">
        <v>4761</v>
      </c>
    </row>
    <row r="10003">
      <c r="A10003" s="499" t="s">
        <v>4764</v>
      </c>
    </row>
    <row r="10004">
      <c r="A10004" s="499" t="s">
        <v>4767</v>
      </c>
    </row>
    <row r="10005">
      <c r="A10005" s="499" t="s">
        <v>4770</v>
      </c>
    </row>
    <row r="10006">
      <c r="A10006" s="499" t="s">
        <v>4772</v>
      </c>
    </row>
    <row r="10007">
      <c r="A10007" s="499" t="s">
        <v>4739</v>
      </c>
    </row>
    <row r="10008">
      <c r="A10008" s="499" t="s">
        <v>4775</v>
      </c>
    </row>
    <row r="10009">
      <c r="A10009" s="499" t="s">
        <v>4777</v>
      </c>
    </row>
    <row r="10010">
      <c r="A10010" s="499" t="s">
        <v>4779</v>
      </c>
    </row>
    <row r="10011">
      <c r="A10011" s="499" t="s">
        <v>4671</v>
      </c>
    </row>
    <row r="10012">
      <c r="A10012" s="499" t="s">
        <v>4850</v>
      </c>
    </row>
    <row r="10013">
      <c r="A10013" s="499" t="s">
        <v>4797</v>
      </c>
    </row>
    <row r="10014">
      <c r="A10014" s="499" t="s">
        <v>4854</v>
      </c>
    </row>
    <row r="10015">
      <c r="A10015" s="499" t="s">
        <v>4805</v>
      </c>
    </row>
    <row r="10016">
      <c r="A10016" s="499" t="s">
        <v>14540</v>
      </c>
    </row>
    <row r="10017">
      <c r="A10017" s="499" t="s">
        <v>14541</v>
      </c>
    </row>
    <row r="10018">
      <c r="A10018" s="499" t="s">
        <v>14542</v>
      </c>
    </row>
    <row r="10019">
      <c r="A10019" s="499" t="s">
        <v>14543</v>
      </c>
    </row>
    <row r="10020">
      <c r="A10020" s="499" t="s">
        <v>14544</v>
      </c>
    </row>
    <row r="10021">
      <c r="A10021" s="499" t="s">
        <v>14545</v>
      </c>
    </row>
    <row r="10022">
      <c r="A10022" s="499" t="s">
        <v>14546</v>
      </c>
    </row>
    <row r="10023">
      <c r="A10023" s="499" t="s">
        <v>14547</v>
      </c>
    </row>
    <row r="10024">
      <c r="A10024" s="499" t="s">
        <v>14548</v>
      </c>
    </row>
    <row r="10025">
      <c r="A10025" s="499" t="s">
        <v>14549</v>
      </c>
    </row>
    <row r="10026">
      <c r="A10026" s="499" t="s">
        <v>14550</v>
      </c>
    </row>
    <row r="10027">
      <c r="A10027" s="499" t="s">
        <v>14551</v>
      </c>
    </row>
    <row r="10028">
      <c r="A10028" s="499" t="s">
        <v>14552</v>
      </c>
    </row>
    <row r="10029">
      <c r="A10029" s="499" t="s">
        <v>14553</v>
      </c>
    </row>
    <row r="10030">
      <c r="A10030" s="499" t="s">
        <v>14554</v>
      </c>
    </row>
    <row r="10031">
      <c r="A10031" s="499" t="s">
        <v>14555</v>
      </c>
    </row>
    <row r="10032">
      <c r="A10032" s="499" t="s">
        <v>14556</v>
      </c>
    </row>
    <row r="10033">
      <c r="A10033" s="499" t="s">
        <v>14557</v>
      </c>
    </row>
    <row r="10034">
      <c r="A10034" s="499" t="s">
        <v>14558</v>
      </c>
    </row>
    <row r="10035">
      <c r="A10035" s="499" t="s">
        <v>14559</v>
      </c>
    </row>
    <row r="10036">
      <c r="A10036" s="499" t="s">
        <v>14560</v>
      </c>
    </row>
    <row r="10037">
      <c r="A10037" s="499" t="s">
        <v>14561</v>
      </c>
    </row>
    <row r="10038">
      <c r="A10038" s="499" t="s">
        <v>14562</v>
      </c>
    </row>
    <row r="10039">
      <c r="A10039" s="499" t="s">
        <v>14563</v>
      </c>
    </row>
    <row r="10040">
      <c r="A10040" s="499" t="s">
        <v>14564</v>
      </c>
    </row>
    <row r="10041">
      <c r="A10041" s="499" t="s">
        <v>14565</v>
      </c>
    </row>
    <row r="10042">
      <c r="A10042" s="499" t="s">
        <v>14566</v>
      </c>
    </row>
    <row r="10043">
      <c r="A10043" s="499" t="s">
        <v>14567</v>
      </c>
    </row>
    <row r="10044">
      <c r="A10044" s="499" t="s">
        <v>14568</v>
      </c>
    </row>
    <row r="10045">
      <c r="A10045" s="499" t="s">
        <v>14569</v>
      </c>
    </row>
    <row r="10046">
      <c r="A10046" s="499" t="s">
        <v>14570</v>
      </c>
    </row>
    <row r="10047">
      <c r="A10047" s="499" t="s">
        <v>14571</v>
      </c>
    </row>
    <row r="10048">
      <c r="A10048" s="499" t="s">
        <v>14572</v>
      </c>
    </row>
    <row r="10049">
      <c r="A10049" s="499" t="s">
        <v>14573</v>
      </c>
    </row>
    <row r="10050">
      <c r="A10050" s="499" t="s">
        <v>14574</v>
      </c>
    </row>
    <row r="10051">
      <c r="A10051" s="499" t="s">
        <v>14575</v>
      </c>
    </row>
    <row r="10052">
      <c r="A10052" s="499" t="s">
        <v>14576</v>
      </c>
    </row>
    <row r="10053">
      <c r="A10053" s="499" t="s">
        <v>14577</v>
      </c>
    </row>
    <row r="10054">
      <c r="A10054" s="499" t="s">
        <v>14578</v>
      </c>
    </row>
    <row r="10055">
      <c r="A10055" s="499" t="s">
        <v>14579</v>
      </c>
    </row>
    <row r="10056">
      <c r="A10056" s="499" t="s">
        <v>14580</v>
      </c>
    </row>
    <row r="10057">
      <c r="A10057" s="499" t="s">
        <v>14581</v>
      </c>
    </row>
    <row r="10058">
      <c r="A10058" s="499" t="s">
        <v>14582</v>
      </c>
    </row>
    <row r="10059">
      <c r="A10059" s="499" t="s">
        <v>14583</v>
      </c>
    </row>
    <row r="10060">
      <c r="A10060" s="499" t="s">
        <v>14584</v>
      </c>
    </row>
    <row r="10061">
      <c r="A10061" s="499" t="s">
        <v>14585</v>
      </c>
    </row>
    <row r="10062">
      <c r="A10062" s="499" t="s">
        <v>14586</v>
      </c>
    </row>
    <row r="10063">
      <c r="A10063" s="499" t="s">
        <v>14587</v>
      </c>
    </row>
    <row r="10064">
      <c r="A10064" s="499" t="s">
        <v>14588</v>
      </c>
    </row>
    <row r="10065">
      <c r="A10065" s="499" t="s">
        <v>14589</v>
      </c>
    </row>
    <row r="10066">
      <c r="A10066" s="499" t="s">
        <v>14590</v>
      </c>
    </row>
    <row r="10067">
      <c r="A10067" s="499" t="s">
        <v>14591</v>
      </c>
    </row>
    <row r="10068">
      <c r="A10068" s="499" t="s">
        <v>14592</v>
      </c>
    </row>
    <row r="10069">
      <c r="A10069" s="499" t="s">
        <v>14593</v>
      </c>
    </row>
    <row r="10070">
      <c r="A10070" s="499" t="s">
        <v>14594</v>
      </c>
    </row>
    <row r="10071">
      <c r="A10071" s="499" t="s">
        <v>14595</v>
      </c>
    </row>
    <row r="10072">
      <c r="A10072" s="499" t="s">
        <v>5153</v>
      </c>
    </row>
    <row r="10073">
      <c r="A10073" s="499" t="s">
        <v>4946</v>
      </c>
    </row>
    <row r="10074">
      <c r="A10074" s="499" t="s">
        <v>4949</v>
      </c>
    </row>
    <row r="10075">
      <c r="A10075" s="499" t="s">
        <v>4955</v>
      </c>
    </row>
    <row r="10076">
      <c r="A10076" s="499" t="s">
        <v>4965</v>
      </c>
    </row>
    <row r="10077">
      <c r="A10077" s="499" t="s">
        <v>4958</v>
      </c>
    </row>
    <row r="10078">
      <c r="A10078" s="499" t="s">
        <v>4961</v>
      </c>
    </row>
    <row r="10079">
      <c r="A10079" s="499" t="s">
        <v>4962</v>
      </c>
    </row>
    <row r="10080">
      <c r="A10080" s="499" t="s">
        <v>4974</v>
      </c>
    </row>
    <row r="10081">
      <c r="A10081" s="499" t="s">
        <v>4977</v>
      </c>
    </row>
    <row r="10082">
      <c r="A10082" s="499" t="s">
        <v>4979</v>
      </c>
    </row>
    <row r="10083">
      <c r="A10083" s="499" t="s">
        <v>4982</v>
      </c>
    </row>
    <row r="10084">
      <c r="A10084" s="499" t="s">
        <v>4984</v>
      </c>
    </row>
    <row r="10085">
      <c r="A10085" s="499" t="s">
        <v>4987</v>
      </c>
    </row>
    <row r="10086">
      <c r="A10086" s="499" t="s">
        <v>4952</v>
      </c>
    </row>
    <row r="10087">
      <c r="A10087" s="499" t="s">
        <v>4968</v>
      </c>
    </row>
    <row r="10088">
      <c r="A10088" s="499" t="s">
        <v>4971</v>
      </c>
    </row>
    <row r="10089">
      <c r="A10089" s="499" t="s">
        <v>14596</v>
      </c>
    </row>
    <row r="10090">
      <c r="A10090" s="499" t="s">
        <v>4934</v>
      </c>
    </row>
    <row r="10091">
      <c r="A10091" s="499" t="s">
        <v>14597</v>
      </c>
    </row>
    <row r="10092">
      <c r="A10092" s="499" t="s">
        <v>14598</v>
      </c>
    </row>
    <row r="10093">
      <c r="A10093" s="499" t="s">
        <v>14599</v>
      </c>
    </row>
    <row r="10094">
      <c r="A10094" s="499" t="s">
        <v>14600</v>
      </c>
    </row>
    <row r="10095">
      <c r="A10095" s="499" t="s">
        <v>14601</v>
      </c>
    </row>
    <row r="10096">
      <c r="A10096" s="499" t="s">
        <v>14602</v>
      </c>
    </row>
    <row r="10097">
      <c r="A10097" s="499" t="s">
        <v>14603</v>
      </c>
    </row>
    <row r="10098">
      <c r="A10098" s="499" t="s">
        <v>14604</v>
      </c>
    </row>
    <row r="10099">
      <c r="A10099" s="499" t="s">
        <v>14605</v>
      </c>
    </row>
    <row r="10100">
      <c r="A10100" s="499" t="s">
        <v>14606</v>
      </c>
    </row>
    <row r="10101">
      <c r="A10101" s="499" t="s">
        <v>14607</v>
      </c>
    </row>
    <row r="10102">
      <c r="A10102" s="499" t="s">
        <v>14608</v>
      </c>
    </row>
    <row r="10103">
      <c r="A10103" s="499" t="s">
        <v>14609</v>
      </c>
    </row>
    <row r="10104">
      <c r="A10104" s="499" t="s">
        <v>14610</v>
      </c>
    </row>
    <row r="10105">
      <c r="A10105" s="499" t="s">
        <v>14611</v>
      </c>
    </row>
    <row r="10106">
      <c r="A10106" s="499" t="s">
        <v>14612</v>
      </c>
    </row>
    <row r="10107">
      <c r="A10107" s="499" t="s">
        <v>14613</v>
      </c>
    </row>
    <row r="10108">
      <c r="A10108" s="499" t="s">
        <v>14614</v>
      </c>
    </row>
    <row r="10109">
      <c r="A10109" s="499" t="s">
        <v>14615</v>
      </c>
    </row>
    <row r="10110">
      <c r="A10110" s="499" t="s">
        <v>14616</v>
      </c>
    </row>
    <row r="10111">
      <c r="A10111" s="499" t="s">
        <v>14617</v>
      </c>
    </row>
    <row r="10112">
      <c r="A10112" s="499" t="s">
        <v>14618</v>
      </c>
    </row>
    <row r="10113">
      <c r="A10113" s="499" t="s">
        <v>14619</v>
      </c>
    </row>
    <row r="10114">
      <c r="A10114" s="499" t="s">
        <v>14620</v>
      </c>
    </row>
    <row r="10115">
      <c r="A10115" s="499" t="s">
        <v>14621</v>
      </c>
    </row>
    <row r="10116">
      <c r="A10116" s="499" t="s">
        <v>14622</v>
      </c>
    </row>
    <row r="10117">
      <c r="A10117" s="499" t="s">
        <v>14623</v>
      </c>
    </row>
    <row r="10118">
      <c r="A10118" s="499" t="s">
        <v>14624</v>
      </c>
    </row>
    <row r="10119">
      <c r="A10119" s="499" t="s">
        <v>14625</v>
      </c>
    </row>
    <row r="10120">
      <c r="A10120" s="499" t="s">
        <v>14626</v>
      </c>
    </row>
    <row r="10121">
      <c r="A10121" s="499" t="s">
        <v>14627</v>
      </c>
    </row>
    <row r="10122">
      <c r="A10122" s="499" t="s">
        <v>14628</v>
      </c>
    </row>
    <row r="10123">
      <c r="A10123" s="499" t="s">
        <v>14629</v>
      </c>
    </row>
    <row r="10124">
      <c r="A10124" s="499" t="s">
        <v>14630</v>
      </c>
    </row>
    <row r="10125">
      <c r="A10125" s="499" t="s">
        <v>14631</v>
      </c>
    </row>
    <row r="10126">
      <c r="A10126" s="499" t="s">
        <v>14632</v>
      </c>
    </row>
    <row r="10127">
      <c r="A10127" s="499" t="s">
        <v>4569</v>
      </c>
    </row>
    <row r="10128">
      <c r="A10128" s="499" t="s">
        <v>4566</v>
      </c>
    </row>
    <row r="10129">
      <c r="A10129" s="499" t="s">
        <v>4572</v>
      </c>
    </row>
    <row r="10130">
      <c r="A10130" s="499" t="s">
        <v>4579</v>
      </c>
    </row>
    <row r="10131">
      <c r="A10131" s="499" t="s">
        <v>4574</v>
      </c>
    </row>
    <row r="10132">
      <c r="A10132" s="499" t="s">
        <v>5000</v>
      </c>
    </row>
    <row r="10133">
      <c r="A10133" s="499" t="s">
        <v>14633</v>
      </c>
    </row>
    <row r="10134">
      <c r="A10134" s="499" t="s">
        <v>14634</v>
      </c>
    </row>
    <row r="10135">
      <c r="A10135" s="499" t="s">
        <v>14635</v>
      </c>
    </row>
    <row r="10136">
      <c r="A10136" s="499" t="s">
        <v>14636</v>
      </c>
    </row>
    <row r="10137">
      <c r="A10137" s="499" t="s">
        <v>14637</v>
      </c>
    </row>
    <row r="10138">
      <c r="A10138" s="499" t="s">
        <v>14638</v>
      </c>
    </row>
    <row r="10139">
      <c r="A10139" s="499" t="s">
        <v>14639</v>
      </c>
    </row>
    <row r="10140">
      <c r="A10140" s="499" t="s">
        <v>14640</v>
      </c>
    </row>
    <row r="10141">
      <c r="A10141" s="499" t="s">
        <v>14641</v>
      </c>
    </row>
    <row r="10142">
      <c r="A10142" s="499" t="s">
        <v>14642</v>
      </c>
    </row>
    <row r="10143">
      <c r="A10143" s="499" t="s">
        <v>14643</v>
      </c>
    </row>
    <row r="10144">
      <c r="A10144" s="499" t="s">
        <v>14644</v>
      </c>
    </row>
    <row r="10145">
      <c r="A10145" s="499" t="s">
        <v>14645</v>
      </c>
    </row>
    <row r="10146">
      <c r="A10146" s="499" t="s">
        <v>14646</v>
      </c>
    </row>
    <row r="10147">
      <c r="A10147" s="499" t="s">
        <v>14647</v>
      </c>
    </row>
    <row r="10148">
      <c r="A10148" s="499" t="s">
        <v>14648</v>
      </c>
    </row>
    <row r="10149">
      <c r="A10149" s="499" t="s">
        <v>14649</v>
      </c>
    </row>
    <row r="10150">
      <c r="A10150" s="499" t="s">
        <v>14650</v>
      </c>
    </row>
    <row r="10151">
      <c r="A10151" s="499" t="s">
        <v>14651</v>
      </c>
    </row>
    <row r="10152">
      <c r="A10152" s="499" t="s">
        <v>14652</v>
      </c>
    </row>
    <row r="10153">
      <c r="A10153" s="499" t="s">
        <v>14653</v>
      </c>
    </row>
    <row r="10154">
      <c r="A10154" s="499" t="s">
        <v>14654</v>
      </c>
    </row>
    <row r="10155">
      <c r="A10155" s="499" t="s">
        <v>14655</v>
      </c>
    </row>
    <row r="10156">
      <c r="A10156" s="499" t="s">
        <v>14656</v>
      </c>
    </row>
    <row r="10157">
      <c r="A10157" s="499" t="s">
        <v>14657</v>
      </c>
    </row>
    <row r="10158">
      <c r="A10158" s="499" t="s">
        <v>14658</v>
      </c>
    </row>
    <row r="10159">
      <c r="A10159" s="499" t="s">
        <v>14659</v>
      </c>
    </row>
    <row r="10160">
      <c r="A10160" s="499" t="s">
        <v>14660</v>
      </c>
    </row>
    <row r="10161">
      <c r="A10161" s="499" t="s">
        <v>14661</v>
      </c>
    </row>
    <row r="10162">
      <c r="A10162" s="499" t="s">
        <v>14662</v>
      </c>
    </row>
    <row r="10163">
      <c r="A10163" s="499" t="s">
        <v>14663</v>
      </c>
    </row>
    <row r="10164">
      <c r="A10164" s="499" t="s">
        <v>14664</v>
      </c>
    </row>
    <row r="10165">
      <c r="A10165" s="499" t="s">
        <v>14665</v>
      </c>
    </row>
    <row r="10166">
      <c r="A10166" s="499" t="s">
        <v>14666</v>
      </c>
    </row>
    <row r="10167">
      <c r="A10167" s="499" t="s">
        <v>14667</v>
      </c>
    </row>
    <row r="10168">
      <c r="A10168" s="499" t="s">
        <v>14668</v>
      </c>
    </row>
    <row r="10169">
      <c r="A10169" s="499" t="s">
        <v>14669</v>
      </c>
    </row>
    <row r="10170">
      <c r="A10170" s="499" t="s">
        <v>14670</v>
      </c>
    </row>
    <row r="10171">
      <c r="A10171" s="499" t="s">
        <v>14671</v>
      </c>
    </row>
    <row r="10172">
      <c r="A10172" s="499" t="s">
        <v>14672</v>
      </c>
    </row>
    <row r="10173">
      <c r="A10173" s="499" t="s">
        <v>14673</v>
      </c>
    </row>
    <row r="10174">
      <c r="A10174" s="499" t="s">
        <v>14674</v>
      </c>
    </row>
    <row r="10175">
      <c r="A10175" s="499" t="s">
        <v>14675</v>
      </c>
    </row>
    <row r="10176">
      <c r="A10176" s="499" t="s">
        <v>14676</v>
      </c>
    </row>
    <row r="10177">
      <c r="A10177" s="499" t="s">
        <v>14677</v>
      </c>
    </row>
    <row r="10178">
      <c r="A10178" s="499" t="s">
        <v>14678</v>
      </c>
    </row>
    <row r="10179">
      <c r="A10179" s="499" t="s">
        <v>14679</v>
      </c>
    </row>
    <row r="10180">
      <c r="A10180" s="499" t="s">
        <v>14680</v>
      </c>
    </row>
    <row r="10181">
      <c r="A10181" s="499" t="s">
        <v>14681</v>
      </c>
    </row>
    <row r="10182">
      <c r="A10182" s="499" t="s">
        <v>14682</v>
      </c>
    </row>
    <row r="10183">
      <c r="A10183" s="499" t="s">
        <v>14683</v>
      </c>
    </row>
    <row r="10184">
      <c r="A10184" s="499" t="s">
        <v>14684</v>
      </c>
    </row>
    <row r="10185">
      <c r="A10185" s="499" t="s">
        <v>14685</v>
      </c>
    </row>
    <row r="10186">
      <c r="A10186" s="499" t="s">
        <v>5140</v>
      </c>
    </row>
    <row r="10187">
      <c r="A10187" s="499" t="s">
        <v>14686</v>
      </c>
    </row>
    <row r="10188">
      <c r="A10188" s="499" t="s">
        <v>4891</v>
      </c>
    </row>
    <row r="10189">
      <c r="A10189" s="499" t="s">
        <v>4894</v>
      </c>
    </row>
    <row r="10190">
      <c r="A10190" s="499" t="s">
        <v>4897</v>
      </c>
    </row>
    <row r="10191">
      <c r="A10191" s="499" t="s">
        <v>4902</v>
      </c>
    </row>
    <row r="10192">
      <c r="A10192" s="499" t="s">
        <v>4905</v>
      </c>
    </row>
    <row r="10193">
      <c r="A10193" s="499" t="s">
        <v>4908</v>
      </c>
    </row>
    <row r="10194">
      <c r="A10194" s="499" t="s">
        <v>4913</v>
      </c>
    </row>
    <row r="10195">
      <c r="A10195" s="499" t="s">
        <v>4916</v>
      </c>
    </row>
    <row r="10196">
      <c r="A10196" s="499" t="s">
        <v>4919</v>
      </c>
    </row>
    <row r="10197">
      <c r="A10197" s="499" t="s">
        <v>4925</v>
      </c>
    </row>
    <row r="10198">
      <c r="A10198" s="499" t="s">
        <v>4900</v>
      </c>
    </row>
    <row r="10199">
      <c r="A10199" s="499" t="s">
        <v>4931</v>
      </c>
    </row>
    <row r="10200">
      <c r="A10200" s="499" t="s">
        <v>14687</v>
      </c>
    </row>
    <row r="10201">
      <c r="A10201" s="499" t="s">
        <v>4883</v>
      </c>
    </row>
    <row r="10202">
      <c r="A10202" s="499" t="s">
        <v>4889</v>
      </c>
    </row>
    <row r="10203">
      <c r="A10203" s="499" t="s">
        <v>4885</v>
      </c>
    </row>
    <row r="10204">
      <c r="A10204" s="499" t="s">
        <v>4887</v>
      </c>
    </row>
    <row r="10205">
      <c r="A10205" s="499" t="s">
        <v>4911</v>
      </c>
    </row>
    <row r="10206">
      <c r="A10206" s="499" t="s">
        <v>4922</v>
      </c>
    </row>
    <row r="10207">
      <c r="A10207" s="499" t="s">
        <v>4928</v>
      </c>
    </row>
    <row r="10208">
      <c r="A10208" s="499" t="s">
        <v>5050</v>
      </c>
    </row>
    <row r="10209">
      <c r="A10209" s="499" t="s">
        <v>5044</v>
      </c>
    </row>
    <row r="10210">
      <c r="A10210" s="499" t="s">
        <v>5034</v>
      </c>
    </row>
    <row r="10211">
      <c r="A10211" s="499" t="s">
        <v>5036</v>
      </c>
    </row>
    <row r="10212">
      <c r="A10212" s="499" t="s">
        <v>5046</v>
      </c>
    </row>
    <row r="10213">
      <c r="A10213" s="499" t="s">
        <v>5048</v>
      </c>
    </row>
    <row r="10214">
      <c r="A10214" s="499" t="s">
        <v>5064</v>
      </c>
    </row>
    <row r="10215">
      <c r="A10215" s="499" t="s">
        <v>5068</v>
      </c>
    </row>
    <row r="10216">
      <c r="A10216" s="499" t="s">
        <v>5058</v>
      </c>
    </row>
    <row r="10217">
      <c r="A10217" s="499" t="s">
        <v>5081</v>
      </c>
    </row>
    <row r="10218">
      <c r="A10218" s="499" t="s">
        <v>5056</v>
      </c>
    </row>
    <row r="10219">
      <c r="A10219" s="499" t="s">
        <v>5111</v>
      </c>
    </row>
    <row r="10220">
      <c r="A10220" s="499" t="s">
        <v>5109</v>
      </c>
    </row>
    <row r="10221">
      <c r="A10221" s="499" t="s">
        <v>5107</v>
      </c>
    </row>
    <row r="10222">
      <c r="A10222" s="499" t="s">
        <v>5085</v>
      </c>
    </row>
    <row r="10223">
      <c r="A10223" s="499" t="s">
        <v>5089</v>
      </c>
    </row>
    <row r="10224">
      <c r="A10224" s="499" t="s">
        <v>5070</v>
      </c>
    </row>
    <row r="10225">
      <c r="A10225" s="499" t="s">
        <v>5093</v>
      </c>
    </row>
    <row r="10226">
      <c r="A10226" s="499" t="s">
        <v>5091</v>
      </c>
    </row>
    <row r="10227">
      <c r="A10227" s="499" t="s">
        <v>5097</v>
      </c>
    </row>
    <row r="10228">
      <c r="A10228" s="499" t="s">
        <v>5095</v>
      </c>
    </row>
    <row r="10229">
      <c r="A10229" s="499" t="s">
        <v>5101</v>
      </c>
    </row>
    <row r="10230">
      <c r="A10230" s="499" t="s">
        <v>5099</v>
      </c>
    </row>
    <row r="10231">
      <c r="A10231" s="499" t="s">
        <v>5016</v>
      </c>
    </row>
    <row r="10232">
      <c r="A10232" s="499" t="s">
        <v>5022</v>
      </c>
    </row>
    <row r="10233">
      <c r="A10233" s="499" t="s">
        <v>5026</v>
      </c>
    </row>
    <row r="10234">
      <c r="A10234" s="499" t="s">
        <v>5032</v>
      </c>
    </row>
    <row r="10235">
      <c r="A10235" s="499" t="s">
        <v>5030</v>
      </c>
    </row>
    <row r="10236">
      <c r="A10236" s="499" t="s">
        <v>5072</v>
      </c>
    </row>
    <row r="10237">
      <c r="A10237" s="499" t="s">
        <v>5012</v>
      </c>
    </row>
    <row r="10238">
      <c r="A10238" s="499" t="s">
        <v>5024</v>
      </c>
    </row>
    <row r="10239">
      <c r="A10239" s="499" t="s">
        <v>5066</v>
      </c>
    </row>
    <row r="10240">
      <c r="A10240" s="499" t="s">
        <v>5103</v>
      </c>
    </row>
    <row r="10241">
      <c r="A10241" s="499" t="s">
        <v>5040</v>
      </c>
    </row>
    <row r="10242">
      <c r="A10242" s="499" t="s">
        <v>5077</v>
      </c>
    </row>
    <row r="10243">
      <c r="A10243" s="499" t="s">
        <v>5074</v>
      </c>
    </row>
    <row r="10244">
      <c r="A10244" s="499" t="s">
        <v>5113</v>
      </c>
    </row>
    <row r="10245">
      <c r="A10245" s="499" t="s">
        <v>5079</v>
      </c>
    </row>
    <row r="10246">
      <c r="A10246" s="499" t="s">
        <v>5020</v>
      </c>
    </row>
    <row r="10247">
      <c r="A10247" s="499" t="s">
        <v>5018</v>
      </c>
    </row>
    <row r="10248">
      <c r="A10248" s="499" t="s">
        <v>5028</v>
      </c>
    </row>
    <row r="10249">
      <c r="A10249" s="499" t="s">
        <v>5054</v>
      </c>
    </row>
    <row r="10250">
      <c r="A10250" s="499" t="s">
        <v>5052</v>
      </c>
    </row>
    <row r="10251">
      <c r="A10251" s="499" t="s">
        <v>5042</v>
      </c>
    </row>
    <row r="10252">
      <c r="A10252" s="499" t="s">
        <v>5105</v>
      </c>
    </row>
    <row r="10253">
      <c r="A10253" s="499" t="s">
        <v>5008</v>
      </c>
    </row>
    <row r="10254">
      <c r="A10254" s="499" t="s">
        <v>5060</v>
      </c>
    </row>
    <row r="10255">
      <c r="A10255" s="499" t="s">
        <v>5014</v>
      </c>
    </row>
    <row r="10256">
      <c r="A10256" s="499" t="s">
        <v>5087</v>
      </c>
    </row>
    <row r="10257">
      <c r="A10257" s="499" t="s">
        <v>5083</v>
      </c>
    </row>
    <row r="10258">
      <c r="A10258" s="499" t="s">
        <v>14688</v>
      </c>
    </row>
    <row r="10259">
      <c r="A10259" s="499" t="s">
        <v>14689</v>
      </c>
    </row>
    <row r="10260">
      <c r="A10260" s="499" t="s">
        <v>14690</v>
      </c>
    </row>
    <row r="10261">
      <c r="A10261" s="499" t="s">
        <v>14691</v>
      </c>
    </row>
    <row r="10262">
      <c r="A10262" s="499" t="s">
        <v>14692</v>
      </c>
    </row>
    <row r="10263">
      <c r="A10263" s="499" t="s">
        <v>14693</v>
      </c>
    </row>
    <row r="10264">
      <c r="A10264" s="499" t="s">
        <v>14694</v>
      </c>
    </row>
    <row r="10265">
      <c r="A10265" s="499" t="s">
        <v>14695</v>
      </c>
    </row>
    <row r="10266">
      <c r="A10266" s="499" t="s">
        <v>14696</v>
      </c>
    </row>
    <row r="10267">
      <c r="A10267" s="499" t="s">
        <v>14697</v>
      </c>
    </row>
    <row r="10268">
      <c r="A10268" s="499" t="s">
        <v>14698</v>
      </c>
    </row>
    <row r="10269">
      <c r="A10269" s="499" t="s">
        <v>14699</v>
      </c>
    </row>
    <row r="10270">
      <c r="A10270" s="499" t="s">
        <v>14700</v>
      </c>
    </row>
    <row r="10271">
      <c r="A10271" s="499" t="s">
        <v>14701</v>
      </c>
    </row>
    <row r="10272">
      <c r="A10272" s="499" t="s">
        <v>14702</v>
      </c>
    </row>
    <row r="10273">
      <c r="A10273" s="499" t="s">
        <v>5130</v>
      </c>
    </row>
    <row r="10274">
      <c r="A10274" s="499" t="s">
        <v>5127</v>
      </c>
    </row>
    <row r="10275">
      <c r="A10275" s="499" t="s">
        <v>5133</v>
      </c>
    </row>
    <row r="10276">
      <c r="A10276" s="499" t="s">
        <v>3554</v>
      </c>
    </row>
    <row r="10277">
      <c r="A10277" s="499" t="s">
        <v>5121</v>
      </c>
    </row>
    <row r="10278">
      <c r="A10278" s="499" t="s">
        <v>14703</v>
      </c>
    </row>
    <row r="10279">
      <c r="A10279" s="499" t="s">
        <v>14704</v>
      </c>
    </row>
    <row r="10280">
      <c r="A10280" s="499" t="s">
        <v>14705</v>
      </c>
    </row>
    <row r="10281">
      <c r="A10281" s="499" t="s">
        <v>14706</v>
      </c>
    </row>
    <row r="10282">
      <c r="A10282" s="499" t="s">
        <v>14707</v>
      </c>
    </row>
    <row r="10283">
      <c r="A10283" s="499" t="s">
        <v>14708</v>
      </c>
    </row>
    <row r="10284">
      <c r="A10284" s="499" t="s">
        <v>14709</v>
      </c>
    </row>
    <row r="10285">
      <c r="A10285" s="499" t="s">
        <v>14710</v>
      </c>
    </row>
    <row r="10286">
      <c r="A10286" s="499" t="s">
        <v>14711</v>
      </c>
    </row>
    <row r="10287">
      <c r="A10287" s="499" t="s">
        <v>14712</v>
      </c>
    </row>
    <row r="10288">
      <c r="A10288" s="499" t="s">
        <v>14713</v>
      </c>
    </row>
    <row r="10289">
      <c r="A10289" s="499" t="s">
        <v>14714</v>
      </c>
    </row>
    <row r="10290">
      <c r="A10290" s="499" t="s">
        <v>14715</v>
      </c>
    </row>
    <row r="10291">
      <c r="A10291" s="499" t="s">
        <v>14716</v>
      </c>
    </row>
    <row r="10292">
      <c r="A10292" s="499" t="s">
        <v>14717</v>
      </c>
    </row>
    <row r="10293">
      <c r="A10293" s="499" t="s">
        <v>14718</v>
      </c>
    </row>
    <row r="10294">
      <c r="A10294" s="499" t="s">
        <v>14719</v>
      </c>
    </row>
    <row r="10295">
      <c r="A10295" s="499" t="s">
        <v>14720</v>
      </c>
    </row>
    <row r="10296">
      <c r="A10296" s="499" t="s">
        <v>14721</v>
      </c>
    </row>
    <row r="10297">
      <c r="A10297" s="499" t="s">
        <v>14722</v>
      </c>
    </row>
    <row r="10298">
      <c r="A10298" s="499" t="s">
        <v>14723</v>
      </c>
    </row>
    <row r="10299">
      <c r="A10299" s="499" t="s">
        <v>14724</v>
      </c>
    </row>
    <row r="10300">
      <c r="A10300" s="499" t="s">
        <v>14725</v>
      </c>
    </row>
    <row r="10301">
      <c r="A10301" s="499" t="s">
        <v>14726</v>
      </c>
    </row>
    <row r="10302">
      <c r="A10302" s="499" t="s">
        <v>14727</v>
      </c>
    </row>
    <row r="10303">
      <c r="A10303" s="499" t="s">
        <v>14728</v>
      </c>
    </row>
    <row r="10304">
      <c r="A10304" s="499" t="s">
        <v>14729</v>
      </c>
    </row>
    <row r="10305">
      <c r="A10305" s="499" t="s">
        <v>14730</v>
      </c>
    </row>
    <row r="10306">
      <c r="A10306" s="499" t="s">
        <v>14731</v>
      </c>
    </row>
    <row r="10307">
      <c r="A10307" s="499" t="s">
        <v>14732</v>
      </c>
    </row>
    <row r="10308">
      <c r="A10308" s="499" t="s">
        <v>14733</v>
      </c>
    </row>
    <row r="10309">
      <c r="A10309" s="499" t="s">
        <v>14734</v>
      </c>
    </row>
    <row r="10310">
      <c r="A10310" s="499" t="s">
        <v>14735</v>
      </c>
    </row>
    <row r="10311">
      <c r="A10311" s="499" t="s">
        <v>14736</v>
      </c>
    </row>
    <row r="10312">
      <c r="A10312" s="499" t="s">
        <v>14737</v>
      </c>
    </row>
    <row r="10313">
      <c r="A10313" s="499" t="s">
        <v>14738</v>
      </c>
    </row>
    <row r="10314">
      <c r="A10314" s="499" t="s">
        <v>14739</v>
      </c>
    </row>
    <row r="10315">
      <c r="A10315" s="499" t="s">
        <v>14740</v>
      </c>
    </row>
    <row r="10316">
      <c r="A10316" s="499" t="s">
        <v>14741</v>
      </c>
    </row>
    <row r="10317">
      <c r="A10317" s="499" t="s">
        <v>14742</v>
      </c>
    </row>
    <row r="10318">
      <c r="A10318" s="499" t="s">
        <v>14743</v>
      </c>
    </row>
    <row r="10319">
      <c r="A10319" s="499" t="s">
        <v>14744</v>
      </c>
    </row>
    <row r="10320">
      <c r="A10320" s="499" t="s">
        <v>14745</v>
      </c>
    </row>
    <row r="10321">
      <c r="A10321" s="499" t="s">
        <v>14746</v>
      </c>
    </row>
    <row r="10322">
      <c r="A10322" s="499" t="s">
        <v>14747</v>
      </c>
    </row>
    <row r="10323">
      <c r="A10323" s="499" t="s">
        <v>14748</v>
      </c>
    </row>
    <row r="10324">
      <c r="A10324" s="499" t="s">
        <v>14749</v>
      </c>
    </row>
    <row r="10325">
      <c r="A10325" s="499" t="s">
        <v>14750</v>
      </c>
    </row>
    <row r="10326">
      <c r="A10326" s="499" t="s">
        <v>14751</v>
      </c>
    </row>
    <row r="10327">
      <c r="A10327" s="499" t="s">
        <v>14752</v>
      </c>
    </row>
    <row r="10328">
      <c r="A10328" s="499" t="s">
        <v>14753</v>
      </c>
    </row>
    <row r="10329">
      <c r="A10329" s="499" t="s">
        <v>14754</v>
      </c>
    </row>
    <row r="10330">
      <c r="A10330" s="499" t="s">
        <v>14755</v>
      </c>
    </row>
    <row r="10331">
      <c r="A10331" s="499" t="s">
        <v>14756</v>
      </c>
    </row>
    <row r="10332">
      <c r="A10332" s="499" t="s">
        <v>14757</v>
      </c>
    </row>
    <row r="10333">
      <c r="A10333" s="499" t="s">
        <v>14758</v>
      </c>
    </row>
    <row r="10334">
      <c r="A10334" s="499" t="s">
        <v>14759</v>
      </c>
    </row>
    <row r="10335">
      <c r="A10335" s="499" t="s">
        <v>14760</v>
      </c>
    </row>
    <row r="10336">
      <c r="A10336" s="499" t="s">
        <v>14761</v>
      </c>
    </row>
    <row r="10337">
      <c r="A10337" s="499" t="s">
        <v>14762</v>
      </c>
    </row>
    <row r="10338">
      <c r="A10338" s="499" t="s">
        <v>14763</v>
      </c>
    </row>
    <row r="10339">
      <c r="A10339" s="499" t="s">
        <v>14764</v>
      </c>
    </row>
    <row r="10340">
      <c r="A10340" s="499" t="s">
        <v>14765</v>
      </c>
    </row>
    <row r="10341">
      <c r="A10341" s="499" t="s">
        <v>14766</v>
      </c>
    </row>
    <row r="10342">
      <c r="A10342" s="499" t="s">
        <v>14767</v>
      </c>
    </row>
    <row r="10343">
      <c r="A10343" s="499" t="s">
        <v>14768</v>
      </c>
    </row>
    <row r="10344">
      <c r="A10344" s="499" t="s">
        <v>14769</v>
      </c>
    </row>
    <row r="10345">
      <c r="A10345" s="499" t="s">
        <v>14770</v>
      </c>
    </row>
    <row r="10346">
      <c r="A10346" s="499" t="s">
        <v>14771</v>
      </c>
    </row>
    <row r="10347">
      <c r="A10347" s="499" t="s">
        <v>14772</v>
      </c>
    </row>
    <row r="10348">
      <c r="A10348" s="499" t="s">
        <v>14773</v>
      </c>
    </row>
    <row r="10349">
      <c r="A10349" s="499" t="s">
        <v>14774</v>
      </c>
    </row>
    <row r="10350">
      <c r="A10350" s="499" t="s">
        <v>14775</v>
      </c>
    </row>
    <row r="10351">
      <c r="A10351" s="499" t="s">
        <v>14776</v>
      </c>
    </row>
    <row r="10352">
      <c r="A10352" s="499" t="s">
        <v>14777</v>
      </c>
    </row>
    <row r="10353">
      <c r="A10353" s="499" t="s">
        <v>14778</v>
      </c>
    </row>
    <row r="10354">
      <c r="A10354" s="499" t="s">
        <v>14779</v>
      </c>
    </row>
    <row r="10355">
      <c r="A10355" s="499" t="s">
        <v>14780</v>
      </c>
    </row>
    <row r="10356">
      <c r="A10356" s="499" t="s">
        <v>14781</v>
      </c>
    </row>
    <row r="10357">
      <c r="A10357" s="499" t="s">
        <v>14782</v>
      </c>
    </row>
    <row r="10358">
      <c r="A10358" s="499" t="s">
        <v>14783</v>
      </c>
    </row>
    <row r="10359">
      <c r="A10359" s="499" t="s">
        <v>14784</v>
      </c>
    </row>
    <row r="10360">
      <c r="A10360" s="499" t="s">
        <v>14785</v>
      </c>
    </row>
    <row r="10361">
      <c r="A10361" s="499" t="s">
        <v>14786</v>
      </c>
    </row>
    <row r="10362">
      <c r="A10362" s="499" t="s">
        <v>14787</v>
      </c>
    </row>
    <row r="10363">
      <c r="A10363" s="499" t="s">
        <v>14788</v>
      </c>
    </row>
    <row r="10364">
      <c r="A10364" s="499" t="s">
        <v>14789</v>
      </c>
    </row>
    <row r="10365">
      <c r="A10365" s="499" t="s">
        <v>14790</v>
      </c>
    </row>
    <row r="10366">
      <c r="A10366" s="499" t="s">
        <v>14791</v>
      </c>
    </row>
    <row r="10367">
      <c r="A10367" s="499" t="s">
        <v>14792</v>
      </c>
    </row>
    <row r="10368">
      <c r="A10368" s="499" t="s">
        <v>14793</v>
      </c>
    </row>
    <row r="10369">
      <c r="A10369" s="499" t="s">
        <v>14794</v>
      </c>
    </row>
    <row r="10370">
      <c r="A10370" s="499" t="s">
        <v>14795</v>
      </c>
    </row>
    <row r="10371">
      <c r="A10371" s="499" t="s">
        <v>14796</v>
      </c>
    </row>
    <row r="10372">
      <c r="A10372" s="499" t="s">
        <v>14797</v>
      </c>
    </row>
    <row r="10373">
      <c r="A10373" s="499" t="s">
        <v>14798</v>
      </c>
    </row>
    <row r="10374">
      <c r="A10374" s="499" t="s">
        <v>14799</v>
      </c>
    </row>
    <row r="10375">
      <c r="A10375" s="499" t="s">
        <v>14800</v>
      </c>
    </row>
    <row r="10376">
      <c r="A10376" s="499" t="s">
        <v>14801</v>
      </c>
    </row>
    <row r="10377">
      <c r="A10377" s="499" t="s">
        <v>14802</v>
      </c>
    </row>
    <row r="10378">
      <c r="A10378" s="499" t="s">
        <v>14803</v>
      </c>
    </row>
    <row r="10379">
      <c r="A10379" s="499" t="s">
        <v>14804</v>
      </c>
    </row>
    <row r="10380">
      <c r="A10380" s="499" t="s">
        <v>14805</v>
      </c>
    </row>
    <row r="10381">
      <c r="A10381" s="499" t="s">
        <v>14806</v>
      </c>
    </row>
    <row r="10382">
      <c r="A10382" s="499" t="s">
        <v>14807</v>
      </c>
    </row>
    <row r="10383">
      <c r="A10383" s="499" t="s">
        <v>14808</v>
      </c>
    </row>
    <row r="10384">
      <c r="A10384" s="499" t="s">
        <v>14809</v>
      </c>
    </row>
    <row r="10385">
      <c r="A10385" s="499" t="s">
        <v>14810</v>
      </c>
    </row>
    <row r="10386">
      <c r="A10386" s="499" t="s">
        <v>14811</v>
      </c>
    </row>
    <row r="10387">
      <c r="A10387" s="499" t="s">
        <v>14812</v>
      </c>
    </row>
    <row r="10388">
      <c r="A10388" s="499" t="s">
        <v>14813</v>
      </c>
    </row>
    <row r="10389">
      <c r="A10389" s="499" t="s">
        <v>14814</v>
      </c>
    </row>
    <row r="10390">
      <c r="A10390" s="499" t="s">
        <v>4635</v>
      </c>
    </row>
    <row r="10391">
      <c r="A10391" s="499" t="s">
        <v>4641</v>
      </c>
    </row>
    <row r="10392">
      <c r="A10392" s="499" t="s">
        <v>4644</v>
      </c>
    </row>
    <row r="10393">
      <c r="A10393" s="499" t="s">
        <v>4638</v>
      </c>
    </row>
    <row r="10394">
      <c r="A10394" s="499" t="s">
        <v>4647</v>
      </c>
    </row>
    <row r="10395">
      <c r="A10395" s="499" t="s">
        <v>4623</v>
      </c>
    </row>
    <row r="10396">
      <c r="A10396" s="499" t="s">
        <v>4629</v>
      </c>
    </row>
    <row r="10397">
      <c r="A10397" s="499" t="s">
        <v>4626</v>
      </c>
    </row>
    <row r="10398">
      <c r="A10398" s="499" t="s">
        <v>4632</v>
      </c>
    </row>
    <row r="10399">
      <c r="A10399" s="499" t="s">
        <v>4657</v>
      </c>
    </row>
    <row r="10400">
      <c r="A10400" s="499" t="s">
        <v>4655</v>
      </c>
    </row>
    <row r="10401">
      <c r="A10401" s="499" t="s">
        <v>4659</v>
      </c>
    </row>
    <row r="10402">
      <c r="A10402" s="499" t="s">
        <v>4661</v>
      </c>
    </row>
    <row r="10403">
      <c r="A10403" s="499" t="s">
        <v>4662</v>
      </c>
    </row>
    <row r="10404">
      <c r="A10404" s="499" t="s">
        <v>4663</v>
      </c>
    </row>
    <row r="10405">
      <c r="A10405" s="499" t="s">
        <v>4652</v>
      </c>
    </row>
    <row r="10406">
      <c r="A10406" s="499" t="s">
        <v>4650</v>
      </c>
    </row>
    <row r="10407">
      <c r="A10407" s="499" t="s">
        <v>14815</v>
      </c>
    </row>
    <row r="10408">
      <c r="A10408" s="499" t="s">
        <v>4856</v>
      </c>
    </row>
    <row r="10409">
      <c r="A10409" s="499" t="s">
        <v>4862</v>
      </c>
    </row>
    <row r="10410">
      <c r="A10410" s="499" t="s">
        <v>4874</v>
      </c>
    </row>
    <row r="10411">
      <c r="A10411" s="499" t="s">
        <v>4865</v>
      </c>
    </row>
    <row r="10412">
      <c r="A10412" s="499" t="s">
        <v>4876</v>
      </c>
    </row>
    <row r="10413">
      <c r="A10413" s="499" t="s">
        <v>4879</v>
      </c>
    </row>
    <row r="10414">
      <c r="A10414" s="499" t="s">
        <v>4881</v>
      </c>
    </row>
    <row r="10415">
      <c r="A10415" s="499" t="s">
        <v>4860</v>
      </c>
    </row>
    <row r="10416">
      <c r="A10416" s="499" t="s">
        <v>4858</v>
      </c>
    </row>
    <row r="10417">
      <c r="A10417" s="499" t="s">
        <v>4872</v>
      </c>
    </row>
    <row r="10418">
      <c r="A10418" s="499" t="s">
        <v>5156</v>
      </c>
    </row>
    <row r="10419">
      <c r="A10419" s="499" t="s">
        <v>4870</v>
      </c>
    </row>
    <row r="10420">
      <c r="A10420" s="499" t="s">
        <v>4868</v>
      </c>
    </row>
    <row r="10421">
      <c r="A10421" s="499" t="s">
        <v>14816</v>
      </c>
    </row>
    <row r="10422">
      <c r="A10422" s="499" t="s">
        <v>14817</v>
      </c>
    </row>
    <row r="10423">
      <c r="A10423" s="499" t="s">
        <v>5144</v>
      </c>
    </row>
    <row r="10424">
      <c r="A10424" s="499" t="s">
        <v>5004</v>
      </c>
    </row>
    <row r="10425">
      <c r="A10425" s="499" t="s">
        <v>5006</v>
      </c>
    </row>
    <row r="10426">
      <c r="A10426" s="499" t="s">
        <v>5002</v>
      </c>
    </row>
    <row r="10427">
      <c r="A10427" s="499" t="s">
        <v>4998</v>
      </c>
    </row>
    <row r="10428">
      <c r="A10428" s="499" t="s">
        <v>4994</v>
      </c>
    </row>
    <row r="10429">
      <c r="A10429" s="499" t="s">
        <v>4996</v>
      </c>
    </row>
    <row r="10430">
      <c r="A10430" s="499" t="s">
        <v>4665</v>
      </c>
    </row>
    <row r="10431">
      <c r="A10431" s="499" t="s">
        <v>4667</v>
      </c>
    </row>
    <row r="10432">
      <c r="A10432" s="499" t="s">
        <v>4599</v>
      </c>
    </row>
    <row r="10433">
      <c r="A10433" s="499" t="s">
        <v>4603</v>
      </c>
    </row>
    <row r="10434">
      <c r="A10434" s="499" t="s">
        <v>4607</v>
      </c>
    </row>
    <row r="10435">
      <c r="A10435" s="499" t="s">
        <v>4611</v>
      </c>
    </row>
    <row r="10436">
      <c r="A10436" s="499" t="s">
        <v>4615</v>
      </c>
    </row>
    <row r="10437">
      <c r="A10437" s="499" t="s">
        <v>4619</v>
      </c>
    </row>
    <row r="10438">
      <c r="A10438" s="499" t="s">
        <v>4587</v>
      </c>
    </row>
    <row r="10439">
      <c r="A10439" s="499" t="s">
        <v>4591</v>
      </c>
    </row>
    <row r="10440">
      <c r="A10440" s="499" t="s">
        <v>4595</v>
      </c>
    </row>
    <row r="10441">
      <c r="A10441" s="499" t="s">
        <v>4581</v>
      </c>
    </row>
    <row r="10442">
      <c r="A10442" s="499" t="s">
        <v>4583</v>
      </c>
    </row>
    <row r="10443">
      <c r="A10443" s="499" t="s">
        <v>4585</v>
      </c>
    </row>
    <row r="10444">
      <c r="A10444" s="499" t="s">
        <v>4601</v>
      </c>
    </row>
    <row r="10445">
      <c r="A10445" s="499" t="s">
        <v>4605</v>
      </c>
    </row>
    <row r="10446">
      <c r="A10446" s="499" t="s">
        <v>4609</v>
      </c>
    </row>
    <row r="10447">
      <c r="A10447" s="499" t="s">
        <v>4613</v>
      </c>
    </row>
    <row r="10448">
      <c r="A10448" s="499" t="s">
        <v>4617</v>
      </c>
    </row>
    <row r="10449">
      <c r="A10449" s="499" t="s">
        <v>4621</v>
      </c>
    </row>
    <row r="10450">
      <c r="A10450" s="499" t="s">
        <v>4589</v>
      </c>
    </row>
    <row r="10451">
      <c r="A10451" s="499" t="s">
        <v>4593</v>
      </c>
    </row>
    <row r="10452">
      <c r="A10452" s="499" t="s">
        <v>4597</v>
      </c>
    </row>
    <row r="10453">
      <c r="A10453" s="499" t="s">
        <v>14818</v>
      </c>
    </row>
    <row r="10454">
      <c r="A10454" s="499" t="s">
        <v>14819</v>
      </c>
    </row>
    <row r="10455">
      <c r="A10455" s="499" t="s">
        <v>14820</v>
      </c>
    </row>
    <row r="10456">
      <c r="A10456" s="499" t="s">
        <v>14821</v>
      </c>
    </row>
    <row r="10457">
      <c r="A10457" s="499" t="s">
        <v>14822</v>
      </c>
    </row>
    <row r="10458">
      <c r="A10458" s="499" t="s">
        <v>14823</v>
      </c>
    </row>
    <row r="10459">
      <c r="A10459" s="499" t="s">
        <v>14824</v>
      </c>
    </row>
    <row r="10460">
      <c r="A10460" s="499" t="s">
        <v>14825</v>
      </c>
    </row>
    <row r="10461">
      <c r="A10461" s="499" t="s">
        <v>14826</v>
      </c>
    </row>
    <row r="10462">
      <c r="A10462" s="499" t="s">
        <v>14827</v>
      </c>
    </row>
    <row r="10463">
      <c r="A10463" s="499" t="s">
        <v>14828</v>
      </c>
    </row>
    <row r="10464">
      <c r="A10464" s="499" t="s">
        <v>14829</v>
      </c>
    </row>
    <row r="10465">
      <c r="A10465" s="499" t="s">
        <v>14830</v>
      </c>
    </row>
    <row r="10466">
      <c r="A10466" s="499" t="s">
        <v>14831</v>
      </c>
    </row>
    <row r="10467">
      <c r="A10467" s="499" t="s">
        <v>14832</v>
      </c>
    </row>
    <row r="10468">
      <c r="A10468" s="499" t="s">
        <v>14833</v>
      </c>
    </row>
    <row r="10469">
      <c r="A10469" s="499" t="s">
        <v>14834</v>
      </c>
    </row>
    <row r="10470">
      <c r="A10470" s="499" t="s">
        <v>14835</v>
      </c>
    </row>
    <row r="10471">
      <c r="A10471" s="499" t="s">
        <v>14836</v>
      </c>
    </row>
    <row r="10472">
      <c r="A10472" s="499" t="s">
        <v>14837</v>
      </c>
    </row>
    <row r="10473">
      <c r="A10473" s="499" t="s">
        <v>14838</v>
      </c>
    </row>
    <row r="10474">
      <c r="A10474" s="499" t="s">
        <v>14839</v>
      </c>
    </row>
    <row r="10475">
      <c r="A10475" s="499" t="s">
        <v>14840</v>
      </c>
    </row>
    <row r="10476">
      <c r="A10476" s="499" t="s">
        <v>14841</v>
      </c>
    </row>
    <row r="10477">
      <c r="A10477" s="499" t="s">
        <v>14842</v>
      </c>
    </row>
    <row r="10478">
      <c r="A10478" s="499" t="s">
        <v>14843</v>
      </c>
    </row>
    <row r="10479">
      <c r="A10479" s="499" t="s">
        <v>14844</v>
      </c>
    </row>
    <row r="10480">
      <c r="A10480" s="499" t="s">
        <v>14845</v>
      </c>
    </row>
    <row r="10481">
      <c r="A10481" s="499" t="s">
        <v>14846</v>
      </c>
    </row>
    <row r="10482">
      <c r="A10482" s="499" t="s">
        <v>14847</v>
      </c>
    </row>
    <row r="10483">
      <c r="A10483" s="499" t="s">
        <v>14848</v>
      </c>
    </row>
    <row r="10484">
      <c r="A10484" s="499" t="s">
        <v>14849</v>
      </c>
    </row>
    <row r="10485">
      <c r="A10485" s="499" t="s">
        <v>14850</v>
      </c>
    </row>
    <row r="10486">
      <c r="A10486" s="499" t="s">
        <v>14851</v>
      </c>
    </row>
    <row r="10487">
      <c r="A10487" s="499" t="s">
        <v>14852</v>
      </c>
    </row>
    <row r="10488">
      <c r="A10488" s="499" t="s">
        <v>14853</v>
      </c>
    </row>
    <row r="10489">
      <c r="A10489" s="499" t="s">
        <v>14854</v>
      </c>
    </row>
    <row r="10490">
      <c r="A10490" s="499" t="s">
        <v>14855</v>
      </c>
    </row>
    <row r="10491">
      <c r="A10491" s="499" t="s">
        <v>14856</v>
      </c>
    </row>
    <row r="10492">
      <c r="A10492" s="499" t="s">
        <v>14857</v>
      </c>
    </row>
    <row r="10493">
      <c r="A10493" s="499" t="s">
        <v>5160</v>
      </c>
    </row>
    <row r="10494">
      <c r="A10494" s="499" t="s">
        <v>5163</v>
      </c>
    </row>
    <row r="10495">
      <c r="A10495" s="499" t="s">
        <v>5171</v>
      </c>
    </row>
    <row r="10496">
      <c r="A10496" s="499" t="s">
        <v>5165</v>
      </c>
    </row>
    <row r="10497">
      <c r="A10497" s="499" t="s">
        <v>5168</v>
      </c>
    </row>
    <row r="10498">
      <c r="A10498" s="499" t="s">
        <v>14858</v>
      </c>
    </row>
    <row r="10499">
      <c r="A10499" s="499" t="s">
        <v>14859</v>
      </c>
    </row>
    <row r="10500">
      <c r="A10500" s="499" t="s">
        <v>14860</v>
      </c>
    </row>
    <row r="10501">
      <c r="A10501" s="499" t="s">
        <v>14861</v>
      </c>
    </row>
    <row r="10502">
      <c r="A10502" s="499" t="s">
        <v>5119</v>
      </c>
    </row>
    <row r="10503">
      <c r="A10503" s="499" t="s">
        <v>5117</v>
      </c>
    </row>
    <row r="10504">
      <c r="A10504" s="499" t="s">
        <v>5115</v>
      </c>
    </row>
    <row r="10505">
      <c r="A10505" s="499" t="s">
        <v>5136</v>
      </c>
    </row>
    <row r="10506">
      <c r="A10506" s="499" t="s">
        <v>5138</v>
      </c>
    </row>
    <row r="10507">
      <c r="A10507" s="499" t="s">
        <v>3621</v>
      </c>
    </row>
    <row r="10508">
      <c r="A10508" s="499" t="s">
        <v>5177</v>
      </c>
    </row>
    <row r="10509">
      <c r="A10509" s="499" t="s">
        <v>5174</v>
      </c>
    </row>
    <row r="10510">
      <c r="A10510" s="499" t="s">
        <v>5180</v>
      </c>
    </row>
    <row r="10511">
      <c r="A10511" s="499" t="s">
        <v>5182</v>
      </c>
    </row>
    <row r="10512">
      <c r="A10512" s="499" t="s">
        <v>14862</v>
      </c>
    </row>
    <row r="10513">
      <c r="A10513" s="499" t="s">
        <v>5188</v>
      </c>
    </row>
    <row r="10514">
      <c r="A10514" s="499" t="s">
        <v>5191</v>
      </c>
    </row>
    <row r="10515">
      <c r="A10515" s="499" t="s">
        <v>5194</v>
      </c>
    </row>
    <row r="10516">
      <c r="A10516" s="499" t="s">
        <v>5184</v>
      </c>
    </row>
    <row r="10517">
      <c r="A10517" s="499" t="s">
        <v>5186</v>
      </c>
    </row>
    <row r="10518">
      <c r="A10518" s="499" t="s">
        <v>14863</v>
      </c>
    </row>
    <row r="10519">
      <c r="A10519" s="499" t="s">
        <v>14864</v>
      </c>
    </row>
    <row r="10520">
      <c r="A10520" s="499" t="s">
        <v>14865</v>
      </c>
    </row>
    <row r="10521">
      <c r="A10521" s="499" t="s">
        <v>14866</v>
      </c>
    </row>
    <row r="10522">
      <c r="A10522" s="499" t="s">
        <v>14867</v>
      </c>
    </row>
    <row r="10523">
      <c r="A10523" s="499" t="s">
        <v>14868</v>
      </c>
    </row>
    <row r="10524">
      <c r="A10524" s="499" t="s">
        <v>5870</v>
      </c>
    </row>
    <row r="10525">
      <c r="A10525" s="499" t="s">
        <v>5865</v>
      </c>
    </row>
    <row r="10526">
      <c r="A10526" s="499" t="s">
        <v>5872</v>
      </c>
    </row>
    <row r="10527">
      <c r="A10527" s="499" t="s">
        <v>5868</v>
      </c>
    </row>
    <row r="10528">
      <c r="A10528" s="499" t="s">
        <v>5901</v>
      </c>
    </row>
    <row r="10529">
      <c r="A10529" s="499" t="s">
        <v>5899</v>
      </c>
    </row>
    <row r="10530">
      <c r="A10530" s="499" t="s">
        <v>5895</v>
      </c>
    </row>
    <row r="10531">
      <c r="A10531" s="499" t="s">
        <v>5876</v>
      </c>
    </row>
    <row r="10532">
      <c r="A10532" s="499" t="s">
        <v>5879</v>
      </c>
    </row>
    <row r="10533">
      <c r="A10533" s="499" t="s">
        <v>5886</v>
      </c>
    </row>
    <row r="10534">
      <c r="A10534" s="499" t="s">
        <v>5857</v>
      </c>
    </row>
    <row r="10535">
      <c r="A10535" s="499" t="s">
        <v>5889</v>
      </c>
    </row>
    <row r="10536">
      <c r="A10536" s="499" t="s">
        <v>5908</v>
      </c>
    </row>
    <row r="10537">
      <c r="A10537" s="499" t="s">
        <v>5861</v>
      </c>
    </row>
    <row r="10538">
      <c r="A10538" s="499" t="s">
        <v>5852</v>
      </c>
    </row>
    <row r="10539">
      <c r="A10539" s="499" t="s">
        <v>5855</v>
      </c>
    </row>
    <row r="10540">
      <c r="A10540" s="499" t="s">
        <v>5897</v>
      </c>
    </row>
    <row r="10541">
      <c r="A10541" s="499" t="s">
        <v>5863</v>
      </c>
    </row>
    <row r="10542">
      <c r="A10542" s="499" t="s">
        <v>5893</v>
      </c>
    </row>
    <row r="10543">
      <c r="A10543" s="499" t="s">
        <v>5891</v>
      </c>
    </row>
    <row r="10544">
      <c r="A10544" s="499" t="s">
        <v>5859</v>
      </c>
    </row>
    <row r="10545">
      <c r="A10545" s="499" t="s">
        <v>5906</v>
      </c>
    </row>
    <row r="10546">
      <c r="A10546" s="499" t="s">
        <v>5874</v>
      </c>
    </row>
    <row r="10547">
      <c r="A10547" s="499" t="s">
        <v>5904</v>
      </c>
    </row>
    <row r="10548">
      <c r="A10548" s="499" t="s">
        <v>14869</v>
      </c>
    </row>
    <row r="10549">
      <c r="A10549" s="499" t="s">
        <v>5881</v>
      </c>
    </row>
    <row r="10550">
      <c r="A10550" s="499" t="s">
        <v>5883</v>
      </c>
    </row>
    <row r="10551">
      <c r="A10551" s="499" t="s">
        <v>14870</v>
      </c>
    </row>
    <row r="10552">
      <c r="A10552" s="499" t="s">
        <v>14871</v>
      </c>
    </row>
    <row r="10553">
      <c r="A10553" s="499" t="s">
        <v>14872</v>
      </c>
    </row>
    <row r="10554">
      <c r="A10554" s="499" t="s">
        <v>14873</v>
      </c>
    </row>
    <row r="10555">
      <c r="A10555" s="499" t="s">
        <v>14874</v>
      </c>
    </row>
    <row r="10556">
      <c r="A10556" s="499" t="s">
        <v>14875</v>
      </c>
    </row>
    <row r="10557">
      <c r="A10557" s="499" t="s">
        <v>14876</v>
      </c>
    </row>
    <row r="10558">
      <c r="A10558" s="499" t="s">
        <v>14877</v>
      </c>
    </row>
    <row r="10559">
      <c r="A10559" s="499" t="s">
        <v>14878</v>
      </c>
    </row>
    <row r="10560">
      <c r="A10560" s="499" t="s">
        <v>5641</v>
      </c>
    </row>
    <row r="10561">
      <c r="A10561" s="499" t="s">
        <v>5654</v>
      </c>
    </row>
    <row r="10562">
      <c r="A10562" s="499" t="s">
        <v>5546</v>
      </c>
    </row>
    <row r="10563">
      <c r="A10563" s="499" t="s">
        <v>5443</v>
      </c>
    </row>
    <row r="10564">
      <c r="A10564" s="499" t="s">
        <v>5500</v>
      </c>
    </row>
    <row r="10565">
      <c r="A10565" s="499" t="s">
        <v>5515</v>
      </c>
    </row>
    <row r="10566">
      <c r="A10566" s="499" t="s">
        <v>5620</v>
      </c>
    </row>
    <row r="10567">
      <c r="A10567" s="499" t="s">
        <v>5395</v>
      </c>
    </row>
    <row r="10568">
      <c r="A10568" s="499" t="s">
        <v>5401</v>
      </c>
    </row>
    <row r="10569">
      <c r="A10569" s="499" t="s">
        <v>5404</v>
      </c>
    </row>
    <row r="10570">
      <c r="A10570" s="499" t="s">
        <v>5530</v>
      </c>
    </row>
    <row r="10571">
      <c r="A10571" s="499" t="s">
        <v>5632</v>
      </c>
    </row>
    <row r="10572">
      <c r="A10572" s="499" t="s">
        <v>5611</v>
      </c>
    </row>
    <row r="10573">
      <c r="A10573" s="499" t="s">
        <v>5584</v>
      </c>
    </row>
    <row r="10574">
      <c r="A10574" s="499" t="s">
        <v>5485</v>
      </c>
    </row>
    <row r="10575">
      <c r="A10575" s="499" t="s">
        <v>5543</v>
      </c>
    </row>
    <row r="10576">
      <c r="A10576" s="499" t="s">
        <v>5415</v>
      </c>
    </row>
    <row r="10577">
      <c r="A10577" s="499" t="s">
        <v>5467</v>
      </c>
    </row>
    <row r="10578">
      <c r="A10578" s="499" t="s">
        <v>5558</v>
      </c>
    </row>
    <row r="10579">
      <c r="A10579" s="499" t="s">
        <v>5398</v>
      </c>
    </row>
    <row r="10580">
      <c r="A10580" s="499" t="s">
        <v>5412</v>
      </c>
    </row>
    <row r="10581">
      <c r="A10581" s="499" t="s">
        <v>2127</v>
      </c>
    </row>
    <row r="10582">
      <c r="A10582" s="499" t="s">
        <v>5497</v>
      </c>
    </row>
    <row r="10583">
      <c r="A10583" s="499" t="s">
        <v>5617</v>
      </c>
    </row>
    <row r="10584">
      <c r="A10584" s="499" t="s">
        <v>5657</v>
      </c>
    </row>
    <row r="10585">
      <c r="A10585" s="499" t="s">
        <v>5587</v>
      </c>
    </row>
    <row r="10586">
      <c r="A10586" s="499" t="s">
        <v>5409</v>
      </c>
    </row>
    <row r="10587">
      <c r="A10587" s="499" t="s">
        <v>5593</v>
      </c>
    </row>
    <row r="10588">
      <c r="A10588" s="499" t="s">
        <v>14879</v>
      </c>
    </row>
    <row r="10589">
      <c r="A10589" s="499" t="s">
        <v>5567</v>
      </c>
    </row>
    <row r="10590">
      <c r="A10590" s="499" t="s">
        <v>5643</v>
      </c>
    </row>
    <row r="10591">
      <c r="A10591" s="499" t="s">
        <v>5629</v>
      </c>
    </row>
    <row r="10592">
      <c r="A10592" s="499" t="s">
        <v>5626</v>
      </c>
    </row>
    <row r="10593">
      <c r="A10593" s="499" t="s">
        <v>14880</v>
      </c>
    </row>
    <row r="10594">
      <c r="A10594" s="499" t="s">
        <v>5461</v>
      </c>
    </row>
    <row r="10595">
      <c r="A10595" s="499" t="s">
        <v>5608</v>
      </c>
    </row>
    <row r="10596">
      <c r="A10596" s="499" t="s">
        <v>5446</v>
      </c>
    </row>
    <row r="10597">
      <c r="A10597" s="499" t="s">
        <v>5590</v>
      </c>
    </row>
    <row r="10598">
      <c r="A10598" s="499" t="s">
        <v>5651</v>
      </c>
    </row>
    <row r="10599">
      <c r="A10599" s="499" t="s">
        <v>5464</v>
      </c>
    </row>
    <row r="10600">
      <c r="A10600" s="499" t="s">
        <v>5555</v>
      </c>
    </row>
    <row r="10601">
      <c r="A10601" s="499" t="s">
        <v>5605</v>
      </c>
    </row>
    <row r="10602">
      <c r="A10602" s="499" t="s">
        <v>5578</v>
      </c>
    </row>
    <row r="10603">
      <c r="A10603" s="499" t="s">
        <v>5449</v>
      </c>
    </row>
    <row r="10604">
      <c r="A10604" s="499" t="s">
        <v>5440</v>
      </c>
    </row>
    <row r="10605">
      <c r="A10605" s="499" t="s">
        <v>5418</v>
      </c>
    </row>
    <row r="10606">
      <c r="A10606" s="499" t="s">
        <v>5549</v>
      </c>
    </row>
    <row r="10607">
      <c r="A10607" s="499" t="s">
        <v>5437</v>
      </c>
    </row>
    <row r="10608">
      <c r="A10608" s="499" t="s">
        <v>5424</v>
      </c>
    </row>
    <row r="10609">
      <c r="A10609" s="499" t="s">
        <v>5427</v>
      </c>
    </row>
    <row r="10610">
      <c r="A10610" s="499" t="s">
        <v>5458</v>
      </c>
    </row>
    <row r="10611">
      <c r="A10611" s="499" t="s">
        <v>5503</v>
      </c>
    </row>
    <row r="10612">
      <c r="A10612" s="499" t="s">
        <v>5660</v>
      </c>
    </row>
    <row r="10613">
      <c r="A10613" s="499" t="s">
        <v>5389</v>
      </c>
    </row>
    <row r="10614">
      <c r="A10614" s="499" t="s">
        <v>5455</v>
      </c>
    </row>
    <row r="10615">
      <c r="A10615" s="499" t="s">
        <v>5494</v>
      </c>
    </row>
    <row r="10616">
      <c r="A10616" s="499" t="s">
        <v>5512</v>
      </c>
    </row>
    <row r="10617">
      <c r="A10617" s="499" t="s">
        <v>5527</v>
      </c>
    </row>
    <row r="10618">
      <c r="A10618" s="499" t="s">
        <v>5434</v>
      </c>
    </row>
    <row r="10619">
      <c r="A10619" s="499" t="s">
        <v>5540</v>
      </c>
    </row>
    <row r="10620">
      <c r="A10620" s="499" t="s">
        <v>7137</v>
      </c>
    </row>
    <row r="10621">
      <c r="A10621" s="499" t="s">
        <v>5663</v>
      </c>
    </row>
    <row r="10622">
      <c r="A10622" s="499" t="s">
        <v>5564</v>
      </c>
    </row>
    <row r="10623">
      <c r="A10623" s="499" t="s">
        <v>5476</v>
      </c>
    </row>
    <row r="10624">
      <c r="A10624" s="499" t="s">
        <v>5491</v>
      </c>
    </row>
    <row r="10625">
      <c r="A10625" s="499" t="s">
        <v>5479</v>
      </c>
    </row>
    <row r="10626">
      <c r="A10626" s="499" t="s">
        <v>5430</v>
      </c>
    </row>
    <row r="10627">
      <c r="A10627" s="499" t="s">
        <v>5392</v>
      </c>
    </row>
    <row r="10628">
      <c r="A10628" s="499" t="s">
        <v>5570</v>
      </c>
    </row>
    <row r="10629">
      <c r="A10629" s="499" t="s">
        <v>5614</v>
      </c>
    </row>
    <row r="10630">
      <c r="A10630" s="499" t="s">
        <v>5649</v>
      </c>
    </row>
    <row r="10631">
      <c r="A10631" s="499" t="s">
        <v>5638</v>
      </c>
    </row>
    <row r="10632">
      <c r="A10632" s="499" t="s">
        <v>5452</v>
      </c>
    </row>
    <row r="10633">
      <c r="A10633" s="499" t="s">
        <v>5473</v>
      </c>
    </row>
    <row r="10634">
      <c r="A10634" s="499" t="s">
        <v>5488</v>
      </c>
    </row>
    <row r="10635">
      <c r="A10635" s="499" t="s">
        <v>5509</v>
      </c>
    </row>
    <row r="10636">
      <c r="A10636" s="499" t="s">
        <v>5524</v>
      </c>
    </row>
    <row r="10637">
      <c r="A10637" s="499" t="s">
        <v>5533</v>
      </c>
    </row>
    <row r="10638">
      <c r="A10638" s="499" t="s">
        <v>5538</v>
      </c>
    </row>
    <row r="10639">
      <c r="A10639" s="499" t="s">
        <v>5552</v>
      </c>
    </row>
    <row r="10640">
      <c r="A10640" s="499" t="s">
        <v>5573</v>
      </c>
    </row>
    <row r="10641">
      <c r="A10641" s="499" t="s">
        <v>5599</v>
      </c>
    </row>
    <row r="10642">
      <c r="A10642" s="499" t="s">
        <v>5575</v>
      </c>
    </row>
    <row r="10643">
      <c r="A10643" s="499" t="s">
        <v>5669</v>
      </c>
    </row>
    <row r="10644">
      <c r="A10644" s="499" t="s">
        <v>14881</v>
      </c>
    </row>
    <row r="10645">
      <c r="A10645" s="499" t="s">
        <v>14882</v>
      </c>
    </row>
    <row r="10646">
      <c r="A10646" s="499" t="s">
        <v>5623</v>
      </c>
    </row>
    <row r="10647">
      <c r="A10647" s="499" t="s">
        <v>5561</v>
      </c>
    </row>
    <row r="10648">
      <c r="A10648" s="499" t="s">
        <v>5433</v>
      </c>
    </row>
    <row r="10649">
      <c r="A10649" s="499" t="s">
        <v>5581</v>
      </c>
    </row>
    <row r="10650">
      <c r="A10650" s="499" t="s">
        <v>5646</v>
      </c>
    </row>
    <row r="10651">
      <c r="A10651" s="499" t="s">
        <v>5666</v>
      </c>
    </row>
    <row r="10652">
      <c r="A10652" s="499" t="s">
        <v>5421</v>
      </c>
    </row>
    <row r="10653">
      <c r="A10653" s="499" t="s">
        <v>5470</v>
      </c>
    </row>
    <row r="10654">
      <c r="A10654" s="499" t="s">
        <v>5482</v>
      </c>
    </row>
    <row r="10655">
      <c r="A10655" s="499" t="s">
        <v>5506</v>
      </c>
    </row>
    <row r="10656">
      <c r="A10656" s="499" t="s">
        <v>5521</v>
      </c>
    </row>
    <row r="10657">
      <c r="A10657" s="499" t="s">
        <v>5535</v>
      </c>
    </row>
    <row r="10658">
      <c r="A10658" s="499" t="s">
        <v>5518</v>
      </c>
    </row>
    <row r="10659">
      <c r="A10659" s="499" t="s">
        <v>5602</v>
      </c>
    </row>
    <row r="10660">
      <c r="A10660" s="499" t="s">
        <v>5635</v>
      </c>
    </row>
    <row r="10661">
      <c r="A10661" s="499" t="s">
        <v>5383</v>
      </c>
    </row>
    <row r="10662">
      <c r="A10662" s="499" t="s">
        <v>5386</v>
      </c>
    </row>
    <row r="10663">
      <c r="A10663" s="499" t="s">
        <v>5209</v>
      </c>
    </row>
    <row r="10664">
      <c r="A10664" s="499" t="s">
        <v>5211</v>
      </c>
    </row>
    <row r="10665">
      <c r="A10665" s="499" t="s">
        <v>5213</v>
      </c>
    </row>
    <row r="10666">
      <c r="A10666" s="499" t="s">
        <v>5217</v>
      </c>
    </row>
    <row r="10667">
      <c r="A10667" s="499" t="s">
        <v>5215</v>
      </c>
    </row>
    <row r="10668">
      <c r="A10668" s="499" t="s">
        <v>14883</v>
      </c>
    </row>
    <row r="10669">
      <c r="A10669" s="499" t="s">
        <v>14884</v>
      </c>
    </row>
    <row r="10670">
      <c r="A10670" s="499" t="s">
        <v>14885</v>
      </c>
    </row>
    <row r="10671">
      <c r="A10671" s="499" t="s">
        <v>5224</v>
      </c>
    </row>
    <row r="10672">
      <c r="A10672" s="499" t="s">
        <v>5227</v>
      </c>
    </row>
    <row r="10673">
      <c r="A10673" s="499" t="s">
        <v>5236</v>
      </c>
    </row>
    <row r="10674">
      <c r="A10674" s="499" t="s">
        <v>5938</v>
      </c>
    </row>
    <row r="10675">
      <c r="A10675" s="499" t="s">
        <v>5219</v>
      </c>
    </row>
    <row r="10676">
      <c r="A10676" s="499" t="s">
        <v>5221</v>
      </c>
    </row>
    <row r="10677">
      <c r="A10677" s="499" t="s">
        <v>5230</v>
      </c>
    </row>
    <row r="10678">
      <c r="A10678" s="499" t="s">
        <v>5929</v>
      </c>
    </row>
    <row r="10679">
      <c r="A10679" s="499" t="s">
        <v>5924</v>
      </c>
    </row>
    <row r="10680">
      <c r="A10680" s="499" t="s">
        <v>5927</v>
      </c>
    </row>
    <row r="10681">
      <c r="A10681" s="499" t="s">
        <v>14886</v>
      </c>
    </row>
    <row r="10682">
      <c r="A10682" s="499" t="s">
        <v>14887</v>
      </c>
    </row>
    <row r="10683">
      <c r="A10683" s="499" t="s">
        <v>14888</v>
      </c>
    </row>
    <row r="10684">
      <c r="A10684" s="499" t="s">
        <v>14889</v>
      </c>
    </row>
    <row r="10685">
      <c r="A10685" s="499" t="s">
        <v>5262</v>
      </c>
    </row>
    <row r="10686">
      <c r="A10686" s="499" t="s">
        <v>5264</v>
      </c>
    </row>
    <row r="10687">
      <c r="A10687" s="499" t="s">
        <v>5246</v>
      </c>
    </row>
    <row r="10688">
      <c r="A10688" s="499" t="s">
        <v>5248</v>
      </c>
    </row>
    <row r="10689">
      <c r="A10689" s="499" t="s">
        <v>5260</v>
      </c>
    </row>
    <row r="10690">
      <c r="A10690" s="499" t="s">
        <v>5250</v>
      </c>
    </row>
    <row r="10691">
      <c r="A10691" s="499" t="s">
        <v>14890</v>
      </c>
    </row>
    <row r="10692">
      <c r="A10692" s="499" t="s">
        <v>14891</v>
      </c>
    </row>
    <row r="10693">
      <c r="A10693" s="499" t="s">
        <v>14892</v>
      </c>
    </row>
    <row r="10694">
      <c r="A10694" s="499" t="s">
        <v>14893</v>
      </c>
    </row>
    <row r="10695">
      <c r="A10695" s="499" t="s">
        <v>14894</v>
      </c>
    </row>
    <row r="10696">
      <c r="A10696" s="499" t="s">
        <v>14895</v>
      </c>
    </row>
    <row r="10697">
      <c r="A10697" s="499" t="s">
        <v>14896</v>
      </c>
    </row>
    <row r="10698">
      <c r="A10698" s="499" t="s">
        <v>14897</v>
      </c>
    </row>
    <row r="10699">
      <c r="A10699" s="499" t="s">
        <v>14898</v>
      </c>
    </row>
    <row r="10700">
      <c r="A10700" s="499" t="s">
        <v>14899</v>
      </c>
    </row>
    <row r="10701">
      <c r="A10701" s="499" t="s">
        <v>14900</v>
      </c>
    </row>
    <row r="10702">
      <c r="A10702" s="499" t="s">
        <v>14901</v>
      </c>
    </row>
    <row r="10703">
      <c r="A10703" s="499" t="s">
        <v>14902</v>
      </c>
    </row>
    <row r="10704">
      <c r="A10704" s="499" t="s">
        <v>14903</v>
      </c>
    </row>
    <row r="10705">
      <c r="A10705" s="499" t="s">
        <v>14904</v>
      </c>
    </row>
    <row r="10706">
      <c r="A10706" s="499" t="s">
        <v>14905</v>
      </c>
    </row>
    <row r="10707">
      <c r="A10707" s="499" t="s">
        <v>14906</v>
      </c>
    </row>
    <row r="10708">
      <c r="A10708" s="499" t="s">
        <v>14907</v>
      </c>
    </row>
    <row r="10709">
      <c r="A10709" s="499" t="s">
        <v>14908</v>
      </c>
    </row>
    <row r="10710">
      <c r="A10710" s="499" t="s">
        <v>14909</v>
      </c>
    </row>
    <row r="10711">
      <c r="A10711" s="499" t="s">
        <v>14910</v>
      </c>
    </row>
    <row r="10712">
      <c r="A10712" s="499" t="s">
        <v>14911</v>
      </c>
    </row>
    <row r="10713">
      <c r="A10713" s="499" t="s">
        <v>14912</v>
      </c>
    </row>
    <row r="10714">
      <c r="A10714" s="499" t="s">
        <v>14913</v>
      </c>
    </row>
    <row r="10715">
      <c r="A10715" s="499" t="s">
        <v>14914</v>
      </c>
    </row>
    <row r="10716">
      <c r="A10716" s="499" t="s">
        <v>14915</v>
      </c>
    </row>
    <row r="10717">
      <c r="A10717" s="499" t="s">
        <v>14916</v>
      </c>
    </row>
    <row r="10718">
      <c r="A10718" s="499" t="s">
        <v>14917</v>
      </c>
    </row>
    <row r="10719">
      <c r="A10719" s="499" t="s">
        <v>14918</v>
      </c>
    </row>
    <row r="10720">
      <c r="A10720" s="499" t="s">
        <v>14919</v>
      </c>
    </row>
    <row r="10721">
      <c r="A10721" s="499" t="s">
        <v>14920</v>
      </c>
    </row>
    <row r="10722">
      <c r="A10722" s="499" t="s">
        <v>14921</v>
      </c>
    </row>
    <row r="10723">
      <c r="A10723" s="499" t="s">
        <v>14922</v>
      </c>
    </row>
    <row r="10724">
      <c r="A10724" s="499" t="s">
        <v>14923</v>
      </c>
    </row>
    <row r="10725">
      <c r="A10725" s="499" t="s">
        <v>14924</v>
      </c>
    </row>
    <row r="10726">
      <c r="A10726" s="499" t="s">
        <v>14925</v>
      </c>
    </row>
    <row r="10727">
      <c r="A10727" s="499" t="s">
        <v>14926</v>
      </c>
    </row>
    <row r="10728">
      <c r="A10728" s="499" t="s">
        <v>14927</v>
      </c>
    </row>
    <row r="10729">
      <c r="A10729" s="499" t="s">
        <v>14928</v>
      </c>
    </row>
    <row r="10730">
      <c r="A10730" s="499" t="s">
        <v>14929</v>
      </c>
    </row>
    <row r="10731">
      <c r="A10731" s="499" t="s">
        <v>14930</v>
      </c>
    </row>
    <row r="10732">
      <c r="A10732" s="499" t="s">
        <v>14931</v>
      </c>
    </row>
    <row r="10733">
      <c r="A10733" s="499" t="s">
        <v>14932</v>
      </c>
    </row>
    <row r="10734">
      <c r="A10734" s="499" t="s">
        <v>14933</v>
      </c>
    </row>
    <row r="10735">
      <c r="A10735" s="499" t="s">
        <v>14934</v>
      </c>
    </row>
    <row r="10736">
      <c r="A10736" s="499" t="s">
        <v>14935</v>
      </c>
    </row>
    <row r="10737">
      <c r="A10737" s="499" t="s">
        <v>14936</v>
      </c>
    </row>
    <row r="10738">
      <c r="A10738" s="499" t="s">
        <v>14937</v>
      </c>
    </row>
    <row r="10739">
      <c r="A10739" s="499" t="s">
        <v>14938</v>
      </c>
    </row>
    <row r="10740">
      <c r="A10740" s="499" t="s">
        <v>14939</v>
      </c>
    </row>
    <row r="10741">
      <c r="A10741" s="499" t="s">
        <v>14940</v>
      </c>
    </row>
    <row r="10742">
      <c r="A10742" s="499" t="s">
        <v>14941</v>
      </c>
    </row>
    <row r="10743">
      <c r="A10743" s="499" t="s">
        <v>14942</v>
      </c>
    </row>
    <row r="10744">
      <c r="A10744" s="499" t="s">
        <v>14943</v>
      </c>
    </row>
    <row r="10745">
      <c r="A10745" s="499" t="s">
        <v>14944</v>
      </c>
    </row>
    <row r="10746">
      <c r="A10746" s="499" t="s">
        <v>14945</v>
      </c>
    </row>
    <row r="10747">
      <c r="A10747" s="499" t="s">
        <v>14946</v>
      </c>
    </row>
    <row r="10748">
      <c r="A10748" s="499" t="s">
        <v>14947</v>
      </c>
    </row>
    <row r="10749">
      <c r="A10749" s="499" t="s">
        <v>14948</v>
      </c>
    </row>
    <row r="10750">
      <c r="A10750" s="499" t="s">
        <v>14949</v>
      </c>
    </row>
    <row r="10751">
      <c r="A10751" s="499" t="s">
        <v>14950</v>
      </c>
    </row>
    <row r="10752">
      <c r="A10752" s="499" t="s">
        <v>14951</v>
      </c>
    </row>
    <row r="10753">
      <c r="A10753" s="499" t="s">
        <v>14952</v>
      </c>
    </row>
    <row r="10754">
      <c r="A10754" s="499" t="s">
        <v>14953</v>
      </c>
    </row>
    <row r="10755">
      <c r="A10755" s="499" t="s">
        <v>14954</v>
      </c>
    </row>
    <row r="10756">
      <c r="A10756" s="499" t="s">
        <v>14955</v>
      </c>
    </row>
    <row r="10757">
      <c r="A10757" s="499" t="s">
        <v>14956</v>
      </c>
    </row>
    <row r="10758">
      <c r="A10758" s="499" t="s">
        <v>14957</v>
      </c>
    </row>
    <row r="10759">
      <c r="A10759" s="499" t="s">
        <v>14958</v>
      </c>
    </row>
    <row r="10760">
      <c r="A10760" s="499" t="s">
        <v>5266</v>
      </c>
    </row>
    <row r="10761">
      <c r="A10761" s="499" t="s">
        <v>14959</v>
      </c>
    </row>
    <row r="10762">
      <c r="A10762" s="499" t="s">
        <v>14960</v>
      </c>
    </row>
    <row r="10763">
      <c r="A10763" s="499" t="s">
        <v>14961</v>
      </c>
    </row>
    <row r="10764">
      <c r="A10764" s="499" t="s">
        <v>14962</v>
      </c>
    </row>
    <row r="10765">
      <c r="A10765" s="499" t="s">
        <v>14963</v>
      </c>
    </row>
    <row r="10766">
      <c r="A10766" s="499" t="s">
        <v>14964</v>
      </c>
    </row>
    <row r="10767">
      <c r="A10767" s="499" t="s">
        <v>14965</v>
      </c>
    </row>
    <row r="10768">
      <c r="A10768" s="499" t="s">
        <v>14966</v>
      </c>
    </row>
    <row r="10769">
      <c r="A10769" s="499" t="s">
        <v>14967</v>
      </c>
    </row>
    <row r="10770">
      <c r="A10770" s="499" t="s">
        <v>14968</v>
      </c>
    </row>
    <row r="10771">
      <c r="A10771" s="499" t="s">
        <v>14969</v>
      </c>
    </row>
    <row r="10772">
      <c r="A10772" s="499" t="s">
        <v>14970</v>
      </c>
    </row>
    <row r="10773">
      <c r="A10773" s="499" t="s">
        <v>14971</v>
      </c>
    </row>
    <row r="10774">
      <c r="A10774" s="499" t="s">
        <v>14972</v>
      </c>
    </row>
    <row r="10775">
      <c r="A10775" s="499" t="s">
        <v>14973</v>
      </c>
    </row>
    <row r="10776">
      <c r="A10776" s="499" t="s">
        <v>14974</v>
      </c>
    </row>
    <row r="10777">
      <c r="A10777" s="499" t="s">
        <v>14975</v>
      </c>
    </row>
    <row r="10778">
      <c r="A10778" s="499" t="s">
        <v>14976</v>
      </c>
    </row>
    <row r="10779">
      <c r="A10779" s="499" t="s">
        <v>14977</v>
      </c>
    </row>
    <row r="10780">
      <c r="A10780" s="499" t="s">
        <v>14978</v>
      </c>
    </row>
    <row r="10781">
      <c r="A10781" s="499" t="s">
        <v>14979</v>
      </c>
    </row>
    <row r="10782">
      <c r="A10782" s="499" t="s">
        <v>14980</v>
      </c>
    </row>
    <row r="10783">
      <c r="A10783" s="499" t="s">
        <v>14981</v>
      </c>
    </row>
    <row r="10784">
      <c r="A10784" s="499" t="s">
        <v>14982</v>
      </c>
    </row>
    <row r="10785">
      <c r="A10785" s="499" t="s">
        <v>14983</v>
      </c>
    </row>
    <row r="10786">
      <c r="A10786" s="499" t="s">
        <v>14984</v>
      </c>
    </row>
    <row r="10787">
      <c r="A10787" s="499" t="s">
        <v>14985</v>
      </c>
    </row>
    <row r="10788">
      <c r="A10788" s="499" t="s">
        <v>14986</v>
      </c>
    </row>
    <row r="10789">
      <c r="A10789" s="499" t="s">
        <v>14987</v>
      </c>
    </row>
    <row r="10790">
      <c r="A10790" s="499" t="s">
        <v>14988</v>
      </c>
    </row>
    <row r="10791">
      <c r="A10791" s="499" t="s">
        <v>14989</v>
      </c>
    </row>
    <row r="10792">
      <c r="A10792" s="499" t="s">
        <v>14990</v>
      </c>
    </row>
    <row r="10793">
      <c r="A10793" s="499" t="s">
        <v>14991</v>
      </c>
    </row>
    <row r="10794">
      <c r="A10794" s="499" t="s">
        <v>14992</v>
      </c>
    </row>
    <row r="10795">
      <c r="A10795" s="499" t="s">
        <v>14993</v>
      </c>
    </row>
    <row r="10796">
      <c r="A10796" s="499" t="s">
        <v>14994</v>
      </c>
    </row>
    <row r="10797">
      <c r="A10797" s="499" t="s">
        <v>14995</v>
      </c>
    </row>
    <row r="10798">
      <c r="A10798" s="499" t="s">
        <v>14996</v>
      </c>
    </row>
    <row r="10799">
      <c r="A10799" s="499" t="s">
        <v>5254</v>
      </c>
    </row>
    <row r="10800">
      <c r="A10800" s="499" t="s">
        <v>5256</v>
      </c>
    </row>
    <row r="10801">
      <c r="A10801" s="499" t="s">
        <v>5252</v>
      </c>
    </row>
    <row r="10802">
      <c r="A10802" s="499" t="s">
        <v>5258</v>
      </c>
    </row>
    <row r="10803">
      <c r="A10803" s="499" t="s">
        <v>5241</v>
      </c>
    </row>
    <row r="10804">
      <c r="A10804" s="499" t="s">
        <v>5244</v>
      </c>
    </row>
    <row r="10805">
      <c r="A10805" s="499" t="s">
        <v>14997</v>
      </c>
    </row>
    <row r="10806">
      <c r="A10806" s="499" t="s">
        <v>14998</v>
      </c>
    </row>
    <row r="10807">
      <c r="A10807" s="499" t="s">
        <v>14999</v>
      </c>
    </row>
    <row r="10808">
      <c r="A10808" s="499" t="s">
        <v>15000</v>
      </c>
    </row>
    <row r="10809">
      <c r="A10809" s="499" t="s">
        <v>15001</v>
      </c>
    </row>
    <row r="10810">
      <c r="A10810" s="499" t="s">
        <v>15002</v>
      </c>
    </row>
    <row r="10811">
      <c r="A10811" s="499" t="s">
        <v>15003</v>
      </c>
    </row>
    <row r="10812">
      <c r="A10812" s="499" t="s">
        <v>15004</v>
      </c>
    </row>
    <row r="10813">
      <c r="A10813" s="499" t="s">
        <v>15005</v>
      </c>
    </row>
    <row r="10814">
      <c r="A10814" s="499" t="s">
        <v>15006</v>
      </c>
    </row>
    <row r="10815">
      <c r="A10815" s="499" t="s">
        <v>15007</v>
      </c>
    </row>
    <row r="10816">
      <c r="A10816" s="499" t="s">
        <v>15008</v>
      </c>
    </row>
    <row r="10817">
      <c r="A10817" s="499" t="s">
        <v>15009</v>
      </c>
    </row>
    <row r="10818">
      <c r="A10818" s="499" t="s">
        <v>15010</v>
      </c>
    </row>
    <row r="10819">
      <c r="A10819" s="499" t="s">
        <v>15011</v>
      </c>
    </row>
    <row r="10820">
      <c r="A10820" s="499" t="s">
        <v>15012</v>
      </c>
    </row>
    <row r="10821">
      <c r="A10821" s="499" t="s">
        <v>15013</v>
      </c>
    </row>
    <row r="10822">
      <c r="A10822" s="499" t="s">
        <v>15014</v>
      </c>
    </row>
    <row r="10823">
      <c r="A10823" s="499" t="s">
        <v>5324</v>
      </c>
    </row>
    <row r="10824">
      <c r="A10824" s="499" t="s">
        <v>5319</v>
      </c>
    </row>
    <row r="10825">
      <c r="A10825" s="499" t="s">
        <v>5322</v>
      </c>
    </row>
    <row r="10826">
      <c r="A10826" s="499" t="s">
        <v>5330</v>
      </c>
    </row>
    <row r="10827">
      <c r="A10827" s="499" t="s">
        <v>5333</v>
      </c>
    </row>
    <row r="10828">
      <c r="A10828" s="499" t="s">
        <v>5327</v>
      </c>
    </row>
    <row r="10829">
      <c r="A10829" s="499" t="s">
        <v>15015</v>
      </c>
    </row>
    <row r="10830">
      <c r="A10830" s="499" t="s">
        <v>15016</v>
      </c>
    </row>
    <row r="10831">
      <c r="A10831" s="499" t="s">
        <v>15017</v>
      </c>
    </row>
    <row r="10832">
      <c r="A10832" s="499" t="s">
        <v>15018</v>
      </c>
    </row>
    <row r="10833">
      <c r="A10833" s="499" t="s">
        <v>5847</v>
      </c>
    </row>
    <row r="10834">
      <c r="A10834" s="499" t="s">
        <v>15019</v>
      </c>
    </row>
    <row r="10835">
      <c r="A10835" s="499" t="s">
        <v>84</v>
      </c>
    </row>
    <row r="10836">
      <c r="A10836" s="499" t="s">
        <v>91</v>
      </c>
    </row>
    <row r="10837">
      <c r="A10837" s="499" t="s">
        <v>5850</v>
      </c>
    </row>
    <row r="10838">
      <c r="A10838" s="499" t="s">
        <v>15020</v>
      </c>
    </row>
    <row r="10839">
      <c r="A10839" s="502" t="s">
        <v>87</v>
      </c>
    </row>
    <row r="10840">
      <c r="A10840" s="502" t="s">
        <v>89</v>
      </c>
    </row>
    <row r="10841">
      <c r="A10841" s="499" t="s">
        <v>5268</v>
      </c>
    </row>
    <row r="10842">
      <c r="A10842" s="499" t="s">
        <v>15021</v>
      </c>
    </row>
    <row r="10843">
      <c r="A10843" s="499" t="s">
        <v>15022</v>
      </c>
    </row>
    <row r="10844">
      <c r="A10844" s="499" t="s">
        <v>5311</v>
      </c>
    </row>
    <row r="10845">
      <c r="A10845" s="499" t="s">
        <v>5315</v>
      </c>
    </row>
    <row r="10846">
      <c r="A10846" s="499" t="s">
        <v>5307</v>
      </c>
    </row>
    <row r="10847">
      <c r="A10847" s="499" t="s">
        <v>15023</v>
      </c>
    </row>
    <row r="10848">
      <c r="A10848" s="499" t="s">
        <v>15024</v>
      </c>
    </row>
    <row r="10849">
      <c r="A10849" s="499" t="s">
        <v>15025</v>
      </c>
    </row>
    <row r="10850">
      <c r="A10850" s="499" t="s">
        <v>15026</v>
      </c>
    </row>
    <row r="10851">
      <c r="A10851" s="499" t="s">
        <v>15027</v>
      </c>
    </row>
    <row r="10852">
      <c r="A10852" s="499" t="s">
        <v>15028</v>
      </c>
    </row>
    <row r="10853">
      <c r="A10853" s="499" t="s">
        <v>15029</v>
      </c>
    </row>
    <row r="10854">
      <c r="A10854" s="499" t="s">
        <v>15030</v>
      </c>
    </row>
    <row r="10855">
      <c r="A10855" s="499" t="s">
        <v>15031</v>
      </c>
    </row>
    <row r="10856">
      <c r="A10856" s="499" t="s">
        <v>5309</v>
      </c>
    </row>
    <row r="10857">
      <c r="A10857" s="499" t="s">
        <v>5313</v>
      </c>
    </row>
    <row r="10858">
      <c r="A10858" s="499" t="s">
        <v>15032</v>
      </c>
    </row>
    <row r="10859">
      <c r="A10859" s="499" t="s">
        <v>5317</v>
      </c>
    </row>
    <row r="10860">
      <c r="A10860" s="499" t="s">
        <v>5353</v>
      </c>
    </row>
    <row r="10861">
      <c r="A10861" s="499" t="s">
        <v>5341</v>
      </c>
    </row>
    <row r="10862">
      <c r="A10862" s="499" t="s">
        <v>5347</v>
      </c>
    </row>
    <row r="10863">
      <c r="A10863" s="499" t="s">
        <v>5350</v>
      </c>
    </row>
    <row r="10864">
      <c r="A10864" s="499" t="s">
        <v>5363</v>
      </c>
    </row>
    <row r="10865">
      <c r="A10865" s="499" t="s">
        <v>5366</v>
      </c>
    </row>
    <row r="10866">
      <c r="A10866" s="499" t="s">
        <v>5377</v>
      </c>
    </row>
    <row r="10867">
      <c r="A10867" s="499" t="s">
        <v>5380</v>
      </c>
    </row>
    <row r="10868">
      <c r="A10868" s="499" t="s">
        <v>5672</v>
      </c>
    </row>
    <row r="10869">
      <c r="A10869" s="499" t="s">
        <v>5681</v>
      </c>
    </row>
    <row r="10870">
      <c r="A10870" s="499" t="s">
        <v>15033</v>
      </c>
    </row>
    <row r="10871">
      <c r="A10871" s="499" t="s">
        <v>15034</v>
      </c>
    </row>
    <row r="10872">
      <c r="A10872" s="499" t="s">
        <v>5779</v>
      </c>
    </row>
    <row r="10873">
      <c r="A10873" s="499" t="s">
        <v>5355</v>
      </c>
    </row>
    <row r="10874">
      <c r="A10874" s="499" t="s">
        <v>5369</v>
      </c>
    </row>
    <row r="10875">
      <c r="A10875" s="499" t="s">
        <v>5684</v>
      </c>
    </row>
    <row r="10876">
      <c r="A10876" s="499" t="s">
        <v>5690</v>
      </c>
    </row>
    <row r="10877">
      <c r="A10877" s="499" t="s">
        <v>5374</v>
      </c>
    </row>
    <row r="10878">
      <c r="A10878" s="499" t="s">
        <v>5702</v>
      </c>
    </row>
    <row r="10879">
      <c r="A10879" s="499" t="s">
        <v>5675</v>
      </c>
    </row>
    <row r="10880">
      <c r="A10880" s="499" t="s">
        <v>15035</v>
      </c>
    </row>
    <row r="10881">
      <c r="A10881" s="499" t="s">
        <v>5338</v>
      </c>
    </row>
    <row r="10882">
      <c r="A10882" s="499" t="s">
        <v>5842</v>
      </c>
    </row>
    <row r="10883">
      <c r="A10883" s="499" t="s">
        <v>5705</v>
      </c>
    </row>
    <row r="10884">
      <c r="A10884" s="499" t="s">
        <v>5358</v>
      </c>
    </row>
    <row r="10885">
      <c r="A10885" s="499" t="s">
        <v>5360</v>
      </c>
    </row>
    <row r="10886">
      <c r="A10886" s="499" t="s">
        <v>5800</v>
      </c>
    </row>
    <row r="10887">
      <c r="A10887" s="499" t="s">
        <v>5749</v>
      </c>
    </row>
    <row r="10888">
      <c r="A10888" s="499" t="s">
        <v>5809</v>
      </c>
    </row>
    <row r="10889">
      <c r="A10889" s="499" t="s">
        <v>5782</v>
      </c>
    </row>
    <row r="10890">
      <c r="A10890" s="499" t="s">
        <v>5839</v>
      </c>
    </row>
    <row r="10891">
      <c r="A10891" s="499" t="s">
        <v>5596</v>
      </c>
    </row>
    <row r="10892">
      <c r="A10892" s="499" t="s">
        <v>5713</v>
      </c>
    </row>
    <row r="10893">
      <c r="A10893" s="499" t="s">
        <v>5685</v>
      </c>
    </row>
    <row r="10894">
      <c r="A10894" s="499" t="s">
        <v>5693</v>
      </c>
    </row>
    <row r="10895">
      <c r="A10895" s="499" t="s">
        <v>5773</v>
      </c>
    </row>
    <row r="10896">
      <c r="A10896" s="499" t="s">
        <v>5719</v>
      </c>
    </row>
    <row r="10897">
      <c r="A10897" s="499" t="s">
        <v>5833</v>
      </c>
    </row>
    <row r="10898">
      <c r="A10898" s="499" t="s">
        <v>5752</v>
      </c>
    </row>
    <row r="10899">
      <c r="A10899" s="499" t="s">
        <v>5716</v>
      </c>
    </row>
    <row r="10900">
      <c r="A10900" s="499" t="s">
        <v>5830</v>
      </c>
    </row>
    <row r="10901">
      <c r="A10901" s="499" t="s">
        <v>5699</v>
      </c>
    </row>
    <row r="10902">
      <c r="A10902" s="499" t="s">
        <v>5688</v>
      </c>
    </row>
    <row r="10903">
      <c r="A10903" s="499" t="s">
        <v>5755</v>
      </c>
    </row>
    <row r="10904">
      <c r="A10904" s="499" t="s">
        <v>5758</v>
      </c>
    </row>
    <row r="10905">
      <c r="A10905" s="499" t="s">
        <v>5761</v>
      </c>
    </row>
    <row r="10906">
      <c r="A10906" s="499" t="s">
        <v>5764</v>
      </c>
    </row>
    <row r="10907">
      <c r="A10907" s="499" t="s">
        <v>5767</v>
      </c>
    </row>
    <row r="10908">
      <c r="A10908" s="499" t="s">
        <v>5788</v>
      </c>
    </row>
    <row r="10909">
      <c r="A10909" s="499" t="s">
        <v>5791</v>
      </c>
    </row>
    <row r="10910">
      <c r="A10910" s="499" t="s">
        <v>5794</v>
      </c>
    </row>
    <row r="10911">
      <c r="A10911" s="499" t="s">
        <v>5797</v>
      </c>
    </row>
    <row r="10912">
      <c r="A10912" s="499" t="s">
        <v>5803</v>
      </c>
    </row>
    <row r="10913">
      <c r="A10913" s="499" t="s">
        <v>5806</v>
      </c>
    </row>
    <row r="10914">
      <c r="A10914" s="499" t="s">
        <v>5824</v>
      </c>
    </row>
    <row r="10915">
      <c r="A10915" s="499" t="s">
        <v>5827</v>
      </c>
    </row>
    <row r="10916">
      <c r="A10916" s="499" t="s">
        <v>5836</v>
      </c>
    </row>
    <row r="10917">
      <c r="A10917" s="499" t="s">
        <v>15036</v>
      </c>
    </row>
    <row r="10918">
      <c r="A10918" s="499" t="s">
        <v>5710</v>
      </c>
    </row>
    <row r="10919">
      <c r="A10919" s="499" t="s">
        <v>5707</v>
      </c>
    </row>
    <row r="10920">
      <c r="A10920" s="499" t="s">
        <v>5336</v>
      </c>
    </row>
    <row r="10921">
      <c r="A10921" s="499" t="s">
        <v>15037</v>
      </c>
    </row>
    <row r="10922">
      <c r="A10922" s="499" t="s">
        <v>5785</v>
      </c>
    </row>
    <row r="10923">
      <c r="A10923" s="499" t="s">
        <v>15038</v>
      </c>
    </row>
    <row r="10924">
      <c r="A10924" s="499" t="s">
        <v>15039</v>
      </c>
    </row>
    <row r="10925">
      <c r="A10925" s="499" t="s">
        <v>15040</v>
      </c>
    </row>
    <row r="10926">
      <c r="A10926" s="499" t="s">
        <v>5776</v>
      </c>
    </row>
    <row r="10927">
      <c r="A10927" s="499" t="s">
        <v>15041</v>
      </c>
    </row>
    <row r="10928">
      <c r="A10928" s="499" t="s">
        <v>15042</v>
      </c>
    </row>
    <row r="10929">
      <c r="A10929" s="499" t="s">
        <v>5812</v>
      </c>
    </row>
    <row r="10930">
      <c r="A10930" s="499" t="s">
        <v>5815</v>
      </c>
    </row>
    <row r="10931">
      <c r="A10931" s="499" t="s">
        <v>5818</v>
      </c>
    </row>
    <row r="10932">
      <c r="A10932" s="499" t="s">
        <v>5821</v>
      </c>
    </row>
    <row r="10933">
      <c r="A10933" s="499" t="s">
        <v>5770</v>
      </c>
    </row>
    <row r="10934">
      <c r="A10934" s="499" t="s">
        <v>5728</v>
      </c>
    </row>
    <row r="10935">
      <c r="A10935" s="499" t="s">
        <v>5742</v>
      </c>
    </row>
    <row r="10936">
      <c r="A10936" s="499" t="s">
        <v>5734</v>
      </c>
    </row>
    <row r="10937">
      <c r="A10937" s="499" t="s">
        <v>5747</v>
      </c>
    </row>
    <row r="10938">
      <c r="A10938" s="499" t="s">
        <v>5344</v>
      </c>
    </row>
    <row r="10939">
      <c r="A10939" s="499" t="s">
        <v>5678</v>
      </c>
    </row>
    <row r="10940">
      <c r="A10940" s="499" t="s">
        <v>5372</v>
      </c>
    </row>
    <row r="10941">
      <c r="A10941" s="499" t="s">
        <v>5696</v>
      </c>
    </row>
    <row r="10942">
      <c r="A10942" s="499" t="s">
        <v>5725</v>
      </c>
    </row>
    <row r="10943">
      <c r="A10943" s="499" t="s">
        <v>5740</v>
      </c>
    </row>
    <row r="10944">
      <c r="A10944" s="499" t="s">
        <v>5722</v>
      </c>
    </row>
    <row r="10945">
      <c r="A10945" s="499" t="s">
        <v>5737</v>
      </c>
    </row>
    <row r="10946">
      <c r="A10946" s="499" t="s">
        <v>5731</v>
      </c>
    </row>
    <row r="10947">
      <c r="A10947" s="499" t="s">
        <v>5744</v>
      </c>
    </row>
    <row r="10948">
      <c r="A10948" s="499" t="s">
        <v>15043</v>
      </c>
    </row>
    <row r="10949">
      <c r="A10949" s="499" t="s">
        <v>15044</v>
      </c>
    </row>
    <row r="10950">
      <c r="A10950" s="499" t="s">
        <v>15045</v>
      </c>
    </row>
    <row r="10951">
      <c r="A10951" s="499" t="s">
        <v>15046</v>
      </c>
    </row>
    <row r="10952">
      <c r="A10952" s="499" t="s">
        <v>15047</v>
      </c>
    </row>
    <row r="10953">
      <c r="A10953" s="499" t="s">
        <v>15048</v>
      </c>
    </row>
    <row r="10954">
      <c r="A10954" s="499" t="s">
        <v>15049</v>
      </c>
    </row>
    <row r="10955">
      <c r="A10955" s="499" t="s">
        <v>15050</v>
      </c>
    </row>
    <row r="10956">
      <c r="A10956" s="499" t="s">
        <v>15051</v>
      </c>
    </row>
    <row r="10957">
      <c r="A10957" s="499" t="s">
        <v>15052</v>
      </c>
    </row>
    <row r="10958">
      <c r="A10958" s="499" t="s">
        <v>15053</v>
      </c>
    </row>
    <row r="10959">
      <c r="A10959" s="499" t="s">
        <v>15054</v>
      </c>
    </row>
    <row r="10960">
      <c r="A10960" s="499" t="s">
        <v>15055</v>
      </c>
    </row>
    <row r="10961">
      <c r="A10961" s="499" t="s">
        <v>15056</v>
      </c>
    </row>
    <row r="10962">
      <c r="A10962" s="499" t="s">
        <v>15057</v>
      </c>
    </row>
    <row r="10963">
      <c r="A10963" s="499" t="s">
        <v>15058</v>
      </c>
    </row>
    <row r="10964">
      <c r="A10964" s="499" t="s">
        <v>15059</v>
      </c>
    </row>
    <row r="10965">
      <c r="A10965" s="499" t="s">
        <v>15060</v>
      </c>
    </row>
    <row r="10966">
      <c r="A10966" s="499" t="s">
        <v>15061</v>
      </c>
    </row>
    <row r="10967">
      <c r="A10967" s="499" t="s">
        <v>15062</v>
      </c>
    </row>
    <row r="10968">
      <c r="A10968" s="499" t="s">
        <v>15063</v>
      </c>
    </row>
    <row r="10969">
      <c r="A10969" s="499" t="s">
        <v>15064</v>
      </c>
    </row>
    <row r="10970">
      <c r="A10970" s="499" t="s">
        <v>15065</v>
      </c>
    </row>
    <row r="10971">
      <c r="A10971" s="499" t="s">
        <v>15066</v>
      </c>
    </row>
    <row r="10972">
      <c r="A10972" s="499" t="s">
        <v>15067</v>
      </c>
    </row>
    <row r="10973">
      <c r="A10973" s="499" t="s">
        <v>15068</v>
      </c>
    </row>
    <row r="10974">
      <c r="A10974" s="499" t="s">
        <v>15069</v>
      </c>
    </row>
    <row r="10975">
      <c r="A10975" s="499" t="s">
        <v>15070</v>
      </c>
    </row>
    <row r="10976">
      <c r="A10976" s="499" t="s">
        <v>15071</v>
      </c>
    </row>
    <row r="10977">
      <c r="A10977" s="499" t="s">
        <v>15072</v>
      </c>
    </row>
    <row r="10978">
      <c r="A10978" s="499" t="s">
        <v>15073</v>
      </c>
    </row>
    <row r="10979">
      <c r="A10979" s="499" t="s">
        <v>15074</v>
      </c>
    </row>
    <row r="10980">
      <c r="A10980" s="499" t="s">
        <v>15075</v>
      </c>
    </row>
    <row r="10981">
      <c r="A10981" s="499" t="s">
        <v>15076</v>
      </c>
    </row>
    <row r="10982">
      <c r="A10982" s="499" t="s">
        <v>15077</v>
      </c>
    </row>
    <row r="10983">
      <c r="A10983" s="499" t="s">
        <v>15078</v>
      </c>
    </row>
    <row r="10984">
      <c r="A10984" s="499" t="s">
        <v>15079</v>
      </c>
    </row>
    <row r="10985">
      <c r="A10985" s="499" t="s">
        <v>15080</v>
      </c>
    </row>
    <row r="10986">
      <c r="A10986" s="499" t="s">
        <v>15081</v>
      </c>
    </row>
    <row r="10987">
      <c r="A10987" s="499" t="s">
        <v>15082</v>
      </c>
    </row>
    <row r="10988">
      <c r="A10988" s="499" t="s">
        <v>15083</v>
      </c>
    </row>
    <row r="10989">
      <c r="A10989" s="499" t="s">
        <v>15084</v>
      </c>
    </row>
    <row r="10990">
      <c r="A10990" s="499" t="s">
        <v>15085</v>
      </c>
    </row>
    <row r="10991">
      <c r="A10991" s="499" t="s">
        <v>15086</v>
      </c>
    </row>
    <row r="10992">
      <c r="A10992" s="499" t="s">
        <v>15087</v>
      </c>
    </row>
    <row r="10993">
      <c r="A10993" s="499" t="s">
        <v>15088</v>
      </c>
    </row>
    <row r="10994">
      <c r="A10994" s="499" t="s">
        <v>15089</v>
      </c>
    </row>
    <row r="10995">
      <c r="A10995" s="499" t="s">
        <v>15090</v>
      </c>
    </row>
    <row r="10996">
      <c r="A10996" s="499" t="s">
        <v>15091</v>
      </c>
    </row>
    <row r="10997">
      <c r="A10997" s="499" t="s">
        <v>15092</v>
      </c>
    </row>
    <row r="10998">
      <c r="A10998" s="499" t="s">
        <v>15093</v>
      </c>
    </row>
    <row r="10999">
      <c r="A10999" s="499" t="s">
        <v>15094</v>
      </c>
    </row>
    <row r="11000">
      <c r="A11000" s="499" t="s">
        <v>15095</v>
      </c>
    </row>
    <row r="11001">
      <c r="A11001" s="499" t="s">
        <v>15096</v>
      </c>
    </row>
    <row r="11002">
      <c r="A11002" s="499" t="s">
        <v>15097</v>
      </c>
    </row>
    <row r="11003">
      <c r="A11003" s="499" t="s">
        <v>15098</v>
      </c>
    </row>
    <row r="11004">
      <c r="A11004" s="499" t="s">
        <v>15099</v>
      </c>
    </row>
    <row r="11005">
      <c r="A11005" s="499" t="s">
        <v>15100</v>
      </c>
    </row>
    <row r="11006">
      <c r="A11006" s="499" t="s">
        <v>15101</v>
      </c>
    </row>
    <row r="11007">
      <c r="A11007" s="499" t="s">
        <v>15102</v>
      </c>
    </row>
    <row r="11008">
      <c r="A11008" s="499" t="s">
        <v>15103</v>
      </c>
    </row>
    <row r="11009">
      <c r="A11009" s="499" t="s">
        <v>15104</v>
      </c>
    </row>
    <row r="11010">
      <c r="A11010" s="499" t="s">
        <v>15105</v>
      </c>
    </row>
    <row r="11011">
      <c r="A11011" s="499" t="s">
        <v>15106</v>
      </c>
    </row>
    <row r="11012">
      <c r="A11012" s="499" t="s">
        <v>15107</v>
      </c>
    </row>
    <row r="11013">
      <c r="A11013" s="499" t="s">
        <v>15108</v>
      </c>
    </row>
    <row r="11014">
      <c r="A11014" s="499" t="s">
        <v>15109</v>
      </c>
    </row>
    <row r="11015">
      <c r="A11015" s="499" t="s">
        <v>15110</v>
      </c>
    </row>
    <row r="11016">
      <c r="A11016" s="499" t="s">
        <v>15111</v>
      </c>
    </row>
    <row r="11017">
      <c r="A11017" s="499" t="s">
        <v>15112</v>
      </c>
    </row>
    <row r="11018">
      <c r="A11018" s="499" t="s">
        <v>15113</v>
      </c>
    </row>
    <row r="11019">
      <c r="A11019" s="499" t="s">
        <v>15114</v>
      </c>
    </row>
    <row r="11020">
      <c r="A11020" s="499" t="s">
        <v>15115</v>
      </c>
    </row>
    <row r="11021">
      <c r="A11021" s="499" t="s">
        <v>15116</v>
      </c>
    </row>
    <row r="11022">
      <c r="A11022" s="499" t="s">
        <v>15117</v>
      </c>
    </row>
    <row r="11023">
      <c r="A11023" s="499" t="s">
        <v>15118</v>
      </c>
    </row>
    <row r="11024">
      <c r="A11024" s="499" t="s">
        <v>15119</v>
      </c>
    </row>
    <row r="11025">
      <c r="A11025" s="499" t="s">
        <v>15120</v>
      </c>
    </row>
    <row r="11026">
      <c r="A11026" s="499" t="s">
        <v>15121</v>
      </c>
    </row>
    <row r="11027">
      <c r="A11027" s="499" t="s">
        <v>15122</v>
      </c>
    </row>
    <row r="11028">
      <c r="A11028" s="499" t="s">
        <v>15123</v>
      </c>
    </row>
    <row r="11029">
      <c r="A11029" s="499" t="s">
        <v>15124</v>
      </c>
    </row>
    <row r="11030">
      <c r="A11030" s="499" t="s">
        <v>15125</v>
      </c>
    </row>
    <row r="11031">
      <c r="A11031" s="499" t="s">
        <v>15126</v>
      </c>
    </row>
    <row r="11032">
      <c r="A11032" s="499" t="s">
        <v>15127</v>
      </c>
    </row>
    <row r="11033">
      <c r="A11033" s="499" t="s">
        <v>15128</v>
      </c>
    </row>
    <row r="11034">
      <c r="A11034" s="499" t="s">
        <v>15129</v>
      </c>
    </row>
    <row r="11035">
      <c r="A11035" s="499" t="s">
        <v>15130</v>
      </c>
    </row>
    <row r="11036">
      <c r="A11036" s="499" t="s">
        <v>15131</v>
      </c>
    </row>
    <row r="11037">
      <c r="A11037" s="499" t="s">
        <v>15132</v>
      </c>
    </row>
    <row r="11038">
      <c r="A11038" s="499" t="s">
        <v>15133</v>
      </c>
    </row>
    <row r="11039">
      <c r="A11039" s="499" t="s">
        <v>15134</v>
      </c>
    </row>
    <row r="11040">
      <c r="A11040" s="499" t="s">
        <v>15135</v>
      </c>
    </row>
    <row r="11041">
      <c r="A11041" s="499" t="s">
        <v>5295</v>
      </c>
    </row>
    <row r="11042">
      <c r="A11042" s="499" t="s">
        <v>15136</v>
      </c>
    </row>
    <row r="11043">
      <c r="A11043" s="499" t="s">
        <v>5281</v>
      </c>
    </row>
    <row r="11044">
      <c r="A11044" s="499" t="s">
        <v>5284</v>
      </c>
    </row>
    <row r="11045">
      <c r="A11045" s="499" t="s">
        <v>5289</v>
      </c>
    </row>
    <row r="11046">
      <c r="A11046" s="499" t="s">
        <v>5291</v>
      </c>
    </row>
    <row r="11047">
      <c r="A11047" s="499" t="s">
        <v>5293</v>
      </c>
    </row>
    <row r="11048">
      <c r="A11048" s="499" t="s">
        <v>5301</v>
      </c>
    </row>
    <row r="11049">
      <c r="A11049" s="499" t="s">
        <v>5278</v>
      </c>
    </row>
    <row r="11050">
      <c r="A11050" s="499" t="s">
        <v>5273</v>
      </c>
    </row>
    <row r="11051">
      <c r="A11051" s="499" t="s">
        <v>5276</v>
      </c>
    </row>
    <row r="11052">
      <c r="A11052" s="499" t="s">
        <v>15137</v>
      </c>
    </row>
    <row r="11053">
      <c r="A11053" s="499" t="s">
        <v>5270</v>
      </c>
    </row>
    <row r="11054">
      <c r="A11054" s="499" t="s">
        <v>15138</v>
      </c>
    </row>
    <row r="11055">
      <c r="A11055" s="499" t="s">
        <v>5299</v>
      </c>
    </row>
    <row r="11056">
      <c r="A11056" s="499" t="s">
        <v>5297</v>
      </c>
    </row>
    <row r="11057">
      <c r="A11057" s="499" t="s">
        <v>15139</v>
      </c>
    </row>
    <row r="11058">
      <c r="A11058" s="499" t="s">
        <v>15140</v>
      </c>
    </row>
    <row r="11059">
      <c r="A11059" s="499" t="s">
        <v>15141</v>
      </c>
    </row>
    <row r="11060">
      <c r="A11060" s="499" t="s">
        <v>15142</v>
      </c>
    </row>
    <row r="11061">
      <c r="A11061" s="499" t="s">
        <v>15143</v>
      </c>
    </row>
    <row r="11062">
      <c r="A11062" s="499" t="s">
        <v>5304</v>
      </c>
    </row>
    <row r="11063">
      <c r="A11063" s="499" t="s">
        <v>5287</v>
      </c>
    </row>
    <row r="11064">
      <c r="A11064" s="499" t="s">
        <v>15144</v>
      </c>
    </row>
    <row r="11065">
      <c r="A11065" s="499" t="s">
        <v>5921</v>
      </c>
    </row>
    <row r="11066">
      <c r="A11066" s="499" t="s">
        <v>5910</v>
      </c>
    </row>
    <row r="11067">
      <c r="A11067" s="499" t="s">
        <v>5918</v>
      </c>
    </row>
    <row r="11068">
      <c r="A11068" s="499" t="s">
        <v>5913</v>
      </c>
    </row>
    <row r="11069">
      <c r="A11069" s="499" t="s">
        <v>5915</v>
      </c>
    </row>
    <row r="11070">
      <c r="A11070" s="499" t="s">
        <v>15145</v>
      </c>
    </row>
    <row r="11071">
      <c r="A11071" s="499" t="s">
        <v>15146</v>
      </c>
    </row>
    <row r="11072">
      <c r="A11072" s="499" t="s">
        <v>5935</v>
      </c>
    </row>
    <row r="11073">
      <c r="A11073" s="499" t="s">
        <v>5932</v>
      </c>
    </row>
    <row r="11074">
      <c r="A11074" s="499" t="s">
        <v>15147</v>
      </c>
    </row>
    <row r="11075">
      <c r="A11075" s="499" t="s">
        <v>15148</v>
      </c>
    </row>
    <row r="11076">
      <c r="A11076" s="499" t="s">
        <v>15149</v>
      </c>
    </row>
    <row r="11077">
      <c r="A11077" s="499" t="s">
        <v>15150</v>
      </c>
    </row>
    <row r="11078">
      <c r="A11078" s="499" t="s">
        <v>15151</v>
      </c>
    </row>
    <row r="11079">
      <c r="A11079" s="499" t="s">
        <v>15152</v>
      </c>
    </row>
    <row r="11080">
      <c r="A11080" s="499" t="s">
        <v>15153</v>
      </c>
    </row>
    <row r="11081">
      <c r="A11081" s="499" t="s">
        <v>15154</v>
      </c>
    </row>
    <row r="11082">
      <c r="A11082" s="499" t="s">
        <v>15155</v>
      </c>
    </row>
    <row r="11083">
      <c r="A11083" s="499" t="s">
        <v>15156</v>
      </c>
    </row>
    <row r="11084">
      <c r="A11084" s="499" t="s">
        <v>15157</v>
      </c>
    </row>
    <row r="11085">
      <c r="A11085" s="499" t="s">
        <v>15158</v>
      </c>
    </row>
    <row r="11086">
      <c r="A11086" s="499" t="s">
        <v>15159</v>
      </c>
    </row>
    <row r="11087">
      <c r="A11087" s="499" t="s">
        <v>15160</v>
      </c>
    </row>
    <row r="11088">
      <c r="A11088" s="499" t="s">
        <v>15161</v>
      </c>
    </row>
    <row r="11089">
      <c r="A11089" s="499" t="s">
        <v>15162</v>
      </c>
    </row>
    <row r="11090">
      <c r="A11090" s="499" t="s">
        <v>15163</v>
      </c>
    </row>
    <row r="11091">
      <c r="A11091" s="499" t="s">
        <v>15164</v>
      </c>
    </row>
    <row r="11092">
      <c r="A11092" s="499" t="s">
        <v>15165</v>
      </c>
    </row>
    <row r="11093">
      <c r="A11093" s="499" t="s">
        <v>15166</v>
      </c>
    </row>
    <row r="11094">
      <c r="A11094" s="499" t="s">
        <v>15167</v>
      </c>
    </row>
    <row r="11095">
      <c r="A11095" s="499" t="s">
        <v>5979</v>
      </c>
    </row>
    <row r="11096">
      <c r="A11096" s="499" t="s">
        <v>5982</v>
      </c>
    </row>
    <row r="11097">
      <c r="A11097" s="499" t="s">
        <v>5985</v>
      </c>
    </row>
    <row r="11098">
      <c r="A11098" s="499" t="s">
        <v>5992</v>
      </c>
    </row>
    <row r="11099">
      <c r="A11099" s="499" t="s">
        <v>5995</v>
      </c>
    </row>
    <row r="11100">
      <c r="A11100" s="499" t="s">
        <v>6000</v>
      </c>
    </row>
    <row r="11101">
      <c r="A11101" s="499" t="s">
        <v>6003</v>
      </c>
    </row>
    <row r="11102">
      <c r="A11102" s="499" t="s">
        <v>6006</v>
      </c>
    </row>
    <row r="11103">
      <c r="A11103" s="499" t="s">
        <v>6009</v>
      </c>
    </row>
    <row r="11104">
      <c r="A11104" s="499" t="s">
        <v>6012</v>
      </c>
    </row>
    <row r="11105">
      <c r="A11105" s="499" t="s">
        <v>5990</v>
      </c>
    </row>
    <row r="11106">
      <c r="A11106" s="499" t="s">
        <v>5972</v>
      </c>
    </row>
    <row r="11107">
      <c r="A11107" s="499" t="s">
        <v>5970</v>
      </c>
    </row>
    <row r="11108">
      <c r="A11108" s="499" t="s">
        <v>5998</v>
      </c>
    </row>
    <row r="11109">
      <c r="A11109" s="499" t="s">
        <v>5942</v>
      </c>
    </row>
    <row r="11110">
      <c r="A11110" s="499" t="s">
        <v>5944</v>
      </c>
    </row>
    <row r="11111">
      <c r="A11111" s="499" t="s">
        <v>5946</v>
      </c>
    </row>
    <row r="11112">
      <c r="A11112" s="499" t="s">
        <v>15168</v>
      </c>
    </row>
    <row r="11113">
      <c r="A11113" s="499" t="s">
        <v>15169</v>
      </c>
    </row>
    <row r="11114">
      <c r="A11114" s="499" t="s">
        <v>15170</v>
      </c>
    </row>
    <row r="11115">
      <c r="A11115" s="499" t="s">
        <v>15171</v>
      </c>
    </row>
    <row r="11116">
      <c r="A11116" s="499" t="s">
        <v>15172</v>
      </c>
    </row>
    <row r="11117">
      <c r="A11117" s="499" t="s">
        <v>15173</v>
      </c>
    </row>
    <row r="11118">
      <c r="A11118" s="499" t="s">
        <v>15174</v>
      </c>
    </row>
    <row r="11119">
      <c r="A11119" s="499" t="s">
        <v>15175</v>
      </c>
    </row>
    <row r="11120">
      <c r="A11120" s="499" t="s">
        <v>15176</v>
      </c>
    </row>
    <row r="11121">
      <c r="A11121" s="499" t="s">
        <v>15177</v>
      </c>
    </row>
    <row r="11122">
      <c r="A11122" s="499" t="s">
        <v>15178</v>
      </c>
    </row>
    <row r="11123">
      <c r="A11123" s="499" t="s">
        <v>15179</v>
      </c>
    </row>
    <row r="11124">
      <c r="A11124" s="499" t="s">
        <v>15180</v>
      </c>
    </row>
    <row r="11125">
      <c r="A11125" s="499" t="s">
        <v>15181</v>
      </c>
    </row>
    <row r="11126">
      <c r="A11126" s="499" t="s">
        <v>15182</v>
      </c>
    </row>
    <row r="11127">
      <c r="A11127" s="499" t="s">
        <v>15183</v>
      </c>
    </row>
    <row r="11128">
      <c r="A11128" s="499" t="s">
        <v>5974</v>
      </c>
    </row>
    <row r="11129">
      <c r="A11129" s="499" t="s">
        <v>15184</v>
      </c>
    </row>
    <row r="11130">
      <c r="A11130" s="499" t="s">
        <v>15185</v>
      </c>
    </row>
    <row r="11131">
      <c r="A11131" s="499" t="s">
        <v>15186</v>
      </c>
    </row>
    <row r="11132">
      <c r="A11132" s="499" t="s">
        <v>15187</v>
      </c>
    </row>
    <row r="11133">
      <c r="A11133" s="499" t="s">
        <v>15188</v>
      </c>
    </row>
    <row r="11134">
      <c r="A11134" s="499" t="s">
        <v>15189</v>
      </c>
    </row>
    <row r="11135">
      <c r="A11135" s="499" t="s">
        <v>15190</v>
      </c>
    </row>
    <row r="11136">
      <c r="A11136" s="499" t="s">
        <v>15191</v>
      </c>
    </row>
    <row r="11137">
      <c r="A11137" s="499" t="s">
        <v>15192</v>
      </c>
    </row>
    <row r="11138">
      <c r="A11138" s="499" t="s">
        <v>15193</v>
      </c>
    </row>
    <row r="11139">
      <c r="A11139" s="499" t="s">
        <v>15194</v>
      </c>
    </row>
    <row r="11140">
      <c r="A11140" s="499" t="s">
        <v>15195</v>
      </c>
    </row>
    <row r="11141">
      <c r="A11141" s="499" t="s">
        <v>15196</v>
      </c>
    </row>
    <row r="11142">
      <c r="A11142" s="499" t="s">
        <v>15197</v>
      </c>
    </row>
    <row r="11143">
      <c r="A11143" s="499" t="s">
        <v>6045</v>
      </c>
    </row>
    <row r="11144">
      <c r="A11144" s="499" t="s">
        <v>6048</v>
      </c>
    </row>
    <row r="11145">
      <c r="A11145" s="499" t="s">
        <v>6049</v>
      </c>
    </row>
    <row r="11146">
      <c r="A11146" s="499" t="s">
        <v>6017</v>
      </c>
    </row>
    <row r="11147">
      <c r="A11147" s="499" t="s">
        <v>6054</v>
      </c>
    </row>
    <row r="11148">
      <c r="A11148" s="499" t="s">
        <v>6052</v>
      </c>
    </row>
    <row r="11149">
      <c r="A11149" s="499" t="s">
        <v>6143</v>
      </c>
    </row>
    <row r="11150">
      <c r="A11150" s="499" t="s">
        <v>6140</v>
      </c>
    </row>
    <row r="11151">
      <c r="A11151" s="499" t="s">
        <v>6063</v>
      </c>
    </row>
    <row r="11152">
      <c r="A11152" s="499" t="s">
        <v>6068</v>
      </c>
    </row>
    <row r="11153">
      <c r="A11153" s="499" t="s">
        <v>6066</v>
      </c>
    </row>
    <row r="11154">
      <c r="A11154" s="499" t="s">
        <v>6126</v>
      </c>
    </row>
    <row r="11155">
      <c r="A11155" s="499" t="s">
        <v>6129</v>
      </c>
    </row>
    <row r="11156">
      <c r="A11156" s="499" t="s">
        <v>6132</v>
      </c>
    </row>
    <row r="11157">
      <c r="A11157" s="499" t="s">
        <v>6028</v>
      </c>
    </row>
    <row r="11158">
      <c r="A11158" s="499" t="s">
        <v>6039</v>
      </c>
    </row>
    <row r="11159">
      <c r="A11159" s="499" t="s">
        <v>6083</v>
      </c>
    </row>
    <row r="11160">
      <c r="A11160" s="499" t="s">
        <v>6098</v>
      </c>
    </row>
    <row r="11161">
      <c r="A11161" s="499" t="s">
        <v>6146</v>
      </c>
    </row>
    <row r="11162">
      <c r="A11162" s="499" t="s">
        <v>6135</v>
      </c>
    </row>
    <row r="11163">
      <c r="A11163" s="499" t="s">
        <v>6031</v>
      </c>
    </row>
    <row r="11164">
      <c r="A11164" s="499" t="s">
        <v>6034</v>
      </c>
    </row>
    <row r="11165">
      <c r="A11165" s="499" t="s">
        <v>6020</v>
      </c>
    </row>
    <row r="11166">
      <c r="A11166" s="499" t="s">
        <v>6023</v>
      </c>
    </row>
    <row r="11167">
      <c r="A11167" s="499" t="s">
        <v>6090</v>
      </c>
    </row>
    <row r="11168">
      <c r="A11168" s="499" t="s">
        <v>6093</v>
      </c>
    </row>
    <row r="11169">
      <c r="A11169" s="499" t="s">
        <v>6075</v>
      </c>
    </row>
    <row r="11170">
      <c r="A11170" s="499" t="s">
        <v>6078</v>
      </c>
    </row>
    <row r="11171">
      <c r="A11171" s="499" t="s">
        <v>6070</v>
      </c>
    </row>
    <row r="11172">
      <c r="A11172" s="499" t="s">
        <v>6101</v>
      </c>
    </row>
    <row r="11173">
      <c r="A11173" s="499" t="s">
        <v>6115</v>
      </c>
    </row>
    <row r="11174">
      <c r="A11174" s="499" t="s">
        <v>6117</v>
      </c>
    </row>
    <row r="11175">
      <c r="A11175" s="499" t="s">
        <v>6119</v>
      </c>
    </row>
    <row r="11176">
      <c r="A11176" s="499" t="s">
        <v>6121</v>
      </c>
    </row>
    <row r="11177">
      <c r="A11177" s="499" t="s">
        <v>6138</v>
      </c>
    </row>
    <row r="11178">
      <c r="A11178" s="499" t="s">
        <v>6108</v>
      </c>
    </row>
    <row r="11179">
      <c r="A11179" s="499" t="s">
        <v>6104</v>
      </c>
    </row>
    <row r="11180">
      <c r="A11180" s="499" t="s">
        <v>6112</v>
      </c>
    </row>
    <row r="11181">
      <c r="A11181" s="499" t="s">
        <v>6106</v>
      </c>
    </row>
    <row r="11182">
      <c r="A11182" s="499" t="s">
        <v>6015</v>
      </c>
    </row>
    <row r="11183">
      <c r="A11183" s="499" t="s">
        <v>6110</v>
      </c>
    </row>
    <row r="11184">
      <c r="A11184" s="499" t="s">
        <v>6042</v>
      </c>
    </row>
    <row r="11185">
      <c r="A11185" s="499" t="s">
        <v>6124</v>
      </c>
    </row>
    <row r="11186">
      <c r="A11186" s="499" t="s">
        <v>6058</v>
      </c>
    </row>
    <row r="11187">
      <c r="A11187" s="499" t="s">
        <v>6056</v>
      </c>
    </row>
    <row r="11188">
      <c r="A11188" s="499" t="s">
        <v>6073</v>
      </c>
    </row>
    <row r="11189">
      <c r="A11189" s="499" t="s">
        <v>6086</v>
      </c>
    </row>
    <row r="11190">
      <c r="A11190" s="499" t="s">
        <v>6088</v>
      </c>
    </row>
    <row r="11191">
      <c r="A11191" s="499" t="s">
        <v>6060</v>
      </c>
    </row>
    <row r="11192">
      <c r="A11192" s="499" t="s">
        <v>6025</v>
      </c>
    </row>
    <row r="11193">
      <c r="A11193" s="499" t="s">
        <v>6036</v>
      </c>
    </row>
    <row r="11194">
      <c r="A11194" s="499" t="s">
        <v>6080</v>
      </c>
    </row>
    <row r="11195">
      <c r="A11195" s="499" t="s">
        <v>6095</v>
      </c>
    </row>
    <row r="11196">
      <c r="A11196" s="499" t="s">
        <v>15198</v>
      </c>
    </row>
    <row r="11197">
      <c r="A11197" s="499" t="s">
        <v>5950</v>
      </c>
    </row>
    <row r="11198">
      <c r="A11198" s="499" t="s">
        <v>5953</v>
      </c>
    </row>
    <row r="11199">
      <c r="A11199" s="499" t="s">
        <v>5956</v>
      </c>
    </row>
    <row r="11200">
      <c r="A11200" s="499" t="s">
        <v>5960</v>
      </c>
    </row>
    <row r="11201">
      <c r="A11201" s="499" t="s">
        <v>5947</v>
      </c>
    </row>
    <row r="11202">
      <c r="A11202" s="499" t="s">
        <v>15199</v>
      </c>
    </row>
    <row r="11203">
      <c r="A11203" s="499" t="s">
        <v>5958</v>
      </c>
    </row>
    <row r="11204">
      <c r="A11204" s="499" t="s">
        <v>15200</v>
      </c>
    </row>
    <row r="11205">
      <c r="A11205" s="499" t="s">
        <v>15201</v>
      </c>
    </row>
    <row r="11206">
      <c r="A11206" s="499" t="s">
        <v>15202</v>
      </c>
    </row>
    <row r="11207">
      <c r="A11207" s="499" t="s">
        <v>15203</v>
      </c>
    </row>
    <row r="11208">
      <c r="A11208" s="499" t="s">
        <v>15204</v>
      </c>
    </row>
    <row r="11209">
      <c r="A11209" s="499" t="s">
        <v>15205</v>
      </c>
    </row>
    <row r="11210">
      <c r="A11210" s="499" t="s">
        <v>15206</v>
      </c>
    </row>
    <row r="11211">
      <c r="A11211" s="499" t="s">
        <v>15207</v>
      </c>
    </row>
    <row r="11212">
      <c r="A11212" s="499" t="s">
        <v>15208</v>
      </c>
    </row>
    <row r="11213">
      <c r="A11213" s="499" t="s">
        <v>15209</v>
      </c>
    </row>
    <row r="11214">
      <c r="A11214" s="499" t="s">
        <v>15210</v>
      </c>
    </row>
    <row r="11215">
      <c r="A11215" s="499" t="s">
        <v>15211</v>
      </c>
    </row>
    <row r="11216">
      <c r="A11216" s="499" t="s">
        <v>15212</v>
      </c>
    </row>
    <row r="11217">
      <c r="A11217" s="499" t="s">
        <v>15213</v>
      </c>
    </row>
    <row r="11218">
      <c r="A11218" s="499" t="s">
        <v>15214</v>
      </c>
    </row>
    <row r="11219">
      <c r="A11219" s="499" t="s">
        <v>15215</v>
      </c>
    </row>
    <row r="11220">
      <c r="A11220" s="499" t="s">
        <v>15216</v>
      </c>
    </row>
    <row r="11221">
      <c r="A11221" s="499" t="s">
        <v>15217</v>
      </c>
    </row>
    <row r="11222">
      <c r="A11222" s="499" t="s">
        <v>15218</v>
      </c>
    </row>
    <row r="11223">
      <c r="A11223" s="499" t="s">
        <v>15219</v>
      </c>
    </row>
    <row r="11224">
      <c r="A11224" s="499" t="s">
        <v>15220</v>
      </c>
    </row>
    <row r="11225">
      <c r="A11225" s="499" t="s">
        <v>15221</v>
      </c>
    </row>
    <row r="11226">
      <c r="A11226" s="499" t="s">
        <v>15222</v>
      </c>
    </row>
    <row r="11227">
      <c r="A11227" s="499" t="s">
        <v>15223</v>
      </c>
    </row>
    <row r="11228">
      <c r="A11228" s="499" t="s">
        <v>15224</v>
      </c>
    </row>
    <row r="11229">
      <c r="A11229" s="499" t="s">
        <v>15225</v>
      </c>
    </row>
    <row r="11230">
      <c r="A11230" s="499" t="s">
        <v>15226</v>
      </c>
    </row>
    <row r="11231">
      <c r="A11231" s="499" t="s">
        <v>15227</v>
      </c>
    </row>
    <row r="11232">
      <c r="A11232" s="499" t="s">
        <v>15228</v>
      </c>
    </row>
    <row r="11233">
      <c r="A11233" s="499" t="s">
        <v>15229</v>
      </c>
    </row>
    <row r="11234">
      <c r="A11234" s="499" t="s">
        <v>15230</v>
      </c>
    </row>
    <row r="11235">
      <c r="A11235" s="499" t="s">
        <v>15231</v>
      </c>
    </row>
    <row r="11236">
      <c r="A11236" s="499" t="s">
        <v>15232</v>
      </c>
    </row>
    <row r="11237">
      <c r="A11237" s="499" t="s">
        <v>15233</v>
      </c>
    </row>
    <row r="11238">
      <c r="A11238" s="499" t="s">
        <v>6168</v>
      </c>
    </row>
    <row r="11239">
      <c r="A11239" s="499" t="s">
        <v>6154</v>
      </c>
    </row>
    <row r="11240">
      <c r="A11240" s="499" t="s">
        <v>5966</v>
      </c>
    </row>
    <row r="11241">
      <c r="A11241" s="499" t="s">
        <v>5963</v>
      </c>
    </row>
    <row r="11242">
      <c r="A11242" s="499" t="s">
        <v>15234</v>
      </c>
    </row>
    <row r="11243">
      <c r="A11243" s="499" t="s">
        <v>15235</v>
      </c>
    </row>
    <row r="11244">
      <c r="A11244" s="499" t="s">
        <v>15236</v>
      </c>
    </row>
    <row r="11245">
      <c r="A11245" s="499" t="s">
        <v>15237</v>
      </c>
    </row>
    <row r="11246">
      <c r="A11246" s="499" t="s">
        <v>15238</v>
      </c>
    </row>
    <row r="11247">
      <c r="A11247" s="499" t="s">
        <v>15239</v>
      </c>
    </row>
    <row r="11248">
      <c r="A11248" s="499" t="s">
        <v>15240</v>
      </c>
    </row>
    <row r="11249">
      <c r="A11249" s="499" t="s">
        <v>15241</v>
      </c>
    </row>
    <row r="11250">
      <c r="A11250" s="499" t="s">
        <v>15242</v>
      </c>
    </row>
    <row r="11251">
      <c r="A11251" s="499" t="s">
        <v>15243</v>
      </c>
    </row>
    <row r="11252">
      <c r="A11252" s="499" t="s">
        <v>15244</v>
      </c>
    </row>
    <row r="11253">
      <c r="A11253" s="499" t="s">
        <v>15245</v>
      </c>
    </row>
    <row r="11254">
      <c r="A11254" s="499" t="s">
        <v>15246</v>
      </c>
    </row>
    <row r="11255">
      <c r="A11255" s="499" t="s">
        <v>15247</v>
      </c>
    </row>
    <row r="11256">
      <c r="A11256" s="499" t="s">
        <v>15248</v>
      </c>
    </row>
    <row r="11257">
      <c r="A11257" s="499" t="s">
        <v>15249</v>
      </c>
    </row>
    <row r="11258">
      <c r="A11258" s="499" t="s">
        <v>15250</v>
      </c>
    </row>
    <row r="11259">
      <c r="A11259" s="499" t="s">
        <v>15251</v>
      </c>
    </row>
    <row r="11260">
      <c r="A11260" s="499" t="s">
        <v>15252</v>
      </c>
    </row>
    <row r="11261">
      <c r="A11261" s="499" t="s">
        <v>15253</v>
      </c>
    </row>
    <row r="11262">
      <c r="A11262" s="499" t="s">
        <v>15254</v>
      </c>
    </row>
    <row r="11263">
      <c r="A11263" s="499" t="s">
        <v>15255</v>
      </c>
    </row>
    <row r="11264">
      <c r="A11264" s="499" t="s">
        <v>15256</v>
      </c>
    </row>
    <row r="11265">
      <c r="A11265" s="499" t="s">
        <v>15257</v>
      </c>
    </row>
    <row r="11266">
      <c r="A11266" s="499" t="s">
        <v>15258</v>
      </c>
    </row>
    <row r="11267">
      <c r="A11267" s="499" t="s">
        <v>15259</v>
      </c>
    </row>
    <row r="11268">
      <c r="A11268" s="499" t="s">
        <v>15260</v>
      </c>
    </row>
    <row r="11269">
      <c r="A11269" s="499" t="s">
        <v>15261</v>
      </c>
    </row>
    <row r="11270">
      <c r="A11270" s="499" t="s">
        <v>15262</v>
      </c>
    </row>
    <row r="11271">
      <c r="A11271" s="499" t="s">
        <v>15263</v>
      </c>
    </row>
    <row r="11272">
      <c r="A11272" s="499" t="s">
        <v>15264</v>
      </c>
    </row>
    <row r="11273">
      <c r="A11273" s="499" t="s">
        <v>15265</v>
      </c>
    </row>
    <row r="11274">
      <c r="A11274" s="499" t="s">
        <v>15266</v>
      </c>
    </row>
    <row r="11275">
      <c r="A11275" s="499" t="s">
        <v>15267</v>
      </c>
    </row>
    <row r="11276">
      <c r="A11276" s="499" t="s">
        <v>15268</v>
      </c>
    </row>
    <row r="11277">
      <c r="A11277" s="499" t="s">
        <v>15269</v>
      </c>
    </row>
    <row r="11278">
      <c r="A11278" s="499" t="s">
        <v>15270</v>
      </c>
    </row>
    <row r="11279">
      <c r="A11279" s="499" t="s">
        <v>15271</v>
      </c>
    </row>
    <row r="11280">
      <c r="A11280" s="499" t="s">
        <v>15272</v>
      </c>
    </row>
    <row r="11281">
      <c r="A11281" s="499" t="s">
        <v>15273</v>
      </c>
    </row>
    <row r="11282">
      <c r="A11282" s="499" t="s">
        <v>15274</v>
      </c>
    </row>
    <row r="11283">
      <c r="A11283" s="499" t="s">
        <v>15275</v>
      </c>
    </row>
    <row r="11284">
      <c r="A11284" s="499" t="s">
        <v>15276</v>
      </c>
    </row>
    <row r="11285">
      <c r="A11285" s="499" t="s">
        <v>15277</v>
      </c>
    </row>
    <row r="11286">
      <c r="A11286" s="499" t="s">
        <v>15278</v>
      </c>
    </row>
    <row r="11287">
      <c r="A11287" s="499" t="s">
        <v>15279</v>
      </c>
    </row>
    <row r="11288">
      <c r="A11288" s="499" t="s">
        <v>15280</v>
      </c>
    </row>
    <row r="11289">
      <c r="A11289" s="499" t="s">
        <v>15281</v>
      </c>
    </row>
    <row r="11290">
      <c r="A11290" s="499" t="s">
        <v>15282</v>
      </c>
    </row>
    <row r="11291">
      <c r="A11291" s="499" t="s">
        <v>15283</v>
      </c>
    </row>
    <row r="11292">
      <c r="A11292" s="499" t="s">
        <v>15284</v>
      </c>
    </row>
    <row r="11293">
      <c r="A11293" s="499" t="s">
        <v>15285</v>
      </c>
    </row>
    <row r="11294">
      <c r="A11294" s="499" t="s">
        <v>15286</v>
      </c>
    </row>
    <row r="11295">
      <c r="A11295" s="499" t="s">
        <v>15287</v>
      </c>
    </row>
    <row r="11296">
      <c r="A11296" s="499" t="s">
        <v>15288</v>
      </c>
    </row>
    <row r="11297">
      <c r="A11297" s="499" t="s">
        <v>15289</v>
      </c>
    </row>
    <row r="11298">
      <c r="A11298" s="499" t="s">
        <v>15290</v>
      </c>
    </row>
    <row r="11299">
      <c r="A11299" s="499" t="s">
        <v>15291</v>
      </c>
    </row>
    <row r="11300">
      <c r="A11300" s="499" t="s">
        <v>15292</v>
      </c>
    </row>
    <row r="11301">
      <c r="A11301" s="499" t="s">
        <v>15293</v>
      </c>
    </row>
    <row r="11302">
      <c r="A11302" s="499" t="s">
        <v>15294</v>
      </c>
    </row>
    <row r="11303">
      <c r="A11303" s="499" t="s">
        <v>15295</v>
      </c>
    </row>
    <row r="11304">
      <c r="A11304" s="499" t="s">
        <v>15296</v>
      </c>
    </row>
    <row r="11305">
      <c r="A11305" s="499" t="s">
        <v>15297</v>
      </c>
    </row>
    <row r="11306">
      <c r="A11306" s="499" t="s">
        <v>15298</v>
      </c>
    </row>
    <row r="11307">
      <c r="A11307" s="499" t="s">
        <v>15299</v>
      </c>
    </row>
    <row r="11308">
      <c r="A11308" s="499" t="s">
        <v>15300</v>
      </c>
    </row>
    <row r="11309">
      <c r="A11309" s="499" t="s">
        <v>15301</v>
      </c>
    </row>
    <row r="11310">
      <c r="A11310" s="499" t="s">
        <v>15302</v>
      </c>
    </row>
    <row r="11311">
      <c r="A11311" s="499" t="s">
        <v>15303</v>
      </c>
    </row>
    <row r="11312">
      <c r="A11312" s="499" t="s">
        <v>15304</v>
      </c>
    </row>
    <row r="11313">
      <c r="A11313" s="499" t="s">
        <v>15305</v>
      </c>
    </row>
    <row r="11314">
      <c r="A11314" s="499" t="s">
        <v>15306</v>
      </c>
    </row>
    <row r="11315">
      <c r="A11315" s="499" t="s">
        <v>15307</v>
      </c>
    </row>
    <row r="11316">
      <c r="A11316" s="499" t="s">
        <v>15308</v>
      </c>
    </row>
    <row r="11317">
      <c r="A11317" s="499" t="s">
        <v>15309</v>
      </c>
    </row>
    <row r="11318">
      <c r="A11318" s="499" t="s">
        <v>15310</v>
      </c>
    </row>
    <row r="11319">
      <c r="A11319" s="499" t="s">
        <v>15311</v>
      </c>
    </row>
    <row r="11320">
      <c r="A11320" s="499" t="s">
        <v>15312</v>
      </c>
    </row>
    <row r="11321">
      <c r="A11321" s="499" t="s">
        <v>15313</v>
      </c>
    </row>
    <row r="11322">
      <c r="A11322" s="499" t="s">
        <v>15314</v>
      </c>
    </row>
    <row r="11323">
      <c r="A11323" s="499" t="s">
        <v>15315</v>
      </c>
    </row>
    <row r="11324">
      <c r="A11324" s="499" t="s">
        <v>15316</v>
      </c>
    </row>
    <row r="11325">
      <c r="A11325" s="499" t="s">
        <v>15317</v>
      </c>
    </row>
    <row r="11326">
      <c r="A11326" s="499" t="s">
        <v>15318</v>
      </c>
    </row>
    <row r="11327">
      <c r="A11327" s="499" t="s">
        <v>15319</v>
      </c>
    </row>
    <row r="11328">
      <c r="A11328" s="499" t="s">
        <v>15320</v>
      </c>
    </row>
    <row r="11329">
      <c r="A11329" s="499" t="s">
        <v>15321</v>
      </c>
    </row>
    <row r="11330">
      <c r="A11330" s="499" t="s">
        <v>15322</v>
      </c>
    </row>
    <row r="11331">
      <c r="A11331" s="499" t="s">
        <v>15323</v>
      </c>
    </row>
    <row r="11332">
      <c r="A11332" s="499" t="s">
        <v>15324</v>
      </c>
    </row>
    <row r="11333">
      <c r="A11333" s="499" t="s">
        <v>15325</v>
      </c>
    </row>
    <row r="11334">
      <c r="A11334" s="499" t="s">
        <v>15326</v>
      </c>
    </row>
    <row r="11335">
      <c r="A11335" s="499" t="s">
        <v>15327</v>
      </c>
    </row>
    <row r="11336">
      <c r="A11336" s="499" t="s">
        <v>15328</v>
      </c>
    </row>
    <row r="11337">
      <c r="A11337" s="499" t="s">
        <v>15329</v>
      </c>
    </row>
    <row r="11338">
      <c r="A11338" s="499" t="s">
        <v>15330</v>
      </c>
    </row>
    <row r="11339">
      <c r="A11339" s="499" t="s">
        <v>15331</v>
      </c>
    </row>
    <row r="11340">
      <c r="A11340" s="499" t="s">
        <v>15332</v>
      </c>
    </row>
    <row r="11341">
      <c r="A11341" s="499" t="s">
        <v>15333</v>
      </c>
    </row>
    <row r="11342">
      <c r="A11342" s="499" t="s">
        <v>15334</v>
      </c>
    </row>
    <row r="11343">
      <c r="A11343" s="499" t="s">
        <v>15335</v>
      </c>
    </row>
    <row r="11344">
      <c r="A11344" s="499" t="s">
        <v>15336</v>
      </c>
    </row>
    <row r="11345">
      <c r="A11345" s="499" t="s">
        <v>15337</v>
      </c>
    </row>
    <row r="11346">
      <c r="A11346" s="499" t="s">
        <v>15338</v>
      </c>
    </row>
    <row r="11347">
      <c r="A11347" s="499" t="s">
        <v>15339</v>
      </c>
    </row>
    <row r="11348">
      <c r="A11348" s="499" t="s">
        <v>15340</v>
      </c>
    </row>
    <row r="11349">
      <c r="A11349" s="499" t="s">
        <v>15341</v>
      </c>
    </row>
    <row r="11350">
      <c r="A11350" s="499" t="s">
        <v>15342</v>
      </c>
    </row>
    <row r="11351">
      <c r="A11351" s="499" t="s">
        <v>15343</v>
      </c>
    </row>
    <row r="11352">
      <c r="A11352" s="499" t="s">
        <v>15344</v>
      </c>
    </row>
    <row r="11353">
      <c r="A11353" s="499" t="s">
        <v>15345</v>
      </c>
    </row>
    <row r="11354">
      <c r="A11354" s="499" t="s">
        <v>15346</v>
      </c>
    </row>
    <row r="11355">
      <c r="A11355" s="499" t="s">
        <v>15347</v>
      </c>
    </row>
    <row r="11356">
      <c r="A11356" s="499" t="s">
        <v>5968</v>
      </c>
    </row>
    <row r="11357">
      <c r="A11357" s="499" t="s">
        <v>6178</v>
      </c>
    </row>
    <row r="11358">
      <c r="A11358" s="499" t="s">
        <v>6173</v>
      </c>
    </row>
    <row r="11359">
      <c r="A11359" s="499" t="s">
        <v>15348</v>
      </c>
    </row>
    <row r="11360">
      <c r="A11360" s="499" t="s">
        <v>15349</v>
      </c>
    </row>
    <row r="11361">
      <c r="A11361" s="499" t="s">
        <v>15350</v>
      </c>
    </row>
    <row r="11362">
      <c r="A11362" s="499" t="s">
        <v>15351</v>
      </c>
    </row>
    <row r="11363">
      <c r="A11363" s="499" t="s">
        <v>6156</v>
      </c>
    </row>
    <row r="11364">
      <c r="A11364" s="499" t="s">
        <v>6159</v>
      </c>
    </row>
    <row r="11365">
      <c r="A11365" s="499" t="s">
        <v>6149</v>
      </c>
    </row>
    <row r="11366">
      <c r="A11366" s="499" t="s">
        <v>6162</v>
      </c>
    </row>
    <row r="11367">
      <c r="A11367" s="499" t="s">
        <v>6152</v>
      </c>
    </row>
    <row r="11368">
      <c r="A11368" s="499" t="s">
        <v>6166</v>
      </c>
    </row>
    <row r="11369">
      <c r="A11369" s="499" t="s">
        <v>6164</v>
      </c>
    </row>
    <row r="11370">
      <c r="A11370" s="499" t="s">
        <v>15352</v>
      </c>
    </row>
    <row r="11371">
      <c r="A11371" s="499" t="s">
        <v>15353</v>
      </c>
    </row>
    <row r="11372">
      <c r="A11372" s="499" t="s">
        <v>15354</v>
      </c>
    </row>
    <row r="11373">
      <c r="A11373" s="499" t="s">
        <v>6841</v>
      </c>
    </row>
    <row r="11374">
      <c r="A11374" s="499" t="s">
        <v>6844</v>
      </c>
    </row>
    <row r="11375">
      <c r="A11375" s="499" t="s">
        <v>6847</v>
      </c>
    </row>
    <row r="11376">
      <c r="A11376" s="499" t="s">
        <v>6853</v>
      </c>
    </row>
    <row r="11377">
      <c r="A11377" s="499" t="s">
        <v>6850</v>
      </c>
    </row>
    <row r="11378">
      <c r="A11378" s="499" t="s">
        <v>6840</v>
      </c>
    </row>
    <row r="11379">
      <c r="A11379" s="499" t="s">
        <v>6843</v>
      </c>
    </row>
    <row r="11380">
      <c r="A11380" s="499" t="s">
        <v>6849</v>
      </c>
    </row>
    <row r="11381">
      <c r="A11381" s="499" t="s">
        <v>6846</v>
      </c>
    </row>
    <row r="11382">
      <c r="A11382" s="499" t="s">
        <v>6852</v>
      </c>
    </row>
    <row r="11383">
      <c r="A11383" s="499" t="s">
        <v>15355</v>
      </c>
    </row>
    <row r="11384">
      <c r="A11384" s="499" t="s">
        <v>6942</v>
      </c>
    </row>
    <row r="11385">
      <c r="A11385" s="499" t="s">
        <v>6855</v>
      </c>
    </row>
    <row r="11386">
      <c r="A11386" s="499" t="s">
        <v>6860</v>
      </c>
    </row>
    <row r="11387">
      <c r="A11387" s="499" t="s">
        <v>6862</v>
      </c>
    </row>
    <row r="11388">
      <c r="A11388" s="499" t="s">
        <v>6864</v>
      </c>
    </row>
    <row r="11389">
      <c r="A11389" s="499" t="s">
        <v>6867</v>
      </c>
    </row>
    <row r="11390">
      <c r="A11390" s="499" t="s">
        <v>6870</v>
      </c>
    </row>
    <row r="11391">
      <c r="A11391" s="499" t="s">
        <v>6877</v>
      </c>
    </row>
    <row r="11392">
      <c r="A11392" s="499" t="s">
        <v>6879</v>
      </c>
    </row>
    <row r="11393">
      <c r="A11393" s="499" t="s">
        <v>6881</v>
      </c>
    </row>
    <row r="11394">
      <c r="A11394" s="499" t="s">
        <v>6883</v>
      </c>
    </row>
    <row r="11395">
      <c r="A11395" s="499" t="s">
        <v>6885</v>
      </c>
    </row>
    <row r="11396">
      <c r="A11396" s="499" t="s">
        <v>6889</v>
      </c>
    </row>
    <row r="11397">
      <c r="A11397" s="499" t="s">
        <v>6891</v>
      </c>
    </row>
    <row r="11398">
      <c r="A11398" s="499" t="s">
        <v>6897</v>
      </c>
    </row>
    <row r="11399">
      <c r="A11399" s="499" t="s">
        <v>6899</v>
      </c>
    </row>
    <row r="11400">
      <c r="A11400" s="499" t="s">
        <v>6901</v>
      </c>
    </row>
    <row r="11401">
      <c r="A11401" s="499" t="s">
        <v>6903</v>
      </c>
    </row>
    <row r="11402">
      <c r="A11402" s="499" t="s">
        <v>6905</v>
      </c>
    </row>
    <row r="11403">
      <c r="A11403" s="499" t="s">
        <v>6907</v>
      </c>
    </row>
    <row r="11404">
      <c r="A11404" s="499" t="s">
        <v>6912</v>
      </c>
    </row>
    <row r="11405">
      <c r="A11405" s="499" t="s">
        <v>6908</v>
      </c>
    </row>
    <row r="11406">
      <c r="A11406" s="499" t="s">
        <v>6910</v>
      </c>
    </row>
    <row r="11407">
      <c r="A11407" s="499" t="s">
        <v>6914</v>
      </c>
    </row>
    <row r="11408">
      <c r="A11408" s="499" t="s">
        <v>6918</v>
      </c>
    </row>
    <row r="11409">
      <c r="A11409" s="499" t="s">
        <v>6916</v>
      </c>
    </row>
    <row r="11410">
      <c r="A11410" s="499" t="s">
        <v>6930</v>
      </c>
    </row>
    <row r="11411">
      <c r="A11411" s="499" t="s">
        <v>6932</v>
      </c>
    </row>
    <row r="11412">
      <c r="A11412" s="499" t="s">
        <v>6934</v>
      </c>
    </row>
    <row r="11413">
      <c r="A11413" s="499" t="s">
        <v>6936</v>
      </c>
    </row>
    <row r="11414">
      <c r="A11414" s="499" t="s">
        <v>6944</v>
      </c>
    </row>
    <row r="11415">
      <c r="A11415" s="499" t="s">
        <v>6946</v>
      </c>
    </row>
    <row r="11416">
      <c r="A11416" s="499" t="s">
        <v>6948</v>
      </c>
    </row>
    <row r="11417">
      <c r="A11417" s="499" t="s">
        <v>15356</v>
      </c>
    </row>
    <row r="11418">
      <c r="A11418" s="499" t="s">
        <v>6956</v>
      </c>
    </row>
    <row r="11419">
      <c r="A11419" s="499" t="s">
        <v>6958</v>
      </c>
    </row>
    <row r="11420">
      <c r="A11420" s="499" t="s">
        <v>6857</v>
      </c>
    </row>
    <row r="11421">
      <c r="A11421" s="499" t="s">
        <v>6895</v>
      </c>
    </row>
    <row r="11422">
      <c r="A11422" s="499" t="s">
        <v>6954</v>
      </c>
    </row>
    <row r="11423">
      <c r="A11423" s="499" t="s">
        <v>6922</v>
      </c>
    </row>
    <row r="11424">
      <c r="A11424" s="499" t="s">
        <v>6924</v>
      </c>
    </row>
    <row r="11425">
      <c r="A11425" s="499" t="s">
        <v>6950</v>
      </c>
    </row>
    <row r="11426">
      <c r="A11426" s="499" t="s">
        <v>6952</v>
      </c>
    </row>
    <row r="11427">
      <c r="A11427" s="499" t="s">
        <v>6960</v>
      </c>
    </row>
    <row r="11428">
      <c r="A11428" s="499" t="s">
        <v>6964</v>
      </c>
    </row>
    <row r="11429">
      <c r="A11429" s="499" t="s">
        <v>6928</v>
      </c>
    </row>
    <row r="11430">
      <c r="A11430" s="499" t="s">
        <v>6926</v>
      </c>
    </row>
    <row r="11431">
      <c r="A11431" s="499" t="s">
        <v>6962</v>
      </c>
    </row>
    <row r="11432">
      <c r="A11432" s="499" t="s">
        <v>6966</v>
      </c>
    </row>
    <row r="11433">
      <c r="A11433" s="499" t="s">
        <v>6893</v>
      </c>
    </row>
    <row r="11434">
      <c r="A11434" s="499" t="s">
        <v>6887</v>
      </c>
    </row>
    <row r="11435">
      <c r="A11435" s="499" t="s">
        <v>6838</v>
      </c>
    </row>
    <row r="11436">
      <c r="A11436" s="499" t="s">
        <v>7107</v>
      </c>
    </row>
    <row r="11437">
      <c r="A11437" s="499" t="s">
        <v>15357</v>
      </c>
    </row>
    <row r="11438">
      <c r="A11438" s="499" t="s">
        <v>6920</v>
      </c>
    </row>
    <row r="11439">
      <c r="A11439" s="499" t="s">
        <v>6858</v>
      </c>
    </row>
    <row r="11440">
      <c r="A11440" s="499" t="s">
        <v>6968</v>
      </c>
    </row>
    <row r="11441">
      <c r="A11441" s="499" t="s">
        <v>6970</v>
      </c>
    </row>
    <row r="11442">
      <c r="A11442" s="499" t="s">
        <v>6856</v>
      </c>
    </row>
    <row r="11443">
      <c r="A11443" s="499" t="s">
        <v>6938</v>
      </c>
    </row>
    <row r="11444">
      <c r="A11444" s="499" t="s">
        <v>6940</v>
      </c>
    </row>
    <row r="11445">
      <c r="A11445" s="499" t="s">
        <v>15358</v>
      </c>
    </row>
    <row r="11446">
      <c r="A11446" s="499" t="s">
        <v>15359</v>
      </c>
    </row>
    <row r="11447">
      <c r="A11447" s="499" t="s">
        <v>15360</v>
      </c>
    </row>
    <row r="11448">
      <c r="A11448" s="499" t="s">
        <v>15361</v>
      </c>
    </row>
    <row r="11449">
      <c r="A11449" s="499" t="s">
        <v>6694</v>
      </c>
    </row>
    <row r="11450">
      <c r="A11450" s="499" t="s">
        <v>6715</v>
      </c>
    </row>
    <row r="11451">
      <c r="A11451" s="499" t="s">
        <v>15362</v>
      </c>
    </row>
    <row r="11452">
      <c r="A11452" s="499" t="s">
        <v>6259</v>
      </c>
    </row>
    <row r="11453">
      <c r="A11453" s="499" t="s">
        <v>6261</v>
      </c>
    </row>
    <row r="11454">
      <c r="A11454" s="499" t="s">
        <v>6263</v>
      </c>
    </row>
    <row r="11455">
      <c r="A11455" s="499" t="s">
        <v>15363</v>
      </c>
    </row>
    <row r="11456">
      <c r="A11456" s="499" t="s">
        <v>15364</v>
      </c>
    </row>
    <row r="11457">
      <c r="A11457" s="499" t="s">
        <v>15365</v>
      </c>
    </row>
    <row r="11458">
      <c r="A11458" s="499" t="s">
        <v>15366</v>
      </c>
    </row>
    <row r="11459">
      <c r="A11459" s="499" t="s">
        <v>15367</v>
      </c>
    </row>
    <row r="11460">
      <c r="A11460" s="499" t="s">
        <v>15368</v>
      </c>
    </row>
    <row r="11461">
      <c r="A11461" s="499" t="s">
        <v>15369</v>
      </c>
    </row>
    <row r="11462">
      <c r="A11462" s="499" t="s">
        <v>15370</v>
      </c>
    </row>
    <row r="11463">
      <c r="A11463" s="499" t="s">
        <v>15371</v>
      </c>
    </row>
    <row r="11464">
      <c r="A11464" s="499" t="s">
        <v>15372</v>
      </c>
    </row>
    <row r="11465">
      <c r="A11465" s="499" t="s">
        <v>15373</v>
      </c>
    </row>
    <row r="11466">
      <c r="A11466" s="499" t="s">
        <v>15374</v>
      </c>
    </row>
    <row r="11467">
      <c r="A11467" s="499" t="s">
        <v>15375</v>
      </c>
    </row>
    <row r="11468">
      <c r="A11468" s="499" t="s">
        <v>15376</v>
      </c>
    </row>
    <row r="11469">
      <c r="A11469" s="499" t="s">
        <v>15377</v>
      </c>
    </row>
    <row r="11470">
      <c r="A11470" s="499" t="s">
        <v>15378</v>
      </c>
    </row>
    <row r="11471">
      <c r="A11471" s="499" t="s">
        <v>15379</v>
      </c>
    </row>
    <row r="11472">
      <c r="A11472" s="499" t="s">
        <v>15380</v>
      </c>
    </row>
    <row r="11473">
      <c r="A11473" s="499" t="s">
        <v>15381</v>
      </c>
    </row>
    <row r="11474">
      <c r="A11474" s="499" t="s">
        <v>15382</v>
      </c>
    </row>
    <row r="11475">
      <c r="A11475" s="499" t="s">
        <v>15383</v>
      </c>
    </row>
    <row r="11476">
      <c r="A11476" s="499" t="s">
        <v>15384</v>
      </c>
    </row>
    <row r="11477">
      <c r="A11477" s="499" t="s">
        <v>15385</v>
      </c>
    </row>
    <row r="11478">
      <c r="A11478" s="499" t="s">
        <v>15386</v>
      </c>
    </row>
    <row r="11479">
      <c r="A11479" s="499" t="s">
        <v>15387</v>
      </c>
    </row>
    <row r="11480">
      <c r="A11480" s="499" t="s">
        <v>15388</v>
      </c>
    </row>
    <row r="11481">
      <c r="A11481" s="499" t="s">
        <v>15389</v>
      </c>
    </row>
    <row r="11482">
      <c r="A11482" s="499" t="s">
        <v>15390</v>
      </c>
    </row>
    <row r="11483">
      <c r="A11483" s="499" t="s">
        <v>15391</v>
      </c>
    </row>
    <row r="11484">
      <c r="A11484" s="499" t="s">
        <v>15392</v>
      </c>
    </row>
    <row r="11485">
      <c r="A11485" s="499" t="s">
        <v>15393</v>
      </c>
    </row>
    <row r="11486">
      <c r="A11486" s="499" t="s">
        <v>15394</v>
      </c>
    </row>
    <row r="11487">
      <c r="A11487" s="499" t="s">
        <v>15395</v>
      </c>
    </row>
    <row r="11488">
      <c r="A11488" s="499" t="s">
        <v>15396</v>
      </c>
    </row>
    <row r="11489">
      <c r="A11489" s="499" t="s">
        <v>15397</v>
      </c>
    </row>
    <row r="11490">
      <c r="A11490" s="499" t="s">
        <v>15398</v>
      </c>
    </row>
    <row r="11491">
      <c r="A11491" s="499" t="s">
        <v>15399</v>
      </c>
    </row>
    <row r="11492">
      <c r="A11492" s="499" t="s">
        <v>15400</v>
      </c>
    </row>
    <row r="11493">
      <c r="A11493" s="499" t="s">
        <v>15401</v>
      </c>
    </row>
    <row r="11494">
      <c r="A11494" s="499" t="s">
        <v>15402</v>
      </c>
    </row>
    <row r="11495">
      <c r="A11495" s="499" t="s">
        <v>15403</v>
      </c>
    </row>
    <row r="11496">
      <c r="A11496" s="499" t="s">
        <v>15404</v>
      </c>
    </row>
    <row r="11497">
      <c r="A11497" s="499" t="s">
        <v>15405</v>
      </c>
    </row>
    <row r="11498">
      <c r="A11498" s="499" t="s">
        <v>15406</v>
      </c>
    </row>
    <row r="11499">
      <c r="A11499" s="499" t="s">
        <v>15407</v>
      </c>
    </row>
    <row r="11500">
      <c r="A11500" s="499" t="s">
        <v>15408</v>
      </c>
    </row>
    <row r="11501">
      <c r="A11501" s="499" t="s">
        <v>15409</v>
      </c>
    </row>
    <row r="11502">
      <c r="A11502" s="499" t="s">
        <v>15410</v>
      </c>
    </row>
    <row r="11503">
      <c r="A11503" s="499" t="s">
        <v>15411</v>
      </c>
    </row>
    <row r="11504">
      <c r="A11504" s="499" t="s">
        <v>6659</v>
      </c>
    </row>
    <row r="11505">
      <c r="A11505" s="499" t="s">
        <v>6663</v>
      </c>
    </row>
    <row r="11506">
      <c r="A11506" s="499" t="s">
        <v>6661</v>
      </c>
    </row>
    <row r="11507">
      <c r="A11507" s="499" t="s">
        <v>6217</v>
      </c>
    </row>
    <row r="11508">
      <c r="A11508" s="499" t="s">
        <v>6255</v>
      </c>
    </row>
    <row r="11509">
      <c r="A11509" s="499" t="s">
        <v>6258</v>
      </c>
    </row>
    <row r="11510">
      <c r="A11510" s="499" t="s">
        <v>6220</v>
      </c>
    </row>
    <row r="11511">
      <c r="A11511" s="499" t="s">
        <v>6223</v>
      </c>
    </row>
    <row r="11512">
      <c r="A11512" s="499" t="s">
        <v>6246</v>
      </c>
    </row>
    <row r="11513">
      <c r="A11513" s="499" t="s">
        <v>6253</v>
      </c>
    </row>
    <row r="11514">
      <c r="A11514" s="499" t="s">
        <v>6248</v>
      </c>
    </row>
    <row r="11515">
      <c r="A11515" s="499" t="s">
        <v>6251</v>
      </c>
    </row>
    <row r="11516">
      <c r="A11516" s="499" t="s">
        <v>6241</v>
      </c>
    </row>
    <row r="11517">
      <c r="A11517" s="499" t="s">
        <v>15412</v>
      </c>
    </row>
    <row r="11518">
      <c r="A11518" s="499" t="s">
        <v>15413</v>
      </c>
    </row>
    <row r="11519">
      <c r="A11519" s="499" t="s">
        <v>6211</v>
      </c>
    </row>
    <row r="11520">
      <c r="A11520" s="499" t="s">
        <v>6214</v>
      </c>
    </row>
    <row r="11521">
      <c r="A11521" s="499" t="s">
        <v>6229</v>
      </c>
    </row>
    <row r="11522">
      <c r="A11522" s="499" t="s">
        <v>6232</v>
      </c>
    </row>
    <row r="11523">
      <c r="A11523" s="499" t="s">
        <v>6239</v>
      </c>
    </row>
    <row r="11524">
      <c r="A11524" s="499" t="s">
        <v>6237</v>
      </c>
    </row>
    <row r="11525">
      <c r="A11525" s="499" t="s">
        <v>6678</v>
      </c>
    </row>
    <row r="11526">
      <c r="A11526" s="499" t="s">
        <v>6680</v>
      </c>
    </row>
    <row r="11527">
      <c r="A11527" s="499" t="s">
        <v>6208</v>
      </c>
    </row>
    <row r="11528">
      <c r="A11528" s="499" t="s">
        <v>6226</v>
      </c>
    </row>
    <row r="11529">
      <c r="A11529" s="499" t="s">
        <v>6243</v>
      </c>
    </row>
    <row r="11530">
      <c r="A11530" s="499" t="s">
        <v>6235</v>
      </c>
    </row>
    <row r="11531">
      <c r="A11531" s="499" t="s">
        <v>15414</v>
      </c>
    </row>
    <row r="11532">
      <c r="A11532" s="499" t="s">
        <v>15415</v>
      </c>
    </row>
    <row r="11533">
      <c r="A11533" s="499" t="s">
        <v>15416</v>
      </c>
    </row>
    <row r="11534">
      <c r="A11534" s="499" t="s">
        <v>15417</v>
      </c>
    </row>
    <row r="11535">
      <c r="A11535" s="499" t="s">
        <v>6204</v>
      </c>
    </row>
    <row r="11536">
      <c r="A11536" s="499" t="s">
        <v>6206</v>
      </c>
    </row>
    <row r="11537">
      <c r="A11537" s="499" t="s">
        <v>6684</v>
      </c>
    </row>
    <row r="11538">
      <c r="A11538" s="499" t="s">
        <v>6686</v>
      </c>
    </row>
    <row r="11539">
      <c r="A11539" s="499" t="s">
        <v>6691</v>
      </c>
    </row>
    <row r="11540">
      <c r="A11540" s="499" t="s">
        <v>6717</v>
      </c>
    </row>
    <row r="11541">
      <c r="A11541" s="499" t="s">
        <v>6648</v>
      </c>
    </row>
    <row r="11542">
      <c r="A11542" s="499" t="s">
        <v>6646</v>
      </c>
    </row>
    <row r="11543">
      <c r="A11543" s="499" t="s">
        <v>6682</v>
      </c>
    </row>
    <row r="11544">
      <c r="A11544" s="499" t="s">
        <v>6711</v>
      </c>
    </row>
    <row r="11545">
      <c r="A11545" s="499" t="s">
        <v>6709</v>
      </c>
    </row>
    <row r="11546">
      <c r="A11546" s="499" t="s">
        <v>6720</v>
      </c>
    </row>
    <row r="11547">
      <c r="A11547" s="499" t="s">
        <v>6728</v>
      </c>
    </row>
    <row r="11548">
      <c r="A11548" s="499" t="s">
        <v>6722</v>
      </c>
    </row>
    <row r="11549">
      <c r="A11549" s="499" t="s">
        <v>6726</v>
      </c>
    </row>
    <row r="11550">
      <c r="A11550" s="499" t="s">
        <v>15418</v>
      </c>
    </row>
    <row r="11551">
      <c r="A11551" s="499" t="s">
        <v>15419</v>
      </c>
    </row>
    <row r="11552">
      <c r="A11552" s="499" t="s">
        <v>6713</v>
      </c>
    </row>
    <row r="11553">
      <c r="A11553" s="499" t="s">
        <v>6688</v>
      </c>
    </row>
    <row r="11554">
      <c r="A11554" s="499" t="s">
        <v>6696</v>
      </c>
    </row>
    <row r="11555">
      <c r="A11555" s="499" t="s">
        <v>6701</v>
      </c>
    </row>
    <row r="11556">
      <c r="A11556" s="499" t="s">
        <v>6706</v>
      </c>
    </row>
    <row r="11557">
      <c r="A11557" s="499" t="s">
        <v>15420</v>
      </c>
    </row>
    <row r="11558">
      <c r="A11558" s="499" t="s">
        <v>15421</v>
      </c>
    </row>
    <row r="11559">
      <c r="A11559" s="499" t="s">
        <v>15422</v>
      </c>
    </row>
    <row r="11560">
      <c r="A11560" s="499" t="s">
        <v>15423</v>
      </c>
    </row>
    <row r="11561">
      <c r="A11561" s="499" t="s">
        <v>15424</v>
      </c>
    </row>
    <row r="11562">
      <c r="A11562" s="499" t="s">
        <v>15425</v>
      </c>
    </row>
    <row r="11563">
      <c r="A11563" s="499" t="s">
        <v>15426</v>
      </c>
    </row>
    <row r="11564">
      <c r="A11564" s="499" t="s">
        <v>15427</v>
      </c>
    </row>
    <row r="11565">
      <c r="A11565" s="499" t="s">
        <v>15428</v>
      </c>
    </row>
    <row r="11566">
      <c r="A11566" s="499" t="s">
        <v>15429</v>
      </c>
    </row>
    <row r="11567">
      <c r="A11567" s="499" t="s">
        <v>15430</v>
      </c>
    </row>
    <row r="11568">
      <c r="A11568" s="499" t="s">
        <v>15431</v>
      </c>
    </row>
    <row r="11569">
      <c r="A11569" s="499" t="s">
        <v>15432</v>
      </c>
    </row>
    <row r="11570">
      <c r="A11570" s="499" t="s">
        <v>15433</v>
      </c>
    </row>
    <row r="11571">
      <c r="A11571" s="499" t="s">
        <v>15434</v>
      </c>
    </row>
    <row r="11572">
      <c r="A11572" s="499" t="s">
        <v>15435</v>
      </c>
    </row>
    <row r="11573">
      <c r="A11573" s="499" t="s">
        <v>15436</v>
      </c>
    </row>
    <row r="11574">
      <c r="A11574" s="499" t="s">
        <v>15437</v>
      </c>
    </row>
    <row r="11575">
      <c r="A11575" s="499" t="s">
        <v>15438</v>
      </c>
    </row>
    <row r="11576">
      <c r="A11576" s="499" t="s">
        <v>15439</v>
      </c>
    </row>
    <row r="11577">
      <c r="A11577" s="499" t="s">
        <v>15440</v>
      </c>
    </row>
    <row r="11578">
      <c r="A11578" s="499" t="s">
        <v>15441</v>
      </c>
    </row>
    <row r="11579">
      <c r="A11579" s="499" t="s">
        <v>15442</v>
      </c>
    </row>
    <row r="11580">
      <c r="A11580" s="499" t="s">
        <v>15443</v>
      </c>
    </row>
    <row r="11581">
      <c r="A11581" s="499" t="s">
        <v>15444</v>
      </c>
    </row>
    <row r="11582">
      <c r="A11582" s="499" t="s">
        <v>15445</v>
      </c>
    </row>
    <row r="11583">
      <c r="A11583" s="499" t="s">
        <v>15446</v>
      </c>
    </row>
    <row r="11584">
      <c r="A11584" s="499" t="s">
        <v>15447</v>
      </c>
    </row>
    <row r="11585">
      <c r="A11585" s="499" t="s">
        <v>15448</v>
      </c>
    </row>
    <row r="11586">
      <c r="A11586" s="499" t="s">
        <v>15449</v>
      </c>
    </row>
    <row r="11587">
      <c r="A11587" s="499" t="s">
        <v>15450</v>
      </c>
    </row>
    <row r="11588">
      <c r="A11588" s="499" t="s">
        <v>15451</v>
      </c>
    </row>
    <row r="11589">
      <c r="A11589" s="499" t="s">
        <v>15452</v>
      </c>
    </row>
    <row r="11590">
      <c r="A11590" s="499" t="s">
        <v>15453</v>
      </c>
    </row>
    <row r="11591">
      <c r="A11591" s="499" t="s">
        <v>15454</v>
      </c>
    </row>
    <row r="11592">
      <c r="A11592" s="499" t="s">
        <v>15455</v>
      </c>
    </row>
    <row r="11593">
      <c r="A11593" s="499" t="s">
        <v>15456</v>
      </c>
    </row>
    <row r="11594">
      <c r="A11594" s="499" t="s">
        <v>15457</v>
      </c>
    </row>
    <row r="11595">
      <c r="A11595" s="499" t="s">
        <v>15458</v>
      </c>
    </row>
    <row r="11596">
      <c r="A11596" s="499" t="s">
        <v>15459</v>
      </c>
    </row>
    <row r="11597">
      <c r="A11597" s="499" t="s">
        <v>15460</v>
      </c>
    </row>
    <row r="11598">
      <c r="A11598" s="499" t="s">
        <v>15461</v>
      </c>
    </row>
    <row r="11599">
      <c r="A11599" s="499" t="s">
        <v>15462</v>
      </c>
    </row>
    <row r="11600">
      <c r="A11600" s="499" t="s">
        <v>15463</v>
      </c>
    </row>
    <row r="11601">
      <c r="A11601" s="499" t="s">
        <v>15464</v>
      </c>
    </row>
    <row r="11602">
      <c r="A11602" s="499" t="s">
        <v>15465</v>
      </c>
    </row>
    <row r="11603">
      <c r="A11603" s="499" t="s">
        <v>15466</v>
      </c>
    </row>
    <row r="11604">
      <c r="A11604" s="499" t="s">
        <v>15467</v>
      </c>
    </row>
    <row r="11605">
      <c r="A11605" s="499" t="s">
        <v>15468</v>
      </c>
    </row>
    <row r="11606">
      <c r="A11606" s="499" t="s">
        <v>15469</v>
      </c>
    </row>
    <row r="11607">
      <c r="A11607" s="499" t="s">
        <v>15470</v>
      </c>
    </row>
    <row r="11608">
      <c r="A11608" s="499" t="s">
        <v>15471</v>
      </c>
    </row>
    <row r="11609">
      <c r="A11609" s="499" t="s">
        <v>6355</v>
      </c>
    </row>
    <row r="11610">
      <c r="A11610" s="499" t="s">
        <v>6357</v>
      </c>
    </row>
    <row r="11611">
      <c r="A11611" s="499" t="s">
        <v>6367</v>
      </c>
    </row>
    <row r="11612">
      <c r="A11612" s="499" t="s">
        <v>6369</v>
      </c>
    </row>
    <row r="11613">
      <c r="A11613" s="499" t="s">
        <v>6359</v>
      </c>
    </row>
    <row r="11614">
      <c r="A11614" s="499" t="s">
        <v>6362</v>
      </c>
    </row>
    <row r="11615">
      <c r="A11615" s="499" t="s">
        <v>6365</v>
      </c>
    </row>
    <row r="11616">
      <c r="A11616" s="499" t="s">
        <v>15472</v>
      </c>
    </row>
    <row r="11617">
      <c r="A11617" s="499" t="s">
        <v>15473</v>
      </c>
    </row>
    <row r="11618">
      <c r="A11618" s="499" t="s">
        <v>15474</v>
      </c>
    </row>
    <row r="11619">
      <c r="A11619" s="499" t="s">
        <v>15475</v>
      </c>
    </row>
    <row r="11620">
      <c r="A11620" s="499" t="s">
        <v>15476</v>
      </c>
    </row>
    <row r="11621">
      <c r="A11621" s="499" t="s">
        <v>15477</v>
      </c>
    </row>
    <row r="11622">
      <c r="A11622" s="499" t="s">
        <v>15478</v>
      </c>
    </row>
    <row r="11623">
      <c r="A11623" s="499" t="s">
        <v>15479</v>
      </c>
    </row>
    <row r="11624">
      <c r="A11624" s="499" t="s">
        <v>15480</v>
      </c>
    </row>
    <row r="11625">
      <c r="A11625" s="499" t="s">
        <v>15481</v>
      </c>
    </row>
    <row r="11626">
      <c r="A11626" s="499" t="s">
        <v>15482</v>
      </c>
    </row>
    <row r="11627">
      <c r="A11627" s="499" t="s">
        <v>15483</v>
      </c>
    </row>
    <row r="11628">
      <c r="A11628" s="499" t="s">
        <v>15484</v>
      </c>
    </row>
    <row r="11629">
      <c r="A11629" s="499" t="s">
        <v>15485</v>
      </c>
    </row>
    <row r="11630">
      <c r="A11630" s="499" t="s">
        <v>15486</v>
      </c>
    </row>
    <row r="11631">
      <c r="A11631" s="499" t="s">
        <v>15487</v>
      </c>
    </row>
    <row r="11632">
      <c r="A11632" s="499" t="s">
        <v>15488</v>
      </c>
    </row>
    <row r="11633">
      <c r="A11633" s="499" t="s">
        <v>15489</v>
      </c>
    </row>
    <row r="11634">
      <c r="A11634" s="499" t="s">
        <v>15490</v>
      </c>
    </row>
    <row r="11635">
      <c r="A11635" s="499" t="s">
        <v>15491</v>
      </c>
    </row>
    <row r="11636">
      <c r="A11636" s="499" t="s">
        <v>15492</v>
      </c>
    </row>
    <row r="11637">
      <c r="A11637" s="499" t="s">
        <v>15493</v>
      </c>
    </row>
    <row r="11638">
      <c r="A11638" s="499" t="s">
        <v>15494</v>
      </c>
    </row>
    <row r="11639">
      <c r="A11639" s="499" t="s">
        <v>15495</v>
      </c>
    </row>
    <row r="11640">
      <c r="A11640" s="499" t="s">
        <v>15496</v>
      </c>
    </row>
    <row r="11641">
      <c r="A11641" s="499" t="s">
        <v>15497</v>
      </c>
    </row>
    <row r="11642">
      <c r="A11642" s="499" t="s">
        <v>15498</v>
      </c>
    </row>
    <row r="11643">
      <c r="A11643" s="499" t="s">
        <v>15499</v>
      </c>
    </row>
    <row r="11644">
      <c r="A11644" s="499" t="s">
        <v>15500</v>
      </c>
    </row>
    <row r="11645">
      <c r="A11645" s="499" t="s">
        <v>15501</v>
      </c>
    </row>
    <row r="11646">
      <c r="A11646" s="499" t="s">
        <v>15502</v>
      </c>
    </row>
    <row r="11647">
      <c r="A11647" s="499" t="s">
        <v>15503</v>
      </c>
    </row>
    <row r="11648">
      <c r="A11648" s="499" t="s">
        <v>15504</v>
      </c>
    </row>
    <row r="11649">
      <c r="A11649" s="499" t="s">
        <v>15505</v>
      </c>
    </row>
    <row r="11650">
      <c r="A11650" s="499" t="s">
        <v>15506</v>
      </c>
    </row>
    <row r="11651">
      <c r="A11651" s="499" t="s">
        <v>15507</v>
      </c>
    </row>
    <row r="11652">
      <c r="A11652" s="499" t="s">
        <v>15508</v>
      </c>
    </row>
    <row r="11653">
      <c r="A11653" s="499" t="s">
        <v>15509</v>
      </c>
    </row>
    <row r="11654">
      <c r="A11654" s="499" t="s">
        <v>15510</v>
      </c>
    </row>
    <row r="11655">
      <c r="A11655" s="499" t="s">
        <v>15511</v>
      </c>
    </row>
    <row r="11656">
      <c r="A11656" s="499" t="s">
        <v>15512</v>
      </c>
    </row>
    <row r="11657">
      <c r="A11657" s="499" t="s">
        <v>15513</v>
      </c>
    </row>
    <row r="11658">
      <c r="A11658" s="499" t="s">
        <v>15514</v>
      </c>
    </row>
    <row r="11659">
      <c r="A11659" s="499" t="s">
        <v>15515</v>
      </c>
    </row>
    <row r="11660">
      <c r="A11660" s="499" t="s">
        <v>15516</v>
      </c>
    </row>
    <row r="11661">
      <c r="A11661" s="499" t="s">
        <v>15517</v>
      </c>
    </row>
    <row r="11662">
      <c r="A11662" s="499" t="s">
        <v>6674</v>
      </c>
    </row>
    <row r="11663">
      <c r="A11663" s="499" t="s">
        <v>6676</v>
      </c>
    </row>
    <row r="11664">
      <c r="A11664" s="499" t="s">
        <v>15518</v>
      </c>
    </row>
    <row r="11665">
      <c r="A11665" s="499" t="s">
        <v>6346</v>
      </c>
    </row>
    <row r="11666">
      <c r="A11666" s="499" t="s">
        <v>15519</v>
      </c>
    </row>
    <row r="11667">
      <c r="A11667" s="499" t="s">
        <v>6349</v>
      </c>
    </row>
    <row r="11668">
      <c r="A11668" s="499" t="s">
        <v>6352</v>
      </c>
    </row>
    <row r="11669">
      <c r="A11669" s="499" t="s">
        <v>15520</v>
      </c>
    </row>
    <row r="11670">
      <c r="A11670" s="499" t="s">
        <v>15521</v>
      </c>
    </row>
    <row r="11671">
      <c r="A11671" s="499" t="s">
        <v>15522</v>
      </c>
    </row>
    <row r="11672">
      <c r="A11672" s="499" t="s">
        <v>15523</v>
      </c>
    </row>
    <row r="11673">
      <c r="A11673" s="499" t="s">
        <v>15524</v>
      </c>
    </row>
    <row r="11674">
      <c r="A11674" s="499" t="s">
        <v>15525</v>
      </c>
    </row>
    <row r="11675">
      <c r="A11675" s="499" t="s">
        <v>15526</v>
      </c>
    </row>
    <row r="11676">
      <c r="A11676" s="499" t="s">
        <v>15527</v>
      </c>
    </row>
    <row r="11677">
      <c r="A11677" s="499" t="s">
        <v>15528</v>
      </c>
    </row>
    <row r="11678">
      <c r="A11678" s="499" t="s">
        <v>15529</v>
      </c>
    </row>
    <row r="11679">
      <c r="A11679" s="499" t="s">
        <v>15530</v>
      </c>
    </row>
    <row r="11680">
      <c r="A11680" s="499" t="s">
        <v>15531</v>
      </c>
    </row>
    <row r="11681">
      <c r="A11681" s="499" t="s">
        <v>15532</v>
      </c>
    </row>
    <row r="11682">
      <c r="A11682" s="499" t="s">
        <v>15533</v>
      </c>
    </row>
    <row r="11683">
      <c r="A11683" s="499" t="s">
        <v>15534</v>
      </c>
    </row>
    <row r="11684">
      <c r="A11684" s="499" t="s">
        <v>15535</v>
      </c>
    </row>
    <row r="11685">
      <c r="A11685" s="499" t="s">
        <v>15536</v>
      </c>
    </row>
    <row r="11686">
      <c r="A11686" s="499" t="s">
        <v>15537</v>
      </c>
    </row>
    <row r="11687">
      <c r="A11687" s="499" t="s">
        <v>15538</v>
      </c>
    </row>
    <row r="11688">
      <c r="A11688" s="499" t="s">
        <v>15539</v>
      </c>
    </row>
    <row r="11689">
      <c r="A11689" s="499" t="s">
        <v>15540</v>
      </c>
    </row>
    <row r="11690">
      <c r="A11690" s="499" t="s">
        <v>15541</v>
      </c>
    </row>
    <row r="11691">
      <c r="A11691" s="499" t="s">
        <v>15542</v>
      </c>
    </row>
    <row r="11692">
      <c r="A11692" s="499" t="s">
        <v>15543</v>
      </c>
    </row>
    <row r="11693">
      <c r="A11693" s="499" t="s">
        <v>15544</v>
      </c>
    </row>
    <row r="11694">
      <c r="A11694" s="499" t="s">
        <v>15545</v>
      </c>
    </row>
    <row r="11695">
      <c r="A11695" s="499" t="s">
        <v>15546</v>
      </c>
    </row>
    <row r="11696">
      <c r="A11696" s="499" t="s">
        <v>15547</v>
      </c>
    </row>
    <row r="11697">
      <c r="A11697" s="499" t="s">
        <v>15548</v>
      </c>
    </row>
    <row r="11698">
      <c r="A11698" s="499" t="s">
        <v>15549</v>
      </c>
    </row>
    <row r="11699">
      <c r="A11699" s="499" t="s">
        <v>15550</v>
      </c>
    </row>
    <row r="11700">
      <c r="A11700" s="499" t="s">
        <v>15551</v>
      </c>
    </row>
    <row r="11701">
      <c r="A11701" s="499" t="s">
        <v>15552</v>
      </c>
    </row>
    <row r="11702">
      <c r="A11702" s="499" t="s">
        <v>15553</v>
      </c>
    </row>
    <row r="11703">
      <c r="A11703" s="499" t="s">
        <v>15554</v>
      </c>
    </row>
    <row r="11704">
      <c r="A11704" s="499" t="s">
        <v>15555</v>
      </c>
    </row>
    <row r="11705">
      <c r="A11705" s="499" t="s">
        <v>15556</v>
      </c>
    </row>
    <row r="11706">
      <c r="A11706" s="499" t="s">
        <v>15557</v>
      </c>
    </row>
    <row r="11707">
      <c r="A11707" s="499" t="s">
        <v>15558</v>
      </c>
    </row>
    <row r="11708">
      <c r="A11708" s="499" t="s">
        <v>15559</v>
      </c>
    </row>
    <row r="11709">
      <c r="A11709" s="499" t="s">
        <v>15560</v>
      </c>
    </row>
    <row r="11710">
      <c r="A11710" s="499" t="s">
        <v>15561</v>
      </c>
    </row>
    <row r="11711">
      <c r="A11711" s="499" t="s">
        <v>15562</v>
      </c>
    </row>
    <row r="11712">
      <c r="A11712" s="499" t="s">
        <v>15563</v>
      </c>
    </row>
    <row r="11713">
      <c r="A11713" s="499" t="s">
        <v>15564</v>
      </c>
    </row>
    <row r="11714">
      <c r="A11714" s="499" t="s">
        <v>15565</v>
      </c>
    </row>
    <row r="11715">
      <c r="A11715" s="499" t="s">
        <v>15566</v>
      </c>
    </row>
    <row r="11716">
      <c r="A11716" s="499" t="s">
        <v>15567</v>
      </c>
    </row>
    <row r="11717">
      <c r="A11717" s="499" t="s">
        <v>15568</v>
      </c>
    </row>
    <row r="11718">
      <c r="A11718" s="499" t="s">
        <v>15569</v>
      </c>
    </row>
    <row r="11719">
      <c r="A11719" s="499" t="s">
        <v>15570</v>
      </c>
    </row>
    <row r="11720">
      <c r="A11720" s="499" t="s">
        <v>15571</v>
      </c>
    </row>
    <row r="11721">
      <c r="A11721" s="499" t="s">
        <v>15572</v>
      </c>
    </row>
    <row r="11722">
      <c r="A11722" s="499" t="s">
        <v>15573</v>
      </c>
    </row>
    <row r="11723">
      <c r="A11723" s="499" t="s">
        <v>15574</v>
      </c>
    </row>
    <row r="11724">
      <c r="A11724" s="499" t="s">
        <v>15575</v>
      </c>
    </row>
    <row r="11725">
      <c r="A11725" s="499" t="s">
        <v>15576</v>
      </c>
    </row>
    <row r="11726">
      <c r="A11726" s="499" t="s">
        <v>15577</v>
      </c>
    </row>
    <row r="11727">
      <c r="A11727" s="499" t="s">
        <v>15578</v>
      </c>
    </row>
    <row r="11728">
      <c r="A11728" s="499" t="s">
        <v>15579</v>
      </c>
    </row>
    <row r="11729">
      <c r="A11729" s="499" t="s">
        <v>15580</v>
      </c>
    </row>
    <row r="11730">
      <c r="A11730" s="499" t="s">
        <v>6374</v>
      </c>
    </row>
    <row r="11731">
      <c r="A11731" s="499" t="s">
        <v>15581</v>
      </c>
    </row>
    <row r="11732">
      <c r="A11732" s="499" t="s">
        <v>15582</v>
      </c>
    </row>
    <row r="11733">
      <c r="A11733" s="499" t="s">
        <v>15583</v>
      </c>
    </row>
    <row r="11734">
      <c r="A11734" s="499" t="s">
        <v>15584</v>
      </c>
    </row>
    <row r="11735">
      <c r="A11735" s="499" t="s">
        <v>15585</v>
      </c>
    </row>
    <row r="11736">
      <c r="A11736" s="499" t="s">
        <v>15586</v>
      </c>
    </row>
    <row r="11737">
      <c r="A11737" s="499" t="s">
        <v>15587</v>
      </c>
    </row>
    <row r="11738">
      <c r="A11738" s="499" t="s">
        <v>15588</v>
      </c>
    </row>
    <row r="11739">
      <c r="A11739" s="499" t="s">
        <v>15589</v>
      </c>
    </row>
    <row r="11740">
      <c r="A11740" s="499" t="s">
        <v>15590</v>
      </c>
    </row>
    <row r="11741">
      <c r="A11741" s="499" t="s">
        <v>15591</v>
      </c>
    </row>
    <row r="11742">
      <c r="A11742" s="499" t="s">
        <v>15592</v>
      </c>
    </row>
    <row r="11743">
      <c r="A11743" s="499" t="s">
        <v>15593</v>
      </c>
    </row>
    <row r="11744">
      <c r="A11744" s="499" t="s">
        <v>15594</v>
      </c>
    </row>
    <row r="11745">
      <c r="A11745" s="499" t="s">
        <v>15595</v>
      </c>
    </row>
    <row r="11746">
      <c r="A11746" s="499" t="s">
        <v>15596</v>
      </c>
    </row>
    <row r="11747">
      <c r="A11747" s="499" t="s">
        <v>15597</v>
      </c>
    </row>
    <row r="11748">
      <c r="A11748" s="499" t="s">
        <v>15598</v>
      </c>
    </row>
    <row r="11749">
      <c r="A11749" s="499" t="s">
        <v>15599</v>
      </c>
    </row>
    <row r="11750">
      <c r="A11750" s="499" t="s">
        <v>15600</v>
      </c>
    </row>
    <row r="11751">
      <c r="A11751" s="499" t="s">
        <v>15601</v>
      </c>
    </row>
    <row r="11752">
      <c r="A11752" s="499" t="s">
        <v>15602</v>
      </c>
    </row>
    <row r="11753">
      <c r="A11753" s="499" t="s">
        <v>15603</v>
      </c>
    </row>
    <row r="11754">
      <c r="A11754" s="499" t="s">
        <v>15604</v>
      </c>
    </row>
    <row r="11755">
      <c r="A11755" s="499" t="s">
        <v>15605</v>
      </c>
    </row>
    <row r="11756">
      <c r="A11756" s="499" t="s">
        <v>15606</v>
      </c>
    </row>
    <row r="11757">
      <c r="A11757" s="499" t="s">
        <v>6372</v>
      </c>
    </row>
    <row r="11758">
      <c r="A11758" s="499" t="s">
        <v>15607</v>
      </c>
    </row>
    <row r="11759">
      <c r="A11759" s="499" t="s">
        <v>15608</v>
      </c>
    </row>
    <row r="11760">
      <c r="A11760" s="499" t="s">
        <v>15609</v>
      </c>
    </row>
    <row r="11761">
      <c r="A11761" s="499" t="s">
        <v>15610</v>
      </c>
    </row>
    <row r="11762">
      <c r="A11762" s="499" t="s">
        <v>15611</v>
      </c>
    </row>
    <row r="11763">
      <c r="A11763" s="499" t="s">
        <v>15612</v>
      </c>
    </row>
    <row r="11764">
      <c r="A11764" s="499" t="s">
        <v>15613</v>
      </c>
    </row>
    <row r="11765">
      <c r="A11765" s="499" t="s">
        <v>15614</v>
      </c>
    </row>
    <row r="11766">
      <c r="A11766" s="499" t="s">
        <v>15615</v>
      </c>
    </row>
    <row r="11767">
      <c r="A11767" s="499" t="s">
        <v>15616</v>
      </c>
    </row>
    <row r="11768">
      <c r="A11768" s="499" t="s">
        <v>15617</v>
      </c>
    </row>
    <row r="11769">
      <c r="A11769" s="499" t="s">
        <v>15618</v>
      </c>
    </row>
    <row r="11770">
      <c r="A11770" s="499" t="s">
        <v>15619</v>
      </c>
    </row>
    <row r="11771">
      <c r="A11771" s="499" t="s">
        <v>15620</v>
      </c>
    </row>
    <row r="11772">
      <c r="A11772" s="499" t="s">
        <v>15621</v>
      </c>
    </row>
    <row r="11773">
      <c r="A11773" s="499" t="s">
        <v>15622</v>
      </c>
    </row>
    <row r="11774">
      <c r="A11774" s="499" t="s">
        <v>15623</v>
      </c>
    </row>
    <row r="11775">
      <c r="A11775" s="499" t="s">
        <v>15624</v>
      </c>
    </row>
    <row r="11776">
      <c r="A11776" s="499" t="s">
        <v>15625</v>
      </c>
    </row>
    <row r="11777">
      <c r="A11777" s="499" t="s">
        <v>15626</v>
      </c>
    </row>
    <row r="11778">
      <c r="A11778" s="499" t="s">
        <v>15627</v>
      </c>
    </row>
    <row r="11779">
      <c r="A11779" s="499" t="s">
        <v>15628</v>
      </c>
    </row>
    <row r="11780">
      <c r="A11780" s="499" t="s">
        <v>15629</v>
      </c>
    </row>
    <row r="11781">
      <c r="A11781" s="499" t="s">
        <v>15630</v>
      </c>
    </row>
    <row r="11782">
      <c r="A11782" s="499" t="s">
        <v>15631</v>
      </c>
    </row>
    <row r="11783">
      <c r="A11783" s="499" t="s">
        <v>15632</v>
      </c>
    </row>
    <row r="11784">
      <c r="A11784" s="499" t="s">
        <v>15633</v>
      </c>
    </row>
    <row r="11785">
      <c r="A11785" s="499" t="s">
        <v>15634</v>
      </c>
    </row>
    <row r="11786">
      <c r="A11786" s="499" t="s">
        <v>15635</v>
      </c>
    </row>
    <row r="11787">
      <c r="A11787" s="499" t="s">
        <v>15636</v>
      </c>
    </row>
    <row r="11788">
      <c r="A11788" s="499" t="s">
        <v>15637</v>
      </c>
    </row>
    <row r="11789">
      <c r="A11789" s="499" t="s">
        <v>15638</v>
      </c>
    </row>
    <row r="11790">
      <c r="A11790" s="499" t="s">
        <v>15639</v>
      </c>
    </row>
    <row r="11791">
      <c r="A11791" s="499" t="s">
        <v>15640</v>
      </c>
    </row>
    <row r="11792">
      <c r="A11792" s="499" t="s">
        <v>15641</v>
      </c>
    </row>
    <row r="11793">
      <c r="A11793" s="499" t="s">
        <v>15642</v>
      </c>
    </row>
    <row r="11794">
      <c r="A11794" s="499" t="s">
        <v>15643</v>
      </c>
    </row>
    <row r="11795">
      <c r="A11795" s="499" t="s">
        <v>15644</v>
      </c>
    </row>
    <row r="11796">
      <c r="A11796" s="499" t="s">
        <v>15645</v>
      </c>
    </row>
    <row r="11797">
      <c r="A11797" s="499" t="s">
        <v>15646</v>
      </c>
    </row>
    <row r="11798">
      <c r="A11798" s="499" t="s">
        <v>15647</v>
      </c>
    </row>
    <row r="11799">
      <c r="A11799" s="499" t="s">
        <v>15648</v>
      </c>
    </row>
    <row r="11800">
      <c r="A11800" s="499" t="s">
        <v>15649</v>
      </c>
    </row>
    <row r="11801">
      <c r="A11801" s="499" t="s">
        <v>15650</v>
      </c>
    </row>
    <row r="11802">
      <c r="A11802" s="499" t="s">
        <v>15651</v>
      </c>
    </row>
    <row r="11803">
      <c r="A11803" s="499" t="s">
        <v>15652</v>
      </c>
    </row>
    <row r="11804">
      <c r="A11804" s="499" t="s">
        <v>15653</v>
      </c>
    </row>
    <row r="11805">
      <c r="A11805" s="499" t="s">
        <v>15654</v>
      </c>
    </row>
    <row r="11806">
      <c r="A11806" s="499" t="s">
        <v>15655</v>
      </c>
    </row>
    <row r="11807">
      <c r="A11807" s="499" t="s">
        <v>6444</v>
      </c>
    </row>
    <row r="11808">
      <c r="A11808" s="499" t="s">
        <v>15656</v>
      </c>
    </row>
    <row r="11809">
      <c r="A11809" s="499" t="s">
        <v>6448</v>
      </c>
    </row>
    <row r="11810">
      <c r="A11810" s="499" t="s">
        <v>6457</v>
      </c>
    </row>
    <row r="11811">
      <c r="A11811" s="499" t="s">
        <v>6462</v>
      </c>
    </row>
    <row r="11812">
      <c r="A11812" s="499" t="s">
        <v>6465</v>
      </c>
    </row>
    <row r="11813">
      <c r="A11813" s="499" t="s">
        <v>6467</v>
      </c>
    </row>
    <row r="11814">
      <c r="A11814" s="499" t="s">
        <v>6469</v>
      </c>
    </row>
    <row r="11815">
      <c r="A11815" s="499" t="s">
        <v>6471</v>
      </c>
    </row>
    <row r="11816">
      <c r="A11816" s="499" t="s">
        <v>6473</v>
      </c>
    </row>
    <row r="11817">
      <c r="A11817" s="499" t="s">
        <v>6504</v>
      </c>
    </row>
    <row r="11818">
      <c r="A11818" s="499" t="s">
        <v>15657</v>
      </c>
    </row>
    <row r="11819">
      <c r="A11819" s="499" t="s">
        <v>15658</v>
      </c>
    </row>
    <row r="11820">
      <c r="A11820" s="499" t="s">
        <v>6486</v>
      </c>
    </row>
    <row r="11821">
      <c r="A11821" s="499" t="s">
        <v>6488</v>
      </c>
    </row>
    <row r="11822">
      <c r="A11822" s="499" t="s">
        <v>6478</v>
      </c>
    </row>
    <row r="11823">
      <c r="A11823" s="499" t="s">
        <v>6480</v>
      </c>
    </row>
    <row r="11824">
      <c r="A11824" s="499" t="s">
        <v>6476</v>
      </c>
    </row>
    <row r="11825">
      <c r="A11825" s="499" t="s">
        <v>15659</v>
      </c>
    </row>
    <row r="11826">
      <c r="A11826" s="499" t="s">
        <v>6490</v>
      </c>
    </row>
    <row r="11827">
      <c r="A11827" s="499" t="s">
        <v>6482</v>
      </c>
    </row>
    <row r="11828">
      <c r="A11828" s="499" t="s">
        <v>6507</v>
      </c>
    </row>
    <row r="11829">
      <c r="A11829" s="499" t="s">
        <v>6430</v>
      </c>
    </row>
    <row r="11830">
      <c r="A11830" s="499" t="s">
        <v>15660</v>
      </c>
    </row>
    <row r="11831">
      <c r="A11831" s="499" t="s">
        <v>6510</v>
      </c>
    </row>
    <row r="11832">
      <c r="A11832" s="499" t="s">
        <v>15661</v>
      </c>
    </row>
    <row r="11833">
      <c r="A11833" s="499" t="s">
        <v>15662</v>
      </c>
    </row>
    <row r="11834">
      <c r="A11834" s="499" t="s">
        <v>6513</v>
      </c>
    </row>
    <row r="11835">
      <c r="A11835" s="499" t="s">
        <v>6455</v>
      </c>
    </row>
    <row r="11836">
      <c r="A11836" s="499" t="s">
        <v>6516</v>
      </c>
    </row>
    <row r="11837">
      <c r="A11837" s="499" t="s">
        <v>6520</v>
      </c>
    </row>
    <row r="11838">
      <c r="A11838" s="499" t="s">
        <v>6496</v>
      </c>
    </row>
    <row r="11839">
      <c r="A11839" s="499" t="s">
        <v>6438</v>
      </c>
    </row>
    <row r="11840">
      <c r="A11840" s="499" t="s">
        <v>6434</v>
      </c>
    </row>
    <row r="11841">
      <c r="A11841" s="499" t="s">
        <v>6432</v>
      </c>
    </row>
    <row r="11842">
      <c r="A11842" s="499" t="s">
        <v>6453</v>
      </c>
    </row>
    <row r="11843">
      <c r="A11843" s="499" t="s">
        <v>6484</v>
      </c>
    </row>
    <row r="11844">
      <c r="A11844" s="499" t="s">
        <v>6498</v>
      </c>
    </row>
    <row r="11845">
      <c r="A11845" s="499" t="s">
        <v>6500</v>
      </c>
    </row>
    <row r="11846">
      <c r="A11846" s="499" t="s">
        <v>6446</v>
      </c>
    </row>
    <row r="11847">
      <c r="A11847" s="499" t="s">
        <v>6492</v>
      </c>
    </row>
    <row r="11848">
      <c r="A11848" s="499" t="s">
        <v>6494</v>
      </c>
    </row>
    <row r="11849">
      <c r="A11849" s="499" t="s">
        <v>6502</v>
      </c>
    </row>
    <row r="11850">
      <c r="A11850" s="499" t="s">
        <v>6436</v>
      </c>
    </row>
    <row r="11851">
      <c r="A11851" s="499" t="s">
        <v>6518</v>
      </c>
    </row>
    <row r="11852">
      <c r="A11852" s="499" t="s">
        <v>15663</v>
      </c>
    </row>
    <row r="11853">
      <c r="A11853" s="499" t="s">
        <v>15664</v>
      </c>
    </row>
    <row r="11854">
      <c r="A11854" s="499" t="s">
        <v>15665</v>
      </c>
    </row>
    <row r="11855">
      <c r="A11855" s="499" t="s">
        <v>15666</v>
      </c>
    </row>
    <row r="11856">
      <c r="A11856" s="499" t="s">
        <v>6441</v>
      </c>
    </row>
    <row r="11857">
      <c r="A11857" s="499" t="s">
        <v>6450</v>
      </c>
    </row>
    <row r="11858">
      <c r="A11858" s="499" t="s">
        <v>6459</v>
      </c>
    </row>
    <row r="11859">
      <c r="A11859" s="499" t="s">
        <v>15667</v>
      </c>
    </row>
    <row r="11860">
      <c r="A11860" s="499" t="s">
        <v>15668</v>
      </c>
    </row>
    <row r="11861">
      <c r="A11861" s="499" t="s">
        <v>15669</v>
      </c>
    </row>
    <row r="11862">
      <c r="A11862" s="499" t="s">
        <v>15670</v>
      </c>
    </row>
    <row r="11863">
      <c r="A11863" s="499" t="s">
        <v>15671</v>
      </c>
    </row>
    <row r="11864">
      <c r="A11864" s="499" t="s">
        <v>15672</v>
      </c>
    </row>
    <row r="11865">
      <c r="A11865" s="499" t="s">
        <v>15673</v>
      </c>
    </row>
    <row r="11866">
      <c r="A11866" s="499" t="s">
        <v>15674</v>
      </c>
    </row>
    <row r="11867">
      <c r="A11867" s="499" t="s">
        <v>15675</v>
      </c>
    </row>
    <row r="11868">
      <c r="A11868" s="499" t="s">
        <v>15676</v>
      </c>
    </row>
    <row r="11869">
      <c r="A11869" s="499" t="s">
        <v>15677</v>
      </c>
    </row>
    <row r="11870">
      <c r="A11870" s="499" t="s">
        <v>15678</v>
      </c>
    </row>
    <row r="11871">
      <c r="A11871" s="499" t="s">
        <v>15679</v>
      </c>
    </row>
    <row r="11872">
      <c r="A11872" s="499" t="s">
        <v>15680</v>
      </c>
    </row>
    <row r="11873">
      <c r="A11873" s="499" t="s">
        <v>15681</v>
      </c>
    </row>
    <row r="11874">
      <c r="A11874" s="499" t="s">
        <v>15682</v>
      </c>
    </row>
    <row r="11875">
      <c r="A11875" s="499" t="s">
        <v>15683</v>
      </c>
    </row>
    <row r="11876">
      <c r="A11876" s="499" t="s">
        <v>15684</v>
      </c>
    </row>
    <row r="11877">
      <c r="A11877" s="499" t="s">
        <v>15685</v>
      </c>
    </row>
    <row r="11878">
      <c r="A11878" s="499" t="s">
        <v>15686</v>
      </c>
    </row>
    <row r="11879">
      <c r="A11879" s="499" t="s">
        <v>15687</v>
      </c>
    </row>
    <row r="11880">
      <c r="A11880" s="499" t="s">
        <v>15688</v>
      </c>
    </row>
    <row r="11881">
      <c r="A11881" s="499" t="s">
        <v>15689</v>
      </c>
    </row>
    <row r="11882">
      <c r="A11882" s="499" t="s">
        <v>15690</v>
      </c>
    </row>
    <row r="11883">
      <c r="A11883" s="499" t="s">
        <v>15691</v>
      </c>
    </row>
    <row r="11884">
      <c r="A11884" s="499" t="s">
        <v>15692</v>
      </c>
    </row>
    <row r="11885">
      <c r="A11885" s="499" t="s">
        <v>15693</v>
      </c>
    </row>
    <row r="11886">
      <c r="A11886" s="499" t="s">
        <v>15694</v>
      </c>
    </row>
    <row r="11887">
      <c r="A11887" s="499" t="s">
        <v>15695</v>
      </c>
    </row>
    <row r="11888">
      <c r="A11888" s="499" t="s">
        <v>15696</v>
      </c>
    </row>
    <row r="11889">
      <c r="A11889" s="499" t="s">
        <v>15697</v>
      </c>
    </row>
    <row r="11890">
      <c r="A11890" s="499" t="s">
        <v>15698</v>
      </c>
    </row>
    <row r="11891">
      <c r="A11891" s="499" t="s">
        <v>15699</v>
      </c>
    </row>
    <row r="11892">
      <c r="A11892" s="499" t="s">
        <v>15700</v>
      </c>
    </row>
    <row r="11893">
      <c r="A11893" s="499" t="s">
        <v>15701</v>
      </c>
    </row>
    <row r="11894">
      <c r="A11894" s="499" t="s">
        <v>15702</v>
      </c>
    </row>
    <row r="11895">
      <c r="A11895" s="499" t="s">
        <v>15703</v>
      </c>
    </row>
    <row r="11896">
      <c r="A11896" s="499" t="s">
        <v>15704</v>
      </c>
    </row>
    <row r="11897">
      <c r="A11897" s="499" t="s">
        <v>15705</v>
      </c>
    </row>
    <row r="11898">
      <c r="A11898" s="499" t="s">
        <v>15706</v>
      </c>
    </row>
    <row r="11899">
      <c r="A11899" s="499" t="s">
        <v>15707</v>
      </c>
    </row>
    <row r="11900">
      <c r="A11900" s="499" t="s">
        <v>15708</v>
      </c>
    </row>
    <row r="11901">
      <c r="A11901" s="499" t="s">
        <v>15709</v>
      </c>
    </row>
    <row r="11902">
      <c r="A11902" s="499" t="s">
        <v>15710</v>
      </c>
    </row>
    <row r="11903">
      <c r="A11903" s="499" t="s">
        <v>15711</v>
      </c>
    </row>
    <row r="11904">
      <c r="A11904" s="499" t="s">
        <v>15712</v>
      </c>
    </row>
    <row r="11905">
      <c r="A11905" s="499" t="s">
        <v>15713</v>
      </c>
    </row>
    <row r="11906">
      <c r="A11906" s="499" t="s">
        <v>15714</v>
      </c>
    </row>
    <row r="11907">
      <c r="A11907" s="499" t="s">
        <v>15715</v>
      </c>
    </row>
    <row r="11908">
      <c r="A11908" s="499" t="s">
        <v>15716</v>
      </c>
    </row>
    <row r="11909">
      <c r="A11909" s="499" t="s">
        <v>15717</v>
      </c>
    </row>
    <row r="11910">
      <c r="A11910" s="499" t="s">
        <v>15718</v>
      </c>
    </row>
    <row r="11911">
      <c r="A11911" s="499" t="s">
        <v>15719</v>
      </c>
    </row>
    <row r="11912">
      <c r="A11912" s="499" t="s">
        <v>15720</v>
      </c>
    </row>
    <row r="11913">
      <c r="A11913" s="499" t="s">
        <v>15721</v>
      </c>
    </row>
    <row r="11914">
      <c r="A11914" s="499" t="s">
        <v>15722</v>
      </c>
    </row>
    <row r="11915">
      <c r="A11915" s="499" t="s">
        <v>15723</v>
      </c>
    </row>
    <row r="11916">
      <c r="A11916" s="499" t="s">
        <v>15724</v>
      </c>
    </row>
    <row r="11917">
      <c r="A11917" s="499" t="s">
        <v>15725</v>
      </c>
    </row>
    <row r="11918">
      <c r="A11918" s="499" t="s">
        <v>15726</v>
      </c>
    </row>
    <row r="11919">
      <c r="A11919" s="499" t="s">
        <v>15727</v>
      </c>
    </row>
    <row r="11920">
      <c r="A11920" s="499" t="s">
        <v>15728</v>
      </c>
    </row>
    <row r="11921">
      <c r="A11921" s="499" t="s">
        <v>15729</v>
      </c>
    </row>
    <row r="11922">
      <c r="A11922" s="499" t="s">
        <v>15730</v>
      </c>
    </row>
    <row r="11923">
      <c r="A11923" s="499" t="s">
        <v>15731</v>
      </c>
    </row>
    <row r="11924">
      <c r="A11924" s="499" t="s">
        <v>15732</v>
      </c>
    </row>
    <row r="11925">
      <c r="A11925" s="499" t="s">
        <v>15733</v>
      </c>
    </row>
    <row r="11926">
      <c r="A11926" s="499" t="s">
        <v>15734</v>
      </c>
    </row>
    <row r="11927">
      <c r="A11927" s="499" t="s">
        <v>15735</v>
      </c>
    </row>
    <row r="11928">
      <c r="A11928" s="499" t="s">
        <v>15736</v>
      </c>
    </row>
    <row r="11929">
      <c r="A11929" s="499" t="s">
        <v>15737</v>
      </c>
    </row>
    <row r="11930">
      <c r="A11930" s="499" t="s">
        <v>15738</v>
      </c>
    </row>
    <row r="11931">
      <c r="A11931" s="499" t="s">
        <v>15739</v>
      </c>
    </row>
    <row r="11932">
      <c r="A11932" s="499" t="s">
        <v>15740</v>
      </c>
    </row>
    <row r="11933">
      <c r="A11933" s="499" t="s">
        <v>15741</v>
      </c>
    </row>
    <row r="11934">
      <c r="A11934" s="499" t="s">
        <v>15742</v>
      </c>
    </row>
    <row r="11935">
      <c r="A11935" s="499" t="s">
        <v>15743</v>
      </c>
    </row>
    <row r="11936">
      <c r="A11936" s="499" t="s">
        <v>15744</v>
      </c>
    </row>
    <row r="11937">
      <c r="A11937" s="499" t="s">
        <v>15745</v>
      </c>
    </row>
    <row r="11938">
      <c r="A11938" s="499" t="s">
        <v>15746</v>
      </c>
    </row>
    <row r="11939">
      <c r="A11939" s="499" t="s">
        <v>15747</v>
      </c>
    </row>
    <row r="11940">
      <c r="A11940" s="499" t="s">
        <v>15748</v>
      </c>
    </row>
    <row r="11941">
      <c r="A11941" s="499" t="s">
        <v>15749</v>
      </c>
    </row>
    <row r="11942">
      <c r="A11942" s="499" t="s">
        <v>15750</v>
      </c>
    </row>
    <row r="11943">
      <c r="A11943" s="499" t="s">
        <v>15751</v>
      </c>
    </row>
    <row r="11944">
      <c r="A11944" s="499" t="s">
        <v>15752</v>
      </c>
    </row>
    <row r="11945">
      <c r="A11945" s="499" t="s">
        <v>15753</v>
      </c>
    </row>
    <row r="11946">
      <c r="A11946" s="499" t="s">
        <v>15754</v>
      </c>
    </row>
    <row r="11947">
      <c r="A11947" s="499" t="s">
        <v>15755</v>
      </c>
    </row>
    <row r="11948">
      <c r="A11948" s="499" t="s">
        <v>15756</v>
      </c>
    </row>
    <row r="11949">
      <c r="A11949" s="499" t="s">
        <v>15757</v>
      </c>
    </row>
    <row r="11950">
      <c r="A11950" s="499" t="s">
        <v>15758</v>
      </c>
    </row>
    <row r="11951">
      <c r="A11951" s="499" t="s">
        <v>15759</v>
      </c>
    </row>
    <row r="11952">
      <c r="A11952" s="499" t="s">
        <v>15760</v>
      </c>
    </row>
    <row r="11953">
      <c r="A11953" s="499" t="s">
        <v>15761</v>
      </c>
    </row>
    <row r="11954">
      <c r="A11954" s="499" t="s">
        <v>15762</v>
      </c>
    </row>
    <row r="11955">
      <c r="A11955" s="499" t="s">
        <v>15763</v>
      </c>
    </row>
    <row r="11956">
      <c r="A11956" s="499" t="s">
        <v>15764</v>
      </c>
    </row>
    <row r="11957">
      <c r="A11957" s="499" t="s">
        <v>15765</v>
      </c>
    </row>
    <row r="11958">
      <c r="A11958" s="499" t="s">
        <v>15766</v>
      </c>
    </row>
    <row r="11959">
      <c r="A11959" s="499" t="s">
        <v>15767</v>
      </c>
    </row>
    <row r="11960">
      <c r="A11960" s="499" t="s">
        <v>15768</v>
      </c>
    </row>
    <row r="11961">
      <c r="A11961" s="499" t="s">
        <v>15769</v>
      </c>
    </row>
    <row r="11962">
      <c r="A11962" s="499" t="s">
        <v>15770</v>
      </c>
    </row>
    <row r="11963">
      <c r="A11963" s="499" t="s">
        <v>15771</v>
      </c>
    </row>
    <row r="11964">
      <c r="A11964" s="499" t="s">
        <v>15772</v>
      </c>
    </row>
    <row r="11965">
      <c r="A11965" s="499" t="s">
        <v>15773</v>
      </c>
    </row>
    <row r="11966">
      <c r="A11966" s="499" t="s">
        <v>15774</v>
      </c>
    </row>
    <row r="11967">
      <c r="A11967" s="499" t="s">
        <v>15775</v>
      </c>
    </row>
    <row r="11968">
      <c r="A11968" s="499" t="s">
        <v>15776</v>
      </c>
    </row>
    <row r="11969">
      <c r="A11969" s="499" t="s">
        <v>15777</v>
      </c>
    </row>
    <row r="11970">
      <c r="A11970" s="499" t="s">
        <v>15778</v>
      </c>
    </row>
    <row r="11971">
      <c r="A11971" s="499" t="s">
        <v>15779</v>
      </c>
    </row>
    <row r="11972">
      <c r="A11972" s="499" t="s">
        <v>15780</v>
      </c>
    </row>
    <row r="11973">
      <c r="A11973" s="499" t="s">
        <v>15781</v>
      </c>
    </row>
    <row r="11974">
      <c r="A11974" s="499" t="s">
        <v>15782</v>
      </c>
    </row>
    <row r="11975">
      <c r="A11975" s="499" t="s">
        <v>15783</v>
      </c>
    </row>
    <row r="11976">
      <c r="A11976" s="499" t="s">
        <v>15784</v>
      </c>
    </row>
    <row r="11977">
      <c r="A11977" s="499" t="s">
        <v>15785</v>
      </c>
    </row>
    <row r="11978">
      <c r="A11978" s="499" t="s">
        <v>15786</v>
      </c>
    </row>
    <row r="11979">
      <c r="A11979" s="499" t="s">
        <v>15787</v>
      </c>
    </row>
    <row r="11980">
      <c r="A11980" s="499" t="s">
        <v>15788</v>
      </c>
    </row>
    <row r="11981">
      <c r="A11981" s="499" t="s">
        <v>15789</v>
      </c>
    </row>
    <row r="11982">
      <c r="A11982" s="499" t="s">
        <v>15790</v>
      </c>
    </row>
    <row r="11983">
      <c r="A11983" s="499" t="s">
        <v>15791</v>
      </c>
    </row>
    <row r="11984">
      <c r="A11984" s="499" t="s">
        <v>15792</v>
      </c>
    </row>
    <row r="11985">
      <c r="A11985" s="499" t="s">
        <v>15793</v>
      </c>
    </row>
    <row r="11986">
      <c r="A11986" s="499" t="s">
        <v>15794</v>
      </c>
    </row>
    <row r="11987">
      <c r="A11987" s="499" t="s">
        <v>15795</v>
      </c>
    </row>
    <row r="11988">
      <c r="A11988" s="499" t="s">
        <v>15796</v>
      </c>
    </row>
    <row r="11989">
      <c r="A11989" s="499" t="s">
        <v>15797</v>
      </c>
    </row>
    <row r="11990">
      <c r="A11990" s="499" t="s">
        <v>15798</v>
      </c>
    </row>
    <row r="11991">
      <c r="A11991" s="499" t="s">
        <v>15799</v>
      </c>
    </row>
    <row r="11992">
      <c r="A11992" s="499" t="s">
        <v>15800</v>
      </c>
    </row>
    <row r="11993">
      <c r="A11993" s="499" t="s">
        <v>15801</v>
      </c>
    </row>
    <row r="11994">
      <c r="A11994" s="499" t="s">
        <v>15802</v>
      </c>
    </row>
    <row r="11995">
      <c r="A11995" s="499" t="s">
        <v>15803</v>
      </c>
    </row>
    <row r="11996">
      <c r="A11996" s="499" t="s">
        <v>15804</v>
      </c>
    </row>
    <row r="11997">
      <c r="A11997" s="499" t="s">
        <v>15805</v>
      </c>
    </row>
    <row r="11998">
      <c r="A11998" s="499" t="s">
        <v>15806</v>
      </c>
    </row>
    <row r="11999">
      <c r="A11999" s="499" t="s">
        <v>15807</v>
      </c>
    </row>
    <row r="12000">
      <c r="A12000" s="499" t="s">
        <v>15808</v>
      </c>
    </row>
    <row r="12001">
      <c r="A12001" s="499" t="s">
        <v>15809</v>
      </c>
    </row>
    <row r="12002">
      <c r="A12002" s="499" t="s">
        <v>15810</v>
      </c>
    </row>
    <row r="12003">
      <c r="A12003" s="499" t="s">
        <v>15811</v>
      </c>
    </row>
    <row r="12004">
      <c r="A12004" s="499" t="s">
        <v>15812</v>
      </c>
    </row>
    <row r="12005">
      <c r="A12005" s="499" t="s">
        <v>15813</v>
      </c>
    </row>
    <row r="12006">
      <c r="A12006" s="499" t="s">
        <v>15814</v>
      </c>
    </row>
    <row r="12007">
      <c r="A12007" s="499" t="s">
        <v>15815</v>
      </c>
    </row>
    <row r="12008">
      <c r="A12008" s="499" t="s">
        <v>15816</v>
      </c>
    </row>
    <row r="12009">
      <c r="A12009" s="499" t="s">
        <v>15817</v>
      </c>
    </row>
    <row r="12010">
      <c r="A12010" s="499" t="s">
        <v>15818</v>
      </c>
    </row>
    <row r="12011">
      <c r="A12011" s="499" t="s">
        <v>15819</v>
      </c>
    </row>
    <row r="12012">
      <c r="A12012" s="499" t="s">
        <v>15820</v>
      </c>
    </row>
    <row r="12013">
      <c r="A12013" s="499" t="s">
        <v>15821</v>
      </c>
    </row>
    <row r="12014">
      <c r="A12014" s="499" t="s">
        <v>15822</v>
      </c>
    </row>
    <row r="12015">
      <c r="A12015" s="499" t="s">
        <v>15823</v>
      </c>
    </row>
    <row r="12016">
      <c r="A12016" s="499" t="s">
        <v>15824</v>
      </c>
    </row>
    <row r="12017">
      <c r="A12017" s="499" t="s">
        <v>15825</v>
      </c>
    </row>
    <row r="12018">
      <c r="A12018" s="499" t="s">
        <v>15826</v>
      </c>
    </row>
    <row r="12019">
      <c r="A12019" s="499" t="s">
        <v>15827</v>
      </c>
    </row>
    <row r="12020">
      <c r="A12020" s="499" t="s">
        <v>15828</v>
      </c>
    </row>
    <row r="12021">
      <c r="A12021" s="499" t="s">
        <v>15829</v>
      </c>
    </row>
    <row r="12022">
      <c r="A12022" s="499" t="s">
        <v>15830</v>
      </c>
    </row>
    <row r="12023">
      <c r="A12023" s="499" t="s">
        <v>15831</v>
      </c>
    </row>
    <row r="12024">
      <c r="A12024" s="499" t="s">
        <v>6269</v>
      </c>
    </row>
    <row r="12025">
      <c r="A12025" s="499" t="s">
        <v>6272</v>
      </c>
    </row>
    <row r="12026">
      <c r="A12026" s="499" t="s">
        <v>6312</v>
      </c>
    </row>
    <row r="12027">
      <c r="A12027" s="499" t="s">
        <v>6314</v>
      </c>
    </row>
    <row r="12028">
      <c r="A12028" s="499" t="s">
        <v>6310</v>
      </c>
    </row>
    <row r="12029">
      <c r="A12029" s="499" t="s">
        <v>6291</v>
      </c>
    </row>
    <row r="12030">
      <c r="A12030" s="499" t="s">
        <v>6316</v>
      </c>
    </row>
    <row r="12031">
      <c r="A12031" s="499" t="s">
        <v>6319</v>
      </c>
    </row>
    <row r="12032">
      <c r="A12032" s="499" t="s">
        <v>6322</v>
      </c>
    </row>
    <row r="12033">
      <c r="A12033" s="499" t="s">
        <v>6325</v>
      </c>
    </row>
    <row r="12034">
      <c r="A12034" s="499" t="s">
        <v>6334</v>
      </c>
    </row>
    <row r="12035">
      <c r="A12035" s="499" t="s">
        <v>6337</v>
      </c>
    </row>
    <row r="12036">
      <c r="A12036" s="499" t="s">
        <v>6340</v>
      </c>
    </row>
    <row r="12037">
      <c r="A12037" s="499" t="s">
        <v>6293</v>
      </c>
    </row>
    <row r="12038">
      <c r="A12038" s="499" t="s">
        <v>6297</v>
      </c>
    </row>
    <row r="12039">
      <c r="A12039" s="499" t="s">
        <v>6299</v>
      </c>
    </row>
    <row r="12040">
      <c r="A12040" s="499" t="s">
        <v>6266</v>
      </c>
    </row>
    <row r="12041">
      <c r="A12041" s="499" t="s">
        <v>6301</v>
      </c>
    </row>
    <row r="12042">
      <c r="A12042" s="499" t="s">
        <v>6304</v>
      </c>
    </row>
    <row r="12043">
      <c r="A12043" s="499" t="s">
        <v>6307</v>
      </c>
    </row>
    <row r="12044">
      <c r="A12044" s="499" t="s">
        <v>15832</v>
      </c>
    </row>
    <row r="12045">
      <c r="A12045" s="499" t="s">
        <v>6330</v>
      </c>
    </row>
    <row r="12046">
      <c r="A12046" s="499" t="s">
        <v>6328</v>
      </c>
    </row>
    <row r="12047">
      <c r="A12047" s="499" t="s">
        <v>6332</v>
      </c>
    </row>
    <row r="12048">
      <c r="A12048" s="499" t="s">
        <v>6285</v>
      </c>
    </row>
    <row r="12049">
      <c r="A12049" s="499" t="s">
        <v>6295</v>
      </c>
    </row>
    <row r="12050">
      <c r="A12050" s="499" t="s">
        <v>15833</v>
      </c>
    </row>
    <row r="12051">
      <c r="A12051" s="499" t="s">
        <v>6724</v>
      </c>
    </row>
    <row r="12052">
      <c r="A12052" s="499" t="s">
        <v>6641</v>
      </c>
    </row>
    <row r="12053">
      <c r="A12053" s="499" t="s">
        <v>6644</v>
      </c>
    </row>
    <row r="12054">
      <c r="A12054" s="499" t="s">
        <v>15834</v>
      </c>
    </row>
    <row r="12055">
      <c r="A12055" s="499" t="s">
        <v>15835</v>
      </c>
    </row>
    <row r="12056">
      <c r="A12056" s="499" t="s">
        <v>15836</v>
      </c>
    </row>
    <row r="12057">
      <c r="A12057" s="499" t="s">
        <v>15837</v>
      </c>
    </row>
    <row r="12058">
      <c r="A12058" s="499" t="s">
        <v>15838</v>
      </c>
    </row>
    <row r="12059">
      <c r="A12059" s="499" t="s">
        <v>15839</v>
      </c>
    </row>
    <row r="12060">
      <c r="A12060" s="499" t="s">
        <v>15840</v>
      </c>
    </row>
    <row r="12061">
      <c r="A12061" s="499" t="s">
        <v>15841</v>
      </c>
    </row>
    <row r="12062">
      <c r="A12062" s="499" t="s">
        <v>15842</v>
      </c>
    </row>
    <row r="12063">
      <c r="A12063" s="499" t="s">
        <v>6622</v>
      </c>
    </row>
    <row r="12064">
      <c r="A12064" s="499" t="s">
        <v>6620</v>
      </c>
    </row>
    <row r="12065">
      <c r="A12065" s="499" t="s">
        <v>6618</v>
      </c>
    </row>
    <row r="12066">
      <c r="A12066" s="499" t="s">
        <v>6637</v>
      </c>
    </row>
    <row r="12067">
      <c r="A12067" s="499" t="s">
        <v>6631</v>
      </c>
    </row>
    <row r="12068">
      <c r="A12068" s="499" t="s">
        <v>6627</v>
      </c>
    </row>
    <row r="12069">
      <c r="A12069" s="499" t="s">
        <v>6633</v>
      </c>
    </row>
    <row r="12070">
      <c r="A12070" s="499" t="s">
        <v>6625</v>
      </c>
    </row>
    <row r="12071">
      <c r="A12071" s="499" t="s">
        <v>6639</v>
      </c>
    </row>
    <row r="12072">
      <c r="A12072" s="499" t="s">
        <v>6629</v>
      </c>
    </row>
    <row r="12073">
      <c r="A12073" s="499" t="s">
        <v>6635</v>
      </c>
    </row>
    <row r="12074">
      <c r="A12074" s="499" t="s">
        <v>6650</v>
      </c>
    </row>
    <row r="12075">
      <c r="A12075" s="499" t="s">
        <v>6668</v>
      </c>
    </row>
    <row r="12076">
      <c r="A12076" s="499" t="s">
        <v>6671</v>
      </c>
    </row>
    <row r="12077">
      <c r="A12077" s="499" t="s">
        <v>6665</v>
      </c>
    </row>
    <row r="12078">
      <c r="A12078" s="499" t="s">
        <v>15843</v>
      </c>
    </row>
    <row r="12079">
      <c r="A12079" s="499" t="s">
        <v>6704</v>
      </c>
    </row>
    <row r="12080">
      <c r="A12080" s="499" t="s">
        <v>15844</v>
      </c>
    </row>
    <row r="12081">
      <c r="A12081" s="499" t="s">
        <v>6699</v>
      </c>
    </row>
    <row r="12082">
      <c r="A12082" s="499" t="s">
        <v>6653</v>
      </c>
    </row>
    <row r="12083">
      <c r="A12083" s="499" t="s">
        <v>6656</v>
      </c>
    </row>
    <row r="12084">
      <c r="A12084" s="499" t="s">
        <v>15845</v>
      </c>
    </row>
    <row r="12085">
      <c r="A12085" s="499" t="s">
        <v>15846</v>
      </c>
    </row>
    <row r="12086">
      <c r="A12086" s="499" t="s">
        <v>15847</v>
      </c>
    </row>
    <row r="12087">
      <c r="A12087" s="499" t="s">
        <v>15848</v>
      </c>
    </row>
    <row r="12088">
      <c r="A12088" s="499" t="s">
        <v>15849</v>
      </c>
    </row>
    <row r="12089">
      <c r="A12089" s="499" t="s">
        <v>15850</v>
      </c>
    </row>
    <row r="12090">
      <c r="A12090" s="499" t="s">
        <v>15851</v>
      </c>
    </row>
    <row r="12091">
      <c r="A12091" s="499" t="s">
        <v>15852</v>
      </c>
    </row>
    <row r="12092">
      <c r="A12092" s="499" t="s">
        <v>15853</v>
      </c>
    </row>
    <row r="12093">
      <c r="A12093" s="499" t="s">
        <v>15854</v>
      </c>
    </row>
    <row r="12094">
      <c r="A12094" s="499" t="s">
        <v>15855</v>
      </c>
    </row>
    <row r="12095">
      <c r="A12095" s="499" t="s">
        <v>15856</v>
      </c>
    </row>
    <row r="12096">
      <c r="A12096" s="499" t="s">
        <v>15857</v>
      </c>
    </row>
    <row r="12097">
      <c r="A12097" s="499" t="s">
        <v>15858</v>
      </c>
    </row>
    <row r="12098">
      <c r="A12098" s="499" t="s">
        <v>15859</v>
      </c>
    </row>
    <row r="12099">
      <c r="A12099" s="499" t="s">
        <v>15860</v>
      </c>
    </row>
    <row r="12100">
      <c r="A12100" s="499" t="s">
        <v>15861</v>
      </c>
    </row>
    <row r="12101">
      <c r="A12101" s="499" t="s">
        <v>15862</v>
      </c>
    </row>
    <row r="12102">
      <c r="A12102" s="499" t="s">
        <v>15863</v>
      </c>
    </row>
    <row r="12103">
      <c r="A12103" s="499" t="s">
        <v>15864</v>
      </c>
    </row>
    <row r="12104">
      <c r="A12104" s="499" t="s">
        <v>15865</v>
      </c>
    </row>
    <row r="12105">
      <c r="A12105" s="499" t="s">
        <v>15866</v>
      </c>
    </row>
    <row r="12106">
      <c r="A12106" s="499" t="s">
        <v>15867</v>
      </c>
    </row>
    <row r="12107">
      <c r="A12107" s="499" t="s">
        <v>15868</v>
      </c>
    </row>
    <row r="12108">
      <c r="A12108" s="499" t="s">
        <v>15869</v>
      </c>
    </row>
    <row r="12109">
      <c r="A12109" s="499" t="s">
        <v>15870</v>
      </c>
    </row>
    <row r="12110">
      <c r="A12110" s="499" t="s">
        <v>15871</v>
      </c>
    </row>
    <row r="12111">
      <c r="A12111" s="499" t="s">
        <v>15872</v>
      </c>
    </row>
    <row r="12112">
      <c r="A12112" s="499" t="s">
        <v>15873</v>
      </c>
    </row>
    <row r="12113">
      <c r="A12113" s="499" t="s">
        <v>15874</v>
      </c>
    </row>
    <row r="12114">
      <c r="A12114" s="499" t="s">
        <v>15875</v>
      </c>
    </row>
    <row r="12115">
      <c r="A12115" s="499" t="s">
        <v>15876</v>
      </c>
    </row>
    <row r="12116">
      <c r="A12116" s="499" t="s">
        <v>15877</v>
      </c>
    </row>
    <row r="12117">
      <c r="A12117" s="499" t="s">
        <v>15878</v>
      </c>
    </row>
    <row r="12118">
      <c r="A12118" s="499" t="s">
        <v>15879</v>
      </c>
    </row>
    <row r="12119">
      <c r="A12119" s="499" t="s">
        <v>15880</v>
      </c>
    </row>
    <row r="12120">
      <c r="A12120" s="499" t="s">
        <v>15881</v>
      </c>
    </row>
    <row r="12121">
      <c r="A12121" s="499" t="s">
        <v>15882</v>
      </c>
    </row>
    <row r="12122">
      <c r="A12122" s="499" t="s">
        <v>15883</v>
      </c>
    </row>
    <row r="12123">
      <c r="A12123" s="499" t="s">
        <v>15884</v>
      </c>
    </row>
    <row r="12124">
      <c r="A12124" s="499" t="s">
        <v>15885</v>
      </c>
    </row>
    <row r="12125">
      <c r="A12125" s="499" t="s">
        <v>15886</v>
      </c>
    </row>
    <row r="12126">
      <c r="A12126" s="499" t="s">
        <v>15887</v>
      </c>
    </row>
    <row r="12127">
      <c r="A12127" s="499" t="s">
        <v>15888</v>
      </c>
    </row>
    <row r="12128">
      <c r="A12128" s="499" t="s">
        <v>15889</v>
      </c>
    </row>
    <row r="12129">
      <c r="A12129" s="499" t="s">
        <v>15890</v>
      </c>
    </row>
    <row r="12130">
      <c r="A12130" s="499" t="s">
        <v>15891</v>
      </c>
    </row>
    <row r="12131">
      <c r="A12131" s="499" t="s">
        <v>15892</v>
      </c>
    </row>
    <row r="12132">
      <c r="A12132" s="499" t="s">
        <v>15893</v>
      </c>
    </row>
    <row r="12133">
      <c r="A12133" s="499" t="s">
        <v>15894</v>
      </c>
    </row>
    <row r="12134">
      <c r="A12134" s="499" t="s">
        <v>15895</v>
      </c>
    </row>
    <row r="12135">
      <c r="A12135" s="499" t="s">
        <v>15896</v>
      </c>
    </row>
    <row r="12136">
      <c r="A12136" s="499" t="s">
        <v>15897</v>
      </c>
    </row>
    <row r="12137">
      <c r="A12137" s="499" t="s">
        <v>15898</v>
      </c>
    </row>
    <row r="12138">
      <c r="A12138" s="499" t="s">
        <v>15899</v>
      </c>
    </row>
    <row r="12139">
      <c r="A12139" s="499" t="s">
        <v>15900</v>
      </c>
    </row>
    <row r="12140">
      <c r="A12140" s="499" t="s">
        <v>15901</v>
      </c>
    </row>
    <row r="12141">
      <c r="A12141" s="499" t="s">
        <v>15902</v>
      </c>
    </row>
    <row r="12142">
      <c r="A12142" s="499" t="s">
        <v>15903</v>
      </c>
    </row>
    <row r="12143">
      <c r="A12143" s="499" t="s">
        <v>15904</v>
      </c>
    </row>
    <row r="12144">
      <c r="A12144" s="499" t="s">
        <v>15905</v>
      </c>
    </row>
    <row r="12145">
      <c r="A12145" s="499" t="s">
        <v>15906</v>
      </c>
    </row>
    <row r="12146">
      <c r="A12146" s="499" t="s">
        <v>15907</v>
      </c>
    </row>
    <row r="12147">
      <c r="A12147" s="499" t="s">
        <v>15908</v>
      </c>
    </row>
    <row r="12148">
      <c r="A12148" s="499" t="s">
        <v>15909</v>
      </c>
    </row>
    <row r="12149">
      <c r="A12149" s="499" t="s">
        <v>15910</v>
      </c>
    </row>
    <row r="12150">
      <c r="A12150" s="499" t="s">
        <v>15911</v>
      </c>
    </row>
    <row r="12151">
      <c r="A12151" s="499" t="s">
        <v>15912</v>
      </c>
    </row>
    <row r="12152">
      <c r="A12152" s="499" t="s">
        <v>15913</v>
      </c>
    </row>
    <row r="12153">
      <c r="A12153" s="499" t="s">
        <v>15914</v>
      </c>
    </row>
    <row r="12154">
      <c r="A12154" s="499" t="s">
        <v>15915</v>
      </c>
    </row>
    <row r="12155">
      <c r="A12155" s="499" t="s">
        <v>15916</v>
      </c>
    </row>
    <row r="12156">
      <c r="A12156" s="499" t="s">
        <v>15917</v>
      </c>
    </row>
    <row r="12157">
      <c r="A12157" s="499" t="s">
        <v>15918</v>
      </c>
    </row>
    <row r="12158">
      <c r="A12158" s="499" t="s">
        <v>15919</v>
      </c>
    </row>
    <row r="12159">
      <c r="A12159" s="499" t="s">
        <v>15920</v>
      </c>
    </row>
    <row r="12160">
      <c r="A12160" s="499" t="s">
        <v>15921</v>
      </c>
    </row>
    <row r="12161">
      <c r="A12161" s="499" t="s">
        <v>15922</v>
      </c>
    </row>
    <row r="12162">
      <c r="A12162" s="499" t="s">
        <v>15923</v>
      </c>
    </row>
    <row r="12163">
      <c r="A12163" s="499" t="s">
        <v>15924</v>
      </c>
    </row>
    <row r="12164">
      <c r="A12164" s="499" t="s">
        <v>15925</v>
      </c>
    </row>
    <row r="12165">
      <c r="A12165" s="499" t="s">
        <v>15926</v>
      </c>
    </row>
    <row r="12166">
      <c r="A12166" s="499" t="s">
        <v>15927</v>
      </c>
    </row>
    <row r="12167">
      <c r="A12167" s="499" t="s">
        <v>15928</v>
      </c>
    </row>
    <row r="12168">
      <c r="A12168" s="499" t="s">
        <v>15929</v>
      </c>
    </row>
    <row r="12169">
      <c r="A12169" s="499" t="s">
        <v>15930</v>
      </c>
    </row>
    <row r="12170">
      <c r="A12170" s="499" t="s">
        <v>15931</v>
      </c>
    </row>
    <row r="12171">
      <c r="A12171" s="499" t="s">
        <v>15932</v>
      </c>
    </row>
    <row r="12172">
      <c r="A12172" s="499" t="s">
        <v>15933</v>
      </c>
    </row>
    <row r="12173">
      <c r="A12173" s="499" t="s">
        <v>15934</v>
      </c>
    </row>
    <row r="12174">
      <c r="A12174" s="499" t="s">
        <v>15935</v>
      </c>
    </row>
    <row r="12175">
      <c r="A12175" s="499" t="s">
        <v>15936</v>
      </c>
    </row>
    <row r="12176">
      <c r="A12176" s="499" t="s">
        <v>15937</v>
      </c>
    </row>
    <row r="12177">
      <c r="A12177" s="499" t="s">
        <v>15938</v>
      </c>
    </row>
    <row r="12178">
      <c r="A12178" s="499" t="s">
        <v>15939</v>
      </c>
    </row>
    <row r="12179">
      <c r="A12179" s="499" t="s">
        <v>15940</v>
      </c>
    </row>
    <row r="12180">
      <c r="A12180" s="499" t="s">
        <v>15941</v>
      </c>
    </row>
    <row r="12181">
      <c r="A12181" s="499" t="s">
        <v>15942</v>
      </c>
    </row>
    <row r="12182">
      <c r="A12182" s="499" t="s">
        <v>15943</v>
      </c>
    </row>
    <row r="12183">
      <c r="A12183" s="499" t="s">
        <v>15944</v>
      </c>
    </row>
    <row r="12184">
      <c r="A12184" s="499" t="s">
        <v>15945</v>
      </c>
    </row>
    <row r="12185">
      <c r="A12185" s="499" t="s">
        <v>15946</v>
      </c>
    </row>
    <row r="12186">
      <c r="A12186" s="499" t="s">
        <v>15947</v>
      </c>
    </row>
    <row r="12187">
      <c r="A12187" s="499" t="s">
        <v>15948</v>
      </c>
    </row>
    <row r="12188">
      <c r="A12188" s="499" t="s">
        <v>15949</v>
      </c>
    </row>
    <row r="12189">
      <c r="A12189" s="499" t="s">
        <v>15950</v>
      </c>
    </row>
    <row r="12190">
      <c r="A12190" s="499" t="s">
        <v>15951</v>
      </c>
    </row>
    <row r="12191">
      <c r="A12191" s="499" t="s">
        <v>15952</v>
      </c>
    </row>
    <row r="12192">
      <c r="A12192" s="499" t="s">
        <v>15953</v>
      </c>
    </row>
    <row r="12193">
      <c r="A12193" s="499" t="s">
        <v>15954</v>
      </c>
    </row>
    <row r="12194">
      <c r="A12194" s="499" t="s">
        <v>15955</v>
      </c>
    </row>
    <row r="12195">
      <c r="A12195" s="499" t="s">
        <v>15956</v>
      </c>
    </row>
    <row r="12196">
      <c r="A12196" s="499" t="s">
        <v>15957</v>
      </c>
    </row>
    <row r="12197">
      <c r="A12197" s="499" t="s">
        <v>15958</v>
      </c>
    </row>
    <row r="12198">
      <c r="A12198" s="499" t="s">
        <v>6389</v>
      </c>
    </row>
    <row r="12199">
      <c r="A12199" s="499" t="s">
        <v>6392</v>
      </c>
    </row>
    <row r="12200">
      <c r="A12200" s="499" t="s">
        <v>6398</v>
      </c>
    </row>
    <row r="12201">
      <c r="A12201" s="499" t="s">
        <v>6401</v>
      </c>
    </row>
    <row r="12202">
      <c r="A12202" s="499" t="s">
        <v>6395</v>
      </c>
    </row>
    <row r="12203">
      <c r="A12203" s="499" t="s">
        <v>2012</v>
      </c>
    </row>
    <row r="12204">
      <c r="A12204" s="499" t="s">
        <v>6427</v>
      </c>
    </row>
    <row r="12205">
      <c r="A12205" s="499" t="s">
        <v>6415</v>
      </c>
    </row>
    <row r="12206">
      <c r="A12206" s="499" t="s">
        <v>6381</v>
      </c>
    </row>
    <row r="12207">
      <c r="A12207" s="499" t="s">
        <v>6404</v>
      </c>
    </row>
    <row r="12208">
      <c r="A12208" s="499" t="s">
        <v>6376</v>
      </c>
    </row>
    <row r="12209">
      <c r="A12209" s="499" t="s">
        <v>6407</v>
      </c>
    </row>
    <row r="12210">
      <c r="A12210" s="499" t="s">
        <v>6421</v>
      </c>
    </row>
    <row r="12211">
      <c r="A12211" s="499" t="s">
        <v>6383</v>
      </c>
    </row>
    <row r="12212">
      <c r="A12212" s="499" t="s">
        <v>6410</v>
      </c>
    </row>
    <row r="12213">
      <c r="A12213" s="499" t="s">
        <v>6424</v>
      </c>
    </row>
    <row r="12214">
      <c r="A12214" s="499" t="s">
        <v>6386</v>
      </c>
    </row>
    <row r="12215">
      <c r="A12215" s="499" t="s">
        <v>6413</v>
      </c>
    </row>
    <row r="12216">
      <c r="A12216" s="499" t="s">
        <v>6378</v>
      </c>
    </row>
    <row r="12217">
      <c r="A12217" s="499" t="s">
        <v>6418</v>
      </c>
    </row>
    <row r="12218">
      <c r="A12218" s="499" t="s">
        <v>6343</v>
      </c>
    </row>
    <row r="12219">
      <c r="A12219" s="499" t="s">
        <v>15959</v>
      </c>
    </row>
    <row r="12220">
      <c r="A12220" s="499" t="s">
        <v>6730</v>
      </c>
    </row>
    <row r="12221">
      <c r="A12221" s="499" t="s">
        <v>15960</v>
      </c>
    </row>
    <row r="12222">
      <c r="A12222" s="499" t="s">
        <v>15961</v>
      </c>
    </row>
    <row r="12223">
      <c r="A12223" s="499" t="s">
        <v>6733</v>
      </c>
    </row>
    <row r="12224">
      <c r="A12224" s="499" t="s">
        <v>6745</v>
      </c>
    </row>
    <row r="12225">
      <c r="A12225" s="499" t="s">
        <v>6742</v>
      </c>
    </row>
    <row r="12226">
      <c r="A12226" s="499" t="s">
        <v>6736</v>
      </c>
    </row>
    <row r="12227">
      <c r="A12227" s="499" t="s">
        <v>6748</v>
      </c>
    </row>
    <row r="12228">
      <c r="A12228" s="499" t="s">
        <v>6739</v>
      </c>
    </row>
    <row r="12229">
      <c r="A12229" s="499" t="s">
        <v>15962</v>
      </c>
    </row>
    <row r="12230">
      <c r="A12230" s="499" t="s">
        <v>15963</v>
      </c>
    </row>
    <row r="12231">
      <c r="A12231" s="499" t="s">
        <v>15964</v>
      </c>
    </row>
    <row r="12232">
      <c r="A12232" s="499" t="s">
        <v>15965</v>
      </c>
    </row>
    <row r="12233">
      <c r="A12233" s="499" t="s">
        <v>15966</v>
      </c>
    </row>
    <row r="12234">
      <c r="A12234" s="499" t="s">
        <v>15967</v>
      </c>
    </row>
    <row r="12235">
      <c r="A12235" s="499" t="s">
        <v>15968</v>
      </c>
    </row>
    <row r="12236">
      <c r="A12236" s="499" t="s">
        <v>15969</v>
      </c>
    </row>
    <row r="12237">
      <c r="A12237" s="499" t="s">
        <v>15970</v>
      </c>
    </row>
    <row r="12238">
      <c r="A12238" s="499" t="s">
        <v>15971</v>
      </c>
    </row>
    <row r="12239">
      <c r="A12239" s="499" t="s">
        <v>15972</v>
      </c>
    </row>
    <row r="12240">
      <c r="A12240" s="499" t="s">
        <v>15973</v>
      </c>
    </row>
    <row r="12241">
      <c r="A12241" s="499" t="s">
        <v>15974</v>
      </c>
    </row>
    <row r="12242">
      <c r="A12242" s="499" t="s">
        <v>15975</v>
      </c>
    </row>
    <row r="12243">
      <c r="A12243" s="499" t="s">
        <v>15976</v>
      </c>
    </row>
    <row r="12244">
      <c r="A12244" s="499" t="s">
        <v>15977</v>
      </c>
    </row>
    <row r="12245">
      <c r="A12245" s="499" t="s">
        <v>15978</v>
      </c>
    </row>
    <row r="12246">
      <c r="A12246" s="499" t="s">
        <v>15979</v>
      </c>
    </row>
    <row r="12247">
      <c r="A12247" s="499" t="s">
        <v>15980</v>
      </c>
    </row>
    <row r="12248">
      <c r="A12248" s="499" t="s">
        <v>15981</v>
      </c>
    </row>
    <row r="12249">
      <c r="A12249" s="499" t="s">
        <v>15982</v>
      </c>
    </row>
    <row r="12250">
      <c r="A12250" s="499" t="s">
        <v>6754</v>
      </c>
    </row>
    <row r="12251">
      <c r="A12251" s="499" t="s">
        <v>15983</v>
      </c>
    </row>
    <row r="12252">
      <c r="A12252" s="499" t="s">
        <v>15984</v>
      </c>
    </row>
    <row r="12253">
      <c r="A12253" s="499" t="s">
        <v>6751</v>
      </c>
    </row>
    <row r="12254">
      <c r="A12254" s="499" t="s">
        <v>15985</v>
      </c>
    </row>
    <row r="12255">
      <c r="A12255" s="499" t="s">
        <v>15986</v>
      </c>
    </row>
    <row r="12256">
      <c r="A12256" s="499" t="s">
        <v>15987</v>
      </c>
    </row>
    <row r="12257">
      <c r="A12257" s="499" t="s">
        <v>15988</v>
      </c>
    </row>
    <row r="12258">
      <c r="A12258" s="499" t="s">
        <v>15989</v>
      </c>
    </row>
    <row r="12259">
      <c r="A12259" s="499" t="s">
        <v>15990</v>
      </c>
    </row>
    <row r="12260">
      <c r="A12260" s="499" t="s">
        <v>15991</v>
      </c>
    </row>
    <row r="12261">
      <c r="A12261" s="499" t="s">
        <v>15992</v>
      </c>
    </row>
    <row r="12262">
      <c r="A12262" s="499" t="s">
        <v>15993</v>
      </c>
    </row>
    <row r="12263">
      <c r="A12263" s="499" t="s">
        <v>15994</v>
      </c>
    </row>
    <row r="12264">
      <c r="A12264" s="499" t="s">
        <v>15995</v>
      </c>
    </row>
    <row r="12265">
      <c r="A12265" s="499" t="s">
        <v>6782</v>
      </c>
    </row>
    <row r="12266">
      <c r="A12266" s="499" t="s">
        <v>15996</v>
      </c>
    </row>
    <row r="12267">
      <c r="A12267" s="499" t="s">
        <v>6787</v>
      </c>
    </row>
    <row r="12268">
      <c r="A12268" s="499" t="s">
        <v>15997</v>
      </c>
    </row>
    <row r="12269">
      <c r="A12269" s="499" t="s">
        <v>15998</v>
      </c>
    </row>
    <row r="12270">
      <c r="A12270" s="499" t="s">
        <v>15999</v>
      </c>
    </row>
    <row r="12271">
      <c r="A12271" s="499" t="s">
        <v>6779</v>
      </c>
    </row>
    <row r="12272">
      <c r="A12272" s="499" t="s">
        <v>16000</v>
      </c>
    </row>
    <row r="12273">
      <c r="A12273" s="499" t="s">
        <v>6759</v>
      </c>
    </row>
    <row r="12274">
      <c r="A12274" s="499" t="s">
        <v>6761</v>
      </c>
    </row>
    <row r="12275">
      <c r="A12275" s="499" t="s">
        <v>6764</v>
      </c>
    </row>
    <row r="12276">
      <c r="A12276" s="499" t="s">
        <v>6767</v>
      </c>
    </row>
    <row r="12277">
      <c r="A12277" s="499" t="s">
        <v>6770</v>
      </c>
    </row>
    <row r="12278">
      <c r="A12278" s="499" t="s">
        <v>6773</v>
      </c>
    </row>
    <row r="12279">
      <c r="A12279" s="499" t="s">
        <v>6776</v>
      </c>
    </row>
    <row r="12280">
      <c r="A12280" s="499" t="s">
        <v>16001</v>
      </c>
    </row>
    <row r="12281">
      <c r="A12281" s="499" t="s">
        <v>16002</v>
      </c>
    </row>
    <row r="12282">
      <c r="A12282" s="499" t="s">
        <v>16003</v>
      </c>
    </row>
    <row r="12283">
      <c r="A12283" s="499" t="s">
        <v>6789</v>
      </c>
    </row>
    <row r="12284">
      <c r="A12284" s="499" t="s">
        <v>6797</v>
      </c>
    </row>
    <row r="12285">
      <c r="A12285" s="499" t="s">
        <v>6791</v>
      </c>
    </row>
    <row r="12286">
      <c r="A12286" s="499" t="s">
        <v>6794</v>
      </c>
    </row>
    <row r="12287">
      <c r="A12287" s="499" t="s">
        <v>6799</v>
      </c>
    </row>
    <row r="12288">
      <c r="A12288" s="499" t="s">
        <v>16004</v>
      </c>
    </row>
    <row r="12289">
      <c r="A12289" s="499" t="s">
        <v>16005</v>
      </c>
    </row>
    <row r="12290">
      <c r="A12290" s="499" t="s">
        <v>16006</v>
      </c>
    </row>
    <row r="12291">
      <c r="A12291" s="499" t="s">
        <v>824</v>
      </c>
    </row>
    <row r="12292">
      <c r="A12292" s="499" t="s">
        <v>1601</v>
      </c>
    </row>
    <row r="12293">
      <c r="A12293" s="499" t="s">
        <v>2331</v>
      </c>
    </row>
    <row r="12294">
      <c r="A12294" s="499" t="s">
        <v>3132</v>
      </c>
    </row>
    <row r="12295">
      <c r="A12295" s="499" t="s">
        <v>2729</v>
      </c>
    </row>
    <row r="12296">
      <c r="A12296" s="499" t="s">
        <v>2725</v>
      </c>
    </row>
    <row r="12297">
      <c r="A12297" s="499" t="s">
        <v>4323</v>
      </c>
    </row>
    <row r="12298">
      <c r="A12298" s="499" t="s">
        <v>4325</v>
      </c>
    </row>
    <row r="12299">
      <c r="A12299" s="499" t="s">
        <v>7602</v>
      </c>
    </row>
    <row r="12300">
      <c r="A12300" s="499" t="s">
        <v>5407</v>
      </c>
    </row>
    <row r="12301">
      <c r="A12301" s="499" t="s">
        <v>5976</v>
      </c>
    </row>
    <row r="12302">
      <c r="A12302" s="499" t="s">
        <v>5988</v>
      </c>
    </row>
    <row r="12303">
      <c r="A12303" s="499" t="s">
        <v>6288</v>
      </c>
    </row>
    <row r="12304">
      <c r="A12304" s="499" t="s">
        <v>3953</v>
      </c>
    </row>
    <row r="12305">
      <c r="A12305" s="499" t="s">
        <v>3955</v>
      </c>
    </row>
    <row r="12306">
      <c r="A12306" s="499" t="s">
        <v>3547</v>
      </c>
    </row>
    <row r="12307">
      <c r="A12307" s="499" t="s">
        <v>16007</v>
      </c>
    </row>
    <row r="12308">
      <c r="A12308" s="499" t="s">
        <v>16008</v>
      </c>
    </row>
    <row r="12309">
      <c r="A12309" s="499" t="s">
        <v>16009</v>
      </c>
    </row>
    <row r="12310">
      <c r="A12310" s="499" t="s">
        <v>16010</v>
      </c>
    </row>
    <row r="12311">
      <c r="A12311" s="499" t="s">
        <v>16011</v>
      </c>
    </row>
    <row r="12312">
      <c r="A12312" s="499" t="s">
        <v>16012</v>
      </c>
    </row>
    <row r="12313">
      <c r="A12313" s="499" t="s">
        <v>16013</v>
      </c>
    </row>
    <row r="12314">
      <c r="A12314" s="499" t="s">
        <v>16014</v>
      </c>
    </row>
    <row r="12315">
      <c r="A12315" s="499" t="s">
        <v>16015</v>
      </c>
    </row>
    <row r="12316">
      <c r="A12316" s="499" t="s">
        <v>16016</v>
      </c>
    </row>
    <row r="12317">
      <c r="A12317" s="499" t="s">
        <v>16017</v>
      </c>
    </row>
    <row r="12318">
      <c r="A12318" s="499" t="s">
        <v>16018</v>
      </c>
    </row>
    <row r="12319">
      <c r="A12319" s="499" t="s">
        <v>16019</v>
      </c>
    </row>
    <row r="12320">
      <c r="A12320" s="499" t="s">
        <v>16020</v>
      </c>
    </row>
    <row r="12321">
      <c r="A12321" s="499" t="s">
        <v>16021</v>
      </c>
    </row>
    <row r="12322">
      <c r="A12322" s="499" t="s">
        <v>6806</v>
      </c>
    </row>
    <row r="12323">
      <c r="A12323" s="499" t="s">
        <v>6804</v>
      </c>
    </row>
    <row r="12324">
      <c r="A12324" s="499" t="s">
        <v>6801</v>
      </c>
    </row>
    <row r="12325">
      <c r="A12325" s="499" t="s">
        <v>4405</v>
      </c>
    </row>
    <row r="12326">
      <c r="A12326" s="499" t="s">
        <v>3735</v>
      </c>
    </row>
    <row r="12327">
      <c r="A12327" s="499" t="s">
        <v>2866</v>
      </c>
    </row>
    <row r="12328">
      <c r="A12328" s="499" t="s">
        <v>16022</v>
      </c>
    </row>
    <row r="12329">
      <c r="A12329" s="499" t="s">
        <v>5062</v>
      </c>
    </row>
    <row r="12330">
      <c r="A12330" s="499" t="s">
        <v>6198</v>
      </c>
    </row>
    <row r="12331">
      <c r="A12331" s="499" t="s">
        <v>5010</v>
      </c>
    </row>
    <row r="12332">
      <c r="A12332" s="499" t="s">
        <v>1151</v>
      </c>
    </row>
    <row r="12333">
      <c r="A12333" s="499" t="s">
        <v>1159</v>
      </c>
    </row>
    <row r="12334">
      <c r="A12334" s="499" t="s">
        <v>443</v>
      </c>
    </row>
    <row r="12335">
      <c r="A12335" s="499" t="s">
        <v>1974</v>
      </c>
    </row>
    <row r="12336">
      <c r="A12336" s="499" t="s">
        <v>4092</v>
      </c>
    </row>
    <row r="12337">
      <c r="A12337" s="499" t="s">
        <v>5038</v>
      </c>
    </row>
    <row r="12338">
      <c r="A12338" s="499" t="s">
        <v>6808</v>
      </c>
    </row>
    <row r="12339">
      <c r="A12339" s="499" t="s">
        <v>5158</v>
      </c>
    </row>
    <row r="12340">
      <c r="A12340" s="499" t="s">
        <v>1142</v>
      </c>
    </row>
    <row r="12341">
      <c r="A12341" s="502" t="s">
        <v>1145</v>
      </c>
    </row>
    <row r="12342">
      <c r="A12342" s="499" t="s">
        <v>1156</v>
      </c>
    </row>
    <row r="12343">
      <c r="A12343" s="502" t="s">
        <v>1148</v>
      </c>
    </row>
    <row r="12344">
      <c r="A12344" s="499" t="s">
        <v>597</v>
      </c>
    </row>
    <row r="12345">
      <c r="A12345" s="502" t="s">
        <v>505</v>
      </c>
    </row>
    <row r="12346">
      <c r="A12346" s="502" t="s">
        <v>513</v>
      </c>
    </row>
    <row r="12347">
      <c r="A12347" s="499" t="s">
        <v>16023</v>
      </c>
    </row>
    <row r="12348">
      <c r="A12348" s="499" t="s">
        <v>6811</v>
      </c>
    </row>
    <row r="12349">
      <c r="A12349" s="499" t="s">
        <v>6813</v>
      </c>
    </row>
    <row r="12350">
      <c r="A12350" s="499" t="s">
        <v>6815</v>
      </c>
    </row>
    <row r="12351">
      <c r="A12351" s="499" t="s">
        <v>6818</v>
      </c>
    </row>
    <row r="12352">
      <c r="A12352" s="499" t="s">
        <v>6821</v>
      </c>
    </row>
    <row r="12353">
      <c r="A12353" s="499"/>
    </row>
    <row r="12354">
      <c r="A12354" s="499"/>
    </row>
    <row r="12355">
      <c r="A12355" s="499"/>
    </row>
    <row r="12356">
      <c r="A12356" s="499"/>
    </row>
    <row r="12357">
      <c r="A12357" s="499"/>
    </row>
    <row r="12358">
      <c r="A12358" s="499"/>
    </row>
    <row r="12359">
      <c r="A12359" s="499"/>
    </row>
    <row r="12360">
      <c r="A12360" s="499"/>
    </row>
    <row r="12361">
      <c r="A12361" s="499"/>
    </row>
    <row r="12362">
      <c r="A12362" s="499"/>
    </row>
    <row r="12363">
      <c r="A12363" s="499"/>
    </row>
    <row r="12364">
      <c r="A12364" s="499"/>
    </row>
    <row r="12365">
      <c r="A12365" s="499"/>
    </row>
    <row r="12366">
      <c r="A12366" s="499"/>
    </row>
    <row r="12367">
      <c r="A12367" s="499"/>
    </row>
    <row r="12368">
      <c r="A12368" s="499"/>
    </row>
    <row r="12369">
      <c r="A12369" s="499"/>
    </row>
    <row r="12370">
      <c r="A12370" s="499"/>
    </row>
    <row r="12371">
      <c r="A12371" s="499"/>
    </row>
    <row r="12372">
      <c r="A12372" s="499"/>
    </row>
    <row r="12373">
      <c r="A12373" s="499"/>
    </row>
    <row r="12374">
      <c r="A12374" s="499"/>
    </row>
    <row r="12375">
      <c r="A12375" s="499"/>
    </row>
    <row r="12376">
      <c r="A12376" s="499"/>
    </row>
    <row r="12377">
      <c r="A12377" s="499"/>
    </row>
    <row r="12378">
      <c r="A12378" s="499"/>
    </row>
    <row r="12379">
      <c r="A12379" s="499"/>
    </row>
    <row r="12380">
      <c r="A12380" s="499"/>
    </row>
    <row r="12381">
      <c r="A12381" s="499"/>
    </row>
    <row r="12382">
      <c r="A12382" s="499"/>
    </row>
    <row r="12383">
      <c r="A12383" s="499"/>
    </row>
    <row r="12384">
      <c r="A12384" s="499"/>
    </row>
    <row r="12385">
      <c r="A12385" s="499"/>
    </row>
    <row r="12386">
      <c r="A12386" s="499"/>
    </row>
    <row r="12387">
      <c r="A12387" s="499"/>
    </row>
    <row r="12388">
      <c r="A12388" s="499"/>
    </row>
    <row r="12389">
      <c r="A12389" s="499"/>
    </row>
    <row r="12390">
      <c r="A12390" s="499"/>
    </row>
    <row r="12391">
      <c r="A12391" s="499"/>
    </row>
    <row r="12392">
      <c r="A12392" s="499"/>
    </row>
    <row r="12393">
      <c r="A12393" s="499"/>
    </row>
    <row r="12394">
      <c r="A12394" s="499"/>
    </row>
    <row r="12395">
      <c r="A12395" s="499"/>
    </row>
    <row r="12396">
      <c r="A12396" s="499"/>
    </row>
    <row r="12397">
      <c r="A12397" s="499"/>
    </row>
    <row r="12398">
      <c r="A12398" s="499"/>
    </row>
    <row r="12399">
      <c r="A12399" s="499"/>
    </row>
    <row r="12400">
      <c r="A12400" s="499"/>
    </row>
    <row r="12401">
      <c r="A12401" s="499"/>
    </row>
    <row r="12402">
      <c r="A12402" s="499"/>
    </row>
    <row r="12403">
      <c r="A12403" s="499"/>
    </row>
    <row r="12404">
      <c r="A12404" s="499"/>
    </row>
    <row r="12405">
      <c r="A12405" s="499"/>
    </row>
    <row r="12406">
      <c r="A12406" s="499"/>
    </row>
    <row r="12407">
      <c r="A12407" s="499"/>
    </row>
    <row r="12408">
      <c r="A12408" s="499"/>
    </row>
    <row r="12409">
      <c r="A12409" s="499"/>
    </row>
    <row r="12410">
      <c r="A12410" s="499"/>
    </row>
    <row r="12411">
      <c r="A12411" s="499"/>
    </row>
    <row r="12412">
      <c r="A12412" s="499"/>
    </row>
    <row r="12413">
      <c r="A12413" s="499"/>
    </row>
    <row r="12414">
      <c r="A12414" s="499"/>
    </row>
    <row r="12415">
      <c r="A12415" s="499"/>
    </row>
    <row r="12416">
      <c r="A12416" s="499"/>
    </row>
    <row r="12417">
      <c r="A12417" s="499"/>
    </row>
    <row r="12418">
      <c r="A12418" s="499"/>
    </row>
    <row r="12419">
      <c r="A12419" s="499"/>
    </row>
    <row r="12420">
      <c r="A12420" s="499"/>
    </row>
    <row r="12421">
      <c r="A12421" s="499"/>
    </row>
    <row r="12422">
      <c r="A12422" s="499"/>
    </row>
    <row r="12423">
      <c r="A12423" s="499"/>
    </row>
    <row r="12424">
      <c r="A12424" s="499"/>
    </row>
    <row r="12425">
      <c r="A12425" s="499"/>
    </row>
    <row r="12426">
      <c r="A12426" s="499"/>
    </row>
    <row r="12427">
      <c r="A12427" s="499"/>
    </row>
    <row r="12428">
      <c r="A12428" s="499"/>
    </row>
    <row r="12429">
      <c r="A12429" s="499"/>
    </row>
    <row r="12430">
      <c r="A12430" s="499"/>
    </row>
    <row r="12431">
      <c r="A12431" s="499"/>
    </row>
    <row r="12432">
      <c r="A12432" s="499"/>
    </row>
    <row r="12433">
      <c r="A12433" s="499"/>
    </row>
    <row r="12434">
      <c r="A12434" s="499"/>
    </row>
    <row r="12435">
      <c r="A12435" s="499"/>
    </row>
    <row r="12436">
      <c r="A12436" s="499"/>
    </row>
    <row r="12437">
      <c r="A12437" s="499"/>
    </row>
    <row r="12438">
      <c r="A12438" s="499"/>
    </row>
    <row r="12439">
      <c r="A12439" s="499"/>
    </row>
    <row r="12440">
      <c r="A12440" s="499"/>
    </row>
    <row r="12441">
      <c r="A12441" s="499"/>
    </row>
    <row r="12442">
      <c r="A12442" s="499"/>
    </row>
    <row r="12443">
      <c r="A12443" s="499"/>
    </row>
    <row r="12444">
      <c r="A12444" s="499"/>
    </row>
    <row r="12445">
      <c r="A12445" s="499"/>
    </row>
    <row r="12446">
      <c r="A12446" s="499"/>
    </row>
    <row r="12447">
      <c r="A12447" s="499"/>
    </row>
    <row r="12448">
      <c r="A12448" s="499"/>
    </row>
    <row r="12449">
      <c r="A12449" s="499"/>
    </row>
    <row r="12450">
      <c r="A12450" s="499"/>
    </row>
    <row r="12451">
      <c r="A12451" s="499"/>
    </row>
    <row r="12452">
      <c r="A12452" s="499"/>
    </row>
    <row r="12453">
      <c r="A12453" s="499"/>
    </row>
    <row r="12454">
      <c r="A12454" s="499"/>
    </row>
    <row r="12455">
      <c r="A12455" s="499"/>
    </row>
    <row r="12456">
      <c r="A12456" s="499"/>
    </row>
    <row r="12457">
      <c r="A12457" s="499"/>
    </row>
    <row r="12458">
      <c r="A12458" s="499"/>
    </row>
    <row r="12459">
      <c r="A12459" s="499"/>
    </row>
    <row r="12460">
      <c r="A12460" s="499"/>
    </row>
    <row r="12461">
      <c r="A12461" s="499"/>
    </row>
    <row r="12462">
      <c r="A12462" s="499"/>
    </row>
    <row r="12463">
      <c r="A12463" s="499"/>
    </row>
    <row r="12464">
      <c r="A12464" s="499"/>
    </row>
    <row r="12465">
      <c r="A12465" s="499"/>
    </row>
    <row r="12466">
      <c r="A12466" s="499"/>
    </row>
    <row r="12467">
      <c r="A12467" s="499"/>
    </row>
    <row r="12468">
      <c r="A12468" s="499"/>
    </row>
    <row r="12469">
      <c r="A12469" s="499"/>
    </row>
    <row r="12470">
      <c r="A12470" s="499"/>
    </row>
    <row r="12471">
      <c r="A12471" s="499"/>
    </row>
    <row r="12472">
      <c r="A12472" s="499"/>
    </row>
    <row r="12473">
      <c r="A12473" s="499"/>
    </row>
    <row r="12474">
      <c r="A12474" s="499"/>
    </row>
    <row r="12475">
      <c r="A12475" s="499"/>
    </row>
    <row r="12476">
      <c r="A12476" s="499"/>
    </row>
    <row r="12477">
      <c r="A12477" s="499"/>
    </row>
    <row r="12478">
      <c r="A12478" s="499"/>
    </row>
    <row r="12479">
      <c r="A12479" s="499"/>
    </row>
    <row r="12480">
      <c r="A12480" s="499"/>
    </row>
    <row r="12481">
      <c r="A12481" s="499"/>
    </row>
    <row r="12482">
      <c r="A12482" s="499"/>
    </row>
    <row r="12483">
      <c r="A12483" s="499"/>
    </row>
    <row r="12484">
      <c r="A12484" s="499"/>
    </row>
    <row r="12485">
      <c r="A12485" s="499"/>
    </row>
    <row r="12486">
      <c r="A12486" s="499"/>
    </row>
    <row r="12487">
      <c r="A12487" s="499"/>
    </row>
    <row r="12488">
      <c r="A12488" s="499"/>
    </row>
    <row r="12489">
      <c r="A12489" s="499"/>
    </row>
    <row r="12490">
      <c r="A12490" s="499"/>
    </row>
    <row r="12491">
      <c r="A12491" s="499"/>
    </row>
    <row r="12492">
      <c r="A12492" s="499"/>
    </row>
    <row r="12493">
      <c r="A12493" s="499"/>
    </row>
    <row r="12494">
      <c r="A12494" s="499"/>
    </row>
    <row r="12495">
      <c r="A12495" s="499"/>
    </row>
    <row r="12496">
      <c r="A12496" s="499"/>
    </row>
    <row r="12497">
      <c r="A12497" s="499"/>
    </row>
    <row r="12498">
      <c r="A12498" s="499"/>
    </row>
    <row r="12499">
      <c r="A12499" s="499"/>
    </row>
    <row r="12500">
      <c r="A12500" s="499"/>
    </row>
    <row r="12501">
      <c r="A12501" s="499"/>
    </row>
    <row r="12502">
      <c r="A12502" s="499"/>
    </row>
    <row r="12503">
      <c r="A12503" s="499"/>
    </row>
    <row r="12504">
      <c r="A12504" s="499"/>
    </row>
    <row r="12505">
      <c r="A12505" s="499"/>
    </row>
    <row r="12506">
      <c r="A12506" s="499"/>
    </row>
    <row r="12507">
      <c r="A12507" s="499"/>
    </row>
    <row r="12508">
      <c r="A12508" s="499"/>
    </row>
    <row r="12509">
      <c r="A12509" s="499"/>
    </row>
    <row r="12510">
      <c r="A12510" s="499"/>
    </row>
    <row r="12511">
      <c r="A12511" s="499"/>
    </row>
    <row r="12512">
      <c r="A12512" s="499"/>
    </row>
    <row r="12513">
      <c r="A12513" s="499"/>
    </row>
    <row r="12514">
      <c r="A12514" s="499"/>
    </row>
    <row r="12515">
      <c r="A12515" s="499"/>
    </row>
    <row r="12516">
      <c r="A12516" s="499"/>
    </row>
    <row r="12517">
      <c r="A12517" s="499"/>
    </row>
    <row r="12518">
      <c r="A12518" s="499"/>
    </row>
    <row r="12519">
      <c r="A12519" s="499"/>
    </row>
    <row r="12520">
      <c r="A12520" s="499"/>
    </row>
    <row r="12521">
      <c r="A12521" s="499"/>
    </row>
    <row r="12522">
      <c r="A12522" s="499"/>
    </row>
    <row r="12523">
      <c r="A12523" s="499"/>
    </row>
    <row r="12524">
      <c r="A12524" s="499"/>
    </row>
    <row r="12525">
      <c r="A12525" s="499"/>
    </row>
    <row r="12526">
      <c r="A12526" s="499"/>
    </row>
    <row r="12527">
      <c r="A12527" s="499"/>
    </row>
    <row r="12528">
      <c r="A12528" s="499"/>
    </row>
    <row r="12529">
      <c r="A12529" s="499"/>
    </row>
    <row r="12530">
      <c r="A12530" s="499"/>
    </row>
    <row r="12531">
      <c r="A12531" s="499"/>
    </row>
    <row r="12532">
      <c r="A12532" s="499"/>
    </row>
    <row r="12533">
      <c r="A12533" s="499"/>
    </row>
    <row r="12534">
      <c r="A12534" s="499"/>
    </row>
    <row r="12535">
      <c r="A12535" s="499"/>
    </row>
    <row r="12536">
      <c r="A12536" s="499"/>
    </row>
    <row r="12537">
      <c r="A12537" s="499"/>
    </row>
    <row r="12538">
      <c r="A12538" s="499"/>
    </row>
    <row r="12539">
      <c r="A12539" s="499"/>
    </row>
    <row r="12540">
      <c r="A12540" s="499"/>
    </row>
    <row r="12541">
      <c r="A12541" s="499"/>
    </row>
    <row r="12542">
      <c r="A12542" s="499"/>
    </row>
    <row r="12543">
      <c r="A12543" s="499"/>
    </row>
    <row r="12544">
      <c r="A12544" s="499"/>
    </row>
    <row r="12545">
      <c r="A12545" s="499"/>
    </row>
    <row r="12546">
      <c r="A12546" s="499"/>
    </row>
    <row r="12547">
      <c r="A12547" s="499"/>
    </row>
    <row r="12548">
      <c r="A12548" s="499"/>
    </row>
    <row r="12549">
      <c r="A12549" s="499"/>
    </row>
    <row r="12550">
      <c r="A12550" s="499"/>
    </row>
    <row r="12551">
      <c r="A12551" s="499"/>
    </row>
    <row r="12552">
      <c r="A12552" s="499"/>
    </row>
    <row r="12553">
      <c r="A12553" s="499"/>
    </row>
    <row r="12554">
      <c r="A12554" s="499"/>
    </row>
    <row r="12555">
      <c r="A12555" s="499"/>
    </row>
    <row r="12556">
      <c r="A12556" s="499"/>
    </row>
    <row r="12557">
      <c r="A12557" s="499"/>
    </row>
    <row r="12558">
      <c r="A12558" s="499"/>
    </row>
    <row r="12559">
      <c r="A12559" s="499"/>
    </row>
    <row r="12560">
      <c r="A12560" s="499"/>
    </row>
    <row r="12561">
      <c r="A12561" s="499"/>
    </row>
    <row r="12562">
      <c r="A12562" s="499"/>
    </row>
    <row r="12563">
      <c r="A12563" s="499"/>
    </row>
    <row r="12564">
      <c r="A12564" s="499"/>
    </row>
    <row r="12565">
      <c r="A12565" s="499"/>
    </row>
    <row r="12566">
      <c r="A12566" s="499"/>
    </row>
    <row r="12567">
      <c r="A12567" s="499"/>
    </row>
    <row r="12568">
      <c r="A12568" s="499"/>
    </row>
    <row r="12569">
      <c r="A12569" s="499"/>
    </row>
    <row r="12570">
      <c r="A12570" s="499"/>
    </row>
    <row r="12571">
      <c r="A12571" s="499"/>
    </row>
  </sheetData>
  <conditionalFormatting sqref="A2:A12571">
    <cfRule type="expression" dxfId="0" priority="1">
      <formula>COUNTIF(A:A,A2)&gt;1</formula>
    </cfRule>
  </conditionalFormatting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2" max="2" width="26.5"/>
    <col customWidth="1" min="4" max="4" width="9.63"/>
    <col customWidth="1" min="5" max="5" width="8.38"/>
    <col customWidth="1" min="6" max="6" width="13.75"/>
    <col customWidth="1" min="7" max="7" width="13.5"/>
    <col customWidth="1" min="8" max="9" width="11.63"/>
    <col customWidth="1" min="10" max="10" width="12.13"/>
    <col customWidth="1" min="11" max="11" width="30.75"/>
  </cols>
  <sheetData>
    <row r="1">
      <c r="A1" s="503" t="s">
        <v>53</v>
      </c>
      <c r="G1" s="504"/>
      <c r="H1" s="504"/>
      <c r="I1" s="504"/>
      <c r="J1" s="504"/>
      <c r="K1" s="505"/>
      <c r="L1" s="505"/>
      <c r="M1" s="505"/>
      <c r="N1" s="505"/>
      <c r="O1" s="505"/>
      <c r="P1" s="505"/>
      <c r="Q1" s="505"/>
    </row>
    <row r="2">
      <c r="A2" s="506"/>
      <c r="B2" s="507" t="s">
        <v>6975</v>
      </c>
      <c r="G2" s="508"/>
      <c r="H2" s="508"/>
      <c r="I2" s="508"/>
      <c r="J2" s="508"/>
      <c r="K2" s="505"/>
      <c r="L2" s="505"/>
      <c r="M2" s="505"/>
      <c r="N2" s="505"/>
      <c r="O2" s="505"/>
      <c r="P2" s="505"/>
      <c r="Q2" s="505"/>
    </row>
    <row r="3">
      <c r="A3" s="509"/>
      <c r="B3" s="510" t="s">
        <v>6976</v>
      </c>
      <c r="C3" s="511"/>
      <c r="D3" s="512">
        <f>TODAY()</f>
        <v>46070</v>
      </c>
      <c r="E3" s="252"/>
      <c r="F3" s="513"/>
      <c r="G3" s="504"/>
      <c r="H3" s="504"/>
      <c r="I3" s="504"/>
      <c r="J3" s="504"/>
      <c r="K3" s="505"/>
      <c r="L3" s="505"/>
      <c r="M3" s="505"/>
      <c r="N3" s="505"/>
      <c r="O3" s="505"/>
      <c r="P3" s="505"/>
      <c r="Q3" s="505"/>
    </row>
    <row r="4">
      <c r="A4" s="514" t="s">
        <v>16024</v>
      </c>
      <c r="B4" s="252"/>
      <c r="C4" s="252"/>
      <c r="D4" s="252"/>
      <c r="E4" s="252"/>
      <c r="F4" s="425"/>
      <c r="G4" s="515"/>
      <c r="H4" s="515"/>
      <c r="I4" s="515"/>
      <c r="J4" s="515"/>
      <c r="K4" s="505"/>
      <c r="L4" s="505"/>
      <c r="M4" s="505"/>
      <c r="N4" s="505"/>
      <c r="O4" s="505"/>
      <c r="P4" s="505"/>
      <c r="Q4" s="505"/>
    </row>
    <row r="5">
      <c r="A5" s="516" t="s">
        <v>13</v>
      </c>
      <c r="B5" s="517" t="s">
        <v>7095</v>
      </c>
      <c r="C5" s="518" t="s">
        <v>16025</v>
      </c>
      <c r="D5" s="519" t="s">
        <v>16026</v>
      </c>
      <c r="E5" s="519" t="s">
        <v>16027</v>
      </c>
      <c r="F5" s="520" t="s">
        <v>16028</v>
      </c>
      <c r="G5" s="521" t="s">
        <v>16029</v>
      </c>
      <c r="H5" s="521" t="s">
        <v>7236</v>
      </c>
      <c r="I5" s="522" t="s">
        <v>23</v>
      </c>
      <c r="J5" s="522" t="s">
        <v>24</v>
      </c>
      <c r="K5" s="505"/>
      <c r="L5" s="505"/>
      <c r="M5" s="505"/>
      <c r="N5" s="505"/>
      <c r="O5" s="505"/>
      <c r="P5" s="505"/>
      <c r="Q5" s="505"/>
    </row>
    <row r="6">
      <c r="A6" s="523" t="s">
        <v>4013</v>
      </c>
      <c r="B6" s="524" t="s">
        <v>16030</v>
      </c>
      <c r="C6" s="524" t="s">
        <v>16031</v>
      </c>
      <c r="D6" s="524" t="s">
        <v>16032</v>
      </c>
      <c r="E6" s="524">
        <v>1.0046368E7</v>
      </c>
      <c r="F6" s="524" t="s">
        <v>16033</v>
      </c>
      <c r="G6" s="525">
        <f t="shared" ref="G6:G20" si="1">H6*8%+H6</f>
        <v>1880.28</v>
      </c>
      <c r="H6" s="526">
        <v>1741.0</v>
      </c>
      <c r="I6" s="526">
        <v>278.56</v>
      </c>
      <c r="J6" s="526">
        <v>2019.56</v>
      </c>
      <c r="K6" s="505" t="str">
        <f t="shared" ref="K6:K20" si="2">CONCATENATE("ARRANCADOR PARA ",B6," ",C6," ",D6," CODIGO ",E6," ",F6)</f>
        <v>ARRANCADOR PARA MOTOR DE 2 HP TRIFÁSICO 220V CODIGO 10046368 5~8 AMP</v>
      </c>
      <c r="L6" s="505"/>
      <c r="M6" s="505"/>
      <c r="N6" s="505"/>
      <c r="O6" s="505"/>
      <c r="P6" s="505"/>
      <c r="Q6" s="505"/>
    </row>
    <row r="7">
      <c r="A7" s="523" t="s">
        <v>16034</v>
      </c>
      <c r="B7" s="524" t="s">
        <v>16035</v>
      </c>
      <c r="C7" s="524" t="s">
        <v>16031</v>
      </c>
      <c r="D7" s="524" t="s">
        <v>16032</v>
      </c>
      <c r="E7" s="524">
        <v>1.0046369E7</v>
      </c>
      <c r="F7" s="524" t="s">
        <v>16036</v>
      </c>
      <c r="G7" s="525">
        <f t="shared" si="1"/>
        <v>2461.32</v>
      </c>
      <c r="H7" s="526">
        <v>2279.0</v>
      </c>
      <c r="I7" s="526">
        <v>364.64</v>
      </c>
      <c r="J7" s="526">
        <v>2643.64</v>
      </c>
      <c r="K7" s="505" t="str">
        <f t="shared" si="2"/>
        <v>ARRANCADOR PARA MOTOR DE 3 HP TRIFÁSICO 220V CODIGO 10046369 7~10 AMP</v>
      </c>
      <c r="L7" s="505"/>
      <c r="M7" s="505"/>
      <c r="N7" s="505"/>
      <c r="O7" s="505"/>
      <c r="P7" s="505"/>
      <c r="Q7" s="505"/>
    </row>
    <row r="8">
      <c r="A8" s="523" t="s">
        <v>16037</v>
      </c>
      <c r="B8" s="524" t="s">
        <v>16038</v>
      </c>
      <c r="C8" s="524" t="s">
        <v>16031</v>
      </c>
      <c r="D8" s="524" t="s">
        <v>16032</v>
      </c>
      <c r="E8" s="524">
        <v>1.004637E7</v>
      </c>
      <c r="F8" s="524" t="s">
        <v>16039</v>
      </c>
      <c r="G8" s="525">
        <f t="shared" si="1"/>
        <v>2750.76</v>
      </c>
      <c r="H8" s="526">
        <v>2547.0</v>
      </c>
      <c r="I8" s="526">
        <v>407.52</v>
      </c>
      <c r="J8" s="526">
        <v>2954.52</v>
      </c>
      <c r="K8" s="505" t="str">
        <f t="shared" si="2"/>
        <v>ARRANCADOR PARA MOTOR DE 5 HP TRIFÁSICO 220V CODIGO 10046370 11~17 AMP</v>
      </c>
      <c r="L8" s="505"/>
      <c r="M8" s="505"/>
      <c r="N8" s="505"/>
      <c r="O8" s="505"/>
      <c r="P8" s="505"/>
      <c r="Q8" s="505"/>
    </row>
    <row r="9">
      <c r="A9" s="523" t="s">
        <v>16040</v>
      </c>
      <c r="B9" s="524" t="s">
        <v>16041</v>
      </c>
      <c r="C9" s="524" t="s">
        <v>16031</v>
      </c>
      <c r="D9" s="524" t="s">
        <v>16032</v>
      </c>
      <c r="E9" s="524">
        <v>1.0045781E7</v>
      </c>
      <c r="F9" s="524" t="s">
        <v>16042</v>
      </c>
      <c r="G9" s="525">
        <f t="shared" si="1"/>
        <v>2750.76</v>
      </c>
      <c r="H9" s="526">
        <v>2547.0</v>
      </c>
      <c r="I9" s="526">
        <v>407.52</v>
      </c>
      <c r="J9" s="526">
        <v>2954.52</v>
      </c>
      <c r="K9" s="505" t="str">
        <f t="shared" si="2"/>
        <v>ARRANCADOR PARA MOTOR DE 7.5 HP TRIFÁSICO 220V CODIGO 10045781 15~23 AMP</v>
      </c>
      <c r="L9" s="505"/>
      <c r="M9" s="505"/>
      <c r="N9" s="505"/>
      <c r="O9" s="505"/>
      <c r="P9" s="505"/>
      <c r="Q9" s="505"/>
    </row>
    <row r="10">
      <c r="A10" s="523" t="s">
        <v>16043</v>
      </c>
      <c r="B10" s="524" t="s">
        <v>16044</v>
      </c>
      <c r="C10" s="524" t="s">
        <v>16031</v>
      </c>
      <c r="D10" s="524" t="s">
        <v>16032</v>
      </c>
      <c r="E10" s="524">
        <v>1.007261E7</v>
      </c>
      <c r="F10" s="524" t="s">
        <v>16045</v>
      </c>
      <c r="G10" s="525">
        <f t="shared" si="1"/>
        <v>4060.8</v>
      </c>
      <c r="H10" s="526">
        <v>3760.0</v>
      </c>
      <c r="I10" s="526">
        <v>601.6</v>
      </c>
      <c r="J10" s="526">
        <v>4361.6</v>
      </c>
      <c r="K10" s="505" t="str">
        <f t="shared" si="2"/>
        <v>ARRANCADOR PARA MOTOR DE 10 HP TRIFÁSICO 220V CODIGO 10072610 22~32 AMP</v>
      </c>
      <c r="L10" s="505"/>
      <c r="M10" s="505"/>
      <c r="N10" s="505"/>
      <c r="O10" s="505"/>
      <c r="P10" s="505"/>
      <c r="Q10" s="505"/>
    </row>
    <row r="11">
      <c r="A11" s="523" t="s">
        <v>16046</v>
      </c>
      <c r="B11" s="524" t="s">
        <v>16047</v>
      </c>
      <c r="C11" s="524" t="s">
        <v>16031</v>
      </c>
      <c r="D11" s="524" t="s">
        <v>16032</v>
      </c>
      <c r="E11" s="524">
        <v>1.0046372E7</v>
      </c>
      <c r="F11" s="524" t="s">
        <v>16048</v>
      </c>
      <c r="G11" s="525">
        <f t="shared" si="1"/>
        <v>5370.84</v>
      </c>
      <c r="H11" s="526">
        <v>4973.0</v>
      </c>
      <c r="I11" s="526">
        <v>795.68</v>
      </c>
      <c r="J11" s="526">
        <v>5768.68</v>
      </c>
      <c r="K11" s="505" t="str">
        <f t="shared" si="2"/>
        <v>ARRANCADOR PARA MOTOR DE 15 HP TRIFÁSICO 220V CODIGO 10046372 32~50 AMP</v>
      </c>
      <c r="L11" s="505"/>
      <c r="M11" s="505"/>
      <c r="N11" s="505"/>
      <c r="O11" s="505"/>
      <c r="P11" s="505"/>
      <c r="Q11" s="505"/>
    </row>
    <row r="12">
      <c r="A12" s="523" t="s">
        <v>16049</v>
      </c>
      <c r="B12" s="524" t="s">
        <v>16050</v>
      </c>
      <c r="C12" s="524" t="s">
        <v>16031</v>
      </c>
      <c r="D12" s="524" t="s">
        <v>16032</v>
      </c>
      <c r="E12" s="524">
        <v>1.1001941E7</v>
      </c>
      <c r="F12" s="524" t="s">
        <v>16051</v>
      </c>
      <c r="G12" s="525">
        <f t="shared" si="1"/>
        <v>6057.72</v>
      </c>
      <c r="H12" s="526">
        <v>5609.0</v>
      </c>
      <c r="I12" s="526">
        <v>897.44</v>
      </c>
      <c r="J12" s="526">
        <v>6506.44</v>
      </c>
      <c r="K12" s="505" t="str">
        <f t="shared" si="2"/>
        <v>ARRANCADOR PARA MOTOR DE 20 HP TRIFÁSICO 220V CODIGO 11001941 50~63 AMP</v>
      </c>
      <c r="L12" s="505"/>
      <c r="M12" s="505"/>
      <c r="N12" s="505"/>
      <c r="O12" s="505"/>
      <c r="P12" s="505"/>
      <c r="Q12" s="505"/>
    </row>
    <row r="13">
      <c r="A13" s="523" t="s">
        <v>16052</v>
      </c>
      <c r="B13" s="524" t="s">
        <v>16053</v>
      </c>
      <c r="C13" s="524" t="s">
        <v>16031</v>
      </c>
      <c r="D13" s="524" t="s">
        <v>16032</v>
      </c>
      <c r="E13" s="524">
        <v>1.1001942E7</v>
      </c>
      <c r="F13" s="524" t="s">
        <v>16054</v>
      </c>
      <c r="G13" s="525">
        <f t="shared" si="1"/>
        <v>8335.44</v>
      </c>
      <c r="H13" s="526">
        <v>7718.0</v>
      </c>
      <c r="I13" s="526">
        <v>1234.88</v>
      </c>
      <c r="J13" s="526">
        <v>8952.88</v>
      </c>
      <c r="K13" s="505" t="str">
        <f t="shared" si="2"/>
        <v>ARRANCADOR PARA MOTOR DE 25 HP TRIFÁSICO 220V CODIGO 11001942 57~76 AMP</v>
      </c>
      <c r="L13" s="505"/>
      <c r="M13" s="505"/>
      <c r="N13" s="505"/>
      <c r="O13" s="505"/>
      <c r="P13" s="505"/>
      <c r="Q13" s="505"/>
    </row>
    <row r="14">
      <c r="A14" s="523" t="s">
        <v>16055</v>
      </c>
      <c r="B14" s="524" t="s">
        <v>16030</v>
      </c>
      <c r="C14" s="524" t="s">
        <v>16056</v>
      </c>
      <c r="D14" s="524" t="s">
        <v>16032</v>
      </c>
      <c r="E14" s="524">
        <v>1.0410257E7</v>
      </c>
      <c r="F14" s="524" t="s">
        <v>16057</v>
      </c>
      <c r="G14" s="525">
        <f t="shared" si="1"/>
        <v>2616.84</v>
      </c>
      <c r="H14" s="526">
        <v>2423.0</v>
      </c>
      <c r="I14" s="526">
        <v>387.68</v>
      </c>
      <c r="J14" s="526">
        <v>2810.68</v>
      </c>
      <c r="K14" s="505" t="str">
        <f t="shared" si="2"/>
        <v>ARRANCADOR PARA MOTOR DE 2 HP MONOFÁSICO 220V CODIGO 10410257 8~12.5 AMP</v>
      </c>
      <c r="L14" s="505"/>
      <c r="M14" s="505"/>
      <c r="N14" s="505"/>
      <c r="O14" s="505"/>
      <c r="P14" s="505"/>
      <c r="Q14" s="505"/>
    </row>
    <row r="15">
      <c r="A15" s="523" t="s">
        <v>16058</v>
      </c>
      <c r="B15" s="524" t="s">
        <v>16035</v>
      </c>
      <c r="C15" s="524" t="s">
        <v>16056</v>
      </c>
      <c r="D15" s="524" t="s">
        <v>16032</v>
      </c>
      <c r="E15" s="524">
        <v>1.004637E7</v>
      </c>
      <c r="F15" s="524" t="s">
        <v>16039</v>
      </c>
      <c r="G15" s="525">
        <f t="shared" si="1"/>
        <v>2750.76</v>
      </c>
      <c r="H15" s="526">
        <v>2547.0</v>
      </c>
      <c r="I15" s="526">
        <v>407.52</v>
      </c>
      <c r="J15" s="526">
        <v>2954.52</v>
      </c>
      <c r="K15" s="505" t="str">
        <f t="shared" si="2"/>
        <v>ARRANCADOR PARA MOTOR DE 3 HP MONOFÁSICO 220V CODIGO 10046370 11~17 AMP</v>
      </c>
      <c r="L15" s="505"/>
      <c r="M15" s="505"/>
      <c r="N15" s="505"/>
      <c r="O15" s="505"/>
      <c r="P15" s="505"/>
      <c r="Q15" s="505"/>
    </row>
    <row r="16">
      <c r="A16" s="523" t="s">
        <v>16059</v>
      </c>
      <c r="B16" s="524" t="s">
        <v>16038</v>
      </c>
      <c r="C16" s="524" t="s">
        <v>16056</v>
      </c>
      <c r="D16" s="524" t="s">
        <v>16032</v>
      </c>
      <c r="E16" s="524">
        <v>1.007261E7</v>
      </c>
      <c r="F16" s="524" t="s">
        <v>16045</v>
      </c>
      <c r="G16" s="525">
        <f t="shared" si="1"/>
        <v>4060.8</v>
      </c>
      <c r="H16" s="526">
        <v>3760.0</v>
      </c>
      <c r="I16" s="526">
        <v>601.6</v>
      </c>
      <c r="J16" s="526">
        <v>4361.6</v>
      </c>
      <c r="K16" s="505" t="str">
        <f t="shared" si="2"/>
        <v>ARRANCADOR PARA MOTOR DE 5 HP MONOFÁSICO 220V CODIGO 10072610 22~32 AMP</v>
      </c>
      <c r="L16" s="505"/>
      <c r="M16" s="505"/>
      <c r="N16" s="505"/>
      <c r="O16" s="505"/>
      <c r="P16" s="505"/>
      <c r="Q16" s="505"/>
    </row>
    <row r="17">
      <c r="A17" s="523" t="s">
        <v>16060</v>
      </c>
      <c r="B17" s="524" t="s">
        <v>16041</v>
      </c>
      <c r="C17" s="524" t="s">
        <v>16056</v>
      </c>
      <c r="D17" s="524" t="s">
        <v>16032</v>
      </c>
      <c r="E17" s="524">
        <v>1.0046372E7</v>
      </c>
      <c r="F17" s="524" t="s">
        <v>16048</v>
      </c>
      <c r="G17" s="525">
        <f t="shared" si="1"/>
        <v>5370.84</v>
      </c>
      <c r="H17" s="526">
        <v>4973.0</v>
      </c>
      <c r="I17" s="526">
        <v>795.68</v>
      </c>
      <c r="J17" s="526">
        <v>5768.68</v>
      </c>
      <c r="K17" s="505" t="str">
        <f t="shared" si="2"/>
        <v>ARRANCADOR PARA MOTOR DE 7.5 HP MONOFÁSICO 220V CODIGO 10046372 32~50 AMP</v>
      </c>
      <c r="L17" s="505"/>
      <c r="M17" s="505"/>
      <c r="N17" s="505"/>
      <c r="O17" s="505"/>
      <c r="P17" s="505"/>
      <c r="Q17" s="505"/>
    </row>
    <row r="18">
      <c r="A18" s="523" t="s">
        <v>16061</v>
      </c>
      <c r="B18" s="524" t="s">
        <v>16044</v>
      </c>
      <c r="C18" s="524" t="s">
        <v>16056</v>
      </c>
      <c r="D18" s="524" t="s">
        <v>16032</v>
      </c>
      <c r="E18" s="524">
        <v>1.0046372E7</v>
      </c>
      <c r="F18" s="524" t="s">
        <v>16048</v>
      </c>
      <c r="G18" s="525">
        <f t="shared" si="1"/>
        <v>5370.84</v>
      </c>
      <c r="H18" s="526">
        <v>4973.0</v>
      </c>
      <c r="I18" s="526">
        <v>795.68</v>
      </c>
      <c r="J18" s="526">
        <v>5768.68</v>
      </c>
      <c r="K18" s="505" t="str">
        <f t="shared" si="2"/>
        <v>ARRANCADOR PARA MOTOR DE 10 HP MONOFÁSICO 220V CODIGO 10046372 32~50 AMP</v>
      </c>
      <c r="L18" s="505"/>
      <c r="M18" s="505"/>
      <c r="N18" s="505"/>
      <c r="O18" s="505"/>
      <c r="P18" s="505"/>
      <c r="Q18" s="505"/>
    </row>
    <row r="19">
      <c r="A19" s="523" t="s">
        <v>16062</v>
      </c>
      <c r="B19" s="524" t="s">
        <v>16030</v>
      </c>
      <c r="C19" s="524" t="s">
        <v>16056</v>
      </c>
      <c r="D19" s="524" t="s">
        <v>16063</v>
      </c>
      <c r="E19" s="524">
        <v>1.0410257E7</v>
      </c>
      <c r="F19" s="524" t="s">
        <v>16057</v>
      </c>
      <c r="G19" s="525">
        <f t="shared" si="1"/>
        <v>2616.84</v>
      </c>
      <c r="H19" s="526">
        <v>2423.0</v>
      </c>
      <c r="I19" s="526">
        <v>387.68</v>
      </c>
      <c r="J19" s="526">
        <v>2810.68</v>
      </c>
      <c r="K19" s="505" t="str">
        <f t="shared" si="2"/>
        <v>ARRANCADOR PARA MOTOR DE 2 HP MONOFÁSICO 127V CODIGO 10410257 8~12.5 AMP</v>
      </c>
      <c r="L19" s="505"/>
      <c r="M19" s="505"/>
      <c r="N19" s="505"/>
      <c r="O19" s="505"/>
      <c r="P19" s="505"/>
      <c r="Q19" s="505"/>
    </row>
    <row r="20">
      <c r="A20" s="523" t="s">
        <v>16064</v>
      </c>
      <c r="B20" s="524" t="s">
        <v>16035</v>
      </c>
      <c r="C20" s="524" t="s">
        <v>16056</v>
      </c>
      <c r="D20" s="524" t="s">
        <v>16063</v>
      </c>
      <c r="E20" s="524">
        <v>1.004637E7</v>
      </c>
      <c r="F20" s="524" t="s">
        <v>16039</v>
      </c>
      <c r="G20" s="525">
        <f t="shared" si="1"/>
        <v>2750.76</v>
      </c>
      <c r="H20" s="526">
        <v>2547.0</v>
      </c>
      <c r="I20" s="526">
        <v>407.52</v>
      </c>
      <c r="J20" s="526">
        <v>2954.52</v>
      </c>
      <c r="K20" s="505" t="str">
        <f t="shared" si="2"/>
        <v>ARRANCADOR PARA MOTOR DE 3 HP MONOFÁSICO 127V CODIGO 10046370 11~17 AMP</v>
      </c>
      <c r="L20" s="505"/>
      <c r="M20" s="505"/>
      <c r="N20" s="505"/>
      <c r="O20" s="505"/>
      <c r="P20" s="505"/>
      <c r="Q20" s="505"/>
    </row>
    <row r="21">
      <c r="A21" s="527"/>
      <c r="B21" s="528"/>
      <c r="C21" s="528"/>
      <c r="D21" s="528"/>
      <c r="E21" s="528"/>
      <c r="F21" s="528"/>
      <c r="G21" s="528"/>
      <c r="H21" s="528"/>
      <c r="I21" s="528"/>
      <c r="J21" s="528"/>
      <c r="K21" s="505"/>
      <c r="L21" s="505"/>
      <c r="M21" s="505"/>
      <c r="N21" s="505"/>
      <c r="O21" s="505"/>
      <c r="P21" s="505"/>
      <c r="Q21" s="505"/>
    </row>
    <row r="22">
      <c r="A22" s="529" t="s">
        <v>16065</v>
      </c>
      <c r="F22" s="505"/>
      <c r="G22" s="505"/>
      <c r="H22" s="505"/>
      <c r="I22" s="505"/>
      <c r="J22" s="505"/>
      <c r="K22" s="505"/>
      <c r="L22" s="505"/>
      <c r="M22" s="505"/>
      <c r="N22" s="505"/>
      <c r="O22" s="505"/>
      <c r="P22" s="505"/>
      <c r="Q22" s="505"/>
    </row>
    <row r="23">
      <c r="A23" s="505"/>
      <c r="B23" s="505"/>
      <c r="C23" s="505"/>
      <c r="D23" s="505"/>
      <c r="E23" s="505"/>
      <c r="F23" s="505"/>
      <c r="G23" s="505"/>
      <c r="H23" s="505"/>
      <c r="I23" s="505"/>
      <c r="J23" s="505"/>
      <c r="K23" s="505"/>
      <c r="L23" s="505"/>
      <c r="M23" s="505"/>
      <c r="N23" s="505"/>
      <c r="O23" s="505"/>
      <c r="P23" s="505"/>
      <c r="Q23" s="505"/>
    </row>
    <row r="24">
      <c r="A24" s="505"/>
      <c r="B24" s="505"/>
      <c r="C24" s="505"/>
      <c r="D24" s="505"/>
      <c r="E24" s="505"/>
      <c r="F24" s="505"/>
      <c r="G24" s="505"/>
      <c r="H24" s="505"/>
      <c r="I24" s="505"/>
      <c r="J24" s="505"/>
      <c r="K24" s="505"/>
      <c r="L24" s="505"/>
      <c r="M24" s="505"/>
      <c r="N24" s="505"/>
      <c r="O24" s="505"/>
      <c r="P24" s="505"/>
      <c r="Q24" s="505"/>
    </row>
  </sheetData>
  <mergeCells count="5">
    <mergeCell ref="A1:F1"/>
    <mergeCell ref="B2:F2"/>
    <mergeCell ref="D3:E3"/>
    <mergeCell ref="A4:F4"/>
    <mergeCell ref="A22:E22"/>
  </mergeCells>
  <drawing r:id="rId1"/>
</worksheet>
</file>